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hm\Documents\CASES FY 2019\WPR19LA105 - N215T\Docket\"/>
    </mc:Choice>
  </mc:AlternateContent>
  <xr:revisionPtr revIDLastSave="0" documentId="13_ncr:1_{6DE21D85-4EA4-4BCD-898F-EB279BA0D628}" xr6:coauthVersionLast="45" xr6:coauthVersionMax="45" xr10:uidLastSave="{00000000-0000-0000-0000-000000000000}"/>
  <bookViews>
    <workbookView xWindow="1428" yWindow="384" windowWidth="20268" windowHeight="12276" xr2:uid="{00000000-000D-0000-FFFF-FFFF00000000}"/>
  </bookViews>
  <sheets>
    <sheet name="20190330000000_N215T_A1CDB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E2" i="1"/>
  <c r="CC2" i="1"/>
  <c r="CD2" i="1"/>
  <c r="A3" i="1"/>
  <c r="C3" i="1"/>
  <c r="S3" i="1"/>
  <c r="T3" i="1"/>
  <c r="U3" i="1"/>
  <c r="BE3" i="1"/>
  <c r="CC3" i="1"/>
  <c r="CD3" i="1"/>
  <c r="A4" i="1"/>
  <c r="C4" i="1"/>
  <c r="S4" i="1"/>
  <c r="T4" i="1"/>
  <c r="U4" i="1"/>
  <c r="BE4" i="1"/>
  <c r="CC4" i="1"/>
  <c r="CD4" i="1"/>
  <c r="A5" i="1"/>
  <c r="C5" i="1"/>
  <c r="S5" i="1"/>
  <c r="T5" i="1"/>
  <c r="U5" i="1"/>
  <c r="BE5" i="1"/>
  <c r="CC5" i="1"/>
  <c r="CD5" i="1"/>
  <c r="A6" i="1"/>
  <c r="C6" i="1"/>
  <c r="S6" i="1"/>
  <c r="T6" i="1"/>
  <c r="U6" i="1"/>
  <c r="BE6" i="1"/>
  <c r="CC6" i="1"/>
  <c r="CD6" i="1"/>
  <c r="A7" i="1"/>
  <c r="C7" i="1"/>
  <c r="S7" i="1"/>
  <c r="T7" i="1"/>
  <c r="U7" i="1"/>
  <c r="BE7" i="1"/>
  <c r="CC7" i="1"/>
  <c r="CD7" i="1"/>
  <c r="A8" i="1"/>
  <c r="C8" i="1"/>
  <c r="S8" i="1"/>
  <c r="T8" i="1"/>
  <c r="U8" i="1"/>
  <c r="BE8" i="1"/>
  <c r="CC8" i="1"/>
  <c r="CD8" i="1"/>
  <c r="A9" i="1"/>
  <c r="C9" i="1"/>
  <c r="S9" i="1"/>
  <c r="T9" i="1"/>
  <c r="U9" i="1"/>
  <c r="BE9" i="1"/>
  <c r="CC9" i="1"/>
  <c r="CD9" i="1"/>
  <c r="A10" i="1"/>
  <c r="C10" i="1"/>
  <c r="S10" i="1"/>
  <c r="T10" i="1"/>
  <c r="U10" i="1"/>
  <c r="BE10" i="1"/>
  <c r="CC10" i="1"/>
  <c r="CD10" i="1"/>
  <c r="A11" i="1"/>
  <c r="C11" i="1"/>
  <c r="S11" i="1"/>
  <c r="T11" i="1"/>
  <c r="U11" i="1"/>
  <c r="BE11" i="1"/>
  <c r="CC11" i="1"/>
  <c r="CD11" i="1"/>
  <c r="A12" i="1"/>
  <c r="C12" i="1"/>
  <c r="S12" i="1"/>
  <c r="T12" i="1"/>
  <c r="U12" i="1"/>
  <c r="BE12" i="1"/>
  <c r="CC12" i="1"/>
  <c r="CD12" i="1"/>
  <c r="A13" i="1"/>
  <c r="C13" i="1"/>
  <c r="S13" i="1"/>
  <c r="T13" i="1"/>
  <c r="U13" i="1"/>
  <c r="BE13" i="1"/>
  <c r="CC13" i="1"/>
  <c r="CD13" i="1"/>
  <c r="A14" i="1"/>
  <c r="C14" i="1"/>
  <c r="S14" i="1"/>
  <c r="T14" i="1"/>
  <c r="U14" i="1"/>
  <c r="BE14" i="1"/>
  <c r="CC14" i="1"/>
  <c r="CD14" i="1"/>
  <c r="A15" i="1"/>
  <c r="C15" i="1"/>
  <c r="S15" i="1"/>
  <c r="T15" i="1"/>
  <c r="U15" i="1"/>
  <c r="BE15" i="1"/>
  <c r="CC15" i="1"/>
  <c r="CD15" i="1"/>
  <c r="A16" i="1"/>
  <c r="C16" i="1"/>
  <c r="S16" i="1"/>
  <c r="T16" i="1"/>
  <c r="U16" i="1"/>
  <c r="BE16" i="1"/>
  <c r="CC16" i="1"/>
  <c r="CD16" i="1"/>
  <c r="A17" i="1"/>
  <c r="C17" i="1"/>
  <c r="S17" i="1"/>
  <c r="T17" i="1"/>
  <c r="U17" i="1"/>
  <c r="BE17" i="1"/>
  <c r="CC17" i="1"/>
  <c r="CD17" i="1"/>
  <c r="A18" i="1"/>
  <c r="C18" i="1"/>
  <c r="S18" i="1"/>
  <c r="T18" i="1"/>
  <c r="U18" i="1"/>
  <c r="BE18" i="1"/>
  <c r="CC18" i="1"/>
  <c r="CD18" i="1"/>
  <c r="A19" i="1"/>
  <c r="C19" i="1"/>
  <c r="S19" i="1"/>
  <c r="T19" i="1"/>
  <c r="U19" i="1"/>
  <c r="BE19" i="1"/>
  <c r="CC19" i="1"/>
  <c r="CD19" i="1"/>
  <c r="A20" i="1"/>
  <c r="C20" i="1"/>
  <c r="S20" i="1"/>
  <c r="T20" i="1"/>
  <c r="U20" i="1"/>
  <c r="BE20" i="1"/>
  <c r="CC20" i="1"/>
  <c r="CD20" i="1"/>
  <c r="A21" i="1"/>
  <c r="C21" i="1"/>
  <c r="S21" i="1"/>
  <c r="T21" i="1"/>
  <c r="U21" i="1"/>
  <c r="BE21" i="1"/>
  <c r="CC21" i="1"/>
  <c r="CD21" i="1"/>
  <c r="A22" i="1"/>
  <c r="C22" i="1"/>
  <c r="S22" i="1"/>
  <c r="T22" i="1"/>
  <c r="U22" i="1"/>
  <c r="BE22" i="1"/>
  <c r="CC22" i="1"/>
  <c r="CD22" i="1"/>
  <c r="A23" i="1"/>
  <c r="C23" i="1"/>
  <c r="S23" i="1"/>
  <c r="T23" i="1"/>
  <c r="U23" i="1"/>
  <c r="BE23" i="1"/>
  <c r="CC23" i="1"/>
  <c r="CD23" i="1"/>
  <c r="A24" i="1"/>
  <c r="C24" i="1"/>
  <c r="S24" i="1"/>
  <c r="T24" i="1"/>
  <c r="U24" i="1"/>
  <c r="BE24" i="1"/>
  <c r="CC24" i="1"/>
  <c r="CD24" i="1"/>
  <c r="A25" i="1"/>
  <c r="C25" i="1"/>
  <c r="S25" i="1"/>
  <c r="T25" i="1"/>
  <c r="U25" i="1"/>
  <c r="BE25" i="1"/>
  <c r="CC25" i="1"/>
  <c r="CD25" i="1"/>
  <c r="A26" i="1"/>
  <c r="C26" i="1"/>
  <c r="S26" i="1"/>
  <c r="T26" i="1"/>
  <c r="U26" i="1"/>
  <c r="BE26" i="1"/>
  <c r="CC26" i="1"/>
  <c r="CD26" i="1"/>
  <c r="A27" i="1"/>
  <c r="C27" i="1"/>
  <c r="S27" i="1"/>
  <c r="T27" i="1"/>
  <c r="U27" i="1"/>
  <c r="BE27" i="1"/>
  <c r="CC27" i="1"/>
  <c r="CD27" i="1"/>
  <c r="A28" i="1"/>
  <c r="C28" i="1"/>
  <c r="S28" i="1"/>
  <c r="T28" i="1"/>
  <c r="U28" i="1"/>
  <c r="BE28" i="1"/>
  <c r="CC28" i="1"/>
  <c r="CD28" i="1"/>
  <c r="A29" i="1"/>
  <c r="C29" i="1"/>
  <c r="S29" i="1"/>
  <c r="T29" i="1"/>
  <c r="U29" i="1"/>
  <c r="BE29" i="1"/>
  <c r="CC29" i="1"/>
  <c r="CD29" i="1"/>
  <c r="A30" i="1"/>
  <c r="C30" i="1"/>
  <c r="S30" i="1"/>
  <c r="T30" i="1"/>
  <c r="U30" i="1"/>
  <c r="BE30" i="1"/>
  <c r="CC30" i="1"/>
  <c r="CD30" i="1"/>
  <c r="A31" i="1"/>
  <c r="C31" i="1"/>
  <c r="S31" i="1"/>
  <c r="T31" i="1"/>
  <c r="U31" i="1"/>
  <c r="BE31" i="1"/>
  <c r="CC31" i="1"/>
  <c r="CD31" i="1"/>
  <c r="A32" i="1"/>
  <c r="C32" i="1"/>
  <c r="S32" i="1"/>
  <c r="T32" i="1"/>
  <c r="U32" i="1"/>
  <c r="BE32" i="1"/>
  <c r="CC32" i="1"/>
  <c r="CD32" i="1"/>
  <c r="A33" i="1"/>
  <c r="C33" i="1"/>
  <c r="S33" i="1"/>
  <c r="T33" i="1"/>
  <c r="U33" i="1"/>
  <c r="BE33" i="1"/>
  <c r="CC33" i="1"/>
  <c r="CD33" i="1"/>
  <c r="A34" i="1"/>
  <c r="C34" i="1"/>
  <c r="S34" i="1"/>
  <c r="T34" i="1"/>
  <c r="U34" i="1"/>
  <c r="BE34" i="1"/>
  <c r="CC34" i="1"/>
  <c r="CD34" i="1"/>
  <c r="A35" i="1"/>
  <c r="C35" i="1"/>
  <c r="S35" i="1"/>
  <c r="T35" i="1"/>
  <c r="U35" i="1"/>
  <c r="BE35" i="1"/>
  <c r="CC35" i="1"/>
  <c r="CD35" i="1"/>
  <c r="A36" i="1"/>
  <c r="C36" i="1"/>
  <c r="S36" i="1"/>
  <c r="T36" i="1"/>
  <c r="U36" i="1"/>
  <c r="BE36" i="1"/>
  <c r="CC36" i="1"/>
  <c r="CD36" i="1"/>
  <c r="A37" i="1"/>
  <c r="C37" i="1"/>
  <c r="S37" i="1"/>
  <c r="T37" i="1"/>
  <c r="U37" i="1"/>
  <c r="BE37" i="1"/>
  <c r="CC37" i="1"/>
  <c r="CD37" i="1"/>
  <c r="A38" i="1"/>
  <c r="C38" i="1"/>
  <c r="S38" i="1"/>
  <c r="T38" i="1"/>
  <c r="U38" i="1"/>
  <c r="BE38" i="1"/>
  <c r="CC38" i="1"/>
  <c r="CD38" i="1"/>
  <c r="A39" i="1"/>
  <c r="C39" i="1"/>
  <c r="S39" i="1"/>
  <c r="T39" i="1"/>
  <c r="U39" i="1"/>
  <c r="BE39" i="1"/>
  <c r="CC39" i="1"/>
  <c r="CD39" i="1"/>
  <c r="A40" i="1"/>
  <c r="C40" i="1"/>
  <c r="S40" i="1"/>
  <c r="T40" i="1"/>
  <c r="U40" i="1"/>
  <c r="BE40" i="1"/>
  <c r="CC40" i="1"/>
  <c r="CD40" i="1"/>
  <c r="A41" i="1"/>
  <c r="C41" i="1"/>
  <c r="S41" i="1"/>
  <c r="T41" i="1"/>
  <c r="U41" i="1"/>
  <c r="BE41" i="1"/>
  <c r="CC41" i="1"/>
  <c r="CD41" i="1"/>
  <c r="A42" i="1"/>
  <c r="C42" i="1"/>
  <c r="S42" i="1"/>
  <c r="T42" i="1"/>
  <c r="U42" i="1"/>
  <c r="BE42" i="1"/>
  <c r="CC42" i="1"/>
  <c r="CD42" i="1"/>
  <c r="A43" i="1"/>
  <c r="C43" i="1"/>
  <c r="S43" i="1"/>
  <c r="T43" i="1"/>
  <c r="U43" i="1"/>
  <c r="BE43" i="1"/>
  <c r="CC43" i="1"/>
  <c r="CD43" i="1"/>
  <c r="A44" i="1"/>
  <c r="C44" i="1"/>
  <c r="S44" i="1"/>
  <c r="T44" i="1"/>
  <c r="U44" i="1"/>
  <c r="BE44" i="1"/>
  <c r="CC44" i="1"/>
  <c r="CD44" i="1"/>
  <c r="A45" i="1"/>
  <c r="C45" i="1"/>
  <c r="S45" i="1"/>
  <c r="T45" i="1"/>
  <c r="U45" i="1"/>
  <c r="BE45" i="1"/>
  <c r="CC45" i="1"/>
  <c r="CD45" i="1"/>
  <c r="A46" i="1"/>
  <c r="C46" i="1"/>
  <c r="S46" i="1"/>
  <c r="T46" i="1"/>
  <c r="U46" i="1"/>
  <c r="BE46" i="1"/>
  <c r="CC46" i="1"/>
  <c r="CD46" i="1"/>
  <c r="A47" i="1"/>
  <c r="C47" i="1"/>
  <c r="S47" i="1"/>
  <c r="T47" i="1"/>
  <c r="U47" i="1"/>
  <c r="BE47" i="1"/>
  <c r="CC47" i="1"/>
  <c r="CD47" i="1"/>
  <c r="A48" i="1"/>
  <c r="C48" i="1"/>
  <c r="S48" i="1"/>
  <c r="T48" i="1"/>
  <c r="U48" i="1"/>
  <c r="BE48" i="1"/>
  <c r="CC48" i="1"/>
  <c r="CD48" i="1"/>
  <c r="A49" i="1"/>
  <c r="C49" i="1"/>
  <c r="S49" i="1"/>
  <c r="T49" i="1"/>
  <c r="U49" i="1"/>
  <c r="BE49" i="1"/>
  <c r="CC49" i="1"/>
  <c r="CD49" i="1"/>
  <c r="A50" i="1"/>
  <c r="C50" i="1"/>
  <c r="S50" i="1"/>
  <c r="T50" i="1"/>
  <c r="U50" i="1"/>
  <c r="BE50" i="1"/>
  <c r="CC50" i="1"/>
  <c r="CD50" i="1"/>
  <c r="A51" i="1"/>
  <c r="C51" i="1"/>
  <c r="S51" i="1"/>
  <c r="T51" i="1"/>
  <c r="U51" i="1"/>
  <c r="BE51" i="1"/>
  <c r="CC51" i="1"/>
  <c r="CD51" i="1"/>
  <c r="A52" i="1"/>
  <c r="C52" i="1"/>
  <c r="S52" i="1"/>
  <c r="T52" i="1"/>
  <c r="U52" i="1"/>
  <c r="BE52" i="1"/>
  <c r="CC52" i="1"/>
  <c r="CD52" i="1"/>
  <c r="A53" i="1"/>
  <c r="C53" i="1"/>
  <c r="S53" i="1"/>
  <c r="T53" i="1"/>
  <c r="U53" i="1"/>
  <c r="BE53" i="1"/>
  <c r="CC53" i="1"/>
  <c r="CD53" i="1"/>
  <c r="A54" i="1"/>
  <c r="C54" i="1"/>
  <c r="S54" i="1"/>
  <c r="T54" i="1"/>
  <c r="U54" i="1"/>
  <c r="BE54" i="1"/>
  <c r="CC54" i="1"/>
  <c r="CD54" i="1"/>
  <c r="A55" i="1"/>
  <c r="C55" i="1"/>
  <c r="S55" i="1"/>
  <c r="T55" i="1"/>
  <c r="U55" i="1"/>
  <c r="BE55" i="1"/>
  <c r="CC55" i="1"/>
  <c r="CD55" i="1"/>
  <c r="A56" i="1"/>
  <c r="C56" i="1"/>
  <c r="S56" i="1"/>
  <c r="T56" i="1"/>
  <c r="U56" i="1"/>
  <c r="BE56" i="1"/>
  <c r="CC56" i="1"/>
  <c r="CD56" i="1"/>
  <c r="A57" i="1"/>
  <c r="C57" i="1"/>
  <c r="S57" i="1"/>
  <c r="T57" i="1"/>
  <c r="U57" i="1"/>
  <c r="BE57" i="1"/>
  <c r="CC57" i="1"/>
  <c r="CD57" i="1"/>
  <c r="A58" i="1"/>
  <c r="C58" i="1"/>
  <c r="S58" i="1"/>
  <c r="T58" i="1"/>
  <c r="U58" i="1"/>
  <c r="BE58" i="1"/>
  <c r="CC58" i="1"/>
  <c r="CD58" i="1"/>
  <c r="A59" i="1"/>
  <c r="C59" i="1"/>
  <c r="S59" i="1"/>
  <c r="T59" i="1"/>
  <c r="U59" i="1"/>
  <c r="BE59" i="1"/>
  <c r="CC59" i="1"/>
  <c r="CD59" i="1"/>
  <c r="A60" i="1"/>
  <c r="C60" i="1"/>
  <c r="S60" i="1"/>
  <c r="T60" i="1"/>
  <c r="U60" i="1"/>
  <c r="BE60" i="1"/>
  <c r="CC60" i="1"/>
  <c r="CD60" i="1"/>
  <c r="A61" i="1"/>
  <c r="C61" i="1"/>
  <c r="S61" i="1"/>
  <c r="T61" i="1"/>
  <c r="U61" i="1"/>
  <c r="BE61" i="1"/>
  <c r="CC61" i="1"/>
  <c r="CD61" i="1"/>
  <c r="A62" i="1"/>
  <c r="C62" i="1"/>
  <c r="S62" i="1"/>
  <c r="T62" i="1"/>
  <c r="U62" i="1"/>
  <c r="BE62" i="1"/>
  <c r="CC62" i="1"/>
  <c r="CD62" i="1"/>
  <c r="A63" i="1"/>
  <c r="C63" i="1"/>
  <c r="S63" i="1"/>
  <c r="T63" i="1"/>
  <c r="U63" i="1"/>
  <c r="BE63" i="1"/>
  <c r="CC63" i="1"/>
  <c r="CD63" i="1"/>
  <c r="A64" i="1"/>
  <c r="C64" i="1"/>
  <c r="S64" i="1"/>
  <c r="T64" i="1"/>
  <c r="U64" i="1"/>
  <c r="BE64" i="1"/>
  <c r="CC64" i="1"/>
  <c r="CD64" i="1"/>
  <c r="A65" i="1"/>
  <c r="C65" i="1"/>
  <c r="S65" i="1"/>
  <c r="T65" i="1"/>
  <c r="U65" i="1"/>
  <c r="BE65" i="1"/>
  <c r="CC65" i="1"/>
  <c r="CD65" i="1"/>
  <c r="A66" i="1"/>
  <c r="C66" i="1"/>
  <c r="S66" i="1"/>
  <c r="T66" i="1"/>
  <c r="U66" i="1"/>
  <c r="BE66" i="1"/>
  <c r="CC66" i="1"/>
  <c r="CD66" i="1"/>
  <c r="A67" i="1"/>
  <c r="C67" i="1"/>
  <c r="S67" i="1"/>
  <c r="T67" i="1"/>
  <c r="U67" i="1"/>
  <c r="BE67" i="1"/>
  <c r="CC67" i="1"/>
  <c r="CD67" i="1"/>
  <c r="A68" i="1"/>
  <c r="C68" i="1"/>
  <c r="S68" i="1"/>
  <c r="T68" i="1"/>
  <c r="U68" i="1"/>
  <c r="BE68" i="1"/>
  <c r="CC68" i="1"/>
  <c r="CD68" i="1"/>
  <c r="A69" i="1"/>
  <c r="C69" i="1"/>
  <c r="S69" i="1"/>
  <c r="T69" i="1"/>
  <c r="U69" i="1"/>
  <c r="BE69" i="1"/>
  <c r="CC69" i="1"/>
  <c r="CD69" i="1"/>
  <c r="A70" i="1"/>
  <c r="C70" i="1"/>
  <c r="S70" i="1"/>
  <c r="T70" i="1"/>
  <c r="U70" i="1"/>
  <c r="BE70" i="1"/>
  <c r="CC70" i="1"/>
  <c r="CD70" i="1"/>
  <c r="A71" i="1"/>
  <c r="C71" i="1"/>
  <c r="S71" i="1"/>
  <c r="T71" i="1"/>
  <c r="U71" i="1"/>
  <c r="BE71" i="1"/>
  <c r="CC71" i="1"/>
  <c r="CD71" i="1"/>
  <c r="A72" i="1"/>
  <c r="C72" i="1"/>
  <c r="S72" i="1"/>
  <c r="T72" i="1"/>
  <c r="U72" i="1"/>
  <c r="BE72" i="1"/>
  <c r="CC72" i="1"/>
  <c r="CD72" i="1"/>
  <c r="A73" i="1"/>
  <c r="C73" i="1"/>
  <c r="S73" i="1"/>
  <c r="T73" i="1"/>
  <c r="U73" i="1"/>
  <c r="BE73" i="1"/>
  <c r="CC73" i="1"/>
  <c r="CD73" i="1"/>
  <c r="A74" i="1"/>
  <c r="C74" i="1"/>
  <c r="S74" i="1"/>
  <c r="T74" i="1"/>
  <c r="U74" i="1"/>
  <c r="BE74" i="1"/>
  <c r="CC74" i="1"/>
  <c r="CD74" i="1"/>
  <c r="A75" i="1"/>
  <c r="C75" i="1"/>
  <c r="S75" i="1"/>
  <c r="T75" i="1"/>
  <c r="U75" i="1"/>
  <c r="BE75" i="1"/>
  <c r="CC75" i="1"/>
  <c r="CD75" i="1"/>
  <c r="A76" i="1"/>
  <c r="C76" i="1"/>
  <c r="S76" i="1"/>
  <c r="T76" i="1"/>
  <c r="U76" i="1"/>
  <c r="BE76" i="1"/>
  <c r="CC76" i="1"/>
  <c r="CD76" i="1"/>
  <c r="A77" i="1"/>
  <c r="C77" i="1"/>
  <c r="S77" i="1"/>
  <c r="T77" i="1"/>
  <c r="U77" i="1"/>
  <c r="BE77" i="1"/>
  <c r="CC77" i="1"/>
  <c r="CD77" i="1"/>
  <c r="A78" i="1"/>
  <c r="C78" i="1"/>
  <c r="S78" i="1"/>
  <c r="T78" i="1"/>
  <c r="U78" i="1"/>
  <c r="BE78" i="1"/>
  <c r="CC78" i="1"/>
  <c r="CD78" i="1"/>
  <c r="A79" i="1"/>
  <c r="C79" i="1"/>
  <c r="S79" i="1"/>
  <c r="T79" i="1"/>
  <c r="U79" i="1"/>
  <c r="BE79" i="1"/>
  <c r="CC79" i="1"/>
  <c r="CD79" i="1"/>
  <c r="A80" i="1"/>
  <c r="C80" i="1"/>
  <c r="S80" i="1"/>
  <c r="T80" i="1"/>
  <c r="U80" i="1"/>
  <c r="BE80" i="1"/>
  <c r="CC80" i="1"/>
  <c r="CD80" i="1"/>
  <c r="A81" i="1"/>
  <c r="C81" i="1"/>
  <c r="S81" i="1"/>
  <c r="T81" i="1"/>
  <c r="U81" i="1"/>
  <c r="BE81" i="1"/>
  <c r="CC81" i="1"/>
  <c r="CD81" i="1"/>
  <c r="A82" i="1"/>
  <c r="C82" i="1"/>
  <c r="S82" i="1"/>
  <c r="T82" i="1"/>
  <c r="U82" i="1"/>
  <c r="BE82" i="1"/>
  <c r="CC82" i="1"/>
  <c r="CD82" i="1"/>
  <c r="A83" i="1"/>
  <c r="C83" i="1"/>
  <c r="S83" i="1"/>
  <c r="T83" i="1"/>
  <c r="U83" i="1"/>
  <c r="BE83" i="1"/>
  <c r="CC83" i="1"/>
  <c r="CD83" i="1"/>
  <c r="A84" i="1"/>
  <c r="C84" i="1"/>
  <c r="S84" i="1"/>
  <c r="T84" i="1"/>
  <c r="U84" i="1"/>
  <c r="BE84" i="1"/>
  <c r="CC84" i="1"/>
  <c r="CD84" i="1"/>
  <c r="A85" i="1"/>
  <c r="C85" i="1"/>
  <c r="S85" i="1"/>
  <c r="T85" i="1"/>
  <c r="U85" i="1"/>
  <c r="BE85" i="1"/>
  <c r="CC85" i="1"/>
  <c r="CD85" i="1"/>
  <c r="A86" i="1"/>
  <c r="C86" i="1"/>
  <c r="S86" i="1"/>
  <c r="T86" i="1"/>
  <c r="U86" i="1"/>
  <c r="BE86" i="1"/>
  <c r="CC86" i="1"/>
  <c r="CD86" i="1"/>
  <c r="A87" i="1"/>
  <c r="C87" i="1"/>
  <c r="S87" i="1"/>
  <c r="T87" i="1"/>
  <c r="U87" i="1"/>
  <c r="BE87" i="1"/>
  <c r="CC87" i="1"/>
  <c r="CD87" i="1"/>
  <c r="A88" i="1"/>
  <c r="C88" i="1"/>
  <c r="S88" i="1"/>
  <c r="T88" i="1"/>
  <c r="U88" i="1"/>
  <c r="BE88" i="1"/>
  <c r="CC88" i="1"/>
  <c r="CD88" i="1"/>
  <c r="A89" i="1"/>
  <c r="C89" i="1"/>
  <c r="S89" i="1"/>
  <c r="T89" i="1"/>
  <c r="U89" i="1"/>
  <c r="BE89" i="1"/>
  <c r="CC89" i="1"/>
  <c r="CD89" i="1"/>
  <c r="A90" i="1"/>
  <c r="C90" i="1"/>
  <c r="S90" i="1"/>
  <c r="T90" i="1"/>
  <c r="U90" i="1"/>
  <c r="BE90" i="1"/>
  <c r="CC90" i="1"/>
  <c r="CD90" i="1"/>
  <c r="A91" i="1"/>
  <c r="C91" i="1"/>
  <c r="S91" i="1"/>
  <c r="T91" i="1"/>
  <c r="U91" i="1"/>
  <c r="BE91" i="1"/>
  <c r="CC91" i="1"/>
  <c r="CD91" i="1"/>
  <c r="A92" i="1"/>
  <c r="C92" i="1"/>
  <c r="S92" i="1"/>
  <c r="T92" i="1"/>
  <c r="U92" i="1"/>
  <c r="BE92" i="1"/>
  <c r="CC92" i="1"/>
  <c r="CD92" i="1"/>
  <c r="A93" i="1"/>
  <c r="C93" i="1"/>
  <c r="S93" i="1"/>
  <c r="T93" i="1"/>
  <c r="U93" i="1"/>
  <c r="BE93" i="1"/>
  <c r="CC93" i="1"/>
  <c r="CD93" i="1"/>
  <c r="A94" i="1"/>
  <c r="C94" i="1"/>
  <c r="S94" i="1"/>
  <c r="T94" i="1"/>
  <c r="U94" i="1"/>
  <c r="BE94" i="1"/>
  <c r="CC94" i="1"/>
  <c r="CD94" i="1"/>
  <c r="A95" i="1"/>
  <c r="C95" i="1"/>
  <c r="S95" i="1"/>
  <c r="T95" i="1"/>
  <c r="U95" i="1"/>
  <c r="BE95" i="1"/>
  <c r="CC95" i="1"/>
  <c r="CD95" i="1"/>
  <c r="A96" i="1"/>
  <c r="C96" i="1"/>
  <c r="S96" i="1"/>
  <c r="T96" i="1"/>
  <c r="U96" i="1"/>
  <c r="BE96" i="1"/>
  <c r="CC96" i="1"/>
  <c r="CD96" i="1"/>
  <c r="A97" i="1"/>
  <c r="C97" i="1"/>
  <c r="S97" i="1"/>
  <c r="T97" i="1"/>
  <c r="U97" i="1"/>
  <c r="BE97" i="1"/>
  <c r="CC97" i="1"/>
  <c r="CD97" i="1"/>
  <c r="A98" i="1"/>
  <c r="C98" i="1"/>
  <c r="S98" i="1"/>
  <c r="T98" i="1"/>
  <c r="U98" i="1"/>
  <c r="BE98" i="1"/>
  <c r="CC98" i="1"/>
  <c r="CD98" i="1"/>
  <c r="A99" i="1"/>
  <c r="C99" i="1"/>
  <c r="S99" i="1"/>
  <c r="T99" i="1"/>
  <c r="U99" i="1"/>
  <c r="BE99" i="1"/>
  <c r="CC99" i="1"/>
  <c r="CD99" i="1"/>
  <c r="A100" i="1"/>
  <c r="C100" i="1"/>
  <c r="S100" i="1"/>
  <c r="T100" i="1"/>
  <c r="U100" i="1"/>
  <c r="BE100" i="1"/>
  <c r="CC100" i="1"/>
  <c r="CD100" i="1"/>
  <c r="A101" i="1"/>
  <c r="C101" i="1"/>
  <c r="S101" i="1"/>
  <c r="T101" i="1"/>
  <c r="U101" i="1"/>
  <c r="BE101" i="1"/>
  <c r="CC101" i="1"/>
  <c r="CD101" i="1"/>
  <c r="A102" i="1"/>
  <c r="C102" i="1"/>
  <c r="S102" i="1"/>
  <c r="T102" i="1"/>
  <c r="U102" i="1"/>
  <c r="BE102" i="1"/>
  <c r="CC102" i="1"/>
  <c r="CD102" i="1"/>
  <c r="A103" i="1"/>
  <c r="C103" i="1"/>
  <c r="S103" i="1"/>
  <c r="T103" i="1"/>
  <c r="U103" i="1"/>
  <c r="BE103" i="1"/>
  <c r="CC103" i="1"/>
  <c r="CD103" i="1"/>
  <c r="A104" i="1"/>
  <c r="C104" i="1"/>
  <c r="S104" i="1"/>
  <c r="T104" i="1"/>
  <c r="U104" i="1"/>
  <c r="BE104" i="1"/>
  <c r="CC104" i="1"/>
  <c r="CD104" i="1"/>
  <c r="A105" i="1"/>
  <c r="C105" i="1"/>
  <c r="S105" i="1"/>
  <c r="T105" i="1"/>
  <c r="U105" i="1"/>
  <c r="BE105" i="1"/>
  <c r="CC105" i="1"/>
  <c r="CD105" i="1"/>
  <c r="A106" i="1"/>
  <c r="C106" i="1"/>
  <c r="S106" i="1"/>
  <c r="T106" i="1"/>
  <c r="U106" i="1"/>
  <c r="BE106" i="1"/>
  <c r="CC106" i="1"/>
  <c r="CD106" i="1"/>
  <c r="A107" i="1"/>
  <c r="C107" i="1"/>
  <c r="S107" i="1"/>
  <c r="T107" i="1"/>
  <c r="U107" i="1"/>
  <c r="BE107" i="1"/>
  <c r="CC107" i="1"/>
  <c r="CD107" i="1"/>
  <c r="A108" i="1"/>
  <c r="C108" i="1"/>
  <c r="S108" i="1"/>
  <c r="T108" i="1"/>
  <c r="U108" i="1"/>
  <c r="BE108" i="1"/>
  <c r="CC108" i="1"/>
  <c r="CD108" i="1"/>
  <c r="A109" i="1"/>
  <c r="C109" i="1"/>
  <c r="S109" i="1"/>
  <c r="T109" i="1"/>
  <c r="U109" i="1"/>
  <c r="BE109" i="1"/>
  <c r="CC109" i="1"/>
  <c r="CD109" i="1"/>
  <c r="A110" i="1"/>
  <c r="C110" i="1"/>
  <c r="S110" i="1"/>
  <c r="T110" i="1"/>
  <c r="U110" i="1"/>
  <c r="BE110" i="1"/>
  <c r="CC110" i="1"/>
  <c r="CD110" i="1"/>
  <c r="A111" i="1"/>
  <c r="C111" i="1"/>
  <c r="S111" i="1"/>
  <c r="T111" i="1"/>
  <c r="U111" i="1"/>
  <c r="BE111" i="1"/>
  <c r="CC111" i="1"/>
  <c r="CD111" i="1"/>
  <c r="A112" i="1"/>
  <c r="C112" i="1"/>
  <c r="S112" i="1"/>
  <c r="T112" i="1"/>
  <c r="U112" i="1"/>
  <c r="BE112" i="1"/>
  <c r="CC112" i="1"/>
  <c r="CD112" i="1"/>
  <c r="A113" i="1"/>
  <c r="C113" i="1"/>
  <c r="S113" i="1"/>
  <c r="T113" i="1"/>
  <c r="U113" i="1"/>
  <c r="BE113" i="1"/>
  <c r="CC113" i="1"/>
  <c r="CD113" i="1"/>
  <c r="A114" i="1"/>
  <c r="C114" i="1"/>
  <c r="S114" i="1"/>
  <c r="T114" i="1"/>
  <c r="U114" i="1"/>
  <c r="BE114" i="1"/>
  <c r="CC114" i="1"/>
  <c r="CD114" i="1"/>
  <c r="A115" i="1"/>
  <c r="C115" i="1"/>
  <c r="S115" i="1"/>
  <c r="T115" i="1"/>
  <c r="U115" i="1"/>
  <c r="BE115" i="1"/>
  <c r="CC115" i="1"/>
  <c r="CD115" i="1"/>
  <c r="A116" i="1"/>
  <c r="C116" i="1"/>
  <c r="S116" i="1"/>
  <c r="T116" i="1"/>
  <c r="U116" i="1"/>
  <c r="BE116" i="1"/>
  <c r="CC116" i="1"/>
  <c r="CD116" i="1"/>
  <c r="A117" i="1"/>
  <c r="C117" i="1"/>
  <c r="S117" i="1"/>
  <c r="T117" i="1"/>
  <c r="U117" i="1"/>
  <c r="BE117" i="1"/>
  <c r="CC117" i="1"/>
  <c r="CD117" i="1"/>
  <c r="A118" i="1"/>
  <c r="C118" i="1"/>
  <c r="S118" i="1"/>
  <c r="T118" i="1"/>
  <c r="U118" i="1"/>
  <c r="BE118" i="1"/>
  <c r="CC118" i="1"/>
  <c r="CD118" i="1"/>
  <c r="A119" i="1"/>
  <c r="C119" i="1"/>
  <c r="S119" i="1"/>
  <c r="T119" i="1"/>
  <c r="U119" i="1"/>
  <c r="BE119" i="1"/>
  <c r="CC119" i="1"/>
  <c r="CD119" i="1"/>
  <c r="A120" i="1"/>
  <c r="C120" i="1"/>
  <c r="S120" i="1"/>
  <c r="T120" i="1"/>
  <c r="U120" i="1"/>
  <c r="BE120" i="1"/>
  <c r="CC120" i="1"/>
  <c r="CD120" i="1"/>
  <c r="A121" i="1"/>
  <c r="C121" i="1"/>
  <c r="S121" i="1"/>
  <c r="T121" i="1"/>
  <c r="U121" i="1"/>
  <c r="BE121" i="1"/>
  <c r="CC121" i="1"/>
  <c r="CD121" i="1"/>
  <c r="A122" i="1"/>
  <c r="C122" i="1"/>
  <c r="S122" i="1"/>
  <c r="T122" i="1"/>
  <c r="U122" i="1"/>
  <c r="BE122" i="1"/>
  <c r="CC122" i="1"/>
  <c r="CD122" i="1"/>
  <c r="A123" i="1"/>
  <c r="C123" i="1"/>
  <c r="S123" i="1"/>
  <c r="T123" i="1"/>
  <c r="U123" i="1"/>
  <c r="BE123" i="1"/>
  <c r="CC123" i="1"/>
  <c r="CD123" i="1"/>
  <c r="A124" i="1"/>
  <c r="C124" i="1"/>
  <c r="S124" i="1"/>
  <c r="T124" i="1"/>
  <c r="U124" i="1"/>
  <c r="BE124" i="1"/>
  <c r="CC124" i="1"/>
  <c r="CD124" i="1"/>
  <c r="A125" i="1"/>
  <c r="C125" i="1"/>
  <c r="S125" i="1"/>
  <c r="T125" i="1"/>
  <c r="U125" i="1"/>
  <c r="BE125" i="1"/>
  <c r="CC125" i="1"/>
  <c r="CD125" i="1"/>
  <c r="A126" i="1"/>
  <c r="C126" i="1"/>
  <c r="S126" i="1"/>
  <c r="T126" i="1"/>
  <c r="U126" i="1"/>
  <c r="BE126" i="1"/>
  <c r="CC126" i="1"/>
  <c r="CD126" i="1"/>
  <c r="A127" i="1"/>
  <c r="C127" i="1"/>
  <c r="S127" i="1"/>
  <c r="T127" i="1"/>
  <c r="U127" i="1"/>
  <c r="BE127" i="1"/>
  <c r="CC127" i="1"/>
  <c r="CD127" i="1"/>
  <c r="A128" i="1"/>
  <c r="C128" i="1"/>
  <c r="S128" i="1"/>
  <c r="T128" i="1"/>
  <c r="U128" i="1"/>
  <c r="BE128" i="1"/>
  <c r="CC128" i="1"/>
  <c r="CD128" i="1"/>
  <c r="A129" i="1"/>
  <c r="C129" i="1"/>
  <c r="S129" i="1"/>
  <c r="T129" i="1"/>
  <c r="U129" i="1"/>
  <c r="BE129" i="1"/>
  <c r="CC129" i="1"/>
  <c r="CD129" i="1"/>
  <c r="A130" i="1"/>
  <c r="C130" i="1"/>
  <c r="S130" i="1"/>
  <c r="T130" i="1"/>
  <c r="U130" i="1"/>
  <c r="BE130" i="1"/>
  <c r="CC130" i="1"/>
  <c r="CD130" i="1"/>
  <c r="A131" i="1"/>
  <c r="C131" i="1"/>
  <c r="S131" i="1"/>
  <c r="T131" i="1"/>
  <c r="U131" i="1"/>
  <c r="BE131" i="1"/>
  <c r="CC131" i="1"/>
  <c r="CD131" i="1"/>
  <c r="A132" i="1"/>
  <c r="C132" i="1"/>
  <c r="S132" i="1"/>
  <c r="T132" i="1"/>
  <c r="U132" i="1"/>
  <c r="BE132" i="1"/>
  <c r="CC132" i="1"/>
  <c r="CD132" i="1"/>
  <c r="A133" i="1"/>
  <c r="C133" i="1"/>
  <c r="S133" i="1"/>
  <c r="T133" i="1"/>
  <c r="U133" i="1"/>
  <c r="BE133" i="1"/>
  <c r="CC133" i="1"/>
  <c r="CD133" i="1"/>
  <c r="A134" i="1"/>
  <c r="C134" i="1"/>
  <c r="S134" i="1"/>
  <c r="T134" i="1"/>
  <c r="U134" i="1"/>
  <c r="BE134" i="1"/>
  <c r="CC134" i="1"/>
  <c r="CD134" i="1"/>
  <c r="A135" i="1"/>
  <c r="C135" i="1"/>
  <c r="S135" i="1"/>
  <c r="T135" i="1"/>
  <c r="U135" i="1"/>
  <c r="BE135" i="1"/>
  <c r="CC135" i="1"/>
  <c r="CD135" i="1"/>
  <c r="A136" i="1"/>
  <c r="C136" i="1"/>
  <c r="S136" i="1"/>
  <c r="T136" i="1"/>
  <c r="U136" i="1"/>
  <c r="BE136" i="1"/>
  <c r="CC136" i="1"/>
  <c r="CD136" i="1"/>
  <c r="A137" i="1"/>
  <c r="C137" i="1"/>
  <c r="S137" i="1"/>
  <c r="T137" i="1"/>
  <c r="U137" i="1"/>
  <c r="BE137" i="1"/>
  <c r="CC137" i="1"/>
  <c r="CD137" i="1"/>
  <c r="A138" i="1"/>
  <c r="C138" i="1"/>
  <c r="S138" i="1"/>
  <c r="T138" i="1"/>
  <c r="U138" i="1"/>
  <c r="BE138" i="1"/>
  <c r="CC138" i="1"/>
  <c r="CD138" i="1"/>
  <c r="A139" i="1"/>
  <c r="C139" i="1"/>
  <c r="S139" i="1"/>
  <c r="T139" i="1"/>
  <c r="U139" i="1"/>
  <c r="BE139" i="1"/>
  <c r="CC139" i="1"/>
  <c r="CD139" i="1"/>
  <c r="A140" i="1"/>
  <c r="C140" i="1"/>
  <c r="S140" i="1"/>
  <c r="T140" i="1"/>
  <c r="U140" i="1"/>
  <c r="BE140" i="1"/>
  <c r="CC140" i="1"/>
  <c r="CD140" i="1"/>
  <c r="A141" i="1"/>
  <c r="C141" i="1"/>
  <c r="S141" i="1"/>
  <c r="T141" i="1"/>
  <c r="U141" i="1"/>
  <c r="BE141" i="1"/>
  <c r="CC141" i="1"/>
  <c r="CD141" i="1"/>
  <c r="A142" i="1"/>
  <c r="C142" i="1"/>
  <c r="S142" i="1"/>
  <c r="T142" i="1"/>
  <c r="U142" i="1"/>
  <c r="BE142" i="1"/>
  <c r="CC142" i="1"/>
  <c r="CD142" i="1"/>
  <c r="A143" i="1"/>
  <c r="C143" i="1"/>
  <c r="S143" i="1"/>
  <c r="T143" i="1"/>
  <c r="U143" i="1"/>
  <c r="BE143" i="1"/>
  <c r="CC143" i="1"/>
  <c r="CD143" i="1"/>
  <c r="A144" i="1"/>
  <c r="C144" i="1"/>
  <c r="S144" i="1"/>
  <c r="T144" i="1"/>
  <c r="U144" i="1"/>
  <c r="BE144" i="1"/>
  <c r="CC144" i="1"/>
  <c r="CD144" i="1"/>
  <c r="A145" i="1"/>
  <c r="C145" i="1"/>
  <c r="S145" i="1"/>
  <c r="T145" i="1"/>
  <c r="U145" i="1"/>
  <c r="BE145" i="1"/>
  <c r="CC145" i="1"/>
  <c r="CD145" i="1"/>
  <c r="A146" i="1"/>
  <c r="C146" i="1"/>
  <c r="S146" i="1"/>
  <c r="T146" i="1"/>
  <c r="U146" i="1"/>
  <c r="BE146" i="1"/>
  <c r="CC146" i="1"/>
  <c r="CD146" i="1"/>
  <c r="A147" i="1"/>
  <c r="C147" i="1"/>
  <c r="S147" i="1"/>
  <c r="T147" i="1"/>
  <c r="U147" i="1"/>
  <c r="BE147" i="1"/>
  <c r="CC147" i="1"/>
  <c r="CD147" i="1"/>
  <c r="A148" i="1"/>
  <c r="C148" i="1"/>
  <c r="S148" i="1"/>
  <c r="T148" i="1"/>
  <c r="U148" i="1"/>
  <c r="BE148" i="1"/>
  <c r="CC148" i="1"/>
  <c r="CD148" i="1"/>
  <c r="A149" i="1"/>
  <c r="C149" i="1"/>
  <c r="S149" i="1"/>
  <c r="T149" i="1"/>
  <c r="U149" i="1"/>
  <c r="BE149" i="1"/>
  <c r="CC149" i="1"/>
  <c r="CD149" i="1"/>
  <c r="A150" i="1"/>
  <c r="C150" i="1"/>
  <c r="S150" i="1"/>
  <c r="T150" i="1"/>
  <c r="U150" i="1"/>
  <c r="BE150" i="1"/>
  <c r="CC150" i="1"/>
  <c r="CD150" i="1"/>
  <c r="A151" i="1"/>
  <c r="C151" i="1"/>
  <c r="S151" i="1"/>
  <c r="T151" i="1"/>
  <c r="U151" i="1"/>
  <c r="BE151" i="1"/>
  <c r="CC151" i="1"/>
  <c r="CD151" i="1"/>
  <c r="A152" i="1"/>
  <c r="C152" i="1"/>
  <c r="S152" i="1"/>
  <c r="T152" i="1"/>
  <c r="U152" i="1"/>
  <c r="BE152" i="1"/>
  <c r="CC152" i="1"/>
  <c r="CD152" i="1"/>
  <c r="A153" i="1"/>
  <c r="C153" i="1"/>
  <c r="S153" i="1"/>
  <c r="T153" i="1"/>
  <c r="U153" i="1"/>
  <c r="BE153" i="1"/>
  <c r="CC153" i="1"/>
  <c r="CD153" i="1"/>
  <c r="A154" i="1"/>
  <c r="C154" i="1"/>
  <c r="S154" i="1"/>
  <c r="T154" i="1"/>
  <c r="U154" i="1"/>
  <c r="BE154" i="1"/>
  <c r="CC154" i="1"/>
  <c r="CD154" i="1"/>
  <c r="A155" i="1"/>
  <c r="C155" i="1"/>
  <c r="S155" i="1"/>
  <c r="T155" i="1"/>
  <c r="U155" i="1"/>
  <c r="BE155" i="1"/>
  <c r="CC155" i="1"/>
  <c r="CD155" i="1"/>
  <c r="A156" i="1"/>
  <c r="C156" i="1"/>
  <c r="S156" i="1"/>
  <c r="T156" i="1"/>
  <c r="U156" i="1"/>
  <c r="BE156" i="1"/>
  <c r="CC156" i="1"/>
  <c r="CD156" i="1"/>
  <c r="A157" i="1"/>
  <c r="C157" i="1"/>
  <c r="S157" i="1"/>
  <c r="T157" i="1"/>
  <c r="U157" i="1"/>
  <c r="BE157" i="1"/>
  <c r="CC157" i="1"/>
  <c r="CD157" i="1"/>
  <c r="A158" i="1"/>
  <c r="C158" i="1"/>
  <c r="S158" i="1"/>
  <c r="T158" i="1"/>
  <c r="U158" i="1"/>
  <c r="BE158" i="1"/>
  <c r="CC158" i="1"/>
  <c r="CD158" i="1"/>
  <c r="A159" i="1"/>
  <c r="C159" i="1"/>
  <c r="S159" i="1"/>
  <c r="T159" i="1"/>
  <c r="U159" i="1"/>
  <c r="BE159" i="1"/>
  <c r="CC159" i="1"/>
  <c r="CD159" i="1"/>
  <c r="A160" i="1"/>
  <c r="C160" i="1"/>
  <c r="S160" i="1"/>
  <c r="T160" i="1"/>
  <c r="U160" i="1"/>
  <c r="BE160" i="1"/>
  <c r="CC160" i="1"/>
  <c r="CD160" i="1"/>
  <c r="A161" i="1"/>
  <c r="C161" i="1"/>
  <c r="S161" i="1"/>
  <c r="T161" i="1"/>
  <c r="U161" i="1"/>
  <c r="BE161" i="1"/>
  <c r="CC161" i="1"/>
  <c r="CD161" i="1"/>
  <c r="A162" i="1"/>
  <c r="C162" i="1"/>
  <c r="S162" i="1"/>
  <c r="T162" i="1"/>
  <c r="U162" i="1"/>
  <c r="BE162" i="1"/>
  <c r="CC162" i="1"/>
  <c r="CD162" i="1"/>
  <c r="A163" i="1"/>
  <c r="C163" i="1"/>
  <c r="S163" i="1"/>
  <c r="T163" i="1"/>
  <c r="U163" i="1"/>
  <c r="BE163" i="1"/>
  <c r="CC163" i="1"/>
  <c r="CD163" i="1"/>
  <c r="A164" i="1"/>
  <c r="C164" i="1"/>
  <c r="S164" i="1"/>
  <c r="T164" i="1"/>
  <c r="U164" i="1"/>
  <c r="BE164" i="1"/>
  <c r="CC164" i="1"/>
  <c r="CD164" i="1"/>
  <c r="A165" i="1"/>
  <c r="C165" i="1"/>
  <c r="S165" i="1"/>
  <c r="T165" i="1"/>
  <c r="U165" i="1"/>
  <c r="BE165" i="1"/>
  <c r="CC165" i="1"/>
  <c r="CD165" i="1"/>
  <c r="A166" i="1"/>
  <c r="C166" i="1"/>
  <c r="S166" i="1"/>
  <c r="T166" i="1"/>
  <c r="U166" i="1"/>
  <c r="BE166" i="1"/>
  <c r="CC166" i="1"/>
  <c r="CD166" i="1"/>
  <c r="A167" i="1"/>
  <c r="C167" i="1"/>
  <c r="S167" i="1"/>
  <c r="T167" i="1"/>
  <c r="U167" i="1"/>
  <c r="BE167" i="1"/>
  <c r="CC167" i="1"/>
  <c r="CD167" i="1"/>
  <c r="A168" i="1"/>
  <c r="C168" i="1"/>
  <c r="S168" i="1"/>
  <c r="T168" i="1"/>
  <c r="U168" i="1"/>
  <c r="BE168" i="1"/>
  <c r="CC168" i="1"/>
  <c r="CD168" i="1"/>
  <c r="A169" i="1"/>
  <c r="C169" i="1"/>
  <c r="S169" i="1"/>
  <c r="T169" i="1"/>
  <c r="U169" i="1"/>
  <c r="BE169" i="1"/>
  <c r="CC169" i="1"/>
  <c r="CD169" i="1"/>
  <c r="A170" i="1"/>
  <c r="C170" i="1"/>
  <c r="S170" i="1"/>
  <c r="T170" i="1"/>
  <c r="U170" i="1"/>
  <c r="BE170" i="1"/>
  <c r="CC170" i="1"/>
  <c r="CD170" i="1"/>
  <c r="A171" i="1"/>
  <c r="C171" i="1"/>
  <c r="S171" i="1"/>
  <c r="T171" i="1"/>
  <c r="U171" i="1"/>
  <c r="BE171" i="1"/>
  <c r="CC171" i="1"/>
  <c r="CD171" i="1"/>
  <c r="A172" i="1"/>
  <c r="C172" i="1"/>
  <c r="S172" i="1"/>
  <c r="T172" i="1"/>
  <c r="U172" i="1"/>
  <c r="BE172" i="1"/>
  <c r="CC172" i="1"/>
  <c r="CD172" i="1"/>
  <c r="A173" i="1"/>
  <c r="C173" i="1"/>
  <c r="S173" i="1"/>
  <c r="T173" i="1"/>
  <c r="U173" i="1"/>
  <c r="BE173" i="1"/>
  <c r="CC173" i="1"/>
  <c r="CD173" i="1"/>
  <c r="A174" i="1"/>
  <c r="C174" i="1"/>
  <c r="S174" i="1"/>
  <c r="T174" i="1"/>
  <c r="U174" i="1"/>
  <c r="BE174" i="1"/>
  <c r="CC174" i="1"/>
  <c r="CD174" i="1"/>
  <c r="A175" i="1"/>
  <c r="C175" i="1"/>
  <c r="S175" i="1"/>
  <c r="T175" i="1"/>
  <c r="U175" i="1"/>
  <c r="BE175" i="1"/>
  <c r="CC175" i="1"/>
  <c r="CD175" i="1"/>
  <c r="A176" i="1"/>
  <c r="C176" i="1"/>
  <c r="S176" i="1"/>
  <c r="T176" i="1"/>
  <c r="U176" i="1"/>
  <c r="BE176" i="1"/>
  <c r="CC176" i="1"/>
  <c r="CD176" i="1"/>
  <c r="A177" i="1"/>
  <c r="C177" i="1"/>
  <c r="S177" i="1"/>
  <c r="T177" i="1"/>
  <c r="U177" i="1"/>
  <c r="BE177" i="1"/>
  <c r="CC177" i="1"/>
  <c r="CD177" i="1"/>
  <c r="A178" i="1"/>
  <c r="C178" i="1"/>
  <c r="S178" i="1"/>
  <c r="T178" i="1"/>
  <c r="U178" i="1"/>
  <c r="BE178" i="1"/>
  <c r="CC178" i="1"/>
  <c r="CD178" i="1"/>
  <c r="A179" i="1"/>
  <c r="C179" i="1"/>
  <c r="S179" i="1"/>
  <c r="T179" i="1"/>
  <c r="U179" i="1"/>
  <c r="BE179" i="1"/>
  <c r="CC179" i="1"/>
  <c r="CD179" i="1"/>
  <c r="A180" i="1"/>
  <c r="C180" i="1"/>
  <c r="S180" i="1"/>
  <c r="T180" i="1"/>
  <c r="U180" i="1"/>
  <c r="BE180" i="1"/>
  <c r="CC180" i="1"/>
  <c r="CD180" i="1"/>
  <c r="A181" i="1"/>
  <c r="C181" i="1"/>
  <c r="S181" i="1"/>
  <c r="T181" i="1"/>
  <c r="U181" i="1"/>
  <c r="BE181" i="1"/>
  <c r="CC181" i="1"/>
  <c r="CD181" i="1"/>
  <c r="A182" i="1"/>
  <c r="C182" i="1"/>
  <c r="S182" i="1"/>
  <c r="T182" i="1"/>
  <c r="U182" i="1"/>
  <c r="BE182" i="1"/>
  <c r="CC182" i="1"/>
  <c r="CD182" i="1"/>
  <c r="A183" i="1"/>
  <c r="C183" i="1"/>
  <c r="S183" i="1"/>
  <c r="T183" i="1"/>
  <c r="U183" i="1"/>
  <c r="BE183" i="1"/>
  <c r="CC183" i="1"/>
  <c r="CD183" i="1"/>
  <c r="A184" i="1"/>
  <c r="C184" i="1"/>
  <c r="S184" i="1"/>
  <c r="T184" i="1"/>
  <c r="U184" i="1"/>
  <c r="BE184" i="1"/>
  <c r="CC184" i="1"/>
  <c r="CD184" i="1"/>
  <c r="A185" i="1"/>
  <c r="C185" i="1"/>
  <c r="S185" i="1"/>
  <c r="T185" i="1"/>
  <c r="U185" i="1"/>
  <c r="BE185" i="1"/>
  <c r="CC185" i="1"/>
  <c r="CD185" i="1"/>
  <c r="A186" i="1"/>
  <c r="C186" i="1"/>
  <c r="S186" i="1"/>
  <c r="T186" i="1"/>
  <c r="U186" i="1"/>
  <c r="BE186" i="1"/>
  <c r="CC186" i="1"/>
  <c r="CD186" i="1"/>
  <c r="A187" i="1"/>
  <c r="C187" i="1"/>
  <c r="S187" i="1"/>
  <c r="T187" i="1"/>
  <c r="U187" i="1"/>
  <c r="BE187" i="1"/>
  <c r="CC187" i="1"/>
  <c r="CD187" i="1"/>
  <c r="A188" i="1"/>
  <c r="C188" i="1"/>
  <c r="S188" i="1"/>
  <c r="T188" i="1"/>
  <c r="U188" i="1"/>
  <c r="BE188" i="1"/>
  <c r="CC188" i="1"/>
  <c r="CD188" i="1"/>
  <c r="A189" i="1"/>
  <c r="C189" i="1"/>
  <c r="S189" i="1"/>
  <c r="T189" i="1"/>
  <c r="U189" i="1"/>
  <c r="BE189" i="1"/>
  <c r="CC189" i="1"/>
  <c r="CD189" i="1"/>
  <c r="A190" i="1"/>
  <c r="C190" i="1"/>
  <c r="S190" i="1"/>
  <c r="T190" i="1"/>
  <c r="U190" i="1"/>
  <c r="BE190" i="1"/>
  <c r="CC190" i="1"/>
  <c r="CD190" i="1"/>
  <c r="A191" i="1"/>
  <c r="C191" i="1"/>
  <c r="S191" i="1"/>
  <c r="T191" i="1"/>
  <c r="U191" i="1"/>
  <c r="BE191" i="1"/>
  <c r="CC191" i="1"/>
  <c r="CD191" i="1"/>
  <c r="A192" i="1"/>
  <c r="C192" i="1"/>
  <c r="S192" i="1"/>
  <c r="T192" i="1"/>
  <c r="U192" i="1"/>
  <c r="BE192" i="1"/>
  <c r="CC192" i="1"/>
  <c r="CD192" i="1"/>
  <c r="A193" i="1"/>
  <c r="C193" i="1"/>
  <c r="S193" i="1"/>
  <c r="T193" i="1"/>
  <c r="U193" i="1"/>
  <c r="BE193" i="1"/>
  <c r="CC193" i="1"/>
  <c r="CD193" i="1"/>
  <c r="A194" i="1"/>
  <c r="C194" i="1"/>
  <c r="S194" i="1"/>
  <c r="T194" i="1"/>
  <c r="U194" i="1"/>
  <c r="BE194" i="1"/>
  <c r="CC194" i="1"/>
  <c r="CD194" i="1"/>
  <c r="A195" i="1"/>
  <c r="C195" i="1"/>
  <c r="S195" i="1"/>
  <c r="T195" i="1"/>
  <c r="U195" i="1"/>
  <c r="BE195" i="1"/>
  <c r="CC195" i="1"/>
  <c r="CD195" i="1"/>
  <c r="A196" i="1"/>
  <c r="C196" i="1"/>
  <c r="S196" i="1"/>
  <c r="T196" i="1"/>
  <c r="U196" i="1"/>
  <c r="BE196" i="1"/>
  <c r="CC196" i="1"/>
  <c r="CD196" i="1"/>
  <c r="A197" i="1"/>
  <c r="C197" i="1"/>
  <c r="S197" i="1"/>
  <c r="T197" i="1"/>
  <c r="U197" i="1"/>
  <c r="BE197" i="1"/>
  <c r="CC197" i="1"/>
  <c r="CD197" i="1"/>
  <c r="A198" i="1"/>
  <c r="C198" i="1"/>
  <c r="S198" i="1"/>
  <c r="T198" i="1"/>
  <c r="U198" i="1"/>
  <c r="BE198" i="1"/>
  <c r="CC198" i="1"/>
  <c r="CD198" i="1"/>
  <c r="A199" i="1"/>
  <c r="C199" i="1"/>
  <c r="S199" i="1"/>
  <c r="T199" i="1"/>
  <c r="U199" i="1"/>
  <c r="BE199" i="1"/>
  <c r="CC199" i="1"/>
  <c r="CD199" i="1"/>
  <c r="A200" i="1"/>
  <c r="C200" i="1"/>
  <c r="S200" i="1"/>
  <c r="T200" i="1"/>
  <c r="U200" i="1"/>
  <c r="BE200" i="1"/>
  <c r="CC200" i="1"/>
  <c r="CD200" i="1"/>
  <c r="A201" i="1"/>
  <c r="C201" i="1"/>
  <c r="S201" i="1"/>
  <c r="T201" i="1"/>
  <c r="U201" i="1"/>
  <c r="BE201" i="1"/>
  <c r="CC201" i="1"/>
  <c r="CD201" i="1"/>
  <c r="A202" i="1"/>
  <c r="C202" i="1"/>
  <c r="S202" i="1"/>
  <c r="T202" i="1"/>
  <c r="U202" i="1"/>
  <c r="BE202" i="1"/>
  <c r="CC202" i="1"/>
  <c r="CD202" i="1"/>
  <c r="A203" i="1"/>
  <c r="C203" i="1"/>
  <c r="S203" i="1"/>
  <c r="T203" i="1"/>
  <c r="U203" i="1"/>
  <c r="BE203" i="1"/>
  <c r="CC203" i="1"/>
  <c r="CD203" i="1"/>
  <c r="A204" i="1"/>
  <c r="C204" i="1"/>
  <c r="S204" i="1"/>
  <c r="T204" i="1"/>
  <c r="U204" i="1"/>
  <c r="BE204" i="1"/>
  <c r="CC204" i="1"/>
  <c r="CD204" i="1"/>
  <c r="A205" i="1"/>
  <c r="C205" i="1"/>
  <c r="S205" i="1"/>
  <c r="T205" i="1"/>
  <c r="U205" i="1"/>
  <c r="BE205" i="1"/>
  <c r="CC205" i="1"/>
  <c r="CD205" i="1"/>
  <c r="A206" i="1"/>
  <c r="C206" i="1"/>
  <c r="S206" i="1"/>
  <c r="T206" i="1"/>
  <c r="U206" i="1"/>
  <c r="BE206" i="1"/>
  <c r="CC206" i="1"/>
  <c r="CD206" i="1"/>
  <c r="A207" i="1"/>
  <c r="C207" i="1"/>
  <c r="S207" i="1"/>
  <c r="T207" i="1"/>
  <c r="U207" i="1"/>
  <c r="BE207" i="1"/>
  <c r="CC207" i="1"/>
  <c r="CD207" i="1"/>
  <c r="A208" i="1"/>
  <c r="C208" i="1"/>
  <c r="S208" i="1"/>
  <c r="T208" i="1"/>
  <c r="U208" i="1"/>
  <c r="BE208" i="1"/>
  <c r="CC208" i="1"/>
  <c r="CD208" i="1"/>
  <c r="A209" i="1"/>
  <c r="C209" i="1"/>
  <c r="S209" i="1"/>
  <c r="T209" i="1"/>
  <c r="U209" i="1"/>
  <c r="BE209" i="1"/>
  <c r="CC209" i="1"/>
  <c r="CD209" i="1"/>
  <c r="A210" i="1"/>
  <c r="C210" i="1"/>
  <c r="S210" i="1"/>
  <c r="T210" i="1"/>
  <c r="U210" i="1"/>
  <c r="BE210" i="1"/>
  <c r="CC210" i="1"/>
  <c r="CD210" i="1"/>
  <c r="A211" i="1"/>
  <c r="C211" i="1"/>
  <c r="S211" i="1"/>
  <c r="T211" i="1"/>
  <c r="U211" i="1"/>
  <c r="BE211" i="1"/>
  <c r="CC211" i="1"/>
  <c r="CD211" i="1"/>
  <c r="A212" i="1"/>
  <c r="C212" i="1"/>
  <c r="S212" i="1"/>
  <c r="T212" i="1"/>
  <c r="U212" i="1"/>
  <c r="BE212" i="1"/>
  <c r="CC212" i="1"/>
  <c r="CD212" i="1"/>
  <c r="A213" i="1"/>
  <c r="C213" i="1"/>
  <c r="S213" i="1"/>
  <c r="T213" i="1"/>
  <c r="U213" i="1"/>
  <c r="BE213" i="1"/>
  <c r="CC213" i="1"/>
  <c r="CD213" i="1"/>
  <c r="A214" i="1"/>
  <c r="C214" i="1"/>
  <c r="S214" i="1"/>
  <c r="T214" i="1"/>
  <c r="U214" i="1"/>
  <c r="BE214" i="1"/>
  <c r="CC214" i="1"/>
  <c r="CD214" i="1"/>
  <c r="A215" i="1"/>
  <c r="C215" i="1"/>
  <c r="S215" i="1"/>
  <c r="T215" i="1"/>
  <c r="U215" i="1"/>
  <c r="BE215" i="1"/>
  <c r="CC215" i="1"/>
  <c r="CD215" i="1"/>
  <c r="A216" i="1"/>
  <c r="C216" i="1"/>
  <c r="S216" i="1"/>
  <c r="T216" i="1"/>
  <c r="U216" i="1"/>
  <c r="BE216" i="1"/>
  <c r="CC216" i="1"/>
  <c r="CD216" i="1"/>
  <c r="A217" i="1"/>
  <c r="C217" i="1"/>
  <c r="S217" i="1"/>
  <c r="T217" i="1"/>
  <c r="U217" i="1"/>
  <c r="BE217" i="1"/>
  <c r="CC217" i="1"/>
  <c r="CD217" i="1"/>
  <c r="A218" i="1"/>
  <c r="C218" i="1"/>
  <c r="S218" i="1"/>
  <c r="T218" i="1"/>
  <c r="U218" i="1"/>
  <c r="BE218" i="1"/>
  <c r="CC218" i="1"/>
  <c r="CD218" i="1"/>
  <c r="A219" i="1"/>
  <c r="C219" i="1"/>
  <c r="S219" i="1"/>
  <c r="T219" i="1"/>
  <c r="U219" i="1"/>
  <c r="BE219" i="1"/>
  <c r="CC219" i="1"/>
  <c r="CD219" i="1"/>
  <c r="A220" i="1"/>
  <c r="C220" i="1"/>
  <c r="S220" i="1"/>
  <c r="T220" i="1"/>
  <c r="U220" i="1"/>
  <c r="BE220" i="1"/>
  <c r="CC220" i="1"/>
  <c r="CD220" i="1"/>
  <c r="A221" i="1"/>
  <c r="C221" i="1"/>
  <c r="S221" i="1"/>
  <c r="T221" i="1"/>
  <c r="U221" i="1"/>
  <c r="BE221" i="1"/>
  <c r="CC221" i="1"/>
  <c r="CD221" i="1"/>
  <c r="A222" i="1"/>
  <c r="C222" i="1"/>
  <c r="S222" i="1"/>
  <c r="T222" i="1"/>
  <c r="U222" i="1"/>
  <c r="BE222" i="1"/>
  <c r="CC222" i="1"/>
  <c r="CD222" i="1"/>
  <c r="A223" i="1"/>
  <c r="C223" i="1"/>
  <c r="S223" i="1"/>
  <c r="T223" i="1"/>
  <c r="U223" i="1"/>
  <c r="BE223" i="1"/>
  <c r="CC223" i="1"/>
  <c r="CD223" i="1"/>
  <c r="A224" i="1"/>
  <c r="C224" i="1"/>
  <c r="S224" i="1"/>
  <c r="T224" i="1"/>
  <c r="U224" i="1"/>
  <c r="BE224" i="1"/>
  <c r="CC224" i="1"/>
  <c r="CD224" i="1"/>
  <c r="A225" i="1"/>
  <c r="C225" i="1"/>
  <c r="S225" i="1"/>
  <c r="T225" i="1"/>
  <c r="U225" i="1"/>
  <c r="BE225" i="1"/>
  <c r="CC225" i="1"/>
  <c r="CD225" i="1"/>
  <c r="A226" i="1"/>
  <c r="C226" i="1"/>
  <c r="S226" i="1"/>
  <c r="T226" i="1"/>
  <c r="U226" i="1"/>
  <c r="BE226" i="1"/>
  <c r="CC226" i="1"/>
  <c r="CD226" i="1"/>
  <c r="A227" i="1"/>
  <c r="C227" i="1"/>
  <c r="S227" i="1"/>
  <c r="T227" i="1"/>
  <c r="U227" i="1"/>
  <c r="BE227" i="1"/>
  <c r="CC227" i="1"/>
  <c r="CD227" i="1"/>
  <c r="A228" i="1"/>
  <c r="C228" i="1"/>
  <c r="S228" i="1"/>
  <c r="T228" i="1"/>
  <c r="U228" i="1"/>
  <c r="BE228" i="1"/>
  <c r="CC228" i="1"/>
  <c r="CD228" i="1"/>
  <c r="A229" i="1"/>
  <c r="C229" i="1"/>
  <c r="S229" i="1"/>
  <c r="T229" i="1"/>
  <c r="U229" i="1"/>
  <c r="BE229" i="1"/>
  <c r="CC229" i="1"/>
  <c r="CD229" i="1"/>
  <c r="A230" i="1"/>
  <c r="C230" i="1"/>
  <c r="S230" i="1"/>
  <c r="T230" i="1"/>
  <c r="U230" i="1"/>
  <c r="BE230" i="1"/>
  <c r="CC230" i="1"/>
  <c r="CD230" i="1"/>
  <c r="A231" i="1"/>
  <c r="C231" i="1"/>
  <c r="S231" i="1"/>
  <c r="T231" i="1"/>
  <c r="U231" i="1"/>
  <c r="BE231" i="1"/>
  <c r="CC231" i="1"/>
  <c r="CD231" i="1"/>
  <c r="A232" i="1"/>
  <c r="C232" i="1"/>
  <c r="S232" i="1"/>
  <c r="T232" i="1"/>
  <c r="U232" i="1"/>
  <c r="BE232" i="1"/>
  <c r="CC232" i="1"/>
  <c r="CD232" i="1"/>
  <c r="A233" i="1"/>
  <c r="C233" i="1"/>
  <c r="S233" i="1"/>
  <c r="T233" i="1"/>
  <c r="U233" i="1"/>
  <c r="BE233" i="1"/>
  <c r="CC233" i="1"/>
  <c r="CD233" i="1"/>
  <c r="A234" i="1"/>
  <c r="C234" i="1"/>
  <c r="S234" i="1"/>
  <c r="T234" i="1"/>
  <c r="U234" i="1"/>
  <c r="BE234" i="1"/>
  <c r="CC234" i="1"/>
  <c r="CD234" i="1"/>
  <c r="A235" i="1"/>
  <c r="C235" i="1"/>
  <c r="S235" i="1"/>
  <c r="T235" i="1"/>
  <c r="U235" i="1"/>
  <c r="BE235" i="1"/>
  <c r="CC235" i="1"/>
  <c r="CD235" i="1"/>
  <c r="A236" i="1"/>
  <c r="C236" i="1"/>
  <c r="S236" i="1"/>
  <c r="T236" i="1"/>
  <c r="U236" i="1"/>
  <c r="BE236" i="1"/>
  <c r="CC236" i="1"/>
  <c r="CD236" i="1"/>
  <c r="A237" i="1"/>
  <c r="C237" i="1"/>
  <c r="S237" i="1"/>
  <c r="T237" i="1"/>
  <c r="U237" i="1"/>
  <c r="BE237" i="1"/>
  <c r="CC237" i="1"/>
  <c r="CD237" i="1"/>
  <c r="A238" i="1"/>
  <c r="C238" i="1"/>
  <c r="S238" i="1"/>
  <c r="T238" i="1"/>
  <c r="U238" i="1"/>
  <c r="BE238" i="1"/>
  <c r="CC238" i="1"/>
  <c r="CD238" i="1"/>
  <c r="A239" i="1"/>
  <c r="C239" i="1"/>
  <c r="S239" i="1"/>
  <c r="T239" i="1"/>
  <c r="U239" i="1"/>
  <c r="BE239" i="1"/>
  <c r="CC239" i="1"/>
  <c r="CD239" i="1"/>
  <c r="A240" i="1"/>
  <c r="C240" i="1"/>
  <c r="S240" i="1"/>
  <c r="T240" i="1"/>
  <c r="U240" i="1"/>
  <c r="BE240" i="1"/>
  <c r="CC240" i="1"/>
  <c r="CD240" i="1"/>
  <c r="A241" i="1"/>
  <c r="C241" i="1"/>
  <c r="S241" i="1"/>
  <c r="T241" i="1"/>
  <c r="U241" i="1"/>
  <c r="BE241" i="1"/>
  <c r="CC241" i="1"/>
  <c r="CD241" i="1"/>
  <c r="A242" i="1"/>
  <c r="C242" i="1"/>
  <c r="S242" i="1"/>
  <c r="T242" i="1"/>
  <c r="U242" i="1"/>
  <c r="BE242" i="1"/>
  <c r="CC242" i="1"/>
  <c r="CD242" i="1"/>
  <c r="A243" i="1"/>
  <c r="C243" i="1"/>
  <c r="S243" i="1"/>
  <c r="T243" i="1"/>
  <c r="U243" i="1"/>
  <c r="BE243" i="1"/>
  <c r="CC243" i="1"/>
  <c r="CD243" i="1"/>
  <c r="A244" i="1"/>
  <c r="C244" i="1"/>
  <c r="S244" i="1"/>
  <c r="T244" i="1"/>
  <c r="U244" i="1"/>
  <c r="BE244" i="1"/>
  <c r="CC244" i="1"/>
  <c r="CD244" i="1"/>
  <c r="A245" i="1"/>
  <c r="C245" i="1"/>
  <c r="S245" i="1"/>
  <c r="T245" i="1"/>
  <c r="U245" i="1"/>
  <c r="BE245" i="1"/>
  <c r="CC245" i="1"/>
  <c r="CD245" i="1"/>
  <c r="A246" i="1"/>
  <c r="C246" i="1"/>
  <c r="S246" i="1"/>
  <c r="T246" i="1"/>
  <c r="U246" i="1"/>
  <c r="BE246" i="1"/>
  <c r="CC246" i="1"/>
  <c r="CD246" i="1"/>
  <c r="A247" i="1"/>
  <c r="C247" i="1"/>
  <c r="S247" i="1"/>
  <c r="T247" i="1"/>
  <c r="U247" i="1"/>
  <c r="BE247" i="1"/>
  <c r="CC247" i="1"/>
  <c r="CD247" i="1"/>
  <c r="A248" i="1"/>
  <c r="C248" i="1"/>
  <c r="S248" i="1"/>
  <c r="T248" i="1"/>
  <c r="U248" i="1"/>
  <c r="BE248" i="1"/>
  <c r="CC248" i="1"/>
  <c r="CD248" i="1"/>
  <c r="A249" i="1"/>
  <c r="C249" i="1"/>
  <c r="S249" i="1"/>
  <c r="T249" i="1"/>
  <c r="U249" i="1"/>
  <c r="BE249" i="1"/>
  <c r="CC249" i="1"/>
  <c r="CD249" i="1"/>
  <c r="A250" i="1"/>
  <c r="C250" i="1"/>
  <c r="S250" i="1"/>
  <c r="T250" i="1"/>
  <c r="U250" i="1"/>
  <c r="BE250" i="1"/>
  <c r="CC250" i="1"/>
  <c r="CD250" i="1"/>
  <c r="A251" i="1"/>
  <c r="C251" i="1"/>
  <c r="S251" i="1"/>
  <c r="T251" i="1"/>
  <c r="U251" i="1"/>
  <c r="BE251" i="1"/>
  <c r="CC251" i="1"/>
  <c r="CD251" i="1"/>
  <c r="A252" i="1"/>
  <c r="C252" i="1"/>
  <c r="S252" i="1"/>
  <c r="T252" i="1"/>
  <c r="U252" i="1"/>
  <c r="BE252" i="1"/>
  <c r="CC252" i="1"/>
  <c r="CD252" i="1"/>
  <c r="A253" i="1"/>
  <c r="C253" i="1"/>
  <c r="S253" i="1"/>
  <c r="T253" i="1"/>
  <c r="U253" i="1"/>
  <c r="BE253" i="1"/>
  <c r="CC253" i="1"/>
  <c r="CD253" i="1"/>
  <c r="A254" i="1"/>
  <c r="C254" i="1"/>
  <c r="S254" i="1"/>
  <c r="T254" i="1"/>
  <c r="U254" i="1"/>
  <c r="BE254" i="1"/>
  <c r="CC254" i="1"/>
  <c r="CD254" i="1"/>
  <c r="A255" i="1"/>
  <c r="C255" i="1"/>
  <c r="S255" i="1"/>
  <c r="T255" i="1"/>
  <c r="U255" i="1"/>
  <c r="BE255" i="1"/>
  <c r="CC255" i="1"/>
  <c r="CD255" i="1"/>
  <c r="A256" i="1"/>
  <c r="C256" i="1"/>
  <c r="S256" i="1"/>
  <c r="T256" i="1"/>
  <c r="U256" i="1"/>
  <c r="BE256" i="1"/>
  <c r="CC256" i="1"/>
  <c r="CD256" i="1"/>
  <c r="A257" i="1"/>
  <c r="C257" i="1"/>
  <c r="S257" i="1"/>
  <c r="T257" i="1"/>
  <c r="U257" i="1"/>
  <c r="BE257" i="1"/>
  <c r="CC257" i="1"/>
  <c r="CD257" i="1"/>
  <c r="A258" i="1"/>
  <c r="C258" i="1"/>
  <c r="S258" i="1"/>
  <c r="T258" i="1"/>
  <c r="U258" i="1"/>
  <c r="BE258" i="1"/>
  <c r="CC258" i="1"/>
  <c r="CD258" i="1"/>
  <c r="A259" i="1"/>
  <c r="C259" i="1"/>
  <c r="S259" i="1"/>
  <c r="T259" i="1"/>
  <c r="U259" i="1"/>
  <c r="BE259" i="1"/>
  <c r="CC259" i="1"/>
  <c r="CD259" i="1"/>
  <c r="A260" i="1"/>
  <c r="C260" i="1"/>
  <c r="S260" i="1"/>
  <c r="T260" i="1"/>
  <c r="U260" i="1"/>
  <c r="BE260" i="1"/>
  <c r="CC260" i="1"/>
  <c r="CD260" i="1"/>
  <c r="A261" i="1"/>
  <c r="C261" i="1"/>
  <c r="S261" i="1"/>
  <c r="T261" i="1"/>
  <c r="U261" i="1"/>
  <c r="BE261" i="1"/>
  <c r="CC261" i="1"/>
  <c r="CD261" i="1"/>
  <c r="A262" i="1"/>
  <c r="C262" i="1"/>
  <c r="S262" i="1"/>
  <c r="T262" i="1"/>
  <c r="U262" i="1"/>
  <c r="BE262" i="1"/>
  <c r="CC262" i="1"/>
  <c r="CD262" i="1"/>
  <c r="A263" i="1"/>
  <c r="C263" i="1"/>
  <c r="S263" i="1"/>
  <c r="T263" i="1"/>
  <c r="U263" i="1"/>
  <c r="BE263" i="1"/>
  <c r="CC263" i="1"/>
  <c r="CD263" i="1"/>
  <c r="A264" i="1"/>
  <c r="C264" i="1"/>
  <c r="S264" i="1"/>
  <c r="T264" i="1"/>
  <c r="U264" i="1"/>
  <c r="BE264" i="1"/>
  <c r="CC264" i="1"/>
  <c r="CD264" i="1"/>
  <c r="A265" i="1"/>
  <c r="C265" i="1"/>
  <c r="S265" i="1"/>
  <c r="T265" i="1"/>
  <c r="U265" i="1"/>
  <c r="BE265" i="1"/>
  <c r="CC265" i="1"/>
  <c r="CD265" i="1"/>
  <c r="A266" i="1"/>
  <c r="C266" i="1"/>
  <c r="S266" i="1"/>
  <c r="T266" i="1"/>
  <c r="U266" i="1"/>
  <c r="BE266" i="1"/>
  <c r="CC266" i="1"/>
  <c r="CD266" i="1"/>
  <c r="A267" i="1"/>
  <c r="C267" i="1"/>
  <c r="S267" i="1"/>
  <c r="T267" i="1"/>
  <c r="U267" i="1"/>
  <c r="BE267" i="1"/>
  <c r="CC267" i="1"/>
  <c r="CD267" i="1"/>
  <c r="A268" i="1"/>
  <c r="C268" i="1"/>
  <c r="S268" i="1"/>
  <c r="T268" i="1"/>
  <c r="U268" i="1"/>
  <c r="BE268" i="1"/>
  <c r="CC268" i="1"/>
  <c r="CD268" i="1"/>
  <c r="A269" i="1"/>
  <c r="C269" i="1"/>
  <c r="S269" i="1"/>
  <c r="T269" i="1"/>
  <c r="U269" i="1"/>
  <c r="BE269" i="1"/>
  <c r="CC269" i="1"/>
  <c r="CD269" i="1"/>
  <c r="A270" i="1"/>
  <c r="C270" i="1"/>
  <c r="S270" i="1"/>
  <c r="T270" i="1"/>
  <c r="U270" i="1"/>
  <c r="BE270" i="1"/>
  <c r="CC270" i="1"/>
  <c r="CD270" i="1"/>
  <c r="A271" i="1"/>
  <c r="C271" i="1"/>
  <c r="S271" i="1"/>
  <c r="T271" i="1"/>
  <c r="U271" i="1"/>
  <c r="BE271" i="1"/>
  <c r="CC271" i="1"/>
  <c r="CD271" i="1"/>
  <c r="A272" i="1"/>
  <c r="C272" i="1"/>
  <c r="S272" i="1"/>
  <c r="T272" i="1"/>
  <c r="U272" i="1"/>
  <c r="BE272" i="1"/>
  <c r="CC272" i="1"/>
  <c r="CD272" i="1"/>
  <c r="A273" i="1"/>
  <c r="C273" i="1"/>
  <c r="S273" i="1"/>
  <c r="T273" i="1"/>
  <c r="U273" i="1"/>
  <c r="BE273" i="1"/>
  <c r="CC273" i="1"/>
  <c r="CD273" i="1"/>
  <c r="A274" i="1"/>
  <c r="C274" i="1"/>
  <c r="S274" i="1"/>
  <c r="T274" i="1"/>
  <c r="U274" i="1"/>
  <c r="BE274" i="1"/>
  <c r="CC274" i="1"/>
  <c r="CD274" i="1"/>
  <c r="A275" i="1"/>
  <c r="C275" i="1"/>
  <c r="S275" i="1"/>
  <c r="T275" i="1"/>
  <c r="U275" i="1"/>
  <c r="BE275" i="1"/>
  <c r="CC275" i="1"/>
  <c r="CD275" i="1"/>
  <c r="A276" i="1"/>
  <c r="C276" i="1"/>
  <c r="S276" i="1"/>
  <c r="T276" i="1"/>
  <c r="U276" i="1"/>
  <c r="BE276" i="1"/>
  <c r="CC276" i="1"/>
  <c r="CD276" i="1"/>
  <c r="A277" i="1"/>
  <c r="C277" i="1"/>
  <c r="S277" i="1"/>
  <c r="T277" i="1"/>
  <c r="U277" i="1"/>
  <c r="BE277" i="1"/>
  <c r="CC277" i="1"/>
  <c r="CD277" i="1"/>
  <c r="A278" i="1"/>
  <c r="C278" i="1"/>
  <c r="S278" i="1"/>
  <c r="T278" i="1"/>
  <c r="U278" i="1"/>
  <c r="BE278" i="1"/>
  <c r="CC278" i="1"/>
  <c r="CD278" i="1"/>
  <c r="A279" i="1"/>
  <c r="C279" i="1"/>
  <c r="S279" i="1"/>
  <c r="T279" i="1"/>
  <c r="U279" i="1"/>
  <c r="BE279" i="1"/>
  <c r="CC279" i="1"/>
  <c r="CD279" i="1"/>
  <c r="A280" i="1"/>
  <c r="C280" i="1"/>
  <c r="S280" i="1"/>
  <c r="T280" i="1"/>
  <c r="U280" i="1"/>
  <c r="BE280" i="1"/>
  <c r="CC280" i="1"/>
  <c r="CD280" i="1"/>
  <c r="A281" i="1"/>
  <c r="C281" i="1"/>
  <c r="S281" i="1"/>
  <c r="T281" i="1"/>
  <c r="U281" i="1"/>
  <c r="BE281" i="1"/>
  <c r="CC281" i="1"/>
  <c r="CD281" i="1"/>
  <c r="A282" i="1"/>
  <c r="C282" i="1"/>
  <c r="S282" i="1"/>
  <c r="T282" i="1"/>
  <c r="U282" i="1"/>
  <c r="BE282" i="1"/>
  <c r="CC282" i="1"/>
  <c r="CD282" i="1"/>
  <c r="A283" i="1"/>
  <c r="C283" i="1"/>
  <c r="S283" i="1"/>
  <c r="T283" i="1"/>
  <c r="U283" i="1"/>
  <c r="BE283" i="1"/>
  <c r="CC283" i="1"/>
  <c r="CD283" i="1"/>
  <c r="A284" i="1"/>
  <c r="C284" i="1"/>
  <c r="S284" i="1"/>
  <c r="T284" i="1"/>
  <c r="U284" i="1"/>
  <c r="BE284" i="1"/>
  <c r="CC284" i="1"/>
  <c r="CD284" i="1"/>
  <c r="A285" i="1"/>
  <c r="C285" i="1"/>
  <c r="S285" i="1"/>
  <c r="T285" i="1"/>
  <c r="U285" i="1"/>
  <c r="BE285" i="1"/>
  <c r="CC285" i="1"/>
  <c r="CD285" i="1"/>
  <c r="A286" i="1"/>
  <c r="C286" i="1"/>
  <c r="S286" i="1"/>
  <c r="T286" i="1"/>
  <c r="U286" i="1"/>
  <c r="BE286" i="1"/>
  <c r="CC286" i="1"/>
  <c r="CD286" i="1"/>
  <c r="A287" i="1"/>
  <c r="C287" i="1"/>
  <c r="S287" i="1"/>
  <c r="T287" i="1"/>
  <c r="U287" i="1"/>
  <c r="BE287" i="1"/>
  <c r="CC287" i="1"/>
  <c r="CD287" i="1"/>
  <c r="A288" i="1"/>
  <c r="C288" i="1"/>
  <c r="S288" i="1"/>
  <c r="T288" i="1"/>
  <c r="U288" i="1"/>
  <c r="BE288" i="1"/>
  <c r="CC288" i="1"/>
  <c r="CD288" i="1"/>
  <c r="A289" i="1"/>
  <c r="C289" i="1"/>
  <c r="S289" i="1"/>
  <c r="T289" i="1"/>
  <c r="U289" i="1"/>
  <c r="BE289" i="1"/>
  <c r="CC289" i="1"/>
  <c r="CD289" i="1"/>
  <c r="A290" i="1"/>
  <c r="C290" i="1"/>
  <c r="S290" i="1"/>
  <c r="T290" i="1"/>
  <c r="U290" i="1"/>
  <c r="BE290" i="1"/>
  <c r="CC290" i="1"/>
  <c r="CD290" i="1"/>
  <c r="A291" i="1"/>
  <c r="C291" i="1"/>
  <c r="S291" i="1"/>
  <c r="T291" i="1"/>
  <c r="U291" i="1"/>
  <c r="BE291" i="1"/>
  <c r="CC291" i="1"/>
  <c r="CD291" i="1"/>
  <c r="A292" i="1"/>
  <c r="C292" i="1"/>
  <c r="S292" i="1"/>
  <c r="T292" i="1"/>
  <c r="U292" i="1"/>
  <c r="BE292" i="1"/>
  <c r="CC292" i="1"/>
  <c r="CD292" i="1"/>
  <c r="A293" i="1"/>
  <c r="C293" i="1"/>
  <c r="S293" i="1"/>
  <c r="T293" i="1"/>
  <c r="U293" i="1"/>
  <c r="BE293" i="1"/>
  <c r="CC293" i="1"/>
  <c r="CD293" i="1"/>
  <c r="A294" i="1"/>
  <c r="C294" i="1"/>
  <c r="S294" i="1"/>
  <c r="T294" i="1"/>
  <c r="U294" i="1"/>
  <c r="BE294" i="1"/>
  <c r="CC294" i="1"/>
  <c r="CD294" i="1"/>
  <c r="A295" i="1"/>
  <c r="C295" i="1"/>
  <c r="S295" i="1"/>
  <c r="T295" i="1"/>
  <c r="U295" i="1"/>
  <c r="BE295" i="1"/>
  <c r="CC295" i="1"/>
  <c r="CD295" i="1"/>
  <c r="A296" i="1"/>
  <c r="C296" i="1"/>
  <c r="S296" i="1"/>
  <c r="T296" i="1"/>
  <c r="U296" i="1"/>
  <c r="BE296" i="1"/>
  <c r="CC296" i="1"/>
  <c r="CD296" i="1"/>
  <c r="A297" i="1"/>
  <c r="C297" i="1"/>
  <c r="S297" i="1"/>
  <c r="T297" i="1"/>
  <c r="U297" i="1"/>
  <c r="BE297" i="1"/>
  <c r="CC297" i="1"/>
  <c r="CD297" i="1"/>
  <c r="A298" i="1"/>
  <c r="C298" i="1"/>
  <c r="S298" i="1"/>
  <c r="T298" i="1"/>
  <c r="U298" i="1"/>
  <c r="BE298" i="1"/>
  <c r="CC298" i="1"/>
  <c r="CD298" i="1"/>
  <c r="A299" i="1"/>
  <c r="C299" i="1"/>
  <c r="S299" i="1"/>
  <c r="T299" i="1"/>
  <c r="U299" i="1"/>
  <c r="BE299" i="1"/>
  <c r="CC299" i="1"/>
  <c r="CD299" i="1"/>
  <c r="A300" i="1"/>
  <c r="C300" i="1"/>
  <c r="S300" i="1"/>
  <c r="T300" i="1"/>
  <c r="U300" i="1"/>
  <c r="BE300" i="1"/>
  <c r="CC300" i="1"/>
  <c r="CD300" i="1"/>
  <c r="A301" i="1"/>
  <c r="C301" i="1"/>
  <c r="S301" i="1"/>
  <c r="T301" i="1"/>
  <c r="U301" i="1"/>
  <c r="BE301" i="1"/>
  <c r="CC301" i="1"/>
  <c r="CD301" i="1"/>
  <c r="A302" i="1"/>
  <c r="C302" i="1"/>
  <c r="S302" i="1"/>
  <c r="T302" i="1"/>
  <c r="U302" i="1"/>
  <c r="BE302" i="1"/>
  <c r="CC302" i="1"/>
  <c r="CD302" i="1"/>
  <c r="A303" i="1"/>
  <c r="C303" i="1"/>
  <c r="S303" i="1"/>
  <c r="T303" i="1"/>
  <c r="U303" i="1"/>
  <c r="BE303" i="1"/>
  <c r="CC303" i="1"/>
  <c r="CD303" i="1"/>
  <c r="A304" i="1"/>
  <c r="C304" i="1"/>
  <c r="S304" i="1"/>
  <c r="T304" i="1"/>
  <c r="U304" i="1"/>
  <c r="BE304" i="1"/>
  <c r="CC304" i="1"/>
  <c r="CD304" i="1"/>
  <c r="A305" i="1"/>
  <c r="C305" i="1"/>
  <c r="S305" i="1"/>
  <c r="T305" i="1"/>
  <c r="U305" i="1"/>
  <c r="BE305" i="1"/>
  <c r="CC305" i="1"/>
  <c r="CD305" i="1"/>
  <c r="A306" i="1"/>
  <c r="C306" i="1"/>
  <c r="S306" i="1"/>
  <c r="T306" i="1"/>
  <c r="U306" i="1"/>
  <c r="BE306" i="1"/>
  <c r="CC306" i="1"/>
  <c r="CD306" i="1"/>
  <c r="A307" i="1"/>
  <c r="C307" i="1"/>
  <c r="S307" i="1"/>
  <c r="T307" i="1"/>
  <c r="U307" i="1"/>
  <c r="BE307" i="1"/>
  <c r="CC307" i="1"/>
  <c r="CD307" i="1"/>
  <c r="A308" i="1"/>
  <c r="C308" i="1"/>
  <c r="S308" i="1"/>
  <c r="T308" i="1"/>
  <c r="U308" i="1"/>
  <c r="BE308" i="1"/>
  <c r="CC308" i="1"/>
  <c r="CD308" i="1"/>
  <c r="A309" i="1"/>
  <c r="C309" i="1"/>
  <c r="S309" i="1"/>
  <c r="T309" i="1"/>
  <c r="U309" i="1"/>
  <c r="BE309" i="1"/>
  <c r="CC309" i="1"/>
  <c r="CD309" i="1"/>
  <c r="A310" i="1"/>
  <c r="C310" i="1"/>
  <c r="S310" i="1"/>
  <c r="T310" i="1"/>
  <c r="U310" i="1"/>
  <c r="BE310" i="1"/>
  <c r="CC310" i="1"/>
  <c r="CD310" i="1"/>
  <c r="A311" i="1"/>
  <c r="C311" i="1"/>
  <c r="S311" i="1"/>
  <c r="T311" i="1"/>
  <c r="U311" i="1"/>
  <c r="BE311" i="1"/>
  <c r="CC311" i="1"/>
  <c r="CD311" i="1"/>
  <c r="A312" i="1"/>
  <c r="C312" i="1"/>
  <c r="S312" i="1"/>
  <c r="T312" i="1"/>
  <c r="U312" i="1"/>
  <c r="BE312" i="1"/>
  <c r="CC312" i="1"/>
  <c r="CD312" i="1"/>
  <c r="A313" i="1"/>
  <c r="C313" i="1"/>
  <c r="S313" i="1"/>
  <c r="T313" i="1"/>
  <c r="U313" i="1"/>
  <c r="BE313" i="1"/>
  <c r="CC313" i="1"/>
  <c r="CD313" i="1"/>
  <c r="A314" i="1"/>
  <c r="C314" i="1"/>
  <c r="S314" i="1"/>
  <c r="T314" i="1"/>
  <c r="U314" i="1"/>
  <c r="BE314" i="1"/>
  <c r="CC314" i="1"/>
  <c r="CD314" i="1"/>
  <c r="A315" i="1"/>
  <c r="C315" i="1"/>
  <c r="S315" i="1"/>
  <c r="T315" i="1"/>
  <c r="U315" i="1"/>
  <c r="BE315" i="1"/>
  <c r="CC315" i="1"/>
  <c r="CD315" i="1"/>
  <c r="A316" i="1"/>
  <c r="C316" i="1"/>
  <c r="S316" i="1"/>
  <c r="T316" i="1"/>
  <c r="U316" i="1"/>
  <c r="BE316" i="1"/>
  <c r="CC316" i="1"/>
  <c r="CD316" i="1"/>
  <c r="A317" i="1"/>
  <c r="C317" i="1"/>
  <c r="S317" i="1"/>
  <c r="T317" i="1"/>
  <c r="U317" i="1"/>
  <c r="BE317" i="1"/>
  <c r="CC317" i="1"/>
  <c r="CD317" i="1"/>
  <c r="A318" i="1"/>
  <c r="C318" i="1"/>
  <c r="S318" i="1"/>
  <c r="T318" i="1"/>
  <c r="U318" i="1"/>
  <c r="BE318" i="1"/>
  <c r="CC318" i="1"/>
  <c r="CD318" i="1"/>
  <c r="A319" i="1"/>
  <c r="C319" i="1"/>
  <c r="S319" i="1"/>
  <c r="T319" i="1"/>
  <c r="U319" i="1"/>
  <c r="BE319" i="1"/>
  <c r="CC319" i="1"/>
  <c r="CD319" i="1"/>
  <c r="A320" i="1"/>
  <c r="C320" i="1"/>
  <c r="S320" i="1"/>
  <c r="T320" i="1"/>
  <c r="U320" i="1"/>
  <c r="BE320" i="1"/>
  <c r="CC320" i="1"/>
  <c r="CD320" i="1"/>
  <c r="A321" i="1"/>
  <c r="C321" i="1"/>
  <c r="S321" i="1"/>
  <c r="T321" i="1"/>
  <c r="U321" i="1"/>
  <c r="BE321" i="1"/>
  <c r="CC321" i="1"/>
  <c r="CD321" i="1"/>
  <c r="A322" i="1"/>
  <c r="C322" i="1"/>
  <c r="S322" i="1"/>
  <c r="T322" i="1"/>
  <c r="U322" i="1"/>
  <c r="BE322" i="1"/>
  <c r="CC322" i="1"/>
  <c r="CD322" i="1"/>
  <c r="A323" i="1"/>
  <c r="C323" i="1"/>
  <c r="S323" i="1"/>
  <c r="T323" i="1"/>
  <c r="U323" i="1"/>
  <c r="BE323" i="1"/>
  <c r="CC323" i="1"/>
  <c r="CD323" i="1"/>
  <c r="A324" i="1"/>
  <c r="C324" i="1"/>
  <c r="S324" i="1"/>
  <c r="T324" i="1"/>
  <c r="U324" i="1"/>
  <c r="BE324" i="1"/>
  <c r="CC324" i="1"/>
  <c r="CD324" i="1"/>
  <c r="A325" i="1"/>
  <c r="C325" i="1"/>
  <c r="S325" i="1"/>
  <c r="T325" i="1"/>
  <c r="U325" i="1"/>
  <c r="BE325" i="1"/>
  <c r="CC325" i="1"/>
  <c r="CD325" i="1"/>
  <c r="A326" i="1"/>
  <c r="C326" i="1"/>
  <c r="S326" i="1"/>
  <c r="T326" i="1"/>
  <c r="U326" i="1"/>
  <c r="BE326" i="1"/>
  <c r="CC326" i="1"/>
  <c r="CD326" i="1"/>
  <c r="A327" i="1"/>
  <c r="C327" i="1"/>
  <c r="S327" i="1"/>
  <c r="T327" i="1"/>
  <c r="U327" i="1"/>
  <c r="BE327" i="1"/>
  <c r="CC327" i="1"/>
  <c r="CD327" i="1"/>
  <c r="A328" i="1"/>
  <c r="C328" i="1"/>
  <c r="S328" i="1"/>
  <c r="T328" i="1"/>
  <c r="U328" i="1"/>
  <c r="BE328" i="1"/>
  <c r="CC328" i="1"/>
  <c r="CD328" i="1"/>
  <c r="A329" i="1"/>
  <c r="C329" i="1"/>
  <c r="S329" i="1"/>
  <c r="T329" i="1"/>
  <c r="U329" i="1"/>
  <c r="BE329" i="1"/>
  <c r="CC329" i="1"/>
  <c r="CD329" i="1"/>
  <c r="A330" i="1"/>
  <c r="C330" i="1"/>
  <c r="S330" i="1"/>
  <c r="T330" i="1"/>
  <c r="U330" i="1"/>
  <c r="BE330" i="1"/>
  <c r="CC330" i="1"/>
  <c r="CD330" i="1"/>
  <c r="A331" i="1"/>
  <c r="C331" i="1"/>
  <c r="S331" i="1"/>
  <c r="T331" i="1"/>
  <c r="U331" i="1"/>
  <c r="BE331" i="1"/>
  <c r="CC331" i="1"/>
  <c r="CD331" i="1"/>
  <c r="A332" i="1"/>
  <c r="C332" i="1"/>
  <c r="S332" i="1"/>
  <c r="T332" i="1"/>
  <c r="U332" i="1"/>
  <c r="BE332" i="1"/>
  <c r="CC332" i="1"/>
  <c r="CD332" i="1"/>
  <c r="A333" i="1"/>
  <c r="C333" i="1"/>
  <c r="S333" i="1"/>
  <c r="T333" i="1"/>
  <c r="U333" i="1"/>
  <c r="BE333" i="1"/>
  <c r="CC333" i="1"/>
  <c r="CD333" i="1"/>
  <c r="A334" i="1"/>
  <c r="C334" i="1"/>
  <c r="S334" i="1"/>
  <c r="T334" i="1"/>
  <c r="U334" i="1"/>
  <c r="BE334" i="1"/>
  <c r="CC334" i="1"/>
  <c r="CD334" i="1"/>
  <c r="A335" i="1"/>
  <c r="C335" i="1"/>
  <c r="S335" i="1"/>
  <c r="T335" i="1"/>
  <c r="U335" i="1"/>
  <c r="BE335" i="1"/>
  <c r="CC335" i="1"/>
  <c r="CD335" i="1"/>
  <c r="A336" i="1"/>
  <c r="C336" i="1"/>
  <c r="S336" i="1"/>
  <c r="T336" i="1"/>
  <c r="U336" i="1"/>
  <c r="BE336" i="1"/>
  <c r="CC336" i="1"/>
  <c r="CD336" i="1"/>
  <c r="A337" i="1"/>
  <c r="C337" i="1"/>
  <c r="S337" i="1"/>
  <c r="T337" i="1"/>
  <c r="U337" i="1"/>
  <c r="BE337" i="1"/>
  <c r="CC337" i="1"/>
  <c r="CD337" i="1"/>
  <c r="A338" i="1"/>
  <c r="C338" i="1"/>
  <c r="S338" i="1"/>
  <c r="T338" i="1"/>
  <c r="U338" i="1"/>
  <c r="BE338" i="1"/>
  <c r="CC338" i="1"/>
  <c r="CD338" i="1"/>
  <c r="A339" i="1"/>
  <c r="C339" i="1"/>
  <c r="S339" i="1"/>
  <c r="T339" i="1"/>
  <c r="U339" i="1"/>
  <c r="BE339" i="1"/>
  <c r="CC339" i="1"/>
  <c r="CD339" i="1"/>
  <c r="A340" i="1"/>
  <c r="C340" i="1"/>
  <c r="S340" i="1"/>
  <c r="T340" i="1"/>
  <c r="U340" i="1"/>
  <c r="BE340" i="1"/>
  <c r="CC340" i="1"/>
  <c r="CD340" i="1"/>
  <c r="A341" i="1"/>
  <c r="C341" i="1"/>
  <c r="S341" i="1"/>
  <c r="T341" i="1"/>
  <c r="U341" i="1"/>
  <c r="BE341" i="1"/>
  <c r="CC341" i="1"/>
  <c r="CD341" i="1"/>
  <c r="A342" i="1"/>
  <c r="C342" i="1"/>
  <c r="S342" i="1"/>
  <c r="T342" i="1"/>
  <c r="U342" i="1"/>
  <c r="BE342" i="1"/>
  <c r="CC342" i="1"/>
  <c r="CD342" i="1"/>
  <c r="A343" i="1"/>
  <c r="C343" i="1"/>
  <c r="S343" i="1"/>
  <c r="T343" i="1"/>
  <c r="U343" i="1"/>
  <c r="BE343" i="1"/>
  <c r="CC343" i="1"/>
  <c r="CD343" i="1"/>
  <c r="A344" i="1"/>
  <c r="C344" i="1"/>
  <c r="S344" i="1"/>
  <c r="T344" i="1"/>
  <c r="U344" i="1"/>
  <c r="BE344" i="1"/>
  <c r="CC344" i="1"/>
  <c r="CD344" i="1"/>
  <c r="A345" i="1"/>
  <c r="C345" i="1"/>
  <c r="S345" i="1"/>
  <c r="T345" i="1"/>
  <c r="U345" i="1"/>
  <c r="BE345" i="1"/>
  <c r="CC345" i="1"/>
  <c r="CD345" i="1"/>
  <c r="A346" i="1"/>
  <c r="C346" i="1"/>
  <c r="S346" i="1"/>
  <c r="T346" i="1"/>
  <c r="U346" i="1"/>
  <c r="BE346" i="1"/>
  <c r="CC346" i="1"/>
  <c r="CD346" i="1"/>
  <c r="A347" i="1"/>
  <c r="C347" i="1"/>
  <c r="S347" i="1"/>
  <c r="T347" i="1"/>
  <c r="U347" i="1"/>
  <c r="BE347" i="1"/>
  <c r="CC347" i="1"/>
  <c r="CD347" i="1"/>
  <c r="A348" i="1"/>
  <c r="C348" i="1"/>
  <c r="S348" i="1"/>
  <c r="T348" i="1"/>
  <c r="U348" i="1"/>
  <c r="BE348" i="1"/>
  <c r="CC348" i="1"/>
  <c r="CD348" i="1"/>
  <c r="A349" i="1"/>
  <c r="C349" i="1"/>
  <c r="S349" i="1"/>
  <c r="T349" i="1"/>
  <c r="U349" i="1"/>
  <c r="BE349" i="1"/>
  <c r="CC349" i="1"/>
  <c r="CD349" i="1"/>
  <c r="A350" i="1"/>
  <c r="C350" i="1"/>
  <c r="S350" i="1"/>
  <c r="T350" i="1"/>
  <c r="U350" i="1"/>
  <c r="BE350" i="1"/>
  <c r="CC350" i="1"/>
  <c r="CD350" i="1"/>
  <c r="A351" i="1"/>
  <c r="C351" i="1"/>
  <c r="S351" i="1"/>
  <c r="T351" i="1"/>
  <c r="U351" i="1"/>
  <c r="BE351" i="1"/>
  <c r="CC351" i="1"/>
  <c r="CD351" i="1"/>
  <c r="A352" i="1"/>
  <c r="C352" i="1"/>
  <c r="S352" i="1"/>
  <c r="T352" i="1"/>
  <c r="U352" i="1"/>
  <c r="BE352" i="1"/>
  <c r="CC352" i="1"/>
  <c r="CD352" i="1"/>
  <c r="A353" i="1"/>
  <c r="C353" i="1"/>
  <c r="S353" i="1"/>
  <c r="T353" i="1"/>
  <c r="U353" i="1"/>
  <c r="BE353" i="1"/>
  <c r="CC353" i="1"/>
  <c r="CD353" i="1"/>
  <c r="A354" i="1"/>
  <c r="C354" i="1"/>
  <c r="S354" i="1"/>
  <c r="T354" i="1"/>
  <c r="U354" i="1"/>
  <c r="BE354" i="1"/>
  <c r="CC354" i="1"/>
  <c r="CD354" i="1"/>
  <c r="A355" i="1"/>
  <c r="C355" i="1"/>
  <c r="S355" i="1"/>
  <c r="T355" i="1"/>
  <c r="U355" i="1"/>
  <c r="BE355" i="1"/>
  <c r="CC355" i="1"/>
  <c r="CD355" i="1"/>
  <c r="A356" i="1"/>
  <c r="C356" i="1"/>
  <c r="S356" i="1"/>
  <c r="T356" i="1"/>
  <c r="U356" i="1"/>
  <c r="BE356" i="1"/>
  <c r="CC356" i="1"/>
  <c r="CD356" i="1"/>
  <c r="A357" i="1"/>
  <c r="C357" i="1"/>
  <c r="S357" i="1"/>
  <c r="T357" i="1"/>
  <c r="U357" i="1"/>
  <c r="BE357" i="1"/>
  <c r="CC357" i="1"/>
  <c r="CD357" i="1"/>
  <c r="A358" i="1"/>
  <c r="C358" i="1"/>
  <c r="S358" i="1"/>
  <c r="T358" i="1"/>
  <c r="U358" i="1"/>
  <c r="BE358" i="1"/>
  <c r="CC358" i="1"/>
  <c r="CD358" i="1"/>
  <c r="A359" i="1"/>
  <c r="C359" i="1"/>
  <c r="S359" i="1"/>
  <c r="T359" i="1"/>
  <c r="U359" i="1"/>
  <c r="BE359" i="1"/>
  <c r="CC359" i="1"/>
  <c r="CD359" i="1"/>
  <c r="A360" i="1"/>
  <c r="C360" i="1"/>
  <c r="S360" i="1"/>
  <c r="T360" i="1"/>
  <c r="U360" i="1"/>
  <c r="BE360" i="1"/>
  <c r="CC360" i="1"/>
  <c r="CD360" i="1"/>
  <c r="A361" i="1"/>
  <c r="C361" i="1"/>
  <c r="S361" i="1"/>
  <c r="T361" i="1"/>
  <c r="U361" i="1"/>
  <c r="BE361" i="1"/>
  <c r="CC361" i="1"/>
  <c r="CD361" i="1"/>
  <c r="A362" i="1"/>
  <c r="C362" i="1"/>
  <c r="S362" i="1"/>
  <c r="T362" i="1"/>
  <c r="U362" i="1"/>
  <c r="BE362" i="1"/>
  <c r="CC362" i="1"/>
  <c r="CD362" i="1"/>
  <c r="A363" i="1"/>
  <c r="C363" i="1"/>
  <c r="S363" i="1"/>
  <c r="T363" i="1"/>
  <c r="U363" i="1"/>
  <c r="BE363" i="1"/>
  <c r="CC363" i="1"/>
  <c r="CD363" i="1"/>
  <c r="A364" i="1"/>
  <c r="C364" i="1"/>
  <c r="S364" i="1"/>
  <c r="T364" i="1"/>
  <c r="U364" i="1"/>
  <c r="BE364" i="1"/>
  <c r="CC364" i="1"/>
  <c r="CD364" i="1"/>
  <c r="A365" i="1"/>
  <c r="C365" i="1"/>
  <c r="S365" i="1"/>
  <c r="T365" i="1"/>
  <c r="U365" i="1"/>
  <c r="BE365" i="1"/>
  <c r="CC365" i="1"/>
  <c r="CD365" i="1"/>
  <c r="A366" i="1"/>
  <c r="C366" i="1"/>
  <c r="S366" i="1"/>
  <c r="T366" i="1"/>
  <c r="U366" i="1"/>
  <c r="BE366" i="1"/>
  <c r="CC366" i="1"/>
  <c r="CD366" i="1"/>
  <c r="A367" i="1"/>
  <c r="C367" i="1"/>
  <c r="S367" i="1"/>
  <c r="T367" i="1"/>
  <c r="U367" i="1"/>
  <c r="BE367" i="1"/>
  <c r="CC367" i="1"/>
  <c r="CD367" i="1"/>
  <c r="A368" i="1"/>
  <c r="C368" i="1"/>
  <c r="S368" i="1"/>
  <c r="T368" i="1"/>
  <c r="U368" i="1"/>
  <c r="BE368" i="1"/>
  <c r="CC368" i="1"/>
  <c r="CD368" i="1"/>
  <c r="A369" i="1"/>
  <c r="C369" i="1"/>
  <c r="S369" i="1"/>
  <c r="T369" i="1"/>
  <c r="U369" i="1"/>
  <c r="BE369" i="1"/>
  <c r="CC369" i="1"/>
  <c r="CD369" i="1"/>
  <c r="A370" i="1"/>
  <c r="C370" i="1"/>
  <c r="S370" i="1"/>
  <c r="T370" i="1"/>
  <c r="U370" i="1"/>
  <c r="BE370" i="1"/>
  <c r="CC370" i="1"/>
  <c r="CD370" i="1"/>
  <c r="A371" i="1"/>
  <c r="C371" i="1"/>
  <c r="S371" i="1"/>
  <c r="T371" i="1"/>
  <c r="U371" i="1"/>
  <c r="BE371" i="1"/>
  <c r="CC371" i="1"/>
  <c r="CD371" i="1"/>
  <c r="A372" i="1"/>
  <c r="C372" i="1"/>
  <c r="S372" i="1"/>
  <c r="T372" i="1"/>
  <c r="U372" i="1"/>
  <c r="BE372" i="1"/>
  <c r="CC372" i="1"/>
  <c r="CD372" i="1"/>
  <c r="A373" i="1"/>
  <c r="C373" i="1"/>
  <c r="S373" i="1"/>
  <c r="T373" i="1"/>
  <c r="U373" i="1"/>
  <c r="BE373" i="1"/>
  <c r="CC373" i="1"/>
  <c r="CD373" i="1"/>
  <c r="A374" i="1"/>
  <c r="C374" i="1"/>
  <c r="S374" i="1"/>
  <c r="T374" i="1"/>
  <c r="U374" i="1"/>
  <c r="BE374" i="1"/>
  <c r="CC374" i="1"/>
  <c r="CD374" i="1"/>
  <c r="A375" i="1"/>
  <c r="C375" i="1"/>
  <c r="S375" i="1"/>
  <c r="T375" i="1"/>
  <c r="U375" i="1"/>
  <c r="BE375" i="1"/>
  <c r="CC375" i="1"/>
  <c r="CD375" i="1"/>
  <c r="A376" i="1"/>
  <c r="C376" i="1"/>
  <c r="S376" i="1"/>
  <c r="T376" i="1"/>
  <c r="U376" i="1"/>
  <c r="BE376" i="1"/>
  <c r="CC376" i="1"/>
  <c r="CD376" i="1"/>
  <c r="A377" i="1"/>
  <c r="C377" i="1"/>
  <c r="S377" i="1"/>
  <c r="T377" i="1"/>
  <c r="U377" i="1"/>
  <c r="BE377" i="1"/>
  <c r="CC377" i="1"/>
  <c r="CD377" i="1"/>
  <c r="A378" i="1"/>
  <c r="C378" i="1"/>
  <c r="S378" i="1"/>
  <c r="T378" i="1"/>
  <c r="U378" i="1"/>
  <c r="BE378" i="1"/>
  <c r="CC378" i="1"/>
  <c r="CD378" i="1"/>
  <c r="A379" i="1"/>
  <c r="C379" i="1"/>
  <c r="S379" i="1"/>
  <c r="T379" i="1"/>
  <c r="U379" i="1"/>
  <c r="BE379" i="1"/>
  <c r="CC379" i="1"/>
  <c r="CD379" i="1"/>
  <c r="A380" i="1"/>
  <c r="C380" i="1"/>
  <c r="S380" i="1"/>
  <c r="T380" i="1"/>
  <c r="U380" i="1"/>
  <c r="BE380" i="1"/>
  <c r="CC380" i="1"/>
  <c r="CD380" i="1"/>
  <c r="A381" i="1"/>
  <c r="C381" i="1"/>
  <c r="S381" i="1"/>
  <c r="T381" i="1"/>
  <c r="U381" i="1"/>
  <c r="BE381" i="1"/>
  <c r="CC381" i="1"/>
  <c r="CD381" i="1"/>
  <c r="A382" i="1"/>
  <c r="C382" i="1"/>
  <c r="S382" i="1"/>
  <c r="T382" i="1"/>
  <c r="U382" i="1"/>
  <c r="BE382" i="1"/>
  <c r="CC382" i="1"/>
  <c r="CD382" i="1"/>
  <c r="A383" i="1"/>
  <c r="C383" i="1"/>
  <c r="S383" i="1"/>
  <c r="T383" i="1"/>
  <c r="U383" i="1"/>
  <c r="BE383" i="1"/>
  <c r="CC383" i="1"/>
  <c r="CD383" i="1"/>
  <c r="A384" i="1"/>
  <c r="C384" i="1"/>
  <c r="S384" i="1"/>
  <c r="T384" i="1"/>
  <c r="U384" i="1"/>
  <c r="BE384" i="1"/>
  <c r="CC384" i="1"/>
  <c r="CD384" i="1"/>
  <c r="A385" i="1"/>
  <c r="C385" i="1"/>
  <c r="S385" i="1"/>
  <c r="T385" i="1"/>
  <c r="U385" i="1"/>
  <c r="BE385" i="1"/>
  <c r="CC385" i="1"/>
  <c r="CD385" i="1"/>
  <c r="A386" i="1"/>
  <c r="C386" i="1"/>
  <c r="S386" i="1"/>
  <c r="T386" i="1"/>
  <c r="U386" i="1"/>
  <c r="BE386" i="1"/>
  <c r="CC386" i="1"/>
  <c r="CD386" i="1"/>
  <c r="A387" i="1"/>
  <c r="C387" i="1"/>
  <c r="S387" i="1"/>
  <c r="T387" i="1"/>
  <c r="U387" i="1"/>
  <c r="BE387" i="1"/>
  <c r="CC387" i="1"/>
  <c r="CD387" i="1"/>
  <c r="A388" i="1"/>
  <c r="C388" i="1"/>
  <c r="S388" i="1"/>
  <c r="T388" i="1"/>
  <c r="U388" i="1"/>
  <c r="BE388" i="1"/>
  <c r="CC388" i="1"/>
  <c r="CD388" i="1"/>
  <c r="A389" i="1"/>
  <c r="C389" i="1"/>
  <c r="S389" i="1"/>
  <c r="T389" i="1"/>
  <c r="U389" i="1"/>
  <c r="BE389" i="1"/>
  <c r="CC389" i="1"/>
  <c r="CD389" i="1"/>
  <c r="A390" i="1"/>
  <c r="C390" i="1"/>
  <c r="S390" i="1"/>
  <c r="T390" i="1"/>
  <c r="U390" i="1"/>
  <c r="BE390" i="1"/>
  <c r="CC390" i="1"/>
  <c r="CD390" i="1"/>
  <c r="A391" i="1"/>
  <c r="C391" i="1"/>
  <c r="S391" i="1"/>
  <c r="T391" i="1"/>
  <c r="U391" i="1"/>
  <c r="BE391" i="1"/>
  <c r="CC391" i="1"/>
  <c r="CD391" i="1"/>
  <c r="A392" i="1"/>
  <c r="C392" i="1"/>
  <c r="S392" i="1"/>
  <c r="T392" i="1"/>
  <c r="U392" i="1"/>
  <c r="BE392" i="1"/>
  <c r="CC392" i="1"/>
  <c r="CD392" i="1"/>
  <c r="A393" i="1"/>
  <c r="C393" i="1"/>
  <c r="S393" i="1"/>
  <c r="T393" i="1"/>
  <c r="U393" i="1"/>
  <c r="BE393" i="1"/>
  <c r="CC393" i="1"/>
  <c r="CD393" i="1"/>
  <c r="A394" i="1"/>
  <c r="C394" i="1"/>
  <c r="S394" i="1"/>
  <c r="T394" i="1"/>
  <c r="U394" i="1"/>
  <c r="BE394" i="1"/>
  <c r="CC394" i="1"/>
  <c r="CD394" i="1"/>
  <c r="A395" i="1"/>
  <c r="C395" i="1"/>
  <c r="S395" i="1"/>
  <c r="T395" i="1"/>
  <c r="U395" i="1"/>
  <c r="BE395" i="1"/>
  <c r="CC395" i="1"/>
  <c r="CD395" i="1"/>
  <c r="A396" i="1"/>
  <c r="C396" i="1"/>
  <c r="S396" i="1"/>
  <c r="T396" i="1"/>
  <c r="U396" i="1"/>
  <c r="BE396" i="1"/>
  <c r="CC396" i="1"/>
  <c r="CD396" i="1"/>
  <c r="A397" i="1"/>
  <c r="C397" i="1"/>
  <c r="S397" i="1"/>
  <c r="T397" i="1"/>
  <c r="U397" i="1"/>
  <c r="BE397" i="1"/>
  <c r="CC397" i="1"/>
  <c r="CD397" i="1"/>
  <c r="A398" i="1"/>
  <c r="C398" i="1"/>
  <c r="S398" i="1"/>
  <c r="T398" i="1"/>
  <c r="U398" i="1"/>
  <c r="BE398" i="1"/>
  <c r="CC398" i="1"/>
  <c r="CD398" i="1"/>
  <c r="A399" i="1"/>
  <c r="C399" i="1"/>
  <c r="S399" i="1"/>
  <c r="T399" i="1"/>
  <c r="U399" i="1"/>
  <c r="BE399" i="1"/>
  <c r="CC399" i="1"/>
  <c r="CD399" i="1"/>
  <c r="A400" i="1"/>
  <c r="C400" i="1"/>
  <c r="S400" i="1"/>
  <c r="T400" i="1"/>
  <c r="U400" i="1"/>
  <c r="BE400" i="1"/>
  <c r="CC400" i="1"/>
  <c r="CD400" i="1"/>
  <c r="A401" i="1"/>
  <c r="C401" i="1"/>
  <c r="S401" i="1"/>
  <c r="T401" i="1"/>
  <c r="U401" i="1"/>
  <c r="BE401" i="1"/>
  <c r="CC401" i="1"/>
  <c r="CD401" i="1"/>
  <c r="A402" i="1"/>
  <c r="C402" i="1"/>
  <c r="S402" i="1"/>
  <c r="T402" i="1"/>
  <c r="U402" i="1"/>
  <c r="BE402" i="1"/>
  <c r="CC402" i="1"/>
  <c r="CD402" i="1"/>
  <c r="A403" i="1"/>
  <c r="C403" i="1"/>
  <c r="S403" i="1"/>
  <c r="T403" i="1"/>
  <c r="U403" i="1"/>
  <c r="BE403" i="1"/>
  <c r="CC403" i="1"/>
  <c r="CD403" i="1"/>
  <c r="A404" i="1"/>
  <c r="C404" i="1"/>
  <c r="S404" i="1"/>
  <c r="T404" i="1"/>
  <c r="U404" i="1"/>
  <c r="BE404" i="1"/>
  <c r="CC404" i="1"/>
  <c r="CD404" i="1"/>
  <c r="A405" i="1"/>
  <c r="C405" i="1"/>
  <c r="S405" i="1"/>
  <c r="T405" i="1"/>
  <c r="U405" i="1"/>
  <c r="BE405" i="1"/>
  <c r="CC405" i="1"/>
  <c r="CD405" i="1"/>
  <c r="A406" i="1"/>
  <c r="C406" i="1"/>
  <c r="S406" i="1"/>
  <c r="T406" i="1"/>
  <c r="U406" i="1"/>
  <c r="BE406" i="1"/>
  <c r="CC406" i="1"/>
  <c r="CD406" i="1"/>
  <c r="A407" i="1"/>
  <c r="C407" i="1"/>
  <c r="S407" i="1"/>
  <c r="T407" i="1"/>
  <c r="U407" i="1"/>
  <c r="BE407" i="1"/>
  <c r="CC407" i="1"/>
  <c r="CD407" i="1"/>
  <c r="A408" i="1"/>
  <c r="C408" i="1"/>
  <c r="S408" i="1"/>
  <c r="T408" i="1"/>
  <c r="U408" i="1"/>
  <c r="BE408" i="1"/>
  <c r="CC408" i="1"/>
  <c r="CD408" i="1"/>
  <c r="A409" i="1"/>
  <c r="C409" i="1"/>
  <c r="S409" i="1"/>
  <c r="T409" i="1"/>
  <c r="U409" i="1"/>
  <c r="BE409" i="1"/>
  <c r="CC409" i="1"/>
  <c r="CD409" i="1"/>
  <c r="A410" i="1"/>
  <c r="C410" i="1"/>
  <c r="S410" i="1"/>
  <c r="T410" i="1"/>
  <c r="U410" i="1"/>
  <c r="BE410" i="1"/>
  <c r="CC410" i="1"/>
  <c r="CD410" i="1"/>
  <c r="A411" i="1"/>
  <c r="C411" i="1"/>
  <c r="S411" i="1"/>
  <c r="T411" i="1"/>
  <c r="U411" i="1"/>
  <c r="BE411" i="1"/>
  <c r="CC411" i="1"/>
  <c r="CD411" i="1"/>
  <c r="A412" i="1"/>
  <c r="C412" i="1"/>
  <c r="S412" i="1"/>
  <c r="T412" i="1"/>
  <c r="U412" i="1"/>
  <c r="BE412" i="1"/>
  <c r="CC412" i="1"/>
  <c r="CD412" i="1"/>
  <c r="A413" i="1"/>
  <c r="C413" i="1"/>
  <c r="S413" i="1"/>
  <c r="T413" i="1"/>
  <c r="U413" i="1"/>
  <c r="BE413" i="1"/>
  <c r="CC413" i="1"/>
  <c r="CD413" i="1"/>
  <c r="A414" i="1"/>
  <c r="C414" i="1"/>
  <c r="S414" i="1"/>
  <c r="T414" i="1"/>
  <c r="U414" i="1"/>
  <c r="BE414" i="1"/>
  <c r="CC414" i="1"/>
  <c r="CD414" i="1"/>
  <c r="A415" i="1"/>
  <c r="C415" i="1"/>
  <c r="S415" i="1"/>
  <c r="T415" i="1"/>
  <c r="U415" i="1"/>
  <c r="BE415" i="1"/>
  <c r="CC415" i="1"/>
  <c r="CD415" i="1"/>
  <c r="A416" i="1"/>
  <c r="C416" i="1"/>
  <c r="S416" i="1"/>
  <c r="T416" i="1"/>
  <c r="U416" i="1"/>
  <c r="BE416" i="1"/>
  <c r="CC416" i="1"/>
  <c r="CD416" i="1"/>
  <c r="A417" i="1"/>
  <c r="C417" i="1"/>
  <c r="S417" i="1"/>
  <c r="T417" i="1"/>
  <c r="U417" i="1"/>
  <c r="BE417" i="1"/>
  <c r="CC417" i="1"/>
  <c r="CD417" i="1"/>
  <c r="A418" i="1"/>
  <c r="C418" i="1"/>
  <c r="S418" i="1"/>
  <c r="T418" i="1"/>
  <c r="U418" i="1"/>
  <c r="BE418" i="1"/>
  <c r="CC418" i="1"/>
  <c r="CD418" i="1"/>
  <c r="A419" i="1"/>
  <c r="C419" i="1"/>
  <c r="S419" i="1"/>
  <c r="T419" i="1"/>
  <c r="U419" i="1"/>
  <c r="BE419" i="1"/>
  <c r="CC419" i="1"/>
  <c r="CD419" i="1"/>
  <c r="A420" i="1"/>
  <c r="C420" i="1"/>
  <c r="S420" i="1"/>
  <c r="T420" i="1"/>
  <c r="U420" i="1"/>
  <c r="BE420" i="1"/>
  <c r="CC420" i="1"/>
  <c r="CD420" i="1"/>
  <c r="A421" i="1"/>
  <c r="C421" i="1"/>
  <c r="S421" i="1"/>
  <c r="T421" i="1"/>
  <c r="U421" i="1"/>
  <c r="BE421" i="1"/>
  <c r="CC421" i="1"/>
  <c r="CD421" i="1"/>
  <c r="A422" i="1"/>
  <c r="C422" i="1"/>
  <c r="S422" i="1"/>
  <c r="T422" i="1"/>
  <c r="U422" i="1"/>
  <c r="BE422" i="1"/>
  <c r="CC422" i="1"/>
  <c r="CD422" i="1"/>
  <c r="A423" i="1"/>
  <c r="C423" i="1"/>
  <c r="S423" i="1"/>
  <c r="T423" i="1"/>
  <c r="U423" i="1"/>
  <c r="BE423" i="1"/>
  <c r="CC423" i="1"/>
  <c r="CD423" i="1"/>
  <c r="A424" i="1"/>
  <c r="C424" i="1"/>
  <c r="S424" i="1"/>
  <c r="T424" i="1"/>
  <c r="U424" i="1"/>
  <c r="BE424" i="1"/>
  <c r="CC424" i="1"/>
  <c r="CD424" i="1"/>
  <c r="A425" i="1"/>
  <c r="C425" i="1"/>
  <c r="S425" i="1"/>
  <c r="T425" i="1"/>
  <c r="U425" i="1"/>
  <c r="BE425" i="1"/>
  <c r="CC425" i="1"/>
  <c r="CD425" i="1"/>
  <c r="A426" i="1"/>
  <c r="C426" i="1"/>
  <c r="S426" i="1"/>
  <c r="T426" i="1"/>
  <c r="U426" i="1"/>
  <c r="BE426" i="1"/>
  <c r="CC426" i="1"/>
  <c r="CD426" i="1"/>
  <c r="A427" i="1"/>
  <c r="C427" i="1"/>
  <c r="S427" i="1"/>
  <c r="T427" i="1"/>
  <c r="U427" i="1"/>
  <c r="BE427" i="1"/>
  <c r="CC427" i="1"/>
  <c r="CD427" i="1"/>
  <c r="A428" i="1"/>
  <c r="C428" i="1"/>
  <c r="S428" i="1"/>
  <c r="T428" i="1"/>
  <c r="U428" i="1"/>
  <c r="BE428" i="1"/>
  <c r="CC428" i="1"/>
  <c r="CD428" i="1"/>
  <c r="A429" i="1"/>
  <c r="C429" i="1"/>
  <c r="S429" i="1"/>
  <c r="T429" i="1"/>
  <c r="U429" i="1"/>
  <c r="BE429" i="1"/>
  <c r="CC429" i="1"/>
  <c r="CD429" i="1"/>
  <c r="A430" i="1"/>
  <c r="C430" i="1"/>
  <c r="S430" i="1"/>
  <c r="T430" i="1"/>
  <c r="U430" i="1"/>
  <c r="BE430" i="1"/>
  <c r="CC430" i="1"/>
  <c r="CD430" i="1"/>
  <c r="A431" i="1"/>
  <c r="C431" i="1"/>
  <c r="S431" i="1"/>
  <c r="T431" i="1"/>
  <c r="U431" i="1"/>
  <c r="BE431" i="1"/>
  <c r="CC431" i="1"/>
  <c r="CD431" i="1"/>
  <c r="A432" i="1"/>
  <c r="C432" i="1"/>
  <c r="S432" i="1"/>
  <c r="T432" i="1"/>
  <c r="U432" i="1"/>
  <c r="BE432" i="1"/>
  <c r="CC432" i="1"/>
  <c r="CD432" i="1"/>
  <c r="A433" i="1"/>
  <c r="C433" i="1"/>
  <c r="S433" i="1"/>
  <c r="T433" i="1"/>
  <c r="U433" i="1"/>
  <c r="BE433" i="1"/>
  <c r="CC433" i="1"/>
  <c r="CD433" i="1"/>
  <c r="A434" i="1"/>
  <c r="C434" i="1"/>
  <c r="S434" i="1"/>
  <c r="T434" i="1"/>
  <c r="U434" i="1"/>
  <c r="BE434" i="1"/>
  <c r="CC434" i="1"/>
  <c r="CD434" i="1"/>
  <c r="A435" i="1"/>
  <c r="C435" i="1"/>
  <c r="S435" i="1"/>
  <c r="T435" i="1"/>
  <c r="U435" i="1"/>
  <c r="BE435" i="1"/>
  <c r="CC435" i="1"/>
  <c r="CD435" i="1"/>
  <c r="A436" i="1"/>
  <c r="C436" i="1"/>
  <c r="S436" i="1"/>
  <c r="T436" i="1"/>
  <c r="U436" i="1"/>
  <c r="BE436" i="1"/>
  <c r="CC436" i="1"/>
  <c r="CD436" i="1"/>
  <c r="A437" i="1"/>
  <c r="C437" i="1"/>
  <c r="S437" i="1"/>
  <c r="T437" i="1"/>
  <c r="U437" i="1"/>
  <c r="BE437" i="1"/>
  <c r="CC437" i="1"/>
  <c r="CD437" i="1"/>
  <c r="A438" i="1"/>
  <c r="C438" i="1"/>
  <c r="S438" i="1"/>
  <c r="T438" i="1"/>
  <c r="U438" i="1"/>
  <c r="BE438" i="1"/>
  <c r="CC438" i="1"/>
  <c r="CD438" i="1"/>
  <c r="A439" i="1"/>
  <c r="C439" i="1"/>
  <c r="S439" i="1"/>
  <c r="T439" i="1"/>
  <c r="U439" i="1"/>
  <c r="BE439" i="1"/>
  <c r="CC439" i="1"/>
  <c r="CD439" i="1"/>
  <c r="A440" i="1"/>
  <c r="C440" i="1"/>
  <c r="S440" i="1"/>
  <c r="T440" i="1"/>
  <c r="U440" i="1"/>
  <c r="BE440" i="1"/>
  <c r="CC440" i="1"/>
  <c r="CD440" i="1"/>
  <c r="A441" i="1"/>
  <c r="C441" i="1"/>
  <c r="S441" i="1"/>
  <c r="T441" i="1"/>
  <c r="U441" i="1"/>
  <c r="BE441" i="1"/>
  <c r="CC441" i="1"/>
  <c r="CD441" i="1"/>
  <c r="A442" i="1"/>
  <c r="C442" i="1"/>
  <c r="S442" i="1"/>
  <c r="T442" i="1"/>
  <c r="U442" i="1"/>
  <c r="BE442" i="1"/>
  <c r="CC442" i="1"/>
  <c r="CD442" i="1"/>
  <c r="A443" i="1"/>
  <c r="C443" i="1"/>
  <c r="S443" i="1"/>
  <c r="T443" i="1"/>
  <c r="U443" i="1"/>
  <c r="BE443" i="1"/>
  <c r="CC443" i="1"/>
  <c r="CD443" i="1"/>
  <c r="A444" i="1"/>
  <c r="C444" i="1"/>
  <c r="S444" i="1"/>
  <c r="T444" i="1"/>
  <c r="U444" i="1"/>
  <c r="BE444" i="1"/>
  <c r="CC444" i="1"/>
  <c r="CD444" i="1"/>
  <c r="A445" i="1"/>
  <c r="C445" i="1"/>
  <c r="S445" i="1"/>
  <c r="T445" i="1"/>
  <c r="U445" i="1"/>
  <c r="BE445" i="1"/>
  <c r="CC445" i="1"/>
  <c r="CD445" i="1"/>
  <c r="A446" i="1"/>
  <c r="C446" i="1"/>
  <c r="S446" i="1"/>
  <c r="T446" i="1"/>
  <c r="U446" i="1"/>
  <c r="BE446" i="1"/>
  <c r="CC446" i="1"/>
  <c r="CD446" i="1"/>
  <c r="A447" i="1"/>
  <c r="C447" i="1"/>
  <c r="S447" i="1"/>
  <c r="T447" i="1"/>
  <c r="U447" i="1"/>
  <c r="BE447" i="1"/>
  <c r="CC447" i="1"/>
  <c r="CD447" i="1"/>
  <c r="A448" i="1"/>
  <c r="C448" i="1"/>
  <c r="S448" i="1"/>
  <c r="T448" i="1"/>
  <c r="U448" i="1"/>
  <c r="BE448" i="1"/>
  <c r="CC448" i="1"/>
  <c r="CD448" i="1"/>
  <c r="A449" i="1"/>
  <c r="C449" i="1"/>
  <c r="S449" i="1"/>
  <c r="T449" i="1"/>
  <c r="U449" i="1"/>
  <c r="BE449" i="1"/>
  <c r="CC449" i="1"/>
  <c r="CD449" i="1"/>
  <c r="A450" i="1"/>
  <c r="C450" i="1"/>
  <c r="S450" i="1"/>
  <c r="T450" i="1"/>
  <c r="U450" i="1"/>
  <c r="BE450" i="1"/>
  <c r="CC450" i="1"/>
  <c r="CD450" i="1"/>
  <c r="A451" i="1"/>
  <c r="C451" i="1"/>
  <c r="S451" i="1"/>
  <c r="T451" i="1"/>
  <c r="U451" i="1"/>
  <c r="BE451" i="1"/>
  <c r="CC451" i="1"/>
  <c r="CD451" i="1"/>
  <c r="A452" i="1"/>
  <c r="C452" i="1"/>
  <c r="S452" i="1"/>
  <c r="T452" i="1"/>
  <c r="U452" i="1"/>
  <c r="BE452" i="1"/>
  <c r="CC452" i="1"/>
  <c r="CD452" i="1"/>
  <c r="A453" i="1"/>
  <c r="C453" i="1"/>
  <c r="S453" i="1"/>
  <c r="T453" i="1"/>
  <c r="U453" i="1"/>
  <c r="BE453" i="1"/>
  <c r="CC453" i="1"/>
  <c r="CD453" i="1"/>
  <c r="A454" i="1"/>
  <c r="C454" i="1"/>
  <c r="S454" i="1"/>
  <c r="T454" i="1"/>
  <c r="U454" i="1"/>
  <c r="BE454" i="1"/>
  <c r="CC454" i="1"/>
  <c r="CD454" i="1"/>
  <c r="A455" i="1"/>
  <c r="C455" i="1"/>
  <c r="S455" i="1"/>
  <c r="T455" i="1"/>
  <c r="U455" i="1"/>
  <c r="BE455" i="1"/>
  <c r="CC455" i="1"/>
  <c r="CD455" i="1"/>
  <c r="A456" i="1"/>
  <c r="C456" i="1"/>
  <c r="S456" i="1"/>
  <c r="T456" i="1"/>
  <c r="U456" i="1"/>
  <c r="BE456" i="1"/>
  <c r="CC456" i="1"/>
  <c r="CD456" i="1"/>
  <c r="A457" i="1"/>
  <c r="C457" i="1"/>
  <c r="S457" i="1"/>
  <c r="T457" i="1"/>
  <c r="U457" i="1"/>
  <c r="BE457" i="1"/>
  <c r="CC457" i="1"/>
  <c r="CD457" i="1"/>
  <c r="A458" i="1"/>
  <c r="C458" i="1"/>
  <c r="S458" i="1"/>
  <c r="T458" i="1"/>
  <c r="U458" i="1"/>
  <c r="BE458" i="1"/>
  <c r="CC458" i="1"/>
  <c r="CD458" i="1"/>
  <c r="A459" i="1"/>
  <c r="C459" i="1"/>
  <c r="S459" i="1"/>
  <c r="T459" i="1"/>
  <c r="U459" i="1"/>
  <c r="BE459" i="1"/>
  <c r="CC459" i="1"/>
  <c r="CD459" i="1"/>
  <c r="A460" i="1"/>
  <c r="C460" i="1"/>
  <c r="S460" i="1"/>
  <c r="T460" i="1"/>
  <c r="U460" i="1"/>
  <c r="BE460" i="1"/>
  <c r="CC460" i="1"/>
  <c r="CD460" i="1"/>
  <c r="A461" i="1"/>
  <c r="C461" i="1"/>
  <c r="S461" i="1"/>
  <c r="T461" i="1"/>
  <c r="U461" i="1"/>
  <c r="BE461" i="1"/>
  <c r="CC461" i="1"/>
  <c r="CD461" i="1"/>
  <c r="A462" i="1"/>
  <c r="C462" i="1"/>
  <c r="S462" i="1"/>
  <c r="T462" i="1"/>
  <c r="U462" i="1"/>
  <c r="BE462" i="1"/>
  <c r="CC462" i="1"/>
  <c r="CD462" i="1"/>
  <c r="A463" i="1"/>
  <c r="C463" i="1"/>
  <c r="S463" i="1"/>
  <c r="T463" i="1"/>
  <c r="U463" i="1"/>
  <c r="BE463" i="1"/>
  <c r="CC463" i="1"/>
  <c r="CD463" i="1"/>
  <c r="A464" i="1"/>
  <c r="C464" i="1"/>
  <c r="S464" i="1"/>
  <c r="T464" i="1"/>
  <c r="U464" i="1"/>
  <c r="BE464" i="1"/>
  <c r="CC464" i="1"/>
  <c r="CD464" i="1"/>
  <c r="A465" i="1"/>
  <c r="C465" i="1"/>
  <c r="S465" i="1"/>
  <c r="T465" i="1"/>
  <c r="U465" i="1"/>
  <c r="BE465" i="1"/>
  <c r="CC465" i="1"/>
  <c r="CD465" i="1"/>
  <c r="A466" i="1"/>
  <c r="C466" i="1"/>
  <c r="S466" i="1"/>
  <c r="T466" i="1"/>
  <c r="U466" i="1"/>
  <c r="BE466" i="1"/>
  <c r="CC466" i="1"/>
  <c r="CD466" i="1"/>
  <c r="A467" i="1"/>
  <c r="C467" i="1"/>
  <c r="S467" i="1"/>
  <c r="T467" i="1"/>
  <c r="U467" i="1"/>
  <c r="BE467" i="1"/>
  <c r="CC467" i="1"/>
  <c r="CD467" i="1"/>
  <c r="A468" i="1"/>
  <c r="C468" i="1"/>
  <c r="S468" i="1"/>
  <c r="T468" i="1"/>
  <c r="U468" i="1"/>
  <c r="BE468" i="1"/>
  <c r="CC468" i="1"/>
  <c r="CD468" i="1"/>
  <c r="A469" i="1"/>
  <c r="C469" i="1"/>
  <c r="S469" i="1"/>
  <c r="T469" i="1"/>
  <c r="U469" i="1"/>
  <c r="BE469" i="1"/>
  <c r="CC469" i="1"/>
  <c r="CD469" i="1"/>
  <c r="A470" i="1"/>
  <c r="C470" i="1"/>
  <c r="S470" i="1"/>
  <c r="T470" i="1"/>
  <c r="U470" i="1"/>
  <c r="BE470" i="1"/>
  <c r="CC470" i="1"/>
  <c r="CD470" i="1"/>
  <c r="A471" i="1"/>
  <c r="C471" i="1"/>
  <c r="S471" i="1"/>
  <c r="T471" i="1"/>
  <c r="U471" i="1"/>
  <c r="BE471" i="1"/>
  <c r="CC471" i="1"/>
  <c r="CD471" i="1"/>
  <c r="A472" i="1"/>
  <c r="C472" i="1"/>
  <c r="S472" i="1"/>
  <c r="T472" i="1"/>
  <c r="U472" i="1"/>
  <c r="BE472" i="1"/>
  <c r="CC472" i="1"/>
  <c r="CD472" i="1"/>
  <c r="A473" i="1"/>
  <c r="C473" i="1"/>
  <c r="S473" i="1"/>
  <c r="T473" i="1"/>
  <c r="U473" i="1"/>
  <c r="BE473" i="1"/>
  <c r="CC473" i="1"/>
  <c r="CD473" i="1"/>
  <c r="A474" i="1"/>
  <c r="C474" i="1"/>
  <c r="S474" i="1"/>
  <c r="T474" i="1"/>
  <c r="U474" i="1"/>
  <c r="BE474" i="1"/>
  <c r="CC474" i="1"/>
  <c r="CD474" i="1"/>
  <c r="A475" i="1"/>
  <c r="C475" i="1"/>
  <c r="S475" i="1"/>
  <c r="T475" i="1"/>
  <c r="U475" i="1"/>
  <c r="BE475" i="1"/>
  <c r="CC475" i="1"/>
  <c r="CD475" i="1"/>
  <c r="A476" i="1"/>
  <c r="C476" i="1"/>
  <c r="S476" i="1"/>
  <c r="T476" i="1"/>
  <c r="U476" i="1"/>
  <c r="BE476" i="1"/>
  <c r="CC476" i="1"/>
  <c r="CD476" i="1"/>
  <c r="A477" i="1"/>
  <c r="C477" i="1"/>
  <c r="S477" i="1"/>
  <c r="T477" i="1"/>
  <c r="U477" i="1"/>
  <c r="BE477" i="1"/>
  <c r="CC477" i="1"/>
  <c r="CD477" i="1"/>
  <c r="A478" i="1"/>
  <c r="C478" i="1"/>
  <c r="S478" i="1"/>
  <c r="T478" i="1"/>
  <c r="U478" i="1"/>
  <c r="BE478" i="1"/>
  <c r="CC478" i="1"/>
  <c r="CD478" i="1"/>
  <c r="A479" i="1"/>
  <c r="C479" i="1"/>
  <c r="S479" i="1"/>
  <c r="T479" i="1"/>
  <c r="U479" i="1"/>
  <c r="BE479" i="1"/>
  <c r="CC479" i="1"/>
  <c r="CD479" i="1"/>
  <c r="A480" i="1"/>
  <c r="C480" i="1"/>
  <c r="S480" i="1"/>
  <c r="T480" i="1"/>
  <c r="U480" i="1"/>
  <c r="BE480" i="1"/>
  <c r="CC480" i="1"/>
  <c r="CD480" i="1"/>
  <c r="A481" i="1"/>
  <c r="C481" i="1"/>
  <c r="S481" i="1"/>
  <c r="T481" i="1"/>
  <c r="U481" i="1"/>
  <c r="BE481" i="1"/>
  <c r="CC481" i="1"/>
  <c r="CD481" i="1"/>
  <c r="A482" i="1"/>
  <c r="C482" i="1"/>
  <c r="S482" i="1"/>
  <c r="T482" i="1"/>
  <c r="U482" i="1"/>
  <c r="BE482" i="1"/>
  <c r="CC482" i="1"/>
  <c r="CD482" i="1"/>
  <c r="A483" i="1"/>
  <c r="C483" i="1"/>
  <c r="S483" i="1"/>
  <c r="T483" i="1"/>
  <c r="U483" i="1"/>
  <c r="BE483" i="1"/>
  <c r="CC483" i="1"/>
  <c r="CD483" i="1"/>
  <c r="A484" i="1"/>
  <c r="C484" i="1"/>
  <c r="S484" i="1"/>
  <c r="T484" i="1"/>
  <c r="U484" i="1"/>
  <c r="BE484" i="1"/>
  <c r="CC484" i="1"/>
  <c r="CD484" i="1"/>
  <c r="A485" i="1"/>
  <c r="C485" i="1"/>
  <c r="S485" i="1"/>
  <c r="T485" i="1"/>
  <c r="U485" i="1"/>
  <c r="BE485" i="1"/>
  <c r="CC485" i="1"/>
  <c r="CD485" i="1"/>
  <c r="A486" i="1"/>
  <c r="C486" i="1"/>
  <c r="S486" i="1"/>
  <c r="T486" i="1"/>
  <c r="U486" i="1"/>
  <c r="BE486" i="1"/>
  <c r="CC486" i="1"/>
  <c r="CD486" i="1"/>
  <c r="A487" i="1"/>
  <c r="C487" i="1"/>
  <c r="S487" i="1"/>
  <c r="T487" i="1"/>
  <c r="U487" i="1"/>
  <c r="BE487" i="1"/>
  <c r="CC487" i="1"/>
  <c r="CD487" i="1"/>
  <c r="A488" i="1"/>
  <c r="C488" i="1"/>
  <c r="S488" i="1"/>
  <c r="T488" i="1"/>
  <c r="U488" i="1"/>
  <c r="BE488" i="1"/>
  <c r="CC488" i="1"/>
  <c r="CD488" i="1"/>
  <c r="A489" i="1"/>
  <c r="C489" i="1"/>
  <c r="S489" i="1"/>
  <c r="T489" i="1"/>
  <c r="U489" i="1"/>
  <c r="BE489" i="1"/>
  <c r="CC489" i="1"/>
  <c r="CD489" i="1"/>
  <c r="A490" i="1"/>
  <c r="C490" i="1"/>
  <c r="S490" i="1"/>
  <c r="T490" i="1"/>
  <c r="U490" i="1"/>
  <c r="BE490" i="1"/>
  <c r="CC490" i="1"/>
  <c r="CD490" i="1"/>
  <c r="A491" i="1"/>
  <c r="C491" i="1"/>
  <c r="S491" i="1"/>
  <c r="T491" i="1"/>
  <c r="U491" i="1"/>
  <c r="BE491" i="1"/>
  <c r="CC491" i="1"/>
  <c r="CD491" i="1"/>
  <c r="A492" i="1"/>
  <c r="C492" i="1"/>
  <c r="S492" i="1"/>
  <c r="T492" i="1"/>
  <c r="U492" i="1"/>
  <c r="BE492" i="1"/>
  <c r="CC492" i="1"/>
  <c r="CD492" i="1"/>
  <c r="A493" i="1"/>
  <c r="C493" i="1"/>
  <c r="S493" i="1"/>
  <c r="T493" i="1"/>
  <c r="U493" i="1"/>
  <c r="BE493" i="1"/>
  <c r="CC493" i="1"/>
  <c r="CD493" i="1"/>
  <c r="A494" i="1"/>
  <c r="C494" i="1"/>
  <c r="S494" i="1"/>
  <c r="T494" i="1"/>
  <c r="U494" i="1"/>
  <c r="BE494" i="1"/>
  <c r="CC494" i="1"/>
  <c r="CD494" i="1"/>
  <c r="A495" i="1"/>
  <c r="C495" i="1"/>
  <c r="S495" i="1"/>
  <c r="T495" i="1"/>
  <c r="U495" i="1"/>
  <c r="BE495" i="1"/>
  <c r="CC495" i="1"/>
  <c r="CD495" i="1"/>
  <c r="A496" i="1"/>
  <c r="C496" i="1"/>
  <c r="S496" i="1"/>
  <c r="T496" i="1"/>
  <c r="U496" i="1"/>
  <c r="BE496" i="1"/>
  <c r="CC496" i="1"/>
  <c r="CD496" i="1"/>
  <c r="A497" i="1"/>
  <c r="C497" i="1"/>
  <c r="S497" i="1"/>
  <c r="T497" i="1"/>
  <c r="U497" i="1"/>
  <c r="BE497" i="1"/>
  <c r="CC497" i="1"/>
  <c r="CD497" i="1"/>
  <c r="A498" i="1"/>
  <c r="C498" i="1"/>
  <c r="S498" i="1"/>
  <c r="T498" i="1"/>
  <c r="U498" i="1"/>
  <c r="BE498" i="1"/>
  <c r="CC498" i="1"/>
  <c r="CD498" i="1"/>
  <c r="A499" i="1"/>
  <c r="C499" i="1"/>
  <c r="S499" i="1"/>
  <c r="T499" i="1"/>
  <c r="U499" i="1"/>
  <c r="BE499" i="1"/>
  <c r="CC499" i="1"/>
  <c r="CD499" i="1"/>
  <c r="A500" i="1"/>
  <c r="C500" i="1"/>
  <c r="S500" i="1"/>
  <c r="T500" i="1"/>
  <c r="U500" i="1"/>
  <c r="BE500" i="1"/>
  <c r="CC500" i="1"/>
  <c r="CD500" i="1"/>
  <c r="A501" i="1"/>
  <c r="C501" i="1"/>
  <c r="S501" i="1"/>
  <c r="T501" i="1"/>
  <c r="U501" i="1"/>
  <c r="BE501" i="1"/>
  <c r="CC501" i="1"/>
  <c r="CD501" i="1"/>
  <c r="A502" i="1"/>
  <c r="C502" i="1"/>
  <c r="S502" i="1"/>
  <c r="T502" i="1"/>
  <c r="U502" i="1"/>
  <c r="BE502" i="1"/>
  <c r="CC502" i="1"/>
  <c r="CD502" i="1"/>
  <c r="A503" i="1"/>
  <c r="C503" i="1"/>
  <c r="S503" i="1"/>
  <c r="T503" i="1"/>
  <c r="U503" i="1"/>
  <c r="BE503" i="1"/>
  <c r="CC503" i="1"/>
  <c r="CD503" i="1"/>
  <c r="A504" i="1"/>
  <c r="C504" i="1"/>
  <c r="S504" i="1"/>
  <c r="T504" i="1"/>
  <c r="U504" i="1"/>
  <c r="BE504" i="1"/>
  <c r="CC504" i="1"/>
  <c r="CD504" i="1"/>
  <c r="A505" i="1"/>
  <c r="C505" i="1"/>
  <c r="S505" i="1"/>
  <c r="T505" i="1"/>
  <c r="U505" i="1"/>
  <c r="BE505" i="1"/>
  <c r="CC505" i="1"/>
  <c r="CD505" i="1"/>
  <c r="A506" i="1"/>
  <c r="C506" i="1"/>
  <c r="S506" i="1"/>
  <c r="T506" i="1"/>
  <c r="U506" i="1"/>
  <c r="BE506" i="1"/>
  <c r="CC506" i="1"/>
  <c r="CD506" i="1"/>
  <c r="A507" i="1"/>
  <c r="C507" i="1"/>
  <c r="S507" i="1"/>
  <c r="T507" i="1"/>
  <c r="U507" i="1"/>
  <c r="BE507" i="1"/>
  <c r="CC507" i="1"/>
  <c r="CD507" i="1"/>
  <c r="A508" i="1"/>
  <c r="C508" i="1"/>
  <c r="S508" i="1"/>
  <c r="T508" i="1"/>
  <c r="U508" i="1"/>
  <c r="BE508" i="1"/>
  <c r="CC508" i="1"/>
  <c r="CD508" i="1"/>
  <c r="A509" i="1"/>
  <c r="C509" i="1"/>
  <c r="S509" i="1"/>
  <c r="T509" i="1"/>
  <c r="U509" i="1"/>
  <c r="BE509" i="1"/>
  <c r="CC509" i="1"/>
  <c r="CD509" i="1"/>
  <c r="A510" i="1"/>
  <c r="C510" i="1"/>
  <c r="S510" i="1"/>
  <c r="T510" i="1"/>
  <c r="U510" i="1"/>
  <c r="BE510" i="1"/>
  <c r="CC510" i="1"/>
  <c r="CD510" i="1"/>
  <c r="A511" i="1"/>
  <c r="C511" i="1"/>
  <c r="S511" i="1"/>
  <c r="T511" i="1"/>
  <c r="U511" i="1"/>
  <c r="BE511" i="1"/>
  <c r="CC511" i="1"/>
  <c r="CD511" i="1"/>
  <c r="A512" i="1"/>
  <c r="C512" i="1"/>
  <c r="S512" i="1"/>
  <c r="T512" i="1"/>
  <c r="U512" i="1"/>
  <c r="BE512" i="1"/>
  <c r="CC512" i="1"/>
  <c r="CD512" i="1"/>
  <c r="A513" i="1"/>
  <c r="C513" i="1"/>
  <c r="S513" i="1"/>
  <c r="T513" i="1"/>
  <c r="U513" i="1"/>
  <c r="BE513" i="1"/>
  <c r="CC513" i="1"/>
  <c r="CD513" i="1"/>
  <c r="A514" i="1"/>
  <c r="C514" i="1"/>
  <c r="S514" i="1"/>
  <c r="T514" i="1"/>
  <c r="U514" i="1"/>
  <c r="BE514" i="1"/>
  <c r="CC514" i="1"/>
  <c r="CD514" i="1"/>
  <c r="A515" i="1"/>
  <c r="C515" i="1"/>
  <c r="S515" i="1"/>
  <c r="T515" i="1"/>
  <c r="U515" i="1"/>
  <c r="BE515" i="1"/>
  <c r="CC515" i="1"/>
  <c r="CD515" i="1"/>
  <c r="A516" i="1"/>
  <c r="C516" i="1"/>
  <c r="S516" i="1"/>
  <c r="T516" i="1"/>
  <c r="U516" i="1"/>
  <c r="BE516" i="1"/>
  <c r="CC516" i="1"/>
  <c r="CD516" i="1"/>
  <c r="A517" i="1"/>
  <c r="C517" i="1"/>
  <c r="S517" i="1"/>
  <c r="T517" i="1"/>
  <c r="U517" i="1"/>
  <c r="BE517" i="1"/>
  <c r="CC517" i="1"/>
  <c r="CD517" i="1"/>
  <c r="A518" i="1"/>
  <c r="C518" i="1"/>
  <c r="S518" i="1"/>
  <c r="T518" i="1"/>
  <c r="U518" i="1"/>
  <c r="BE518" i="1"/>
  <c r="CC518" i="1"/>
  <c r="CD518" i="1"/>
  <c r="A519" i="1"/>
  <c r="C519" i="1"/>
  <c r="S519" i="1"/>
  <c r="T519" i="1"/>
  <c r="U519" i="1"/>
  <c r="BE519" i="1"/>
  <c r="CC519" i="1"/>
  <c r="CD519" i="1"/>
  <c r="A520" i="1"/>
  <c r="C520" i="1"/>
  <c r="S520" i="1"/>
  <c r="T520" i="1"/>
  <c r="U520" i="1"/>
  <c r="BE520" i="1"/>
  <c r="CC520" i="1"/>
  <c r="CD520" i="1"/>
  <c r="A521" i="1"/>
  <c r="C521" i="1"/>
  <c r="S521" i="1"/>
  <c r="T521" i="1"/>
  <c r="U521" i="1"/>
  <c r="BE521" i="1"/>
  <c r="CC521" i="1"/>
  <c r="CD521" i="1"/>
  <c r="A522" i="1"/>
  <c r="C522" i="1"/>
  <c r="S522" i="1"/>
  <c r="T522" i="1"/>
  <c r="U522" i="1"/>
  <c r="BE522" i="1"/>
  <c r="CC522" i="1"/>
  <c r="CD522" i="1"/>
  <c r="A523" i="1"/>
  <c r="C523" i="1"/>
  <c r="S523" i="1"/>
  <c r="T523" i="1"/>
  <c r="U523" i="1"/>
  <c r="BE523" i="1"/>
  <c r="CC523" i="1"/>
  <c r="CD523" i="1"/>
  <c r="A524" i="1"/>
  <c r="C524" i="1"/>
  <c r="S524" i="1"/>
  <c r="T524" i="1"/>
  <c r="U524" i="1"/>
  <c r="BE524" i="1"/>
  <c r="CC524" i="1"/>
  <c r="CD524" i="1"/>
  <c r="A525" i="1"/>
  <c r="C525" i="1"/>
  <c r="S525" i="1"/>
  <c r="T525" i="1"/>
  <c r="U525" i="1"/>
  <c r="BE525" i="1"/>
  <c r="CC525" i="1"/>
  <c r="CD525" i="1"/>
  <c r="A526" i="1"/>
  <c r="C526" i="1"/>
  <c r="S526" i="1"/>
  <c r="T526" i="1"/>
  <c r="U526" i="1"/>
  <c r="BE526" i="1"/>
  <c r="CC526" i="1"/>
  <c r="CD526" i="1"/>
  <c r="A527" i="1"/>
  <c r="C527" i="1"/>
  <c r="S527" i="1"/>
  <c r="T527" i="1"/>
  <c r="U527" i="1"/>
  <c r="BE527" i="1"/>
  <c r="CC527" i="1"/>
  <c r="CD527" i="1"/>
  <c r="A528" i="1"/>
  <c r="C528" i="1"/>
  <c r="S528" i="1"/>
  <c r="T528" i="1"/>
  <c r="U528" i="1"/>
  <c r="BE528" i="1"/>
  <c r="CC528" i="1"/>
  <c r="CD528" i="1"/>
  <c r="A529" i="1"/>
  <c r="C529" i="1"/>
  <c r="S529" i="1"/>
  <c r="T529" i="1"/>
  <c r="U529" i="1"/>
  <c r="BE529" i="1"/>
  <c r="CC529" i="1"/>
  <c r="CD529" i="1"/>
  <c r="A530" i="1"/>
  <c r="C530" i="1"/>
  <c r="S530" i="1"/>
  <c r="T530" i="1"/>
  <c r="U530" i="1"/>
  <c r="BE530" i="1"/>
  <c r="CC530" i="1"/>
  <c r="CD530" i="1"/>
  <c r="A531" i="1"/>
  <c r="C531" i="1"/>
  <c r="S531" i="1"/>
  <c r="T531" i="1"/>
  <c r="U531" i="1"/>
  <c r="BE531" i="1"/>
  <c r="CC531" i="1"/>
  <c r="CD531" i="1"/>
  <c r="A532" i="1"/>
  <c r="C532" i="1"/>
  <c r="S532" i="1"/>
  <c r="T532" i="1"/>
  <c r="U532" i="1"/>
  <c r="BE532" i="1"/>
  <c r="CC532" i="1"/>
  <c r="CD532" i="1"/>
  <c r="A533" i="1"/>
  <c r="C533" i="1"/>
  <c r="S533" i="1"/>
  <c r="T533" i="1"/>
  <c r="U533" i="1"/>
  <c r="BE533" i="1"/>
  <c r="CC533" i="1"/>
  <c r="CD533" i="1"/>
  <c r="A534" i="1"/>
  <c r="C534" i="1"/>
  <c r="S534" i="1"/>
  <c r="T534" i="1"/>
  <c r="U534" i="1"/>
  <c r="BE534" i="1"/>
  <c r="CC534" i="1"/>
  <c r="CD534" i="1"/>
  <c r="A535" i="1"/>
  <c r="C535" i="1"/>
  <c r="S535" i="1"/>
  <c r="T535" i="1"/>
  <c r="U535" i="1"/>
  <c r="BE535" i="1"/>
  <c r="CC535" i="1"/>
  <c r="CD535" i="1"/>
  <c r="A536" i="1"/>
  <c r="C536" i="1"/>
  <c r="S536" i="1"/>
  <c r="T536" i="1"/>
  <c r="U536" i="1"/>
  <c r="BE536" i="1"/>
  <c r="CC536" i="1"/>
  <c r="CD536" i="1"/>
  <c r="A537" i="1"/>
  <c r="C537" i="1"/>
  <c r="S537" i="1"/>
  <c r="T537" i="1"/>
  <c r="U537" i="1"/>
  <c r="BE537" i="1"/>
  <c r="CC537" i="1"/>
  <c r="CD537" i="1"/>
  <c r="A538" i="1"/>
  <c r="C538" i="1"/>
  <c r="S538" i="1"/>
  <c r="T538" i="1"/>
  <c r="U538" i="1"/>
  <c r="BE538" i="1"/>
  <c r="CC538" i="1"/>
  <c r="CD538" i="1"/>
  <c r="A539" i="1"/>
  <c r="C539" i="1"/>
  <c r="S539" i="1"/>
  <c r="T539" i="1"/>
  <c r="U539" i="1"/>
  <c r="BE539" i="1"/>
  <c r="CC539" i="1"/>
  <c r="CD539" i="1"/>
  <c r="A540" i="1"/>
  <c r="C540" i="1"/>
  <c r="S540" i="1"/>
  <c r="T540" i="1"/>
  <c r="U540" i="1"/>
  <c r="BE540" i="1"/>
  <c r="CC540" i="1"/>
  <c r="CD540" i="1"/>
  <c r="A541" i="1"/>
  <c r="C541" i="1"/>
  <c r="S541" i="1"/>
  <c r="T541" i="1"/>
  <c r="U541" i="1"/>
  <c r="BE541" i="1"/>
  <c r="CC541" i="1"/>
  <c r="CD541" i="1"/>
  <c r="A542" i="1"/>
  <c r="C542" i="1"/>
  <c r="S542" i="1"/>
  <c r="T542" i="1"/>
  <c r="U542" i="1"/>
  <c r="BE542" i="1"/>
  <c r="CC542" i="1"/>
  <c r="CD542" i="1"/>
  <c r="A543" i="1"/>
  <c r="C543" i="1"/>
  <c r="S543" i="1"/>
  <c r="T543" i="1"/>
  <c r="U543" i="1"/>
  <c r="BE543" i="1"/>
  <c r="CC543" i="1"/>
  <c r="CD543" i="1"/>
  <c r="A544" i="1"/>
  <c r="C544" i="1"/>
  <c r="S544" i="1"/>
  <c r="T544" i="1"/>
  <c r="U544" i="1"/>
  <c r="BE544" i="1"/>
  <c r="CC544" i="1"/>
  <c r="CD544" i="1"/>
  <c r="A545" i="1"/>
  <c r="C545" i="1"/>
  <c r="S545" i="1"/>
  <c r="T545" i="1"/>
  <c r="U545" i="1"/>
  <c r="BE545" i="1"/>
  <c r="CC545" i="1"/>
  <c r="CD545" i="1"/>
  <c r="A546" i="1"/>
  <c r="C546" i="1"/>
  <c r="S546" i="1"/>
  <c r="T546" i="1"/>
  <c r="U546" i="1"/>
  <c r="BE546" i="1"/>
  <c r="CC546" i="1"/>
  <c r="CD546" i="1"/>
  <c r="A547" i="1"/>
  <c r="C547" i="1"/>
  <c r="S547" i="1"/>
  <c r="T547" i="1"/>
  <c r="U547" i="1"/>
  <c r="BE547" i="1"/>
  <c r="CC547" i="1"/>
  <c r="CD547" i="1"/>
  <c r="A548" i="1"/>
  <c r="C548" i="1"/>
  <c r="S548" i="1"/>
  <c r="T548" i="1"/>
  <c r="U548" i="1"/>
  <c r="BE548" i="1"/>
  <c r="CC548" i="1"/>
  <c r="CD548" i="1"/>
  <c r="A549" i="1"/>
  <c r="C549" i="1"/>
  <c r="S549" i="1"/>
  <c r="T549" i="1"/>
  <c r="U549" i="1"/>
  <c r="BE549" i="1"/>
  <c r="CC549" i="1"/>
  <c r="CD549" i="1"/>
  <c r="A550" i="1"/>
  <c r="C550" i="1"/>
  <c r="S550" i="1"/>
  <c r="T550" i="1"/>
  <c r="U550" i="1"/>
  <c r="BE550" i="1"/>
  <c r="CC550" i="1"/>
  <c r="CD550" i="1"/>
  <c r="A551" i="1"/>
  <c r="C551" i="1"/>
  <c r="S551" i="1"/>
  <c r="T551" i="1"/>
  <c r="U551" i="1"/>
  <c r="BE551" i="1"/>
  <c r="CC551" i="1"/>
  <c r="CD551" i="1"/>
  <c r="A552" i="1"/>
  <c r="C552" i="1"/>
  <c r="S552" i="1"/>
  <c r="T552" i="1"/>
  <c r="U552" i="1"/>
  <c r="BE552" i="1"/>
  <c r="CC552" i="1"/>
  <c r="CD552" i="1"/>
  <c r="A553" i="1"/>
  <c r="C553" i="1"/>
  <c r="S553" i="1"/>
  <c r="T553" i="1"/>
  <c r="U553" i="1"/>
  <c r="BE553" i="1"/>
  <c r="CC553" i="1"/>
  <c r="CD553" i="1"/>
  <c r="A554" i="1"/>
  <c r="C554" i="1"/>
  <c r="S554" i="1"/>
  <c r="T554" i="1"/>
  <c r="U554" i="1"/>
  <c r="BE554" i="1"/>
  <c r="CC554" i="1"/>
  <c r="CD554" i="1"/>
  <c r="A555" i="1"/>
  <c r="C555" i="1"/>
  <c r="S555" i="1"/>
  <c r="T555" i="1"/>
  <c r="U555" i="1"/>
  <c r="BE555" i="1"/>
  <c r="CC555" i="1"/>
  <c r="CD555" i="1"/>
  <c r="A556" i="1"/>
  <c r="C556" i="1"/>
  <c r="S556" i="1"/>
  <c r="T556" i="1"/>
  <c r="U556" i="1"/>
  <c r="BE556" i="1"/>
  <c r="CC556" i="1"/>
  <c r="CD556" i="1"/>
  <c r="A557" i="1"/>
  <c r="C557" i="1"/>
  <c r="S557" i="1"/>
  <c r="T557" i="1"/>
  <c r="U557" i="1"/>
  <c r="BE557" i="1"/>
  <c r="CC557" i="1"/>
  <c r="CD557" i="1"/>
  <c r="A558" i="1"/>
  <c r="C558" i="1"/>
  <c r="S558" i="1"/>
  <c r="T558" i="1"/>
  <c r="U558" i="1"/>
  <c r="BE558" i="1"/>
  <c r="CC558" i="1"/>
  <c r="CD558" i="1"/>
  <c r="A559" i="1"/>
  <c r="C559" i="1"/>
  <c r="S559" i="1"/>
  <c r="T559" i="1"/>
  <c r="U559" i="1"/>
  <c r="BE559" i="1"/>
  <c r="CC559" i="1"/>
  <c r="CD559" i="1"/>
  <c r="A560" i="1"/>
  <c r="C560" i="1"/>
  <c r="S560" i="1"/>
  <c r="T560" i="1"/>
  <c r="U560" i="1"/>
  <c r="BE560" i="1"/>
  <c r="CC560" i="1"/>
  <c r="CD560" i="1"/>
  <c r="A561" i="1"/>
  <c r="C561" i="1"/>
  <c r="S561" i="1"/>
  <c r="T561" i="1"/>
  <c r="U561" i="1"/>
  <c r="BE561" i="1"/>
  <c r="CC561" i="1"/>
  <c r="CD561" i="1"/>
  <c r="A562" i="1"/>
  <c r="C562" i="1"/>
  <c r="S562" i="1"/>
  <c r="T562" i="1"/>
  <c r="U562" i="1"/>
  <c r="BE562" i="1"/>
  <c r="CC562" i="1"/>
  <c r="CD562" i="1"/>
  <c r="A563" i="1"/>
  <c r="C563" i="1"/>
  <c r="S563" i="1"/>
  <c r="T563" i="1"/>
  <c r="U563" i="1"/>
  <c r="BE563" i="1"/>
  <c r="CC563" i="1"/>
  <c r="CD563" i="1"/>
  <c r="A564" i="1"/>
  <c r="C564" i="1"/>
  <c r="S564" i="1"/>
  <c r="T564" i="1"/>
  <c r="U564" i="1"/>
  <c r="BE564" i="1"/>
  <c r="CC564" i="1"/>
  <c r="CD564" i="1"/>
  <c r="A565" i="1"/>
  <c r="C565" i="1"/>
  <c r="S565" i="1"/>
  <c r="T565" i="1"/>
  <c r="U565" i="1"/>
  <c r="BE565" i="1"/>
  <c r="CC565" i="1"/>
  <c r="CD565" i="1"/>
  <c r="A566" i="1"/>
  <c r="C566" i="1"/>
  <c r="S566" i="1"/>
  <c r="T566" i="1"/>
  <c r="U566" i="1"/>
  <c r="BE566" i="1"/>
  <c r="CC566" i="1"/>
  <c r="CD566" i="1"/>
  <c r="A567" i="1"/>
  <c r="C567" i="1"/>
  <c r="S567" i="1"/>
  <c r="T567" i="1"/>
  <c r="U567" i="1"/>
  <c r="BE567" i="1"/>
  <c r="CC567" i="1"/>
  <c r="CD567" i="1"/>
  <c r="A568" i="1"/>
  <c r="C568" i="1"/>
  <c r="S568" i="1"/>
  <c r="T568" i="1"/>
  <c r="U568" i="1"/>
  <c r="BE568" i="1"/>
  <c r="CC568" i="1"/>
  <c r="CD568" i="1"/>
  <c r="A569" i="1"/>
  <c r="C569" i="1"/>
  <c r="S569" i="1"/>
  <c r="T569" i="1"/>
  <c r="U569" i="1"/>
  <c r="BE569" i="1"/>
  <c r="CC569" i="1"/>
  <c r="CD569" i="1"/>
  <c r="A570" i="1"/>
  <c r="C570" i="1"/>
  <c r="S570" i="1"/>
  <c r="T570" i="1"/>
  <c r="U570" i="1"/>
  <c r="BE570" i="1"/>
  <c r="CC570" i="1"/>
  <c r="CD570" i="1"/>
  <c r="A571" i="1"/>
  <c r="C571" i="1"/>
  <c r="S571" i="1"/>
  <c r="T571" i="1"/>
  <c r="U571" i="1"/>
  <c r="BE571" i="1"/>
  <c r="CC571" i="1"/>
  <c r="CD571" i="1"/>
  <c r="A572" i="1"/>
  <c r="C572" i="1"/>
  <c r="S572" i="1"/>
  <c r="T572" i="1"/>
  <c r="U572" i="1"/>
  <c r="BE572" i="1"/>
  <c r="CC572" i="1"/>
  <c r="CD572" i="1"/>
  <c r="A573" i="1"/>
  <c r="C573" i="1"/>
  <c r="S573" i="1"/>
  <c r="T573" i="1"/>
  <c r="U573" i="1"/>
  <c r="BE573" i="1"/>
  <c r="CC573" i="1"/>
  <c r="CD573" i="1"/>
  <c r="A574" i="1"/>
  <c r="C574" i="1"/>
  <c r="S574" i="1"/>
  <c r="T574" i="1"/>
  <c r="U574" i="1"/>
  <c r="BE574" i="1"/>
  <c r="CC574" i="1"/>
  <c r="CD574" i="1"/>
  <c r="A575" i="1"/>
  <c r="C575" i="1"/>
  <c r="S575" i="1"/>
  <c r="T575" i="1"/>
  <c r="U575" i="1"/>
  <c r="BE575" i="1"/>
  <c r="CC575" i="1"/>
  <c r="CD575" i="1"/>
  <c r="A576" i="1"/>
  <c r="C576" i="1"/>
  <c r="S576" i="1"/>
  <c r="T576" i="1"/>
  <c r="U576" i="1"/>
  <c r="BE576" i="1"/>
  <c r="CC576" i="1"/>
  <c r="CD576" i="1"/>
  <c r="A577" i="1"/>
  <c r="C577" i="1"/>
  <c r="S577" i="1"/>
  <c r="T577" i="1"/>
  <c r="U577" i="1"/>
  <c r="BE577" i="1"/>
  <c r="CC577" i="1"/>
  <c r="CD577" i="1"/>
  <c r="A578" i="1"/>
  <c r="C578" i="1"/>
  <c r="S578" i="1"/>
  <c r="T578" i="1"/>
  <c r="U578" i="1"/>
  <c r="BE578" i="1"/>
  <c r="CC578" i="1"/>
  <c r="CD578" i="1"/>
  <c r="A579" i="1"/>
  <c r="C579" i="1"/>
  <c r="S579" i="1"/>
  <c r="T579" i="1"/>
  <c r="U579" i="1"/>
  <c r="BE579" i="1"/>
  <c r="CC579" i="1"/>
  <c r="CD579" i="1"/>
  <c r="A580" i="1"/>
  <c r="C580" i="1"/>
  <c r="S580" i="1"/>
  <c r="T580" i="1"/>
  <c r="U580" i="1"/>
  <c r="BE580" i="1"/>
  <c r="CC580" i="1"/>
  <c r="CD580" i="1"/>
  <c r="A581" i="1"/>
  <c r="C581" i="1"/>
  <c r="S581" i="1"/>
  <c r="T581" i="1"/>
  <c r="U581" i="1"/>
  <c r="BE581" i="1"/>
  <c r="CC581" i="1"/>
  <c r="CD581" i="1"/>
  <c r="A582" i="1"/>
  <c r="C582" i="1"/>
  <c r="S582" i="1"/>
  <c r="T582" i="1"/>
  <c r="U582" i="1"/>
  <c r="BE582" i="1"/>
  <c r="CC582" i="1"/>
  <c r="CD582" i="1"/>
  <c r="A583" i="1"/>
  <c r="C583" i="1"/>
  <c r="S583" i="1"/>
  <c r="T583" i="1"/>
  <c r="U583" i="1"/>
  <c r="BE583" i="1"/>
  <c r="CC583" i="1"/>
  <c r="CD583" i="1"/>
  <c r="A584" i="1"/>
  <c r="C584" i="1"/>
  <c r="S584" i="1"/>
  <c r="T584" i="1"/>
  <c r="U584" i="1"/>
  <c r="BE584" i="1"/>
  <c r="CC584" i="1"/>
  <c r="CD584" i="1"/>
  <c r="A585" i="1"/>
  <c r="C585" i="1"/>
  <c r="S585" i="1"/>
  <c r="T585" i="1"/>
  <c r="U585" i="1"/>
  <c r="BE585" i="1"/>
  <c r="CC585" i="1"/>
  <c r="CD585" i="1"/>
  <c r="A586" i="1"/>
  <c r="C586" i="1"/>
  <c r="S586" i="1"/>
  <c r="T586" i="1"/>
  <c r="U586" i="1"/>
  <c r="BE586" i="1"/>
  <c r="CC586" i="1"/>
  <c r="CD586" i="1"/>
  <c r="A587" i="1"/>
  <c r="C587" i="1"/>
  <c r="S587" i="1"/>
  <c r="T587" i="1"/>
  <c r="U587" i="1"/>
  <c r="BE587" i="1"/>
  <c r="CC587" i="1"/>
  <c r="CD587" i="1"/>
  <c r="A588" i="1"/>
  <c r="C588" i="1"/>
  <c r="S588" i="1"/>
  <c r="T588" i="1"/>
  <c r="U588" i="1"/>
  <c r="BE588" i="1"/>
  <c r="CC588" i="1"/>
  <c r="CD588" i="1"/>
  <c r="A589" i="1"/>
  <c r="C589" i="1"/>
  <c r="S589" i="1"/>
  <c r="T589" i="1"/>
  <c r="U589" i="1"/>
  <c r="BE589" i="1"/>
  <c r="CC589" i="1"/>
  <c r="CD589" i="1"/>
  <c r="A590" i="1"/>
  <c r="C590" i="1"/>
  <c r="S590" i="1"/>
  <c r="T590" i="1"/>
  <c r="U590" i="1"/>
  <c r="BE590" i="1"/>
  <c r="CC590" i="1"/>
  <c r="CD590" i="1"/>
  <c r="A591" i="1"/>
  <c r="C591" i="1"/>
  <c r="S591" i="1"/>
  <c r="T591" i="1"/>
  <c r="U591" i="1"/>
  <c r="BE591" i="1"/>
  <c r="CC591" i="1"/>
  <c r="CD591" i="1"/>
  <c r="A592" i="1"/>
  <c r="C592" i="1"/>
  <c r="S592" i="1"/>
  <c r="T592" i="1"/>
  <c r="U592" i="1"/>
  <c r="BE592" i="1"/>
  <c r="CC592" i="1"/>
  <c r="CD592" i="1"/>
  <c r="A593" i="1"/>
  <c r="C593" i="1"/>
  <c r="S593" i="1"/>
  <c r="T593" i="1"/>
  <c r="U593" i="1"/>
  <c r="BE593" i="1"/>
  <c r="CC593" i="1"/>
  <c r="CD593" i="1"/>
  <c r="A594" i="1"/>
  <c r="C594" i="1"/>
  <c r="S594" i="1"/>
  <c r="T594" i="1"/>
  <c r="U594" i="1"/>
  <c r="BE594" i="1"/>
  <c r="CC594" i="1"/>
  <c r="CD594" i="1"/>
  <c r="A595" i="1"/>
  <c r="C595" i="1"/>
  <c r="S595" i="1"/>
  <c r="T595" i="1"/>
  <c r="U595" i="1"/>
  <c r="BE595" i="1"/>
  <c r="CC595" i="1"/>
  <c r="CD595" i="1"/>
  <c r="A596" i="1"/>
  <c r="C596" i="1"/>
  <c r="S596" i="1"/>
  <c r="T596" i="1"/>
  <c r="U596" i="1"/>
  <c r="BE596" i="1"/>
  <c r="CC596" i="1"/>
  <c r="CD596" i="1"/>
  <c r="A597" i="1"/>
  <c r="C597" i="1"/>
  <c r="S597" i="1"/>
  <c r="T597" i="1"/>
  <c r="U597" i="1"/>
  <c r="BE597" i="1"/>
  <c r="CC597" i="1"/>
  <c r="CD597" i="1"/>
  <c r="A598" i="1"/>
  <c r="C598" i="1"/>
  <c r="S598" i="1"/>
  <c r="T598" i="1"/>
  <c r="U598" i="1"/>
  <c r="BE598" i="1"/>
  <c r="CC598" i="1"/>
  <c r="CD598" i="1"/>
  <c r="A599" i="1"/>
  <c r="C599" i="1"/>
  <c r="S599" i="1"/>
  <c r="T599" i="1"/>
  <c r="U599" i="1"/>
  <c r="BE599" i="1"/>
  <c r="CC599" i="1"/>
  <c r="CD599" i="1"/>
  <c r="A600" i="1"/>
  <c r="C600" i="1"/>
  <c r="S600" i="1"/>
  <c r="T600" i="1"/>
  <c r="U600" i="1"/>
  <c r="BE600" i="1"/>
  <c r="CC600" i="1"/>
  <c r="CD600" i="1"/>
  <c r="A601" i="1"/>
  <c r="C601" i="1"/>
  <c r="S601" i="1"/>
  <c r="T601" i="1"/>
  <c r="U601" i="1"/>
  <c r="BE601" i="1"/>
  <c r="CC601" i="1"/>
  <c r="CD601" i="1"/>
  <c r="A602" i="1"/>
  <c r="C602" i="1"/>
  <c r="S602" i="1"/>
  <c r="T602" i="1"/>
  <c r="U602" i="1"/>
  <c r="BE602" i="1"/>
  <c r="CC602" i="1"/>
  <c r="CD602" i="1"/>
  <c r="A603" i="1"/>
  <c r="C603" i="1"/>
  <c r="S603" i="1"/>
  <c r="T603" i="1"/>
  <c r="U603" i="1"/>
  <c r="BE603" i="1"/>
  <c r="CC603" i="1"/>
  <c r="CD603" i="1"/>
  <c r="A604" i="1"/>
  <c r="C604" i="1"/>
  <c r="S604" i="1"/>
  <c r="T604" i="1"/>
  <c r="U604" i="1"/>
  <c r="BE604" i="1"/>
  <c r="CC604" i="1"/>
  <c r="CD604" i="1"/>
  <c r="A605" i="1"/>
  <c r="C605" i="1"/>
  <c r="S605" i="1"/>
  <c r="T605" i="1"/>
  <c r="U605" i="1"/>
  <c r="BE605" i="1"/>
  <c r="CC605" i="1"/>
  <c r="CD605" i="1"/>
  <c r="A606" i="1"/>
  <c r="C606" i="1"/>
  <c r="S606" i="1"/>
  <c r="T606" i="1"/>
  <c r="U606" i="1"/>
  <c r="BE606" i="1"/>
  <c r="CC606" i="1"/>
  <c r="CD606" i="1"/>
  <c r="A607" i="1"/>
  <c r="C607" i="1"/>
  <c r="S607" i="1"/>
  <c r="T607" i="1"/>
  <c r="U607" i="1"/>
  <c r="BE607" i="1"/>
  <c r="CC607" i="1"/>
  <c r="CD607" i="1"/>
  <c r="A608" i="1"/>
  <c r="C608" i="1"/>
  <c r="S608" i="1"/>
  <c r="T608" i="1"/>
  <c r="U608" i="1"/>
  <c r="BE608" i="1"/>
  <c r="CC608" i="1"/>
  <c r="CD608" i="1"/>
  <c r="A609" i="1"/>
  <c r="C609" i="1"/>
  <c r="S609" i="1"/>
  <c r="T609" i="1"/>
  <c r="U609" i="1"/>
  <c r="BE609" i="1"/>
  <c r="CC609" i="1"/>
  <c r="CD609" i="1"/>
  <c r="A610" i="1"/>
  <c r="C610" i="1"/>
  <c r="S610" i="1"/>
  <c r="T610" i="1"/>
  <c r="U610" i="1"/>
  <c r="BE610" i="1"/>
  <c r="CC610" i="1"/>
  <c r="CD610" i="1"/>
  <c r="A611" i="1"/>
  <c r="C611" i="1"/>
  <c r="S611" i="1"/>
  <c r="T611" i="1"/>
  <c r="U611" i="1"/>
  <c r="BE611" i="1"/>
  <c r="CC611" i="1"/>
  <c r="CD611" i="1"/>
  <c r="A612" i="1"/>
  <c r="C612" i="1"/>
  <c r="S612" i="1"/>
  <c r="T612" i="1"/>
  <c r="U612" i="1"/>
  <c r="BE612" i="1"/>
  <c r="CC612" i="1"/>
  <c r="CD612" i="1"/>
  <c r="A613" i="1"/>
  <c r="C613" i="1"/>
  <c r="S613" i="1"/>
  <c r="T613" i="1"/>
  <c r="U613" i="1"/>
  <c r="BE613" i="1"/>
  <c r="CC613" i="1"/>
  <c r="CD613" i="1"/>
  <c r="A614" i="1"/>
  <c r="C614" i="1"/>
  <c r="S614" i="1"/>
  <c r="T614" i="1"/>
  <c r="U614" i="1"/>
  <c r="BE614" i="1"/>
  <c r="CC614" i="1"/>
  <c r="CD614" i="1"/>
  <c r="A615" i="1"/>
  <c r="C615" i="1"/>
  <c r="S615" i="1"/>
  <c r="T615" i="1"/>
  <c r="U615" i="1"/>
  <c r="BE615" i="1"/>
  <c r="CC615" i="1"/>
  <c r="CD615" i="1"/>
  <c r="A616" i="1"/>
  <c r="C616" i="1"/>
  <c r="S616" i="1"/>
  <c r="T616" i="1"/>
  <c r="U616" i="1"/>
  <c r="BE616" i="1"/>
  <c r="CC616" i="1"/>
  <c r="CD616" i="1"/>
  <c r="A617" i="1"/>
  <c r="C617" i="1"/>
  <c r="S617" i="1"/>
  <c r="T617" i="1"/>
  <c r="U617" i="1"/>
  <c r="BE617" i="1"/>
  <c r="CC617" i="1"/>
  <c r="CD617" i="1"/>
  <c r="A618" i="1"/>
  <c r="C618" i="1"/>
  <c r="S618" i="1"/>
  <c r="T618" i="1"/>
  <c r="U618" i="1"/>
  <c r="BE618" i="1"/>
  <c r="CC618" i="1"/>
  <c r="CD618" i="1"/>
  <c r="A619" i="1"/>
  <c r="C619" i="1"/>
  <c r="S619" i="1"/>
  <c r="T619" i="1"/>
  <c r="U619" i="1"/>
  <c r="BE619" i="1"/>
  <c r="CC619" i="1"/>
  <c r="CD619" i="1"/>
  <c r="A620" i="1"/>
  <c r="C620" i="1"/>
  <c r="S620" i="1"/>
  <c r="T620" i="1"/>
  <c r="U620" i="1"/>
  <c r="BE620" i="1"/>
  <c r="CC620" i="1"/>
  <c r="CD620" i="1"/>
  <c r="A621" i="1"/>
  <c r="C621" i="1"/>
  <c r="S621" i="1"/>
  <c r="T621" i="1"/>
  <c r="U621" i="1"/>
  <c r="BE621" i="1"/>
  <c r="CC621" i="1"/>
  <c r="CD621" i="1"/>
  <c r="A622" i="1"/>
  <c r="C622" i="1"/>
  <c r="S622" i="1"/>
  <c r="T622" i="1"/>
  <c r="U622" i="1"/>
  <c r="BE622" i="1"/>
  <c r="CC622" i="1"/>
  <c r="CD622" i="1"/>
  <c r="A623" i="1"/>
  <c r="C623" i="1"/>
  <c r="S623" i="1"/>
  <c r="T623" i="1"/>
  <c r="U623" i="1"/>
  <c r="BE623" i="1"/>
  <c r="CC623" i="1"/>
  <c r="CD623" i="1"/>
  <c r="A624" i="1"/>
  <c r="C624" i="1"/>
  <c r="S624" i="1"/>
  <c r="T624" i="1"/>
  <c r="U624" i="1"/>
  <c r="BE624" i="1"/>
  <c r="CC624" i="1"/>
  <c r="CD624" i="1"/>
  <c r="A625" i="1"/>
  <c r="C625" i="1"/>
  <c r="S625" i="1"/>
  <c r="T625" i="1"/>
  <c r="U625" i="1"/>
  <c r="BE625" i="1"/>
  <c r="CC625" i="1"/>
  <c r="CD625" i="1"/>
  <c r="A626" i="1"/>
  <c r="C626" i="1"/>
  <c r="S626" i="1"/>
  <c r="T626" i="1"/>
  <c r="U626" i="1"/>
  <c r="BE626" i="1"/>
  <c r="CC626" i="1"/>
  <c r="CD626" i="1"/>
  <c r="A627" i="1"/>
  <c r="C627" i="1"/>
  <c r="S627" i="1"/>
  <c r="T627" i="1"/>
  <c r="U627" i="1"/>
  <c r="BE627" i="1"/>
  <c r="CC627" i="1"/>
  <c r="CD627" i="1"/>
  <c r="A628" i="1"/>
  <c r="C628" i="1"/>
  <c r="S628" i="1"/>
  <c r="T628" i="1"/>
  <c r="U628" i="1"/>
  <c r="BE628" i="1"/>
  <c r="CC628" i="1"/>
  <c r="CD628" i="1"/>
  <c r="A629" i="1"/>
  <c r="C629" i="1"/>
  <c r="S629" i="1"/>
  <c r="T629" i="1"/>
  <c r="U629" i="1"/>
  <c r="BE629" i="1"/>
  <c r="CC629" i="1"/>
  <c r="CD629" i="1"/>
  <c r="A630" i="1"/>
  <c r="C630" i="1"/>
  <c r="S630" i="1"/>
  <c r="T630" i="1"/>
  <c r="U630" i="1"/>
  <c r="BE630" i="1"/>
  <c r="CC630" i="1"/>
  <c r="CD630" i="1"/>
  <c r="A631" i="1"/>
  <c r="C631" i="1"/>
  <c r="S631" i="1"/>
  <c r="T631" i="1"/>
  <c r="U631" i="1"/>
  <c r="BE631" i="1"/>
  <c r="CC631" i="1"/>
  <c r="CD631" i="1"/>
  <c r="A632" i="1"/>
  <c r="C632" i="1"/>
  <c r="S632" i="1"/>
  <c r="T632" i="1"/>
  <c r="U632" i="1"/>
  <c r="BE632" i="1"/>
  <c r="CC632" i="1"/>
  <c r="CD632" i="1"/>
  <c r="A633" i="1"/>
  <c r="C633" i="1"/>
  <c r="S633" i="1"/>
  <c r="T633" i="1"/>
  <c r="U633" i="1"/>
  <c r="BE633" i="1"/>
  <c r="CC633" i="1"/>
  <c r="CD633" i="1"/>
  <c r="A634" i="1"/>
  <c r="C634" i="1"/>
  <c r="S634" i="1"/>
  <c r="T634" i="1"/>
  <c r="U634" i="1"/>
  <c r="BE634" i="1"/>
  <c r="CC634" i="1"/>
  <c r="CD634" i="1"/>
  <c r="A635" i="1"/>
  <c r="C635" i="1"/>
  <c r="S635" i="1"/>
  <c r="T635" i="1"/>
  <c r="U635" i="1"/>
  <c r="BE635" i="1"/>
  <c r="CC635" i="1"/>
  <c r="CD635" i="1"/>
  <c r="A636" i="1"/>
  <c r="C636" i="1"/>
  <c r="S636" i="1"/>
  <c r="T636" i="1"/>
  <c r="U636" i="1"/>
  <c r="BE636" i="1"/>
  <c r="CC636" i="1"/>
  <c r="CD636" i="1"/>
  <c r="A637" i="1"/>
  <c r="C637" i="1"/>
  <c r="S637" i="1"/>
  <c r="T637" i="1"/>
  <c r="U637" i="1"/>
  <c r="BE637" i="1"/>
  <c r="CC637" i="1"/>
  <c r="CD637" i="1"/>
  <c r="A638" i="1"/>
  <c r="C638" i="1"/>
  <c r="S638" i="1"/>
  <c r="T638" i="1"/>
  <c r="U638" i="1"/>
  <c r="BE638" i="1"/>
  <c r="CC638" i="1"/>
  <c r="CD638" i="1"/>
  <c r="A639" i="1"/>
  <c r="C639" i="1"/>
  <c r="S639" i="1"/>
  <c r="T639" i="1"/>
  <c r="U639" i="1"/>
  <c r="BE639" i="1"/>
  <c r="CC639" i="1"/>
  <c r="CD639" i="1"/>
  <c r="A640" i="1"/>
  <c r="C640" i="1"/>
  <c r="S640" i="1"/>
  <c r="T640" i="1"/>
  <c r="U640" i="1"/>
  <c r="BE640" i="1"/>
  <c r="CC640" i="1"/>
  <c r="CD640" i="1"/>
  <c r="A641" i="1"/>
  <c r="C641" i="1"/>
  <c r="S641" i="1"/>
  <c r="T641" i="1"/>
  <c r="U641" i="1"/>
  <c r="BE641" i="1"/>
  <c r="CC641" i="1"/>
  <c r="CD641" i="1"/>
  <c r="A642" i="1"/>
  <c r="C642" i="1"/>
  <c r="S642" i="1"/>
  <c r="T642" i="1"/>
  <c r="U642" i="1"/>
  <c r="BE642" i="1"/>
  <c r="CC642" i="1"/>
  <c r="CD642" i="1"/>
  <c r="A643" i="1"/>
  <c r="C643" i="1"/>
  <c r="S643" i="1"/>
  <c r="T643" i="1"/>
  <c r="U643" i="1"/>
  <c r="BE643" i="1"/>
  <c r="CC643" i="1"/>
  <c r="CD643" i="1"/>
  <c r="A644" i="1"/>
  <c r="C644" i="1"/>
  <c r="S644" i="1"/>
  <c r="T644" i="1"/>
  <c r="U644" i="1"/>
  <c r="BE644" i="1"/>
  <c r="CC644" i="1"/>
  <c r="CD644" i="1"/>
  <c r="A645" i="1"/>
  <c r="C645" i="1"/>
  <c r="S645" i="1"/>
  <c r="T645" i="1"/>
  <c r="U645" i="1"/>
  <c r="BE645" i="1"/>
  <c r="CC645" i="1"/>
  <c r="CD645" i="1"/>
  <c r="A646" i="1"/>
  <c r="C646" i="1"/>
  <c r="S646" i="1"/>
  <c r="T646" i="1"/>
  <c r="U646" i="1"/>
  <c r="BE646" i="1"/>
  <c r="CC646" i="1"/>
  <c r="CD646" i="1"/>
  <c r="A647" i="1"/>
  <c r="C647" i="1"/>
  <c r="S647" i="1"/>
  <c r="T647" i="1"/>
  <c r="U647" i="1"/>
  <c r="BE647" i="1"/>
  <c r="CC647" i="1"/>
  <c r="CD647" i="1"/>
  <c r="A648" i="1"/>
  <c r="C648" i="1"/>
  <c r="S648" i="1"/>
  <c r="T648" i="1"/>
  <c r="U648" i="1"/>
  <c r="BE648" i="1"/>
  <c r="CC648" i="1"/>
  <c r="CD648" i="1"/>
  <c r="A649" i="1"/>
  <c r="C649" i="1"/>
  <c r="S649" i="1"/>
  <c r="T649" i="1"/>
  <c r="U649" i="1"/>
  <c r="BE649" i="1"/>
  <c r="CC649" i="1"/>
  <c r="CD649" i="1"/>
  <c r="A650" i="1"/>
  <c r="C650" i="1"/>
  <c r="S650" i="1"/>
  <c r="T650" i="1"/>
  <c r="U650" i="1"/>
  <c r="BE650" i="1"/>
  <c r="CC650" i="1"/>
  <c r="CD650" i="1"/>
  <c r="A651" i="1"/>
  <c r="C651" i="1"/>
  <c r="S651" i="1"/>
  <c r="T651" i="1"/>
  <c r="U651" i="1"/>
  <c r="BE651" i="1"/>
  <c r="CC651" i="1"/>
  <c r="CD651" i="1"/>
  <c r="A652" i="1"/>
  <c r="C652" i="1"/>
  <c r="S652" i="1"/>
  <c r="T652" i="1"/>
  <c r="U652" i="1"/>
  <c r="BE652" i="1"/>
  <c r="CC652" i="1"/>
  <c r="CD652" i="1"/>
  <c r="A653" i="1"/>
  <c r="C653" i="1"/>
  <c r="S653" i="1"/>
  <c r="T653" i="1"/>
  <c r="U653" i="1"/>
  <c r="BE653" i="1"/>
  <c r="CC653" i="1"/>
  <c r="CD653" i="1"/>
  <c r="A654" i="1"/>
  <c r="C654" i="1"/>
  <c r="S654" i="1"/>
  <c r="T654" i="1"/>
  <c r="U654" i="1"/>
  <c r="BE654" i="1"/>
  <c r="CC654" i="1"/>
  <c r="CD654" i="1"/>
  <c r="A655" i="1"/>
  <c r="C655" i="1"/>
  <c r="S655" i="1"/>
  <c r="T655" i="1"/>
  <c r="U655" i="1"/>
  <c r="BE655" i="1"/>
  <c r="CC655" i="1"/>
  <c r="CD655" i="1"/>
  <c r="A656" i="1"/>
  <c r="C656" i="1"/>
  <c r="S656" i="1"/>
  <c r="T656" i="1"/>
  <c r="U656" i="1"/>
  <c r="BE656" i="1"/>
  <c r="CC656" i="1"/>
  <c r="CD656" i="1"/>
  <c r="A657" i="1"/>
  <c r="C657" i="1"/>
  <c r="S657" i="1"/>
  <c r="T657" i="1"/>
  <c r="U657" i="1"/>
  <c r="BE657" i="1"/>
  <c r="CC657" i="1"/>
  <c r="CD657" i="1"/>
  <c r="A658" i="1"/>
  <c r="C658" i="1"/>
  <c r="S658" i="1"/>
  <c r="T658" i="1"/>
  <c r="U658" i="1"/>
  <c r="BE658" i="1"/>
  <c r="CC658" i="1"/>
  <c r="CD658" i="1"/>
  <c r="A659" i="1"/>
  <c r="C659" i="1"/>
  <c r="S659" i="1"/>
  <c r="T659" i="1"/>
  <c r="U659" i="1"/>
  <c r="BE659" i="1"/>
  <c r="CC659" i="1"/>
  <c r="CD659" i="1"/>
  <c r="A660" i="1"/>
  <c r="C660" i="1"/>
  <c r="S660" i="1"/>
  <c r="T660" i="1"/>
  <c r="U660" i="1"/>
  <c r="BE660" i="1"/>
  <c r="CC660" i="1"/>
  <c r="CD660" i="1"/>
  <c r="A661" i="1"/>
  <c r="C661" i="1"/>
  <c r="S661" i="1"/>
  <c r="T661" i="1"/>
  <c r="U661" i="1"/>
  <c r="BE661" i="1"/>
  <c r="CC661" i="1"/>
  <c r="CD661" i="1"/>
  <c r="A662" i="1"/>
  <c r="C662" i="1"/>
  <c r="S662" i="1"/>
  <c r="T662" i="1"/>
  <c r="U662" i="1"/>
  <c r="BE662" i="1"/>
  <c r="CC662" i="1"/>
  <c r="CD662" i="1"/>
  <c r="A663" i="1"/>
  <c r="C663" i="1"/>
  <c r="S663" i="1"/>
  <c r="T663" i="1"/>
  <c r="U663" i="1"/>
  <c r="BE663" i="1"/>
  <c r="CC663" i="1"/>
  <c r="CD663" i="1"/>
  <c r="A664" i="1"/>
  <c r="C664" i="1"/>
  <c r="S664" i="1"/>
  <c r="T664" i="1"/>
  <c r="U664" i="1"/>
  <c r="BE664" i="1"/>
  <c r="CC664" i="1"/>
  <c r="CD664" i="1"/>
  <c r="A665" i="1"/>
  <c r="C665" i="1"/>
  <c r="S665" i="1"/>
  <c r="T665" i="1"/>
  <c r="U665" i="1"/>
  <c r="BE665" i="1"/>
  <c r="CC665" i="1"/>
  <c r="CD665" i="1"/>
  <c r="A666" i="1"/>
  <c r="C666" i="1"/>
  <c r="S666" i="1"/>
  <c r="T666" i="1"/>
  <c r="U666" i="1"/>
  <c r="BE666" i="1"/>
  <c r="CC666" i="1"/>
  <c r="CD666" i="1"/>
  <c r="A667" i="1"/>
  <c r="C667" i="1"/>
  <c r="S667" i="1"/>
  <c r="T667" i="1"/>
  <c r="U667" i="1"/>
  <c r="BE667" i="1"/>
  <c r="CC667" i="1"/>
  <c r="CD667" i="1"/>
  <c r="A668" i="1"/>
  <c r="C668" i="1"/>
  <c r="S668" i="1"/>
  <c r="T668" i="1"/>
  <c r="U668" i="1"/>
  <c r="BE668" i="1"/>
  <c r="CC668" i="1"/>
  <c r="CD668" i="1"/>
  <c r="A669" i="1"/>
  <c r="C669" i="1"/>
  <c r="S669" i="1"/>
  <c r="T669" i="1"/>
  <c r="U669" i="1"/>
  <c r="BE669" i="1"/>
  <c r="CC669" i="1"/>
  <c r="CD669" i="1"/>
  <c r="A670" i="1"/>
  <c r="C670" i="1"/>
  <c r="S670" i="1"/>
  <c r="T670" i="1"/>
  <c r="U670" i="1"/>
  <c r="BE670" i="1"/>
  <c r="CC670" i="1"/>
  <c r="CD670" i="1"/>
  <c r="A671" i="1"/>
  <c r="C671" i="1"/>
  <c r="S671" i="1"/>
  <c r="T671" i="1"/>
  <c r="U671" i="1"/>
  <c r="BE671" i="1"/>
  <c r="CC671" i="1"/>
  <c r="CD671" i="1"/>
  <c r="A672" i="1"/>
  <c r="C672" i="1"/>
  <c r="S672" i="1"/>
  <c r="T672" i="1"/>
  <c r="U672" i="1"/>
  <c r="BE672" i="1"/>
  <c r="CC672" i="1"/>
  <c r="CD672" i="1"/>
  <c r="A673" i="1"/>
  <c r="C673" i="1"/>
  <c r="S673" i="1"/>
  <c r="T673" i="1"/>
  <c r="U673" i="1"/>
  <c r="BE673" i="1"/>
  <c r="CC673" i="1"/>
  <c r="CD673" i="1"/>
  <c r="A674" i="1"/>
  <c r="C674" i="1"/>
  <c r="S674" i="1"/>
  <c r="T674" i="1"/>
  <c r="U674" i="1"/>
  <c r="BE674" i="1"/>
  <c r="CC674" i="1"/>
  <c r="CD674" i="1"/>
  <c r="A675" i="1"/>
  <c r="C675" i="1"/>
  <c r="S675" i="1"/>
  <c r="T675" i="1"/>
  <c r="U675" i="1"/>
  <c r="BE675" i="1"/>
  <c r="CC675" i="1"/>
  <c r="CD675" i="1"/>
  <c r="A676" i="1"/>
  <c r="C676" i="1"/>
  <c r="S676" i="1"/>
  <c r="T676" i="1"/>
  <c r="U676" i="1"/>
  <c r="BE676" i="1"/>
  <c r="CC676" i="1"/>
  <c r="CD676" i="1"/>
  <c r="A677" i="1"/>
  <c r="C677" i="1"/>
  <c r="S677" i="1"/>
  <c r="T677" i="1"/>
  <c r="U677" i="1"/>
  <c r="BE677" i="1"/>
  <c r="CC677" i="1"/>
  <c r="CD677" i="1"/>
  <c r="A678" i="1"/>
  <c r="C678" i="1"/>
  <c r="S678" i="1"/>
  <c r="T678" i="1"/>
  <c r="U678" i="1"/>
  <c r="BE678" i="1"/>
  <c r="CC678" i="1"/>
  <c r="CD678" i="1"/>
  <c r="A679" i="1"/>
  <c r="C679" i="1"/>
  <c r="S679" i="1"/>
  <c r="T679" i="1"/>
  <c r="U679" i="1"/>
  <c r="BE679" i="1"/>
  <c r="CC679" i="1"/>
  <c r="CD679" i="1"/>
  <c r="A680" i="1"/>
  <c r="C680" i="1"/>
  <c r="S680" i="1"/>
  <c r="T680" i="1"/>
  <c r="U680" i="1"/>
  <c r="BE680" i="1"/>
  <c r="CC680" i="1"/>
  <c r="CD680" i="1"/>
  <c r="A681" i="1"/>
  <c r="C681" i="1"/>
  <c r="S681" i="1"/>
  <c r="T681" i="1"/>
  <c r="U681" i="1"/>
  <c r="BE681" i="1"/>
  <c r="CC681" i="1"/>
  <c r="CD681" i="1"/>
  <c r="A682" i="1"/>
  <c r="C682" i="1"/>
  <c r="S682" i="1"/>
  <c r="T682" i="1"/>
  <c r="U682" i="1"/>
  <c r="BE682" i="1"/>
  <c r="CC682" i="1"/>
  <c r="CD682" i="1"/>
  <c r="A683" i="1"/>
  <c r="C683" i="1"/>
  <c r="S683" i="1"/>
  <c r="T683" i="1"/>
  <c r="U683" i="1"/>
  <c r="BE683" i="1"/>
  <c r="CC683" i="1"/>
  <c r="CD683" i="1"/>
  <c r="A684" i="1"/>
  <c r="C684" i="1"/>
  <c r="S684" i="1"/>
  <c r="T684" i="1"/>
  <c r="U684" i="1"/>
  <c r="BE684" i="1"/>
  <c r="CC684" i="1"/>
  <c r="CD684" i="1"/>
  <c r="A685" i="1"/>
  <c r="C685" i="1"/>
  <c r="S685" i="1"/>
  <c r="T685" i="1"/>
  <c r="U685" i="1"/>
  <c r="BE685" i="1"/>
  <c r="CC685" i="1"/>
  <c r="CD685" i="1"/>
  <c r="A686" i="1"/>
  <c r="C686" i="1"/>
  <c r="S686" i="1"/>
  <c r="T686" i="1"/>
  <c r="U686" i="1"/>
  <c r="BE686" i="1"/>
  <c r="CC686" i="1"/>
  <c r="CD686" i="1"/>
  <c r="A687" i="1"/>
  <c r="C687" i="1"/>
  <c r="S687" i="1"/>
  <c r="T687" i="1"/>
  <c r="U687" i="1"/>
  <c r="BE687" i="1"/>
  <c r="CC687" i="1"/>
  <c r="CD687" i="1"/>
  <c r="A688" i="1"/>
  <c r="C688" i="1"/>
  <c r="S688" i="1"/>
  <c r="T688" i="1"/>
  <c r="U688" i="1"/>
  <c r="BE688" i="1"/>
  <c r="CC688" i="1"/>
  <c r="CD688" i="1"/>
  <c r="A689" i="1"/>
  <c r="C689" i="1"/>
  <c r="S689" i="1"/>
  <c r="T689" i="1"/>
  <c r="U689" i="1"/>
  <c r="BE689" i="1"/>
  <c r="CC689" i="1"/>
  <c r="CD689" i="1"/>
  <c r="A690" i="1"/>
  <c r="C690" i="1"/>
  <c r="S690" i="1"/>
  <c r="T690" i="1"/>
  <c r="U690" i="1"/>
  <c r="BE690" i="1"/>
  <c r="CC690" i="1"/>
  <c r="CD690" i="1"/>
  <c r="A691" i="1"/>
  <c r="C691" i="1"/>
  <c r="S691" i="1"/>
  <c r="T691" i="1"/>
  <c r="U691" i="1"/>
  <c r="BE691" i="1"/>
  <c r="CC691" i="1"/>
  <c r="CD691" i="1"/>
  <c r="A692" i="1"/>
  <c r="C692" i="1"/>
  <c r="S692" i="1"/>
  <c r="T692" i="1"/>
  <c r="U692" i="1"/>
  <c r="BE692" i="1"/>
  <c r="CC692" i="1"/>
  <c r="CD692" i="1"/>
  <c r="A693" i="1"/>
  <c r="C693" i="1"/>
  <c r="S693" i="1"/>
  <c r="T693" i="1"/>
  <c r="U693" i="1"/>
  <c r="BE693" i="1"/>
  <c r="CC693" i="1"/>
  <c r="CD693" i="1"/>
  <c r="A694" i="1"/>
  <c r="C694" i="1"/>
  <c r="S694" i="1"/>
  <c r="T694" i="1"/>
  <c r="U694" i="1"/>
  <c r="BE694" i="1"/>
  <c r="CC694" i="1"/>
  <c r="CD694" i="1"/>
  <c r="A695" i="1"/>
  <c r="C695" i="1"/>
  <c r="S695" i="1"/>
  <c r="T695" i="1"/>
  <c r="U695" i="1"/>
  <c r="BE695" i="1"/>
  <c r="CC695" i="1"/>
  <c r="CD695" i="1"/>
  <c r="A696" i="1"/>
  <c r="C696" i="1"/>
  <c r="S696" i="1"/>
  <c r="T696" i="1"/>
  <c r="U696" i="1"/>
  <c r="BE696" i="1"/>
  <c r="CC696" i="1"/>
  <c r="CD696" i="1"/>
  <c r="A697" i="1"/>
  <c r="C697" i="1"/>
  <c r="S697" i="1"/>
  <c r="T697" i="1"/>
  <c r="U697" i="1"/>
  <c r="BE697" i="1"/>
  <c r="CC697" i="1"/>
  <c r="CD697" i="1"/>
  <c r="A698" i="1"/>
  <c r="C698" i="1"/>
  <c r="S698" i="1"/>
  <c r="T698" i="1"/>
  <c r="U698" i="1"/>
  <c r="BE698" i="1"/>
  <c r="CC698" i="1"/>
  <c r="CD698" i="1"/>
  <c r="A699" i="1"/>
  <c r="C699" i="1"/>
  <c r="S699" i="1"/>
  <c r="T699" i="1"/>
  <c r="U699" i="1"/>
  <c r="BE699" i="1"/>
  <c r="CC699" i="1"/>
  <c r="CD699" i="1"/>
  <c r="A700" i="1"/>
  <c r="C700" i="1"/>
  <c r="S700" i="1"/>
  <c r="T700" i="1"/>
  <c r="U700" i="1"/>
  <c r="BE700" i="1"/>
  <c r="CC700" i="1"/>
  <c r="CD700" i="1"/>
  <c r="A701" i="1"/>
  <c r="C701" i="1"/>
  <c r="S701" i="1"/>
  <c r="T701" i="1"/>
  <c r="U701" i="1"/>
  <c r="BE701" i="1"/>
  <c r="CC701" i="1"/>
  <c r="CD701" i="1"/>
  <c r="A702" i="1"/>
  <c r="C702" i="1"/>
  <c r="S702" i="1"/>
  <c r="T702" i="1"/>
  <c r="U702" i="1"/>
  <c r="BE702" i="1"/>
  <c r="CC702" i="1"/>
  <c r="CD702" i="1"/>
  <c r="A703" i="1"/>
  <c r="C703" i="1"/>
  <c r="S703" i="1"/>
  <c r="T703" i="1"/>
  <c r="U703" i="1"/>
  <c r="BE703" i="1"/>
  <c r="CC703" i="1"/>
  <c r="CD703" i="1"/>
  <c r="A704" i="1"/>
  <c r="C704" i="1"/>
  <c r="S704" i="1"/>
  <c r="T704" i="1"/>
  <c r="U704" i="1"/>
  <c r="BE704" i="1"/>
  <c r="CC704" i="1"/>
  <c r="CD704" i="1"/>
  <c r="A705" i="1"/>
  <c r="C705" i="1"/>
  <c r="S705" i="1"/>
  <c r="T705" i="1"/>
  <c r="U705" i="1"/>
  <c r="BE705" i="1"/>
  <c r="CC705" i="1"/>
  <c r="CD705" i="1"/>
  <c r="A706" i="1"/>
  <c r="C706" i="1"/>
  <c r="S706" i="1"/>
  <c r="T706" i="1"/>
  <c r="U706" i="1"/>
  <c r="BE706" i="1"/>
  <c r="CC706" i="1"/>
  <c r="CD706" i="1"/>
  <c r="A707" i="1"/>
  <c r="C707" i="1"/>
  <c r="S707" i="1"/>
  <c r="T707" i="1"/>
  <c r="U707" i="1"/>
  <c r="BE707" i="1"/>
  <c r="CC707" i="1"/>
  <c r="CD707" i="1"/>
  <c r="A708" i="1"/>
  <c r="C708" i="1"/>
  <c r="S708" i="1"/>
  <c r="T708" i="1"/>
  <c r="U708" i="1"/>
  <c r="BE708" i="1"/>
  <c r="CC708" i="1"/>
  <c r="CD708" i="1"/>
  <c r="A709" i="1"/>
  <c r="C709" i="1"/>
  <c r="S709" i="1"/>
  <c r="T709" i="1"/>
  <c r="U709" i="1"/>
  <c r="BE709" i="1"/>
  <c r="CC709" i="1"/>
  <c r="CD709" i="1"/>
  <c r="A710" i="1"/>
  <c r="C710" i="1"/>
  <c r="S710" i="1"/>
  <c r="T710" i="1"/>
  <c r="U710" i="1"/>
  <c r="BE710" i="1"/>
  <c r="CC710" i="1"/>
  <c r="CD710" i="1"/>
  <c r="A711" i="1"/>
  <c r="C711" i="1"/>
  <c r="S711" i="1"/>
  <c r="T711" i="1"/>
  <c r="U711" i="1"/>
  <c r="BE711" i="1"/>
  <c r="CC711" i="1"/>
  <c r="CD711" i="1"/>
  <c r="A712" i="1"/>
  <c r="C712" i="1"/>
  <c r="S712" i="1"/>
  <c r="T712" i="1"/>
  <c r="U712" i="1"/>
  <c r="BE712" i="1"/>
  <c r="CC712" i="1"/>
  <c r="CD712" i="1"/>
  <c r="A713" i="1"/>
  <c r="C713" i="1"/>
  <c r="S713" i="1"/>
  <c r="T713" i="1"/>
  <c r="U713" i="1"/>
  <c r="BE713" i="1"/>
  <c r="CC713" i="1"/>
  <c r="CD713" i="1"/>
  <c r="A714" i="1"/>
  <c r="C714" i="1"/>
  <c r="S714" i="1"/>
  <c r="T714" i="1"/>
  <c r="U714" i="1"/>
  <c r="BE714" i="1"/>
  <c r="CC714" i="1"/>
  <c r="CD714" i="1"/>
  <c r="A715" i="1"/>
  <c r="C715" i="1"/>
  <c r="S715" i="1"/>
  <c r="T715" i="1"/>
  <c r="U715" i="1"/>
  <c r="BE715" i="1"/>
  <c r="CC715" i="1"/>
  <c r="CD715" i="1"/>
  <c r="A716" i="1"/>
  <c r="C716" i="1"/>
  <c r="S716" i="1"/>
  <c r="T716" i="1"/>
  <c r="U716" i="1"/>
  <c r="BE716" i="1"/>
  <c r="CC716" i="1"/>
  <c r="CD716" i="1"/>
  <c r="A717" i="1"/>
  <c r="C717" i="1"/>
  <c r="S717" i="1"/>
  <c r="T717" i="1"/>
  <c r="U717" i="1"/>
  <c r="BE717" i="1"/>
  <c r="CC717" i="1"/>
  <c r="CD717" i="1"/>
  <c r="A718" i="1"/>
  <c r="C718" i="1"/>
  <c r="S718" i="1"/>
  <c r="T718" i="1"/>
  <c r="U718" i="1"/>
  <c r="BE718" i="1"/>
  <c r="CC718" i="1"/>
  <c r="CD718" i="1"/>
  <c r="A719" i="1"/>
  <c r="C719" i="1"/>
  <c r="S719" i="1"/>
  <c r="T719" i="1"/>
  <c r="U719" i="1"/>
  <c r="BE719" i="1"/>
  <c r="CC719" i="1"/>
  <c r="CD719" i="1"/>
  <c r="A720" i="1"/>
  <c r="C720" i="1"/>
  <c r="S720" i="1"/>
  <c r="T720" i="1"/>
  <c r="U720" i="1"/>
  <c r="BE720" i="1"/>
  <c r="CC720" i="1"/>
  <c r="CD720" i="1"/>
  <c r="A721" i="1"/>
  <c r="C721" i="1"/>
  <c r="S721" i="1"/>
  <c r="T721" i="1"/>
  <c r="U721" i="1"/>
  <c r="BE721" i="1"/>
  <c r="CC721" i="1"/>
  <c r="CD721" i="1"/>
  <c r="A722" i="1"/>
  <c r="C722" i="1"/>
  <c r="S722" i="1"/>
  <c r="T722" i="1"/>
  <c r="U722" i="1"/>
  <c r="BE722" i="1"/>
  <c r="CC722" i="1"/>
  <c r="CD722" i="1"/>
  <c r="A723" i="1"/>
  <c r="C723" i="1"/>
  <c r="S723" i="1"/>
  <c r="T723" i="1"/>
  <c r="U723" i="1"/>
  <c r="BE723" i="1"/>
  <c r="CC723" i="1"/>
  <c r="CD723" i="1"/>
  <c r="A724" i="1"/>
  <c r="C724" i="1"/>
  <c r="S724" i="1"/>
  <c r="T724" i="1"/>
  <c r="U724" i="1"/>
  <c r="BE724" i="1"/>
  <c r="CC724" i="1"/>
  <c r="CD724" i="1"/>
  <c r="A725" i="1"/>
  <c r="C725" i="1"/>
  <c r="S725" i="1"/>
  <c r="T725" i="1"/>
  <c r="U725" i="1"/>
  <c r="BE725" i="1"/>
  <c r="CC725" i="1"/>
  <c r="CD725" i="1"/>
  <c r="A726" i="1"/>
  <c r="C726" i="1"/>
  <c r="S726" i="1"/>
  <c r="T726" i="1"/>
  <c r="U726" i="1"/>
  <c r="BE726" i="1"/>
  <c r="CC726" i="1"/>
  <c r="CD726" i="1"/>
  <c r="A727" i="1"/>
  <c r="C727" i="1"/>
  <c r="S727" i="1"/>
  <c r="T727" i="1"/>
  <c r="U727" i="1"/>
  <c r="BE727" i="1"/>
  <c r="CC727" i="1"/>
  <c r="CD727" i="1"/>
  <c r="A728" i="1"/>
  <c r="C728" i="1"/>
  <c r="S728" i="1"/>
  <c r="T728" i="1"/>
  <c r="U728" i="1"/>
  <c r="BE728" i="1"/>
  <c r="CC728" i="1"/>
  <c r="CD728" i="1"/>
  <c r="A729" i="1"/>
  <c r="C729" i="1"/>
  <c r="S729" i="1"/>
  <c r="T729" i="1"/>
  <c r="U729" i="1"/>
  <c r="BE729" i="1"/>
  <c r="CC729" i="1"/>
  <c r="CD729" i="1"/>
  <c r="A730" i="1"/>
  <c r="C730" i="1"/>
  <c r="S730" i="1"/>
  <c r="T730" i="1"/>
  <c r="U730" i="1"/>
  <c r="BE730" i="1"/>
  <c r="CC730" i="1"/>
  <c r="CD730" i="1"/>
  <c r="A731" i="1"/>
  <c r="C731" i="1"/>
  <c r="S731" i="1"/>
  <c r="T731" i="1"/>
  <c r="U731" i="1"/>
  <c r="BE731" i="1"/>
  <c r="CC731" i="1"/>
  <c r="CD731" i="1"/>
  <c r="A732" i="1"/>
  <c r="C732" i="1"/>
  <c r="S732" i="1"/>
  <c r="T732" i="1"/>
  <c r="U732" i="1"/>
  <c r="BE732" i="1"/>
  <c r="CC732" i="1"/>
  <c r="CD732" i="1"/>
  <c r="A733" i="1"/>
  <c r="C733" i="1"/>
  <c r="S733" i="1"/>
  <c r="T733" i="1"/>
  <c r="U733" i="1"/>
  <c r="BE733" i="1"/>
  <c r="CC733" i="1"/>
  <c r="CD733" i="1"/>
  <c r="A734" i="1"/>
  <c r="C734" i="1"/>
  <c r="S734" i="1"/>
  <c r="T734" i="1"/>
  <c r="U734" i="1"/>
  <c r="BE734" i="1"/>
  <c r="CC734" i="1"/>
  <c r="CD734" i="1"/>
  <c r="A735" i="1"/>
  <c r="C735" i="1"/>
  <c r="S735" i="1"/>
  <c r="T735" i="1"/>
  <c r="U735" i="1"/>
  <c r="BE735" i="1"/>
  <c r="CC735" i="1"/>
  <c r="CD735" i="1"/>
  <c r="A736" i="1"/>
  <c r="C736" i="1"/>
  <c r="S736" i="1"/>
  <c r="T736" i="1"/>
  <c r="U736" i="1"/>
  <c r="BE736" i="1"/>
  <c r="CC736" i="1"/>
  <c r="CD736" i="1"/>
  <c r="A737" i="1"/>
  <c r="C737" i="1"/>
  <c r="S737" i="1"/>
  <c r="T737" i="1"/>
  <c r="U737" i="1"/>
  <c r="BE737" i="1"/>
  <c r="CC737" i="1"/>
  <c r="CD737" i="1"/>
  <c r="A738" i="1"/>
  <c r="C738" i="1"/>
  <c r="S738" i="1"/>
  <c r="T738" i="1"/>
  <c r="U738" i="1"/>
  <c r="BE738" i="1"/>
  <c r="CC738" i="1"/>
  <c r="CD738" i="1"/>
  <c r="A739" i="1"/>
  <c r="C739" i="1"/>
  <c r="S739" i="1"/>
  <c r="T739" i="1"/>
  <c r="U739" i="1"/>
  <c r="BE739" i="1"/>
  <c r="CC739" i="1"/>
  <c r="CD739" i="1"/>
  <c r="A740" i="1"/>
  <c r="C740" i="1"/>
  <c r="S740" i="1"/>
  <c r="T740" i="1"/>
  <c r="U740" i="1"/>
  <c r="BE740" i="1"/>
  <c r="CC740" i="1"/>
  <c r="CD740" i="1"/>
  <c r="A741" i="1"/>
  <c r="C741" i="1"/>
  <c r="S741" i="1"/>
  <c r="T741" i="1"/>
  <c r="U741" i="1"/>
  <c r="BE741" i="1"/>
  <c r="CC741" i="1"/>
  <c r="CD741" i="1"/>
  <c r="A742" i="1"/>
  <c r="C742" i="1"/>
  <c r="S742" i="1"/>
  <c r="T742" i="1"/>
  <c r="U742" i="1"/>
  <c r="BE742" i="1"/>
  <c r="CC742" i="1"/>
  <c r="CD742" i="1"/>
  <c r="A743" i="1"/>
  <c r="C743" i="1"/>
  <c r="S743" i="1"/>
  <c r="T743" i="1"/>
  <c r="U743" i="1"/>
  <c r="BE743" i="1"/>
  <c r="CC743" i="1"/>
  <c r="CD743" i="1"/>
  <c r="A744" i="1"/>
  <c r="C744" i="1"/>
  <c r="S744" i="1"/>
  <c r="T744" i="1"/>
  <c r="U744" i="1"/>
  <c r="BE744" i="1"/>
  <c r="CC744" i="1"/>
  <c r="CD744" i="1"/>
  <c r="A745" i="1"/>
  <c r="C745" i="1"/>
  <c r="S745" i="1"/>
  <c r="T745" i="1"/>
  <c r="U745" i="1"/>
  <c r="BE745" i="1"/>
  <c r="CC745" i="1"/>
  <c r="CD745" i="1"/>
  <c r="A746" i="1"/>
  <c r="C746" i="1"/>
  <c r="S746" i="1"/>
  <c r="T746" i="1"/>
  <c r="U746" i="1"/>
  <c r="BE746" i="1"/>
  <c r="CC746" i="1"/>
  <c r="CD746" i="1"/>
  <c r="A747" i="1"/>
  <c r="C747" i="1"/>
  <c r="S747" i="1"/>
  <c r="T747" i="1"/>
  <c r="U747" i="1"/>
  <c r="BE747" i="1"/>
  <c r="CC747" i="1"/>
  <c r="CD747" i="1"/>
  <c r="A748" i="1"/>
  <c r="C748" i="1"/>
  <c r="S748" i="1"/>
  <c r="T748" i="1"/>
  <c r="U748" i="1"/>
  <c r="BE748" i="1"/>
  <c r="CC748" i="1"/>
  <c r="CD748" i="1"/>
  <c r="A749" i="1"/>
  <c r="C749" i="1"/>
  <c r="S749" i="1"/>
  <c r="T749" i="1"/>
  <c r="U749" i="1"/>
  <c r="BE749" i="1"/>
  <c r="CC749" i="1"/>
  <c r="CD749" i="1"/>
  <c r="A750" i="1"/>
  <c r="C750" i="1"/>
  <c r="S750" i="1"/>
  <c r="T750" i="1"/>
  <c r="U750" i="1"/>
  <c r="BE750" i="1"/>
  <c r="CC750" i="1"/>
  <c r="CD750" i="1"/>
  <c r="A751" i="1"/>
  <c r="C751" i="1"/>
  <c r="S751" i="1"/>
  <c r="T751" i="1"/>
  <c r="U751" i="1"/>
  <c r="BE751" i="1"/>
  <c r="CC751" i="1"/>
  <c r="CD751" i="1"/>
  <c r="A752" i="1"/>
  <c r="C752" i="1"/>
  <c r="S752" i="1"/>
  <c r="T752" i="1"/>
  <c r="U752" i="1"/>
  <c r="BE752" i="1"/>
  <c r="CC752" i="1"/>
  <c r="CD752" i="1"/>
  <c r="A753" i="1"/>
  <c r="C753" i="1"/>
  <c r="S753" i="1"/>
  <c r="T753" i="1"/>
  <c r="U753" i="1"/>
  <c r="BE753" i="1"/>
  <c r="CC753" i="1"/>
  <c r="CD753" i="1"/>
  <c r="A754" i="1"/>
  <c r="C754" i="1"/>
  <c r="S754" i="1"/>
  <c r="T754" i="1"/>
  <c r="U754" i="1"/>
  <c r="BE754" i="1"/>
  <c r="CC754" i="1"/>
  <c r="CD754" i="1"/>
  <c r="A755" i="1"/>
  <c r="C755" i="1"/>
  <c r="S755" i="1"/>
  <c r="T755" i="1"/>
  <c r="U755" i="1"/>
  <c r="BE755" i="1"/>
  <c r="CC755" i="1"/>
  <c r="CD755" i="1"/>
  <c r="A756" i="1"/>
  <c r="C756" i="1"/>
  <c r="S756" i="1"/>
  <c r="T756" i="1"/>
  <c r="U756" i="1"/>
  <c r="BE756" i="1"/>
  <c r="CC756" i="1"/>
  <c r="CD756" i="1"/>
  <c r="A757" i="1"/>
  <c r="C757" i="1"/>
  <c r="S757" i="1"/>
  <c r="T757" i="1"/>
  <c r="U757" i="1"/>
  <c r="BE757" i="1"/>
  <c r="CC757" i="1"/>
  <c r="CD757" i="1"/>
  <c r="A758" i="1"/>
  <c r="C758" i="1"/>
  <c r="S758" i="1"/>
  <c r="T758" i="1"/>
  <c r="U758" i="1"/>
  <c r="BE758" i="1"/>
  <c r="CC758" i="1"/>
  <c r="CD758" i="1"/>
  <c r="A759" i="1"/>
  <c r="C759" i="1"/>
  <c r="S759" i="1"/>
  <c r="T759" i="1"/>
  <c r="U759" i="1"/>
  <c r="BE759" i="1"/>
  <c r="CC759" i="1"/>
  <c r="CD759" i="1"/>
  <c r="A760" i="1"/>
  <c r="C760" i="1"/>
  <c r="S760" i="1"/>
  <c r="T760" i="1"/>
  <c r="U760" i="1"/>
  <c r="BE760" i="1"/>
  <c r="CC760" i="1"/>
  <c r="CD760" i="1"/>
  <c r="A761" i="1"/>
  <c r="C761" i="1"/>
  <c r="S761" i="1"/>
  <c r="T761" i="1"/>
  <c r="U761" i="1"/>
  <c r="BE761" i="1"/>
  <c r="CC761" i="1"/>
  <c r="CD761" i="1"/>
  <c r="A762" i="1"/>
  <c r="C762" i="1"/>
  <c r="S762" i="1"/>
  <c r="T762" i="1"/>
  <c r="U762" i="1"/>
  <c r="BE762" i="1"/>
  <c r="CC762" i="1"/>
  <c r="CD762" i="1"/>
  <c r="A763" i="1"/>
  <c r="C763" i="1"/>
  <c r="S763" i="1"/>
  <c r="T763" i="1"/>
  <c r="U763" i="1"/>
  <c r="BE763" i="1"/>
  <c r="CC763" i="1"/>
  <c r="CD763" i="1"/>
  <c r="A764" i="1"/>
  <c r="C764" i="1"/>
  <c r="S764" i="1"/>
  <c r="T764" i="1"/>
  <c r="U764" i="1"/>
  <c r="BE764" i="1"/>
  <c r="CC764" i="1"/>
  <c r="CD764" i="1"/>
  <c r="A765" i="1"/>
  <c r="C765" i="1"/>
  <c r="S765" i="1"/>
  <c r="T765" i="1"/>
  <c r="U765" i="1"/>
  <c r="BE765" i="1"/>
  <c r="CC765" i="1"/>
  <c r="CD765" i="1"/>
  <c r="A766" i="1"/>
  <c r="C766" i="1"/>
  <c r="S766" i="1"/>
  <c r="T766" i="1"/>
  <c r="U766" i="1"/>
  <c r="BE766" i="1"/>
  <c r="CC766" i="1"/>
  <c r="CD766" i="1"/>
  <c r="A767" i="1"/>
  <c r="C767" i="1"/>
  <c r="S767" i="1"/>
  <c r="T767" i="1"/>
  <c r="U767" i="1"/>
  <c r="BE767" i="1"/>
  <c r="CC767" i="1"/>
  <c r="CD767" i="1"/>
  <c r="A768" i="1"/>
  <c r="C768" i="1"/>
  <c r="S768" i="1"/>
  <c r="T768" i="1"/>
  <c r="U768" i="1"/>
  <c r="BE768" i="1"/>
  <c r="CC768" i="1"/>
  <c r="CD768" i="1"/>
  <c r="A769" i="1"/>
  <c r="C769" i="1"/>
  <c r="S769" i="1"/>
  <c r="T769" i="1"/>
  <c r="U769" i="1"/>
  <c r="BE769" i="1"/>
  <c r="CC769" i="1"/>
  <c r="CD769" i="1"/>
  <c r="A770" i="1"/>
  <c r="C770" i="1"/>
  <c r="S770" i="1"/>
  <c r="T770" i="1"/>
  <c r="U770" i="1"/>
  <c r="BE770" i="1"/>
  <c r="CC770" i="1"/>
  <c r="CD770" i="1"/>
  <c r="A771" i="1"/>
  <c r="C771" i="1"/>
  <c r="S771" i="1"/>
  <c r="T771" i="1"/>
  <c r="U771" i="1"/>
  <c r="BE771" i="1"/>
  <c r="CC771" i="1"/>
  <c r="CD771" i="1"/>
  <c r="A772" i="1"/>
  <c r="C772" i="1"/>
  <c r="S772" i="1"/>
  <c r="T772" i="1"/>
  <c r="U772" i="1"/>
  <c r="BE772" i="1"/>
  <c r="CC772" i="1"/>
  <c r="CD772" i="1"/>
  <c r="A773" i="1"/>
  <c r="C773" i="1"/>
  <c r="S773" i="1"/>
  <c r="T773" i="1"/>
  <c r="U773" i="1"/>
  <c r="BE773" i="1"/>
  <c r="CC773" i="1"/>
  <c r="CD773" i="1"/>
  <c r="A774" i="1"/>
  <c r="C774" i="1"/>
  <c r="S774" i="1"/>
  <c r="T774" i="1"/>
  <c r="U774" i="1"/>
  <c r="BE774" i="1"/>
  <c r="CC774" i="1"/>
  <c r="CD774" i="1"/>
  <c r="A775" i="1"/>
  <c r="C775" i="1"/>
  <c r="S775" i="1"/>
  <c r="T775" i="1"/>
  <c r="U775" i="1"/>
  <c r="BE775" i="1"/>
  <c r="CC775" i="1"/>
  <c r="CD775" i="1"/>
  <c r="A776" i="1"/>
  <c r="C776" i="1"/>
  <c r="S776" i="1"/>
  <c r="T776" i="1"/>
  <c r="U776" i="1"/>
  <c r="BE776" i="1"/>
  <c r="CC776" i="1"/>
  <c r="CD776" i="1"/>
  <c r="A777" i="1"/>
  <c r="C777" i="1"/>
  <c r="S777" i="1"/>
  <c r="T777" i="1"/>
  <c r="U777" i="1"/>
  <c r="BE777" i="1"/>
  <c r="CC777" i="1"/>
  <c r="CD777" i="1"/>
  <c r="A778" i="1"/>
  <c r="C778" i="1"/>
  <c r="S778" i="1"/>
  <c r="T778" i="1"/>
  <c r="U778" i="1"/>
  <c r="BE778" i="1"/>
  <c r="CC778" i="1"/>
  <c r="CD778" i="1"/>
  <c r="A779" i="1"/>
  <c r="C779" i="1"/>
  <c r="S779" i="1"/>
  <c r="T779" i="1"/>
  <c r="U779" i="1"/>
  <c r="BE779" i="1"/>
  <c r="CC779" i="1"/>
  <c r="CD779" i="1"/>
  <c r="A780" i="1"/>
  <c r="C780" i="1"/>
  <c r="S780" i="1"/>
  <c r="T780" i="1"/>
  <c r="U780" i="1"/>
  <c r="BE780" i="1"/>
  <c r="CC780" i="1"/>
  <c r="CD780" i="1"/>
  <c r="A781" i="1"/>
  <c r="C781" i="1"/>
  <c r="S781" i="1"/>
  <c r="T781" i="1"/>
  <c r="U781" i="1"/>
  <c r="BE781" i="1"/>
  <c r="CC781" i="1"/>
  <c r="CD781" i="1"/>
  <c r="A782" i="1"/>
  <c r="C782" i="1"/>
  <c r="S782" i="1"/>
  <c r="T782" i="1"/>
  <c r="U782" i="1"/>
  <c r="BE782" i="1"/>
  <c r="CC782" i="1"/>
  <c r="CD782" i="1"/>
  <c r="A783" i="1"/>
  <c r="C783" i="1"/>
  <c r="S783" i="1"/>
  <c r="T783" i="1"/>
  <c r="U783" i="1"/>
  <c r="BE783" i="1"/>
  <c r="CC783" i="1"/>
  <c r="CD783" i="1"/>
  <c r="A784" i="1"/>
  <c r="C784" i="1"/>
  <c r="S784" i="1"/>
  <c r="T784" i="1"/>
  <c r="U784" i="1"/>
  <c r="BE784" i="1"/>
  <c r="CC784" i="1"/>
  <c r="CD784" i="1"/>
  <c r="A785" i="1"/>
  <c r="C785" i="1"/>
  <c r="S785" i="1"/>
  <c r="T785" i="1"/>
  <c r="U785" i="1"/>
  <c r="BE785" i="1"/>
  <c r="CC785" i="1"/>
  <c r="CD785" i="1"/>
  <c r="A786" i="1"/>
  <c r="C786" i="1"/>
  <c r="S786" i="1"/>
  <c r="T786" i="1"/>
  <c r="U786" i="1"/>
  <c r="BE786" i="1"/>
  <c r="CC786" i="1"/>
  <c r="CD786" i="1"/>
  <c r="A787" i="1"/>
  <c r="C787" i="1"/>
  <c r="S787" i="1"/>
  <c r="T787" i="1"/>
  <c r="U787" i="1"/>
  <c r="BE787" i="1"/>
  <c r="CC787" i="1"/>
  <c r="CD787" i="1"/>
  <c r="A788" i="1"/>
  <c r="C788" i="1"/>
  <c r="S788" i="1"/>
  <c r="T788" i="1"/>
  <c r="U788" i="1"/>
  <c r="BE788" i="1"/>
  <c r="CC788" i="1"/>
  <c r="CD788" i="1"/>
  <c r="A789" i="1"/>
  <c r="C789" i="1"/>
  <c r="S789" i="1"/>
  <c r="T789" i="1"/>
  <c r="U789" i="1"/>
  <c r="BE789" i="1"/>
  <c r="CC789" i="1"/>
  <c r="CD789" i="1"/>
  <c r="A790" i="1"/>
  <c r="C790" i="1"/>
  <c r="S790" i="1"/>
  <c r="T790" i="1"/>
  <c r="U790" i="1"/>
  <c r="BE790" i="1"/>
  <c r="CC790" i="1"/>
  <c r="CD790" i="1"/>
  <c r="A791" i="1"/>
  <c r="C791" i="1"/>
  <c r="S791" i="1"/>
  <c r="T791" i="1"/>
  <c r="U791" i="1"/>
  <c r="BE791" i="1"/>
  <c r="CC791" i="1"/>
  <c r="CD791" i="1"/>
  <c r="A792" i="1"/>
  <c r="C792" i="1"/>
  <c r="S792" i="1"/>
  <c r="T792" i="1"/>
  <c r="U792" i="1"/>
  <c r="BE792" i="1"/>
  <c r="CC792" i="1"/>
  <c r="CD792" i="1"/>
  <c r="A793" i="1"/>
  <c r="C793" i="1"/>
  <c r="S793" i="1"/>
  <c r="T793" i="1"/>
  <c r="U793" i="1"/>
  <c r="BE793" i="1"/>
  <c r="CC793" i="1"/>
  <c r="CD793" i="1"/>
  <c r="A794" i="1"/>
  <c r="C794" i="1"/>
  <c r="S794" i="1"/>
  <c r="T794" i="1"/>
  <c r="U794" i="1"/>
  <c r="BE794" i="1"/>
  <c r="CC794" i="1"/>
  <c r="CD794" i="1"/>
  <c r="A795" i="1"/>
  <c r="C795" i="1"/>
  <c r="S795" i="1"/>
  <c r="T795" i="1"/>
  <c r="U795" i="1"/>
  <c r="BE795" i="1"/>
  <c r="CC795" i="1"/>
  <c r="CD795" i="1"/>
  <c r="A796" i="1"/>
  <c r="C796" i="1"/>
  <c r="S796" i="1"/>
  <c r="T796" i="1"/>
  <c r="U796" i="1"/>
  <c r="BE796" i="1"/>
  <c r="CC796" i="1"/>
  <c r="CD796" i="1"/>
  <c r="A797" i="1"/>
  <c r="C797" i="1"/>
  <c r="S797" i="1"/>
  <c r="T797" i="1"/>
  <c r="U797" i="1"/>
  <c r="BE797" i="1"/>
  <c r="CC797" i="1"/>
  <c r="CD797" i="1"/>
  <c r="A798" i="1"/>
  <c r="C798" i="1"/>
  <c r="S798" i="1"/>
  <c r="T798" i="1"/>
  <c r="U798" i="1"/>
  <c r="BE798" i="1"/>
  <c r="CC798" i="1"/>
  <c r="CD798" i="1"/>
  <c r="A799" i="1"/>
  <c r="C799" i="1"/>
  <c r="S799" i="1"/>
  <c r="T799" i="1"/>
  <c r="U799" i="1"/>
  <c r="BE799" i="1"/>
  <c r="CC799" i="1"/>
  <c r="CD799" i="1"/>
  <c r="A800" i="1"/>
  <c r="C800" i="1"/>
  <c r="S800" i="1"/>
  <c r="T800" i="1"/>
  <c r="U800" i="1"/>
  <c r="BE800" i="1"/>
  <c r="CC800" i="1"/>
  <c r="CD800" i="1"/>
  <c r="A801" i="1"/>
  <c r="C801" i="1"/>
  <c r="S801" i="1"/>
  <c r="T801" i="1"/>
  <c r="U801" i="1"/>
  <c r="BE801" i="1"/>
  <c r="CC801" i="1"/>
  <c r="CD801" i="1"/>
  <c r="A802" i="1"/>
  <c r="C802" i="1"/>
  <c r="S802" i="1"/>
  <c r="T802" i="1"/>
  <c r="U802" i="1"/>
  <c r="BE802" i="1"/>
  <c r="CC802" i="1"/>
  <c r="CD802" i="1"/>
  <c r="A803" i="1"/>
  <c r="C803" i="1"/>
  <c r="S803" i="1"/>
  <c r="T803" i="1"/>
  <c r="U803" i="1"/>
  <c r="BE803" i="1"/>
  <c r="CC803" i="1"/>
  <c r="CD803" i="1"/>
  <c r="A804" i="1"/>
  <c r="C804" i="1"/>
  <c r="S804" i="1"/>
  <c r="T804" i="1"/>
  <c r="U804" i="1"/>
  <c r="BE804" i="1"/>
  <c r="CC804" i="1"/>
  <c r="CD804" i="1"/>
  <c r="A805" i="1"/>
  <c r="C805" i="1"/>
  <c r="S805" i="1"/>
  <c r="T805" i="1"/>
  <c r="U805" i="1"/>
  <c r="BE805" i="1"/>
  <c r="CC805" i="1"/>
  <c r="CD805" i="1"/>
  <c r="A806" i="1"/>
  <c r="C806" i="1"/>
  <c r="S806" i="1"/>
  <c r="T806" i="1"/>
  <c r="U806" i="1"/>
  <c r="BE806" i="1"/>
  <c r="CC806" i="1"/>
  <c r="CD806" i="1"/>
  <c r="A807" i="1"/>
  <c r="C807" i="1"/>
  <c r="S807" i="1"/>
  <c r="T807" i="1"/>
  <c r="U807" i="1"/>
  <c r="BE807" i="1"/>
  <c r="CC807" i="1"/>
  <c r="CD807" i="1"/>
  <c r="A808" i="1"/>
  <c r="C808" i="1"/>
  <c r="S808" i="1"/>
  <c r="T808" i="1"/>
  <c r="U808" i="1"/>
  <c r="BE808" i="1"/>
  <c r="CC808" i="1"/>
  <c r="CD808" i="1"/>
  <c r="A809" i="1"/>
  <c r="C809" i="1"/>
  <c r="S809" i="1"/>
  <c r="T809" i="1"/>
  <c r="U809" i="1"/>
  <c r="BE809" i="1"/>
  <c r="CC809" i="1"/>
  <c r="CD809" i="1"/>
  <c r="A810" i="1"/>
  <c r="C810" i="1"/>
  <c r="S810" i="1"/>
  <c r="T810" i="1"/>
  <c r="U810" i="1"/>
  <c r="BE810" i="1"/>
  <c r="CC810" i="1"/>
  <c r="CD810" i="1"/>
  <c r="A811" i="1"/>
  <c r="C811" i="1"/>
  <c r="S811" i="1"/>
  <c r="T811" i="1"/>
  <c r="U811" i="1"/>
  <c r="BE811" i="1"/>
  <c r="CC811" i="1"/>
  <c r="CD811" i="1"/>
  <c r="A812" i="1"/>
  <c r="C812" i="1"/>
  <c r="S812" i="1"/>
  <c r="T812" i="1"/>
  <c r="U812" i="1"/>
  <c r="BE812" i="1"/>
  <c r="CC812" i="1"/>
  <c r="CD812" i="1"/>
  <c r="A813" i="1"/>
  <c r="C813" i="1"/>
  <c r="S813" i="1"/>
  <c r="T813" i="1"/>
  <c r="U813" i="1"/>
  <c r="BE813" i="1"/>
  <c r="CC813" i="1"/>
  <c r="CD813" i="1"/>
  <c r="A814" i="1"/>
  <c r="C814" i="1"/>
  <c r="S814" i="1"/>
  <c r="T814" i="1"/>
  <c r="U814" i="1"/>
  <c r="BE814" i="1"/>
  <c r="CC814" i="1"/>
  <c r="CD814" i="1"/>
  <c r="A815" i="1"/>
  <c r="C815" i="1"/>
  <c r="S815" i="1"/>
  <c r="T815" i="1"/>
  <c r="U815" i="1"/>
  <c r="BE815" i="1"/>
  <c r="CC815" i="1"/>
  <c r="CD815" i="1"/>
  <c r="A816" i="1"/>
  <c r="C816" i="1"/>
  <c r="S816" i="1"/>
  <c r="T816" i="1"/>
  <c r="U816" i="1"/>
  <c r="BE816" i="1"/>
  <c r="CC816" i="1"/>
  <c r="CD816" i="1"/>
  <c r="A817" i="1"/>
  <c r="C817" i="1"/>
  <c r="S817" i="1"/>
  <c r="T817" i="1"/>
  <c r="U817" i="1"/>
  <c r="BE817" i="1"/>
  <c r="CC817" i="1"/>
  <c r="CD817" i="1"/>
  <c r="A818" i="1"/>
  <c r="C818" i="1"/>
  <c r="S818" i="1"/>
  <c r="T818" i="1"/>
  <c r="U818" i="1"/>
  <c r="BE818" i="1"/>
  <c r="CC818" i="1"/>
  <c r="CD818" i="1"/>
  <c r="A819" i="1"/>
  <c r="C819" i="1"/>
  <c r="S819" i="1"/>
  <c r="T819" i="1"/>
  <c r="U819" i="1"/>
  <c r="BE819" i="1"/>
  <c r="CC819" i="1"/>
  <c r="CD819" i="1"/>
  <c r="A820" i="1"/>
  <c r="C820" i="1"/>
  <c r="S820" i="1"/>
  <c r="T820" i="1"/>
  <c r="U820" i="1"/>
  <c r="BE820" i="1"/>
  <c r="CC820" i="1"/>
  <c r="CD820" i="1"/>
  <c r="A821" i="1"/>
  <c r="C821" i="1"/>
  <c r="S821" i="1"/>
  <c r="T821" i="1"/>
  <c r="U821" i="1"/>
  <c r="BE821" i="1"/>
  <c r="CC821" i="1"/>
  <c r="CD821" i="1"/>
  <c r="A822" i="1"/>
  <c r="C822" i="1"/>
  <c r="S822" i="1"/>
  <c r="T822" i="1"/>
  <c r="U822" i="1"/>
  <c r="BE822" i="1"/>
  <c r="CC822" i="1"/>
  <c r="CD822" i="1"/>
  <c r="A823" i="1"/>
  <c r="C823" i="1"/>
  <c r="S823" i="1"/>
  <c r="T823" i="1"/>
  <c r="U823" i="1"/>
  <c r="BE823" i="1"/>
  <c r="CC823" i="1"/>
  <c r="CD823" i="1"/>
  <c r="A824" i="1"/>
  <c r="C824" i="1"/>
  <c r="S824" i="1"/>
  <c r="T824" i="1"/>
  <c r="U824" i="1"/>
  <c r="BE824" i="1"/>
  <c r="CC824" i="1"/>
  <c r="CD824" i="1"/>
  <c r="A825" i="1"/>
  <c r="C825" i="1"/>
  <c r="S825" i="1"/>
  <c r="T825" i="1"/>
  <c r="U825" i="1"/>
  <c r="BE825" i="1"/>
  <c r="CC825" i="1"/>
  <c r="CD825" i="1"/>
  <c r="A826" i="1"/>
  <c r="C826" i="1"/>
  <c r="S826" i="1"/>
  <c r="T826" i="1"/>
  <c r="U826" i="1"/>
  <c r="BE826" i="1"/>
  <c r="CC826" i="1"/>
  <c r="CD826" i="1"/>
  <c r="A827" i="1"/>
  <c r="C827" i="1"/>
  <c r="S827" i="1"/>
  <c r="T827" i="1"/>
  <c r="U827" i="1"/>
  <c r="BE827" i="1"/>
  <c r="CC827" i="1"/>
  <c r="CD827" i="1"/>
  <c r="A828" i="1"/>
  <c r="C828" i="1"/>
  <c r="S828" i="1"/>
  <c r="T828" i="1"/>
  <c r="U828" i="1"/>
  <c r="BE828" i="1"/>
  <c r="CC828" i="1"/>
  <c r="CD828" i="1"/>
  <c r="A829" i="1"/>
  <c r="C829" i="1"/>
  <c r="S829" i="1"/>
  <c r="T829" i="1"/>
  <c r="U829" i="1"/>
  <c r="BE829" i="1"/>
  <c r="CC829" i="1"/>
  <c r="CD829" i="1"/>
  <c r="A830" i="1"/>
  <c r="C830" i="1"/>
  <c r="S830" i="1"/>
  <c r="T830" i="1"/>
  <c r="U830" i="1"/>
  <c r="BE830" i="1"/>
  <c r="CC830" i="1"/>
  <c r="CD830" i="1"/>
  <c r="A831" i="1"/>
  <c r="C831" i="1"/>
  <c r="S831" i="1"/>
  <c r="T831" i="1"/>
  <c r="U831" i="1"/>
  <c r="BE831" i="1"/>
  <c r="CC831" i="1"/>
  <c r="CD831" i="1"/>
  <c r="A832" i="1"/>
  <c r="C832" i="1"/>
  <c r="S832" i="1"/>
  <c r="T832" i="1"/>
  <c r="U832" i="1"/>
  <c r="BE832" i="1"/>
  <c r="CC832" i="1"/>
  <c r="CD832" i="1"/>
  <c r="A833" i="1"/>
  <c r="C833" i="1"/>
  <c r="S833" i="1"/>
  <c r="T833" i="1"/>
  <c r="U833" i="1"/>
  <c r="BE833" i="1"/>
  <c r="CC833" i="1"/>
  <c r="CD833" i="1"/>
  <c r="A834" i="1"/>
  <c r="C834" i="1"/>
  <c r="S834" i="1"/>
  <c r="T834" i="1"/>
  <c r="U834" i="1"/>
  <c r="BE834" i="1"/>
  <c r="CC834" i="1"/>
  <c r="CD834" i="1"/>
  <c r="A835" i="1"/>
  <c r="C835" i="1"/>
  <c r="S835" i="1"/>
  <c r="T835" i="1"/>
  <c r="U835" i="1"/>
  <c r="BE835" i="1"/>
  <c r="CC835" i="1"/>
  <c r="CD835" i="1"/>
  <c r="A836" i="1"/>
  <c r="C836" i="1"/>
  <c r="S836" i="1"/>
  <c r="T836" i="1"/>
  <c r="U836" i="1"/>
  <c r="BE836" i="1"/>
  <c r="CC836" i="1"/>
  <c r="CD836" i="1"/>
  <c r="A837" i="1"/>
  <c r="C837" i="1"/>
  <c r="S837" i="1"/>
  <c r="T837" i="1"/>
  <c r="U837" i="1"/>
  <c r="BE837" i="1"/>
  <c r="CC837" i="1"/>
  <c r="CD837" i="1"/>
  <c r="A838" i="1"/>
  <c r="C838" i="1"/>
  <c r="S838" i="1"/>
  <c r="T838" i="1"/>
  <c r="U838" i="1"/>
  <c r="BE838" i="1"/>
  <c r="CC838" i="1"/>
  <c r="CD838" i="1"/>
  <c r="A839" i="1"/>
  <c r="C839" i="1"/>
  <c r="S839" i="1"/>
  <c r="T839" i="1"/>
  <c r="U839" i="1"/>
  <c r="BE839" i="1"/>
  <c r="CC839" i="1"/>
  <c r="CD839" i="1"/>
  <c r="A840" i="1"/>
  <c r="C840" i="1"/>
  <c r="S840" i="1"/>
  <c r="T840" i="1"/>
  <c r="U840" i="1"/>
  <c r="BE840" i="1"/>
  <c r="CC840" i="1"/>
  <c r="CD840" i="1"/>
  <c r="A841" i="1"/>
  <c r="C841" i="1"/>
  <c r="S841" i="1"/>
  <c r="T841" i="1"/>
  <c r="U841" i="1"/>
  <c r="BE841" i="1"/>
  <c r="CC841" i="1"/>
  <c r="CD841" i="1"/>
  <c r="A842" i="1"/>
  <c r="C842" i="1"/>
  <c r="S842" i="1"/>
  <c r="T842" i="1"/>
  <c r="U842" i="1"/>
  <c r="BE842" i="1"/>
  <c r="CC842" i="1"/>
  <c r="CD842" i="1"/>
  <c r="A843" i="1"/>
  <c r="C843" i="1"/>
  <c r="S843" i="1"/>
  <c r="T843" i="1"/>
  <c r="U843" i="1"/>
  <c r="BE843" i="1"/>
  <c r="CC843" i="1"/>
  <c r="CD843" i="1"/>
  <c r="A844" i="1"/>
  <c r="C844" i="1"/>
  <c r="S844" i="1"/>
  <c r="T844" i="1"/>
  <c r="U844" i="1"/>
  <c r="BE844" i="1"/>
  <c r="CC844" i="1"/>
  <c r="CD844" i="1"/>
  <c r="A845" i="1"/>
  <c r="C845" i="1"/>
  <c r="S845" i="1"/>
  <c r="T845" i="1"/>
  <c r="U845" i="1"/>
  <c r="BE845" i="1"/>
  <c r="CC845" i="1"/>
  <c r="CD845" i="1"/>
  <c r="A846" i="1"/>
  <c r="C846" i="1"/>
  <c r="S846" i="1"/>
  <c r="T846" i="1"/>
  <c r="U846" i="1"/>
  <c r="BE846" i="1"/>
  <c r="CC846" i="1"/>
  <c r="CD846" i="1"/>
  <c r="A847" i="1"/>
  <c r="C847" i="1"/>
  <c r="S847" i="1"/>
  <c r="T847" i="1"/>
  <c r="U847" i="1"/>
  <c r="BE847" i="1"/>
  <c r="CC847" i="1"/>
  <c r="CD847" i="1"/>
  <c r="A848" i="1"/>
  <c r="C848" i="1"/>
  <c r="S848" i="1"/>
  <c r="T848" i="1"/>
  <c r="U848" i="1"/>
  <c r="BE848" i="1"/>
  <c r="CC848" i="1"/>
  <c r="CD848" i="1"/>
  <c r="A849" i="1"/>
  <c r="C849" i="1"/>
  <c r="S849" i="1"/>
  <c r="T849" i="1"/>
  <c r="U849" i="1"/>
  <c r="BE849" i="1"/>
  <c r="CC849" i="1"/>
  <c r="CD849" i="1"/>
  <c r="A850" i="1"/>
  <c r="C850" i="1"/>
  <c r="S850" i="1"/>
  <c r="T850" i="1"/>
  <c r="U850" i="1"/>
  <c r="BE850" i="1"/>
  <c r="CC850" i="1"/>
  <c r="CD850" i="1"/>
  <c r="A851" i="1"/>
  <c r="C851" i="1"/>
  <c r="S851" i="1"/>
  <c r="T851" i="1"/>
  <c r="U851" i="1"/>
  <c r="BE851" i="1"/>
  <c r="CC851" i="1"/>
  <c r="CD851" i="1"/>
  <c r="A852" i="1"/>
  <c r="C852" i="1"/>
  <c r="S852" i="1"/>
  <c r="T852" i="1"/>
  <c r="U852" i="1"/>
  <c r="BE852" i="1"/>
  <c r="CC852" i="1"/>
  <c r="CD852" i="1"/>
  <c r="A853" i="1"/>
  <c r="C853" i="1"/>
  <c r="S853" i="1"/>
  <c r="T853" i="1"/>
  <c r="U853" i="1"/>
  <c r="BE853" i="1"/>
  <c r="CC853" i="1"/>
  <c r="CD853" i="1"/>
  <c r="A854" i="1"/>
  <c r="C854" i="1"/>
  <c r="S854" i="1"/>
  <c r="T854" i="1"/>
  <c r="U854" i="1"/>
  <c r="BE854" i="1"/>
  <c r="CC854" i="1"/>
  <c r="CD854" i="1"/>
  <c r="A855" i="1"/>
  <c r="C855" i="1"/>
  <c r="S855" i="1"/>
  <c r="T855" i="1"/>
  <c r="U855" i="1"/>
  <c r="BE855" i="1"/>
  <c r="CC855" i="1"/>
  <c r="CD855" i="1"/>
  <c r="A856" i="1"/>
  <c r="C856" i="1"/>
  <c r="S856" i="1"/>
  <c r="T856" i="1"/>
  <c r="U856" i="1"/>
  <c r="BE856" i="1"/>
  <c r="CC856" i="1"/>
  <c r="CD856" i="1"/>
  <c r="A857" i="1"/>
  <c r="C857" i="1"/>
  <c r="S857" i="1"/>
  <c r="T857" i="1"/>
  <c r="U857" i="1"/>
  <c r="BE857" i="1"/>
  <c r="CC857" i="1"/>
  <c r="CD857" i="1"/>
  <c r="A858" i="1"/>
  <c r="C858" i="1"/>
  <c r="S858" i="1"/>
  <c r="T858" i="1"/>
  <c r="U858" i="1"/>
  <c r="BE858" i="1"/>
  <c r="CC858" i="1"/>
  <c r="CD858" i="1"/>
  <c r="A859" i="1"/>
  <c r="C859" i="1"/>
  <c r="S859" i="1"/>
  <c r="T859" i="1"/>
  <c r="U859" i="1"/>
  <c r="BE859" i="1"/>
  <c r="CC859" i="1"/>
  <c r="CD859" i="1"/>
  <c r="A860" i="1"/>
  <c r="C860" i="1"/>
  <c r="S860" i="1"/>
  <c r="T860" i="1"/>
  <c r="U860" i="1"/>
  <c r="BE860" i="1"/>
  <c r="CC860" i="1"/>
  <c r="CD860" i="1"/>
  <c r="A861" i="1"/>
  <c r="C861" i="1"/>
  <c r="S861" i="1"/>
  <c r="T861" i="1"/>
  <c r="U861" i="1"/>
  <c r="BE861" i="1"/>
  <c r="CC861" i="1"/>
  <c r="CD861" i="1"/>
  <c r="A862" i="1"/>
  <c r="C862" i="1"/>
  <c r="S862" i="1"/>
  <c r="T862" i="1"/>
  <c r="U862" i="1"/>
  <c r="BE862" i="1"/>
  <c r="CC862" i="1"/>
  <c r="CD862" i="1"/>
  <c r="A863" i="1"/>
  <c r="C863" i="1"/>
  <c r="S863" i="1"/>
  <c r="T863" i="1"/>
  <c r="U863" i="1"/>
  <c r="BE863" i="1"/>
  <c r="CC863" i="1"/>
  <c r="CD863" i="1"/>
  <c r="A864" i="1"/>
  <c r="C864" i="1"/>
  <c r="S864" i="1"/>
  <c r="T864" i="1"/>
  <c r="U864" i="1"/>
  <c r="BE864" i="1"/>
  <c r="CC864" i="1"/>
  <c r="CD864" i="1"/>
  <c r="A865" i="1"/>
  <c r="C865" i="1"/>
  <c r="S865" i="1"/>
  <c r="T865" i="1"/>
  <c r="U865" i="1"/>
  <c r="BE865" i="1"/>
  <c r="CC865" i="1"/>
  <c r="CD865" i="1"/>
  <c r="A866" i="1"/>
  <c r="C866" i="1"/>
  <c r="S866" i="1"/>
  <c r="T866" i="1"/>
  <c r="U866" i="1"/>
  <c r="BE866" i="1"/>
  <c r="CC866" i="1"/>
  <c r="CD866" i="1"/>
  <c r="A867" i="1"/>
  <c r="C867" i="1"/>
  <c r="S867" i="1"/>
  <c r="T867" i="1"/>
  <c r="U867" i="1"/>
  <c r="BE867" i="1"/>
  <c r="CC867" i="1"/>
  <c r="CD867" i="1"/>
  <c r="A868" i="1"/>
  <c r="C868" i="1"/>
  <c r="S868" i="1"/>
  <c r="T868" i="1"/>
  <c r="U868" i="1"/>
  <c r="BE868" i="1"/>
  <c r="CC868" i="1"/>
  <c r="CD868" i="1"/>
  <c r="A869" i="1"/>
  <c r="C869" i="1"/>
  <c r="S869" i="1"/>
  <c r="T869" i="1"/>
  <c r="U869" i="1"/>
  <c r="BE869" i="1"/>
  <c r="CC869" i="1"/>
  <c r="CD869" i="1"/>
  <c r="A870" i="1"/>
  <c r="C870" i="1"/>
  <c r="S870" i="1"/>
  <c r="T870" i="1"/>
  <c r="U870" i="1"/>
  <c r="BE870" i="1"/>
  <c r="CC870" i="1"/>
  <c r="CD870" i="1"/>
  <c r="A871" i="1"/>
  <c r="C871" i="1"/>
  <c r="S871" i="1"/>
  <c r="T871" i="1"/>
  <c r="U871" i="1"/>
  <c r="BE871" i="1"/>
  <c r="CC871" i="1"/>
  <c r="CD871" i="1"/>
  <c r="A872" i="1"/>
  <c r="C872" i="1"/>
  <c r="S872" i="1"/>
  <c r="T872" i="1"/>
  <c r="U872" i="1"/>
  <c r="BE872" i="1"/>
  <c r="CC872" i="1"/>
  <c r="CD872" i="1"/>
  <c r="A873" i="1"/>
  <c r="C873" i="1"/>
  <c r="S873" i="1"/>
  <c r="T873" i="1"/>
  <c r="U873" i="1"/>
  <c r="BE873" i="1"/>
  <c r="CC873" i="1"/>
  <c r="CD873" i="1"/>
  <c r="A874" i="1"/>
  <c r="C874" i="1"/>
  <c r="S874" i="1"/>
  <c r="T874" i="1"/>
  <c r="U874" i="1"/>
  <c r="BE874" i="1"/>
  <c r="CC874" i="1"/>
  <c r="CD874" i="1"/>
  <c r="A875" i="1"/>
  <c r="C875" i="1"/>
  <c r="S875" i="1"/>
  <c r="T875" i="1"/>
  <c r="U875" i="1"/>
  <c r="BE875" i="1"/>
  <c r="CC875" i="1"/>
  <c r="CD875" i="1"/>
  <c r="A876" i="1"/>
  <c r="C876" i="1"/>
  <c r="S876" i="1"/>
  <c r="T876" i="1"/>
  <c r="U876" i="1"/>
  <c r="BE876" i="1"/>
  <c r="CC876" i="1"/>
  <c r="CD876" i="1"/>
  <c r="A877" i="1"/>
  <c r="C877" i="1"/>
  <c r="S877" i="1"/>
  <c r="T877" i="1"/>
  <c r="U877" i="1"/>
  <c r="BE877" i="1"/>
  <c r="CC877" i="1"/>
  <c r="CD877" i="1"/>
  <c r="A878" i="1"/>
  <c r="C878" i="1"/>
  <c r="S878" i="1"/>
  <c r="T878" i="1"/>
  <c r="U878" i="1"/>
  <c r="BE878" i="1"/>
  <c r="CC878" i="1"/>
  <c r="CD878" i="1"/>
  <c r="A879" i="1"/>
  <c r="C879" i="1"/>
  <c r="S879" i="1"/>
  <c r="T879" i="1"/>
  <c r="U879" i="1"/>
  <c r="BE879" i="1"/>
  <c r="CC879" i="1"/>
  <c r="CD879" i="1"/>
  <c r="A880" i="1"/>
  <c r="C880" i="1"/>
  <c r="S880" i="1"/>
  <c r="T880" i="1"/>
  <c r="U880" i="1"/>
  <c r="BE880" i="1"/>
  <c r="CC880" i="1"/>
  <c r="CD880" i="1"/>
  <c r="A881" i="1"/>
  <c r="C881" i="1"/>
  <c r="S881" i="1"/>
  <c r="T881" i="1"/>
  <c r="U881" i="1"/>
  <c r="BE881" i="1"/>
  <c r="CC881" i="1"/>
  <c r="CD881" i="1"/>
  <c r="A882" i="1"/>
  <c r="C882" i="1"/>
  <c r="S882" i="1"/>
  <c r="T882" i="1"/>
  <c r="U882" i="1"/>
  <c r="BE882" i="1"/>
  <c r="CC882" i="1"/>
  <c r="CD882" i="1"/>
  <c r="A883" i="1"/>
  <c r="C883" i="1"/>
  <c r="S883" i="1"/>
  <c r="T883" i="1"/>
  <c r="U883" i="1"/>
  <c r="BE883" i="1"/>
  <c r="CC883" i="1"/>
  <c r="CD883" i="1"/>
  <c r="A884" i="1"/>
  <c r="C884" i="1"/>
  <c r="S884" i="1"/>
  <c r="T884" i="1"/>
  <c r="U884" i="1"/>
  <c r="BE884" i="1"/>
  <c r="CC884" i="1"/>
  <c r="CD884" i="1"/>
  <c r="A885" i="1"/>
  <c r="C885" i="1"/>
  <c r="S885" i="1"/>
  <c r="T885" i="1"/>
  <c r="U885" i="1"/>
  <c r="BE885" i="1"/>
  <c r="CC885" i="1"/>
  <c r="CD885" i="1"/>
  <c r="A886" i="1"/>
  <c r="C886" i="1"/>
  <c r="S886" i="1"/>
  <c r="T886" i="1"/>
  <c r="U886" i="1"/>
  <c r="BE886" i="1"/>
  <c r="CC886" i="1"/>
  <c r="CD886" i="1"/>
  <c r="A887" i="1"/>
  <c r="C887" i="1"/>
  <c r="S887" i="1"/>
  <c r="T887" i="1"/>
  <c r="U887" i="1"/>
  <c r="BE887" i="1"/>
  <c r="CC887" i="1"/>
  <c r="CD887" i="1"/>
  <c r="A888" i="1"/>
  <c r="C888" i="1"/>
  <c r="S888" i="1"/>
  <c r="T888" i="1"/>
  <c r="U888" i="1"/>
  <c r="BE888" i="1"/>
  <c r="CC888" i="1"/>
  <c r="CD888" i="1"/>
  <c r="A889" i="1"/>
  <c r="C889" i="1"/>
  <c r="S889" i="1"/>
  <c r="T889" i="1"/>
  <c r="U889" i="1"/>
  <c r="BE889" i="1"/>
  <c r="CC889" i="1"/>
  <c r="CD889" i="1"/>
  <c r="A890" i="1"/>
  <c r="C890" i="1"/>
  <c r="S890" i="1"/>
  <c r="T890" i="1"/>
  <c r="U890" i="1"/>
  <c r="BE890" i="1"/>
  <c r="CC890" i="1"/>
  <c r="CD890" i="1"/>
  <c r="A891" i="1"/>
  <c r="C891" i="1"/>
  <c r="S891" i="1"/>
  <c r="T891" i="1"/>
  <c r="U891" i="1"/>
  <c r="BE891" i="1"/>
  <c r="CC891" i="1"/>
  <c r="CD891" i="1"/>
  <c r="A892" i="1"/>
  <c r="C892" i="1"/>
  <c r="S892" i="1"/>
  <c r="T892" i="1"/>
  <c r="U892" i="1"/>
  <c r="BE892" i="1"/>
  <c r="CC892" i="1"/>
  <c r="CD892" i="1"/>
  <c r="A893" i="1"/>
  <c r="C893" i="1"/>
  <c r="S893" i="1"/>
  <c r="T893" i="1"/>
  <c r="U893" i="1"/>
  <c r="BE893" i="1"/>
  <c r="CC893" i="1"/>
  <c r="CD893" i="1"/>
  <c r="A894" i="1"/>
  <c r="C894" i="1"/>
  <c r="S894" i="1"/>
  <c r="T894" i="1"/>
  <c r="U894" i="1"/>
  <c r="BE894" i="1"/>
  <c r="CC894" i="1"/>
  <c r="CD894" i="1"/>
  <c r="A895" i="1"/>
  <c r="C895" i="1"/>
  <c r="S895" i="1"/>
  <c r="T895" i="1"/>
  <c r="U895" i="1"/>
  <c r="BE895" i="1"/>
  <c r="CC895" i="1"/>
  <c r="CD895" i="1"/>
  <c r="A896" i="1"/>
  <c r="C896" i="1"/>
  <c r="S896" i="1"/>
  <c r="T896" i="1"/>
  <c r="U896" i="1"/>
  <c r="BE896" i="1"/>
  <c r="CC896" i="1"/>
  <c r="CD896" i="1"/>
  <c r="A897" i="1"/>
  <c r="C897" i="1"/>
  <c r="S897" i="1"/>
  <c r="T897" i="1"/>
  <c r="U897" i="1"/>
  <c r="BE897" i="1"/>
  <c r="CC897" i="1"/>
  <c r="CD897" i="1"/>
  <c r="A898" i="1"/>
  <c r="C898" i="1"/>
  <c r="S898" i="1"/>
  <c r="T898" i="1"/>
  <c r="U898" i="1"/>
  <c r="BE898" i="1"/>
  <c r="CC898" i="1"/>
  <c r="CD898" i="1"/>
  <c r="A899" i="1"/>
  <c r="C899" i="1"/>
  <c r="S899" i="1"/>
  <c r="T899" i="1"/>
  <c r="U899" i="1"/>
  <c r="BE899" i="1"/>
  <c r="CC899" i="1"/>
  <c r="CD899" i="1"/>
  <c r="A900" i="1"/>
  <c r="C900" i="1"/>
  <c r="S900" i="1"/>
  <c r="T900" i="1"/>
  <c r="U900" i="1"/>
  <c r="BE900" i="1"/>
  <c r="CC900" i="1"/>
  <c r="CD900" i="1"/>
  <c r="A901" i="1"/>
  <c r="C901" i="1"/>
  <c r="S901" i="1"/>
  <c r="T901" i="1"/>
  <c r="U901" i="1"/>
  <c r="BE901" i="1"/>
  <c r="CC901" i="1"/>
  <c r="CD901" i="1"/>
  <c r="A902" i="1"/>
  <c r="C902" i="1"/>
  <c r="S902" i="1"/>
  <c r="T902" i="1"/>
  <c r="U902" i="1"/>
  <c r="BE902" i="1"/>
  <c r="CC902" i="1"/>
  <c r="CD902" i="1"/>
  <c r="A903" i="1"/>
  <c r="C903" i="1"/>
  <c r="S903" i="1"/>
  <c r="T903" i="1"/>
  <c r="U903" i="1"/>
  <c r="BE903" i="1"/>
  <c r="CC903" i="1"/>
  <c r="CD903" i="1"/>
  <c r="A904" i="1"/>
  <c r="C904" i="1"/>
  <c r="S904" i="1"/>
  <c r="T904" i="1"/>
  <c r="U904" i="1"/>
  <c r="BE904" i="1"/>
  <c r="CC904" i="1"/>
  <c r="CD904" i="1"/>
  <c r="A905" i="1"/>
  <c r="C905" i="1"/>
  <c r="S905" i="1"/>
  <c r="T905" i="1"/>
  <c r="U905" i="1"/>
  <c r="BE905" i="1"/>
  <c r="CC905" i="1"/>
  <c r="CD905" i="1"/>
  <c r="A906" i="1"/>
  <c r="C906" i="1"/>
  <c r="S906" i="1"/>
  <c r="T906" i="1"/>
  <c r="U906" i="1"/>
  <c r="BE906" i="1"/>
  <c r="CC906" i="1"/>
  <c r="CD906" i="1"/>
  <c r="A907" i="1"/>
  <c r="C907" i="1"/>
  <c r="S907" i="1"/>
  <c r="T907" i="1"/>
  <c r="U907" i="1"/>
  <c r="BE907" i="1"/>
  <c r="CC907" i="1"/>
  <c r="CD907" i="1"/>
  <c r="A908" i="1"/>
  <c r="C908" i="1"/>
  <c r="S908" i="1"/>
  <c r="T908" i="1"/>
  <c r="U908" i="1"/>
  <c r="BE908" i="1"/>
  <c r="CC908" i="1"/>
  <c r="CD908" i="1"/>
  <c r="A909" i="1"/>
  <c r="C909" i="1"/>
  <c r="S909" i="1"/>
  <c r="T909" i="1"/>
  <c r="U909" i="1"/>
  <c r="BE909" i="1"/>
  <c r="CC909" i="1"/>
  <c r="CD909" i="1"/>
  <c r="A910" i="1"/>
  <c r="C910" i="1"/>
  <c r="S910" i="1"/>
  <c r="T910" i="1"/>
  <c r="U910" i="1"/>
  <c r="BE910" i="1"/>
  <c r="CC910" i="1"/>
  <c r="CD910" i="1"/>
  <c r="A911" i="1"/>
  <c r="C911" i="1"/>
  <c r="S911" i="1"/>
  <c r="T911" i="1"/>
  <c r="U911" i="1"/>
  <c r="BE911" i="1"/>
  <c r="CC911" i="1"/>
  <c r="CD911" i="1"/>
  <c r="A912" i="1"/>
  <c r="C912" i="1"/>
  <c r="S912" i="1"/>
  <c r="T912" i="1"/>
  <c r="U912" i="1"/>
  <c r="BE912" i="1"/>
  <c r="CC912" i="1"/>
  <c r="CD912" i="1"/>
  <c r="A913" i="1"/>
  <c r="C913" i="1"/>
  <c r="S913" i="1"/>
  <c r="T913" i="1"/>
  <c r="U913" i="1"/>
  <c r="BE913" i="1"/>
  <c r="CC913" i="1"/>
  <c r="CD913" i="1"/>
  <c r="A914" i="1"/>
  <c r="C914" i="1"/>
  <c r="S914" i="1"/>
  <c r="T914" i="1"/>
  <c r="U914" i="1"/>
  <c r="BE914" i="1"/>
  <c r="CC914" i="1"/>
  <c r="CD914" i="1"/>
  <c r="A915" i="1"/>
  <c r="C915" i="1"/>
  <c r="S915" i="1"/>
  <c r="T915" i="1"/>
  <c r="U915" i="1"/>
  <c r="BE915" i="1"/>
  <c r="CC915" i="1"/>
  <c r="CD915" i="1"/>
  <c r="A916" i="1"/>
  <c r="C916" i="1"/>
  <c r="S916" i="1"/>
  <c r="T916" i="1"/>
  <c r="U916" i="1"/>
  <c r="BE916" i="1"/>
  <c r="CC916" i="1"/>
  <c r="CD916" i="1"/>
  <c r="A917" i="1"/>
  <c r="C917" i="1"/>
  <c r="S917" i="1"/>
  <c r="T917" i="1"/>
  <c r="U917" i="1"/>
  <c r="BE917" i="1"/>
  <c r="CC917" i="1"/>
  <c r="CD917" i="1"/>
  <c r="A918" i="1"/>
  <c r="C918" i="1"/>
  <c r="S918" i="1"/>
  <c r="T918" i="1"/>
  <c r="U918" i="1"/>
  <c r="BE918" i="1"/>
  <c r="CC918" i="1"/>
  <c r="CD918" i="1"/>
  <c r="A919" i="1"/>
  <c r="C919" i="1"/>
  <c r="S919" i="1"/>
  <c r="T919" i="1"/>
  <c r="U919" i="1"/>
  <c r="BE919" i="1"/>
  <c r="CC919" i="1"/>
  <c r="CD919" i="1"/>
  <c r="A920" i="1"/>
  <c r="C920" i="1"/>
  <c r="S920" i="1"/>
  <c r="T920" i="1"/>
  <c r="U920" i="1"/>
  <c r="BE920" i="1"/>
  <c r="CC920" i="1"/>
  <c r="CD920" i="1"/>
  <c r="A921" i="1"/>
  <c r="C921" i="1"/>
  <c r="S921" i="1"/>
  <c r="T921" i="1"/>
  <c r="U921" i="1"/>
  <c r="BE921" i="1"/>
  <c r="CC921" i="1"/>
  <c r="CD921" i="1"/>
  <c r="A922" i="1"/>
  <c r="C922" i="1"/>
  <c r="S922" i="1"/>
  <c r="T922" i="1"/>
  <c r="U922" i="1"/>
  <c r="BE922" i="1"/>
  <c r="CC922" i="1"/>
  <c r="CD922" i="1"/>
  <c r="A923" i="1"/>
  <c r="C923" i="1"/>
  <c r="S923" i="1"/>
  <c r="T923" i="1"/>
  <c r="U923" i="1"/>
  <c r="BE923" i="1"/>
  <c r="CC923" i="1"/>
  <c r="CD923" i="1"/>
  <c r="A924" i="1"/>
  <c r="C924" i="1"/>
  <c r="S924" i="1"/>
  <c r="T924" i="1"/>
  <c r="U924" i="1"/>
  <c r="BE924" i="1"/>
  <c r="CC924" i="1"/>
  <c r="CD924" i="1"/>
  <c r="A925" i="1"/>
  <c r="C925" i="1"/>
  <c r="S925" i="1"/>
  <c r="T925" i="1"/>
  <c r="U925" i="1"/>
  <c r="BE925" i="1"/>
  <c r="CC925" i="1"/>
  <c r="CD925" i="1"/>
  <c r="A926" i="1"/>
  <c r="C926" i="1"/>
  <c r="S926" i="1"/>
  <c r="T926" i="1"/>
  <c r="U926" i="1"/>
  <c r="BE926" i="1"/>
  <c r="CC926" i="1"/>
  <c r="CD926" i="1"/>
  <c r="A927" i="1"/>
  <c r="C927" i="1"/>
  <c r="S927" i="1"/>
  <c r="T927" i="1"/>
  <c r="U927" i="1"/>
  <c r="BE927" i="1"/>
  <c r="CC927" i="1"/>
  <c r="CD927" i="1"/>
  <c r="A928" i="1"/>
  <c r="C928" i="1"/>
  <c r="S928" i="1"/>
  <c r="T928" i="1"/>
  <c r="U928" i="1"/>
  <c r="BE928" i="1"/>
  <c r="CC928" i="1"/>
  <c r="CD928" i="1"/>
  <c r="A929" i="1"/>
  <c r="C929" i="1"/>
  <c r="S929" i="1"/>
  <c r="T929" i="1"/>
  <c r="U929" i="1"/>
  <c r="BE929" i="1"/>
  <c r="CC929" i="1"/>
  <c r="CD929" i="1"/>
  <c r="A930" i="1"/>
  <c r="C930" i="1"/>
  <c r="S930" i="1"/>
  <c r="T930" i="1"/>
  <c r="U930" i="1"/>
  <c r="BE930" i="1"/>
  <c r="CC930" i="1"/>
  <c r="CD930" i="1"/>
  <c r="A931" i="1"/>
  <c r="C931" i="1"/>
  <c r="S931" i="1"/>
  <c r="T931" i="1"/>
  <c r="U931" i="1"/>
  <c r="BE931" i="1"/>
  <c r="CC931" i="1"/>
  <c r="CD931" i="1"/>
  <c r="A932" i="1"/>
  <c r="C932" i="1"/>
  <c r="S932" i="1"/>
  <c r="T932" i="1"/>
  <c r="U932" i="1"/>
  <c r="BE932" i="1"/>
  <c r="CC932" i="1"/>
  <c r="CD932" i="1"/>
  <c r="A933" i="1"/>
  <c r="C933" i="1"/>
  <c r="S933" i="1"/>
  <c r="T933" i="1"/>
  <c r="U933" i="1"/>
  <c r="BE933" i="1"/>
  <c r="CC933" i="1"/>
  <c r="CD933" i="1"/>
  <c r="A934" i="1"/>
  <c r="C934" i="1"/>
  <c r="S934" i="1"/>
  <c r="T934" i="1"/>
  <c r="U934" i="1"/>
  <c r="BE934" i="1"/>
  <c r="CC934" i="1"/>
  <c r="CD934" i="1"/>
  <c r="A935" i="1"/>
  <c r="C935" i="1"/>
  <c r="S935" i="1"/>
  <c r="T935" i="1"/>
  <c r="U935" i="1"/>
  <c r="BE935" i="1"/>
  <c r="CC935" i="1"/>
  <c r="CD935" i="1"/>
  <c r="A936" i="1"/>
  <c r="C936" i="1"/>
  <c r="S936" i="1"/>
  <c r="T936" i="1"/>
  <c r="U936" i="1"/>
  <c r="BE936" i="1"/>
  <c r="CC936" i="1"/>
  <c r="CD936" i="1"/>
  <c r="A937" i="1"/>
  <c r="C937" i="1"/>
  <c r="S937" i="1"/>
  <c r="T937" i="1"/>
  <c r="U937" i="1"/>
  <c r="BE937" i="1"/>
  <c r="CC937" i="1"/>
  <c r="CD937" i="1"/>
  <c r="A938" i="1"/>
  <c r="C938" i="1"/>
  <c r="S938" i="1"/>
  <c r="T938" i="1"/>
  <c r="U938" i="1"/>
  <c r="BE938" i="1"/>
  <c r="CC938" i="1"/>
  <c r="CD938" i="1"/>
  <c r="A939" i="1"/>
  <c r="C939" i="1"/>
  <c r="S939" i="1"/>
  <c r="T939" i="1"/>
  <c r="U939" i="1"/>
  <c r="BE939" i="1"/>
  <c r="CC939" i="1"/>
  <c r="CD939" i="1"/>
  <c r="A940" i="1"/>
  <c r="C940" i="1"/>
  <c r="S940" i="1"/>
  <c r="T940" i="1"/>
  <c r="U940" i="1"/>
  <c r="BE940" i="1"/>
  <c r="CC940" i="1"/>
  <c r="CD940" i="1"/>
  <c r="A941" i="1"/>
  <c r="C941" i="1"/>
  <c r="S941" i="1"/>
  <c r="T941" i="1"/>
  <c r="U941" i="1"/>
  <c r="BE941" i="1"/>
  <c r="CC941" i="1"/>
  <c r="CD941" i="1"/>
  <c r="A942" i="1"/>
  <c r="C942" i="1"/>
  <c r="S942" i="1"/>
  <c r="T942" i="1"/>
  <c r="U942" i="1"/>
  <c r="BE942" i="1"/>
  <c r="CC942" i="1"/>
  <c r="CD942" i="1"/>
  <c r="A943" i="1"/>
  <c r="C943" i="1"/>
  <c r="S943" i="1"/>
  <c r="T943" i="1"/>
  <c r="U943" i="1"/>
  <c r="BE943" i="1"/>
  <c r="CC943" i="1"/>
  <c r="CD943" i="1"/>
  <c r="A944" i="1"/>
  <c r="C944" i="1"/>
  <c r="S944" i="1"/>
  <c r="T944" i="1"/>
  <c r="U944" i="1"/>
  <c r="BE944" i="1"/>
  <c r="CC944" i="1"/>
  <c r="CD944" i="1"/>
  <c r="A945" i="1"/>
  <c r="C945" i="1"/>
  <c r="S945" i="1"/>
  <c r="T945" i="1"/>
  <c r="U945" i="1"/>
  <c r="BE945" i="1"/>
  <c r="CC945" i="1"/>
  <c r="CD945" i="1"/>
  <c r="A946" i="1"/>
  <c r="C946" i="1"/>
  <c r="S946" i="1"/>
  <c r="T946" i="1"/>
  <c r="U946" i="1"/>
  <c r="BE946" i="1"/>
  <c r="CC946" i="1"/>
  <c r="CD946" i="1"/>
  <c r="A947" i="1"/>
  <c r="C947" i="1"/>
  <c r="S947" i="1"/>
  <c r="T947" i="1"/>
  <c r="U947" i="1"/>
  <c r="BE947" i="1"/>
  <c r="CC947" i="1"/>
  <c r="CD947" i="1"/>
  <c r="A948" i="1"/>
  <c r="C948" i="1"/>
  <c r="S948" i="1"/>
  <c r="T948" i="1"/>
  <c r="U948" i="1"/>
  <c r="BE948" i="1"/>
  <c r="CC948" i="1"/>
  <c r="CD948" i="1"/>
  <c r="A949" i="1"/>
  <c r="C949" i="1"/>
  <c r="S949" i="1"/>
  <c r="T949" i="1"/>
  <c r="U949" i="1"/>
  <c r="BE949" i="1"/>
  <c r="CC949" i="1"/>
  <c r="CD949" i="1"/>
  <c r="A950" i="1"/>
  <c r="C950" i="1"/>
  <c r="S950" i="1"/>
  <c r="T950" i="1"/>
  <c r="U950" i="1"/>
  <c r="BE950" i="1"/>
  <c r="CC950" i="1"/>
  <c r="CD950" i="1"/>
  <c r="A951" i="1"/>
  <c r="C951" i="1"/>
  <c r="S951" i="1"/>
  <c r="T951" i="1"/>
  <c r="U951" i="1"/>
  <c r="BE951" i="1"/>
  <c r="CC951" i="1"/>
  <c r="CD951" i="1"/>
  <c r="A952" i="1"/>
  <c r="C952" i="1"/>
  <c r="S952" i="1"/>
  <c r="T952" i="1"/>
  <c r="U952" i="1"/>
  <c r="BE952" i="1"/>
  <c r="CC952" i="1"/>
  <c r="CD952" i="1"/>
  <c r="A953" i="1"/>
  <c r="C953" i="1"/>
  <c r="S953" i="1"/>
  <c r="T953" i="1"/>
  <c r="U953" i="1"/>
  <c r="BE953" i="1"/>
  <c r="CC953" i="1"/>
  <c r="CD953" i="1"/>
  <c r="A954" i="1"/>
  <c r="C954" i="1"/>
  <c r="S954" i="1"/>
  <c r="T954" i="1"/>
  <c r="U954" i="1"/>
  <c r="BE954" i="1"/>
  <c r="CC954" i="1"/>
  <c r="CD954" i="1"/>
  <c r="A955" i="1"/>
  <c r="C955" i="1"/>
  <c r="S955" i="1"/>
  <c r="T955" i="1"/>
  <c r="U955" i="1"/>
  <c r="BE955" i="1"/>
  <c r="CC955" i="1"/>
  <c r="CD955" i="1"/>
  <c r="A956" i="1"/>
  <c r="C956" i="1"/>
  <c r="S956" i="1"/>
  <c r="T956" i="1"/>
  <c r="U956" i="1"/>
  <c r="BE956" i="1"/>
  <c r="CC956" i="1"/>
  <c r="CD956" i="1"/>
  <c r="A957" i="1"/>
  <c r="C957" i="1"/>
  <c r="S957" i="1"/>
  <c r="T957" i="1"/>
  <c r="U957" i="1"/>
  <c r="BE957" i="1"/>
  <c r="CC957" i="1"/>
  <c r="CD957" i="1"/>
  <c r="A958" i="1"/>
  <c r="C958" i="1"/>
  <c r="S958" i="1"/>
  <c r="T958" i="1"/>
  <c r="U958" i="1"/>
  <c r="BE958" i="1"/>
  <c r="CC958" i="1"/>
  <c r="CD958" i="1"/>
  <c r="A959" i="1"/>
  <c r="C959" i="1"/>
  <c r="S959" i="1"/>
  <c r="T959" i="1"/>
  <c r="U959" i="1"/>
  <c r="BE959" i="1"/>
  <c r="CC959" i="1"/>
  <c r="CD959" i="1"/>
  <c r="A960" i="1"/>
  <c r="C960" i="1"/>
  <c r="S960" i="1"/>
  <c r="T960" i="1"/>
  <c r="U960" i="1"/>
  <c r="BE960" i="1"/>
  <c r="CC960" i="1"/>
  <c r="CD960" i="1"/>
  <c r="A961" i="1"/>
  <c r="C961" i="1"/>
  <c r="S961" i="1"/>
  <c r="T961" i="1"/>
  <c r="U961" i="1"/>
  <c r="BE961" i="1"/>
  <c r="CC961" i="1"/>
  <c r="CD961" i="1"/>
  <c r="A962" i="1"/>
  <c r="C962" i="1"/>
  <c r="S962" i="1"/>
  <c r="T962" i="1"/>
  <c r="U962" i="1"/>
  <c r="BE962" i="1"/>
  <c r="CC962" i="1"/>
  <c r="CD962" i="1"/>
  <c r="A963" i="1"/>
  <c r="C963" i="1"/>
  <c r="S963" i="1"/>
  <c r="T963" i="1"/>
  <c r="U963" i="1"/>
  <c r="BE963" i="1"/>
  <c r="CC963" i="1"/>
  <c r="CD963" i="1"/>
  <c r="A964" i="1"/>
  <c r="C964" i="1"/>
  <c r="S964" i="1"/>
  <c r="T964" i="1"/>
  <c r="U964" i="1"/>
  <c r="BE964" i="1"/>
  <c r="CC964" i="1"/>
  <c r="CD964" i="1"/>
  <c r="A965" i="1"/>
  <c r="C965" i="1"/>
  <c r="S965" i="1"/>
  <c r="T965" i="1"/>
  <c r="U965" i="1"/>
  <c r="BE965" i="1"/>
  <c r="CC965" i="1"/>
  <c r="CD965" i="1"/>
  <c r="A966" i="1"/>
  <c r="C966" i="1"/>
  <c r="S966" i="1"/>
  <c r="T966" i="1"/>
  <c r="U966" i="1"/>
  <c r="BE966" i="1"/>
  <c r="CC966" i="1"/>
  <c r="CD966" i="1"/>
  <c r="A967" i="1"/>
  <c r="C967" i="1"/>
  <c r="S967" i="1"/>
  <c r="T967" i="1"/>
  <c r="U967" i="1"/>
  <c r="BE967" i="1"/>
  <c r="CC967" i="1"/>
  <c r="CD967" i="1"/>
  <c r="A968" i="1"/>
  <c r="C968" i="1"/>
  <c r="S968" i="1"/>
  <c r="T968" i="1"/>
  <c r="U968" i="1"/>
  <c r="BE968" i="1"/>
  <c r="CC968" i="1"/>
  <c r="CD968" i="1"/>
  <c r="A969" i="1"/>
  <c r="C969" i="1"/>
  <c r="S969" i="1"/>
  <c r="T969" i="1"/>
  <c r="U969" i="1"/>
  <c r="BE969" i="1"/>
  <c r="CC969" i="1"/>
  <c r="CD969" i="1"/>
  <c r="A970" i="1"/>
  <c r="C970" i="1"/>
  <c r="S970" i="1"/>
  <c r="T970" i="1"/>
  <c r="U970" i="1"/>
  <c r="BE970" i="1"/>
  <c r="CC970" i="1"/>
  <c r="CD970" i="1"/>
  <c r="A971" i="1"/>
  <c r="C971" i="1"/>
  <c r="S971" i="1"/>
  <c r="T971" i="1"/>
  <c r="U971" i="1"/>
  <c r="BE971" i="1"/>
  <c r="CC971" i="1"/>
  <c r="CD971" i="1"/>
  <c r="A972" i="1"/>
  <c r="C972" i="1"/>
  <c r="S972" i="1"/>
  <c r="T972" i="1"/>
  <c r="U972" i="1"/>
  <c r="BE972" i="1"/>
  <c r="CC972" i="1"/>
  <c r="CD972" i="1"/>
  <c r="A973" i="1"/>
  <c r="C973" i="1"/>
  <c r="S973" i="1"/>
  <c r="T973" i="1"/>
  <c r="U973" i="1"/>
  <c r="BE973" i="1"/>
  <c r="CC973" i="1"/>
  <c r="CD973" i="1"/>
  <c r="A974" i="1"/>
  <c r="C974" i="1"/>
  <c r="S974" i="1"/>
  <c r="T974" i="1"/>
  <c r="U974" i="1"/>
  <c r="BE974" i="1"/>
  <c r="CC974" i="1"/>
  <c r="CD974" i="1"/>
  <c r="A975" i="1"/>
  <c r="C975" i="1"/>
  <c r="S975" i="1"/>
  <c r="T975" i="1"/>
  <c r="U975" i="1"/>
  <c r="BE975" i="1"/>
  <c r="CC975" i="1"/>
  <c r="CD975" i="1"/>
  <c r="A976" i="1"/>
  <c r="C976" i="1"/>
  <c r="S976" i="1"/>
  <c r="T976" i="1"/>
  <c r="U976" i="1"/>
  <c r="BE976" i="1"/>
  <c r="CC976" i="1"/>
  <c r="CD976" i="1"/>
  <c r="A977" i="1"/>
  <c r="C977" i="1"/>
  <c r="S977" i="1"/>
  <c r="T977" i="1"/>
  <c r="U977" i="1"/>
  <c r="BE977" i="1"/>
  <c r="CC977" i="1"/>
  <c r="CD977" i="1"/>
  <c r="A978" i="1"/>
  <c r="C978" i="1"/>
  <c r="S978" i="1"/>
  <c r="T978" i="1"/>
  <c r="U978" i="1"/>
  <c r="BE978" i="1"/>
  <c r="CC978" i="1"/>
  <c r="CD978" i="1"/>
  <c r="A979" i="1"/>
  <c r="C979" i="1"/>
  <c r="S979" i="1"/>
  <c r="T979" i="1"/>
  <c r="U979" i="1"/>
  <c r="BE979" i="1"/>
  <c r="CC979" i="1"/>
  <c r="CD979" i="1"/>
  <c r="A980" i="1"/>
  <c r="C980" i="1"/>
  <c r="S980" i="1"/>
  <c r="T980" i="1"/>
  <c r="U980" i="1"/>
  <c r="BE980" i="1"/>
  <c r="CC980" i="1"/>
  <c r="CD980" i="1"/>
  <c r="A981" i="1"/>
  <c r="C981" i="1"/>
  <c r="S981" i="1"/>
  <c r="T981" i="1"/>
  <c r="U981" i="1"/>
  <c r="BE981" i="1"/>
  <c r="CC981" i="1"/>
  <c r="CD981" i="1"/>
  <c r="A982" i="1"/>
  <c r="C982" i="1"/>
  <c r="S982" i="1"/>
  <c r="T982" i="1"/>
  <c r="U982" i="1"/>
  <c r="BE982" i="1"/>
  <c r="CC982" i="1"/>
  <c r="CD982" i="1"/>
  <c r="A983" i="1"/>
  <c r="C983" i="1"/>
  <c r="S983" i="1"/>
  <c r="T983" i="1"/>
  <c r="U983" i="1"/>
  <c r="BE983" i="1"/>
  <c r="CC983" i="1"/>
  <c r="CD983" i="1"/>
  <c r="A984" i="1"/>
  <c r="C984" i="1"/>
  <c r="S984" i="1"/>
  <c r="T984" i="1"/>
  <c r="U984" i="1"/>
  <c r="BE984" i="1"/>
  <c r="CC984" i="1"/>
  <c r="CD984" i="1"/>
  <c r="A985" i="1"/>
  <c r="C985" i="1"/>
  <c r="S985" i="1"/>
  <c r="T985" i="1"/>
  <c r="U985" i="1"/>
  <c r="BE985" i="1"/>
  <c r="CC985" i="1"/>
  <c r="CD985" i="1"/>
  <c r="A986" i="1"/>
  <c r="C986" i="1"/>
  <c r="S986" i="1"/>
  <c r="T986" i="1"/>
  <c r="U986" i="1"/>
  <c r="BE986" i="1"/>
  <c r="CC986" i="1"/>
  <c r="CD986" i="1"/>
  <c r="A987" i="1"/>
  <c r="C987" i="1"/>
  <c r="S987" i="1"/>
  <c r="T987" i="1"/>
  <c r="U987" i="1"/>
  <c r="BE987" i="1"/>
  <c r="CC987" i="1"/>
  <c r="CD987" i="1"/>
  <c r="A988" i="1"/>
  <c r="C988" i="1"/>
  <c r="S988" i="1"/>
  <c r="T988" i="1"/>
  <c r="U988" i="1"/>
  <c r="BE988" i="1"/>
  <c r="CC988" i="1"/>
  <c r="CD988" i="1"/>
  <c r="A989" i="1"/>
  <c r="C989" i="1"/>
  <c r="S989" i="1"/>
  <c r="T989" i="1"/>
  <c r="U989" i="1"/>
  <c r="BE989" i="1"/>
  <c r="CC989" i="1"/>
  <c r="CD989" i="1"/>
  <c r="A990" i="1"/>
  <c r="C990" i="1"/>
  <c r="S990" i="1"/>
  <c r="T990" i="1"/>
  <c r="U990" i="1"/>
  <c r="BE990" i="1"/>
  <c r="CC990" i="1"/>
  <c r="CD990" i="1"/>
  <c r="A991" i="1"/>
  <c r="C991" i="1"/>
  <c r="S991" i="1"/>
  <c r="T991" i="1"/>
  <c r="U991" i="1"/>
  <c r="BE991" i="1"/>
  <c r="CC991" i="1"/>
  <c r="CD991" i="1"/>
  <c r="A992" i="1"/>
  <c r="C992" i="1"/>
  <c r="S992" i="1"/>
  <c r="T992" i="1"/>
  <c r="U992" i="1"/>
  <c r="BE992" i="1"/>
  <c r="CC992" i="1"/>
  <c r="CD992" i="1"/>
  <c r="A993" i="1"/>
  <c r="C993" i="1"/>
  <c r="S993" i="1"/>
  <c r="T993" i="1"/>
  <c r="U993" i="1"/>
  <c r="BE993" i="1"/>
  <c r="CC993" i="1"/>
  <c r="CD993" i="1"/>
  <c r="A994" i="1"/>
  <c r="C994" i="1"/>
  <c r="S994" i="1"/>
  <c r="T994" i="1"/>
  <c r="U994" i="1"/>
  <c r="BE994" i="1"/>
  <c r="CC994" i="1"/>
  <c r="CD994" i="1"/>
  <c r="A995" i="1"/>
  <c r="C995" i="1"/>
  <c r="S995" i="1"/>
  <c r="T995" i="1"/>
  <c r="U995" i="1"/>
  <c r="BE995" i="1"/>
  <c r="CC995" i="1"/>
  <c r="CD995" i="1"/>
  <c r="A996" i="1"/>
  <c r="C996" i="1"/>
  <c r="S996" i="1"/>
  <c r="T996" i="1"/>
  <c r="U996" i="1"/>
  <c r="BE996" i="1"/>
  <c r="CC996" i="1"/>
  <c r="CD996" i="1"/>
  <c r="A997" i="1"/>
  <c r="C997" i="1"/>
  <c r="S997" i="1"/>
  <c r="T997" i="1"/>
  <c r="U997" i="1"/>
  <c r="BE997" i="1"/>
  <c r="CC997" i="1"/>
  <c r="CD997" i="1"/>
  <c r="A998" i="1"/>
  <c r="C998" i="1"/>
  <c r="S998" i="1"/>
  <c r="T998" i="1"/>
  <c r="U998" i="1"/>
  <c r="BE998" i="1"/>
  <c r="CC998" i="1"/>
  <c r="CD998" i="1"/>
  <c r="A999" i="1"/>
  <c r="C999" i="1"/>
  <c r="S999" i="1"/>
  <c r="T999" i="1"/>
  <c r="U999" i="1"/>
  <c r="BE999" i="1"/>
  <c r="CC999" i="1"/>
  <c r="CD999" i="1"/>
  <c r="A1000" i="1"/>
  <c r="C1000" i="1"/>
  <c r="S1000" i="1"/>
  <c r="T1000" i="1"/>
  <c r="U1000" i="1"/>
  <c r="BE1000" i="1"/>
  <c r="CC1000" i="1"/>
  <c r="CD1000" i="1"/>
  <c r="A1001" i="1"/>
  <c r="C1001" i="1"/>
  <c r="S1001" i="1"/>
  <c r="T1001" i="1"/>
  <c r="U1001" i="1"/>
  <c r="BE1001" i="1"/>
  <c r="CC1001" i="1"/>
  <c r="CD1001" i="1"/>
  <c r="A1002" i="1"/>
  <c r="C1002" i="1"/>
  <c r="S1002" i="1"/>
  <c r="T1002" i="1"/>
  <c r="U1002" i="1"/>
  <c r="BE1002" i="1"/>
  <c r="CC1002" i="1"/>
  <c r="CD1002" i="1"/>
  <c r="A1003" i="1"/>
  <c r="C1003" i="1"/>
  <c r="S1003" i="1"/>
  <c r="T1003" i="1"/>
  <c r="U1003" i="1"/>
  <c r="BE1003" i="1"/>
  <c r="CC1003" i="1"/>
  <c r="CD1003" i="1"/>
  <c r="A1004" i="1"/>
  <c r="C1004" i="1"/>
  <c r="S1004" i="1"/>
  <c r="T1004" i="1"/>
  <c r="U1004" i="1"/>
  <c r="BE1004" i="1"/>
  <c r="CC1004" i="1"/>
  <c r="CD1004" i="1"/>
  <c r="A1005" i="1"/>
  <c r="C1005" i="1"/>
  <c r="S1005" i="1"/>
  <c r="T1005" i="1"/>
  <c r="U1005" i="1"/>
  <c r="BE1005" i="1"/>
  <c r="CC1005" i="1"/>
  <c r="CD1005" i="1"/>
  <c r="A1006" i="1"/>
  <c r="C1006" i="1"/>
  <c r="S1006" i="1"/>
  <c r="T1006" i="1"/>
  <c r="U1006" i="1"/>
  <c r="BE1006" i="1"/>
  <c r="CC1006" i="1"/>
  <c r="CD1006" i="1"/>
  <c r="A1007" i="1"/>
  <c r="C1007" i="1"/>
  <c r="S1007" i="1"/>
  <c r="T1007" i="1"/>
  <c r="U1007" i="1"/>
  <c r="BE1007" i="1"/>
  <c r="CC1007" i="1"/>
  <c r="CD1007" i="1"/>
  <c r="A1008" i="1"/>
  <c r="C1008" i="1"/>
  <c r="S1008" i="1"/>
  <c r="T1008" i="1"/>
  <c r="U1008" i="1"/>
  <c r="BE1008" i="1"/>
  <c r="CC1008" i="1"/>
  <c r="CD1008" i="1"/>
  <c r="A1009" i="1"/>
  <c r="C1009" i="1"/>
  <c r="S1009" i="1"/>
  <c r="T1009" i="1"/>
  <c r="U1009" i="1"/>
  <c r="BE1009" i="1"/>
  <c r="CC1009" i="1"/>
  <c r="CD1009" i="1"/>
  <c r="A1010" i="1"/>
  <c r="C1010" i="1"/>
  <c r="S1010" i="1"/>
  <c r="T1010" i="1"/>
  <c r="U1010" i="1"/>
  <c r="BE1010" i="1"/>
  <c r="CC1010" i="1"/>
  <c r="CD1010" i="1"/>
  <c r="A1011" i="1"/>
  <c r="C1011" i="1"/>
  <c r="S1011" i="1"/>
  <c r="T1011" i="1"/>
  <c r="U1011" i="1"/>
  <c r="BE1011" i="1"/>
  <c r="CC1011" i="1"/>
  <c r="CD1011" i="1"/>
  <c r="A1012" i="1"/>
  <c r="C1012" i="1"/>
  <c r="S1012" i="1"/>
  <c r="T1012" i="1"/>
  <c r="U1012" i="1"/>
  <c r="BE1012" i="1"/>
  <c r="CC1012" i="1"/>
  <c r="CD1012" i="1"/>
  <c r="A1013" i="1"/>
  <c r="C1013" i="1"/>
  <c r="S1013" i="1"/>
  <c r="T1013" i="1"/>
  <c r="U1013" i="1"/>
  <c r="BE1013" i="1"/>
  <c r="CC1013" i="1"/>
  <c r="CD1013" i="1"/>
  <c r="A1014" i="1"/>
  <c r="C1014" i="1"/>
  <c r="S1014" i="1"/>
  <c r="T1014" i="1"/>
  <c r="U1014" i="1"/>
  <c r="BE1014" i="1"/>
  <c r="CC1014" i="1"/>
  <c r="CD1014" i="1"/>
  <c r="A1015" i="1"/>
  <c r="C1015" i="1"/>
  <c r="S1015" i="1"/>
  <c r="T1015" i="1"/>
  <c r="U1015" i="1"/>
  <c r="BE1015" i="1"/>
  <c r="CC1015" i="1"/>
  <c r="CD1015" i="1"/>
  <c r="A1016" i="1"/>
  <c r="C1016" i="1"/>
  <c r="S1016" i="1"/>
  <c r="T1016" i="1"/>
  <c r="U1016" i="1"/>
  <c r="BE1016" i="1"/>
  <c r="CC1016" i="1"/>
  <c r="CD1016" i="1"/>
  <c r="A1017" i="1"/>
  <c r="C1017" i="1"/>
  <c r="S1017" i="1"/>
  <c r="T1017" i="1"/>
  <c r="U1017" i="1"/>
  <c r="BE1017" i="1"/>
  <c r="CC1017" i="1"/>
  <c r="CD1017" i="1"/>
  <c r="A1018" i="1"/>
  <c r="C1018" i="1"/>
  <c r="S1018" i="1"/>
  <c r="T1018" i="1"/>
  <c r="U1018" i="1"/>
  <c r="BE1018" i="1"/>
  <c r="CC1018" i="1"/>
  <c r="CD1018" i="1"/>
  <c r="A1019" i="1"/>
  <c r="C1019" i="1"/>
  <c r="S1019" i="1"/>
  <c r="T1019" i="1"/>
  <c r="U1019" i="1"/>
  <c r="BE1019" i="1"/>
  <c r="CC1019" i="1"/>
  <c r="CD1019" i="1"/>
  <c r="A1020" i="1"/>
  <c r="C1020" i="1"/>
  <c r="S1020" i="1"/>
  <c r="T1020" i="1"/>
  <c r="U1020" i="1"/>
  <c r="BE1020" i="1"/>
  <c r="CC1020" i="1"/>
  <c r="CD1020" i="1"/>
  <c r="A1021" i="1"/>
  <c r="C1021" i="1"/>
  <c r="S1021" i="1"/>
  <c r="T1021" i="1"/>
  <c r="U1021" i="1"/>
  <c r="BE1021" i="1"/>
  <c r="CC1021" i="1"/>
  <c r="CD1021" i="1"/>
  <c r="A1022" i="1"/>
  <c r="C1022" i="1"/>
  <c r="S1022" i="1"/>
  <c r="T1022" i="1"/>
  <c r="U1022" i="1"/>
  <c r="BE1022" i="1"/>
  <c r="CC1022" i="1"/>
  <c r="CD1022" i="1"/>
  <c r="A1023" i="1"/>
  <c r="C1023" i="1"/>
  <c r="S1023" i="1"/>
  <c r="T1023" i="1"/>
  <c r="U1023" i="1"/>
  <c r="BE1023" i="1"/>
  <c r="CC1023" i="1"/>
  <c r="CD1023" i="1"/>
  <c r="A1024" i="1"/>
  <c r="C1024" i="1"/>
  <c r="S1024" i="1"/>
  <c r="T1024" i="1"/>
  <c r="U1024" i="1"/>
  <c r="BE1024" i="1"/>
  <c r="CC1024" i="1"/>
  <c r="CD1024" i="1"/>
  <c r="A1025" i="1"/>
  <c r="C1025" i="1"/>
  <c r="S1025" i="1"/>
  <c r="T1025" i="1"/>
  <c r="U1025" i="1"/>
  <c r="BE1025" i="1"/>
  <c r="CC1025" i="1"/>
  <c r="CD1025" i="1"/>
  <c r="A1026" i="1"/>
  <c r="C1026" i="1"/>
  <c r="S1026" i="1"/>
  <c r="T1026" i="1"/>
  <c r="U1026" i="1"/>
  <c r="BE1026" i="1"/>
  <c r="CC1026" i="1"/>
  <c r="CD1026" i="1"/>
  <c r="A1027" i="1"/>
  <c r="C1027" i="1"/>
  <c r="S1027" i="1"/>
  <c r="T1027" i="1"/>
  <c r="U1027" i="1"/>
  <c r="BE1027" i="1"/>
  <c r="CC1027" i="1"/>
  <c r="CD1027" i="1"/>
  <c r="A1028" i="1"/>
  <c r="C1028" i="1"/>
  <c r="S1028" i="1"/>
  <c r="T1028" i="1"/>
  <c r="U1028" i="1"/>
  <c r="BE1028" i="1"/>
  <c r="CC1028" i="1"/>
  <c r="CD1028" i="1"/>
  <c r="A1029" i="1"/>
  <c r="C1029" i="1"/>
  <c r="S1029" i="1"/>
  <c r="T1029" i="1"/>
  <c r="U1029" i="1"/>
  <c r="BE1029" i="1"/>
  <c r="CC1029" i="1"/>
  <c r="CD1029" i="1"/>
  <c r="A1030" i="1"/>
  <c r="C1030" i="1"/>
  <c r="S1030" i="1"/>
  <c r="T1030" i="1"/>
  <c r="U1030" i="1"/>
  <c r="BE1030" i="1"/>
  <c r="CC1030" i="1"/>
  <c r="CD1030" i="1"/>
  <c r="A1031" i="1"/>
  <c r="C1031" i="1"/>
  <c r="S1031" i="1"/>
  <c r="T1031" i="1"/>
  <c r="U1031" i="1"/>
  <c r="BE1031" i="1"/>
  <c r="CC1031" i="1"/>
  <c r="CD1031" i="1"/>
  <c r="A1032" i="1"/>
  <c r="C1032" i="1"/>
  <c r="S1032" i="1"/>
  <c r="T1032" i="1"/>
  <c r="U1032" i="1"/>
  <c r="BE1032" i="1"/>
  <c r="CC1032" i="1"/>
  <c r="CD1032" i="1"/>
  <c r="A1033" i="1"/>
  <c r="C1033" i="1"/>
  <c r="S1033" i="1"/>
  <c r="T1033" i="1"/>
  <c r="U1033" i="1"/>
  <c r="BE1033" i="1"/>
  <c r="CC1033" i="1"/>
  <c r="CD1033" i="1"/>
  <c r="A1034" i="1"/>
  <c r="C1034" i="1"/>
  <c r="S1034" i="1"/>
  <c r="T1034" i="1"/>
  <c r="U1034" i="1"/>
  <c r="BE1034" i="1"/>
  <c r="CC1034" i="1"/>
  <c r="CD1034" i="1"/>
  <c r="A1035" i="1"/>
  <c r="C1035" i="1"/>
  <c r="S1035" i="1"/>
  <c r="T1035" i="1"/>
  <c r="U1035" i="1"/>
  <c r="BE1035" i="1"/>
  <c r="CC1035" i="1"/>
  <c r="CD1035" i="1"/>
  <c r="A1036" i="1"/>
  <c r="C1036" i="1"/>
  <c r="S1036" i="1"/>
  <c r="T1036" i="1"/>
  <c r="U1036" i="1"/>
  <c r="BE1036" i="1"/>
  <c r="CC1036" i="1"/>
  <c r="CD1036" i="1"/>
  <c r="A1037" i="1"/>
  <c r="C1037" i="1"/>
  <c r="S1037" i="1"/>
  <c r="T1037" i="1"/>
  <c r="U1037" i="1"/>
  <c r="BE1037" i="1"/>
  <c r="CC1037" i="1"/>
  <c r="CD1037" i="1"/>
  <c r="A1038" i="1"/>
  <c r="C1038" i="1"/>
  <c r="S1038" i="1"/>
  <c r="T1038" i="1"/>
  <c r="U1038" i="1"/>
  <c r="BE1038" i="1"/>
  <c r="CC1038" i="1"/>
  <c r="CD1038" i="1"/>
  <c r="A1039" i="1"/>
  <c r="C1039" i="1"/>
  <c r="S1039" i="1"/>
  <c r="T1039" i="1"/>
  <c r="U1039" i="1"/>
  <c r="BE1039" i="1"/>
  <c r="CC1039" i="1"/>
  <c r="CD1039" i="1"/>
  <c r="A1040" i="1"/>
  <c r="C1040" i="1"/>
  <c r="S1040" i="1"/>
  <c r="T1040" i="1"/>
  <c r="U1040" i="1"/>
  <c r="BE1040" i="1"/>
  <c r="CC1040" i="1"/>
  <c r="CD1040" i="1"/>
  <c r="A1041" i="1"/>
  <c r="C1041" i="1"/>
  <c r="S1041" i="1"/>
  <c r="T1041" i="1"/>
  <c r="U1041" i="1"/>
  <c r="BE1041" i="1"/>
  <c r="CC1041" i="1"/>
  <c r="CD1041" i="1"/>
  <c r="A1042" i="1"/>
  <c r="C1042" i="1"/>
  <c r="S1042" i="1"/>
  <c r="T1042" i="1"/>
  <c r="U1042" i="1"/>
  <c r="BE1042" i="1"/>
  <c r="CC1042" i="1"/>
  <c r="CD1042" i="1"/>
  <c r="A1043" i="1"/>
  <c r="C1043" i="1"/>
  <c r="S1043" i="1"/>
  <c r="T1043" i="1"/>
  <c r="U1043" i="1"/>
  <c r="BE1043" i="1"/>
  <c r="CC1043" i="1"/>
  <c r="CD1043" i="1"/>
  <c r="A1044" i="1"/>
  <c r="C1044" i="1"/>
  <c r="S1044" i="1"/>
  <c r="T1044" i="1"/>
  <c r="U1044" i="1"/>
  <c r="BE1044" i="1"/>
  <c r="CC1044" i="1"/>
  <c r="CD1044" i="1"/>
  <c r="A1045" i="1"/>
  <c r="C1045" i="1"/>
  <c r="S1045" i="1"/>
  <c r="T1045" i="1"/>
  <c r="U1045" i="1"/>
  <c r="BE1045" i="1"/>
  <c r="CC1045" i="1"/>
  <c r="CD1045" i="1"/>
  <c r="A1046" i="1"/>
  <c r="C1046" i="1"/>
  <c r="S1046" i="1"/>
  <c r="T1046" i="1"/>
  <c r="U1046" i="1"/>
  <c r="BE1046" i="1"/>
  <c r="CC1046" i="1"/>
  <c r="CD1046" i="1"/>
  <c r="A1047" i="1"/>
  <c r="C1047" i="1"/>
  <c r="S1047" i="1"/>
  <c r="T1047" i="1"/>
  <c r="U1047" i="1"/>
  <c r="BE1047" i="1"/>
  <c r="CC1047" i="1"/>
  <c r="CD1047" i="1"/>
  <c r="A1048" i="1"/>
  <c r="C1048" i="1"/>
  <c r="S1048" i="1"/>
  <c r="T1048" i="1"/>
  <c r="U1048" i="1"/>
  <c r="BE1048" i="1"/>
  <c r="CC1048" i="1"/>
  <c r="CD1048" i="1"/>
  <c r="A1049" i="1"/>
  <c r="C1049" i="1"/>
  <c r="S1049" i="1"/>
  <c r="T1049" i="1"/>
  <c r="U1049" i="1"/>
  <c r="BE1049" i="1"/>
  <c r="CC1049" i="1"/>
  <c r="CD1049" i="1"/>
  <c r="A1050" i="1"/>
  <c r="C1050" i="1"/>
  <c r="S1050" i="1"/>
  <c r="T1050" i="1"/>
  <c r="U1050" i="1"/>
  <c r="BE1050" i="1"/>
  <c r="CC1050" i="1"/>
  <c r="CD1050" i="1"/>
  <c r="A1051" i="1"/>
  <c r="C1051" i="1"/>
  <c r="S1051" i="1"/>
  <c r="T1051" i="1"/>
  <c r="U1051" i="1"/>
  <c r="BE1051" i="1"/>
  <c r="CC1051" i="1"/>
  <c r="CD1051" i="1"/>
  <c r="A1052" i="1"/>
  <c r="C1052" i="1"/>
  <c r="S1052" i="1"/>
  <c r="T1052" i="1"/>
  <c r="U1052" i="1"/>
  <c r="BE1052" i="1"/>
  <c r="CC1052" i="1"/>
  <c r="CD1052" i="1"/>
  <c r="A1053" i="1"/>
  <c r="C1053" i="1"/>
  <c r="S1053" i="1"/>
  <c r="T1053" i="1"/>
  <c r="U1053" i="1"/>
  <c r="BE1053" i="1"/>
  <c r="CC1053" i="1"/>
  <c r="CD1053" i="1"/>
  <c r="A1054" i="1"/>
  <c r="C1054" i="1"/>
  <c r="S1054" i="1"/>
  <c r="T1054" i="1"/>
  <c r="U1054" i="1"/>
  <c r="BE1054" i="1"/>
  <c r="CC1054" i="1"/>
  <c r="CD1054" i="1"/>
  <c r="A1055" i="1"/>
  <c r="C1055" i="1"/>
  <c r="S1055" i="1"/>
  <c r="T1055" i="1"/>
  <c r="U1055" i="1"/>
  <c r="BE1055" i="1"/>
  <c r="CC1055" i="1"/>
  <c r="CD1055" i="1"/>
  <c r="A1056" i="1"/>
  <c r="C1056" i="1"/>
  <c r="S1056" i="1"/>
  <c r="T1056" i="1"/>
  <c r="U1056" i="1"/>
  <c r="BE1056" i="1"/>
  <c r="CC1056" i="1"/>
  <c r="CD1056" i="1"/>
  <c r="A1057" i="1"/>
  <c r="C1057" i="1"/>
  <c r="S1057" i="1"/>
  <c r="T1057" i="1"/>
  <c r="U1057" i="1"/>
  <c r="BE1057" i="1"/>
  <c r="CC1057" i="1"/>
  <c r="CD1057" i="1"/>
  <c r="A1058" i="1"/>
  <c r="C1058" i="1"/>
  <c r="S1058" i="1"/>
  <c r="T1058" i="1"/>
  <c r="U1058" i="1"/>
  <c r="BE1058" i="1"/>
  <c r="CC1058" i="1"/>
  <c r="CD1058" i="1"/>
  <c r="A1059" i="1"/>
  <c r="C1059" i="1"/>
  <c r="S1059" i="1"/>
  <c r="T1059" i="1"/>
  <c r="U1059" i="1"/>
  <c r="BE1059" i="1"/>
  <c r="CC1059" i="1"/>
  <c r="CD1059" i="1"/>
  <c r="A1060" i="1"/>
  <c r="C1060" i="1"/>
  <c r="S1060" i="1"/>
  <c r="T1060" i="1"/>
  <c r="U1060" i="1"/>
  <c r="BE1060" i="1"/>
  <c r="CC1060" i="1"/>
  <c r="CD1060" i="1"/>
  <c r="A1061" i="1"/>
  <c r="C1061" i="1"/>
  <c r="S1061" i="1"/>
  <c r="T1061" i="1"/>
  <c r="U1061" i="1"/>
  <c r="BE1061" i="1"/>
  <c r="CC1061" i="1"/>
  <c r="CD1061" i="1"/>
  <c r="A1062" i="1"/>
  <c r="C1062" i="1"/>
  <c r="S1062" i="1"/>
  <c r="T1062" i="1"/>
  <c r="U1062" i="1"/>
  <c r="BE1062" i="1"/>
  <c r="CC1062" i="1"/>
  <c r="CD1062" i="1"/>
  <c r="A1063" i="1"/>
  <c r="C1063" i="1"/>
  <c r="S1063" i="1"/>
  <c r="T1063" i="1"/>
  <c r="U1063" i="1"/>
  <c r="BE1063" i="1"/>
  <c r="CC1063" i="1"/>
  <c r="CD1063" i="1"/>
  <c r="A1064" i="1"/>
  <c r="C1064" i="1"/>
  <c r="S1064" i="1"/>
  <c r="T1064" i="1"/>
  <c r="U1064" i="1"/>
  <c r="BE1064" i="1"/>
  <c r="CC1064" i="1"/>
  <c r="CD1064" i="1"/>
  <c r="A1065" i="1"/>
  <c r="C1065" i="1"/>
  <c r="S1065" i="1"/>
  <c r="T1065" i="1"/>
  <c r="U1065" i="1"/>
  <c r="BE1065" i="1"/>
  <c r="CC1065" i="1"/>
  <c r="CD1065" i="1"/>
  <c r="A1066" i="1"/>
  <c r="C1066" i="1"/>
  <c r="S1066" i="1"/>
  <c r="T1066" i="1"/>
  <c r="U1066" i="1"/>
  <c r="BE1066" i="1"/>
  <c r="CC1066" i="1"/>
  <c r="CD1066" i="1"/>
  <c r="A1067" i="1"/>
  <c r="C1067" i="1"/>
  <c r="S1067" i="1"/>
  <c r="T1067" i="1"/>
  <c r="U1067" i="1"/>
  <c r="BE1067" i="1"/>
  <c r="CC1067" i="1"/>
  <c r="CD1067" i="1"/>
  <c r="A1068" i="1"/>
  <c r="C1068" i="1"/>
  <c r="S1068" i="1"/>
  <c r="T1068" i="1"/>
  <c r="U1068" i="1"/>
  <c r="BE1068" i="1"/>
  <c r="CC1068" i="1"/>
  <c r="CD1068" i="1"/>
  <c r="A1069" i="1"/>
  <c r="C1069" i="1"/>
  <c r="S1069" i="1"/>
  <c r="T1069" i="1"/>
  <c r="U1069" i="1"/>
  <c r="BE1069" i="1"/>
  <c r="CC1069" i="1"/>
  <c r="CD1069" i="1"/>
  <c r="A1070" i="1"/>
  <c r="C1070" i="1"/>
  <c r="S1070" i="1"/>
  <c r="T1070" i="1"/>
  <c r="U1070" i="1"/>
  <c r="BE1070" i="1"/>
  <c r="CC1070" i="1"/>
  <c r="CD1070" i="1"/>
  <c r="A1071" i="1"/>
  <c r="C1071" i="1"/>
  <c r="S1071" i="1"/>
  <c r="T1071" i="1"/>
  <c r="U1071" i="1"/>
  <c r="BE1071" i="1"/>
  <c r="CC1071" i="1"/>
  <c r="CD1071" i="1"/>
  <c r="A1072" i="1"/>
  <c r="C1072" i="1"/>
  <c r="S1072" i="1"/>
  <c r="T1072" i="1"/>
  <c r="U1072" i="1"/>
  <c r="BE1072" i="1"/>
  <c r="CC1072" i="1"/>
  <c r="CD1072" i="1"/>
  <c r="A1073" i="1"/>
  <c r="C1073" i="1"/>
  <c r="S1073" i="1"/>
  <c r="T1073" i="1"/>
  <c r="U1073" i="1"/>
  <c r="BE1073" i="1"/>
  <c r="CC1073" i="1"/>
  <c r="CD1073" i="1"/>
  <c r="A1074" i="1"/>
  <c r="C1074" i="1"/>
  <c r="S1074" i="1"/>
  <c r="T1074" i="1"/>
  <c r="U1074" i="1"/>
  <c r="BE1074" i="1"/>
  <c r="CC1074" i="1"/>
  <c r="CD1074" i="1"/>
  <c r="A1075" i="1"/>
  <c r="C1075" i="1"/>
  <c r="S1075" i="1"/>
  <c r="T1075" i="1"/>
  <c r="U1075" i="1"/>
  <c r="BE1075" i="1"/>
  <c r="CC1075" i="1"/>
  <c r="CD1075" i="1"/>
  <c r="A1076" i="1"/>
  <c r="C1076" i="1"/>
  <c r="S1076" i="1"/>
  <c r="T1076" i="1"/>
  <c r="U1076" i="1"/>
  <c r="BE1076" i="1"/>
  <c r="CC1076" i="1"/>
  <c r="CD1076" i="1"/>
  <c r="A1077" i="1"/>
  <c r="C1077" i="1"/>
  <c r="S1077" i="1"/>
  <c r="T1077" i="1"/>
  <c r="U1077" i="1"/>
  <c r="BE1077" i="1"/>
  <c r="CC1077" i="1"/>
  <c r="CD1077" i="1"/>
  <c r="A1078" i="1"/>
  <c r="C1078" i="1"/>
  <c r="S1078" i="1"/>
  <c r="T1078" i="1"/>
  <c r="U1078" i="1"/>
  <c r="BE1078" i="1"/>
  <c r="CC1078" i="1"/>
  <c r="CD1078" i="1"/>
  <c r="A1079" i="1"/>
  <c r="C1079" i="1"/>
  <c r="S1079" i="1"/>
  <c r="T1079" i="1"/>
  <c r="U1079" i="1"/>
  <c r="BE1079" i="1"/>
  <c r="CC1079" i="1"/>
  <c r="CD1079" i="1"/>
  <c r="A1080" i="1"/>
  <c r="C1080" i="1"/>
  <c r="S1080" i="1"/>
  <c r="T1080" i="1"/>
  <c r="U1080" i="1"/>
  <c r="BE1080" i="1"/>
  <c r="CC1080" i="1"/>
  <c r="CD1080" i="1"/>
  <c r="A1081" i="1"/>
  <c r="C1081" i="1"/>
  <c r="S1081" i="1"/>
  <c r="T1081" i="1"/>
  <c r="U1081" i="1"/>
  <c r="BE1081" i="1"/>
  <c r="CC1081" i="1"/>
  <c r="CD1081" i="1"/>
  <c r="A1082" i="1"/>
  <c r="C1082" i="1"/>
  <c r="S1082" i="1"/>
  <c r="T1082" i="1"/>
  <c r="U1082" i="1"/>
  <c r="BE1082" i="1"/>
  <c r="CC1082" i="1"/>
  <c r="CD1082" i="1"/>
  <c r="A1083" i="1"/>
  <c r="C1083" i="1"/>
  <c r="S1083" i="1"/>
  <c r="T1083" i="1"/>
  <c r="U1083" i="1"/>
  <c r="BE1083" i="1"/>
  <c r="CC1083" i="1"/>
  <c r="CD1083" i="1"/>
  <c r="A1084" i="1"/>
  <c r="C1084" i="1"/>
  <c r="S1084" i="1"/>
  <c r="T1084" i="1"/>
  <c r="U1084" i="1"/>
  <c r="BE1084" i="1"/>
  <c r="CC1084" i="1"/>
  <c r="CD1084" i="1"/>
  <c r="A1085" i="1"/>
  <c r="C1085" i="1"/>
  <c r="S1085" i="1"/>
  <c r="T1085" i="1"/>
  <c r="U1085" i="1"/>
  <c r="BE1085" i="1"/>
  <c r="CC1085" i="1"/>
  <c r="CD1085" i="1"/>
  <c r="A1086" i="1"/>
  <c r="C1086" i="1"/>
  <c r="S1086" i="1"/>
  <c r="T1086" i="1"/>
  <c r="U1086" i="1"/>
  <c r="BE1086" i="1"/>
  <c r="CC1086" i="1"/>
  <c r="CD1086" i="1"/>
  <c r="A1087" i="1"/>
  <c r="C1087" i="1"/>
  <c r="S1087" i="1"/>
  <c r="T1087" i="1"/>
  <c r="U1087" i="1"/>
  <c r="BE1087" i="1"/>
  <c r="CC1087" i="1"/>
  <c r="CD1087" i="1"/>
  <c r="A1088" i="1"/>
  <c r="C1088" i="1"/>
  <c r="S1088" i="1"/>
  <c r="T1088" i="1"/>
  <c r="U1088" i="1"/>
  <c r="BE1088" i="1"/>
  <c r="CC1088" i="1"/>
  <c r="CD1088" i="1"/>
  <c r="A1089" i="1"/>
  <c r="C1089" i="1"/>
  <c r="S1089" i="1"/>
  <c r="T1089" i="1"/>
  <c r="U1089" i="1"/>
  <c r="BE1089" i="1"/>
  <c r="CC1089" i="1"/>
  <c r="CD1089" i="1"/>
  <c r="A1090" i="1"/>
  <c r="C1090" i="1"/>
  <c r="S1090" i="1"/>
  <c r="T1090" i="1"/>
  <c r="U1090" i="1"/>
  <c r="BE1090" i="1"/>
  <c r="CC1090" i="1"/>
  <c r="CD1090" i="1"/>
  <c r="A1091" i="1"/>
  <c r="C1091" i="1"/>
  <c r="S1091" i="1"/>
  <c r="T1091" i="1"/>
  <c r="U1091" i="1"/>
  <c r="BE1091" i="1"/>
  <c r="CC1091" i="1"/>
  <c r="CD1091" i="1"/>
  <c r="A1092" i="1"/>
  <c r="C1092" i="1"/>
  <c r="S1092" i="1"/>
  <c r="T1092" i="1"/>
  <c r="U1092" i="1"/>
  <c r="BE1092" i="1"/>
  <c r="CC1092" i="1"/>
  <c r="CD1092" i="1"/>
  <c r="A1093" i="1"/>
  <c r="C1093" i="1"/>
  <c r="S1093" i="1"/>
  <c r="T1093" i="1"/>
  <c r="U1093" i="1"/>
  <c r="BE1093" i="1"/>
  <c r="CC1093" i="1"/>
  <c r="CD1093" i="1"/>
  <c r="A1094" i="1"/>
  <c r="C1094" i="1"/>
  <c r="S1094" i="1"/>
  <c r="T1094" i="1"/>
  <c r="U1094" i="1"/>
  <c r="BE1094" i="1"/>
  <c r="CC1094" i="1"/>
  <c r="CD1094" i="1"/>
  <c r="A1095" i="1"/>
  <c r="C1095" i="1"/>
  <c r="S1095" i="1"/>
  <c r="T1095" i="1"/>
  <c r="U1095" i="1"/>
  <c r="BE1095" i="1"/>
  <c r="CC1095" i="1"/>
  <c r="CD1095" i="1"/>
  <c r="A1096" i="1"/>
  <c r="C1096" i="1"/>
  <c r="S1096" i="1"/>
  <c r="T1096" i="1"/>
  <c r="U1096" i="1"/>
  <c r="BE1096" i="1"/>
  <c r="CC1096" i="1"/>
  <c r="CD1096" i="1"/>
  <c r="A1097" i="1"/>
  <c r="C1097" i="1"/>
  <c r="S1097" i="1"/>
  <c r="T1097" i="1"/>
  <c r="U1097" i="1"/>
  <c r="BE1097" i="1"/>
  <c r="CC1097" i="1"/>
  <c r="CD1097" i="1"/>
  <c r="A1098" i="1"/>
  <c r="C1098" i="1"/>
  <c r="S1098" i="1"/>
  <c r="T1098" i="1"/>
  <c r="U1098" i="1"/>
  <c r="BE1098" i="1"/>
  <c r="CC1098" i="1"/>
  <c r="CD1098" i="1"/>
  <c r="A1099" i="1"/>
  <c r="C1099" i="1"/>
  <c r="S1099" i="1"/>
  <c r="T1099" i="1"/>
  <c r="U1099" i="1"/>
  <c r="BE1099" i="1"/>
  <c r="CC1099" i="1"/>
  <c r="CD1099" i="1"/>
  <c r="A1100" i="1"/>
  <c r="C1100" i="1"/>
  <c r="S1100" i="1"/>
  <c r="T1100" i="1"/>
  <c r="U1100" i="1"/>
  <c r="BE1100" i="1"/>
  <c r="CC1100" i="1"/>
  <c r="CD1100" i="1"/>
  <c r="A1101" i="1"/>
  <c r="C1101" i="1"/>
  <c r="S1101" i="1"/>
  <c r="T1101" i="1"/>
  <c r="U1101" i="1"/>
  <c r="BE1101" i="1"/>
  <c r="CC1101" i="1"/>
  <c r="CD1101" i="1"/>
  <c r="A1102" i="1"/>
  <c r="C1102" i="1"/>
  <c r="S1102" i="1"/>
  <c r="T1102" i="1"/>
  <c r="U1102" i="1"/>
  <c r="BE1102" i="1"/>
  <c r="CC1102" i="1"/>
  <c r="CD1102" i="1"/>
  <c r="A1103" i="1"/>
  <c r="C1103" i="1"/>
  <c r="S1103" i="1"/>
  <c r="T1103" i="1"/>
  <c r="U1103" i="1"/>
  <c r="BE1103" i="1"/>
  <c r="CC1103" i="1"/>
  <c r="CD1103" i="1"/>
  <c r="A1104" i="1"/>
  <c r="C1104" i="1"/>
  <c r="S1104" i="1"/>
  <c r="T1104" i="1"/>
  <c r="U1104" i="1"/>
  <c r="BE1104" i="1"/>
  <c r="CC1104" i="1"/>
  <c r="CD1104" i="1"/>
  <c r="A1105" i="1"/>
  <c r="C1105" i="1"/>
  <c r="S1105" i="1"/>
  <c r="T1105" i="1"/>
  <c r="U1105" i="1"/>
  <c r="BE1105" i="1"/>
  <c r="CC1105" i="1"/>
  <c r="CD1105" i="1"/>
  <c r="A1106" i="1"/>
  <c r="C1106" i="1"/>
  <c r="S1106" i="1"/>
  <c r="T1106" i="1"/>
  <c r="U1106" i="1"/>
  <c r="BE1106" i="1"/>
  <c r="CC1106" i="1"/>
  <c r="CD1106" i="1"/>
  <c r="A1107" i="1"/>
  <c r="C1107" i="1"/>
  <c r="S1107" i="1"/>
  <c r="T1107" i="1"/>
  <c r="U1107" i="1"/>
  <c r="BE1107" i="1"/>
  <c r="CC1107" i="1"/>
  <c r="CD1107" i="1"/>
  <c r="A1108" i="1"/>
  <c r="C1108" i="1"/>
  <c r="S1108" i="1"/>
  <c r="T1108" i="1"/>
  <c r="U1108" i="1"/>
  <c r="BE1108" i="1"/>
  <c r="CC1108" i="1"/>
  <c r="CD1108" i="1"/>
  <c r="A1109" i="1"/>
  <c r="C1109" i="1"/>
  <c r="S1109" i="1"/>
  <c r="T1109" i="1"/>
  <c r="U1109" i="1"/>
  <c r="BE1109" i="1"/>
  <c r="CC1109" i="1"/>
  <c r="CD1109" i="1"/>
  <c r="A1110" i="1"/>
  <c r="C1110" i="1"/>
  <c r="S1110" i="1"/>
  <c r="T1110" i="1"/>
  <c r="U1110" i="1"/>
  <c r="BE1110" i="1"/>
  <c r="CC1110" i="1"/>
  <c r="CD1110" i="1"/>
  <c r="A1111" i="1"/>
  <c r="C1111" i="1"/>
  <c r="S1111" i="1"/>
  <c r="T1111" i="1"/>
  <c r="U1111" i="1"/>
  <c r="BE1111" i="1"/>
  <c r="CC1111" i="1"/>
  <c r="CD1111" i="1"/>
  <c r="A1112" i="1"/>
  <c r="C1112" i="1"/>
  <c r="S1112" i="1"/>
  <c r="T1112" i="1"/>
  <c r="U1112" i="1"/>
  <c r="BE1112" i="1"/>
  <c r="CC1112" i="1"/>
  <c r="CD1112" i="1"/>
  <c r="A1113" i="1"/>
  <c r="C1113" i="1"/>
  <c r="S1113" i="1"/>
  <c r="T1113" i="1"/>
  <c r="U1113" i="1"/>
  <c r="BE1113" i="1"/>
  <c r="CC1113" i="1"/>
  <c r="CD1113" i="1"/>
  <c r="A1114" i="1"/>
  <c r="C1114" i="1"/>
  <c r="S1114" i="1"/>
  <c r="T1114" i="1"/>
  <c r="U1114" i="1"/>
  <c r="BE1114" i="1"/>
  <c r="CC1114" i="1"/>
  <c r="CD1114" i="1"/>
  <c r="A1115" i="1"/>
  <c r="C1115" i="1"/>
  <c r="S1115" i="1"/>
  <c r="T1115" i="1"/>
  <c r="U1115" i="1"/>
  <c r="BE1115" i="1"/>
  <c r="CC1115" i="1"/>
  <c r="CD1115" i="1"/>
  <c r="A1116" i="1"/>
  <c r="C1116" i="1"/>
  <c r="S1116" i="1"/>
  <c r="T1116" i="1"/>
  <c r="U1116" i="1"/>
  <c r="BE1116" i="1"/>
  <c r="CC1116" i="1"/>
  <c r="CD1116" i="1"/>
  <c r="A1117" i="1"/>
  <c r="C1117" i="1"/>
  <c r="S1117" i="1"/>
  <c r="T1117" i="1"/>
  <c r="U1117" i="1"/>
  <c r="BE1117" i="1"/>
  <c r="CC1117" i="1"/>
  <c r="CD1117" i="1"/>
  <c r="A1118" i="1"/>
  <c r="C1118" i="1"/>
  <c r="S1118" i="1"/>
  <c r="T1118" i="1"/>
  <c r="U1118" i="1"/>
  <c r="BE1118" i="1"/>
  <c r="CC1118" i="1"/>
  <c r="CD1118" i="1"/>
  <c r="A1119" i="1"/>
  <c r="C1119" i="1"/>
  <c r="S1119" i="1"/>
  <c r="T1119" i="1"/>
  <c r="U1119" i="1"/>
  <c r="BE1119" i="1"/>
  <c r="CC1119" i="1"/>
  <c r="CD1119" i="1"/>
  <c r="A1120" i="1"/>
  <c r="C1120" i="1"/>
  <c r="S1120" i="1"/>
  <c r="T1120" i="1"/>
  <c r="U1120" i="1"/>
  <c r="BE1120" i="1"/>
  <c r="CC1120" i="1"/>
  <c r="CD1120" i="1"/>
  <c r="A1121" i="1"/>
  <c r="C1121" i="1"/>
  <c r="S1121" i="1"/>
  <c r="T1121" i="1"/>
  <c r="U1121" i="1"/>
  <c r="BE1121" i="1"/>
  <c r="CC1121" i="1"/>
  <c r="CD1121" i="1"/>
  <c r="A1122" i="1"/>
  <c r="C1122" i="1"/>
  <c r="S1122" i="1"/>
  <c r="T1122" i="1"/>
  <c r="U1122" i="1"/>
  <c r="BE1122" i="1"/>
  <c r="CC1122" i="1"/>
  <c r="CD1122" i="1"/>
  <c r="A1123" i="1"/>
  <c r="C1123" i="1"/>
  <c r="S1123" i="1"/>
  <c r="T1123" i="1"/>
  <c r="U1123" i="1"/>
  <c r="BE1123" i="1"/>
  <c r="CC1123" i="1"/>
  <c r="CD1123" i="1"/>
  <c r="A1124" i="1"/>
  <c r="C1124" i="1"/>
  <c r="S1124" i="1"/>
  <c r="T1124" i="1"/>
  <c r="U1124" i="1"/>
  <c r="BE1124" i="1"/>
  <c r="CC1124" i="1"/>
  <c r="CD1124" i="1"/>
  <c r="A1125" i="1"/>
  <c r="C1125" i="1"/>
  <c r="S1125" i="1"/>
  <c r="T1125" i="1"/>
  <c r="U1125" i="1"/>
  <c r="BE1125" i="1"/>
  <c r="CC1125" i="1"/>
  <c r="CD1125" i="1"/>
  <c r="A1126" i="1"/>
  <c r="C1126" i="1"/>
  <c r="S1126" i="1"/>
  <c r="T1126" i="1"/>
  <c r="U1126" i="1"/>
  <c r="BE1126" i="1"/>
  <c r="CC1126" i="1"/>
  <c r="CD1126" i="1"/>
  <c r="A1127" i="1"/>
  <c r="C1127" i="1"/>
  <c r="S1127" i="1"/>
  <c r="T1127" i="1"/>
  <c r="U1127" i="1"/>
  <c r="BE1127" i="1"/>
  <c r="CC1127" i="1"/>
  <c r="CD1127" i="1"/>
  <c r="A1128" i="1"/>
  <c r="C1128" i="1"/>
  <c r="S1128" i="1"/>
  <c r="T1128" i="1"/>
  <c r="U1128" i="1"/>
  <c r="BE1128" i="1"/>
  <c r="CC1128" i="1"/>
  <c r="CD1128" i="1"/>
  <c r="A1129" i="1"/>
  <c r="C1129" i="1"/>
  <c r="S1129" i="1"/>
  <c r="T1129" i="1"/>
  <c r="U1129" i="1"/>
  <c r="BE1129" i="1"/>
  <c r="CC1129" i="1"/>
  <c r="CD1129" i="1"/>
  <c r="A1130" i="1"/>
  <c r="C1130" i="1"/>
  <c r="S1130" i="1"/>
  <c r="T1130" i="1"/>
  <c r="U1130" i="1"/>
  <c r="BE1130" i="1"/>
  <c r="CC1130" i="1"/>
  <c r="CD1130" i="1"/>
  <c r="A1131" i="1"/>
  <c r="C1131" i="1"/>
  <c r="S1131" i="1"/>
  <c r="T1131" i="1"/>
  <c r="U1131" i="1"/>
  <c r="BE1131" i="1"/>
  <c r="CC1131" i="1"/>
  <c r="CD1131" i="1"/>
  <c r="A1132" i="1"/>
  <c r="C1132" i="1"/>
  <c r="S1132" i="1"/>
  <c r="T1132" i="1"/>
  <c r="U1132" i="1"/>
  <c r="BE1132" i="1"/>
  <c r="CC1132" i="1"/>
  <c r="CD1132" i="1"/>
  <c r="A1133" i="1"/>
  <c r="C1133" i="1"/>
  <c r="S1133" i="1"/>
  <c r="T1133" i="1"/>
  <c r="U1133" i="1"/>
  <c r="BE1133" i="1"/>
  <c r="CC1133" i="1"/>
  <c r="CD1133" i="1"/>
  <c r="A1134" i="1"/>
  <c r="C1134" i="1"/>
  <c r="S1134" i="1"/>
  <c r="T1134" i="1"/>
  <c r="U1134" i="1"/>
  <c r="BE1134" i="1"/>
  <c r="CC1134" i="1"/>
  <c r="CD1134" i="1"/>
  <c r="A1135" i="1"/>
  <c r="C1135" i="1"/>
  <c r="S1135" i="1"/>
  <c r="T1135" i="1"/>
  <c r="U1135" i="1"/>
  <c r="BE1135" i="1"/>
  <c r="CC1135" i="1"/>
  <c r="CD1135" i="1"/>
  <c r="A1136" i="1"/>
  <c r="C1136" i="1"/>
  <c r="S1136" i="1"/>
  <c r="T1136" i="1"/>
  <c r="U1136" i="1"/>
  <c r="BE1136" i="1"/>
  <c r="CC1136" i="1"/>
  <c r="CD1136" i="1"/>
  <c r="A1137" i="1"/>
  <c r="C1137" i="1"/>
  <c r="S1137" i="1"/>
  <c r="T1137" i="1"/>
  <c r="U1137" i="1"/>
  <c r="BE1137" i="1"/>
  <c r="CC1137" i="1"/>
  <c r="CD1137" i="1"/>
  <c r="A1138" i="1"/>
  <c r="C1138" i="1"/>
  <c r="S1138" i="1"/>
  <c r="T1138" i="1"/>
  <c r="U1138" i="1"/>
  <c r="BE1138" i="1"/>
  <c r="CC1138" i="1"/>
  <c r="CD1138" i="1"/>
  <c r="A1139" i="1"/>
  <c r="C1139" i="1"/>
  <c r="S1139" i="1"/>
  <c r="T1139" i="1"/>
  <c r="U1139" i="1"/>
  <c r="BE1139" i="1"/>
  <c r="CC1139" i="1"/>
  <c r="CD1139" i="1"/>
  <c r="A1140" i="1"/>
  <c r="C1140" i="1"/>
  <c r="S1140" i="1"/>
  <c r="T1140" i="1"/>
  <c r="U1140" i="1"/>
  <c r="BE1140" i="1"/>
  <c r="CC1140" i="1"/>
  <c r="CD1140" i="1"/>
  <c r="A1141" i="1"/>
  <c r="C1141" i="1"/>
  <c r="S1141" i="1"/>
  <c r="T1141" i="1"/>
  <c r="U1141" i="1"/>
  <c r="BE1141" i="1"/>
  <c r="CC1141" i="1"/>
  <c r="CD1141" i="1"/>
  <c r="A1142" i="1"/>
  <c r="C1142" i="1"/>
  <c r="S1142" i="1"/>
  <c r="T1142" i="1"/>
  <c r="U1142" i="1"/>
  <c r="BE1142" i="1"/>
  <c r="CC1142" i="1"/>
  <c r="CD1142" i="1"/>
  <c r="A1143" i="1"/>
  <c r="C1143" i="1"/>
  <c r="S1143" i="1"/>
  <c r="T1143" i="1"/>
  <c r="U1143" i="1"/>
  <c r="BE1143" i="1"/>
  <c r="CC1143" i="1"/>
  <c r="CD1143" i="1"/>
  <c r="A1144" i="1"/>
  <c r="C1144" i="1"/>
  <c r="S1144" i="1"/>
  <c r="T1144" i="1"/>
  <c r="U1144" i="1"/>
  <c r="BE1144" i="1"/>
  <c r="CC1144" i="1"/>
  <c r="CD1144" i="1"/>
  <c r="A1145" i="1"/>
  <c r="C1145" i="1"/>
  <c r="S1145" i="1"/>
  <c r="T1145" i="1"/>
  <c r="U1145" i="1"/>
  <c r="BE1145" i="1"/>
  <c r="CC1145" i="1"/>
  <c r="CD1145" i="1"/>
  <c r="A1146" i="1"/>
  <c r="C1146" i="1"/>
  <c r="S1146" i="1"/>
  <c r="T1146" i="1"/>
  <c r="U1146" i="1"/>
  <c r="BE1146" i="1"/>
  <c r="CC1146" i="1"/>
  <c r="CD1146" i="1"/>
  <c r="A1147" i="1"/>
  <c r="C1147" i="1"/>
  <c r="S1147" i="1"/>
  <c r="T1147" i="1"/>
  <c r="U1147" i="1"/>
  <c r="BE1147" i="1"/>
  <c r="CC1147" i="1"/>
  <c r="CD1147" i="1"/>
  <c r="A1148" i="1"/>
  <c r="C1148" i="1"/>
  <c r="S1148" i="1"/>
  <c r="T1148" i="1"/>
  <c r="U1148" i="1"/>
  <c r="BE1148" i="1"/>
  <c r="CC1148" i="1"/>
  <c r="CD1148" i="1"/>
  <c r="A1149" i="1"/>
  <c r="C1149" i="1"/>
  <c r="S1149" i="1"/>
  <c r="T1149" i="1"/>
  <c r="U1149" i="1"/>
  <c r="BE1149" i="1"/>
  <c r="CC1149" i="1"/>
  <c r="CD1149" i="1"/>
  <c r="A1150" i="1"/>
  <c r="C1150" i="1"/>
  <c r="S1150" i="1"/>
  <c r="T1150" i="1"/>
  <c r="U1150" i="1"/>
  <c r="BE1150" i="1"/>
  <c r="CC1150" i="1"/>
  <c r="CD1150" i="1"/>
  <c r="A1151" i="1"/>
  <c r="C1151" i="1"/>
  <c r="S1151" i="1"/>
  <c r="T1151" i="1"/>
  <c r="U1151" i="1"/>
  <c r="BE1151" i="1"/>
  <c r="CC1151" i="1"/>
  <c r="CD1151" i="1"/>
  <c r="A1152" i="1"/>
  <c r="C1152" i="1"/>
  <c r="S1152" i="1"/>
  <c r="T1152" i="1"/>
  <c r="U1152" i="1"/>
  <c r="BE1152" i="1"/>
  <c r="CC1152" i="1"/>
  <c r="CD1152" i="1"/>
  <c r="A1153" i="1"/>
  <c r="C1153" i="1"/>
  <c r="S1153" i="1"/>
  <c r="T1153" i="1"/>
  <c r="U1153" i="1"/>
  <c r="BE1153" i="1"/>
  <c r="CC1153" i="1"/>
  <c r="CD1153" i="1"/>
  <c r="A1154" i="1"/>
  <c r="C1154" i="1"/>
  <c r="S1154" i="1"/>
  <c r="T1154" i="1"/>
  <c r="U1154" i="1"/>
  <c r="BE1154" i="1"/>
  <c r="CC1154" i="1"/>
  <c r="CD1154" i="1"/>
  <c r="A1155" i="1"/>
  <c r="C1155" i="1"/>
  <c r="S1155" i="1"/>
  <c r="T1155" i="1"/>
  <c r="U1155" i="1"/>
  <c r="BE1155" i="1"/>
  <c r="CC1155" i="1"/>
  <c r="CD1155" i="1"/>
  <c r="A1156" i="1"/>
  <c r="C1156" i="1"/>
  <c r="S1156" i="1"/>
  <c r="T1156" i="1"/>
  <c r="U1156" i="1"/>
  <c r="BE1156" i="1"/>
  <c r="CC1156" i="1"/>
  <c r="CD1156" i="1"/>
  <c r="A1157" i="1"/>
  <c r="C1157" i="1"/>
  <c r="S1157" i="1"/>
  <c r="T1157" i="1"/>
  <c r="U1157" i="1"/>
  <c r="BE1157" i="1"/>
  <c r="CC1157" i="1"/>
  <c r="CD1157" i="1"/>
  <c r="A1158" i="1"/>
  <c r="C1158" i="1"/>
  <c r="S1158" i="1"/>
  <c r="T1158" i="1"/>
  <c r="U1158" i="1"/>
  <c r="BE1158" i="1"/>
  <c r="CC1158" i="1"/>
  <c r="CD1158" i="1"/>
  <c r="A1159" i="1"/>
  <c r="C1159" i="1"/>
  <c r="S1159" i="1"/>
  <c r="T1159" i="1"/>
  <c r="U1159" i="1"/>
  <c r="BE1159" i="1"/>
  <c r="CC1159" i="1"/>
  <c r="CD1159" i="1"/>
  <c r="A1160" i="1"/>
  <c r="C1160" i="1"/>
  <c r="S1160" i="1"/>
  <c r="T1160" i="1"/>
  <c r="U1160" i="1"/>
  <c r="BE1160" i="1"/>
  <c r="CC1160" i="1"/>
  <c r="CD1160" i="1"/>
  <c r="A1161" i="1"/>
  <c r="C1161" i="1"/>
  <c r="S1161" i="1"/>
  <c r="T1161" i="1"/>
  <c r="U1161" i="1"/>
  <c r="BE1161" i="1"/>
  <c r="CC1161" i="1"/>
  <c r="CD1161" i="1"/>
  <c r="A1162" i="1"/>
  <c r="C1162" i="1"/>
  <c r="S1162" i="1"/>
  <c r="T1162" i="1"/>
  <c r="U1162" i="1"/>
  <c r="BE1162" i="1"/>
  <c r="CC1162" i="1"/>
  <c r="CD1162" i="1"/>
  <c r="A1163" i="1"/>
  <c r="C1163" i="1"/>
  <c r="S1163" i="1"/>
  <c r="T1163" i="1"/>
  <c r="U1163" i="1"/>
  <c r="BE1163" i="1"/>
  <c r="CC1163" i="1"/>
  <c r="CD1163" i="1"/>
  <c r="A1164" i="1"/>
  <c r="C1164" i="1"/>
  <c r="S1164" i="1"/>
  <c r="T1164" i="1"/>
  <c r="U1164" i="1"/>
  <c r="BE1164" i="1"/>
  <c r="CC1164" i="1"/>
  <c r="CD1164" i="1"/>
  <c r="A1165" i="1"/>
  <c r="C1165" i="1"/>
  <c r="S1165" i="1"/>
  <c r="T1165" i="1"/>
  <c r="U1165" i="1"/>
  <c r="BE1165" i="1"/>
  <c r="CC1165" i="1"/>
  <c r="CD1165" i="1"/>
  <c r="A1166" i="1"/>
  <c r="C1166" i="1"/>
  <c r="S1166" i="1"/>
  <c r="T1166" i="1"/>
  <c r="U1166" i="1"/>
  <c r="BE1166" i="1"/>
  <c r="CC1166" i="1"/>
  <c r="CD1166" i="1"/>
  <c r="A1167" i="1"/>
  <c r="C1167" i="1"/>
  <c r="S1167" i="1"/>
  <c r="T1167" i="1"/>
  <c r="U1167" i="1"/>
  <c r="BE1167" i="1"/>
  <c r="CC1167" i="1"/>
  <c r="CD1167" i="1"/>
  <c r="A1168" i="1"/>
  <c r="C1168" i="1"/>
  <c r="S1168" i="1"/>
  <c r="T1168" i="1"/>
  <c r="U1168" i="1"/>
  <c r="BE1168" i="1"/>
  <c r="CC1168" i="1"/>
  <c r="CD1168" i="1"/>
  <c r="A1169" i="1"/>
  <c r="C1169" i="1"/>
  <c r="S1169" i="1"/>
  <c r="T1169" i="1"/>
  <c r="U1169" i="1"/>
  <c r="BE1169" i="1"/>
  <c r="CC1169" i="1"/>
  <c r="CD1169" i="1"/>
  <c r="A1170" i="1"/>
  <c r="C1170" i="1"/>
  <c r="S1170" i="1"/>
  <c r="T1170" i="1"/>
  <c r="U1170" i="1"/>
  <c r="BE1170" i="1"/>
  <c r="CC1170" i="1"/>
  <c r="CD1170" i="1"/>
  <c r="A1171" i="1"/>
  <c r="C1171" i="1"/>
  <c r="S1171" i="1"/>
  <c r="T1171" i="1"/>
  <c r="U1171" i="1"/>
  <c r="BE1171" i="1"/>
  <c r="CC1171" i="1"/>
  <c r="CD1171" i="1"/>
  <c r="A1172" i="1"/>
  <c r="C1172" i="1"/>
  <c r="S1172" i="1"/>
  <c r="T1172" i="1"/>
  <c r="U1172" i="1"/>
  <c r="BE1172" i="1"/>
  <c r="CC1172" i="1"/>
  <c r="CD1172" i="1"/>
  <c r="A1173" i="1"/>
  <c r="C1173" i="1"/>
  <c r="S1173" i="1"/>
  <c r="T1173" i="1"/>
  <c r="U1173" i="1"/>
  <c r="BE1173" i="1"/>
  <c r="CC1173" i="1"/>
  <c r="CD1173" i="1"/>
  <c r="A1174" i="1"/>
  <c r="C1174" i="1"/>
  <c r="S1174" i="1"/>
  <c r="T1174" i="1"/>
  <c r="U1174" i="1"/>
  <c r="BE1174" i="1"/>
  <c r="CC1174" i="1"/>
  <c r="CD1174" i="1"/>
  <c r="A1175" i="1"/>
  <c r="C1175" i="1"/>
  <c r="S1175" i="1"/>
  <c r="T1175" i="1"/>
  <c r="U1175" i="1"/>
  <c r="BE1175" i="1"/>
  <c r="CC1175" i="1"/>
  <c r="CD1175" i="1"/>
  <c r="A1176" i="1"/>
  <c r="C1176" i="1"/>
  <c r="S1176" i="1"/>
  <c r="T1176" i="1"/>
  <c r="U1176" i="1"/>
  <c r="BE1176" i="1"/>
  <c r="CC1176" i="1"/>
  <c r="CD1176" i="1"/>
  <c r="A1177" i="1"/>
  <c r="C1177" i="1"/>
  <c r="S1177" i="1"/>
  <c r="T1177" i="1"/>
  <c r="U1177" i="1"/>
  <c r="BE1177" i="1"/>
  <c r="CC1177" i="1"/>
  <c r="CD1177" i="1"/>
  <c r="A1178" i="1"/>
  <c r="C1178" i="1"/>
  <c r="S1178" i="1"/>
  <c r="T1178" i="1"/>
  <c r="U1178" i="1"/>
  <c r="BE1178" i="1"/>
  <c r="CC1178" i="1"/>
  <c r="CD1178" i="1"/>
  <c r="A1179" i="1"/>
  <c r="C1179" i="1"/>
  <c r="S1179" i="1"/>
  <c r="T1179" i="1"/>
  <c r="U1179" i="1"/>
  <c r="BE1179" i="1"/>
  <c r="CC1179" i="1"/>
  <c r="CD1179" i="1"/>
  <c r="A1180" i="1"/>
  <c r="C1180" i="1"/>
  <c r="S1180" i="1"/>
  <c r="T1180" i="1"/>
  <c r="U1180" i="1"/>
  <c r="BE1180" i="1"/>
  <c r="CC1180" i="1"/>
  <c r="CD1180" i="1"/>
  <c r="A1181" i="1"/>
  <c r="C1181" i="1"/>
  <c r="S1181" i="1"/>
  <c r="T1181" i="1"/>
  <c r="U1181" i="1"/>
  <c r="BE1181" i="1"/>
  <c r="CC1181" i="1"/>
  <c r="CD1181" i="1"/>
  <c r="A1182" i="1"/>
  <c r="C1182" i="1"/>
  <c r="S1182" i="1"/>
  <c r="T1182" i="1"/>
  <c r="U1182" i="1"/>
  <c r="BE1182" i="1"/>
  <c r="CC1182" i="1"/>
  <c r="CD1182" i="1"/>
  <c r="A1183" i="1"/>
  <c r="C1183" i="1"/>
  <c r="S1183" i="1"/>
  <c r="T1183" i="1"/>
  <c r="U1183" i="1"/>
  <c r="BE1183" i="1"/>
  <c r="CC1183" i="1"/>
  <c r="CD1183" i="1"/>
  <c r="A1184" i="1"/>
  <c r="C1184" i="1"/>
  <c r="S1184" i="1"/>
  <c r="T1184" i="1"/>
  <c r="U1184" i="1"/>
  <c r="BE1184" i="1"/>
  <c r="CC1184" i="1"/>
  <c r="CD1184" i="1"/>
  <c r="A1185" i="1"/>
  <c r="C1185" i="1"/>
  <c r="S1185" i="1"/>
  <c r="T1185" i="1"/>
  <c r="U1185" i="1"/>
  <c r="BE1185" i="1"/>
  <c r="CC1185" i="1"/>
  <c r="CD1185" i="1"/>
  <c r="A1186" i="1"/>
  <c r="C1186" i="1"/>
  <c r="S1186" i="1"/>
  <c r="T1186" i="1"/>
  <c r="U1186" i="1"/>
  <c r="BE1186" i="1"/>
  <c r="CC1186" i="1"/>
  <c r="CD1186" i="1"/>
  <c r="A1187" i="1"/>
  <c r="C1187" i="1"/>
  <c r="S1187" i="1"/>
  <c r="T1187" i="1"/>
  <c r="U1187" i="1"/>
  <c r="BE1187" i="1"/>
  <c r="CC1187" i="1"/>
  <c r="CD1187" i="1"/>
  <c r="A1188" i="1"/>
  <c r="C1188" i="1"/>
  <c r="S1188" i="1"/>
  <c r="T1188" i="1"/>
  <c r="U1188" i="1"/>
  <c r="BE1188" i="1"/>
  <c r="CC1188" i="1"/>
  <c r="CD1188" i="1"/>
  <c r="A1189" i="1"/>
  <c r="C1189" i="1"/>
  <c r="S1189" i="1"/>
  <c r="T1189" i="1"/>
  <c r="U1189" i="1"/>
  <c r="BE1189" i="1"/>
  <c r="CC1189" i="1"/>
  <c r="CD1189" i="1"/>
  <c r="A1190" i="1"/>
  <c r="C1190" i="1"/>
  <c r="S1190" i="1"/>
  <c r="T1190" i="1"/>
  <c r="U1190" i="1"/>
  <c r="BE1190" i="1"/>
  <c r="CC1190" i="1"/>
  <c r="CD1190" i="1"/>
  <c r="A1191" i="1"/>
  <c r="C1191" i="1"/>
  <c r="S1191" i="1"/>
  <c r="T1191" i="1"/>
  <c r="U1191" i="1"/>
  <c r="BE1191" i="1"/>
  <c r="CC1191" i="1"/>
  <c r="CD1191" i="1"/>
  <c r="A1192" i="1"/>
  <c r="C1192" i="1"/>
  <c r="S1192" i="1"/>
  <c r="T1192" i="1"/>
  <c r="U1192" i="1"/>
  <c r="BE1192" i="1"/>
  <c r="CC1192" i="1"/>
  <c r="CD1192" i="1"/>
  <c r="A1193" i="1"/>
  <c r="C1193" i="1"/>
  <c r="S1193" i="1"/>
  <c r="T1193" i="1"/>
  <c r="U1193" i="1"/>
  <c r="BE1193" i="1"/>
  <c r="CC1193" i="1"/>
  <c r="CD1193" i="1"/>
  <c r="A1194" i="1"/>
  <c r="C1194" i="1"/>
  <c r="S1194" i="1"/>
  <c r="T1194" i="1"/>
  <c r="U1194" i="1"/>
  <c r="BE1194" i="1"/>
  <c r="CC1194" i="1"/>
  <c r="CD1194" i="1"/>
  <c r="A1195" i="1"/>
  <c r="C1195" i="1"/>
  <c r="S1195" i="1"/>
  <c r="T1195" i="1"/>
  <c r="U1195" i="1"/>
  <c r="BE1195" i="1"/>
  <c r="CC1195" i="1"/>
  <c r="CD1195" i="1"/>
  <c r="A1196" i="1"/>
  <c r="C1196" i="1"/>
  <c r="S1196" i="1"/>
  <c r="T1196" i="1"/>
  <c r="U1196" i="1"/>
  <c r="BE1196" i="1"/>
  <c r="CC1196" i="1"/>
  <c r="CD1196" i="1"/>
  <c r="A1197" i="1"/>
  <c r="C1197" i="1"/>
  <c r="S1197" i="1"/>
  <c r="T1197" i="1"/>
  <c r="U1197" i="1"/>
  <c r="BE1197" i="1"/>
  <c r="CC1197" i="1"/>
  <c r="CD1197" i="1"/>
  <c r="A1198" i="1"/>
  <c r="C1198" i="1"/>
  <c r="S1198" i="1"/>
  <c r="T1198" i="1"/>
  <c r="U1198" i="1"/>
  <c r="BE1198" i="1"/>
  <c r="CC1198" i="1"/>
  <c r="CD1198" i="1"/>
  <c r="A1199" i="1"/>
  <c r="C1199" i="1"/>
  <c r="S1199" i="1"/>
  <c r="T1199" i="1"/>
  <c r="U1199" i="1"/>
  <c r="BE1199" i="1"/>
  <c r="CC1199" i="1"/>
  <c r="CD1199" i="1"/>
  <c r="A1200" i="1"/>
  <c r="C1200" i="1"/>
  <c r="S1200" i="1"/>
  <c r="T1200" i="1"/>
  <c r="U1200" i="1"/>
  <c r="BE1200" i="1"/>
  <c r="CC1200" i="1"/>
  <c r="CD1200" i="1"/>
  <c r="A1201" i="1"/>
  <c r="C1201" i="1"/>
  <c r="S1201" i="1"/>
  <c r="T1201" i="1"/>
  <c r="U1201" i="1"/>
  <c r="BE1201" i="1"/>
  <c r="CC1201" i="1"/>
  <c r="CD1201" i="1"/>
  <c r="A1202" i="1"/>
  <c r="C1202" i="1"/>
  <c r="S1202" i="1"/>
  <c r="T1202" i="1"/>
  <c r="U1202" i="1"/>
  <c r="BE1202" i="1"/>
  <c r="CC1202" i="1"/>
  <c r="CD1202" i="1"/>
  <c r="A1203" i="1"/>
  <c r="C1203" i="1"/>
  <c r="S1203" i="1"/>
  <c r="T1203" i="1"/>
  <c r="U1203" i="1"/>
  <c r="BE1203" i="1"/>
  <c r="CC1203" i="1"/>
  <c r="CD1203" i="1"/>
  <c r="A1204" i="1"/>
  <c r="C1204" i="1"/>
  <c r="S1204" i="1"/>
  <c r="T1204" i="1"/>
  <c r="U1204" i="1"/>
  <c r="BE1204" i="1"/>
  <c r="CC1204" i="1"/>
  <c r="CD1204" i="1"/>
  <c r="A1205" i="1"/>
  <c r="C1205" i="1"/>
  <c r="S1205" i="1"/>
  <c r="T1205" i="1"/>
  <c r="U1205" i="1"/>
  <c r="BE1205" i="1"/>
  <c r="CC1205" i="1"/>
  <c r="CD1205" i="1"/>
  <c r="A1206" i="1"/>
  <c r="C1206" i="1"/>
  <c r="S1206" i="1"/>
  <c r="T1206" i="1"/>
  <c r="U1206" i="1"/>
  <c r="BE1206" i="1"/>
  <c r="CC1206" i="1"/>
  <c r="CD1206" i="1"/>
  <c r="A1207" i="1"/>
  <c r="C1207" i="1"/>
  <c r="S1207" i="1"/>
  <c r="T1207" i="1"/>
  <c r="U1207" i="1"/>
  <c r="BE1207" i="1"/>
  <c r="CC1207" i="1"/>
  <c r="CD1207" i="1"/>
  <c r="A1208" i="1"/>
  <c r="C1208" i="1"/>
  <c r="S1208" i="1"/>
  <c r="T1208" i="1"/>
  <c r="U1208" i="1"/>
  <c r="BE1208" i="1"/>
  <c r="CC1208" i="1"/>
  <c r="CD1208" i="1"/>
  <c r="A1209" i="1"/>
  <c r="C1209" i="1"/>
  <c r="S1209" i="1"/>
  <c r="T1209" i="1"/>
  <c r="U1209" i="1"/>
  <c r="BE1209" i="1"/>
  <c r="CC1209" i="1"/>
  <c r="CD1209" i="1"/>
  <c r="A1210" i="1"/>
  <c r="C1210" i="1"/>
  <c r="S1210" i="1"/>
  <c r="T1210" i="1"/>
  <c r="U1210" i="1"/>
  <c r="BE1210" i="1"/>
  <c r="CC1210" i="1"/>
  <c r="CD1210" i="1"/>
  <c r="A1211" i="1"/>
  <c r="C1211" i="1"/>
  <c r="S1211" i="1"/>
  <c r="T1211" i="1"/>
  <c r="U1211" i="1"/>
  <c r="BE1211" i="1"/>
  <c r="CC1211" i="1"/>
  <c r="CD1211" i="1"/>
  <c r="A1212" i="1"/>
  <c r="C1212" i="1"/>
  <c r="S1212" i="1"/>
  <c r="T1212" i="1"/>
  <c r="U1212" i="1"/>
  <c r="BE1212" i="1"/>
  <c r="CC1212" i="1"/>
  <c r="CD1212" i="1"/>
  <c r="A1213" i="1"/>
  <c r="C1213" i="1"/>
  <c r="S1213" i="1"/>
  <c r="T1213" i="1"/>
  <c r="U1213" i="1"/>
  <c r="BE1213" i="1"/>
  <c r="CC1213" i="1"/>
  <c r="CD1213" i="1"/>
  <c r="A1214" i="1"/>
  <c r="C1214" i="1"/>
  <c r="S1214" i="1"/>
  <c r="T1214" i="1"/>
  <c r="U1214" i="1"/>
  <c r="BE1214" i="1"/>
  <c r="CC1214" i="1"/>
  <c r="CD1214" i="1"/>
  <c r="A1215" i="1"/>
  <c r="C1215" i="1"/>
  <c r="S1215" i="1"/>
  <c r="T1215" i="1"/>
  <c r="U1215" i="1"/>
  <c r="BE1215" i="1"/>
  <c r="CC1215" i="1"/>
  <c r="CD1215" i="1"/>
  <c r="A1216" i="1"/>
  <c r="C1216" i="1"/>
  <c r="S1216" i="1"/>
  <c r="T1216" i="1"/>
  <c r="U1216" i="1"/>
  <c r="BE1216" i="1"/>
  <c r="CC1216" i="1"/>
  <c r="CD1216" i="1"/>
  <c r="A1217" i="1"/>
  <c r="C1217" i="1"/>
  <c r="S1217" i="1"/>
  <c r="T1217" i="1"/>
  <c r="U1217" i="1"/>
  <c r="BE1217" i="1"/>
  <c r="CC1217" i="1"/>
  <c r="CD1217" i="1"/>
  <c r="A1218" i="1"/>
  <c r="C1218" i="1"/>
  <c r="S1218" i="1"/>
  <c r="T1218" i="1"/>
  <c r="U1218" i="1"/>
  <c r="BE1218" i="1"/>
  <c r="CC1218" i="1"/>
  <c r="CD1218" i="1"/>
  <c r="A1219" i="1"/>
  <c r="C1219" i="1"/>
  <c r="S1219" i="1"/>
  <c r="T1219" i="1"/>
  <c r="U1219" i="1"/>
  <c r="BE1219" i="1"/>
  <c r="CC1219" i="1"/>
  <c r="CD1219" i="1"/>
  <c r="A1220" i="1"/>
  <c r="C1220" i="1"/>
  <c r="S1220" i="1"/>
  <c r="T1220" i="1"/>
  <c r="U1220" i="1"/>
  <c r="BE1220" i="1"/>
  <c r="CC1220" i="1"/>
  <c r="CD1220" i="1"/>
  <c r="A1221" i="1"/>
  <c r="C1221" i="1"/>
  <c r="S1221" i="1"/>
  <c r="T1221" i="1"/>
  <c r="U1221" i="1"/>
  <c r="BE1221" i="1"/>
  <c r="CC1221" i="1"/>
  <c r="CD1221" i="1"/>
  <c r="A1222" i="1"/>
  <c r="C1222" i="1"/>
  <c r="S1222" i="1"/>
  <c r="T1222" i="1"/>
  <c r="U1222" i="1"/>
  <c r="BE1222" i="1"/>
  <c r="CC1222" i="1"/>
  <c r="CD1222" i="1"/>
  <c r="A1223" i="1"/>
  <c r="C1223" i="1"/>
  <c r="S1223" i="1"/>
  <c r="T1223" i="1"/>
  <c r="U1223" i="1"/>
  <c r="BE1223" i="1"/>
  <c r="CC1223" i="1"/>
  <c r="CD1223" i="1"/>
  <c r="A1224" i="1"/>
  <c r="C1224" i="1"/>
  <c r="S1224" i="1"/>
  <c r="T1224" i="1"/>
  <c r="U1224" i="1"/>
  <c r="BE1224" i="1"/>
  <c r="CC1224" i="1"/>
  <c r="CD1224" i="1"/>
  <c r="A1225" i="1"/>
  <c r="C1225" i="1"/>
  <c r="S1225" i="1"/>
  <c r="T1225" i="1"/>
  <c r="U1225" i="1"/>
  <c r="BE1225" i="1"/>
  <c r="CC1225" i="1"/>
  <c r="CD1225" i="1"/>
  <c r="A1226" i="1"/>
  <c r="C1226" i="1"/>
  <c r="S1226" i="1"/>
  <c r="T1226" i="1"/>
  <c r="U1226" i="1"/>
  <c r="BE1226" i="1"/>
  <c r="CC1226" i="1"/>
  <c r="CD1226" i="1"/>
  <c r="A1227" i="1"/>
  <c r="C1227" i="1"/>
  <c r="S1227" i="1"/>
  <c r="T1227" i="1"/>
  <c r="U1227" i="1"/>
  <c r="BE1227" i="1"/>
  <c r="CC1227" i="1"/>
  <c r="CD1227" i="1"/>
  <c r="A1228" i="1"/>
  <c r="C1228" i="1"/>
  <c r="S1228" i="1"/>
  <c r="T1228" i="1"/>
  <c r="U1228" i="1"/>
  <c r="BE1228" i="1"/>
  <c r="CC1228" i="1"/>
  <c r="CD1228" i="1"/>
  <c r="A1229" i="1"/>
  <c r="C1229" i="1"/>
  <c r="S1229" i="1"/>
  <c r="T1229" i="1"/>
  <c r="U1229" i="1"/>
  <c r="BE1229" i="1"/>
  <c r="CC1229" i="1"/>
  <c r="CD1229" i="1"/>
  <c r="A1230" i="1"/>
  <c r="C1230" i="1"/>
  <c r="S1230" i="1"/>
  <c r="T1230" i="1"/>
  <c r="U1230" i="1"/>
  <c r="BE1230" i="1"/>
  <c r="CC1230" i="1"/>
  <c r="CD1230" i="1"/>
  <c r="A1231" i="1"/>
  <c r="C1231" i="1"/>
  <c r="S1231" i="1"/>
  <c r="T1231" i="1"/>
  <c r="U1231" i="1"/>
  <c r="BE1231" i="1"/>
  <c r="CC1231" i="1"/>
  <c r="CD1231" i="1"/>
  <c r="A1232" i="1"/>
  <c r="C1232" i="1"/>
  <c r="S1232" i="1"/>
  <c r="T1232" i="1"/>
  <c r="U1232" i="1"/>
  <c r="BE1232" i="1"/>
  <c r="CC1232" i="1"/>
  <c r="CD1232" i="1"/>
  <c r="A1233" i="1"/>
  <c r="C1233" i="1"/>
  <c r="S1233" i="1"/>
  <c r="T1233" i="1"/>
  <c r="U1233" i="1"/>
  <c r="BE1233" i="1"/>
  <c r="CC1233" i="1"/>
  <c r="CD1233" i="1"/>
  <c r="A1234" i="1"/>
  <c r="C1234" i="1"/>
  <c r="S1234" i="1"/>
  <c r="T1234" i="1"/>
  <c r="U1234" i="1"/>
  <c r="BE1234" i="1"/>
  <c r="CC1234" i="1"/>
  <c r="CD1234" i="1"/>
  <c r="A1235" i="1"/>
  <c r="C1235" i="1"/>
  <c r="S1235" i="1"/>
  <c r="T1235" i="1"/>
  <c r="U1235" i="1"/>
  <c r="BE1235" i="1"/>
  <c r="CC1235" i="1"/>
  <c r="CD1235" i="1"/>
  <c r="A1236" i="1"/>
  <c r="C1236" i="1"/>
  <c r="S1236" i="1"/>
  <c r="T1236" i="1"/>
  <c r="U1236" i="1"/>
  <c r="BE1236" i="1"/>
  <c r="CC1236" i="1"/>
  <c r="CD1236" i="1"/>
  <c r="A1237" i="1"/>
  <c r="C1237" i="1"/>
  <c r="S1237" i="1"/>
  <c r="T1237" i="1"/>
  <c r="U1237" i="1"/>
  <c r="BE1237" i="1"/>
  <c r="CC1237" i="1"/>
  <c r="CD1237" i="1"/>
  <c r="A1238" i="1"/>
  <c r="C1238" i="1"/>
  <c r="S1238" i="1"/>
  <c r="T1238" i="1"/>
  <c r="U1238" i="1"/>
  <c r="BE1238" i="1"/>
  <c r="CC1238" i="1"/>
  <c r="CD1238" i="1"/>
  <c r="A1239" i="1"/>
  <c r="C1239" i="1"/>
  <c r="S1239" i="1"/>
  <c r="T1239" i="1"/>
  <c r="U1239" i="1"/>
  <c r="BE1239" i="1"/>
  <c r="CC1239" i="1"/>
  <c r="CD1239" i="1"/>
  <c r="A1240" i="1"/>
  <c r="C1240" i="1"/>
  <c r="S1240" i="1"/>
  <c r="T1240" i="1"/>
  <c r="U1240" i="1"/>
  <c r="BE1240" i="1"/>
  <c r="CC1240" i="1"/>
  <c r="CD1240" i="1"/>
  <c r="A1241" i="1"/>
  <c r="C1241" i="1"/>
  <c r="S1241" i="1"/>
  <c r="T1241" i="1"/>
  <c r="U1241" i="1"/>
  <c r="BE1241" i="1"/>
  <c r="CC1241" i="1"/>
  <c r="CD1241" i="1"/>
  <c r="A1242" i="1"/>
  <c r="C1242" i="1"/>
  <c r="S1242" i="1"/>
  <c r="T1242" i="1"/>
  <c r="U1242" i="1"/>
  <c r="BE1242" i="1"/>
  <c r="CC1242" i="1"/>
  <c r="CD1242" i="1"/>
  <c r="A1243" i="1"/>
  <c r="C1243" i="1"/>
  <c r="S1243" i="1"/>
  <c r="T1243" i="1"/>
  <c r="U1243" i="1"/>
  <c r="BE1243" i="1"/>
  <c r="CC1243" i="1"/>
  <c r="CD1243" i="1"/>
  <c r="A1244" i="1"/>
  <c r="C1244" i="1"/>
  <c r="S1244" i="1"/>
  <c r="T1244" i="1"/>
  <c r="U1244" i="1"/>
  <c r="BE1244" i="1"/>
  <c r="CC1244" i="1"/>
  <c r="CD1244" i="1"/>
  <c r="A1245" i="1"/>
  <c r="C1245" i="1"/>
  <c r="S1245" i="1"/>
  <c r="T1245" i="1"/>
  <c r="U1245" i="1"/>
  <c r="BE1245" i="1"/>
  <c r="CC1245" i="1"/>
  <c r="CD1245" i="1"/>
  <c r="A1246" i="1"/>
  <c r="C1246" i="1"/>
  <c r="S1246" i="1"/>
  <c r="T1246" i="1"/>
  <c r="U1246" i="1"/>
  <c r="BE1246" i="1"/>
  <c r="CC1246" i="1"/>
  <c r="CD1246" i="1"/>
  <c r="A1247" i="1"/>
  <c r="C1247" i="1"/>
  <c r="S1247" i="1"/>
  <c r="T1247" i="1"/>
  <c r="U1247" i="1"/>
  <c r="BE1247" i="1"/>
  <c r="CC1247" i="1"/>
  <c r="CD1247" i="1"/>
  <c r="A1248" i="1"/>
  <c r="C1248" i="1"/>
  <c r="S1248" i="1"/>
  <c r="T1248" i="1"/>
  <c r="U1248" i="1"/>
  <c r="BE1248" i="1"/>
  <c r="CC1248" i="1"/>
  <c r="CD1248" i="1"/>
  <c r="A1249" i="1"/>
  <c r="C1249" i="1"/>
  <c r="S1249" i="1"/>
  <c r="T1249" i="1"/>
  <c r="U1249" i="1"/>
  <c r="BE1249" i="1"/>
  <c r="CC1249" i="1"/>
  <c r="CD1249" i="1"/>
  <c r="A1250" i="1"/>
  <c r="C1250" i="1"/>
  <c r="S1250" i="1"/>
  <c r="T1250" i="1"/>
  <c r="U1250" i="1"/>
  <c r="BE1250" i="1"/>
  <c r="CC1250" i="1"/>
  <c r="CD1250" i="1"/>
  <c r="A1251" i="1"/>
  <c r="C1251" i="1"/>
  <c r="S1251" i="1"/>
  <c r="T1251" i="1"/>
  <c r="U1251" i="1"/>
  <c r="BE1251" i="1"/>
  <c r="CC1251" i="1"/>
  <c r="CD1251" i="1"/>
  <c r="A1252" i="1"/>
  <c r="C1252" i="1"/>
  <c r="S1252" i="1"/>
  <c r="T1252" i="1"/>
  <c r="U1252" i="1"/>
  <c r="BE1252" i="1"/>
  <c r="CC1252" i="1"/>
  <c r="CD1252" i="1"/>
  <c r="A1253" i="1"/>
  <c r="C1253" i="1"/>
  <c r="S1253" i="1"/>
  <c r="T1253" i="1"/>
  <c r="U1253" i="1"/>
  <c r="BE1253" i="1"/>
  <c r="CC1253" i="1"/>
  <c r="CD1253" i="1"/>
  <c r="A1254" i="1"/>
  <c r="C1254" i="1"/>
  <c r="S1254" i="1"/>
  <c r="T1254" i="1"/>
  <c r="U1254" i="1"/>
  <c r="BE1254" i="1"/>
  <c r="CC1254" i="1"/>
  <c r="CD1254" i="1"/>
  <c r="A1255" i="1"/>
  <c r="C1255" i="1"/>
  <c r="S1255" i="1"/>
  <c r="T1255" i="1"/>
  <c r="U1255" i="1"/>
  <c r="BE1255" i="1"/>
  <c r="CC1255" i="1"/>
  <c r="CD1255" i="1"/>
  <c r="A1256" i="1"/>
  <c r="C1256" i="1"/>
  <c r="S1256" i="1"/>
  <c r="T1256" i="1"/>
  <c r="U1256" i="1"/>
  <c r="BE1256" i="1"/>
  <c r="CC1256" i="1"/>
  <c r="CD1256" i="1"/>
  <c r="A1257" i="1"/>
  <c r="C1257" i="1"/>
  <c r="S1257" i="1"/>
  <c r="T1257" i="1"/>
  <c r="U1257" i="1"/>
  <c r="BE1257" i="1"/>
  <c r="CC1257" i="1"/>
  <c r="CD1257" i="1"/>
  <c r="A1258" i="1"/>
  <c r="C1258" i="1"/>
  <c r="S1258" i="1"/>
  <c r="T1258" i="1"/>
  <c r="U1258" i="1"/>
  <c r="BE1258" i="1"/>
  <c r="CC1258" i="1"/>
  <c r="CD1258" i="1"/>
  <c r="A1259" i="1"/>
  <c r="C1259" i="1"/>
  <c r="S1259" i="1"/>
  <c r="T1259" i="1"/>
  <c r="U1259" i="1"/>
  <c r="BE1259" i="1"/>
  <c r="CC1259" i="1"/>
  <c r="CD1259" i="1"/>
  <c r="A1260" i="1"/>
  <c r="C1260" i="1"/>
  <c r="S1260" i="1"/>
  <c r="T1260" i="1"/>
  <c r="U1260" i="1"/>
  <c r="BE1260" i="1"/>
  <c r="CC1260" i="1"/>
  <c r="CD1260" i="1"/>
  <c r="A1261" i="1"/>
  <c r="C1261" i="1"/>
  <c r="S1261" i="1"/>
  <c r="T1261" i="1"/>
  <c r="U1261" i="1"/>
  <c r="BE1261" i="1"/>
  <c r="CC1261" i="1"/>
  <c r="CD1261" i="1"/>
  <c r="A1262" i="1"/>
  <c r="C1262" i="1"/>
  <c r="S1262" i="1"/>
  <c r="T1262" i="1"/>
  <c r="U1262" i="1"/>
  <c r="BE1262" i="1"/>
  <c r="CC1262" i="1"/>
  <c r="CD1262" i="1"/>
  <c r="A1263" i="1"/>
  <c r="C1263" i="1"/>
  <c r="S1263" i="1"/>
  <c r="T1263" i="1"/>
  <c r="U1263" i="1"/>
  <c r="BE1263" i="1"/>
  <c r="CC1263" i="1"/>
  <c r="CD1263" i="1"/>
  <c r="A1264" i="1"/>
  <c r="C1264" i="1"/>
  <c r="S1264" i="1"/>
  <c r="T1264" i="1"/>
  <c r="U1264" i="1"/>
  <c r="BE1264" i="1"/>
  <c r="CC1264" i="1"/>
  <c r="CD1264" i="1"/>
  <c r="A1265" i="1"/>
  <c r="C1265" i="1"/>
  <c r="S1265" i="1"/>
  <c r="T1265" i="1"/>
  <c r="U1265" i="1"/>
  <c r="BE1265" i="1"/>
  <c r="CC1265" i="1"/>
  <c r="CD1265" i="1"/>
  <c r="A1266" i="1"/>
  <c r="C1266" i="1"/>
  <c r="S1266" i="1"/>
  <c r="T1266" i="1"/>
  <c r="U1266" i="1"/>
  <c r="BE1266" i="1"/>
  <c r="CC1266" i="1"/>
  <c r="CD1266" i="1"/>
  <c r="A1267" i="1"/>
  <c r="C1267" i="1"/>
  <c r="S1267" i="1"/>
  <c r="T1267" i="1"/>
  <c r="U1267" i="1"/>
  <c r="BE1267" i="1"/>
  <c r="CC1267" i="1"/>
  <c r="CD1267" i="1"/>
  <c r="A1268" i="1"/>
  <c r="C1268" i="1"/>
  <c r="S1268" i="1"/>
  <c r="T1268" i="1"/>
  <c r="U1268" i="1"/>
  <c r="BE1268" i="1"/>
  <c r="CC1268" i="1"/>
  <c r="CD1268" i="1"/>
  <c r="A1269" i="1"/>
  <c r="C1269" i="1"/>
  <c r="S1269" i="1"/>
  <c r="T1269" i="1"/>
  <c r="U1269" i="1"/>
  <c r="BE1269" i="1"/>
  <c r="CC1269" i="1"/>
  <c r="CD1269" i="1"/>
  <c r="A1270" i="1"/>
  <c r="C1270" i="1"/>
  <c r="S1270" i="1"/>
  <c r="T1270" i="1"/>
  <c r="U1270" i="1"/>
  <c r="BE1270" i="1"/>
  <c r="CC1270" i="1"/>
  <c r="CD1270" i="1"/>
  <c r="A1271" i="1"/>
  <c r="C1271" i="1"/>
  <c r="S1271" i="1"/>
  <c r="T1271" i="1"/>
  <c r="U1271" i="1"/>
  <c r="BE1271" i="1"/>
  <c r="CC1271" i="1"/>
  <c r="CD1271" i="1"/>
  <c r="A1272" i="1"/>
  <c r="C1272" i="1"/>
  <c r="S1272" i="1"/>
  <c r="T1272" i="1"/>
  <c r="U1272" i="1"/>
  <c r="BE1272" i="1"/>
  <c r="CC1272" i="1"/>
  <c r="CD1272" i="1"/>
  <c r="A1273" i="1"/>
  <c r="C1273" i="1"/>
  <c r="S1273" i="1"/>
  <c r="T1273" i="1"/>
  <c r="U1273" i="1"/>
  <c r="BE1273" i="1"/>
  <c r="CC1273" i="1"/>
  <c r="CD1273" i="1"/>
  <c r="A1274" i="1"/>
  <c r="C1274" i="1"/>
  <c r="S1274" i="1"/>
  <c r="T1274" i="1"/>
  <c r="U1274" i="1"/>
  <c r="BE1274" i="1"/>
  <c r="CC1274" i="1"/>
  <c r="CD1274" i="1"/>
  <c r="A1275" i="1"/>
  <c r="C1275" i="1"/>
  <c r="S1275" i="1"/>
  <c r="T1275" i="1"/>
  <c r="U1275" i="1"/>
  <c r="BE1275" i="1"/>
  <c r="CC1275" i="1"/>
  <c r="CD1275" i="1"/>
  <c r="A1276" i="1"/>
  <c r="C1276" i="1"/>
  <c r="S1276" i="1"/>
  <c r="T1276" i="1"/>
  <c r="U1276" i="1"/>
  <c r="BE1276" i="1"/>
  <c r="CC1276" i="1"/>
  <c r="CD1276" i="1"/>
  <c r="A1277" i="1"/>
  <c r="C1277" i="1"/>
  <c r="S1277" i="1"/>
  <c r="T1277" i="1"/>
  <c r="U1277" i="1"/>
  <c r="BE1277" i="1"/>
  <c r="CC1277" i="1"/>
  <c r="CD1277" i="1"/>
  <c r="A1278" i="1"/>
  <c r="C1278" i="1"/>
  <c r="S1278" i="1"/>
  <c r="T1278" i="1"/>
  <c r="U1278" i="1"/>
  <c r="BE1278" i="1"/>
  <c r="CC1278" i="1"/>
  <c r="CD1278" i="1"/>
  <c r="A1279" i="1"/>
  <c r="C1279" i="1"/>
  <c r="S1279" i="1"/>
  <c r="T1279" i="1"/>
  <c r="U1279" i="1"/>
  <c r="BE1279" i="1"/>
  <c r="CC1279" i="1"/>
  <c r="CD1279" i="1"/>
  <c r="A1280" i="1"/>
  <c r="C1280" i="1"/>
  <c r="S1280" i="1"/>
  <c r="T1280" i="1"/>
  <c r="U1280" i="1"/>
  <c r="BE1280" i="1"/>
  <c r="CC1280" i="1"/>
  <c r="CD1280" i="1"/>
  <c r="A1281" i="1"/>
  <c r="C1281" i="1"/>
  <c r="S1281" i="1"/>
  <c r="T1281" i="1"/>
  <c r="U1281" i="1"/>
  <c r="BE1281" i="1"/>
  <c r="CC1281" i="1"/>
  <c r="CD1281" i="1"/>
  <c r="A1282" i="1"/>
  <c r="C1282" i="1"/>
  <c r="S1282" i="1"/>
  <c r="T1282" i="1"/>
  <c r="U1282" i="1"/>
  <c r="BE1282" i="1"/>
  <c r="CC1282" i="1"/>
  <c r="CD1282" i="1"/>
  <c r="A1283" i="1"/>
  <c r="C1283" i="1"/>
  <c r="S1283" i="1"/>
  <c r="T1283" i="1"/>
  <c r="U1283" i="1"/>
  <c r="BE1283" i="1"/>
  <c r="CC1283" i="1"/>
  <c r="CD1283" i="1"/>
  <c r="A1284" i="1"/>
  <c r="C1284" i="1"/>
  <c r="S1284" i="1"/>
  <c r="T1284" i="1"/>
  <c r="U1284" i="1"/>
  <c r="BE1284" i="1"/>
  <c r="CC1284" i="1"/>
  <c r="CD1284" i="1"/>
  <c r="A1285" i="1"/>
  <c r="C1285" i="1"/>
  <c r="S1285" i="1"/>
  <c r="T1285" i="1"/>
  <c r="U1285" i="1"/>
  <c r="BE1285" i="1"/>
  <c r="CC1285" i="1"/>
  <c r="CD1285" i="1"/>
  <c r="A1286" i="1"/>
  <c r="C1286" i="1"/>
  <c r="S1286" i="1"/>
  <c r="T1286" i="1"/>
  <c r="U1286" i="1"/>
  <c r="BE1286" i="1"/>
  <c r="CC1286" i="1"/>
  <c r="CD1286" i="1"/>
  <c r="A1287" i="1"/>
  <c r="C1287" i="1"/>
  <c r="S1287" i="1"/>
  <c r="T1287" i="1"/>
  <c r="U1287" i="1"/>
  <c r="BE1287" i="1"/>
  <c r="CC1287" i="1"/>
  <c r="CD1287" i="1"/>
  <c r="A1288" i="1"/>
  <c r="C1288" i="1"/>
  <c r="S1288" i="1"/>
  <c r="T1288" i="1"/>
  <c r="U1288" i="1"/>
  <c r="BE1288" i="1"/>
  <c r="CC1288" i="1"/>
  <c r="CD1288" i="1"/>
  <c r="A1289" i="1"/>
  <c r="C1289" i="1"/>
  <c r="S1289" i="1"/>
  <c r="T1289" i="1"/>
  <c r="U1289" i="1"/>
  <c r="BE1289" i="1"/>
  <c r="CC1289" i="1"/>
  <c r="CD1289" i="1"/>
  <c r="A1290" i="1"/>
  <c r="C1290" i="1"/>
  <c r="S1290" i="1"/>
  <c r="T1290" i="1"/>
  <c r="U1290" i="1"/>
  <c r="BE1290" i="1"/>
  <c r="CC1290" i="1"/>
  <c r="CD1290" i="1"/>
  <c r="A1291" i="1"/>
  <c r="C1291" i="1"/>
  <c r="S1291" i="1"/>
  <c r="T1291" i="1"/>
  <c r="U1291" i="1"/>
  <c r="BE1291" i="1"/>
  <c r="CC1291" i="1"/>
  <c r="CD1291" i="1"/>
  <c r="A1292" i="1"/>
  <c r="C1292" i="1"/>
  <c r="S1292" i="1"/>
  <c r="T1292" i="1"/>
  <c r="U1292" i="1"/>
  <c r="BE1292" i="1"/>
  <c r="CC1292" i="1"/>
  <c r="CD1292" i="1"/>
  <c r="A1293" i="1"/>
  <c r="C1293" i="1"/>
  <c r="S1293" i="1"/>
  <c r="T1293" i="1"/>
  <c r="U1293" i="1"/>
  <c r="BE1293" i="1"/>
  <c r="CC1293" i="1"/>
  <c r="CD1293" i="1"/>
  <c r="A1294" i="1"/>
  <c r="C1294" i="1"/>
  <c r="S1294" i="1"/>
  <c r="T1294" i="1"/>
  <c r="U1294" i="1"/>
  <c r="BE1294" i="1"/>
  <c r="CC1294" i="1"/>
  <c r="CD1294" i="1"/>
  <c r="A1295" i="1"/>
  <c r="C1295" i="1"/>
  <c r="S1295" i="1"/>
  <c r="T1295" i="1"/>
  <c r="U1295" i="1"/>
  <c r="BE1295" i="1"/>
  <c r="CC1295" i="1"/>
  <c r="CD1295" i="1"/>
  <c r="A1296" i="1"/>
  <c r="C1296" i="1"/>
  <c r="S1296" i="1"/>
  <c r="T1296" i="1"/>
  <c r="U1296" i="1"/>
  <c r="BE1296" i="1"/>
  <c r="CC1296" i="1"/>
  <c r="CD1296" i="1"/>
  <c r="A1297" i="1"/>
  <c r="C1297" i="1"/>
  <c r="S1297" i="1"/>
  <c r="T1297" i="1"/>
  <c r="U1297" i="1"/>
  <c r="BE1297" i="1"/>
  <c r="CC1297" i="1"/>
  <c r="CD1297" i="1"/>
  <c r="A1298" i="1"/>
  <c r="C1298" i="1"/>
  <c r="S1298" i="1"/>
  <c r="T1298" i="1"/>
  <c r="U1298" i="1"/>
  <c r="BE1298" i="1"/>
  <c r="CC1298" i="1"/>
  <c r="CD1298" i="1"/>
  <c r="A1299" i="1"/>
  <c r="C1299" i="1"/>
  <c r="S1299" i="1"/>
  <c r="T1299" i="1"/>
  <c r="U1299" i="1"/>
  <c r="BE1299" i="1"/>
  <c r="CC1299" i="1"/>
  <c r="CD1299" i="1"/>
  <c r="A1300" i="1"/>
  <c r="C1300" i="1"/>
  <c r="S1300" i="1"/>
  <c r="T1300" i="1"/>
  <c r="U1300" i="1"/>
  <c r="BE1300" i="1"/>
  <c r="CC1300" i="1"/>
  <c r="CD1300" i="1"/>
  <c r="A1301" i="1"/>
  <c r="C1301" i="1"/>
  <c r="S1301" i="1"/>
  <c r="T1301" i="1"/>
  <c r="U1301" i="1"/>
  <c r="BE1301" i="1"/>
  <c r="CC1301" i="1"/>
  <c r="CD1301" i="1"/>
  <c r="A1302" i="1"/>
  <c r="C1302" i="1"/>
  <c r="S1302" i="1"/>
  <c r="T1302" i="1"/>
  <c r="U1302" i="1"/>
  <c r="BE1302" i="1"/>
  <c r="CC1302" i="1"/>
  <c r="CD1302" i="1"/>
  <c r="A1303" i="1"/>
  <c r="C1303" i="1"/>
  <c r="S1303" i="1"/>
  <c r="T1303" i="1"/>
  <c r="U1303" i="1"/>
  <c r="BE1303" i="1"/>
  <c r="CC1303" i="1"/>
  <c r="CD1303" i="1"/>
  <c r="A1304" i="1"/>
  <c r="C1304" i="1"/>
  <c r="S1304" i="1"/>
  <c r="T1304" i="1"/>
  <c r="U1304" i="1"/>
  <c r="BE1304" i="1"/>
  <c r="CC1304" i="1"/>
  <c r="CD1304" i="1"/>
  <c r="A1305" i="1"/>
  <c r="C1305" i="1"/>
  <c r="S1305" i="1"/>
  <c r="T1305" i="1"/>
  <c r="U1305" i="1"/>
  <c r="BE1305" i="1"/>
  <c r="CC1305" i="1"/>
  <c r="CD1305" i="1"/>
  <c r="A1306" i="1"/>
  <c r="C1306" i="1"/>
  <c r="S1306" i="1"/>
  <c r="T1306" i="1"/>
  <c r="U1306" i="1"/>
  <c r="BE1306" i="1"/>
  <c r="CC1306" i="1"/>
  <c r="CD1306" i="1"/>
  <c r="A1307" i="1"/>
  <c r="C1307" i="1"/>
  <c r="S1307" i="1"/>
  <c r="T1307" i="1"/>
  <c r="U1307" i="1"/>
  <c r="BE1307" i="1"/>
  <c r="CC1307" i="1"/>
  <c r="CD1307" i="1"/>
  <c r="A1308" i="1"/>
  <c r="C1308" i="1"/>
  <c r="S1308" i="1"/>
  <c r="T1308" i="1"/>
  <c r="U1308" i="1"/>
  <c r="BE1308" i="1"/>
  <c r="CC1308" i="1"/>
  <c r="CD1308" i="1"/>
  <c r="A1309" i="1"/>
  <c r="C1309" i="1"/>
  <c r="S1309" i="1"/>
  <c r="T1309" i="1"/>
  <c r="U1309" i="1"/>
  <c r="BE1309" i="1"/>
  <c r="CC1309" i="1"/>
  <c r="CD1309" i="1"/>
  <c r="A1310" i="1"/>
  <c r="C1310" i="1"/>
  <c r="S1310" i="1"/>
  <c r="T1310" i="1"/>
  <c r="U1310" i="1"/>
  <c r="BE1310" i="1"/>
  <c r="CC1310" i="1"/>
  <c r="CD1310" i="1"/>
  <c r="A1311" i="1"/>
  <c r="C1311" i="1"/>
  <c r="S1311" i="1"/>
  <c r="T1311" i="1"/>
  <c r="U1311" i="1"/>
  <c r="BE1311" i="1"/>
  <c r="CC1311" i="1"/>
  <c r="CD1311" i="1"/>
  <c r="A1312" i="1"/>
  <c r="C1312" i="1"/>
  <c r="S1312" i="1"/>
  <c r="T1312" i="1"/>
  <c r="U1312" i="1"/>
  <c r="BE1312" i="1"/>
  <c r="CC1312" i="1"/>
  <c r="CD1312" i="1"/>
  <c r="A1313" i="1"/>
  <c r="C1313" i="1"/>
  <c r="S1313" i="1"/>
  <c r="T1313" i="1"/>
  <c r="U1313" i="1"/>
  <c r="BE1313" i="1"/>
  <c r="CC1313" i="1"/>
  <c r="CD1313" i="1"/>
  <c r="A1314" i="1"/>
  <c r="C1314" i="1"/>
  <c r="S1314" i="1"/>
  <c r="T1314" i="1"/>
  <c r="U1314" i="1"/>
  <c r="BE1314" i="1"/>
  <c r="CC1314" i="1"/>
  <c r="CD1314" i="1"/>
  <c r="A1315" i="1"/>
  <c r="C1315" i="1"/>
  <c r="S1315" i="1"/>
  <c r="T1315" i="1"/>
  <c r="U1315" i="1"/>
  <c r="BE1315" i="1"/>
  <c r="CC1315" i="1"/>
  <c r="CD1315" i="1"/>
  <c r="A1316" i="1"/>
  <c r="C1316" i="1"/>
  <c r="S1316" i="1"/>
  <c r="T1316" i="1"/>
  <c r="U1316" i="1"/>
  <c r="BE1316" i="1"/>
  <c r="CC1316" i="1"/>
  <c r="CD1316" i="1"/>
  <c r="A1317" i="1"/>
  <c r="C1317" i="1"/>
  <c r="S1317" i="1"/>
  <c r="T1317" i="1"/>
  <c r="U1317" i="1"/>
  <c r="BE1317" i="1"/>
  <c r="CC1317" i="1"/>
  <c r="CD1317" i="1"/>
  <c r="A1318" i="1"/>
  <c r="C1318" i="1"/>
  <c r="S1318" i="1"/>
  <c r="T1318" i="1"/>
  <c r="U1318" i="1"/>
  <c r="BE1318" i="1"/>
  <c r="CC1318" i="1"/>
  <c r="CD1318" i="1"/>
  <c r="A1319" i="1"/>
  <c r="C1319" i="1"/>
  <c r="S1319" i="1"/>
  <c r="T1319" i="1"/>
  <c r="U1319" i="1"/>
  <c r="BE1319" i="1"/>
  <c r="CC1319" i="1"/>
  <c r="CD1319" i="1"/>
  <c r="A1320" i="1"/>
  <c r="C1320" i="1"/>
  <c r="S1320" i="1"/>
  <c r="T1320" i="1"/>
  <c r="U1320" i="1"/>
  <c r="BE1320" i="1"/>
  <c r="CC1320" i="1"/>
  <c r="CD1320" i="1"/>
  <c r="A1321" i="1"/>
  <c r="C1321" i="1"/>
  <c r="S1321" i="1"/>
  <c r="T1321" i="1"/>
  <c r="U1321" i="1"/>
  <c r="BE1321" i="1"/>
  <c r="CC1321" i="1"/>
  <c r="CD1321" i="1"/>
  <c r="A1322" i="1"/>
  <c r="C1322" i="1"/>
  <c r="S1322" i="1"/>
  <c r="T1322" i="1"/>
  <c r="U1322" i="1"/>
  <c r="BE1322" i="1"/>
  <c r="CC1322" i="1"/>
  <c r="CD1322" i="1"/>
  <c r="A1323" i="1"/>
  <c r="C1323" i="1"/>
  <c r="S1323" i="1"/>
  <c r="T1323" i="1"/>
  <c r="U1323" i="1"/>
  <c r="BE1323" i="1"/>
  <c r="CC1323" i="1"/>
  <c r="CD1323" i="1"/>
  <c r="A1324" i="1"/>
  <c r="C1324" i="1"/>
  <c r="S1324" i="1"/>
  <c r="T1324" i="1"/>
  <c r="U1324" i="1"/>
  <c r="BE1324" i="1"/>
  <c r="CC1324" i="1"/>
  <c r="CD1324" i="1"/>
  <c r="A1325" i="1"/>
  <c r="C1325" i="1"/>
  <c r="S1325" i="1"/>
  <c r="T1325" i="1"/>
  <c r="U1325" i="1"/>
  <c r="BE1325" i="1"/>
  <c r="CC1325" i="1"/>
  <c r="CD1325" i="1"/>
  <c r="A1326" i="1"/>
  <c r="C1326" i="1"/>
  <c r="S1326" i="1"/>
  <c r="T1326" i="1"/>
  <c r="U1326" i="1"/>
  <c r="BE1326" i="1"/>
  <c r="CC1326" i="1"/>
  <c r="CD1326" i="1"/>
  <c r="A1327" i="1"/>
  <c r="C1327" i="1"/>
  <c r="S1327" i="1"/>
  <c r="T1327" i="1"/>
  <c r="U1327" i="1"/>
  <c r="BE1327" i="1"/>
  <c r="CC1327" i="1"/>
  <c r="CD1327" i="1"/>
  <c r="A1328" i="1"/>
  <c r="C1328" i="1"/>
  <c r="S1328" i="1"/>
  <c r="T1328" i="1"/>
  <c r="U1328" i="1"/>
  <c r="BE1328" i="1"/>
  <c r="CC1328" i="1"/>
  <c r="CD1328" i="1"/>
  <c r="A1329" i="1"/>
  <c r="C1329" i="1"/>
  <c r="S1329" i="1"/>
  <c r="T1329" i="1"/>
  <c r="U1329" i="1"/>
  <c r="BE1329" i="1"/>
  <c r="CC1329" i="1"/>
  <c r="CD1329" i="1"/>
  <c r="A1330" i="1"/>
  <c r="C1330" i="1"/>
  <c r="S1330" i="1"/>
  <c r="T1330" i="1"/>
  <c r="U1330" i="1"/>
  <c r="BE1330" i="1"/>
  <c r="CC1330" i="1"/>
  <c r="CD1330" i="1"/>
  <c r="A1331" i="1"/>
  <c r="C1331" i="1"/>
  <c r="S1331" i="1"/>
  <c r="T1331" i="1"/>
  <c r="U1331" i="1"/>
  <c r="BE1331" i="1"/>
  <c r="CC1331" i="1"/>
  <c r="CD1331" i="1"/>
  <c r="A1332" i="1"/>
  <c r="C1332" i="1"/>
  <c r="S1332" i="1"/>
  <c r="T1332" i="1"/>
  <c r="U1332" i="1"/>
  <c r="BE1332" i="1"/>
  <c r="CC1332" i="1"/>
  <c r="CD1332" i="1"/>
  <c r="A1333" i="1"/>
  <c r="C1333" i="1"/>
  <c r="S1333" i="1"/>
  <c r="T1333" i="1"/>
  <c r="U1333" i="1"/>
  <c r="BE1333" i="1"/>
  <c r="CC1333" i="1"/>
  <c r="CD1333" i="1"/>
  <c r="A1334" i="1"/>
  <c r="C1334" i="1"/>
  <c r="S1334" i="1"/>
  <c r="T1334" i="1"/>
  <c r="U1334" i="1"/>
  <c r="BE1334" i="1"/>
  <c r="CC1334" i="1"/>
  <c r="CD1334" i="1"/>
  <c r="A1335" i="1"/>
  <c r="C1335" i="1"/>
  <c r="S1335" i="1"/>
  <c r="T1335" i="1"/>
  <c r="U1335" i="1"/>
  <c r="BE1335" i="1"/>
  <c r="CC1335" i="1"/>
  <c r="CD1335" i="1"/>
  <c r="A1336" i="1"/>
  <c r="C1336" i="1"/>
  <c r="S1336" i="1"/>
  <c r="T1336" i="1"/>
  <c r="U1336" i="1"/>
  <c r="BE1336" i="1"/>
  <c r="CC1336" i="1"/>
  <c r="CD1336" i="1"/>
  <c r="A1337" i="1"/>
  <c r="C1337" i="1"/>
  <c r="S1337" i="1"/>
  <c r="T1337" i="1"/>
  <c r="U1337" i="1"/>
  <c r="BE1337" i="1"/>
  <c r="CC1337" i="1"/>
  <c r="CD1337" i="1"/>
  <c r="A1338" i="1"/>
  <c r="C1338" i="1"/>
  <c r="S1338" i="1"/>
  <c r="T1338" i="1"/>
  <c r="U1338" i="1"/>
  <c r="BE1338" i="1"/>
  <c r="CC1338" i="1"/>
  <c r="CD1338" i="1"/>
  <c r="A1339" i="1"/>
  <c r="C1339" i="1"/>
  <c r="S1339" i="1"/>
  <c r="T1339" i="1"/>
  <c r="U1339" i="1"/>
  <c r="BE1339" i="1"/>
  <c r="CC1339" i="1"/>
  <c r="CD1339" i="1"/>
  <c r="A1340" i="1"/>
  <c r="C1340" i="1"/>
  <c r="S1340" i="1"/>
  <c r="T1340" i="1"/>
  <c r="U1340" i="1"/>
  <c r="BE1340" i="1"/>
  <c r="CC1340" i="1"/>
  <c r="CD1340" i="1"/>
  <c r="A1341" i="1"/>
  <c r="C1341" i="1"/>
  <c r="S1341" i="1"/>
  <c r="T1341" i="1"/>
  <c r="U1341" i="1"/>
  <c r="BE1341" i="1"/>
  <c r="CC1341" i="1"/>
  <c r="CD1341" i="1"/>
  <c r="A1342" i="1"/>
  <c r="C1342" i="1"/>
  <c r="S1342" i="1"/>
  <c r="T1342" i="1"/>
  <c r="U1342" i="1"/>
  <c r="BE1342" i="1"/>
  <c r="CC1342" i="1"/>
  <c r="CD1342" i="1"/>
  <c r="A1343" i="1"/>
  <c r="C1343" i="1"/>
  <c r="S1343" i="1"/>
  <c r="T1343" i="1"/>
  <c r="U1343" i="1"/>
  <c r="BE1343" i="1"/>
  <c r="CC1343" i="1"/>
  <c r="CD1343" i="1"/>
  <c r="A1344" i="1"/>
  <c r="C1344" i="1"/>
  <c r="S1344" i="1"/>
  <c r="T1344" i="1"/>
  <c r="U1344" i="1"/>
  <c r="BE1344" i="1"/>
  <c r="CC1344" i="1"/>
  <c r="CD1344" i="1"/>
  <c r="A1345" i="1"/>
  <c r="C1345" i="1"/>
  <c r="S1345" i="1"/>
  <c r="T1345" i="1"/>
  <c r="U1345" i="1"/>
  <c r="BE1345" i="1"/>
  <c r="CC1345" i="1"/>
  <c r="CD1345" i="1"/>
  <c r="A1346" i="1"/>
  <c r="C1346" i="1"/>
  <c r="S1346" i="1"/>
  <c r="T1346" i="1"/>
  <c r="U1346" i="1"/>
  <c r="BE1346" i="1"/>
  <c r="CC1346" i="1"/>
  <c r="CD1346" i="1"/>
  <c r="A1347" i="1"/>
  <c r="C1347" i="1"/>
  <c r="S1347" i="1"/>
  <c r="T1347" i="1"/>
  <c r="U1347" i="1"/>
  <c r="BE1347" i="1"/>
  <c r="CC1347" i="1"/>
  <c r="CD1347" i="1"/>
  <c r="A1348" i="1"/>
  <c r="C1348" i="1"/>
  <c r="S1348" i="1"/>
  <c r="T1348" i="1"/>
  <c r="U1348" i="1"/>
  <c r="BE1348" i="1"/>
  <c r="CC1348" i="1"/>
  <c r="CD1348" i="1"/>
  <c r="A1349" i="1"/>
  <c r="C1349" i="1"/>
  <c r="S1349" i="1"/>
  <c r="T1349" i="1"/>
  <c r="U1349" i="1"/>
  <c r="BE1349" i="1"/>
  <c r="CC1349" i="1"/>
  <c r="CD1349" i="1"/>
  <c r="A1350" i="1"/>
  <c r="C1350" i="1"/>
  <c r="S1350" i="1"/>
  <c r="T1350" i="1"/>
  <c r="U1350" i="1"/>
  <c r="BE1350" i="1"/>
  <c r="CC1350" i="1"/>
  <c r="CD1350" i="1"/>
  <c r="A1351" i="1"/>
  <c r="C1351" i="1"/>
  <c r="S1351" i="1"/>
  <c r="T1351" i="1"/>
  <c r="U1351" i="1"/>
  <c r="BE1351" i="1"/>
  <c r="CC1351" i="1"/>
  <c r="CD1351" i="1"/>
  <c r="A1352" i="1"/>
  <c r="C1352" i="1"/>
  <c r="S1352" i="1"/>
  <c r="T1352" i="1"/>
  <c r="U1352" i="1"/>
  <c r="BE1352" i="1"/>
  <c r="CC1352" i="1"/>
  <c r="CD1352" i="1"/>
  <c r="A1353" i="1"/>
  <c r="C1353" i="1"/>
  <c r="S1353" i="1"/>
  <c r="T1353" i="1"/>
  <c r="U1353" i="1"/>
  <c r="BE1353" i="1"/>
  <c r="CC1353" i="1"/>
  <c r="CD1353" i="1"/>
  <c r="A1354" i="1"/>
  <c r="C1354" i="1"/>
  <c r="S1354" i="1"/>
  <c r="T1354" i="1"/>
  <c r="U1354" i="1"/>
  <c r="BE1354" i="1"/>
  <c r="CC1354" i="1"/>
  <c r="CD1354" i="1"/>
  <c r="A1355" i="1"/>
  <c r="C1355" i="1"/>
  <c r="S1355" i="1"/>
  <c r="T1355" i="1"/>
  <c r="U1355" i="1"/>
  <c r="BE1355" i="1"/>
  <c r="CC1355" i="1"/>
  <c r="CD1355" i="1"/>
  <c r="A1356" i="1"/>
  <c r="C1356" i="1"/>
  <c r="S1356" i="1"/>
  <c r="T1356" i="1"/>
  <c r="U1356" i="1"/>
  <c r="BE1356" i="1"/>
  <c r="CC1356" i="1"/>
  <c r="CD1356" i="1"/>
  <c r="A1357" i="1"/>
  <c r="C1357" i="1"/>
  <c r="S1357" i="1"/>
  <c r="T1357" i="1"/>
  <c r="U1357" i="1"/>
  <c r="BE1357" i="1"/>
  <c r="CC1357" i="1"/>
  <c r="CD1357" i="1"/>
  <c r="A1358" i="1"/>
  <c r="C1358" i="1"/>
  <c r="S1358" i="1"/>
  <c r="T1358" i="1"/>
  <c r="U1358" i="1"/>
  <c r="BE1358" i="1"/>
  <c r="CC1358" i="1"/>
  <c r="CD1358" i="1"/>
  <c r="A1359" i="1"/>
  <c r="C1359" i="1"/>
  <c r="S1359" i="1"/>
  <c r="T1359" i="1"/>
  <c r="U1359" i="1"/>
  <c r="BE1359" i="1"/>
  <c r="CC1359" i="1"/>
  <c r="CD1359" i="1"/>
  <c r="A1360" i="1"/>
  <c r="C1360" i="1"/>
  <c r="S1360" i="1"/>
  <c r="T1360" i="1"/>
  <c r="U1360" i="1"/>
  <c r="BE1360" i="1"/>
  <c r="CC1360" i="1"/>
  <c r="CD1360" i="1"/>
  <c r="A1361" i="1"/>
  <c r="C1361" i="1"/>
  <c r="S1361" i="1"/>
  <c r="T1361" i="1"/>
  <c r="U1361" i="1"/>
  <c r="BE1361" i="1"/>
  <c r="CC1361" i="1"/>
  <c r="CD1361" i="1"/>
  <c r="A1362" i="1"/>
  <c r="C1362" i="1"/>
  <c r="S1362" i="1"/>
  <c r="T1362" i="1"/>
  <c r="U1362" i="1"/>
  <c r="BE1362" i="1"/>
  <c r="CC1362" i="1"/>
  <c r="CD1362" i="1"/>
  <c r="A1363" i="1"/>
  <c r="C1363" i="1"/>
  <c r="S1363" i="1"/>
  <c r="T1363" i="1"/>
  <c r="U1363" i="1"/>
  <c r="BE1363" i="1"/>
  <c r="CC1363" i="1"/>
  <c r="CD1363" i="1"/>
  <c r="A1364" i="1"/>
  <c r="C1364" i="1"/>
  <c r="S1364" i="1"/>
  <c r="T1364" i="1"/>
  <c r="U1364" i="1"/>
  <c r="BE1364" i="1"/>
  <c r="CC1364" i="1"/>
  <c r="CD1364" i="1"/>
  <c r="A1365" i="1"/>
  <c r="C1365" i="1"/>
  <c r="S1365" i="1"/>
  <c r="T1365" i="1"/>
  <c r="U1365" i="1"/>
  <c r="BE1365" i="1"/>
  <c r="CC1365" i="1"/>
  <c r="CD1365" i="1"/>
  <c r="A1366" i="1"/>
  <c r="C1366" i="1"/>
  <c r="S1366" i="1"/>
  <c r="T1366" i="1"/>
  <c r="U1366" i="1"/>
  <c r="BE1366" i="1"/>
  <c r="CC1366" i="1"/>
  <c r="CD1366" i="1"/>
  <c r="A1367" i="1"/>
  <c r="C1367" i="1"/>
  <c r="S1367" i="1"/>
  <c r="T1367" i="1"/>
  <c r="U1367" i="1"/>
  <c r="BE1367" i="1"/>
  <c r="CC1367" i="1"/>
  <c r="CD1367" i="1"/>
  <c r="A1368" i="1"/>
  <c r="C1368" i="1"/>
  <c r="S1368" i="1"/>
  <c r="T1368" i="1"/>
  <c r="U1368" i="1"/>
  <c r="BE1368" i="1"/>
  <c r="CC1368" i="1"/>
  <c r="CD1368" i="1"/>
  <c r="A1369" i="1"/>
  <c r="C1369" i="1"/>
  <c r="S1369" i="1"/>
  <c r="T1369" i="1"/>
  <c r="U1369" i="1"/>
  <c r="BE1369" i="1"/>
  <c r="CC1369" i="1"/>
  <c r="CD1369" i="1"/>
  <c r="A1370" i="1"/>
  <c r="C1370" i="1"/>
  <c r="S1370" i="1"/>
  <c r="T1370" i="1"/>
  <c r="U1370" i="1"/>
  <c r="BE1370" i="1"/>
  <c r="CC1370" i="1"/>
  <c r="CD1370" i="1"/>
  <c r="A1371" i="1"/>
  <c r="C1371" i="1"/>
  <c r="S1371" i="1"/>
  <c r="T1371" i="1"/>
  <c r="U1371" i="1"/>
  <c r="BE1371" i="1"/>
  <c r="CC1371" i="1"/>
  <c r="CD1371" i="1"/>
  <c r="A1372" i="1"/>
  <c r="C1372" i="1"/>
  <c r="S1372" i="1"/>
  <c r="T1372" i="1"/>
  <c r="U1372" i="1"/>
  <c r="BE1372" i="1"/>
  <c r="CC1372" i="1"/>
  <c r="CD1372" i="1"/>
  <c r="A1373" i="1"/>
  <c r="C1373" i="1"/>
  <c r="S1373" i="1"/>
  <c r="T1373" i="1"/>
  <c r="U1373" i="1"/>
  <c r="BE1373" i="1"/>
  <c r="CC1373" i="1"/>
  <c r="CD1373" i="1"/>
  <c r="A1374" i="1"/>
  <c r="C1374" i="1"/>
  <c r="S1374" i="1"/>
  <c r="T1374" i="1"/>
  <c r="U1374" i="1"/>
  <c r="BE1374" i="1"/>
  <c r="CC1374" i="1"/>
  <c r="CD1374" i="1"/>
  <c r="A1375" i="1"/>
  <c r="C1375" i="1"/>
  <c r="S1375" i="1"/>
  <c r="T1375" i="1"/>
  <c r="U1375" i="1"/>
  <c r="BE1375" i="1"/>
  <c r="CC1375" i="1"/>
  <c r="CD1375" i="1"/>
  <c r="A1376" i="1"/>
  <c r="C1376" i="1"/>
  <c r="S1376" i="1"/>
  <c r="T1376" i="1"/>
  <c r="U1376" i="1"/>
  <c r="BE1376" i="1"/>
  <c r="CC1376" i="1"/>
  <c r="CD1376" i="1"/>
  <c r="A1377" i="1"/>
  <c r="C1377" i="1"/>
  <c r="S1377" i="1"/>
  <c r="T1377" i="1"/>
  <c r="U1377" i="1"/>
  <c r="BE1377" i="1"/>
  <c r="CC1377" i="1"/>
  <c r="CD1377" i="1"/>
  <c r="A1378" i="1"/>
  <c r="C1378" i="1"/>
  <c r="S1378" i="1"/>
  <c r="T1378" i="1"/>
  <c r="U1378" i="1"/>
  <c r="BE1378" i="1"/>
  <c r="CC1378" i="1"/>
  <c r="CD1378" i="1"/>
  <c r="A1379" i="1"/>
  <c r="C1379" i="1"/>
  <c r="S1379" i="1"/>
  <c r="T1379" i="1"/>
  <c r="U1379" i="1"/>
  <c r="BE1379" i="1"/>
  <c r="CC1379" i="1"/>
  <c r="CD1379" i="1"/>
  <c r="A1380" i="1"/>
  <c r="C1380" i="1"/>
  <c r="S1380" i="1"/>
  <c r="T1380" i="1"/>
  <c r="U1380" i="1"/>
  <c r="BE1380" i="1"/>
  <c r="CC1380" i="1"/>
  <c r="CD1380" i="1"/>
  <c r="A1381" i="1"/>
  <c r="C1381" i="1"/>
  <c r="S1381" i="1"/>
  <c r="T1381" i="1"/>
  <c r="U1381" i="1"/>
  <c r="BE1381" i="1"/>
  <c r="CC1381" i="1"/>
  <c r="CD1381" i="1"/>
  <c r="A1382" i="1"/>
  <c r="C1382" i="1"/>
  <c r="S1382" i="1"/>
  <c r="T1382" i="1"/>
  <c r="U1382" i="1"/>
  <c r="BE1382" i="1"/>
  <c r="CC1382" i="1"/>
  <c r="CD1382" i="1"/>
  <c r="A1383" i="1"/>
  <c r="C1383" i="1"/>
  <c r="S1383" i="1"/>
  <c r="T1383" i="1"/>
  <c r="U1383" i="1"/>
  <c r="BE1383" i="1"/>
  <c r="CC1383" i="1"/>
  <c r="CD1383" i="1"/>
  <c r="A1384" i="1"/>
  <c r="C1384" i="1"/>
  <c r="S1384" i="1"/>
  <c r="T1384" i="1"/>
  <c r="U1384" i="1"/>
  <c r="BE1384" i="1"/>
  <c r="CC1384" i="1"/>
  <c r="CD1384" i="1"/>
  <c r="A1385" i="1"/>
  <c r="C1385" i="1"/>
  <c r="S1385" i="1"/>
  <c r="T1385" i="1"/>
  <c r="U1385" i="1"/>
  <c r="BE1385" i="1"/>
  <c r="CC1385" i="1"/>
  <c r="CD1385" i="1"/>
  <c r="A1386" i="1"/>
  <c r="C1386" i="1"/>
  <c r="S1386" i="1"/>
  <c r="T1386" i="1"/>
  <c r="U1386" i="1"/>
  <c r="BE1386" i="1"/>
  <c r="CC1386" i="1"/>
  <c r="CD1386" i="1"/>
  <c r="A1387" i="1"/>
  <c r="C1387" i="1"/>
  <c r="S1387" i="1"/>
  <c r="T1387" i="1"/>
  <c r="U1387" i="1"/>
  <c r="BE1387" i="1"/>
  <c r="CC1387" i="1"/>
  <c r="CD1387" i="1"/>
  <c r="A1388" i="1"/>
  <c r="C1388" i="1"/>
  <c r="S1388" i="1"/>
  <c r="T1388" i="1"/>
  <c r="U1388" i="1"/>
  <c r="BE1388" i="1"/>
  <c r="CC1388" i="1"/>
  <c r="CD1388" i="1"/>
  <c r="A1389" i="1"/>
  <c r="C1389" i="1"/>
  <c r="S1389" i="1"/>
  <c r="T1389" i="1"/>
  <c r="U1389" i="1"/>
  <c r="BE1389" i="1"/>
  <c r="CC1389" i="1"/>
  <c r="CD1389" i="1"/>
  <c r="A1390" i="1"/>
  <c r="C1390" i="1"/>
  <c r="S1390" i="1"/>
  <c r="T1390" i="1"/>
  <c r="U1390" i="1"/>
  <c r="BE1390" i="1"/>
  <c r="CC1390" i="1"/>
  <c r="CD1390" i="1"/>
  <c r="A1391" i="1"/>
  <c r="C1391" i="1"/>
  <c r="S1391" i="1"/>
  <c r="T1391" i="1"/>
  <c r="U1391" i="1"/>
  <c r="BE1391" i="1"/>
  <c r="CC1391" i="1"/>
  <c r="CD1391" i="1"/>
  <c r="A1392" i="1"/>
  <c r="C1392" i="1"/>
  <c r="S1392" i="1"/>
  <c r="T1392" i="1"/>
  <c r="U1392" i="1"/>
  <c r="BE1392" i="1"/>
  <c r="CC1392" i="1"/>
  <c r="CD1392" i="1"/>
  <c r="A1393" i="1"/>
  <c r="C1393" i="1"/>
  <c r="S1393" i="1"/>
  <c r="T1393" i="1"/>
  <c r="U1393" i="1"/>
  <c r="BE1393" i="1"/>
  <c r="CC1393" i="1"/>
  <c r="CD1393" i="1"/>
  <c r="A1394" i="1"/>
  <c r="C1394" i="1"/>
  <c r="S1394" i="1"/>
  <c r="T1394" i="1"/>
  <c r="U1394" i="1"/>
  <c r="BE1394" i="1"/>
  <c r="CC1394" i="1"/>
  <c r="CD1394" i="1"/>
  <c r="A1395" i="1"/>
  <c r="C1395" i="1"/>
  <c r="S1395" i="1"/>
  <c r="T1395" i="1"/>
  <c r="U1395" i="1"/>
  <c r="BE1395" i="1"/>
  <c r="CC1395" i="1"/>
  <c r="CD1395" i="1"/>
  <c r="A1396" i="1"/>
  <c r="C1396" i="1"/>
  <c r="S1396" i="1"/>
  <c r="T1396" i="1"/>
  <c r="U1396" i="1"/>
  <c r="BE1396" i="1"/>
  <c r="CC1396" i="1"/>
  <c r="CD1396" i="1"/>
  <c r="A1397" i="1"/>
  <c r="C1397" i="1"/>
  <c r="S1397" i="1"/>
  <c r="T1397" i="1"/>
  <c r="U1397" i="1"/>
  <c r="BE1397" i="1"/>
  <c r="CC1397" i="1"/>
  <c r="CD1397" i="1"/>
  <c r="A1398" i="1"/>
  <c r="C1398" i="1"/>
  <c r="S1398" i="1"/>
  <c r="T1398" i="1"/>
  <c r="U1398" i="1"/>
  <c r="BE1398" i="1"/>
  <c r="CC1398" i="1"/>
  <c r="CD1398" i="1"/>
  <c r="A1399" i="1"/>
  <c r="C1399" i="1"/>
  <c r="S1399" i="1"/>
  <c r="T1399" i="1"/>
  <c r="U1399" i="1"/>
  <c r="BE1399" i="1"/>
  <c r="CC1399" i="1"/>
  <c r="CD1399" i="1"/>
  <c r="A1400" i="1"/>
  <c r="C1400" i="1"/>
  <c r="S1400" i="1"/>
  <c r="T1400" i="1"/>
  <c r="U1400" i="1"/>
  <c r="BE1400" i="1"/>
  <c r="CC1400" i="1"/>
  <c r="CD1400" i="1"/>
  <c r="A1401" i="1"/>
  <c r="C1401" i="1"/>
  <c r="S1401" i="1"/>
  <c r="T1401" i="1"/>
  <c r="U1401" i="1"/>
  <c r="BE1401" i="1"/>
  <c r="CC1401" i="1"/>
  <c r="CD1401" i="1"/>
  <c r="A1402" i="1"/>
  <c r="C1402" i="1"/>
  <c r="S1402" i="1"/>
  <c r="T1402" i="1"/>
  <c r="U1402" i="1"/>
  <c r="BE1402" i="1"/>
  <c r="CC1402" i="1"/>
  <c r="CD1402" i="1"/>
  <c r="A1403" i="1"/>
  <c r="C1403" i="1"/>
  <c r="S1403" i="1"/>
  <c r="T1403" i="1"/>
  <c r="U1403" i="1"/>
  <c r="BE1403" i="1"/>
  <c r="CC1403" i="1"/>
  <c r="CD1403" i="1"/>
  <c r="A1404" i="1"/>
  <c r="C1404" i="1"/>
  <c r="S1404" i="1"/>
  <c r="T1404" i="1"/>
  <c r="U1404" i="1"/>
  <c r="BE1404" i="1"/>
  <c r="CC1404" i="1"/>
  <c r="CD1404" i="1"/>
  <c r="A1405" i="1"/>
  <c r="C1405" i="1"/>
  <c r="S1405" i="1"/>
  <c r="T1405" i="1"/>
  <c r="U1405" i="1"/>
  <c r="BE1405" i="1"/>
  <c r="CC1405" i="1"/>
  <c r="CD1405" i="1"/>
  <c r="A1406" i="1"/>
  <c r="C1406" i="1"/>
  <c r="S1406" i="1"/>
  <c r="T1406" i="1"/>
  <c r="U1406" i="1"/>
  <c r="BE1406" i="1"/>
  <c r="CC1406" i="1"/>
  <c r="CD1406" i="1"/>
  <c r="A1407" i="1"/>
  <c r="C1407" i="1"/>
  <c r="S1407" i="1"/>
  <c r="T1407" i="1"/>
  <c r="U1407" i="1"/>
  <c r="BE1407" i="1"/>
  <c r="CC1407" i="1"/>
  <c r="CD1407" i="1"/>
  <c r="A1408" i="1"/>
  <c r="C1408" i="1"/>
  <c r="S1408" i="1"/>
  <c r="T1408" i="1"/>
  <c r="U1408" i="1"/>
  <c r="BE1408" i="1"/>
  <c r="CC1408" i="1"/>
  <c r="CD1408" i="1"/>
  <c r="A1409" i="1"/>
  <c r="C1409" i="1"/>
  <c r="S1409" i="1"/>
  <c r="T1409" i="1"/>
  <c r="U1409" i="1"/>
  <c r="BE1409" i="1"/>
  <c r="CC1409" i="1"/>
  <c r="CD1409" i="1"/>
  <c r="A1410" i="1"/>
  <c r="C1410" i="1"/>
  <c r="S1410" i="1"/>
  <c r="T1410" i="1"/>
  <c r="U1410" i="1"/>
  <c r="BE1410" i="1"/>
  <c r="CC1410" i="1"/>
  <c r="CD1410" i="1"/>
  <c r="A1411" i="1"/>
  <c r="C1411" i="1"/>
  <c r="S1411" i="1"/>
  <c r="T1411" i="1"/>
  <c r="U1411" i="1"/>
  <c r="BE1411" i="1"/>
  <c r="CC1411" i="1"/>
  <c r="CD1411" i="1"/>
  <c r="A1412" i="1"/>
  <c r="C1412" i="1"/>
  <c r="S1412" i="1"/>
  <c r="T1412" i="1"/>
  <c r="U1412" i="1"/>
  <c r="BE1412" i="1"/>
  <c r="CC1412" i="1"/>
  <c r="CD1412" i="1"/>
  <c r="A1413" i="1"/>
  <c r="C1413" i="1"/>
  <c r="S1413" i="1"/>
  <c r="T1413" i="1"/>
  <c r="U1413" i="1"/>
  <c r="BE1413" i="1"/>
  <c r="CC1413" i="1"/>
  <c r="CD1413" i="1"/>
  <c r="A1414" i="1"/>
  <c r="C1414" i="1"/>
  <c r="S1414" i="1"/>
  <c r="T1414" i="1"/>
  <c r="U1414" i="1"/>
  <c r="BE1414" i="1"/>
  <c r="CC1414" i="1"/>
  <c r="CD1414" i="1"/>
  <c r="A1415" i="1"/>
  <c r="C1415" i="1"/>
  <c r="S1415" i="1"/>
  <c r="T1415" i="1"/>
  <c r="U1415" i="1"/>
  <c r="BE1415" i="1"/>
  <c r="CC1415" i="1"/>
  <c r="CD1415" i="1"/>
  <c r="A1416" i="1"/>
  <c r="C1416" i="1"/>
  <c r="S1416" i="1"/>
  <c r="T1416" i="1"/>
  <c r="U1416" i="1"/>
  <c r="BE1416" i="1"/>
  <c r="CC1416" i="1"/>
  <c r="CD1416" i="1"/>
  <c r="A1417" i="1"/>
  <c r="C1417" i="1"/>
  <c r="S1417" i="1"/>
  <c r="T1417" i="1"/>
  <c r="U1417" i="1"/>
  <c r="BE1417" i="1"/>
  <c r="CC1417" i="1"/>
  <c r="CD1417" i="1"/>
  <c r="A1418" i="1"/>
  <c r="C1418" i="1"/>
  <c r="S1418" i="1"/>
  <c r="T1418" i="1"/>
  <c r="U1418" i="1"/>
  <c r="BE1418" i="1"/>
  <c r="CC1418" i="1"/>
  <c r="CD1418" i="1"/>
  <c r="A1419" i="1"/>
  <c r="C1419" i="1"/>
  <c r="S1419" i="1"/>
  <c r="T1419" i="1"/>
  <c r="U1419" i="1"/>
  <c r="BE1419" i="1"/>
  <c r="CC1419" i="1"/>
  <c r="CD1419" i="1"/>
  <c r="A1420" i="1"/>
  <c r="C1420" i="1"/>
  <c r="S1420" i="1"/>
  <c r="T1420" i="1"/>
  <c r="U1420" i="1"/>
  <c r="BE1420" i="1"/>
  <c r="CC1420" i="1"/>
  <c r="CD1420" i="1"/>
  <c r="A1421" i="1"/>
  <c r="C1421" i="1"/>
  <c r="S1421" i="1"/>
  <c r="T1421" i="1"/>
  <c r="U1421" i="1"/>
  <c r="BE1421" i="1"/>
  <c r="CC1421" i="1"/>
  <c r="CD1421" i="1"/>
  <c r="A1422" i="1"/>
  <c r="C1422" i="1"/>
  <c r="S1422" i="1"/>
  <c r="T1422" i="1"/>
  <c r="U1422" i="1"/>
  <c r="BE1422" i="1"/>
  <c r="CC1422" i="1"/>
  <c r="CD1422" i="1"/>
  <c r="A1423" i="1"/>
  <c r="C1423" i="1"/>
  <c r="S1423" i="1"/>
  <c r="T1423" i="1"/>
  <c r="U1423" i="1"/>
  <c r="BE1423" i="1"/>
  <c r="CC1423" i="1"/>
  <c r="CD1423" i="1"/>
  <c r="A1424" i="1"/>
  <c r="C1424" i="1"/>
  <c r="S1424" i="1"/>
  <c r="T1424" i="1"/>
  <c r="U1424" i="1"/>
  <c r="BE1424" i="1"/>
  <c r="CC1424" i="1"/>
  <c r="CD1424" i="1"/>
  <c r="A1425" i="1"/>
  <c r="C1425" i="1"/>
  <c r="S1425" i="1"/>
  <c r="T1425" i="1"/>
  <c r="U1425" i="1"/>
  <c r="BE1425" i="1"/>
  <c r="CC1425" i="1"/>
  <c r="CD1425" i="1"/>
  <c r="A1426" i="1"/>
  <c r="C1426" i="1"/>
  <c r="S1426" i="1"/>
  <c r="T1426" i="1"/>
  <c r="U1426" i="1"/>
  <c r="BE1426" i="1"/>
  <c r="CC1426" i="1"/>
  <c r="CD1426" i="1"/>
  <c r="A1427" i="1"/>
  <c r="C1427" i="1"/>
  <c r="S1427" i="1"/>
  <c r="T1427" i="1"/>
  <c r="U1427" i="1"/>
  <c r="BE1427" i="1"/>
  <c r="CC1427" i="1"/>
  <c r="CD1427" i="1"/>
  <c r="A1428" i="1"/>
  <c r="C1428" i="1"/>
  <c r="S1428" i="1"/>
  <c r="T1428" i="1"/>
  <c r="U1428" i="1"/>
  <c r="BE1428" i="1"/>
  <c r="CC1428" i="1"/>
  <c r="CD1428" i="1"/>
  <c r="A1429" i="1"/>
  <c r="C1429" i="1"/>
  <c r="S1429" i="1"/>
  <c r="T1429" i="1"/>
  <c r="U1429" i="1"/>
  <c r="BE1429" i="1"/>
  <c r="CC1429" i="1"/>
  <c r="CD1429" i="1"/>
  <c r="A1430" i="1"/>
  <c r="C1430" i="1"/>
  <c r="S1430" i="1"/>
  <c r="T1430" i="1"/>
  <c r="U1430" i="1"/>
  <c r="BE1430" i="1"/>
  <c r="CC1430" i="1"/>
  <c r="CD1430" i="1"/>
  <c r="A1431" i="1"/>
  <c r="C1431" i="1"/>
  <c r="S1431" i="1"/>
  <c r="T1431" i="1"/>
  <c r="U1431" i="1"/>
  <c r="BE1431" i="1"/>
  <c r="CC1431" i="1"/>
  <c r="CD1431" i="1"/>
  <c r="A1432" i="1"/>
  <c r="C1432" i="1"/>
  <c r="S1432" i="1"/>
  <c r="T1432" i="1"/>
  <c r="U1432" i="1"/>
  <c r="BE1432" i="1"/>
  <c r="CC1432" i="1"/>
  <c r="CD1432" i="1"/>
  <c r="A1433" i="1"/>
  <c r="C1433" i="1"/>
  <c r="S1433" i="1"/>
  <c r="T1433" i="1"/>
  <c r="U1433" i="1"/>
  <c r="BE1433" i="1"/>
  <c r="CC1433" i="1"/>
  <c r="CD1433" i="1"/>
  <c r="A1434" i="1"/>
  <c r="C1434" i="1"/>
  <c r="S1434" i="1"/>
  <c r="T1434" i="1"/>
  <c r="U1434" i="1"/>
  <c r="BE1434" i="1"/>
  <c r="CC1434" i="1"/>
  <c r="CD1434" i="1"/>
  <c r="A1435" i="1"/>
  <c r="C1435" i="1"/>
  <c r="S1435" i="1"/>
  <c r="T1435" i="1"/>
  <c r="U1435" i="1"/>
  <c r="BE1435" i="1"/>
  <c r="CC1435" i="1"/>
  <c r="CD1435" i="1"/>
  <c r="A1436" i="1"/>
  <c r="C1436" i="1"/>
  <c r="S1436" i="1"/>
  <c r="T1436" i="1"/>
  <c r="U1436" i="1"/>
  <c r="BE1436" i="1"/>
  <c r="CC1436" i="1"/>
  <c r="CD1436" i="1"/>
  <c r="A1437" i="1"/>
  <c r="C1437" i="1"/>
  <c r="S1437" i="1"/>
  <c r="T1437" i="1"/>
  <c r="U1437" i="1"/>
  <c r="BE1437" i="1"/>
  <c r="CC1437" i="1"/>
  <c r="CD1437" i="1"/>
  <c r="A1438" i="1"/>
  <c r="C1438" i="1"/>
  <c r="S1438" i="1"/>
  <c r="T1438" i="1"/>
  <c r="U1438" i="1"/>
  <c r="BE1438" i="1"/>
  <c r="CC1438" i="1"/>
  <c r="CD1438" i="1"/>
  <c r="A1439" i="1"/>
  <c r="C1439" i="1"/>
  <c r="S1439" i="1"/>
  <c r="T1439" i="1"/>
  <c r="U1439" i="1"/>
  <c r="BE1439" i="1"/>
  <c r="CC1439" i="1"/>
  <c r="CD1439" i="1"/>
  <c r="A1440" i="1"/>
  <c r="C1440" i="1"/>
  <c r="S1440" i="1"/>
  <c r="T1440" i="1"/>
  <c r="U1440" i="1"/>
  <c r="BE1440" i="1"/>
  <c r="CC1440" i="1"/>
  <c r="CD1440" i="1"/>
  <c r="A1441" i="1"/>
  <c r="C1441" i="1"/>
  <c r="S1441" i="1"/>
  <c r="T1441" i="1"/>
  <c r="U1441" i="1"/>
  <c r="BE1441" i="1"/>
  <c r="CC1441" i="1"/>
  <c r="CD1441" i="1"/>
  <c r="A1442" i="1"/>
  <c r="C1442" i="1"/>
  <c r="S1442" i="1"/>
  <c r="T1442" i="1"/>
  <c r="U1442" i="1"/>
  <c r="BE1442" i="1"/>
  <c r="CC1442" i="1"/>
  <c r="CD1442" i="1"/>
  <c r="A1443" i="1"/>
  <c r="C1443" i="1"/>
  <c r="S1443" i="1"/>
  <c r="T1443" i="1"/>
  <c r="U1443" i="1"/>
  <c r="BE1443" i="1"/>
  <c r="CC1443" i="1"/>
  <c r="CD1443" i="1"/>
  <c r="A1444" i="1"/>
  <c r="C1444" i="1"/>
  <c r="S1444" i="1"/>
  <c r="T1444" i="1"/>
  <c r="U1444" i="1"/>
  <c r="BE1444" i="1"/>
  <c r="CC1444" i="1"/>
  <c r="CD1444" i="1"/>
  <c r="A1445" i="1"/>
  <c r="C1445" i="1"/>
  <c r="S1445" i="1"/>
  <c r="T1445" i="1"/>
  <c r="U1445" i="1"/>
  <c r="BE1445" i="1"/>
  <c r="CC1445" i="1"/>
  <c r="CD1445" i="1"/>
  <c r="A1446" i="1"/>
  <c r="C1446" i="1"/>
  <c r="S1446" i="1"/>
  <c r="T1446" i="1"/>
  <c r="U1446" i="1"/>
  <c r="BE1446" i="1"/>
  <c r="CC1446" i="1"/>
  <c r="CD1446" i="1"/>
  <c r="A1447" i="1"/>
  <c r="C1447" i="1"/>
  <c r="S1447" i="1"/>
  <c r="T1447" i="1"/>
  <c r="U1447" i="1"/>
  <c r="BE1447" i="1"/>
  <c r="CC1447" i="1"/>
  <c r="CD1447" i="1"/>
  <c r="A1448" i="1"/>
  <c r="C1448" i="1"/>
  <c r="S1448" i="1"/>
  <c r="T1448" i="1"/>
  <c r="U1448" i="1"/>
  <c r="BE1448" i="1"/>
  <c r="CC1448" i="1"/>
  <c r="CD1448" i="1"/>
  <c r="A1449" i="1"/>
  <c r="C1449" i="1"/>
  <c r="S1449" i="1"/>
  <c r="T1449" i="1"/>
  <c r="U1449" i="1"/>
  <c r="BE1449" i="1"/>
  <c r="CC1449" i="1"/>
  <c r="CD1449" i="1"/>
  <c r="A1450" i="1"/>
  <c r="C1450" i="1"/>
  <c r="S1450" i="1"/>
  <c r="T1450" i="1"/>
  <c r="U1450" i="1"/>
  <c r="BE1450" i="1"/>
  <c r="CC1450" i="1"/>
  <c r="CD1450" i="1"/>
  <c r="A1451" i="1"/>
  <c r="C1451" i="1"/>
  <c r="S1451" i="1"/>
  <c r="T1451" i="1"/>
  <c r="U1451" i="1"/>
  <c r="BE1451" i="1"/>
  <c r="CC1451" i="1"/>
  <c r="CD1451" i="1"/>
  <c r="A1452" i="1"/>
  <c r="C1452" i="1"/>
  <c r="S1452" i="1"/>
  <c r="T1452" i="1"/>
  <c r="U1452" i="1"/>
  <c r="BE1452" i="1"/>
  <c r="CC1452" i="1"/>
  <c r="CD1452" i="1"/>
  <c r="A1453" i="1"/>
  <c r="C1453" i="1"/>
  <c r="S1453" i="1"/>
  <c r="T1453" i="1"/>
  <c r="U1453" i="1"/>
  <c r="BE1453" i="1"/>
  <c r="CC1453" i="1"/>
  <c r="CD1453" i="1"/>
  <c r="A1454" i="1"/>
  <c r="C1454" i="1"/>
  <c r="S1454" i="1"/>
  <c r="T1454" i="1"/>
  <c r="U1454" i="1"/>
  <c r="BE1454" i="1"/>
  <c r="CC1454" i="1"/>
  <c r="CD1454" i="1"/>
  <c r="A1455" i="1"/>
  <c r="C1455" i="1"/>
  <c r="S1455" i="1"/>
  <c r="T1455" i="1"/>
  <c r="U1455" i="1"/>
  <c r="BE1455" i="1"/>
  <c r="CC1455" i="1"/>
  <c r="CD1455" i="1"/>
  <c r="A1456" i="1"/>
  <c r="C1456" i="1"/>
  <c r="S1456" i="1"/>
  <c r="T1456" i="1"/>
  <c r="U1456" i="1"/>
  <c r="BE1456" i="1"/>
  <c r="CC1456" i="1"/>
  <c r="CD1456" i="1"/>
  <c r="A1457" i="1"/>
  <c r="C1457" i="1"/>
  <c r="S1457" i="1"/>
  <c r="T1457" i="1"/>
  <c r="U1457" i="1"/>
  <c r="BE1457" i="1"/>
  <c r="CC1457" i="1"/>
  <c r="CD1457" i="1"/>
  <c r="A1458" i="1"/>
  <c r="C1458" i="1"/>
  <c r="S1458" i="1"/>
  <c r="T1458" i="1"/>
  <c r="U1458" i="1"/>
  <c r="BE1458" i="1"/>
  <c r="CC1458" i="1"/>
  <c r="CD1458" i="1"/>
  <c r="A1459" i="1"/>
  <c r="C1459" i="1"/>
  <c r="S1459" i="1"/>
  <c r="T1459" i="1"/>
  <c r="U1459" i="1"/>
  <c r="BE1459" i="1"/>
  <c r="CC1459" i="1"/>
  <c r="CD1459" i="1"/>
  <c r="A1460" i="1"/>
  <c r="C1460" i="1"/>
  <c r="S1460" i="1"/>
  <c r="T1460" i="1"/>
  <c r="U1460" i="1"/>
  <c r="BE1460" i="1"/>
  <c r="CC1460" i="1"/>
  <c r="CD1460" i="1"/>
  <c r="A1461" i="1"/>
  <c r="C1461" i="1"/>
  <c r="S1461" i="1"/>
  <c r="T1461" i="1"/>
  <c r="U1461" i="1"/>
  <c r="BE1461" i="1"/>
  <c r="CC1461" i="1"/>
  <c r="CD1461" i="1"/>
  <c r="A1462" i="1"/>
  <c r="C1462" i="1"/>
  <c r="S1462" i="1"/>
  <c r="T1462" i="1"/>
  <c r="U1462" i="1"/>
  <c r="BE1462" i="1"/>
  <c r="CC1462" i="1"/>
  <c r="CD1462" i="1"/>
  <c r="A1463" i="1"/>
  <c r="C1463" i="1"/>
  <c r="S1463" i="1"/>
  <c r="T1463" i="1"/>
  <c r="U1463" i="1"/>
  <c r="BE1463" i="1"/>
  <c r="CC1463" i="1"/>
  <c r="CD1463" i="1"/>
  <c r="A1464" i="1"/>
  <c r="C1464" i="1"/>
  <c r="S1464" i="1"/>
  <c r="T1464" i="1"/>
  <c r="U1464" i="1"/>
  <c r="BE1464" i="1"/>
  <c r="CC1464" i="1"/>
  <c r="CD1464" i="1"/>
  <c r="A1465" i="1"/>
  <c r="C1465" i="1"/>
  <c r="S1465" i="1"/>
  <c r="T1465" i="1"/>
  <c r="U1465" i="1"/>
  <c r="BE1465" i="1"/>
  <c r="CC1465" i="1"/>
  <c r="CD1465" i="1"/>
  <c r="A1466" i="1"/>
  <c r="C1466" i="1"/>
  <c r="S1466" i="1"/>
  <c r="T1466" i="1"/>
  <c r="U1466" i="1"/>
  <c r="BE1466" i="1"/>
  <c r="CC1466" i="1"/>
  <c r="CD1466" i="1"/>
  <c r="A1467" i="1"/>
  <c r="C1467" i="1"/>
  <c r="S1467" i="1"/>
  <c r="T1467" i="1"/>
  <c r="U1467" i="1"/>
  <c r="BE1467" i="1"/>
  <c r="CC1467" i="1"/>
  <c r="CD1467" i="1"/>
  <c r="A1468" i="1"/>
  <c r="C1468" i="1"/>
  <c r="S1468" i="1"/>
  <c r="T1468" i="1"/>
  <c r="U1468" i="1"/>
  <c r="BE1468" i="1"/>
  <c r="CC1468" i="1"/>
  <c r="CD1468" i="1"/>
  <c r="A1469" i="1"/>
  <c r="C1469" i="1"/>
  <c r="S1469" i="1"/>
  <c r="T1469" i="1"/>
  <c r="U1469" i="1"/>
  <c r="BE1469" i="1"/>
  <c r="CC1469" i="1"/>
  <c r="CD1469" i="1"/>
  <c r="A1470" i="1"/>
  <c r="C1470" i="1"/>
  <c r="S1470" i="1"/>
  <c r="T1470" i="1"/>
  <c r="U1470" i="1"/>
  <c r="BE1470" i="1"/>
  <c r="CC1470" i="1"/>
  <c r="CD1470" i="1"/>
  <c r="A1471" i="1"/>
  <c r="C1471" i="1"/>
  <c r="S1471" i="1"/>
  <c r="T1471" i="1"/>
  <c r="U1471" i="1"/>
  <c r="BE1471" i="1"/>
  <c r="CC1471" i="1"/>
  <c r="CD1471" i="1"/>
  <c r="A1472" i="1"/>
  <c r="C1472" i="1"/>
  <c r="S1472" i="1"/>
  <c r="T1472" i="1"/>
  <c r="U1472" i="1"/>
  <c r="BE1472" i="1"/>
  <c r="CC1472" i="1"/>
  <c r="CD1472" i="1"/>
  <c r="A1473" i="1"/>
  <c r="C1473" i="1"/>
  <c r="S1473" i="1"/>
  <c r="T1473" i="1"/>
  <c r="U1473" i="1"/>
  <c r="BE1473" i="1"/>
  <c r="CC1473" i="1"/>
  <c r="CD1473" i="1"/>
  <c r="A1474" i="1"/>
  <c r="C1474" i="1"/>
  <c r="S1474" i="1"/>
  <c r="T1474" i="1"/>
  <c r="U1474" i="1"/>
  <c r="BE1474" i="1"/>
  <c r="CC1474" i="1"/>
  <c r="CD1474" i="1"/>
  <c r="A1475" i="1"/>
  <c r="C1475" i="1"/>
  <c r="S1475" i="1"/>
  <c r="T1475" i="1"/>
  <c r="U1475" i="1"/>
  <c r="BE1475" i="1"/>
  <c r="CC1475" i="1"/>
  <c r="CD1475" i="1"/>
  <c r="A1476" i="1"/>
  <c r="C1476" i="1"/>
  <c r="S1476" i="1"/>
  <c r="T1476" i="1"/>
  <c r="U1476" i="1"/>
  <c r="BE1476" i="1"/>
  <c r="CC1476" i="1"/>
  <c r="CD1476" i="1"/>
  <c r="A1477" i="1"/>
  <c r="C1477" i="1"/>
  <c r="S1477" i="1"/>
  <c r="T1477" i="1"/>
  <c r="U1477" i="1"/>
  <c r="BE1477" i="1"/>
  <c r="CC1477" i="1"/>
  <c r="CD1477" i="1"/>
  <c r="A1478" i="1"/>
  <c r="C1478" i="1"/>
  <c r="S1478" i="1"/>
  <c r="T1478" i="1"/>
  <c r="U1478" i="1"/>
  <c r="BE1478" i="1"/>
  <c r="CC1478" i="1"/>
  <c r="CD1478" i="1"/>
  <c r="A1479" i="1"/>
  <c r="C1479" i="1"/>
  <c r="S1479" i="1"/>
  <c r="T1479" i="1"/>
  <c r="U1479" i="1"/>
  <c r="BE1479" i="1"/>
  <c r="CC1479" i="1"/>
  <c r="CD1479" i="1"/>
  <c r="A1480" i="1"/>
  <c r="C1480" i="1"/>
  <c r="S1480" i="1"/>
  <c r="T1480" i="1"/>
  <c r="U1480" i="1"/>
  <c r="BE1480" i="1"/>
  <c r="CC1480" i="1"/>
  <c r="CD1480" i="1"/>
  <c r="A1481" i="1"/>
  <c r="C1481" i="1"/>
  <c r="S1481" i="1"/>
  <c r="T1481" i="1"/>
  <c r="U1481" i="1"/>
  <c r="BE1481" i="1"/>
  <c r="CC1481" i="1"/>
  <c r="CD1481" i="1"/>
  <c r="A1482" i="1"/>
  <c r="C1482" i="1"/>
  <c r="S1482" i="1"/>
  <c r="T1482" i="1"/>
  <c r="U1482" i="1"/>
  <c r="BE1482" i="1"/>
  <c r="CC1482" i="1"/>
  <c r="CD1482" i="1"/>
  <c r="A1483" i="1"/>
  <c r="C1483" i="1"/>
  <c r="S1483" i="1"/>
  <c r="T1483" i="1"/>
  <c r="U1483" i="1"/>
  <c r="BE1483" i="1"/>
  <c r="CC1483" i="1"/>
  <c r="CD1483" i="1"/>
  <c r="A1484" i="1"/>
  <c r="C1484" i="1"/>
  <c r="S1484" i="1"/>
  <c r="T1484" i="1"/>
  <c r="U1484" i="1"/>
  <c r="BE1484" i="1"/>
  <c r="CC1484" i="1"/>
  <c r="CD1484" i="1"/>
  <c r="A1485" i="1"/>
  <c r="C1485" i="1"/>
  <c r="S1485" i="1"/>
  <c r="T1485" i="1"/>
  <c r="U1485" i="1"/>
  <c r="BE1485" i="1"/>
  <c r="CC1485" i="1"/>
  <c r="CD1485" i="1"/>
  <c r="A1486" i="1"/>
  <c r="C1486" i="1"/>
  <c r="S1486" i="1"/>
  <c r="T1486" i="1"/>
  <c r="U1486" i="1"/>
  <c r="BE1486" i="1"/>
  <c r="CC1486" i="1"/>
  <c r="CD1486" i="1"/>
  <c r="A1487" i="1"/>
  <c r="C1487" i="1"/>
  <c r="S1487" i="1"/>
  <c r="T1487" i="1"/>
  <c r="U1487" i="1"/>
  <c r="BE1487" i="1"/>
  <c r="CC1487" i="1"/>
  <c r="CD1487" i="1"/>
  <c r="A1488" i="1"/>
  <c r="C1488" i="1"/>
  <c r="S1488" i="1"/>
  <c r="T1488" i="1"/>
  <c r="U1488" i="1"/>
  <c r="BE1488" i="1"/>
  <c r="CC1488" i="1"/>
  <c r="CD1488" i="1"/>
  <c r="A1489" i="1"/>
  <c r="C1489" i="1"/>
  <c r="S1489" i="1"/>
  <c r="T1489" i="1"/>
  <c r="U1489" i="1"/>
  <c r="BE1489" i="1"/>
  <c r="CC1489" i="1"/>
  <c r="CD1489" i="1"/>
  <c r="A1490" i="1"/>
  <c r="C1490" i="1"/>
  <c r="S1490" i="1"/>
  <c r="T1490" i="1"/>
  <c r="U1490" i="1"/>
  <c r="BE1490" i="1"/>
  <c r="CC1490" i="1"/>
  <c r="CD1490" i="1"/>
  <c r="A1491" i="1"/>
  <c r="C1491" i="1"/>
  <c r="S1491" i="1"/>
  <c r="T1491" i="1"/>
  <c r="U1491" i="1"/>
  <c r="BE1491" i="1"/>
  <c r="CC1491" i="1"/>
  <c r="CD1491" i="1"/>
  <c r="A1492" i="1"/>
  <c r="C1492" i="1"/>
  <c r="S1492" i="1"/>
  <c r="T1492" i="1"/>
  <c r="U1492" i="1"/>
  <c r="BE1492" i="1"/>
  <c r="CC1492" i="1"/>
  <c r="CD1492" i="1"/>
  <c r="A1493" i="1"/>
  <c r="C1493" i="1"/>
  <c r="S1493" i="1"/>
  <c r="T1493" i="1"/>
  <c r="U1493" i="1"/>
  <c r="BE1493" i="1"/>
  <c r="CC1493" i="1"/>
  <c r="CD1493" i="1"/>
  <c r="A1494" i="1"/>
  <c r="C1494" i="1"/>
  <c r="S1494" i="1"/>
  <c r="T1494" i="1"/>
  <c r="U1494" i="1"/>
  <c r="BE1494" i="1"/>
  <c r="CC1494" i="1"/>
  <c r="CD1494" i="1"/>
  <c r="A1495" i="1"/>
  <c r="C1495" i="1"/>
  <c r="S1495" i="1"/>
  <c r="T1495" i="1"/>
  <c r="U1495" i="1"/>
  <c r="BE1495" i="1"/>
  <c r="CC1495" i="1"/>
  <c r="CD1495" i="1"/>
  <c r="A1496" i="1"/>
  <c r="C1496" i="1"/>
  <c r="S1496" i="1"/>
  <c r="T1496" i="1"/>
  <c r="U1496" i="1"/>
  <c r="BE1496" i="1"/>
  <c r="CC1496" i="1"/>
  <c r="CD1496" i="1"/>
  <c r="A1497" i="1"/>
  <c r="C1497" i="1"/>
  <c r="S1497" i="1"/>
  <c r="T1497" i="1"/>
  <c r="U1497" i="1"/>
  <c r="BE1497" i="1"/>
  <c r="CC1497" i="1"/>
  <c r="CD1497" i="1"/>
  <c r="A1498" i="1"/>
  <c r="C1498" i="1"/>
  <c r="S1498" i="1"/>
  <c r="T1498" i="1"/>
  <c r="U1498" i="1"/>
  <c r="BE1498" i="1"/>
  <c r="CC1498" i="1"/>
  <c r="CD1498" i="1"/>
  <c r="A1499" i="1"/>
  <c r="C1499" i="1"/>
  <c r="S1499" i="1"/>
  <c r="T1499" i="1"/>
  <c r="U1499" i="1"/>
  <c r="BE1499" i="1"/>
  <c r="CC1499" i="1"/>
  <c r="CD1499" i="1"/>
  <c r="A1500" i="1"/>
  <c r="C1500" i="1"/>
  <c r="S1500" i="1"/>
  <c r="T1500" i="1"/>
  <c r="U1500" i="1"/>
  <c r="BE1500" i="1"/>
  <c r="CC1500" i="1"/>
  <c r="CD1500" i="1"/>
  <c r="A1501" i="1"/>
  <c r="C1501" i="1"/>
  <c r="S1501" i="1"/>
  <c r="T1501" i="1"/>
  <c r="U1501" i="1"/>
  <c r="BE1501" i="1"/>
  <c r="CC1501" i="1"/>
  <c r="CD1501" i="1"/>
  <c r="A1502" i="1"/>
  <c r="C1502" i="1"/>
  <c r="S1502" i="1"/>
  <c r="T1502" i="1"/>
  <c r="U1502" i="1"/>
  <c r="BE1502" i="1"/>
  <c r="CC1502" i="1"/>
  <c r="CD1502" i="1"/>
  <c r="A1503" i="1"/>
  <c r="C1503" i="1"/>
  <c r="S1503" i="1"/>
  <c r="T1503" i="1"/>
  <c r="U1503" i="1"/>
  <c r="BE1503" i="1"/>
  <c r="CC1503" i="1"/>
  <c r="CD1503" i="1"/>
  <c r="A1504" i="1"/>
  <c r="C1504" i="1"/>
  <c r="S1504" i="1"/>
  <c r="T1504" i="1"/>
  <c r="U1504" i="1"/>
  <c r="BE1504" i="1"/>
  <c r="CC1504" i="1"/>
  <c r="CD1504" i="1"/>
  <c r="A1505" i="1"/>
  <c r="C1505" i="1"/>
  <c r="S1505" i="1"/>
  <c r="T1505" i="1"/>
  <c r="U1505" i="1"/>
  <c r="BE1505" i="1"/>
  <c r="CC1505" i="1"/>
  <c r="CD1505" i="1"/>
  <c r="A1506" i="1"/>
  <c r="C1506" i="1"/>
  <c r="S1506" i="1"/>
  <c r="T1506" i="1"/>
  <c r="U1506" i="1"/>
  <c r="BE1506" i="1"/>
  <c r="CC1506" i="1"/>
  <c r="CD1506" i="1"/>
  <c r="A1507" i="1"/>
  <c r="C1507" i="1"/>
  <c r="S1507" i="1"/>
  <c r="T1507" i="1"/>
  <c r="U1507" i="1"/>
  <c r="BE1507" i="1"/>
  <c r="CC1507" i="1"/>
  <c r="CD1507" i="1"/>
  <c r="A1508" i="1"/>
  <c r="C1508" i="1"/>
  <c r="S1508" i="1"/>
  <c r="T1508" i="1"/>
  <c r="U1508" i="1"/>
  <c r="BE1508" i="1"/>
  <c r="CC1508" i="1"/>
  <c r="CD1508" i="1"/>
  <c r="A1509" i="1"/>
  <c r="C1509" i="1"/>
  <c r="S1509" i="1"/>
  <c r="T1509" i="1"/>
  <c r="U1509" i="1"/>
  <c r="BE1509" i="1"/>
  <c r="CC1509" i="1"/>
  <c r="CD1509" i="1"/>
  <c r="A1510" i="1"/>
  <c r="C1510" i="1"/>
  <c r="S1510" i="1"/>
  <c r="T1510" i="1"/>
  <c r="U1510" i="1"/>
  <c r="BE1510" i="1"/>
  <c r="CC1510" i="1"/>
  <c r="CD1510" i="1"/>
  <c r="A1511" i="1"/>
  <c r="C1511" i="1"/>
  <c r="S1511" i="1"/>
  <c r="T1511" i="1"/>
  <c r="U1511" i="1"/>
  <c r="BE1511" i="1"/>
  <c r="CC1511" i="1"/>
  <c r="CD1511" i="1"/>
  <c r="A1512" i="1"/>
  <c r="C1512" i="1"/>
  <c r="S1512" i="1"/>
  <c r="T1512" i="1"/>
  <c r="U1512" i="1"/>
  <c r="BE1512" i="1"/>
  <c r="CC1512" i="1"/>
  <c r="CD1512" i="1"/>
  <c r="A1513" i="1"/>
  <c r="C1513" i="1"/>
  <c r="S1513" i="1"/>
  <c r="T1513" i="1"/>
  <c r="U1513" i="1"/>
  <c r="BE1513" i="1"/>
  <c r="CC1513" i="1"/>
  <c r="CD1513" i="1"/>
  <c r="A1514" i="1"/>
  <c r="C1514" i="1"/>
  <c r="S1514" i="1"/>
  <c r="T1514" i="1"/>
  <c r="U1514" i="1"/>
  <c r="BE1514" i="1"/>
  <c r="CC1514" i="1"/>
  <c r="CD1514" i="1"/>
  <c r="A1515" i="1"/>
  <c r="C1515" i="1"/>
  <c r="S1515" i="1"/>
  <c r="T1515" i="1"/>
  <c r="U1515" i="1"/>
  <c r="BE1515" i="1"/>
  <c r="CC1515" i="1"/>
  <c r="CD1515" i="1"/>
  <c r="A1516" i="1"/>
  <c r="C1516" i="1"/>
  <c r="S1516" i="1"/>
  <c r="T1516" i="1"/>
  <c r="U1516" i="1"/>
  <c r="BE1516" i="1"/>
  <c r="CC1516" i="1"/>
  <c r="CD1516" i="1"/>
  <c r="A1517" i="1"/>
  <c r="C1517" i="1"/>
  <c r="S1517" i="1"/>
  <c r="T1517" i="1"/>
  <c r="U1517" i="1"/>
  <c r="BE1517" i="1"/>
  <c r="CC1517" i="1"/>
  <c r="CD1517" i="1"/>
  <c r="A1518" i="1"/>
  <c r="C1518" i="1"/>
  <c r="S1518" i="1"/>
  <c r="T1518" i="1"/>
  <c r="U1518" i="1"/>
  <c r="BE1518" i="1"/>
  <c r="CC1518" i="1"/>
  <c r="CD1518" i="1"/>
  <c r="A1519" i="1"/>
  <c r="C1519" i="1"/>
  <c r="S1519" i="1"/>
  <c r="T1519" i="1"/>
  <c r="U1519" i="1"/>
  <c r="BE1519" i="1"/>
  <c r="CC1519" i="1"/>
  <c r="CD1519" i="1"/>
  <c r="A1520" i="1"/>
  <c r="C1520" i="1"/>
  <c r="S1520" i="1"/>
  <c r="T1520" i="1"/>
  <c r="U1520" i="1"/>
  <c r="BE1520" i="1"/>
  <c r="CC1520" i="1"/>
  <c r="CD1520" i="1"/>
  <c r="A1521" i="1"/>
  <c r="C1521" i="1"/>
  <c r="S1521" i="1"/>
  <c r="T1521" i="1"/>
  <c r="U1521" i="1"/>
  <c r="BE1521" i="1"/>
  <c r="CC1521" i="1"/>
  <c r="CD1521" i="1"/>
  <c r="A1522" i="1"/>
  <c r="C1522" i="1"/>
  <c r="S1522" i="1"/>
  <c r="T1522" i="1"/>
  <c r="U1522" i="1"/>
  <c r="BE1522" i="1"/>
  <c r="CC1522" i="1"/>
  <c r="CD1522" i="1"/>
  <c r="A1523" i="1"/>
  <c r="C1523" i="1"/>
  <c r="S1523" i="1"/>
  <c r="T1523" i="1"/>
  <c r="U1523" i="1"/>
  <c r="BE1523" i="1"/>
  <c r="CC1523" i="1"/>
  <c r="CD1523" i="1"/>
  <c r="A1524" i="1"/>
  <c r="C1524" i="1"/>
  <c r="S1524" i="1"/>
  <c r="T1524" i="1"/>
  <c r="U1524" i="1"/>
  <c r="BE1524" i="1"/>
  <c r="CC1524" i="1"/>
  <c r="CD1524" i="1"/>
  <c r="A1525" i="1"/>
  <c r="C1525" i="1"/>
  <c r="S1525" i="1"/>
  <c r="T1525" i="1"/>
  <c r="U1525" i="1"/>
  <c r="BE1525" i="1"/>
  <c r="CC1525" i="1"/>
  <c r="CD1525" i="1"/>
  <c r="A1526" i="1"/>
  <c r="C1526" i="1"/>
  <c r="S1526" i="1"/>
  <c r="T1526" i="1"/>
  <c r="U1526" i="1"/>
  <c r="BE1526" i="1"/>
  <c r="CC1526" i="1"/>
  <c r="CD1526" i="1"/>
  <c r="A1527" i="1"/>
  <c r="C1527" i="1"/>
  <c r="S1527" i="1"/>
  <c r="T1527" i="1"/>
  <c r="U1527" i="1"/>
  <c r="BE1527" i="1"/>
  <c r="CC1527" i="1"/>
  <c r="CD1527" i="1"/>
  <c r="A1528" i="1"/>
  <c r="C1528" i="1"/>
  <c r="S1528" i="1"/>
  <c r="T1528" i="1"/>
  <c r="U1528" i="1"/>
  <c r="BE1528" i="1"/>
  <c r="CC1528" i="1"/>
  <c r="CD1528" i="1"/>
  <c r="A1529" i="1"/>
  <c r="C1529" i="1"/>
  <c r="S1529" i="1"/>
  <c r="T1529" i="1"/>
  <c r="U1529" i="1"/>
  <c r="BE1529" i="1"/>
  <c r="CC1529" i="1"/>
  <c r="CD1529" i="1"/>
  <c r="A1530" i="1"/>
  <c r="C1530" i="1"/>
  <c r="S1530" i="1"/>
  <c r="T1530" i="1"/>
  <c r="U1530" i="1"/>
  <c r="BE1530" i="1"/>
  <c r="CC1530" i="1"/>
  <c r="CD1530" i="1"/>
  <c r="A1531" i="1"/>
  <c r="C1531" i="1"/>
  <c r="S1531" i="1"/>
  <c r="T1531" i="1"/>
  <c r="U1531" i="1"/>
  <c r="BE1531" i="1"/>
  <c r="CC1531" i="1"/>
  <c r="CD1531" i="1"/>
  <c r="A1532" i="1"/>
  <c r="C1532" i="1"/>
  <c r="S1532" i="1"/>
  <c r="T1532" i="1"/>
  <c r="U1532" i="1"/>
  <c r="BE1532" i="1"/>
  <c r="CC1532" i="1"/>
  <c r="CD1532" i="1"/>
  <c r="A1533" i="1"/>
  <c r="C1533" i="1"/>
  <c r="S1533" i="1"/>
  <c r="T1533" i="1"/>
  <c r="U1533" i="1"/>
  <c r="BE1533" i="1"/>
  <c r="CC1533" i="1"/>
  <c r="CD1533" i="1"/>
  <c r="A1534" i="1"/>
  <c r="C1534" i="1"/>
  <c r="S1534" i="1"/>
  <c r="T1534" i="1"/>
  <c r="U1534" i="1"/>
  <c r="BE1534" i="1"/>
  <c r="CC1534" i="1"/>
  <c r="CD1534" i="1"/>
  <c r="A1535" i="1"/>
  <c r="C1535" i="1"/>
  <c r="S1535" i="1"/>
  <c r="T1535" i="1"/>
  <c r="U1535" i="1"/>
  <c r="BE1535" i="1"/>
  <c r="CC1535" i="1"/>
  <c r="CD1535" i="1"/>
  <c r="A1536" i="1"/>
  <c r="C1536" i="1"/>
  <c r="S1536" i="1"/>
  <c r="T1536" i="1"/>
  <c r="U1536" i="1"/>
  <c r="BE1536" i="1"/>
  <c r="CC1536" i="1"/>
  <c r="CD1536" i="1"/>
  <c r="A1537" i="1"/>
  <c r="C1537" i="1"/>
  <c r="S1537" i="1"/>
  <c r="T1537" i="1"/>
  <c r="U1537" i="1"/>
  <c r="BE1537" i="1"/>
  <c r="CC1537" i="1"/>
  <c r="CD1537" i="1"/>
  <c r="A1538" i="1"/>
  <c r="C1538" i="1"/>
  <c r="S1538" i="1"/>
  <c r="T1538" i="1"/>
  <c r="U1538" i="1"/>
  <c r="BE1538" i="1"/>
  <c r="CC1538" i="1"/>
  <c r="CD1538" i="1"/>
  <c r="A1539" i="1"/>
  <c r="C1539" i="1"/>
  <c r="S1539" i="1"/>
  <c r="T1539" i="1"/>
  <c r="U1539" i="1"/>
  <c r="BE1539" i="1"/>
  <c r="CC1539" i="1"/>
  <c r="CD1539" i="1"/>
  <c r="A1540" i="1"/>
  <c r="C1540" i="1"/>
  <c r="S1540" i="1"/>
  <c r="T1540" i="1"/>
  <c r="U1540" i="1"/>
  <c r="BE1540" i="1"/>
  <c r="CC1540" i="1"/>
  <c r="CD1540" i="1"/>
  <c r="A1541" i="1"/>
  <c r="C1541" i="1"/>
  <c r="S1541" i="1"/>
  <c r="T1541" i="1"/>
  <c r="U1541" i="1"/>
  <c r="BE1541" i="1"/>
  <c r="CC1541" i="1"/>
  <c r="CD1541" i="1"/>
  <c r="A1542" i="1"/>
  <c r="C1542" i="1"/>
  <c r="S1542" i="1"/>
  <c r="T1542" i="1"/>
  <c r="U1542" i="1"/>
  <c r="BE1542" i="1"/>
  <c r="CC1542" i="1"/>
  <c r="CD1542" i="1"/>
  <c r="A1543" i="1"/>
  <c r="C1543" i="1"/>
  <c r="S1543" i="1"/>
  <c r="T1543" i="1"/>
  <c r="U1543" i="1"/>
  <c r="BE1543" i="1"/>
  <c r="CC1543" i="1"/>
  <c r="CD1543" i="1"/>
  <c r="A1544" i="1"/>
  <c r="C1544" i="1"/>
  <c r="S1544" i="1"/>
  <c r="T1544" i="1"/>
  <c r="U1544" i="1"/>
  <c r="BE1544" i="1"/>
  <c r="CC1544" i="1"/>
  <c r="CD1544" i="1"/>
  <c r="A1545" i="1"/>
  <c r="C1545" i="1"/>
  <c r="S1545" i="1"/>
  <c r="T1545" i="1"/>
  <c r="U1545" i="1"/>
  <c r="BE1545" i="1"/>
  <c r="CC1545" i="1"/>
  <c r="CD1545" i="1"/>
  <c r="A1546" i="1"/>
  <c r="C1546" i="1"/>
  <c r="S1546" i="1"/>
  <c r="T1546" i="1"/>
  <c r="U1546" i="1"/>
  <c r="BE1546" i="1"/>
  <c r="CC1546" i="1"/>
  <c r="CD1546" i="1"/>
  <c r="A1547" i="1"/>
  <c r="C1547" i="1"/>
  <c r="S1547" i="1"/>
  <c r="T1547" i="1"/>
  <c r="U1547" i="1"/>
  <c r="BE1547" i="1"/>
  <c r="CC1547" i="1"/>
  <c r="CD1547" i="1"/>
  <c r="A1548" i="1"/>
  <c r="C1548" i="1"/>
  <c r="S1548" i="1"/>
  <c r="T1548" i="1"/>
  <c r="U1548" i="1"/>
  <c r="BE1548" i="1"/>
  <c r="CC1548" i="1"/>
  <c r="CD1548" i="1"/>
  <c r="A1549" i="1"/>
  <c r="C1549" i="1"/>
  <c r="S1549" i="1"/>
  <c r="T1549" i="1"/>
  <c r="U1549" i="1"/>
  <c r="BE1549" i="1"/>
  <c r="CC1549" i="1"/>
  <c r="CD1549" i="1"/>
  <c r="A1550" i="1"/>
  <c r="C1550" i="1"/>
  <c r="S1550" i="1"/>
  <c r="T1550" i="1"/>
  <c r="U1550" i="1"/>
  <c r="BE1550" i="1"/>
  <c r="CC1550" i="1"/>
  <c r="CD1550" i="1"/>
  <c r="A1551" i="1"/>
  <c r="C1551" i="1"/>
  <c r="S1551" i="1"/>
  <c r="T1551" i="1"/>
  <c r="U1551" i="1"/>
  <c r="BE1551" i="1"/>
  <c r="CC1551" i="1"/>
  <c r="CD1551" i="1"/>
  <c r="A1552" i="1"/>
  <c r="C1552" i="1"/>
  <c r="S1552" i="1"/>
  <c r="T1552" i="1"/>
  <c r="U1552" i="1"/>
  <c r="BE1552" i="1"/>
  <c r="CC1552" i="1"/>
  <c r="CD1552" i="1"/>
  <c r="A1553" i="1"/>
  <c r="C1553" i="1"/>
  <c r="S1553" i="1"/>
  <c r="T1553" i="1"/>
  <c r="U1553" i="1"/>
  <c r="BE1553" i="1"/>
  <c r="CC1553" i="1"/>
  <c r="CD1553" i="1"/>
  <c r="A1554" i="1"/>
  <c r="C1554" i="1"/>
  <c r="S1554" i="1"/>
  <c r="T1554" i="1"/>
  <c r="U1554" i="1"/>
  <c r="BE1554" i="1"/>
  <c r="CC1554" i="1"/>
  <c r="CD1554" i="1"/>
  <c r="A1555" i="1"/>
  <c r="C1555" i="1"/>
  <c r="S1555" i="1"/>
  <c r="T1555" i="1"/>
  <c r="U1555" i="1"/>
  <c r="BE1555" i="1"/>
  <c r="CC1555" i="1"/>
  <c r="CD1555" i="1"/>
  <c r="A1556" i="1"/>
  <c r="C1556" i="1"/>
  <c r="S1556" i="1"/>
  <c r="T1556" i="1"/>
  <c r="U1556" i="1"/>
  <c r="BE1556" i="1"/>
  <c r="CC1556" i="1"/>
  <c r="CD1556" i="1"/>
  <c r="A1557" i="1"/>
  <c r="C1557" i="1"/>
  <c r="S1557" i="1"/>
  <c r="T1557" i="1"/>
  <c r="U1557" i="1"/>
  <c r="BE1557" i="1"/>
  <c r="CC1557" i="1"/>
  <c r="CD1557" i="1"/>
  <c r="A1558" i="1"/>
  <c r="C1558" i="1"/>
  <c r="S1558" i="1"/>
  <c r="T1558" i="1"/>
  <c r="U1558" i="1"/>
  <c r="BE1558" i="1"/>
  <c r="CC1558" i="1"/>
  <c r="CD1558" i="1"/>
  <c r="A1559" i="1"/>
  <c r="C1559" i="1"/>
  <c r="S1559" i="1"/>
  <c r="T1559" i="1"/>
  <c r="U1559" i="1"/>
  <c r="BE1559" i="1"/>
  <c r="CC1559" i="1"/>
  <c r="CD1559" i="1"/>
  <c r="A1560" i="1"/>
  <c r="C1560" i="1"/>
  <c r="S1560" i="1"/>
  <c r="T1560" i="1"/>
  <c r="U1560" i="1"/>
  <c r="BE1560" i="1"/>
  <c r="CC1560" i="1"/>
  <c r="CD1560" i="1"/>
  <c r="A1561" i="1"/>
  <c r="C1561" i="1"/>
  <c r="S1561" i="1"/>
  <c r="T1561" i="1"/>
  <c r="U1561" i="1"/>
  <c r="BE1561" i="1"/>
  <c r="CC1561" i="1"/>
  <c r="CD1561" i="1"/>
  <c r="A1562" i="1"/>
  <c r="C1562" i="1"/>
  <c r="S1562" i="1"/>
  <c r="T1562" i="1"/>
  <c r="U1562" i="1"/>
  <c r="BE1562" i="1"/>
  <c r="CC1562" i="1"/>
  <c r="CD1562" i="1"/>
  <c r="A1563" i="1"/>
  <c r="C1563" i="1"/>
  <c r="S1563" i="1"/>
  <c r="T1563" i="1"/>
  <c r="U1563" i="1"/>
  <c r="BE1563" i="1"/>
  <c r="CC1563" i="1"/>
  <c r="CD1563" i="1"/>
  <c r="A1564" i="1"/>
  <c r="C1564" i="1"/>
  <c r="S1564" i="1"/>
  <c r="T1564" i="1"/>
  <c r="U1564" i="1"/>
  <c r="BE1564" i="1"/>
  <c r="CC1564" i="1"/>
  <c r="CD1564" i="1"/>
  <c r="A1565" i="1"/>
  <c r="C1565" i="1"/>
  <c r="S1565" i="1"/>
  <c r="T1565" i="1"/>
  <c r="U1565" i="1"/>
  <c r="BE1565" i="1"/>
  <c r="CC1565" i="1"/>
  <c r="CD1565" i="1"/>
  <c r="A1566" i="1"/>
  <c r="C1566" i="1"/>
  <c r="S1566" i="1"/>
  <c r="T1566" i="1"/>
  <c r="U1566" i="1"/>
  <c r="BE1566" i="1"/>
  <c r="CC1566" i="1"/>
  <c r="CD1566" i="1"/>
  <c r="A1567" i="1"/>
  <c r="C1567" i="1"/>
  <c r="S1567" i="1"/>
  <c r="T1567" i="1"/>
  <c r="U1567" i="1"/>
  <c r="BE1567" i="1"/>
  <c r="CC1567" i="1"/>
  <c r="CD1567" i="1"/>
  <c r="A1568" i="1"/>
  <c r="C1568" i="1"/>
  <c r="S1568" i="1"/>
  <c r="T1568" i="1"/>
  <c r="U1568" i="1"/>
  <c r="BE1568" i="1"/>
  <c r="CC1568" i="1"/>
  <c r="CD1568" i="1"/>
  <c r="A1569" i="1"/>
  <c r="C1569" i="1"/>
  <c r="S1569" i="1"/>
  <c r="T1569" i="1"/>
  <c r="U1569" i="1"/>
  <c r="BE1569" i="1"/>
  <c r="CC1569" i="1"/>
  <c r="CD1569" i="1"/>
  <c r="A1570" i="1"/>
  <c r="C1570" i="1"/>
  <c r="S1570" i="1"/>
  <c r="T1570" i="1"/>
  <c r="U1570" i="1"/>
  <c r="BE1570" i="1"/>
  <c r="CC1570" i="1"/>
  <c r="CD1570" i="1"/>
  <c r="A1571" i="1"/>
  <c r="C1571" i="1"/>
  <c r="S1571" i="1"/>
  <c r="T1571" i="1"/>
  <c r="U1571" i="1"/>
  <c r="BE1571" i="1"/>
  <c r="CC1571" i="1"/>
  <c r="CD1571" i="1"/>
  <c r="A1572" i="1"/>
  <c r="C1572" i="1"/>
  <c r="S1572" i="1"/>
  <c r="T1572" i="1"/>
  <c r="U1572" i="1"/>
  <c r="BE1572" i="1"/>
  <c r="CC1572" i="1"/>
  <c r="CD1572" i="1"/>
  <c r="A1573" i="1"/>
  <c r="C1573" i="1"/>
  <c r="S1573" i="1"/>
  <c r="T1573" i="1"/>
  <c r="U1573" i="1"/>
  <c r="BE1573" i="1"/>
  <c r="CC1573" i="1"/>
  <c r="CD1573" i="1"/>
  <c r="A1574" i="1"/>
  <c r="C1574" i="1"/>
  <c r="S1574" i="1"/>
  <c r="T1574" i="1"/>
  <c r="U1574" i="1"/>
  <c r="BE1574" i="1"/>
  <c r="CC1574" i="1"/>
  <c r="CD1574" i="1"/>
  <c r="A1575" i="1"/>
  <c r="C1575" i="1"/>
  <c r="S1575" i="1"/>
  <c r="T1575" i="1"/>
  <c r="U1575" i="1"/>
  <c r="BE1575" i="1"/>
  <c r="CC1575" i="1"/>
  <c r="CD1575" i="1"/>
  <c r="A1576" i="1"/>
  <c r="C1576" i="1"/>
  <c r="S1576" i="1"/>
  <c r="T1576" i="1"/>
  <c r="U1576" i="1"/>
  <c r="BE1576" i="1"/>
  <c r="CC1576" i="1"/>
  <c r="CD1576" i="1"/>
  <c r="A1577" i="1"/>
  <c r="C1577" i="1"/>
  <c r="S1577" i="1"/>
  <c r="T1577" i="1"/>
  <c r="U1577" i="1"/>
  <c r="BE1577" i="1"/>
  <c r="CC1577" i="1"/>
  <c r="CD1577" i="1"/>
  <c r="A1578" i="1"/>
  <c r="C1578" i="1"/>
  <c r="S1578" i="1"/>
  <c r="T1578" i="1"/>
  <c r="U1578" i="1"/>
  <c r="BE1578" i="1"/>
  <c r="CC1578" i="1"/>
  <c r="CD1578" i="1"/>
  <c r="A1579" i="1"/>
  <c r="C1579" i="1"/>
  <c r="S1579" i="1"/>
  <c r="T1579" i="1"/>
  <c r="U1579" i="1"/>
  <c r="BE1579" i="1"/>
  <c r="CC1579" i="1"/>
  <c r="CD1579" i="1"/>
  <c r="A1580" i="1"/>
  <c r="C1580" i="1"/>
  <c r="S1580" i="1"/>
  <c r="T1580" i="1"/>
  <c r="U1580" i="1"/>
  <c r="BE1580" i="1"/>
  <c r="CC1580" i="1"/>
  <c r="CD1580" i="1"/>
  <c r="A1581" i="1"/>
  <c r="C1581" i="1"/>
  <c r="S1581" i="1"/>
  <c r="T1581" i="1"/>
  <c r="U1581" i="1"/>
  <c r="BE1581" i="1"/>
  <c r="CC1581" i="1"/>
  <c r="CD1581" i="1"/>
  <c r="A1582" i="1"/>
  <c r="C1582" i="1"/>
  <c r="S1582" i="1"/>
  <c r="T1582" i="1"/>
  <c r="U1582" i="1"/>
  <c r="BE1582" i="1"/>
  <c r="CC1582" i="1"/>
  <c r="CD1582" i="1"/>
  <c r="A1583" i="1"/>
  <c r="C1583" i="1"/>
  <c r="S1583" i="1"/>
  <c r="T1583" i="1"/>
  <c r="U1583" i="1"/>
  <c r="BE1583" i="1"/>
  <c r="CC1583" i="1"/>
  <c r="CD1583" i="1"/>
  <c r="A1584" i="1"/>
  <c r="C1584" i="1"/>
  <c r="S1584" i="1"/>
  <c r="T1584" i="1"/>
  <c r="U1584" i="1"/>
  <c r="BE1584" i="1"/>
  <c r="CC1584" i="1"/>
  <c r="CD1584" i="1"/>
  <c r="A1585" i="1"/>
  <c r="C1585" i="1"/>
  <c r="S1585" i="1"/>
  <c r="T1585" i="1"/>
  <c r="U1585" i="1"/>
  <c r="BE1585" i="1"/>
  <c r="CC1585" i="1"/>
  <c r="CD1585" i="1"/>
  <c r="A1586" i="1"/>
  <c r="C1586" i="1"/>
  <c r="S1586" i="1"/>
  <c r="T1586" i="1"/>
  <c r="U1586" i="1"/>
  <c r="BE1586" i="1"/>
  <c r="CC1586" i="1"/>
  <c r="CD1586" i="1"/>
  <c r="A1587" i="1"/>
  <c r="C1587" i="1"/>
  <c r="S1587" i="1"/>
  <c r="T1587" i="1"/>
  <c r="U1587" i="1"/>
  <c r="BE1587" i="1"/>
  <c r="CC1587" i="1"/>
  <c r="CD1587" i="1"/>
  <c r="A1588" i="1"/>
  <c r="C1588" i="1"/>
  <c r="S1588" i="1"/>
  <c r="T1588" i="1"/>
  <c r="U1588" i="1"/>
  <c r="BE1588" i="1"/>
  <c r="CC1588" i="1"/>
  <c r="CD1588" i="1"/>
  <c r="A1589" i="1"/>
  <c r="C1589" i="1"/>
  <c r="S1589" i="1"/>
  <c r="T1589" i="1"/>
  <c r="U1589" i="1"/>
  <c r="BE1589" i="1"/>
  <c r="CC1589" i="1"/>
  <c r="CD1589" i="1"/>
  <c r="A1590" i="1"/>
  <c r="C1590" i="1"/>
  <c r="S1590" i="1"/>
  <c r="T1590" i="1"/>
  <c r="U1590" i="1"/>
  <c r="BE1590" i="1"/>
  <c r="CC1590" i="1"/>
  <c r="CD1590" i="1"/>
  <c r="A1591" i="1"/>
  <c r="C1591" i="1"/>
  <c r="S1591" i="1"/>
  <c r="T1591" i="1"/>
  <c r="U1591" i="1"/>
  <c r="BE1591" i="1"/>
  <c r="CC1591" i="1"/>
  <c r="CD1591" i="1"/>
  <c r="A1592" i="1"/>
  <c r="C1592" i="1"/>
  <c r="S1592" i="1"/>
  <c r="T1592" i="1"/>
  <c r="U1592" i="1"/>
  <c r="BE1592" i="1"/>
  <c r="CC1592" i="1"/>
  <c r="CD1592" i="1"/>
  <c r="A1593" i="1"/>
  <c r="C1593" i="1"/>
  <c r="S1593" i="1"/>
  <c r="T1593" i="1"/>
  <c r="U1593" i="1"/>
  <c r="BE1593" i="1"/>
  <c r="CC1593" i="1"/>
  <c r="CD1593" i="1"/>
  <c r="A1594" i="1"/>
  <c r="C1594" i="1"/>
  <c r="S1594" i="1"/>
  <c r="T1594" i="1"/>
  <c r="U1594" i="1"/>
  <c r="BE1594" i="1"/>
  <c r="CC1594" i="1"/>
  <c r="CD1594" i="1"/>
  <c r="A1595" i="1"/>
  <c r="C1595" i="1"/>
  <c r="S1595" i="1"/>
  <c r="T1595" i="1"/>
  <c r="U1595" i="1"/>
  <c r="BE1595" i="1"/>
  <c r="CC1595" i="1"/>
  <c r="CD1595" i="1"/>
  <c r="A1596" i="1"/>
  <c r="C1596" i="1"/>
  <c r="S1596" i="1"/>
  <c r="T1596" i="1"/>
  <c r="U1596" i="1"/>
  <c r="BE1596" i="1"/>
  <c r="CC1596" i="1"/>
  <c r="CD1596" i="1"/>
  <c r="A1597" i="1"/>
  <c r="C1597" i="1"/>
  <c r="S1597" i="1"/>
  <c r="T1597" i="1"/>
  <c r="U1597" i="1"/>
  <c r="BE1597" i="1"/>
  <c r="CC1597" i="1"/>
  <c r="CD1597" i="1"/>
  <c r="A1598" i="1"/>
  <c r="C1598" i="1"/>
  <c r="S1598" i="1"/>
  <c r="T1598" i="1"/>
  <c r="U1598" i="1"/>
  <c r="BE1598" i="1"/>
  <c r="CC1598" i="1"/>
  <c r="CD1598" i="1"/>
  <c r="A1599" i="1"/>
  <c r="C1599" i="1"/>
  <c r="S1599" i="1"/>
  <c r="T1599" i="1"/>
  <c r="U1599" i="1"/>
  <c r="BE1599" i="1"/>
  <c r="CC1599" i="1"/>
  <c r="CD1599" i="1"/>
  <c r="A1600" i="1"/>
  <c r="C1600" i="1"/>
  <c r="S1600" i="1"/>
  <c r="T1600" i="1"/>
  <c r="U1600" i="1"/>
  <c r="BE1600" i="1"/>
  <c r="CC1600" i="1"/>
  <c r="CD1600" i="1"/>
  <c r="A1601" i="1"/>
  <c r="C1601" i="1"/>
  <c r="S1601" i="1"/>
  <c r="T1601" i="1"/>
  <c r="U1601" i="1"/>
  <c r="BE1601" i="1"/>
  <c r="CC1601" i="1"/>
  <c r="CD1601" i="1"/>
  <c r="A1602" i="1"/>
  <c r="C1602" i="1"/>
  <c r="S1602" i="1"/>
  <c r="T1602" i="1"/>
  <c r="U1602" i="1"/>
  <c r="BE1602" i="1"/>
  <c r="CC1602" i="1"/>
  <c r="CD1602" i="1"/>
  <c r="A1603" i="1"/>
  <c r="C1603" i="1"/>
  <c r="S1603" i="1"/>
  <c r="T1603" i="1"/>
  <c r="U1603" i="1"/>
  <c r="BE1603" i="1"/>
  <c r="CC1603" i="1"/>
  <c r="CD1603" i="1"/>
  <c r="A1604" i="1"/>
  <c r="C1604" i="1"/>
  <c r="S1604" i="1"/>
  <c r="T1604" i="1"/>
  <c r="U1604" i="1"/>
  <c r="BE1604" i="1"/>
  <c r="CC1604" i="1"/>
  <c r="CD1604" i="1"/>
  <c r="A1605" i="1"/>
  <c r="C1605" i="1"/>
  <c r="S1605" i="1"/>
  <c r="T1605" i="1"/>
  <c r="U1605" i="1"/>
  <c r="BE1605" i="1"/>
  <c r="CC1605" i="1"/>
  <c r="CD1605" i="1"/>
  <c r="A1606" i="1"/>
  <c r="C1606" i="1"/>
  <c r="S1606" i="1"/>
  <c r="T1606" i="1"/>
  <c r="U1606" i="1"/>
  <c r="BE1606" i="1"/>
  <c r="CC1606" i="1"/>
  <c r="CD1606" i="1"/>
  <c r="A1607" i="1"/>
  <c r="C1607" i="1"/>
  <c r="S1607" i="1"/>
  <c r="T1607" i="1"/>
  <c r="U1607" i="1"/>
  <c r="BE1607" i="1"/>
  <c r="CC1607" i="1"/>
  <c r="CD1607" i="1"/>
  <c r="A1608" i="1"/>
  <c r="C1608" i="1"/>
  <c r="S1608" i="1"/>
  <c r="T1608" i="1"/>
  <c r="U1608" i="1"/>
  <c r="BE1608" i="1"/>
  <c r="CC1608" i="1"/>
  <c r="CD1608" i="1"/>
  <c r="A1609" i="1"/>
  <c r="C1609" i="1"/>
  <c r="S1609" i="1"/>
  <c r="T1609" i="1"/>
  <c r="U1609" i="1"/>
  <c r="BE1609" i="1"/>
  <c r="CC1609" i="1"/>
  <c r="CD1609" i="1"/>
  <c r="A1610" i="1"/>
  <c r="C1610" i="1"/>
  <c r="S1610" i="1"/>
  <c r="T1610" i="1"/>
  <c r="U1610" i="1"/>
  <c r="BE1610" i="1"/>
  <c r="CC1610" i="1"/>
  <c r="CD1610" i="1"/>
  <c r="A1611" i="1"/>
  <c r="C1611" i="1"/>
  <c r="S1611" i="1"/>
  <c r="T1611" i="1"/>
  <c r="U1611" i="1"/>
  <c r="BE1611" i="1"/>
  <c r="CC1611" i="1"/>
  <c r="CD1611" i="1"/>
  <c r="A1612" i="1"/>
  <c r="C1612" i="1"/>
  <c r="S1612" i="1"/>
  <c r="T1612" i="1"/>
  <c r="U1612" i="1"/>
  <c r="BE1612" i="1"/>
  <c r="CC1612" i="1"/>
  <c r="CD1612" i="1"/>
  <c r="A1613" i="1"/>
  <c r="C1613" i="1"/>
  <c r="S1613" i="1"/>
  <c r="T1613" i="1"/>
  <c r="U1613" i="1"/>
  <c r="BE1613" i="1"/>
  <c r="CC1613" i="1"/>
  <c r="CD1613" i="1"/>
  <c r="A1614" i="1"/>
  <c r="C1614" i="1"/>
  <c r="S1614" i="1"/>
  <c r="T1614" i="1"/>
  <c r="U1614" i="1"/>
  <c r="BE1614" i="1"/>
  <c r="CC1614" i="1"/>
  <c r="CD1614" i="1"/>
  <c r="A1615" i="1"/>
  <c r="C1615" i="1"/>
  <c r="S1615" i="1"/>
  <c r="T1615" i="1"/>
  <c r="U1615" i="1"/>
  <c r="BE1615" i="1"/>
  <c r="CC1615" i="1"/>
  <c r="CD1615" i="1"/>
  <c r="A1616" i="1"/>
  <c r="C1616" i="1"/>
  <c r="S1616" i="1"/>
  <c r="T1616" i="1"/>
  <c r="U1616" i="1"/>
  <c r="BE1616" i="1"/>
  <c r="CC1616" i="1"/>
  <c r="CD1616" i="1"/>
  <c r="A1617" i="1"/>
  <c r="C1617" i="1"/>
  <c r="S1617" i="1"/>
  <c r="T1617" i="1"/>
  <c r="U1617" i="1"/>
  <c r="BE1617" i="1"/>
  <c r="CC1617" i="1"/>
  <c r="CD1617" i="1"/>
  <c r="A1618" i="1"/>
  <c r="C1618" i="1"/>
  <c r="S1618" i="1"/>
  <c r="T1618" i="1"/>
  <c r="U1618" i="1"/>
  <c r="BE1618" i="1"/>
  <c r="CC1618" i="1"/>
  <c r="CD1618" i="1"/>
  <c r="A1619" i="1"/>
  <c r="C1619" i="1"/>
  <c r="S1619" i="1"/>
  <c r="T1619" i="1"/>
  <c r="U1619" i="1"/>
  <c r="BE1619" i="1"/>
  <c r="CC1619" i="1"/>
  <c r="CD1619" i="1"/>
  <c r="A1620" i="1"/>
  <c r="C1620" i="1"/>
  <c r="S1620" i="1"/>
  <c r="T1620" i="1"/>
  <c r="U1620" i="1"/>
  <c r="BE1620" i="1"/>
  <c r="CC1620" i="1"/>
  <c r="CD1620" i="1"/>
  <c r="A1621" i="1"/>
  <c r="C1621" i="1"/>
  <c r="S1621" i="1"/>
  <c r="T1621" i="1"/>
  <c r="U1621" i="1"/>
  <c r="BE1621" i="1"/>
  <c r="CC1621" i="1"/>
  <c r="CD1621" i="1"/>
  <c r="A1622" i="1"/>
  <c r="C1622" i="1"/>
  <c r="S1622" i="1"/>
  <c r="T1622" i="1"/>
  <c r="U1622" i="1"/>
  <c r="BE1622" i="1"/>
  <c r="CC1622" i="1"/>
  <c r="CD1622" i="1"/>
  <c r="A1623" i="1"/>
  <c r="C1623" i="1"/>
  <c r="S1623" i="1"/>
  <c r="T1623" i="1"/>
  <c r="U1623" i="1"/>
  <c r="BE1623" i="1"/>
  <c r="CC1623" i="1"/>
  <c r="CD1623" i="1"/>
  <c r="A1624" i="1"/>
  <c r="C1624" i="1"/>
  <c r="S1624" i="1"/>
  <c r="T1624" i="1"/>
  <c r="U1624" i="1"/>
  <c r="BE1624" i="1"/>
  <c r="CC1624" i="1"/>
  <c r="CD1624" i="1"/>
  <c r="A1625" i="1"/>
  <c r="C1625" i="1"/>
  <c r="S1625" i="1"/>
  <c r="T1625" i="1"/>
  <c r="U1625" i="1"/>
  <c r="BE1625" i="1"/>
  <c r="CC1625" i="1"/>
  <c r="CD1625" i="1"/>
  <c r="A1626" i="1"/>
  <c r="C1626" i="1"/>
  <c r="S1626" i="1"/>
  <c r="T1626" i="1"/>
  <c r="U1626" i="1"/>
  <c r="BE1626" i="1"/>
  <c r="CC1626" i="1"/>
  <c r="CD1626" i="1"/>
  <c r="A1627" i="1"/>
  <c r="C1627" i="1"/>
  <c r="S1627" i="1"/>
  <c r="T1627" i="1"/>
  <c r="U1627" i="1"/>
  <c r="BE1627" i="1"/>
  <c r="CC1627" i="1"/>
  <c r="CD1627" i="1"/>
  <c r="A1628" i="1"/>
  <c r="C1628" i="1"/>
  <c r="S1628" i="1"/>
  <c r="T1628" i="1"/>
  <c r="U1628" i="1"/>
  <c r="BE1628" i="1"/>
  <c r="CC1628" i="1"/>
  <c r="CD1628" i="1"/>
  <c r="A1629" i="1"/>
  <c r="C1629" i="1"/>
  <c r="S1629" i="1"/>
  <c r="T1629" i="1"/>
  <c r="U1629" i="1"/>
  <c r="BE1629" i="1"/>
  <c r="CC1629" i="1"/>
  <c r="CD1629" i="1"/>
  <c r="A1630" i="1"/>
  <c r="C1630" i="1"/>
  <c r="S1630" i="1"/>
  <c r="T1630" i="1"/>
  <c r="U1630" i="1"/>
  <c r="BE1630" i="1"/>
  <c r="CC1630" i="1"/>
  <c r="CD1630" i="1"/>
  <c r="A1631" i="1"/>
  <c r="C1631" i="1"/>
  <c r="S1631" i="1"/>
  <c r="T1631" i="1"/>
  <c r="U1631" i="1"/>
  <c r="BE1631" i="1"/>
  <c r="CC1631" i="1"/>
  <c r="CD1631" i="1"/>
  <c r="A1632" i="1"/>
  <c r="C1632" i="1"/>
  <c r="S1632" i="1"/>
  <c r="T1632" i="1"/>
  <c r="U1632" i="1"/>
  <c r="BE1632" i="1"/>
  <c r="CC1632" i="1"/>
  <c r="CD1632" i="1"/>
  <c r="A1633" i="1"/>
  <c r="C1633" i="1"/>
  <c r="S1633" i="1"/>
  <c r="T1633" i="1"/>
  <c r="U1633" i="1"/>
  <c r="BE1633" i="1"/>
  <c r="CC1633" i="1"/>
  <c r="CD1633" i="1"/>
  <c r="A1634" i="1"/>
  <c r="C1634" i="1"/>
  <c r="S1634" i="1"/>
  <c r="T1634" i="1"/>
  <c r="U1634" i="1"/>
  <c r="BE1634" i="1"/>
  <c r="CC1634" i="1"/>
  <c r="CD1634" i="1"/>
  <c r="A1635" i="1"/>
  <c r="C1635" i="1"/>
  <c r="S1635" i="1"/>
  <c r="T1635" i="1"/>
  <c r="U1635" i="1"/>
  <c r="BE1635" i="1"/>
  <c r="CC1635" i="1"/>
  <c r="CD1635" i="1"/>
  <c r="A1636" i="1"/>
  <c r="C1636" i="1"/>
  <c r="S1636" i="1"/>
  <c r="T1636" i="1"/>
  <c r="U1636" i="1"/>
  <c r="BE1636" i="1"/>
  <c r="CC1636" i="1"/>
  <c r="CD1636" i="1"/>
  <c r="A1637" i="1"/>
  <c r="C1637" i="1"/>
  <c r="S1637" i="1"/>
  <c r="T1637" i="1"/>
  <c r="U1637" i="1"/>
  <c r="BE1637" i="1"/>
  <c r="CC1637" i="1"/>
  <c r="CD1637" i="1"/>
  <c r="A1638" i="1"/>
  <c r="C1638" i="1"/>
  <c r="S1638" i="1"/>
  <c r="T1638" i="1"/>
  <c r="U1638" i="1"/>
  <c r="BE1638" i="1"/>
  <c r="CC1638" i="1"/>
  <c r="CD1638" i="1"/>
  <c r="A1639" i="1"/>
  <c r="C1639" i="1"/>
  <c r="S1639" i="1"/>
  <c r="T1639" i="1"/>
  <c r="U1639" i="1"/>
  <c r="BE1639" i="1"/>
  <c r="CC1639" i="1"/>
  <c r="CD1639" i="1"/>
  <c r="A1640" i="1"/>
  <c r="C1640" i="1"/>
  <c r="S1640" i="1"/>
  <c r="T1640" i="1"/>
  <c r="U1640" i="1"/>
  <c r="BE1640" i="1"/>
  <c r="CC1640" i="1"/>
  <c r="CD1640" i="1"/>
  <c r="A1641" i="1"/>
  <c r="C1641" i="1"/>
  <c r="S1641" i="1"/>
  <c r="T1641" i="1"/>
  <c r="U1641" i="1"/>
  <c r="BE1641" i="1"/>
  <c r="CC1641" i="1"/>
  <c r="CD1641" i="1"/>
  <c r="A1642" i="1"/>
  <c r="C1642" i="1"/>
  <c r="S1642" i="1"/>
  <c r="T1642" i="1"/>
  <c r="U1642" i="1"/>
  <c r="BE1642" i="1"/>
  <c r="CC1642" i="1"/>
  <c r="CD1642" i="1"/>
  <c r="A1643" i="1"/>
  <c r="C1643" i="1"/>
  <c r="S1643" i="1"/>
  <c r="T1643" i="1"/>
  <c r="U1643" i="1"/>
  <c r="BE1643" i="1"/>
  <c r="CC1643" i="1"/>
  <c r="CD1643" i="1"/>
  <c r="A1644" i="1"/>
  <c r="C1644" i="1"/>
  <c r="S1644" i="1"/>
  <c r="T1644" i="1"/>
  <c r="U1644" i="1"/>
  <c r="BE1644" i="1"/>
  <c r="CC1644" i="1"/>
  <c r="CD1644" i="1"/>
  <c r="A1645" i="1"/>
  <c r="C1645" i="1"/>
  <c r="S1645" i="1"/>
  <c r="T1645" i="1"/>
  <c r="U1645" i="1"/>
  <c r="BE1645" i="1"/>
  <c r="CC1645" i="1"/>
  <c r="CD1645" i="1"/>
  <c r="A1646" i="1"/>
  <c r="C1646" i="1"/>
  <c r="S1646" i="1"/>
  <c r="T1646" i="1"/>
  <c r="U1646" i="1"/>
  <c r="BE1646" i="1"/>
  <c r="CC1646" i="1"/>
  <c r="CD1646" i="1"/>
  <c r="A1647" i="1"/>
  <c r="C1647" i="1"/>
  <c r="S1647" i="1"/>
  <c r="T1647" i="1"/>
  <c r="U1647" i="1"/>
  <c r="BE1647" i="1"/>
  <c r="CC1647" i="1"/>
  <c r="CD1647" i="1"/>
  <c r="A1648" i="1"/>
  <c r="C1648" i="1"/>
  <c r="S1648" i="1"/>
  <c r="T1648" i="1"/>
  <c r="U1648" i="1"/>
  <c r="BE1648" i="1"/>
  <c r="CC1648" i="1"/>
  <c r="CD1648" i="1"/>
  <c r="A1649" i="1"/>
  <c r="C1649" i="1"/>
  <c r="S1649" i="1"/>
  <c r="T1649" i="1"/>
  <c r="U1649" i="1"/>
  <c r="BE1649" i="1"/>
  <c r="CC1649" i="1"/>
  <c r="CD1649" i="1"/>
  <c r="A1650" i="1"/>
  <c r="C1650" i="1"/>
  <c r="S1650" i="1"/>
  <c r="T1650" i="1"/>
  <c r="U1650" i="1"/>
  <c r="BE1650" i="1"/>
  <c r="CC1650" i="1"/>
  <c r="CD1650" i="1"/>
  <c r="A1651" i="1"/>
  <c r="C1651" i="1"/>
  <c r="S1651" i="1"/>
  <c r="T1651" i="1"/>
  <c r="U1651" i="1"/>
  <c r="BE1651" i="1"/>
  <c r="CC1651" i="1"/>
  <c r="CD1651" i="1"/>
  <c r="A1652" i="1"/>
  <c r="C1652" i="1"/>
  <c r="S1652" i="1"/>
  <c r="T1652" i="1"/>
  <c r="U1652" i="1"/>
  <c r="BE1652" i="1"/>
  <c r="CC1652" i="1"/>
  <c r="CD1652" i="1"/>
  <c r="A1653" i="1"/>
  <c r="C1653" i="1"/>
  <c r="S1653" i="1"/>
  <c r="T1653" i="1"/>
  <c r="U1653" i="1"/>
  <c r="BE1653" i="1"/>
  <c r="CC1653" i="1"/>
  <c r="CD1653" i="1"/>
  <c r="A1654" i="1"/>
  <c r="C1654" i="1"/>
  <c r="S1654" i="1"/>
  <c r="T1654" i="1"/>
  <c r="U1654" i="1"/>
  <c r="BE1654" i="1"/>
  <c r="CC1654" i="1"/>
  <c r="CD1654" i="1"/>
  <c r="A1655" i="1"/>
  <c r="C1655" i="1"/>
  <c r="S1655" i="1"/>
  <c r="T1655" i="1"/>
  <c r="U1655" i="1"/>
  <c r="BE1655" i="1"/>
  <c r="CC1655" i="1"/>
  <c r="CD1655" i="1"/>
  <c r="A1656" i="1"/>
  <c r="C1656" i="1"/>
  <c r="S1656" i="1"/>
  <c r="T1656" i="1"/>
  <c r="U1656" i="1"/>
  <c r="BE1656" i="1"/>
  <c r="CC1656" i="1"/>
  <c r="CD1656" i="1"/>
  <c r="A1657" i="1"/>
  <c r="C1657" i="1"/>
  <c r="S1657" i="1"/>
  <c r="T1657" i="1"/>
  <c r="U1657" i="1"/>
  <c r="BE1657" i="1"/>
  <c r="CC1657" i="1"/>
  <c r="CD1657" i="1"/>
  <c r="A1658" i="1"/>
  <c r="C1658" i="1"/>
  <c r="S1658" i="1"/>
  <c r="T1658" i="1"/>
  <c r="U1658" i="1"/>
  <c r="BE1658" i="1"/>
  <c r="CC1658" i="1"/>
  <c r="CD1658" i="1"/>
  <c r="A1659" i="1"/>
  <c r="C1659" i="1"/>
  <c r="S1659" i="1"/>
  <c r="T1659" i="1"/>
  <c r="U1659" i="1"/>
  <c r="BE1659" i="1"/>
  <c r="CC1659" i="1"/>
  <c r="CD1659" i="1"/>
  <c r="A1660" i="1"/>
  <c r="C1660" i="1"/>
  <c r="S1660" i="1"/>
  <c r="T1660" i="1"/>
  <c r="U1660" i="1"/>
  <c r="BE1660" i="1"/>
  <c r="CC1660" i="1"/>
  <c r="CD1660" i="1"/>
  <c r="A1661" i="1"/>
  <c r="C1661" i="1"/>
  <c r="S1661" i="1"/>
  <c r="T1661" i="1"/>
  <c r="U1661" i="1"/>
  <c r="BE1661" i="1"/>
  <c r="CC1661" i="1"/>
  <c r="CD1661" i="1"/>
  <c r="A1662" i="1"/>
  <c r="C1662" i="1"/>
  <c r="S1662" i="1"/>
  <c r="T1662" i="1"/>
  <c r="U1662" i="1"/>
  <c r="BE1662" i="1"/>
  <c r="CC1662" i="1"/>
  <c r="CD1662" i="1"/>
  <c r="A1663" i="1"/>
  <c r="C1663" i="1"/>
  <c r="S1663" i="1"/>
  <c r="T1663" i="1"/>
  <c r="U1663" i="1"/>
  <c r="BE1663" i="1"/>
  <c r="CC1663" i="1"/>
  <c r="CD1663" i="1"/>
  <c r="A1664" i="1"/>
  <c r="C1664" i="1"/>
  <c r="S1664" i="1"/>
  <c r="T1664" i="1"/>
  <c r="U1664" i="1"/>
  <c r="BE1664" i="1"/>
  <c r="CC1664" i="1"/>
  <c r="CD1664" i="1"/>
  <c r="A1665" i="1"/>
  <c r="C1665" i="1"/>
  <c r="S1665" i="1"/>
  <c r="T1665" i="1"/>
  <c r="U1665" i="1"/>
  <c r="BE1665" i="1"/>
  <c r="CC1665" i="1"/>
  <c r="CD1665" i="1"/>
  <c r="A1666" i="1"/>
  <c r="C1666" i="1"/>
  <c r="S1666" i="1"/>
  <c r="T1666" i="1"/>
  <c r="U1666" i="1"/>
  <c r="BE1666" i="1"/>
  <c r="CC1666" i="1"/>
  <c r="CD1666" i="1"/>
  <c r="A1667" i="1"/>
  <c r="C1667" i="1"/>
  <c r="S1667" i="1"/>
  <c r="T1667" i="1"/>
  <c r="U1667" i="1"/>
  <c r="BE1667" i="1"/>
  <c r="CC1667" i="1"/>
  <c r="CD1667" i="1"/>
  <c r="A1668" i="1"/>
  <c r="C1668" i="1"/>
  <c r="S1668" i="1"/>
  <c r="T1668" i="1"/>
  <c r="U1668" i="1"/>
  <c r="BE1668" i="1"/>
  <c r="CC1668" i="1"/>
  <c r="CD1668" i="1"/>
  <c r="A1669" i="1"/>
  <c r="C1669" i="1"/>
  <c r="S1669" i="1"/>
  <c r="T1669" i="1"/>
  <c r="U1669" i="1"/>
  <c r="BE1669" i="1"/>
  <c r="CC1669" i="1"/>
  <c r="CD1669" i="1"/>
  <c r="A1670" i="1"/>
  <c r="C1670" i="1"/>
  <c r="S1670" i="1"/>
  <c r="T1670" i="1"/>
  <c r="U1670" i="1"/>
  <c r="BE1670" i="1"/>
  <c r="CC1670" i="1"/>
  <c r="CD1670" i="1"/>
  <c r="A1671" i="1"/>
  <c r="C1671" i="1"/>
  <c r="S1671" i="1"/>
  <c r="T1671" i="1"/>
  <c r="U1671" i="1"/>
  <c r="BE1671" i="1"/>
  <c r="CC1671" i="1"/>
  <c r="CD1671" i="1"/>
  <c r="A1672" i="1"/>
  <c r="C1672" i="1"/>
  <c r="S1672" i="1"/>
  <c r="T1672" i="1"/>
  <c r="U1672" i="1"/>
  <c r="BE1672" i="1"/>
  <c r="CC1672" i="1"/>
  <c r="CD1672" i="1"/>
  <c r="A1673" i="1"/>
  <c r="C1673" i="1"/>
  <c r="S1673" i="1"/>
  <c r="T1673" i="1"/>
  <c r="U1673" i="1"/>
  <c r="BE1673" i="1"/>
  <c r="CC1673" i="1"/>
  <c r="CD1673" i="1"/>
  <c r="A1674" i="1"/>
  <c r="C1674" i="1"/>
  <c r="S1674" i="1"/>
  <c r="T1674" i="1"/>
  <c r="U1674" i="1"/>
  <c r="BE1674" i="1"/>
  <c r="CC1674" i="1"/>
  <c r="CD1674" i="1"/>
  <c r="A1675" i="1"/>
  <c r="C1675" i="1"/>
  <c r="S1675" i="1"/>
  <c r="T1675" i="1"/>
  <c r="U1675" i="1"/>
  <c r="BE1675" i="1"/>
  <c r="CC1675" i="1"/>
  <c r="CD1675" i="1"/>
  <c r="A1676" i="1"/>
  <c r="C1676" i="1"/>
  <c r="S1676" i="1"/>
  <c r="T1676" i="1"/>
  <c r="U1676" i="1"/>
  <c r="BE1676" i="1"/>
  <c r="CC1676" i="1"/>
  <c r="CD1676" i="1"/>
  <c r="A1677" i="1"/>
  <c r="C1677" i="1"/>
  <c r="S1677" i="1"/>
  <c r="T1677" i="1"/>
  <c r="U1677" i="1"/>
  <c r="BE1677" i="1"/>
  <c r="CC1677" i="1"/>
  <c r="CD1677" i="1"/>
  <c r="A1678" i="1"/>
  <c r="C1678" i="1"/>
  <c r="S1678" i="1"/>
  <c r="T1678" i="1"/>
  <c r="U1678" i="1"/>
  <c r="BE1678" i="1"/>
  <c r="CC1678" i="1"/>
  <c r="CD1678" i="1"/>
  <c r="A1679" i="1"/>
  <c r="C1679" i="1"/>
  <c r="S1679" i="1"/>
  <c r="T1679" i="1"/>
  <c r="U1679" i="1"/>
  <c r="BE1679" i="1"/>
  <c r="CC1679" i="1"/>
  <c r="CD1679" i="1"/>
  <c r="A1680" i="1"/>
  <c r="C1680" i="1"/>
  <c r="S1680" i="1"/>
  <c r="T1680" i="1"/>
  <c r="U1680" i="1"/>
  <c r="BE1680" i="1"/>
  <c r="CC1680" i="1"/>
  <c r="CD1680" i="1"/>
  <c r="A1681" i="1"/>
  <c r="C1681" i="1"/>
  <c r="S1681" i="1"/>
  <c r="T1681" i="1"/>
  <c r="U1681" i="1"/>
  <c r="BE1681" i="1"/>
  <c r="CC1681" i="1"/>
  <c r="CD1681" i="1"/>
  <c r="A1682" i="1"/>
  <c r="C1682" i="1"/>
  <c r="S1682" i="1"/>
  <c r="T1682" i="1"/>
  <c r="U1682" i="1"/>
  <c r="BE1682" i="1"/>
  <c r="CC1682" i="1"/>
  <c r="CD1682" i="1"/>
  <c r="A1683" i="1"/>
  <c r="C1683" i="1"/>
  <c r="S1683" i="1"/>
  <c r="T1683" i="1"/>
  <c r="U1683" i="1"/>
  <c r="BE1683" i="1"/>
  <c r="CC1683" i="1"/>
  <c r="CD1683" i="1"/>
  <c r="A1684" i="1"/>
  <c r="C1684" i="1"/>
  <c r="S1684" i="1"/>
  <c r="T1684" i="1"/>
  <c r="U1684" i="1"/>
  <c r="BE1684" i="1"/>
  <c r="CC1684" i="1"/>
  <c r="CD1684" i="1"/>
  <c r="A1685" i="1"/>
  <c r="C1685" i="1"/>
  <c r="S1685" i="1"/>
  <c r="T1685" i="1"/>
  <c r="U1685" i="1"/>
  <c r="BE1685" i="1"/>
  <c r="CC1685" i="1"/>
  <c r="CD1685" i="1"/>
  <c r="A1686" i="1"/>
  <c r="C1686" i="1"/>
  <c r="S1686" i="1"/>
  <c r="T1686" i="1"/>
  <c r="U1686" i="1"/>
  <c r="BE1686" i="1"/>
  <c r="CC1686" i="1"/>
  <c r="CD1686" i="1"/>
  <c r="A1687" i="1"/>
  <c r="C1687" i="1"/>
  <c r="S1687" i="1"/>
  <c r="T1687" i="1"/>
  <c r="U1687" i="1"/>
  <c r="BE1687" i="1"/>
  <c r="CC1687" i="1"/>
  <c r="CD1687" i="1"/>
  <c r="A1688" i="1"/>
  <c r="C1688" i="1"/>
  <c r="S1688" i="1"/>
  <c r="T1688" i="1"/>
  <c r="U1688" i="1"/>
  <c r="BE1688" i="1"/>
  <c r="CC1688" i="1"/>
  <c r="CD1688" i="1"/>
  <c r="A1689" i="1"/>
  <c r="C1689" i="1"/>
  <c r="S1689" i="1"/>
  <c r="T1689" i="1"/>
  <c r="U1689" i="1"/>
  <c r="BE1689" i="1"/>
  <c r="CC1689" i="1"/>
  <c r="CD1689" i="1"/>
  <c r="A1690" i="1"/>
  <c r="C1690" i="1"/>
  <c r="S1690" i="1"/>
  <c r="T1690" i="1"/>
  <c r="U1690" i="1"/>
  <c r="BE1690" i="1"/>
  <c r="CC1690" i="1"/>
  <c r="CD1690" i="1"/>
  <c r="A1691" i="1"/>
  <c r="C1691" i="1"/>
  <c r="S1691" i="1"/>
  <c r="T1691" i="1"/>
  <c r="U1691" i="1"/>
  <c r="BE1691" i="1"/>
  <c r="CC1691" i="1"/>
  <c r="CD1691" i="1"/>
  <c r="A1692" i="1"/>
  <c r="C1692" i="1"/>
  <c r="S1692" i="1"/>
  <c r="T1692" i="1"/>
  <c r="U1692" i="1"/>
  <c r="BE1692" i="1"/>
  <c r="CC1692" i="1"/>
  <c r="CD1692" i="1"/>
  <c r="A1693" i="1"/>
  <c r="C1693" i="1"/>
  <c r="S1693" i="1"/>
  <c r="T1693" i="1"/>
  <c r="U1693" i="1"/>
  <c r="BE1693" i="1"/>
  <c r="CC1693" i="1"/>
  <c r="CD1693" i="1"/>
  <c r="A1694" i="1"/>
  <c r="C1694" i="1"/>
  <c r="S1694" i="1"/>
  <c r="T1694" i="1"/>
  <c r="U1694" i="1"/>
  <c r="BE1694" i="1"/>
  <c r="CC1694" i="1"/>
  <c r="CD1694" i="1"/>
  <c r="A1695" i="1"/>
  <c r="C1695" i="1"/>
  <c r="S1695" i="1"/>
  <c r="T1695" i="1"/>
  <c r="U1695" i="1"/>
  <c r="BE1695" i="1"/>
  <c r="CC1695" i="1"/>
  <c r="CD1695" i="1"/>
  <c r="A1696" i="1"/>
  <c r="C1696" i="1"/>
  <c r="S1696" i="1"/>
  <c r="T1696" i="1"/>
  <c r="U1696" i="1"/>
  <c r="BE1696" i="1"/>
  <c r="CC1696" i="1"/>
  <c r="CD1696" i="1"/>
  <c r="A1697" i="1"/>
  <c r="C1697" i="1"/>
  <c r="S1697" i="1"/>
  <c r="T1697" i="1"/>
  <c r="U1697" i="1"/>
  <c r="BE1697" i="1"/>
  <c r="CC1697" i="1"/>
  <c r="CD1697" i="1"/>
  <c r="A1698" i="1"/>
  <c r="C1698" i="1"/>
  <c r="S1698" i="1"/>
  <c r="T1698" i="1"/>
  <c r="U1698" i="1"/>
  <c r="BE1698" i="1"/>
  <c r="CC1698" i="1"/>
  <c r="CD1698" i="1"/>
  <c r="A1699" i="1"/>
  <c r="C1699" i="1"/>
  <c r="S1699" i="1"/>
  <c r="T1699" i="1"/>
  <c r="U1699" i="1"/>
  <c r="BE1699" i="1"/>
  <c r="CC1699" i="1"/>
  <c r="CD1699" i="1"/>
  <c r="A1700" i="1"/>
  <c r="C1700" i="1"/>
  <c r="S1700" i="1"/>
  <c r="T1700" i="1"/>
  <c r="U1700" i="1"/>
  <c r="BE1700" i="1"/>
  <c r="CC1700" i="1"/>
  <c r="CD1700" i="1"/>
  <c r="A1701" i="1"/>
  <c r="C1701" i="1"/>
  <c r="S1701" i="1"/>
  <c r="T1701" i="1"/>
  <c r="U1701" i="1"/>
  <c r="BE1701" i="1"/>
  <c r="CC1701" i="1"/>
  <c r="CD1701" i="1"/>
  <c r="A1702" i="1"/>
  <c r="C1702" i="1"/>
  <c r="S1702" i="1"/>
  <c r="T1702" i="1"/>
  <c r="U1702" i="1"/>
  <c r="BE1702" i="1"/>
  <c r="CC1702" i="1"/>
  <c r="CD1702" i="1"/>
  <c r="A1703" i="1"/>
  <c r="C1703" i="1"/>
  <c r="S1703" i="1"/>
  <c r="T1703" i="1"/>
  <c r="U1703" i="1"/>
  <c r="BE1703" i="1"/>
  <c r="CC1703" i="1"/>
  <c r="CD1703" i="1"/>
  <c r="A1704" i="1"/>
  <c r="C1704" i="1"/>
  <c r="S1704" i="1"/>
  <c r="T1704" i="1"/>
  <c r="U1704" i="1"/>
  <c r="BE1704" i="1"/>
  <c r="CC1704" i="1"/>
  <c r="CD1704" i="1"/>
  <c r="A1705" i="1"/>
  <c r="C1705" i="1"/>
  <c r="S1705" i="1"/>
  <c r="T1705" i="1"/>
  <c r="U1705" i="1"/>
  <c r="BE1705" i="1"/>
  <c r="CC1705" i="1"/>
  <c r="CD1705" i="1"/>
  <c r="A1706" i="1"/>
  <c r="C1706" i="1"/>
  <c r="S1706" i="1"/>
  <c r="T1706" i="1"/>
  <c r="U1706" i="1"/>
  <c r="BE1706" i="1"/>
  <c r="CC1706" i="1"/>
  <c r="CD1706" i="1"/>
  <c r="A1707" i="1"/>
  <c r="C1707" i="1"/>
  <c r="S1707" i="1"/>
  <c r="T1707" i="1"/>
  <c r="U1707" i="1"/>
  <c r="BE1707" i="1"/>
  <c r="CC1707" i="1"/>
  <c r="CD1707" i="1"/>
  <c r="A1708" i="1"/>
  <c r="C1708" i="1"/>
  <c r="S1708" i="1"/>
  <c r="T1708" i="1"/>
  <c r="U1708" i="1"/>
  <c r="BE1708" i="1"/>
  <c r="CC1708" i="1"/>
  <c r="CD1708" i="1"/>
  <c r="A1709" i="1"/>
  <c r="C1709" i="1"/>
  <c r="S1709" i="1"/>
  <c r="T1709" i="1"/>
  <c r="U1709" i="1"/>
  <c r="BE1709" i="1"/>
  <c r="CC1709" i="1"/>
  <c r="CD1709" i="1"/>
  <c r="A1710" i="1"/>
  <c r="C1710" i="1"/>
  <c r="S1710" i="1"/>
  <c r="T1710" i="1"/>
  <c r="U1710" i="1"/>
  <c r="BE1710" i="1"/>
  <c r="CC1710" i="1"/>
  <c r="CD1710" i="1"/>
  <c r="A1711" i="1"/>
  <c r="C1711" i="1"/>
  <c r="S1711" i="1"/>
  <c r="T1711" i="1"/>
  <c r="U1711" i="1"/>
  <c r="BE1711" i="1"/>
  <c r="CC1711" i="1"/>
  <c r="CD1711" i="1"/>
  <c r="A1712" i="1"/>
  <c r="C1712" i="1"/>
  <c r="S1712" i="1"/>
  <c r="T1712" i="1"/>
  <c r="U1712" i="1"/>
  <c r="BE1712" i="1"/>
  <c r="CC1712" i="1"/>
  <c r="CD1712" i="1"/>
  <c r="A1713" i="1"/>
  <c r="C1713" i="1"/>
  <c r="S1713" i="1"/>
  <c r="T1713" i="1"/>
  <c r="U1713" i="1"/>
  <c r="BE1713" i="1"/>
  <c r="CC1713" i="1"/>
  <c r="CD1713" i="1"/>
  <c r="A1714" i="1"/>
  <c r="C1714" i="1"/>
  <c r="S1714" i="1"/>
  <c r="T1714" i="1"/>
  <c r="U1714" i="1"/>
  <c r="BE1714" i="1"/>
  <c r="CC1714" i="1"/>
  <c r="CD1714" i="1"/>
  <c r="A1715" i="1"/>
  <c r="C1715" i="1"/>
  <c r="S1715" i="1"/>
  <c r="T1715" i="1"/>
  <c r="U1715" i="1"/>
  <c r="BE1715" i="1"/>
  <c r="CC1715" i="1"/>
  <c r="CD1715" i="1"/>
  <c r="A1716" i="1"/>
  <c r="C1716" i="1"/>
  <c r="S1716" i="1"/>
  <c r="T1716" i="1"/>
  <c r="U1716" i="1"/>
  <c r="BE1716" i="1"/>
  <c r="CC1716" i="1"/>
  <c r="CD1716" i="1"/>
  <c r="A1717" i="1"/>
  <c r="C1717" i="1"/>
  <c r="S1717" i="1"/>
  <c r="T1717" i="1"/>
  <c r="U1717" i="1"/>
  <c r="BE1717" i="1"/>
  <c r="CC1717" i="1"/>
  <c r="CD1717" i="1"/>
  <c r="A1718" i="1"/>
  <c r="C1718" i="1"/>
  <c r="S1718" i="1"/>
  <c r="T1718" i="1"/>
  <c r="U1718" i="1"/>
  <c r="BE1718" i="1"/>
  <c r="CC1718" i="1"/>
  <c r="CD1718" i="1"/>
  <c r="A1719" i="1"/>
  <c r="C1719" i="1"/>
  <c r="S1719" i="1"/>
  <c r="T1719" i="1"/>
  <c r="U1719" i="1"/>
  <c r="BE1719" i="1"/>
  <c r="CC1719" i="1"/>
  <c r="CD1719" i="1"/>
  <c r="A1720" i="1"/>
  <c r="C1720" i="1"/>
  <c r="S1720" i="1"/>
  <c r="T1720" i="1"/>
  <c r="U1720" i="1"/>
  <c r="BE1720" i="1"/>
  <c r="CC1720" i="1"/>
  <c r="CD1720" i="1"/>
  <c r="A1721" i="1"/>
  <c r="C1721" i="1"/>
  <c r="S1721" i="1"/>
  <c r="T1721" i="1"/>
  <c r="U1721" i="1"/>
  <c r="BE1721" i="1"/>
  <c r="CC1721" i="1"/>
  <c r="CD1721" i="1"/>
  <c r="A1722" i="1"/>
  <c r="C1722" i="1"/>
  <c r="S1722" i="1"/>
  <c r="T1722" i="1"/>
  <c r="U1722" i="1"/>
  <c r="BE1722" i="1"/>
  <c r="CC1722" i="1"/>
  <c r="CD1722" i="1"/>
  <c r="A1723" i="1"/>
  <c r="C1723" i="1"/>
  <c r="S1723" i="1"/>
  <c r="T1723" i="1"/>
  <c r="U1723" i="1"/>
  <c r="BE1723" i="1"/>
  <c r="CC1723" i="1"/>
  <c r="CD1723" i="1"/>
  <c r="A1724" i="1"/>
  <c r="C1724" i="1"/>
  <c r="S1724" i="1"/>
  <c r="T1724" i="1"/>
  <c r="U1724" i="1"/>
  <c r="BE1724" i="1"/>
  <c r="CC1724" i="1"/>
  <c r="CD1724" i="1"/>
  <c r="A1725" i="1"/>
  <c r="C1725" i="1"/>
  <c r="S1725" i="1"/>
  <c r="T1725" i="1"/>
  <c r="U1725" i="1"/>
  <c r="BE1725" i="1"/>
  <c r="CC1725" i="1"/>
  <c r="CD1725" i="1"/>
  <c r="A1726" i="1"/>
  <c r="C1726" i="1"/>
  <c r="S1726" i="1"/>
  <c r="T1726" i="1"/>
  <c r="U1726" i="1"/>
  <c r="BE1726" i="1"/>
  <c r="CC1726" i="1"/>
  <c r="CD1726" i="1"/>
  <c r="A1727" i="1"/>
  <c r="C1727" i="1"/>
  <c r="S1727" i="1"/>
  <c r="T1727" i="1"/>
  <c r="U1727" i="1"/>
  <c r="BE1727" i="1"/>
  <c r="CC1727" i="1"/>
  <c r="CD1727" i="1"/>
  <c r="A1728" i="1"/>
  <c r="C1728" i="1"/>
  <c r="S1728" i="1"/>
  <c r="T1728" i="1"/>
  <c r="U1728" i="1"/>
  <c r="BE1728" i="1"/>
  <c r="CC1728" i="1"/>
  <c r="CD1728" i="1"/>
  <c r="A1729" i="1"/>
  <c r="C1729" i="1"/>
  <c r="S1729" i="1"/>
  <c r="T1729" i="1"/>
  <c r="U1729" i="1"/>
  <c r="BE1729" i="1"/>
  <c r="CC1729" i="1"/>
  <c r="CD1729" i="1"/>
  <c r="A1730" i="1"/>
  <c r="C1730" i="1"/>
  <c r="S1730" i="1"/>
  <c r="T1730" i="1"/>
  <c r="U1730" i="1"/>
  <c r="BE1730" i="1"/>
  <c r="CC1730" i="1"/>
  <c r="CD1730" i="1"/>
  <c r="A1731" i="1"/>
  <c r="C1731" i="1"/>
  <c r="S1731" i="1"/>
  <c r="T1731" i="1"/>
  <c r="U1731" i="1"/>
  <c r="BE1731" i="1"/>
  <c r="CC1731" i="1"/>
  <c r="CD1731" i="1"/>
  <c r="A1732" i="1"/>
  <c r="C1732" i="1"/>
  <c r="S1732" i="1"/>
  <c r="T1732" i="1"/>
  <c r="U1732" i="1"/>
  <c r="BE1732" i="1"/>
  <c r="CC1732" i="1"/>
  <c r="CD1732" i="1"/>
  <c r="A1733" i="1"/>
  <c r="C1733" i="1"/>
  <c r="S1733" i="1"/>
  <c r="T1733" i="1"/>
  <c r="U1733" i="1"/>
  <c r="BE1733" i="1"/>
  <c r="CC1733" i="1"/>
  <c r="CD1733" i="1"/>
  <c r="A1734" i="1"/>
  <c r="C1734" i="1"/>
  <c r="S1734" i="1"/>
  <c r="T1734" i="1"/>
  <c r="U1734" i="1"/>
  <c r="BE1734" i="1"/>
  <c r="CC1734" i="1"/>
  <c r="CD1734" i="1"/>
  <c r="A1735" i="1"/>
  <c r="C1735" i="1"/>
  <c r="S1735" i="1"/>
  <c r="T1735" i="1"/>
  <c r="U1735" i="1"/>
  <c r="BE1735" i="1"/>
  <c r="CC1735" i="1"/>
  <c r="CD1735" i="1"/>
  <c r="A1736" i="1"/>
  <c r="C1736" i="1"/>
  <c r="S1736" i="1"/>
  <c r="T1736" i="1"/>
  <c r="U1736" i="1"/>
  <c r="BE1736" i="1"/>
  <c r="CC1736" i="1"/>
  <c r="CD1736" i="1"/>
  <c r="A1737" i="1"/>
  <c r="C1737" i="1"/>
  <c r="S1737" i="1"/>
  <c r="T1737" i="1"/>
  <c r="U1737" i="1"/>
  <c r="BE1737" i="1"/>
  <c r="CC1737" i="1"/>
  <c r="CD1737" i="1"/>
  <c r="A1738" i="1"/>
  <c r="C1738" i="1"/>
  <c r="S1738" i="1"/>
  <c r="T1738" i="1"/>
  <c r="U1738" i="1"/>
  <c r="BE1738" i="1"/>
  <c r="CC1738" i="1"/>
  <c r="CD1738" i="1"/>
  <c r="A1739" i="1"/>
  <c r="C1739" i="1"/>
  <c r="S1739" i="1"/>
  <c r="T1739" i="1"/>
  <c r="U1739" i="1"/>
  <c r="BE1739" i="1"/>
  <c r="CC1739" i="1"/>
  <c r="CD1739" i="1"/>
  <c r="A1740" i="1"/>
  <c r="C1740" i="1"/>
  <c r="S1740" i="1"/>
  <c r="T1740" i="1"/>
  <c r="U1740" i="1"/>
  <c r="BE1740" i="1"/>
  <c r="CC1740" i="1"/>
  <c r="CD1740" i="1"/>
  <c r="A1741" i="1"/>
  <c r="C1741" i="1"/>
  <c r="S1741" i="1"/>
  <c r="T1741" i="1"/>
  <c r="U1741" i="1"/>
  <c r="BE1741" i="1"/>
  <c r="CC1741" i="1"/>
  <c r="CD1741" i="1"/>
  <c r="A1742" i="1"/>
  <c r="C1742" i="1"/>
  <c r="S1742" i="1"/>
  <c r="T1742" i="1"/>
  <c r="U1742" i="1"/>
  <c r="BE1742" i="1"/>
  <c r="CC1742" i="1"/>
  <c r="CD1742" i="1"/>
  <c r="A1743" i="1"/>
  <c r="C1743" i="1"/>
  <c r="S1743" i="1"/>
  <c r="T1743" i="1"/>
  <c r="U1743" i="1"/>
  <c r="BE1743" i="1"/>
  <c r="CC1743" i="1"/>
  <c r="CD1743" i="1"/>
  <c r="A1744" i="1"/>
  <c r="C1744" i="1"/>
  <c r="S1744" i="1"/>
  <c r="T1744" i="1"/>
  <c r="U1744" i="1"/>
  <c r="BE1744" i="1"/>
  <c r="CC1744" i="1"/>
  <c r="CD1744" i="1"/>
  <c r="A1745" i="1"/>
  <c r="C1745" i="1"/>
  <c r="S1745" i="1"/>
  <c r="T1745" i="1"/>
  <c r="U1745" i="1"/>
  <c r="BE1745" i="1"/>
  <c r="CC1745" i="1"/>
  <c r="CD1745" i="1"/>
  <c r="A1746" i="1"/>
  <c r="C1746" i="1"/>
  <c r="S1746" i="1"/>
  <c r="T1746" i="1"/>
  <c r="U1746" i="1"/>
  <c r="BE1746" i="1"/>
  <c r="CC1746" i="1"/>
  <c r="CD1746" i="1"/>
  <c r="A1747" i="1"/>
  <c r="C1747" i="1"/>
  <c r="S1747" i="1"/>
  <c r="T1747" i="1"/>
  <c r="U1747" i="1"/>
  <c r="BE1747" i="1"/>
  <c r="CC1747" i="1"/>
  <c r="CD1747" i="1"/>
  <c r="A1748" i="1"/>
  <c r="C1748" i="1"/>
  <c r="S1748" i="1"/>
  <c r="T1748" i="1"/>
  <c r="U1748" i="1"/>
  <c r="BE1748" i="1"/>
  <c r="CC1748" i="1"/>
  <c r="CD1748" i="1"/>
  <c r="A1749" i="1"/>
  <c r="C1749" i="1"/>
  <c r="S1749" i="1"/>
  <c r="T1749" i="1"/>
  <c r="U1749" i="1"/>
  <c r="BE1749" i="1"/>
  <c r="CC1749" i="1"/>
  <c r="CD1749" i="1"/>
  <c r="A1750" i="1"/>
  <c r="C1750" i="1"/>
  <c r="S1750" i="1"/>
  <c r="T1750" i="1"/>
  <c r="U1750" i="1"/>
  <c r="BE1750" i="1"/>
  <c r="CC1750" i="1"/>
  <c r="CD1750" i="1"/>
  <c r="A1751" i="1"/>
  <c r="C1751" i="1"/>
  <c r="S1751" i="1"/>
  <c r="T1751" i="1"/>
  <c r="U1751" i="1"/>
  <c r="BE1751" i="1"/>
  <c r="CC1751" i="1"/>
  <c r="CD1751" i="1"/>
  <c r="A1752" i="1"/>
  <c r="C1752" i="1"/>
  <c r="S1752" i="1"/>
  <c r="T1752" i="1"/>
  <c r="U1752" i="1"/>
  <c r="BE1752" i="1"/>
  <c r="CC1752" i="1"/>
  <c r="CD1752" i="1"/>
  <c r="A1753" i="1"/>
  <c r="C1753" i="1"/>
  <c r="S1753" i="1"/>
  <c r="T1753" i="1"/>
  <c r="U1753" i="1"/>
  <c r="BE1753" i="1"/>
  <c r="CC1753" i="1"/>
  <c r="CD1753" i="1"/>
  <c r="A1754" i="1"/>
  <c r="C1754" i="1"/>
  <c r="S1754" i="1"/>
  <c r="T1754" i="1"/>
  <c r="U1754" i="1"/>
  <c r="BE1754" i="1"/>
  <c r="CC1754" i="1"/>
  <c r="CD1754" i="1"/>
  <c r="A1755" i="1"/>
  <c r="C1755" i="1"/>
  <c r="S1755" i="1"/>
  <c r="T1755" i="1"/>
  <c r="U1755" i="1"/>
  <c r="BE1755" i="1"/>
  <c r="CC1755" i="1"/>
  <c r="CD1755" i="1"/>
  <c r="A1756" i="1"/>
  <c r="C1756" i="1"/>
  <c r="S1756" i="1"/>
  <c r="T1756" i="1"/>
  <c r="U1756" i="1"/>
  <c r="BE1756" i="1"/>
  <c r="CC1756" i="1"/>
  <c r="CD1756" i="1"/>
  <c r="A1757" i="1"/>
  <c r="C1757" i="1"/>
  <c r="S1757" i="1"/>
  <c r="T1757" i="1"/>
  <c r="U1757" i="1"/>
  <c r="BE1757" i="1"/>
  <c r="CC1757" i="1"/>
  <c r="CD1757" i="1"/>
  <c r="A1758" i="1"/>
  <c r="C1758" i="1"/>
  <c r="S1758" i="1"/>
  <c r="T1758" i="1"/>
  <c r="U1758" i="1"/>
  <c r="BE1758" i="1"/>
  <c r="CC1758" i="1"/>
  <c r="CD1758" i="1"/>
  <c r="A1759" i="1"/>
  <c r="C1759" i="1"/>
  <c r="S1759" i="1"/>
  <c r="T1759" i="1"/>
  <c r="U1759" i="1"/>
  <c r="BE1759" i="1"/>
  <c r="CC1759" i="1"/>
  <c r="CD1759" i="1"/>
  <c r="A1760" i="1"/>
  <c r="C1760" i="1"/>
  <c r="S1760" i="1"/>
  <c r="T1760" i="1"/>
  <c r="U1760" i="1"/>
  <c r="BE1760" i="1"/>
  <c r="CC1760" i="1"/>
  <c r="CD1760" i="1"/>
  <c r="A1761" i="1"/>
  <c r="C1761" i="1"/>
  <c r="S1761" i="1"/>
  <c r="T1761" i="1"/>
  <c r="U1761" i="1"/>
  <c r="BE1761" i="1"/>
  <c r="CC1761" i="1"/>
  <c r="CD1761" i="1"/>
  <c r="A1762" i="1"/>
  <c r="C1762" i="1"/>
  <c r="S1762" i="1"/>
  <c r="T1762" i="1"/>
  <c r="U1762" i="1"/>
  <c r="BE1762" i="1"/>
  <c r="CC1762" i="1"/>
  <c r="CD1762" i="1"/>
  <c r="A1763" i="1"/>
  <c r="C1763" i="1"/>
  <c r="S1763" i="1"/>
  <c r="T1763" i="1"/>
  <c r="U1763" i="1"/>
  <c r="BE1763" i="1"/>
  <c r="CC1763" i="1"/>
  <c r="CD1763" i="1"/>
  <c r="A1764" i="1"/>
  <c r="C1764" i="1"/>
  <c r="S1764" i="1"/>
  <c r="T1764" i="1"/>
  <c r="U1764" i="1"/>
  <c r="BE1764" i="1"/>
  <c r="CC1764" i="1"/>
  <c r="CD1764" i="1"/>
  <c r="A1765" i="1"/>
  <c r="C1765" i="1"/>
  <c r="S1765" i="1"/>
  <c r="T1765" i="1"/>
  <c r="U1765" i="1"/>
  <c r="BE1765" i="1"/>
  <c r="CC1765" i="1"/>
  <c r="CD1765" i="1"/>
  <c r="A1766" i="1"/>
  <c r="C1766" i="1"/>
  <c r="S1766" i="1"/>
  <c r="T1766" i="1"/>
  <c r="U1766" i="1"/>
  <c r="BE1766" i="1"/>
  <c r="CC1766" i="1"/>
  <c r="CD1766" i="1"/>
  <c r="A1767" i="1"/>
  <c r="C1767" i="1"/>
  <c r="S1767" i="1"/>
  <c r="T1767" i="1"/>
  <c r="U1767" i="1"/>
  <c r="BE1767" i="1"/>
  <c r="CC1767" i="1"/>
  <c r="CD1767" i="1"/>
  <c r="A1768" i="1"/>
  <c r="C1768" i="1"/>
  <c r="S1768" i="1"/>
  <c r="T1768" i="1"/>
  <c r="U1768" i="1"/>
  <c r="BE1768" i="1"/>
  <c r="CC1768" i="1"/>
  <c r="CD1768" i="1"/>
  <c r="A1769" i="1"/>
  <c r="C1769" i="1"/>
  <c r="S1769" i="1"/>
  <c r="T1769" i="1"/>
  <c r="U1769" i="1"/>
  <c r="BE1769" i="1"/>
  <c r="CC1769" i="1"/>
  <c r="CD1769" i="1"/>
  <c r="A1770" i="1"/>
  <c r="C1770" i="1"/>
  <c r="S1770" i="1"/>
  <c r="T1770" i="1"/>
  <c r="U1770" i="1"/>
  <c r="BE1770" i="1"/>
  <c r="CC1770" i="1"/>
  <c r="CD1770" i="1"/>
  <c r="A1771" i="1"/>
  <c r="C1771" i="1"/>
  <c r="S1771" i="1"/>
  <c r="T1771" i="1"/>
  <c r="U1771" i="1"/>
  <c r="BE1771" i="1"/>
  <c r="CC1771" i="1"/>
  <c r="CD1771" i="1"/>
  <c r="A1772" i="1"/>
  <c r="C1772" i="1"/>
  <c r="S1772" i="1"/>
  <c r="T1772" i="1"/>
  <c r="U1772" i="1"/>
  <c r="BE1772" i="1"/>
  <c r="CC1772" i="1"/>
  <c r="CD1772" i="1"/>
  <c r="A1773" i="1"/>
  <c r="C1773" i="1"/>
  <c r="S1773" i="1"/>
  <c r="T1773" i="1"/>
  <c r="U1773" i="1"/>
  <c r="BE1773" i="1"/>
  <c r="CC1773" i="1"/>
  <c r="CD1773" i="1"/>
  <c r="A1774" i="1"/>
  <c r="C1774" i="1"/>
  <c r="S1774" i="1"/>
  <c r="T1774" i="1"/>
  <c r="U1774" i="1"/>
  <c r="BE1774" i="1"/>
  <c r="CC1774" i="1"/>
  <c r="CD1774" i="1"/>
  <c r="A1775" i="1"/>
  <c r="C1775" i="1"/>
  <c r="S1775" i="1"/>
  <c r="T1775" i="1"/>
  <c r="U1775" i="1"/>
  <c r="BE1775" i="1"/>
  <c r="CC1775" i="1"/>
  <c r="CD1775" i="1"/>
  <c r="A1776" i="1"/>
  <c r="C1776" i="1"/>
  <c r="S1776" i="1"/>
  <c r="T1776" i="1"/>
  <c r="U1776" i="1"/>
  <c r="BE1776" i="1"/>
  <c r="CC1776" i="1"/>
  <c r="CD1776" i="1"/>
  <c r="A1777" i="1"/>
  <c r="C1777" i="1"/>
  <c r="S1777" i="1"/>
  <c r="T1777" i="1"/>
  <c r="U1777" i="1"/>
  <c r="BE1777" i="1"/>
  <c r="CC1777" i="1"/>
  <c r="CD1777" i="1"/>
  <c r="A1778" i="1"/>
  <c r="C1778" i="1"/>
  <c r="S1778" i="1"/>
  <c r="T1778" i="1"/>
  <c r="U1778" i="1"/>
  <c r="BE1778" i="1"/>
  <c r="CC1778" i="1"/>
  <c r="CD1778" i="1"/>
  <c r="A1779" i="1"/>
  <c r="C1779" i="1"/>
  <c r="S1779" i="1"/>
  <c r="T1779" i="1"/>
  <c r="U1779" i="1"/>
  <c r="BE1779" i="1"/>
  <c r="CC1779" i="1"/>
  <c r="CD1779" i="1"/>
  <c r="A1780" i="1"/>
  <c r="C1780" i="1"/>
  <c r="S1780" i="1"/>
  <c r="T1780" i="1"/>
  <c r="U1780" i="1"/>
  <c r="BE1780" i="1"/>
  <c r="CC1780" i="1"/>
  <c r="CD1780" i="1"/>
  <c r="A1781" i="1"/>
  <c r="C1781" i="1"/>
  <c r="S1781" i="1"/>
  <c r="T1781" i="1"/>
  <c r="U1781" i="1"/>
  <c r="BE1781" i="1"/>
  <c r="CC1781" i="1"/>
  <c r="CD1781" i="1"/>
  <c r="A1782" i="1"/>
  <c r="C1782" i="1"/>
  <c r="S1782" i="1"/>
  <c r="T1782" i="1"/>
  <c r="U1782" i="1"/>
  <c r="BE1782" i="1"/>
  <c r="CC1782" i="1"/>
  <c r="CD1782" i="1"/>
  <c r="A1783" i="1"/>
  <c r="C1783" i="1"/>
  <c r="S1783" i="1"/>
  <c r="T1783" i="1"/>
  <c r="U1783" i="1"/>
  <c r="BE1783" i="1"/>
  <c r="CC1783" i="1"/>
  <c r="CD1783" i="1"/>
  <c r="A1784" i="1"/>
  <c r="C1784" i="1"/>
  <c r="S1784" i="1"/>
  <c r="T1784" i="1"/>
  <c r="U1784" i="1"/>
  <c r="BE1784" i="1"/>
  <c r="CC1784" i="1"/>
  <c r="CD1784" i="1"/>
  <c r="A1785" i="1"/>
  <c r="C1785" i="1"/>
  <c r="S1785" i="1"/>
  <c r="T1785" i="1"/>
  <c r="U1785" i="1"/>
  <c r="BE1785" i="1"/>
  <c r="CC1785" i="1"/>
  <c r="CD1785" i="1"/>
  <c r="A1786" i="1"/>
  <c r="C1786" i="1"/>
  <c r="S1786" i="1"/>
  <c r="T1786" i="1"/>
  <c r="U1786" i="1"/>
  <c r="BE1786" i="1"/>
  <c r="CC1786" i="1"/>
  <c r="CD1786" i="1"/>
  <c r="A1787" i="1"/>
  <c r="C1787" i="1"/>
  <c r="S1787" i="1"/>
  <c r="T1787" i="1"/>
  <c r="U1787" i="1"/>
  <c r="BE1787" i="1"/>
  <c r="CC1787" i="1"/>
  <c r="CD1787" i="1"/>
  <c r="A1788" i="1"/>
  <c r="C1788" i="1"/>
  <c r="S1788" i="1"/>
  <c r="T1788" i="1"/>
  <c r="U1788" i="1"/>
  <c r="BE1788" i="1"/>
  <c r="CC1788" i="1"/>
  <c r="CD1788" i="1"/>
  <c r="A1789" i="1"/>
  <c r="C1789" i="1"/>
  <c r="S1789" i="1"/>
  <c r="T1789" i="1"/>
  <c r="U1789" i="1"/>
  <c r="BE1789" i="1"/>
  <c r="CC1789" i="1"/>
  <c r="CD1789" i="1"/>
  <c r="A1790" i="1"/>
  <c r="C1790" i="1"/>
  <c r="S1790" i="1"/>
  <c r="T1790" i="1"/>
  <c r="U1790" i="1"/>
  <c r="BE1790" i="1"/>
  <c r="CC1790" i="1"/>
  <c r="CD1790" i="1"/>
  <c r="A1791" i="1"/>
  <c r="C1791" i="1"/>
  <c r="S1791" i="1"/>
  <c r="T1791" i="1"/>
  <c r="U1791" i="1"/>
  <c r="BE1791" i="1"/>
  <c r="CC1791" i="1"/>
  <c r="CD1791" i="1"/>
  <c r="A1792" i="1"/>
  <c r="C1792" i="1"/>
  <c r="S1792" i="1"/>
  <c r="T1792" i="1"/>
  <c r="U1792" i="1"/>
  <c r="BE1792" i="1"/>
  <c r="CC1792" i="1"/>
  <c r="CD1792" i="1"/>
  <c r="A1793" i="1"/>
  <c r="C1793" i="1"/>
  <c r="S1793" i="1"/>
  <c r="T1793" i="1"/>
  <c r="U1793" i="1"/>
  <c r="BE1793" i="1"/>
  <c r="CC1793" i="1"/>
  <c r="CD1793" i="1"/>
  <c r="A1794" i="1"/>
  <c r="C1794" i="1"/>
  <c r="S1794" i="1"/>
  <c r="T1794" i="1"/>
  <c r="U1794" i="1"/>
  <c r="BE1794" i="1"/>
  <c r="CC1794" i="1"/>
  <c r="CD1794" i="1"/>
  <c r="A1795" i="1"/>
  <c r="C1795" i="1"/>
  <c r="S1795" i="1"/>
  <c r="T1795" i="1"/>
  <c r="U1795" i="1"/>
  <c r="BE1795" i="1"/>
  <c r="CC1795" i="1"/>
  <c r="CD1795" i="1"/>
  <c r="A1796" i="1"/>
  <c r="C1796" i="1"/>
  <c r="S1796" i="1"/>
  <c r="T1796" i="1"/>
  <c r="U1796" i="1"/>
  <c r="BE1796" i="1"/>
  <c r="CC1796" i="1"/>
  <c r="CD1796" i="1"/>
  <c r="A1797" i="1"/>
  <c r="C1797" i="1"/>
  <c r="S1797" i="1"/>
  <c r="T1797" i="1"/>
  <c r="U1797" i="1"/>
  <c r="BE1797" i="1"/>
  <c r="CC1797" i="1"/>
  <c r="CD1797" i="1"/>
  <c r="A1798" i="1"/>
  <c r="C1798" i="1"/>
  <c r="S1798" i="1"/>
  <c r="T1798" i="1"/>
  <c r="U1798" i="1"/>
  <c r="BE1798" i="1"/>
  <c r="CC1798" i="1"/>
  <c r="CD1798" i="1"/>
  <c r="A1799" i="1"/>
  <c r="C1799" i="1"/>
  <c r="S1799" i="1"/>
  <c r="T1799" i="1"/>
  <c r="U1799" i="1"/>
  <c r="BE1799" i="1"/>
  <c r="CC1799" i="1"/>
  <c r="CD1799" i="1"/>
  <c r="A1800" i="1"/>
  <c r="C1800" i="1"/>
  <c r="S1800" i="1"/>
  <c r="T1800" i="1"/>
  <c r="U1800" i="1"/>
  <c r="BE1800" i="1"/>
  <c r="CC1800" i="1"/>
  <c r="CD1800" i="1"/>
  <c r="A1801" i="1"/>
  <c r="C1801" i="1"/>
  <c r="S1801" i="1"/>
  <c r="T1801" i="1"/>
  <c r="U1801" i="1"/>
  <c r="BE1801" i="1"/>
  <c r="CC1801" i="1"/>
  <c r="CD1801" i="1"/>
  <c r="A1802" i="1"/>
  <c r="C1802" i="1"/>
  <c r="S1802" i="1"/>
  <c r="T1802" i="1"/>
  <c r="U1802" i="1"/>
  <c r="BE1802" i="1"/>
  <c r="CC1802" i="1"/>
  <c r="CD1802" i="1"/>
  <c r="A1803" i="1"/>
  <c r="C1803" i="1"/>
  <c r="S1803" i="1"/>
  <c r="T1803" i="1"/>
  <c r="U1803" i="1"/>
  <c r="BE1803" i="1"/>
  <c r="CC1803" i="1"/>
  <c r="CD1803" i="1"/>
  <c r="A1804" i="1"/>
  <c r="C1804" i="1"/>
  <c r="S1804" i="1"/>
  <c r="T1804" i="1"/>
  <c r="U1804" i="1"/>
  <c r="BE1804" i="1"/>
  <c r="CC1804" i="1"/>
  <c r="CD1804" i="1"/>
  <c r="A1805" i="1"/>
  <c r="C1805" i="1"/>
  <c r="S1805" i="1"/>
  <c r="T1805" i="1"/>
  <c r="U1805" i="1"/>
  <c r="BE1805" i="1"/>
  <c r="CC1805" i="1"/>
  <c r="CD1805" i="1"/>
  <c r="A1806" i="1"/>
  <c r="C1806" i="1"/>
  <c r="S1806" i="1"/>
  <c r="T1806" i="1"/>
  <c r="U1806" i="1"/>
  <c r="BE1806" i="1"/>
  <c r="CC1806" i="1"/>
  <c r="CD1806" i="1"/>
  <c r="A1807" i="1"/>
  <c r="C1807" i="1"/>
  <c r="S1807" i="1"/>
  <c r="T1807" i="1"/>
  <c r="U1807" i="1"/>
  <c r="BE1807" i="1"/>
  <c r="CC1807" i="1"/>
  <c r="CD1807" i="1"/>
  <c r="A1808" i="1"/>
  <c r="C1808" i="1"/>
  <c r="S1808" i="1"/>
  <c r="T1808" i="1"/>
  <c r="U1808" i="1"/>
  <c r="BE1808" i="1"/>
  <c r="CC1808" i="1"/>
  <c r="CD1808" i="1"/>
  <c r="A1809" i="1"/>
  <c r="C1809" i="1"/>
  <c r="S1809" i="1"/>
  <c r="T1809" i="1"/>
  <c r="U1809" i="1"/>
  <c r="BE1809" i="1"/>
  <c r="CC1809" i="1"/>
  <c r="CD1809" i="1"/>
  <c r="A1810" i="1"/>
  <c r="C1810" i="1"/>
  <c r="S1810" i="1"/>
  <c r="T1810" i="1"/>
  <c r="U1810" i="1"/>
  <c r="BE1810" i="1"/>
  <c r="CC1810" i="1"/>
  <c r="CD1810" i="1"/>
  <c r="A1811" i="1"/>
  <c r="C1811" i="1"/>
  <c r="S1811" i="1"/>
  <c r="T1811" i="1"/>
  <c r="U1811" i="1"/>
  <c r="BE1811" i="1"/>
  <c r="CC1811" i="1"/>
  <c r="CD1811" i="1"/>
  <c r="A1812" i="1"/>
  <c r="C1812" i="1"/>
  <c r="S1812" i="1"/>
  <c r="T1812" i="1"/>
  <c r="U1812" i="1"/>
  <c r="BE1812" i="1"/>
  <c r="CC1812" i="1"/>
  <c r="CD1812" i="1"/>
  <c r="A1813" i="1"/>
  <c r="C1813" i="1"/>
  <c r="S1813" i="1"/>
  <c r="T1813" i="1"/>
  <c r="U1813" i="1"/>
  <c r="BE1813" i="1"/>
  <c r="CC1813" i="1"/>
  <c r="CD1813" i="1"/>
  <c r="A1814" i="1"/>
  <c r="C1814" i="1"/>
  <c r="S1814" i="1"/>
  <c r="T1814" i="1"/>
  <c r="U1814" i="1"/>
  <c r="BE1814" i="1"/>
  <c r="CC1814" i="1"/>
  <c r="CD1814" i="1"/>
  <c r="A1815" i="1"/>
  <c r="C1815" i="1"/>
  <c r="S1815" i="1"/>
  <c r="T1815" i="1"/>
  <c r="U1815" i="1"/>
  <c r="BE1815" i="1"/>
  <c r="CC1815" i="1"/>
  <c r="CD1815" i="1"/>
  <c r="A1816" i="1"/>
  <c r="C1816" i="1"/>
  <c r="S1816" i="1"/>
  <c r="T1816" i="1"/>
  <c r="U1816" i="1"/>
  <c r="BE1816" i="1"/>
  <c r="CC1816" i="1"/>
  <c r="CD1816" i="1"/>
  <c r="A1817" i="1"/>
  <c r="C1817" i="1"/>
  <c r="S1817" i="1"/>
  <c r="T1817" i="1"/>
  <c r="U1817" i="1"/>
  <c r="BE1817" i="1"/>
  <c r="CC1817" i="1"/>
  <c r="CD1817" i="1"/>
  <c r="A1818" i="1"/>
  <c r="C1818" i="1"/>
  <c r="S1818" i="1"/>
  <c r="T1818" i="1"/>
  <c r="U1818" i="1"/>
  <c r="BE1818" i="1"/>
  <c r="CC1818" i="1"/>
  <c r="CD1818" i="1"/>
  <c r="A1819" i="1"/>
  <c r="C1819" i="1"/>
  <c r="S1819" i="1"/>
  <c r="T1819" i="1"/>
  <c r="U1819" i="1"/>
  <c r="BE1819" i="1"/>
  <c r="CC1819" i="1"/>
  <c r="CD1819" i="1"/>
  <c r="A1820" i="1"/>
  <c r="C1820" i="1"/>
  <c r="S1820" i="1"/>
  <c r="T1820" i="1"/>
  <c r="U1820" i="1"/>
  <c r="BE1820" i="1"/>
  <c r="CC1820" i="1"/>
  <c r="CD1820" i="1"/>
  <c r="A1821" i="1"/>
  <c r="C1821" i="1"/>
  <c r="S1821" i="1"/>
  <c r="T1821" i="1"/>
  <c r="U1821" i="1"/>
  <c r="BE1821" i="1"/>
  <c r="CC1821" i="1"/>
  <c r="CD1821" i="1"/>
  <c r="A1822" i="1"/>
  <c r="C1822" i="1"/>
  <c r="S1822" i="1"/>
  <c r="T1822" i="1"/>
  <c r="U1822" i="1"/>
  <c r="BE1822" i="1"/>
  <c r="CC1822" i="1"/>
  <c r="CD1822" i="1"/>
  <c r="A1823" i="1"/>
  <c r="C1823" i="1"/>
  <c r="S1823" i="1"/>
  <c r="T1823" i="1"/>
  <c r="U1823" i="1"/>
  <c r="BE1823" i="1"/>
  <c r="CC1823" i="1"/>
  <c r="CD1823" i="1"/>
  <c r="A1824" i="1"/>
  <c r="C1824" i="1"/>
  <c r="S1824" i="1"/>
  <c r="T1824" i="1"/>
  <c r="U1824" i="1"/>
  <c r="BE1824" i="1"/>
  <c r="CC1824" i="1"/>
  <c r="CD1824" i="1"/>
  <c r="A1825" i="1"/>
  <c r="C1825" i="1"/>
  <c r="S1825" i="1"/>
  <c r="T1825" i="1"/>
  <c r="U1825" i="1"/>
  <c r="BE1825" i="1"/>
  <c r="CC1825" i="1"/>
  <c r="CD1825" i="1"/>
  <c r="A1826" i="1"/>
  <c r="C1826" i="1"/>
  <c r="S1826" i="1"/>
  <c r="T1826" i="1"/>
  <c r="U1826" i="1"/>
  <c r="BE1826" i="1"/>
  <c r="CC1826" i="1"/>
  <c r="CD1826" i="1"/>
  <c r="A1827" i="1"/>
  <c r="C1827" i="1"/>
  <c r="S1827" i="1"/>
  <c r="T1827" i="1"/>
  <c r="U1827" i="1"/>
  <c r="BE1827" i="1"/>
  <c r="CC1827" i="1"/>
  <c r="CD1827" i="1"/>
  <c r="A1828" i="1"/>
  <c r="C1828" i="1"/>
  <c r="S1828" i="1"/>
  <c r="T1828" i="1"/>
  <c r="U1828" i="1"/>
  <c r="BE1828" i="1"/>
  <c r="CC1828" i="1"/>
  <c r="CD1828" i="1"/>
  <c r="A1829" i="1"/>
  <c r="C1829" i="1"/>
  <c r="S1829" i="1"/>
  <c r="T1829" i="1"/>
  <c r="U1829" i="1"/>
  <c r="BE1829" i="1"/>
  <c r="CC1829" i="1"/>
  <c r="CD1829" i="1"/>
  <c r="A1830" i="1"/>
  <c r="C1830" i="1"/>
  <c r="S1830" i="1"/>
  <c r="T1830" i="1"/>
  <c r="U1830" i="1"/>
  <c r="BE1830" i="1"/>
  <c r="CC1830" i="1"/>
  <c r="CD1830" i="1"/>
  <c r="A1831" i="1"/>
  <c r="C1831" i="1"/>
  <c r="S1831" i="1"/>
  <c r="T1831" i="1"/>
  <c r="U1831" i="1"/>
  <c r="BE1831" i="1"/>
  <c r="CC1831" i="1"/>
  <c r="CD1831" i="1"/>
  <c r="A1832" i="1"/>
  <c r="C1832" i="1"/>
  <c r="S1832" i="1"/>
  <c r="T1832" i="1"/>
  <c r="U1832" i="1"/>
  <c r="BE1832" i="1"/>
  <c r="CC1832" i="1"/>
  <c r="CD1832" i="1"/>
  <c r="A1833" i="1"/>
  <c r="C1833" i="1"/>
  <c r="S1833" i="1"/>
  <c r="T1833" i="1"/>
  <c r="U1833" i="1"/>
  <c r="BE1833" i="1"/>
  <c r="CC1833" i="1"/>
  <c r="CD1833" i="1"/>
  <c r="A1834" i="1"/>
  <c r="C1834" i="1"/>
  <c r="S1834" i="1"/>
  <c r="T1834" i="1"/>
  <c r="U1834" i="1"/>
  <c r="BE1834" i="1"/>
  <c r="CC1834" i="1"/>
  <c r="CD1834" i="1"/>
  <c r="A1835" i="1"/>
  <c r="C1835" i="1"/>
  <c r="S1835" i="1"/>
  <c r="T1835" i="1"/>
  <c r="U1835" i="1"/>
  <c r="BE1835" i="1"/>
  <c r="CC1835" i="1"/>
  <c r="CD1835" i="1"/>
  <c r="A1836" i="1"/>
  <c r="C1836" i="1"/>
  <c r="S1836" i="1"/>
  <c r="T1836" i="1"/>
  <c r="U1836" i="1"/>
  <c r="BE1836" i="1"/>
  <c r="CC1836" i="1"/>
  <c r="CD1836" i="1"/>
  <c r="A1837" i="1"/>
  <c r="C1837" i="1"/>
  <c r="S1837" i="1"/>
  <c r="T1837" i="1"/>
  <c r="U1837" i="1"/>
  <c r="BE1837" i="1"/>
  <c r="CC1837" i="1"/>
  <c r="CD1837" i="1"/>
  <c r="A1838" i="1"/>
  <c r="C1838" i="1"/>
  <c r="S1838" i="1"/>
  <c r="T1838" i="1"/>
  <c r="U1838" i="1"/>
  <c r="BE1838" i="1"/>
  <c r="CC1838" i="1"/>
  <c r="CD1838" i="1"/>
  <c r="A1839" i="1"/>
  <c r="C1839" i="1"/>
  <c r="S1839" i="1"/>
  <c r="T1839" i="1"/>
  <c r="U1839" i="1"/>
  <c r="BE1839" i="1"/>
  <c r="CC1839" i="1"/>
  <c r="CD1839" i="1"/>
  <c r="A1840" i="1"/>
  <c r="C1840" i="1"/>
  <c r="S1840" i="1"/>
  <c r="T1840" i="1"/>
  <c r="U1840" i="1"/>
  <c r="BE1840" i="1"/>
  <c r="CC1840" i="1"/>
  <c r="CD1840" i="1"/>
  <c r="A1841" i="1"/>
  <c r="C1841" i="1"/>
  <c r="S1841" i="1"/>
  <c r="T1841" i="1"/>
  <c r="U1841" i="1"/>
  <c r="BE1841" i="1"/>
  <c r="CC1841" i="1"/>
  <c r="CD1841" i="1"/>
  <c r="A1842" i="1"/>
  <c r="C1842" i="1"/>
  <c r="S1842" i="1"/>
  <c r="T1842" i="1"/>
  <c r="U1842" i="1"/>
  <c r="BE1842" i="1"/>
  <c r="CC1842" i="1"/>
  <c r="CD1842" i="1"/>
  <c r="A1843" i="1"/>
  <c r="C1843" i="1"/>
  <c r="S1843" i="1"/>
  <c r="T1843" i="1"/>
  <c r="U1843" i="1"/>
  <c r="BE1843" i="1"/>
  <c r="CC1843" i="1"/>
  <c r="CD1843" i="1"/>
  <c r="A1844" i="1"/>
  <c r="C1844" i="1"/>
  <c r="S1844" i="1"/>
  <c r="T1844" i="1"/>
  <c r="U1844" i="1"/>
  <c r="BE1844" i="1"/>
  <c r="CC1844" i="1"/>
  <c r="CD1844" i="1"/>
  <c r="A1845" i="1"/>
  <c r="C1845" i="1"/>
  <c r="S1845" i="1"/>
  <c r="T1845" i="1"/>
  <c r="U1845" i="1"/>
  <c r="BE1845" i="1"/>
  <c r="CC1845" i="1"/>
  <c r="CD1845" i="1"/>
  <c r="A1846" i="1"/>
  <c r="C1846" i="1"/>
  <c r="S1846" i="1"/>
  <c r="T1846" i="1"/>
  <c r="U1846" i="1"/>
  <c r="BE1846" i="1"/>
  <c r="CC1846" i="1"/>
  <c r="CD1846" i="1"/>
  <c r="A1847" i="1"/>
  <c r="C1847" i="1"/>
  <c r="S1847" i="1"/>
  <c r="T1847" i="1"/>
  <c r="U1847" i="1"/>
  <c r="BE1847" i="1"/>
  <c r="CC1847" i="1"/>
  <c r="CD1847" i="1"/>
  <c r="A1848" i="1"/>
  <c r="C1848" i="1"/>
  <c r="S1848" i="1"/>
  <c r="T1848" i="1"/>
  <c r="U1848" i="1"/>
  <c r="BE1848" i="1"/>
  <c r="CC1848" i="1"/>
  <c r="CD1848" i="1"/>
  <c r="A1849" i="1"/>
  <c r="C1849" i="1"/>
  <c r="S1849" i="1"/>
  <c r="T1849" i="1"/>
  <c r="U1849" i="1"/>
  <c r="BE1849" i="1"/>
  <c r="CC1849" i="1"/>
  <c r="CD1849" i="1"/>
  <c r="A1850" i="1"/>
  <c r="C1850" i="1"/>
  <c r="S1850" i="1"/>
  <c r="T1850" i="1"/>
  <c r="U1850" i="1"/>
  <c r="BE1850" i="1"/>
  <c r="CC1850" i="1"/>
  <c r="CD1850" i="1"/>
  <c r="A1851" i="1"/>
  <c r="C1851" i="1"/>
  <c r="S1851" i="1"/>
  <c r="T1851" i="1"/>
  <c r="U1851" i="1"/>
  <c r="BE1851" i="1"/>
  <c r="CC1851" i="1"/>
  <c r="CD1851" i="1"/>
  <c r="A1852" i="1"/>
  <c r="C1852" i="1"/>
  <c r="S1852" i="1"/>
  <c r="T1852" i="1"/>
  <c r="U1852" i="1"/>
  <c r="BE1852" i="1"/>
  <c r="CC1852" i="1"/>
  <c r="CD1852" i="1"/>
  <c r="A1853" i="1"/>
  <c r="C1853" i="1"/>
  <c r="S1853" i="1"/>
  <c r="T1853" i="1"/>
  <c r="U1853" i="1"/>
  <c r="BE1853" i="1"/>
  <c r="CC1853" i="1"/>
  <c r="CD1853" i="1"/>
  <c r="A1854" i="1"/>
  <c r="C1854" i="1"/>
  <c r="S1854" i="1"/>
  <c r="T1854" i="1"/>
  <c r="U1854" i="1"/>
  <c r="BE1854" i="1"/>
  <c r="CC1854" i="1"/>
  <c r="CD1854" i="1"/>
  <c r="A1855" i="1"/>
  <c r="C1855" i="1"/>
  <c r="S1855" i="1"/>
  <c r="T1855" i="1"/>
  <c r="U1855" i="1"/>
  <c r="BE1855" i="1"/>
  <c r="CC1855" i="1"/>
  <c r="CD1855" i="1"/>
  <c r="A1856" i="1"/>
  <c r="C1856" i="1"/>
  <c r="S1856" i="1"/>
  <c r="T1856" i="1"/>
  <c r="U1856" i="1"/>
  <c r="BE1856" i="1"/>
  <c r="CC1856" i="1"/>
  <c r="CD1856" i="1"/>
  <c r="A1857" i="1"/>
  <c r="C1857" i="1"/>
  <c r="S1857" i="1"/>
  <c r="T1857" i="1"/>
  <c r="U1857" i="1"/>
  <c r="BE1857" i="1"/>
  <c r="CC1857" i="1"/>
  <c r="CD1857" i="1"/>
  <c r="A1858" i="1"/>
  <c r="C1858" i="1"/>
  <c r="S1858" i="1"/>
  <c r="T1858" i="1"/>
  <c r="U1858" i="1"/>
  <c r="BE1858" i="1"/>
  <c r="CC1858" i="1"/>
  <c r="CD1858" i="1"/>
  <c r="A1859" i="1"/>
  <c r="C1859" i="1"/>
  <c r="S1859" i="1"/>
  <c r="T1859" i="1"/>
  <c r="U1859" i="1"/>
  <c r="BE1859" i="1"/>
  <c r="CC1859" i="1"/>
  <c r="CD1859" i="1"/>
  <c r="A1860" i="1"/>
  <c r="C1860" i="1"/>
  <c r="S1860" i="1"/>
  <c r="T1860" i="1"/>
  <c r="U1860" i="1"/>
  <c r="BE1860" i="1"/>
  <c r="CC1860" i="1"/>
  <c r="CD1860" i="1"/>
  <c r="A1861" i="1"/>
  <c r="C1861" i="1"/>
  <c r="S1861" i="1"/>
  <c r="T1861" i="1"/>
  <c r="U1861" i="1"/>
  <c r="BE1861" i="1"/>
  <c r="CC1861" i="1"/>
  <c r="CD1861" i="1"/>
  <c r="A1862" i="1"/>
  <c r="C1862" i="1"/>
  <c r="S1862" i="1"/>
  <c r="T1862" i="1"/>
  <c r="U1862" i="1"/>
  <c r="BE1862" i="1"/>
  <c r="CC1862" i="1"/>
  <c r="CD1862" i="1"/>
  <c r="A1863" i="1"/>
  <c r="C1863" i="1"/>
  <c r="S1863" i="1"/>
  <c r="T1863" i="1"/>
  <c r="U1863" i="1"/>
  <c r="BE1863" i="1"/>
  <c r="CC1863" i="1"/>
  <c r="CD1863" i="1"/>
  <c r="A1864" i="1"/>
  <c r="C1864" i="1"/>
  <c r="S1864" i="1"/>
  <c r="T1864" i="1"/>
  <c r="U1864" i="1"/>
  <c r="BE1864" i="1"/>
  <c r="CC1864" i="1"/>
  <c r="CD1864" i="1"/>
  <c r="A1865" i="1"/>
  <c r="C1865" i="1"/>
  <c r="S1865" i="1"/>
  <c r="T1865" i="1"/>
  <c r="U1865" i="1"/>
  <c r="BE1865" i="1"/>
  <c r="CC1865" i="1"/>
  <c r="CD1865" i="1"/>
  <c r="A1866" i="1"/>
  <c r="C1866" i="1"/>
  <c r="S1866" i="1"/>
  <c r="T1866" i="1"/>
  <c r="U1866" i="1"/>
  <c r="BE1866" i="1"/>
  <c r="CC1866" i="1"/>
  <c r="CD1866" i="1"/>
  <c r="A1867" i="1"/>
  <c r="C1867" i="1"/>
  <c r="S1867" i="1"/>
  <c r="T1867" i="1"/>
  <c r="U1867" i="1"/>
  <c r="BE1867" i="1"/>
  <c r="CC1867" i="1"/>
  <c r="CD1867" i="1"/>
  <c r="A1868" i="1"/>
  <c r="C1868" i="1"/>
  <c r="S1868" i="1"/>
  <c r="T1868" i="1"/>
  <c r="U1868" i="1"/>
  <c r="BE1868" i="1"/>
  <c r="CC1868" i="1"/>
  <c r="CD1868" i="1"/>
  <c r="A1869" i="1"/>
  <c r="C1869" i="1"/>
  <c r="S1869" i="1"/>
  <c r="T1869" i="1"/>
  <c r="U1869" i="1"/>
  <c r="BE1869" i="1"/>
  <c r="CC1869" i="1"/>
  <c r="CD1869" i="1"/>
  <c r="A1870" i="1"/>
  <c r="C1870" i="1"/>
  <c r="S1870" i="1"/>
  <c r="T1870" i="1"/>
  <c r="U1870" i="1"/>
  <c r="BE1870" i="1"/>
  <c r="CC1870" i="1"/>
  <c r="CD1870" i="1"/>
  <c r="A1871" i="1"/>
  <c r="C1871" i="1"/>
  <c r="S1871" i="1"/>
  <c r="T1871" i="1"/>
  <c r="U1871" i="1"/>
  <c r="BE1871" i="1"/>
  <c r="CC1871" i="1"/>
  <c r="CD1871" i="1"/>
  <c r="A1872" i="1"/>
  <c r="C1872" i="1"/>
  <c r="S1872" i="1"/>
  <c r="T1872" i="1"/>
  <c r="U1872" i="1"/>
  <c r="BE1872" i="1"/>
  <c r="CC1872" i="1"/>
  <c r="CD1872" i="1"/>
  <c r="A1873" i="1"/>
  <c r="C1873" i="1"/>
  <c r="S1873" i="1"/>
  <c r="T1873" i="1"/>
  <c r="U1873" i="1"/>
  <c r="BE1873" i="1"/>
  <c r="CC1873" i="1"/>
  <c r="CD1873" i="1"/>
  <c r="A1874" i="1"/>
  <c r="C1874" i="1"/>
  <c r="S1874" i="1"/>
  <c r="T1874" i="1"/>
  <c r="U1874" i="1"/>
  <c r="BE1874" i="1"/>
  <c r="CC1874" i="1"/>
  <c r="CD1874" i="1"/>
  <c r="A1875" i="1"/>
  <c r="C1875" i="1"/>
  <c r="S1875" i="1"/>
  <c r="T1875" i="1"/>
  <c r="U1875" i="1"/>
  <c r="BE1875" i="1"/>
  <c r="CC1875" i="1"/>
  <c r="CD1875" i="1"/>
  <c r="A1876" i="1"/>
  <c r="C1876" i="1"/>
  <c r="S1876" i="1"/>
  <c r="T1876" i="1"/>
  <c r="U1876" i="1"/>
  <c r="BE1876" i="1"/>
  <c r="CC1876" i="1"/>
  <c r="CD1876" i="1"/>
  <c r="A1877" i="1"/>
  <c r="C1877" i="1"/>
  <c r="S1877" i="1"/>
  <c r="T1877" i="1"/>
  <c r="U1877" i="1"/>
  <c r="BE1877" i="1"/>
  <c r="CC1877" i="1"/>
  <c r="CD1877" i="1"/>
  <c r="A1878" i="1"/>
  <c r="C1878" i="1"/>
  <c r="S1878" i="1"/>
  <c r="T1878" i="1"/>
  <c r="U1878" i="1"/>
  <c r="BE1878" i="1"/>
  <c r="CC1878" i="1"/>
  <c r="CD1878" i="1"/>
  <c r="A1879" i="1"/>
  <c r="C1879" i="1"/>
  <c r="S1879" i="1"/>
  <c r="T1879" i="1"/>
  <c r="U1879" i="1"/>
  <c r="BE1879" i="1"/>
  <c r="CC1879" i="1"/>
  <c r="CD1879" i="1"/>
  <c r="A1880" i="1"/>
  <c r="C1880" i="1"/>
  <c r="S1880" i="1"/>
  <c r="T1880" i="1"/>
  <c r="U1880" i="1"/>
  <c r="BE1880" i="1"/>
  <c r="CC1880" i="1"/>
  <c r="CD1880" i="1"/>
  <c r="A1881" i="1"/>
  <c r="C1881" i="1"/>
  <c r="S1881" i="1"/>
  <c r="T1881" i="1"/>
  <c r="U1881" i="1"/>
  <c r="BE1881" i="1"/>
  <c r="CC1881" i="1"/>
  <c r="CD1881" i="1"/>
  <c r="A1882" i="1"/>
  <c r="C1882" i="1"/>
  <c r="S1882" i="1"/>
  <c r="T1882" i="1"/>
  <c r="U1882" i="1"/>
  <c r="BE1882" i="1"/>
  <c r="CC1882" i="1"/>
  <c r="CD1882" i="1"/>
  <c r="A1883" i="1"/>
  <c r="C1883" i="1"/>
  <c r="S1883" i="1"/>
  <c r="T1883" i="1"/>
  <c r="U1883" i="1"/>
  <c r="BE1883" i="1"/>
  <c r="CC1883" i="1"/>
  <c r="CD1883" i="1"/>
  <c r="A1884" i="1"/>
  <c r="C1884" i="1"/>
  <c r="S1884" i="1"/>
  <c r="T1884" i="1"/>
  <c r="U1884" i="1"/>
  <c r="BE1884" i="1"/>
  <c r="CC1884" i="1"/>
  <c r="CD1884" i="1"/>
  <c r="A1885" i="1"/>
  <c r="C1885" i="1"/>
  <c r="S1885" i="1"/>
  <c r="T1885" i="1"/>
  <c r="U1885" i="1"/>
  <c r="BE1885" i="1"/>
  <c r="CC1885" i="1"/>
  <c r="CD1885" i="1"/>
  <c r="A1886" i="1"/>
  <c r="C1886" i="1"/>
  <c r="S1886" i="1"/>
  <c r="T1886" i="1"/>
  <c r="U1886" i="1"/>
  <c r="BE1886" i="1"/>
  <c r="CC1886" i="1"/>
  <c r="CD1886" i="1"/>
  <c r="A1887" i="1"/>
  <c r="C1887" i="1"/>
  <c r="S1887" i="1"/>
  <c r="T1887" i="1"/>
  <c r="U1887" i="1"/>
  <c r="BE1887" i="1"/>
  <c r="CC1887" i="1"/>
  <c r="CD1887" i="1"/>
  <c r="A1888" i="1"/>
  <c r="C1888" i="1"/>
  <c r="S1888" i="1"/>
  <c r="T1888" i="1"/>
  <c r="U1888" i="1"/>
  <c r="BE1888" i="1"/>
  <c r="CC1888" i="1"/>
  <c r="CD1888" i="1"/>
  <c r="A1889" i="1"/>
  <c r="C1889" i="1"/>
  <c r="S1889" i="1"/>
  <c r="T1889" i="1"/>
  <c r="U1889" i="1"/>
  <c r="BE1889" i="1"/>
  <c r="CC1889" i="1"/>
  <c r="CD1889" i="1"/>
  <c r="A1890" i="1"/>
  <c r="C1890" i="1"/>
  <c r="S1890" i="1"/>
  <c r="T1890" i="1"/>
  <c r="U1890" i="1"/>
  <c r="BE1890" i="1"/>
  <c r="CC1890" i="1"/>
  <c r="CD1890" i="1"/>
  <c r="A1891" i="1"/>
  <c r="C1891" i="1"/>
  <c r="S1891" i="1"/>
  <c r="T1891" i="1"/>
  <c r="U1891" i="1"/>
  <c r="BE1891" i="1"/>
  <c r="CC1891" i="1"/>
  <c r="CD1891" i="1"/>
  <c r="A1892" i="1"/>
  <c r="C1892" i="1"/>
  <c r="S1892" i="1"/>
  <c r="T1892" i="1"/>
  <c r="U1892" i="1"/>
  <c r="BE1892" i="1"/>
  <c r="CC1892" i="1"/>
  <c r="CD1892" i="1"/>
  <c r="A1893" i="1"/>
  <c r="C1893" i="1"/>
  <c r="S1893" i="1"/>
  <c r="T1893" i="1"/>
  <c r="U1893" i="1"/>
  <c r="BE1893" i="1"/>
  <c r="CC1893" i="1"/>
  <c r="CD1893" i="1"/>
  <c r="A1894" i="1"/>
  <c r="C1894" i="1"/>
  <c r="S1894" i="1"/>
  <c r="T1894" i="1"/>
  <c r="U1894" i="1"/>
  <c r="BE1894" i="1"/>
  <c r="CC1894" i="1"/>
  <c r="CD1894" i="1"/>
  <c r="A1895" i="1"/>
  <c r="C1895" i="1"/>
  <c r="S1895" i="1"/>
  <c r="T1895" i="1"/>
  <c r="U1895" i="1"/>
  <c r="BE1895" i="1"/>
  <c r="CC1895" i="1"/>
  <c r="CD1895" i="1"/>
  <c r="A1896" i="1"/>
  <c r="C1896" i="1"/>
  <c r="S1896" i="1"/>
  <c r="T1896" i="1"/>
  <c r="U1896" i="1"/>
  <c r="BE1896" i="1"/>
  <c r="CC1896" i="1"/>
  <c r="CD1896" i="1"/>
  <c r="A1897" i="1"/>
  <c r="C1897" i="1"/>
  <c r="S1897" i="1"/>
  <c r="T1897" i="1"/>
  <c r="U1897" i="1"/>
  <c r="BE1897" i="1"/>
  <c r="CC1897" i="1"/>
  <c r="CD1897" i="1"/>
  <c r="A1898" i="1"/>
  <c r="C1898" i="1"/>
  <c r="S1898" i="1"/>
  <c r="T1898" i="1"/>
  <c r="U1898" i="1"/>
  <c r="BE1898" i="1"/>
  <c r="CC1898" i="1"/>
  <c r="CD1898" i="1"/>
  <c r="A1899" i="1"/>
  <c r="C1899" i="1"/>
  <c r="S1899" i="1"/>
  <c r="T1899" i="1"/>
  <c r="U1899" i="1"/>
  <c r="BE1899" i="1"/>
  <c r="CC1899" i="1"/>
  <c r="CD1899" i="1"/>
  <c r="A1900" i="1"/>
  <c r="C1900" i="1"/>
  <c r="S1900" i="1"/>
  <c r="T1900" i="1"/>
  <c r="U1900" i="1"/>
  <c r="BE1900" i="1"/>
  <c r="CC1900" i="1"/>
  <c r="CD1900" i="1"/>
  <c r="A1901" i="1"/>
  <c r="C1901" i="1"/>
  <c r="S1901" i="1"/>
  <c r="T1901" i="1"/>
  <c r="U1901" i="1"/>
  <c r="BE1901" i="1"/>
  <c r="CC1901" i="1"/>
  <c r="CD1901" i="1"/>
  <c r="A1902" i="1"/>
  <c r="C1902" i="1"/>
  <c r="S1902" i="1"/>
  <c r="T1902" i="1"/>
  <c r="U1902" i="1"/>
  <c r="BE1902" i="1"/>
  <c r="CC1902" i="1"/>
  <c r="CD1902" i="1"/>
  <c r="A1903" i="1"/>
  <c r="C1903" i="1"/>
  <c r="S1903" i="1"/>
  <c r="T1903" i="1"/>
  <c r="U1903" i="1"/>
  <c r="BE1903" i="1"/>
  <c r="CC1903" i="1"/>
  <c r="CD1903" i="1"/>
  <c r="A1904" i="1"/>
  <c r="C1904" i="1"/>
  <c r="S1904" i="1"/>
  <c r="T1904" i="1"/>
  <c r="U1904" i="1"/>
  <c r="BE1904" i="1"/>
  <c r="CC1904" i="1"/>
  <c r="CD1904" i="1"/>
  <c r="A1905" i="1"/>
  <c r="C1905" i="1"/>
  <c r="S1905" i="1"/>
  <c r="T1905" i="1"/>
  <c r="U1905" i="1"/>
  <c r="BE1905" i="1"/>
  <c r="CC1905" i="1"/>
  <c r="CD1905" i="1"/>
  <c r="A1906" i="1"/>
  <c r="C1906" i="1"/>
  <c r="S1906" i="1"/>
  <c r="T1906" i="1"/>
  <c r="U1906" i="1"/>
  <c r="BE1906" i="1"/>
  <c r="CC1906" i="1"/>
  <c r="CD1906" i="1"/>
  <c r="A1907" i="1"/>
  <c r="C1907" i="1"/>
  <c r="S1907" i="1"/>
  <c r="T1907" i="1"/>
  <c r="U1907" i="1"/>
  <c r="BE1907" i="1"/>
  <c r="CC1907" i="1"/>
  <c r="CD1907" i="1"/>
  <c r="A1908" i="1"/>
  <c r="C1908" i="1"/>
  <c r="S1908" i="1"/>
  <c r="T1908" i="1"/>
  <c r="U1908" i="1"/>
  <c r="BE1908" i="1"/>
  <c r="CC1908" i="1"/>
  <c r="CD1908" i="1"/>
  <c r="A1909" i="1"/>
  <c r="C1909" i="1"/>
  <c r="S1909" i="1"/>
  <c r="T1909" i="1"/>
  <c r="U1909" i="1"/>
  <c r="BE1909" i="1"/>
  <c r="CC1909" i="1"/>
  <c r="CD1909" i="1"/>
  <c r="A1910" i="1"/>
  <c r="C1910" i="1"/>
  <c r="S1910" i="1"/>
  <c r="T1910" i="1"/>
  <c r="U1910" i="1"/>
  <c r="BE1910" i="1"/>
  <c r="CC1910" i="1"/>
  <c r="CD1910" i="1"/>
  <c r="A1911" i="1"/>
  <c r="C1911" i="1"/>
  <c r="S1911" i="1"/>
  <c r="T1911" i="1"/>
  <c r="U1911" i="1"/>
  <c r="BE1911" i="1"/>
  <c r="CC1911" i="1"/>
  <c r="CD1911" i="1"/>
  <c r="A1912" i="1"/>
  <c r="C1912" i="1"/>
  <c r="S1912" i="1"/>
  <c r="T1912" i="1"/>
  <c r="U1912" i="1"/>
  <c r="BE1912" i="1"/>
  <c r="CC1912" i="1"/>
  <c r="CD1912" i="1"/>
  <c r="A1913" i="1"/>
  <c r="C1913" i="1"/>
  <c r="S1913" i="1"/>
  <c r="T1913" i="1"/>
  <c r="U1913" i="1"/>
  <c r="BE1913" i="1"/>
  <c r="CC1913" i="1"/>
  <c r="CD1913" i="1"/>
  <c r="A1914" i="1"/>
  <c r="C1914" i="1"/>
  <c r="S1914" i="1"/>
  <c r="T1914" i="1"/>
  <c r="U1914" i="1"/>
  <c r="BE1914" i="1"/>
  <c r="CC1914" i="1"/>
  <c r="CD1914" i="1"/>
  <c r="A1915" i="1"/>
  <c r="C1915" i="1"/>
  <c r="S1915" i="1"/>
  <c r="T1915" i="1"/>
  <c r="U1915" i="1"/>
  <c r="BE1915" i="1"/>
  <c r="CC1915" i="1"/>
  <c r="CD1915" i="1"/>
  <c r="A1916" i="1"/>
  <c r="C1916" i="1"/>
  <c r="S1916" i="1"/>
  <c r="T1916" i="1"/>
  <c r="U1916" i="1"/>
  <c r="BE1916" i="1"/>
  <c r="CC1916" i="1"/>
  <c r="CD1916" i="1"/>
  <c r="A1917" i="1"/>
  <c r="C1917" i="1"/>
  <c r="S1917" i="1"/>
  <c r="T1917" i="1"/>
  <c r="U1917" i="1"/>
  <c r="BE1917" i="1"/>
  <c r="CC1917" i="1"/>
  <c r="CD1917" i="1"/>
  <c r="A1918" i="1"/>
  <c r="C1918" i="1"/>
  <c r="S1918" i="1"/>
  <c r="T1918" i="1"/>
  <c r="U1918" i="1"/>
  <c r="BE1918" i="1"/>
  <c r="CC1918" i="1"/>
  <c r="CD1918" i="1"/>
  <c r="A1919" i="1"/>
  <c r="C1919" i="1"/>
  <c r="S1919" i="1"/>
  <c r="T1919" i="1"/>
  <c r="U1919" i="1"/>
  <c r="BE1919" i="1"/>
  <c r="CC1919" i="1"/>
  <c r="CD1919" i="1"/>
  <c r="A1920" i="1"/>
  <c r="C1920" i="1"/>
  <c r="S1920" i="1"/>
  <c r="T1920" i="1"/>
  <c r="U1920" i="1"/>
  <c r="BE1920" i="1"/>
  <c r="CC1920" i="1"/>
  <c r="CD1920" i="1"/>
  <c r="A1921" i="1"/>
  <c r="C1921" i="1"/>
  <c r="S1921" i="1"/>
  <c r="T1921" i="1"/>
  <c r="U1921" i="1"/>
  <c r="BE1921" i="1"/>
  <c r="CC1921" i="1"/>
  <c r="CD1921" i="1"/>
  <c r="A1922" i="1"/>
  <c r="C1922" i="1"/>
  <c r="S1922" i="1"/>
  <c r="T1922" i="1"/>
  <c r="U1922" i="1"/>
  <c r="BE1922" i="1"/>
  <c r="CC1922" i="1"/>
  <c r="CD1922" i="1"/>
  <c r="A1923" i="1"/>
  <c r="C1923" i="1"/>
  <c r="S1923" i="1"/>
  <c r="T1923" i="1"/>
  <c r="U1923" i="1"/>
  <c r="BE1923" i="1"/>
  <c r="CC1923" i="1"/>
  <c r="CD1923" i="1"/>
  <c r="A1924" i="1"/>
  <c r="C1924" i="1"/>
  <c r="S1924" i="1"/>
  <c r="T1924" i="1"/>
  <c r="U1924" i="1"/>
  <c r="BE1924" i="1"/>
  <c r="CC1924" i="1"/>
  <c r="CD1924" i="1"/>
  <c r="A1925" i="1"/>
  <c r="C1925" i="1"/>
  <c r="S1925" i="1"/>
  <c r="T1925" i="1"/>
  <c r="U1925" i="1"/>
  <c r="BE1925" i="1"/>
  <c r="CC1925" i="1"/>
  <c r="CD1925" i="1"/>
  <c r="A1926" i="1"/>
  <c r="C1926" i="1"/>
  <c r="S1926" i="1"/>
  <c r="T1926" i="1"/>
  <c r="U1926" i="1"/>
  <c r="BE1926" i="1"/>
  <c r="CC1926" i="1"/>
  <c r="CD1926" i="1"/>
  <c r="A1927" i="1"/>
  <c r="C1927" i="1"/>
  <c r="S1927" i="1"/>
  <c r="T1927" i="1"/>
  <c r="U1927" i="1"/>
  <c r="BE1927" i="1"/>
  <c r="CC1927" i="1"/>
  <c r="CD1927" i="1"/>
  <c r="A1928" i="1"/>
  <c r="C1928" i="1"/>
  <c r="S1928" i="1"/>
  <c r="T1928" i="1"/>
  <c r="U1928" i="1"/>
  <c r="BE1928" i="1"/>
  <c r="CC1928" i="1"/>
  <c r="CD1928" i="1"/>
  <c r="A1929" i="1"/>
  <c r="C1929" i="1"/>
  <c r="S1929" i="1"/>
  <c r="T1929" i="1"/>
  <c r="U1929" i="1"/>
  <c r="BE1929" i="1"/>
  <c r="CC1929" i="1"/>
  <c r="CD1929" i="1"/>
  <c r="A1930" i="1"/>
  <c r="C1930" i="1"/>
  <c r="S1930" i="1"/>
  <c r="T1930" i="1"/>
  <c r="U1930" i="1"/>
  <c r="BE1930" i="1"/>
  <c r="CC1930" i="1"/>
  <c r="CD1930" i="1"/>
  <c r="A1931" i="1"/>
  <c r="C1931" i="1"/>
  <c r="S1931" i="1"/>
  <c r="T1931" i="1"/>
  <c r="U1931" i="1"/>
  <c r="BE1931" i="1"/>
  <c r="CC1931" i="1"/>
  <c r="CD1931" i="1"/>
  <c r="A1932" i="1"/>
  <c r="C1932" i="1"/>
  <c r="S1932" i="1"/>
  <c r="T1932" i="1"/>
  <c r="U1932" i="1"/>
  <c r="BE1932" i="1"/>
  <c r="CC1932" i="1"/>
  <c r="CD1932" i="1"/>
  <c r="A1933" i="1"/>
  <c r="C1933" i="1"/>
  <c r="S1933" i="1"/>
  <c r="T1933" i="1"/>
  <c r="U1933" i="1"/>
  <c r="BE1933" i="1"/>
  <c r="CC1933" i="1"/>
  <c r="CD1933" i="1"/>
  <c r="A1934" i="1"/>
  <c r="C1934" i="1"/>
  <c r="S1934" i="1"/>
  <c r="T1934" i="1"/>
  <c r="U1934" i="1"/>
  <c r="BE1934" i="1"/>
  <c r="CC1934" i="1"/>
  <c r="CD1934" i="1"/>
  <c r="A1935" i="1"/>
  <c r="C1935" i="1"/>
  <c r="S1935" i="1"/>
  <c r="T1935" i="1"/>
  <c r="U1935" i="1"/>
  <c r="BE1935" i="1"/>
  <c r="CC1935" i="1"/>
  <c r="CD1935" i="1"/>
  <c r="A1936" i="1"/>
  <c r="C1936" i="1"/>
  <c r="S1936" i="1"/>
  <c r="T1936" i="1"/>
  <c r="U1936" i="1"/>
  <c r="BE1936" i="1"/>
  <c r="CC1936" i="1"/>
  <c r="CD1936" i="1"/>
  <c r="A1937" i="1"/>
  <c r="C1937" i="1"/>
  <c r="S1937" i="1"/>
  <c r="T1937" i="1"/>
  <c r="U1937" i="1"/>
  <c r="BE1937" i="1"/>
  <c r="CC1937" i="1"/>
  <c r="CD1937" i="1"/>
  <c r="A1938" i="1"/>
  <c r="C1938" i="1"/>
  <c r="S1938" i="1"/>
  <c r="T1938" i="1"/>
  <c r="U1938" i="1"/>
  <c r="BE1938" i="1"/>
  <c r="CC1938" i="1"/>
  <c r="CD1938" i="1"/>
  <c r="A1939" i="1"/>
  <c r="C1939" i="1"/>
  <c r="S1939" i="1"/>
  <c r="T1939" i="1"/>
  <c r="U1939" i="1"/>
  <c r="BE1939" i="1"/>
  <c r="CC1939" i="1"/>
  <c r="CD1939" i="1"/>
  <c r="A1940" i="1"/>
  <c r="C1940" i="1"/>
  <c r="S1940" i="1"/>
  <c r="T1940" i="1"/>
  <c r="U1940" i="1"/>
  <c r="BE1940" i="1"/>
  <c r="CC1940" i="1"/>
  <c r="CD1940" i="1"/>
  <c r="A1941" i="1"/>
  <c r="C1941" i="1"/>
  <c r="S1941" i="1"/>
  <c r="T1941" i="1"/>
  <c r="U1941" i="1"/>
  <c r="BE1941" i="1"/>
  <c r="CC1941" i="1"/>
  <c r="CD1941" i="1"/>
  <c r="A1942" i="1"/>
  <c r="C1942" i="1"/>
  <c r="S1942" i="1"/>
  <c r="T1942" i="1"/>
  <c r="U1942" i="1"/>
  <c r="BE1942" i="1"/>
  <c r="CC1942" i="1"/>
  <c r="CD1942" i="1"/>
  <c r="A1943" i="1"/>
  <c r="C1943" i="1"/>
  <c r="S1943" i="1"/>
  <c r="T1943" i="1"/>
  <c r="U1943" i="1"/>
  <c r="BE1943" i="1"/>
  <c r="CC1943" i="1"/>
  <c r="CD1943" i="1"/>
  <c r="A1944" i="1"/>
  <c r="C1944" i="1"/>
  <c r="S1944" i="1"/>
  <c r="T1944" i="1"/>
  <c r="U1944" i="1"/>
  <c r="BE1944" i="1"/>
  <c r="CC1944" i="1"/>
  <c r="CD1944" i="1"/>
  <c r="A1945" i="1"/>
  <c r="C1945" i="1"/>
  <c r="S1945" i="1"/>
  <c r="T1945" i="1"/>
  <c r="U1945" i="1"/>
  <c r="BE1945" i="1"/>
  <c r="CC1945" i="1"/>
  <c r="CD1945" i="1"/>
  <c r="A1946" i="1"/>
  <c r="C1946" i="1"/>
  <c r="S1946" i="1"/>
  <c r="T1946" i="1"/>
  <c r="U1946" i="1"/>
  <c r="BE1946" i="1"/>
  <c r="CC1946" i="1"/>
  <c r="CD1946" i="1"/>
  <c r="A1947" i="1"/>
  <c r="C1947" i="1"/>
  <c r="S1947" i="1"/>
  <c r="T1947" i="1"/>
  <c r="U1947" i="1"/>
  <c r="BE1947" i="1"/>
  <c r="CC1947" i="1"/>
  <c r="CD1947" i="1"/>
  <c r="A1948" i="1"/>
  <c r="C1948" i="1"/>
  <c r="S1948" i="1"/>
  <c r="T1948" i="1"/>
  <c r="U1948" i="1"/>
  <c r="BE1948" i="1"/>
  <c r="CC1948" i="1"/>
  <c r="CD1948" i="1"/>
  <c r="A1949" i="1"/>
  <c r="C1949" i="1"/>
  <c r="S1949" i="1"/>
  <c r="T1949" i="1"/>
  <c r="U1949" i="1"/>
  <c r="BE1949" i="1"/>
  <c r="CC1949" i="1"/>
  <c r="CD1949" i="1"/>
  <c r="A1950" i="1"/>
  <c r="C1950" i="1"/>
  <c r="S1950" i="1"/>
  <c r="T1950" i="1"/>
  <c r="U1950" i="1"/>
  <c r="BE1950" i="1"/>
  <c r="CC1950" i="1"/>
  <c r="CD1950" i="1"/>
  <c r="A1951" i="1"/>
  <c r="C1951" i="1"/>
  <c r="S1951" i="1"/>
  <c r="T1951" i="1"/>
  <c r="U1951" i="1"/>
  <c r="BE1951" i="1"/>
  <c r="CC1951" i="1"/>
  <c r="CD1951" i="1"/>
  <c r="A1952" i="1"/>
  <c r="C1952" i="1"/>
  <c r="S1952" i="1"/>
  <c r="T1952" i="1"/>
  <c r="U1952" i="1"/>
  <c r="BE1952" i="1"/>
  <c r="CC1952" i="1"/>
  <c r="CD1952" i="1"/>
  <c r="A1953" i="1"/>
  <c r="C1953" i="1"/>
  <c r="S1953" i="1"/>
  <c r="T1953" i="1"/>
  <c r="U1953" i="1"/>
  <c r="BE1953" i="1"/>
  <c r="CC1953" i="1"/>
  <c r="CD1953" i="1"/>
  <c r="A1954" i="1"/>
  <c r="C1954" i="1"/>
  <c r="S1954" i="1"/>
  <c r="T1954" i="1"/>
  <c r="U1954" i="1"/>
  <c r="BE1954" i="1"/>
  <c r="CC1954" i="1"/>
  <c r="CD1954" i="1"/>
  <c r="A1955" i="1"/>
  <c r="C1955" i="1"/>
  <c r="S1955" i="1"/>
  <c r="T1955" i="1"/>
  <c r="U1955" i="1"/>
  <c r="BE1955" i="1"/>
  <c r="CC1955" i="1"/>
  <c r="CD1955" i="1"/>
  <c r="A1956" i="1"/>
  <c r="C1956" i="1"/>
  <c r="S1956" i="1"/>
  <c r="T1956" i="1"/>
  <c r="U1956" i="1"/>
  <c r="BE1956" i="1"/>
  <c r="CC1956" i="1"/>
  <c r="CD1956" i="1"/>
  <c r="A1957" i="1"/>
  <c r="C1957" i="1"/>
  <c r="S1957" i="1"/>
  <c r="T1957" i="1"/>
  <c r="U1957" i="1"/>
  <c r="BE1957" i="1"/>
  <c r="CC1957" i="1"/>
  <c r="CD1957" i="1"/>
  <c r="A1958" i="1"/>
  <c r="C1958" i="1"/>
  <c r="S1958" i="1"/>
  <c r="T1958" i="1"/>
  <c r="U1958" i="1"/>
  <c r="BE1958" i="1"/>
  <c r="CC1958" i="1"/>
  <c r="CD1958" i="1"/>
  <c r="A1959" i="1"/>
  <c r="C1959" i="1"/>
  <c r="S1959" i="1"/>
  <c r="T1959" i="1"/>
  <c r="U1959" i="1"/>
  <c r="BE1959" i="1"/>
  <c r="CC1959" i="1"/>
  <c r="CD1959" i="1"/>
  <c r="A1960" i="1"/>
  <c r="C1960" i="1"/>
  <c r="S1960" i="1"/>
  <c r="T1960" i="1"/>
  <c r="U1960" i="1"/>
  <c r="BE1960" i="1"/>
  <c r="CC1960" i="1"/>
  <c r="CD1960" i="1"/>
  <c r="A1961" i="1"/>
  <c r="C1961" i="1"/>
  <c r="S1961" i="1"/>
  <c r="T1961" i="1"/>
  <c r="U1961" i="1"/>
  <c r="BE1961" i="1"/>
  <c r="CC1961" i="1"/>
  <c r="CD1961" i="1"/>
  <c r="A1962" i="1"/>
  <c r="C1962" i="1"/>
  <c r="S1962" i="1"/>
  <c r="T1962" i="1"/>
  <c r="U1962" i="1"/>
  <c r="BE1962" i="1"/>
  <c r="CC1962" i="1"/>
  <c r="CD1962" i="1"/>
  <c r="A1963" i="1"/>
  <c r="C1963" i="1"/>
  <c r="S1963" i="1"/>
  <c r="T1963" i="1"/>
  <c r="U1963" i="1"/>
  <c r="BE1963" i="1"/>
  <c r="CC1963" i="1"/>
  <c r="CD1963" i="1"/>
  <c r="A1964" i="1"/>
  <c r="C1964" i="1"/>
  <c r="S1964" i="1"/>
  <c r="T1964" i="1"/>
  <c r="U1964" i="1"/>
  <c r="BE1964" i="1"/>
  <c r="CC1964" i="1"/>
  <c r="CD1964" i="1"/>
  <c r="A1965" i="1"/>
  <c r="C1965" i="1"/>
  <c r="S1965" i="1"/>
  <c r="T1965" i="1"/>
  <c r="U1965" i="1"/>
  <c r="BE1965" i="1"/>
  <c r="CC1965" i="1"/>
  <c r="CD1965" i="1"/>
  <c r="A1966" i="1"/>
  <c r="C1966" i="1"/>
  <c r="S1966" i="1"/>
  <c r="T1966" i="1"/>
  <c r="U1966" i="1"/>
  <c r="BE1966" i="1"/>
  <c r="CC1966" i="1"/>
  <c r="CD1966" i="1"/>
  <c r="A1967" i="1"/>
  <c r="C1967" i="1"/>
  <c r="S1967" i="1"/>
  <c r="T1967" i="1"/>
  <c r="U1967" i="1"/>
  <c r="BE1967" i="1"/>
  <c r="CC1967" i="1"/>
  <c r="CD1967" i="1"/>
  <c r="A1968" i="1"/>
  <c r="C1968" i="1"/>
  <c r="S1968" i="1"/>
  <c r="T1968" i="1"/>
  <c r="U1968" i="1"/>
  <c r="BE1968" i="1"/>
  <c r="CC1968" i="1"/>
  <c r="CD1968" i="1"/>
  <c r="A1969" i="1"/>
  <c r="C1969" i="1"/>
  <c r="S1969" i="1"/>
  <c r="T1969" i="1"/>
  <c r="U1969" i="1"/>
  <c r="BE1969" i="1"/>
  <c r="CC1969" i="1"/>
  <c r="CD1969" i="1"/>
  <c r="A1970" i="1"/>
  <c r="C1970" i="1"/>
  <c r="S1970" i="1"/>
  <c r="T1970" i="1"/>
  <c r="U1970" i="1"/>
  <c r="BE1970" i="1"/>
  <c r="CC1970" i="1"/>
  <c r="CD1970" i="1"/>
  <c r="A1971" i="1"/>
  <c r="C1971" i="1"/>
  <c r="S1971" i="1"/>
  <c r="T1971" i="1"/>
  <c r="U1971" i="1"/>
  <c r="BE1971" i="1"/>
  <c r="CC1971" i="1"/>
  <c r="CD1971" i="1"/>
  <c r="A1972" i="1"/>
  <c r="C1972" i="1"/>
  <c r="S1972" i="1"/>
  <c r="T1972" i="1"/>
  <c r="U1972" i="1"/>
  <c r="BE1972" i="1"/>
  <c r="CC1972" i="1"/>
  <c r="CD1972" i="1"/>
  <c r="A1973" i="1"/>
  <c r="C1973" i="1"/>
  <c r="S1973" i="1"/>
  <c r="T1973" i="1"/>
  <c r="U1973" i="1"/>
  <c r="BE1973" i="1"/>
  <c r="CC1973" i="1"/>
  <c r="CD1973" i="1"/>
  <c r="A1974" i="1"/>
  <c r="C1974" i="1"/>
  <c r="S1974" i="1"/>
  <c r="T1974" i="1"/>
  <c r="U1974" i="1"/>
  <c r="BE1974" i="1"/>
  <c r="CC1974" i="1"/>
  <c r="CD1974" i="1"/>
  <c r="A1975" i="1"/>
  <c r="C1975" i="1"/>
  <c r="S1975" i="1"/>
  <c r="T1975" i="1"/>
  <c r="U1975" i="1"/>
  <c r="BE1975" i="1"/>
  <c r="CC1975" i="1"/>
  <c r="CD1975" i="1"/>
  <c r="A1976" i="1"/>
  <c r="C1976" i="1"/>
  <c r="S1976" i="1"/>
  <c r="T1976" i="1"/>
  <c r="U1976" i="1"/>
  <c r="BE1976" i="1"/>
  <c r="CC1976" i="1"/>
  <c r="CD1976" i="1"/>
  <c r="A1977" i="1"/>
  <c r="C1977" i="1"/>
  <c r="S1977" i="1"/>
  <c r="T1977" i="1"/>
  <c r="U1977" i="1"/>
  <c r="BE1977" i="1"/>
  <c r="CC1977" i="1"/>
  <c r="CD1977" i="1"/>
  <c r="A1978" i="1"/>
  <c r="C1978" i="1"/>
  <c r="S1978" i="1"/>
  <c r="T1978" i="1"/>
  <c r="U1978" i="1"/>
  <c r="BE1978" i="1"/>
  <c r="CC1978" i="1"/>
  <c r="CD1978" i="1"/>
  <c r="A1979" i="1"/>
  <c r="C1979" i="1"/>
  <c r="S1979" i="1"/>
  <c r="T1979" i="1"/>
  <c r="U1979" i="1"/>
  <c r="BE1979" i="1"/>
  <c r="CC1979" i="1"/>
  <c r="CD1979" i="1"/>
  <c r="A1980" i="1"/>
  <c r="C1980" i="1"/>
  <c r="S1980" i="1"/>
  <c r="T1980" i="1"/>
  <c r="U1980" i="1"/>
  <c r="BE1980" i="1"/>
  <c r="CC1980" i="1"/>
  <c r="CD1980" i="1"/>
  <c r="A1981" i="1"/>
  <c r="C1981" i="1"/>
  <c r="S1981" i="1"/>
  <c r="T1981" i="1"/>
  <c r="U1981" i="1"/>
  <c r="BE1981" i="1"/>
  <c r="CC1981" i="1"/>
  <c r="CD1981" i="1"/>
  <c r="A1982" i="1"/>
  <c r="C1982" i="1"/>
  <c r="S1982" i="1"/>
  <c r="T1982" i="1"/>
  <c r="U1982" i="1"/>
  <c r="BE1982" i="1"/>
  <c r="CC1982" i="1"/>
  <c r="CD1982" i="1"/>
  <c r="A1983" i="1"/>
  <c r="C1983" i="1"/>
  <c r="S1983" i="1"/>
  <c r="T1983" i="1"/>
  <c r="U1983" i="1"/>
  <c r="BE1983" i="1"/>
  <c r="CC1983" i="1"/>
  <c r="CD1983" i="1"/>
  <c r="A1984" i="1"/>
  <c r="C1984" i="1"/>
  <c r="S1984" i="1"/>
  <c r="T1984" i="1"/>
  <c r="U1984" i="1"/>
  <c r="BE1984" i="1"/>
  <c r="CC1984" i="1"/>
  <c r="CD1984" i="1"/>
  <c r="A1985" i="1"/>
  <c r="C1985" i="1"/>
  <c r="S1985" i="1"/>
  <c r="T1985" i="1"/>
  <c r="U1985" i="1"/>
  <c r="BE1985" i="1"/>
  <c r="CC1985" i="1"/>
  <c r="CD1985" i="1"/>
  <c r="A1986" i="1"/>
  <c r="C1986" i="1"/>
  <c r="S1986" i="1"/>
  <c r="T1986" i="1"/>
  <c r="U1986" i="1"/>
  <c r="BE1986" i="1"/>
  <c r="CC1986" i="1"/>
  <c r="CD1986" i="1"/>
  <c r="A1987" i="1"/>
  <c r="C1987" i="1"/>
  <c r="S1987" i="1"/>
  <c r="T1987" i="1"/>
  <c r="U1987" i="1"/>
  <c r="BE1987" i="1"/>
  <c r="CC1987" i="1"/>
  <c r="CD1987" i="1"/>
  <c r="A1988" i="1"/>
  <c r="C1988" i="1"/>
  <c r="S1988" i="1"/>
  <c r="T1988" i="1"/>
  <c r="U1988" i="1"/>
  <c r="BE1988" i="1"/>
  <c r="CC1988" i="1"/>
  <c r="CD1988" i="1"/>
  <c r="A1989" i="1"/>
  <c r="C1989" i="1"/>
  <c r="S1989" i="1"/>
  <c r="T1989" i="1"/>
  <c r="U1989" i="1"/>
  <c r="BE1989" i="1"/>
  <c r="CC1989" i="1"/>
  <c r="CD1989" i="1"/>
  <c r="A1990" i="1"/>
  <c r="C1990" i="1"/>
  <c r="S1990" i="1"/>
  <c r="T1990" i="1"/>
  <c r="U1990" i="1"/>
  <c r="BE1990" i="1"/>
  <c r="CC1990" i="1"/>
  <c r="CD1990" i="1"/>
  <c r="A1991" i="1"/>
  <c r="C1991" i="1"/>
  <c r="S1991" i="1"/>
  <c r="T1991" i="1"/>
  <c r="U1991" i="1"/>
  <c r="BE1991" i="1"/>
  <c r="CC1991" i="1"/>
  <c r="CD1991" i="1"/>
  <c r="A1992" i="1"/>
  <c r="C1992" i="1"/>
  <c r="S1992" i="1"/>
  <c r="T1992" i="1"/>
  <c r="U1992" i="1"/>
  <c r="BE1992" i="1"/>
  <c r="CC1992" i="1"/>
  <c r="CD1992" i="1"/>
  <c r="A1993" i="1"/>
  <c r="C1993" i="1"/>
  <c r="S1993" i="1"/>
  <c r="T1993" i="1"/>
  <c r="U1993" i="1"/>
  <c r="BE1993" i="1"/>
  <c r="CC1993" i="1"/>
  <c r="CD1993" i="1"/>
  <c r="A1994" i="1"/>
  <c r="C1994" i="1"/>
  <c r="S1994" i="1"/>
  <c r="T1994" i="1"/>
  <c r="U1994" i="1"/>
  <c r="BE1994" i="1"/>
  <c r="CC1994" i="1"/>
  <c r="CD1994" i="1"/>
  <c r="A1995" i="1"/>
  <c r="C1995" i="1"/>
  <c r="S1995" i="1"/>
  <c r="T1995" i="1"/>
  <c r="U1995" i="1"/>
  <c r="BE1995" i="1"/>
  <c r="CC1995" i="1"/>
  <c r="CD1995" i="1"/>
  <c r="A1996" i="1"/>
  <c r="C1996" i="1"/>
  <c r="S1996" i="1"/>
  <c r="T1996" i="1"/>
  <c r="U1996" i="1"/>
  <c r="BE1996" i="1"/>
  <c r="CC1996" i="1"/>
  <c r="CD1996" i="1"/>
  <c r="A1997" i="1"/>
  <c r="C1997" i="1"/>
  <c r="S1997" i="1"/>
  <c r="T1997" i="1"/>
  <c r="U1997" i="1"/>
  <c r="BE1997" i="1"/>
  <c r="CC1997" i="1"/>
  <c r="CD1997" i="1"/>
  <c r="A1998" i="1"/>
  <c r="C1998" i="1"/>
  <c r="S1998" i="1"/>
  <c r="T1998" i="1"/>
  <c r="U1998" i="1"/>
  <c r="BE1998" i="1"/>
  <c r="CC1998" i="1"/>
  <c r="CD1998" i="1"/>
  <c r="A1999" i="1"/>
  <c r="C1999" i="1"/>
  <c r="S1999" i="1"/>
  <c r="T1999" i="1"/>
  <c r="U1999" i="1"/>
  <c r="BE1999" i="1"/>
  <c r="CC1999" i="1"/>
  <c r="CD1999" i="1"/>
  <c r="A2000" i="1"/>
  <c r="C2000" i="1"/>
  <c r="S2000" i="1"/>
  <c r="T2000" i="1"/>
  <c r="U2000" i="1"/>
  <c r="BE2000" i="1"/>
  <c r="CC2000" i="1"/>
  <c r="CD2000" i="1"/>
  <c r="A2001" i="1"/>
  <c r="C2001" i="1"/>
  <c r="S2001" i="1"/>
  <c r="T2001" i="1"/>
  <c r="U2001" i="1"/>
  <c r="BE2001" i="1"/>
  <c r="CC2001" i="1"/>
  <c r="CD2001" i="1"/>
  <c r="A2002" i="1"/>
  <c r="C2002" i="1"/>
  <c r="S2002" i="1"/>
  <c r="T2002" i="1"/>
  <c r="U2002" i="1"/>
  <c r="BE2002" i="1"/>
  <c r="CC2002" i="1"/>
  <c r="CD2002" i="1"/>
  <c r="A2003" i="1"/>
  <c r="C2003" i="1"/>
  <c r="S2003" i="1"/>
  <c r="T2003" i="1"/>
  <c r="U2003" i="1"/>
  <c r="BE2003" i="1"/>
  <c r="CC2003" i="1"/>
  <c r="CD2003" i="1"/>
  <c r="A2004" i="1"/>
  <c r="C2004" i="1"/>
  <c r="S2004" i="1"/>
  <c r="T2004" i="1"/>
  <c r="U2004" i="1"/>
  <c r="BE2004" i="1"/>
  <c r="CC2004" i="1"/>
  <c r="CD2004" i="1"/>
  <c r="A2005" i="1"/>
  <c r="C2005" i="1"/>
  <c r="S2005" i="1"/>
  <c r="T2005" i="1"/>
  <c r="U2005" i="1"/>
  <c r="BE2005" i="1"/>
  <c r="CC2005" i="1"/>
  <c r="CD2005" i="1"/>
  <c r="A2006" i="1"/>
  <c r="C2006" i="1"/>
  <c r="S2006" i="1"/>
  <c r="T2006" i="1"/>
  <c r="U2006" i="1"/>
  <c r="BE2006" i="1"/>
  <c r="CC2006" i="1"/>
  <c r="CD2006" i="1"/>
  <c r="A2007" i="1"/>
  <c r="C2007" i="1"/>
  <c r="S2007" i="1"/>
  <c r="T2007" i="1"/>
  <c r="U2007" i="1"/>
  <c r="BE2007" i="1"/>
  <c r="CC2007" i="1"/>
  <c r="CD2007" i="1"/>
  <c r="A2008" i="1"/>
  <c r="C2008" i="1"/>
  <c r="S2008" i="1"/>
  <c r="T2008" i="1"/>
  <c r="U2008" i="1"/>
  <c r="BE2008" i="1"/>
  <c r="CC2008" i="1"/>
  <c r="CD2008" i="1"/>
  <c r="A2009" i="1"/>
  <c r="C2009" i="1"/>
  <c r="S2009" i="1"/>
  <c r="T2009" i="1"/>
  <c r="U2009" i="1"/>
  <c r="BE2009" i="1"/>
  <c r="CC2009" i="1"/>
  <c r="CD2009" i="1"/>
  <c r="A2010" i="1"/>
  <c r="C2010" i="1"/>
  <c r="S2010" i="1"/>
  <c r="T2010" i="1"/>
  <c r="U2010" i="1"/>
  <c r="BE2010" i="1"/>
  <c r="CC2010" i="1"/>
  <c r="CD2010" i="1"/>
  <c r="A2011" i="1"/>
  <c r="C2011" i="1"/>
  <c r="S2011" i="1"/>
  <c r="T2011" i="1"/>
  <c r="U2011" i="1"/>
  <c r="BE2011" i="1"/>
  <c r="CC2011" i="1"/>
  <c r="CD2011" i="1"/>
  <c r="A2012" i="1"/>
  <c r="C2012" i="1"/>
  <c r="S2012" i="1"/>
  <c r="T2012" i="1"/>
  <c r="U2012" i="1"/>
  <c r="BE2012" i="1"/>
  <c r="CC2012" i="1"/>
  <c r="CD2012" i="1"/>
  <c r="A2013" i="1"/>
  <c r="C2013" i="1"/>
  <c r="S2013" i="1"/>
  <c r="T2013" i="1"/>
  <c r="U2013" i="1"/>
  <c r="BE2013" i="1"/>
  <c r="CC2013" i="1"/>
  <c r="CD2013" i="1"/>
  <c r="A2014" i="1"/>
  <c r="C2014" i="1"/>
  <c r="S2014" i="1"/>
  <c r="T2014" i="1"/>
  <c r="U2014" i="1"/>
  <c r="BE2014" i="1"/>
  <c r="CC2014" i="1"/>
  <c r="CD2014" i="1"/>
  <c r="A2015" i="1"/>
  <c r="C2015" i="1"/>
  <c r="S2015" i="1"/>
  <c r="T2015" i="1"/>
  <c r="U2015" i="1"/>
  <c r="BE2015" i="1"/>
  <c r="CC2015" i="1"/>
  <c r="CD2015" i="1"/>
  <c r="A2016" i="1"/>
  <c r="C2016" i="1"/>
  <c r="S2016" i="1"/>
  <c r="T2016" i="1"/>
  <c r="U2016" i="1"/>
  <c r="BE2016" i="1"/>
  <c r="CC2016" i="1"/>
  <c r="CD2016" i="1"/>
  <c r="A2017" i="1"/>
  <c r="C2017" i="1"/>
  <c r="S2017" i="1"/>
  <c r="T2017" i="1"/>
  <c r="U2017" i="1"/>
  <c r="BE2017" i="1"/>
  <c r="CC2017" i="1"/>
  <c r="CD2017" i="1"/>
  <c r="A2018" i="1"/>
  <c r="C2018" i="1"/>
  <c r="S2018" i="1"/>
  <c r="T2018" i="1"/>
  <c r="U2018" i="1"/>
  <c r="BE2018" i="1"/>
  <c r="CC2018" i="1"/>
  <c r="CD2018" i="1"/>
  <c r="A2019" i="1"/>
  <c r="C2019" i="1"/>
  <c r="S2019" i="1"/>
  <c r="T2019" i="1"/>
  <c r="U2019" i="1"/>
  <c r="BE2019" i="1"/>
  <c r="CC2019" i="1"/>
  <c r="CD2019" i="1"/>
  <c r="A2020" i="1"/>
  <c r="C2020" i="1"/>
  <c r="S2020" i="1"/>
  <c r="T2020" i="1"/>
  <c r="U2020" i="1"/>
  <c r="BE2020" i="1"/>
  <c r="CC2020" i="1"/>
  <c r="CD2020" i="1"/>
  <c r="A2021" i="1"/>
  <c r="C2021" i="1"/>
  <c r="S2021" i="1"/>
  <c r="T2021" i="1"/>
  <c r="U2021" i="1"/>
  <c r="BE2021" i="1"/>
  <c r="CC2021" i="1"/>
  <c r="CD2021" i="1"/>
  <c r="A2022" i="1"/>
  <c r="C2022" i="1"/>
  <c r="S2022" i="1"/>
  <c r="T2022" i="1"/>
  <c r="U2022" i="1"/>
  <c r="BE2022" i="1"/>
  <c r="CC2022" i="1"/>
  <c r="CD2022" i="1"/>
  <c r="A2023" i="1"/>
  <c r="C2023" i="1"/>
  <c r="S2023" i="1"/>
  <c r="T2023" i="1"/>
  <c r="U2023" i="1"/>
  <c r="BE2023" i="1"/>
  <c r="CC2023" i="1"/>
  <c r="CD2023" i="1"/>
  <c r="A2024" i="1"/>
  <c r="C2024" i="1"/>
  <c r="S2024" i="1"/>
  <c r="T2024" i="1"/>
  <c r="U2024" i="1"/>
  <c r="BE2024" i="1"/>
  <c r="CC2024" i="1"/>
  <c r="CD2024" i="1"/>
  <c r="A2025" i="1"/>
  <c r="C2025" i="1"/>
  <c r="S2025" i="1"/>
  <c r="T2025" i="1"/>
  <c r="U2025" i="1"/>
  <c r="BE2025" i="1"/>
  <c r="CC2025" i="1"/>
  <c r="CD2025" i="1"/>
  <c r="A2026" i="1"/>
  <c r="C2026" i="1"/>
  <c r="S2026" i="1"/>
  <c r="T2026" i="1"/>
  <c r="U2026" i="1"/>
  <c r="BE2026" i="1"/>
  <c r="CC2026" i="1"/>
  <c r="CD2026" i="1"/>
  <c r="A2027" i="1"/>
  <c r="C2027" i="1"/>
  <c r="S2027" i="1"/>
  <c r="T2027" i="1"/>
  <c r="U2027" i="1"/>
  <c r="BE2027" i="1"/>
  <c r="CC2027" i="1"/>
  <c r="CD2027" i="1"/>
  <c r="A2028" i="1"/>
  <c r="C2028" i="1"/>
  <c r="S2028" i="1"/>
  <c r="T2028" i="1"/>
  <c r="U2028" i="1"/>
  <c r="BE2028" i="1"/>
  <c r="CC2028" i="1"/>
  <c r="CD2028" i="1"/>
  <c r="A2029" i="1"/>
  <c r="C2029" i="1"/>
  <c r="S2029" i="1"/>
  <c r="T2029" i="1"/>
  <c r="U2029" i="1"/>
  <c r="BE2029" i="1"/>
  <c r="CC2029" i="1"/>
  <c r="CD2029" i="1"/>
  <c r="A2030" i="1"/>
  <c r="C2030" i="1"/>
  <c r="S2030" i="1"/>
  <c r="T2030" i="1"/>
  <c r="U2030" i="1"/>
  <c r="BE2030" i="1"/>
  <c r="CC2030" i="1"/>
  <c r="CD2030" i="1"/>
  <c r="A2031" i="1"/>
  <c r="C2031" i="1"/>
  <c r="S2031" i="1"/>
  <c r="T2031" i="1"/>
  <c r="U2031" i="1"/>
  <c r="BE2031" i="1"/>
  <c r="CC2031" i="1"/>
  <c r="CD2031" i="1"/>
  <c r="A2032" i="1"/>
  <c r="C2032" i="1"/>
  <c r="S2032" i="1"/>
  <c r="T2032" i="1"/>
  <c r="U2032" i="1"/>
  <c r="BE2032" i="1"/>
  <c r="CC2032" i="1"/>
  <c r="CD2032" i="1"/>
  <c r="A2033" i="1"/>
  <c r="C2033" i="1"/>
  <c r="S2033" i="1"/>
  <c r="T2033" i="1"/>
  <c r="U2033" i="1"/>
  <c r="BE2033" i="1"/>
  <c r="CC2033" i="1"/>
  <c r="CD2033" i="1"/>
  <c r="A2034" i="1"/>
  <c r="C2034" i="1"/>
  <c r="S2034" i="1"/>
  <c r="T2034" i="1"/>
  <c r="U2034" i="1"/>
  <c r="BE2034" i="1"/>
  <c r="CC2034" i="1"/>
  <c r="CD2034" i="1"/>
  <c r="A2035" i="1"/>
  <c r="C2035" i="1"/>
  <c r="S2035" i="1"/>
  <c r="T2035" i="1"/>
  <c r="U2035" i="1"/>
  <c r="BE2035" i="1"/>
  <c r="CC2035" i="1"/>
  <c r="CD2035" i="1"/>
  <c r="A2036" i="1"/>
  <c r="C2036" i="1"/>
  <c r="S2036" i="1"/>
  <c r="T2036" i="1"/>
  <c r="U2036" i="1"/>
  <c r="BE2036" i="1"/>
  <c r="CC2036" i="1"/>
  <c r="CD2036" i="1"/>
  <c r="A2037" i="1"/>
  <c r="C2037" i="1"/>
  <c r="S2037" i="1"/>
  <c r="T2037" i="1"/>
  <c r="U2037" i="1"/>
  <c r="BE2037" i="1"/>
  <c r="CC2037" i="1"/>
  <c r="CD2037" i="1"/>
  <c r="A2038" i="1"/>
  <c r="C2038" i="1"/>
  <c r="S2038" i="1"/>
  <c r="T2038" i="1"/>
  <c r="U2038" i="1"/>
  <c r="BE2038" i="1"/>
  <c r="CC2038" i="1"/>
  <c r="CD2038" i="1"/>
  <c r="A2039" i="1"/>
  <c r="C2039" i="1"/>
  <c r="S2039" i="1"/>
  <c r="T2039" i="1"/>
  <c r="U2039" i="1"/>
  <c r="BE2039" i="1"/>
  <c r="CC2039" i="1"/>
  <c r="CD2039" i="1"/>
  <c r="A2040" i="1"/>
  <c r="C2040" i="1"/>
  <c r="S2040" i="1"/>
  <c r="T2040" i="1"/>
  <c r="U2040" i="1"/>
  <c r="BE2040" i="1"/>
  <c r="CC2040" i="1"/>
  <c r="CD2040" i="1"/>
  <c r="A2041" i="1"/>
  <c r="C2041" i="1"/>
  <c r="S2041" i="1"/>
  <c r="T2041" i="1"/>
  <c r="U2041" i="1"/>
  <c r="BE2041" i="1"/>
  <c r="CC2041" i="1"/>
  <c r="CD2041" i="1"/>
  <c r="A2042" i="1"/>
  <c r="C2042" i="1"/>
  <c r="S2042" i="1"/>
  <c r="T2042" i="1"/>
  <c r="U2042" i="1"/>
  <c r="BE2042" i="1"/>
  <c r="CC2042" i="1"/>
  <c r="CD2042" i="1"/>
  <c r="A2043" i="1"/>
  <c r="C2043" i="1"/>
  <c r="S2043" i="1"/>
  <c r="T2043" i="1"/>
  <c r="U2043" i="1"/>
  <c r="BE2043" i="1"/>
  <c r="CC2043" i="1"/>
  <c r="CD2043" i="1"/>
  <c r="A2044" i="1"/>
  <c r="C2044" i="1"/>
  <c r="S2044" i="1"/>
  <c r="T2044" i="1"/>
  <c r="U2044" i="1"/>
  <c r="BE2044" i="1"/>
  <c r="CC2044" i="1"/>
  <c r="CD2044" i="1"/>
  <c r="A2045" i="1"/>
  <c r="C2045" i="1"/>
  <c r="S2045" i="1"/>
  <c r="T2045" i="1"/>
  <c r="U2045" i="1"/>
  <c r="BE2045" i="1"/>
  <c r="CC2045" i="1"/>
  <c r="CD2045" i="1"/>
  <c r="A2046" i="1"/>
  <c r="C2046" i="1"/>
  <c r="S2046" i="1"/>
  <c r="T2046" i="1"/>
  <c r="U2046" i="1"/>
  <c r="BE2046" i="1"/>
  <c r="CC2046" i="1"/>
  <c r="CD2046" i="1"/>
  <c r="A2047" i="1"/>
  <c r="C2047" i="1"/>
  <c r="S2047" i="1"/>
  <c r="T2047" i="1"/>
  <c r="U2047" i="1"/>
  <c r="BE2047" i="1"/>
  <c r="CC2047" i="1"/>
  <c r="CD2047" i="1"/>
  <c r="A2048" i="1"/>
  <c r="C2048" i="1"/>
  <c r="S2048" i="1"/>
  <c r="T2048" i="1"/>
  <c r="U2048" i="1"/>
  <c r="BE2048" i="1"/>
  <c r="CC2048" i="1"/>
  <c r="CD2048" i="1"/>
  <c r="A2049" i="1"/>
  <c r="C2049" i="1"/>
  <c r="S2049" i="1"/>
  <c r="T2049" i="1"/>
  <c r="U2049" i="1"/>
  <c r="BE2049" i="1"/>
  <c r="CC2049" i="1"/>
  <c r="CD2049" i="1"/>
  <c r="A2050" i="1"/>
  <c r="C2050" i="1"/>
  <c r="S2050" i="1"/>
  <c r="T2050" i="1"/>
  <c r="U2050" i="1"/>
  <c r="BE2050" i="1"/>
  <c r="CC2050" i="1"/>
  <c r="CD2050" i="1"/>
  <c r="A2051" i="1"/>
  <c r="C2051" i="1"/>
  <c r="S2051" i="1"/>
  <c r="T2051" i="1"/>
  <c r="U2051" i="1"/>
  <c r="BE2051" i="1"/>
  <c r="CC2051" i="1"/>
  <c r="CD2051" i="1"/>
  <c r="A2052" i="1"/>
  <c r="C2052" i="1"/>
  <c r="S2052" i="1"/>
  <c r="T2052" i="1"/>
  <c r="U2052" i="1"/>
  <c r="BE2052" i="1"/>
  <c r="CC2052" i="1"/>
  <c r="CD2052" i="1"/>
  <c r="A2053" i="1"/>
  <c r="C2053" i="1"/>
  <c r="S2053" i="1"/>
  <c r="T2053" i="1"/>
  <c r="U2053" i="1"/>
  <c r="BE2053" i="1"/>
  <c r="CC2053" i="1"/>
  <c r="CD2053" i="1"/>
  <c r="A2054" i="1"/>
  <c r="C2054" i="1"/>
  <c r="S2054" i="1"/>
  <c r="T2054" i="1"/>
  <c r="U2054" i="1"/>
  <c r="BE2054" i="1"/>
  <c r="CC2054" i="1"/>
  <c r="CD2054" i="1"/>
  <c r="A2055" i="1"/>
  <c r="C2055" i="1"/>
  <c r="S2055" i="1"/>
  <c r="T2055" i="1"/>
  <c r="U2055" i="1"/>
  <c r="BE2055" i="1"/>
  <c r="CC2055" i="1"/>
  <c r="CD2055" i="1"/>
  <c r="A2056" i="1"/>
  <c r="C2056" i="1"/>
  <c r="S2056" i="1"/>
  <c r="T2056" i="1"/>
  <c r="U2056" i="1"/>
  <c r="BE2056" i="1"/>
  <c r="CC2056" i="1"/>
  <c r="CD2056" i="1"/>
  <c r="A2057" i="1"/>
  <c r="C2057" i="1"/>
  <c r="S2057" i="1"/>
  <c r="T2057" i="1"/>
  <c r="U2057" i="1"/>
  <c r="BE2057" i="1"/>
  <c r="CC2057" i="1"/>
  <c r="CD2057" i="1"/>
  <c r="A2058" i="1"/>
  <c r="C2058" i="1"/>
  <c r="S2058" i="1"/>
  <c r="T2058" i="1"/>
  <c r="U2058" i="1"/>
  <c r="BE2058" i="1"/>
  <c r="CC2058" i="1"/>
  <c r="CD2058" i="1"/>
  <c r="A2059" i="1"/>
  <c r="C2059" i="1"/>
  <c r="S2059" i="1"/>
  <c r="T2059" i="1"/>
  <c r="U2059" i="1"/>
  <c r="BE2059" i="1"/>
  <c r="CC2059" i="1"/>
  <c r="CD2059" i="1"/>
  <c r="A2060" i="1"/>
  <c r="C2060" i="1"/>
  <c r="S2060" i="1"/>
  <c r="T2060" i="1"/>
  <c r="U2060" i="1"/>
  <c r="BE2060" i="1"/>
  <c r="CC2060" i="1"/>
  <c r="CD2060" i="1"/>
  <c r="A2061" i="1"/>
  <c r="C2061" i="1"/>
  <c r="S2061" i="1"/>
  <c r="T2061" i="1"/>
  <c r="U2061" i="1"/>
  <c r="BE2061" i="1"/>
  <c r="CC2061" i="1"/>
  <c r="CD2061" i="1"/>
  <c r="A2062" i="1"/>
  <c r="C2062" i="1"/>
  <c r="S2062" i="1"/>
  <c r="T2062" i="1"/>
  <c r="U2062" i="1"/>
  <c r="BE2062" i="1"/>
  <c r="CC2062" i="1"/>
  <c r="CD2062" i="1"/>
  <c r="A2063" i="1"/>
  <c r="C2063" i="1"/>
  <c r="S2063" i="1"/>
  <c r="T2063" i="1"/>
  <c r="U2063" i="1"/>
  <c r="BE2063" i="1"/>
  <c r="CC2063" i="1"/>
  <c r="CD2063" i="1"/>
  <c r="A2064" i="1"/>
  <c r="C2064" i="1"/>
  <c r="S2064" i="1"/>
  <c r="T2064" i="1"/>
  <c r="U2064" i="1"/>
  <c r="BE2064" i="1"/>
  <c r="CC2064" i="1"/>
  <c r="CD2064" i="1"/>
  <c r="A2065" i="1"/>
  <c r="C2065" i="1"/>
  <c r="S2065" i="1"/>
  <c r="T2065" i="1"/>
  <c r="U2065" i="1"/>
  <c r="BE2065" i="1"/>
  <c r="CC2065" i="1"/>
  <c r="CD2065" i="1"/>
  <c r="A2066" i="1"/>
  <c r="C2066" i="1"/>
  <c r="S2066" i="1"/>
  <c r="T2066" i="1"/>
  <c r="U2066" i="1"/>
  <c r="BE2066" i="1"/>
  <c r="CC2066" i="1"/>
  <c r="CD2066" i="1"/>
  <c r="A2067" i="1"/>
  <c r="C2067" i="1"/>
  <c r="S2067" i="1"/>
  <c r="T2067" i="1"/>
  <c r="U2067" i="1"/>
  <c r="BE2067" i="1"/>
  <c r="CC2067" i="1"/>
  <c r="CD2067" i="1"/>
  <c r="A2068" i="1"/>
  <c r="C2068" i="1"/>
  <c r="S2068" i="1"/>
  <c r="T2068" i="1"/>
  <c r="U2068" i="1"/>
  <c r="BE2068" i="1"/>
  <c r="CC2068" i="1"/>
  <c r="CD2068" i="1"/>
  <c r="A2069" i="1"/>
  <c r="C2069" i="1"/>
  <c r="S2069" i="1"/>
  <c r="T2069" i="1"/>
  <c r="U2069" i="1"/>
  <c r="BE2069" i="1"/>
  <c r="CC2069" i="1"/>
  <c r="CD2069" i="1"/>
  <c r="A2070" i="1"/>
  <c r="C2070" i="1"/>
  <c r="S2070" i="1"/>
  <c r="T2070" i="1"/>
  <c r="U2070" i="1"/>
  <c r="BE2070" i="1"/>
  <c r="CC2070" i="1"/>
  <c r="CD2070" i="1"/>
  <c r="A2071" i="1"/>
  <c r="C2071" i="1"/>
  <c r="S2071" i="1"/>
  <c r="T2071" i="1"/>
  <c r="U2071" i="1"/>
  <c r="BE2071" i="1"/>
  <c r="CC2071" i="1"/>
  <c r="CD2071" i="1"/>
  <c r="A2072" i="1"/>
  <c r="C2072" i="1"/>
  <c r="S2072" i="1"/>
  <c r="T2072" i="1"/>
  <c r="U2072" i="1"/>
  <c r="BE2072" i="1"/>
  <c r="CC2072" i="1"/>
  <c r="CD2072" i="1"/>
  <c r="A2073" i="1"/>
  <c r="C2073" i="1"/>
  <c r="S2073" i="1"/>
  <c r="T2073" i="1"/>
  <c r="U2073" i="1"/>
  <c r="BE2073" i="1"/>
  <c r="CC2073" i="1"/>
  <c r="CD2073" i="1"/>
  <c r="A2074" i="1"/>
  <c r="C2074" i="1"/>
  <c r="S2074" i="1"/>
  <c r="T2074" i="1"/>
  <c r="U2074" i="1"/>
  <c r="BE2074" i="1"/>
  <c r="CC2074" i="1"/>
  <c r="CD2074" i="1"/>
  <c r="A2075" i="1"/>
  <c r="C2075" i="1"/>
  <c r="S2075" i="1"/>
  <c r="T2075" i="1"/>
  <c r="U2075" i="1"/>
  <c r="BE2075" i="1"/>
  <c r="CC2075" i="1"/>
  <c r="CD2075" i="1"/>
  <c r="A2076" i="1"/>
  <c r="C2076" i="1"/>
  <c r="S2076" i="1"/>
  <c r="T2076" i="1"/>
  <c r="U2076" i="1"/>
  <c r="BE2076" i="1"/>
  <c r="CC2076" i="1"/>
  <c r="CD2076" i="1"/>
  <c r="A2077" i="1"/>
  <c r="C2077" i="1"/>
  <c r="S2077" i="1"/>
  <c r="T2077" i="1"/>
  <c r="U2077" i="1"/>
  <c r="BE2077" i="1"/>
  <c r="CC2077" i="1"/>
  <c r="CD2077" i="1"/>
  <c r="A2078" i="1"/>
  <c r="C2078" i="1"/>
  <c r="S2078" i="1"/>
  <c r="T2078" i="1"/>
  <c r="U2078" i="1"/>
  <c r="BE2078" i="1"/>
  <c r="CC2078" i="1"/>
  <c r="CD2078" i="1"/>
  <c r="A2079" i="1"/>
  <c r="C2079" i="1"/>
  <c r="S2079" i="1"/>
  <c r="T2079" i="1"/>
  <c r="U2079" i="1"/>
  <c r="BE2079" i="1"/>
  <c r="CC2079" i="1"/>
  <c r="CD2079" i="1"/>
  <c r="A2080" i="1"/>
  <c r="C2080" i="1"/>
  <c r="S2080" i="1"/>
  <c r="T2080" i="1"/>
  <c r="U2080" i="1"/>
  <c r="BE2080" i="1"/>
  <c r="CC2080" i="1"/>
  <c r="CD2080" i="1"/>
  <c r="A2081" i="1"/>
  <c r="C2081" i="1"/>
  <c r="S2081" i="1"/>
  <c r="T2081" i="1"/>
  <c r="U2081" i="1"/>
  <c r="BE2081" i="1"/>
  <c r="CC2081" i="1"/>
  <c r="CD2081" i="1"/>
  <c r="A2082" i="1"/>
  <c r="C2082" i="1"/>
  <c r="S2082" i="1"/>
  <c r="T2082" i="1"/>
  <c r="U2082" i="1"/>
  <c r="BE2082" i="1"/>
  <c r="CC2082" i="1"/>
  <c r="CD2082" i="1"/>
  <c r="A2083" i="1"/>
  <c r="C2083" i="1"/>
  <c r="S2083" i="1"/>
  <c r="T2083" i="1"/>
  <c r="U2083" i="1"/>
  <c r="BE2083" i="1"/>
  <c r="CC2083" i="1"/>
  <c r="CD2083" i="1"/>
  <c r="A2084" i="1"/>
  <c r="C2084" i="1"/>
  <c r="S2084" i="1"/>
  <c r="T2084" i="1"/>
  <c r="U2084" i="1"/>
  <c r="BE2084" i="1"/>
  <c r="CC2084" i="1"/>
  <c r="CD2084" i="1"/>
  <c r="A2085" i="1"/>
  <c r="C2085" i="1"/>
  <c r="S2085" i="1"/>
  <c r="T2085" i="1"/>
  <c r="U2085" i="1"/>
  <c r="BE2085" i="1"/>
  <c r="CC2085" i="1"/>
  <c r="CD2085" i="1"/>
  <c r="A2086" i="1"/>
  <c r="C2086" i="1"/>
  <c r="S2086" i="1"/>
  <c r="T2086" i="1"/>
  <c r="U2086" i="1"/>
  <c r="BE2086" i="1"/>
  <c r="CC2086" i="1"/>
  <c r="CD2086" i="1"/>
  <c r="A2087" i="1"/>
  <c r="C2087" i="1"/>
  <c r="S2087" i="1"/>
  <c r="T2087" i="1"/>
  <c r="U2087" i="1"/>
  <c r="BE2087" i="1"/>
  <c r="CC2087" i="1"/>
  <c r="CD2087" i="1"/>
  <c r="A2088" i="1"/>
  <c r="C2088" i="1"/>
  <c r="S2088" i="1"/>
  <c r="T2088" i="1"/>
  <c r="U2088" i="1"/>
  <c r="BE2088" i="1"/>
  <c r="CC2088" i="1"/>
  <c r="CD2088" i="1"/>
  <c r="A2089" i="1"/>
  <c r="C2089" i="1"/>
  <c r="S2089" i="1"/>
  <c r="T2089" i="1"/>
  <c r="U2089" i="1"/>
  <c r="BE2089" i="1"/>
  <c r="CC2089" i="1"/>
  <c r="CD2089" i="1"/>
  <c r="A2090" i="1"/>
  <c r="C2090" i="1"/>
  <c r="S2090" i="1"/>
  <c r="T2090" i="1"/>
  <c r="U2090" i="1"/>
  <c r="BE2090" i="1"/>
  <c r="CC2090" i="1"/>
  <c r="CD2090" i="1"/>
  <c r="A2091" i="1"/>
  <c r="C2091" i="1"/>
  <c r="S2091" i="1"/>
  <c r="T2091" i="1"/>
  <c r="U2091" i="1"/>
  <c r="BE2091" i="1"/>
  <c r="CC2091" i="1"/>
  <c r="CD2091" i="1"/>
  <c r="A2092" i="1"/>
  <c r="C2092" i="1"/>
  <c r="S2092" i="1"/>
  <c r="T2092" i="1"/>
  <c r="U2092" i="1"/>
  <c r="BE2092" i="1"/>
  <c r="CC2092" i="1"/>
  <c r="CD2092" i="1"/>
  <c r="A2093" i="1"/>
  <c r="C2093" i="1"/>
  <c r="S2093" i="1"/>
  <c r="T2093" i="1"/>
  <c r="U2093" i="1"/>
  <c r="BE2093" i="1"/>
  <c r="CC2093" i="1"/>
  <c r="CD2093" i="1"/>
  <c r="A2094" i="1"/>
  <c r="C2094" i="1"/>
  <c r="S2094" i="1"/>
  <c r="T2094" i="1"/>
  <c r="U2094" i="1"/>
  <c r="BE2094" i="1"/>
  <c r="CC2094" i="1"/>
  <c r="CD2094" i="1"/>
  <c r="A2095" i="1"/>
  <c r="C2095" i="1"/>
  <c r="S2095" i="1"/>
  <c r="T2095" i="1"/>
  <c r="U2095" i="1"/>
  <c r="BE2095" i="1"/>
  <c r="CC2095" i="1"/>
  <c r="CD2095" i="1"/>
  <c r="A2096" i="1"/>
  <c r="C2096" i="1"/>
  <c r="S2096" i="1"/>
  <c r="T2096" i="1"/>
  <c r="U2096" i="1"/>
  <c r="BE2096" i="1"/>
  <c r="CC2096" i="1"/>
  <c r="CD2096" i="1"/>
  <c r="A2097" i="1"/>
  <c r="C2097" i="1"/>
  <c r="S2097" i="1"/>
  <c r="T2097" i="1"/>
  <c r="U2097" i="1"/>
  <c r="BE2097" i="1"/>
  <c r="CC2097" i="1"/>
  <c r="CD2097" i="1"/>
  <c r="A2098" i="1"/>
  <c r="C2098" i="1"/>
  <c r="S2098" i="1"/>
  <c r="T2098" i="1"/>
  <c r="U2098" i="1"/>
  <c r="BE2098" i="1"/>
  <c r="CC2098" i="1"/>
  <c r="CD2098" i="1"/>
  <c r="A2099" i="1"/>
  <c r="C2099" i="1"/>
  <c r="S2099" i="1"/>
  <c r="T2099" i="1"/>
  <c r="U2099" i="1"/>
  <c r="BE2099" i="1"/>
  <c r="CC2099" i="1"/>
  <c r="CD2099" i="1"/>
  <c r="A2100" i="1"/>
  <c r="C2100" i="1"/>
  <c r="S2100" i="1"/>
  <c r="T2100" i="1"/>
  <c r="U2100" i="1"/>
  <c r="BE2100" i="1"/>
  <c r="CC2100" i="1"/>
  <c r="CD2100" i="1"/>
  <c r="A2101" i="1"/>
  <c r="C2101" i="1"/>
  <c r="S2101" i="1"/>
  <c r="T2101" i="1"/>
  <c r="U2101" i="1"/>
  <c r="BE2101" i="1"/>
  <c r="CC2101" i="1"/>
  <c r="CD2101" i="1"/>
  <c r="A2102" i="1"/>
  <c r="C2102" i="1"/>
  <c r="S2102" i="1"/>
  <c r="T2102" i="1"/>
  <c r="U2102" i="1"/>
  <c r="BE2102" i="1"/>
  <c r="CC2102" i="1"/>
  <c r="CD2102" i="1"/>
  <c r="A2103" i="1"/>
  <c r="C2103" i="1"/>
  <c r="S2103" i="1"/>
  <c r="T2103" i="1"/>
  <c r="U2103" i="1"/>
  <c r="BE2103" i="1"/>
  <c r="CC2103" i="1"/>
  <c r="CD2103" i="1"/>
  <c r="A2104" i="1"/>
  <c r="C2104" i="1"/>
  <c r="S2104" i="1"/>
  <c r="T2104" i="1"/>
  <c r="U2104" i="1"/>
  <c r="BE2104" i="1"/>
  <c r="CC2104" i="1"/>
  <c r="CD2104" i="1"/>
  <c r="A2105" i="1"/>
  <c r="C2105" i="1"/>
  <c r="S2105" i="1"/>
  <c r="T2105" i="1"/>
  <c r="U2105" i="1"/>
  <c r="BE2105" i="1"/>
  <c r="CC2105" i="1"/>
  <c r="CD2105" i="1"/>
  <c r="A2106" i="1"/>
  <c r="C2106" i="1"/>
  <c r="S2106" i="1"/>
  <c r="T2106" i="1"/>
  <c r="U2106" i="1"/>
  <c r="BE2106" i="1"/>
  <c r="CC2106" i="1"/>
  <c r="CD2106" i="1"/>
  <c r="A2107" i="1"/>
  <c r="C2107" i="1"/>
  <c r="S2107" i="1"/>
  <c r="T2107" i="1"/>
  <c r="U2107" i="1"/>
  <c r="BE2107" i="1"/>
  <c r="CC2107" i="1"/>
  <c r="CD2107" i="1"/>
  <c r="A2108" i="1"/>
  <c r="C2108" i="1"/>
  <c r="S2108" i="1"/>
  <c r="T2108" i="1"/>
  <c r="U2108" i="1"/>
  <c r="BE2108" i="1"/>
  <c r="CC2108" i="1"/>
  <c r="CD2108" i="1"/>
  <c r="A2109" i="1"/>
  <c r="C2109" i="1"/>
  <c r="S2109" i="1"/>
  <c r="T2109" i="1"/>
  <c r="U2109" i="1"/>
  <c r="BE2109" i="1"/>
  <c r="CC2109" i="1"/>
  <c r="CD2109" i="1"/>
  <c r="A2110" i="1"/>
  <c r="C2110" i="1"/>
  <c r="S2110" i="1"/>
  <c r="T2110" i="1"/>
  <c r="U2110" i="1"/>
  <c r="BE2110" i="1"/>
  <c r="CC2110" i="1"/>
  <c r="CD2110" i="1"/>
  <c r="A2111" i="1"/>
  <c r="C2111" i="1"/>
  <c r="S2111" i="1"/>
  <c r="T2111" i="1"/>
  <c r="U2111" i="1"/>
  <c r="BE2111" i="1"/>
  <c r="CC2111" i="1"/>
  <c r="CD2111" i="1"/>
  <c r="A2112" i="1"/>
  <c r="C2112" i="1"/>
  <c r="S2112" i="1"/>
  <c r="T2112" i="1"/>
  <c r="U2112" i="1"/>
  <c r="BE2112" i="1"/>
  <c r="CC2112" i="1"/>
  <c r="CD2112" i="1"/>
  <c r="A2113" i="1"/>
  <c r="C2113" i="1"/>
  <c r="S2113" i="1"/>
  <c r="T2113" i="1"/>
  <c r="U2113" i="1"/>
  <c r="BE2113" i="1"/>
  <c r="CC2113" i="1"/>
  <c r="CD2113" i="1"/>
  <c r="A2114" i="1"/>
  <c r="C2114" i="1"/>
  <c r="S2114" i="1"/>
  <c r="T2114" i="1"/>
  <c r="U2114" i="1"/>
  <c r="BE2114" i="1"/>
  <c r="CC2114" i="1"/>
  <c r="CD2114" i="1"/>
  <c r="A2115" i="1"/>
  <c r="C2115" i="1"/>
  <c r="S2115" i="1"/>
  <c r="T2115" i="1"/>
  <c r="U2115" i="1"/>
  <c r="BE2115" i="1"/>
  <c r="CC2115" i="1"/>
  <c r="CD2115" i="1"/>
  <c r="A2116" i="1"/>
  <c r="C2116" i="1"/>
  <c r="S2116" i="1"/>
  <c r="T2116" i="1"/>
  <c r="U2116" i="1"/>
  <c r="BE2116" i="1"/>
  <c r="CC2116" i="1"/>
  <c r="CD2116" i="1"/>
  <c r="A2117" i="1"/>
  <c r="C2117" i="1"/>
  <c r="S2117" i="1"/>
  <c r="T2117" i="1"/>
  <c r="U2117" i="1"/>
  <c r="BE2117" i="1"/>
  <c r="CC2117" i="1"/>
  <c r="CD2117" i="1"/>
  <c r="A2118" i="1"/>
  <c r="C2118" i="1"/>
  <c r="S2118" i="1"/>
  <c r="T2118" i="1"/>
  <c r="U2118" i="1"/>
  <c r="BE2118" i="1"/>
  <c r="CC2118" i="1"/>
  <c r="CD2118" i="1"/>
  <c r="A2119" i="1"/>
  <c r="C2119" i="1"/>
  <c r="S2119" i="1"/>
  <c r="T2119" i="1"/>
  <c r="U2119" i="1"/>
  <c r="BE2119" i="1"/>
  <c r="CC2119" i="1"/>
  <c r="CD2119" i="1"/>
  <c r="A2120" i="1"/>
  <c r="C2120" i="1"/>
  <c r="S2120" i="1"/>
  <c r="T2120" i="1"/>
  <c r="U2120" i="1"/>
  <c r="BE2120" i="1"/>
  <c r="CC2120" i="1"/>
  <c r="CD2120" i="1"/>
  <c r="A2121" i="1"/>
  <c r="C2121" i="1"/>
  <c r="S2121" i="1"/>
  <c r="T2121" i="1"/>
  <c r="U2121" i="1"/>
  <c r="BE2121" i="1"/>
  <c r="CC2121" i="1"/>
  <c r="CD2121" i="1"/>
  <c r="A2122" i="1"/>
  <c r="C2122" i="1"/>
  <c r="S2122" i="1"/>
  <c r="T2122" i="1"/>
  <c r="U2122" i="1"/>
  <c r="BE2122" i="1"/>
  <c r="CC2122" i="1"/>
  <c r="CD2122" i="1"/>
  <c r="A2123" i="1"/>
  <c r="C2123" i="1"/>
  <c r="S2123" i="1"/>
  <c r="T2123" i="1"/>
  <c r="U2123" i="1"/>
  <c r="BE2123" i="1"/>
  <c r="CC2123" i="1"/>
  <c r="CD2123" i="1"/>
  <c r="A2124" i="1"/>
  <c r="C2124" i="1"/>
  <c r="S2124" i="1"/>
  <c r="T2124" i="1"/>
  <c r="U2124" i="1"/>
  <c r="BE2124" i="1"/>
  <c r="CC2124" i="1"/>
  <c r="CD2124" i="1"/>
  <c r="A2125" i="1"/>
  <c r="C2125" i="1"/>
  <c r="S2125" i="1"/>
  <c r="T2125" i="1"/>
  <c r="U2125" i="1"/>
  <c r="BE2125" i="1"/>
  <c r="CC2125" i="1"/>
  <c r="CD2125" i="1"/>
  <c r="A2126" i="1"/>
  <c r="C2126" i="1"/>
  <c r="S2126" i="1"/>
  <c r="T2126" i="1"/>
  <c r="U2126" i="1"/>
  <c r="BE2126" i="1"/>
  <c r="CC2126" i="1"/>
  <c r="CD2126" i="1"/>
  <c r="A2127" i="1"/>
  <c r="C2127" i="1"/>
  <c r="S2127" i="1"/>
  <c r="T2127" i="1"/>
  <c r="U2127" i="1"/>
  <c r="BE2127" i="1"/>
  <c r="CC2127" i="1"/>
  <c r="CD2127" i="1"/>
  <c r="A2128" i="1"/>
  <c r="C2128" i="1"/>
  <c r="S2128" i="1"/>
  <c r="T2128" i="1"/>
  <c r="U2128" i="1"/>
  <c r="BE2128" i="1"/>
  <c r="CC2128" i="1"/>
  <c r="CD2128" i="1"/>
  <c r="A2129" i="1"/>
  <c r="C2129" i="1"/>
  <c r="S2129" i="1"/>
  <c r="T2129" i="1"/>
  <c r="U2129" i="1"/>
  <c r="BE2129" i="1"/>
  <c r="CC2129" i="1"/>
  <c r="CD2129" i="1"/>
  <c r="A2130" i="1"/>
  <c r="C2130" i="1"/>
  <c r="S2130" i="1"/>
  <c r="T2130" i="1"/>
  <c r="U2130" i="1"/>
  <c r="BE2130" i="1"/>
  <c r="CC2130" i="1"/>
  <c r="CD2130" i="1"/>
  <c r="A2131" i="1"/>
  <c r="C2131" i="1"/>
  <c r="S2131" i="1"/>
  <c r="T2131" i="1"/>
  <c r="U2131" i="1"/>
  <c r="BE2131" i="1"/>
  <c r="CC2131" i="1"/>
  <c r="CD2131" i="1"/>
  <c r="A2132" i="1"/>
  <c r="C2132" i="1"/>
  <c r="S2132" i="1"/>
  <c r="T2132" i="1"/>
  <c r="U2132" i="1"/>
  <c r="BE2132" i="1"/>
  <c r="CC2132" i="1"/>
  <c r="CD2132" i="1"/>
  <c r="A2133" i="1"/>
  <c r="C2133" i="1"/>
  <c r="S2133" i="1"/>
  <c r="T2133" i="1"/>
  <c r="U2133" i="1"/>
  <c r="BE2133" i="1"/>
  <c r="CC2133" i="1"/>
  <c r="CD2133" i="1"/>
  <c r="A2134" i="1"/>
  <c r="C2134" i="1"/>
  <c r="S2134" i="1"/>
  <c r="T2134" i="1"/>
  <c r="U2134" i="1"/>
  <c r="BE2134" i="1"/>
  <c r="CC2134" i="1"/>
  <c r="CD2134" i="1"/>
  <c r="A2135" i="1"/>
  <c r="C2135" i="1"/>
  <c r="S2135" i="1"/>
  <c r="T2135" i="1"/>
  <c r="U2135" i="1"/>
  <c r="BE2135" i="1"/>
  <c r="CC2135" i="1"/>
  <c r="CD2135" i="1"/>
  <c r="A2136" i="1"/>
  <c r="C2136" i="1"/>
  <c r="S2136" i="1"/>
  <c r="T2136" i="1"/>
  <c r="U2136" i="1"/>
  <c r="BE2136" i="1"/>
  <c r="CC2136" i="1"/>
  <c r="CD2136" i="1"/>
  <c r="A2137" i="1"/>
  <c r="C2137" i="1"/>
  <c r="S2137" i="1"/>
  <c r="T2137" i="1"/>
  <c r="U2137" i="1"/>
  <c r="BE2137" i="1"/>
  <c r="CC2137" i="1"/>
  <c r="CD2137" i="1"/>
  <c r="A2138" i="1"/>
  <c r="C2138" i="1"/>
  <c r="S2138" i="1"/>
  <c r="T2138" i="1"/>
  <c r="U2138" i="1"/>
  <c r="BE2138" i="1"/>
  <c r="CC2138" i="1"/>
  <c r="CD2138" i="1"/>
  <c r="A2139" i="1"/>
  <c r="C2139" i="1"/>
  <c r="S2139" i="1"/>
  <c r="T2139" i="1"/>
  <c r="U2139" i="1"/>
  <c r="BE2139" i="1"/>
  <c r="CC2139" i="1"/>
  <c r="CD2139" i="1"/>
  <c r="A2140" i="1"/>
  <c r="C2140" i="1"/>
  <c r="S2140" i="1"/>
  <c r="T2140" i="1"/>
  <c r="U2140" i="1"/>
  <c r="BE2140" i="1"/>
  <c r="CC2140" i="1"/>
  <c r="CD2140" i="1"/>
  <c r="A2141" i="1"/>
  <c r="C2141" i="1"/>
  <c r="S2141" i="1"/>
  <c r="T2141" i="1"/>
  <c r="U2141" i="1"/>
  <c r="BE2141" i="1"/>
  <c r="CC2141" i="1"/>
  <c r="CD2141" i="1"/>
  <c r="A2142" i="1"/>
  <c r="C2142" i="1"/>
  <c r="S2142" i="1"/>
  <c r="T2142" i="1"/>
  <c r="U2142" i="1"/>
  <c r="BE2142" i="1"/>
  <c r="CC2142" i="1"/>
  <c r="CD2142" i="1"/>
  <c r="A2143" i="1"/>
  <c r="C2143" i="1"/>
  <c r="S2143" i="1"/>
  <c r="T2143" i="1"/>
  <c r="U2143" i="1"/>
  <c r="BE2143" i="1"/>
  <c r="CC2143" i="1"/>
  <c r="CD2143" i="1"/>
  <c r="A2144" i="1"/>
  <c r="C2144" i="1"/>
  <c r="S2144" i="1"/>
  <c r="T2144" i="1"/>
  <c r="U2144" i="1"/>
  <c r="BE2144" i="1"/>
  <c r="CC2144" i="1"/>
  <c r="CD2144" i="1"/>
  <c r="A2145" i="1"/>
  <c r="C2145" i="1"/>
  <c r="S2145" i="1"/>
  <c r="T2145" i="1"/>
  <c r="U2145" i="1"/>
  <c r="BE2145" i="1"/>
  <c r="CC2145" i="1"/>
  <c r="CD2145" i="1"/>
  <c r="A2146" i="1"/>
  <c r="C2146" i="1"/>
  <c r="S2146" i="1"/>
  <c r="T2146" i="1"/>
  <c r="U2146" i="1"/>
  <c r="BE2146" i="1"/>
  <c r="CC2146" i="1"/>
  <c r="CD2146" i="1"/>
  <c r="A2147" i="1"/>
  <c r="C2147" i="1"/>
  <c r="S2147" i="1"/>
  <c r="T2147" i="1"/>
  <c r="U2147" i="1"/>
  <c r="BE2147" i="1"/>
  <c r="CC2147" i="1"/>
  <c r="CD2147" i="1"/>
  <c r="A2148" i="1"/>
  <c r="C2148" i="1"/>
  <c r="S2148" i="1"/>
  <c r="T2148" i="1"/>
  <c r="U2148" i="1"/>
  <c r="BE2148" i="1"/>
  <c r="CC2148" i="1"/>
  <c r="CD2148" i="1"/>
  <c r="A2149" i="1"/>
  <c r="C2149" i="1"/>
  <c r="S2149" i="1"/>
  <c r="T2149" i="1"/>
  <c r="U2149" i="1"/>
  <c r="BE2149" i="1"/>
  <c r="CC2149" i="1"/>
  <c r="CD2149" i="1"/>
  <c r="A2150" i="1"/>
  <c r="C2150" i="1"/>
  <c r="S2150" i="1"/>
  <c r="T2150" i="1"/>
  <c r="U2150" i="1"/>
  <c r="BE2150" i="1"/>
  <c r="CC2150" i="1"/>
  <c r="CD2150" i="1"/>
  <c r="A2151" i="1"/>
  <c r="C2151" i="1"/>
  <c r="S2151" i="1"/>
  <c r="T2151" i="1"/>
  <c r="U2151" i="1"/>
  <c r="BE2151" i="1"/>
  <c r="CC2151" i="1"/>
  <c r="CD2151" i="1"/>
  <c r="A2152" i="1"/>
  <c r="C2152" i="1"/>
  <c r="S2152" i="1"/>
  <c r="T2152" i="1"/>
  <c r="U2152" i="1"/>
  <c r="BE2152" i="1"/>
  <c r="CC2152" i="1"/>
  <c r="CD2152" i="1"/>
  <c r="A2153" i="1"/>
  <c r="C2153" i="1"/>
  <c r="S2153" i="1"/>
  <c r="T2153" i="1"/>
  <c r="U2153" i="1"/>
  <c r="BE2153" i="1"/>
  <c r="CC2153" i="1"/>
  <c r="CD2153" i="1"/>
  <c r="A2154" i="1"/>
  <c r="C2154" i="1"/>
  <c r="S2154" i="1"/>
  <c r="T2154" i="1"/>
  <c r="U2154" i="1"/>
  <c r="BE2154" i="1"/>
  <c r="CC2154" i="1"/>
  <c r="CD2154" i="1"/>
  <c r="A2155" i="1"/>
  <c r="C2155" i="1"/>
  <c r="S2155" i="1"/>
  <c r="T2155" i="1"/>
  <c r="U2155" i="1"/>
  <c r="BE2155" i="1"/>
  <c r="CC2155" i="1"/>
  <c r="CD2155" i="1"/>
  <c r="A2156" i="1"/>
  <c r="C2156" i="1"/>
  <c r="S2156" i="1"/>
  <c r="T2156" i="1"/>
  <c r="U2156" i="1"/>
  <c r="BE2156" i="1"/>
  <c r="CC2156" i="1"/>
  <c r="CD2156" i="1"/>
  <c r="A2157" i="1"/>
  <c r="C2157" i="1"/>
  <c r="S2157" i="1"/>
  <c r="T2157" i="1"/>
  <c r="U2157" i="1"/>
  <c r="BE2157" i="1"/>
  <c r="CC2157" i="1"/>
  <c r="CD2157" i="1"/>
  <c r="A2158" i="1"/>
  <c r="C2158" i="1"/>
  <c r="S2158" i="1"/>
  <c r="T2158" i="1"/>
  <c r="U2158" i="1"/>
  <c r="BE2158" i="1"/>
  <c r="CC2158" i="1"/>
  <c r="CD2158" i="1"/>
  <c r="A2159" i="1"/>
  <c r="C2159" i="1"/>
  <c r="S2159" i="1"/>
  <c r="T2159" i="1"/>
  <c r="U2159" i="1"/>
  <c r="BE2159" i="1"/>
  <c r="CC2159" i="1"/>
  <c r="CD2159" i="1"/>
  <c r="A2160" i="1"/>
  <c r="C2160" i="1"/>
  <c r="S2160" i="1"/>
  <c r="T2160" i="1"/>
  <c r="U2160" i="1"/>
  <c r="BE2160" i="1"/>
  <c r="CC2160" i="1"/>
  <c r="CD2160" i="1"/>
  <c r="A2161" i="1"/>
  <c r="C2161" i="1"/>
  <c r="S2161" i="1"/>
  <c r="T2161" i="1"/>
  <c r="U2161" i="1"/>
  <c r="BE2161" i="1"/>
  <c r="CC2161" i="1"/>
  <c r="CD2161" i="1"/>
  <c r="A2162" i="1"/>
  <c r="C2162" i="1"/>
  <c r="S2162" i="1"/>
  <c r="T2162" i="1"/>
  <c r="U2162" i="1"/>
  <c r="BE2162" i="1"/>
  <c r="CC2162" i="1"/>
  <c r="CD2162" i="1"/>
  <c r="A2163" i="1"/>
  <c r="C2163" i="1"/>
  <c r="S2163" i="1"/>
  <c r="T2163" i="1"/>
  <c r="U2163" i="1"/>
  <c r="BE2163" i="1"/>
  <c r="CC2163" i="1"/>
  <c r="CD2163" i="1"/>
  <c r="A2164" i="1"/>
  <c r="C2164" i="1"/>
  <c r="S2164" i="1"/>
  <c r="T2164" i="1"/>
  <c r="U2164" i="1"/>
  <c r="BE2164" i="1"/>
  <c r="CC2164" i="1"/>
  <c r="CD2164" i="1"/>
  <c r="A2165" i="1"/>
  <c r="C2165" i="1"/>
  <c r="S2165" i="1"/>
  <c r="T2165" i="1"/>
  <c r="U2165" i="1"/>
  <c r="BE2165" i="1"/>
  <c r="CC2165" i="1"/>
  <c r="CD2165" i="1"/>
  <c r="A2166" i="1"/>
  <c r="C2166" i="1"/>
  <c r="S2166" i="1"/>
  <c r="T2166" i="1"/>
  <c r="U2166" i="1"/>
  <c r="BE2166" i="1"/>
  <c r="CC2166" i="1"/>
  <c r="CD2166" i="1"/>
  <c r="A2167" i="1"/>
  <c r="C2167" i="1"/>
  <c r="S2167" i="1"/>
  <c r="T2167" i="1"/>
  <c r="U2167" i="1"/>
  <c r="BE2167" i="1"/>
  <c r="CC2167" i="1"/>
  <c r="CD2167" i="1"/>
  <c r="A2168" i="1"/>
  <c r="C2168" i="1"/>
  <c r="S2168" i="1"/>
  <c r="T2168" i="1"/>
  <c r="U2168" i="1"/>
  <c r="BE2168" i="1"/>
  <c r="CC2168" i="1"/>
  <c r="CD2168" i="1"/>
  <c r="A2169" i="1"/>
  <c r="C2169" i="1"/>
  <c r="S2169" i="1"/>
  <c r="T2169" i="1"/>
  <c r="U2169" i="1"/>
  <c r="BE2169" i="1"/>
  <c r="CC2169" i="1"/>
  <c r="CD2169" i="1"/>
  <c r="A2170" i="1"/>
  <c r="C2170" i="1"/>
  <c r="S2170" i="1"/>
  <c r="T2170" i="1"/>
  <c r="U2170" i="1"/>
  <c r="BE2170" i="1"/>
  <c r="CC2170" i="1"/>
  <c r="CD2170" i="1"/>
  <c r="A2171" i="1"/>
  <c r="C2171" i="1"/>
  <c r="S2171" i="1"/>
  <c r="T2171" i="1"/>
  <c r="U2171" i="1"/>
  <c r="BE2171" i="1"/>
  <c r="CC2171" i="1"/>
  <c r="CD2171" i="1"/>
  <c r="A2172" i="1"/>
  <c r="C2172" i="1"/>
  <c r="S2172" i="1"/>
  <c r="T2172" i="1"/>
  <c r="U2172" i="1"/>
  <c r="BE2172" i="1"/>
  <c r="CC2172" i="1"/>
  <c r="CD2172" i="1"/>
  <c r="A2173" i="1"/>
  <c r="C2173" i="1"/>
  <c r="S2173" i="1"/>
  <c r="T2173" i="1"/>
  <c r="U2173" i="1"/>
  <c r="BE2173" i="1"/>
  <c r="CC2173" i="1"/>
  <c r="CD2173" i="1"/>
  <c r="A2174" i="1"/>
  <c r="C2174" i="1"/>
  <c r="S2174" i="1"/>
  <c r="T2174" i="1"/>
  <c r="U2174" i="1"/>
  <c r="BE2174" i="1"/>
  <c r="CC2174" i="1"/>
  <c r="CD2174" i="1"/>
  <c r="A2175" i="1"/>
  <c r="C2175" i="1"/>
  <c r="S2175" i="1"/>
  <c r="T2175" i="1"/>
  <c r="U2175" i="1"/>
  <c r="BE2175" i="1"/>
  <c r="CC2175" i="1"/>
  <c r="CD2175" i="1"/>
  <c r="A2176" i="1"/>
  <c r="C2176" i="1"/>
  <c r="S2176" i="1"/>
  <c r="T2176" i="1"/>
  <c r="U2176" i="1"/>
  <c r="BE2176" i="1"/>
  <c r="CC2176" i="1"/>
  <c r="CD2176" i="1"/>
  <c r="A2177" i="1"/>
  <c r="C2177" i="1"/>
  <c r="S2177" i="1"/>
  <c r="T2177" i="1"/>
  <c r="U2177" i="1"/>
  <c r="BE2177" i="1"/>
  <c r="CC2177" i="1"/>
  <c r="CD2177" i="1"/>
  <c r="A2178" i="1"/>
  <c r="C2178" i="1"/>
  <c r="S2178" i="1"/>
  <c r="T2178" i="1"/>
  <c r="U2178" i="1"/>
  <c r="BE2178" i="1"/>
  <c r="CC2178" i="1"/>
  <c r="CD2178" i="1"/>
  <c r="A2179" i="1"/>
  <c r="C2179" i="1"/>
  <c r="S2179" i="1"/>
  <c r="T2179" i="1"/>
  <c r="U2179" i="1"/>
  <c r="BE2179" i="1"/>
  <c r="CC2179" i="1"/>
  <c r="CD2179" i="1"/>
  <c r="A2180" i="1"/>
  <c r="C2180" i="1"/>
  <c r="S2180" i="1"/>
  <c r="T2180" i="1"/>
  <c r="U2180" i="1"/>
  <c r="BE2180" i="1"/>
  <c r="CC2180" i="1"/>
  <c r="CD2180" i="1"/>
  <c r="A2181" i="1"/>
  <c r="C2181" i="1"/>
  <c r="S2181" i="1"/>
  <c r="T2181" i="1"/>
  <c r="U2181" i="1"/>
  <c r="BE2181" i="1"/>
  <c r="CC2181" i="1"/>
  <c r="CD2181" i="1"/>
  <c r="A2182" i="1"/>
  <c r="C2182" i="1"/>
  <c r="S2182" i="1"/>
  <c r="T2182" i="1"/>
  <c r="U2182" i="1"/>
  <c r="BE2182" i="1"/>
  <c r="CC2182" i="1"/>
  <c r="CD2182" i="1"/>
  <c r="A2183" i="1"/>
  <c r="C2183" i="1"/>
  <c r="S2183" i="1"/>
  <c r="T2183" i="1"/>
  <c r="U2183" i="1"/>
  <c r="BE2183" i="1"/>
  <c r="CC2183" i="1"/>
  <c r="CD2183" i="1"/>
  <c r="A2184" i="1"/>
  <c r="C2184" i="1"/>
  <c r="S2184" i="1"/>
  <c r="T2184" i="1"/>
  <c r="U2184" i="1"/>
  <c r="BE2184" i="1"/>
  <c r="CC2184" i="1"/>
  <c r="CD2184" i="1"/>
  <c r="A2185" i="1"/>
  <c r="C2185" i="1"/>
  <c r="S2185" i="1"/>
  <c r="T2185" i="1"/>
  <c r="U2185" i="1"/>
  <c r="BE2185" i="1"/>
  <c r="CC2185" i="1"/>
  <c r="CD2185" i="1"/>
  <c r="A2186" i="1"/>
  <c r="C2186" i="1"/>
  <c r="S2186" i="1"/>
  <c r="T2186" i="1"/>
  <c r="U2186" i="1"/>
  <c r="BE2186" i="1"/>
  <c r="CC2186" i="1"/>
  <c r="CD2186" i="1"/>
  <c r="A2187" i="1"/>
  <c r="C2187" i="1"/>
  <c r="S2187" i="1"/>
  <c r="T2187" i="1"/>
  <c r="U2187" i="1"/>
  <c r="BE2187" i="1"/>
  <c r="CC2187" i="1"/>
  <c r="CD2187" i="1"/>
  <c r="A2188" i="1"/>
  <c r="C2188" i="1"/>
  <c r="S2188" i="1"/>
  <c r="T2188" i="1"/>
  <c r="U2188" i="1"/>
  <c r="BE2188" i="1"/>
  <c r="CC2188" i="1"/>
  <c r="CD2188" i="1"/>
  <c r="A2189" i="1"/>
  <c r="C2189" i="1"/>
  <c r="S2189" i="1"/>
  <c r="T2189" i="1"/>
  <c r="U2189" i="1"/>
  <c r="BE2189" i="1"/>
  <c r="CC2189" i="1"/>
  <c r="CD2189" i="1"/>
  <c r="A2190" i="1"/>
  <c r="C2190" i="1"/>
  <c r="S2190" i="1"/>
  <c r="T2190" i="1"/>
  <c r="U2190" i="1"/>
  <c r="BE2190" i="1"/>
  <c r="CC2190" i="1"/>
  <c r="CD2190" i="1"/>
  <c r="A2191" i="1"/>
  <c r="C2191" i="1"/>
  <c r="S2191" i="1"/>
  <c r="T2191" i="1"/>
  <c r="U2191" i="1"/>
  <c r="BE2191" i="1"/>
  <c r="CC2191" i="1"/>
  <c r="CD2191" i="1"/>
  <c r="A2192" i="1"/>
  <c r="C2192" i="1"/>
  <c r="S2192" i="1"/>
  <c r="T2192" i="1"/>
  <c r="U2192" i="1"/>
  <c r="BE2192" i="1"/>
  <c r="CC2192" i="1"/>
  <c r="CD2192" i="1"/>
  <c r="A2193" i="1"/>
  <c r="C2193" i="1"/>
  <c r="S2193" i="1"/>
  <c r="T2193" i="1"/>
  <c r="U2193" i="1"/>
  <c r="BE2193" i="1"/>
  <c r="CC2193" i="1"/>
  <c r="CD2193" i="1"/>
  <c r="A2194" i="1"/>
  <c r="C2194" i="1"/>
  <c r="S2194" i="1"/>
  <c r="T2194" i="1"/>
  <c r="U2194" i="1"/>
  <c r="BE2194" i="1"/>
  <c r="CC2194" i="1"/>
  <c r="CD2194" i="1"/>
  <c r="A2195" i="1"/>
  <c r="C2195" i="1"/>
  <c r="S2195" i="1"/>
  <c r="T2195" i="1"/>
  <c r="U2195" i="1"/>
  <c r="BE2195" i="1"/>
  <c r="CC2195" i="1"/>
  <c r="CD2195" i="1"/>
  <c r="A2196" i="1"/>
  <c r="C2196" i="1"/>
  <c r="S2196" i="1"/>
  <c r="T2196" i="1"/>
  <c r="U2196" i="1"/>
  <c r="BE2196" i="1"/>
  <c r="CC2196" i="1"/>
  <c r="CD2196" i="1"/>
  <c r="A2197" i="1"/>
  <c r="C2197" i="1"/>
  <c r="S2197" i="1"/>
  <c r="T2197" i="1"/>
  <c r="U2197" i="1"/>
  <c r="BE2197" i="1"/>
  <c r="CC2197" i="1"/>
  <c r="CD2197" i="1"/>
  <c r="A2198" i="1"/>
  <c r="C2198" i="1"/>
  <c r="S2198" i="1"/>
  <c r="T2198" i="1"/>
  <c r="U2198" i="1"/>
  <c r="BE2198" i="1"/>
  <c r="CC2198" i="1"/>
  <c r="CD2198" i="1"/>
  <c r="A2199" i="1"/>
  <c r="C2199" i="1"/>
  <c r="S2199" i="1"/>
  <c r="T2199" i="1"/>
  <c r="U2199" i="1"/>
  <c r="BE2199" i="1"/>
  <c r="CC2199" i="1"/>
  <c r="CD2199" i="1"/>
  <c r="A2200" i="1"/>
  <c r="C2200" i="1"/>
  <c r="S2200" i="1"/>
  <c r="T2200" i="1"/>
  <c r="U2200" i="1"/>
  <c r="BE2200" i="1"/>
  <c r="CC2200" i="1"/>
  <c r="CD2200" i="1"/>
  <c r="A2201" i="1"/>
  <c r="C2201" i="1"/>
  <c r="S2201" i="1"/>
  <c r="T2201" i="1"/>
  <c r="U2201" i="1"/>
  <c r="BE2201" i="1"/>
  <c r="CC2201" i="1"/>
  <c r="CD2201" i="1"/>
  <c r="A2202" i="1"/>
  <c r="C2202" i="1"/>
  <c r="S2202" i="1"/>
  <c r="T2202" i="1"/>
  <c r="U2202" i="1"/>
  <c r="BE2202" i="1"/>
  <c r="CC2202" i="1"/>
  <c r="CD2202" i="1"/>
  <c r="A2203" i="1"/>
  <c r="C2203" i="1"/>
  <c r="S2203" i="1"/>
  <c r="T2203" i="1"/>
  <c r="U2203" i="1"/>
  <c r="BE2203" i="1"/>
  <c r="CC2203" i="1"/>
  <c r="CD2203" i="1"/>
  <c r="A2204" i="1"/>
  <c r="C2204" i="1"/>
  <c r="S2204" i="1"/>
  <c r="T2204" i="1"/>
  <c r="U2204" i="1"/>
  <c r="BE2204" i="1"/>
  <c r="CC2204" i="1"/>
  <c r="CD2204" i="1"/>
  <c r="A2205" i="1"/>
  <c r="C2205" i="1"/>
  <c r="S2205" i="1"/>
  <c r="T2205" i="1"/>
  <c r="U2205" i="1"/>
  <c r="BE2205" i="1"/>
  <c r="CC2205" i="1"/>
  <c r="CD2205" i="1"/>
  <c r="A2206" i="1"/>
  <c r="C2206" i="1"/>
  <c r="S2206" i="1"/>
  <c r="T2206" i="1"/>
  <c r="U2206" i="1"/>
  <c r="BE2206" i="1"/>
  <c r="CC2206" i="1"/>
  <c r="CD2206" i="1"/>
  <c r="A2207" i="1"/>
  <c r="C2207" i="1"/>
  <c r="S2207" i="1"/>
  <c r="T2207" i="1"/>
  <c r="U2207" i="1"/>
  <c r="BE2207" i="1"/>
  <c r="CC2207" i="1"/>
  <c r="CD2207" i="1"/>
  <c r="A2208" i="1"/>
  <c r="C2208" i="1"/>
  <c r="S2208" i="1"/>
  <c r="T2208" i="1"/>
  <c r="U2208" i="1"/>
  <c r="BE2208" i="1"/>
  <c r="CC2208" i="1"/>
  <c r="CD2208" i="1"/>
  <c r="A2209" i="1"/>
  <c r="C2209" i="1"/>
  <c r="S2209" i="1"/>
  <c r="T2209" i="1"/>
  <c r="U2209" i="1"/>
  <c r="BE2209" i="1"/>
  <c r="CC2209" i="1"/>
  <c r="CD2209" i="1"/>
  <c r="A2210" i="1"/>
  <c r="C2210" i="1"/>
  <c r="S2210" i="1"/>
  <c r="T2210" i="1"/>
  <c r="U2210" i="1"/>
  <c r="BE2210" i="1"/>
  <c r="CC2210" i="1"/>
  <c r="CD2210" i="1"/>
  <c r="A2211" i="1"/>
  <c r="C2211" i="1"/>
  <c r="S2211" i="1"/>
  <c r="T2211" i="1"/>
  <c r="U2211" i="1"/>
  <c r="BE2211" i="1"/>
  <c r="CC2211" i="1"/>
  <c r="CD2211" i="1"/>
  <c r="A2212" i="1"/>
  <c r="C2212" i="1"/>
  <c r="S2212" i="1"/>
  <c r="T2212" i="1"/>
  <c r="U2212" i="1"/>
  <c r="BE2212" i="1"/>
  <c r="CC2212" i="1"/>
  <c r="CD2212" i="1"/>
  <c r="A2213" i="1"/>
  <c r="C2213" i="1"/>
  <c r="S2213" i="1"/>
  <c r="T2213" i="1"/>
  <c r="U2213" i="1"/>
  <c r="BE2213" i="1"/>
  <c r="CC2213" i="1"/>
  <c r="CD2213" i="1"/>
  <c r="A2214" i="1"/>
  <c r="C2214" i="1"/>
  <c r="S2214" i="1"/>
  <c r="T2214" i="1"/>
  <c r="U2214" i="1"/>
  <c r="BE2214" i="1"/>
  <c r="CC2214" i="1"/>
  <c r="CD2214" i="1"/>
  <c r="A2215" i="1"/>
  <c r="C2215" i="1"/>
  <c r="S2215" i="1"/>
  <c r="T2215" i="1"/>
  <c r="U2215" i="1"/>
  <c r="BE2215" i="1"/>
  <c r="CC2215" i="1"/>
  <c r="CD2215" i="1"/>
  <c r="A2216" i="1"/>
  <c r="C2216" i="1"/>
  <c r="S2216" i="1"/>
  <c r="T2216" i="1"/>
  <c r="U2216" i="1"/>
  <c r="BE2216" i="1"/>
  <c r="CC2216" i="1"/>
  <c r="CD2216" i="1"/>
  <c r="A2217" i="1"/>
  <c r="C2217" i="1"/>
  <c r="S2217" i="1"/>
  <c r="T2217" i="1"/>
  <c r="U2217" i="1"/>
  <c r="BE2217" i="1"/>
  <c r="CC2217" i="1"/>
  <c r="CD2217" i="1"/>
  <c r="A2218" i="1"/>
  <c r="C2218" i="1"/>
  <c r="S2218" i="1"/>
  <c r="T2218" i="1"/>
  <c r="U2218" i="1"/>
  <c r="BE2218" i="1"/>
  <c r="CC2218" i="1"/>
  <c r="CD2218" i="1"/>
  <c r="A2219" i="1"/>
  <c r="C2219" i="1"/>
  <c r="S2219" i="1"/>
  <c r="T2219" i="1"/>
  <c r="U2219" i="1"/>
  <c r="BE2219" i="1"/>
  <c r="CC2219" i="1"/>
  <c r="CD2219" i="1"/>
  <c r="A2220" i="1"/>
  <c r="C2220" i="1"/>
  <c r="S2220" i="1"/>
  <c r="T2220" i="1"/>
  <c r="U2220" i="1"/>
  <c r="BE2220" i="1"/>
  <c r="CC2220" i="1"/>
  <c r="CD2220" i="1"/>
  <c r="A2221" i="1"/>
  <c r="C2221" i="1"/>
  <c r="S2221" i="1"/>
  <c r="T2221" i="1"/>
  <c r="U2221" i="1"/>
  <c r="BE2221" i="1"/>
  <c r="CC2221" i="1"/>
  <c r="CD2221" i="1"/>
  <c r="A2222" i="1"/>
  <c r="C2222" i="1"/>
  <c r="S2222" i="1"/>
  <c r="T2222" i="1"/>
  <c r="U2222" i="1"/>
  <c r="BE2222" i="1"/>
  <c r="CC2222" i="1"/>
  <c r="CD2222" i="1"/>
  <c r="A2223" i="1"/>
  <c r="C2223" i="1"/>
  <c r="S2223" i="1"/>
  <c r="T2223" i="1"/>
  <c r="U2223" i="1"/>
  <c r="BE2223" i="1"/>
  <c r="CC2223" i="1"/>
  <c r="CD2223" i="1"/>
  <c r="A2224" i="1"/>
  <c r="C2224" i="1"/>
  <c r="S2224" i="1"/>
  <c r="T2224" i="1"/>
  <c r="U2224" i="1"/>
  <c r="BE2224" i="1"/>
  <c r="CC2224" i="1"/>
  <c r="CD2224" i="1"/>
  <c r="A2225" i="1"/>
  <c r="C2225" i="1"/>
  <c r="S2225" i="1"/>
  <c r="T2225" i="1"/>
  <c r="U2225" i="1"/>
  <c r="BE2225" i="1"/>
  <c r="CC2225" i="1"/>
  <c r="CD2225" i="1"/>
  <c r="A2226" i="1"/>
  <c r="C2226" i="1"/>
  <c r="S2226" i="1"/>
  <c r="T2226" i="1"/>
  <c r="U2226" i="1"/>
  <c r="BE2226" i="1"/>
  <c r="CC2226" i="1"/>
  <c r="CD2226" i="1"/>
  <c r="A2227" i="1"/>
  <c r="C2227" i="1"/>
  <c r="S2227" i="1"/>
  <c r="T2227" i="1"/>
  <c r="U2227" i="1"/>
  <c r="BE2227" i="1"/>
  <c r="CC2227" i="1"/>
  <c r="CD2227" i="1"/>
  <c r="A2228" i="1"/>
  <c r="C2228" i="1"/>
  <c r="S2228" i="1"/>
  <c r="T2228" i="1"/>
  <c r="U2228" i="1"/>
  <c r="BE2228" i="1"/>
  <c r="CC2228" i="1"/>
  <c r="CD2228" i="1"/>
  <c r="A2229" i="1"/>
  <c r="C2229" i="1"/>
  <c r="S2229" i="1"/>
  <c r="T2229" i="1"/>
  <c r="U2229" i="1"/>
  <c r="BE2229" i="1"/>
  <c r="CC2229" i="1"/>
  <c r="CD2229" i="1"/>
  <c r="A2230" i="1"/>
  <c r="C2230" i="1"/>
  <c r="S2230" i="1"/>
  <c r="T2230" i="1"/>
  <c r="U2230" i="1"/>
  <c r="BE2230" i="1"/>
  <c r="CC2230" i="1"/>
  <c r="CD2230" i="1"/>
  <c r="A2231" i="1"/>
  <c r="C2231" i="1"/>
  <c r="S2231" i="1"/>
  <c r="T2231" i="1"/>
  <c r="U2231" i="1"/>
  <c r="BE2231" i="1"/>
  <c r="CC2231" i="1"/>
  <c r="CD2231" i="1"/>
  <c r="A2232" i="1"/>
  <c r="C2232" i="1"/>
  <c r="S2232" i="1"/>
  <c r="T2232" i="1"/>
  <c r="U2232" i="1"/>
  <c r="BE2232" i="1"/>
  <c r="CC2232" i="1"/>
  <c r="CD2232" i="1"/>
  <c r="A2233" i="1"/>
  <c r="C2233" i="1"/>
  <c r="S2233" i="1"/>
  <c r="T2233" i="1"/>
  <c r="U2233" i="1"/>
  <c r="BE2233" i="1"/>
  <c r="CC2233" i="1"/>
  <c r="CD2233" i="1"/>
  <c r="A2234" i="1"/>
  <c r="C2234" i="1"/>
  <c r="S2234" i="1"/>
  <c r="T2234" i="1"/>
  <c r="U2234" i="1"/>
  <c r="BE2234" i="1"/>
  <c r="CC2234" i="1"/>
  <c r="CD2234" i="1"/>
  <c r="A2235" i="1"/>
  <c r="C2235" i="1"/>
  <c r="S2235" i="1"/>
  <c r="T2235" i="1"/>
  <c r="U2235" i="1"/>
  <c r="BE2235" i="1"/>
  <c r="CC2235" i="1"/>
  <c r="CD2235" i="1"/>
  <c r="A2236" i="1"/>
  <c r="C2236" i="1"/>
  <c r="S2236" i="1"/>
  <c r="T2236" i="1"/>
  <c r="U2236" i="1"/>
  <c r="BE2236" i="1"/>
  <c r="CC2236" i="1"/>
  <c r="CD2236" i="1"/>
  <c r="A2237" i="1"/>
  <c r="C2237" i="1"/>
  <c r="S2237" i="1"/>
  <c r="T2237" i="1"/>
  <c r="U2237" i="1"/>
  <c r="BE2237" i="1"/>
  <c r="CC2237" i="1"/>
  <c r="CD2237" i="1"/>
  <c r="A2238" i="1"/>
  <c r="C2238" i="1"/>
  <c r="S2238" i="1"/>
  <c r="T2238" i="1"/>
  <c r="U2238" i="1"/>
  <c r="BE2238" i="1"/>
  <c r="CC2238" i="1"/>
  <c r="CD2238" i="1"/>
  <c r="A2239" i="1"/>
  <c r="C2239" i="1"/>
  <c r="S2239" i="1"/>
  <c r="T2239" i="1"/>
  <c r="U2239" i="1"/>
  <c r="BE2239" i="1"/>
  <c r="CC2239" i="1"/>
  <c r="CD2239" i="1"/>
  <c r="A2240" i="1"/>
  <c r="C2240" i="1"/>
  <c r="S2240" i="1"/>
  <c r="T2240" i="1"/>
  <c r="U2240" i="1"/>
  <c r="BE2240" i="1"/>
  <c r="CC2240" i="1"/>
  <c r="CD2240" i="1"/>
  <c r="A2241" i="1"/>
  <c r="C2241" i="1"/>
  <c r="S2241" i="1"/>
  <c r="T2241" i="1"/>
  <c r="U2241" i="1"/>
  <c r="BE2241" i="1"/>
  <c r="CC2241" i="1"/>
  <c r="CD2241" i="1"/>
  <c r="A2242" i="1"/>
  <c r="C2242" i="1"/>
  <c r="S2242" i="1"/>
  <c r="T2242" i="1"/>
  <c r="U2242" i="1"/>
  <c r="BE2242" i="1"/>
  <c r="CC2242" i="1"/>
  <c r="CD2242" i="1"/>
  <c r="A2243" i="1"/>
  <c r="C2243" i="1"/>
  <c r="S2243" i="1"/>
  <c r="T2243" i="1"/>
  <c r="U2243" i="1"/>
  <c r="BE2243" i="1"/>
  <c r="CC2243" i="1"/>
  <c r="CD2243" i="1"/>
  <c r="A2244" i="1"/>
  <c r="C2244" i="1"/>
  <c r="S2244" i="1"/>
  <c r="T2244" i="1"/>
  <c r="U2244" i="1"/>
  <c r="BE2244" i="1"/>
  <c r="CC2244" i="1"/>
  <c r="CD2244" i="1"/>
  <c r="A2245" i="1"/>
  <c r="C2245" i="1"/>
  <c r="S2245" i="1"/>
  <c r="T2245" i="1"/>
  <c r="U2245" i="1"/>
  <c r="BE2245" i="1"/>
  <c r="CC2245" i="1"/>
  <c r="CD2245" i="1"/>
  <c r="A2246" i="1"/>
  <c r="C2246" i="1"/>
  <c r="S2246" i="1"/>
  <c r="T2246" i="1"/>
  <c r="U2246" i="1"/>
  <c r="BE2246" i="1"/>
  <c r="CC2246" i="1"/>
  <c r="CD2246" i="1"/>
  <c r="A2247" i="1"/>
  <c r="C2247" i="1"/>
  <c r="S2247" i="1"/>
  <c r="T2247" i="1"/>
  <c r="U2247" i="1"/>
  <c r="BE2247" i="1"/>
  <c r="CC2247" i="1"/>
  <c r="CD2247" i="1"/>
  <c r="A2248" i="1"/>
  <c r="C2248" i="1"/>
  <c r="S2248" i="1"/>
  <c r="T2248" i="1"/>
  <c r="U2248" i="1"/>
  <c r="BE2248" i="1"/>
  <c r="CC2248" i="1"/>
  <c r="CD2248" i="1"/>
  <c r="A2249" i="1"/>
  <c r="C2249" i="1"/>
  <c r="S2249" i="1"/>
  <c r="T2249" i="1"/>
  <c r="U2249" i="1"/>
  <c r="BE2249" i="1"/>
  <c r="CC2249" i="1"/>
  <c r="CD2249" i="1"/>
  <c r="A2250" i="1"/>
  <c r="C2250" i="1"/>
  <c r="S2250" i="1"/>
  <c r="T2250" i="1"/>
  <c r="U2250" i="1"/>
  <c r="BE2250" i="1"/>
  <c r="CC2250" i="1"/>
  <c r="CD2250" i="1"/>
  <c r="A2251" i="1"/>
  <c r="C2251" i="1"/>
  <c r="S2251" i="1"/>
  <c r="T2251" i="1"/>
  <c r="U2251" i="1"/>
  <c r="BE2251" i="1"/>
  <c r="CC2251" i="1"/>
  <c r="CD2251" i="1"/>
  <c r="A2252" i="1"/>
  <c r="C2252" i="1"/>
  <c r="S2252" i="1"/>
  <c r="T2252" i="1"/>
  <c r="U2252" i="1"/>
  <c r="BE2252" i="1"/>
  <c r="CC2252" i="1"/>
  <c r="CD2252" i="1"/>
  <c r="A2253" i="1"/>
  <c r="C2253" i="1"/>
  <c r="S2253" i="1"/>
  <c r="T2253" i="1"/>
  <c r="U2253" i="1"/>
  <c r="BE2253" i="1"/>
  <c r="CC2253" i="1"/>
  <c r="CD2253" i="1"/>
  <c r="A2254" i="1"/>
  <c r="C2254" i="1"/>
  <c r="S2254" i="1"/>
  <c r="T2254" i="1"/>
  <c r="U2254" i="1"/>
  <c r="BE2254" i="1"/>
  <c r="CC2254" i="1"/>
  <c r="CD2254" i="1"/>
  <c r="A2255" i="1"/>
  <c r="C2255" i="1"/>
  <c r="S2255" i="1"/>
  <c r="T2255" i="1"/>
  <c r="U2255" i="1"/>
  <c r="BE2255" i="1"/>
  <c r="CC2255" i="1"/>
  <c r="CD2255" i="1"/>
  <c r="A2256" i="1"/>
  <c r="C2256" i="1"/>
  <c r="S2256" i="1"/>
  <c r="T2256" i="1"/>
  <c r="U2256" i="1"/>
  <c r="BE2256" i="1"/>
  <c r="CC2256" i="1"/>
  <c r="CD2256" i="1"/>
  <c r="A2257" i="1"/>
  <c r="C2257" i="1"/>
  <c r="S2257" i="1"/>
  <c r="T2257" i="1"/>
  <c r="U2257" i="1"/>
  <c r="BE2257" i="1"/>
  <c r="CC2257" i="1"/>
  <c r="CD2257" i="1"/>
  <c r="A2258" i="1"/>
  <c r="C2258" i="1"/>
  <c r="S2258" i="1"/>
  <c r="T2258" i="1"/>
  <c r="U2258" i="1"/>
  <c r="BE2258" i="1"/>
  <c r="CC2258" i="1"/>
  <c r="CD2258" i="1"/>
  <c r="A2259" i="1"/>
  <c r="C2259" i="1"/>
  <c r="S2259" i="1"/>
  <c r="T2259" i="1"/>
  <c r="U2259" i="1"/>
  <c r="BE2259" i="1"/>
  <c r="CC2259" i="1"/>
  <c r="CD2259" i="1"/>
  <c r="A2260" i="1"/>
  <c r="C2260" i="1"/>
  <c r="S2260" i="1"/>
  <c r="T2260" i="1"/>
  <c r="U2260" i="1"/>
  <c r="BE2260" i="1"/>
  <c r="CC2260" i="1"/>
  <c r="CD2260" i="1"/>
  <c r="A2261" i="1"/>
  <c r="C2261" i="1"/>
  <c r="S2261" i="1"/>
  <c r="T2261" i="1"/>
  <c r="U2261" i="1"/>
  <c r="BE2261" i="1"/>
  <c r="CC2261" i="1"/>
  <c r="CD2261" i="1"/>
  <c r="A2262" i="1"/>
  <c r="C2262" i="1"/>
  <c r="S2262" i="1"/>
  <c r="T2262" i="1"/>
  <c r="U2262" i="1"/>
  <c r="BE2262" i="1"/>
  <c r="CC2262" i="1"/>
  <c r="CD2262" i="1"/>
  <c r="A2263" i="1"/>
  <c r="C2263" i="1"/>
  <c r="S2263" i="1"/>
  <c r="T2263" i="1"/>
  <c r="U2263" i="1"/>
  <c r="BE2263" i="1"/>
  <c r="CC2263" i="1"/>
  <c r="CD2263" i="1"/>
  <c r="A2264" i="1"/>
  <c r="C2264" i="1"/>
  <c r="S2264" i="1"/>
  <c r="T2264" i="1"/>
  <c r="U2264" i="1"/>
  <c r="BE2264" i="1"/>
  <c r="CC2264" i="1"/>
  <c r="CD2264" i="1"/>
  <c r="A2265" i="1"/>
  <c r="C2265" i="1"/>
  <c r="S2265" i="1"/>
  <c r="T2265" i="1"/>
  <c r="U2265" i="1"/>
  <c r="BE2265" i="1"/>
  <c r="CC2265" i="1"/>
  <c r="CD2265" i="1"/>
  <c r="A2266" i="1"/>
  <c r="C2266" i="1"/>
  <c r="S2266" i="1"/>
  <c r="T2266" i="1"/>
  <c r="U2266" i="1"/>
  <c r="BE2266" i="1"/>
  <c r="CC2266" i="1"/>
  <c r="CD2266" i="1"/>
  <c r="A2267" i="1"/>
  <c r="C2267" i="1"/>
  <c r="S2267" i="1"/>
  <c r="T2267" i="1"/>
  <c r="U2267" i="1"/>
  <c r="BE2267" i="1"/>
  <c r="CC2267" i="1"/>
  <c r="CD2267" i="1"/>
  <c r="A2268" i="1"/>
  <c r="C2268" i="1"/>
  <c r="S2268" i="1"/>
  <c r="T2268" i="1"/>
  <c r="U2268" i="1"/>
  <c r="BE2268" i="1"/>
  <c r="CC2268" i="1"/>
  <c r="CD2268" i="1"/>
  <c r="A2269" i="1"/>
  <c r="C2269" i="1"/>
  <c r="S2269" i="1"/>
  <c r="T2269" i="1"/>
  <c r="U2269" i="1"/>
  <c r="BE2269" i="1"/>
  <c r="CC2269" i="1"/>
  <c r="CD2269" i="1"/>
  <c r="A2270" i="1"/>
  <c r="C2270" i="1"/>
  <c r="S2270" i="1"/>
  <c r="T2270" i="1"/>
  <c r="U2270" i="1"/>
  <c r="BE2270" i="1"/>
  <c r="CC2270" i="1"/>
  <c r="CD2270" i="1"/>
  <c r="A2271" i="1"/>
  <c r="C2271" i="1"/>
  <c r="S2271" i="1"/>
  <c r="T2271" i="1"/>
  <c r="U2271" i="1"/>
  <c r="BE2271" i="1"/>
  <c r="CC2271" i="1"/>
  <c r="CD2271" i="1"/>
  <c r="A2272" i="1"/>
  <c r="C2272" i="1"/>
  <c r="S2272" i="1"/>
  <c r="T2272" i="1"/>
  <c r="U2272" i="1"/>
  <c r="BE2272" i="1"/>
  <c r="CC2272" i="1"/>
  <c r="CD2272" i="1"/>
  <c r="A2273" i="1"/>
  <c r="C2273" i="1"/>
  <c r="S2273" i="1"/>
  <c r="T2273" i="1"/>
  <c r="U2273" i="1"/>
  <c r="BE2273" i="1"/>
  <c r="CC2273" i="1"/>
  <c r="CD2273" i="1"/>
  <c r="A2274" i="1"/>
  <c r="C2274" i="1"/>
  <c r="S2274" i="1"/>
  <c r="T2274" i="1"/>
  <c r="U2274" i="1"/>
  <c r="BE2274" i="1"/>
  <c r="CC2274" i="1"/>
  <c r="CD2274" i="1"/>
  <c r="A2275" i="1"/>
  <c r="C2275" i="1"/>
  <c r="S2275" i="1"/>
  <c r="T2275" i="1"/>
  <c r="U2275" i="1"/>
  <c r="BE2275" i="1"/>
  <c r="CC2275" i="1"/>
  <c r="CD2275" i="1"/>
  <c r="A2276" i="1"/>
  <c r="C2276" i="1"/>
  <c r="S2276" i="1"/>
  <c r="T2276" i="1"/>
  <c r="U2276" i="1"/>
  <c r="BE2276" i="1"/>
  <c r="CC2276" i="1"/>
  <c r="CD2276" i="1"/>
  <c r="A2277" i="1"/>
  <c r="C2277" i="1"/>
  <c r="S2277" i="1"/>
  <c r="T2277" i="1"/>
  <c r="U2277" i="1"/>
  <c r="BE2277" i="1"/>
  <c r="CC2277" i="1"/>
  <c r="CD2277" i="1"/>
  <c r="A2278" i="1"/>
  <c r="C2278" i="1"/>
  <c r="S2278" i="1"/>
  <c r="T2278" i="1"/>
  <c r="U2278" i="1"/>
  <c r="BE2278" i="1"/>
  <c r="CC2278" i="1"/>
  <c r="CD2278" i="1"/>
  <c r="A2279" i="1"/>
  <c r="C2279" i="1"/>
  <c r="S2279" i="1"/>
  <c r="T2279" i="1"/>
  <c r="U2279" i="1"/>
  <c r="BE2279" i="1"/>
  <c r="CC2279" i="1"/>
  <c r="CD2279" i="1"/>
  <c r="A2280" i="1"/>
  <c r="C2280" i="1"/>
  <c r="S2280" i="1"/>
  <c r="T2280" i="1"/>
  <c r="U2280" i="1"/>
  <c r="BE2280" i="1"/>
  <c r="CC2280" i="1"/>
  <c r="CD2280" i="1"/>
  <c r="A2281" i="1"/>
  <c r="C2281" i="1"/>
  <c r="S2281" i="1"/>
  <c r="T2281" i="1"/>
  <c r="U2281" i="1"/>
  <c r="BE2281" i="1"/>
  <c r="CC2281" i="1"/>
  <c r="CD2281" i="1"/>
  <c r="A2282" i="1"/>
  <c r="C2282" i="1"/>
  <c r="S2282" i="1"/>
  <c r="T2282" i="1"/>
  <c r="U2282" i="1"/>
  <c r="BE2282" i="1"/>
  <c r="CC2282" i="1"/>
  <c r="CD2282" i="1"/>
  <c r="A2283" i="1"/>
  <c r="C2283" i="1"/>
  <c r="S2283" i="1"/>
  <c r="T2283" i="1"/>
  <c r="U2283" i="1"/>
  <c r="BE2283" i="1"/>
  <c r="CC2283" i="1"/>
  <c r="CD2283" i="1"/>
  <c r="A2284" i="1"/>
  <c r="C2284" i="1"/>
  <c r="S2284" i="1"/>
  <c r="T2284" i="1"/>
  <c r="U2284" i="1"/>
  <c r="BE2284" i="1"/>
  <c r="CC2284" i="1"/>
  <c r="CD2284" i="1"/>
  <c r="A2285" i="1"/>
  <c r="C2285" i="1"/>
  <c r="S2285" i="1"/>
  <c r="T2285" i="1"/>
  <c r="U2285" i="1"/>
  <c r="BE2285" i="1"/>
  <c r="CC2285" i="1"/>
  <c r="CD2285" i="1"/>
  <c r="A2286" i="1"/>
  <c r="C2286" i="1"/>
  <c r="S2286" i="1"/>
  <c r="T2286" i="1"/>
  <c r="U2286" i="1"/>
  <c r="BE2286" i="1"/>
  <c r="CC2286" i="1"/>
  <c r="CD2286" i="1"/>
  <c r="A2287" i="1"/>
  <c r="C2287" i="1"/>
  <c r="S2287" i="1"/>
  <c r="T2287" i="1"/>
  <c r="U2287" i="1"/>
  <c r="BE2287" i="1"/>
  <c r="CC2287" i="1"/>
  <c r="CD2287" i="1"/>
  <c r="A2288" i="1"/>
  <c r="C2288" i="1"/>
  <c r="S2288" i="1"/>
  <c r="T2288" i="1"/>
  <c r="U2288" i="1"/>
  <c r="BE2288" i="1"/>
  <c r="CC2288" i="1"/>
  <c r="CD2288" i="1"/>
  <c r="A2289" i="1"/>
  <c r="C2289" i="1"/>
  <c r="S2289" i="1"/>
  <c r="T2289" i="1"/>
  <c r="U2289" i="1"/>
  <c r="BE2289" i="1"/>
  <c r="CC2289" i="1"/>
  <c r="CD2289" i="1"/>
  <c r="A2290" i="1"/>
  <c r="C2290" i="1"/>
  <c r="S2290" i="1"/>
  <c r="T2290" i="1"/>
  <c r="U2290" i="1"/>
  <c r="BE2290" i="1"/>
  <c r="CC2290" i="1"/>
  <c r="CD2290" i="1"/>
  <c r="A2291" i="1"/>
  <c r="C2291" i="1"/>
  <c r="S2291" i="1"/>
  <c r="T2291" i="1"/>
  <c r="U2291" i="1"/>
  <c r="BE2291" i="1"/>
  <c r="CC2291" i="1"/>
  <c r="CD2291" i="1"/>
  <c r="A2292" i="1"/>
  <c r="C2292" i="1"/>
  <c r="S2292" i="1"/>
  <c r="T2292" i="1"/>
  <c r="U2292" i="1"/>
  <c r="BE2292" i="1"/>
  <c r="CC2292" i="1"/>
  <c r="CD2292" i="1"/>
  <c r="A2293" i="1"/>
  <c r="C2293" i="1"/>
  <c r="S2293" i="1"/>
  <c r="T2293" i="1"/>
  <c r="U2293" i="1"/>
  <c r="BE2293" i="1"/>
  <c r="CC2293" i="1"/>
  <c r="CD2293" i="1"/>
  <c r="A2294" i="1"/>
  <c r="C2294" i="1"/>
  <c r="S2294" i="1"/>
  <c r="T2294" i="1"/>
  <c r="U2294" i="1"/>
  <c r="BE2294" i="1"/>
  <c r="CC2294" i="1"/>
  <c r="CD2294" i="1"/>
  <c r="A2295" i="1"/>
  <c r="C2295" i="1"/>
  <c r="S2295" i="1"/>
  <c r="T2295" i="1"/>
  <c r="U2295" i="1"/>
  <c r="BE2295" i="1"/>
  <c r="CC2295" i="1"/>
  <c r="CD2295" i="1"/>
  <c r="A2296" i="1"/>
  <c r="C2296" i="1"/>
  <c r="S2296" i="1"/>
  <c r="T2296" i="1"/>
  <c r="U2296" i="1"/>
  <c r="BE2296" i="1"/>
  <c r="CC2296" i="1"/>
  <c r="CD2296" i="1"/>
  <c r="A2297" i="1"/>
  <c r="C2297" i="1"/>
  <c r="S2297" i="1"/>
  <c r="T2297" i="1"/>
  <c r="U2297" i="1"/>
  <c r="BE2297" i="1"/>
  <c r="CC2297" i="1"/>
  <c r="CD2297" i="1"/>
  <c r="A2298" i="1"/>
  <c r="C2298" i="1"/>
  <c r="S2298" i="1"/>
  <c r="T2298" i="1"/>
  <c r="U2298" i="1"/>
  <c r="BE2298" i="1"/>
  <c r="CC2298" i="1"/>
  <c r="CD2298" i="1"/>
  <c r="A2299" i="1"/>
  <c r="C2299" i="1"/>
  <c r="S2299" i="1"/>
  <c r="T2299" i="1"/>
  <c r="U2299" i="1"/>
  <c r="BE2299" i="1"/>
  <c r="CC2299" i="1"/>
  <c r="CD2299" i="1"/>
  <c r="A2300" i="1"/>
  <c r="C2300" i="1"/>
  <c r="S2300" i="1"/>
  <c r="T2300" i="1"/>
  <c r="U2300" i="1"/>
  <c r="BE2300" i="1"/>
  <c r="CC2300" i="1"/>
  <c r="CD2300" i="1"/>
  <c r="A2301" i="1"/>
  <c r="C2301" i="1"/>
  <c r="S2301" i="1"/>
  <c r="T2301" i="1"/>
  <c r="U2301" i="1"/>
  <c r="BE2301" i="1"/>
  <c r="CC2301" i="1"/>
  <c r="CD2301" i="1"/>
  <c r="A2302" i="1"/>
  <c r="C2302" i="1"/>
  <c r="S2302" i="1"/>
  <c r="T2302" i="1"/>
  <c r="U2302" i="1"/>
  <c r="BE2302" i="1"/>
  <c r="CC2302" i="1"/>
  <c r="CD2302" i="1"/>
  <c r="A2303" i="1"/>
  <c r="C2303" i="1"/>
  <c r="S2303" i="1"/>
  <c r="T2303" i="1"/>
  <c r="U2303" i="1"/>
  <c r="BE2303" i="1"/>
  <c r="CC2303" i="1"/>
  <c r="CD2303" i="1"/>
  <c r="A2304" i="1"/>
  <c r="C2304" i="1"/>
  <c r="S2304" i="1"/>
  <c r="T2304" i="1"/>
  <c r="U2304" i="1"/>
  <c r="BE2304" i="1"/>
  <c r="CC2304" i="1"/>
  <c r="CD2304" i="1"/>
  <c r="A2305" i="1"/>
  <c r="C2305" i="1"/>
  <c r="S2305" i="1"/>
  <c r="T2305" i="1"/>
  <c r="U2305" i="1"/>
  <c r="BE2305" i="1"/>
  <c r="CC2305" i="1"/>
  <c r="CD2305" i="1"/>
  <c r="A2306" i="1"/>
  <c r="C2306" i="1"/>
  <c r="S2306" i="1"/>
  <c r="T2306" i="1"/>
  <c r="U2306" i="1"/>
  <c r="BE2306" i="1"/>
  <c r="CC2306" i="1"/>
  <c r="CD2306" i="1"/>
  <c r="A2307" i="1"/>
  <c r="C2307" i="1"/>
  <c r="S2307" i="1"/>
  <c r="T2307" i="1"/>
  <c r="U2307" i="1"/>
  <c r="BE2307" i="1"/>
  <c r="CC2307" i="1"/>
  <c r="CD2307" i="1"/>
  <c r="A2308" i="1"/>
  <c r="C2308" i="1"/>
  <c r="S2308" i="1"/>
  <c r="T2308" i="1"/>
  <c r="U2308" i="1"/>
  <c r="BE2308" i="1"/>
  <c r="CC2308" i="1"/>
  <c r="CD2308" i="1"/>
  <c r="A2309" i="1"/>
  <c r="C2309" i="1"/>
  <c r="S2309" i="1"/>
  <c r="T2309" i="1"/>
  <c r="U2309" i="1"/>
  <c r="BE2309" i="1"/>
  <c r="CC2309" i="1"/>
  <c r="CD2309" i="1"/>
  <c r="A2310" i="1"/>
  <c r="C2310" i="1"/>
  <c r="S2310" i="1"/>
  <c r="T2310" i="1"/>
  <c r="U2310" i="1"/>
  <c r="BE2310" i="1"/>
  <c r="CC2310" i="1"/>
  <c r="CD2310" i="1"/>
  <c r="A2311" i="1"/>
  <c r="C2311" i="1"/>
  <c r="S2311" i="1"/>
  <c r="T2311" i="1"/>
  <c r="U2311" i="1"/>
  <c r="BE2311" i="1"/>
  <c r="CC2311" i="1"/>
  <c r="CD2311" i="1"/>
  <c r="A2312" i="1"/>
  <c r="C2312" i="1"/>
  <c r="S2312" i="1"/>
  <c r="T2312" i="1"/>
  <c r="U2312" i="1"/>
  <c r="BE2312" i="1"/>
  <c r="CC2312" i="1"/>
  <c r="CD2312" i="1"/>
  <c r="A2313" i="1"/>
  <c r="C2313" i="1"/>
  <c r="S2313" i="1"/>
  <c r="T2313" i="1"/>
  <c r="U2313" i="1"/>
  <c r="BE2313" i="1"/>
  <c r="CC2313" i="1"/>
  <c r="CD2313" i="1"/>
  <c r="A2314" i="1"/>
  <c r="C2314" i="1"/>
  <c r="S2314" i="1"/>
  <c r="T2314" i="1"/>
  <c r="U2314" i="1"/>
  <c r="BE2314" i="1"/>
  <c r="CC2314" i="1"/>
  <c r="CD2314" i="1"/>
  <c r="A2315" i="1"/>
  <c r="C2315" i="1"/>
  <c r="S2315" i="1"/>
  <c r="T2315" i="1"/>
  <c r="U2315" i="1"/>
  <c r="BE2315" i="1"/>
  <c r="CC2315" i="1"/>
  <c r="CD2315" i="1"/>
  <c r="A2316" i="1"/>
  <c r="C2316" i="1"/>
  <c r="S2316" i="1"/>
  <c r="T2316" i="1"/>
  <c r="U2316" i="1"/>
  <c r="BE2316" i="1"/>
  <c r="CC2316" i="1"/>
  <c r="CD2316" i="1"/>
  <c r="A2317" i="1"/>
  <c r="C2317" i="1"/>
  <c r="S2317" i="1"/>
  <c r="T2317" i="1"/>
  <c r="U2317" i="1"/>
  <c r="BE2317" i="1"/>
  <c r="CC2317" i="1"/>
  <c r="CD2317" i="1"/>
  <c r="A2318" i="1"/>
  <c r="C2318" i="1"/>
  <c r="S2318" i="1"/>
  <c r="T2318" i="1"/>
  <c r="U2318" i="1"/>
  <c r="BE2318" i="1"/>
  <c r="CC2318" i="1"/>
  <c r="CD2318" i="1"/>
  <c r="A2319" i="1"/>
  <c r="C2319" i="1"/>
  <c r="S2319" i="1"/>
  <c r="T2319" i="1"/>
  <c r="U2319" i="1"/>
  <c r="BE2319" i="1"/>
  <c r="CC2319" i="1"/>
  <c r="CD2319" i="1"/>
  <c r="A2320" i="1"/>
  <c r="C2320" i="1"/>
  <c r="S2320" i="1"/>
  <c r="T2320" i="1"/>
  <c r="U2320" i="1"/>
  <c r="BE2320" i="1"/>
  <c r="CC2320" i="1"/>
  <c r="CD2320" i="1"/>
  <c r="A2321" i="1"/>
  <c r="C2321" i="1"/>
  <c r="S2321" i="1"/>
  <c r="T2321" i="1"/>
  <c r="U2321" i="1"/>
  <c r="BE2321" i="1"/>
  <c r="CC2321" i="1"/>
  <c r="CD2321" i="1"/>
  <c r="A2322" i="1"/>
  <c r="C2322" i="1"/>
  <c r="S2322" i="1"/>
  <c r="T2322" i="1"/>
  <c r="U2322" i="1"/>
  <c r="BE2322" i="1"/>
  <c r="CC2322" i="1"/>
  <c r="CD2322" i="1"/>
  <c r="A2323" i="1"/>
  <c r="C2323" i="1"/>
  <c r="S2323" i="1"/>
  <c r="T2323" i="1"/>
  <c r="U2323" i="1"/>
  <c r="BE2323" i="1"/>
  <c r="CC2323" i="1"/>
  <c r="CD2323" i="1"/>
  <c r="A2324" i="1"/>
  <c r="C2324" i="1"/>
  <c r="S2324" i="1"/>
  <c r="T2324" i="1"/>
  <c r="U2324" i="1"/>
  <c r="BE2324" i="1"/>
  <c r="CC2324" i="1"/>
  <c r="CD2324" i="1"/>
  <c r="A2325" i="1"/>
  <c r="C2325" i="1"/>
  <c r="S2325" i="1"/>
  <c r="T2325" i="1"/>
  <c r="U2325" i="1"/>
  <c r="BE2325" i="1"/>
  <c r="CC2325" i="1"/>
  <c r="CD2325" i="1"/>
  <c r="A2326" i="1"/>
  <c r="C2326" i="1"/>
  <c r="S2326" i="1"/>
  <c r="T2326" i="1"/>
  <c r="U2326" i="1"/>
  <c r="BE2326" i="1"/>
  <c r="CC2326" i="1"/>
  <c r="CD2326" i="1"/>
  <c r="A2327" i="1"/>
  <c r="C2327" i="1"/>
  <c r="S2327" i="1"/>
  <c r="T2327" i="1"/>
  <c r="U2327" i="1"/>
  <c r="BE2327" i="1"/>
  <c r="CC2327" i="1"/>
  <c r="CD2327" i="1"/>
  <c r="A2328" i="1"/>
  <c r="C2328" i="1"/>
  <c r="S2328" i="1"/>
  <c r="T2328" i="1"/>
  <c r="U2328" i="1"/>
  <c r="BE2328" i="1"/>
  <c r="CC2328" i="1"/>
  <c r="CD2328" i="1"/>
  <c r="A2329" i="1"/>
  <c r="C2329" i="1"/>
  <c r="S2329" i="1"/>
  <c r="T2329" i="1"/>
  <c r="U2329" i="1"/>
  <c r="BE2329" i="1"/>
  <c r="CC2329" i="1"/>
  <c r="CD2329" i="1"/>
  <c r="A2330" i="1"/>
  <c r="C2330" i="1"/>
  <c r="S2330" i="1"/>
  <c r="T2330" i="1"/>
  <c r="U2330" i="1"/>
  <c r="BE2330" i="1"/>
  <c r="CC2330" i="1"/>
  <c r="CD2330" i="1"/>
  <c r="A2331" i="1"/>
  <c r="C2331" i="1"/>
  <c r="S2331" i="1"/>
  <c r="T2331" i="1"/>
  <c r="U2331" i="1"/>
  <c r="BE2331" i="1"/>
  <c r="CC2331" i="1"/>
  <c r="CD2331" i="1"/>
  <c r="A2332" i="1"/>
  <c r="C2332" i="1"/>
  <c r="S2332" i="1"/>
  <c r="T2332" i="1"/>
  <c r="U2332" i="1"/>
  <c r="BE2332" i="1"/>
  <c r="CC2332" i="1"/>
  <c r="CD2332" i="1"/>
  <c r="A2333" i="1"/>
  <c r="C2333" i="1"/>
  <c r="S2333" i="1"/>
  <c r="T2333" i="1"/>
  <c r="U2333" i="1"/>
  <c r="BE2333" i="1"/>
  <c r="CC2333" i="1"/>
  <c r="CD2333" i="1"/>
  <c r="A2334" i="1"/>
  <c r="C2334" i="1"/>
  <c r="S2334" i="1"/>
  <c r="T2334" i="1"/>
  <c r="U2334" i="1"/>
  <c r="BE2334" i="1"/>
  <c r="CC2334" i="1"/>
  <c r="CD2334" i="1"/>
  <c r="A2335" i="1"/>
  <c r="C2335" i="1"/>
  <c r="S2335" i="1"/>
  <c r="T2335" i="1"/>
  <c r="U2335" i="1"/>
  <c r="BE2335" i="1"/>
  <c r="CC2335" i="1"/>
  <c r="CD2335" i="1"/>
  <c r="A2336" i="1"/>
  <c r="C2336" i="1"/>
  <c r="S2336" i="1"/>
  <c r="T2336" i="1"/>
  <c r="U2336" i="1"/>
  <c r="BE2336" i="1"/>
  <c r="CC2336" i="1"/>
  <c r="CD2336" i="1"/>
  <c r="A2337" i="1"/>
  <c r="C2337" i="1"/>
  <c r="S2337" i="1"/>
  <c r="T2337" i="1"/>
  <c r="U2337" i="1"/>
  <c r="BE2337" i="1"/>
  <c r="CC2337" i="1"/>
  <c r="CD2337" i="1"/>
  <c r="A2338" i="1"/>
  <c r="C2338" i="1"/>
  <c r="S2338" i="1"/>
  <c r="T2338" i="1"/>
  <c r="U2338" i="1"/>
  <c r="BE2338" i="1"/>
  <c r="CC2338" i="1"/>
  <c r="CD2338" i="1"/>
  <c r="A2339" i="1"/>
  <c r="C2339" i="1"/>
  <c r="S2339" i="1"/>
  <c r="T2339" i="1"/>
  <c r="U2339" i="1"/>
  <c r="BE2339" i="1"/>
  <c r="CC2339" i="1"/>
  <c r="CD2339" i="1"/>
  <c r="A2340" i="1"/>
  <c r="C2340" i="1"/>
  <c r="S2340" i="1"/>
  <c r="T2340" i="1"/>
  <c r="U2340" i="1"/>
  <c r="BE2340" i="1"/>
  <c r="CC2340" i="1"/>
  <c r="CD2340" i="1"/>
  <c r="A2341" i="1"/>
  <c r="C2341" i="1"/>
  <c r="S2341" i="1"/>
  <c r="T2341" i="1"/>
  <c r="U2341" i="1"/>
  <c r="BE2341" i="1"/>
  <c r="CC2341" i="1"/>
  <c r="CD2341" i="1"/>
  <c r="A2342" i="1"/>
  <c r="C2342" i="1"/>
  <c r="S2342" i="1"/>
  <c r="T2342" i="1"/>
  <c r="U2342" i="1"/>
  <c r="BE2342" i="1"/>
  <c r="CC2342" i="1"/>
  <c r="CD2342" i="1"/>
  <c r="A2343" i="1"/>
  <c r="C2343" i="1"/>
  <c r="S2343" i="1"/>
  <c r="T2343" i="1"/>
  <c r="U2343" i="1"/>
  <c r="BE2343" i="1"/>
  <c r="CC2343" i="1"/>
  <c r="CD2343" i="1"/>
  <c r="A2344" i="1"/>
  <c r="C2344" i="1"/>
  <c r="S2344" i="1"/>
  <c r="T2344" i="1"/>
  <c r="U2344" i="1"/>
  <c r="BE2344" i="1"/>
  <c r="CC2344" i="1"/>
  <c r="CD2344" i="1"/>
  <c r="A2345" i="1"/>
  <c r="C2345" i="1"/>
  <c r="S2345" i="1"/>
  <c r="T2345" i="1"/>
  <c r="U2345" i="1"/>
  <c r="BE2345" i="1"/>
  <c r="CC2345" i="1"/>
  <c r="CD2345" i="1"/>
  <c r="A2346" i="1"/>
  <c r="C2346" i="1"/>
  <c r="S2346" i="1"/>
  <c r="T2346" i="1"/>
  <c r="U2346" i="1"/>
  <c r="BE2346" i="1"/>
  <c r="CC2346" i="1"/>
  <c r="CD2346" i="1"/>
  <c r="A2347" i="1"/>
  <c r="C2347" i="1"/>
  <c r="S2347" i="1"/>
  <c r="T2347" i="1"/>
  <c r="U2347" i="1"/>
  <c r="BE2347" i="1"/>
  <c r="CC2347" i="1"/>
  <c r="CD2347" i="1"/>
  <c r="A2348" i="1"/>
  <c r="C2348" i="1"/>
  <c r="S2348" i="1"/>
  <c r="T2348" i="1"/>
  <c r="U2348" i="1"/>
  <c r="BE2348" i="1"/>
  <c r="CC2348" i="1"/>
  <c r="CD2348" i="1"/>
  <c r="A2349" i="1"/>
  <c r="C2349" i="1"/>
  <c r="S2349" i="1"/>
  <c r="T2349" i="1"/>
  <c r="U2349" i="1"/>
  <c r="BE2349" i="1"/>
  <c r="CC2349" i="1"/>
  <c r="CD2349" i="1"/>
  <c r="A2350" i="1"/>
  <c r="C2350" i="1"/>
  <c r="S2350" i="1"/>
  <c r="T2350" i="1"/>
  <c r="U2350" i="1"/>
  <c r="BE2350" i="1"/>
  <c r="CC2350" i="1"/>
  <c r="CD2350" i="1"/>
  <c r="A2351" i="1"/>
  <c r="C2351" i="1"/>
  <c r="S2351" i="1"/>
  <c r="T2351" i="1"/>
  <c r="U2351" i="1"/>
  <c r="BE2351" i="1"/>
  <c r="CC2351" i="1"/>
  <c r="CD2351" i="1"/>
  <c r="A2352" i="1"/>
  <c r="C2352" i="1"/>
  <c r="S2352" i="1"/>
  <c r="T2352" i="1"/>
  <c r="U2352" i="1"/>
  <c r="BE2352" i="1"/>
  <c r="CC2352" i="1"/>
  <c r="CD2352" i="1"/>
  <c r="A2353" i="1"/>
  <c r="C2353" i="1"/>
  <c r="S2353" i="1"/>
  <c r="T2353" i="1"/>
  <c r="U2353" i="1"/>
  <c r="BE2353" i="1"/>
  <c r="CC2353" i="1"/>
  <c r="CD2353" i="1"/>
  <c r="A2354" i="1"/>
  <c r="C2354" i="1"/>
  <c r="S2354" i="1"/>
  <c r="T2354" i="1"/>
  <c r="U2354" i="1"/>
  <c r="BE2354" i="1"/>
  <c r="CC2354" i="1"/>
  <c r="CD2354" i="1"/>
  <c r="A2355" i="1"/>
  <c r="C2355" i="1"/>
  <c r="S2355" i="1"/>
  <c r="T2355" i="1"/>
  <c r="U2355" i="1"/>
  <c r="BE2355" i="1"/>
  <c r="CC2355" i="1"/>
  <c r="CD2355" i="1"/>
  <c r="A2356" i="1"/>
  <c r="C2356" i="1"/>
  <c r="S2356" i="1"/>
  <c r="T2356" i="1"/>
  <c r="U2356" i="1"/>
  <c r="BE2356" i="1"/>
  <c r="CC2356" i="1"/>
  <c r="CD2356" i="1"/>
  <c r="A2357" i="1"/>
  <c r="C2357" i="1"/>
  <c r="S2357" i="1"/>
  <c r="T2357" i="1"/>
  <c r="U2357" i="1"/>
  <c r="BE2357" i="1"/>
  <c r="CC2357" i="1"/>
  <c r="CD2357" i="1"/>
  <c r="A2358" i="1"/>
  <c r="C2358" i="1"/>
  <c r="S2358" i="1"/>
  <c r="T2358" i="1"/>
  <c r="U2358" i="1"/>
  <c r="BE2358" i="1"/>
  <c r="CC2358" i="1"/>
  <c r="CD2358" i="1"/>
  <c r="A2359" i="1"/>
  <c r="C2359" i="1"/>
  <c r="S2359" i="1"/>
  <c r="T2359" i="1"/>
  <c r="U2359" i="1"/>
  <c r="BE2359" i="1"/>
  <c r="CC2359" i="1"/>
  <c r="CD2359" i="1"/>
  <c r="A2360" i="1"/>
  <c r="C2360" i="1"/>
  <c r="S2360" i="1"/>
  <c r="T2360" i="1"/>
  <c r="U2360" i="1"/>
  <c r="BE2360" i="1"/>
  <c r="CC2360" i="1"/>
  <c r="CD2360" i="1"/>
  <c r="A2361" i="1"/>
  <c r="C2361" i="1"/>
  <c r="S2361" i="1"/>
  <c r="T2361" i="1"/>
  <c r="U2361" i="1"/>
  <c r="BE2361" i="1"/>
  <c r="CC2361" i="1"/>
  <c r="CD2361" i="1"/>
  <c r="A2362" i="1"/>
  <c r="C2362" i="1"/>
  <c r="S2362" i="1"/>
  <c r="T2362" i="1"/>
  <c r="U2362" i="1"/>
  <c r="BE2362" i="1"/>
  <c r="CC2362" i="1"/>
  <c r="CD2362" i="1"/>
  <c r="A2363" i="1"/>
  <c r="C2363" i="1"/>
  <c r="S2363" i="1"/>
  <c r="T2363" i="1"/>
  <c r="U2363" i="1"/>
  <c r="BE2363" i="1"/>
  <c r="CC2363" i="1"/>
  <c r="CD2363" i="1"/>
  <c r="A2364" i="1"/>
  <c r="C2364" i="1"/>
  <c r="S2364" i="1"/>
  <c r="T2364" i="1"/>
  <c r="U2364" i="1"/>
  <c r="BE2364" i="1"/>
  <c r="CC2364" i="1"/>
  <c r="CD2364" i="1"/>
  <c r="A2365" i="1"/>
  <c r="C2365" i="1"/>
  <c r="S2365" i="1"/>
  <c r="T2365" i="1"/>
  <c r="U2365" i="1"/>
  <c r="BE2365" i="1"/>
  <c r="CC2365" i="1"/>
  <c r="CD2365" i="1"/>
  <c r="A2366" i="1"/>
  <c r="C2366" i="1"/>
  <c r="S2366" i="1"/>
  <c r="T2366" i="1"/>
  <c r="U2366" i="1"/>
  <c r="BE2366" i="1"/>
  <c r="CC2366" i="1"/>
  <c r="CD2366" i="1"/>
  <c r="A2367" i="1"/>
  <c r="C2367" i="1"/>
  <c r="S2367" i="1"/>
  <c r="T2367" i="1"/>
  <c r="U2367" i="1"/>
  <c r="BE2367" i="1"/>
  <c r="CC2367" i="1"/>
  <c r="CD2367" i="1"/>
  <c r="A2368" i="1"/>
  <c r="C2368" i="1"/>
  <c r="S2368" i="1"/>
  <c r="T2368" i="1"/>
  <c r="U2368" i="1"/>
  <c r="BE2368" i="1"/>
  <c r="CC2368" i="1"/>
  <c r="CD2368" i="1"/>
  <c r="A2369" i="1"/>
  <c r="C2369" i="1"/>
  <c r="S2369" i="1"/>
  <c r="T2369" i="1"/>
  <c r="U2369" i="1"/>
  <c r="BE2369" i="1"/>
  <c r="CC2369" i="1"/>
  <c r="CD2369" i="1"/>
  <c r="A2370" i="1"/>
  <c r="C2370" i="1"/>
  <c r="S2370" i="1"/>
  <c r="T2370" i="1"/>
  <c r="U2370" i="1"/>
  <c r="BE2370" i="1"/>
  <c r="CC2370" i="1"/>
  <c r="CD2370" i="1"/>
  <c r="A2371" i="1"/>
  <c r="C2371" i="1"/>
  <c r="S2371" i="1"/>
  <c r="T2371" i="1"/>
  <c r="U2371" i="1"/>
  <c r="BE2371" i="1"/>
  <c r="CC2371" i="1"/>
  <c r="CD2371" i="1"/>
  <c r="A2372" i="1"/>
  <c r="C2372" i="1"/>
  <c r="S2372" i="1"/>
  <c r="T2372" i="1"/>
  <c r="U2372" i="1"/>
  <c r="BE2372" i="1"/>
  <c r="CC2372" i="1"/>
  <c r="CD2372" i="1"/>
  <c r="A2373" i="1"/>
  <c r="C2373" i="1"/>
  <c r="S2373" i="1"/>
  <c r="T2373" i="1"/>
  <c r="U2373" i="1"/>
  <c r="BE2373" i="1"/>
  <c r="CC2373" i="1"/>
  <c r="CD2373" i="1"/>
  <c r="A2374" i="1"/>
  <c r="C2374" i="1"/>
  <c r="S2374" i="1"/>
  <c r="T2374" i="1"/>
  <c r="U2374" i="1"/>
  <c r="BE2374" i="1"/>
  <c r="CC2374" i="1"/>
  <c r="CD2374" i="1"/>
  <c r="A2375" i="1"/>
  <c r="C2375" i="1"/>
  <c r="S2375" i="1"/>
  <c r="T2375" i="1"/>
  <c r="U2375" i="1"/>
  <c r="BE2375" i="1"/>
  <c r="CC2375" i="1"/>
  <c r="CD2375" i="1"/>
  <c r="A2376" i="1"/>
  <c r="C2376" i="1"/>
  <c r="S2376" i="1"/>
  <c r="T2376" i="1"/>
  <c r="U2376" i="1"/>
  <c r="BE2376" i="1"/>
  <c r="CC2376" i="1"/>
  <c r="CD2376" i="1"/>
  <c r="A2377" i="1"/>
  <c r="C2377" i="1"/>
  <c r="S2377" i="1"/>
  <c r="T2377" i="1"/>
  <c r="U2377" i="1"/>
  <c r="BE2377" i="1"/>
  <c r="CC2377" i="1"/>
  <c r="CD2377" i="1"/>
  <c r="A2378" i="1"/>
  <c r="C2378" i="1"/>
  <c r="S2378" i="1"/>
  <c r="T2378" i="1"/>
  <c r="U2378" i="1"/>
  <c r="BE2378" i="1"/>
  <c r="CC2378" i="1"/>
  <c r="CD2378" i="1"/>
  <c r="A2379" i="1"/>
  <c r="C2379" i="1"/>
  <c r="S2379" i="1"/>
  <c r="T2379" i="1"/>
  <c r="U2379" i="1"/>
  <c r="BE2379" i="1"/>
  <c r="CC2379" i="1"/>
  <c r="CD2379" i="1"/>
  <c r="A2380" i="1"/>
  <c r="C2380" i="1"/>
  <c r="S2380" i="1"/>
  <c r="T2380" i="1"/>
  <c r="U2380" i="1"/>
  <c r="BE2380" i="1"/>
  <c r="CC2380" i="1"/>
  <c r="CD2380" i="1"/>
  <c r="A2381" i="1"/>
  <c r="C2381" i="1"/>
  <c r="S2381" i="1"/>
  <c r="T2381" i="1"/>
  <c r="U2381" i="1"/>
  <c r="BE2381" i="1"/>
  <c r="CC2381" i="1"/>
  <c r="CD2381" i="1"/>
  <c r="A2382" i="1"/>
  <c r="C2382" i="1"/>
  <c r="S2382" i="1"/>
  <c r="T2382" i="1"/>
  <c r="U2382" i="1"/>
  <c r="BE2382" i="1"/>
  <c r="CC2382" i="1"/>
  <c r="CD2382" i="1"/>
  <c r="A2383" i="1"/>
  <c r="C2383" i="1"/>
  <c r="S2383" i="1"/>
  <c r="T2383" i="1"/>
  <c r="U2383" i="1"/>
  <c r="BE2383" i="1"/>
  <c r="CC2383" i="1"/>
  <c r="CD2383" i="1"/>
  <c r="A2384" i="1"/>
  <c r="C2384" i="1"/>
  <c r="S2384" i="1"/>
  <c r="T2384" i="1"/>
  <c r="U2384" i="1"/>
  <c r="BE2384" i="1"/>
  <c r="CC2384" i="1"/>
  <c r="CD2384" i="1"/>
  <c r="A2385" i="1"/>
  <c r="C2385" i="1"/>
  <c r="S2385" i="1"/>
  <c r="T2385" i="1"/>
  <c r="U2385" i="1"/>
  <c r="BE2385" i="1"/>
  <c r="CC2385" i="1"/>
  <c r="CD2385" i="1"/>
  <c r="A2386" i="1"/>
  <c r="C2386" i="1"/>
  <c r="S2386" i="1"/>
  <c r="T2386" i="1"/>
  <c r="U2386" i="1"/>
  <c r="BE2386" i="1"/>
  <c r="CC2386" i="1"/>
  <c r="CD2386" i="1"/>
  <c r="A2387" i="1"/>
  <c r="C2387" i="1"/>
  <c r="S2387" i="1"/>
  <c r="T2387" i="1"/>
  <c r="U2387" i="1"/>
  <c r="BE2387" i="1"/>
  <c r="CC2387" i="1"/>
  <c r="CD2387" i="1"/>
  <c r="A2388" i="1"/>
  <c r="C2388" i="1"/>
  <c r="S2388" i="1"/>
  <c r="T2388" i="1"/>
  <c r="U2388" i="1"/>
  <c r="BE2388" i="1"/>
  <c r="CC2388" i="1"/>
  <c r="CD2388" i="1"/>
  <c r="A2389" i="1"/>
  <c r="C2389" i="1"/>
  <c r="S2389" i="1"/>
  <c r="T2389" i="1"/>
  <c r="U2389" i="1"/>
  <c r="BE2389" i="1"/>
  <c r="CC2389" i="1"/>
  <c r="CD2389" i="1"/>
  <c r="A2390" i="1"/>
  <c r="C2390" i="1"/>
  <c r="S2390" i="1"/>
  <c r="T2390" i="1"/>
  <c r="U2390" i="1"/>
  <c r="BE2390" i="1"/>
  <c r="CC2390" i="1"/>
  <c r="CD2390" i="1"/>
  <c r="A2391" i="1"/>
  <c r="C2391" i="1"/>
  <c r="S2391" i="1"/>
  <c r="T2391" i="1"/>
  <c r="U2391" i="1"/>
  <c r="BE2391" i="1"/>
  <c r="CC2391" i="1"/>
  <c r="CD2391" i="1"/>
  <c r="A2392" i="1"/>
  <c r="C2392" i="1"/>
  <c r="S2392" i="1"/>
  <c r="T2392" i="1"/>
  <c r="U2392" i="1"/>
  <c r="BE2392" i="1"/>
  <c r="CC2392" i="1"/>
  <c r="CD2392" i="1"/>
  <c r="A2393" i="1"/>
  <c r="C2393" i="1"/>
  <c r="S2393" i="1"/>
  <c r="T2393" i="1"/>
  <c r="U2393" i="1"/>
  <c r="BE2393" i="1"/>
  <c r="CC2393" i="1"/>
  <c r="CD2393" i="1"/>
  <c r="A2394" i="1"/>
  <c r="C2394" i="1"/>
  <c r="S2394" i="1"/>
  <c r="T2394" i="1"/>
  <c r="U2394" i="1"/>
  <c r="BE2394" i="1"/>
  <c r="CC2394" i="1"/>
  <c r="CD2394" i="1"/>
  <c r="A2395" i="1"/>
  <c r="C2395" i="1"/>
  <c r="S2395" i="1"/>
  <c r="T2395" i="1"/>
  <c r="U2395" i="1"/>
  <c r="BE2395" i="1"/>
  <c r="CC2395" i="1"/>
  <c r="CD2395" i="1"/>
  <c r="A2396" i="1"/>
  <c r="C2396" i="1"/>
  <c r="S2396" i="1"/>
  <c r="T2396" i="1"/>
  <c r="U2396" i="1"/>
  <c r="BE2396" i="1"/>
  <c r="CC2396" i="1"/>
  <c r="CD2396" i="1"/>
  <c r="A2397" i="1"/>
  <c r="C2397" i="1"/>
  <c r="S2397" i="1"/>
  <c r="T2397" i="1"/>
  <c r="U2397" i="1"/>
  <c r="BE2397" i="1"/>
  <c r="CC2397" i="1"/>
  <c r="CD2397" i="1"/>
  <c r="A2398" i="1"/>
  <c r="C2398" i="1"/>
  <c r="S2398" i="1"/>
  <c r="T2398" i="1"/>
  <c r="U2398" i="1"/>
  <c r="BE2398" i="1"/>
  <c r="CC2398" i="1"/>
  <c r="CD2398" i="1"/>
  <c r="A2399" i="1"/>
  <c r="C2399" i="1"/>
  <c r="S2399" i="1"/>
  <c r="T2399" i="1"/>
  <c r="U2399" i="1"/>
  <c r="BE2399" i="1"/>
  <c r="CC2399" i="1"/>
  <c r="CD2399" i="1"/>
  <c r="A2400" i="1"/>
  <c r="C2400" i="1"/>
  <c r="S2400" i="1"/>
  <c r="T2400" i="1"/>
  <c r="U2400" i="1"/>
  <c r="BE2400" i="1"/>
  <c r="CC2400" i="1"/>
  <c r="CD2400" i="1"/>
  <c r="A2401" i="1"/>
  <c r="C2401" i="1"/>
  <c r="S2401" i="1"/>
  <c r="T2401" i="1"/>
  <c r="U2401" i="1"/>
  <c r="BE2401" i="1"/>
  <c r="CC2401" i="1"/>
  <c r="CD2401" i="1"/>
  <c r="A2402" i="1"/>
  <c r="C2402" i="1"/>
  <c r="S2402" i="1"/>
  <c r="T2402" i="1"/>
  <c r="U2402" i="1"/>
  <c r="BE2402" i="1"/>
  <c r="CC2402" i="1"/>
  <c r="CD2402" i="1"/>
  <c r="A2403" i="1"/>
  <c r="C2403" i="1"/>
  <c r="S2403" i="1"/>
  <c r="T2403" i="1"/>
  <c r="U2403" i="1"/>
  <c r="BE2403" i="1"/>
  <c r="CC2403" i="1"/>
  <c r="CD2403" i="1"/>
  <c r="A2404" i="1"/>
  <c r="C2404" i="1"/>
  <c r="S2404" i="1"/>
  <c r="T2404" i="1"/>
  <c r="U2404" i="1"/>
  <c r="BE2404" i="1"/>
  <c r="CC2404" i="1"/>
  <c r="CD2404" i="1"/>
  <c r="A2405" i="1"/>
  <c r="C2405" i="1"/>
  <c r="S2405" i="1"/>
  <c r="T2405" i="1"/>
  <c r="U2405" i="1"/>
  <c r="BE2405" i="1"/>
  <c r="CC2405" i="1"/>
  <c r="CD2405" i="1"/>
  <c r="A2406" i="1"/>
  <c r="C2406" i="1"/>
  <c r="S2406" i="1"/>
  <c r="T2406" i="1"/>
  <c r="U2406" i="1"/>
  <c r="BE2406" i="1"/>
  <c r="CC2406" i="1"/>
  <c r="CD2406" i="1"/>
  <c r="A2407" i="1"/>
  <c r="C2407" i="1"/>
  <c r="S2407" i="1"/>
  <c r="T2407" i="1"/>
  <c r="U2407" i="1"/>
  <c r="BE2407" i="1"/>
  <c r="CC2407" i="1"/>
  <c r="CD2407" i="1"/>
  <c r="A2408" i="1"/>
  <c r="C2408" i="1"/>
  <c r="S2408" i="1"/>
  <c r="T2408" i="1"/>
  <c r="U2408" i="1"/>
  <c r="BE2408" i="1"/>
  <c r="CC2408" i="1"/>
  <c r="CD2408" i="1"/>
  <c r="A2409" i="1"/>
  <c r="C2409" i="1"/>
  <c r="S2409" i="1"/>
  <c r="T2409" i="1"/>
  <c r="U2409" i="1"/>
  <c r="BE2409" i="1"/>
  <c r="CC2409" i="1"/>
  <c r="CD2409" i="1"/>
  <c r="A2410" i="1"/>
  <c r="C2410" i="1"/>
  <c r="S2410" i="1"/>
  <c r="T2410" i="1"/>
  <c r="U2410" i="1"/>
  <c r="BE2410" i="1"/>
  <c r="CC2410" i="1"/>
  <c r="CD2410" i="1"/>
  <c r="A2411" i="1"/>
  <c r="C2411" i="1"/>
  <c r="S2411" i="1"/>
  <c r="T2411" i="1"/>
  <c r="U2411" i="1"/>
  <c r="BE2411" i="1"/>
  <c r="CC2411" i="1"/>
  <c r="CD2411" i="1"/>
  <c r="A2412" i="1"/>
  <c r="C2412" i="1"/>
  <c r="S2412" i="1"/>
  <c r="T2412" i="1"/>
  <c r="U2412" i="1"/>
  <c r="BE2412" i="1"/>
  <c r="CC2412" i="1"/>
  <c r="CD2412" i="1"/>
  <c r="A2413" i="1"/>
  <c r="C2413" i="1"/>
  <c r="S2413" i="1"/>
  <c r="T2413" i="1"/>
  <c r="U2413" i="1"/>
  <c r="BE2413" i="1"/>
  <c r="CC2413" i="1"/>
  <c r="CD2413" i="1"/>
  <c r="A2414" i="1"/>
  <c r="C2414" i="1"/>
  <c r="S2414" i="1"/>
  <c r="T2414" i="1"/>
  <c r="U2414" i="1"/>
  <c r="BE2414" i="1"/>
  <c r="CC2414" i="1"/>
  <c r="CD2414" i="1"/>
  <c r="A2415" i="1"/>
  <c r="C2415" i="1"/>
  <c r="S2415" i="1"/>
  <c r="T2415" i="1"/>
  <c r="U2415" i="1"/>
  <c r="BE2415" i="1"/>
  <c r="CC2415" i="1"/>
  <c r="CD2415" i="1"/>
  <c r="A2416" i="1"/>
  <c r="C2416" i="1"/>
  <c r="S2416" i="1"/>
  <c r="T2416" i="1"/>
  <c r="U2416" i="1"/>
  <c r="BE2416" i="1"/>
  <c r="CC2416" i="1"/>
  <c r="CD2416" i="1"/>
  <c r="A2417" i="1"/>
  <c r="C2417" i="1"/>
  <c r="S2417" i="1"/>
  <c r="T2417" i="1"/>
  <c r="U2417" i="1"/>
  <c r="BE2417" i="1"/>
  <c r="CC2417" i="1"/>
  <c r="CD2417" i="1"/>
  <c r="A2418" i="1"/>
  <c r="C2418" i="1"/>
  <c r="S2418" i="1"/>
  <c r="T2418" i="1"/>
  <c r="U2418" i="1"/>
  <c r="BE2418" i="1"/>
  <c r="CC2418" i="1"/>
  <c r="CD2418" i="1"/>
  <c r="A2419" i="1"/>
  <c r="C2419" i="1"/>
  <c r="S2419" i="1"/>
  <c r="T2419" i="1"/>
  <c r="U2419" i="1"/>
  <c r="BE2419" i="1"/>
  <c r="CC2419" i="1"/>
  <c r="CD2419" i="1"/>
  <c r="A2420" i="1"/>
  <c r="C2420" i="1"/>
  <c r="S2420" i="1"/>
  <c r="T2420" i="1"/>
  <c r="U2420" i="1"/>
  <c r="BE2420" i="1"/>
  <c r="CC2420" i="1"/>
  <c r="CD2420" i="1"/>
  <c r="A2421" i="1"/>
  <c r="C2421" i="1"/>
  <c r="S2421" i="1"/>
  <c r="T2421" i="1"/>
  <c r="U2421" i="1"/>
  <c r="BE2421" i="1"/>
  <c r="CC2421" i="1"/>
  <c r="CD2421" i="1"/>
  <c r="A2422" i="1"/>
  <c r="C2422" i="1"/>
  <c r="S2422" i="1"/>
  <c r="T2422" i="1"/>
  <c r="U2422" i="1"/>
  <c r="BE2422" i="1"/>
  <c r="CC2422" i="1"/>
  <c r="CD2422" i="1"/>
  <c r="A2423" i="1"/>
  <c r="C2423" i="1"/>
  <c r="S2423" i="1"/>
  <c r="T2423" i="1"/>
  <c r="U2423" i="1"/>
  <c r="BE2423" i="1"/>
  <c r="CC2423" i="1"/>
  <c r="CD2423" i="1"/>
  <c r="A2424" i="1"/>
  <c r="C2424" i="1"/>
  <c r="S2424" i="1"/>
  <c r="T2424" i="1"/>
  <c r="U2424" i="1"/>
  <c r="BE2424" i="1"/>
  <c r="CC2424" i="1"/>
  <c r="CD2424" i="1"/>
  <c r="A2425" i="1"/>
  <c r="C2425" i="1"/>
  <c r="S2425" i="1"/>
  <c r="T2425" i="1"/>
  <c r="U2425" i="1"/>
  <c r="BE2425" i="1"/>
  <c r="CC2425" i="1"/>
  <c r="CD2425" i="1"/>
  <c r="A2426" i="1"/>
  <c r="C2426" i="1"/>
  <c r="S2426" i="1"/>
  <c r="T2426" i="1"/>
  <c r="U2426" i="1"/>
  <c r="BE2426" i="1"/>
  <c r="CC2426" i="1"/>
  <c r="CD2426" i="1"/>
  <c r="A2427" i="1"/>
  <c r="C2427" i="1"/>
  <c r="S2427" i="1"/>
  <c r="T2427" i="1"/>
  <c r="U2427" i="1"/>
  <c r="BE2427" i="1"/>
  <c r="CC2427" i="1"/>
  <c r="CD2427" i="1"/>
  <c r="A2428" i="1"/>
  <c r="C2428" i="1"/>
  <c r="S2428" i="1"/>
  <c r="T2428" i="1"/>
  <c r="U2428" i="1"/>
  <c r="BE2428" i="1"/>
  <c r="CC2428" i="1"/>
  <c r="CD2428" i="1"/>
  <c r="A2429" i="1"/>
  <c r="C2429" i="1"/>
  <c r="S2429" i="1"/>
  <c r="T2429" i="1"/>
  <c r="U2429" i="1"/>
  <c r="BE2429" i="1"/>
  <c r="CC2429" i="1"/>
  <c r="CD2429" i="1"/>
  <c r="A2430" i="1"/>
  <c r="C2430" i="1"/>
  <c r="S2430" i="1"/>
  <c r="T2430" i="1"/>
  <c r="U2430" i="1"/>
  <c r="BE2430" i="1"/>
  <c r="CC2430" i="1"/>
  <c r="CD2430" i="1"/>
  <c r="A2431" i="1"/>
  <c r="C2431" i="1"/>
  <c r="S2431" i="1"/>
  <c r="T2431" i="1"/>
  <c r="U2431" i="1"/>
  <c r="BE2431" i="1"/>
  <c r="CC2431" i="1"/>
  <c r="CD2431" i="1"/>
  <c r="A2432" i="1"/>
  <c r="C2432" i="1"/>
  <c r="S2432" i="1"/>
  <c r="T2432" i="1"/>
  <c r="U2432" i="1"/>
  <c r="BE2432" i="1"/>
  <c r="CC2432" i="1"/>
  <c r="CD2432" i="1"/>
  <c r="A2433" i="1"/>
  <c r="C2433" i="1"/>
  <c r="S2433" i="1"/>
  <c r="T2433" i="1"/>
  <c r="U2433" i="1"/>
  <c r="BE2433" i="1"/>
  <c r="CC2433" i="1"/>
  <c r="CD2433" i="1"/>
  <c r="A2434" i="1"/>
  <c r="C2434" i="1"/>
  <c r="S2434" i="1"/>
  <c r="T2434" i="1"/>
  <c r="U2434" i="1"/>
  <c r="BE2434" i="1"/>
  <c r="CC2434" i="1"/>
  <c r="CD2434" i="1"/>
  <c r="A2435" i="1"/>
  <c r="C2435" i="1"/>
  <c r="S2435" i="1"/>
  <c r="T2435" i="1"/>
  <c r="U2435" i="1"/>
  <c r="BE2435" i="1"/>
  <c r="CC2435" i="1"/>
  <c r="CD2435" i="1"/>
  <c r="A2436" i="1"/>
  <c r="C2436" i="1"/>
  <c r="S2436" i="1"/>
  <c r="T2436" i="1"/>
  <c r="U2436" i="1"/>
  <c r="BE2436" i="1"/>
  <c r="CC2436" i="1"/>
  <c r="CD2436" i="1"/>
  <c r="A2437" i="1"/>
  <c r="C2437" i="1"/>
  <c r="S2437" i="1"/>
  <c r="T2437" i="1"/>
  <c r="U2437" i="1"/>
  <c r="BE2437" i="1"/>
  <c r="CC2437" i="1"/>
  <c r="CD2437" i="1"/>
  <c r="A2438" i="1"/>
  <c r="C2438" i="1"/>
  <c r="S2438" i="1"/>
  <c r="T2438" i="1"/>
  <c r="U2438" i="1"/>
  <c r="BE2438" i="1"/>
  <c r="CC2438" i="1"/>
  <c r="CD2438" i="1"/>
  <c r="A2439" i="1"/>
  <c r="C2439" i="1"/>
  <c r="S2439" i="1"/>
  <c r="T2439" i="1"/>
  <c r="U2439" i="1"/>
  <c r="BE2439" i="1"/>
  <c r="CC2439" i="1"/>
  <c r="CD2439" i="1"/>
  <c r="A2440" i="1"/>
  <c r="C2440" i="1"/>
  <c r="S2440" i="1"/>
  <c r="T2440" i="1"/>
  <c r="U2440" i="1"/>
  <c r="BE2440" i="1"/>
  <c r="CC2440" i="1"/>
  <c r="CD2440" i="1"/>
  <c r="A2441" i="1"/>
  <c r="C2441" i="1"/>
  <c r="S2441" i="1"/>
  <c r="T2441" i="1"/>
  <c r="U2441" i="1"/>
  <c r="BE2441" i="1"/>
  <c r="CC2441" i="1"/>
  <c r="CD2441" i="1"/>
  <c r="A2442" i="1"/>
  <c r="C2442" i="1"/>
  <c r="S2442" i="1"/>
  <c r="T2442" i="1"/>
  <c r="U2442" i="1"/>
  <c r="BE2442" i="1"/>
  <c r="CC2442" i="1"/>
  <c r="CD2442" i="1"/>
  <c r="A2443" i="1"/>
  <c r="C2443" i="1"/>
  <c r="S2443" i="1"/>
  <c r="T2443" i="1"/>
  <c r="U2443" i="1"/>
  <c r="BE2443" i="1"/>
  <c r="CC2443" i="1"/>
  <c r="CD2443" i="1"/>
  <c r="A2444" i="1"/>
  <c r="C2444" i="1"/>
  <c r="S2444" i="1"/>
  <c r="T2444" i="1"/>
  <c r="U2444" i="1"/>
  <c r="BE2444" i="1"/>
  <c r="CC2444" i="1"/>
  <c r="CD2444" i="1"/>
  <c r="A2445" i="1"/>
  <c r="C2445" i="1"/>
  <c r="S2445" i="1"/>
  <c r="T2445" i="1"/>
  <c r="U2445" i="1"/>
  <c r="BE2445" i="1"/>
  <c r="CC2445" i="1"/>
  <c r="CD2445" i="1"/>
  <c r="A2446" i="1"/>
  <c r="C2446" i="1"/>
  <c r="S2446" i="1"/>
  <c r="T2446" i="1"/>
  <c r="U2446" i="1"/>
  <c r="BE2446" i="1"/>
  <c r="CC2446" i="1"/>
  <c r="CD2446" i="1"/>
  <c r="A2447" i="1"/>
  <c r="C2447" i="1"/>
  <c r="S2447" i="1"/>
  <c r="T2447" i="1"/>
  <c r="U2447" i="1"/>
  <c r="BE2447" i="1"/>
  <c r="CC2447" i="1"/>
  <c r="CD2447" i="1"/>
  <c r="A2448" i="1"/>
  <c r="C2448" i="1"/>
  <c r="S2448" i="1"/>
  <c r="T2448" i="1"/>
  <c r="U2448" i="1"/>
  <c r="BE2448" i="1"/>
  <c r="CC2448" i="1"/>
  <c r="CD2448" i="1"/>
  <c r="A2449" i="1"/>
  <c r="C2449" i="1"/>
  <c r="S2449" i="1"/>
  <c r="T2449" i="1"/>
  <c r="U2449" i="1"/>
  <c r="BE2449" i="1"/>
  <c r="CC2449" i="1"/>
  <c r="CD2449" i="1"/>
  <c r="A2450" i="1"/>
  <c r="C2450" i="1"/>
  <c r="S2450" i="1"/>
  <c r="T2450" i="1"/>
  <c r="U2450" i="1"/>
  <c r="BE2450" i="1"/>
  <c r="CC2450" i="1"/>
  <c r="CD2450" i="1"/>
  <c r="A2451" i="1"/>
  <c r="C2451" i="1"/>
  <c r="S2451" i="1"/>
  <c r="T2451" i="1"/>
  <c r="U2451" i="1"/>
  <c r="BE2451" i="1"/>
  <c r="CC2451" i="1"/>
  <c r="CD2451" i="1"/>
  <c r="A2452" i="1"/>
  <c r="C2452" i="1"/>
  <c r="S2452" i="1"/>
  <c r="T2452" i="1"/>
  <c r="U2452" i="1"/>
  <c r="BE2452" i="1"/>
  <c r="CC2452" i="1"/>
  <c r="CD2452" i="1"/>
  <c r="A2453" i="1"/>
  <c r="C2453" i="1"/>
  <c r="S2453" i="1"/>
  <c r="T2453" i="1"/>
  <c r="U2453" i="1"/>
  <c r="BE2453" i="1"/>
  <c r="CC2453" i="1"/>
  <c r="CD2453" i="1"/>
  <c r="A2454" i="1"/>
  <c r="C2454" i="1"/>
  <c r="S2454" i="1"/>
  <c r="T2454" i="1"/>
  <c r="U2454" i="1"/>
  <c r="BE2454" i="1"/>
  <c r="CC2454" i="1"/>
  <c r="CD2454" i="1"/>
  <c r="A2455" i="1"/>
  <c r="C2455" i="1"/>
  <c r="S2455" i="1"/>
  <c r="T2455" i="1"/>
  <c r="U2455" i="1"/>
  <c r="BE2455" i="1"/>
  <c r="CC2455" i="1"/>
  <c r="CD2455" i="1"/>
  <c r="A2456" i="1"/>
  <c r="C2456" i="1"/>
  <c r="S2456" i="1"/>
  <c r="T2456" i="1"/>
  <c r="U2456" i="1"/>
  <c r="BE2456" i="1"/>
  <c r="CC2456" i="1"/>
  <c r="CD2456" i="1"/>
  <c r="A2457" i="1"/>
  <c r="C2457" i="1"/>
  <c r="S2457" i="1"/>
  <c r="T2457" i="1"/>
  <c r="U2457" i="1"/>
  <c r="BE2457" i="1"/>
  <c r="CC2457" i="1"/>
  <c r="CD2457" i="1"/>
  <c r="A2458" i="1"/>
  <c r="C2458" i="1"/>
  <c r="S2458" i="1"/>
  <c r="T2458" i="1"/>
  <c r="U2458" i="1"/>
  <c r="BE2458" i="1"/>
  <c r="CC2458" i="1"/>
  <c r="CD2458" i="1"/>
  <c r="A2459" i="1"/>
  <c r="C2459" i="1"/>
  <c r="S2459" i="1"/>
  <c r="T2459" i="1"/>
  <c r="U2459" i="1"/>
  <c r="BE2459" i="1"/>
  <c r="CC2459" i="1"/>
  <c r="CD2459" i="1"/>
  <c r="A2460" i="1"/>
  <c r="C2460" i="1"/>
  <c r="S2460" i="1"/>
  <c r="T2460" i="1"/>
  <c r="U2460" i="1"/>
  <c r="BE2460" i="1"/>
  <c r="CC2460" i="1"/>
  <c r="CD2460" i="1"/>
  <c r="A2461" i="1"/>
  <c r="C2461" i="1"/>
  <c r="S2461" i="1"/>
  <c r="T2461" i="1"/>
  <c r="U2461" i="1"/>
  <c r="BE2461" i="1"/>
  <c r="CC2461" i="1"/>
  <c r="CD2461" i="1"/>
  <c r="A2462" i="1"/>
  <c r="C2462" i="1"/>
  <c r="S2462" i="1"/>
  <c r="T2462" i="1"/>
  <c r="U2462" i="1"/>
  <c r="BE2462" i="1"/>
  <c r="CC2462" i="1"/>
  <c r="CD2462" i="1"/>
  <c r="A2463" i="1"/>
  <c r="C2463" i="1"/>
  <c r="S2463" i="1"/>
  <c r="T2463" i="1"/>
  <c r="U2463" i="1"/>
  <c r="BE2463" i="1"/>
  <c r="CC2463" i="1"/>
  <c r="CD2463" i="1"/>
  <c r="A2464" i="1"/>
  <c r="C2464" i="1"/>
  <c r="S2464" i="1"/>
  <c r="T2464" i="1"/>
  <c r="U2464" i="1"/>
  <c r="BE2464" i="1"/>
  <c r="CC2464" i="1"/>
  <c r="CD2464" i="1"/>
  <c r="A2465" i="1"/>
  <c r="C2465" i="1"/>
  <c r="S2465" i="1"/>
  <c r="T2465" i="1"/>
  <c r="U2465" i="1"/>
  <c r="BE2465" i="1"/>
  <c r="CC2465" i="1"/>
  <c r="CD2465" i="1"/>
  <c r="A2466" i="1"/>
  <c r="C2466" i="1"/>
  <c r="S2466" i="1"/>
  <c r="T2466" i="1"/>
  <c r="U2466" i="1"/>
  <c r="BE2466" i="1"/>
  <c r="CC2466" i="1"/>
  <c r="CD2466" i="1"/>
  <c r="A2467" i="1"/>
  <c r="C2467" i="1"/>
  <c r="S2467" i="1"/>
  <c r="T2467" i="1"/>
  <c r="U2467" i="1"/>
  <c r="BE2467" i="1"/>
  <c r="CC2467" i="1"/>
  <c r="CD2467" i="1"/>
  <c r="A2468" i="1"/>
  <c r="C2468" i="1"/>
  <c r="S2468" i="1"/>
  <c r="T2468" i="1"/>
  <c r="U2468" i="1"/>
  <c r="BE2468" i="1"/>
  <c r="CC2468" i="1"/>
  <c r="CD2468" i="1"/>
  <c r="A2469" i="1"/>
  <c r="C2469" i="1"/>
  <c r="S2469" i="1"/>
  <c r="T2469" i="1"/>
  <c r="U2469" i="1"/>
  <c r="BE2469" i="1"/>
  <c r="CC2469" i="1"/>
  <c r="CD2469" i="1"/>
  <c r="A2470" i="1"/>
  <c r="C2470" i="1"/>
  <c r="S2470" i="1"/>
  <c r="T2470" i="1"/>
  <c r="U2470" i="1"/>
  <c r="BE2470" i="1"/>
  <c r="CC2470" i="1"/>
  <c r="CD2470" i="1"/>
  <c r="A2471" i="1"/>
  <c r="C2471" i="1"/>
  <c r="S2471" i="1"/>
  <c r="T2471" i="1"/>
  <c r="U2471" i="1"/>
  <c r="BE2471" i="1"/>
  <c r="CC2471" i="1"/>
  <c r="CD2471" i="1"/>
  <c r="A2472" i="1"/>
  <c r="C2472" i="1"/>
  <c r="S2472" i="1"/>
  <c r="T2472" i="1"/>
  <c r="U2472" i="1"/>
  <c r="BE2472" i="1"/>
  <c r="CC2472" i="1"/>
  <c r="CD2472" i="1"/>
  <c r="A2473" i="1"/>
  <c r="C2473" i="1"/>
  <c r="S2473" i="1"/>
  <c r="T2473" i="1"/>
  <c r="U2473" i="1"/>
  <c r="BE2473" i="1"/>
  <c r="CC2473" i="1"/>
  <c r="CD2473" i="1"/>
  <c r="A2474" i="1"/>
  <c r="C2474" i="1"/>
  <c r="S2474" i="1"/>
  <c r="T2474" i="1"/>
  <c r="U2474" i="1"/>
  <c r="BE2474" i="1"/>
  <c r="CC2474" i="1"/>
  <c r="CD2474" i="1"/>
  <c r="A2475" i="1"/>
  <c r="C2475" i="1"/>
  <c r="S2475" i="1"/>
  <c r="T2475" i="1"/>
  <c r="U2475" i="1"/>
  <c r="BE2475" i="1"/>
  <c r="CC2475" i="1"/>
  <c r="CD2475" i="1"/>
  <c r="A2476" i="1"/>
  <c r="C2476" i="1"/>
  <c r="S2476" i="1"/>
  <c r="T2476" i="1"/>
  <c r="U2476" i="1"/>
  <c r="BE2476" i="1"/>
  <c r="CC2476" i="1"/>
  <c r="CD2476" i="1"/>
  <c r="A2477" i="1"/>
  <c r="C2477" i="1"/>
  <c r="S2477" i="1"/>
  <c r="T2477" i="1"/>
  <c r="U2477" i="1"/>
  <c r="BE2477" i="1"/>
  <c r="CC2477" i="1"/>
  <c r="CD2477" i="1"/>
  <c r="A2478" i="1"/>
  <c r="C2478" i="1"/>
  <c r="S2478" i="1"/>
  <c r="T2478" i="1"/>
  <c r="U2478" i="1"/>
  <c r="BE2478" i="1"/>
  <c r="CC2478" i="1"/>
  <c r="CD2478" i="1"/>
  <c r="A2479" i="1"/>
  <c r="C2479" i="1"/>
  <c r="S2479" i="1"/>
  <c r="T2479" i="1"/>
  <c r="U2479" i="1"/>
  <c r="BE2479" i="1"/>
  <c r="CC2479" i="1"/>
  <c r="CD2479" i="1"/>
  <c r="A2480" i="1"/>
  <c r="C2480" i="1"/>
  <c r="S2480" i="1"/>
  <c r="T2480" i="1"/>
  <c r="U2480" i="1"/>
  <c r="BE2480" i="1"/>
  <c r="CC2480" i="1"/>
  <c r="CD2480" i="1"/>
  <c r="A2481" i="1"/>
  <c r="C2481" i="1"/>
  <c r="S2481" i="1"/>
  <c r="T2481" i="1"/>
  <c r="U2481" i="1"/>
  <c r="BE2481" i="1"/>
  <c r="CC2481" i="1"/>
  <c r="CD2481" i="1"/>
  <c r="A2482" i="1"/>
  <c r="C2482" i="1"/>
  <c r="S2482" i="1"/>
  <c r="T2482" i="1"/>
  <c r="U2482" i="1"/>
  <c r="BE2482" i="1"/>
  <c r="CC2482" i="1"/>
  <c r="CD2482" i="1"/>
  <c r="A2483" i="1"/>
  <c r="C2483" i="1"/>
  <c r="S2483" i="1"/>
  <c r="T2483" i="1"/>
  <c r="U2483" i="1"/>
  <c r="BE2483" i="1"/>
  <c r="CC2483" i="1"/>
  <c r="CD2483" i="1"/>
  <c r="A2484" i="1"/>
  <c r="C2484" i="1"/>
  <c r="S2484" i="1"/>
  <c r="T2484" i="1"/>
  <c r="U2484" i="1"/>
  <c r="BE2484" i="1"/>
  <c r="CC2484" i="1"/>
  <c r="CD2484" i="1"/>
  <c r="A2485" i="1"/>
  <c r="C2485" i="1"/>
  <c r="S2485" i="1"/>
  <c r="T2485" i="1"/>
  <c r="U2485" i="1"/>
  <c r="BE2485" i="1"/>
  <c r="CC2485" i="1"/>
  <c r="CD2485" i="1"/>
  <c r="A2486" i="1"/>
  <c r="C2486" i="1"/>
  <c r="S2486" i="1"/>
  <c r="T2486" i="1"/>
  <c r="U2486" i="1"/>
  <c r="BE2486" i="1"/>
  <c r="CC2486" i="1"/>
  <c r="CD2486" i="1"/>
  <c r="A2487" i="1"/>
  <c r="C2487" i="1"/>
  <c r="S2487" i="1"/>
  <c r="T2487" i="1"/>
  <c r="U2487" i="1"/>
  <c r="BE2487" i="1"/>
  <c r="CC2487" i="1"/>
  <c r="CD2487" i="1"/>
  <c r="A2488" i="1"/>
  <c r="C2488" i="1"/>
  <c r="S2488" i="1"/>
  <c r="T2488" i="1"/>
  <c r="U2488" i="1"/>
  <c r="BE2488" i="1"/>
  <c r="CC2488" i="1"/>
  <c r="CD2488" i="1"/>
  <c r="A2489" i="1"/>
  <c r="C2489" i="1"/>
  <c r="S2489" i="1"/>
  <c r="T2489" i="1"/>
  <c r="U2489" i="1"/>
  <c r="BE2489" i="1"/>
  <c r="CC2489" i="1"/>
  <c r="CD2489" i="1"/>
  <c r="A2490" i="1"/>
  <c r="C2490" i="1"/>
  <c r="S2490" i="1"/>
  <c r="T2490" i="1"/>
  <c r="U2490" i="1"/>
  <c r="BE2490" i="1"/>
  <c r="CC2490" i="1"/>
  <c r="CD2490" i="1"/>
  <c r="A2491" i="1"/>
  <c r="C2491" i="1"/>
  <c r="S2491" i="1"/>
  <c r="T2491" i="1"/>
  <c r="U2491" i="1"/>
  <c r="BE2491" i="1"/>
  <c r="CC2491" i="1"/>
  <c r="CD2491" i="1"/>
  <c r="A2492" i="1"/>
  <c r="C2492" i="1"/>
  <c r="S2492" i="1"/>
  <c r="T2492" i="1"/>
  <c r="U2492" i="1"/>
  <c r="BE2492" i="1"/>
  <c r="CC2492" i="1"/>
  <c r="CD2492" i="1"/>
  <c r="A2493" i="1"/>
  <c r="C2493" i="1"/>
  <c r="S2493" i="1"/>
  <c r="T2493" i="1"/>
  <c r="U2493" i="1"/>
  <c r="BE2493" i="1"/>
  <c r="CC2493" i="1"/>
  <c r="CD2493" i="1"/>
  <c r="A2494" i="1"/>
  <c r="C2494" i="1"/>
  <c r="S2494" i="1"/>
  <c r="T2494" i="1"/>
  <c r="U2494" i="1"/>
  <c r="BE2494" i="1"/>
  <c r="CC2494" i="1"/>
  <c r="CD2494" i="1"/>
  <c r="A2495" i="1"/>
  <c r="C2495" i="1"/>
  <c r="S2495" i="1"/>
  <c r="T2495" i="1"/>
  <c r="U2495" i="1"/>
  <c r="BE2495" i="1"/>
  <c r="CC2495" i="1"/>
  <c r="CD2495" i="1"/>
  <c r="A2496" i="1"/>
  <c r="C2496" i="1"/>
  <c r="S2496" i="1"/>
  <c r="T2496" i="1"/>
  <c r="U2496" i="1"/>
  <c r="BE2496" i="1"/>
  <c r="CC2496" i="1"/>
  <c r="CD2496" i="1"/>
  <c r="A2497" i="1"/>
  <c r="C2497" i="1"/>
  <c r="S2497" i="1"/>
  <c r="T2497" i="1"/>
  <c r="U2497" i="1"/>
  <c r="BE2497" i="1"/>
  <c r="CC2497" i="1"/>
  <c r="CD2497" i="1"/>
  <c r="A2498" i="1"/>
  <c r="C2498" i="1"/>
  <c r="S2498" i="1"/>
  <c r="T2498" i="1"/>
  <c r="U2498" i="1"/>
  <c r="BE2498" i="1"/>
  <c r="CC2498" i="1"/>
  <c r="CD2498" i="1"/>
  <c r="A2499" i="1"/>
  <c r="C2499" i="1"/>
  <c r="S2499" i="1"/>
  <c r="T2499" i="1"/>
  <c r="U2499" i="1"/>
  <c r="BE2499" i="1"/>
  <c r="CC2499" i="1"/>
  <c r="CD2499" i="1"/>
  <c r="A2500" i="1"/>
  <c r="C2500" i="1"/>
  <c r="S2500" i="1"/>
  <c r="T2500" i="1"/>
  <c r="U2500" i="1"/>
  <c r="BE2500" i="1"/>
  <c r="CC2500" i="1"/>
  <c r="CD2500" i="1"/>
  <c r="A2501" i="1"/>
  <c r="C2501" i="1"/>
  <c r="S2501" i="1"/>
  <c r="T2501" i="1"/>
  <c r="U2501" i="1"/>
  <c r="BE2501" i="1"/>
  <c r="CC2501" i="1"/>
  <c r="CD2501" i="1"/>
  <c r="A2502" i="1"/>
  <c r="C2502" i="1"/>
  <c r="S2502" i="1"/>
  <c r="T2502" i="1"/>
  <c r="U2502" i="1"/>
  <c r="BE2502" i="1"/>
  <c r="CC2502" i="1"/>
  <c r="CD2502" i="1"/>
  <c r="A2503" i="1"/>
  <c r="C2503" i="1"/>
  <c r="S2503" i="1"/>
  <c r="T2503" i="1"/>
  <c r="U2503" i="1"/>
  <c r="BE2503" i="1"/>
  <c r="CC2503" i="1"/>
  <c r="CD2503" i="1"/>
  <c r="A2504" i="1"/>
  <c r="C2504" i="1"/>
  <c r="S2504" i="1"/>
  <c r="T2504" i="1"/>
  <c r="U2504" i="1"/>
  <c r="BE2504" i="1"/>
  <c r="CC2504" i="1"/>
  <c r="CD2504" i="1"/>
  <c r="A2505" i="1"/>
  <c r="C2505" i="1"/>
  <c r="S2505" i="1"/>
  <c r="T2505" i="1"/>
  <c r="U2505" i="1"/>
  <c r="BE2505" i="1"/>
  <c r="CC2505" i="1"/>
  <c r="CD2505" i="1"/>
  <c r="A2506" i="1"/>
  <c r="C2506" i="1"/>
  <c r="S2506" i="1"/>
  <c r="T2506" i="1"/>
  <c r="U2506" i="1"/>
  <c r="BE2506" i="1"/>
  <c r="CC2506" i="1"/>
  <c r="CD2506" i="1"/>
  <c r="A2507" i="1"/>
  <c r="C2507" i="1"/>
  <c r="S2507" i="1"/>
  <c r="T2507" i="1"/>
  <c r="U2507" i="1"/>
  <c r="BE2507" i="1"/>
  <c r="CC2507" i="1"/>
  <c r="CD2507" i="1"/>
  <c r="A2508" i="1"/>
  <c r="C2508" i="1"/>
  <c r="S2508" i="1"/>
  <c r="T2508" i="1"/>
  <c r="U2508" i="1"/>
  <c r="BE2508" i="1"/>
  <c r="CC2508" i="1"/>
  <c r="CD2508" i="1"/>
  <c r="A2509" i="1"/>
  <c r="C2509" i="1"/>
  <c r="S2509" i="1"/>
  <c r="T2509" i="1"/>
  <c r="U2509" i="1"/>
  <c r="BE2509" i="1"/>
  <c r="CC2509" i="1"/>
  <c r="CD2509" i="1"/>
  <c r="A2510" i="1"/>
  <c r="C2510" i="1"/>
  <c r="S2510" i="1"/>
  <c r="T2510" i="1"/>
  <c r="U2510" i="1"/>
  <c r="BE2510" i="1"/>
  <c r="CC2510" i="1"/>
  <c r="CD2510" i="1"/>
  <c r="A2511" i="1"/>
  <c r="C2511" i="1"/>
  <c r="S2511" i="1"/>
  <c r="T2511" i="1"/>
  <c r="U2511" i="1"/>
  <c r="BE2511" i="1"/>
  <c r="CC2511" i="1"/>
  <c r="CD2511" i="1"/>
  <c r="A2512" i="1"/>
  <c r="C2512" i="1"/>
  <c r="S2512" i="1"/>
  <c r="T2512" i="1"/>
  <c r="U2512" i="1"/>
  <c r="BE2512" i="1"/>
  <c r="CC2512" i="1"/>
  <c r="CD2512" i="1"/>
  <c r="A2513" i="1"/>
  <c r="C2513" i="1"/>
  <c r="S2513" i="1"/>
  <c r="T2513" i="1"/>
  <c r="U2513" i="1"/>
  <c r="BE2513" i="1"/>
  <c r="CC2513" i="1"/>
  <c r="CD2513" i="1"/>
  <c r="A2514" i="1"/>
  <c r="C2514" i="1"/>
  <c r="S2514" i="1"/>
  <c r="T2514" i="1"/>
  <c r="U2514" i="1"/>
  <c r="BE2514" i="1"/>
  <c r="CC2514" i="1"/>
  <c r="CD2514" i="1"/>
  <c r="A2515" i="1"/>
  <c r="C2515" i="1"/>
  <c r="S2515" i="1"/>
  <c r="T2515" i="1"/>
  <c r="U2515" i="1"/>
  <c r="BE2515" i="1"/>
  <c r="CC2515" i="1"/>
  <c r="CD2515" i="1"/>
  <c r="A2516" i="1"/>
  <c r="C2516" i="1"/>
  <c r="S2516" i="1"/>
  <c r="T2516" i="1"/>
  <c r="U2516" i="1"/>
  <c r="BE2516" i="1"/>
  <c r="CC2516" i="1"/>
  <c r="CD2516" i="1"/>
  <c r="A2517" i="1"/>
  <c r="C2517" i="1"/>
  <c r="S2517" i="1"/>
  <c r="T2517" i="1"/>
  <c r="U2517" i="1"/>
  <c r="BE2517" i="1"/>
  <c r="CC2517" i="1"/>
  <c r="CD2517" i="1"/>
  <c r="A2518" i="1"/>
  <c r="C2518" i="1"/>
  <c r="S2518" i="1"/>
  <c r="T2518" i="1"/>
  <c r="U2518" i="1"/>
  <c r="BE2518" i="1"/>
  <c r="CC2518" i="1"/>
  <c r="CD2518" i="1"/>
  <c r="A2519" i="1"/>
  <c r="C2519" i="1"/>
  <c r="S2519" i="1"/>
  <c r="T2519" i="1"/>
  <c r="U2519" i="1"/>
  <c r="BE2519" i="1"/>
  <c r="CC2519" i="1"/>
  <c r="CD2519" i="1"/>
  <c r="A2520" i="1"/>
  <c r="C2520" i="1"/>
  <c r="S2520" i="1"/>
  <c r="T2520" i="1"/>
  <c r="U2520" i="1"/>
  <c r="BE2520" i="1"/>
  <c r="CC2520" i="1"/>
  <c r="CD2520" i="1"/>
  <c r="A2521" i="1"/>
  <c r="C2521" i="1"/>
  <c r="S2521" i="1"/>
  <c r="T2521" i="1"/>
  <c r="U2521" i="1"/>
  <c r="BE2521" i="1"/>
  <c r="CC2521" i="1"/>
  <c r="CD2521" i="1"/>
  <c r="A2522" i="1"/>
  <c r="C2522" i="1"/>
  <c r="S2522" i="1"/>
  <c r="T2522" i="1"/>
  <c r="U2522" i="1"/>
  <c r="BE2522" i="1"/>
  <c r="CC2522" i="1"/>
  <c r="CD2522" i="1"/>
  <c r="A2523" i="1"/>
  <c r="C2523" i="1"/>
  <c r="S2523" i="1"/>
  <c r="T2523" i="1"/>
  <c r="U2523" i="1"/>
  <c r="BE2523" i="1"/>
  <c r="CC2523" i="1"/>
  <c r="CD2523" i="1"/>
  <c r="A2524" i="1"/>
  <c r="C2524" i="1"/>
  <c r="S2524" i="1"/>
  <c r="T2524" i="1"/>
  <c r="U2524" i="1"/>
  <c r="BE2524" i="1"/>
  <c r="CC2524" i="1"/>
  <c r="CD2524" i="1"/>
  <c r="A2525" i="1"/>
  <c r="C2525" i="1"/>
  <c r="S2525" i="1"/>
  <c r="T2525" i="1"/>
  <c r="U2525" i="1"/>
  <c r="BE2525" i="1"/>
  <c r="CC2525" i="1"/>
  <c r="CD2525" i="1"/>
  <c r="A2526" i="1"/>
  <c r="C2526" i="1"/>
  <c r="S2526" i="1"/>
  <c r="T2526" i="1"/>
  <c r="U2526" i="1"/>
  <c r="BE2526" i="1"/>
  <c r="CC2526" i="1"/>
  <c r="CD2526" i="1"/>
  <c r="A2527" i="1"/>
  <c r="C2527" i="1"/>
  <c r="S2527" i="1"/>
  <c r="T2527" i="1"/>
  <c r="U2527" i="1"/>
  <c r="BE2527" i="1"/>
  <c r="CC2527" i="1"/>
  <c r="CD2527" i="1"/>
  <c r="A2528" i="1"/>
  <c r="C2528" i="1"/>
  <c r="S2528" i="1"/>
  <c r="T2528" i="1"/>
  <c r="U2528" i="1"/>
  <c r="BE2528" i="1"/>
  <c r="CC2528" i="1"/>
  <c r="CD2528" i="1"/>
  <c r="A2529" i="1"/>
  <c r="C2529" i="1"/>
  <c r="S2529" i="1"/>
  <c r="T2529" i="1"/>
  <c r="U2529" i="1"/>
  <c r="BE2529" i="1"/>
  <c r="CC2529" i="1"/>
  <c r="CD2529" i="1"/>
  <c r="A2530" i="1"/>
  <c r="C2530" i="1"/>
  <c r="S2530" i="1"/>
  <c r="T2530" i="1"/>
  <c r="U2530" i="1"/>
  <c r="BE2530" i="1"/>
  <c r="CC2530" i="1"/>
  <c r="CD2530" i="1"/>
  <c r="A2531" i="1"/>
  <c r="C2531" i="1"/>
  <c r="S2531" i="1"/>
  <c r="T2531" i="1"/>
  <c r="U2531" i="1"/>
  <c r="BE2531" i="1"/>
  <c r="CC2531" i="1"/>
  <c r="CD2531" i="1"/>
  <c r="A2532" i="1"/>
  <c r="C2532" i="1"/>
  <c r="S2532" i="1"/>
  <c r="T2532" i="1"/>
  <c r="U2532" i="1"/>
  <c r="BE2532" i="1"/>
  <c r="CC2532" i="1"/>
  <c r="CD2532" i="1"/>
  <c r="A2533" i="1"/>
  <c r="C2533" i="1"/>
  <c r="S2533" i="1"/>
  <c r="T2533" i="1"/>
  <c r="U2533" i="1"/>
  <c r="BE2533" i="1"/>
  <c r="CC2533" i="1"/>
  <c r="CD2533" i="1"/>
  <c r="A2534" i="1"/>
  <c r="C2534" i="1"/>
  <c r="S2534" i="1"/>
  <c r="T2534" i="1"/>
  <c r="U2534" i="1"/>
  <c r="BE2534" i="1"/>
  <c r="CC2534" i="1"/>
  <c r="CD2534" i="1"/>
  <c r="A2535" i="1"/>
  <c r="C2535" i="1"/>
  <c r="S2535" i="1"/>
  <c r="T2535" i="1"/>
  <c r="U2535" i="1"/>
  <c r="BE2535" i="1"/>
  <c r="CC2535" i="1"/>
  <c r="CD2535" i="1"/>
  <c r="A2536" i="1"/>
  <c r="C2536" i="1"/>
  <c r="S2536" i="1"/>
  <c r="T2536" i="1"/>
  <c r="U2536" i="1"/>
  <c r="BE2536" i="1"/>
  <c r="CC2536" i="1"/>
  <c r="CD2536" i="1"/>
  <c r="A2537" i="1"/>
  <c r="C2537" i="1"/>
  <c r="S2537" i="1"/>
  <c r="T2537" i="1"/>
  <c r="U2537" i="1"/>
  <c r="BE2537" i="1"/>
  <c r="CC2537" i="1"/>
  <c r="CD2537" i="1"/>
  <c r="A2538" i="1"/>
  <c r="C2538" i="1"/>
  <c r="S2538" i="1"/>
  <c r="T2538" i="1"/>
  <c r="U2538" i="1"/>
  <c r="BE2538" i="1"/>
  <c r="CC2538" i="1"/>
  <c r="CD2538" i="1"/>
  <c r="A2539" i="1"/>
  <c r="C2539" i="1"/>
  <c r="S2539" i="1"/>
  <c r="T2539" i="1"/>
  <c r="U2539" i="1"/>
  <c r="BE2539" i="1"/>
  <c r="CC2539" i="1"/>
  <c r="CD2539" i="1"/>
  <c r="A2540" i="1"/>
  <c r="C2540" i="1"/>
  <c r="S2540" i="1"/>
  <c r="T2540" i="1"/>
  <c r="U2540" i="1"/>
  <c r="BE2540" i="1"/>
  <c r="CC2540" i="1"/>
  <c r="CD2540" i="1"/>
  <c r="A2541" i="1"/>
  <c r="C2541" i="1"/>
  <c r="S2541" i="1"/>
  <c r="T2541" i="1"/>
  <c r="U2541" i="1"/>
  <c r="BE2541" i="1"/>
  <c r="CC2541" i="1"/>
  <c r="CD2541" i="1"/>
  <c r="A2542" i="1"/>
  <c r="C2542" i="1"/>
  <c r="S2542" i="1"/>
  <c r="T2542" i="1"/>
  <c r="U2542" i="1"/>
  <c r="BE2542" i="1"/>
  <c r="CC2542" i="1"/>
  <c r="CD2542" i="1"/>
  <c r="A2543" i="1"/>
  <c r="C2543" i="1"/>
  <c r="S2543" i="1"/>
  <c r="T2543" i="1"/>
  <c r="U2543" i="1"/>
  <c r="BE2543" i="1"/>
  <c r="CC2543" i="1"/>
  <c r="CD2543" i="1"/>
  <c r="A2544" i="1"/>
  <c r="C2544" i="1"/>
  <c r="S2544" i="1"/>
  <c r="T2544" i="1"/>
  <c r="U2544" i="1"/>
  <c r="BE2544" i="1"/>
  <c r="CC2544" i="1"/>
  <c r="CD2544" i="1"/>
  <c r="A2545" i="1"/>
  <c r="C2545" i="1"/>
  <c r="S2545" i="1"/>
  <c r="T2545" i="1"/>
  <c r="U2545" i="1"/>
  <c r="BE2545" i="1"/>
  <c r="CC2545" i="1"/>
  <c r="CD2545" i="1"/>
  <c r="A2546" i="1"/>
  <c r="C2546" i="1"/>
  <c r="S2546" i="1"/>
  <c r="T2546" i="1"/>
  <c r="U2546" i="1"/>
  <c r="BE2546" i="1"/>
  <c r="CC2546" i="1"/>
  <c r="CD2546" i="1"/>
  <c r="A2547" i="1"/>
  <c r="C2547" i="1"/>
  <c r="S2547" i="1"/>
  <c r="T2547" i="1"/>
  <c r="U2547" i="1"/>
  <c r="BE2547" i="1"/>
  <c r="CC2547" i="1"/>
  <c r="CD2547" i="1"/>
  <c r="A2548" i="1"/>
  <c r="C2548" i="1"/>
  <c r="S2548" i="1"/>
  <c r="T2548" i="1"/>
  <c r="U2548" i="1"/>
  <c r="BE2548" i="1"/>
  <c r="CC2548" i="1"/>
  <c r="CD2548" i="1"/>
  <c r="A2549" i="1"/>
  <c r="C2549" i="1"/>
  <c r="S2549" i="1"/>
  <c r="T2549" i="1"/>
  <c r="U2549" i="1"/>
  <c r="BE2549" i="1"/>
  <c r="CC2549" i="1"/>
  <c r="CD2549" i="1"/>
  <c r="A2550" i="1"/>
  <c r="C2550" i="1"/>
  <c r="S2550" i="1"/>
  <c r="T2550" i="1"/>
  <c r="U2550" i="1"/>
  <c r="BE2550" i="1"/>
  <c r="CC2550" i="1"/>
  <c r="CD2550" i="1"/>
  <c r="A2551" i="1"/>
  <c r="C2551" i="1"/>
  <c r="S2551" i="1"/>
  <c r="T2551" i="1"/>
  <c r="U2551" i="1"/>
  <c r="BE2551" i="1"/>
  <c r="CC2551" i="1"/>
  <c r="CD2551" i="1"/>
  <c r="A2552" i="1"/>
  <c r="C2552" i="1"/>
  <c r="S2552" i="1"/>
  <c r="T2552" i="1"/>
  <c r="U2552" i="1"/>
  <c r="BE2552" i="1"/>
  <c r="CC2552" i="1"/>
  <c r="CD2552" i="1"/>
  <c r="A2553" i="1"/>
  <c r="C2553" i="1"/>
  <c r="S2553" i="1"/>
  <c r="T2553" i="1"/>
  <c r="U2553" i="1"/>
  <c r="BE2553" i="1"/>
  <c r="CC2553" i="1"/>
  <c r="CD2553" i="1"/>
  <c r="A2554" i="1"/>
  <c r="C2554" i="1"/>
  <c r="S2554" i="1"/>
  <c r="T2554" i="1"/>
  <c r="U2554" i="1"/>
  <c r="BE2554" i="1"/>
  <c r="CC2554" i="1"/>
  <c r="CD2554" i="1"/>
  <c r="A2555" i="1"/>
  <c r="C2555" i="1"/>
  <c r="S2555" i="1"/>
  <c r="T2555" i="1"/>
  <c r="U2555" i="1"/>
  <c r="BE2555" i="1"/>
  <c r="CC2555" i="1"/>
  <c r="CD2555" i="1"/>
  <c r="A2556" i="1"/>
  <c r="C2556" i="1"/>
  <c r="S2556" i="1"/>
  <c r="T2556" i="1"/>
  <c r="U2556" i="1"/>
  <c r="BE2556" i="1"/>
  <c r="CC2556" i="1"/>
  <c r="CD2556" i="1"/>
  <c r="A2557" i="1"/>
  <c r="C2557" i="1"/>
  <c r="S2557" i="1"/>
  <c r="T2557" i="1"/>
  <c r="U2557" i="1"/>
  <c r="BE2557" i="1"/>
  <c r="CC2557" i="1"/>
  <c r="CD2557" i="1"/>
  <c r="A2558" i="1"/>
  <c r="C2558" i="1"/>
  <c r="S2558" i="1"/>
  <c r="T2558" i="1"/>
  <c r="U2558" i="1"/>
  <c r="BE2558" i="1"/>
  <c r="CC2558" i="1"/>
  <c r="CD2558" i="1"/>
  <c r="A2559" i="1"/>
  <c r="C2559" i="1"/>
  <c r="S2559" i="1"/>
  <c r="T2559" i="1"/>
  <c r="U2559" i="1"/>
  <c r="BE2559" i="1"/>
  <c r="CC2559" i="1"/>
  <c r="CD2559" i="1"/>
  <c r="A2560" i="1"/>
  <c r="C2560" i="1"/>
  <c r="S2560" i="1"/>
  <c r="T2560" i="1"/>
  <c r="U2560" i="1"/>
  <c r="BE2560" i="1"/>
  <c r="CC2560" i="1"/>
  <c r="CD2560" i="1"/>
  <c r="A2561" i="1"/>
  <c r="C2561" i="1"/>
  <c r="S2561" i="1"/>
  <c r="T2561" i="1"/>
  <c r="U2561" i="1"/>
  <c r="BE2561" i="1"/>
  <c r="CC2561" i="1"/>
  <c r="CD2561" i="1"/>
  <c r="A2562" i="1"/>
  <c r="C2562" i="1"/>
  <c r="S2562" i="1"/>
  <c r="T2562" i="1"/>
  <c r="U2562" i="1"/>
  <c r="BE2562" i="1"/>
  <c r="CC2562" i="1"/>
  <c r="CD2562" i="1"/>
  <c r="A2563" i="1"/>
  <c r="C2563" i="1"/>
  <c r="S2563" i="1"/>
  <c r="T2563" i="1"/>
  <c r="U2563" i="1"/>
  <c r="BE2563" i="1"/>
  <c r="CC2563" i="1"/>
  <c r="CD2563" i="1"/>
  <c r="A2564" i="1"/>
  <c r="C2564" i="1"/>
  <c r="S2564" i="1"/>
  <c r="T2564" i="1"/>
  <c r="U2564" i="1"/>
  <c r="BE2564" i="1"/>
  <c r="CC2564" i="1"/>
  <c r="CD2564" i="1"/>
  <c r="A2565" i="1"/>
  <c r="C2565" i="1"/>
  <c r="S2565" i="1"/>
  <c r="T2565" i="1"/>
  <c r="U2565" i="1"/>
  <c r="BE2565" i="1"/>
  <c r="CC2565" i="1"/>
  <c r="CD2565" i="1"/>
  <c r="A2566" i="1"/>
  <c r="C2566" i="1"/>
  <c r="S2566" i="1"/>
  <c r="T2566" i="1"/>
  <c r="U2566" i="1"/>
  <c r="BE2566" i="1"/>
  <c r="CC2566" i="1"/>
  <c r="CD2566" i="1"/>
  <c r="A2567" i="1"/>
  <c r="C2567" i="1"/>
  <c r="S2567" i="1"/>
  <c r="T2567" i="1"/>
  <c r="U2567" i="1"/>
  <c r="BE2567" i="1"/>
  <c r="CC2567" i="1"/>
  <c r="CD2567" i="1"/>
  <c r="A2568" i="1"/>
  <c r="C2568" i="1"/>
  <c r="S2568" i="1"/>
  <c r="T2568" i="1"/>
  <c r="U2568" i="1"/>
  <c r="BE2568" i="1"/>
  <c r="CC2568" i="1"/>
  <c r="CD2568" i="1"/>
  <c r="A2569" i="1"/>
  <c r="C2569" i="1"/>
  <c r="S2569" i="1"/>
  <c r="T2569" i="1"/>
  <c r="U2569" i="1"/>
  <c r="BE2569" i="1"/>
  <c r="CC2569" i="1"/>
  <c r="CD2569" i="1"/>
  <c r="A2570" i="1"/>
  <c r="C2570" i="1"/>
  <c r="S2570" i="1"/>
  <c r="T2570" i="1"/>
  <c r="U2570" i="1"/>
  <c r="BE2570" i="1"/>
  <c r="CC2570" i="1"/>
  <c r="CD2570" i="1"/>
  <c r="A2571" i="1"/>
  <c r="C2571" i="1"/>
  <c r="S2571" i="1"/>
  <c r="T2571" i="1"/>
  <c r="U2571" i="1"/>
  <c r="BE2571" i="1"/>
  <c r="CC2571" i="1"/>
  <c r="CD2571" i="1"/>
  <c r="A2572" i="1"/>
  <c r="C2572" i="1"/>
  <c r="S2572" i="1"/>
  <c r="T2572" i="1"/>
  <c r="U2572" i="1"/>
  <c r="BE2572" i="1"/>
  <c r="CC2572" i="1"/>
  <c r="CD2572" i="1"/>
  <c r="A2573" i="1"/>
  <c r="C2573" i="1"/>
  <c r="S2573" i="1"/>
  <c r="T2573" i="1"/>
  <c r="U2573" i="1"/>
  <c r="BE2573" i="1"/>
  <c r="CC2573" i="1"/>
  <c r="CD2573" i="1"/>
  <c r="A2574" i="1"/>
  <c r="C2574" i="1"/>
  <c r="S2574" i="1"/>
  <c r="T2574" i="1"/>
  <c r="U2574" i="1"/>
  <c r="BE2574" i="1"/>
  <c r="CC2574" i="1"/>
  <c r="CD2574" i="1"/>
  <c r="A2575" i="1"/>
  <c r="C2575" i="1"/>
  <c r="S2575" i="1"/>
  <c r="T2575" i="1"/>
  <c r="U2575" i="1"/>
  <c r="BE2575" i="1"/>
  <c r="CC2575" i="1"/>
  <c r="CD2575" i="1"/>
  <c r="A2576" i="1"/>
  <c r="C2576" i="1"/>
  <c r="S2576" i="1"/>
  <c r="T2576" i="1"/>
  <c r="U2576" i="1"/>
  <c r="BE2576" i="1"/>
  <c r="CC2576" i="1"/>
  <c r="CD2576" i="1"/>
  <c r="A2577" i="1"/>
  <c r="C2577" i="1"/>
  <c r="S2577" i="1"/>
  <c r="T2577" i="1"/>
  <c r="U2577" i="1"/>
  <c r="BE2577" i="1"/>
  <c r="CC2577" i="1"/>
  <c r="CD2577" i="1"/>
  <c r="A2578" i="1"/>
  <c r="C2578" i="1"/>
  <c r="S2578" i="1"/>
  <c r="T2578" i="1"/>
  <c r="U2578" i="1"/>
  <c r="BE2578" i="1"/>
  <c r="CC2578" i="1"/>
  <c r="CD2578" i="1"/>
  <c r="A2579" i="1"/>
  <c r="C2579" i="1"/>
  <c r="S2579" i="1"/>
  <c r="T2579" i="1"/>
  <c r="U2579" i="1"/>
  <c r="BE2579" i="1"/>
  <c r="CC2579" i="1"/>
  <c r="CD2579" i="1"/>
  <c r="A2580" i="1"/>
  <c r="C2580" i="1"/>
  <c r="S2580" i="1"/>
  <c r="T2580" i="1"/>
  <c r="U2580" i="1"/>
  <c r="BE2580" i="1"/>
  <c r="CC2580" i="1"/>
  <c r="CD2580" i="1"/>
  <c r="A2581" i="1"/>
  <c r="C2581" i="1"/>
  <c r="S2581" i="1"/>
  <c r="T2581" i="1"/>
  <c r="U2581" i="1"/>
  <c r="BE2581" i="1"/>
  <c r="CC2581" i="1"/>
  <c r="CD2581" i="1"/>
  <c r="A2582" i="1"/>
  <c r="C2582" i="1"/>
  <c r="S2582" i="1"/>
  <c r="T2582" i="1"/>
  <c r="U2582" i="1"/>
  <c r="BE2582" i="1"/>
  <c r="CC2582" i="1"/>
  <c r="CD2582" i="1"/>
  <c r="A2583" i="1"/>
  <c r="C2583" i="1"/>
  <c r="S2583" i="1"/>
  <c r="T2583" i="1"/>
  <c r="U2583" i="1"/>
  <c r="BE2583" i="1"/>
  <c r="CC2583" i="1"/>
  <c r="CD2583" i="1"/>
  <c r="A2584" i="1"/>
  <c r="C2584" i="1"/>
  <c r="S2584" i="1"/>
  <c r="T2584" i="1"/>
  <c r="U2584" i="1"/>
  <c r="BE2584" i="1"/>
  <c r="CC2584" i="1"/>
  <c r="CD2584" i="1"/>
  <c r="A2585" i="1"/>
  <c r="C2585" i="1"/>
  <c r="S2585" i="1"/>
  <c r="T2585" i="1"/>
  <c r="U2585" i="1"/>
  <c r="BE2585" i="1"/>
  <c r="CC2585" i="1"/>
  <c r="CD2585" i="1"/>
  <c r="A2586" i="1"/>
  <c r="C2586" i="1"/>
  <c r="S2586" i="1"/>
  <c r="T2586" i="1"/>
  <c r="U2586" i="1"/>
  <c r="BE2586" i="1"/>
  <c r="CC2586" i="1"/>
  <c r="CD2586" i="1"/>
  <c r="A2587" i="1"/>
  <c r="C2587" i="1"/>
  <c r="S2587" i="1"/>
  <c r="T2587" i="1"/>
  <c r="U2587" i="1"/>
  <c r="BE2587" i="1"/>
  <c r="CC2587" i="1"/>
  <c r="CD2587" i="1"/>
  <c r="A2588" i="1"/>
  <c r="C2588" i="1"/>
  <c r="S2588" i="1"/>
  <c r="T2588" i="1"/>
  <c r="U2588" i="1"/>
  <c r="BE2588" i="1"/>
  <c r="CC2588" i="1"/>
  <c r="CD2588" i="1"/>
  <c r="A2589" i="1"/>
  <c r="C2589" i="1"/>
  <c r="S2589" i="1"/>
  <c r="T2589" i="1"/>
  <c r="U2589" i="1"/>
  <c r="BE2589" i="1"/>
  <c r="CC2589" i="1"/>
  <c r="CD2589" i="1"/>
  <c r="A2590" i="1"/>
  <c r="C2590" i="1"/>
  <c r="S2590" i="1"/>
  <c r="T2590" i="1"/>
  <c r="U2590" i="1"/>
  <c r="BE2590" i="1"/>
  <c r="CC2590" i="1"/>
  <c r="CD2590" i="1"/>
  <c r="A2591" i="1"/>
  <c r="C2591" i="1"/>
  <c r="S2591" i="1"/>
  <c r="T2591" i="1"/>
  <c r="U2591" i="1"/>
  <c r="BE2591" i="1"/>
  <c r="CC2591" i="1"/>
  <c r="CD2591" i="1"/>
  <c r="A2592" i="1"/>
  <c r="C2592" i="1"/>
  <c r="S2592" i="1"/>
  <c r="T2592" i="1"/>
  <c r="U2592" i="1"/>
  <c r="BE2592" i="1"/>
  <c r="CC2592" i="1"/>
  <c r="CD2592" i="1"/>
  <c r="A2593" i="1"/>
  <c r="C2593" i="1"/>
  <c r="S2593" i="1"/>
  <c r="T2593" i="1"/>
  <c r="U2593" i="1"/>
  <c r="BE2593" i="1"/>
  <c r="CC2593" i="1"/>
  <c r="CD2593" i="1"/>
  <c r="A2594" i="1"/>
  <c r="C2594" i="1"/>
  <c r="S2594" i="1"/>
  <c r="T2594" i="1"/>
  <c r="U2594" i="1"/>
  <c r="BE2594" i="1"/>
  <c r="CC2594" i="1"/>
  <c r="CD2594" i="1"/>
  <c r="A2595" i="1"/>
  <c r="C2595" i="1"/>
  <c r="S2595" i="1"/>
  <c r="T2595" i="1"/>
  <c r="U2595" i="1"/>
  <c r="BE2595" i="1"/>
  <c r="CC2595" i="1"/>
  <c r="CD2595" i="1"/>
  <c r="A2596" i="1"/>
  <c r="C2596" i="1"/>
  <c r="S2596" i="1"/>
  <c r="T2596" i="1"/>
  <c r="U2596" i="1"/>
  <c r="BE2596" i="1"/>
  <c r="CC2596" i="1"/>
  <c r="CD2596" i="1"/>
  <c r="A2597" i="1"/>
  <c r="C2597" i="1"/>
  <c r="S2597" i="1"/>
  <c r="T2597" i="1"/>
  <c r="U2597" i="1"/>
  <c r="BE2597" i="1"/>
  <c r="CC2597" i="1"/>
  <c r="CD2597" i="1"/>
  <c r="A2598" i="1"/>
  <c r="C2598" i="1"/>
  <c r="S2598" i="1"/>
  <c r="T2598" i="1"/>
  <c r="U2598" i="1"/>
  <c r="BE2598" i="1"/>
  <c r="CC2598" i="1"/>
  <c r="CD2598" i="1"/>
  <c r="A2599" i="1"/>
  <c r="C2599" i="1"/>
  <c r="S2599" i="1"/>
  <c r="T2599" i="1"/>
  <c r="U2599" i="1"/>
  <c r="BE2599" i="1"/>
  <c r="CC2599" i="1"/>
  <c r="CD2599" i="1"/>
  <c r="A2600" i="1"/>
  <c r="C2600" i="1"/>
  <c r="S2600" i="1"/>
  <c r="T2600" i="1"/>
  <c r="U2600" i="1"/>
  <c r="BE2600" i="1"/>
  <c r="CC2600" i="1"/>
  <c r="CD2600" i="1"/>
  <c r="A2601" i="1"/>
  <c r="C2601" i="1"/>
  <c r="S2601" i="1"/>
  <c r="T2601" i="1"/>
  <c r="U2601" i="1"/>
  <c r="BE2601" i="1"/>
  <c r="CC2601" i="1"/>
  <c r="CD2601" i="1"/>
  <c r="A2602" i="1"/>
  <c r="C2602" i="1"/>
  <c r="S2602" i="1"/>
  <c r="T2602" i="1"/>
  <c r="U2602" i="1"/>
  <c r="BE2602" i="1"/>
  <c r="CC2602" i="1"/>
  <c r="CD2602" i="1"/>
  <c r="A2603" i="1"/>
  <c r="C2603" i="1"/>
  <c r="S2603" i="1"/>
  <c r="T2603" i="1"/>
  <c r="U2603" i="1"/>
  <c r="BE2603" i="1"/>
  <c r="CC2603" i="1"/>
  <c r="CD2603" i="1"/>
  <c r="A2604" i="1"/>
  <c r="C2604" i="1"/>
  <c r="S2604" i="1"/>
  <c r="T2604" i="1"/>
  <c r="U2604" i="1"/>
  <c r="BE2604" i="1"/>
  <c r="CC2604" i="1"/>
  <c r="CD2604" i="1"/>
  <c r="A2605" i="1"/>
  <c r="C2605" i="1"/>
  <c r="S2605" i="1"/>
  <c r="T2605" i="1"/>
  <c r="U2605" i="1"/>
  <c r="BE2605" i="1"/>
  <c r="CC2605" i="1"/>
  <c r="CD2605" i="1"/>
  <c r="A2606" i="1"/>
  <c r="C2606" i="1"/>
  <c r="S2606" i="1"/>
  <c r="T2606" i="1"/>
  <c r="U2606" i="1"/>
  <c r="BE2606" i="1"/>
  <c r="CC2606" i="1"/>
  <c r="CD2606" i="1"/>
  <c r="A2607" i="1"/>
  <c r="C2607" i="1"/>
  <c r="S2607" i="1"/>
  <c r="T2607" i="1"/>
  <c r="U2607" i="1"/>
  <c r="BE2607" i="1"/>
  <c r="CC2607" i="1"/>
  <c r="CD2607" i="1"/>
  <c r="A2608" i="1"/>
  <c r="C2608" i="1"/>
  <c r="S2608" i="1"/>
  <c r="T2608" i="1"/>
  <c r="U2608" i="1"/>
  <c r="BE2608" i="1"/>
  <c r="CC2608" i="1"/>
  <c r="CD2608" i="1"/>
  <c r="A2609" i="1"/>
  <c r="C2609" i="1"/>
  <c r="S2609" i="1"/>
  <c r="T2609" i="1"/>
  <c r="U2609" i="1"/>
  <c r="BE2609" i="1"/>
  <c r="CC2609" i="1"/>
  <c r="CD2609" i="1"/>
  <c r="A2610" i="1"/>
  <c r="C2610" i="1"/>
  <c r="S2610" i="1"/>
  <c r="T2610" i="1"/>
  <c r="U2610" i="1"/>
  <c r="BE2610" i="1"/>
  <c r="CC2610" i="1"/>
  <c r="CD2610" i="1"/>
  <c r="A2611" i="1"/>
  <c r="C2611" i="1"/>
  <c r="S2611" i="1"/>
  <c r="T2611" i="1"/>
  <c r="U2611" i="1"/>
  <c r="BE2611" i="1"/>
  <c r="CC2611" i="1"/>
  <c r="CD2611" i="1"/>
  <c r="A2612" i="1"/>
  <c r="C2612" i="1"/>
  <c r="S2612" i="1"/>
  <c r="T2612" i="1"/>
  <c r="U2612" i="1"/>
  <c r="BE2612" i="1"/>
  <c r="CC2612" i="1"/>
  <c r="CD2612" i="1"/>
  <c r="A2613" i="1"/>
  <c r="C2613" i="1"/>
  <c r="S2613" i="1"/>
  <c r="T2613" i="1"/>
  <c r="U2613" i="1"/>
  <c r="BE2613" i="1"/>
  <c r="CC2613" i="1"/>
  <c r="CD2613" i="1"/>
  <c r="A2614" i="1"/>
  <c r="C2614" i="1"/>
  <c r="S2614" i="1"/>
  <c r="T2614" i="1"/>
  <c r="U2614" i="1"/>
  <c r="BE2614" i="1"/>
  <c r="CC2614" i="1"/>
  <c r="CD2614" i="1"/>
  <c r="A2615" i="1"/>
  <c r="C2615" i="1"/>
  <c r="S2615" i="1"/>
  <c r="T2615" i="1"/>
  <c r="U2615" i="1"/>
  <c r="BE2615" i="1"/>
  <c r="CC2615" i="1"/>
  <c r="CD2615" i="1"/>
  <c r="A2616" i="1"/>
  <c r="C2616" i="1"/>
  <c r="S2616" i="1"/>
  <c r="T2616" i="1"/>
  <c r="U2616" i="1"/>
  <c r="BE2616" i="1"/>
  <c r="CC2616" i="1"/>
  <c r="CD2616" i="1"/>
  <c r="A2617" i="1"/>
  <c r="C2617" i="1"/>
  <c r="S2617" i="1"/>
  <c r="T2617" i="1"/>
  <c r="U2617" i="1"/>
  <c r="BE2617" i="1"/>
  <c r="CC2617" i="1"/>
  <c r="CD2617" i="1"/>
  <c r="A2618" i="1"/>
  <c r="C2618" i="1"/>
  <c r="S2618" i="1"/>
  <c r="T2618" i="1"/>
  <c r="U2618" i="1"/>
  <c r="BE2618" i="1"/>
  <c r="CC2618" i="1"/>
  <c r="CD2618" i="1"/>
  <c r="A2619" i="1"/>
  <c r="C2619" i="1"/>
  <c r="S2619" i="1"/>
  <c r="T2619" i="1"/>
  <c r="U2619" i="1"/>
  <c r="BE2619" i="1"/>
  <c r="CC2619" i="1"/>
  <c r="CD2619" i="1"/>
  <c r="A2620" i="1"/>
  <c r="C2620" i="1"/>
  <c r="S2620" i="1"/>
  <c r="T2620" i="1"/>
  <c r="U2620" i="1"/>
  <c r="BE2620" i="1"/>
  <c r="CC2620" i="1"/>
  <c r="CD2620" i="1"/>
  <c r="A2621" i="1"/>
  <c r="C2621" i="1"/>
  <c r="S2621" i="1"/>
  <c r="T2621" i="1"/>
  <c r="U2621" i="1"/>
  <c r="BE2621" i="1"/>
  <c r="CC2621" i="1"/>
  <c r="CD2621" i="1"/>
  <c r="A2622" i="1"/>
  <c r="C2622" i="1"/>
  <c r="S2622" i="1"/>
  <c r="T2622" i="1"/>
  <c r="U2622" i="1"/>
  <c r="BE2622" i="1"/>
  <c r="CC2622" i="1"/>
  <c r="CD2622" i="1"/>
  <c r="A2623" i="1"/>
  <c r="C2623" i="1"/>
  <c r="S2623" i="1"/>
  <c r="T2623" i="1"/>
  <c r="U2623" i="1"/>
  <c r="BE2623" i="1"/>
  <c r="CC2623" i="1"/>
  <c r="CD2623" i="1"/>
  <c r="A2624" i="1"/>
  <c r="C2624" i="1"/>
  <c r="S2624" i="1"/>
  <c r="T2624" i="1"/>
  <c r="U2624" i="1"/>
  <c r="BE2624" i="1"/>
  <c r="CC2624" i="1"/>
  <c r="CD2624" i="1"/>
  <c r="A2625" i="1"/>
  <c r="C2625" i="1"/>
  <c r="S2625" i="1"/>
  <c r="T2625" i="1"/>
  <c r="U2625" i="1"/>
  <c r="BE2625" i="1"/>
  <c r="CC2625" i="1"/>
  <c r="CD2625" i="1"/>
  <c r="A2626" i="1"/>
  <c r="C2626" i="1"/>
  <c r="S2626" i="1"/>
  <c r="T2626" i="1"/>
  <c r="U2626" i="1"/>
  <c r="BE2626" i="1"/>
  <c r="CC2626" i="1"/>
  <c r="CD2626" i="1"/>
  <c r="A2627" i="1"/>
  <c r="C2627" i="1"/>
  <c r="S2627" i="1"/>
  <c r="T2627" i="1"/>
  <c r="U2627" i="1"/>
  <c r="BE2627" i="1"/>
  <c r="CC2627" i="1"/>
  <c r="CD2627" i="1"/>
  <c r="A2628" i="1"/>
  <c r="C2628" i="1"/>
  <c r="S2628" i="1"/>
  <c r="T2628" i="1"/>
  <c r="U2628" i="1"/>
  <c r="BE2628" i="1"/>
  <c r="CC2628" i="1"/>
  <c r="CD2628" i="1"/>
  <c r="A2629" i="1"/>
  <c r="C2629" i="1"/>
  <c r="S2629" i="1"/>
  <c r="T2629" i="1"/>
  <c r="U2629" i="1"/>
  <c r="BE2629" i="1"/>
  <c r="CC2629" i="1"/>
  <c r="CD2629" i="1"/>
  <c r="A2630" i="1"/>
  <c r="C2630" i="1"/>
  <c r="S2630" i="1"/>
  <c r="T2630" i="1"/>
  <c r="U2630" i="1"/>
  <c r="BE2630" i="1"/>
  <c r="CC2630" i="1"/>
  <c r="CD2630" i="1"/>
  <c r="A2631" i="1"/>
  <c r="C2631" i="1"/>
  <c r="S2631" i="1"/>
  <c r="T2631" i="1"/>
  <c r="U2631" i="1"/>
  <c r="BE2631" i="1"/>
  <c r="CC2631" i="1"/>
  <c r="CD2631" i="1"/>
  <c r="A2632" i="1"/>
  <c r="C2632" i="1"/>
  <c r="S2632" i="1"/>
  <c r="T2632" i="1"/>
  <c r="U2632" i="1"/>
  <c r="BE2632" i="1"/>
  <c r="CC2632" i="1"/>
  <c r="CD2632" i="1"/>
  <c r="A2633" i="1"/>
  <c r="C2633" i="1"/>
  <c r="S2633" i="1"/>
  <c r="T2633" i="1"/>
  <c r="U2633" i="1"/>
  <c r="BE2633" i="1"/>
  <c r="CC2633" i="1"/>
  <c r="CD2633" i="1"/>
  <c r="A2634" i="1"/>
  <c r="C2634" i="1"/>
  <c r="S2634" i="1"/>
  <c r="T2634" i="1"/>
  <c r="U2634" i="1"/>
  <c r="BE2634" i="1"/>
  <c r="CC2634" i="1"/>
  <c r="CD2634" i="1"/>
  <c r="A2635" i="1"/>
  <c r="C2635" i="1"/>
  <c r="S2635" i="1"/>
  <c r="T2635" i="1"/>
  <c r="U2635" i="1"/>
  <c r="BE2635" i="1"/>
  <c r="CC2635" i="1"/>
  <c r="CD2635" i="1"/>
  <c r="A2636" i="1"/>
  <c r="C2636" i="1"/>
  <c r="S2636" i="1"/>
  <c r="T2636" i="1"/>
  <c r="U2636" i="1"/>
  <c r="BE2636" i="1"/>
  <c r="CC2636" i="1"/>
  <c r="CD2636" i="1"/>
  <c r="A2637" i="1"/>
  <c r="C2637" i="1"/>
  <c r="S2637" i="1"/>
  <c r="T2637" i="1"/>
  <c r="U2637" i="1"/>
  <c r="BE2637" i="1"/>
  <c r="CC2637" i="1"/>
  <c r="CD2637" i="1"/>
  <c r="A2638" i="1"/>
  <c r="C2638" i="1"/>
  <c r="S2638" i="1"/>
  <c r="T2638" i="1"/>
  <c r="U2638" i="1"/>
  <c r="BE2638" i="1"/>
  <c r="CC2638" i="1"/>
  <c r="CD2638" i="1"/>
  <c r="A2639" i="1"/>
  <c r="C2639" i="1"/>
  <c r="S2639" i="1"/>
  <c r="T2639" i="1"/>
  <c r="U2639" i="1"/>
  <c r="BE2639" i="1"/>
  <c r="CC2639" i="1"/>
  <c r="CD2639" i="1"/>
  <c r="A2640" i="1"/>
  <c r="C2640" i="1"/>
  <c r="S2640" i="1"/>
  <c r="T2640" i="1"/>
  <c r="U2640" i="1"/>
  <c r="BE2640" i="1"/>
  <c r="CC2640" i="1"/>
  <c r="CD2640" i="1"/>
  <c r="A2641" i="1"/>
  <c r="C2641" i="1"/>
  <c r="S2641" i="1"/>
  <c r="T2641" i="1"/>
  <c r="U2641" i="1"/>
  <c r="BE2641" i="1"/>
  <c r="CC2641" i="1"/>
  <c r="CD2641" i="1"/>
  <c r="A2642" i="1"/>
  <c r="C2642" i="1"/>
  <c r="S2642" i="1"/>
  <c r="T2642" i="1"/>
  <c r="U2642" i="1"/>
  <c r="BE2642" i="1"/>
  <c r="CC2642" i="1"/>
  <c r="CD2642" i="1"/>
  <c r="A2643" i="1"/>
  <c r="C2643" i="1"/>
  <c r="S2643" i="1"/>
  <c r="T2643" i="1"/>
  <c r="U2643" i="1"/>
  <c r="BE2643" i="1"/>
  <c r="CC2643" i="1"/>
  <c r="CD2643" i="1"/>
  <c r="A2644" i="1"/>
  <c r="C2644" i="1"/>
  <c r="S2644" i="1"/>
  <c r="T2644" i="1"/>
  <c r="U2644" i="1"/>
  <c r="BE2644" i="1"/>
  <c r="CC2644" i="1"/>
  <c r="CD2644" i="1"/>
  <c r="A2645" i="1"/>
  <c r="C2645" i="1"/>
  <c r="S2645" i="1"/>
  <c r="T2645" i="1"/>
  <c r="U2645" i="1"/>
  <c r="BE2645" i="1"/>
  <c r="CC2645" i="1"/>
  <c r="CD2645" i="1"/>
  <c r="A2646" i="1"/>
  <c r="C2646" i="1"/>
  <c r="S2646" i="1"/>
  <c r="T2646" i="1"/>
  <c r="U2646" i="1"/>
  <c r="BE2646" i="1"/>
  <c r="CC2646" i="1"/>
  <c r="CD2646" i="1"/>
  <c r="A2647" i="1"/>
  <c r="C2647" i="1"/>
  <c r="S2647" i="1"/>
  <c r="T2647" i="1"/>
  <c r="U2647" i="1"/>
  <c r="BE2647" i="1"/>
  <c r="CC2647" i="1"/>
  <c r="CD2647" i="1"/>
  <c r="A2648" i="1"/>
  <c r="C2648" i="1"/>
  <c r="S2648" i="1"/>
  <c r="T2648" i="1"/>
  <c r="U2648" i="1"/>
  <c r="BE2648" i="1"/>
  <c r="CC2648" i="1"/>
  <c r="CD2648" i="1"/>
  <c r="A2649" i="1"/>
  <c r="C2649" i="1"/>
  <c r="S2649" i="1"/>
  <c r="T2649" i="1"/>
  <c r="U2649" i="1"/>
  <c r="BE2649" i="1"/>
  <c r="CC2649" i="1"/>
  <c r="CD2649" i="1"/>
  <c r="A2650" i="1"/>
  <c r="C2650" i="1"/>
  <c r="S2650" i="1"/>
  <c r="T2650" i="1"/>
  <c r="U2650" i="1"/>
  <c r="BE2650" i="1"/>
  <c r="CC2650" i="1"/>
  <c r="CD2650" i="1"/>
  <c r="A2651" i="1"/>
  <c r="C2651" i="1"/>
  <c r="S2651" i="1"/>
  <c r="T2651" i="1"/>
  <c r="U2651" i="1"/>
  <c r="BE2651" i="1"/>
  <c r="CC2651" i="1"/>
  <c r="CD2651" i="1"/>
  <c r="A2652" i="1"/>
  <c r="C2652" i="1"/>
  <c r="S2652" i="1"/>
  <c r="T2652" i="1"/>
  <c r="U2652" i="1"/>
  <c r="BE2652" i="1"/>
  <c r="CC2652" i="1"/>
  <c r="CD2652" i="1"/>
  <c r="A2653" i="1"/>
  <c r="C2653" i="1"/>
  <c r="S2653" i="1"/>
  <c r="T2653" i="1"/>
  <c r="U2653" i="1"/>
  <c r="BE2653" i="1"/>
  <c r="CC2653" i="1"/>
  <c r="CD2653" i="1"/>
  <c r="A2654" i="1"/>
  <c r="C2654" i="1"/>
  <c r="S2654" i="1"/>
  <c r="T2654" i="1"/>
  <c r="U2654" i="1"/>
  <c r="BE2654" i="1"/>
  <c r="CC2654" i="1"/>
  <c r="CD2654" i="1"/>
  <c r="A2655" i="1"/>
  <c r="C2655" i="1"/>
  <c r="S2655" i="1"/>
  <c r="T2655" i="1"/>
  <c r="U2655" i="1"/>
  <c r="BE2655" i="1"/>
  <c r="CC2655" i="1"/>
  <c r="CD2655" i="1"/>
  <c r="A2656" i="1"/>
  <c r="C2656" i="1"/>
  <c r="S2656" i="1"/>
  <c r="T2656" i="1"/>
  <c r="U2656" i="1"/>
  <c r="BE2656" i="1"/>
  <c r="CC2656" i="1"/>
  <c r="CD2656" i="1"/>
  <c r="A2657" i="1"/>
  <c r="C2657" i="1"/>
  <c r="S2657" i="1"/>
  <c r="T2657" i="1"/>
  <c r="U2657" i="1"/>
  <c r="BE2657" i="1"/>
  <c r="CC2657" i="1"/>
  <c r="CD2657" i="1"/>
  <c r="A2658" i="1"/>
  <c r="C2658" i="1"/>
  <c r="S2658" i="1"/>
  <c r="T2658" i="1"/>
  <c r="U2658" i="1"/>
  <c r="BE2658" i="1"/>
  <c r="CC2658" i="1"/>
  <c r="CD2658" i="1"/>
  <c r="A2659" i="1"/>
  <c r="C2659" i="1"/>
  <c r="S2659" i="1"/>
  <c r="T2659" i="1"/>
  <c r="U2659" i="1"/>
  <c r="BE2659" i="1"/>
  <c r="CC2659" i="1"/>
  <c r="CD2659" i="1"/>
  <c r="A2660" i="1"/>
  <c r="C2660" i="1"/>
  <c r="S2660" i="1"/>
  <c r="T2660" i="1"/>
  <c r="U2660" i="1"/>
  <c r="BE2660" i="1"/>
  <c r="CC2660" i="1"/>
  <c r="CD2660" i="1"/>
  <c r="A2661" i="1"/>
  <c r="C2661" i="1"/>
  <c r="S2661" i="1"/>
  <c r="T2661" i="1"/>
  <c r="U2661" i="1"/>
  <c r="BE2661" i="1"/>
  <c r="CC2661" i="1"/>
  <c r="CD2661" i="1"/>
  <c r="A2662" i="1"/>
  <c r="C2662" i="1"/>
  <c r="S2662" i="1"/>
  <c r="T2662" i="1"/>
  <c r="U2662" i="1"/>
  <c r="BE2662" i="1"/>
  <c r="CC2662" i="1"/>
  <c r="CD2662" i="1"/>
  <c r="A2663" i="1"/>
  <c r="C2663" i="1"/>
  <c r="S2663" i="1"/>
  <c r="T2663" i="1"/>
  <c r="U2663" i="1"/>
  <c r="BE2663" i="1"/>
  <c r="CC2663" i="1"/>
  <c r="CD2663" i="1"/>
  <c r="A2664" i="1"/>
  <c r="C2664" i="1"/>
  <c r="S2664" i="1"/>
  <c r="T2664" i="1"/>
  <c r="U2664" i="1"/>
  <c r="BE2664" i="1"/>
  <c r="CC2664" i="1"/>
  <c r="CD2664" i="1"/>
  <c r="A2665" i="1"/>
  <c r="C2665" i="1"/>
  <c r="S2665" i="1"/>
  <c r="T2665" i="1"/>
  <c r="U2665" i="1"/>
  <c r="BE2665" i="1"/>
  <c r="CC2665" i="1"/>
  <c r="CD2665" i="1"/>
  <c r="A2666" i="1"/>
  <c r="C2666" i="1"/>
  <c r="S2666" i="1"/>
  <c r="T2666" i="1"/>
  <c r="U2666" i="1"/>
  <c r="BE2666" i="1"/>
  <c r="CC2666" i="1"/>
  <c r="CD2666" i="1"/>
  <c r="A2667" i="1"/>
  <c r="C2667" i="1"/>
  <c r="S2667" i="1"/>
  <c r="T2667" i="1"/>
  <c r="U2667" i="1"/>
  <c r="BE2667" i="1"/>
  <c r="CC2667" i="1"/>
  <c r="CD2667" i="1"/>
  <c r="A2668" i="1"/>
  <c r="C2668" i="1"/>
  <c r="S2668" i="1"/>
  <c r="T2668" i="1"/>
  <c r="U2668" i="1"/>
  <c r="BE2668" i="1"/>
  <c r="CC2668" i="1"/>
  <c r="CD2668" i="1"/>
  <c r="A2669" i="1"/>
  <c r="C2669" i="1"/>
  <c r="S2669" i="1"/>
  <c r="T2669" i="1"/>
  <c r="U2669" i="1"/>
  <c r="BE2669" i="1"/>
  <c r="CC2669" i="1"/>
  <c r="CD2669" i="1"/>
  <c r="A2670" i="1"/>
  <c r="C2670" i="1"/>
  <c r="S2670" i="1"/>
  <c r="T2670" i="1"/>
  <c r="U2670" i="1"/>
  <c r="BE2670" i="1"/>
  <c r="CC2670" i="1"/>
  <c r="CD2670" i="1"/>
  <c r="A2671" i="1"/>
  <c r="C2671" i="1"/>
  <c r="S2671" i="1"/>
  <c r="T2671" i="1"/>
  <c r="U2671" i="1"/>
  <c r="BE2671" i="1"/>
  <c r="CC2671" i="1"/>
  <c r="CD2671" i="1"/>
  <c r="A2672" i="1"/>
  <c r="C2672" i="1"/>
  <c r="S2672" i="1"/>
  <c r="T2672" i="1"/>
  <c r="U2672" i="1"/>
  <c r="BE2672" i="1"/>
  <c r="CC2672" i="1"/>
  <c r="CD2672" i="1"/>
  <c r="A2673" i="1"/>
  <c r="C2673" i="1"/>
  <c r="S2673" i="1"/>
  <c r="T2673" i="1"/>
  <c r="U2673" i="1"/>
  <c r="BE2673" i="1"/>
  <c r="CC2673" i="1"/>
  <c r="CD2673" i="1"/>
  <c r="A2674" i="1"/>
  <c r="C2674" i="1"/>
  <c r="S2674" i="1"/>
  <c r="T2674" i="1"/>
  <c r="U2674" i="1"/>
  <c r="BE2674" i="1"/>
  <c r="CC2674" i="1"/>
  <c r="CD2674" i="1"/>
  <c r="A2675" i="1"/>
  <c r="C2675" i="1"/>
  <c r="S2675" i="1"/>
  <c r="T2675" i="1"/>
  <c r="U2675" i="1"/>
  <c r="BE2675" i="1"/>
  <c r="CC2675" i="1"/>
  <c r="CD2675" i="1"/>
  <c r="A2676" i="1"/>
  <c r="C2676" i="1"/>
  <c r="S2676" i="1"/>
  <c r="T2676" i="1"/>
  <c r="U2676" i="1"/>
  <c r="BE2676" i="1"/>
  <c r="CC2676" i="1"/>
  <c r="CD2676" i="1"/>
  <c r="A2677" i="1"/>
  <c r="C2677" i="1"/>
  <c r="S2677" i="1"/>
  <c r="T2677" i="1"/>
  <c r="U2677" i="1"/>
  <c r="BE2677" i="1"/>
  <c r="CC2677" i="1"/>
  <c r="CD2677" i="1"/>
  <c r="A2678" i="1"/>
  <c r="C2678" i="1"/>
  <c r="S2678" i="1"/>
  <c r="T2678" i="1"/>
  <c r="U2678" i="1"/>
  <c r="BE2678" i="1"/>
  <c r="CC2678" i="1"/>
  <c r="CD2678" i="1"/>
  <c r="A2679" i="1"/>
  <c r="C2679" i="1"/>
  <c r="S2679" i="1"/>
  <c r="T2679" i="1"/>
  <c r="U2679" i="1"/>
  <c r="BE2679" i="1"/>
  <c r="CC2679" i="1"/>
  <c r="CD2679" i="1"/>
  <c r="A2680" i="1"/>
  <c r="C2680" i="1"/>
  <c r="S2680" i="1"/>
  <c r="T2680" i="1"/>
  <c r="U2680" i="1"/>
  <c r="BE2680" i="1"/>
  <c r="CC2680" i="1"/>
  <c r="CD2680" i="1"/>
  <c r="A2681" i="1"/>
  <c r="C2681" i="1"/>
  <c r="S2681" i="1"/>
  <c r="T2681" i="1"/>
  <c r="U2681" i="1"/>
  <c r="BE2681" i="1"/>
  <c r="CC2681" i="1"/>
  <c r="CD2681" i="1"/>
  <c r="A2682" i="1"/>
  <c r="C2682" i="1"/>
  <c r="S2682" i="1"/>
  <c r="T2682" i="1"/>
  <c r="U2682" i="1"/>
  <c r="BE2682" i="1"/>
  <c r="CC2682" i="1"/>
  <c r="CD2682" i="1"/>
  <c r="A2683" i="1"/>
  <c r="C2683" i="1"/>
  <c r="S2683" i="1"/>
  <c r="T2683" i="1"/>
  <c r="U2683" i="1"/>
  <c r="BE2683" i="1"/>
  <c r="CC2683" i="1"/>
  <c r="CD2683" i="1"/>
  <c r="A2684" i="1"/>
  <c r="C2684" i="1"/>
  <c r="S2684" i="1"/>
  <c r="T2684" i="1"/>
  <c r="U2684" i="1"/>
  <c r="BE2684" i="1"/>
  <c r="CC2684" i="1"/>
  <c r="CD2684" i="1"/>
  <c r="A2685" i="1"/>
  <c r="C2685" i="1"/>
  <c r="S2685" i="1"/>
  <c r="T2685" i="1"/>
  <c r="U2685" i="1"/>
  <c r="BE2685" i="1"/>
  <c r="CC2685" i="1"/>
  <c r="CD2685" i="1"/>
  <c r="A2686" i="1"/>
  <c r="C2686" i="1"/>
  <c r="S2686" i="1"/>
  <c r="T2686" i="1"/>
  <c r="U2686" i="1"/>
  <c r="BE2686" i="1"/>
  <c r="CC2686" i="1"/>
  <c r="CD2686" i="1"/>
  <c r="A2687" i="1"/>
  <c r="C2687" i="1"/>
  <c r="S2687" i="1"/>
  <c r="T2687" i="1"/>
  <c r="U2687" i="1"/>
  <c r="BE2687" i="1"/>
  <c r="CC2687" i="1"/>
  <c r="CD2687" i="1"/>
  <c r="A2688" i="1"/>
  <c r="C2688" i="1"/>
  <c r="S2688" i="1"/>
  <c r="T2688" i="1"/>
  <c r="U2688" i="1"/>
  <c r="BE2688" i="1"/>
  <c r="CC2688" i="1"/>
  <c r="CD2688" i="1"/>
  <c r="A2689" i="1"/>
  <c r="C2689" i="1"/>
  <c r="S2689" i="1"/>
  <c r="T2689" i="1"/>
  <c r="U2689" i="1"/>
  <c r="BE2689" i="1"/>
  <c r="CC2689" i="1"/>
  <c r="CD2689" i="1"/>
  <c r="A2690" i="1"/>
  <c r="C2690" i="1"/>
  <c r="S2690" i="1"/>
  <c r="T2690" i="1"/>
  <c r="U2690" i="1"/>
  <c r="BE2690" i="1"/>
  <c r="CC2690" i="1"/>
  <c r="CD2690" i="1"/>
  <c r="A2691" i="1"/>
  <c r="C2691" i="1"/>
  <c r="S2691" i="1"/>
  <c r="T2691" i="1"/>
  <c r="U2691" i="1"/>
  <c r="BE2691" i="1"/>
  <c r="CC2691" i="1"/>
  <c r="CD2691" i="1"/>
  <c r="A2692" i="1"/>
  <c r="C2692" i="1"/>
  <c r="S2692" i="1"/>
  <c r="T2692" i="1"/>
  <c r="U2692" i="1"/>
  <c r="BE2692" i="1"/>
  <c r="CC2692" i="1"/>
  <c r="CD2692" i="1"/>
  <c r="A2693" i="1"/>
  <c r="C2693" i="1"/>
  <c r="S2693" i="1"/>
  <c r="T2693" i="1"/>
  <c r="U2693" i="1"/>
  <c r="BE2693" i="1"/>
  <c r="CC2693" i="1"/>
  <c r="CD2693" i="1"/>
  <c r="A2694" i="1"/>
  <c r="C2694" i="1"/>
  <c r="S2694" i="1"/>
  <c r="T2694" i="1"/>
  <c r="U2694" i="1"/>
  <c r="BE2694" i="1"/>
  <c r="CC2694" i="1"/>
  <c r="CD2694" i="1"/>
  <c r="A2695" i="1"/>
  <c r="C2695" i="1"/>
  <c r="S2695" i="1"/>
  <c r="T2695" i="1"/>
  <c r="U2695" i="1"/>
  <c r="BE2695" i="1"/>
  <c r="CC2695" i="1"/>
  <c r="CD2695" i="1"/>
  <c r="A2696" i="1"/>
  <c r="C2696" i="1"/>
  <c r="S2696" i="1"/>
  <c r="T2696" i="1"/>
  <c r="U2696" i="1"/>
  <c r="BE2696" i="1"/>
  <c r="CC2696" i="1"/>
  <c r="CD2696" i="1"/>
  <c r="A2697" i="1"/>
  <c r="C2697" i="1"/>
  <c r="S2697" i="1"/>
  <c r="T2697" i="1"/>
  <c r="U2697" i="1"/>
  <c r="BE2697" i="1"/>
  <c r="CC2697" i="1"/>
  <c r="CD2697" i="1"/>
  <c r="A2698" i="1"/>
  <c r="C2698" i="1"/>
  <c r="S2698" i="1"/>
  <c r="T2698" i="1"/>
  <c r="U2698" i="1"/>
  <c r="BE2698" i="1"/>
  <c r="CC2698" i="1"/>
  <c r="CD2698" i="1"/>
  <c r="A2699" i="1"/>
  <c r="C2699" i="1"/>
  <c r="S2699" i="1"/>
  <c r="T2699" i="1"/>
  <c r="U2699" i="1"/>
  <c r="BE2699" i="1"/>
  <c r="CC2699" i="1"/>
  <c r="CD2699" i="1"/>
  <c r="A2700" i="1"/>
  <c r="C2700" i="1"/>
  <c r="S2700" i="1"/>
  <c r="T2700" i="1"/>
  <c r="U2700" i="1"/>
  <c r="BE2700" i="1"/>
  <c r="CC2700" i="1"/>
  <c r="CD2700" i="1"/>
  <c r="A2701" i="1"/>
  <c r="C2701" i="1"/>
  <c r="S2701" i="1"/>
  <c r="T2701" i="1"/>
  <c r="U2701" i="1"/>
  <c r="BE2701" i="1"/>
  <c r="CC2701" i="1"/>
  <c r="CD2701" i="1"/>
  <c r="A2702" i="1"/>
  <c r="C2702" i="1"/>
  <c r="S2702" i="1"/>
  <c r="T2702" i="1"/>
  <c r="U2702" i="1"/>
  <c r="BE2702" i="1"/>
  <c r="CC2702" i="1"/>
  <c r="CD2702" i="1"/>
  <c r="A2703" i="1"/>
  <c r="C2703" i="1"/>
  <c r="S2703" i="1"/>
  <c r="T2703" i="1"/>
  <c r="U2703" i="1"/>
  <c r="BE2703" i="1"/>
  <c r="CC2703" i="1"/>
  <c r="CD2703" i="1"/>
  <c r="A2704" i="1"/>
  <c r="C2704" i="1"/>
  <c r="S2704" i="1"/>
  <c r="T2704" i="1"/>
  <c r="U2704" i="1"/>
  <c r="BE2704" i="1"/>
  <c r="CC2704" i="1"/>
  <c r="CD2704" i="1"/>
  <c r="A2705" i="1"/>
  <c r="C2705" i="1"/>
  <c r="S2705" i="1"/>
  <c r="T2705" i="1"/>
  <c r="U2705" i="1"/>
  <c r="BE2705" i="1"/>
  <c r="CC2705" i="1"/>
  <c r="CD2705" i="1"/>
  <c r="A2706" i="1"/>
  <c r="C2706" i="1"/>
  <c r="S2706" i="1"/>
  <c r="T2706" i="1"/>
  <c r="U2706" i="1"/>
  <c r="BE2706" i="1"/>
  <c r="CC2706" i="1"/>
  <c r="CD2706" i="1"/>
  <c r="A2707" i="1"/>
  <c r="C2707" i="1"/>
  <c r="S2707" i="1"/>
  <c r="T2707" i="1"/>
  <c r="U2707" i="1"/>
  <c r="BE2707" i="1"/>
  <c r="CC2707" i="1"/>
  <c r="CD2707" i="1"/>
  <c r="A2708" i="1"/>
  <c r="C2708" i="1"/>
  <c r="S2708" i="1"/>
  <c r="T2708" i="1"/>
  <c r="U2708" i="1"/>
  <c r="BE2708" i="1"/>
  <c r="CC2708" i="1"/>
  <c r="CD2708" i="1"/>
  <c r="A2709" i="1"/>
  <c r="C2709" i="1"/>
  <c r="S2709" i="1"/>
  <c r="T2709" i="1"/>
  <c r="U2709" i="1"/>
  <c r="BE2709" i="1"/>
  <c r="CC2709" i="1"/>
  <c r="CD2709" i="1"/>
  <c r="A2710" i="1"/>
  <c r="C2710" i="1"/>
  <c r="S2710" i="1"/>
  <c r="T2710" i="1"/>
  <c r="U2710" i="1"/>
  <c r="BE2710" i="1"/>
  <c r="CC2710" i="1"/>
  <c r="CD2710" i="1"/>
  <c r="A2711" i="1"/>
  <c r="C2711" i="1"/>
  <c r="S2711" i="1"/>
  <c r="T2711" i="1"/>
  <c r="U2711" i="1"/>
  <c r="BE2711" i="1"/>
  <c r="CC2711" i="1"/>
  <c r="CD2711" i="1"/>
  <c r="A2712" i="1"/>
  <c r="C2712" i="1"/>
  <c r="S2712" i="1"/>
  <c r="T2712" i="1"/>
  <c r="U2712" i="1"/>
  <c r="BE2712" i="1"/>
  <c r="CC2712" i="1"/>
  <c r="CD2712" i="1"/>
  <c r="A2713" i="1"/>
  <c r="C2713" i="1"/>
  <c r="S2713" i="1"/>
  <c r="T2713" i="1"/>
  <c r="U2713" i="1"/>
  <c r="BE2713" i="1"/>
  <c r="CC2713" i="1"/>
  <c r="CD2713" i="1"/>
  <c r="A2714" i="1"/>
  <c r="C2714" i="1"/>
  <c r="S2714" i="1"/>
  <c r="T2714" i="1"/>
  <c r="U2714" i="1"/>
  <c r="BE2714" i="1"/>
  <c r="CC2714" i="1"/>
  <c r="CD2714" i="1"/>
  <c r="A2715" i="1"/>
  <c r="C2715" i="1"/>
  <c r="S2715" i="1"/>
  <c r="T2715" i="1"/>
  <c r="U2715" i="1"/>
  <c r="BE2715" i="1"/>
  <c r="CC2715" i="1"/>
  <c r="CD2715" i="1"/>
  <c r="A2716" i="1"/>
  <c r="C2716" i="1"/>
  <c r="S2716" i="1"/>
  <c r="T2716" i="1"/>
  <c r="U2716" i="1"/>
  <c r="BE2716" i="1"/>
  <c r="CC2716" i="1"/>
  <c r="CD2716" i="1"/>
  <c r="A2717" i="1"/>
  <c r="C2717" i="1"/>
  <c r="S2717" i="1"/>
  <c r="T2717" i="1"/>
  <c r="U2717" i="1"/>
  <c r="BE2717" i="1"/>
  <c r="CC2717" i="1"/>
  <c r="CD2717" i="1"/>
  <c r="A2718" i="1"/>
  <c r="C2718" i="1"/>
  <c r="S2718" i="1"/>
  <c r="T2718" i="1"/>
  <c r="U2718" i="1"/>
  <c r="BE2718" i="1"/>
  <c r="CC2718" i="1"/>
  <c r="CD2718" i="1"/>
  <c r="A2719" i="1"/>
  <c r="C2719" i="1"/>
  <c r="S2719" i="1"/>
  <c r="T2719" i="1"/>
  <c r="U2719" i="1"/>
  <c r="BE2719" i="1"/>
  <c r="CC2719" i="1"/>
  <c r="CD2719" i="1"/>
  <c r="A2720" i="1"/>
  <c r="C2720" i="1"/>
  <c r="S2720" i="1"/>
  <c r="T2720" i="1"/>
  <c r="U2720" i="1"/>
  <c r="BE2720" i="1"/>
  <c r="CC2720" i="1"/>
  <c r="CD2720" i="1"/>
  <c r="A2721" i="1"/>
  <c r="C2721" i="1"/>
  <c r="S2721" i="1"/>
  <c r="T2721" i="1"/>
  <c r="U2721" i="1"/>
  <c r="BE2721" i="1"/>
  <c r="CC2721" i="1"/>
  <c r="CD2721" i="1"/>
  <c r="A2722" i="1"/>
  <c r="C2722" i="1"/>
  <c r="S2722" i="1"/>
  <c r="T2722" i="1"/>
  <c r="U2722" i="1"/>
  <c r="BE2722" i="1"/>
  <c r="CC2722" i="1"/>
  <c r="CD2722" i="1"/>
  <c r="A2723" i="1"/>
  <c r="C2723" i="1"/>
  <c r="S2723" i="1"/>
  <c r="T2723" i="1"/>
  <c r="U2723" i="1"/>
  <c r="BE2723" i="1"/>
  <c r="CC2723" i="1"/>
  <c r="CD2723" i="1"/>
  <c r="A2724" i="1"/>
  <c r="C2724" i="1"/>
  <c r="S2724" i="1"/>
  <c r="T2724" i="1"/>
  <c r="U2724" i="1"/>
  <c r="BE2724" i="1"/>
  <c r="CC2724" i="1"/>
  <c r="CD2724" i="1"/>
  <c r="A2725" i="1"/>
  <c r="C2725" i="1"/>
  <c r="S2725" i="1"/>
  <c r="T2725" i="1"/>
  <c r="U2725" i="1"/>
  <c r="BE2725" i="1"/>
  <c r="CC2725" i="1"/>
  <c r="CD2725" i="1"/>
  <c r="A2726" i="1"/>
  <c r="C2726" i="1"/>
  <c r="S2726" i="1"/>
  <c r="T2726" i="1"/>
  <c r="U2726" i="1"/>
  <c r="BE2726" i="1"/>
  <c r="CC2726" i="1"/>
  <c r="CD2726" i="1"/>
  <c r="A2727" i="1"/>
  <c r="C2727" i="1"/>
  <c r="S2727" i="1"/>
  <c r="T2727" i="1"/>
  <c r="U2727" i="1"/>
  <c r="BE2727" i="1"/>
  <c r="CC2727" i="1"/>
  <c r="CD2727" i="1"/>
  <c r="A2728" i="1"/>
  <c r="C2728" i="1"/>
  <c r="S2728" i="1"/>
  <c r="T2728" i="1"/>
  <c r="U2728" i="1"/>
  <c r="BE2728" i="1"/>
  <c r="CC2728" i="1"/>
  <c r="CD2728" i="1"/>
  <c r="A2729" i="1"/>
  <c r="C2729" i="1"/>
  <c r="S2729" i="1"/>
  <c r="T2729" i="1"/>
  <c r="U2729" i="1"/>
  <c r="BE2729" i="1"/>
  <c r="CC2729" i="1"/>
  <c r="CD2729" i="1"/>
  <c r="A2730" i="1"/>
  <c r="C2730" i="1"/>
  <c r="S2730" i="1"/>
  <c r="T2730" i="1"/>
  <c r="U2730" i="1"/>
  <c r="BE2730" i="1"/>
  <c r="CC2730" i="1"/>
  <c r="CD2730" i="1"/>
  <c r="A2731" i="1"/>
  <c r="C2731" i="1"/>
  <c r="S2731" i="1"/>
  <c r="T2731" i="1"/>
  <c r="U2731" i="1"/>
  <c r="BE2731" i="1"/>
  <c r="CC2731" i="1"/>
  <c r="CD2731" i="1"/>
  <c r="A2732" i="1"/>
  <c r="C2732" i="1"/>
  <c r="S2732" i="1"/>
  <c r="T2732" i="1"/>
  <c r="U2732" i="1"/>
  <c r="BE2732" i="1"/>
  <c r="CC2732" i="1"/>
  <c r="CD2732" i="1"/>
  <c r="A2733" i="1"/>
  <c r="C2733" i="1"/>
  <c r="S2733" i="1"/>
  <c r="T2733" i="1"/>
  <c r="U2733" i="1"/>
  <c r="BE2733" i="1"/>
  <c r="CC2733" i="1"/>
  <c r="CD2733" i="1"/>
  <c r="A2734" i="1"/>
  <c r="C2734" i="1"/>
  <c r="S2734" i="1"/>
  <c r="T2734" i="1"/>
  <c r="U2734" i="1"/>
  <c r="BE2734" i="1"/>
  <c r="CC2734" i="1"/>
  <c r="CD2734" i="1"/>
  <c r="A2735" i="1"/>
  <c r="C2735" i="1"/>
  <c r="S2735" i="1"/>
  <c r="T2735" i="1"/>
  <c r="U2735" i="1"/>
  <c r="BE2735" i="1"/>
  <c r="CC2735" i="1"/>
  <c r="CD2735" i="1"/>
  <c r="A2736" i="1"/>
  <c r="C2736" i="1"/>
  <c r="S2736" i="1"/>
  <c r="T2736" i="1"/>
  <c r="U2736" i="1"/>
  <c r="BE2736" i="1"/>
  <c r="CC2736" i="1"/>
  <c r="CD2736" i="1"/>
  <c r="A2737" i="1"/>
  <c r="C2737" i="1"/>
  <c r="S2737" i="1"/>
  <c r="T2737" i="1"/>
  <c r="U2737" i="1"/>
  <c r="BE2737" i="1"/>
  <c r="CC2737" i="1"/>
  <c r="CD2737" i="1"/>
  <c r="A2738" i="1"/>
  <c r="C2738" i="1"/>
  <c r="S2738" i="1"/>
  <c r="T2738" i="1"/>
  <c r="U2738" i="1"/>
  <c r="BE2738" i="1"/>
  <c r="CC2738" i="1"/>
  <c r="CD2738" i="1"/>
  <c r="A2739" i="1"/>
  <c r="C2739" i="1"/>
  <c r="S2739" i="1"/>
  <c r="T2739" i="1"/>
  <c r="U2739" i="1"/>
  <c r="BE2739" i="1"/>
  <c r="CC2739" i="1"/>
  <c r="CD2739" i="1"/>
  <c r="A2740" i="1"/>
  <c r="C2740" i="1"/>
  <c r="S2740" i="1"/>
  <c r="T2740" i="1"/>
  <c r="U2740" i="1"/>
  <c r="BE2740" i="1"/>
  <c r="CC2740" i="1"/>
  <c r="CD2740" i="1"/>
  <c r="A2741" i="1"/>
  <c r="C2741" i="1"/>
  <c r="S2741" i="1"/>
  <c r="T2741" i="1"/>
  <c r="U2741" i="1"/>
  <c r="BE2741" i="1"/>
  <c r="CC2741" i="1"/>
  <c r="CD2741" i="1"/>
  <c r="A2742" i="1"/>
  <c r="C2742" i="1"/>
  <c r="S2742" i="1"/>
  <c r="T2742" i="1"/>
  <c r="U2742" i="1"/>
  <c r="BE2742" i="1"/>
  <c r="CC2742" i="1"/>
  <c r="CD2742" i="1"/>
  <c r="A2743" i="1"/>
  <c r="C2743" i="1"/>
  <c r="S2743" i="1"/>
  <c r="T2743" i="1"/>
  <c r="U2743" i="1"/>
  <c r="BE2743" i="1"/>
  <c r="CC2743" i="1"/>
  <c r="CD2743" i="1"/>
  <c r="A2744" i="1"/>
  <c r="C2744" i="1"/>
  <c r="S2744" i="1"/>
  <c r="T2744" i="1"/>
  <c r="U2744" i="1"/>
  <c r="BE2744" i="1"/>
  <c r="CC2744" i="1"/>
  <c r="CD2744" i="1"/>
  <c r="A2745" i="1"/>
  <c r="C2745" i="1"/>
  <c r="S2745" i="1"/>
  <c r="T2745" i="1"/>
  <c r="U2745" i="1"/>
  <c r="BE2745" i="1"/>
  <c r="CC2745" i="1"/>
  <c r="CD2745" i="1"/>
  <c r="A2746" i="1"/>
  <c r="C2746" i="1"/>
  <c r="S2746" i="1"/>
  <c r="T2746" i="1"/>
  <c r="U2746" i="1"/>
  <c r="BE2746" i="1"/>
  <c r="CC2746" i="1"/>
  <c r="CD2746" i="1"/>
  <c r="A2747" i="1"/>
  <c r="C2747" i="1"/>
  <c r="S2747" i="1"/>
  <c r="T2747" i="1"/>
  <c r="U2747" i="1"/>
  <c r="BE2747" i="1"/>
  <c r="CC2747" i="1"/>
  <c r="CD2747" i="1"/>
  <c r="A2748" i="1"/>
  <c r="C2748" i="1"/>
  <c r="S2748" i="1"/>
  <c r="T2748" i="1"/>
  <c r="U2748" i="1"/>
  <c r="BE2748" i="1"/>
  <c r="CC2748" i="1"/>
  <c r="CD2748" i="1"/>
  <c r="A2749" i="1"/>
  <c r="C2749" i="1"/>
  <c r="S2749" i="1"/>
  <c r="T2749" i="1"/>
  <c r="U2749" i="1"/>
  <c r="BE2749" i="1"/>
  <c r="CC2749" i="1"/>
  <c r="CD2749" i="1"/>
  <c r="A2750" i="1"/>
  <c r="C2750" i="1"/>
  <c r="S2750" i="1"/>
  <c r="T2750" i="1"/>
  <c r="U2750" i="1"/>
  <c r="BE2750" i="1"/>
  <c r="CC2750" i="1"/>
  <c r="CD2750" i="1"/>
  <c r="A2751" i="1"/>
  <c r="C2751" i="1"/>
  <c r="S2751" i="1"/>
  <c r="T2751" i="1"/>
  <c r="U2751" i="1"/>
  <c r="BE2751" i="1"/>
  <c r="CC2751" i="1"/>
  <c r="CD2751" i="1"/>
  <c r="A2752" i="1"/>
  <c r="C2752" i="1"/>
  <c r="S2752" i="1"/>
  <c r="T2752" i="1"/>
  <c r="U2752" i="1"/>
  <c r="BE2752" i="1"/>
  <c r="CC2752" i="1"/>
  <c r="CD2752" i="1"/>
  <c r="A2753" i="1"/>
  <c r="C2753" i="1"/>
  <c r="S2753" i="1"/>
  <c r="T2753" i="1"/>
  <c r="U2753" i="1"/>
  <c r="BE2753" i="1"/>
  <c r="CC2753" i="1"/>
  <c r="CD2753" i="1"/>
  <c r="A2754" i="1"/>
  <c r="C2754" i="1"/>
  <c r="S2754" i="1"/>
  <c r="T2754" i="1"/>
  <c r="U2754" i="1"/>
  <c r="BE2754" i="1"/>
  <c r="CC2754" i="1"/>
  <c r="CD2754" i="1"/>
  <c r="A2755" i="1"/>
  <c r="C2755" i="1"/>
  <c r="S2755" i="1"/>
  <c r="T2755" i="1"/>
  <c r="U2755" i="1"/>
  <c r="BE2755" i="1"/>
  <c r="CC2755" i="1"/>
  <c r="CD2755" i="1"/>
  <c r="A2756" i="1"/>
  <c r="C2756" i="1"/>
  <c r="S2756" i="1"/>
  <c r="T2756" i="1"/>
  <c r="U2756" i="1"/>
  <c r="BE2756" i="1"/>
  <c r="CC2756" i="1"/>
  <c r="CD2756" i="1"/>
  <c r="A2757" i="1"/>
  <c r="C2757" i="1"/>
  <c r="S2757" i="1"/>
  <c r="T2757" i="1"/>
  <c r="U2757" i="1"/>
  <c r="BE2757" i="1"/>
  <c r="CC2757" i="1"/>
  <c r="CD2757" i="1"/>
  <c r="A2758" i="1"/>
  <c r="C2758" i="1"/>
  <c r="S2758" i="1"/>
  <c r="T2758" i="1"/>
  <c r="U2758" i="1"/>
  <c r="BE2758" i="1"/>
  <c r="CC2758" i="1"/>
  <c r="CD2758" i="1"/>
  <c r="A2759" i="1"/>
  <c r="C2759" i="1"/>
  <c r="S2759" i="1"/>
  <c r="T2759" i="1"/>
  <c r="U2759" i="1"/>
  <c r="BE2759" i="1"/>
  <c r="CC2759" i="1"/>
  <c r="CD2759" i="1"/>
  <c r="A2760" i="1"/>
  <c r="C2760" i="1"/>
  <c r="S2760" i="1"/>
  <c r="T2760" i="1"/>
  <c r="U2760" i="1"/>
  <c r="BE2760" i="1"/>
  <c r="CC2760" i="1"/>
  <c r="CD2760" i="1"/>
  <c r="A2761" i="1"/>
  <c r="C2761" i="1"/>
  <c r="S2761" i="1"/>
  <c r="T2761" i="1"/>
  <c r="U2761" i="1"/>
  <c r="BE2761" i="1"/>
  <c r="CC2761" i="1"/>
  <c r="CD2761" i="1"/>
  <c r="A2762" i="1"/>
  <c r="C2762" i="1"/>
  <c r="S2762" i="1"/>
  <c r="T2762" i="1"/>
  <c r="U2762" i="1"/>
  <c r="BE2762" i="1"/>
  <c r="CC2762" i="1"/>
  <c r="CD2762" i="1"/>
  <c r="A2763" i="1"/>
  <c r="C2763" i="1"/>
  <c r="S2763" i="1"/>
  <c r="T2763" i="1"/>
  <c r="U2763" i="1"/>
  <c r="BE2763" i="1"/>
  <c r="CC2763" i="1"/>
  <c r="CD2763" i="1"/>
  <c r="A2764" i="1"/>
  <c r="C2764" i="1"/>
  <c r="S2764" i="1"/>
  <c r="T2764" i="1"/>
  <c r="U2764" i="1"/>
  <c r="BE2764" i="1"/>
  <c r="CC2764" i="1"/>
  <c r="CD2764" i="1"/>
  <c r="A2765" i="1"/>
  <c r="C2765" i="1"/>
  <c r="S2765" i="1"/>
  <c r="T2765" i="1"/>
  <c r="U2765" i="1"/>
  <c r="BE2765" i="1"/>
  <c r="CC2765" i="1"/>
  <c r="CD2765" i="1"/>
  <c r="A2766" i="1"/>
  <c r="C2766" i="1"/>
  <c r="S2766" i="1"/>
  <c r="T2766" i="1"/>
  <c r="U2766" i="1"/>
  <c r="BE2766" i="1"/>
  <c r="CC2766" i="1"/>
  <c r="CD2766" i="1"/>
  <c r="A2767" i="1"/>
  <c r="C2767" i="1"/>
  <c r="S2767" i="1"/>
  <c r="T2767" i="1"/>
  <c r="U2767" i="1"/>
  <c r="BE2767" i="1"/>
  <c r="CC2767" i="1"/>
  <c r="CD2767" i="1"/>
  <c r="A2768" i="1"/>
  <c r="C2768" i="1"/>
  <c r="S2768" i="1"/>
  <c r="T2768" i="1"/>
  <c r="U2768" i="1"/>
  <c r="BE2768" i="1"/>
  <c r="CC2768" i="1"/>
  <c r="CD2768" i="1"/>
  <c r="A2769" i="1"/>
  <c r="C2769" i="1"/>
  <c r="S2769" i="1"/>
  <c r="T2769" i="1"/>
  <c r="U2769" i="1"/>
  <c r="BE2769" i="1"/>
  <c r="CC2769" i="1"/>
  <c r="CD2769" i="1"/>
  <c r="A2770" i="1"/>
  <c r="C2770" i="1"/>
  <c r="S2770" i="1"/>
  <c r="T2770" i="1"/>
  <c r="U2770" i="1"/>
  <c r="BE2770" i="1"/>
  <c r="CC2770" i="1"/>
  <c r="CD2770" i="1"/>
  <c r="A2771" i="1"/>
  <c r="C2771" i="1"/>
  <c r="S2771" i="1"/>
  <c r="T2771" i="1"/>
  <c r="U2771" i="1"/>
  <c r="BE2771" i="1"/>
  <c r="CC2771" i="1"/>
  <c r="CD2771" i="1"/>
  <c r="A2772" i="1"/>
  <c r="C2772" i="1"/>
  <c r="S2772" i="1"/>
  <c r="T2772" i="1"/>
  <c r="U2772" i="1"/>
  <c r="BE2772" i="1"/>
  <c r="CC2772" i="1"/>
  <c r="CD2772" i="1"/>
  <c r="A2773" i="1"/>
  <c r="C2773" i="1"/>
  <c r="S2773" i="1"/>
  <c r="T2773" i="1"/>
  <c r="U2773" i="1"/>
  <c r="BE2773" i="1"/>
  <c r="CC2773" i="1"/>
  <c r="CD2773" i="1"/>
  <c r="A2774" i="1"/>
  <c r="C2774" i="1"/>
  <c r="S2774" i="1"/>
  <c r="T2774" i="1"/>
  <c r="U2774" i="1"/>
  <c r="BE2774" i="1"/>
  <c r="CC2774" i="1"/>
  <c r="CD2774" i="1"/>
  <c r="A2775" i="1"/>
  <c r="C2775" i="1"/>
  <c r="S2775" i="1"/>
  <c r="T2775" i="1"/>
  <c r="U2775" i="1"/>
  <c r="BE2775" i="1"/>
  <c r="CC2775" i="1"/>
  <c r="CD2775" i="1"/>
  <c r="A2776" i="1"/>
  <c r="C2776" i="1"/>
  <c r="S2776" i="1"/>
  <c r="T2776" i="1"/>
  <c r="U2776" i="1"/>
  <c r="BE2776" i="1"/>
  <c r="CC2776" i="1"/>
  <c r="CD2776" i="1"/>
  <c r="A2777" i="1"/>
  <c r="C2777" i="1"/>
  <c r="S2777" i="1"/>
  <c r="T2777" i="1"/>
  <c r="U2777" i="1"/>
  <c r="BE2777" i="1"/>
  <c r="CC2777" i="1"/>
  <c r="CD2777" i="1"/>
  <c r="A2778" i="1"/>
  <c r="C2778" i="1"/>
  <c r="S2778" i="1"/>
  <c r="T2778" i="1"/>
  <c r="U2778" i="1"/>
  <c r="BE2778" i="1"/>
  <c r="CC2778" i="1"/>
  <c r="CD2778" i="1"/>
  <c r="A2779" i="1"/>
  <c r="C2779" i="1"/>
  <c r="S2779" i="1"/>
  <c r="T2779" i="1"/>
  <c r="U2779" i="1"/>
  <c r="BE2779" i="1"/>
  <c r="CC2779" i="1"/>
  <c r="CD2779" i="1"/>
  <c r="A2780" i="1"/>
  <c r="C2780" i="1"/>
  <c r="S2780" i="1"/>
  <c r="T2780" i="1"/>
  <c r="U2780" i="1"/>
  <c r="BE2780" i="1"/>
  <c r="CC2780" i="1"/>
  <c r="CD2780" i="1"/>
  <c r="A2781" i="1"/>
  <c r="C2781" i="1"/>
  <c r="S2781" i="1"/>
  <c r="T2781" i="1"/>
  <c r="U2781" i="1"/>
  <c r="BE2781" i="1"/>
  <c r="CC2781" i="1"/>
  <c r="CD2781" i="1"/>
  <c r="A2782" i="1"/>
  <c r="C2782" i="1"/>
  <c r="S2782" i="1"/>
  <c r="T2782" i="1"/>
  <c r="U2782" i="1"/>
  <c r="BE2782" i="1"/>
  <c r="CC2782" i="1"/>
  <c r="CD2782" i="1"/>
  <c r="A2783" i="1"/>
  <c r="C2783" i="1"/>
  <c r="S2783" i="1"/>
  <c r="T2783" i="1"/>
  <c r="U2783" i="1"/>
  <c r="BE2783" i="1"/>
  <c r="CC2783" i="1"/>
  <c r="CD2783" i="1"/>
  <c r="A2784" i="1"/>
  <c r="C2784" i="1"/>
  <c r="S2784" i="1"/>
  <c r="T2784" i="1"/>
  <c r="U2784" i="1"/>
  <c r="BE2784" i="1"/>
  <c r="CC2784" i="1"/>
  <c r="CD2784" i="1"/>
  <c r="A2785" i="1"/>
  <c r="C2785" i="1"/>
  <c r="S2785" i="1"/>
  <c r="T2785" i="1"/>
  <c r="U2785" i="1"/>
  <c r="BE2785" i="1"/>
  <c r="CC2785" i="1"/>
  <c r="CD2785" i="1"/>
  <c r="A2786" i="1"/>
  <c r="C2786" i="1"/>
  <c r="S2786" i="1"/>
  <c r="T2786" i="1"/>
  <c r="U2786" i="1"/>
  <c r="BE2786" i="1"/>
  <c r="CC2786" i="1"/>
  <c r="CD2786" i="1"/>
  <c r="A2787" i="1"/>
  <c r="C2787" i="1"/>
  <c r="S2787" i="1"/>
  <c r="T2787" i="1"/>
  <c r="U2787" i="1"/>
  <c r="BE2787" i="1"/>
  <c r="CC2787" i="1"/>
  <c r="CD2787" i="1"/>
  <c r="A2788" i="1"/>
  <c r="C2788" i="1"/>
  <c r="S2788" i="1"/>
  <c r="T2788" i="1"/>
  <c r="U2788" i="1"/>
  <c r="BE2788" i="1"/>
  <c r="CC2788" i="1"/>
  <c r="CD2788" i="1"/>
  <c r="A2789" i="1"/>
  <c r="C2789" i="1"/>
  <c r="S2789" i="1"/>
  <c r="T2789" i="1"/>
  <c r="U2789" i="1"/>
  <c r="BE2789" i="1"/>
  <c r="CC2789" i="1"/>
  <c r="CD2789" i="1"/>
  <c r="A2790" i="1"/>
  <c r="C2790" i="1"/>
  <c r="S2790" i="1"/>
  <c r="T2790" i="1"/>
  <c r="U2790" i="1"/>
  <c r="BE2790" i="1"/>
  <c r="CC2790" i="1"/>
  <c r="CD2790" i="1"/>
  <c r="A2791" i="1"/>
  <c r="C2791" i="1"/>
  <c r="S2791" i="1"/>
  <c r="T2791" i="1"/>
  <c r="U2791" i="1"/>
  <c r="BE2791" i="1"/>
  <c r="CC2791" i="1"/>
  <c r="CD2791" i="1"/>
  <c r="A2792" i="1"/>
  <c r="C2792" i="1"/>
  <c r="S2792" i="1"/>
  <c r="T2792" i="1"/>
  <c r="U2792" i="1"/>
  <c r="BE2792" i="1"/>
  <c r="CC2792" i="1"/>
  <c r="CD2792" i="1"/>
  <c r="A2793" i="1"/>
  <c r="C2793" i="1"/>
  <c r="S2793" i="1"/>
  <c r="T2793" i="1"/>
  <c r="U2793" i="1"/>
  <c r="BE2793" i="1"/>
  <c r="CC2793" i="1"/>
  <c r="CD2793" i="1"/>
  <c r="A2794" i="1"/>
  <c r="C2794" i="1"/>
  <c r="S2794" i="1"/>
  <c r="T2794" i="1"/>
  <c r="U2794" i="1"/>
  <c r="BE2794" i="1"/>
  <c r="CC2794" i="1"/>
  <c r="CD2794" i="1"/>
  <c r="A2795" i="1"/>
  <c r="C2795" i="1"/>
  <c r="S2795" i="1"/>
  <c r="T2795" i="1"/>
  <c r="U2795" i="1"/>
  <c r="BE2795" i="1"/>
  <c r="CC2795" i="1"/>
  <c r="CD2795" i="1"/>
  <c r="A2796" i="1"/>
  <c r="C2796" i="1"/>
  <c r="S2796" i="1"/>
  <c r="T2796" i="1"/>
  <c r="U2796" i="1"/>
  <c r="BE2796" i="1"/>
  <c r="CC2796" i="1"/>
  <c r="CD2796" i="1"/>
  <c r="A2797" i="1"/>
  <c r="C2797" i="1"/>
  <c r="S2797" i="1"/>
  <c r="T2797" i="1"/>
  <c r="U2797" i="1"/>
  <c r="BE2797" i="1"/>
  <c r="CC2797" i="1"/>
  <c r="CD2797" i="1"/>
  <c r="A2798" i="1"/>
  <c r="C2798" i="1"/>
  <c r="S2798" i="1"/>
  <c r="T2798" i="1"/>
  <c r="U2798" i="1"/>
  <c r="BE2798" i="1"/>
  <c r="CC2798" i="1"/>
  <c r="CD2798" i="1"/>
  <c r="A2799" i="1"/>
  <c r="C2799" i="1"/>
  <c r="S2799" i="1"/>
  <c r="T2799" i="1"/>
  <c r="U2799" i="1"/>
  <c r="BE2799" i="1"/>
  <c r="CC2799" i="1"/>
  <c r="CD2799" i="1"/>
  <c r="A2800" i="1"/>
  <c r="C2800" i="1"/>
  <c r="S2800" i="1"/>
  <c r="T2800" i="1"/>
  <c r="U2800" i="1"/>
  <c r="BE2800" i="1"/>
  <c r="CC2800" i="1"/>
  <c r="CD2800" i="1"/>
  <c r="A2801" i="1"/>
  <c r="C2801" i="1"/>
  <c r="S2801" i="1"/>
  <c r="T2801" i="1"/>
  <c r="U2801" i="1"/>
  <c r="BE2801" i="1"/>
  <c r="CC2801" i="1"/>
  <c r="CD2801" i="1"/>
  <c r="A2802" i="1"/>
  <c r="C2802" i="1"/>
  <c r="S2802" i="1"/>
  <c r="T2802" i="1"/>
  <c r="U2802" i="1"/>
  <c r="BE2802" i="1"/>
  <c r="CC2802" i="1"/>
  <c r="CD2802" i="1"/>
  <c r="A2803" i="1"/>
  <c r="C2803" i="1"/>
  <c r="S2803" i="1"/>
  <c r="T2803" i="1"/>
  <c r="U2803" i="1"/>
  <c r="BE2803" i="1"/>
  <c r="CC2803" i="1"/>
  <c r="CD2803" i="1"/>
  <c r="A2804" i="1"/>
  <c r="C2804" i="1"/>
  <c r="S2804" i="1"/>
  <c r="T2804" i="1"/>
  <c r="U2804" i="1"/>
  <c r="BE2804" i="1"/>
  <c r="CC2804" i="1"/>
  <c r="CD2804" i="1"/>
  <c r="A2805" i="1"/>
  <c r="C2805" i="1"/>
  <c r="S2805" i="1"/>
  <c r="T2805" i="1"/>
  <c r="U2805" i="1"/>
  <c r="BE2805" i="1"/>
  <c r="CC2805" i="1"/>
  <c r="CD2805" i="1"/>
  <c r="A2806" i="1"/>
  <c r="C2806" i="1"/>
  <c r="S2806" i="1"/>
  <c r="T2806" i="1"/>
  <c r="U2806" i="1"/>
  <c r="BE2806" i="1"/>
  <c r="CC2806" i="1"/>
  <c r="CD2806" i="1"/>
  <c r="A2807" i="1"/>
  <c r="C2807" i="1"/>
  <c r="S2807" i="1"/>
  <c r="T2807" i="1"/>
  <c r="U2807" i="1"/>
  <c r="BE2807" i="1"/>
  <c r="CC2807" i="1"/>
  <c r="CD2807" i="1"/>
  <c r="A2808" i="1"/>
  <c r="C2808" i="1"/>
  <c r="S2808" i="1"/>
  <c r="T2808" i="1"/>
  <c r="U2808" i="1"/>
  <c r="BE2808" i="1"/>
  <c r="CC2808" i="1"/>
  <c r="CD2808" i="1"/>
  <c r="A2809" i="1"/>
  <c r="C2809" i="1"/>
  <c r="S2809" i="1"/>
  <c r="T2809" i="1"/>
  <c r="U2809" i="1"/>
  <c r="BE2809" i="1"/>
  <c r="CC2809" i="1"/>
  <c r="CD2809" i="1"/>
  <c r="A2810" i="1"/>
  <c r="C2810" i="1"/>
  <c r="S2810" i="1"/>
  <c r="T2810" i="1"/>
  <c r="U2810" i="1"/>
  <c r="BE2810" i="1"/>
  <c r="CC2810" i="1"/>
  <c r="CD2810" i="1"/>
  <c r="A2811" i="1"/>
  <c r="C2811" i="1"/>
  <c r="S2811" i="1"/>
  <c r="T2811" i="1"/>
  <c r="U2811" i="1"/>
  <c r="BE2811" i="1"/>
  <c r="CC2811" i="1"/>
  <c r="CD2811" i="1"/>
  <c r="A2812" i="1"/>
  <c r="C2812" i="1"/>
  <c r="S2812" i="1"/>
  <c r="T2812" i="1"/>
  <c r="U2812" i="1"/>
  <c r="BE2812" i="1"/>
  <c r="CC2812" i="1"/>
  <c r="CD2812" i="1"/>
  <c r="A2813" i="1"/>
  <c r="C2813" i="1"/>
  <c r="S2813" i="1"/>
  <c r="T2813" i="1"/>
  <c r="U2813" i="1"/>
  <c r="BE2813" i="1"/>
  <c r="CC2813" i="1"/>
  <c r="CD2813" i="1"/>
  <c r="A2814" i="1"/>
  <c r="C2814" i="1"/>
  <c r="S2814" i="1"/>
  <c r="T2814" i="1"/>
  <c r="U2814" i="1"/>
  <c r="BE2814" i="1"/>
  <c r="CC2814" i="1"/>
  <c r="CD2814" i="1"/>
  <c r="A2815" i="1"/>
  <c r="C2815" i="1"/>
  <c r="S2815" i="1"/>
  <c r="T2815" i="1"/>
  <c r="U2815" i="1"/>
  <c r="BE2815" i="1"/>
  <c r="CC2815" i="1"/>
  <c r="CD2815" i="1"/>
  <c r="A2816" i="1"/>
  <c r="C2816" i="1"/>
  <c r="S2816" i="1"/>
  <c r="T2816" i="1"/>
  <c r="U2816" i="1"/>
  <c r="BE2816" i="1"/>
  <c r="CC2816" i="1"/>
  <c r="CD2816" i="1"/>
  <c r="A2817" i="1"/>
  <c r="C2817" i="1"/>
  <c r="S2817" i="1"/>
  <c r="T2817" i="1"/>
  <c r="U2817" i="1"/>
  <c r="BE2817" i="1"/>
  <c r="CC2817" i="1"/>
  <c r="CD2817" i="1"/>
  <c r="A2818" i="1"/>
  <c r="C2818" i="1"/>
  <c r="S2818" i="1"/>
  <c r="T2818" i="1"/>
  <c r="U2818" i="1"/>
  <c r="BE2818" i="1"/>
  <c r="CC2818" i="1"/>
  <c r="CD2818" i="1"/>
  <c r="A2819" i="1"/>
  <c r="C2819" i="1"/>
  <c r="S2819" i="1"/>
  <c r="T2819" i="1"/>
  <c r="U2819" i="1"/>
  <c r="BE2819" i="1"/>
  <c r="CC2819" i="1"/>
  <c r="CD2819" i="1"/>
  <c r="A2820" i="1"/>
  <c r="C2820" i="1"/>
  <c r="S2820" i="1"/>
  <c r="T2820" i="1"/>
  <c r="U2820" i="1"/>
  <c r="BE2820" i="1"/>
  <c r="CC2820" i="1"/>
  <c r="CD2820" i="1"/>
  <c r="A2821" i="1"/>
  <c r="C2821" i="1"/>
  <c r="S2821" i="1"/>
  <c r="T2821" i="1"/>
  <c r="U2821" i="1"/>
  <c r="BE2821" i="1"/>
  <c r="CC2821" i="1"/>
  <c r="CD2821" i="1"/>
  <c r="A2822" i="1"/>
  <c r="C2822" i="1"/>
  <c r="S2822" i="1"/>
  <c r="T2822" i="1"/>
  <c r="U2822" i="1"/>
  <c r="BE2822" i="1"/>
  <c r="CC2822" i="1"/>
  <c r="CD2822" i="1"/>
  <c r="A2823" i="1"/>
  <c r="C2823" i="1"/>
  <c r="S2823" i="1"/>
  <c r="T2823" i="1"/>
  <c r="U2823" i="1"/>
  <c r="BE2823" i="1"/>
  <c r="CC2823" i="1"/>
  <c r="CD2823" i="1"/>
  <c r="A2824" i="1"/>
  <c r="C2824" i="1"/>
  <c r="S2824" i="1"/>
  <c r="T2824" i="1"/>
  <c r="U2824" i="1"/>
  <c r="BE2824" i="1"/>
  <c r="CC2824" i="1"/>
  <c r="CD2824" i="1"/>
  <c r="A2825" i="1"/>
  <c r="C2825" i="1"/>
  <c r="S2825" i="1"/>
  <c r="T2825" i="1"/>
  <c r="U2825" i="1"/>
  <c r="BE2825" i="1"/>
  <c r="CC2825" i="1"/>
  <c r="CD2825" i="1"/>
  <c r="A2826" i="1"/>
  <c r="C2826" i="1"/>
  <c r="S2826" i="1"/>
  <c r="T2826" i="1"/>
  <c r="U2826" i="1"/>
  <c r="BE2826" i="1"/>
  <c r="CC2826" i="1"/>
  <c r="CD2826" i="1"/>
  <c r="A2827" i="1"/>
  <c r="C2827" i="1"/>
  <c r="S2827" i="1"/>
  <c r="T2827" i="1"/>
  <c r="U2827" i="1"/>
  <c r="BE2827" i="1"/>
  <c r="CC2827" i="1"/>
  <c r="CD2827" i="1"/>
  <c r="A2828" i="1"/>
  <c r="C2828" i="1"/>
  <c r="S2828" i="1"/>
  <c r="T2828" i="1"/>
  <c r="U2828" i="1"/>
  <c r="BE2828" i="1"/>
  <c r="CC2828" i="1"/>
  <c r="CD2828" i="1"/>
  <c r="A2829" i="1"/>
  <c r="C2829" i="1"/>
  <c r="S2829" i="1"/>
  <c r="T2829" i="1"/>
  <c r="U2829" i="1"/>
  <c r="BE2829" i="1"/>
  <c r="CC2829" i="1"/>
  <c r="CD2829" i="1"/>
  <c r="A2830" i="1"/>
  <c r="C2830" i="1"/>
  <c r="S2830" i="1"/>
  <c r="T2830" i="1"/>
  <c r="U2830" i="1"/>
  <c r="BE2830" i="1"/>
  <c r="CC2830" i="1"/>
  <c r="CD2830" i="1"/>
  <c r="A2831" i="1"/>
  <c r="C2831" i="1"/>
  <c r="S2831" i="1"/>
  <c r="T2831" i="1"/>
  <c r="U2831" i="1"/>
  <c r="BE2831" i="1"/>
  <c r="CC2831" i="1"/>
  <c r="CD2831" i="1"/>
  <c r="A2832" i="1"/>
  <c r="C2832" i="1"/>
  <c r="S2832" i="1"/>
  <c r="T2832" i="1"/>
  <c r="U2832" i="1"/>
  <c r="BE2832" i="1"/>
  <c r="CC2832" i="1"/>
  <c r="CD2832" i="1"/>
  <c r="A2833" i="1"/>
  <c r="C2833" i="1"/>
  <c r="S2833" i="1"/>
  <c r="T2833" i="1"/>
  <c r="U2833" i="1"/>
  <c r="BE2833" i="1"/>
  <c r="CC2833" i="1"/>
  <c r="CD2833" i="1"/>
  <c r="A2834" i="1"/>
  <c r="C2834" i="1"/>
  <c r="S2834" i="1"/>
  <c r="T2834" i="1"/>
  <c r="U2834" i="1"/>
  <c r="BE2834" i="1"/>
  <c r="CC2834" i="1"/>
  <c r="CD2834" i="1"/>
  <c r="A2835" i="1"/>
  <c r="C2835" i="1"/>
  <c r="S2835" i="1"/>
  <c r="T2835" i="1"/>
  <c r="U2835" i="1"/>
  <c r="BE2835" i="1"/>
  <c r="CC2835" i="1"/>
  <c r="CD2835" i="1"/>
  <c r="A2836" i="1"/>
  <c r="C2836" i="1"/>
  <c r="S2836" i="1"/>
  <c r="T2836" i="1"/>
  <c r="U2836" i="1"/>
  <c r="BE2836" i="1"/>
  <c r="CC2836" i="1"/>
  <c r="CD2836" i="1"/>
  <c r="A2837" i="1"/>
  <c r="C2837" i="1"/>
  <c r="S2837" i="1"/>
  <c r="T2837" i="1"/>
  <c r="U2837" i="1"/>
  <c r="BE2837" i="1"/>
  <c r="CC2837" i="1"/>
  <c r="CD2837" i="1"/>
  <c r="A2838" i="1"/>
  <c r="C2838" i="1"/>
  <c r="S2838" i="1"/>
  <c r="T2838" i="1"/>
  <c r="U2838" i="1"/>
  <c r="BE2838" i="1"/>
  <c r="CC2838" i="1"/>
  <c r="CD2838" i="1"/>
  <c r="A2839" i="1"/>
  <c r="C2839" i="1"/>
  <c r="S2839" i="1"/>
  <c r="T2839" i="1"/>
  <c r="U2839" i="1"/>
  <c r="BE2839" i="1"/>
  <c r="CC2839" i="1"/>
  <c r="CD2839" i="1"/>
  <c r="A2840" i="1"/>
  <c r="C2840" i="1"/>
  <c r="S2840" i="1"/>
  <c r="T2840" i="1"/>
  <c r="U2840" i="1"/>
  <c r="BE2840" i="1"/>
  <c r="CC2840" i="1"/>
  <c r="CD2840" i="1"/>
  <c r="A2841" i="1"/>
  <c r="C2841" i="1"/>
  <c r="S2841" i="1"/>
  <c r="T2841" i="1"/>
  <c r="U2841" i="1"/>
  <c r="BE2841" i="1"/>
  <c r="CC2841" i="1"/>
  <c r="CD2841" i="1"/>
  <c r="A2842" i="1"/>
  <c r="C2842" i="1"/>
  <c r="S2842" i="1"/>
  <c r="T2842" i="1"/>
  <c r="U2842" i="1"/>
  <c r="BE2842" i="1"/>
  <c r="CC2842" i="1"/>
  <c r="CD2842" i="1"/>
  <c r="A2843" i="1"/>
  <c r="C2843" i="1"/>
  <c r="S2843" i="1"/>
  <c r="T2843" i="1"/>
  <c r="U2843" i="1"/>
  <c r="BE2843" i="1"/>
  <c r="CC2843" i="1"/>
  <c r="CD2843" i="1"/>
  <c r="A2844" i="1"/>
  <c r="C2844" i="1"/>
  <c r="S2844" i="1"/>
  <c r="T2844" i="1"/>
  <c r="U2844" i="1"/>
  <c r="BE2844" i="1"/>
  <c r="CC2844" i="1"/>
  <c r="CD2844" i="1"/>
  <c r="A2845" i="1"/>
  <c r="C2845" i="1"/>
  <c r="S2845" i="1"/>
  <c r="T2845" i="1"/>
  <c r="U2845" i="1"/>
  <c r="BE2845" i="1"/>
  <c r="CC2845" i="1"/>
  <c r="CD2845" i="1"/>
  <c r="A2846" i="1"/>
  <c r="C2846" i="1"/>
  <c r="S2846" i="1"/>
  <c r="T2846" i="1"/>
  <c r="U2846" i="1"/>
  <c r="BE2846" i="1"/>
  <c r="CC2846" i="1"/>
  <c r="CD2846" i="1"/>
  <c r="A2847" i="1"/>
  <c r="C2847" i="1"/>
  <c r="S2847" i="1"/>
  <c r="T2847" i="1"/>
  <c r="U2847" i="1"/>
  <c r="BE2847" i="1"/>
  <c r="CC2847" i="1"/>
  <c r="CD2847" i="1"/>
  <c r="A2848" i="1"/>
  <c r="C2848" i="1"/>
  <c r="S2848" i="1"/>
  <c r="T2848" i="1"/>
  <c r="U2848" i="1"/>
  <c r="BE2848" i="1"/>
  <c r="CC2848" i="1"/>
  <c r="CD2848" i="1"/>
  <c r="A2849" i="1"/>
  <c r="C2849" i="1"/>
  <c r="S2849" i="1"/>
  <c r="T2849" i="1"/>
  <c r="U2849" i="1"/>
  <c r="BE2849" i="1"/>
  <c r="CC2849" i="1"/>
  <c r="CD2849" i="1"/>
  <c r="A2850" i="1"/>
  <c r="C2850" i="1"/>
  <c r="S2850" i="1"/>
  <c r="T2850" i="1"/>
  <c r="U2850" i="1"/>
  <c r="BE2850" i="1"/>
  <c r="CC2850" i="1"/>
  <c r="CD2850" i="1"/>
  <c r="A2851" i="1"/>
  <c r="C2851" i="1"/>
  <c r="S2851" i="1"/>
  <c r="T2851" i="1"/>
  <c r="U2851" i="1"/>
  <c r="BE2851" i="1"/>
  <c r="CC2851" i="1"/>
  <c r="CD2851" i="1"/>
  <c r="A2852" i="1"/>
  <c r="C2852" i="1"/>
  <c r="S2852" i="1"/>
  <c r="T2852" i="1"/>
  <c r="U2852" i="1"/>
  <c r="BE2852" i="1"/>
  <c r="CC2852" i="1"/>
  <c r="CD2852" i="1"/>
  <c r="A2853" i="1"/>
  <c r="C2853" i="1"/>
  <c r="S2853" i="1"/>
  <c r="T2853" i="1"/>
  <c r="U2853" i="1"/>
  <c r="BE2853" i="1"/>
  <c r="CC2853" i="1"/>
  <c r="CD2853" i="1"/>
  <c r="A2854" i="1"/>
  <c r="C2854" i="1"/>
  <c r="S2854" i="1"/>
  <c r="T2854" i="1"/>
  <c r="U2854" i="1"/>
  <c r="BE2854" i="1"/>
  <c r="CC2854" i="1"/>
  <c r="CD2854" i="1"/>
  <c r="A2855" i="1"/>
  <c r="C2855" i="1"/>
  <c r="S2855" i="1"/>
  <c r="T2855" i="1"/>
  <c r="U2855" i="1"/>
  <c r="BE2855" i="1"/>
  <c r="CC2855" i="1"/>
  <c r="CD2855" i="1"/>
  <c r="A2856" i="1"/>
  <c r="C2856" i="1"/>
  <c r="S2856" i="1"/>
  <c r="T2856" i="1"/>
  <c r="U2856" i="1"/>
  <c r="BE2856" i="1"/>
  <c r="CC2856" i="1"/>
  <c r="CD2856" i="1"/>
  <c r="A2857" i="1"/>
  <c r="C2857" i="1"/>
  <c r="S2857" i="1"/>
  <c r="T2857" i="1"/>
  <c r="U2857" i="1"/>
  <c r="BE2857" i="1"/>
  <c r="CC2857" i="1"/>
  <c r="CD2857" i="1"/>
  <c r="A2858" i="1"/>
  <c r="C2858" i="1"/>
  <c r="S2858" i="1"/>
  <c r="T2858" i="1"/>
  <c r="U2858" i="1"/>
  <c r="BE2858" i="1"/>
  <c r="CC2858" i="1"/>
  <c r="CD2858" i="1"/>
  <c r="A2859" i="1"/>
  <c r="C2859" i="1"/>
  <c r="S2859" i="1"/>
  <c r="T2859" i="1"/>
  <c r="U2859" i="1"/>
  <c r="BE2859" i="1"/>
  <c r="CC2859" i="1"/>
  <c r="CD2859" i="1"/>
  <c r="A2860" i="1"/>
  <c r="C2860" i="1"/>
  <c r="S2860" i="1"/>
  <c r="T2860" i="1"/>
  <c r="U2860" i="1"/>
  <c r="BE2860" i="1"/>
  <c r="CC2860" i="1"/>
  <c r="CD2860" i="1"/>
  <c r="A2861" i="1"/>
  <c r="C2861" i="1"/>
  <c r="S2861" i="1"/>
  <c r="T2861" i="1"/>
  <c r="U2861" i="1"/>
  <c r="BE2861" i="1"/>
  <c r="CC2861" i="1"/>
  <c r="CD2861" i="1"/>
  <c r="A2862" i="1"/>
  <c r="C2862" i="1"/>
  <c r="S2862" i="1"/>
  <c r="T2862" i="1"/>
  <c r="U2862" i="1"/>
  <c r="BE2862" i="1"/>
  <c r="CC2862" i="1"/>
  <c r="CD2862" i="1"/>
  <c r="A2863" i="1"/>
  <c r="C2863" i="1"/>
  <c r="S2863" i="1"/>
  <c r="T2863" i="1"/>
  <c r="U2863" i="1"/>
  <c r="BE2863" i="1"/>
  <c r="CC2863" i="1"/>
  <c r="CD2863" i="1"/>
  <c r="A2864" i="1"/>
  <c r="C2864" i="1"/>
  <c r="S2864" i="1"/>
  <c r="T2864" i="1"/>
  <c r="U2864" i="1"/>
  <c r="BE2864" i="1"/>
  <c r="CC2864" i="1"/>
  <c r="CD2864" i="1"/>
  <c r="A2865" i="1"/>
  <c r="C2865" i="1"/>
  <c r="S2865" i="1"/>
  <c r="T2865" i="1"/>
  <c r="U2865" i="1"/>
  <c r="BE2865" i="1"/>
  <c r="CC2865" i="1"/>
  <c r="CD2865" i="1"/>
  <c r="A2866" i="1"/>
  <c r="C2866" i="1"/>
  <c r="S2866" i="1"/>
  <c r="T2866" i="1"/>
  <c r="U2866" i="1"/>
  <c r="BE2866" i="1"/>
  <c r="CC2866" i="1"/>
  <c r="CD2866" i="1"/>
  <c r="A2867" i="1"/>
  <c r="C2867" i="1"/>
  <c r="S2867" i="1"/>
  <c r="T2867" i="1"/>
  <c r="U2867" i="1"/>
  <c r="BE2867" i="1"/>
  <c r="CC2867" i="1"/>
  <c r="CD2867" i="1"/>
  <c r="A2868" i="1"/>
  <c r="C2868" i="1"/>
  <c r="S2868" i="1"/>
  <c r="T2868" i="1"/>
  <c r="U2868" i="1"/>
  <c r="BE2868" i="1"/>
  <c r="CC2868" i="1"/>
  <c r="CD2868" i="1"/>
  <c r="A2869" i="1"/>
  <c r="C2869" i="1"/>
  <c r="S2869" i="1"/>
  <c r="T2869" i="1"/>
  <c r="U2869" i="1"/>
  <c r="BE2869" i="1"/>
  <c r="CC2869" i="1"/>
  <c r="CD2869" i="1"/>
  <c r="A2870" i="1"/>
  <c r="C2870" i="1"/>
  <c r="S2870" i="1"/>
  <c r="T2870" i="1"/>
  <c r="U2870" i="1"/>
  <c r="BE2870" i="1"/>
  <c r="CC2870" i="1"/>
  <c r="CD2870" i="1"/>
  <c r="A2871" i="1"/>
  <c r="C2871" i="1"/>
  <c r="S2871" i="1"/>
  <c r="T2871" i="1"/>
  <c r="U2871" i="1"/>
  <c r="BE2871" i="1"/>
  <c r="CC2871" i="1"/>
  <c r="CD2871" i="1"/>
  <c r="A2872" i="1"/>
  <c r="C2872" i="1"/>
  <c r="S2872" i="1"/>
  <c r="T2872" i="1"/>
  <c r="U2872" i="1"/>
  <c r="BE2872" i="1"/>
  <c r="CC2872" i="1"/>
  <c r="CD2872" i="1"/>
  <c r="A2873" i="1"/>
  <c r="C2873" i="1"/>
  <c r="S2873" i="1"/>
  <c r="T2873" i="1"/>
  <c r="U2873" i="1"/>
  <c r="BE2873" i="1"/>
  <c r="CC2873" i="1"/>
  <c r="CD2873" i="1"/>
  <c r="A2874" i="1"/>
  <c r="C2874" i="1"/>
  <c r="S2874" i="1"/>
  <c r="T2874" i="1"/>
  <c r="U2874" i="1"/>
  <c r="BE2874" i="1"/>
  <c r="CC2874" i="1"/>
  <c r="CD2874" i="1"/>
  <c r="A2875" i="1"/>
  <c r="C2875" i="1"/>
  <c r="S2875" i="1"/>
  <c r="T2875" i="1"/>
  <c r="U2875" i="1"/>
  <c r="BE2875" i="1"/>
  <c r="CC2875" i="1"/>
  <c r="CD2875" i="1"/>
  <c r="A2876" i="1"/>
  <c r="C2876" i="1"/>
  <c r="S2876" i="1"/>
  <c r="T2876" i="1"/>
  <c r="U2876" i="1"/>
  <c r="BE2876" i="1"/>
  <c r="CC2876" i="1"/>
  <c r="CD2876" i="1"/>
  <c r="A2877" i="1"/>
  <c r="C2877" i="1"/>
  <c r="S2877" i="1"/>
  <c r="T2877" i="1"/>
  <c r="U2877" i="1"/>
  <c r="BE2877" i="1"/>
  <c r="CC2877" i="1"/>
  <c r="CD2877" i="1"/>
  <c r="A2878" i="1"/>
  <c r="C2878" i="1"/>
  <c r="S2878" i="1"/>
  <c r="T2878" i="1"/>
  <c r="U2878" i="1"/>
  <c r="BE2878" i="1"/>
  <c r="CC2878" i="1"/>
  <c r="CD2878" i="1"/>
  <c r="A2879" i="1"/>
  <c r="C2879" i="1"/>
  <c r="S2879" i="1"/>
  <c r="T2879" i="1"/>
  <c r="U2879" i="1"/>
  <c r="BE2879" i="1"/>
  <c r="CC2879" i="1"/>
  <c r="CD2879" i="1"/>
  <c r="A2880" i="1"/>
  <c r="C2880" i="1"/>
  <c r="S2880" i="1"/>
  <c r="T2880" i="1"/>
  <c r="U2880" i="1"/>
  <c r="BE2880" i="1"/>
  <c r="CC2880" i="1"/>
  <c r="CD2880" i="1"/>
  <c r="A2881" i="1"/>
  <c r="C2881" i="1"/>
  <c r="S2881" i="1"/>
  <c r="T2881" i="1"/>
  <c r="U2881" i="1"/>
  <c r="BE2881" i="1"/>
  <c r="CC2881" i="1"/>
  <c r="CD2881" i="1"/>
  <c r="A2882" i="1"/>
  <c r="C2882" i="1"/>
  <c r="S2882" i="1"/>
  <c r="T2882" i="1"/>
  <c r="U2882" i="1"/>
  <c r="BE2882" i="1"/>
  <c r="CC2882" i="1"/>
  <c r="CD2882" i="1"/>
  <c r="A2883" i="1"/>
  <c r="C2883" i="1"/>
  <c r="S2883" i="1"/>
  <c r="T2883" i="1"/>
  <c r="U2883" i="1"/>
  <c r="BE2883" i="1"/>
  <c r="CC2883" i="1"/>
  <c r="CD2883" i="1"/>
  <c r="A2884" i="1"/>
  <c r="C2884" i="1"/>
  <c r="S2884" i="1"/>
  <c r="T2884" i="1"/>
  <c r="U2884" i="1"/>
  <c r="BE2884" i="1"/>
  <c r="CC2884" i="1"/>
  <c r="CD2884" i="1"/>
  <c r="A2885" i="1"/>
  <c r="C2885" i="1"/>
  <c r="S2885" i="1"/>
  <c r="T2885" i="1"/>
  <c r="U2885" i="1"/>
  <c r="BE2885" i="1"/>
  <c r="CC2885" i="1"/>
  <c r="CD2885" i="1"/>
  <c r="A2886" i="1"/>
  <c r="C2886" i="1"/>
  <c r="S2886" i="1"/>
  <c r="T2886" i="1"/>
  <c r="U2886" i="1"/>
  <c r="BE2886" i="1"/>
  <c r="CC2886" i="1"/>
  <c r="CD2886" i="1"/>
  <c r="A2887" i="1"/>
  <c r="C2887" i="1"/>
  <c r="S2887" i="1"/>
  <c r="T2887" i="1"/>
  <c r="U2887" i="1"/>
  <c r="BE2887" i="1"/>
  <c r="CC2887" i="1"/>
  <c r="CD2887" i="1"/>
  <c r="A2888" i="1"/>
  <c r="C2888" i="1"/>
  <c r="S2888" i="1"/>
  <c r="T2888" i="1"/>
  <c r="U2888" i="1"/>
  <c r="BE2888" i="1"/>
  <c r="CC2888" i="1"/>
  <c r="CD2888" i="1"/>
  <c r="A2889" i="1"/>
  <c r="C2889" i="1"/>
  <c r="S2889" i="1"/>
  <c r="T2889" i="1"/>
  <c r="U2889" i="1"/>
  <c r="BE2889" i="1"/>
  <c r="CC2889" i="1"/>
  <c r="CD2889" i="1"/>
  <c r="A2890" i="1"/>
  <c r="C2890" i="1"/>
  <c r="S2890" i="1"/>
  <c r="T2890" i="1"/>
  <c r="U2890" i="1"/>
  <c r="BE2890" i="1"/>
  <c r="CC2890" i="1"/>
  <c r="CD2890" i="1"/>
  <c r="A2891" i="1"/>
  <c r="C2891" i="1"/>
  <c r="S2891" i="1"/>
  <c r="T2891" i="1"/>
  <c r="U2891" i="1"/>
  <c r="BE2891" i="1"/>
  <c r="CC2891" i="1"/>
  <c r="CD2891" i="1"/>
  <c r="A2892" i="1"/>
  <c r="C2892" i="1"/>
  <c r="S2892" i="1"/>
  <c r="T2892" i="1"/>
  <c r="U2892" i="1"/>
  <c r="BE2892" i="1"/>
  <c r="CC2892" i="1"/>
  <c r="CD2892" i="1"/>
  <c r="A2893" i="1"/>
  <c r="C2893" i="1"/>
  <c r="S2893" i="1"/>
  <c r="T2893" i="1"/>
  <c r="U2893" i="1"/>
  <c r="BE2893" i="1"/>
  <c r="CC2893" i="1"/>
  <c r="CD2893" i="1"/>
  <c r="A2894" i="1"/>
  <c r="C2894" i="1"/>
  <c r="S2894" i="1"/>
  <c r="T2894" i="1"/>
  <c r="U2894" i="1"/>
  <c r="BE2894" i="1"/>
  <c r="CC2894" i="1"/>
  <c r="CD2894" i="1"/>
  <c r="A2895" i="1"/>
  <c r="C2895" i="1"/>
  <c r="S2895" i="1"/>
  <c r="T2895" i="1"/>
  <c r="U2895" i="1"/>
  <c r="BE2895" i="1"/>
  <c r="CC2895" i="1"/>
  <c r="CD2895" i="1"/>
  <c r="A2896" i="1"/>
  <c r="C2896" i="1"/>
  <c r="S2896" i="1"/>
  <c r="T2896" i="1"/>
  <c r="U2896" i="1"/>
  <c r="BE2896" i="1"/>
  <c r="CC2896" i="1"/>
  <c r="CD2896" i="1"/>
  <c r="A2897" i="1"/>
  <c r="C2897" i="1"/>
  <c r="S2897" i="1"/>
  <c r="T2897" i="1"/>
  <c r="U2897" i="1"/>
  <c r="BE2897" i="1"/>
  <c r="CC2897" i="1"/>
  <c r="CD2897" i="1"/>
  <c r="A2898" i="1"/>
  <c r="C2898" i="1"/>
  <c r="S2898" i="1"/>
  <c r="T2898" i="1"/>
  <c r="U2898" i="1"/>
  <c r="BE2898" i="1"/>
  <c r="CC2898" i="1"/>
  <c r="CD2898" i="1"/>
  <c r="A2899" i="1"/>
  <c r="C2899" i="1"/>
  <c r="S2899" i="1"/>
  <c r="T2899" i="1"/>
  <c r="U2899" i="1"/>
  <c r="BE2899" i="1"/>
  <c r="CC2899" i="1"/>
  <c r="CD2899" i="1"/>
  <c r="A2900" i="1"/>
  <c r="C2900" i="1"/>
  <c r="S2900" i="1"/>
  <c r="T2900" i="1"/>
  <c r="U2900" i="1"/>
  <c r="BE2900" i="1"/>
  <c r="CC2900" i="1"/>
  <c r="CD2900" i="1"/>
  <c r="A2901" i="1"/>
  <c r="C2901" i="1"/>
  <c r="S2901" i="1"/>
  <c r="T2901" i="1"/>
  <c r="U2901" i="1"/>
  <c r="BE2901" i="1"/>
  <c r="CC2901" i="1"/>
  <c r="CD2901" i="1"/>
  <c r="A2902" i="1"/>
  <c r="C2902" i="1"/>
  <c r="S2902" i="1"/>
  <c r="T2902" i="1"/>
  <c r="U2902" i="1"/>
  <c r="BE2902" i="1"/>
  <c r="CC2902" i="1"/>
  <c r="CD2902" i="1"/>
  <c r="A2903" i="1"/>
  <c r="C2903" i="1"/>
  <c r="S2903" i="1"/>
  <c r="T2903" i="1"/>
  <c r="U2903" i="1"/>
  <c r="BE2903" i="1"/>
  <c r="CC2903" i="1"/>
  <c r="CD2903" i="1"/>
  <c r="A2904" i="1"/>
  <c r="C2904" i="1"/>
  <c r="S2904" i="1"/>
  <c r="T2904" i="1"/>
  <c r="U2904" i="1"/>
  <c r="BE2904" i="1"/>
  <c r="CC2904" i="1"/>
  <c r="CD2904" i="1"/>
  <c r="A2905" i="1"/>
  <c r="C2905" i="1"/>
  <c r="S2905" i="1"/>
  <c r="T2905" i="1"/>
  <c r="U2905" i="1"/>
  <c r="BE2905" i="1"/>
  <c r="CC2905" i="1"/>
  <c r="CD2905" i="1"/>
  <c r="A2906" i="1"/>
  <c r="C2906" i="1"/>
  <c r="S2906" i="1"/>
  <c r="T2906" i="1"/>
  <c r="U2906" i="1"/>
  <c r="BE2906" i="1"/>
  <c r="CC2906" i="1"/>
  <c r="CD2906" i="1"/>
  <c r="A2907" i="1"/>
  <c r="C2907" i="1"/>
  <c r="S2907" i="1"/>
  <c r="T2907" i="1"/>
  <c r="U2907" i="1"/>
  <c r="BE2907" i="1"/>
  <c r="CC2907" i="1"/>
  <c r="CD2907" i="1"/>
  <c r="A2908" i="1"/>
  <c r="C2908" i="1"/>
  <c r="S2908" i="1"/>
  <c r="T2908" i="1"/>
  <c r="U2908" i="1"/>
  <c r="BE2908" i="1"/>
  <c r="CC2908" i="1"/>
  <c r="CD2908" i="1"/>
  <c r="A2909" i="1"/>
  <c r="C2909" i="1"/>
  <c r="S2909" i="1"/>
  <c r="T2909" i="1"/>
  <c r="U2909" i="1"/>
  <c r="BE2909" i="1"/>
  <c r="CC2909" i="1"/>
  <c r="CD2909" i="1"/>
  <c r="A2910" i="1"/>
  <c r="C2910" i="1"/>
  <c r="S2910" i="1"/>
  <c r="T2910" i="1"/>
  <c r="U2910" i="1"/>
  <c r="BE2910" i="1"/>
  <c r="CC2910" i="1"/>
  <c r="CD2910" i="1"/>
  <c r="A2911" i="1"/>
  <c r="C2911" i="1"/>
  <c r="S2911" i="1"/>
  <c r="T2911" i="1"/>
  <c r="U2911" i="1"/>
  <c r="BE2911" i="1"/>
  <c r="CC2911" i="1"/>
  <c r="CD2911" i="1"/>
  <c r="A2912" i="1"/>
  <c r="C2912" i="1"/>
  <c r="S2912" i="1"/>
  <c r="T2912" i="1"/>
  <c r="U2912" i="1"/>
  <c r="BE2912" i="1"/>
  <c r="CC2912" i="1"/>
  <c r="CD2912" i="1"/>
  <c r="A2913" i="1"/>
  <c r="C2913" i="1"/>
  <c r="S2913" i="1"/>
  <c r="T2913" i="1"/>
  <c r="U2913" i="1"/>
  <c r="BE2913" i="1"/>
  <c r="CC2913" i="1"/>
  <c r="CD2913" i="1"/>
  <c r="A2914" i="1"/>
  <c r="C2914" i="1"/>
  <c r="S2914" i="1"/>
  <c r="T2914" i="1"/>
  <c r="U2914" i="1"/>
  <c r="BE2914" i="1"/>
  <c r="CC2914" i="1"/>
  <c r="CD2914" i="1"/>
  <c r="A2915" i="1"/>
  <c r="C2915" i="1"/>
  <c r="S2915" i="1"/>
  <c r="T2915" i="1"/>
  <c r="U2915" i="1"/>
  <c r="BE2915" i="1"/>
  <c r="CC2915" i="1"/>
  <c r="CD2915" i="1"/>
  <c r="A2916" i="1"/>
  <c r="C2916" i="1"/>
  <c r="S2916" i="1"/>
  <c r="T2916" i="1"/>
  <c r="U2916" i="1"/>
  <c r="BE2916" i="1"/>
  <c r="CC2916" i="1"/>
  <c r="CD2916" i="1"/>
  <c r="A2917" i="1"/>
  <c r="C2917" i="1"/>
  <c r="S2917" i="1"/>
  <c r="T2917" i="1"/>
  <c r="U2917" i="1"/>
  <c r="BE2917" i="1"/>
  <c r="CC2917" i="1"/>
  <c r="CD2917" i="1"/>
  <c r="A2918" i="1"/>
  <c r="C2918" i="1"/>
  <c r="S2918" i="1"/>
  <c r="T2918" i="1"/>
  <c r="U2918" i="1"/>
  <c r="BE2918" i="1"/>
  <c r="CC2918" i="1"/>
  <c r="CD2918" i="1"/>
  <c r="A2919" i="1"/>
  <c r="C2919" i="1"/>
  <c r="S2919" i="1"/>
  <c r="T2919" i="1"/>
  <c r="U2919" i="1"/>
  <c r="BE2919" i="1"/>
  <c r="CC2919" i="1"/>
  <c r="CD2919" i="1"/>
  <c r="A2920" i="1"/>
  <c r="C2920" i="1"/>
  <c r="S2920" i="1"/>
  <c r="T2920" i="1"/>
  <c r="U2920" i="1"/>
  <c r="BE2920" i="1"/>
  <c r="CC2920" i="1"/>
  <c r="CD2920" i="1"/>
  <c r="A2921" i="1"/>
  <c r="C2921" i="1"/>
  <c r="S2921" i="1"/>
  <c r="T2921" i="1"/>
  <c r="U2921" i="1"/>
  <c r="BE2921" i="1"/>
  <c r="CC2921" i="1"/>
  <c r="CD2921" i="1"/>
  <c r="A2922" i="1"/>
  <c r="C2922" i="1"/>
  <c r="S2922" i="1"/>
  <c r="T2922" i="1"/>
  <c r="U2922" i="1"/>
  <c r="BE2922" i="1"/>
  <c r="CC2922" i="1"/>
  <c r="CD2922" i="1"/>
  <c r="A2923" i="1"/>
  <c r="C2923" i="1"/>
  <c r="S2923" i="1"/>
  <c r="T2923" i="1"/>
  <c r="U2923" i="1"/>
  <c r="BE2923" i="1"/>
  <c r="CC2923" i="1"/>
  <c r="CD2923" i="1"/>
  <c r="A2924" i="1"/>
  <c r="C2924" i="1"/>
  <c r="S2924" i="1"/>
  <c r="T2924" i="1"/>
  <c r="U2924" i="1"/>
  <c r="BE2924" i="1"/>
  <c r="CC2924" i="1"/>
  <c r="CD2924" i="1"/>
  <c r="A2925" i="1"/>
  <c r="C2925" i="1"/>
  <c r="S2925" i="1"/>
  <c r="T2925" i="1"/>
  <c r="U2925" i="1"/>
  <c r="BE2925" i="1"/>
  <c r="CC2925" i="1"/>
  <c r="CD2925" i="1"/>
  <c r="A2926" i="1"/>
  <c r="C2926" i="1"/>
  <c r="S2926" i="1"/>
  <c r="T2926" i="1"/>
  <c r="U2926" i="1"/>
  <c r="BE2926" i="1"/>
  <c r="CC2926" i="1"/>
  <c r="CD2926" i="1"/>
  <c r="A2927" i="1"/>
  <c r="C2927" i="1"/>
  <c r="S2927" i="1"/>
  <c r="T2927" i="1"/>
  <c r="U2927" i="1"/>
  <c r="BE2927" i="1"/>
  <c r="CC2927" i="1"/>
  <c r="CD2927" i="1"/>
  <c r="A2928" i="1"/>
  <c r="C2928" i="1"/>
  <c r="S2928" i="1"/>
  <c r="T2928" i="1"/>
  <c r="U2928" i="1"/>
  <c r="BE2928" i="1"/>
  <c r="CC2928" i="1"/>
  <c r="CD2928" i="1"/>
  <c r="A2929" i="1"/>
  <c r="C2929" i="1"/>
  <c r="S2929" i="1"/>
  <c r="T2929" i="1"/>
  <c r="U2929" i="1"/>
  <c r="BE2929" i="1"/>
  <c r="CC2929" i="1"/>
  <c r="CD2929" i="1"/>
  <c r="A2930" i="1"/>
  <c r="C2930" i="1"/>
  <c r="S2930" i="1"/>
  <c r="T2930" i="1"/>
  <c r="U2930" i="1"/>
  <c r="BE2930" i="1"/>
  <c r="CC2930" i="1"/>
  <c r="CD2930" i="1"/>
  <c r="A2931" i="1"/>
  <c r="C2931" i="1"/>
  <c r="S2931" i="1"/>
  <c r="T2931" i="1"/>
  <c r="U2931" i="1"/>
  <c r="BE2931" i="1"/>
  <c r="CC2931" i="1"/>
  <c r="CD2931" i="1"/>
  <c r="A2932" i="1"/>
  <c r="C2932" i="1"/>
  <c r="S2932" i="1"/>
  <c r="T2932" i="1"/>
  <c r="U2932" i="1"/>
  <c r="BE2932" i="1"/>
  <c r="CC2932" i="1"/>
  <c r="CD2932" i="1"/>
  <c r="A2933" i="1"/>
  <c r="C2933" i="1"/>
  <c r="S2933" i="1"/>
  <c r="T2933" i="1"/>
  <c r="U2933" i="1"/>
  <c r="BE2933" i="1"/>
  <c r="CC2933" i="1"/>
  <c r="CD2933" i="1"/>
  <c r="A2934" i="1"/>
  <c r="C2934" i="1"/>
  <c r="S2934" i="1"/>
  <c r="T2934" i="1"/>
  <c r="U2934" i="1"/>
  <c r="BE2934" i="1"/>
  <c r="CC2934" i="1"/>
  <c r="CD2934" i="1"/>
  <c r="A2935" i="1"/>
  <c r="C2935" i="1"/>
  <c r="S2935" i="1"/>
  <c r="T2935" i="1"/>
  <c r="U2935" i="1"/>
  <c r="BE2935" i="1"/>
  <c r="CC2935" i="1"/>
  <c r="CD2935" i="1"/>
  <c r="A2936" i="1"/>
  <c r="C2936" i="1"/>
  <c r="S2936" i="1"/>
  <c r="T2936" i="1"/>
  <c r="U2936" i="1"/>
  <c r="BE2936" i="1"/>
  <c r="CC2936" i="1"/>
  <c r="CD2936" i="1"/>
  <c r="A2937" i="1"/>
  <c r="C2937" i="1"/>
  <c r="S2937" i="1"/>
  <c r="T2937" i="1"/>
  <c r="U2937" i="1"/>
  <c r="BE2937" i="1"/>
  <c r="CC2937" i="1"/>
  <c r="CD2937" i="1"/>
  <c r="A2938" i="1"/>
  <c r="C2938" i="1"/>
  <c r="S2938" i="1"/>
  <c r="T2938" i="1"/>
  <c r="U2938" i="1"/>
  <c r="BE2938" i="1"/>
  <c r="CC2938" i="1"/>
  <c r="CD2938" i="1"/>
  <c r="A2939" i="1"/>
  <c r="C2939" i="1"/>
  <c r="S2939" i="1"/>
  <c r="T2939" i="1"/>
  <c r="U2939" i="1"/>
  <c r="BE2939" i="1"/>
  <c r="CC2939" i="1"/>
  <c r="CD2939" i="1"/>
  <c r="A2940" i="1"/>
  <c r="C2940" i="1"/>
  <c r="S2940" i="1"/>
  <c r="T2940" i="1"/>
  <c r="U2940" i="1"/>
  <c r="BE2940" i="1"/>
  <c r="CC2940" i="1"/>
  <c r="CD2940" i="1"/>
  <c r="A2941" i="1"/>
  <c r="C2941" i="1"/>
  <c r="S2941" i="1"/>
  <c r="T2941" i="1"/>
  <c r="U2941" i="1"/>
  <c r="BE2941" i="1"/>
  <c r="CC2941" i="1"/>
  <c r="CD2941" i="1"/>
  <c r="A2942" i="1"/>
  <c r="C2942" i="1"/>
  <c r="S2942" i="1"/>
  <c r="T2942" i="1"/>
  <c r="U2942" i="1"/>
  <c r="BE2942" i="1"/>
  <c r="CC2942" i="1"/>
  <c r="CD2942" i="1"/>
  <c r="A2943" i="1"/>
  <c r="C2943" i="1"/>
  <c r="S2943" i="1"/>
  <c r="T2943" i="1"/>
  <c r="U2943" i="1"/>
  <c r="BE2943" i="1"/>
  <c r="CC2943" i="1"/>
  <c r="CD2943" i="1"/>
  <c r="A2944" i="1"/>
  <c r="C2944" i="1"/>
  <c r="S2944" i="1"/>
  <c r="T2944" i="1"/>
  <c r="U2944" i="1"/>
  <c r="BE2944" i="1"/>
  <c r="CC2944" i="1"/>
  <c r="CD2944" i="1"/>
  <c r="A2945" i="1"/>
  <c r="C2945" i="1"/>
  <c r="S2945" i="1"/>
  <c r="T2945" i="1"/>
  <c r="U2945" i="1"/>
  <c r="BE2945" i="1"/>
  <c r="CC2945" i="1"/>
  <c r="CD2945" i="1"/>
  <c r="A2946" i="1"/>
  <c r="C2946" i="1"/>
  <c r="S2946" i="1"/>
  <c r="T2946" i="1"/>
  <c r="U2946" i="1"/>
  <c r="BE2946" i="1"/>
  <c r="CC2946" i="1"/>
  <c r="CD2946" i="1"/>
  <c r="A2947" i="1"/>
  <c r="C2947" i="1"/>
  <c r="S2947" i="1"/>
  <c r="T2947" i="1"/>
  <c r="U2947" i="1"/>
  <c r="BE2947" i="1"/>
  <c r="CC2947" i="1"/>
  <c r="CD2947" i="1"/>
  <c r="A2948" i="1"/>
  <c r="C2948" i="1"/>
  <c r="S2948" i="1"/>
  <c r="T2948" i="1"/>
  <c r="U2948" i="1"/>
  <c r="BE2948" i="1"/>
  <c r="CC2948" i="1"/>
  <c r="CD2948" i="1"/>
  <c r="A2949" i="1"/>
  <c r="C2949" i="1"/>
  <c r="S2949" i="1"/>
  <c r="T2949" i="1"/>
  <c r="U2949" i="1"/>
  <c r="BE2949" i="1"/>
  <c r="CC2949" i="1"/>
  <c r="CD2949" i="1"/>
  <c r="A2950" i="1"/>
  <c r="C2950" i="1"/>
  <c r="S2950" i="1"/>
  <c r="T2950" i="1"/>
  <c r="U2950" i="1"/>
  <c r="BE2950" i="1"/>
  <c r="CC2950" i="1"/>
  <c r="CD2950" i="1"/>
  <c r="A2951" i="1"/>
  <c r="C2951" i="1"/>
  <c r="S2951" i="1"/>
  <c r="T2951" i="1"/>
  <c r="U2951" i="1"/>
  <c r="BE2951" i="1"/>
  <c r="CC2951" i="1"/>
  <c r="CD2951" i="1"/>
  <c r="A2952" i="1"/>
  <c r="C2952" i="1"/>
  <c r="S2952" i="1"/>
  <c r="T2952" i="1"/>
  <c r="U2952" i="1"/>
  <c r="BE2952" i="1"/>
  <c r="CC2952" i="1"/>
  <c r="CD2952" i="1"/>
  <c r="A2953" i="1"/>
  <c r="C2953" i="1"/>
  <c r="S2953" i="1"/>
  <c r="T2953" i="1"/>
  <c r="U2953" i="1"/>
  <c r="BE2953" i="1"/>
  <c r="CC2953" i="1"/>
  <c r="CD2953" i="1"/>
  <c r="A2954" i="1"/>
  <c r="C2954" i="1"/>
  <c r="S2954" i="1"/>
  <c r="T2954" i="1"/>
  <c r="U2954" i="1"/>
  <c r="BE2954" i="1"/>
  <c r="CC2954" i="1"/>
  <c r="CD2954" i="1"/>
  <c r="A2955" i="1"/>
  <c r="C2955" i="1"/>
  <c r="S2955" i="1"/>
  <c r="T2955" i="1"/>
  <c r="U2955" i="1"/>
  <c r="BE2955" i="1"/>
  <c r="CC2955" i="1"/>
  <c r="CD2955" i="1"/>
  <c r="A2956" i="1"/>
  <c r="C2956" i="1"/>
  <c r="S2956" i="1"/>
  <c r="T2956" i="1"/>
  <c r="U2956" i="1"/>
  <c r="BE2956" i="1"/>
  <c r="CC2956" i="1"/>
  <c r="CD2956" i="1"/>
  <c r="A2957" i="1"/>
  <c r="C2957" i="1"/>
  <c r="S2957" i="1"/>
  <c r="T2957" i="1"/>
  <c r="U2957" i="1"/>
  <c r="BE2957" i="1"/>
  <c r="CC2957" i="1"/>
  <c r="CD2957" i="1"/>
  <c r="A2958" i="1"/>
  <c r="C2958" i="1"/>
  <c r="S2958" i="1"/>
  <c r="T2958" i="1"/>
  <c r="U2958" i="1"/>
  <c r="BE2958" i="1"/>
  <c r="CC2958" i="1"/>
  <c r="CD2958" i="1"/>
  <c r="A2959" i="1"/>
  <c r="C2959" i="1"/>
  <c r="S2959" i="1"/>
  <c r="T2959" i="1"/>
  <c r="U2959" i="1"/>
  <c r="BE2959" i="1"/>
  <c r="CC2959" i="1"/>
  <c r="CD2959" i="1"/>
  <c r="A2960" i="1"/>
  <c r="C2960" i="1"/>
  <c r="S2960" i="1"/>
  <c r="T2960" i="1"/>
  <c r="U2960" i="1"/>
  <c r="BE2960" i="1"/>
  <c r="CC2960" i="1"/>
  <c r="CD2960" i="1"/>
  <c r="A2961" i="1"/>
  <c r="C2961" i="1"/>
  <c r="S2961" i="1"/>
  <c r="T2961" i="1"/>
  <c r="U2961" i="1"/>
  <c r="BE2961" i="1"/>
  <c r="CC2961" i="1"/>
  <c r="CD2961" i="1"/>
  <c r="A2962" i="1"/>
  <c r="C2962" i="1"/>
  <c r="S2962" i="1"/>
  <c r="T2962" i="1"/>
  <c r="U2962" i="1"/>
  <c r="BE2962" i="1"/>
  <c r="CC2962" i="1"/>
  <c r="CD2962" i="1"/>
  <c r="A2963" i="1"/>
  <c r="C2963" i="1"/>
  <c r="S2963" i="1"/>
  <c r="T2963" i="1"/>
  <c r="U2963" i="1"/>
  <c r="BE2963" i="1"/>
  <c r="CC2963" i="1"/>
  <c r="CD2963" i="1"/>
  <c r="A2964" i="1"/>
  <c r="C2964" i="1"/>
  <c r="S2964" i="1"/>
  <c r="T2964" i="1"/>
  <c r="U2964" i="1"/>
  <c r="BE2964" i="1"/>
  <c r="CC2964" i="1"/>
  <c r="CD2964" i="1"/>
  <c r="A2965" i="1"/>
  <c r="C2965" i="1"/>
  <c r="S2965" i="1"/>
  <c r="T2965" i="1"/>
  <c r="U2965" i="1"/>
  <c r="BE2965" i="1"/>
  <c r="CC2965" i="1"/>
  <c r="CD2965" i="1"/>
  <c r="A2966" i="1"/>
  <c r="C2966" i="1"/>
  <c r="S2966" i="1"/>
  <c r="T2966" i="1"/>
  <c r="U2966" i="1"/>
  <c r="BE2966" i="1"/>
  <c r="CC2966" i="1"/>
  <c r="CD2966" i="1"/>
  <c r="A2967" i="1"/>
  <c r="C2967" i="1"/>
  <c r="S2967" i="1"/>
  <c r="T2967" i="1"/>
  <c r="U2967" i="1"/>
  <c r="BE2967" i="1"/>
  <c r="CC2967" i="1"/>
  <c r="CD2967" i="1"/>
  <c r="A2968" i="1"/>
  <c r="C2968" i="1"/>
  <c r="S2968" i="1"/>
  <c r="T2968" i="1"/>
  <c r="U2968" i="1"/>
  <c r="BE2968" i="1"/>
  <c r="CC2968" i="1"/>
  <c r="CD2968" i="1"/>
  <c r="A2969" i="1"/>
  <c r="C2969" i="1"/>
  <c r="S2969" i="1"/>
  <c r="T2969" i="1"/>
  <c r="U2969" i="1"/>
  <c r="BE2969" i="1"/>
  <c r="CC2969" i="1"/>
  <c r="CD2969" i="1"/>
  <c r="A2970" i="1"/>
  <c r="C2970" i="1"/>
  <c r="S2970" i="1"/>
  <c r="T2970" i="1"/>
  <c r="U2970" i="1"/>
  <c r="BE2970" i="1"/>
  <c r="CC2970" i="1"/>
  <c r="CD2970" i="1"/>
  <c r="A2971" i="1"/>
  <c r="C2971" i="1"/>
  <c r="S2971" i="1"/>
  <c r="T2971" i="1"/>
  <c r="U2971" i="1"/>
  <c r="BE2971" i="1"/>
  <c r="CC2971" i="1"/>
  <c r="CD2971" i="1"/>
  <c r="A2972" i="1"/>
  <c r="C2972" i="1"/>
  <c r="S2972" i="1"/>
  <c r="T2972" i="1"/>
  <c r="U2972" i="1"/>
  <c r="BE2972" i="1"/>
  <c r="CC2972" i="1"/>
  <c r="CD2972" i="1"/>
  <c r="A2973" i="1"/>
  <c r="C2973" i="1"/>
  <c r="S2973" i="1"/>
  <c r="T2973" i="1"/>
  <c r="U2973" i="1"/>
  <c r="BE2973" i="1"/>
  <c r="CC2973" i="1"/>
  <c r="CD2973" i="1"/>
  <c r="A2974" i="1"/>
  <c r="C2974" i="1"/>
  <c r="S2974" i="1"/>
  <c r="T2974" i="1"/>
  <c r="U2974" i="1"/>
  <c r="BE2974" i="1"/>
  <c r="CC2974" i="1"/>
  <c r="CD2974" i="1"/>
  <c r="A2975" i="1"/>
  <c r="C2975" i="1"/>
  <c r="S2975" i="1"/>
  <c r="T2975" i="1"/>
  <c r="U2975" i="1"/>
  <c r="BE2975" i="1"/>
  <c r="CC2975" i="1"/>
  <c r="CD2975" i="1"/>
  <c r="A2976" i="1"/>
  <c r="C2976" i="1"/>
  <c r="S2976" i="1"/>
  <c r="T2976" i="1"/>
  <c r="U2976" i="1"/>
  <c r="BE2976" i="1"/>
  <c r="CC2976" i="1"/>
  <c r="CD2976" i="1"/>
  <c r="A2977" i="1"/>
  <c r="C2977" i="1"/>
  <c r="S2977" i="1"/>
  <c r="T2977" i="1"/>
  <c r="U2977" i="1"/>
  <c r="BE2977" i="1"/>
  <c r="CC2977" i="1"/>
  <c r="CD2977" i="1"/>
  <c r="A2978" i="1"/>
  <c r="C2978" i="1"/>
  <c r="S2978" i="1"/>
  <c r="T2978" i="1"/>
  <c r="U2978" i="1"/>
  <c r="BE2978" i="1"/>
  <c r="CC2978" i="1"/>
  <c r="CD2978" i="1"/>
  <c r="A2979" i="1"/>
  <c r="C2979" i="1"/>
  <c r="S2979" i="1"/>
  <c r="T2979" i="1"/>
  <c r="U2979" i="1"/>
  <c r="BE2979" i="1"/>
  <c r="CC2979" i="1"/>
  <c r="CD2979" i="1"/>
  <c r="A2980" i="1"/>
  <c r="C2980" i="1"/>
  <c r="S2980" i="1"/>
  <c r="T2980" i="1"/>
  <c r="U2980" i="1"/>
  <c r="BE2980" i="1"/>
  <c r="CC2980" i="1"/>
  <c r="CD2980" i="1"/>
  <c r="A2981" i="1"/>
  <c r="C2981" i="1"/>
  <c r="S2981" i="1"/>
  <c r="T2981" i="1"/>
  <c r="U2981" i="1"/>
  <c r="BE2981" i="1"/>
  <c r="CC2981" i="1"/>
  <c r="CD2981" i="1"/>
  <c r="A2982" i="1"/>
  <c r="C2982" i="1"/>
  <c r="S2982" i="1"/>
  <c r="T2982" i="1"/>
  <c r="U2982" i="1"/>
  <c r="BE2982" i="1"/>
  <c r="CC2982" i="1"/>
  <c r="CD2982" i="1"/>
  <c r="A2983" i="1"/>
  <c r="C2983" i="1"/>
  <c r="S2983" i="1"/>
  <c r="T2983" i="1"/>
  <c r="U2983" i="1"/>
  <c r="BE2983" i="1"/>
  <c r="CC2983" i="1"/>
  <c r="CD2983" i="1"/>
  <c r="A2984" i="1"/>
  <c r="C2984" i="1"/>
  <c r="S2984" i="1"/>
  <c r="T2984" i="1"/>
  <c r="U2984" i="1"/>
  <c r="BE2984" i="1"/>
  <c r="CC2984" i="1"/>
  <c r="CD2984" i="1"/>
  <c r="A2985" i="1"/>
  <c r="C2985" i="1"/>
  <c r="S2985" i="1"/>
  <c r="T2985" i="1"/>
  <c r="U2985" i="1"/>
  <c r="BE2985" i="1"/>
  <c r="CC2985" i="1"/>
  <c r="CD2985" i="1"/>
  <c r="A2986" i="1"/>
  <c r="C2986" i="1"/>
  <c r="S2986" i="1"/>
  <c r="T2986" i="1"/>
  <c r="U2986" i="1"/>
  <c r="BE2986" i="1"/>
  <c r="CC2986" i="1"/>
  <c r="CD2986" i="1"/>
  <c r="A2987" i="1"/>
  <c r="C2987" i="1"/>
  <c r="S2987" i="1"/>
  <c r="T2987" i="1"/>
  <c r="U2987" i="1"/>
  <c r="BE2987" i="1"/>
  <c r="CC2987" i="1"/>
  <c r="CD2987" i="1"/>
  <c r="A2988" i="1"/>
  <c r="C2988" i="1"/>
  <c r="S2988" i="1"/>
  <c r="T2988" i="1"/>
  <c r="U2988" i="1"/>
  <c r="BE2988" i="1"/>
  <c r="CC2988" i="1"/>
  <c r="CD2988" i="1"/>
  <c r="A2989" i="1"/>
  <c r="C2989" i="1"/>
  <c r="S2989" i="1"/>
  <c r="T2989" i="1"/>
  <c r="U2989" i="1"/>
  <c r="BE2989" i="1"/>
  <c r="CC2989" i="1"/>
  <c r="CD2989" i="1"/>
  <c r="A2990" i="1"/>
  <c r="C2990" i="1"/>
  <c r="S2990" i="1"/>
  <c r="T2990" i="1"/>
  <c r="U2990" i="1"/>
  <c r="BE2990" i="1"/>
  <c r="CC2990" i="1"/>
  <c r="CD2990" i="1"/>
  <c r="A2991" i="1"/>
  <c r="C2991" i="1"/>
  <c r="S2991" i="1"/>
  <c r="T2991" i="1"/>
  <c r="U2991" i="1"/>
  <c r="BE2991" i="1"/>
  <c r="CC2991" i="1"/>
  <c r="CD2991" i="1"/>
  <c r="A2992" i="1"/>
  <c r="C2992" i="1"/>
  <c r="S2992" i="1"/>
  <c r="T2992" i="1"/>
  <c r="U2992" i="1"/>
  <c r="BE2992" i="1"/>
  <c r="CC2992" i="1"/>
  <c r="CD2992" i="1"/>
  <c r="A2993" i="1"/>
  <c r="C2993" i="1"/>
  <c r="S2993" i="1"/>
  <c r="T2993" i="1"/>
  <c r="U2993" i="1"/>
  <c r="BE2993" i="1"/>
  <c r="CC2993" i="1"/>
  <c r="CD2993" i="1"/>
  <c r="A2994" i="1"/>
  <c r="C2994" i="1"/>
  <c r="S2994" i="1"/>
  <c r="T2994" i="1"/>
  <c r="U2994" i="1"/>
  <c r="BE2994" i="1"/>
  <c r="CC2994" i="1"/>
  <c r="CD2994" i="1"/>
  <c r="A2995" i="1"/>
  <c r="C2995" i="1"/>
  <c r="S2995" i="1"/>
  <c r="T2995" i="1"/>
  <c r="U2995" i="1"/>
  <c r="BE2995" i="1"/>
  <c r="CC2995" i="1"/>
  <c r="CD2995" i="1"/>
  <c r="A2996" i="1"/>
  <c r="C2996" i="1"/>
  <c r="S2996" i="1"/>
  <c r="T2996" i="1"/>
  <c r="U2996" i="1"/>
  <c r="BE2996" i="1"/>
  <c r="CC2996" i="1"/>
  <c r="CD2996" i="1"/>
  <c r="A2997" i="1"/>
  <c r="C2997" i="1"/>
  <c r="S2997" i="1"/>
  <c r="T2997" i="1"/>
  <c r="U2997" i="1"/>
  <c r="BE2997" i="1"/>
  <c r="CC2997" i="1"/>
  <c r="CD2997" i="1"/>
  <c r="A2998" i="1"/>
  <c r="C2998" i="1"/>
  <c r="S2998" i="1"/>
  <c r="T2998" i="1"/>
  <c r="U2998" i="1"/>
  <c r="BE2998" i="1"/>
  <c r="CC2998" i="1"/>
  <c r="CD2998" i="1"/>
  <c r="A2999" i="1"/>
  <c r="C2999" i="1"/>
  <c r="S2999" i="1"/>
  <c r="T2999" i="1"/>
  <c r="U2999" i="1"/>
  <c r="BE2999" i="1"/>
  <c r="CC2999" i="1"/>
  <c r="CD2999" i="1"/>
  <c r="A3000" i="1"/>
  <c r="C3000" i="1"/>
  <c r="S3000" i="1"/>
  <c r="T3000" i="1"/>
  <c r="U3000" i="1"/>
  <c r="BE3000" i="1"/>
  <c r="CC3000" i="1"/>
  <c r="CD3000" i="1"/>
  <c r="A3001" i="1"/>
  <c r="C3001" i="1"/>
  <c r="S3001" i="1"/>
  <c r="T3001" i="1"/>
  <c r="U3001" i="1"/>
  <c r="BE3001" i="1"/>
  <c r="CC3001" i="1"/>
  <c r="CD3001" i="1"/>
  <c r="A3002" i="1"/>
  <c r="C3002" i="1"/>
  <c r="S3002" i="1"/>
  <c r="T3002" i="1"/>
  <c r="U3002" i="1"/>
  <c r="BE3002" i="1"/>
  <c r="CC3002" i="1"/>
  <c r="CD3002" i="1"/>
  <c r="A3003" i="1"/>
  <c r="C3003" i="1"/>
  <c r="S3003" i="1"/>
  <c r="T3003" i="1"/>
  <c r="U3003" i="1"/>
  <c r="BE3003" i="1"/>
  <c r="CC3003" i="1"/>
  <c r="CD3003" i="1"/>
  <c r="A3004" i="1"/>
  <c r="C3004" i="1"/>
  <c r="S3004" i="1"/>
  <c r="T3004" i="1"/>
  <c r="U3004" i="1"/>
  <c r="BE3004" i="1"/>
  <c r="CC3004" i="1"/>
  <c r="CD3004" i="1"/>
  <c r="A3005" i="1"/>
  <c r="C3005" i="1"/>
  <c r="S3005" i="1"/>
  <c r="T3005" i="1"/>
  <c r="U3005" i="1"/>
  <c r="BE3005" i="1"/>
  <c r="CC3005" i="1"/>
  <c r="CD3005" i="1"/>
  <c r="A3006" i="1"/>
  <c r="C3006" i="1"/>
  <c r="S3006" i="1"/>
  <c r="T3006" i="1"/>
  <c r="U3006" i="1"/>
  <c r="BE3006" i="1"/>
  <c r="CC3006" i="1"/>
  <c r="CD3006" i="1"/>
  <c r="A3007" i="1"/>
  <c r="C3007" i="1"/>
  <c r="S3007" i="1"/>
  <c r="T3007" i="1"/>
  <c r="U3007" i="1"/>
  <c r="BE3007" i="1"/>
  <c r="CC3007" i="1"/>
  <c r="CD3007" i="1"/>
  <c r="A3008" i="1"/>
  <c r="C3008" i="1"/>
  <c r="S3008" i="1"/>
  <c r="T3008" i="1"/>
  <c r="U3008" i="1"/>
  <c r="BE3008" i="1"/>
  <c r="CC3008" i="1"/>
  <c r="CD3008" i="1"/>
  <c r="A3009" i="1"/>
  <c r="C3009" i="1"/>
  <c r="S3009" i="1"/>
  <c r="T3009" i="1"/>
  <c r="U3009" i="1"/>
  <c r="BE3009" i="1"/>
  <c r="CC3009" i="1"/>
  <c r="CD3009" i="1"/>
  <c r="A3010" i="1"/>
  <c r="C3010" i="1"/>
  <c r="S3010" i="1"/>
  <c r="T3010" i="1"/>
  <c r="U3010" i="1"/>
  <c r="BE3010" i="1"/>
  <c r="CC3010" i="1"/>
  <c r="CD3010" i="1"/>
  <c r="A3011" i="1"/>
  <c r="C3011" i="1"/>
  <c r="S3011" i="1"/>
  <c r="T3011" i="1"/>
  <c r="U3011" i="1"/>
  <c r="BE3011" i="1"/>
  <c r="CC3011" i="1"/>
  <c r="CD3011" i="1"/>
  <c r="A3012" i="1"/>
  <c r="C3012" i="1"/>
  <c r="S3012" i="1"/>
  <c r="T3012" i="1"/>
  <c r="U3012" i="1"/>
  <c r="BE3012" i="1"/>
  <c r="CC3012" i="1"/>
  <c r="CD3012" i="1"/>
  <c r="A3013" i="1"/>
  <c r="C3013" i="1"/>
  <c r="S3013" i="1"/>
  <c r="T3013" i="1"/>
  <c r="U3013" i="1"/>
  <c r="BE3013" i="1"/>
  <c r="CC3013" i="1"/>
  <c r="CD3013" i="1"/>
  <c r="A3014" i="1"/>
  <c r="C3014" i="1"/>
  <c r="S3014" i="1"/>
  <c r="T3014" i="1"/>
  <c r="U3014" i="1"/>
  <c r="BE3014" i="1"/>
  <c r="CC3014" i="1"/>
  <c r="CD3014" i="1"/>
  <c r="A3015" i="1"/>
  <c r="C3015" i="1"/>
  <c r="S3015" i="1"/>
  <c r="T3015" i="1"/>
  <c r="U3015" i="1"/>
  <c r="BE3015" i="1"/>
  <c r="CC3015" i="1"/>
  <c r="CD3015" i="1"/>
  <c r="A3016" i="1"/>
  <c r="C3016" i="1"/>
  <c r="S3016" i="1"/>
  <c r="T3016" i="1"/>
  <c r="U3016" i="1"/>
  <c r="BE3016" i="1"/>
  <c r="CC3016" i="1"/>
  <c r="CD3016" i="1"/>
  <c r="A3017" i="1"/>
  <c r="C3017" i="1"/>
  <c r="S3017" i="1"/>
  <c r="T3017" i="1"/>
  <c r="U3017" i="1"/>
  <c r="BE3017" i="1"/>
  <c r="CC3017" i="1"/>
  <c r="CD3017" i="1"/>
  <c r="A3018" i="1"/>
  <c r="C3018" i="1"/>
  <c r="S3018" i="1"/>
  <c r="T3018" i="1"/>
  <c r="U3018" i="1"/>
  <c r="BE3018" i="1"/>
  <c r="CC3018" i="1"/>
  <c r="CD3018" i="1"/>
  <c r="A3019" i="1"/>
  <c r="C3019" i="1"/>
  <c r="S3019" i="1"/>
  <c r="T3019" i="1"/>
  <c r="U3019" i="1"/>
  <c r="BE3019" i="1"/>
  <c r="CC3019" i="1"/>
  <c r="CD3019" i="1"/>
  <c r="A3020" i="1"/>
  <c r="C3020" i="1"/>
  <c r="S3020" i="1"/>
  <c r="T3020" i="1"/>
  <c r="U3020" i="1"/>
  <c r="BE3020" i="1"/>
  <c r="CC3020" i="1"/>
  <c r="CD3020" i="1"/>
  <c r="A3021" i="1"/>
  <c r="C3021" i="1"/>
  <c r="S3021" i="1"/>
  <c r="T3021" i="1"/>
  <c r="U3021" i="1"/>
  <c r="BE3021" i="1"/>
  <c r="CC3021" i="1"/>
  <c r="CD3021" i="1"/>
  <c r="A3022" i="1"/>
  <c r="C3022" i="1"/>
  <c r="S3022" i="1"/>
  <c r="T3022" i="1"/>
  <c r="U3022" i="1"/>
  <c r="BE3022" i="1"/>
  <c r="CC3022" i="1"/>
  <c r="CD3022" i="1"/>
  <c r="A3023" i="1"/>
  <c r="C3023" i="1"/>
  <c r="S3023" i="1"/>
  <c r="T3023" i="1"/>
  <c r="U3023" i="1"/>
  <c r="BE3023" i="1"/>
  <c r="CC3023" i="1"/>
  <c r="CD3023" i="1"/>
  <c r="A3024" i="1"/>
  <c r="C3024" i="1"/>
  <c r="S3024" i="1"/>
  <c r="T3024" i="1"/>
  <c r="U3024" i="1"/>
  <c r="BE3024" i="1"/>
  <c r="CC3024" i="1"/>
  <c r="CD3024" i="1"/>
  <c r="A3025" i="1"/>
  <c r="C3025" i="1"/>
  <c r="S3025" i="1"/>
  <c r="T3025" i="1"/>
  <c r="U3025" i="1"/>
  <c r="BE3025" i="1"/>
  <c r="CC3025" i="1"/>
  <c r="CD3025" i="1"/>
  <c r="A3026" i="1"/>
  <c r="C3026" i="1"/>
  <c r="S3026" i="1"/>
  <c r="T3026" i="1"/>
  <c r="U3026" i="1"/>
  <c r="BE3026" i="1"/>
  <c r="CC3026" i="1"/>
  <c r="CD3026" i="1"/>
  <c r="A3027" i="1"/>
  <c r="C3027" i="1"/>
  <c r="S3027" i="1"/>
  <c r="T3027" i="1"/>
  <c r="U3027" i="1"/>
  <c r="BE3027" i="1"/>
  <c r="CC3027" i="1"/>
  <c r="CD3027" i="1"/>
  <c r="A3028" i="1"/>
  <c r="C3028" i="1"/>
  <c r="S3028" i="1"/>
  <c r="T3028" i="1"/>
  <c r="U3028" i="1"/>
  <c r="BE3028" i="1"/>
  <c r="CC3028" i="1"/>
  <c r="CD3028" i="1"/>
  <c r="A3029" i="1"/>
  <c r="C3029" i="1"/>
  <c r="S3029" i="1"/>
  <c r="T3029" i="1"/>
  <c r="U3029" i="1"/>
  <c r="BE3029" i="1"/>
  <c r="CC3029" i="1"/>
  <c r="CD3029" i="1"/>
  <c r="A3030" i="1"/>
  <c r="C3030" i="1"/>
  <c r="S3030" i="1"/>
  <c r="T3030" i="1"/>
  <c r="U3030" i="1"/>
  <c r="BE3030" i="1"/>
  <c r="CC3030" i="1"/>
  <c r="CD3030" i="1"/>
  <c r="A3031" i="1"/>
  <c r="C3031" i="1"/>
  <c r="S3031" i="1"/>
  <c r="T3031" i="1"/>
  <c r="U3031" i="1"/>
  <c r="BE3031" i="1"/>
  <c r="CC3031" i="1"/>
  <c r="CD3031" i="1"/>
  <c r="A3032" i="1"/>
  <c r="C3032" i="1"/>
  <c r="S3032" i="1"/>
  <c r="T3032" i="1"/>
  <c r="U3032" i="1"/>
  <c r="BE3032" i="1"/>
  <c r="CC3032" i="1"/>
  <c r="CD3032" i="1"/>
  <c r="A3033" i="1"/>
  <c r="C3033" i="1"/>
  <c r="S3033" i="1"/>
  <c r="T3033" i="1"/>
  <c r="U3033" i="1"/>
  <c r="BE3033" i="1"/>
  <c r="CC3033" i="1"/>
  <c r="CD3033" i="1"/>
  <c r="A3034" i="1"/>
  <c r="C3034" i="1"/>
  <c r="S3034" i="1"/>
  <c r="T3034" i="1"/>
  <c r="U3034" i="1"/>
  <c r="BE3034" i="1"/>
  <c r="CC3034" i="1"/>
  <c r="CD3034" i="1"/>
  <c r="A3035" i="1"/>
  <c r="C3035" i="1"/>
  <c r="S3035" i="1"/>
  <c r="T3035" i="1"/>
  <c r="U3035" i="1"/>
  <c r="BE3035" i="1"/>
  <c r="CC3035" i="1"/>
  <c r="CD3035" i="1"/>
  <c r="A3036" i="1"/>
  <c r="C3036" i="1"/>
  <c r="S3036" i="1"/>
  <c r="T3036" i="1"/>
  <c r="U3036" i="1"/>
  <c r="BE3036" i="1"/>
  <c r="CC3036" i="1"/>
  <c r="CD3036" i="1"/>
  <c r="A3037" i="1"/>
  <c r="C3037" i="1"/>
  <c r="S3037" i="1"/>
  <c r="T3037" i="1"/>
  <c r="U3037" i="1"/>
  <c r="BE3037" i="1"/>
  <c r="CC3037" i="1"/>
  <c r="CD3037" i="1"/>
  <c r="A3038" i="1"/>
  <c r="C3038" i="1"/>
  <c r="S3038" i="1"/>
  <c r="T3038" i="1"/>
  <c r="U3038" i="1"/>
  <c r="BE3038" i="1"/>
  <c r="CC3038" i="1"/>
  <c r="CD3038" i="1"/>
  <c r="A3039" i="1"/>
  <c r="C3039" i="1"/>
  <c r="S3039" i="1"/>
  <c r="T3039" i="1"/>
  <c r="U3039" i="1"/>
  <c r="BE3039" i="1"/>
  <c r="CC3039" i="1"/>
  <c r="CD3039" i="1"/>
  <c r="A3040" i="1"/>
  <c r="C3040" i="1"/>
  <c r="S3040" i="1"/>
  <c r="T3040" i="1"/>
  <c r="U3040" i="1"/>
  <c r="BE3040" i="1"/>
  <c r="CC3040" i="1"/>
  <c r="CD3040" i="1"/>
  <c r="A3041" i="1"/>
  <c r="C3041" i="1"/>
  <c r="S3041" i="1"/>
  <c r="T3041" i="1"/>
  <c r="U3041" i="1"/>
  <c r="BE3041" i="1"/>
  <c r="CC3041" i="1"/>
  <c r="CD3041" i="1"/>
  <c r="A3042" i="1"/>
  <c r="C3042" i="1"/>
  <c r="S3042" i="1"/>
  <c r="T3042" i="1"/>
  <c r="U3042" i="1"/>
  <c r="BE3042" i="1"/>
  <c r="CC3042" i="1"/>
  <c r="CD3042" i="1"/>
  <c r="A3043" i="1"/>
  <c r="C3043" i="1"/>
  <c r="S3043" i="1"/>
  <c r="T3043" i="1"/>
  <c r="U3043" i="1"/>
  <c r="BE3043" i="1"/>
  <c r="CC3043" i="1"/>
  <c r="CD3043" i="1"/>
  <c r="A3044" i="1"/>
  <c r="C3044" i="1"/>
  <c r="S3044" i="1"/>
  <c r="T3044" i="1"/>
  <c r="U3044" i="1"/>
  <c r="BE3044" i="1"/>
  <c r="CC3044" i="1"/>
  <c r="CD3044" i="1"/>
  <c r="A3045" i="1"/>
  <c r="C3045" i="1"/>
  <c r="S3045" i="1"/>
  <c r="T3045" i="1"/>
  <c r="U3045" i="1"/>
  <c r="BE3045" i="1"/>
  <c r="CC3045" i="1"/>
  <c r="CD3045" i="1"/>
  <c r="A3046" i="1"/>
  <c r="C3046" i="1"/>
  <c r="S3046" i="1"/>
  <c r="T3046" i="1"/>
  <c r="U3046" i="1"/>
  <c r="BE3046" i="1"/>
  <c r="CC3046" i="1"/>
  <c r="CD3046" i="1"/>
  <c r="A3047" i="1"/>
  <c r="C3047" i="1"/>
  <c r="S3047" i="1"/>
  <c r="T3047" i="1"/>
  <c r="U3047" i="1"/>
  <c r="BE3047" i="1"/>
  <c r="CC3047" i="1"/>
  <c r="CD3047" i="1"/>
  <c r="A3048" i="1"/>
  <c r="C3048" i="1"/>
  <c r="S3048" i="1"/>
  <c r="T3048" i="1"/>
  <c r="U3048" i="1"/>
  <c r="BE3048" i="1"/>
  <c r="CC3048" i="1"/>
  <c r="CD3048" i="1"/>
  <c r="A3049" i="1"/>
  <c r="C3049" i="1"/>
  <c r="S3049" i="1"/>
  <c r="T3049" i="1"/>
  <c r="U3049" i="1"/>
  <c r="BE3049" i="1"/>
  <c r="CC3049" i="1"/>
  <c r="CD3049" i="1"/>
  <c r="A3050" i="1"/>
  <c r="C3050" i="1"/>
  <c r="S3050" i="1"/>
  <c r="T3050" i="1"/>
  <c r="U3050" i="1"/>
  <c r="BE3050" i="1"/>
  <c r="CC3050" i="1"/>
  <c r="CD3050" i="1"/>
  <c r="A3051" i="1"/>
  <c r="C3051" i="1"/>
  <c r="S3051" i="1"/>
  <c r="T3051" i="1"/>
  <c r="U3051" i="1"/>
  <c r="BE3051" i="1"/>
  <c r="CC3051" i="1"/>
  <c r="CD3051" i="1"/>
  <c r="A3052" i="1"/>
  <c r="C3052" i="1"/>
  <c r="S3052" i="1"/>
  <c r="T3052" i="1"/>
  <c r="U3052" i="1"/>
  <c r="BE3052" i="1"/>
  <c r="CC3052" i="1"/>
  <c r="CD3052" i="1"/>
  <c r="A3053" i="1"/>
  <c r="C3053" i="1"/>
  <c r="S3053" i="1"/>
  <c r="T3053" i="1"/>
  <c r="U3053" i="1"/>
  <c r="BE3053" i="1"/>
  <c r="CC3053" i="1"/>
  <c r="CD3053" i="1"/>
  <c r="A3054" i="1"/>
  <c r="C3054" i="1"/>
  <c r="S3054" i="1"/>
  <c r="T3054" i="1"/>
  <c r="U3054" i="1"/>
  <c r="BE3054" i="1"/>
  <c r="CC3054" i="1"/>
  <c r="CD3054" i="1"/>
  <c r="A3055" i="1"/>
  <c r="C3055" i="1"/>
  <c r="S3055" i="1"/>
  <c r="T3055" i="1"/>
  <c r="U3055" i="1"/>
  <c r="BE3055" i="1"/>
  <c r="CC3055" i="1"/>
  <c r="CD3055" i="1"/>
  <c r="A3056" i="1"/>
  <c r="C3056" i="1"/>
  <c r="S3056" i="1"/>
  <c r="T3056" i="1"/>
  <c r="U3056" i="1"/>
  <c r="BE3056" i="1"/>
  <c r="CC3056" i="1"/>
  <c r="CD3056" i="1"/>
  <c r="A3057" i="1"/>
  <c r="C3057" i="1"/>
  <c r="S3057" i="1"/>
  <c r="T3057" i="1"/>
  <c r="U3057" i="1"/>
  <c r="BE3057" i="1"/>
  <c r="CC3057" i="1"/>
  <c r="CD3057" i="1"/>
  <c r="A3058" i="1"/>
  <c r="C3058" i="1"/>
  <c r="S3058" i="1"/>
  <c r="T3058" i="1"/>
  <c r="U3058" i="1"/>
  <c r="BE3058" i="1"/>
  <c r="CC3058" i="1"/>
  <c r="CD3058" i="1"/>
  <c r="A3059" i="1"/>
  <c r="C3059" i="1"/>
  <c r="S3059" i="1"/>
  <c r="T3059" i="1"/>
  <c r="U3059" i="1"/>
  <c r="BE3059" i="1"/>
  <c r="CC3059" i="1"/>
  <c r="CD3059" i="1"/>
  <c r="A3060" i="1"/>
  <c r="C3060" i="1"/>
  <c r="S3060" i="1"/>
  <c r="T3060" i="1"/>
  <c r="U3060" i="1"/>
  <c r="BE3060" i="1"/>
  <c r="CC3060" i="1"/>
  <c r="CD3060" i="1"/>
  <c r="A3061" i="1"/>
  <c r="C3061" i="1"/>
  <c r="S3061" i="1"/>
  <c r="T3061" i="1"/>
  <c r="U3061" i="1"/>
  <c r="BE3061" i="1"/>
  <c r="CC3061" i="1"/>
  <c r="CD3061" i="1"/>
  <c r="A3062" i="1"/>
  <c r="C3062" i="1"/>
  <c r="S3062" i="1"/>
  <c r="T3062" i="1"/>
  <c r="U3062" i="1"/>
  <c r="BE3062" i="1"/>
  <c r="CC3062" i="1"/>
  <c r="CD3062" i="1"/>
  <c r="A3063" i="1"/>
  <c r="C3063" i="1"/>
  <c r="S3063" i="1"/>
  <c r="T3063" i="1"/>
  <c r="U3063" i="1"/>
  <c r="BE3063" i="1"/>
  <c r="CC3063" i="1"/>
  <c r="CD3063" i="1"/>
  <c r="A3064" i="1"/>
  <c r="C3064" i="1"/>
  <c r="S3064" i="1"/>
  <c r="T3064" i="1"/>
  <c r="U3064" i="1"/>
  <c r="BE3064" i="1"/>
  <c r="CC3064" i="1"/>
  <c r="CD3064" i="1"/>
  <c r="A3065" i="1"/>
  <c r="C3065" i="1"/>
  <c r="S3065" i="1"/>
  <c r="T3065" i="1"/>
  <c r="U3065" i="1"/>
  <c r="BE3065" i="1"/>
  <c r="CC3065" i="1"/>
  <c r="CD3065" i="1"/>
  <c r="A3066" i="1"/>
  <c r="C3066" i="1"/>
  <c r="S3066" i="1"/>
  <c r="T3066" i="1"/>
  <c r="U3066" i="1"/>
  <c r="BE3066" i="1"/>
  <c r="CC3066" i="1"/>
  <c r="CD3066" i="1"/>
  <c r="A3067" i="1"/>
  <c r="C3067" i="1"/>
  <c r="S3067" i="1"/>
  <c r="T3067" i="1"/>
  <c r="U3067" i="1"/>
  <c r="BE3067" i="1"/>
  <c r="CC3067" i="1"/>
  <c r="CD3067" i="1"/>
  <c r="A3068" i="1"/>
  <c r="C3068" i="1"/>
  <c r="S3068" i="1"/>
  <c r="T3068" i="1"/>
  <c r="U3068" i="1"/>
  <c r="BE3068" i="1"/>
  <c r="CC3068" i="1"/>
  <c r="CD3068" i="1"/>
  <c r="A3069" i="1"/>
  <c r="C3069" i="1"/>
  <c r="S3069" i="1"/>
  <c r="T3069" i="1"/>
  <c r="U3069" i="1"/>
  <c r="BE3069" i="1"/>
  <c r="CC3069" i="1"/>
  <c r="CD3069" i="1"/>
  <c r="A3070" i="1"/>
  <c r="C3070" i="1"/>
  <c r="S3070" i="1"/>
  <c r="T3070" i="1"/>
  <c r="U3070" i="1"/>
  <c r="BE3070" i="1"/>
  <c r="CC3070" i="1"/>
  <c r="CD3070" i="1"/>
  <c r="A3071" i="1"/>
  <c r="C3071" i="1"/>
  <c r="S3071" i="1"/>
  <c r="T3071" i="1"/>
  <c r="U3071" i="1"/>
  <c r="BE3071" i="1"/>
  <c r="CC3071" i="1"/>
  <c r="CD3071" i="1"/>
  <c r="A3072" i="1"/>
  <c r="C3072" i="1"/>
  <c r="S3072" i="1"/>
  <c r="T3072" i="1"/>
  <c r="U3072" i="1"/>
  <c r="BE3072" i="1"/>
  <c r="CC3072" i="1"/>
  <c r="CD3072" i="1"/>
  <c r="A3073" i="1"/>
  <c r="C3073" i="1"/>
  <c r="S3073" i="1"/>
  <c r="T3073" i="1"/>
  <c r="U3073" i="1"/>
  <c r="BE3073" i="1"/>
  <c r="CC3073" i="1"/>
  <c r="CD3073" i="1"/>
  <c r="A3074" i="1"/>
  <c r="C3074" i="1"/>
  <c r="S3074" i="1"/>
  <c r="T3074" i="1"/>
  <c r="U3074" i="1"/>
  <c r="BE3074" i="1"/>
  <c r="CC3074" i="1"/>
  <c r="CD3074" i="1"/>
  <c r="A3075" i="1"/>
  <c r="C3075" i="1"/>
  <c r="S3075" i="1"/>
  <c r="T3075" i="1"/>
  <c r="U3075" i="1"/>
  <c r="BE3075" i="1"/>
  <c r="CC3075" i="1"/>
  <c r="CD3075" i="1"/>
  <c r="A3076" i="1"/>
  <c r="C3076" i="1"/>
  <c r="S3076" i="1"/>
  <c r="T3076" i="1"/>
  <c r="U3076" i="1"/>
  <c r="BE3076" i="1"/>
  <c r="CC3076" i="1"/>
  <c r="CD3076" i="1"/>
  <c r="A3077" i="1"/>
  <c r="C3077" i="1"/>
  <c r="S3077" i="1"/>
  <c r="T3077" i="1"/>
  <c r="U3077" i="1"/>
  <c r="BE3077" i="1"/>
  <c r="CC3077" i="1"/>
  <c r="CD3077" i="1"/>
  <c r="A3078" i="1"/>
  <c r="C3078" i="1"/>
  <c r="S3078" i="1"/>
  <c r="T3078" i="1"/>
  <c r="U3078" i="1"/>
  <c r="BE3078" i="1"/>
  <c r="CC3078" i="1"/>
  <c r="CD3078" i="1"/>
  <c r="A3079" i="1"/>
  <c r="C3079" i="1"/>
  <c r="S3079" i="1"/>
  <c r="T3079" i="1"/>
  <c r="U3079" i="1"/>
  <c r="BE3079" i="1"/>
  <c r="CC3079" i="1"/>
  <c r="CD3079" i="1"/>
  <c r="A3080" i="1"/>
  <c r="C3080" i="1"/>
  <c r="S3080" i="1"/>
  <c r="T3080" i="1"/>
  <c r="U3080" i="1"/>
  <c r="BE3080" i="1"/>
  <c r="CC3080" i="1"/>
  <c r="CD3080" i="1"/>
  <c r="A3081" i="1"/>
  <c r="C3081" i="1"/>
  <c r="S3081" i="1"/>
  <c r="T3081" i="1"/>
  <c r="U3081" i="1"/>
  <c r="BE3081" i="1"/>
  <c r="CC3081" i="1"/>
  <c r="CD3081" i="1"/>
  <c r="A3082" i="1"/>
  <c r="C3082" i="1"/>
  <c r="S3082" i="1"/>
  <c r="T3082" i="1"/>
  <c r="U3082" i="1"/>
  <c r="BE3082" i="1"/>
  <c r="CC3082" i="1"/>
  <c r="CD3082" i="1"/>
  <c r="A3083" i="1"/>
  <c r="C3083" i="1"/>
  <c r="S3083" i="1"/>
  <c r="T3083" i="1"/>
  <c r="U3083" i="1"/>
  <c r="BE3083" i="1"/>
  <c r="CC3083" i="1"/>
  <c r="CD3083" i="1"/>
  <c r="A3084" i="1"/>
  <c r="C3084" i="1"/>
  <c r="S3084" i="1"/>
  <c r="T3084" i="1"/>
  <c r="U3084" i="1"/>
  <c r="BE3084" i="1"/>
  <c r="CC3084" i="1"/>
  <c r="CD3084" i="1"/>
  <c r="A3085" i="1"/>
  <c r="C3085" i="1"/>
  <c r="S3085" i="1"/>
  <c r="T3085" i="1"/>
  <c r="U3085" i="1"/>
  <c r="BE3085" i="1"/>
  <c r="CC3085" i="1"/>
  <c r="CD3085" i="1"/>
  <c r="A3086" i="1"/>
  <c r="C3086" i="1"/>
  <c r="S3086" i="1"/>
  <c r="T3086" i="1"/>
  <c r="U3086" i="1"/>
  <c r="BE3086" i="1"/>
  <c r="CC3086" i="1"/>
  <c r="CD3086" i="1"/>
  <c r="A3087" i="1"/>
  <c r="C3087" i="1"/>
  <c r="S3087" i="1"/>
  <c r="T3087" i="1"/>
  <c r="U3087" i="1"/>
  <c r="BE3087" i="1"/>
  <c r="CC3087" i="1"/>
  <c r="CD3087" i="1"/>
  <c r="A3088" i="1"/>
  <c r="C3088" i="1"/>
  <c r="S3088" i="1"/>
  <c r="T3088" i="1"/>
  <c r="U3088" i="1"/>
  <c r="BE3088" i="1"/>
  <c r="CC3088" i="1"/>
  <c r="CD3088" i="1"/>
  <c r="A3089" i="1"/>
  <c r="C3089" i="1"/>
  <c r="S3089" i="1"/>
  <c r="T3089" i="1"/>
  <c r="U3089" i="1"/>
  <c r="BE3089" i="1"/>
  <c r="CC3089" i="1"/>
  <c r="CD3089" i="1"/>
  <c r="A3090" i="1"/>
  <c r="C3090" i="1"/>
  <c r="S3090" i="1"/>
  <c r="T3090" i="1"/>
  <c r="U3090" i="1"/>
  <c r="BE3090" i="1"/>
  <c r="CC3090" i="1"/>
  <c r="CD3090" i="1"/>
  <c r="A3091" i="1"/>
  <c r="C3091" i="1"/>
  <c r="S3091" i="1"/>
  <c r="T3091" i="1"/>
  <c r="U3091" i="1"/>
  <c r="BE3091" i="1"/>
  <c r="CC3091" i="1"/>
  <c r="CD3091" i="1"/>
  <c r="A3092" i="1"/>
  <c r="C3092" i="1"/>
  <c r="S3092" i="1"/>
  <c r="T3092" i="1"/>
  <c r="U3092" i="1"/>
  <c r="BE3092" i="1"/>
  <c r="CC3092" i="1"/>
  <c r="CD3092" i="1"/>
  <c r="A3093" i="1"/>
  <c r="C3093" i="1"/>
  <c r="S3093" i="1"/>
  <c r="T3093" i="1"/>
  <c r="U3093" i="1"/>
  <c r="BE3093" i="1"/>
  <c r="CC3093" i="1"/>
  <c r="CD3093" i="1"/>
  <c r="A3094" i="1"/>
  <c r="C3094" i="1"/>
  <c r="S3094" i="1"/>
  <c r="T3094" i="1"/>
  <c r="U3094" i="1"/>
  <c r="BE3094" i="1"/>
  <c r="CC3094" i="1"/>
  <c r="CD3094" i="1"/>
  <c r="A3095" i="1"/>
  <c r="C3095" i="1"/>
  <c r="S3095" i="1"/>
  <c r="T3095" i="1"/>
  <c r="U3095" i="1"/>
  <c r="BE3095" i="1"/>
  <c r="CC3095" i="1"/>
  <c r="CD3095" i="1"/>
  <c r="A3096" i="1"/>
  <c r="C3096" i="1"/>
  <c r="S3096" i="1"/>
  <c r="T3096" i="1"/>
  <c r="U3096" i="1"/>
  <c r="BE3096" i="1"/>
  <c r="CC3096" i="1"/>
  <c r="CD3096" i="1"/>
  <c r="A3097" i="1"/>
  <c r="C3097" i="1"/>
  <c r="S3097" i="1"/>
  <c r="T3097" i="1"/>
  <c r="U3097" i="1"/>
  <c r="BE3097" i="1"/>
  <c r="CC3097" i="1"/>
  <c r="CD3097" i="1"/>
  <c r="A3098" i="1"/>
  <c r="C3098" i="1"/>
  <c r="S3098" i="1"/>
  <c r="T3098" i="1"/>
  <c r="U3098" i="1"/>
  <c r="BE3098" i="1"/>
  <c r="CC3098" i="1"/>
  <c r="CD3098" i="1"/>
  <c r="A3099" i="1"/>
  <c r="C3099" i="1"/>
  <c r="S3099" i="1"/>
  <c r="T3099" i="1"/>
  <c r="U3099" i="1"/>
  <c r="BE3099" i="1"/>
  <c r="CC3099" i="1"/>
  <c r="CD3099" i="1"/>
  <c r="A3100" i="1"/>
  <c r="C3100" i="1"/>
  <c r="S3100" i="1"/>
  <c r="T3100" i="1"/>
  <c r="U3100" i="1"/>
  <c r="BE3100" i="1"/>
  <c r="CC3100" i="1"/>
  <c r="CD3100" i="1"/>
  <c r="A3101" i="1"/>
  <c r="C3101" i="1"/>
  <c r="S3101" i="1"/>
  <c r="T3101" i="1"/>
  <c r="U3101" i="1"/>
  <c r="BE3101" i="1"/>
  <c r="CC3101" i="1"/>
  <c r="CD3101" i="1"/>
  <c r="A3102" i="1"/>
  <c r="C3102" i="1"/>
  <c r="S3102" i="1"/>
  <c r="T3102" i="1"/>
  <c r="U3102" i="1"/>
  <c r="BE3102" i="1"/>
  <c r="CC3102" i="1"/>
  <c r="CD3102" i="1"/>
  <c r="A3103" i="1"/>
  <c r="C3103" i="1"/>
  <c r="S3103" i="1"/>
  <c r="T3103" i="1"/>
  <c r="U3103" i="1"/>
  <c r="BE3103" i="1"/>
  <c r="CC3103" i="1"/>
  <c r="CD3103" i="1"/>
  <c r="A3104" i="1"/>
  <c r="C3104" i="1"/>
  <c r="S3104" i="1"/>
  <c r="T3104" i="1"/>
  <c r="U3104" i="1"/>
  <c r="BE3104" i="1"/>
  <c r="CC3104" i="1"/>
  <c r="CD3104" i="1"/>
  <c r="A3105" i="1"/>
  <c r="C3105" i="1"/>
  <c r="S3105" i="1"/>
  <c r="T3105" i="1"/>
  <c r="U3105" i="1"/>
  <c r="BE3105" i="1"/>
  <c r="CC3105" i="1"/>
  <c r="CD3105" i="1"/>
  <c r="A3106" i="1"/>
  <c r="C3106" i="1"/>
  <c r="S3106" i="1"/>
  <c r="T3106" i="1"/>
  <c r="U3106" i="1"/>
  <c r="BE3106" i="1"/>
  <c r="CC3106" i="1"/>
  <c r="CD3106" i="1"/>
  <c r="A3107" i="1"/>
  <c r="C3107" i="1"/>
  <c r="S3107" i="1"/>
  <c r="T3107" i="1"/>
  <c r="U3107" i="1"/>
  <c r="BE3107" i="1"/>
  <c r="CC3107" i="1"/>
  <c r="CD3107" i="1"/>
  <c r="A3108" i="1"/>
  <c r="C3108" i="1"/>
  <c r="S3108" i="1"/>
  <c r="T3108" i="1"/>
  <c r="U3108" i="1"/>
  <c r="BE3108" i="1"/>
  <c r="CC3108" i="1"/>
  <c r="CD3108" i="1"/>
  <c r="A3109" i="1"/>
  <c r="C3109" i="1"/>
  <c r="S3109" i="1"/>
  <c r="T3109" i="1"/>
  <c r="U3109" i="1"/>
  <c r="BE3109" i="1"/>
  <c r="CC3109" i="1"/>
  <c r="CD3109" i="1"/>
  <c r="A3110" i="1"/>
  <c r="C3110" i="1"/>
  <c r="S3110" i="1"/>
  <c r="T3110" i="1"/>
  <c r="U3110" i="1"/>
  <c r="BE3110" i="1"/>
  <c r="CC3110" i="1"/>
  <c r="CD3110" i="1"/>
  <c r="A3111" i="1"/>
  <c r="C3111" i="1"/>
  <c r="S3111" i="1"/>
  <c r="T3111" i="1"/>
  <c r="U3111" i="1"/>
  <c r="BE3111" i="1"/>
  <c r="CC3111" i="1"/>
  <c r="CD3111" i="1"/>
  <c r="A3112" i="1"/>
  <c r="C3112" i="1"/>
  <c r="S3112" i="1"/>
  <c r="T3112" i="1"/>
  <c r="U3112" i="1"/>
  <c r="BE3112" i="1"/>
  <c r="CC3112" i="1"/>
  <c r="CD3112" i="1"/>
  <c r="A3113" i="1"/>
  <c r="C3113" i="1"/>
  <c r="S3113" i="1"/>
  <c r="T3113" i="1"/>
  <c r="U3113" i="1"/>
  <c r="BE3113" i="1"/>
  <c r="CC3113" i="1"/>
  <c r="CD3113" i="1"/>
  <c r="A3114" i="1"/>
  <c r="C3114" i="1"/>
  <c r="S3114" i="1"/>
  <c r="T3114" i="1"/>
  <c r="U3114" i="1"/>
  <c r="BE3114" i="1"/>
  <c r="CC3114" i="1"/>
  <c r="CD3114" i="1"/>
  <c r="A3115" i="1"/>
  <c r="C3115" i="1"/>
  <c r="S3115" i="1"/>
  <c r="T3115" i="1"/>
  <c r="U3115" i="1"/>
  <c r="BE3115" i="1"/>
  <c r="CC3115" i="1"/>
  <c r="CD3115" i="1"/>
  <c r="A3116" i="1"/>
  <c r="C3116" i="1"/>
  <c r="S3116" i="1"/>
  <c r="T3116" i="1"/>
  <c r="U3116" i="1"/>
  <c r="BE3116" i="1"/>
  <c r="CC3116" i="1"/>
  <c r="CD3116" i="1"/>
  <c r="A3117" i="1"/>
  <c r="C3117" i="1"/>
  <c r="S3117" i="1"/>
  <c r="T3117" i="1"/>
  <c r="U3117" i="1"/>
  <c r="BE3117" i="1"/>
  <c r="CC3117" i="1"/>
  <c r="CD3117" i="1"/>
  <c r="A3118" i="1"/>
  <c r="C3118" i="1"/>
  <c r="S3118" i="1"/>
  <c r="T3118" i="1"/>
  <c r="U3118" i="1"/>
  <c r="BE3118" i="1"/>
  <c r="CC3118" i="1"/>
  <c r="CD3118" i="1"/>
  <c r="A3119" i="1"/>
  <c r="C3119" i="1"/>
  <c r="S3119" i="1"/>
  <c r="T3119" i="1"/>
  <c r="U3119" i="1"/>
  <c r="BE3119" i="1"/>
  <c r="CC3119" i="1"/>
  <c r="CD3119" i="1"/>
  <c r="A3120" i="1"/>
  <c r="C3120" i="1"/>
  <c r="S3120" i="1"/>
  <c r="T3120" i="1"/>
  <c r="U3120" i="1"/>
  <c r="BE3120" i="1"/>
  <c r="CC3120" i="1"/>
  <c r="CD3120" i="1"/>
  <c r="A3121" i="1"/>
  <c r="C3121" i="1"/>
  <c r="S3121" i="1"/>
  <c r="T3121" i="1"/>
  <c r="U3121" i="1"/>
  <c r="BE3121" i="1"/>
  <c r="CC3121" i="1"/>
  <c r="CD3121" i="1"/>
  <c r="A3122" i="1"/>
  <c r="C3122" i="1"/>
  <c r="S3122" i="1"/>
  <c r="T3122" i="1"/>
  <c r="U3122" i="1"/>
  <c r="BE3122" i="1"/>
  <c r="CC3122" i="1"/>
  <c r="CD3122" i="1"/>
  <c r="A3123" i="1"/>
  <c r="C3123" i="1"/>
  <c r="S3123" i="1"/>
  <c r="T3123" i="1"/>
  <c r="U3123" i="1"/>
  <c r="BE3123" i="1"/>
  <c r="CC3123" i="1"/>
  <c r="CD3123" i="1"/>
  <c r="A3124" i="1"/>
  <c r="C3124" i="1"/>
  <c r="S3124" i="1"/>
  <c r="T3124" i="1"/>
  <c r="U3124" i="1"/>
  <c r="BE3124" i="1"/>
  <c r="CC3124" i="1"/>
  <c r="CD3124" i="1"/>
  <c r="A3125" i="1"/>
  <c r="C3125" i="1"/>
  <c r="S3125" i="1"/>
  <c r="T3125" i="1"/>
  <c r="U3125" i="1"/>
  <c r="BE3125" i="1"/>
  <c r="CC3125" i="1"/>
  <c r="CD3125" i="1"/>
  <c r="A3126" i="1"/>
  <c r="C3126" i="1"/>
  <c r="S3126" i="1"/>
  <c r="T3126" i="1"/>
  <c r="U3126" i="1"/>
  <c r="BE3126" i="1"/>
  <c r="CC3126" i="1"/>
  <c r="CD3126" i="1"/>
  <c r="A3127" i="1"/>
  <c r="C3127" i="1"/>
  <c r="S3127" i="1"/>
  <c r="T3127" i="1"/>
  <c r="U3127" i="1"/>
  <c r="BE3127" i="1"/>
  <c r="CC3127" i="1"/>
  <c r="CD3127" i="1"/>
  <c r="A3128" i="1"/>
  <c r="C3128" i="1"/>
  <c r="S3128" i="1"/>
  <c r="T3128" i="1"/>
  <c r="U3128" i="1"/>
  <c r="BE3128" i="1"/>
  <c r="CC3128" i="1"/>
  <c r="CD3128" i="1"/>
  <c r="A3129" i="1"/>
  <c r="C3129" i="1"/>
  <c r="S3129" i="1"/>
  <c r="T3129" i="1"/>
  <c r="U3129" i="1"/>
  <c r="BE3129" i="1"/>
  <c r="CC3129" i="1"/>
  <c r="CD3129" i="1"/>
  <c r="A3130" i="1"/>
  <c r="C3130" i="1"/>
  <c r="S3130" i="1"/>
  <c r="T3130" i="1"/>
  <c r="U3130" i="1"/>
  <c r="BE3130" i="1"/>
  <c r="CC3130" i="1"/>
  <c r="CD3130" i="1"/>
  <c r="A3131" i="1"/>
  <c r="C3131" i="1"/>
  <c r="S3131" i="1"/>
  <c r="T3131" i="1"/>
  <c r="U3131" i="1"/>
  <c r="BE3131" i="1"/>
  <c r="CC3131" i="1"/>
  <c r="CD3131" i="1"/>
  <c r="A3132" i="1"/>
  <c r="C3132" i="1"/>
  <c r="S3132" i="1"/>
  <c r="T3132" i="1"/>
  <c r="U3132" i="1"/>
  <c r="BE3132" i="1"/>
  <c r="CC3132" i="1"/>
  <c r="CD3132" i="1"/>
  <c r="A3133" i="1"/>
  <c r="C3133" i="1"/>
  <c r="S3133" i="1"/>
  <c r="T3133" i="1"/>
  <c r="U3133" i="1"/>
  <c r="BE3133" i="1"/>
  <c r="CC3133" i="1"/>
  <c r="CD3133" i="1"/>
  <c r="A3134" i="1"/>
  <c r="C3134" i="1"/>
  <c r="S3134" i="1"/>
  <c r="T3134" i="1"/>
  <c r="U3134" i="1"/>
  <c r="BE3134" i="1"/>
  <c r="CC3134" i="1"/>
  <c r="CD3134" i="1"/>
  <c r="A3135" i="1"/>
  <c r="C3135" i="1"/>
  <c r="S3135" i="1"/>
  <c r="T3135" i="1"/>
  <c r="U3135" i="1"/>
  <c r="BE3135" i="1"/>
  <c r="CC3135" i="1"/>
  <c r="CD3135" i="1"/>
  <c r="A3136" i="1"/>
  <c r="C3136" i="1"/>
  <c r="S3136" i="1"/>
  <c r="T3136" i="1"/>
  <c r="U3136" i="1"/>
  <c r="BE3136" i="1"/>
  <c r="CC3136" i="1"/>
  <c r="CD3136" i="1"/>
  <c r="A3137" i="1"/>
  <c r="C3137" i="1"/>
  <c r="S3137" i="1"/>
  <c r="T3137" i="1"/>
  <c r="U3137" i="1"/>
  <c r="BE3137" i="1"/>
  <c r="CC3137" i="1"/>
  <c r="CD3137" i="1"/>
  <c r="A3138" i="1"/>
  <c r="C3138" i="1"/>
  <c r="S3138" i="1"/>
  <c r="T3138" i="1"/>
  <c r="U3138" i="1"/>
  <c r="BE3138" i="1"/>
  <c r="CC3138" i="1"/>
  <c r="CD3138" i="1"/>
  <c r="A3139" i="1"/>
  <c r="C3139" i="1"/>
  <c r="S3139" i="1"/>
  <c r="T3139" i="1"/>
  <c r="U3139" i="1"/>
  <c r="BE3139" i="1"/>
  <c r="CC3139" i="1"/>
  <c r="CD3139" i="1"/>
  <c r="A3140" i="1"/>
  <c r="C3140" i="1"/>
  <c r="S3140" i="1"/>
  <c r="T3140" i="1"/>
  <c r="U3140" i="1"/>
  <c r="BE3140" i="1"/>
  <c r="CC3140" i="1"/>
  <c r="CD3140" i="1"/>
  <c r="A3141" i="1"/>
  <c r="C3141" i="1"/>
  <c r="S3141" i="1"/>
  <c r="T3141" i="1"/>
  <c r="U3141" i="1"/>
  <c r="BE3141" i="1"/>
  <c r="CC3141" i="1"/>
  <c r="CD3141" i="1"/>
  <c r="A3142" i="1"/>
  <c r="C3142" i="1"/>
  <c r="S3142" i="1"/>
  <c r="T3142" i="1"/>
  <c r="U3142" i="1"/>
  <c r="BE3142" i="1"/>
  <c r="CC3142" i="1"/>
  <c r="CD3142" i="1"/>
  <c r="A3143" i="1"/>
  <c r="C3143" i="1"/>
  <c r="S3143" i="1"/>
  <c r="T3143" i="1"/>
  <c r="U3143" i="1"/>
  <c r="BE3143" i="1"/>
  <c r="CC3143" i="1"/>
  <c r="CD3143" i="1"/>
  <c r="A3144" i="1"/>
  <c r="C3144" i="1"/>
  <c r="S3144" i="1"/>
  <c r="T3144" i="1"/>
  <c r="U3144" i="1"/>
  <c r="BE3144" i="1"/>
  <c r="CC3144" i="1"/>
  <c r="CD3144" i="1"/>
  <c r="A3145" i="1"/>
  <c r="C3145" i="1"/>
  <c r="S3145" i="1"/>
  <c r="T3145" i="1"/>
  <c r="U3145" i="1"/>
  <c r="BE3145" i="1"/>
  <c r="CC3145" i="1"/>
  <c r="CD3145" i="1"/>
  <c r="A3146" i="1"/>
  <c r="C3146" i="1"/>
  <c r="S3146" i="1"/>
  <c r="T3146" i="1"/>
  <c r="U3146" i="1"/>
  <c r="BE3146" i="1"/>
  <c r="CC3146" i="1"/>
  <c r="CD3146" i="1"/>
  <c r="A3147" i="1"/>
  <c r="C3147" i="1"/>
  <c r="S3147" i="1"/>
  <c r="T3147" i="1"/>
  <c r="U3147" i="1"/>
  <c r="BE3147" i="1"/>
  <c r="CC3147" i="1"/>
  <c r="CD3147" i="1"/>
  <c r="A3148" i="1"/>
  <c r="C3148" i="1"/>
  <c r="S3148" i="1"/>
  <c r="T3148" i="1"/>
  <c r="U3148" i="1"/>
  <c r="BE3148" i="1"/>
  <c r="CC3148" i="1"/>
  <c r="CD3148" i="1"/>
  <c r="A3149" i="1"/>
  <c r="C3149" i="1"/>
  <c r="S3149" i="1"/>
  <c r="T3149" i="1"/>
  <c r="U3149" i="1"/>
  <c r="BE3149" i="1"/>
  <c r="CC3149" i="1"/>
  <c r="CD3149" i="1"/>
  <c r="A3150" i="1"/>
  <c r="C3150" i="1"/>
  <c r="S3150" i="1"/>
  <c r="T3150" i="1"/>
  <c r="U3150" i="1"/>
  <c r="BE3150" i="1"/>
  <c r="CC3150" i="1"/>
  <c r="CD3150" i="1"/>
  <c r="A3151" i="1"/>
  <c r="C3151" i="1"/>
  <c r="S3151" i="1"/>
  <c r="T3151" i="1"/>
  <c r="U3151" i="1"/>
  <c r="BE3151" i="1"/>
  <c r="CC3151" i="1"/>
  <c r="CD3151" i="1"/>
  <c r="A3152" i="1"/>
  <c r="C3152" i="1"/>
  <c r="S3152" i="1"/>
  <c r="T3152" i="1"/>
  <c r="U3152" i="1"/>
  <c r="BE3152" i="1"/>
  <c r="CC3152" i="1"/>
  <c r="CD3152" i="1"/>
  <c r="A3153" i="1"/>
  <c r="C3153" i="1"/>
  <c r="S3153" i="1"/>
  <c r="T3153" i="1"/>
  <c r="U3153" i="1"/>
  <c r="BE3153" i="1"/>
  <c r="CC3153" i="1"/>
  <c r="CD3153" i="1"/>
  <c r="A3154" i="1"/>
  <c r="C3154" i="1"/>
  <c r="S3154" i="1"/>
  <c r="T3154" i="1"/>
  <c r="U3154" i="1"/>
  <c r="BE3154" i="1"/>
  <c r="CC3154" i="1"/>
  <c r="CD3154" i="1"/>
  <c r="A3155" i="1"/>
  <c r="C3155" i="1"/>
  <c r="S3155" i="1"/>
  <c r="T3155" i="1"/>
  <c r="U3155" i="1"/>
  <c r="BE3155" i="1"/>
  <c r="CC3155" i="1"/>
  <c r="CD3155" i="1"/>
  <c r="A3156" i="1"/>
  <c r="C3156" i="1"/>
  <c r="S3156" i="1"/>
  <c r="T3156" i="1"/>
  <c r="U3156" i="1"/>
  <c r="BE3156" i="1"/>
  <c r="CC3156" i="1"/>
  <c r="CD3156" i="1"/>
  <c r="A3157" i="1"/>
  <c r="C3157" i="1"/>
  <c r="S3157" i="1"/>
  <c r="T3157" i="1"/>
  <c r="U3157" i="1"/>
  <c r="BE3157" i="1"/>
  <c r="CC3157" i="1"/>
  <c r="CD3157" i="1"/>
  <c r="A3158" i="1"/>
  <c r="C3158" i="1"/>
  <c r="S3158" i="1"/>
  <c r="T3158" i="1"/>
  <c r="U3158" i="1"/>
  <c r="BE3158" i="1"/>
  <c r="CC3158" i="1"/>
  <c r="CD3158" i="1"/>
  <c r="A3159" i="1"/>
  <c r="C3159" i="1"/>
  <c r="S3159" i="1"/>
  <c r="T3159" i="1"/>
  <c r="U3159" i="1"/>
  <c r="BE3159" i="1"/>
  <c r="CC3159" i="1"/>
  <c r="CD3159" i="1"/>
  <c r="A3160" i="1"/>
  <c r="C3160" i="1"/>
  <c r="S3160" i="1"/>
  <c r="T3160" i="1"/>
  <c r="U3160" i="1"/>
  <c r="BE3160" i="1"/>
  <c r="CC3160" i="1"/>
  <c r="CD3160" i="1"/>
  <c r="A3161" i="1"/>
  <c r="C3161" i="1"/>
  <c r="S3161" i="1"/>
  <c r="T3161" i="1"/>
  <c r="U3161" i="1"/>
  <c r="BE3161" i="1"/>
  <c r="CC3161" i="1"/>
  <c r="CD3161" i="1"/>
  <c r="A3162" i="1"/>
  <c r="C3162" i="1"/>
  <c r="S3162" i="1"/>
  <c r="T3162" i="1"/>
  <c r="U3162" i="1"/>
  <c r="BE3162" i="1"/>
  <c r="CC3162" i="1"/>
  <c r="CD3162" i="1"/>
  <c r="A3163" i="1"/>
  <c r="C3163" i="1"/>
  <c r="S3163" i="1"/>
  <c r="T3163" i="1"/>
  <c r="U3163" i="1"/>
  <c r="BE3163" i="1"/>
  <c r="CC3163" i="1"/>
  <c r="CD3163" i="1"/>
  <c r="A3164" i="1"/>
  <c r="C3164" i="1"/>
  <c r="S3164" i="1"/>
  <c r="T3164" i="1"/>
  <c r="U3164" i="1"/>
  <c r="BE3164" i="1"/>
  <c r="CC3164" i="1"/>
  <c r="CD3164" i="1"/>
  <c r="A3165" i="1"/>
  <c r="C3165" i="1"/>
  <c r="S3165" i="1"/>
  <c r="T3165" i="1"/>
  <c r="U3165" i="1"/>
  <c r="BE3165" i="1"/>
  <c r="CC3165" i="1"/>
  <c r="CD3165" i="1"/>
  <c r="A3166" i="1"/>
  <c r="C3166" i="1"/>
  <c r="S3166" i="1"/>
  <c r="T3166" i="1"/>
  <c r="U3166" i="1"/>
  <c r="BE3166" i="1"/>
  <c r="CC3166" i="1"/>
  <c r="CD3166" i="1"/>
  <c r="A3167" i="1"/>
  <c r="C3167" i="1"/>
  <c r="S3167" i="1"/>
  <c r="T3167" i="1"/>
  <c r="U3167" i="1"/>
  <c r="BE3167" i="1"/>
  <c r="CC3167" i="1"/>
  <c r="CD3167" i="1"/>
  <c r="A3168" i="1"/>
  <c r="C3168" i="1"/>
  <c r="S3168" i="1"/>
  <c r="T3168" i="1"/>
  <c r="U3168" i="1"/>
  <c r="BE3168" i="1"/>
  <c r="CC3168" i="1"/>
  <c r="CD3168" i="1"/>
  <c r="A3169" i="1"/>
  <c r="C3169" i="1"/>
  <c r="S3169" i="1"/>
  <c r="T3169" i="1"/>
  <c r="U3169" i="1"/>
  <c r="BE3169" i="1"/>
  <c r="CC3169" i="1"/>
  <c r="CD3169" i="1"/>
  <c r="A3170" i="1"/>
  <c r="C3170" i="1"/>
  <c r="S3170" i="1"/>
  <c r="T3170" i="1"/>
  <c r="U3170" i="1"/>
  <c r="BE3170" i="1"/>
  <c r="CC3170" i="1"/>
  <c r="CD3170" i="1"/>
  <c r="A3171" i="1"/>
  <c r="C3171" i="1"/>
  <c r="S3171" i="1"/>
  <c r="T3171" i="1"/>
  <c r="U3171" i="1"/>
  <c r="BE3171" i="1"/>
  <c r="CC3171" i="1"/>
  <c r="CD3171" i="1"/>
  <c r="A3172" i="1"/>
  <c r="C3172" i="1"/>
  <c r="S3172" i="1"/>
  <c r="T3172" i="1"/>
  <c r="U3172" i="1"/>
  <c r="BE3172" i="1"/>
  <c r="CC3172" i="1"/>
  <c r="CD3172" i="1"/>
  <c r="A3173" i="1"/>
  <c r="C3173" i="1"/>
  <c r="S3173" i="1"/>
  <c r="T3173" i="1"/>
  <c r="U3173" i="1"/>
  <c r="BE3173" i="1"/>
  <c r="CC3173" i="1"/>
  <c r="CD3173" i="1"/>
  <c r="A3174" i="1"/>
  <c r="C3174" i="1"/>
  <c r="S3174" i="1"/>
  <c r="T3174" i="1"/>
  <c r="U3174" i="1"/>
  <c r="BE3174" i="1"/>
  <c r="CC3174" i="1"/>
  <c r="CD3174" i="1"/>
  <c r="A3175" i="1"/>
  <c r="C3175" i="1"/>
  <c r="S3175" i="1"/>
  <c r="T3175" i="1"/>
  <c r="U3175" i="1"/>
  <c r="BE3175" i="1"/>
  <c r="CC3175" i="1"/>
  <c r="CD3175" i="1"/>
  <c r="A3176" i="1"/>
  <c r="C3176" i="1"/>
  <c r="S3176" i="1"/>
  <c r="T3176" i="1"/>
  <c r="U3176" i="1"/>
  <c r="BE3176" i="1"/>
  <c r="CC3176" i="1"/>
  <c r="CD3176" i="1"/>
  <c r="A3177" i="1"/>
  <c r="C3177" i="1"/>
  <c r="S3177" i="1"/>
  <c r="T3177" i="1"/>
  <c r="U3177" i="1"/>
  <c r="BE3177" i="1"/>
  <c r="CC3177" i="1"/>
  <c r="CD3177" i="1"/>
  <c r="A3178" i="1"/>
  <c r="C3178" i="1"/>
  <c r="S3178" i="1"/>
  <c r="T3178" i="1"/>
  <c r="U3178" i="1"/>
  <c r="BE3178" i="1"/>
  <c r="CC3178" i="1"/>
  <c r="CD3178" i="1"/>
  <c r="A3179" i="1"/>
  <c r="C3179" i="1"/>
  <c r="S3179" i="1"/>
  <c r="T3179" i="1"/>
  <c r="U3179" i="1"/>
  <c r="BE3179" i="1"/>
  <c r="CC3179" i="1"/>
  <c r="CD3179" i="1"/>
  <c r="A3180" i="1"/>
  <c r="C3180" i="1"/>
  <c r="S3180" i="1"/>
  <c r="T3180" i="1"/>
  <c r="U3180" i="1"/>
  <c r="BE3180" i="1"/>
  <c r="CC3180" i="1"/>
  <c r="CD3180" i="1"/>
  <c r="A3181" i="1"/>
  <c r="C3181" i="1"/>
  <c r="S3181" i="1"/>
  <c r="T3181" i="1"/>
  <c r="U3181" i="1"/>
  <c r="BE3181" i="1"/>
  <c r="CC3181" i="1"/>
  <c r="CD3181" i="1"/>
  <c r="A3182" i="1"/>
  <c r="C3182" i="1"/>
  <c r="S3182" i="1"/>
  <c r="T3182" i="1"/>
  <c r="U3182" i="1"/>
  <c r="BE3182" i="1"/>
  <c r="CC3182" i="1"/>
  <c r="CD3182" i="1"/>
  <c r="A3183" i="1"/>
  <c r="C3183" i="1"/>
  <c r="S3183" i="1"/>
  <c r="T3183" i="1"/>
  <c r="U3183" i="1"/>
  <c r="BE3183" i="1"/>
  <c r="CC3183" i="1"/>
  <c r="CD3183" i="1"/>
  <c r="A3184" i="1"/>
  <c r="C3184" i="1"/>
  <c r="S3184" i="1"/>
  <c r="T3184" i="1"/>
  <c r="U3184" i="1"/>
  <c r="BE3184" i="1"/>
  <c r="CC3184" i="1"/>
  <c r="CD3184" i="1"/>
  <c r="A3185" i="1"/>
  <c r="C3185" i="1"/>
  <c r="S3185" i="1"/>
  <c r="T3185" i="1"/>
  <c r="U3185" i="1"/>
  <c r="BE3185" i="1"/>
  <c r="CC3185" i="1"/>
  <c r="CD3185" i="1"/>
  <c r="A3186" i="1"/>
  <c r="C3186" i="1"/>
  <c r="S3186" i="1"/>
  <c r="T3186" i="1"/>
  <c r="U3186" i="1"/>
  <c r="BE3186" i="1"/>
  <c r="CC3186" i="1"/>
  <c r="CD3186" i="1"/>
  <c r="A3187" i="1"/>
  <c r="C3187" i="1"/>
  <c r="S3187" i="1"/>
  <c r="T3187" i="1"/>
  <c r="U3187" i="1"/>
  <c r="BE3187" i="1"/>
  <c r="CC3187" i="1"/>
  <c r="CD3187" i="1"/>
  <c r="A3188" i="1"/>
  <c r="C3188" i="1"/>
  <c r="S3188" i="1"/>
  <c r="T3188" i="1"/>
  <c r="U3188" i="1"/>
  <c r="BE3188" i="1"/>
  <c r="CC3188" i="1"/>
  <c r="CD3188" i="1"/>
  <c r="A3189" i="1"/>
  <c r="C3189" i="1"/>
  <c r="S3189" i="1"/>
  <c r="T3189" i="1"/>
  <c r="U3189" i="1"/>
  <c r="BE3189" i="1"/>
  <c r="CC3189" i="1"/>
  <c r="CD3189" i="1"/>
  <c r="A3190" i="1"/>
  <c r="C3190" i="1"/>
  <c r="S3190" i="1"/>
  <c r="T3190" i="1"/>
  <c r="U3190" i="1"/>
  <c r="BE3190" i="1"/>
  <c r="CC3190" i="1"/>
  <c r="CD3190" i="1"/>
  <c r="A3191" i="1"/>
  <c r="C3191" i="1"/>
  <c r="S3191" i="1"/>
  <c r="T3191" i="1"/>
  <c r="U3191" i="1"/>
  <c r="BE3191" i="1"/>
  <c r="CC3191" i="1"/>
  <c r="CD3191" i="1"/>
  <c r="A3192" i="1"/>
  <c r="C3192" i="1"/>
  <c r="S3192" i="1"/>
  <c r="T3192" i="1"/>
  <c r="U3192" i="1"/>
  <c r="BE3192" i="1"/>
  <c r="CC3192" i="1"/>
  <c r="CD3192" i="1"/>
  <c r="A3193" i="1"/>
  <c r="C3193" i="1"/>
  <c r="S3193" i="1"/>
  <c r="T3193" i="1"/>
  <c r="U3193" i="1"/>
  <c r="BE3193" i="1"/>
  <c r="CC3193" i="1"/>
  <c r="CD3193" i="1"/>
  <c r="A3194" i="1"/>
  <c r="C3194" i="1"/>
  <c r="S3194" i="1"/>
  <c r="T3194" i="1"/>
  <c r="U3194" i="1"/>
  <c r="BE3194" i="1"/>
  <c r="CC3194" i="1"/>
  <c r="CD3194" i="1"/>
  <c r="A3195" i="1"/>
  <c r="C3195" i="1"/>
  <c r="S3195" i="1"/>
  <c r="T3195" i="1"/>
  <c r="U3195" i="1"/>
  <c r="BE3195" i="1"/>
  <c r="CC3195" i="1"/>
  <c r="CD3195" i="1"/>
  <c r="A3196" i="1"/>
  <c r="C3196" i="1"/>
  <c r="S3196" i="1"/>
  <c r="T3196" i="1"/>
  <c r="U3196" i="1"/>
  <c r="BE3196" i="1"/>
  <c r="CC3196" i="1"/>
  <c r="CD3196" i="1"/>
  <c r="A3197" i="1"/>
  <c r="C3197" i="1"/>
  <c r="S3197" i="1"/>
  <c r="T3197" i="1"/>
  <c r="U3197" i="1"/>
  <c r="BE3197" i="1"/>
  <c r="CC3197" i="1"/>
  <c r="CD3197" i="1"/>
  <c r="A3198" i="1"/>
  <c r="C3198" i="1"/>
  <c r="S3198" i="1"/>
  <c r="T3198" i="1"/>
  <c r="U3198" i="1"/>
  <c r="BE3198" i="1"/>
  <c r="CC3198" i="1"/>
  <c r="CD3198" i="1"/>
  <c r="A3199" i="1"/>
  <c r="C3199" i="1"/>
  <c r="S3199" i="1"/>
  <c r="T3199" i="1"/>
  <c r="U3199" i="1"/>
  <c r="BE3199" i="1"/>
  <c r="CC3199" i="1"/>
  <c r="CD3199" i="1"/>
  <c r="A3200" i="1"/>
  <c r="C3200" i="1"/>
  <c r="S3200" i="1"/>
  <c r="T3200" i="1"/>
  <c r="U3200" i="1"/>
  <c r="BE3200" i="1"/>
  <c r="CC3200" i="1"/>
  <c r="CD3200" i="1"/>
  <c r="A3201" i="1"/>
  <c r="C3201" i="1"/>
  <c r="S3201" i="1"/>
  <c r="T3201" i="1"/>
  <c r="U3201" i="1"/>
  <c r="BE3201" i="1"/>
  <c r="CC3201" i="1"/>
  <c r="CD3201" i="1"/>
  <c r="A3202" i="1"/>
  <c r="C3202" i="1"/>
  <c r="S3202" i="1"/>
  <c r="T3202" i="1"/>
  <c r="U3202" i="1"/>
  <c r="BE3202" i="1"/>
  <c r="CC3202" i="1"/>
  <c r="CD3202" i="1"/>
  <c r="A3203" i="1"/>
  <c r="C3203" i="1"/>
  <c r="S3203" i="1"/>
  <c r="T3203" i="1"/>
  <c r="U3203" i="1"/>
  <c r="BE3203" i="1"/>
  <c r="CC3203" i="1"/>
  <c r="CD3203" i="1"/>
  <c r="A3204" i="1"/>
  <c r="C3204" i="1"/>
  <c r="S3204" i="1"/>
  <c r="T3204" i="1"/>
  <c r="U3204" i="1"/>
  <c r="BE3204" i="1"/>
  <c r="CC3204" i="1"/>
  <c r="CD3204" i="1"/>
  <c r="A3205" i="1"/>
  <c r="C3205" i="1"/>
  <c r="S3205" i="1"/>
  <c r="T3205" i="1"/>
  <c r="U3205" i="1"/>
  <c r="BE3205" i="1"/>
  <c r="CC3205" i="1"/>
  <c r="CD3205" i="1"/>
  <c r="A3206" i="1"/>
  <c r="C3206" i="1"/>
  <c r="S3206" i="1"/>
  <c r="T3206" i="1"/>
  <c r="U3206" i="1"/>
  <c r="BE3206" i="1"/>
  <c r="CC3206" i="1"/>
  <c r="CD3206" i="1"/>
  <c r="A3207" i="1"/>
  <c r="C3207" i="1"/>
  <c r="S3207" i="1"/>
  <c r="T3207" i="1"/>
  <c r="U3207" i="1"/>
  <c r="BE3207" i="1"/>
  <c r="CC3207" i="1"/>
  <c r="CD3207" i="1"/>
  <c r="A3208" i="1"/>
  <c r="C3208" i="1"/>
  <c r="S3208" i="1"/>
  <c r="T3208" i="1"/>
  <c r="U3208" i="1"/>
  <c r="BE3208" i="1"/>
  <c r="CC3208" i="1"/>
  <c r="CD3208" i="1"/>
  <c r="A3209" i="1"/>
  <c r="C3209" i="1"/>
  <c r="S3209" i="1"/>
  <c r="T3209" i="1"/>
  <c r="U3209" i="1"/>
  <c r="BE3209" i="1"/>
  <c r="CC3209" i="1"/>
  <c r="CD3209" i="1"/>
  <c r="A3210" i="1"/>
  <c r="C3210" i="1"/>
  <c r="S3210" i="1"/>
  <c r="T3210" i="1"/>
  <c r="U3210" i="1"/>
  <c r="BE3210" i="1"/>
  <c r="CC3210" i="1"/>
  <c r="CD3210" i="1"/>
  <c r="A3211" i="1"/>
  <c r="C3211" i="1"/>
  <c r="S3211" i="1"/>
  <c r="T3211" i="1"/>
  <c r="U3211" i="1"/>
  <c r="BE3211" i="1"/>
  <c r="CC3211" i="1"/>
  <c r="CD3211" i="1"/>
  <c r="A3212" i="1"/>
  <c r="C3212" i="1"/>
  <c r="S3212" i="1"/>
  <c r="T3212" i="1"/>
  <c r="U3212" i="1"/>
  <c r="BE3212" i="1"/>
  <c r="CC3212" i="1"/>
  <c r="CD3212" i="1"/>
  <c r="A3213" i="1"/>
  <c r="C3213" i="1"/>
  <c r="S3213" i="1"/>
  <c r="T3213" i="1"/>
  <c r="U3213" i="1"/>
  <c r="BE3213" i="1"/>
  <c r="CC3213" i="1"/>
  <c r="CD3213" i="1"/>
  <c r="A3214" i="1"/>
  <c r="C3214" i="1"/>
  <c r="S3214" i="1"/>
  <c r="T3214" i="1"/>
  <c r="U3214" i="1"/>
  <c r="BE3214" i="1"/>
  <c r="CC3214" i="1"/>
  <c r="CD3214" i="1"/>
  <c r="A3215" i="1"/>
  <c r="C3215" i="1"/>
  <c r="S3215" i="1"/>
  <c r="T3215" i="1"/>
  <c r="U3215" i="1"/>
  <c r="BE3215" i="1"/>
  <c r="CC3215" i="1"/>
  <c r="CD3215" i="1"/>
  <c r="A3216" i="1"/>
  <c r="C3216" i="1"/>
  <c r="S3216" i="1"/>
  <c r="T3216" i="1"/>
  <c r="U3216" i="1"/>
  <c r="BE3216" i="1"/>
  <c r="CC3216" i="1"/>
  <c r="CD3216" i="1"/>
  <c r="A3217" i="1"/>
  <c r="C3217" i="1"/>
  <c r="S3217" i="1"/>
  <c r="T3217" i="1"/>
  <c r="U3217" i="1"/>
  <c r="BE3217" i="1"/>
  <c r="CC3217" i="1"/>
  <c r="CD3217" i="1"/>
  <c r="A3218" i="1"/>
  <c r="C3218" i="1"/>
  <c r="S3218" i="1"/>
  <c r="T3218" i="1"/>
  <c r="U3218" i="1"/>
  <c r="BE3218" i="1"/>
  <c r="CC3218" i="1"/>
  <c r="CD3218" i="1"/>
  <c r="A3219" i="1"/>
  <c r="C3219" i="1"/>
  <c r="S3219" i="1"/>
  <c r="T3219" i="1"/>
  <c r="U3219" i="1"/>
  <c r="BE3219" i="1"/>
  <c r="CC3219" i="1"/>
  <c r="CD3219" i="1"/>
  <c r="A3220" i="1"/>
  <c r="C3220" i="1"/>
  <c r="S3220" i="1"/>
  <c r="T3220" i="1"/>
  <c r="U3220" i="1"/>
  <c r="BE3220" i="1"/>
  <c r="CC3220" i="1"/>
  <c r="CD3220" i="1"/>
  <c r="A3221" i="1"/>
  <c r="C3221" i="1"/>
  <c r="S3221" i="1"/>
  <c r="T3221" i="1"/>
  <c r="U3221" i="1"/>
  <c r="BE3221" i="1"/>
  <c r="CC3221" i="1"/>
  <c r="CD3221" i="1"/>
  <c r="A3222" i="1"/>
  <c r="C3222" i="1"/>
  <c r="S3222" i="1"/>
  <c r="T3222" i="1"/>
  <c r="U3222" i="1"/>
  <c r="BE3222" i="1"/>
  <c r="CC3222" i="1"/>
  <c r="CD3222" i="1"/>
  <c r="A3223" i="1"/>
  <c r="C3223" i="1"/>
  <c r="S3223" i="1"/>
  <c r="T3223" i="1"/>
  <c r="U3223" i="1"/>
  <c r="BE3223" i="1"/>
  <c r="CC3223" i="1"/>
  <c r="CD3223" i="1"/>
  <c r="A3224" i="1"/>
  <c r="C3224" i="1"/>
  <c r="S3224" i="1"/>
  <c r="T3224" i="1"/>
  <c r="U3224" i="1"/>
  <c r="BE3224" i="1"/>
  <c r="CC3224" i="1"/>
  <c r="CD3224" i="1"/>
  <c r="A3225" i="1"/>
  <c r="C3225" i="1"/>
  <c r="S3225" i="1"/>
  <c r="T3225" i="1"/>
  <c r="U3225" i="1"/>
  <c r="BE3225" i="1"/>
  <c r="CC3225" i="1"/>
  <c r="CD3225" i="1"/>
  <c r="A3226" i="1"/>
  <c r="C3226" i="1"/>
  <c r="S3226" i="1"/>
  <c r="T3226" i="1"/>
  <c r="U3226" i="1"/>
  <c r="BE3226" i="1"/>
  <c r="CC3226" i="1"/>
  <c r="CD3226" i="1"/>
  <c r="A3227" i="1"/>
  <c r="C3227" i="1"/>
  <c r="S3227" i="1"/>
  <c r="T3227" i="1"/>
  <c r="U3227" i="1"/>
  <c r="BE3227" i="1"/>
  <c r="CC3227" i="1"/>
  <c r="CD3227" i="1"/>
  <c r="A3228" i="1"/>
  <c r="C3228" i="1"/>
  <c r="S3228" i="1"/>
  <c r="T3228" i="1"/>
  <c r="U3228" i="1"/>
  <c r="BE3228" i="1"/>
  <c r="CC3228" i="1"/>
  <c r="CD3228" i="1"/>
  <c r="A3229" i="1"/>
  <c r="C3229" i="1"/>
  <c r="S3229" i="1"/>
  <c r="T3229" i="1"/>
  <c r="U3229" i="1"/>
  <c r="BE3229" i="1"/>
  <c r="CC3229" i="1"/>
  <c r="CD3229" i="1"/>
  <c r="A3230" i="1"/>
  <c r="C3230" i="1"/>
  <c r="S3230" i="1"/>
  <c r="T3230" i="1"/>
  <c r="U3230" i="1"/>
  <c r="BE3230" i="1"/>
  <c r="CC3230" i="1"/>
  <c r="CD3230" i="1"/>
  <c r="A3231" i="1"/>
  <c r="C3231" i="1"/>
  <c r="S3231" i="1"/>
  <c r="T3231" i="1"/>
  <c r="U3231" i="1"/>
  <c r="BE3231" i="1"/>
  <c r="CC3231" i="1"/>
  <c r="CD3231" i="1"/>
  <c r="A3232" i="1"/>
  <c r="C3232" i="1"/>
  <c r="S3232" i="1"/>
  <c r="T3232" i="1"/>
  <c r="U3232" i="1"/>
  <c r="BE3232" i="1"/>
  <c r="CC3232" i="1"/>
  <c r="CD3232" i="1"/>
  <c r="A3233" i="1"/>
  <c r="C3233" i="1"/>
  <c r="S3233" i="1"/>
  <c r="T3233" i="1"/>
  <c r="U3233" i="1"/>
  <c r="BE3233" i="1"/>
  <c r="CC3233" i="1"/>
  <c r="CD3233" i="1"/>
  <c r="A3234" i="1"/>
  <c r="C3234" i="1"/>
  <c r="S3234" i="1"/>
  <c r="T3234" i="1"/>
  <c r="U3234" i="1"/>
  <c r="BE3234" i="1"/>
  <c r="CC3234" i="1"/>
  <c r="CD3234" i="1"/>
  <c r="A3235" i="1"/>
  <c r="C3235" i="1"/>
  <c r="S3235" i="1"/>
  <c r="T3235" i="1"/>
  <c r="U3235" i="1"/>
  <c r="BE3235" i="1"/>
  <c r="CC3235" i="1"/>
  <c r="CD3235" i="1"/>
  <c r="A3236" i="1"/>
  <c r="C3236" i="1"/>
  <c r="S3236" i="1"/>
  <c r="T3236" i="1"/>
  <c r="U3236" i="1"/>
  <c r="BE3236" i="1"/>
  <c r="CC3236" i="1"/>
  <c r="CD3236" i="1"/>
  <c r="A3237" i="1"/>
  <c r="C3237" i="1"/>
  <c r="S3237" i="1"/>
  <c r="T3237" i="1"/>
  <c r="U3237" i="1"/>
  <c r="BE3237" i="1"/>
  <c r="CC3237" i="1"/>
  <c r="CD3237" i="1"/>
  <c r="A3238" i="1"/>
  <c r="C3238" i="1"/>
  <c r="S3238" i="1"/>
  <c r="T3238" i="1"/>
  <c r="U3238" i="1"/>
  <c r="BE3238" i="1"/>
  <c r="CC3238" i="1"/>
  <c r="CD3238" i="1"/>
  <c r="A3239" i="1"/>
  <c r="C3239" i="1"/>
  <c r="S3239" i="1"/>
  <c r="T3239" i="1"/>
  <c r="U3239" i="1"/>
  <c r="BE3239" i="1"/>
  <c r="CC3239" i="1"/>
  <c r="CD3239" i="1"/>
  <c r="A3240" i="1"/>
  <c r="C3240" i="1"/>
  <c r="S3240" i="1"/>
  <c r="T3240" i="1"/>
  <c r="U3240" i="1"/>
  <c r="BE3240" i="1"/>
  <c r="CC3240" i="1"/>
  <c r="CD3240" i="1"/>
  <c r="A3241" i="1"/>
  <c r="C3241" i="1"/>
  <c r="S3241" i="1"/>
  <c r="T3241" i="1"/>
  <c r="U3241" i="1"/>
  <c r="BE3241" i="1"/>
  <c r="CC3241" i="1"/>
  <c r="CD3241" i="1"/>
  <c r="A3242" i="1"/>
  <c r="C3242" i="1"/>
  <c r="S3242" i="1"/>
  <c r="T3242" i="1"/>
  <c r="U3242" i="1"/>
  <c r="BE3242" i="1"/>
  <c r="CC3242" i="1"/>
  <c r="CD3242" i="1"/>
  <c r="A3243" i="1"/>
  <c r="C3243" i="1"/>
  <c r="S3243" i="1"/>
  <c r="T3243" i="1"/>
  <c r="U3243" i="1"/>
  <c r="BE3243" i="1"/>
  <c r="CC3243" i="1"/>
  <c r="CD3243" i="1"/>
  <c r="A3244" i="1"/>
  <c r="C3244" i="1"/>
  <c r="S3244" i="1"/>
  <c r="T3244" i="1"/>
  <c r="U3244" i="1"/>
  <c r="BE3244" i="1"/>
  <c r="CC3244" i="1"/>
  <c r="CD3244" i="1"/>
  <c r="A3245" i="1"/>
  <c r="C3245" i="1"/>
  <c r="S3245" i="1"/>
  <c r="T3245" i="1"/>
  <c r="U3245" i="1"/>
  <c r="BE3245" i="1"/>
  <c r="CC3245" i="1"/>
  <c r="CD3245" i="1"/>
  <c r="A3246" i="1"/>
  <c r="C3246" i="1"/>
  <c r="S3246" i="1"/>
  <c r="T3246" i="1"/>
  <c r="U3246" i="1"/>
  <c r="BE3246" i="1"/>
  <c r="CC3246" i="1"/>
  <c r="CD3246" i="1"/>
  <c r="A3247" i="1"/>
  <c r="C3247" i="1"/>
  <c r="S3247" i="1"/>
  <c r="T3247" i="1"/>
  <c r="U3247" i="1"/>
  <c r="BE3247" i="1"/>
  <c r="CC3247" i="1"/>
  <c r="CD3247" i="1"/>
  <c r="A3248" i="1"/>
  <c r="C3248" i="1"/>
  <c r="S3248" i="1"/>
  <c r="T3248" i="1"/>
  <c r="U3248" i="1"/>
  <c r="BE3248" i="1"/>
  <c r="CC3248" i="1"/>
  <c r="CD3248" i="1"/>
  <c r="A3249" i="1"/>
  <c r="C3249" i="1"/>
  <c r="S3249" i="1"/>
  <c r="T3249" i="1"/>
  <c r="U3249" i="1"/>
  <c r="BE3249" i="1"/>
  <c r="CC3249" i="1"/>
  <c r="CD3249" i="1"/>
  <c r="A3250" i="1"/>
  <c r="C3250" i="1"/>
  <c r="S3250" i="1"/>
  <c r="T3250" i="1"/>
  <c r="U3250" i="1"/>
  <c r="BE3250" i="1"/>
  <c r="CC3250" i="1"/>
  <c r="CD3250" i="1"/>
  <c r="A3251" i="1"/>
  <c r="C3251" i="1"/>
  <c r="S3251" i="1"/>
  <c r="T3251" i="1"/>
  <c r="U3251" i="1"/>
  <c r="BE3251" i="1"/>
  <c r="CC3251" i="1"/>
  <c r="CD3251" i="1"/>
  <c r="A3252" i="1"/>
  <c r="C3252" i="1"/>
  <c r="S3252" i="1"/>
  <c r="T3252" i="1"/>
  <c r="U3252" i="1"/>
  <c r="BE3252" i="1"/>
  <c r="CC3252" i="1"/>
  <c r="CD3252" i="1"/>
  <c r="A3253" i="1"/>
  <c r="C3253" i="1"/>
  <c r="S3253" i="1"/>
  <c r="T3253" i="1"/>
  <c r="U3253" i="1"/>
  <c r="BE3253" i="1"/>
  <c r="CC3253" i="1"/>
  <c r="CD3253" i="1"/>
  <c r="A3254" i="1"/>
  <c r="C3254" i="1"/>
  <c r="S3254" i="1"/>
  <c r="T3254" i="1"/>
  <c r="U3254" i="1"/>
  <c r="BE3254" i="1"/>
  <c r="CC3254" i="1"/>
  <c r="CD3254" i="1"/>
  <c r="A3255" i="1"/>
  <c r="C3255" i="1"/>
  <c r="S3255" i="1"/>
  <c r="T3255" i="1"/>
  <c r="U3255" i="1"/>
  <c r="BE3255" i="1"/>
  <c r="CC3255" i="1"/>
  <c r="CD3255" i="1"/>
  <c r="A3256" i="1"/>
  <c r="C3256" i="1"/>
  <c r="S3256" i="1"/>
  <c r="T3256" i="1"/>
  <c r="U3256" i="1"/>
  <c r="BE3256" i="1"/>
  <c r="CC3256" i="1"/>
  <c r="CD3256" i="1"/>
  <c r="A3257" i="1"/>
  <c r="C3257" i="1"/>
  <c r="S3257" i="1"/>
  <c r="T3257" i="1"/>
  <c r="U3257" i="1"/>
  <c r="BE3257" i="1"/>
  <c r="CC3257" i="1"/>
  <c r="CD3257" i="1"/>
  <c r="A3258" i="1"/>
  <c r="C3258" i="1"/>
  <c r="S3258" i="1"/>
  <c r="T3258" i="1"/>
  <c r="U3258" i="1"/>
  <c r="BE3258" i="1"/>
  <c r="CC3258" i="1"/>
  <c r="CD3258" i="1"/>
  <c r="A3259" i="1"/>
  <c r="C3259" i="1"/>
  <c r="S3259" i="1"/>
  <c r="T3259" i="1"/>
  <c r="U3259" i="1"/>
  <c r="BE3259" i="1"/>
  <c r="CC3259" i="1"/>
  <c r="CD3259" i="1"/>
  <c r="A3260" i="1"/>
  <c r="C3260" i="1"/>
  <c r="S3260" i="1"/>
  <c r="T3260" i="1"/>
  <c r="U3260" i="1"/>
  <c r="BE3260" i="1"/>
  <c r="CC3260" i="1"/>
  <c r="CD3260" i="1"/>
  <c r="A3261" i="1"/>
  <c r="C3261" i="1"/>
  <c r="S3261" i="1"/>
  <c r="T3261" i="1"/>
  <c r="U3261" i="1"/>
  <c r="BE3261" i="1"/>
  <c r="CC3261" i="1"/>
  <c r="CD3261" i="1"/>
  <c r="A3262" i="1"/>
  <c r="C3262" i="1"/>
  <c r="S3262" i="1"/>
  <c r="T3262" i="1"/>
  <c r="U3262" i="1"/>
  <c r="BE3262" i="1"/>
  <c r="CC3262" i="1"/>
  <c r="CD3262" i="1"/>
  <c r="A3263" i="1"/>
  <c r="C3263" i="1"/>
  <c r="S3263" i="1"/>
  <c r="T3263" i="1"/>
  <c r="U3263" i="1"/>
  <c r="BE3263" i="1"/>
  <c r="CC3263" i="1"/>
  <c r="CD3263" i="1"/>
  <c r="A3264" i="1"/>
  <c r="C3264" i="1"/>
  <c r="S3264" i="1"/>
  <c r="T3264" i="1"/>
  <c r="U3264" i="1"/>
  <c r="BE3264" i="1"/>
  <c r="CC3264" i="1"/>
  <c r="CD3264" i="1"/>
  <c r="A3265" i="1"/>
  <c r="C3265" i="1"/>
  <c r="S3265" i="1"/>
  <c r="T3265" i="1"/>
  <c r="U3265" i="1"/>
  <c r="BE3265" i="1"/>
  <c r="CC3265" i="1"/>
  <c r="CD3265" i="1"/>
  <c r="A3266" i="1"/>
  <c r="C3266" i="1"/>
  <c r="S3266" i="1"/>
  <c r="T3266" i="1"/>
  <c r="U3266" i="1"/>
  <c r="BE3266" i="1"/>
  <c r="CC3266" i="1"/>
  <c r="CD3266" i="1"/>
  <c r="A3267" i="1"/>
  <c r="C3267" i="1"/>
  <c r="S3267" i="1"/>
  <c r="T3267" i="1"/>
  <c r="U3267" i="1"/>
  <c r="BE3267" i="1"/>
  <c r="CC3267" i="1"/>
  <c r="CD3267" i="1"/>
  <c r="A3268" i="1"/>
  <c r="C3268" i="1"/>
  <c r="S3268" i="1"/>
  <c r="T3268" i="1"/>
  <c r="U3268" i="1"/>
  <c r="BE3268" i="1"/>
  <c r="CC3268" i="1"/>
  <c r="CD3268" i="1"/>
  <c r="A3269" i="1"/>
  <c r="C3269" i="1"/>
  <c r="S3269" i="1"/>
  <c r="T3269" i="1"/>
  <c r="U3269" i="1"/>
  <c r="BE3269" i="1"/>
  <c r="CC3269" i="1"/>
  <c r="CD3269" i="1"/>
  <c r="A3270" i="1"/>
  <c r="C3270" i="1"/>
  <c r="S3270" i="1"/>
  <c r="T3270" i="1"/>
  <c r="U3270" i="1"/>
  <c r="BE3270" i="1"/>
  <c r="CC3270" i="1"/>
  <c r="CD3270" i="1"/>
  <c r="A3271" i="1"/>
  <c r="C3271" i="1"/>
  <c r="S3271" i="1"/>
  <c r="T3271" i="1"/>
  <c r="U3271" i="1"/>
  <c r="BE3271" i="1"/>
  <c r="CC3271" i="1"/>
  <c r="CD3271" i="1"/>
  <c r="A3272" i="1"/>
  <c r="C3272" i="1"/>
  <c r="S3272" i="1"/>
  <c r="T3272" i="1"/>
  <c r="U3272" i="1"/>
  <c r="BE3272" i="1"/>
  <c r="CC3272" i="1"/>
  <c r="CD3272" i="1"/>
  <c r="A3273" i="1"/>
  <c r="C3273" i="1"/>
  <c r="S3273" i="1"/>
  <c r="T3273" i="1"/>
  <c r="U3273" i="1"/>
  <c r="BE3273" i="1"/>
  <c r="CC3273" i="1"/>
  <c r="CD3273" i="1"/>
  <c r="A3274" i="1"/>
  <c r="C3274" i="1"/>
  <c r="S3274" i="1"/>
  <c r="T3274" i="1"/>
  <c r="U3274" i="1"/>
  <c r="BE3274" i="1"/>
  <c r="CC3274" i="1"/>
  <c r="CD3274" i="1"/>
  <c r="A3275" i="1"/>
  <c r="C3275" i="1"/>
  <c r="S3275" i="1"/>
  <c r="T3275" i="1"/>
  <c r="U3275" i="1"/>
  <c r="BE3275" i="1"/>
  <c r="CC3275" i="1"/>
  <c r="CD3275" i="1"/>
  <c r="A3276" i="1"/>
  <c r="C3276" i="1"/>
  <c r="S3276" i="1"/>
  <c r="T3276" i="1"/>
  <c r="U3276" i="1"/>
  <c r="BE3276" i="1"/>
  <c r="CC3276" i="1"/>
  <c r="CD3276" i="1"/>
  <c r="A3277" i="1"/>
  <c r="C3277" i="1"/>
  <c r="S3277" i="1"/>
  <c r="T3277" i="1"/>
  <c r="U3277" i="1"/>
  <c r="BE3277" i="1"/>
  <c r="CC3277" i="1"/>
  <c r="CD3277" i="1"/>
  <c r="A3278" i="1"/>
  <c r="C3278" i="1"/>
  <c r="S3278" i="1"/>
  <c r="T3278" i="1"/>
  <c r="U3278" i="1"/>
  <c r="BE3278" i="1"/>
  <c r="CC3278" i="1"/>
  <c r="CD3278" i="1"/>
  <c r="A3279" i="1"/>
  <c r="C3279" i="1"/>
  <c r="S3279" i="1"/>
  <c r="T3279" i="1"/>
  <c r="U3279" i="1"/>
  <c r="BE3279" i="1"/>
  <c r="CC3279" i="1"/>
  <c r="CD3279" i="1"/>
  <c r="A3280" i="1"/>
  <c r="C3280" i="1"/>
  <c r="S3280" i="1"/>
  <c r="T3280" i="1"/>
  <c r="U3280" i="1"/>
  <c r="BE3280" i="1"/>
  <c r="CC3280" i="1"/>
  <c r="CD3280" i="1"/>
  <c r="A3281" i="1"/>
  <c r="C3281" i="1"/>
  <c r="S3281" i="1"/>
  <c r="T3281" i="1"/>
  <c r="U3281" i="1"/>
  <c r="BE3281" i="1"/>
  <c r="CC3281" i="1"/>
  <c r="CD3281" i="1"/>
  <c r="A3282" i="1"/>
  <c r="C3282" i="1"/>
  <c r="S3282" i="1"/>
  <c r="T3282" i="1"/>
  <c r="U3282" i="1"/>
  <c r="BE3282" i="1"/>
  <c r="CC3282" i="1"/>
  <c r="CD3282" i="1"/>
  <c r="A3283" i="1"/>
  <c r="C3283" i="1"/>
  <c r="S3283" i="1"/>
  <c r="T3283" i="1"/>
  <c r="U3283" i="1"/>
  <c r="BE3283" i="1"/>
  <c r="CC3283" i="1"/>
  <c r="CD3283" i="1"/>
  <c r="A3284" i="1"/>
  <c r="C3284" i="1"/>
  <c r="S3284" i="1"/>
  <c r="T3284" i="1"/>
  <c r="U3284" i="1"/>
  <c r="BE3284" i="1"/>
  <c r="CC3284" i="1"/>
  <c r="CD3284" i="1"/>
  <c r="A3285" i="1"/>
  <c r="C3285" i="1"/>
  <c r="S3285" i="1"/>
  <c r="T3285" i="1"/>
  <c r="U3285" i="1"/>
  <c r="BE3285" i="1"/>
  <c r="CC3285" i="1"/>
  <c r="CD3285" i="1"/>
  <c r="A3286" i="1"/>
  <c r="C3286" i="1"/>
  <c r="S3286" i="1"/>
  <c r="T3286" i="1"/>
  <c r="U3286" i="1"/>
  <c r="BE3286" i="1"/>
  <c r="CC3286" i="1"/>
  <c r="CD3286" i="1"/>
  <c r="A3287" i="1"/>
  <c r="C3287" i="1"/>
  <c r="S3287" i="1"/>
  <c r="T3287" i="1"/>
  <c r="U3287" i="1"/>
  <c r="BE3287" i="1"/>
  <c r="CC3287" i="1"/>
  <c r="CD3287" i="1"/>
  <c r="A3288" i="1"/>
  <c r="C3288" i="1"/>
  <c r="S3288" i="1"/>
  <c r="T3288" i="1"/>
  <c r="U3288" i="1"/>
  <c r="BE3288" i="1"/>
  <c r="CC3288" i="1"/>
  <c r="CD3288" i="1"/>
  <c r="A3289" i="1"/>
  <c r="C3289" i="1"/>
  <c r="S3289" i="1"/>
  <c r="T3289" i="1"/>
  <c r="U3289" i="1"/>
  <c r="BE3289" i="1"/>
  <c r="CC3289" i="1"/>
  <c r="CD3289" i="1"/>
  <c r="A3290" i="1"/>
  <c r="C3290" i="1"/>
  <c r="S3290" i="1"/>
  <c r="T3290" i="1"/>
  <c r="U3290" i="1"/>
  <c r="BE3290" i="1"/>
  <c r="CC3290" i="1"/>
  <c r="CD3290" i="1"/>
  <c r="A3291" i="1"/>
  <c r="C3291" i="1"/>
  <c r="S3291" i="1"/>
  <c r="T3291" i="1"/>
  <c r="U3291" i="1"/>
  <c r="BE3291" i="1"/>
  <c r="CC3291" i="1"/>
  <c r="CD3291" i="1"/>
  <c r="A3292" i="1"/>
  <c r="C3292" i="1"/>
  <c r="S3292" i="1"/>
  <c r="T3292" i="1"/>
  <c r="U3292" i="1"/>
  <c r="BE3292" i="1"/>
  <c r="CC3292" i="1"/>
  <c r="CD3292" i="1"/>
  <c r="A3293" i="1"/>
  <c r="C3293" i="1"/>
  <c r="S3293" i="1"/>
  <c r="T3293" i="1"/>
  <c r="U3293" i="1"/>
  <c r="BE3293" i="1"/>
  <c r="CC3293" i="1"/>
  <c r="CD3293" i="1"/>
  <c r="A3294" i="1"/>
  <c r="C3294" i="1"/>
  <c r="S3294" i="1"/>
  <c r="T3294" i="1"/>
  <c r="U3294" i="1"/>
  <c r="BE3294" i="1"/>
  <c r="CC3294" i="1"/>
  <c r="CD3294" i="1"/>
  <c r="A3295" i="1"/>
  <c r="C3295" i="1"/>
  <c r="S3295" i="1"/>
  <c r="T3295" i="1"/>
  <c r="U3295" i="1"/>
  <c r="BE3295" i="1"/>
  <c r="CC3295" i="1"/>
  <c r="CD3295" i="1"/>
  <c r="A3296" i="1"/>
  <c r="C3296" i="1"/>
  <c r="S3296" i="1"/>
  <c r="T3296" i="1"/>
  <c r="U3296" i="1"/>
  <c r="BE3296" i="1"/>
  <c r="CC3296" i="1"/>
  <c r="CD3296" i="1"/>
  <c r="A3297" i="1"/>
  <c r="C3297" i="1"/>
  <c r="S3297" i="1"/>
  <c r="T3297" i="1"/>
  <c r="U3297" i="1"/>
  <c r="BE3297" i="1"/>
  <c r="CC3297" i="1"/>
  <c r="CD3297" i="1"/>
  <c r="A3298" i="1"/>
  <c r="C3298" i="1"/>
  <c r="S3298" i="1"/>
  <c r="T3298" i="1"/>
  <c r="U3298" i="1"/>
  <c r="BE3298" i="1"/>
  <c r="CC3298" i="1"/>
  <c r="CD3298" i="1"/>
  <c r="A3299" i="1"/>
  <c r="C3299" i="1"/>
  <c r="S3299" i="1"/>
  <c r="T3299" i="1"/>
  <c r="U3299" i="1"/>
  <c r="BE3299" i="1"/>
  <c r="CC3299" i="1"/>
  <c r="CD3299" i="1"/>
  <c r="A3300" i="1"/>
  <c r="C3300" i="1"/>
  <c r="S3300" i="1"/>
  <c r="T3300" i="1"/>
  <c r="U3300" i="1"/>
  <c r="BE3300" i="1"/>
  <c r="CC3300" i="1"/>
  <c r="CD3300" i="1"/>
  <c r="A3301" i="1"/>
  <c r="C3301" i="1"/>
  <c r="S3301" i="1"/>
  <c r="T3301" i="1"/>
  <c r="U3301" i="1"/>
  <c r="BE3301" i="1"/>
  <c r="CC3301" i="1"/>
  <c r="CD3301" i="1"/>
  <c r="A3302" i="1"/>
  <c r="C3302" i="1"/>
  <c r="S3302" i="1"/>
  <c r="T3302" i="1"/>
  <c r="U3302" i="1"/>
  <c r="BE3302" i="1"/>
  <c r="CC3302" i="1"/>
  <c r="CD3302" i="1"/>
  <c r="A3303" i="1"/>
  <c r="C3303" i="1"/>
  <c r="S3303" i="1"/>
  <c r="T3303" i="1"/>
  <c r="U3303" i="1"/>
  <c r="BE3303" i="1"/>
  <c r="CC3303" i="1"/>
  <c r="CD3303" i="1"/>
  <c r="A3304" i="1"/>
  <c r="C3304" i="1"/>
  <c r="S3304" i="1"/>
  <c r="T3304" i="1"/>
  <c r="U3304" i="1"/>
  <c r="BE3304" i="1"/>
  <c r="CC3304" i="1"/>
  <c r="CD3304" i="1"/>
  <c r="A3305" i="1"/>
  <c r="C3305" i="1"/>
  <c r="S3305" i="1"/>
  <c r="T3305" i="1"/>
  <c r="U3305" i="1"/>
  <c r="BE3305" i="1"/>
  <c r="CC3305" i="1"/>
  <c r="CD3305" i="1"/>
  <c r="A3306" i="1"/>
  <c r="C3306" i="1"/>
  <c r="S3306" i="1"/>
  <c r="T3306" i="1"/>
  <c r="U3306" i="1"/>
  <c r="BE3306" i="1"/>
  <c r="CC3306" i="1"/>
  <c r="CD3306" i="1"/>
  <c r="A3307" i="1"/>
  <c r="C3307" i="1"/>
  <c r="S3307" i="1"/>
  <c r="T3307" i="1"/>
  <c r="U3307" i="1"/>
  <c r="BE3307" i="1"/>
  <c r="CC3307" i="1"/>
  <c r="CD3307" i="1"/>
  <c r="A3308" i="1"/>
  <c r="C3308" i="1"/>
  <c r="S3308" i="1"/>
  <c r="T3308" i="1"/>
  <c r="U3308" i="1"/>
  <c r="BE3308" i="1"/>
  <c r="CC3308" i="1"/>
  <c r="CD3308" i="1"/>
  <c r="A3309" i="1"/>
  <c r="C3309" i="1"/>
  <c r="S3309" i="1"/>
  <c r="T3309" i="1"/>
  <c r="U3309" i="1"/>
  <c r="BE3309" i="1"/>
  <c r="CC3309" i="1"/>
  <c r="CD3309" i="1"/>
  <c r="A3310" i="1"/>
  <c r="C3310" i="1"/>
  <c r="S3310" i="1"/>
  <c r="T3310" i="1"/>
  <c r="U3310" i="1"/>
  <c r="BE3310" i="1"/>
  <c r="CC3310" i="1"/>
  <c r="CD3310" i="1"/>
  <c r="A3311" i="1"/>
  <c r="C3311" i="1"/>
  <c r="S3311" i="1"/>
  <c r="T3311" i="1"/>
  <c r="U3311" i="1"/>
  <c r="BE3311" i="1"/>
  <c r="CC3311" i="1"/>
  <c r="CD3311" i="1"/>
  <c r="A3312" i="1"/>
  <c r="C3312" i="1"/>
  <c r="S3312" i="1"/>
  <c r="T3312" i="1"/>
  <c r="U3312" i="1"/>
  <c r="BE3312" i="1"/>
  <c r="CC3312" i="1"/>
  <c r="CD3312" i="1"/>
  <c r="A3313" i="1"/>
  <c r="C3313" i="1"/>
  <c r="S3313" i="1"/>
  <c r="T3313" i="1"/>
  <c r="U3313" i="1"/>
  <c r="BE3313" i="1"/>
  <c r="CC3313" i="1"/>
  <c r="CD3313" i="1"/>
  <c r="A3314" i="1"/>
  <c r="C3314" i="1"/>
  <c r="S3314" i="1"/>
  <c r="T3314" i="1"/>
  <c r="U3314" i="1"/>
  <c r="BE3314" i="1"/>
  <c r="CC3314" i="1"/>
  <c r="CD3314" i="1"/>
  <c r="A3315" i="1"/>
  <c r="C3315" i="1"/>
  <c r="S3315" i="1"/>
  <c r="T3315" i="1"/>
  <c r="U3315" i="1"/>
  <c r="BE3315" i="1"/>
  <c r="CC3315" i="1"/>
  <c r="CD3315" i="1"/>
  <c r="A3316" i="1"/>
  <c r="C3316" i="1"/>
  <c r="S3316" i="1"/>
  <c r="T3316" i="1"/>
  <c r="U3316" i="1"/>
  <c r="BE3316" i="1"/>
  <c r="CC3316" i="1"/>
  <c r="CD3316" i="1"/>
  <c r="A3317" i="1"/>
  <c r="C3317" i="1"/>
  <c r="S3317" i="1"/>
  <c r="T3317" i="1"/>
  <c r="U3317" i="1"/>
  <c r="BE3317" i="1"/>
  <c r="CC3317" i="1"/>
  <c r="CD3317" i="1"/>
  <c r="A3318" i="1"/>
  <c r="C3318" i="1"/>
  <c r="S3318" i="1"/>
  <c r="T3318" i="1"/>
  <c r="U3318" i="1"/>
  <c r="BE3318" i="1"/>
  <c r="CC3318" i="1"/>
  <c r="CD3318" i="1"/>
  <c r="A3319" i="1"/>
  <c r="C3319" i="1"/>
  <c r="S3319" i="1"/>
  <c r="T3319" i="1"/>
  <c r="U3319" i="1"/>
  <c r="BE3319" i="1"/>
  <c r="CC3319" i="1"/>
  <c r="CD3319" i="1"/>
  <c r="A3320" i="1"/>
  <c r="C3320" i="1"/>
  <c r="S3320" i="1"/>
  <c r="T3320" i="1"/>
  <c r="U3320" i="1"/>
  <c r="BE3320" i="1"/>
  <c r="CC3320" i="1"/>
  <c r="CD3320" i="1"/>
  <c r="A3321" i="1"/>
  <c r="C3321" i="1"/>
  <c r="S3321" i="1"/>
  <c r="T3321" i="1"/>
  <c r="U3321" i="1"/>
  <c r="BE3321" i="1"/>
  <c r="CC3321" i="1"/>
  <c r="CD3321" i="1"/>
  <c r="A3322" i="1"/>
  <c r="C3322" i="1"/>
  <c r="S3322" i="1"/>
  <c r="T3322" i="1"/>
  <c r="U3322" i="1"/>
  <c r="BE3322" i="1"/>
  <c r="CC3322" i="1"/>
  <c r="CD3322" i="1"/>
  <c r="A3323" i="1"/>
  <c r="C3323" i="1"/>
  <c r="S3323" i="1"/>
  <c r="T3323" i="1"/>
  <c r="U3323" i="1"/>
  <c r="BE3323" i="1"/>
  <c r="CC3323" i="1"/>
  <c r="CD3323" i="1"/>
  <c r="A3324" i="1"/>
  <c r="C3324" i="1"/>
  <c r="S3324" i="1"/>
  <c r="T3324" i="1"/>
  <c r="U3324" i="1"/>
  <c r="BE3324" i="1"/>
  <c r="CC3324" i="1"/>
  <c r="CD3324" i="1"/>
  <c r="A3325" i="1"/>
  <c r="C3325" i="1"/>
  <c r="S3325" i="1"/>
  <c r="T3325" i="1"/>
  <c r="U3325" i="1"/>
  <c r="BE3325" i="1"/>
  <c r="CC3325" i="1"/>
  <c r="CD3325" i="1"/>
  <c r="A3326" i="1"/>
  <c r="C3326" i="1"/>
  <c r="S3326" i="1"/>
  <c r="T3326" i="1"/>
  <c r="U3326" i="1"/>
  <c r="BE3326" i="1"/>
  <c r="CC3326" i="1"/>
  <c r="CD3326" i="1"/>
  <c r="A3327" i="1"/>
  <c r="C3327" i="1"/>
  <c r="S3327" i="1"/>
  <c r="T3327" i="1"/>
  <c r="U3327" i="1"/>
  <c r="BE3327" i="1"/>
  <c r="CC3327" i="1"/>
  <c r="CD3327" i="1"/>
  <c r="A3328" i="1"/>
  <c r="C3328" i="1"/>
  <c r="S3328" i="1"/>
  <c r="T3328" i="1"/>
  <c r="U3328" i="1"/>
  <c r="BE3328" i="1"/>
  <c r="CC3328" i="1"/>
  <c r="CD3328" i="1"/>
  <c r="A3329" i="1"/>
  <c r="C3329" i="1"/>
  <c r="S3329" i="1"/>
  <c r="T3329" i="1"/>
  <c r="U3329" i="1"/>
  <c r="BE3329" i="1"/>
  <c r="CC3329" i="1"/>
  <c r="CD3329" i="1"/>
  <c r="A3330" i="1"/>
  <c r="C3330" i="1"/>
  <c r="S3330" i="1"/>
  <c r="T3330" i="1"/>
  <c r="U3330" i="1"/>
  <c r="BE3330" i="1"/>
  <c r="CC3330" i="1"/>
  <c r="CD3330" i="1"/>
  <c r="A3331" i="1"/>
  <c r="C3331" i="1"/>
  <c r="S3331" i="1"/>
  <c r="T3331" i="1"/>
  <c r="U3331" i="1"/>
  <c r="BE3331" i="1"/>
  <c r="CC3331" i="1"/>
  <c r="CD3331" i="1"/>
  <c r="A3332" i="1"/>
  <c r="C3332" i="1"/>
  <c r="S3332" i="1"/>
  <c r="T3332" i="1"/>
  <c r="U3332" i="1"/>
  <c r="BE3332" i="1"/>
  <c r="CC3332" i="1"/>
  <c r="CD3332" i="1"/>
  <c r="A3333" i="1"/>
  <c r="C3333" i="1"/>
  <c r="S3333" i="1"/>
  <c r="T3333" i="1"/>
  <c r="U3333" i="1"/>
  <c r="BE3333" i="1"/>
  <c r="CC3333" i="1"/>
  <c r="CD3333" i="1"/>
  <c r="A3334" i="1"/>
  <c r="C3334" i="1"/>
  <c r="S3334" i="1"/>
  <c r="T3334" i="1"/>
  <c r="U3334" i="1"/>
  <c r="BE3334" i="1"/>
  <c r="CC3334" i="1"/>
  <c r="CD3334" i="1"/>
  <c r="A3335" i="1"/>
  <c r="C3335" i="1"/>
  <c r="S3335" i="1"/>
  <c r="T3335" i="1"/>
  <c r="U3335" i="1"/>
  <c r="BE3335" i="1"/>
  <c r="CC3335" i="1"/>
  <c r="CD3335" i="1"/>
  <c r="A3336" i="1"/>
  <c r="C3336" i="1"/>
  <c r="S3336" i="1"/>
  <c r="T3336" i="1"/>
  <c r="U3336" i="1"/>
  <c r="BE3336" i="1"/>
  <c r="CC3336" i="1"/>
  <c r="CD3336" i="1"/>
  <c r="A3337" i="1"/>
  <c r="C3337" i="1"/>
  <c r="S3337" i="1"/>
  <c r="T3337" i="1"/>
  <c r="U3337" i="1"/>
  <c r="BE3337" i="1"/>
  <c r="CC3337" i="1"/>
  <c r="CD3337" i="1"/>
  <c r="A3338" i="1"/>
  <c r="C3338" i="1"/>
  <c r="S3338" i="1"/>
  <c r="T3338" i="1"/>
  <c r="U3338" i="1"/>
  <c r="BE3338" i="1"/>
  <c r="CC3338" i="1"/>
  <c r="CD3338" i="1"/>
  <c r="A3339" i="1"/>
  <c r="C3339" i="1"/>
  <c r="S3339" i="1"/>
  <c r="T3339" i="1"/>
  <c r="U3339" i="1"/>
  <c r="BE3339" i="1"/>
  <c r="CC3339" i="1"/>
  <c r="CD3339" i="1"/>
  <c r="A3340" i="1"/>
  <c r="C3340" i="1"/>
  <c r="S3340" i="1"/>
  <c r="T3340" i="1"/>
  <c r="U3340" i="1"/>
  <c r="BE3340" i="1"/>
  <c r="CC3340" i="1"/>
  <c r="CD3340" i="1"/>
  <c r="A3341" i="1"/>
  <c r="C3341" i="1"/>
  <c r="S3341" i="1"/>
  <c r="T3341" i="1"/>
  <c r="U3341" i="1"/>
  <c r="BE3341" i="1"/>
  <c r="CC3341" i="1"/>
  <c r="CD3341" i="1"/>
  <c r="A3342" i="1"/>
  <c r="C3342" i="1"/>
  <c r="S3342" i="1"/>
  <c r="T3342" i="1"/>
  <c r="U3342" i="1"/>
  <c r="BE3342" i="1"/>
  <c r="CC3342" i="1"/>
  <c r="CD3342" i="1"/>
  <c r="A3343" i="1"/>
  <c r="C3343" i="1"/>
  <c r="S3343" i="1"/>
  <c r="T3343" i="1"/>
  <c r="U3343" i="1"/>
  <c r="BE3343" i="1"/>
  <c r="CC3343" i="1"/>
  <c r="CD3343" i="1"/>
  <c r="A3344" i="1"/>
  <c r="C3344" i="1"/>
  <c r="S3344" i="1"/>
  <c r="T3344" i="1"/>
  <c r="U3344" i="1"/>
  <c r="BE3344" i="1"/>
  <c r="CC3344" i="1"/>
  <c r="CD3344" i="1"/>
  <c r="A3345" i="1"/>
  <c r="C3345" i="1"/>
  <c r="S3345" i="1"/>
  <c r="T3345" i="1"/>
  <c r="U3345" i="1"/>
  <c r="BE3345" i="1"/>
  <c r="CC3345" i="1"/>
  <c r="CD3345" i="1"/>
  <c r="A3346" i="1"/>
  <c r="C3346" i="1"/>
  <c r="S3346" i="1"/>
  <c r="T3346" i="1"/>
  <c r="U3346" i="1"/>
  <c r="BE3346" i="1"/>
  <c r="CC3346" i="1"/>
  <c r="CD3346" i="1"/>
  <c r="A3347" i="1"/>
  <c r="C3347" i="1"/>
  <c r="S3347" i="1"/>
  <c r="T3347" i="1"/>
  <c r="U3347" i="1"/>
  <c r="BE3347" i="1"/>
  <c r="CC3347" i="1"/>
  <c r="CD3347" i="1"/>
  <c r="A3348" i="1"/>
  <c r="C3348" i="1"/>
  <c r="S3348" i="1"/>
  <c r="T3348" i="1"/>
  <c r="U3348" i="1"/>
  <c r="BE3348" i="1"/>
  <c r="CC3348" i="1"/>
  <c r="CD3348" i="1"/>
  <c r="A3349" i="1"/>
  <c r="C3349" i="1"/>
  <c r="S3349" i="1"/>
  <c r="T3349" i="1"/>
  <c r="U3349" i="1"/>
  <c r="BE3349" i="1"/>
  <c r="CC3349" i="1"/>
  <c r="CD3349" i="1"/>
  <c r="A3350" i="1"/>
  <c r="C3350" i="1"/>
  <c r="S3350" i="1"/>
  <c r="T3350" i="1"/>
  <c r="U3350" i="1"/>
  <c r="BE3350" i="1"/>
  <c r="CC3350" i="1"/>
  <c r="CD3350" i="1"/>
  <c r="A3351" i="1"/>
  <c r="C3351" i="1"/>
  <c r="S3351" i="1"/>
  <c r="T3351" i="1"/>
  <c r="U3351" i="1"/>
  <c r="BE3351" i="1"/>
  <c r="CC3351" i="1"/>
  <c r="CD3351" i="1"/>
  <c r="A3352" i="1"/>
  <c r="C3352" i="1"/>
  <c r="S3352" i="1"/>
  <c r="T3352" i="1"/>
  <c r="U3352" i="1"/>
  <c r="BE3352" i="1"/>
  <c r="CC3352" i="1"/>
  <c r="CD3352" i="1"/>
  <c r="A3353" i="1"/>
  <c r="C3353" i="1"/>
  <c r="S3353" i="1"/>
  <c r="T3353" i="1"/>
  <c r="U3353" i="1"/>
  <c r="BE3353" i="1"/>
  <c r="CC3353" i="1"/>
  <c r="CD3353" i="1"/>
  <c r="A3354" i="1"/>
  <c r="C3354" i="1"/>
  <c r="S3354" i="1"/>
  <c r="T3354" i="1"/>
  <c r="U3354" i="1"/>
  <c r="BE3354" i="1"/>
  <c r="CC3354" i="1"/>
  <c r="CD3354" i="1"/>
  <c r="A3355" i="1"/>
  <c r="C3355" i="1"/>
  <c r="S3355" i="1"/>
  <c r="T3355" i="1"/>
  <c r="U3355" i="1"/>
  <c r="BE3355" i="1"/>
  <c r="CC3355" i="1"/>
  <c r="CD3355" i="1"/>
  <c r="A3356" i="1"/>
  <c r="C3356" i="1"/>
  <c r="S3356" i="1"/>
  <c r="T3356" i="1"/>
  <c r="U3356" i="1"/>
  <c r="BE3356" i="1"/>
  <c r="CC3356" i="1"/>
  <c r="CD3356" i="1"/>
  <c r="A3357" i="1"/>
  <c r="C3357" i="1"/>
  <c r="S3357" i="1"/>
  <c r="T3357" i="1"/>
  <c r="U3357" i="1"/>
  <c r="BE3357" i="1"/>
  <c r="CC3357" i="1"/>
  <c r="CD3357" i="1"/>
  <c r="A3358" i="1"/>
  <c r="C3358" i="1"/>
  <c r="S3358" i="1"/>
  <c r="T3358" i="1"/>
  <c r="U3358" i="1"/>
  <c r="BE3358" i="1"/>
  <c r="CC3358" i="1"/>
  <c r="CD3358" i="1"/>
  <c r="A3359" i="1"/>
  <c r="C3359" i="1"/>
  <c r="S3359" i="1"/>
  <c r="T3359" i="1"/>
  <c r="U3359" i="1"/>
  <c r="BE3359" i="1"/>
  <c r="CC3359" i="1"/>
  <c r="CD3359" i="1"/>
  <c r="A3360" i="1"/>
  <c r="C3360" i="1"/>
  <c r="S3360" i="1"/>
  <c r="T3360" i="1"/>
  <c r="U3360" i="1"/>
  <c r="BE3360" i="1"/>
  <c r="CC3360" i="1"/>
  <c r="CD3360" i="1"/>
  <c r="A3361" i="1"/>
  <c r="C3361" i="1"/>
  <c r="S3361" i="1"/>
  <c r="T3361" i="1"/>
  <c r="U3361" i="1"/>
  <c r="BE3361" i="1"/>
  <c r="CC3361" i="1"/>
  <c r="CD3361" i="1"/>
  <c r="A3362" i="1"/>
  <c r="C3362" i="1"/>
  <c r="S3362" i="1"/>
  <c r="T3362" i="1"/>
  <c r="U3362" i="1"/>
  <c r="BE3362" i="1"/>
  <c r="CC3362" i="1"/>
  <c r="CD3362" i="1"/>
  <c r="A3363" i="1"/>
  <c r="C3363" i="1"/>
  <c r="S3363" i="1"/>
  <c r="T3363" i="1"/>
  <c r="U3363" i="1"/>
  <c r="BE3363" i="1"/>
  <c r="CC3363" i="1"/>
  <c r="CD3363" i="1"/>
  <c r="A3364" i="1"/>
  <c r="C3364" i="1"/>
  <c r="S3364" i="1"/>
  <c r="T3364" i="1"/>
  <c r="U3364" i="1"/>
  <c r="BE3364" i="1"/>
  <c r="CC3364" i="1"/>
  <c r="CD3364" i="1"/>
  <c r="A3365" i="1"/>
  <c r="C3365" i="1"/>
  <c r="S3365" i="1"/>
  <c r="T3365" i="1"/>
  <c r="U3365" i="1"/>
  <c r="BE3365" i="1"/>
  <c r="CC3365" i="1"/>
  <c r="CD3365" i="1"/>
  <c r="A3366" i="1"/>
  <c r="C3366" i="1"/>
  <c r="S3366" i="1"/>
  <c r="T3366" i="1"/>
  <c r="U3366" i="1"/>
  <c r="BE3366" i="1"/>
  <c r="CC3366" i="1"/>
  <c r="CD3366" i="1"/>
  <c r="A3367" i="1"/>
  <c r="C3367" i="1"/>
  <c r="S3367" i="1"/>
  <c r="T3367" i="1"/>
  <c r="U3367" i="1"/>
  <c r="BE3367" i="1"/>
  <c r="CC3367" i="1"/>
  <c r="CD3367" i="1"/>
  <c r="A3368" i="1"/>
  <c r="C3368" i="1"/>
  <c r="S3368" i="1"/>
  <c r="T3368" i="1"/>
  <c r="U3368" i="1"/>
  <c r="BE3368" i="1"/>
  <c r="CC3368" i="1"/>
  <c r="CD3368" i="1"/>
  <c r="A3369" i="1"/>
  <c r="C3369" i="1"/>
  <c r="S3369" i="1"/>
  <c r="T3369" i="1"/>
  <c r="U3369" i="1"/>
  <c r="BE3369" i="1"/>
  <c r="CC3369" i="1"/>
  <c r="CD3369" i="1"/>
  <c r="A3370" i="1"/>
  <c r="C3370" i="1"/>
  <c r="S3370" i="1"/>
  <c r="T3370" i="1"/>
  <c r="U3370" i="1"/>
  <c r="BE3370" i="1"/>
  <c r="CC3370" i="1"/>
  <c r="CD3370" i="1"/>
  <c r="A3371" i="1"/>
  <c r="C3371" i="1"/>
  <c r="S3371" i="1"/>
  <c r="T3371" i="1"/>
  <c r="U3371" i="1"/>
  <c r="BE3371" i="1"/>
  <c r="CC3371" i="1"/>
  <c r="CD3371" i="1"/>
  <c r="A3372" i="1"/>
  <c r="C3372" i="1"/>
  <c r="S3372" i="1"/>
  <c r="T3372" i="1"/>
  <c r="U3372" i="1"/>
  <c r="BE3372" i="1"/>
  <c r="CC3372" i="1"/>
  <c r="CD3372" i="1"/>
  <c r="A3373" i="1"/>
  <c r="C3373" i="1"/>
  <c r="S3373" i="1"/>
  <c r="T3373" i="1"/>
  <c r="U3373" i="1"/>
  <c r="BE3373" i="1"/>
  <c r="CC3373" i="1"/>
  <c r="CD3373" i="1"/>
  <c r="A3374" i="1"/>
  <c r="C3374" i="1"/>
  <c r="S3374" i="1"/>
  <c r="T3374" i="1"/>
  <c r="U3374" i="1"/>
  <c r="BE3374" i="1"/>
  <c r="CC3374" i="1"/>
  <c r="CD3374" i="1"/>
  <c r="A3375" i="1"/>
  <c r="C3375" i="1"/>
  <c r="S3375" i="1"/>
  <c r="T3375" i="1"/>
  <c r="U3375" i="1"/>
  <c r="BE3375" i="1"/>
  <c r="CC3375" i="1"/>
  <c r="CD3375" i="1"/>
  <c r="A3376" i="1"/>
  <c r="C3376" i="1"/>
  <c r="S3376" i="1"/>
  <c r="T3376" i="1"/>
  <c r="U3376" i="1"/>
  <c r="BE3376" i="1"/>
  <c r="CC3376" i="1"/>
  <c r="CD3376" i="1"/>
  <c r="A3377" i="1"/>
  <c r="C3377" i="1"/>
  <c r="S3377" i="1"/>
  <c r="T3377" i="1"/>
  <c r="U3377" i="1"/>
  <c r="BE3377" i="1"/>
  <c r="CC3377" i="1"/>
  <c r="CD3377" i="1"/>
  <c r="A3378" i="1"/>
  <c r="C3378" i="1"/>
  <c r="S3378" i="1"/>
  <c r="T3378" i="1"/>
  <c r="U3378" i="1"/>
  <c r="BE3378" i="1"/>
  <c r="CC3378" i="1"/>
  <c r="CD3378" i="1"/>
  <c r="A3379" i="1"/>
  <c r="C3379" i="1"/>
  <c r="S3379" i="1"/>
  <c r="T3379" i="1"/>
  <c r="U3379" i="1"/>
  <c r="BE3379" i="1"/>
  <c r="CC3379" i="1"/>
  <c r="CD3379" i="1"/>
  <c r="A3380" i="1"/>
  <c r="C3380" i="1"/>
  <c r="S3380" i="1"/>
  <c r="T3380" i="1"/>
  <c r="U3380" i="1"/>
  <c r="BE3380" i="1"/>
  <c r="CC3380" i="1"/>
  <c r="CD3380" i="1"/>
  <c r="A3381" i="1"/>
  <c r="C3381" i="1"/>
  <c r="S3381" i="1"/>
  <c r="T3381" i="1"/>
  <c r="U3381" i="1"/>
  <c r="BE3381" i="1"/>
  <c r="CC3381" i="1"/>
  <c r="CD3381" i="1"/>
  <c r="A3382" i="1"/>
  <c r="C3382" i="1"/>
  <c r="S3382" i="1"/>
  <c r="T3382" i="1"/>
  <c r="U3382" i="1"/>
  <c r="BE3382" i="1"/>
  <c r="CC3382" i="1"/>
  <c r="CD3382" i="1"/>
  <c r="A3383" i="1"/>
  <c r="C3383" i="1"/>
  <c r="S3383" i="1"/>
  <c r="T3383" i="1"/>
  <c r="U3383" i="1"/>
  <c r="BE3383" i="1"/>
  <c r="CC3383" i="1"/>
  <c r="CD3383" i="1"/>
  <c r="A3384" i="1"/>
  <c r="C3384" i="1"/>
  <c r="S3384" i="1"/>
  <c r="T3384" i="1"/>
  <c r="U3384" i="1"/>
  <c r="BE3384" i="1"/>
  <c r="CC3384" i="1"/>
  <c r="CD3384" i="1"/>
  <c r="A3385" i="1"/>
  <c r="C3385" i="1"/>
  <c r="S3385" i="1"/>
  <c r="T3385" i="1"/>
  <c r="U3385" i="1"/>
  <c r="BE3385" i="1"/>
  <c r="CC3385" i="1"/>
  <c r="CD3385" i="1"/>
  <c r="A3386" i="1"/>
  <c r="C3386" i="1"/>
  <c r="S3386" i="1"/>
  <c r="T3386" i="1"/>
  <c r="U3386" i="1"/>
  <c r="BE3386" i="1"/>
  <c r="CC3386" i="1"/>
  <c r="CD3386" i="1"/>
  <c r="A3387" i="1"/>
  <c r="C3387" i="1"/>
  <c r="S3387" i="1"/>
  <c r="T3387" i="1"/>
  <c r="U3387" i="1"/>
  <c r="BE3387" i="1"/>
  <c r="CC3387" i="1"/>
  <c r="CD3387" i="1"/>
  <c r="A3388" i="1"/>
  <c r="C3388" i="1"/>
  <c r="S3388" i="1"/>
  <c r="T3388" i="1"/>
  <c r="U3388" i="1"/>
  <c r="BE3388" i="1"/>
  <c r="CC3388" i="1"/>
  <c r="CD3388" i="1"/>
  <c r="A3389" i="1"/>
  <c r="C3389" i="1"/>
  <c r="S3389" i="1"/>
  <c r="T3389" i="1"/>
  <c r="U3389" i="1"/>
  <c r="BE3389" i="1"/>
  <c r="CC3389" i="1"/>
  <c r="CD3389" i="1"/>
  <c r="A3390" i="1"/>
  <c r="C3390" i="1"/>
  <c r="S3390" i="1"/>
  <c r="T3390" i="1"/>
  <c r="U3390" i="1"/>
  <c r="BE3390" i="1"/>
  <c r="CC3390" i="1"/>
  <c r="CD3390" i="1"/>
  <c r="A3391" i="1"/>
  <c r="C3391" i="1"/>
  <c r="S3391" i="1"/>
  <c r="T3391" i="1"/>
  <c r="U3391" i="1"/>
  <c r="BE3391" i="1"/>
  <c r="CC3391" i="1"/>
  <c r="CD3391" i="1"/>
  <c r="A3392" i="1"/>
  <c r="C3392" i="1"/>
  <c r="S3392" i="1"/>
  <c r="T3392" i="1"/>
  <c r="U3392" i="1"/>
  <c r="BE3392" i="1"/>
  <c r="CC3392" i="1"/>
  <c r="CD3392" i="1"/>
  <c r="A3393" i="1"/>
  <c r="C3393" i="1"/>
  <c r="S3393" i="1"/>
  <c r="T3393" i="1"/>
  <c r="U3393" i="1"/>
  <c r="BE3393" i="1"/>
  <c r="CC3393" i="1"/>
  <c r="CD3393" i="1"/>
  <c r="A3394" i="1"/>
  <c r="C3394" i="1"/>
  <c r="S3394" i="1"/>
  <c r="T3394" i="1"/>
  <c r="U3394" i="1"/>
  <c r="BE3394" i="1"/>
  <c r="CC3394" i="1"/>
  <c r="CD3394" i="1"/>
  <c r="A3395" i="1"/>
  <c r="C3395" i="1"/>
  <c r="S3395" i="1"/>
  <c r="T3395" i="1"/>
  <c r="U3395" i="1"/>
  <c r="BE3395" i="1"/>
  <c r="CC3395" i="1"/>
  <c r="CD3395" i="1"/>
  <c r="A3396" i="1"/>
  <c r="C3396" i="1"/>
  <c r="S3396" i="1"/>
  <c r="T3396" i="1"/>
  <c r="U3396" i="1"/>
  <c r="BE3396" i="1"/>
  <c r="CC3396" i="1"/>
  <c r="CD3396" i="1"/>
  <c r="A3397" i="1"/>
  <c r="C3397" i="1"/>
  <c r="S3397" i="1"/>
  <c r="T3397" i="1"/>
  <c r="U3397" i="1"/>
  <c r="BE3397" i="1"/>
  <c r="CC3397" i="1"/>
  <c r="CD3397" i="1"/>
  <c r="A3398" i="1"/>
  <c r="C3398" i="1"/>
  <c r="S3398" i="1"/>
  <c r="T3398" i="1"/>
  <c r="U3398" i="1"/>
  <c r="BE3398" i="1"/>
  <c r="CC3398" i="1"/>
  <c r="CD3398" i="1"/>
  <c r="A3399" i="1"/>
  <c r="C3399" i="1"/>
  <c r="S3399" i="1"/>
  <c r="T3399" i="1"/>
  <c r="U3399" i="1"/>
  <c r="BE3399" i="1"/>
  <c r="CC3399" i="1"/>
  <c r="CD3399" i="1"/>
  <c r="A3400" i="1"/>
  <c r="C3400" i="1"/>
  <c r="S3400" i="1"/>
  <c r="T3400" i="1"/>
  <c r="U3400" i="1"/>
  <c r="BE3400" i="1"/>
  <c r="CC3400" i="1"/>
  <c r="CD3400" i="1"/>
  <c r="A3401" i="1"/>
  <c r="C3401" i="1"/>
  <c r="S3401" i="1"/>
  <c r="T3401" i="1"/>
  <c r="U3401" i="1"/>
  <c r="BE3401" i="1"/>
  <c r="CC3401" i="1"/>
  <c r="CD3401" i="1"/>
  <c r="A3402" i="1"/>
  <c r="C3402" i="1"/>
  <c r="S3402" i="1"/>
  <c r="T3402" i="1"/>
  <c r="U3402" i="1"/>
  <c r="BE3402" i="1"/>
  <c r="CC3402" i="1"/>
  <c r="CD3402" i="1"/>
  <c r="A3403" i="1"/>
  <c r="C3403" i="1"/>
  <c r="S3403" i="1"/>
  <c r="T3403" i="1"/>
  <c r="U3403" i="1"/>
  <c r="BE3403" i="1"/>
  <c r="CC3403" i="1"/>
  <c r="CD3403" i="1"/>
  <c r="A3404" i="1"/>
  <c r="C3404" i="1"/>
  <c r="S3404" i="1"/>
  <c r="T3404" i="1"/>
  <c r="U3404" i="1"/>
  <c r="BE3404" i="1"/>
  <c r="CC3404" i="1"/>
  <c r="CD3404" i="1"/>
  <c r="A3405" i="1"/>
  <c r="C3405" i="1"/>
  <c r="S3405" i="1"/>
  <c r="T3405" i="1"/>
  <c r="U3405" i="1"/>
  <c r="BE3405" i="1"/>
  <c r="CC3405" i="1"/>
  <c r="CD3405" i="1"/>
  <c r="A3406" i="1"/>
  <c r="C3406" i="1"/>
  <c r="S3406" i="1"/>
  <c r="T3406" i="1"/>
  <c r="U3406" i="1"/>
  <c r="BE3406" i="1"/>
  <c r="CC3406" i="1"/>
  <c r="CD3406" i="1"/>
  <c r="A3407" i="1"/>
  <c r="C3407" i="1"/>
  <c r="S3407" i="1"/>
  <c r="T3407" i="1"/>
  <c r="U3407" i="1"/>
  <c r="BE3407" i="1"/>
  <c r="CC3407" i="1"/>
  <c r="CD3407" i="1"/>
  <c r="A3408" i="1"/>
  <c r="C3408" i="1"/>
  <c r="S3408" i="1"/>
  <c r="T3408" i="1"/>
  <c r="U3408" i="1"/>
  <c r="BE3408" i="1"/>
  <c r="CC3408" i="1"/>
  <c r="CD3408" i="1"/>
  <c r="A3409" i="1"/>
  <c r="C3409" i="1"/>
  <c r="S3409" i="1"/>
  <c r="T3409" i="1"/>
  <c r="U3409" i="1"/>
  <c r="BE3409" i="1"/>
  <c r="CC3409" i="1"/>
  <c r="CD3409" i="1"/>
  <c r="A3410" i="1"/>
  <c r="C3410" i="1"/>
  <c r="S3410" i="1"/>
  <c r="T3410" i="1"/>
  <c r="U3410" i="1"/>
  <c r="BE3410" i="1"/>
  <c r="CC3410" i="1"/>
  <c r="CD3410" i="1"/>
  <c r="A3411" i="1"/>
  <c r="C3411" i="1"/>
  <c r="S3411" i="1"/>
  <c r="T3411" i="1"/>
  <c r="U3411" i="1"/>
  <c r="BE3411" i="1"/>
  <c r="CC3411" i="1"/>
  <c r="CD3411" i="1"/>
  <c r="A3412" i="1"/>
  <c r="C3412" i="1"/>
  <c r="S3412" i="1"/>
  <c r="T3412" i="1"/>
  <c r="U3412" i="1"/>
  <c r="BE3412" i="1"/>
  <c r="CC3412" i="1"/>
  <c r="CD3412" i="1"/>
  <c r="A3413" i="1"/>
  <c r="C3413" i="1"/>
  <c r="S3413" i="1"/>
  <c r="T3413" i="1"/>
  <c r="U3413" i="1"/>
  <c r="BE3413" i="1"/>
  <c r="CC3413" i="1"/>
  <c r="CD3413" i="1"/>
  <c r="A3414" i="1"/>
  <c r="C3414" i="1"/>
  <c r="S3414" i="1"/>
  <c r="T3414" i="1"/>
  <c r="U3414" i="1"/>
  <c r="BE3414" i="1"/>
  <c r="CC3414" i="1"/>
  <c r="CD3414" i="1"/>
  <c r="A3415" i="1"/>
  <c r="C3415" i="1"/>
  <c r="S3415" i="1"/>
  <c r="T3415" i="1"/>
  <c r="U3415" i="1"/>
  <c r="BE3415" i="1"/>
  <c r="CC3415" i="1"/>
  <c r="CD3415" i="1"/>
  <c r="A3416" i="1"/>
  <c r="C3416" i="1"/>
  <c r="S3416" i="1"/>
  <c r="T3416" i="1"/>
  <c r="U3416" i="1"/>
  <c r="BE3416" i="1"/>
  <c r="CC3416" i="1"/>
  <c r="CD3416" i="1"/>
  <c r="A3417" i="1"/>
  <c r="C3417" i="1"/>
  <c r="S3417" i="1"/>
  <c r="T3417" i="1"/>
  <c r="U3417" i="1"/>
  <c r="BE3417" i="1"/>
  <c r="CC3417" i="1"/>
  <c r="CD3417" i="1"/>
  <c r="A3418" i="1"/>
  <c r="C3418" i="1"/>
  <c r="S3418" i="1"/>
  <c r="T3418" i="1"/>
  <c r="U3418" i="1"/>
  <c r="BE3418" i="1"/>
  <c r="CC3418" i="1"/>
  <c r="CD3418" i="1"/>
  <c r="A3419" i="1"/>
  <c r="C3419" i="1"/>
  <c r="S3419" i="1"/>
  <c r="T3419" i="1"/>
  <c r="U3419" i="1"/>
  <c r="BE3419" i="1"/>
  <c r="CC3419" i="1"/>
  <c r="CD3419" i="1"/>
  <c r="A3420" i="1"/>
  <c r="C3420" i="1"/>
  <c r="S3420" i="1"/>
  <c r="T3420" i="1"/>
  <c r="U3420" i="1"/>
  <c r="BE3420" i="1"/>
  <c r="CC3420" i="1"/>
  <c r="CD3420" i="1"/>
  <c r="A3421" i="1"/>
  <c r="C3421" i="1"/>
  <c r="S3421" i="1"/>
  <c r="T3421" i="1"/>
  <c r="U3421" i="1"/>
  <c r="BE3421" i="1"/>
  <c r="CC3421" i="1"/>
  <c r="CD3421" i="1"/>
  <c r="A3422" i="1"/>
  <c r="C3422" i="1"/>
  <c r="S3422" i="1"/>
  <c r="T3422" i="1"/>
  <c r="U3422" i="1"/>
  <c r="BE3422" i="1"/>
  <c r="CC3422" i="1"/>
  <c r="CD3422" i="1"/>
  <c r="A3423" i="1"/>
  <c r="C3423" i="1"/>
  <c r="S3423" i="1"/>
  <c r="T3423" i="1"/>
  <c r="U3423" i="1"/>
  <c r="BE3423" i="1"/>
  <c r="CC3423" i="1"/>
  <c r="CD3423" i="1"/>
  <c r="A3424" i="1"/>
  <c r="C3424" i="1"/>
  <c r="S3424" i="1"/>
  <c r="T3424" i="1"/>
  <c r="U3424" i="1"/>
  <c r="BE3424" i="1"/>
  <c r="CC3424" i="1"/>
  <c r="CD3424" i="1"/>
  <c r="A3425" i="1"/>
  <c r="C3425" i="1"/>
  <c r="S3425" i="1"/>
  <c r="T3425" i="1"/>
  <c r="U3425" i="1"/>
  <c r="BE3425" i="1"/>
  <c r="CC3425" i="1"/>
  <c r="CD3425" i="1"/>
  <c r="A3426" i="1"/>
  <c r="C3426" i="1"/>
  <c r="S3426" i="1"/>
  <c r="T3426" i="1"/>
  <c r="U3426" i="1"/>
  <c r="BE3426" i="1"/>
  <c r="CC3426" i="1"/>
  <c r="CD3426" i="1"/>
  <c r="A3427" i="1"/>
  <c r="C3427" i="1"/>
  <c r="S3427" i="1"/>
  <c r="T3427" i="1"/>
  <c r="U3427" i="1"/>
  <c r="BE3427" i="1"/>
  <c r="CC3427" i="1"/>
  <c r="CD3427" i="1"/>
  <c r="A3428" i="1"/>
  <c r="C3428" i="1"/>
  <c r="S3428" i="1"/>
  <c r="T3428" i="1"/>
  <c r="U3428" i="1"/>
  <c r="BE3428" i="1"/>
  <c r="CC3428" i="1"/>
  <c r="CD3428" i="1"/>
  <c r="A3429" i="1"/>
  <c r="C3429" i="1"/>
  <c r="S3429" i="1"/>
  <c r="T3429" i="1"/>
  <c r="U3429" i="1"/>
  <c r="BE3429" i="1"/>
  <c r="CC3429" i="1"/>
  <c r="CD3429" i="1"/>
  <c r="A3430" i="1"/>
  <c r="C3430" i="1"/>
  <c r="S3430" i="1"/>
  <c r="T3430" i="1"/>
  <c r="U3430" i="1"/>
  <c r="BE3430" i="1"/>
  <c r="CC3430" i="1"/>
  <c r="CD3430" i="1"/>
  <c r="A3431" i="1"/>
  <c r="C3431" i="1"/>
  <c r="S3431" i="1"/>
  <c r="T3431" i="1"/>
  <c r="U3431" i="1"/>
  <c r="BE3431" i="1"/>
  <c r="CC3431" i="1"/>
  <c r="CD3431" i="1"/>
  <c r="A3432" i="1"/>
  <c r="C3432" i="1"/>
  <c r="S3432" i="1"/>
  <c r="T3432" i="1"/>
  <c r="U3432" i="1"/>
  <c r="BE3432" i="1"/>
  <c r="CC3432" i="1"/>
  <c r="CD3432" i="1"/>
  <c r="A3433" i="1"/>
  <c r="C3433" i="1"/>
  <c r="S3433" i="1"/>
  <c r="T3433" i="1"/>
  <c r="U3433" i="1"/>
  <c r="BE3433" i="1"/>
  <c r="CC3433" i="1"/>
  <c r="CD3433" i="1"/>
  <c r="A3434" i="1"/>
  <c r="C3434" i="1"/>
  <c r="S3434" i="1"/>
  <c r="T3434" i="1"/>
  <c r="U3434" i="1"/>
  <c r="BE3434" i="1"/>
  <c r="CC3434" i="1"/>
  <c r="CD3434" i="1"/>
  <c r="A3435" i="1"/>
  <c r="C3435" i="1"/>
  <c r="S3435" i="1"/>
  <c r="T3435" i="1"/>
  <c r="U3435" i="1"/>
  <c r="BE3435" i="1"/>
  <c r="CC3435" i="1"/>
  <c r="CD3435" i="1"/>
  <c r="A3436" i="1"/>
  <c r="C3436" i="1"/>
  <c r="S3436" i="1"/>
  <c r="T3436" i="1"/>
  <c r="U3436" i="1"/>
  <c r="BE3436" i="1"/>
  <c r="CC3436" i="1"/>
  <c r="CD3436" i="1"/>
  <c r="A3437" i="1"/>
  <c r="C3437" i="1"/>
  <c r="S3437" i="1"/>
  <c r="T3437" i="1"/>
  <c r="U3437" i="1"/>
  <c r="BE3437" i="1"/>
  <c r="CC3437" i="1"/>
  <c r="CD3437" i="1"/>
  <c r="A3438" i="1"/>
  <c r="C3438" i="1"/>
  <c r="S3438" i="1"/>
  <c r="T3438" i="1"/>
  <c r="U3438" i="1"/>
  <c r="BE3438" i="1"/>
  <c r="CC3438" i="1"/>
  <c r="CD3438" i="1"/>
  <c r="A3439" i="1"/>
  <c r="C3439" i="1"/>
  <c r="S3439" i="1"/>
  <c r="T3439" i="1"/>
  <c r="U3439" i="1"/>
  <c r="BE3439" i="1"/>
  <c r="CC3439" i="1"/>
  <c r="CD3439" i="1"/>
  <c r="A3440" i="1"/>
  <c r="C3440" i="1"/>
  <c r="S3440" i="1"/>
  <c r="T3440" i="1"/>
  <c r="U3440" i="1"/>
  <c r="BE3440" i="1"/>
  <c r="CC3440" i="1"/>
  <c r="CD3440" i="1"/>
  <c r="A3441" i="1"/>
  <c r="C3441" i="1"/>
  <c r="S3441" i="1"/>
  <c r="T3441" i="1"/>
  <c r="U3441" i="1"/>
  <c r="BE3441" i="1"/>
  <c r="CC3441" i="1"/>
  <c r="CD3441" i="1"/>
  <c r="A3442" i="1"/>
  <c r="C3442" i="1"/>
  <c r="S3442" i="1"/>
  <c r="T3442" i="1"/>
  <c r="U3442" i="1"/>
  <c r="BE3442" i="1"/>
  <c r="CC3442" i="1"/>
  <c r="CD3442" i="1"/>
  <c r="A3443" i="1"/>
  <c r="C3443" i="1"/>
  <c r="S3443" i="1"/>
  <c r="T3443" i="1"/>
  <c r="U3443" i="1"/>
  <c r="BE3443" i="1"/>
  <c r="CC3443" i="1"/>
  <c r="CD3443" i="1"/>
  <c r="A3444" i="1"/>
  <c r="C3444" i="1"/>
  <c r="S3444" i="1"/>
  <c r="T3444" i="1"/>
  <c r="U3444" i="1"/>
  <c r="BE3444" i="1"/>
  <c r="CC3444" i="1"/>
  <c r="CD3444" i="1"/>
  <c r="A3445" i="1"/>
  <c r="C3445" i="1"/>
  <c r="S3445" i="1"/>
  <c r="T3445" i="1"/>
  <c r="U3445" i="1"/>
  <c r="BE3445" i="1"/>
  <c r="CC3445" i="1"/>
  <c r="CD3445" i="1"/>
  <c r="A3446" i="1"/>
  <c r="C3446" i="1"/>
  <c r="S3446" i="1"/>
  <c r="T3446" i="1"/>
  <c r="U3446" i="1"/>
  <c r="BE3446" i="1"/>
  <c r="CC3446" i="1"/>
  <c r="CD3446" i="1"/>
  <c r="A3447" i="1"/>
  <c r="C3447" i="1"/>
  <c r="S3447" i="1"/>
  <c r="T3447" i="1"/>
  <c r="U3447" i="1"/>
  <c r="BE3447" i="1"/>
  <c r="CC3447" i="1"/>
  <c r="CD3447" i="1"/>
  <c r="A3448" i="1"/>
  <c r="C3448" i="1"/>
  <c r="S3448" i="1"/>
  <c r="T3448" i="1"/>
  <c r="U3448" i="1"/>
  <c r="BE3448" i="1"/>
  <c r="CC3448" i="1"/>
  <c r="CD3448" i="1"/>
  <c r="A3449" i="1"/>
  <c r="C3449" i="1"/>
  <c r="S3449" i="1"/>
  <c r="T3449" i="1"/>
  <c r="U3449" i="1"/>
  <c r="BE3449" i="1"/>
  <c r="CC3449" i="1"/>
  <c r="CD3449" i="1"/>
  <c r="A3450" i="1"/>
  <c r="C3450" i="1"/>
  <c r="S3450" i="1"/>
  <c r="T3450" i="1"/>
  <c r="U3450" i="1"/>
  <c r="BE3450" i="1"/>
  <c r="CC3450" i="1"/>
  <c r="CD3450" i="1"/>
  <c r="A3451" i="1"/>
  <c r="C3451" i="1"/>
  <c r="S3451" i="1"/>
  <c r="T3451" i="1"/>
  <c r="U3451" i="1"/>
  <c r="BE3451" i="1"/>
  <c r="CC3451" i="1"/>
  <c r="CD3451" i="1"/>
  <c r="A3452" i="1"/>
  <c r="C3452" i="1"/>
  <c r="S3452" i="1"/>
  <c r="T3452" i="1"/>
  <c r="U3452" i="1"/>
  <c r="BE3452" i="1"/>
  <c r="CC3452" i="1"/>
  <c r="CD3452" i="1"/>
  <c r="A3453" i="1"/>
  <c r="C3453" i="1"/>
  <c r="S3453" i="1"/>
  <c r="T3453" i="1"/>
  <c r="U3453" i="1"/>
  <c r="BE3453" i="1"/>
  <c r="CC3453" i="1"/>
  <c r="CD3453" i="1"/>
  <c r="A3454" i="1"/>
  <c r="C3454" i="1"/>
  <c r="S3454" i="1"/>
  <c r="T3454" i="1"/>
  <c r="U3454" i="1"/>
  <c r="BE3454" i="1"/>
  <c r="CC3454" i="1"/>
  <c r="CD3454" i="1"/>
  <c r="A3455" i="1"/>
  <c r="C3455" i="1"/>
  <c r="S3455" i="1"/>
  <c r="T3455" i="1"/>
  <c r="U3455" i="1"/>
  <c r="BE3455" i="1"/>
  <c r="CC3455" i="1"/>
  <c r="CD3455" i="1"/>
  <c r="A3456" i="1"/>
  <c r="C3456" i="1"/>
  <c r="S3456" i="1"/>
  <c r="T3456" i="1"/>
  <c r="U3456" i="1"/>
  <c r="BE3456" i="1"/>
  <c r="CC3456" i="1"/>
  <c r="CD3456" i="1"/>
  <c r="A3457" i="1"/>
  <c r="C3457" i="1"/>
  <c r="S3457" i="1"/>
  <c r="T3457" i="1"/>
  <c r="U3457" i="1"/>
  <c r="BE3457" i="1"/>
  <c r="CC3457" i="1"/>
  <c r="CD3457" i="1"/>
  <c r="A3458" i="1"/>
  <c r="C3458" i="1"/>
  <c r="S3458" i="1"/>
  <c r="T3458" i="1"/>
  <c r="U3458" i="1"/>
  <c r="BE3458" i="1"/>
  <c r="CC3458" i="1"/>
  <c r="CD3458" i="1"/>
  <c r="A3459" i="1"/>
  <c r="C3459" i="1"/>
  <c r="S3459" i="1"/>
  <c r="T3459" i="1"/>
  <c r="U3459" i="1"/>
  <c r="BE3459" i="1"/>
  <c r="CC3459" i="1"/>
  <c r="CD3459" i="1"/>
  <c r="A3460" i="1"/>
  <c r="C3460" i="1"/>
  <c r="S3460" i="1"/>
  <c r="T3460" i="1"/>
  <c r="U3460" i="1"/>
  <c r="BE3460" i="1"/>
  <c r="CC3460" i="1"/>
  <c r="CD3460" i="1"/>
  <c r="A3461" i="1"/>
  <c r="C3461" i="1"/>
  <c r="S3461" i="1"/>
  <c r="T3461" i="1"/>
  <c r="U3461" i="1"/>
  <c r="BE3461" i="1"/>
  <c r="CC3461" i="1"/>
  <c r="CD3461" i="1"/>
  <c r="A3462" i="1"/>
  <c r="C3462" i="1"/>
  <c r="S3462" i="1"/>
  <c r="T3462" i="1"/>
  <c r="U3462" i="1"/>
  <c r="BE3462" i="1"/>
  <c r="CC3462" i="1"/>
  <c r="CD3462" i="1"/>
  <c r="A3463" i="1"/>
  <c r="C3463" i="1"/>
  <c r="S3463" i="1"/>
  <c r="T3463" i="1"/>
  <c r="U3463" i="1"/>
  <c r="BE3463" i="1"/>
  <c r="CC3463" i="1"/>
  <c r="CD3463" i="1"/>
  <c r="A3464" i="1"/>
  <c r="C3464" i="1"/>
  <c r="S3464" i="1"/>
  <c r="T3464" i="1"/>
  <c r="U3464" i="1"/>
  <c r="BE3464" i="1"/>
  <c r="CC3464" i="1"/>
  <c r="CD3464" i="1"/>
  <c r="A3465" i="1"/>
  <c r="C3465" i="1"/>
  <c r="S3465" i="1"/>
  <c r="T3465" i="1"/>
  <c r="U3465" i="1"/>
  <c r="BE3465" i="1"/>
  <c r="CC3465" i="1"/>
  <c r="CD3465" i="1"/>
  <c r="A3466" i="1"/>
  <c r="C3466" i="1"/>
  <c r="S3466" i="1"/>
  <c r="T3466" i="1"/>
  <c r="U3466" i="1"/>
  <c r="BE3466" i="1"/>
  <c r="CC3466" i="1"/>
  <c r="CD3466" i="1"/>
  <c r="A3467" i="1"/>
  <c r="C3467" i="1"/>
  <c r="S3467" i="1"/>
  <c r="T3467" i="1"/>
  <c r="U3467" i="1"/>
  <c r="BE3467" i="1"/>
  <c r="CC3467" i="1"/>
  <c r="CD3467" i="1"/>
  <c r="A3468" i="1"/>
  <c r="C3468" i="1"/>
  <c r="S3468" i="1"/>
  <c r="T3468" i="1"/>
  <c r="U3468" i="1"/>
  <c r="BE3468" i="1"/>
  <c r="CC3468" i="1"/>
  <c r="CD3468" i="1"/>
  <c r="A3469" i="1"/>
  <c r="C3469" i="1"/>
  <c r="S3469" i="1"/>
  <c r="T3469" i="1"/>
  <c r="U3469" i="1"/>
  <c r="BE3469" i="1"/>
  <c r="CC3469" i="1"/>
  <c r="CD3469" i="1"/>
  <c r="A3470" i="1"/>
  <c r="C3470" i="1"/>
  <c r="S3470" i="1"/>
  <c r="T3470" i="1"/>
  <c r="U3470" i="1"/>
  <c r="BE3470" i="1"/>
  <c r="CC3470" i="1"/>
  <c r="CD3470" i="1"/>
  <c r="A3471" i="1"/>
  <c r="C3471" i="1"/>
  <c r="S3471" i="1"/>
  <c r="T3471" i="1"/>
  <c r="U3471" i="1"/>
  <c r="BE3471" i="1"/>
  <c r="CC3471" i="1"/>
  <c r="CD3471" i="1"/>
  <c r="A3472" i="1"/>
  <c r="C3472" i="1"/>
  <c r="S3472" i="1"/>
  <c r="T3472" i="1"/>
  <c r="U3472" i="1"/>
  <c r="BE3472" i="1"/>
  <c r="CC3472" i="1"/>
  <c r="CD3472" i="1"/>
  <c r="A3473" i="1"/>
  <c r="C3473" i="1"/>
  <c r="S3473" i="1"/>
  <c r="T3473" i="1"/>
  <c r="U3473" i="1"/>
  <c r="BE3473" i="1"/>
  <c r="CC3473" i="1"/>
  <c r="CD3473" i="1"/>
  <c r="A3474" i="1"/>
  <c r="C3474" i="1"/>
  <c r="S3474" i="1"/>
  <c r="T3474" i="1"/>
  <c r="U3474" i="1"/>
  <c r="BE3474" i="1"/>
  <c r="CC3474" i="1"/>
  <c r="CD3474" i="1"/>
  <c r="A3475" i="1"/>
  <c r="C3475" i="1"/>
  <c r="S3475" i="1"/>
  <c r="T3475" i="1"/>
  <c r="U3475" i="1"/>
  <c r="BE3475" i="1"/>
  <c r="CC3475" i="1"/>
  <c r="CD3475" i="1"/>
  <c r="A3476" i="1"/>
  <c r="C3476" i="1"/>
  <c r="S3476" i="1"/>
  <c r="T3476" i="1"/>
  <c r="U3476" i="1"/>
  <c r="BE3476" i="1"/>
  <c r="CC3476" i="1"/>
  <c r="CD3476" i="1"/>
  <c r="A3477" i="1"/>
  <c r="C3477" i="1"/>
  <c r="S3477" i="1"/>
  <c r="T3477" i="1"/>
  <c r="U3477" i="1"/>
  <c r="BE3477" i="1"/>
  <c r="CC3477" i="1"/>
  <c r="CD3477" i="1"/>
  <c r="A3478" i="1"/>
  <c r="C3478" i="1"/>
  <c r="S3478" i="1"/>
  <c r="T3478" i="1"/>
  <c r="U3478" i="1"/>
  <c r="BE3478" i="1"/>
  <c r="CC3478" i="1"/>
  <c r="CD3478" i="1"/>
  <c r="A3479" i="1"/>
  <c r="C3479" i="1"/>
  <c r="S3479" i="1"/>
  <c r="T3479" i="1"/>
  <c r="U3479" i="1"/>
  <c r="BE3479" i="1"/>
  <c r="CC3479" i="1"/>
  <c r="CD3479" i="1"/>
  <c r="A3480" i="1"/>
  <c r="C3480" i="1"/>
  <c r="S3480" i="1"/>
  <c r="T3480" i="1"/>
  <c r="U3480" i="1"/>
  <c r="BE3480" i="1"/>
  <c r="CC3480" i="1"/>
  <c r="CD3480" i="1"/>
  <c r="A3481" i="1"/>
  <c r="C3481" i="1"/>
  <c r="S3481" i="1"/>
  <c r="T3481" i="1"/>
  <c r="U3481" i="1"/>
  <c r="BE3481" i="1"/>
  <c r="CC3481" i="1"/>
  <c r="CD3481" i="1"/>
  <c r="A3482" i="1"/>
  <c r="C3482" i="1"/>
  <c r="S3482" i="1"/>
  <c r="T3482" i="1"/>
  <c r="U3482" i="1"/>
  <c r="BE3482" i="1"/>
  <c r="CC3482" i="1"/>
  <c r="CD3482" i="1"/>
  <c r="A3483" i="1"/>
  <c r="C3483" i="1"/>
  <c r="S3483" i="1"/>
  <c r="T3483" i="1"/>
  <c r="U3483" i="1"/>
  <c r="BE3483" i="1"/>
  <c r="CC3483" i="1"/>
  <c r="CD3483" i="1"/>
  <c r="A3484" i="1"/>
  <c r="C3484" i="1"/>
  <c r="S3484" i="1"/>
  <c r="T3484" i="1"/>
  <c r="U3484" i="1"/>
  <c r="BE3484" i="1"/>
  <c r="CC3484" i="1"/>
  <c r="CD3484" i="1"/>
  <c r="A3485" i="1"/>
  <c r="C3485" i="1"/>
  <c r="S3485" i="1"/>
  <c r="T3485" i="1"/>
  <c r="U3485" i="1"/>
  <c r="BE3485" i="1"/>
  <c r="CC3485" i="1"/>
  <c r="CD3485" i="1"/>
  <c r="A3486" i="1"/>
  <c r="C3486" i="1"/>
  <c r="S3486" i="1"/>
  <c r="T3486" i="1"/>
  <c r="U3486" i="1"/>
  <c r="BE3486" i="1"/>
  <c r="CC3486" i="1"/>
  <c r="CD3486" i="1"/>
  <c r="A3487" i="1"/>
  <c r="C3487" i="1"/>
  <c r="S3487" i="1"/>
  <c r="T3487" i="1"/>
  <c r="U3487" i="1"/>
  <c r="BE3487" i="1"/>
  <c r="CC3487" i="1"/>
  <c r="CD3487" i="1"/>
  <c r="A3488" i="1"/>
  <c r="C3488" i="1"/>
  <c r="S3488" i="1"/>
  <c r="T3488" i="1"/>
  <c r="U3488" i="1"/>
  <c r="BE3488" i="1"/>
  <c r="CC3488" i="1"/>
  <c r="CD3488" i="1"/>
  <c r="A3489" i="1"/>
  <c r="C3489" i="1"/>
  <c r="S3489" i="1"/>
  <c r="T3489" i="1"/>
  <c r="U3489" i="1"/>
  <c r="BE3489" i="1"/>
  <c r="CC3489" i="1"/>
  <c r="CD3489" i="1"/>
  <c r="A3490" i="1"/>
  <c r="C3490" i="1"/>
  <c r="S3490" i="1"/>
  <c r="T3490" i="1"/>
  <c r="U3490" i="1"/>
  <c r="BE3490" i="1"/>
  <c r="CC3490" i="1"/>
  <c r="CD3490" i="1"/>
  <c r="A3491" i="1"/>
  <c r="C3491" i="1"/>
  <c r="S3491" i="1"/>
  <c r="T3491" i="1"/>
  <c r="U3491" i="1"/>
  <c r="BE3491" i="1"/>
  <c r="CC3491" i="1"/>
  <c r="CD3491" i="1"/>
  <c r="A3492" i="1"/>
  <c r="C3492" i="1"/>
  <c r="S3492" i="1"/>
  <c r="T3492" i="1"/>
  <c r="U3492" i="1"/>
  <c r="BE3492" i="1"/>
  <c r="CC3492" i="1"/>
  <c r="CD3492" i="1"/>
  <c r="A3493" i="1"/>
  <c r="C3493" i="1"/>
  <c r="S3493" i="1"/>
  <c r="T3493" i="1"/>
  <c r="U3493" i="1"/>
  <c r="BE3493" i="1"/>
  <c r="CC3493" i="1"/>
  <c r="CD3493" i="1"/>
  <c r="A3494" i="1"/>
  <c r="C3494" i="1"/>
  <c r="S3494" i="1"/>
  <c r="T3494" i="1"/>
  <c r="U3494" i="1"/>
  <c r="BE3494" i="1"/>
  <c r="CC3494" i="1"/>
  <c r="CD3494" i="1"/>
  <c r="A3495" i="1"/>
  <c r="C3495" i="1"/>
  <c r="S3495" i="1"/>
  <c r="T3495" i="1"/>
  <c r="U3495" i="1"/>
  <c r="BE3495" i="1"/>
  <c r="CC3495" i="1"/>
  <c r="CD3495" i="1"/>
  <c r="A3496" i="1"/>
  <c r="C3496" i="1"/>
  <c r="S3496" i="1"/>
  <c r="T3496" i="1"/>
  <c r="U3496" i="1"/>
  <c r="BE3496" i="1"/>
  <c r="CC3496" i="1"/>
  <c r="CD3496" i="1"/>
  <c r="A3497" i="1"/>
  <c r="C3497" i="1"/>
  <c r="S3497" i="1"/>
  <c r="T3497" i="1"/>
  <c r="U3497" i="1"/>
  <c r="BE3497" i="1"/>
  <c r="CC3497" i="1"/>
  <c r="CD3497" i="1"/>
  <c r="A3498" i="1"/>
  <c r="C3498" i="1"/>
  <c r="S3498" i="1"/>
  <c r="T3498" i="1"/>
  <c r="U3498" i="1"/>
  <c r="BE3498" i="1"/>
  <c r="CC3498" i="1"/>
  <c r="CD3498" i="1"/>
  <c r="A3499" i="1"/>
  <c r="C3499" i="1"/>
  <c r="S3499" i="1"/>
  <c r="T3499" i="1"/>
  <c r="U3499" i="1"/>
  <c r="BE3499" i="1"/>
  <c r="CC3499" i="1"/>
  <c r="CD3499" i="1"/>
  <c r="A3500" i="1"/>
  <c r="C3500" i="1"/>
  <c r="S3500" i="1"/>
  <c r="T3500" i="1"/>
  <c r="U3500" i="1"/>
  <c r="BE3500" i="1"/>
  <c r="CC3500" i="1"/>
  <c r="CD3500" i="1"/>
  <c r="A3501" i="1"/>
  <c r="C3501" i="1"/>
  <c r="S3501" i="1"/>
  <c r="T3501" i="1"/>
  <c r="U3501" i="1"/>
  <c r="BE3501" i="1"/>
  <c r="CC3501" i="1"/>
  <c r="CD3501" i="1"/>
  <c r="A3502" i="1"/>
  <c r="C3502" i="1"/>
  <c r="S3502" i="1"/>
  <c r="T3502" i="1"/>
  <c r="U3502" i="1"/>
  <c r="BE3502" i="1"/>
  <c r="CC3502" i="1"/>
  <c r="CD3502" i="1"/>
  <c r="A3503" i="1"/>
  <c r="C3503" i="1"/>
  <c r="S3503" i="1"/>
  <c r="T3503" i="1"/>
  <c r="U3503" i="1"/>
  <c r="BE3503" i="1"/>
  <c r="CC3503" i="1"/>
  <c r="CD3503" i="1"/>
  <c r="A3504" i="1"/>
  <c r="C3504" i="1"/>
  <c r="S3504" i="1"/>
  <c r="T3504" i="1"/>
  <c r="U3504" i="1"/>
  <c r="BE3504" i="1"/>
  <c r="CC3504" i="1"/>
  <c r="CD3504" i="1"/>
  <c r="A3505" i="1"/>
  <c r="C3505" i="1"/>
  <c r="S3505" i="1"/>
  <c r="T3505" i="1"/>
  <c r="U3505" i="1"/>
  <c r="BE3505" i="1"/>
  <c r="CC3505" i="1"/>
  <c r="CD3505" i="1"/>
  <c r="A3506" i="1"/>
  <c r="C3506" i="1"/>
  <c r="S3506" i="1"/>
  <c r="T3506" i="1"/>
  <c r="U3506" i="1"/>
  <c r="BE3506" i="1"/>
  <c r="CC3506" i="1"/>
  <c r="CD3506" i="1"/>
  <c r="A3507" i="1"/>
  <c r="C3507" i="1"/>
  <c r="S3507" i="1"/>
  <c r="T3507" i="1"/>
  <c r="U3507" i="1"/>
  <c r="BE3507" i="1"/>
  <c r="CC3507" i="1"/>
  <c r="CD3507" i="1"/>
  <c r="A3508" i="1"/>
  <c r="C3508" i="1"/>
  <c r="S3508" i="1"/>
  <c r="T3508" i="1"/>
  <c r="U3508" i="1"/>
  <c r="BE3508" i="1"/>
  <c r="CC3508" i="1"/>
  <c r="CD3508" i="1"/>
  <c r="A3509" i="1"/>
  <c r="C3509" i="1"/>
  <c r="S3509" i="1"/>
  <c r="T3509" i="1"/>
  <c r="U3509" i="1"/>
  <c r="BE3509" i="1"/>
  <c r="CC3509" i="1"/>
  <c r="CD3509" i="1"/>
  <c r="A3510" i="1"/>
  <c r="C3510" i="1"/>
  <c r="S3510" i="1"/>
  <c r="T3510" i="1"/>
  <c r="U3510" i="1"/>
  <c r="BE3510" i="1"/>
  <c r="CC3510" i="1"/>
  <c r="CD3510" i="1"/>
  <c r="A3511" i="1"/>
  <c r="C3511" i="1"/>
  <c r="S3511" i="1"/>
  <c r="T3511" i="1"/>
  <c r="U3511" i="1"/>
  <c r="BE3511" i="1"/>
  <c r="CC3511" i="1"/>
  <c r="CD3511" i="1"/>
  <c r="A3512" i="1"/>
  <c r="C3512" i="1"/>
  <c r="S3512" i="1"/>
  <c r="T3512" i="1"/>
  <c r="U3512" i="1"/>
  <c r="BE3512" i="1"/>
  <c r="CC3512" i="1"/>
  <c r="CD3512" i="1"/>
  <c r="A3513" i="1"/>
  <c r="C3513" i="1"/>
  <c r="S3513" i="1"/>
  <c r="T3513" i="1"/>
  <c r="U3513" i="1"/>
  <c r="BE3513" i="1"/>
  <c r="CC3513" i="1"/>
  <c r="CD3513" i="1"/>
  <c r="A3514" i="1"/>
  <c r="C3514" i="1"/>
  <c r="S3514" i="1"/>
  <c r="T3514" i="1"/>
  <c r="U3514" i="1"/>
  <c r="BE3514" i="1"/>
  <c r="CC3514" i="1"/>
  <c r="CD3514" i="1"/>
  <c r="A3515" i="1"/>
  <c r="C3515" i="1"/>
  <c r="S3515" i="1"/>
  <c r="T3515" i="1"/>
  <c r="U3515" i="1"/>
  <c r="BE3515" i="1"/>
  <c r="CC3515" i="1"/>
  <c r="CD3515" i="1"/>
  <c r="A3516" i="1"/>
  <c r="C3516" i="1"/>
  <c r="S3516" i="1"/>
  <c r="T3516" i="1"/>
  <c r="U3516" i="1"/>
  <c r="BE3516" i="1"/>
  <c r="CC3516" i="1"/>
  <c r="CD3516" i="1"/>
  <c r="A3517" i="1"/>
  <c r="C3517" i="1"/>
  <c r="S3517" i="1"/>
  <c r="T3517" i="1"/>
  <c r="U3517" i="1"/>
  <c r="BE3517" i="1"/>
  <c r="CC3517" i="1"/>
  <c r="CD3517" i="1"/>
  <c r="A3518" i="1"/>
  <c r="C3518" i="1"/>
  <c r="S3518" i="1"/>
  <c r="T3518" i="1"/>
  <c r="U3518" i="1"/>
  <c r="BE3518" i="1"/>
  <c r="CC3518" i="1"/>
  <c r="CD3518" i="1"/>
  <c r="A3519" i="1"/>
  <c r="C3519" i="1"/>
  <c r="S3519" i="1"/>
  <c r="T3519" i="1"/>
  <c r="U3519" i="1"/>
  <c r="BE3519" i="1"/>
  <c r="CC3519" i="1"/>
  <c r="CD3519" i="1"/>
  <c r="A3520" i="1"/>
  <c r="C3520" i="1"/>
  <c r="S3520" i="1"/>
  <c r="T3520" i="1"/>
  <c r="U3520" i="1"/>
  <c r="BE3520" i="1"/>
  <c r="CC3520" i="1"/>
  <c r="CD3520" i="1"/>
  <c r="A3521" i="1"/>
  <c r="C3521" i="1"/>
  <c r="S3521" i="1"/>
  <c r="T3521" i="1"/>
  <c r="U3521" i="1"/>
  <c r="BE3521" i="1"/>
  <c r="CC3521" i="1"/>
  <c r="CD3521" i="1"/>
  <c r="A3522" i="1"/>
  <c r="C3522" i="1"/>
  <c r="S3522" i="1"/>
  <c r="T3522" i="1"/>
  <c r="U3522" i="1"/>
  <c r="BE3522" i="1"/>
  <c r="CC3522" i="1"/>
  <c r="CD3522" i="1"/>
  <c r="A3523" i="1"/>
  <c r="C3523" i="1"/>
  <c r="S3523" i="1"/>
  <c r="T3523" i="1"/>
  <c r="U3523" i="1"/>
  <c r="BE3523" i="1"/>
  <c r="CC3523" i="1"/>
  <c r="CD3523" i="1"/>
  <c r="A3524" i="1"/>
  <c r="C3524" i="1"/>
  <c r="S3524" i="1"/>
  <c r="T3524" i="1"/>
  <c r="U3524" i="1"/>
  <c r="BE3524" i="1"/>
  <c r="CC3524" i="1"/>
  <c r="CD3524" i="1"/>
  <c r="A3525" i="1"/>
  <c r="C3525" i="1"/>
  <c r="S3525" i="1"/>
  <c r="T3525" i="1"/>
  <c r="U3525" i="1"/>
  <c r="BE3525" i="1"/>
  <c r="CC3525" i="1"/>
  <c r="CD3525" i="1"/>
  <c r="A3526" i="1"/>
  <c r="C3526" i="1"/>
  <c r="S3526" i="1"/>
  <c r="T3526" i="1"/>
  <c r="U3526" i="1"/>
  <c r="BE3526" i="1"/>
  <c r="CC3526" i="1"/>
  <c r="CD3526" i="1"/>
  <c r="A3527" i="1"/>
  <c r="C3527" i="1"/>
  <c r="S3527" i="1"/>
  <c r="T3527" i="1"/>
  <c r="U3527" i="1"/>
  <c r="BE3527" i="1"/>
  <c r="CC3527" i="1"/>
  <c r="CD3527" i="1"/>
  <c r="A3528" i="1"/>
  <c r="C3528" i="1"/>
  <c r="S3528" i="1"/>
  <c r="T3528" i="1"/>
  <c r="U3528" i="1"/>
  <c r="BE3528" i="1"/>
  <c r="CC3528" i="1"/>
  <c r="CD3528" i="1"/>
  <c r="A3529" i="1"/>
  <c r="C3529" i="1"/>
  <c r="S3529" i="1"/>
  <c r="T3529" i="1"/>
  <c r="U3529" i="1"/>
  <c r="BE3529" i="1"/>
  <c r="CC3529" i="1"/>
  <c r="CD3529" i="1"/>
  <c r="A3530" i="1"/>
  <c r="C3530" i="1"/>
  <c r="S3530" i="1"/>
  <c r="T3530" i="1"/>
  <c r="U3530" i="1"/>
  <c r="BE3530" i="1"/>
  <c r="CC3530" i="1"/>
  <c r="CD3530" i="1"/>
  <c r="A3531" i="1"/>
  <c r="C3531" i="1"/>
  <c r="S3531" i="1"/>
  <c r="T3531" i="1"/>
  <c r="U3531" i="1"/>
  <c r="BE3531" i="1"/>
  <c r="CC3531" i="1"/>
  <c r="CD3531" i="1"/>
  <c r="A3532" i="1"/>
  <c r="C3532" i="1"/>
  <c r="S3532" i="1"/>
  <c r="T3532" i="1"/>
  <c r="U3532" i="1"/>
  <c r="BE3532" i="1"/>
  <c r="CC3532" i="1"/>
  <c r="CD3532" i="1"/>
  <c r="A3533" i="1"/>
  <c r="C3533" i="1"/>
  <c r="S3533" i="1"/>
  <c r="T3533" i="1"/>
  <c r="U3533" i="1"/>
  <c r="BE3533" i="1"/>
  <c r="CC3533" i="1"/>
  <c r="CD3533" i="1"/>
  <c r="A3534" i="1"/>
  <c r="C3534" i="1"/>
  <c r="S3534" i="1"/>
  <c r="T3534" i="1"/>
  <c r="U3534" i="1"/>
  <c r="BE3534" i="1"/>
  <c r="CC3534" i="1"/>
  <c r="CD3534" i="1"/>
  <c r="A3535" i="1"/>
  <c r="C3535" i="1"/>
  <c r="S3535" i="1"/>
  <c r="T3535" i="1"/>
  <c r="U3535" i="1"/>
  <c r="BE3535" i="1"/>
  <c r="CC3535" i="1"/>
  <c r="CD3535" i="1"/>
  <c r="A3536" i="1"/>
  <c r="C3536" i="1"/>
  <c r="S3536" i="1"/>
  <c r="T3536" i="1"/>
  <c r="U3536" i="1"/>
  <c r="BE3536" i="1"/>
  <c r="CC3536" i="1"/>
  <c r="CD3536" i="1"/>
  <c r="A3537" i="1"/>
  <c r="C3537" i="1"/>
  <c r="S3537" i="1"/>
  <c r="T3537" i="1"/>
  <c r="U3537" i="1"/>
  <c r="BE3537" i="1"/>
  <c r="CC3537" i="1"/>
  <c r="CD3537" i="1"/>
  <c r="A3538" i="1"/>
  <c r="C3538" i="1"/>
  <c r="S3538" i="1"/>
  <c r="T3538" i="1"/>
  <c r="U3538" i="1"/>
  <c r="BE3538" i="1"/>
  <c r="CC3538" i="1"/>
  <c r="CD3538" i="1"/>
  <c r="A3539" i="1"/>
  <c r="C3539" i="1"/>
  <c r="S3539" i="1"/>
  <c r="T3539" i="1"/>
  <c r="U3539" i="1"/>
  <c r="BE3539" i="1"/>
  <c r="CC3539" i="1"/>
  <c r="CD3539" i="1"/>
  <c r="A3540" i="1"/>
  <c r="C3540" i="1"/>
  <c r="S3540" i="1"/>
  <c r="T3540" i="1"/>
  <c r="U3540" i="1"/>
  <c r="BE3540" i="1"/>
  <c r="CC3540" i="1"/>
  <c r="CD3540" i="1"/>
  <c r="A3541" i="1"/>
  <c r="C3541" i="1"/>
  <c r="S3541" i="1"/>
  <c r="T3541" i="1"/>
  <c r="U3541" i="1"/>
  <c r="BE3541" i="1"/>
  <c r="CC3541" i="1"/>
  <c r="CD3541" i="1"/>
  <c r="A3542" i="1"/>
  <c r="C3542" i="1"/>
  <c r="S3542" i="1"/>
  <c r="T3542" i="1"/>
  <c r="U3542" i="1"/>
  <c r="BE3542" i="1"/>
  <c r="CC3542" i="1"/>
  <c r="CD3542" i="1"/>
  <c r="A3543" i="1"/>
  <c r="C3543" i="1"/>
  <c r="S3543" i="1"/>
  <c r="T3543" i="1"/>
  <c r="U3543" i="1"/>
  <c r="BE3543" i="1"/>
  <c r="CC3543" i="1"/>
  <c r="CD3543" i="1"/>
  <c r="A3544" i="1"/>
  <c r="C3544" i="1"/>
  <c r="S3544" i="1"/>
  <c r="T3544" i="1"/>
  <c r="U3544" i="1"/>
  <c r="BE3544" i="1"/>
  <c r="CC3544" i="1"/>
  <c r="CD3544" i="1"/>
  <c r="A3545" i="1"/>
  <c r="C3545" i="1"/>
  <c r="S3545" i="1"/>
  <c r="T3545" i="1"/>
  <c r="U3545" i="1"/>
  <c r="BE3545" i="1"/>
  <c r="CC3545" i="1"/>
  <c r="CD3545" i="1"/>
  <c r="A3546" i="1"/>
  <c r="C3546" i="1"/>
  <c r="S3546" i="1"/>
  <c r="T3546" i="1"/>
  <c r="U3546" i="1"/>
  <c r="BE3546" i="1"/>
  <c r="CC3546" i="1"/>
  <c r="CD3546" i="1"/>
  <c r="A3547" i="1"/>
  <c r="C3547" i="1"/>
  <c r="S3547" i="1"/>
  <c r="T3547" i="1"/>
  <c r="U3547" i="1"/>
  <c r="BE3547" i="1"/>
  <c r="CC3547" i="1"/>
  <c r="CD3547" i="1"/>
  <c r="A3548" i="1"/>
  <c r="C3548" i="1"/>
  <c r="S3548" i="1"/>
  <c r="T3548" i="1"/>
  <c r="U3548" i="1"/>
  <c r="BE3548" i="1"/>
  <c r="CC3548" i="1"/>
  <c r="CD3548" i="1"/>
  <c r="A3549" i="1"/>
  <c r="C3549" i="1"/>
  <c r="S3549" i="1"/>
  <c r="T3549" i="1"/>
  <c r="U3549" i="1"/>
  <c r="BE3549" i="1"/>
  <c r="CC3549" i="1"/>
  <c r="CD3549" i="1"/>
  <c r="A3550" i="1"/>
  <c r="C3550" i="1"/>
  <c r="S3550" i="1"/>
  <c r="T3550" i="1"/>
  <c r="U3550" i="1"/>
  <c r="BE3550" i="1"/>
  <c r="CC3550" i="1"/>
  <c r="CD3550" i="1"/>
  <c r="A3551" i="1"/>
  <c r="C3551" i="1"/>
  <c r="S3551" i="1"/>
  <c r="T3551" i="1"/>
  <c r="U3551" i="1"/>
  <c r="BE3551" i="1"/>
  <c r="CC3551" i="1"/>
  <c r="CD3551" i="1"/>
  <c r="A3552" i="1"/>
  <c r="C3552" i="1"/>
  <c r="S3552" i="1"/>
  <c r="T3552" i="1"/>
  <c r="U3552" i="1"/>
  <c r="BE3552" i="1"/>
  <c r="CC3552" i="1"/>
  <c r="CD3552" i="1"/>
  <c r="A3553" i="1"/>
  <c r="C3553" i="1"/>
  <c r="S3553" i="1"/>
  <c r="T3553" i="1"/>
  <c r="U3553" i="1"/>
  <c r="BE3553" i="1"/>
  <c r="CC3553" i="1"/>
  <c r="CD3553" i="1"/>
  <c r="A3554" i="1"/>
  <c r="C3554" i="1"/>
  <c r="S3554" i="1"/>
  <c r="T3554" i="1"/>
  <c r="U3554" i="1"/>
  <c r="BE3554" i="1"/>
  <c r="CC3554" i="1"/>
  <c r="CD3554" i="1"/>
  <c r="A3555" i="1"/>
  <c r="C3555" i="1"/>
  <c r="S3555" i="1"/>
  <c r="T3555" i="1"/>
  <c r="U3555" i="1"/>
  <c r="BE3555" i="1"/>
  <c r="CC3555" i="1"/>
  <c r="CD3555" i="1"/>
  <c r="A3556" i="1"/>
  <c r="C3556" i="1"/>
  <c r="S3556" i="1"/>
  <c r="T3556" i="1"/>
  <c r="U3556" i="1"/>
  <c r="BE3556" i="1"/>
  <c r="CC3556" i="1"/>
  <c r="CD3556" i="1"/>
  <c r="A3557" i="1"/>
  <c r="C3557" i="1"/>
  <c r="S3557" i="1"/>
  <c r="T3557" i="1"/>
  <c r="U3557" i="1"/>
  <c r="BE3557" i="1"/>
  <c r="CC3557" i="1"/>
  <c r="CD3557" i="1"/>
  <c r="A3558" i="1"/>
  <c r="C3558" i="1"/>
  <c r="S3558" i="1"/>
  <c r="T3558" i="1"/>
  <c r="U3558" i="1"/>
  <c r="BE3558" i="1"/>
  <c r="CC3558" i="1"/>
  <c r="CD3558" i="1"/>
  <c r="A3559" i="1"/>
  <c r="C3559" i="1"/>
  <c r="S3559" i="1"/>
  <c r="T3559" i="1"/>
  <c r="U3559" i="1"/>
  <c r="BE3559" i="1"/>
  <c r="CC3559" i="1"/>
  <c r="CD3559" i="1"/>
  <c r="A3560" i="1"/>
  <c r="C3560" i="1"/>
  <c r="S3560" i="1"/>
  <c r="T3560" i="1"/>
  <c r="U3560" i="1"/>
  <c r="BE3560" i="1"/>
  <c r="CC3560" i="1"/>
  <c r="CD3560" i="1"/>
  <c r="A3561" i="1"/>
  <c r="C3561" i="1"/>
  <c r="S3561" i="1"/>
  <c r="T3561" i="1"/>
  <c r="U3561" i="1"/>
  <c r="BE3561" i="1"/>
  <c r="CC3561" i="1"/>
  <c r="CD3561" i="1"/>
  <c r="A3562" i="1"/>
  <c r="C3562" i="1"/>
  <c r="S3562" i="1"/>
  <c r="T3562" i="1"/>
  <c r="U3562" i="1"/>
  <c r="BE3562" i="1"/>
  <c r="CC3562" i="1"/>
  <c r="CD3562" i="1"/>
  <c r="A3563" i="1"/>
  <c r="C3563" i="1"/>
  <c r="S3563" i="1"/>
  <c r="T3563" i="1"/>
  <c r="U3563" i="1"/>
  <c r="BE3563" i="1"/>
  <c r="CC3563" i="1"/>
  <c r="CD3563" i="1"/>
  <c r="A3564" i="1"/>
  <c r="C3564" i="1"/>
  <c r="S3564" i="1"/>
  <c r="T3564" i="1"/>
  <c r="U3564" i="1"/>
  <c r="BE3564" i="1"/>
  <c r="CC3564" i="1"/>
  <c r="CD3564" i="1"/>
  <c r="A3565" i="1"/>
  <c r="C3565" i="1"/>
  <c r="S3565" i="1"/>
  <c r="T3565" i="1"/>
  <c r="U3565" i="1"/>
  <c r="BE3565" i="1"/>
  <c r="CC3565" i="1"/>
  <c r="CD3565" i="1"/>
  <c r="A3566" i="1"/>
  <c r="C3566" i="1"/>
  <c r="S3566" i="1"/>
  <c r="T3566" i="1"/>
  <c r="U3566" i="1"/>
  <c r="BE3566" i="1"/>
  <c r="CC3566" i="1"/>
  <c r="CD3566" i="1"/>
  <c r="A3567" i="1"/>
  <c r="C3567" i="1"/>
  <c r="S3567" i="1"/>
  <c r="T3567" i="1"/>
  <c r="U3567" i="1"/>
  <c r="BE3567" i="1"/>
  <c r="CC3567" i="1"/>
  <c r="CD3567" i="1"/>
  <c r="A3568" i="1"/>
  <c r="C3568" i="1"/>
  <c r="S3568" i="1"/>
  <c r="T3568" i="1"/>
  <c r="U3568" i="1"/>
  <c r="BE3568" i="1"/>
  <c r="CC3568" i="1"/>
  <c r="CD3568" i="1"/>
  <c r="A3569" i="1"/>
  <c r="C3569" i="1"/>
  <c r="S3569" i="1"/>
  <c r="T3569" i="1"/>
  <c r="U3569" i="1"/>
  <c r="BE3569" i="1"/>
  <c r="CC3569" i="1"/>
  <c r="CD3569" i="1"/>
  <c r="A3570" i="1"/>
  <c r="C3570" i="1"/>
  <c r="S3570" i="1"/>
  <c r="T3570" i="1"/>
  <c r="U3570" i="1"/>
  <c r="BE3570" i="1"/>
  <c r="CC3570" i="1"/>
  <c r="CD3570" i="1"/>
  <c r="A3571" i="1"/>
  <c r="C3571" i="1"/>
  <c r="S3571" i="1"/>
  <c r="T3571" i="1"/>
  <c r="U3571" i="1"/>
  <c r="BE3571" i="1"/>
  <c r="CC3571" i="1"/>
  <c r="CD3571" i="1"/>
  <c r="A3572" i="1"/>
  <c r="C3572" i="1"/>
  <c r="S3572" i="1"/>
  <c r="T3572" i="1"/>
  <c r="U3572" i="1"/>
  <c r="BE3572" i="1"/>
  <c r="CC3572" i="1"/>
  <c r="CD3572" i="1"/>
  <c r="A3573" i="1"/>
  <c r="C3573" i="1"/>
  <c r="S3573" i="1"/>
  <c r="T3573" i="1"/>
  <c r="U3573" i="1"/>
  <c r="BE3573" i="1"/>
  <c r="CC3573" i="1"/>
  <c r="CD3573" i="1"/>
  <c r="A3574" i="1"/>
  <c r="C3574" i="1"/>
  <c r="S3574" i="1"/>
  <c r="T3574" i="1"/>
  <c r="U3574" i="1"/>
  <c r="BE3574" i="1"/>
  <c r="CC3574" i="1"/>
  <c r="CD3574" i="1"/>
  <c r="A3575" i="1"/>
  <c r="C3575" i="1"/>
  <c r="S3575" i="1"/>
  <c r="T3575" i="1"/>
  <c r="U3575" i="1"/>
  <c r="BE3575" i="1"/>
  <c r="CC3575" i="1"/>
  <c r="CD3575" i="1"/>
  <c r="A3576" i="1"/>
  <c r="C3576" i="1"/>
  <c r="S3576" i="1"/>
  <c r="T3576" i="1"/>
  <c r="U3576" i="1"/>
  <c r="BE3576" i="1"/>
  <c r="CC3576" i="1"/>
  <c r="CD3576" i="1"/>
  <c r="A3577" i="1"/>
  <c r="C3577" i="1"/>
  <c r="S3577" i="1"/>
  <c r="T3577" i="1"/>
  <c r="U3577" i="1"/>
  <c r="BE3577" i="1"/>
  <c r="CC3577" i="1"/>
  <c r="CD3577" i="1"/>
  <c r="A3578" i="1"/>
  <c r="C3578" i="1"/>
  <c r="S3578" i="1"/>
  <c r="T3578" i="1"/>
  <c r="U3578" i="1"/>
  <c r="BE3578" i="1"/>
  <c r="CC3578" i="1"/>
  <c r="CD3578" i="1"/>
  <c r="A3579" i="1"/>
  <c r="C3579" i="1"/>
  <c r="S3579" i="1"/>
  <c r="T3579" i="1"/>
  <c r="U3579" i="1"/>
  <c r="BE3579" i="1"/>
  <c r="CC3579" i="1"/>
  <c r="CD3579" i="1"/>
  <c r="A3580" i="1"/>
  <c r="C3580" i="1"/>
  <c r="S3580" i="1"/>
  <c r="T3580" i="1"/>
  <c r="U3580" i="1"/>
  <c r="BE3580" i="1"/>
  <c r="CC3580" i="1"/>
  <c r="CD3580" i="1"/>
  <c r="A3581" i="1"/>
  <c r="C3581" i="1"/>
  <c r="S3581" i="1"/>
  <c r="T3581" i="1"/>
  <c r="U3581" i="1"/>
  <c r="BE3581" i="1"/>
  <c r="CC3581" i="1"/>
  <c r="CD3581" i="1"/>
  <c r="A3582" i="1"/>
  <c r="C3582" i="1"/>
  <c r="S3582" i="1"/>
  <c r="T3582" i="1"/>
  <c r="U3582" i="1"/>
  <c r="BE3582" i="1"/>
  <c r="CC3582" i="1"/>
  <c r="CD3582" i="1"/>
  <c r="A3583" i="1"/>
  <c r="C3583" i="1"/>
  <c r="S3583" i="1"/>
  <c r="T3583" i="1"/>
  <c r="U3583" i="1"/>
  <c r="BE3583" i="1"/>
  <c r="CC3583" i="1"/>
  <c r="CD3583" i="1"/>
  <c r="A3584" i="1"/>
  <c r="C3584" i="1"/>
  <c r="S3584" i="1"/>
  <c r="T3584" i="1"/>
  <c r="U3584" i="1"/>
  <c r="BE3584" i="1"/>
  <c r="CC3584" i="1"/>
  <c r="CD3584" i="1"/>
  <c r="A3585" i="1"/>
  <c r="C3585" i="1"/>
  <c r="S3585" i="1"/>
  <c r="T3585" i="1"/>
  <c r="U3585" i="1"/>
  <c r="BE3585" i="1"/>
  <c r="CC3585" i="1"/>
  <c r="CD3585" i="1"/>
  <c r="A3586" i="1"/>
  <c r="C3586" i="1"/>
  <c r="S3586" i="1"/>
  <c r="T3586" i="1"/>
  <c r="U3586" i="1"/>
  <c r="BE3586" i="1"/>
  <c r="CC3586" i="1"/>
  <c r="CD3586" i="1"/>
  <c r="A3587" i="1"/>
  <c r="C3587" i="1"/>
  <c r="S3587" i="1"/>
  <c r="T3587" i="1"/>
  <c r="U3587" i="1"/>
  <c r="BE3587" i="1"/>
  <c r="CC3587" i="1"/>
  <c r="CD3587" i="1"/>
  <c r="A3588" i="1"/>
  <c r="C3588" i="1"/>
  <c r="S3588" i="1"/>
  <c r="T3588" i="1"/>
  <c r="U3588" i="1"/>
  <c r="BE3588" i="1"/>
  <c r="CC3588" i="1"/>
  <c r="CD3588" i="1"/>
  <c r="A3589" i="1"/>
  <c r="C3589" i="1"/>
  <c r="S3589" i="1"/>
  <c r="T3589" i="1"/>
  <c r="U3589" i="1"/>
  <c r="BE3589" i="1"/>
  <c r="CC3589" i="1"/>
  <c r="CD3589" i="1"/>
  <c r="A3590" i="1"/>
  <c r="C3590" i="1"/>
  <c r="S3590" i="1"/>
  <c r="T3590" i="1"/>
  <c r="U3590" i="1"/>
  <c r="BE3590" i="1"/>
  <c r="CC3590" i="1"/>
  <c r="CD3590" i="1"/>
  <c r="A3591" i="1"/>
  <c r="C3591" i="1"/>
  <c r="S3591" i="1"/>
  <c r="T3591" i="1"/>
  <c r="U3591" i="1"/>
  <c r="BE3591" i="1"/>
  <c r="CC3591" i="1"/>
  <c r="CD3591" i="1"/>
  <c r="A3592" i="1"/>
  <c r="C3592" i="1"/>
  <c r="S3592" i="1"/>
  <c r="T3592" i="1"/>
  <c r="U3592" i="1"/>
  <c r="BE3592" i="1"/>
  <c r="CC3592" i="1"/>
  <c r="CD3592" i="1"/>
  <c r="A3593" i="1"/>
  <c r="C3593" i="1"/>
  <c r="S3593" i="1"/>
  <c r="T3593" i="1"/>
  <c r="U3593" i="1"/>
  <c r="BE3593" i="1"/>
  <c r="CC3593" i="1"/>
  <c r="CD3593" i="1"/>
  <c r="A3594" i="1"/>
  <c r="C3594" i="1"/>
  <c r="S3594" i="1"/>
  <c r="T3594" i="1"/>
  <c r="U3594" i="1"/>
  <c r="BE3594" i="1"/>
  <c r="CC3594" i="1"/>
  <c r="CD3594" i="1"/>
  <c r="A3595" i="1"/>
  <c r="C3595" i="1"/>
  <c r="S3595" i="1"/>
  <c r="T3595" i="1"/>
  <c r="U3595" i="1"/>
  <c r="BE3595" i="1"/>
  <c r="CC3595" i="1"/>
  <c r="CD3595" i="1"/>
  <c r="A3596" i="1"/>
  <c r="C3596" i="1"/>
  <c r="S3596" i="1"/>
  <c r="T3596" i="1"/>
  <c r="U3596" i="1"/>
  <c r="BE3596" i="1"/>
  <c r="CC3596" i="1"/>
  <c r="CD3596" i="1"/>
  <c r="A3597" i="1"/>
  <c r="C3597" i="1"/>
  <c r="S3597" i="1"/>
  <c r="T3597" i="1"/>
  <c r="U3597" i="1"/>
  <c r="BE3597" i="1"/>
  <c r="CC3597" i="1"/>
  <c r="CD3597" i="1"/>
  <c r="A3598" i="1"/>
  <c r="C3598" i="1"/>
  <c r="S3598" i="1"/>
  <c r="T3598" i="1"/>
  <c r="U3598" i="1"/>
  <c r="BE3598" i="1"/>
  <c r="CC3598" i="1"/>
  <c r="CD3598" i="1"/>
  <c r="A3599" i="1"/>
  <c r="C3599" i="1"/>
  <c r="S3599" i="1"/>
  <c r="T3599" i="1"/>
  <c r="U3599" i="1"/>
  <c r="BE3599" i="1"/>
  <c r="CC3599" i="1"/>
  <c r="CD3599" i="1"/>
  <c r="A3600" i="1"/>
  <c r="C3600" i="1"/>
  <c r="S3600" i="1"/>
  <c r="T3600" i="1"/>
  <c r="U3600" i="1"/>
  <c r="BE3600" i="1"/>
  <c r="CC3600" i="1"/>
  <c r="CD3600" i="1"/>
  <c r="A3601" i="1"/>
  <c r="C3601" i="1"/>
  <c r="S3601" i="1"/>
  <c r="T3601" i="1"/>
  <c r="U3601" i="1"/>
  <c r="BE3601" i="1"/>
  <c r="CC3601" i="1"/>
  <c r="CD3601" i="1"/>
  <c r="A3602" i="1"/>
  <c r="C3602" i="1"/>
  <c r="S3602" i="1"/>
  <c r="T3602" i="1"/>
  <c r="U3602" i="1"/>
  <c r="BE3602" i="1"/>
  <c r="CC3602" i="1"/>
  <c r="CD3602" i="1"/>
  <c r="A3603" i="1"/>
  <c r="C3603" i="1"/>
  <c r="S3603" i="1"/>
  <c r="T3603" i="1"/>
  <c r="U3603" i="1"/>
  <c r="BE3603" i="1"/>
  <c r="CC3603" i="1"/>
  <c r="CD3603" i="1"/>
  <c r="A3604" i="1"/>
  <c r="C3604" i="1"/>
  <c r="S3604" i="1"/>
  <c r="T3604" i="1"/>
  <c r="U3604" i="1"/>
  <c r="BE3604" i="1"/>
  <c r="CC3604" i="1"/>
  <c r="CD3604" i="1"/>
  <c r="A3605" i="1"/>
  <c r="C3605" i="1"/>
  <c r="S3605" i="1"/>
  <c r="T3605" i="1"/>
  <c r="U3605" i="1"/>
  <c r="BE3605" i="1"/>
  <c r="CC3605" i="1"/>
  <c r="CD3605" i="1"/>
  <c r="A3606" i="1"/>
  <c r="C3606" i="1"/>
  <c r="S3606" i="1"/>
  <c r="T3606" i="1"/>
  <c r="U3606" i="1"/>
  <c r="BE3606" i="1"/>
  <c r="CC3606" i="1"/>
  <c r="CD3606" i="1"/>
  <c r="A3607" i="1"/>
  <c r="C3607" i="1"/>
  <c r="S3607" i="1"/>
  <c r="T3607" i="1"/>
  <c r="U3607" i="1"/>
  <c r="BE3607" i="1"/>
  <c r="CC3607" i="1"/>
  <c r="CD3607" i="1"/>
  <c r="A3608" i="1"/>
  <c r="C3608" i="1"/>
  <c r="S3608" i="1"/>
  <c r="T3608" i="1"/>
  <c r="U3608" i="1"/>
  <c r="BE3608" i="1"/>
  <c r="CC3608" i="1"/>
  <c r="CD3608" i="1"/>
  <c r="A3609" i="1"/>
  <c r="C3609" i="1"/>
  <c r="S3609" i="1"/>
  <c r="T3609" i="1"/>
  <c r="U3609" i="1"/>
  <c r="BE3609" i="1"/>
  <c r="CC3609" i="1"/>
  <c r="CD3609" i="1"/>
  <c r="A3610" i="1"/>
  <c r="C3610" i="1"/>
  <c r="S3610" i="1"/>
  <c r="T3610" i="1"/>
  <c r="U3610" i="1"/>
  <c r="BE3610" i="1"/>
  <c r="CC3610" i="1"/>
  <c r="CD3610" i="1"/>
  <c r="A3611" i="1"/>
  <c r="C3611" i="1"/>
  <c r="S3611" i="1"/>
  <c r="T3611" i="1"/>
  <c r="U3611" i="1"/>
  <c r="BE3611" i="1"/>
  <c r="CC3611" i="1"/>
  <c r="CD3611" i="1"/>
  <c r="A3612" i="1"/>
  <c r="C3612" i="1"/>
  <c r="S3612" i="1"/>
  <c r="T3612" i="1"/>
  <c r="U3612" i="1"/>
  <c r="BE3612" i="1"/>
  <c r="CC3612" i="1"/>
  <c r="CD3612" i="1"/>
  <c r="A3613" i="1"/>
  <c r="C3613" i="1"/>
  <c r="S3613" i="1"/>
  <c r="T3613" i="1"/>
  <c r="U3613" i="1"/>
  <c r="BE3613" i="1"/>
  <c r="CC3613" i="1"/>
  <c r="CD3613" i="1"/>
  <c r="A3614" i="1"/>
  <c r="C3614" i="1"/>
  <c r="S3614" i="1"/>
  <c r="T3614" i="1"/>
  <c r="U3614" i="1"/>
  <c r="BE3614" i="1"/>
  <c r="CC3614" i="1"/>
  <c r="CD3614" i="1"/>
  <c r="A3615" i="1"/>
  <c r="C3615" i="1"/>
  <c r="S3615" i="1"/>
  <c r="T3615" i="1"/>
  <c r="U3615" i="1"/>
  <c r="BE3615" i="1"/>
  <c r="CC3615" i="1"/>
  <c r="CD3615" i="1"/>
  <c r="A3616" i="1"/>
  <c r="C3616" i="1"/>
  <c r="S3616" i="1"/>
  <c r="T3616" i="1"/>
  <c r="U3616" i="1"/>
  <c r="BE3616" i="1"/>
  <c r="CC3616" i="1"/>
  <c r="CD3616" i="1"/>
  <c r="A3617" i="1"/>
  <c r="C3617" i="1"/>
  <c r="S3617" i="1"/>
  <c r="T3617" i="1"/>
  <c r="U3617" i="1"/>
  <c r="BE3617" i="1"/>
  <c r="CC3617" i="1"/>
  <c r="CD3617" i="1"/>
  <c r="A3618" i="1"/>
  <c r="C3618" i="1"/>
  <c r="S3618" i="1"/>
  <c r="T3618" i="1"/>
  <c r="U3618" i="1"/>
  <c r="BE3618" i="1"/>
  <c r="CC3618" i="1"/>
  <c r="CD3618" i="1"/>
  <c r="A3619" i="1"/>
  <c r="C3619" i="1"/>
  <c r="S3619" i="1"/>
  <c r="T3619" i="1"/>
  <c r="U3619" i="1"/>
  <c r="BE3619" i="1"/>
  <c r="CC3619" i="1"/>
  <c r="CD3619" i="1"/>
  <c r="A3620" i="1"/>
  <c r="C3620" i="1"/>
  <c r="S3620" i="1"/>
  <c r="T3620" i="1"/>
  <c r="U3620" i="1"/>
  <c r="BE3620" i="1"/>
  <c r="CC3620" i="1"/>
  <c r="CD3620" i="1"/>
  <c r="A3621" i="1"/>
  <c r="C3621" i="1"/>
  <c r="S3621" i="1"/>
  <c r="T3621" i="1"/>
  <c r="U3621" i="1"/>
  <c r="BE3621" i="1"/>
  <c r="CC3621" i="1"/>
  <c r="CD3621" i="1"/>
  <c r="A3622" i="1"/>
  <c r="C3622" i="1"/>
  <c r="S3622" i="1"/>
  <c r="T3622" i="1"/>
  <c r="U3622" i="1"/>
  <c r="BE3622" i="1"/>
  <c r="CC3622" i="1"/>
  <c r="CD3622" i="1"/>
  <c r="A3623" i="1"/>
  <c r="C3623" i="1"/>
  <c r="S3623" i="1"/>
  <c r="T3623" i="1"/>
  <c r="U3623" i="1"/>
  <c r="BE3623" i="1"/>
  <c r="CC3623" i="1"/>
  <c r="CD3623" i="1"/>
  <c r="A3624" i="1"/>
  <c r="C3624" i="1"/>
  <c r="S3624" i="1"/>
  <c r="T3624" i="1"/>
  <c r="U3624" i="1"/>
  <c r="BE3624" i="1"/>
  <c r="CC3624" i="1"/>
  <c r="CD3624" i="1"/>
  <c r="A3625" i="1"/>
  <c r="C3625" i="1"/>
  <c r="S3625" i="1"/>
  <c r="T3625" i="1"/>
  <c r="U3625" i="1"/>
  <c r="BE3625" i="1"/>
  <c r="CC3625" i="1"/>
  <c r="CD3625" i="1"/>
  <c r="A3626" i="1"/>
  <c r="C3626" i="1"/>
  <c r="S3626" i="1"/>
  <c r="T3626" i="1"/>
  <c r="U3626" i="1"/>
  <c r="BE3626" i="1"/>
  <c r="CC3626" i="1"/>
  <c r="CD3626" i="1"/>
  <c r="A3627" i="1"/>
  <c r="C3627" i="1"/>
  <c r="S3627" i="1"/>
  <c r="T3627" i="1"/>
  <c r="U3627" i="1"/>
  <c r="BE3627" i="1"/>
  <c r="CC3627" i="1"/>
  <c r="CD3627" i="1"/>
  <c r="A3628" i="1"/>
  <c r="C3628" i="1"/>
  <c r="S3628" i="1"/>
  <c r="T3628" i="1"/>
  <c r="U3628" i="1"/>
  <c r="BE3628" i="1"/>
  <c r="CC3628" i="1"/>
  <c r="CD3628" i="1"/>
  <c r="A3629" i="1"/>
  <c r="C3629" i="1"/>
  <c r="S3629" i="1"/>
  <c r="T3629" i="1"/>
  <c r="U3629" i="1"/>
  <c r="BE3629" i="1"/>
  <c r="CC3629" i="1"/>
  <c r="CD3629" i="1"/>
  <c r="A3630" i="1"/>
  <c r="C3630" i="1"/>
  <c r="S3630" i="1"/>
  <c r="T3630" i="1"/>
  <c r="U3630" i="1"/>
  <c r="BE3630" i="1"/>
  <c r="CC3630" i="1"/>
  <c r="CD3630" i="1"/>
  <c r="A3631" i="1"/>
  <c r="C3631" i="1"/>
  <c r="S3631" i="1"/>
  <c r="T3631" i="1"/>
  <c r="U3631" i="1"/>
  <c r="BE3631" i="1"/>
  <c r="CC3631" i="1"/>
  <c r="CD3631" i="1"/>
  <c r="A3632" i="1"/>
  <c r="C3632" i="1"/>
  <c r="S3632" i="1"/>
  <c r="T3632" i="1"/>
  <c r="U3632" i="1"/>
  <c r="BE3632" i="1"/>
  <c r="CC3632" i="1"/>
  <c r="CD3632" i="1"/>
  <c r="A3633" i="1"/>
  <c r="C3633" i="1"/>
  <c r="S3633" i="1"/>
  <c r="T3633" i="1"/>
  <c r="U3633" i="1"/>
  <c r="BE3633" i="1"/>
  <c r="CC3633" i="1"/>
  <c r="CD3633" i="1"/>
  <c r="A3634" i="1"/>
  <c r="C3634" i="1"/>
  <c r="S3634" i="1"/>
  <c r="T3634" i="1"/>
  <c r="U3634" i="1"/>
  <c r="BE3634" i="1"/>
  <c r="CC3634" i="1"/>
  <c r="CD3634" i="1"/>
  <c r="A3635" i="1"/>
  <c r="C3635" i="1"/>
  <c r="S3635" i="1"/>
  <c r="T3635" i="1"/>
  <c r="U3635" i="1"/>
  <c r="BE3635" i="1"/>
  <c r="CC3635" i="1"/>
  <c r="CD3635" i="1"/>
  <c r="A3636" i="1"/>
  <c r="C3636" i="1"/>
  <c r="S3636" i="1"/>
  <c r="T3636" i="1"/>
  <c r="U3636" i="1"/>
  <c r="BE3636" i="1"/>
  <c r="CC3636" i="1"/>
  <c r="CD3636" i="1"/>
  <c r="A3637" i="1"/>
  <c r="C3637" i="1"/>
  <c r="S3637" i="1"/>
  <c r="T3637" i="1"/>
  <c r="U3637" i="1"/>
  <c r="BE3637" i="1"/>
  <c r="CC3637" i="1"/>
  <c r="CD3637" i="1"/>
  <c r="A3638" i="1"/>
  <c r="C3638" i="1"/>
  <c r="S3638" i="1"/>
  <c r="T3638" i="1"/>
  <c r="U3638" i="1"/>
  <c r="BE3638" i="1"/>
  <c r="CC3638" i="1"/>
  <c r="CD3638" i="1"/>
  <c r="A3639" i="1"/>
  <c r="C3639" i="1"/>
  <c r="S3639" i="1"/>
  <c r="T3639" i="1"/>
  <c r="U3639" i="1"/>
  <c r="BE3639" i="1"/>
  <c r="CC3639" i="1"/>
  <c r="CD3639" i="1"/>
  <c r="A3640" i="1"/>
  <c r="C3640" i="1"/>
  <c r="S3640" i="1"/>
  <c r="T3640" i="1"/>
  <c r="U3640" i="1"/>
  <c r="BE3640" i="1"/>
  <c r="CC3640" i="1"/>
  <c r="CD3640" i="1"/>
  <c r="A3641" i="1"/>
  <c r="C3641" i="1"/>
  <c r="S3641" i="1"/>
  <c r="T3641" i="1"/>
  <c r="U3641" i="1"/>
  <c r="BE3641" i="1"/>
  <c r="CC3641" i="1"/>
  <c r="CD3641" i="1"/>
  <c r="A3642" i="1"/>
  <c r="C3642" i="1"/>
  <c r="S3642" i="1"/>
  <c r="T3642" i="1"/>
  <c r="U3642" i="1"/>
  <c r="BE3642" i="1"/>
  <c r="CC3642" i="1"/>
  <c r="CD3642" i="1"/>
  <c r="A3643" i="1"/>
  <c r="C3643" i="1"/>
  <c r="S3643" i="1"/>
  <c r="T3643" i="1"/>
  <c r="U3643" i="1"/>
  <c r="BE3643" i="1"/>
  <c r="CC3643" i="1"/>
  <c r="CD3643" i="1"/>
  <c r="A3644" i="1"/>
  <c r="C3644" i="1"/>
  <c r="S3644" i="1"/>
  <c r="T3644" i="1"/>
  <c r="U3644" i="1"/>
  <c r="BE3644" i="1"/>
  <c r="CC3644" i="1"/>
  <c r="CD3644" i="1"/>
  <c r="A3645" i="1"/>
  <c r="C3645" i="1"/>
  <c r="S3645" i="1"/>
  <c r="T3645" i="1"/>
  <c r="U3645" i="1"/>
  <c r="BE3645" i="1"/>
  <c r="CC3645" i="1"/>
  <c r="CD3645" i="1"/>
  <c r="A3646" i="1"/>
  <c r="C3646" i="1"/>
  <c r="S3646" i="1"/>
  <c r="T3646" i="1"/>
  <c r="U3646" i="1"/>
  <c r="BE3646" i="1"/>
  <c r="CC3646" i="1"/>
  <c r="CD3646" i="1"/>
  <c r="A3647" i="1"/>
  <c r="C3647" i="1"/>
  <c r="S3647" i="1"/>
  <c r="T3647" i="1"/>
  <c r="U3647" i="1"/>
  <c r="BE3647" i="1"/>
  <c r="CC3647" i="1"/>
  <c r="CD3647" i="1"/>
  <c r="A3648" i="1"/>
  <c r="C3648" i="1"/>
  <c r="S3648" i="1"/>
  <c r="T3648" i="1"/>
  <c r="U3648" i="1"/>
  <c r="BE3648" i="1"/>
  <c r="CC3648" i="1"/>
  <c r="CD3648" i="1"/>
  <c r="A3649" i="1"/>
  <c r="C3649" i="1"/>
  <c r="S3649" i="1"/>
  <c r="T3649" i="1"/>
  <c r="U3649" i="1"/>
  <c r="BE3649" i="1"/>
  <c r="CC3649" i="1"/>
  <c r="CD3649" i="1"/>
  <c r="A3650" i="1"/>
  <c r="C3650" i="1"/>
  <c r="S3650" i="1"/>
  <c r="T3650" i="1"/>
  <c r="U3650" i="1"/>
  <c r="BE3650" i="1"/>
  <c r="CC3650" i="1"/>
  <c r="CD3650" i="1"/>
  <c r="A3651" i="1"/>
  <c r="C3651" i="1"/>
  <c r="S3651" i="1"/>
  <c r="T3651" i="1"/>
  <c r="U3651" i="1"/>
  <c r="BE3651" i="1"/>
  <c r="CC3651" i="1"/>
  <c r="CD3651" i="1"/>
  <c r="A3652" i="1"/>
  <c r="C3652" i="1"/>
  <c r="S3652" i="1"/>
  <c r="T3652" i="1"/>
  <c r="U3652" i="1"/>
  <c r="BE3652" i="1"/>
  <c r="CC3652" i="1"/>
  <c r="CD3652" i="1"/>
  <c r="A3653" i="1"/>
  <c r="C3653" i="1"/>
  <c r="S3653" i="1"/>
  <c r="T3653" i="1"/>
  <c r="U3653" i="1"/>
  <c r="BE3653" i="1"/>
  <c r="CC3653" i="1"/>
  <c r="CD3653" i="1"/>
  <c r="A3654" i="1"/>
  <c r="C3654" i="1"/>
  <c r="S3654" i="1"/>
  <c r="T3654" i="1"/>
  <c r="U3654" i="1"/>
  <c r="BE3654" i="1"/>
  <c r="CC3654" i="1"/>
  <c r="CD3654" i="1"/>
  <c r="A3655" i="1"/>
  <c r="C3655" i="1"/>
  <c r="S3655" i="1"/>
  <c r="T3655" i="1"/>
  <c r="U3655" i="1"/>
  <c r="BE3655" i="1"/>
  <c r="CC3655" i="1"/>
  <c r="CD3655" i="1"/>
  <c r="A3656" i="1"/>
  <c r="C3656" i="1"/>
  <c r="S3656" i="1"/>
  <c r="T3656" i="1"/>
  <c r="U3656" i="1"/>
  <c r="BE3656" i="1"/>
  <c r="CC3656" i="1"/>
  <c r="CD3656" i="1"/>
  <c r="A3657" i="1"/>
  <c r="C3657" i="1"/>
  <c r="S3657" i="1"/>
  <c r="T3657" i="1"/>
  <c r="U3657" i="1"/>
  <c r="BE3657" i="1"/>
  <c r="CC3657" i="1"/>
  <c r="CD3657" i="1"/>
  <c r="A3658" i="1"/>
  <c r="C3658" i="1"/>
  <c r="S3658" i="1"/>
  <c r="T3658" i="1"/>
  <c r="U3658" i="1"/>
  <c r="BE3658" i="1"/>
  <c r="CC3658" i="1"/>
  <c r="CD3658" i="1"/>
  <c r="A3659" i="1"/>
  <c r="C3659" i="1"/>
  <c r="S3659" i="1"/>
  <c r="T3659" i="1"/>
  <c r="U3659" i="1"/>
  <c r="BE3659" i="1"/>
  <c r="CC3659" i="1"/>
  <c r="CD3659" i="1"/>
  <c r="A3660" i="1"/>
  <c r="C3660" i="1"/>
  <c r="S3660" i="1"/>
  <c r="T3660" i="1"/>
  <c r="U3660" i="1"/>
  <c r="BE3660" i="1"/>
  <c r="CC3660" i="1"/>
  <c r="CD3660" i="1"/>
  <c r="A3661" i="1"/>
  <c r="C3661" i="1"/>
  <c r="S3661" i="1"/>
  <c r="T3661" i="1"/>
  <c r="U3661" i="1"/>
  <c r="BE3661" i="1"/>
  <c r="CC3661" i="1"/>
  <c r="CD3661" i="1"/>
  <c r="A3662" i="1"/>
  <c r="C3662" i="1"/>
  <c r="S3662" i="1"/>
  <c r="T3662" i="1"/>
  <c r="U3662" i="1"/>
  <c r="BE3662" i="1"/>
  <c r="CC3662" i="1"/>
  <c r="CD3662" i="1"/>
  <c r="A3663" i="1"/>
  <c r="C3663" i="1"/>
  <c r="S3663" i="1"/>
  <c r="T3663" i="1"/>
  <c r="U3663" i="1"/>
  <c r="BE3663" i="1"/>
  <c r="CC3663" i="1"/>
  <c r="CD3663" i="1"/>
  <c r="A3664" i="1"/>
  <c r="C3664" i="1"/>
  <c r="S3664" i="1"/>
  <c r="T3664" i="1"/>
  <c r="U3664" i="1"/>
  <c r="BE3664" i="1"/>
  <c r="CC3664" i="1"/>
  <c r="CD3664" i="1"/>
  <c r="A3665" i="1"/>
  <c r="C3665" i="1"/>
  <c r="S3665" i="1"/>
  <c r="T3665" i="1"/>
  <c r="U3665" i="1"/>
  <c r="BE3665" i="1"/>
  <c r="CC3665" i="1"/>
  <c r="CD3665" i="1"/>
  <c r="A3666" i="1"/>
  <c r="C3666" i="1"/>
  <c r="S3666" i="1"/>
  <c r="T3666" i="1"/>
  <c r="U3666" i="1"/>
  <c r="BE3666" i="1"/>
  <c r="CC3666" i="1"/>
  <c r="CD3666" i="1"/>
  <c r="A3667" i="1"/>
  <c r="C3667" i="1"/>
  <c r="S3667" i="1"/>
  <c r="T3667" i="1"/>
  <c r="U3667" i="1"/>
  <c r="BE3667" i="1"/>
  <c r="CC3667" i="1"/>
  <c r="CD3667" i="1"/>
  <c r="A3668" i="1"/>
  <c r="C3668" i="1"/>
  <c r="S3668" i="1"/>
  <c r="T3668" i="1"/>
  <c r="U3668" i="1"/>
  <c r="BE3668" i="1"/>
  <c r="CC3668" i="1"/>
  <c r="CD3668" i="1"/>
  <c r="A3669" i="1"/>
  <c r="C3669" i="1"/>
  <c r="S3669" i="1"/>
  <c r="T3669" i="1"/>
  <c r="U3669" i="1"/>
  <c r="BE3669" i="1"/>
  <c r="CC3669" i="1"/>
  <c r="CD3669" i="1"/>
  <c r="A3670" i="1"/>
  <c r="C3670" i="1"/>
  <c r="S3670" i="1"/>
  <c r="T3670" i="1"/>
  <c r="U3670" i="1"/>
  <c r="BE3670" i="1"/>
  <c r="CC3670" i="1"/>
  <c r="CD3670" i="1"/>
  <c r="A3671" i="1"/>
  <c r="C3671" i="1"/>
  <c r="S3671" i="1"/>
  <c r="T3671" i="1"/>
  <c r="U3671" i="1"/>
  <c r="BE3671" i="1"/>
  <c r="CC3671" i="1"/>
  <c r="CD3671" i="1"/>
  <c r="A3672" i="1"/>
  <c r="C3672" i="1"/>
  <c r="S3672" i="1"/>
  <c r="T3672" i="1"/>
  <c r="U3672" i="1"/>
  <c r="BE3672" i="1"/>
  <c r="CC3672" i="1"/>
  <c r="CD3672" i="1"/>
  <c r="A3673" i="1"/>
  <c r="C3673" i="1"/>
  <c r="S3673" i="1"/>
  <c r="T3673" i="1"/>
  <c r="U3673" i="1"/>
  <c r="BE3673" i="1"/>
  <c r="CC3673" i="1"/>
  <c r="CD3673" i="1"/>
  <c r="A3674" i="1"/>
  <c r="C3674" i="1"/>
  <c r="S3674" i="1"/>
  <c r="T3674" i="1"/>
  <c r="U3674" i="1"/>
  <c r="BE3674" i="1"/>
  <c r="CC3674" i="1"/>
  <c r="CD3674" i="1"/>
  <c r="A3675" i="1"/>
  <c r="C3675" i="1"/>
  <c r="S3675" i="1"/>
  <c r="T3675" i="1"/>
  <c r="U3675" i="1"/>
  <c r="BE3675" i="1"/>
  <c r="CC3675" i="1"/>
  <c r="CD3675" i="1"/>
  <c r="A3676" i="1"/>
  <c r="C3676" i="1"/>
  <c r="S3676" i="1"/>
  <c r="T3676" i="1"/>
  <c r="U3676" i="1"/>
  <c r="BE3676" i="1"/>
  <c r="CC3676" i="1"/>
  <c r="CD3676" i="1"/>
  <c r="A3677" i="1"/>
  <c r="C3677" i="1"/>
  <c r="S3677" i="1"/>
  <c r="T3677" i="1"/>
  <c r="U3677" i="1"/>
  <c r="BE3677" i="1"/>
  <c r="CC3677" i="1"/>
  <c r="CD3677" i="1"/>
  <c r="A3678" i="1"/>
  <c r="C3678" i="1"/>
  <c r="S3678" i="1"/>
  <c r="T3678" i="1"/>
  <c r="U3678" i="1"/>
  <c r="BE3678" i="1"/>
  <c r="CC3678" i="1"/>
  <c r="CD3678" i="1"/>
  <c r="A3679" i="1"/>
  <c r="C3679" i="1"/>
  <c r="S3679" i="1"/>
  <c r="T3679" i="1"/>
  <c r="U3679" i="1"/>
  <c r="BE3679" i="1"/>
  <c r="CC3679" i="1"/>
  <c r="CD3679" i="1"/>
  <c r="A3680" i="1"/>
  <c r="C3680" i="1"/>
  <c r="S3680" i="1"/>
  <c r="T3680" i="1"/>
  <c r="U3680" i="1"/>
  <c r="BE3680" i="1"/>
  <c r="CC3680" i="1"/>
  <c r="CD3680" i="1"/>
  <c r="A3681" i="1"/>
  <c r="C3681" i="1"/>
  <c r="S3681" i="1"/>
  <c r="T3681" i="1"/>
  <c r="U3681" i="1"/>
  <c r="BE3681" i="1"/>
  <c r="CC3681" i="1"/>
  <c r="CD3681" i="1"/>
  <c r="A3682" i="1"/>
  <c r="C3682" i="1"/>
  <c r="S3682" i="1"/>
  <c r="T3682" i="1"/>
  <c r="U3682" i="1"/>
  <c r="BE3682" i="1"/>
  <c r="CC3682" i="1"/>
  <c r="CD3682" i="1"/>
  <c r="A3683" i="1"/>
  <c r="C3683" i="1"/>
  <c r="S3683" i="1"/>
  <c r="T3683" i="1"/>
  <c r="U3683" i="1"/>
  <c r="BE3683" i="1"/>
  <c r="CC3683" i="1"/>
  <c r="CD3683" i="1"/>
  <c r="A3684" i="1"/>
  <c r="C3684" i="1"/>
  <c r="S3684" i="1"/>
  <c r="T3684" i="1"/>
  <c r="U3684" i="1"/>
  <c r="BE3684" i="1"/>
  <c r="CC3684" i="1"/>
  <c r="CD3684" i="1"/>
  <c r="A3685" i="1"/>
  <c r="C3685" i="1"/>
  <c r="S3685" i="1"/>
  <c r="T3685" i="1"/>
  <c r="U3685" i="1"/>
  <c r="BE3685" i="1"/>
  <c r="CC3685" i="1"/>
  <c r="CD3685" i="1"/>
  <c r="A3686" i="1"/>
  <c r="C3686" i="1"/>
  <c r="S3686" i="1"/>
  <c r="T3686" i="1"/>
  <c r="U3686" i="1"/>
  <c r="BE3686" i="1"/>
  <c r="CC3686" i="1"/>
  <c r="CD3686" i="1"/>
  <c r="A3687" i="1"/>
  <c r="C3687" i="1"/>
  <c r="S3687" i="1"/>
  <c r="T3687" i="1"/>
  <c r="U3687" i="1"/>
  <c r="BE3687" i="1"/>
  <c r="CC3687" i="1"/>
  <c r="CD3687" i="1"/>
  <c r="A3688" i="1"/>
  <c r="C3688" i="1"/>
  <c r="S3688" i="1"/>
  <c r="T3688" i="1"/>
  <c r="U3688" i="1"/>
  <c r="BE3688" i="1"/>
  <c r="CC3688" i="1"/>
  <c r="CD3688" i="1"/>
  <c r="A3689" i="1"/>
  <c r="C3689" i="1"/>
  <c r="S3689" i="1"/>
  <c r="T3689" i="1"/>
  <c r="U3689" i="1"/>
  <c r="BE3689" i="1"/>
  <c r="CC3689" i="1"/>
  <c r="CD3689" i="1"/>
  <c r="A3690" i="1"/>
  <c r="C3690" i="1"/>
  <c r="S3690" i="1"/>
  <c r="T3690" i="1"/>
  <c r="U3690" i="1"/>
  <c r="BE3690" i="1"/>
  <c r="CC3690" i="1"/>
  <c r="CD3690" i="1"/>
  <c r="A3691" i="1"/>
  <c r="C3691" i="1"/>
  <c r="S3691" i="1"/>
  <c r="T3691" i="1"/>
  <c r="U3691" i="1"/>
  <c r="BE3691" i="1"/>
  <c r="CC3691" i="1"/>
  <c r="CD3691" i="1"/>
  <c r="A3692" i="1"/>
  <c r="C3692" i="1"/>
  <c r="S3692" i="1"/>
  <c r="T3692" i="1"/>
  <c r="U3692" i="1"/>
  <c r="BE3692" i="1"/>
  <c r="CC3692" i="1"/>
  <c r="CD3692" i="1"/>
  <c r="A3693" i="1"/>
  <c r="C3693" i="1"/>
  <c r="S3693" i="1"/>
  <c r="T3693" i="1"/>
  <c r="U3693" i="1"/>
  <c r="BE3693" i="1"/>
  <c r="CC3693" i="1"/>
  <c r="CD3693" i="1"/>
  <c r="A3694" i="1"/>
  <c r="C3694" i="1"/>
  <c r="S3694" i="1"/>
  <c r="T3694" i="1"/>
  <c r="U3694" i="1"/>
  <c r="BE3694" i="1"/>
  <c r="CC3694" i="1"/>
  <c r="CD3694" i="1"/>
  <c r="A3695" i="1"/>
  <c r="C3695" i="1"/>
  <c r="S3695" i="1"/>
  <c r="T3695" i="1"/>
  <c r="U3695" i="1"/>
  <c r="BE3695" i="1"/>
  <c r="CC3695" i="1"/>
  <c r="CD3695" i="1"/>
  <c r="A3696" i="1"/>
  <c r="C3696" i="1"/>
  <c r="S3696" i="1"/>
  <c r="T3696" i="1"/>
  <c r="U3696" i="1"/>
  <c r="BE3696" i="1"/>
  <c r="CC3696" i="1"/>
  <c r="CD3696" i="1"/>
  <c r="A3697" i="1"/>
  <c r="C3697" i="1"/>
  <c r="S3697" i="1"/>
  <c r="T3697" i="1"/>
  <c r="U3697" i="1"/>
  <c r="BE3697" i="1"/>
  <c r="CC3697" i="1"/>
  <c r="CD3697" i="1"/>
  <c r="A3698" i="1"/>
  <c r="C3698" i="1"/>
  <c r="S3698" i="1"/>
  <c r="T3698" i="1"/>
  <c r="U3698" i="1"/>
  <c r="BE3698" i="1"/>
  <c r="CC3698" i="1"/>
  <c r="CD3698" i="1"/>
  <c r="A3699" i="1"/>
  <c r="C3699" i="1"/>
  <c r="S3699" i="1"/>
  <c r="T3699" i="1"/>
  <c r="U3699" i="1"/>
  <c r="BE3699" i="1"/>
  <c r="CC3699" i="1"/>
  <c r="CD3699" i="1"/>
  <c r="A3700" i="1"/>
  <c r="C3700" i="1"/>
  <c r="S3700" i="1"/>
  <c r="T3700" i="1"/>
  <c r="U3700" i="1"/>
  <c r="BE3700" i="1"/>
  <c r="CC3700" i="1"/>
  <c r="CD3700" i="1"/>
  <c r="A3701" i="1"/>
  <c r="C3701" i="1"/>
  <c r="S3701" i="1"/>
  <c r="T3701" i="1"/>
  <c r="U3701" i="1"/>
  <c r="BE3701" i="1"/>
  <c r="CC3701" i="1"/>
  <c r="CD3701" i="1"/>
  <c r="A3702" i="1"/>
  <c r="C3702" i="1"/>
  <c r="S3702" i="1"/>
  <c r="T3702" i="1"/>
  <c r="U3702" i="1"/>
  <c r="BE3702" i="1"/>
  <c r="CC3702" i="1"/>
  <c r="CD3702" i="1"/>
  <c r="A3703" i="1"/>
  <c r="C3703" i="1"/>
  <c r="S3703" i="1"/>
  <c r="T3703" i="1"/>
  <c r="U3703" i="1"/>
  <c r="BE3703" i="1"/>
  <c r="CC3703" i="1"/>
  <c r="CD3703" i="1"/>
  <c r="A3704" i="1"/>
  <c r="C3704" i="1"/>
  <c r="S3704" i="1"/>
  <c r="T3704" i="1"/>
  <c r="U3704" i="1"/>
  <c r="BE3704" i="1"/>
  <c r="CC3704" i="1"/>
  <c r="CD3704" i="1"/>
  <c r="A3705" i="1"/>
  <c r="C3705" i="1"/>
  <c r="S3705" i="1"/>
  <c r="T3705" i="1"/>
  <c r="U3705" i="1"/>
  <c r="BE3705" i="1"/>
  <c r="CC3705" i="1"/>
  <c r="CD3705" i="1"/>
  <c r="A3706" i="1"/>
  <c r="C3706" i="1"/>
  <c r="S3706" i="1"/>
  <c r="T3706" i="1"/>
  <c r="U3706" i="1"/>
  <c r="BE3706" i="1"/>
  <c r="CC3706" i="1"/>
  <c r="CD3706" i="1"/>
  <c r="A3707" i="1"/>
  <c r="C3707" i="1"/>
  <c r="S3707" i="1"/>
  <c r="T3707" i="1"/>
  <c r="U3707" i="1"/>
  <c r="BE3707" i="1"/>
  <c r="CC3707" i="1"/>
  <c r="CD3707" i="1"/>
  <c r="A3708" i="1"/>
  <c r="C3708" i="1"/>
  <c r="S3708" i="1"/>
  <c r="T3708" i="1"/>
  <c r="U3708" i="1"/>
  <c r="BE3708" i="1"/>
  <c r="CC3708" i="1"/>
  <c r="CD3708" i="1"/>
  <c r="A3709" i="1"/>
  <c r="C3709" i="1"/>
  <c r="S3709" i="1"/>
  <c r="T3709" i="1"/>
  <c r="U3709" i="1"/>
  <c r="BE3709" i="1"/>
  <c r="CC3709" i="1"/>
  <c r="CD3709" i="1"/>
  <c r="A3710" i="1"/>
  <c r="C3710" i="1"/>
  <c r="S3710" i="1"/>
  <c r="T3710" i="1"/>
  <c r="U3710" i="1"/>
  <c r="BE3710" i="1"/>
  <c r="CC3710" i="1"/>
  <c r="CD3710" i="1"/>
  <c r="A3711" i="1"/>
  <c r="C3711" i="1"/>
  <c r="S3711" i="1"/>
  <c r="T3711" i="1"/>
  <c r="U3711" i="1"/>
  <c r="BE3711" i="1"/>
  <c r="CC3711" i="1"/>
  <c r="CD3711" i="1"/>
  <c r="A3712" i="1"/>
  <c r="C3712" i="1"/>
  <c r="S3712" i="1"/>
  <c r="T3712" i="1"/>
  <c r="U3712" i="1"/>
  <c r="BE3712" i="1"/>
  <c r="CC3712" i="1"/>
  <c r="CD3712" i="1"/>
  <c r="A3713" i="1"/>
  <c r="C3713" i="1"/>
  <c r="S3713" i="1"/>
  <c r="T3713" i="1"/>
  <c r="U3713" i="1"/>
  <c r="BE3713" i="1"/>
  <c r="CC3713" i="1"/>
  <c r="CD3713" i="1"/>
  <c r="A3714" i="1"/>
  <c r="C3714" i="1"/>
  <c r="S3714" i="1"/>
  <c r="T3714" i="1"/>
  <c r="U3714" i="1"/>
  <c r="BE3714" i="1"/>
  <c r="CC3714" i="1"/>
  <c r="CD3714" i="1"/>
  <c r="A3715" i="1"/>
  <c r="C3715" i="1"/>
  <c r="S3715" i="1"/>
  <c r="T3715" i="1"/>
  <c r="U3715" i="1"/>
  <c r="BE3715" i="1"/>
  <c r="CC3715" i="1"/>
  <c r="CD3715" i="1"/>
  <c r="A3716" i="1"/>
  <c r="C3716" i="1"/>
  <c r="S3716" i="1"/>
  <c r="T3716" i="1"/>
  <c r="U3716" i="1"/>
  <c r="BE3716" i="1"/>
  <c r="CC3716" i="1"/>
  <c r="CD3716" i="1"/>
  <c r="A3717" i="1"/>
  <c r="C3717" i="1"/>
  <c r="S3717" i="1"/>
  <c r="T3717" i="1"/>
  <c r="U3717" i="1"/>
  <c r="BE3717" i="1"/>
  <c r="CC3717" i="1"/>
  <c r="CD3717" i="1"/>
  <c r="A3718" i="1"/>
  <c r="C3718" i="1"/>
  <c r="S3718" i="1"/>
  <c r="T3718" i="1"/>
  <c r="U3718" i="1"/>
  <c r="BE3718" i="1"/>
  <c r="CC3718" i="1"/>
  <c r="CD3718" i="1"/>
  <c r="A3719" i="1"/>
  <c r="C3719" i="1"/>
  <c r="S3719" i="1"/>
  <c r="T3719" i="1"/>
  <c r="U3719" i="1"/>
  <c r="BE3719" i="1"/>
  <c r="CC3719" i="1"/>
  <c r="CD3719" i="1"/>
  <c r="A3720" i="1"/>
  <c r="C3720" i="1"/>
  <c r="S3720" i="1"/>
  <c r="T3720" i="1"/>
  <c r="U3720" i="1"/>
  <c r="BE3720" i="1"/>
  <c r="CC3720" i="1"/>
  <c r="CD3720" i="1"/>
  <c r="A3721" i="1"/>
  <c r="C3721" i="1"/>
  <c r="S3721" i="1"/>
  <c r="T3721" i="1"/>
  <c r="U3721" i="1"/>
  <c r="BE3721" i="1"/>
  <c r="CC3721" i="1"/>
  <c r="CD3721" i="1"/>
  <c r="A3722" i="1"/>
  <c r="C3722" i="1"/>
  <c r="S3722" i="1"/>
  <c r="T3722" i="1"/>
  <c r="U3722" i="1"/>
  <c r="BE3722" i="1"/>
  <c r="CC3722" i="1"/>
  <c r="CD3722" i="1"/>
  <c r="A3723" i="1"/>
  <c r="C3723" i="1"/>
  <c r="S3723" i="1"/>
  <c r="T3723" i="1"/>
  <c r="U3723" i="1"/>
  <c r="BE3723" i="1"/>
  <c r="CC3723" i="1"/>
  <c r="CD3723" i="1"/>
  <c r="A3724" i="1"/>
  <c r="C3724" i="1"/>
  <c r="S3724" i="1"/>
  <c r="T3724" i="1"/>
  <c r="U3724" i="1"/>
  <c r="BE3724" i="1"/>
  <c r="CC3724" i="1"/>
  <c r="CD3724" i="1"/>
  <c r="A3725" i="1"/>
  <c r="C3725" i="1"/>
  <c r="S3725" i="1"/>
  <c r="T3725" i="1"/>
  <c r="U3725" i="1"/>
  <c r="BE3725" i="1"/>
  <c r="CC3725" i="1"/>
  <c r="CD3725" i="1"/>
  <c r="A3726" i="1"/>
  <c r="C3726" i="1"/>
  <c r="S3726" i="1"/>
  <c r="T3726" i="1"/>
  <c r="U3726" i="1"/>
  <c r="BE3726" i="1"/>
  <c r="CC3726" i="1"/>
  <c r="CD3726" i="1"/>
  <c r="A3727" i="1"/>
  <c r="C3727" i="1"/>
  <c r="S3727" i="1"/>
  <c r="T3727" i="1"/>
  <c r="U3727" i="1"/>
  <c r="BE3727" i="1"/>
  <c r="CC3727" i="1"/>
  <c r="CD3727" i="1"/>
  <c r="A3728" i="1"/>
  <c r="C3728" i="1"/>
  <c r="S3728" i="1"/>
  <c r="T3728" i="1"/>
  <c r="U3728" i="1"/>
  <c r="BE3728" i="1"/>
  <c r="CC3728" i="1"/>
  <c r="CD3728" i="1"/>
  <c r="A3729" i="1"/>
  <c r="C3729" i="1"/>
  <c r="S3729" i="1"/>
  <c r="T3729" i="1"/>
  <c r="U3729" i="1"/>
  <c r="BE3729" i="1"/>
  <c r="CC3729" i="1"/>
  <c r="CD3729" i="1"/>
  <c r="A3730" i="1"/>
  <c r="C3730" i="1"/>
  <c r="S3730" i="1"/>
  <c r="T3730" i="1"/>
  <c r="U3730" i="1"/>
  <c r="BE3730" i="1"/>
  <c r="CC3730" i="1"/>
  <c r="CD3730" i="1"/>
  <c r="A3731" i="1"/>
  <c r="C3731" i="1"/>
  <c r="S3731" i="1"/>
  <c r="T3731" i="1"/>
  <c r="U3731" i="1"/>
  <c r="BE3731" i="1"/>
  <c r="CC3731" i="1"/>
  <c r="CD3731" i="1"/>
  <c r="A3732" i="1"/>
  <c r="C3732" i="1"/>
  <c r="S3732" i="1"/>
  <c r="T3732" i="1"/>
  <c r="U3732" i="1"/>
  <c r="BE3732" i="1"/>
  <c r="CC3732" i="1"/>
  <c r="CD3732" i="1"/>
  <c r="A3733" i="1"/>
  <c r="C3733" i="1"/>
  <c r="S3733" i="1"/>
  <c r="T3733" i="1"/>
  <c r="U3733" i="1"/>
  <c r="BE3733" i="1"/>
  <c r="CC3733" i="1"/>
  <c r="CD3733" i="1"/>
  <c r="A3734" i="1"/>
  <c r="C3734" i="1"/>
  <c r="S3734" i="1"/>
  <c r="T3734" i="1"/>
  <c r="U3734" i="1"/>
  <c r="BE3734" i="1"/>
  <c r="CC3734" i="1"/>
  <c r="CD3734" i="1"/>
  <c r="A3735" i="1"/>
  <c r="C3735" i="1"/>
  <c r="S3735" i="1"/>
  <c r="T3735" i="1"/>
  <c r="U3735" i="1"/>
  <c r="BE3735" i="1"/>
  <c r="CC3735" i="1"/>
  <c r="CD3735" i="1"/>
  <c r="A3736" i="1"/>
  <c r="C3736" i="1"/>
  <c r="S3736" i="1"/>
  <c r="T3736" i="1"/>
  <c r="U3736" i="1"/>
  <c r="BE3736" i="1"/>
  <c r="CC3736" i="1"/>
  <c r="CD3736" i="1"/>
  <c r="A3737" i="1"/>
  <c r="C3737" i="1"/>
  <c r="S3737" i="1"/>
  <c r="T3737" i="1"/>
  <c r="U3737" i="1"/>
  <c r="BE3737" i="1"/>
  <c r="CC3737" i="1"/>
  <c r="CD3737" i="1"/>
  <c r="A3738" i="1"/>
  <c r="C3738" i="1"/>
  <c r="S3738" i="1"/>
  <c r="T3738" i="1"/>
  <c r="U3738" i="1"/>
  <c r="BE3738" i="1"/>
  <c r="CC3738" i="1"/>
  <c r="CD3738" i="1"/>
  <c r="A3739" i="1"/>
  <c r="C3739" i="1"/>
  <c r="S3739" i="1"/>
  <c r="T3739" i="1"/>
  <c r="U3739" i="1"/>
  <c r="BE3739" i="1"/>
  <c r="CC3739" i="1"/>
  <c r="CD3739" i="1"/>
  <c r="A3740" i="1"/>
  <c r="C3740" i="1"/>
  <c r="S3740" i="1"/>
  <c r="T3740" i="1"/>
  <c r="U3740" i="1"/>
  <c r="BE3740" i="1"/>
  <c r="CC3740" i="1"/>
  <c r="CD3740" i="1"/>
  <c r="A3741" i="1"/>
  <c r="C3741" i="1"/>
  <c r="S3741" i="1"/>
  <c r="T3741" i="1"/>
  <c r="U3741" i="1"/>
  <c r="BE3741" i="1"/>
  <c r="CC3741" i="1"/>
  <c r="CD3741" i="1"/>
  <c r="A3742" i="1"/>
  <c r="C3742" i="1"/>
  <c r="S3742" i="1"/>
  <c r="T3742" i="1"/>
  <c r="U3742" i="1"/>
  <c r="BE3742" i="1"/>
  <c r="CC3742" i="1"/>
  <c r="CD3742" i="1"/>
  <c r="A3743" i="1"/>
  <c r="C3743" i="1"/>
  <c r="S3743" i="1"/>
  <c r="T3743" i="1"/>
  <c r="U3743" i="1"/>
  <c r="BE3743" i="1"/>
  <c r="CC3743" i="1"/>
  <c r="CD3743" i="1"/>
  <c r="A3744" i="1"/>
  <c r="C3744" i="1"/>
  <c r="S3744" i="1"/>
  <c r="T3744" i="1"/>
  <c r="U3744" i="1"/>
  <c r="BE3744" i="1"/>
  <c r="CC3744" i="1"/>
  <c r="CD3744" i="1"/>
  <c r="A3745" i="1"/>
  <c r="C3745" i="1"/>
  <c r="S3745" i="1"/>
  <c r="T3745" i="1"/>
  <c r="U3745" i="1"/>
  <c r="BE3745" i="1"/>
  <c r="CC3745" i="1"/>
  <c r="CD3745" i="1"/>
  <c r="A3746" i="1"/>
  <c r="C3746" i="1"/>
  <c r="S3746" i="1"/>
  <c r="T3746" i="1"/>
  <c r="U3746" i="1"/>
  <c r="BE3746" i="1"/>
  <c r="CC3746" i="1"/>
  <c r="CD3746" i="1"/>
  <c r="A3747" i="1"/>
  <c r="C3747" i="1"/>
  <c r="S3747" i="1"/>
  <c r="T3747" i="1"/>
  <c r="U3747" i="1"/>
  <c r="BE3747" i="1"/>
  <c r="CC3747" i="1"/>
  <c r="CD3747" i="1"/>
  <c r="A3748" i="1"/>
  <c r="C3748" i="1"/>
  <c r="S3748" i="1"/>
  <c r="T3748" i="1"/>
  <c r="U3748" i="1"/>
  <c r="BE3748" i="1"/>
  <c r="CC3748" i="1"/>
  <c r="CD3748" i="1"/>
  <c r="A3749" i="1"/>
  <c r="C3749" i="1"/>
  <c r="S3749" i="1"/>
  <c r="T3749" i="1"/>
  <c r="U3749" i="1"/>
  <c r="BE3749" i="1"/>
  <c r="CC3749" i="1"/>
  <c r="CD3749" i="1"/>
  <c r="A3750" i="1"/>
  <c r="C3750" i="1"/>
  <c r="S3750" i="1"/>
  <c r="T3750" i="1"/>
  <c r="U3750" i="1"/>
  <c r="BE3750" i="1"/>
  <c r="CC3750" i="1"/>
  <c r="CD3750" i="1"/>
  <c r="A3751" i="1"/>
  <c r="C3751" i="1"/>
  <c r="S3751" i="1"/>
  <c r="T3751" i="1"/>
  <c r="U3751" i="1"/>
  <c r="BE3751" i="1"/>
  <c r="CC3751" i="1"/>
  <c r="CD3751" i="1"/>
  <c r="A3752" i="1"/>
  <c r="C3752" i="1"/>
  <c r="S3752" i="1"/>
  <c r="T3752" i="1"/>
  <c r="U3752" i="1"/>
  <c r="BE3752" i="1"/>
  <c r="CC3752" i="1"/>
  <c r="CD3752" i="1"/>
  <c r="A3753" i="1"/>
  <c r="C3753" i="1"/>
  <c r="S3753" i="1"/>
  <c r="T3753" i="1"/>
  <c r="U3753" i="1"/>
  <c r="BE3753" i="1"/>
  <c r="CC3753" i="1"/>
  <c r="CD3753" i="1"/>
  <c r="A3754" i="1"/>
  <c r="C3754" i="1"/>
  <c r="S3754" i="1"/>
  <c r="T3754" i="1"/>
  <c r="U3754" i="1"/>
  <c r="BE3754" i="1"/>
  <c r="CC3754" i="1"/>
  <c r="CD3754" i="1"/>
  <c r="A3755" i="1"/>
  <c r="C3755" i="1"/>
  <c r="S3755" i="1"/>
  <c r="T3755" i="1"/>
  <c r="U3755" i="1"/>
  <c r="BE3755" i="1"/>
  <c r="CC3755" i="1"/>
  <c r="CD3755" i="1"/>
  <c r="A3756" i="1"/>
  <c r="C3756" i="1"/>
  <c r="S3756" i="1"/>
  <c r="T3756" i="1"/>
  <c r="U3756" i="1"/>
  <c r="BE3756" i="1"/>
  <c r="CC3756" i="1"/>
  <c r="CD3756" i="1"/>
  <c r="A3757" i="1"/>
  <c r="C3757" i="1"/>
  <c r="S3757" i="1"/>
  <c r="T3757" i="1"/>
  <c r="U3757" i="1"/>
  <c r="BE3757" i="1"/>
  <c r="CC3757" i="1"/>
  <c r="CD3757" i="1"/>
  <c r="A3758" i="1"/>
  <c r="C3758" i="1"/>
  <c r="S3758" i="1"/>
  <c r="T3758" i="1"/>
  <c r="U3758" i="1"/>
  <c r="BE3758" i="1"/>
  <c r="CC3758" i="1"/>
  <c r="CD3758" i="1"/>
  <c r="A3759" i="1"/>
  <c r="C3759" i="1"/>
  <c r="S3759" i="1"/>
  <c r="T3759" i="1"/>
  <c r="U3759" i="1"/>
  <c r="BE3759" i="1"/>
  <c r="CC3759" i="1"/>
  <c r="CD3759" i="1"/>
  <c r="A3760" i="1"/>
  <c r="C3760" i="1"/>
  <c r="S3760" i="1"/>
  <c r="T3760" i="1"/>
  <c r="U3760" i="1"/>
  <c r="BE3760" i="1"/>
  <c r="CC3760" i="1"/>
  <c r="CD3760" i="1"/>
  <c r="A3761" i="1"/>
  <c r="C3761" i="1"/>
  <c r="S3761" i="1"/>
  <c r="T3761" i="1"/>
  <c r="U3761" i="1"/>
  <c r="BE3761" i="1"/>
  <c r="CC3761" i="1"/>
  <c r="CD3761" i="1"/>
  <c r="A3762" i="1"/>
  <c r="C3762" i="1"/>
  <c r="S3762" i="1"/>
  <c r="T3762" i="1"/>
  <c r="U3762" i="1"/>
  <c r="BE3762" i="1"/>
  <c r="CC3762" i="1"/>
  <c r="CD3762" i="1"/>
  <c r="A3763" i="1"/>
  <c r="C3763" i="1"/>
  <c r="S3763" i="1"/>
  <c r="T3763" i="1"/>
  <c r="U3763" i="1"/>
  <c r="BE3763" i="1"/>
  <c r="CC3763" i="1"/>
  <c r="CD3763" i="1"/>
  <c r="A3764" i="1"/>
  <c r="C3764" i="1"/>
  <c r="S3764" i="1"/>
  <c r="T3764" i="1"/>
  <c r="U3764" i="1"/>
  <c r="BE3764" i="1"/>
  <c r="CC3764" i="1"/>
  <c r="CD3764" i="1"/>
  <c r="A3765" i="1"/>
  <c r="C3765" i="1"/>
  <c r="S3765" i="1"/>
  <c r="T3765" i="1"/>
  <c r="U3765" i="1"/>
  <c r="BE3765" i="1"/>
  <c r="CC3765" i="1"/>
  <c r="CD3765" i="1"/>
  <c r="A3766" i="1"/>
  <c r="C3766" i="1"/>
  <c r="S3766" i="1"/>
  <c r="T3766" i="1"/>
  <c r="U3766" i="1"/>
  <c r="BE3766" i="1"/>
  <c r="CC3766" i="1"/>
  <c r="CD3766" i="1"/>
  <c r="A3767" i="1"/>
  <c r="C3767" i="1"/>
  <c r="S3767" i="1"/>
  <c r="T3767" i="1"/>
  <c r="U3767" i="1"/>
  <c r="BE3767" i="1"/>
  <c r="CC3767" i="1"/>
  <c r="CD3767" i="1"/>
  <c r="A3768" i="1"/>
  <c r="C3768" i="1"/>
  <c r="S3768" i="1"/>
  <c r="T3768" i="1"/>
  <c r="U3768" i="1"/>
  <c r="BE3768" i="1"/>
  <c r="CC3768" i="1"/>
  <c r="CD3768" i="1"/>
  <c r="A3769" i="1"/>
  <c r="C3769" i="1"/>
  <c r="S3769" i="1"/>
  <c r="T3769" i="1"/>
  <c r="U3769" i="1"/>
  <c r="BE3769" i="1"/>
  <c r="CC3769" i="1"/>
  <c r="CD3769" i="1"/>
  <c r="A3770" i="1"/>
  <c r="C3770" i="1"/>
  <c r="S3770" i="1"/>
  <c r="T3770" i="1"/>
  <c r="U3770" i="1"/>
  <c r="BE3770" i="1"/>
  <c r="CC3770" i="1"/>
  <c r="CD3770" i="1"/>
  <c r="A3771" i="1"/>
  <c r="C3771" i="1"/>
  <c r="S3771" i="1"/>
  <c r="T3771" i="1"/>
  <c r="U3771" i="1"/>
  <c r="BE3771" i="1"/>
  <c r="CC3771" i="1"/>
  <c r="CD3771" i="1"/>
  <c r="A3772" i="1"/>
  <c r="C3772" i="1"/>
  <c r="S3772" i="1"/>
  <c r="T3772" i="1"/>
  <c r="U3772" i="1"/>
  <c r="BE3772" i="1"/>
  <c r="CC3772" i="1"/>
  <c r="CD3772" i="1"/>
  <c r="A3773" i="1"/>
  <c r="C3773" i="1"/>
  <c r="S3773" i="1"/>
  <c r="T3773" i="1"/>
  <c r="U3773" i="1"/>
  <c r="BE3773" i="1"/>
  <c r="CC3773" i="1"/>
  <c r="CD3773" i="1"/>
  <c r="A3774" i="1"/>
  <c r="C3774" i="1"/>
  <c r="S3774" i="1"/>
  <c r="T3774" i="1"/>
  <c r="U3774" i="1"/>
  <c r="BE3774" i="1"/>
  <c r="CC3774" i="1"/>
  <c r="CD3774" i="1"/>
  <c r="A3775" i="1"/>
  <c r="C3775" i="1"/>
  <c r="S3775" i="1"/>
  <c r="T3775" i="1"/>
  <c r="U3775" i="1"/>
  <c r="BE3775" i="1"/>
  <c r="CC3775" i="1"/>
  <c r="CD3775" i="1"/>
  <c r="A3776" i="1"/>
  <c r="C3776" i="1"/>
  <c r="S3776" i="1"/>
  <c r="T3776" i="1"/>
  <c r="U3776" i="1"/>
  <c r="BE3776" i="1"/>
  <c r="CC3776" i="1"/>
  <c r="CD3776" i="1"/>
  <c r="A3777" i="1"/>
  <c r="C3777" i="1"/>
  <c r="S3777" i="1"/>
  <c r="T3777" i="1"/>
  <c r="U3777" i="1"/>
  <c r="BE3777" i="1"/>
  <c r="CC3777" i="1"/>
  <c r="CD3777" i="1"/>
  <c r="A3778" i="1"/>
  <c r="C3778" i="1"/>
  <c r="S3778" i="1"/>
  <c r="T3778" i="1"/>
  <c r="U3778" i="1"/>
  <c r="BE3778" i="1"/>
  <c r="CC3778" i="1"/>
  <c r="CD3778" i="1"/>
  <c r="A3779" i="1"/>
  <c r="C3779" i="1"/>
  <c r="S3779" i="1"/>
  <c r="T3779" i="1"/>
  <c r="U3779" i="1"/>
  <c r="BE3779" i="1"/>
  <c r="CC3779" i="1"/>
  <c r="CD3779" i="1"/>
  <c r="A3780" i="1"/>
  <c r="C3780" i="1"/>
  <c r="S3780" i="1"/>
  <c r="T3780" i="1"/>
  <c r="U3780" i="1"/>
  <c r="BE3780" i="1"/>
  <c r="CC3780" i="1"/>
  <c r="CD3780" i="1"/>
  <c r="A3781" i="1"/>
  <c r="C3781" i="1"/>
  <c r="S3781" i="1"/>
  <c r="T3781" i="1"/>
  <c r="U3781" i="1"/>
  <c r="BE3781" i="1"/>
  <c r="CC3781" i="1"/>
  <c r="CD3781" i="1"/>
  <c r="A3782" i="1"/>
  <c r="C3782" i="1"/>
  <c r="S3782" i="1"/>
  <c r="T3782" i="1"/>
  <c r="U3782" i="1"/>
  <c r="BE3782" i="1"/>
  <c r="CC3782" i="1"/>
  <c r="CD3782" i="1"/>
  <c r="A3783" i="1"/>
  <c r="C3783" i="1"/>
  <c r="S3783" i="1"/>
  <c r="T3783" i="1"/>
  <c r="U3783" i="1"/>
  <c r="BE3783" i="1"/>
  <c r="CC3783" i="1"/>
  <c r="CD3783" i="1"/>
  <c r="A3784" i="1"/>
  <c r="C3784" i="1"/>
  <c r="S3784" i="1"/>
  <c r="T3784" i="1"/>
  <c r="U3784" i="1"/>
  <c r="BE3784" i="1"/>
  <c r="CC3784" i="1"/>
  <c r="CD3784" i="1"/>
  <c r="A3785" i="1"/>
  <c r="C3785" i="1"/>
  <c r="S3785" i="1"/>
  <c r="T3785" i="1"/>
  <c r="U3785" i="1"/>
  <c r="BE3785" i="1"/>
  <c r="CC3785" i="1"/>
  <c r="CD3785" i="1"/>
  <c r="A3786" i="1"/>
  <c r="C3786" i="1"/>
  <c r="S3786" i="1"/>
  <c r="T3786" i="1"/>
  <c r="U3786" i="1"/>
  <c r="BE3786" i="1"/>
  <c r="CC3786" i="1"/>
  <c r="CD3786" i="1"/>
  <c r="A3787" i="1"/>
  <c r="C3787" i="1"/>
  <c r="S3787" i="1"/>
  <c r="T3787" i="1"/>
  <c r="U3787" i="1"/>
  <c r="BE3787" i="1"/>
  <c r="CC3787" i="1"/>
  <c r="CD3787" i="1"/>
  <c r="A3788" i="1"/>
  <c r="C3788" i="1"/>
  <c r="S3788" i="1"/>
  <c r="T3788" i="1"/>
  <c r="U3788" i="1"/>
  <c r="BE3788" i="1"/>
  <c r="CC3788" i="1"/>
  <c r="CD3788" i="1"/>
  <c r="A3789" i="1"/>
  <c r="C3789" i="1"/>
  <c r="S3789" i="1"/>
  <c r="T3789" i="1"/>
  <c r="U3789" i="1"/>
  <c r="BE3789" i="1"/>
  <c r="CC3789" i="1"/>
  <c r="CD3789" i="1"/>
  <c r="A3790" i="1"/>
  <c r="C3790" i="1"/>
  <c r="S3790" i="1"/>
  <c r="T3790" i="1"/>
  <c r="U3790" i="1"/>
  <c r="BE3790" i="1"/>
  <c r="CC3790" i="1"/>
  <c r="CD3790" i="1"/>
  <c r="A3791" i="1"/>
  <c r="C3791" i="1"/>
  <c r="S3791" i="1"/>
  <c r="T3791" i="1"/>
  <c r="U3791" i="1"/>
  <c r="BE3791" i="1"/>
  <c r="CC3791" i="1"/>
  <c r="CD3791" i="1"/>
  <c r="A3792" i="1"/>
  <c r="C3792" i="1"/>
  <c r="S3792" i="1"/>
  <c r="T3792" i="1"/>
  <c r="U3792" i="1"/>
  <c r="BE3792" i="1"/>
  <c r="CC3792" i="1"/>
  <c r="CD3792" i="1"/>
  <c r="A3793" i="1"/>
  <c r="C3793" i="1"/>
  <c r="S3793" i="1"/>
  <c r="T3793" i="1"/>
  <c r="U3793" i="1"/>
  <c r="BE3793" i="1"/>
  <c r="CC3793" i="1"/>
  <c r="CD3793" i="1"/>
  <c r="A3794" i="1"/>
  <c r="C3794" i="1"/>
  <c r="S3794" i="1"/>
  <c r="T3794" i="1"/>
  <c r="U3794" i="1"/>
  <c r="BE3794" i="1"/>
  <c r="CC3794" i="1"/>
  <c r="CD3794" i="1"/>
  <c r="A3795" i="1"/>
  <c r="C3795" i="1"/>
  <c r="S3795" i="1"/>
  <c r="T3795" i="1"/>
  <c r="U3795" i="1"/>
  <c r="BE3795" i="1"/>
  <c r="CC3795" i="1"/>
  <c r="CD3795" i="1"/>
  <c r="A3796" i="1"/>
  <c r="C3796" i="1"/>
  <c r="S3796" i="1"/>
  <c r="T3796" i="1"/>
  <c r="U3796" i="1"/>
  <c r="BE3796" i="1"/>
  <c r="CC3796" i="1"/>
  <c r="CD3796" i="1"/>
  <c r="A3797" i="1"/>
  <c r="C3797" i="1"/>
  <c r="S3797" i="1"/>
  <c r="T3797" i="1"/>
  <c r="U3797" i="1"/>
  <c r="BE3797" i="1"/>
  <c r="CC3797" i="1"/>
  <c r="CD3797" i="1"/>
  <c r="A3798" i="1"/>
  <c r="C3798" i="1"/>
  <c r="S3798" i="1"/>
  <c r="T3798" i="1"/>
  <c r="U3798" i="1"/>
  <c r="BE3798" i="1"/>
  <c r="CC3798" i="1"/>
  <c r="CD3798" i="1"/>
  <c r="A3799" i="1"/>
  <c r="C3799" i="1"/>
  <c r="S3799" i="1"/>
  <c r="T3799" i="1"/>
  <c r="U3799" i="1"/>
  <c r="BE3799" i="1"/>
  <c r="CC3799" i="1"/>
  <c r="CD3799" i="1"/>
  <c r="A3800" i="1"/>
  <c r="C3800" i="1"/>
  <c r="S3800" i="1"/>
  <c r="T3800" i="1"/>
  <c r="U3800" i="1"/>
  <c r="BE3800" i="1"/>
  <c r="CC3800" i="1"/>
  <c r="CD3800" i="1"/>
  <c r="A3801" i="1"/>
  <c r="C3801" i="1"/>
  <c r="S3801" i="1"/>
  <c r="T3801" i="1"/>
  <c r="U3801" i="1"/>
  <c r="BE3801" i="1"/>
  <c r="CC3801" i="1"/>
  <c r="CD3801" i="1"/>
  <c r="A3802" i="1"/>
  <c r="C3802" i="1"/>
  <c r="S3802" i="1"/>
  <c r="T3802" i="1"/>
  <c r="U3802" i="1"/>
  <c r="BE3802" i="1"/>
  <c r="CC3802" i="1"/>
  <c r="CD3802" i="1"/>
  <c r="A3803" i="1"/>
  <c r="C3803" i="1"/>
  <c r="S3803" i="1"/>
  <c r="T3803" i="1"/>
  <c r="U3803" i="1"/>
  <c r="BE3803" i="1"/>
  <c r="CC3803" i="1"/>
  <c r="CD3803" i="1"/>
  <c r="A3804" i="1"/>
  <c r="C3804" i="1"/>
  <c r="S3804" i="1"/>
  <c r="T3804" i="1"/>
  <c r="U3804" i="1"/>
  <c r="BE3804" i="1"/>
  <c r="CC3804" i="1"/>
  <c r="CD3804" i="1"/>
  <c r="A3805" i="1"/>
  <c r="C3805" i="1"/>
  <c r="S3805" i="1"/>
  <c r="T3805" i="1"/>
  <c r="U3805" i="1"/>
  <c r="BE3805" i="1"/>
  <c r="CC3805" i="1"/>
  <c r="CD3805" i="1"/>
  <c r="A3806" i="1"/>
  <c r="C3806" i="1"/>
  <c r="S3806" i="1"/>
  <c r="T3806" i="1"/>
  <c r="U3806" i="1"/>
  <c r="BE3806" i="1"/>
  <c r="CC3806" i="1"/>
  <c r="CD3806" i="1"/>
  <c r="A3807" i="1"/>
  <c r="C3807" i="1"/>
  <c r="S3807" i="1"/>
  <c r="T3807" i="1"/>
  <c r="U3807" i="1"/>
  <c r="BE3807" i="1"/>
  <c r="CC3807" i="1"/>
  <c r="CD3807" i="1"/>
  <c r="A3808" i="1"/>
  <c r="C3808" i="1"/>
  <c r="S3808" i="1"/>
  <c r="T3808" i="1"/>
  <c r="U3808" i="1"/>
  <c r="BE3808" i="1"/>
  <c r="CC3808" i="1"/>
  <c r="CD3808" i="1"/>
  <c r="A3809" i="1"/>
  <c r="C3809" i="1"/>
  <c r="S3809" i="1"/>
  <c r="T3809" i="1"/>
  <c r="U3809" i="1"/>
  <c r="BE3809" i="1"/>
  <c r="CC3809" i="1"/>
  <c r="CD3809" i="1"/>
  <c r="A3810" i="1"/>
  <c r="C3810" i="1"/>
  <c r="S3810" i="1"/>
  <c r="T3810" i="1"/>
  <c r="U3810" i="1"/>
  <c r="BE3810" i="1"/>
  <c r="CC3810" i="1"/>
  <c r="CD3810" i="1"/>
  <c r="A3811" i="1"/>
  <c r="C3811" i="1"/>
  <c r="S3811" i="1"/>
  <c r="T3811" i="1"/>
  <c r="U3811" i="1"/>
  <c r="BE3811" i="1"/>
  <c r="CC3811" i="1"/>
  <c r="CD3811" i="1"/>
  <c r="A3812" i="1"/>
  <c r="C3812" i="1"/>
  <c r="S3812" i="1"/>
  <c r="T3812" i="1"/>
  <c r="U3812" i="1"/>
  <c r="BE3812" i="1"/>
  <c r="CC3812" i="1"/>
  <c r="CD3812" i="1"/>
  <c r="A3813" i="1"/>
  <c r="C3813" i="1"/>
  <c r="S3813" i="1"/>
  <c r="T3813" i="1"/>
  <c r="U3813" i="1"/>
  <c r="BE3813" i="1"/>
  <c r="CC3813" i="1"/>
  <c r="CD3813" i="1"/>
  <c r="A3814" i="1"/>
  <c r="C3814" i="1"/>
  <c r="S3814" i="1"/>
  <c r="T3814" i="1"/>
  <c r="U3814" i="1"/>
  <c r="BE3814" i="1"/>
  <c r="CC3814" i="1"/>
  <c r="CD3814" i="1"/>
  <c r="A3815" i="1"/>
  <c r="C3815" i="1"/>
  <c r="S3815" i="1"/>
  <c r="T3815" i="1"/>
  <c r="U3815" i="1"/>
  <c r="BE3815" i="1"/>
  <c r="CC3815" i="1"/>
  <c r="CD3815" i="1"/>
  <c r="A3816" i="1"/>
  <c r="C3816" i="1"/>
  <c r="S3816" i="1"/>
  <c r="T3816" i="1"/>
  <c r="U3816" i="1"/>
  <c r="BE3816" i="1"/>
  <c r="CC3816" i="1"/>
  <c r="CD3816" i="1"/>
  <c r="A3817" i="1"/>
  <c r="C3817" i="1"/>
  <c r="S3817" i="1"/>
  <c r="T3817" i="1"/>
  <c r="U3817" i="1"/>
  <c r="BE3817" i="1"/>
  <c r="CC3817" i="1"/>
  <c r="CD3817" i="1"/>
  <c r="A3818" i="1"/>
  <c r="C3818" i="1"/>
  <c r="S3818" i="1"/>
  <c r="T3818" i="1"/>
  <c r="U3818" i="1"/>
  <c r="BE3818" i="1"/>
  <c r="CC3818" i="1"/>
  <c r="CD3818" i="1"/>
  <c r="A3819" i="1"/>
  <c r="C3819" i="1"/>
  <c r="S3819" i="1"/>
  <c r="T3819" i="1"/>
  <c r="U3819" i="1"/>
  <c r="BE3819" i="1"/>
  <c r="CC3819" i="1"/>
  <c r="CD3819" i="1"/>
  <c r="A3820" i="1"/>
  <c r="C3820" i="1"/>
  <c r="S3820" i="1"/>
  <c r="T3820" i="1"/>
  <c r="U3820" i="1"/>
  <c r="BE3820" i="1"/>
  <c r="CC3820" i="1"/>
  <c r="CD3820" i="1"/>
  <c r="A3821" i="1"/>
  <c r="C3821" i="1"/>
  <c r="S3821" i="1"/>
  <c r="T3821" i="1"/>
  <c r="U3821" i="1"/>
  <c r="BE3821" i="1"/>
  <c r="CC3821" i="1"/>
  <c r="CD3821" i="1"/>
  <c r="A3822" i="1"/>
  <c r="C3822" i="1"/>
  <c r="S3822" i="1"/>
  <c r="T3822" i="1"/>
  <c r="U3822" i="1"/>
  <c r="BE3822" i="1"/>
  <c r="CC3822" i="1"/>
  <c r="CD3822" i="1"/>
  <c r="A3823" i="1"/>
  <c r="C3823" i="1"/>
  <c r="S3823" i="1"/>
  <c r="T3823" i="1"/>
  <c r="U3823" i="1"/>
  <c r="BE3823" i="1"/>
  <c r="CC3823" i="1"/>
  <c r="CD3823" i="1"/>
  <c r="A3824" i="1"/>
  <c r="C3824" i="1"/>
  <c r="S3824" i="1"/>
  <c r="T3824" i="1"/>
  <c r="U3824" i="1"/>
  <c r="BE3824" i="1"/>
  <c r="CC3824" i="1"/>
  <c r="CD3824" i="1"/>
  <c r="A3825" i="1"/>
  <c r="C3825" i="1"/>
  <c r="S3825" i="1"/>
  <c r="T3825" i="1"/>
  <c r="U3825" i="1"/>
  <c r="BE3825" i="1"/>
  <c r="CC3825" i="1"/>
  <c r="CD3825" i="1"/>
  <c r="A3826" i="1"/>
  <c r="C3826" i="1"/>
  <c r="S3826" i="1"/>
  <c r="T3826" i="1"/>
  <c r="U3826" i="1"/>
  <c r="BE3826" i="1"/>
  <c r="CC3826" i="1"/>
  <c r="CD3826" i="1"/>
  <c r="A3827" i="1"/>
  <c r="C3827" i="1"/>
  <c r="S3827" i="1"/>
  <c r="T3827" i="1"/>
  <c r="U3827" i="1"/>
  <c r="BE3827" i="1"/>
  <c r="CC3827" i="1"/>
  <c r="CD3827" i="1"/>
  <c r="A3828" i="1"/>
  <c r="C3828" i="1"/>
  <c r="S3828" i="1"/>
  <c r="T3828" i="1"/>
  <c r="U3828" i="1"/>
  <c r="BE3828" i="1"/>
  <c r="CC3828" i="1"/>
  <c r="CD3828" i="1"/>
  <c r="A3829" i="1"/>
  <c r="C3829" i="1"/>
  <c r="S3829" i="1"/>
  <c r="T3829" i="1"/>
  <c r="U3829" i="1"/>
  <c r="BE3829" i="1"/>
  <c r="CC3829" i="1"/>
  <c r="CD3829" i="1"/>
  <c r="A3830" i="1"/>
  <c r="C3830" i="1"/>
  <c r="S3830" i="1"/>
  <c r="T3830" i="1"/>
  <c r="U3830" i="1"/>
  <c r="BE3830" i="1"/>
  <c r="CC3830" i="1"/>
  <c r="CD3830" i="1"/>
  <c r="A3831" i="1"/>
  <c r="C3831" i="1"/>
  <c r="S3831" i="1"/>
  <c r="T3831" i="1"/>
  <c r="U3831" i="1"/>
  <c r="BE3831" i="1"/>
  <c r="CC3831" i="1"/>
  <c r="CD3831" i="1"/>
  <c r="A3832" i="1"/>
  <c r="C3832" i="1"/>
  <c r="S3832" i="1"/>
  <c r="T3832" i="1"/>
  <c r="U3832" i="1"/>
  <c r="BE3832" i="1"/>
  <c r="CC3832" i="1"/>
  <c r="CD3832" i="1"/>
  <c r="A3833" i="1"/>
  <c r="C3833" i="1"/>
  <c r="S3833" i="1"/>
  <c r="T3833" i="1"/>
  <c r="U3833" i="1"/>
  <c r="BE3833" i="1"/>
  <c r="CC3833" i="1"/>
  <c r="CD3833" i="1"/>
  <c r="A3834" i="1"/>
  <c r="C3834" i="1"/>
  <c r="S3834" i="1"/>
  <c r="T3834" i="1"/>
  <c r="U3834" i="1"/>
  <c r="BE3834" i="1"/>
  <c r="CC3834" i="1"/>
  <c r="CD3834" i="1"/>
  <c r="A3835" i="1"/>
  <c r="C3835" i="1"/>
  <c r="S3835" i="1"/>
  <c r="T3835" i="1"/>
  <c r="U3835" i="1"/>
  <c r="BE3835" i="1"/>
  <c r="CC3835" i="1"/>
  <c r="CD3835" i="1"/>
  <c r="A3836" i="1"/>
  <c r="C3836" i="1"/>
  <c r="S3836" i="1"/>
  <c r="T3836" i="1"/>
  <c r="U3836" i="1"/>
  <c r="BE3836" i="1"/>
  <c r="CC3836" i="1"/>
  <c r="CD3836" i="1"/>
  <c r="A3837" i="1"/>
  <c r="C3837" i="1"/>
  <c r="S3837" i="1"/>
  <c r="T3837" i="1"/>
  <c r="U3837" i="1"/>
  <c r="BE3837" i="1"/>
  <c r="CC3837" i="1"/>
  <c r="CD3837" i="1"/>
  <c r="A3838" i="1"/>
  <c r="C3838" i="1"/>
  <c r="S3838" i="1"/>
  <c r="T3838" i="1"/>
  <c r="U3838" i="1"/>
  <c r="BE3838" i="1"/>
  <c r="CC3838" i="1"/>
  <c r="CD3838" i="1"/>
  <c r="A3839" i="1"/>
  <c r="C3839" i="1"/>
  <c r="S3839" i="1"/>
  <c r="T3839" i="1"/>
  <c r="U3839" i="1"/>
  <c r="BE3839" i="1"/>
  <c r="CC3839" i="1"/>
  <c r="CD3839" i="1"/>
  <c r="A3840" i="1"/>
  <c r="C3840" i="1"/>
  <c r="S3840" i="1"/>
  <c r="T3840" i="1"/>
  <c r="U3840" i="1"/>
  <c r="BE3840" i="1"/>
  <c r="CC3840" i="1"/>
  <c r="CD3840" i="1"/>
  <c r="A3841" i="1"/>
  <c r="C3841" i="1"/>
  <c r="S3841" i="1"/>
  <c r="T3841" i="1"/>
  <c r="U3841" i="1"/>
  <c r="BE3841" i="1"/>
  <c r="CC3841" i="1"/>
  <c r="CD3841" i="1"/>
  <c r="A3842" i="1"/>
  <c r="C3842" i="1"/>
  <c r="S3842" i="1"/>
  <c r="T3842" i="1"/>
  <c r="U3842" i="1"/>
  <c r="BE3842" i="1"/>
  <c r="CC3842" i="1"/>
  <c r="CD3842" i="1"/>
  <c r="A3843" i="1"/>
  <c r="C3843" i="1"/>
  <c r="S3843" i="1"/>
  <c r="T3843" i="1"/>
  <c r="U3843" i="1"/>
  <c r="BE3843" i="1"/>
  <c r="CC3843" i="1"/>
  <c r="CD3843" i="1"/>
  <c r="A3844" i="1"/>
  <c r="C3844" i="1"/>
  <c r="S3844" i="1"/>
  <c r="T3844" i="1"/>
  <c r="U3844" i="1"/>
  <c r="BE3844" i="1"/>
  <c r="CC3844" i="1"/>
  <c r="CD3844" i="1"/>
  <c r="A3845" i="1"/>
  <c r="C3845" i="1"/>
  <c r="S3845" i="1"/>
  <c r="T3845" i="1"/>
  <c r="U3845" i="1"/>
  <c r="BE3845" i="1"/>
  <c r="CC3845" i="1"/>
  <c r="CD3845" i="1"/>
  <c r="A3846" i="1"/>
  <c r="C3846" i="1"/>
  <c r="S3846" i="1"/>
  <c r="T3846" i="1"/>
  <c r="U3846" i="1"/>
  <c r="BE3846" i="1"/>
  <c r="CC3846" i="1"/>
  <c r="CD3846" i="1"/>
  <c r="A3847" i="1"/>
  <c r="C3847" i="1"/>
  <c r="S3847" i="1"/>
  <c r="T3847" i="1"/>
  <c r="U3847" i="1"/>
  <c r="BE3847" i="1"/>
  <c r="CC3847" i="1"/>
  <c r="CD3847" i="1"/>
  <c r="A3848" i="1"/>
  <c r="C3848" i="1"/>
  <c r="S3848" i="1"/>
  <c r="T3848" i="1"/>
  <c r="U3848" i="1"/>
  <c r="BE3848" i="1"/>
  <c r="CC3848" i="1"/>
  <c r="CD3848" i="1"/>
  <c r="A3849" i="1"/>
  <c r="C3849" i="1"/>
  <c r="S3849" i="1"/>
  <c r="T3849" i="1"/>
  <c r="U3849" i="1"/>
  <c r="BE3849" i="1"/>
  <c r="CC3849" i="1"/>
  <c r="CD3849" i="1"/>
  <c r="A3850" i="1"/>
  <c r="C3850" i="1"/>
  <c r="S3850" i="1"/>
  <c r="T3850" i="1"/>
  <c r="U3850" i="1"/>
  <c r="BE3850" i="1"/>
  <c r="CC3850" i="1"/>
  <c r="CD3850" i="1"/>
  <c r="A3851" i="1"/>
  <c r="C3851" i="1"/>
  <c r="S3851" i="1"/>
  <c r="T3851" i="1"/>
  <c r="U3851" i="1"/>
  <c r="BE3851" i="1"/>
  <c r="CC3851" i="1"/>
  <c r="CD3851" i="1"/>
  <c r="A3852" i="1"/>
  <c r="C3852" i="1"/>
  <c r="S3852" i="1"/>
  <c r="T3852" i="1"/>
  <c r="U3852" i="1"/>
  <c r="BE3852" i="1"/>
  <c r="CC3852" i="1"/>
  <c r="CD3852" i="1"/>
  <c r="A3853" i="1"/>
  <c r="C3853" i="1"/>
  <c r="S3853" i="1"/>
  <c r="T3853" i="1"/>
  <c r="U3853" i="1"/>
  <c r="BE3853" i="1"/>
  <c r="CC3853" i="1"/>
  <c r="CD3853" i="1"/>
  <c r="A3854" i="1"/>
  <c r="C3854" i="1"/>
  <c r="S3854" i="1"/>
  <c r="T3854" i="1"/>
  <c r="U3854" i="1"/>
  <c r="BE3854" i="1"/>
  <c r="CC3854" i="1"/>
  <c r="CD3854" i="1"/>
  <c r="A3855" i="1"/>
  <c r="C3855" i="1"/>
  <c r="S3855" i="1"/>
  <c r="T3855" i="1"/>
  <c r="U3855" i="1"/>
  <c r="BE3855" i="1"/>
  <c r="CC3855" i="1"/>
  <c r="CD3855" i="1"/>
  <c r="A3856" i="1"/>
  <c r="C3856" i="1"/>
  <c r="S3856" i="1"/>
  <c r="T3856" i="1"/>
  <c r="U3856" i="1"/>
  <c r="BE3856" i="1"/>
  <c r="CC3856" i="1"/>
  <c r="CD3856" i="1"/>
  <c r="A3857" i="1"/>
  <c r="C3857" i="1"/>
  <c r="S3857" i="1"/>
  <c r="T3857" i="1"/>
  <c r="U3857" i="1"/>
  <c r="BE3857" i="1"/>
  <c r="CC3857" i="1"/>
  <c r="CD3857" i="1"/>
  <c r="A3858" i="1"/>
  <c r="C3858" i="1"/>
  <c r="S3858" i="1"/>
  <c r="T3858" i="1"/>
  <c r="U3858" i="1"/>
  <c r="BE3858" i="1"/>
  <c r="CC3858" i="1"/>
  <c r="CD3858" i="1"/>
  <c r="A3859" i="1"/>
  <c r="C3859" i="1"/>
  <c r="S3859" i="1"/>
  <c r="T3859" i="1"/>
  <c r="U3859" i="1"/>
  <c r="BE3859" i="1"/>
  <c r="CC3859" i="1"/>
  <c r="CD3859" i="1"/>
  <c r="A3860" i="1"/>
  <c r="C3860" i="1"/>
  <c r="S3860" i="1"/>
  <c r="T3860" i="1"/>
  <c r="U3860" i="1"/>
  <c r="BE3860" i="1"/>
  <c r="CC3860" i="1"/>
  <c r="CD3860" i="1"/>
  <c r="A3861" i="1"/>
  <c r="C3861" i="1"/>
  <c r="S3861" i="1"/>
  <c r="T3861" i="1"/>
  <c r="U3861" i="1"/>
  <c r="BE3861" i="1"/>
  <c r="CC3861" i="1"/>
  <c r="CD3861" i="1"/>
  <c r="A3862" i="1"/>
  <c r="C3862" i="1"/>
  <c r="S3862" i="1"/>
  <c r="T3862" i="1"/>
  <c r="U3862" i="1"/>
  <c r="BE3862" i="1"/>
  <c r="CC3862" i="1"/>
  <c r="CD3862" i="1"/>
  <c r="A3863" i="1"/>
  <c r="C3863" i="1"/>
  <c r="S3863" i="1"/>
  <c r="T3863" i="1"/>
  <c r="U3863" i="1"/>
  <c r="BE3863" i="1"/>
  <c r="CC3863" i="1"/>
  <c r="CD3863" i="1"/>
  <c r="A3864" i="1"/>
  <c r="C3864" i="1"/>
  <c r="S3864" i="1"/>
  <c r="T3864" i="1"/>
  <c r="U3864" i="1"/>
  <c r="BE3864" i="1"/>
  <c r="CC3864" i="1"/>
  <c r="CD3864" i="1"/>
  <c r="A3865" i="1"/>
  <c r="C3865" i="1"/>
  <c r="S3865" i="1"/>
  <c r="T3865" i="1"/>
  <c r="U3865" i="1"/>
  <c r="BE3865" i="1"/>
  <c r="CC3865" i="1"/>
  <c r="CD3865" i="1"/>
  <c r="A3866" i="1"/>
  <c r="C3866" i="1"/>
  <c r="S3866" i="1"/>
  <c r="T3866" i="1"/>
  <c r="U3866" i="1"/>
  <c r="BE3866" i="1"/>
  <c r="CC3866" i="1"/>
  <c r="CD3866" i="1"/>
  <c r="A3867" i="1"/>
  <c r="C3867" i="1"/>
  <c r="S3867" i="1"/>
  <c r="T3867" i="1"/>
  <c r="U3867" i="1"/>
  <c r="BE3867" i="1"/>
  <c r="CC3867" i="1"/>
  <c r="CD3867" i="1"/>
  <c r="A3868" i="1"/>
  <c r="C3868" i="1"/>
  <c r="S3868" i="1"/>
  <c r="T3868" i="1"/>
  <c r="U3868" i="1"/>
  <c r="BE3868" i="1"/>
  <c r="CC3868" i="1"/>
  <c r="CD3868" i="1"/>
  <c r="A3869" i="1"/>
  <c r="C3869" i="1"/>
  <c r="S3869" i="1"/>
  <c r="T3869" i="1"/>
  <c r="U3869" i="1"/>
  <c r="BE3869" i="1"/>
  <c r="CC3869" i="1"/>
  <c r="CD3869" i="1"/>
  <c r="A3870" i="1"/>
  <c r="C3870" i="1"/>
  <c r="S3870" i="1"/>
  <c r="T3870" i="1"/>
  <c r="U3870" i="1"/>
  <c r="BE3870" i="1"/>
  <c r="CC3870" i="1"/>
  <c r="CD3870" i="1"/>
  <c r="A3871" i="1"/>
  <c r="C3871" i="1"/>
  <c r="S3871" i="1"/>
  <c r="T3871" i="1"/>
  <c r="U3871" i="1"/>
  <c r="BE3871" i="1"/>
  <c r="CC3871" i="1"/>
  <c r="CD3871" i="1"/>
  <c r="A3872" i="1"/>
  <c r="C3872" i="1"/>
  <c r="S3872" i="1"/>
  <c r="T3872" i="1"/>
  <c r="U3872" i="1"/>
  <c r="BE3872" i="1"/>
  <c r="CC3872" i="1"/>
  <c r="CD3872" i="1"/>
  <c r="A3873" i="1"/>
  <c r="C3873" i="1"/>
  <c r="S3873" i="1"/>
  <c r="T3873" i="1"/>
  <c r="U3873" i="1"/>
  <c r="BE3873" i="1"/>
  <c r="CC3873" i="1"/>
  <c r="CD3873" i="1"/>
  <c r="A3874" i="1"/>
  <c r="C3874" i="1"/>
  <c r="S3874" i="1"/>
  <c r="T3874" i="1"/>
  <c r="U3874" i="1"/>
  <c r="BE3874" i="1"/>
  <c r="CC3874" i="1"/>
  <c r="CD3874" i="1"/>
  <c r="A3875" i="1"/>
  <c r="C3875" i="1"/>
  <c r="S3875" i="1"/>
  <c r="T3875" i="1"/>
  <c r="U3875" i="1"/>
  <c r="BE3875" i="1"/>
  <c r="CC3875" i="1"/>
  <c r="CD3875" i="1"/>
  <c r="A3876" i="1"/>
  <c r="C3876" i="1"/>
  <c r="S3876" i="1"/>
  <c r="T3876" i="1"/>
  <c r="U3876" i="1"/>
  <c r="BE3876" i="1"/>
  <c r="CC3876" i="1"/>
  <c r="CD3876" i="1"/>
  <c r="A3877" i="1"/>
  <c r="C3877" i="1"/>
  <c r="S3877" i="1"/>
  <c r="T3877" i="1"/>
  <c r="U3877" i="1"/>
  <c r="BE3877" i="1"/>
  <c r="CC3877" i="1"/>
  <c r="CD3877" i="1"/>
  <c r="A3878" i="1"/>
  <c r="C3878" i="1"/>
  <c r="S3878" i="1"/>
  <c r="T3878" i="1"/>
  <c r="U3878" i="1"/>
  <c r="BE3878" i="1"/>
  <c r="CC3878" i="1"/>
  <c r="CD3878" i="1"/>
  <c r="A3879" i="1"/>
  <c r="C3879" i="1"/>
  <c r="S3879" i="1"/>
  <c r="T3879" i="1"/>
  <c r="U3879" i="1"/>
  <c r="BE3879" i="1"/>
  <c r="CC3879" i="1"/>
  <c r="CD3879" i="1"/>
  <c r="A3880" i="1"/>
  <c r="C3880" i="1"/>
  <c r="S3880" i="1"/>
  <c r="T3880" i="1"/>
  <c r="U3880" i="1"/>
  <c r="BE3880" i="1"/>
  <c r="CC3880" i="1"/>
  <c r="CD3880" i="1"/>
  <c r="A3881" i="1"/>
  <c r="C3881" i="1"/>
  <c r="S3881" i="1"/>
  <c r="T3881" i="1"/>
  <c r="U3881" i="1"/>
  <c r="BE3881" i="1"/>
  <c r="CC3881" i="1"/>
  <c r="CD3881" i="1"/>
  <c r="A3882" i="1"/>
  <c r="C3882" i="1"/>
  <c r="S3882" i="1"/>
  <c r="T3882" i="1"/>
  <c r="U3882" i="1"/>
  <c r="BE3882" i="1"/>
  <c r="CC3882" i="1"/>
  <c r="CD3882" i="1"/>
  <c r="A3883" i="1"/>
  <c r="C3883" i="1"/>
  <c r="S3883" i="1"/>
  <c r="T3883" i="1"/>
  <c r="U3883" i="1"/>
  <c r="BE3883" i="1"/>
  <c r="CC3883" i="1"/>
  <c r="CD3883" i="1"/>
  <c r="A3884" i="1"/>
  <c r="C3884" i="1"/>
  <c r="S3884" i="1"/>
  <c r="T3884" i="1"/>
  <c r="U3884" i="1"/>
  <c r="BE3884" i="1"/>
  <c r="CC3884" i="1"/>
  <c r="CD3884" i="1"/>
  <c r="A3885" i="1"/>
  <c r="C3885" i="1"/>
  <c r="S3885" i="1"/>
  <c r="T3885" i="1"/>
  <c r="U3885" i="1"/>
  <c r="BE3885" i="1"/>
  <c r="CC3885" i="1"/>
  <c r="CD3885" i="1"/>
  <c r="A3886" i="1"/>
  <c r="C3886" i="1"/>
  <c r="S3886" i="1"/>
  <c r="T3886" i="1"/>
  <c r="U3886" i="1"/>
  <c r="BE3886" i="1"/>
  <c r="CC3886" i="1"/>
  <c r="CD3886" i="1"/>
  <c r="A3887" i="1"/>
  <c r="C3887" i="1"/>
  <c r="S3887" i="1"/>
  <c r="T3887" i="1"/>
  <c r="U3887" i="1"/>
  <c r="BE3887" i="1"/>
  <c r="CC3887" i="1"/>
  <c r="CD3887" i="1"/>
  <c r="A3888" i="1"/>
  <c r="C3888" i="1"/>
  <c r="S3888" i="1"/>
  <c r="T3888" i="1"/>
  <c r="U3888" i="1"/>
  <c r="BE3888" i="1"/>
  <c r="CC3888" i="1"/>
  <c r="CD3888" i="1"/>
  <c r="A3889" i="1"/>
  <c r="C3889" i="1"/>
  <c r="S3889" i="1"/>
  <c r="T3889" i="1"/>
  <c r="U3889" i="1"/>
  <c r="BE3889" i="1"/>
  <c r="CC3889" i="1"/>
  <c r="CD3889" i="1"/>
  <c r="A3890" i="1"/>
  <c r="C3890" i="1"/>
  <c r="S3890" i="1"/>
  <c r="T3890" i="1"/>
  <c r="U3890" i="1"/>
  <c r="BE3890" i="1"/>
  <c r="CC3890" i="1"/>
  <c r="CD3890" i="1"/>
  <c r="A3891" i="1"/>
  <c r="C3891" i="1"/>
  <c r="S3891" i="1"/>
  <c r="T3891" i="1"/>
  <c r="U3891" i="1"/>
  <c r="BE3891" i="1"/>
  <c r="CC3891" i="1"/>
  <c r="CD3891" i="1"/>
  <c r="A3892" i="1"/>
  <c r="C3892" i="1"/>
  <c r="S3892" i="1"/>
  <c r="T3892" i="1"/>
  <c r="U3892" i="1"/>
  <c r="BE3892" i="1"/>
  <c r="CC3892" i="1"/>
  <c r="CD3892" i="1"/>
  <c r="A3893" i="1"/>
  <c r="C3893" i="1"/>
  <c r="S3893" i="1"/>
  <c r="T3893" i="1"/>
  <c r="U3893" i="1"/>
  <c r="BE3893" i="1"/>
  <c r="CC3893" i="1"/>
  <c r="CD3893" i="1"/>
  <c r="A3894" i="1"/>
  <c r="C3894" i="1"/>
  <c r="S3894" i="1"/>
  <c r="T3894" i="1"/>
  <c r="U3894" i="1"/>
  <c r="BE3894" i="1"/>
  <c r="CC3894" i="1"/>
  <c r="CD3894" i="1"/>
  <c r="A3895" i="1"/>
  <c r="C3895" i="1"/>
  <c r="S3895" i="1"/>
  <c r="T3895" i="1"/>
  <c r="U3895" i="1"/>
  <c r="BE3895" i="1"/>
  <c r="CC3895" i="1"/>
  <c r="CD3895" i="1"/>
  <c r="A3896" i="1"/>
  <c r="C3896" i="1"/>
  <c r="S3896" i="1"/>
  <c r="T3896" i="1"/>
  <c r="U3896" i="1"/>
  <c r="BE3896" i="1"/>
  <c r="CC3896" i="1"/>
  <c r="CD3896" i="1"/>
  <c r="A3897" i="1"/>
  <c r="C3897" i="1"/>
  <c r="S3897" i="1"/>
  <c r="T3897" i="1"/>
  <c r="U3897" i="1"/>
  <c r="BE3897" i="1"/>
  <c r="CC3897" i="1"/>
  <c r="CD3897" i="1"/>
  <c r="A3898" i="1"/>
  <c r="C3898" i="1"/>
  <c r="S3898" i="1"/>
  <c r="T3898" i="1"/>
  <c r="U3898" i="1"/>
  <c r="BE3898" i="1"/>
  <c r="CC3898" i="1"/>
  <c r="CD3898" i="1"/>
  <c r="A3899" i="1"/>
  <c r="C3899" i="1"/>
  <c r="S3899" i="1"/>
  <c r="T3899" i="1"/>
  <c r="U3899" i="1"/>
  <c r="BE3899" i="1"/>
  <c r="CC3899" i="1"/>
  <c r="CD3899" i="1"/>
  <c r="A3900" i="1"/>
  <c r="C3900" i="1"/>
  <c r="S3900" i="1"/>
  <c r="T3900" i="1"/>
  <c r="U3900" i="1"/>
  <c r="BE3900" i="1"/>
  <c r="CC3900" i="1"/>
  <c r="CD3900" i="1"/>
  <c r="A3901" i="1"/>
  <c r="C3901" i="1"/>
  <c r="S3901" i="1"/>
  <c r="T3901" i="1"/>
  <c r="U3901" i="1"/>
  <c r="BE3901" i="1"/>
  <c r="CC3901" i="1"/>
  <c r="CD3901" i="1"/>
  <c r="A3902" i="1"/>
  <c r="C3902" i="1"/>
  <c r="S3902" i="1"/>
  <c r="T3902" i="1"/>
  <c r="U3902" i="1"/>
  <c r="BE3902" i="1"/>
  <c r="CC3902" i="1"/>
  <c r="CD3902" i="1"/>
  <c r="A3903" i="1"/>
  <c r="C3903" i="1"/>
  <c r="S3903" i="1"/>
  <c r="T3903" i="1"/>
  <c r="U3903" i="1"/>
  <c r="BE3903" i="1"/>
  <c r="CC3903" i="1"/>
  <c r="CD3903" i="1"/>
  <c r="A3904" i="1"/>
  <c r="C3904" i="1"/>
  <c r="S3904" i="1"/>
  <c r="T3904" i="1"/>
  <c r="U3904" i="1"/>
  <c r="BE3904" i="1"/>
  <c r="CC3904" i="1"/>
  <c r="CD3904" i="1"/>
  <c r="A3905" i="1"/>
  <c r="C3905" i="1"/>
  <c r="S3905" i="1"/>
  <c r="T3905" i="1"/>
  <c r="U3905" i="1"/>
  <c r="BE3905" i="1"/>
  <c r="CC3905" i="1"/>
  <c r="CD3905" i="1"/>
  <c r="A3906" i="1"/>
  <c r="C3906" i="1"/>
  <c r="S3906" i="1"/>
  <c r="T3906" i="1"/>
  <c r="U3906" i="1"/>
  <c r="BE3906" i="1"/>
  <c r="CC3906" i="1"/>
  <c r="CD3906" i="1"/>
  <c r="A3907" i="1"/>
  <c r="C3907" i="1"/>
  <c r="S3907" i="1"/>
  <c r="T3907" i="1"/>
  <c r="U3907" i="1"/>
  <c r="BE3907" i="1"/>
  <c r="CC3907" i="1"/>
  <c r="CD3907" i="1"/>
  <c r="A3908" i="1"/>
  <c r="C3908" i="1"/>
  <c r="S3908" i="1"/>
  <c r="T3908" i="1"/>
  <c r="U3908" i="1"/>
  <c r="BE3908" i="1"/>
  <c r="CC3908" i="1"/>
  <c r="CD3908" i="1"/>
  <c r="A3909" i="1"/>
  <c r="C3909" i="1"/>
  <c r="S3909" i="1"/>
  <c r="T3909" i="1"/>
  <c r="U3909" i="1"/>
  <c r="BE3909" i="1"/>
  <c r="CC3909" i="1"/>
  <c r="CD3909" i="1"/>
  <c r="A3910" i="1"/>
  <c r="C3910" i="1"/>
  <c r="S3910" i="1"/>
  <c r="T3910" i="1"/>
  <c r="U3910" i="1"/>
  <c r="BE3910" i="1"/>
  <c r="CC3910" i="1"/>
  <c r="CD3910" i="1"/>
  <c r="A3911" i="1"/>
  <c r="C3911" i="1"/>
  <c r="S3911" i="1"/>
  <c r="T3911" i="1"/>
  <c r="U3911" i="1"/>
  <c r="BE3911" i="1"/>
  <c r="CC3911" i="1"/>
  <c r="CD3911" i="1"/>
  <c r="A3912" i="1"/>
  <c r="C3912" i="1"/>
  <c r="S3912" i="1"/>
  <c r="T3912" i="1"/>
  <c r="U3912" i="1"/>
  <c r="BE3912" i="1"/>
  <c r="CC3912" i="1"/>
  <c r="CD3912" i="1"/>
  <c r="A3913" i="1"/>
  <c r="C3913" i="1"/>
  <c r="S3913" i="1"/>
  <c r="T3913" i="1"/>
  <c r="U3913" i="1"/>
  <c r="BE3913" i="1"/>
  <c r="CC3913" i="1"/>
  <c r="CD3913" i="1"/>
  <c r="A3914" i="1"/>
  <c r="C3914" i="1"/>
  <c r="S3914" i="1"/>
  <c r="T3914" i="1"/>
  <c r="U3914" i="1"/>
  <c r="BE3914" i="1"/>
  <c r="CC3914" i="1"/>
  <c r="CD3914" i="1"/>
  <c r="A3915" i="1"/>
  <c r="C3915" i="1"/>
  <c r="S3915" i="1"/>
  <c r="T3915" i="1"/>
  <c r="U3915" i="1"/>
  <c r="BE3915" i="1"/>
  <c r="CC3915" i="1"/>
  <c r="CD3915" i="1"/>
  <c r="A3916" i="1"/>
  <c r="C3916" i="1"/>
  <c r="S3916" i="1"/>
  <c r="T3916" i="1"/>
  <c r="U3916" i="1"/>
  <c r="BE3916" i="1"/>
  <c r="CC3916" i="1"/>
  <c r="CD3916" i="1"/>
  <c r="A3917" i="1"/>
  <c r="C3917" i="1"/>
  <c r="S3917" i="1"/>
  <c r="T3917" i="1"/>
  <c r="U3917" i="1"/>
  <c r="BE3917" i="1"/>
  <c r="CC3917" i="1"/>
  <c r="CD3917" i="1"/>
  <c r="A3918" i="1"/>
  <c r="C3918" i="1"/>
  <c r="S3918" i="1"/>
  <c r="T3918" i="1"/>
  <c r="U3918" i="1"/>
  <c r="BE3918" i="1"/>
  <c r="CC3918" i="1"/>
  <c r="CD3918" i="1"/>
  <c r="A3919" i="1"/>
  <c r="C3919" i="1"/>
  <c r="S3919" i="1"/>
  <c r="T3919" i="1"/>
  <c r="U3919" i="1"/>
  <c r="BE3919" i="1"/>
  <c r="CC3919" i="1"/>
  <c r="CD3919" i="1"/>
  <c r="A3920" i="1"/>
  <c r="C3920" i="1"/>
  <c r="S3920" i="1"/>
  <c r="T3920" i="1"/>
  <c r="U3920" i="1"/>
  <c r="BE3920" i="1"/>
  <c r="CC3920" i="1"/>
  <c r="CD3920" i="1"/>
  <c r="A3921" i="1"/>
  <c r="C3921" i="1"/>
  <c r="S3921" i="1"/>
  <c r="T3921" i="1"/>
  <c r="U3921" i="1"/>
  <c r="BE3921" i="1"/>
  <c r="CC3921" i="1"/>
  <c r="CD3921" i="1"/>
  <c r="A3922" i="1"/>
  <c r="C3922" i="1"/>
  <c r="S3922" i="1"/>
  <c r="T3922" i="1"/>
  <c r="U3922" i="1"/>
  <c r="BE3922" i="1"/>
  <c r="CC3922" i="1"/>
  <c r="CD3922" i="1"/>
  <c r="A3923" i="1"/>
  <c r="C3923" i="1"/>
  <c r="S3923" i="1"/>
  <c r="T3923" i="1"/>
  <c r="U3923" i="1"/>
  <c r="BE3923" i="1"/>
  <c r="CC3923" i="1"/>
  <c r="CD3923" i="1"/>
  <c r="A3924" i="1"/>
  <c r="C3924" i="1"/>
  <c r="S3924" i="1"/>
  <c r="T3924" i="1"/>
  <c r="U3924" i="1"/>
  <c r="BE3924" i="1"/>
  <c r="CC3924" i="1"/>
  <c r="CD3924" i="1"/>
  <c r="A3925" i="1"/>
  <c r="C3925" i="1"/>
  <c r="S3925" i="1"/>
  <c r="T3925" i="1"/>
  <c r="U3925" i="1"/>
  <c r="BE3925" i="1"/>
  <c r="CC3925" i="1"/>
  <c r="CD3925" i="1"/>
  <c r="A3926" i="1"/>
  <c r="C3926" i="1"/>
  <c r="S3926" i="1"/>
  <c r="T3926" i="1"/>
  <c r="U3926" i="1"/>
  <c r="BE3926" i="1"/>
  <c r="CC3926" i="1"/>
  <c r="CD3926" i="1"/>
  <c r="A3927" i="1"/>
  <c r="C3927" i="1"/>
  <c r="S3927" i="1"/>
  <c r="T3927" i="1"/>
  <c r="U3927" i="1"/>
  <c r="BE3927" i="1"/>
  <c r="CC3927" i="1"/>
  <c r="CD3927" i="1"/>
  <c r="A3928" i="1"/>
  <c r="C3928" i="1"/>
  <c r="S3928" i="1"/>
  <c r="T3928" i="1"/>
  <c r="U3928" i="1"/>
  <c r="BE3928" i="1"/>
  <c r="CC3928" i="1"/>
  <c r="CD3928" i="1"/>
  <c r="A3929" i="1"/>
  <c r="C3929" i="1"/>
  <c r="S3929" i="1"/>
  <c r="T3929" i="1"/>
  <c r="U3929" i="1"/>
  <c r="BE3929" i="1"/>
  <c r="CC3929" i="1"/>
  <c r="CD3929" i="1"/>
  <c r="A3930" i="1"/>
  <c r="C3930" i="1"/>
  <c r="S3930" i="1"/>
  <c r="T3930" i="1"/>
  <c r="U3930" i="1"/>
  <c r="BE3930" i="1"/>
  <c r="CC3930" i="1"/>
  <c r="CD3930" i="1"/>
  <c r="A3931" i="1"/>
  <c r="C3931" i="1"/>
  <c r="S3931" i="1"/>
  <c r="T3931" i="1"/>
  <c r="U3931" i="1"/>
  <c r="BE3931" i="1"/>
  <c r="CC3931" i="1"/>
  <c r="CD3931" i="1"/>
  <c r="A3932" i="1"/>
  <c r="C3932" i="1"/>
  <c r="S3932" i="1"/>
  <c r="T3932" i="1"/>
  <c r="U3932" i="1"/>
  <c r="BE3932" i="1"/>
  <c r="CC3932" i="1"/>
  <c r="CD3932" i="1"/>
  <c r="A3933" i="1"/>
  <c r="C3933" i="1"/>
  <c r="S3933" i="1"/>
  <c r="T3933" i="1"/>
  <c r="U3933" i="1"/>
  <c r="BE3933" i="1"/>
  <c r="CC3933" i="1"/>
  <c r="CD3933" i="1"/>
  <c r="A3934" i="1"/>
  <c r="C3934" i="1"/>
  <c r="S3934" i="1"/>
  <c r="T3934" i="1"/>
  <c r="U3934" i="1"/>
  <c r="BE3934" i="1"/>
  <c r="CC3934" i="1"/>
  <c r="CD3934" i="1"/>
  <c r="A3935" i="1"/>
  <c r="C3935" i="1"/>
  <c r="S3935" i="1"/>
  <c r="T3935" i="1"/>
  <c r="U3935" i="1"/>
  <c r="BE3935" i="1"/>
  <c r="CC3935" i="1"/>
  <c r="CD3935" i="1"/>
  <c r="A3936" i="1"/>
  <c r="C3936" i="1"/>
  <c r="S3936" i="1"/>
  <c r="T3936" i="1"/>
  <c r="U3936" i="1"/>
  <c r="BE3936" i="1"/>
  <c r="CC3936" i="1"/>
  <c r="CD3936" i="1"/>
  <c r="A3937" i="1"/>
  <c r="C3937" i="1"/>
  <c r="S3937" i="1"/>
  <c r="T3937" i="1"/>
  <c r="U3937" i="1"/>
  <c r="BE3937" i="1"/>
  <c r="CC3937" i="1"/>
  <c r="CD3937" i="1"/>
  <c r="A3938" i="1"/>
  <c r="C3938" i="1"/>
  <c r="S3938" i="1"/>
  <c r="T3938" i="1"/>
  <c r="U3938" i="1"/>
  <c r="BE3938" i="1"/>
  <c r="CC3938" i="1"/>
  <c r="CD3938" i="1"/>
  <c r="A3939" i="1"/>
  <c r="C3939" i="1"/>
  <c r="S3939" i="1"/>
  <c r="T3939" i="1"/>
  <c r="U3939" i="1"/>
  <c r="BE3939" i="1"/>
  <c r="CC3939" i="1"/>
  <c r="CD3939" i="1"/>
  <c r="A3940" i="1"/>
  <c r="C3940" i="1"/>
  <c r="S3940" i="1"/>
  <c r="T3940" i="1"/>
  <c r="U3940" i="1"/>
  <c r="BE3940" i="1"/>
  <c r="CC3940" i="1"/>
  <c r="CD3940" i="1"/>
  <c r="A3941" i="1"/>
  <c r="C3941" i="1"/>
  <c r="S3941" i="1"/>
  <c r="T3941" i="1"/>
  <c r="U3941" i="1"/>
  <c r="BE3941" i="1"/>
  <c r="CC3941" i="1"/>
  <c r="CD3941" i="1"/>
  <c r="A3942" i="1"/>
  <c r="C3942" i="1"/>
  <c r="S3942" i="1"/>
  <c r="T3942" i="1"/>
  <c r="U3942" i="1"/>
  <c r="BE3942" i="1"/>
  <c r="CC3942" i="1"/>
  <c r="CD3942" i="1"/>
  <c r="A3943" i="1"/>
  <c r="C3943" i="1"/>
  <c r="S3943" i="1"/>
  <c r="T3943" i="1"/>
  <c r="U3943" i="1"/>
  <c r="BE3943" i="1"/>
  <c r="CC3943" i="1"/>
  <c r="CD3943" i="1"/>
  <c r="A3944" i="1"/>
  <c r="C3944" i="1"/>
  <c r="S3944" i="1"/>
  <c r="T3944" i="1"/>
  <c r="U3944" i="1"/>
  <c r="BE3944" i="1"/>
  <c r="CC3944" i="1"/>
  <c r="CD3944" i="1"/>
  <c r="A3945" i="1"/>
  <c r="C3945" i="1"/>
  <c r="S3945" i="1"/>
  <c r="T3945" i="1"/>
  <c r="U3945" i="1"/>
  <c r="BE3945" i="1"/>
  <c r="CC3945" i="1"/>
  <c r="CD3945" i="1"/>
  <c r="A3946" i="1"/>
  <c r="C3946" i="1"/>
  <c r="S3946" i="1"/>
  <c r="T3946" i="1"/>
  <c r="U3946" i="1"/>
  <c r="BE3946" i="1"/>
  <c r="CC3946" i="1"/>
  <c r="CD3946" i="1"/>
  <c r="A3947" i="1"/>
  <c r="C3947" i="1"/>
  <c r="S3947" i="1"/>
  <c r="T3947" i="1"/>
  <c r="U3947" i="1"/>
  <c r="BE3947" i="1"/>
  <c r="CC3947" i="1"/>
  <c r="CD3947" i="1"/>
  <c r="A3948" i="1"/>
  <c r="C3948" i="1"/>
  <c r="S3948" i="1"/>
  <c r="T3948" i="1"/>
  <c r="U3948" i="1"/>
  <c r="BE3948" i="1"/>
  <c r="CC3948" i="1"/>
  <c r="CD3948" i="1"/>
  <c r="A3949" i="1"/>
  <c r="C3949" i="1"/>
  <c r="S3949" i="1"/>
  <c r="T3949" i="1"/>
  <c r="U3949" i="1"/>
  <c r="BE3949" i="1"/>
  <c r="CC3949" i="1"/>
  <c r="CD3949" i="1"/>
  <c r="A3950" i="1"/>
  <c r="C3950" i="1"/>
  <c r="S3950" i="1"/>
  <c r="T3950" i="1"/>
  <c r="U3950" i="1"/>
  <c r="BE3950" i="1"/>
  <c r="CC3950" i="1"/>
  <c r="CD3950" i="1"/>
  <c r="A3951" i="1"/>
  <c r="C3951" i="1"/>
  <c r="S3951" i="1"/>
  <c r="T3951" i="1"/>
  <c r="U3951" i="1"/>
  <c r="BE3951" i="1"/>
  <c r="CC3951" i="1"/>
  <c r="CD3951" i="1"/>
  <c r="A3952" i="1"/>
  <c r="C3952" i="1"/>
  <c r="S3952" i="1"/>
  <c r="T3952" i="1"/>
  <c r="U3952" i="1"/>
  <c r="BE3952" i="1"/>
  <c r="CC3952" i="1"/>
  <c r="CD3952" i="1"/>
  <c r="A3953" i="1"/>
  <c r="C3953" i="1"/>
  <c r="S3953" i="1"/>
  <c r="T3953" i="1"/>
  <c r="U3953" i="1"/>
  <c r="BE3953" i="1"/>
  <c r="CC3953" i="1"/>
  <c r="CD3953" i="1"/>
  <c r="A3954" i="1"/>
  <c r="C3954" i="1"/>
  <c r="S3954" i="1"/>
  <c r="T3954" i="1"/>
  <c r="U3954" i="1"/>
  <c r="BE3954" i="1"/>
  <c r="CC3954" i="1"/>
  <c r="CD3954" i="1"/>
  <c r="A3955" i="1"/>
  <c r="C3955" i="1"/>
  <c r="S3955" i="1"/>
  <c r="T3955" i="1"/>
  <c r="U3955" i="1"/>
  <c r="BE3955" i="1"/>
  <c r="CC3955" i="1"/>
  <c r="CD3955" i="1"/>
  <c r="A3956" i="1"/>
  <c r="C3956" i="1"/>
  <c r="S3956" i="1"/>
  <c r="T3956" i="1"/>
  <c r="U3956" i="1"/>
  <c r="BE3956" i="1"/>
  <c r="CC3956" i="1"/>
  <c r="CD3956" i="1"/>
  <c r="A3957" i="1"/>
  <c r="C3957" i="1"/>
  <c r="S3957" i="1"/>
  <c r="T3957" i="1"/>
  <c r="U3957" i="1"/>
  <c r="BE3957" i="1"/>
  <c r="CC3957" i="1"/>
  <c r="CD3957" i="1"/>
  <c r="A3958" i="1"/>
  <c r="C3958" i="1"/>
  <c r="S3958" i="1"/>
  <c r="T3958" i="1"/>
  <c r="U3958" i="1"/>
  <c r="BE3958" i="1"/>
  <c r="CC3958" i="1"/>
  <c r="CD3958" i="1"/>
  <c r="A3959" i="1"/>
  <c r="C3959" i="1"/>
  <c r="S3959" i="1"/>
  <c r="T3959" i="1"/>
  <c r="U3959" i="1"/>
  <c r="BE3959" i="1"/>
  <c r="CC3959" i="1"/>
  <c r="CD3959" i="1"/>
  <c r="A3960" i="1"/>
  <c r="C3960" i="1"/>
  <c r="S3960" i="1"/>
  <c r="T3960" i="1"/>
  <c r="U3960" i="1"/>
  <c r="BE3960" i="1"/>
  <c r="CC3960" i="1"/>
  <c r="CD3960" i="1"/>
  <c r="A3961" i="1"/>
  <c r="C3961" i="1"/>
  <c r="S3961" i="1"/>
  <c r="T3961" i="1"/>
  <c r="U3961" i="1"/>
  <c r="BE3961" i="1"/>
  <c r="CC3961" i="1"/>
  <c r="CD3961" i="1"/>
  <c r="A3962" i="1"/>
  <c r="C3962" i="1"/>
  <c r="S3962" i="1"/>
  <c r="T3962" i="1"/>
  <c r="U3962" i="1"/>
  <c r="BE3962" i="1"/>
  <c r="CC3962" i="1"/>
  <c r="CD3962" i="1"/>
  <c r="A3963" i="1"/>
  <c r="C3963" i="1"/>
  <c r="S3963" i="1"/>
  <c r="T3963" i="1"/>
  <c r="U3963" i="1"/>
  <c r="BE3963" i="1"/>
  <c r="CC3963" i="1"/>
  <c r="CD3963" i="1"/>
  <c r="A3964" i="1"/>
  <c r="C3964" i="1"/>
  <c r="S3964" i="1"/>
  <c r="T3964" i="1"/>
  <c r="U3964" i="1"/>
  <c r="BE3964" i="1"/>
  <c r="CC3964" i="1"/>
  <c r="CD3964" i="1"/>
  <c r="A3965" i="1"/>
  <c r="C3965" i="1"/>
  <c r="S3965" i="1"/>
  <c r="T3965" i="1"/>
  <c r="U3965" i="1"/>
  <c r="BE3965" i="1"/>
  <c r="CC3965" i="1"/>
  <c r="CD3965" i="1"/>
  <c r="A3966" i="1"/>
  <c r="C3966" i="1"/>
  <c r="S3966" i="1"/>
  <c r="T3966" i="1"/>
  <c r="U3966" i="1"/>
  <c r="BE3966" i="1"/>
  <c r="CC3966" i="1"/>
  <c r="CD3966" i="1"/>
  <c r="A3967" i="1"/>
  <c r="C3967" i="1"/>
  <c r="S3967" i="1"/>
  <c r="T3967" i="1"/>
  <c r="U3967" i="1"/>
  <c r="BE3967" i="1"/>
  <c r="CC3967" i="1"/>
  <c r="CD3967" i="1"/>
  <c r="A3968" i="1"/>
  <c r="C3968" i="1"/>
  <c r="S3968" i="1"/>
  <c r="T3968" i="1"/>
  <c r="U3968" i="1"/>
  <c r="BE3968" i="1"/>
  <c r="CC3968" i="1"/>
  <c r="CD3968" i="1"/>
  <c r="A3969" i="1"/>
  <c r="C3969" i="1"/>
  <c r="S3969" i="1"/>
  <c r="T3969" i="1"/>
  <c r="U3969" i="1"/>
  <c r="BE3969" i="1"/>
  <c r="CC3969" i="1"/>
  <c r="CD3969" i="1"/>
  <c r="A3970" i="1"/>
  <c r="C3970" i="1"/>
  <c r="S3970" i="1"/>
  <c r="T3970" i="1"/>
  <c r="U3970" i="1"/>
  <c r="BE3970" i="1"/>
  <c r="CC3970" i="1"/>
  <c r="CD3970" i="1"/>
  <c r="A3971" i="1"/>
  <c r="C3971" i="1"/>
  <c r="S3971" i="1"/>
  <c r="T3971" i="1"/>
  <c r="U3971" i="1"/>
  <c r="BE3971" i="1"/>
  <c r="CC3971" i="1"/>
  <c r="CD3971" i="1"/>
  <c r="A3972" i="1"/>
  <c r="C3972" i="1"/>
  <c r="S3972" i="1"/>
  <c r="T3972" i="1"/>
  <c r="U3972" i="1"/>
  <c r="BE3972" i="1"/>
  <c r="CC3972" i="1"/>
  <c r="CD3972" i="1"/>
  <c r="A3973" i="1"/>
  <c r="C3973" i="1"/>
  <c r="S3973" i="1"/>
  <c r="T3973" i="1"/>
  <c r="U3973" i="1"/>
  <c r="BE3973" i="1"/>
  <c r="CC3973" i="1"/>
  <c r="CD3973" i="1"/>
  <c r="A3974" i="1"/>
  <c r="C3974" i="1"/>
  <c r="S3974" i="1"/>
  <c r="T3974" i="1"/>
  <c r="U3974" i="1"/>
  <c r="BE3974" i="1"/>
  <c r="CC3974" i="1"/>
  <c r="CD3974" i="1"/>
  <c r="A3975" i="1"/>
  <c r="C3975" i="1"/>
  <c r="S3975" i="1"/>
  <c r="T3975" i="1"/>
  <c r="U3975" i="1"/>
  <c r="BE3975" i="1"/>
  <c r="CC3975" i="1"/>
  <c r="CD3975" i="1"/>
  <c r="A3976" i="1"/>
  <c r="C3976" i="1"/>
  <c r="S3976" i="1"/>
  <c r="T3976" i="1"/>
  <c r="U3976" i="1"/>
  <c r="BE3976" i="1"/>
  <c r="CC3976" i="1"/>
  <c r="CD3976" i="1"/>
  <c r="A3977" i="1"/>
  <c r="C3977" i="1"/>
  <c r="S3977" i="1"/>
  <c r="T3977" i="1"/>
  <c r="U3977" i="1"/>
  <c r="BE3977" i="1"/>
  <c r="CC3977" i="1"/>
  <c r="CD3977" i="1"/>
  <c r="A3978" i="1"/>
  <c r="C3978" i="1"/>
  <c r="S3978" i="1"/>
  <c r="T3978" i="1"/>
  <c r="U3978" i="1"/>
  <c r="BE3978" i="1"/>
  <c r="CC3978" i="1"/>
  <c r="CD3978" i="1"/>
  <c r="A3979" i="1"/>
  <c r="C3979" i="1"/>
  <c r="S3979" i="1"/>
  <c r="T3979" i="1"/>
  <c r="U3979" i="1"/>
  <c r="BE3979" i="1"/>
  <c r="CC3979" i="1"/>
  <c r="CD3979" i="1"/>
  <c r="A3980" i="1"/>
  <c r="C3980" i="1"/>
  <c r="S3980" i="1"/>
  <c r="T3980" i="1"/>
  <c r="U3980" i="1"/>
  <c r="BE3980" i="1"/>
  <c r="CC3980" i="1"/>
  <c r="CD3980" i="1"/>
  <c r="A3981" i="1"/>
  <c r="C3981" i="1"/>
  <c r="S3981" i="1"/>
  <c r="T3981" i="1"/>
  <c r="U3981" i="1"/>
  <c r="BE3981" i="1"/>
  <c r="CC3981" i="1"/>
  <c r="CD3981" i="1"/>
  <c r="A3982" i="1"/>
  <c r="C3982" i="1"/>
  <c r="S3982" i="1"/>
  <c r="T3982" i="1"/>
  <c r="U3982" i="1"/>
  <c r="BE3982" i="1"/>
  <c r="CC3982" i="1"/>
  <c r="CD3982" i="1"/>
  <c r="A3983" i="1"/>
  <c r="C3983" i="1"/>
  <c r="S3983" i="1"/>
  <c r="T3983" i="1"/>
  <c r="U3983" i="1"/>
  <c r="BE3983" i="1"/>
  <c r="CC3983" i="1"/>
  <c r="CD3983" i="1"/>
  <c r="A3984" i="1"/>
  <c r="C3984" i="1"/>
  <c r="S3984" i="1"/>
  <c r="T3984" i="1"/>
  <c r="U3984" i="1"/>
  <c r="BE3984" i="1"/>
  <c r="CC3984" i="1"/>
  <c r="CD3984" i="1"/>
  <c r="A3985" i="1"/>
  <c r="C3985" i="1"/>
  <c r="S3985" i="1"/>
  <c r="T3985" i="1"/>
  <c r="U3985" i="1"/>
  <c r="BE3985" i="1"/>
  <c r="CC3985" i="1"/>
  <c r="CD3985" i="1"/>
  <c r="A3986" i="1"/>
  <c r="C3986" i="1"/>
  <c r="S3986" i="1"/>
  <c r="T3986" i="1"/>
  <c r="U3986" i="1"/>
  <c r="BE3986" i="1"/>
  <c r="CC3986" i="1"/>
  <c r="CD3986" i="1"/>
  <c r="A3987" i="1"/>
  <c r="C3987" i="1"/>
  <c r="S3987" i="1"/>
  <c r="T3987" i="1"/>
  <c r="U3987" i="1"/>
  <c r="BE3987" i="1"/>
  <c r="CC3987" i="1"/>
  <c r="CD3987" i="1"/>
  <c r="A3988" i="1"/>
  <c r="C3988" i="1"/>
  <c r="S3988" i="1"/>
  <c r="T3988" i="1"/>
  <c r="U3988" i="1"/>
  <c r="BE3988" i="1"/>
  <c r="CC3988" i="1"/>
  <c r="CD3988" i="1"/>
  <c r="A3989" i="1"/>
  <c r="C3989" i="1"/>
  <c r="S3989" i="1"/>
  <c r="T3989" i="1"/>
  <c r="U3989" i="1"/>
  <c r="BE3989" i="1"/>
  <c r="CC3989" i="1"/>
  <c r="CD3989" i="1"/>
  <c r="A3990" i="1"/>
  <c r="C3990" i="1"/>
  <c r="S3990" i="1"/>
  <c r="T3990" i="1"/>
  <c r="U3990" i="1"/>
  <c r="BE3990" i="1"/>
  <c r="CC3990" i="1"/>
  <c r="CD3990" i="1"/>
  <c r="A3991" i="1"/>
  <c r="C3991" i="1"/>
  <c r="S3991" i="1"/>
  <c r="T3991" i="1"/>
  <c r="U3991" i="1"/>
  <c r="BE3991" i="1"/>
  <c r="CC3991" i="1"/>
  <c r="CD3991" i="1"/>
  <c r="A3992" i="1"/>
  <c r="C3992" i="1"/>
  <c r="S3992" i="1"/>
  <c r="T3992" i="1"/>
  <c r="U3992" i="1"/>
  <c r="BE3992" i="1"/>
  <c r="CC3992" i="1"/>
  <c r="CD3992" i="1"/>
  <c r="A3993" i="1"/>
  <c r="C3993" i="1"/>
  <c r="S3993" i="1"/>
  <c r="T3993" i="1"/>
  <c r="U3993" i="1"/>
  <c r="BE3993" i="1"/>
  <c r="CC3993" i="1"/>
  <c r="CD3993" i="1"/>
  <c r="A3994" i="1"/>
  <c r="C3994" i="1"/>
  <c r="S3994" i="1"/>
  <c r="T3994" i="1"/>
  <c r="U3994" i="1"/>
  <c r="BE3994" i="1"/>
  <c r="CC3994" i="1"/>
  <c r="CD3994" i="1"/>
  <c r="A3995" i="1"/>
  <c r="C3995" i="1"/>
  <c r="S3995" i="1"/>
  <c r="T3995" i="1"/>
  <c r="U3995" i="1"/>
  <c r="BE3995" i="1"/>
  <c r="CC3995" i="1"/>
  <c r="CD3995" i="1"/>
  <c r="A3996" i="1"/>
  <c r="C3996" i="1"/>
  <c r="S3996" i="1"/>
  <c r="T3996" i="1"/>
  <c r="U3996" i="1"/>
  <c r="BE3996" i="1"/>
  <c r="CC3996" i="1"/>
  <c r="CD3996" i="1"/>
  <c r="A3997" i="1"/>
  <c r="C3997" i="1"/>
  <c r="S3997" i="1"/>
  <c r="T3997" i="1"/>
  <c r="U3997" i="1"/>
  <c r="BE3997" i="1"/>
  <c r="CC3997" i="1"/>
  <c r="CD3997" i="1"/>
  <c r="A3998" i="1"/>
  <c r="C3998" i="1"/>
  <c r="S3998" i="1"/>
  <c r="T3998" i="1"/>
  <c r="U3998" i="1"/>
  <c r="BE3998" i="1"/>
  <c r="CC3998" i="1"/>
  <c r="CD3998" i="1"/>
  <c r="A3999" i="1"/>
  <c r="C3999" i="1"/>
  <c r="S3999" i="1"/>
  <c r="T3999" i="1"/>
  <c r="U3999" i="1"/>
  <c r="BE3999" i="1"/>
  <c r="CC3999" i="1"/>
  <c r="CD3999" i="1"/>
  <c r="A4000" i="1"/>
  <c r="C4000" i="1"/>
  <c r="S4000" i="1"/>
  <c r="T4000" i="1"/>
  <c r="U4000" i="1"/>
  <c r="BE4000" i="1"/>
  <c r="CC4000" i="1"/>
  <c r="CD4000" i="1"/>
  <c r="A4001" i="1"/>
  <c r="C4001" i="1"/>
  <c r="S4001" i="1"/>
  <c r="T4001" i="1"/>
  <c r="U4001" i="1"/>
  <c r="BE4001" i="1"/>
  <c r="CC4001" i="1"/>
  <c r="CD4001" i="1"/>
  <c r="A4002" i="1"/>
  <c r="C4002" i="1"/>
  <c r="S4002" i="1"/>
  <c r="T4002" i="1"/>
  <c r="U4002" i="1"/>
  <c r="BE4002" i="1"/>
  <c r="CC4002" i="1"/>
  <c r="CD4002" i="1"/>
  <c r="A4003" i="1"/>
  <c r="C4003" i="1"/>
  <c r="S4003" i="1"/>
  <c r="T4003" i="1"/>
  <c r="U4003" i="1"/>
  <c r="BE4003" i="1"/>
  <c r="CC4003" i="1"/>
  <c r="CD4003" i="1"/>
  <c r="A4004" i="1"/>
  <c r="C4004" i="1"/>
  <c r="S4004" i="1"/>
  <c r="T4004" i="1"/>
  <c r="U4004" i="1"/>
  <c r="BE4004" i="1"/>
  <c r="CC4004" i="1"/>
  <c r="CD4004" i="1"/>
  <c r="A4005" i="1"/>
  <c r="C4005" i="1"/>
  <c r="S4005" i="1"/>
  <c r="T4005" i="1"/>
  <c r="U4005" i="1"/>
  <c r="BE4005" i="1"/>
  <c r="CC4005" i="1"/>
  <c r="CD4005" i="1"/>
  <c r="A4006" i="1"/>
  <c r="C4006" i="1"/>
  <c r="S4006" i="1"/>
  <c r="T4006" i="1"/>
  <c r="U4006" i="1"/>
  <c r="BE4006" i="1"/>
  <c r="CC4006" i="1"/>
  <c r="CD4006" i="1"/>
  <c r="A4007" i="1"/>
  <c r="C4007" i="1"/>
  <c r="S4007" i="1"/>
  <c r="T4007" i="1"/>
  <c r="U4007" i="1"/>
  <c r="BE4007" i="1"/>
  <c r="CC4007" i="1"/>
  <c r="CD4007" i="1"/>
  <c r="A4008" i="1"/>
  <c r="C4008" i="1"/>
  <c r="S4008" i="1"/>
  <c r="T4008" i="1"/>
  <c r="U4008" i="1"/>
  <c r="BE4008" i="1"/>
  <c r="CC4008" i="1"/>
  <c r="CD4008" i="1"/>
  <c r="A4009" i="1"/>
  <c r="C4009" i="1"/>
  <c r="S4009" i="1"/>
  <c r="T4009" i="1"/>
  <c r="U4009" i="1"/>
  <c r="BE4009" i="1"/>
  <c r="CC4009" i="1"/>
  <c r="CD4009" i="1"/>
  <c r="A4010" i="1"/>
  <c r="C4010" i="1"/>
  <c r="S4010" i="1"/>
  <c r="T4010" i="1"/>
  <c r="U4010" i="1"/>
  <c r="BE4010" i="1"/>
  <c r="CC4010" i="1"/>
  <c r="CD4010" i="1"/>
  <c r="A4011" i="1"/>
  <c r="C4011" i="1"/>
  <c r="S4011" i="1"/>
  <c r="T4011" i="1"/>
  <c r="U4011" i="1"/>
  <c r="BE4011" i="1"/>
  <c r="CC4011" i="1"/>
  <c r="CD4011" i="1"/>
  <c r="A4012" i="1"/>
  <c r="C4012" i="1"/>
  <c r="S4012" i="1"/>
  <c r="T4012" i="1"/>
  <c r="U4012" i="1"/>
  <c r="BE4012" i="1"/>
  <c r="CC4012" i="1"/>
  <c r="CD4012" i="1"/>
  <c r="A4013" i="1"/>
  <c r="C4013" i="1"/>
  <c r="S4013" i="1"/>
  <c r="T4013" i="1"/>
  <c r="U4013" i="1"/>
  <c r="BE4013" i="1"/>
  <c r="CC4013" i="1"/>
  <c r="CD4013" i="1"/>
  <c r="A4014" i="1"/>
  <c r="C4014" i="1"/>
  <c r="S4014" i="1"/>
  <c r="T4014" i="1"/>
  <c r="U4014" i="1"/>
  <c r="BE4014" i="1"/>
  <c r="CC4014" i="1"/>
  <c r="CD4014" i="1"/>
  <c r="A4015" i="1"/>
  <c r="C4015" i="1"/>
  <c r="S4015" i="1"/>
  <c r="T4015" i="1"/>
  <c r="U4015" i="1"/>
  <c r="BE4015" i="1"/>
  <c r="CC4015" i="1"/>
  <c r="CD4015" i="1"/>
  <c r="A4016" i="1"/>
  <c r="C4016" i="1"/>
  <c r="S4016" i="1"/>
  <c r="T4016" i="1"/>
  <c r="U4016" i="1"/>
  <c r="BE4016" i="1"/>
  <c r="CC4016" i="1"/>
  <c r="CD4016" i="1"/>
  <c r="A4017" i="1"/>
  <c r="C4017" i="1"/>
  <c r="S4017" i="1"/>
  <c r="T4017" i="1"/>
  <c r="U4017" i="1"/>
  <c r="BE4017" i="1"/>
  <c r="CC4017" i="1"/>
  <c r="CD4017" i="1"/>
  <c r="A4018" i="1"/>
  <c r="C4018" i="1"/>
  <c r="S4018" i="1"/>
  <c r="T4018" i="1"/>
  <c r="U4018" i="1"/>
  <c r="BE4018" i="1"/>
  <c r="CC4018" i="1"/>
  <c r="CD4018" i="1"/>
  <c r="A4019" i="1"/>
  <c r="C4019" i="1"/>
  <c r="S4019" i="1"/>
  <c r="T4019" i="1"/>
  <c r="U4019" i="1"/>
  <c r="BE4019" i="1"/>
  <c r="CC4019" i="1"/>
  <c r="CD4019" i="1"/>
  <c r="A4020" i="1"/>
  <c r="C4020" i="1"/>
  <c r="S4020" i="1"/>
  <c r="T4020" i="1"/>
  <c r="U4020" i="1"/>
  <c r="BE4020" i="1"/>
  <c r="CC4020" i="1"/>
  <c r="CD4020" i="1"/>
  <c r="A4021" i="1"/>
  <c r="C4021" i="1"/>
  <c r="S4021" i="1"/>
  <c r="T4021" i="1"/>
  <c r="U4021" i="1"/>
  <c r="BE4021" i="1"/>
  <c r="CC4021" i="1"/>
  <c r="CD4021" i="1"/>
  <c r="A4022" i="1"/>
  <c r="C4022" i="1"/>
  <c r="S4022" i="1"/>
  <c r="T4022" i="1"/>
  <c r="U4022" i="1"/>
  <c r="BE4022" i="1"/>
  <c r="CC4022" i="1"/>
  <c r="CD4022" i="1"/>
  <c r="A4023" i="1"/>
  <c r="C4023" i="1"/>
  <c r="S4023" i="1"/>
  <c r="T4023" i="1"/>
  <c r="U4023" i="1"/>
  <c r="BE4023" i="1"/>
  <c r="CC4023" i="1"/>
  <c r="CD4023" i="1"/>
  <c r="A4024" i="1"/>
  <c r="C4024" i="1"/>
  <c r="S4024" i="1"/>
  <c r="T4024" i="1"/>
  <c r="U4024" i="1"/>
  <c r="BE4024" i="1"/>
  <c r="CC4024" i="1"/>
  <c r="CD4024" i="1"/>
  <c r="A4025" i="1"/>
  <c r="C4025" i="1"/>
  <c r="S4025" i="1"/>
  <c r="T4025" i="1"/>
  <c r="U4025" i="1"/>
  <c r="BE4025" i="1"/>
  <c r="CC4025" i="1"/>
  <c r="CD4025" i="1"/>
  <c r="A4026" i="1"/>
  <c r="C4026" i="1"/>
  <c r="S4026" i="1"/>
  <c r="T4026" i="1"/>
  <c r="U4026" i="1"/>
  <c r="BE4026" i="1"/>
  <c r="CC4026" i="1"/>
  <c r="CD4026" i="1"/>
  <c r="A4027" i="1"/>
  <c r="C4027" i="1"/>
  <c r="S4027" i="1"/>
  <c r="T4027" i="1"/>
  <c r="U4027" i="1"/>
  <c r="BE4027" i="1"/>
  <c r="CC4027" i="1"/>
  <c r="CD4027" i="1"/>
  <c r="A4028" i="1"/>
  <c r="C4028" i="1"/>
  <c r="S4028" i="1"/>
  <c r="T4028" i="1"/>
  <c r="U4028" i="1"/>
  <c r="BE4028" i="1"/>
  <c r="CC4028" i="1"/>
  <c r="CD4028" i="1"/>
  <c r="A4029" i="1"/>
  <c r="C4029" i="1"/>
  <c r="S4029" i="1"/>
  <c r="T4029" i="1"/>
  <c r="U4029" i="1"/>
  <c r="BE4029" i="1"/>
  <c r="CC4029" i="1"/>
  <c r="CD4029" i="1"/>
  <c r="A4030" i="1"/>
  <c r="C4030" i="1"/>
  <c r="S4030" i="1"/>
  <c r="T4030" i="1"/>
  <c r="U4030" i="1"/>
  <c r="BE4030" i="1"/>
  <c r="CC4030" i="1"/>
  <c r="CD4030" i="1"/>
  <c r="A4031" i="1"/>
  <c r="C4031" i="1"/>
  <c r="S4031" i="1"/>
  <c r="T4031" i="1"/>
  <c r="U4031" i="1"/>
  <c r="BE4031" i="1"/>
  <c r="CC4031" i="1"/>
  <c r="CD4031" i="1"/>
  <c r="A4032" i="1"/>
  <c r="C4032" i="1"/>
  <c r="S4032" i="1"/>
  <c r="T4032" i="1"/>
  <c r="U4032" i="1"/>
  <c r="BE4032" i="1"/>
  <c r="CC4032" i="1"/>
  <c r="CD4032" i="1"/>
  <c r="A4033" i="1"/>
  <c r="C4033" i="1"/>
  <c r="S4033" i="1"/>
  <c r="T4033" i="1"/>
  <c r="U4033" i="1"/>
  <c r="BE4033" i="1"/>
  <c r="CC4033" i="1"/>
  <c r="CD4033" i="1"/>
  <c r="A4034" i="1"/>
  <c r="C4034" i="1"/>
  <c r="S4034" i="1"/>
  <c r="T4034" i="1"/>
  <c r="U4034" i="1"/>
  <c r="BE4034" i="1"/>
  <c r="CC4034" i="1"/>
  <c r="CD4034" i="1"/>
  <c r="A4035" i="1"/>
  <c r="C4035" i="1"/>
  <c r="S4035" i="1"/>
  <c r="T4035" i="1"/>
  <c r="U4035" i="1"/>
  <c r="BE4035" i="1"/>
  <c r="CC4035" i="1"/>
  <c r="CD4035" i="1"/>
  <c r="A4036" i="1"/>
  <c r="C4036" i="1"/>
  <c r="S4036" i="1"/>
  <c r="T4036" i="1"/>
  <c r="U4036" i="1"/>
  <c r="BE4036" i="1"/>
  <c r="CC4036" i="1"/>
  <c r="CD4036" i="1"/>
  <c r="A4037" i="1"/>
  <c r="C4037" i="1"/>
  <c r="S4037" i="1"/>
  <c r="T4037" i="1"/>
  <c r="U4037" i="1"/>
  <c r="BE4037" i="1"/>
  <c r="CC4037" i="1"/>
  <c r="CD4037" i="1"/>
  <c r="A4038" i="1"/>
  <c r="C4038" i="1"/>
  <c r="S4038" i="1"/>
  <c r="T4038" i="1"/>
  <c r="U4038" i="1"/>
  <c r="BE4038" i="1"/>
  <c r="CC4038" i="1"/>
  <c r="CD4038" i="1"/>
  <c r="A4039" i="1"/>
  <c r="C4039" i="1"/>
  <c r="S4039" i="1"/>
  <c r="T4039" i="1"/>
  <c r="U4039" i="1"/>
  <c r="BE4039" i="1"/>
  <c r="CC4039" i="1"/>
  <c r="CD4039" i="1"/>
  <c r="A4040" i="1"/>
  <c r="C4040" i="1"/>
  <c r="S4040" i="1"/>
  <c r="T4040" i="1"/>
  <c r="U4040" i="1"/>
  <c r="BE4040" i="1"/>
  <c r="CC4040" i="1"/>
  <c r="CD4040" i="1"/>
  <c r="A4041" i="1"/>
  <c r="C4041" i="1"/>
  <c r="S4041" i="1"/>
  <c r="T4041" i="1"/>
  <c r="U4041" i="1"/>
  <c r="BE4041" i="1"/>
  <c r="CC4041" i="1"/>
  <c r="CD4041" i="1"/>
  <c r="A4042" i="1"/>
  <c r="C4042" i="1"/>
  <c r="S4042" i="1"/>
  <c r="T4042" i="1"/>
  <c r="U4042" i="1"/>
  <c r="BE4042" i="1"/>
  <c r="CC4042" i="1"/>
  <c r="CD4042" i="1"/>
  <c r="A4043" i="1"/>
  <c r="C4043" i="1"/>
  <c r="S4043" i="1"/>
  <c r="T4043" i="1"/>
  <c r="U4043" i="1"/>
  <c r="BE4043" i="1"/>
  <c r="CC4043" i="1"/>
  <c r="CD4043" i="1"/>
  <c r="A4044" i="1"/>
  <c r="C4044" i="1"/>
  <c r="S4044" i="1"/>
  <c r="T4044" i="1"/>
  <c r="U4044" i="1"/>
  <c r="BE4044" i="1"/>
  <c r="CC4044" i="1"/>
  <c r="CD4044" i="1"/>
  <c r="A4045" i="1"/>
  <c r="C4045" i="1"/>
  <c r="S4045" i="1"/>
  <c r="T4045" i="1"/>
  <c r="U4045" i="1"/>
  <c r="BE4045" i="1"/>
  <c r="CC4045" i="1"/>
  <c r="CD4045" i="1"/>
  <c r="A4046" i="1"/>
  <c r="C4046" i="1"/>
  <c r="S4046" i="1"/>
  <c r="T4046" i="1"/>
  <c r="U4046" i="1"/>
  <c r="BE4046" i="1"/>
  <c r="CC4046" i="1"/>
  <c r="CD4046" i="1"/>
  <c r="A4047" i="1"/>
  <c r="C4047" i="1"/>
  <c r="S4047" i="1"/>
  <c r="T4047" i="1"/>
  <c r="U4047" i="1"/>
  <c r="BE4047" i="1"/>
  <c r="CC4047" i="1"/>
  <c r="CD4047" i="1"/>
  <c r="A4048" i="1"/>
  <c r="C4048" i="1"/>
  <c r="S4048" i="1"/>
  <c r="T4048" i="1"/>
  <c r="U4048" i="1"/>
  <c r="BE4048" i="1"/>
  <c r="CC4048" i="1"/>
  <c r="CD4048" i="1"/>
  <c r="A4049" i="1"/>
  <c r="C4049" i="1"/>
  <c r="S4049" i="1"/>
  <c r="T4049" i="1"/>
  <c r="U4049" i="1"/>
  <c r="BE4049" i="1"/>
  <c r="CC4049" i="1"/>
  <c r="CD4049" i="1"/>
  <c r="A4050" i="1"/>
  <c r="C4050" i="1"/>
  <c r="S4050" i="1"/>
  <c r="T4050" i="1"/>
  <c r="U4050" i="1"/>
  <c r="BE4050" i="1"/>
  <c r="CC4050" i="1"/>
  <c r="CD4050" i="1"/>
  <c r="A4051" i="1"/>
  <c r="C4051" i="1"/>
  <c r="S4051" i="1"/>
  <c r="T4051" i="1"/>
  <c r="U4051" i="1"/>
  <c r="BE4051" i="1"/>
  <c r="CC4051" i="1"/>
  <c r="CD4051" i="1"/>
  <c r="A4052" i="1"/>
  <c r="C4052" i="1"/>
  <c r="S4052" i="1"/>
  <c r="T4052" i="1"/>
  <c r="U4052" i="1"/>
  <c r="BE4052" i="1"/>
  <c r="CC4052" i="1"/>
  <c r="CD4052" i="1"/>
  <c r="A4053" i="1"/>
  <c r="C4053" i="1"/>
  <c r="S4053" i="1"/>
  <c r="T4053" i="1"/>
  <c r="U4053" i="1"/>
  <c r="BE4053" i="1"/>
  <c r="CC4053" i="1"/>
  <c r="CD4053" i="1"/>
  <c r="A4054" i="1"/>
  <c r="C4054" i="1"/>
  <c r="S4054" i="1"/>
  <c r="T4054" i="1"/>
  <c r="U4054" i="1"/>
  <c r="BE4054" i="1"/>
  <c r="CC4054" i="1"/>
  <c r="CD4054" i="1"/>
  <c r="A4055" i="1"/>
  <c r="C4055" i="1"/>
  <c r="S4055" i="1"/>
  <c r="T4055" i="1"/>
  <c r="U4055" i="1"/>
  <c r="BE4055" i="1"/>
  <c r="CC4055" i="1"/>
  <c r="CD4055" i="1"/>
  <c r="A4056" i="1"/>
  <c r="C4056" i="1"/>
  <c r="S4056" i="1"/>
  <c r="T4056" i="1"/>
  <c r="U4056" i="1"/>
  <c r="BE4056" i="1"/>
  <c r="CC4056" i="1"/>
  <c r="CD4056" i="1"/>
  <c r="A4057" i="1"/>
  <c r="C4057" i="1"/>
  <c r="S4057" i="1"/>
  <c r="T4057" i="1"/>
  <c r="U4057" i="1"/>
  <c r="BE4057" i="1"/>
  <c r="CC4057" i="1"/>
  <c r="CD4057" i="1"/>
  <c r="A4058" i="1"/>
  <c r="C4058" i="1"/>
  <c r="S4058" i="1"/>
  <c r="T4058" i="1"/>
  <c r="U4058" i="1"/>
  <c r="BE4058" i="1"/>
  <c r="CC4058" i="1"/>
  <c r="CD4058" i="1"/>
  <c r="A4059" i="1"/>
  <c r="C4059" i="1"/>
  <c r="S4059" i="1"/>
  <c r="T4059" i="1"/>
  <c r="U4059" i="1"/>
  <c r="BE4059" i="1"/>
  <c r="CC4059" i="1"/>
  <c r="CD4059" i="1"/>
  <c r="A4060" i="1"/>
  <c r="C4060" i="1"/>
  <c r="S4060" i="1"/>
  <c r="T4060" i="1"/>
  <c r="U4060" i="1"/>
  <c r="BE4060" i="1"/>
  <c r="CC4060" i="1"/>
  <c r="CD4060" i="1"/>
  <c r="A4061" i="1"/>
  <c r="C4061" i="1"/>
  <c r="S4061" i="1"/>
  <c r="T4061" i="1"/>
  <c r="U4061" i="1"/>
  <c r="BE4061" i="1"/>
  <c r="CC4061" i="1"/>
  <c r="CD4061" i="1"/>
  <c r="A4062" i="1"/>
  <c r="C4062" i="1"/>
  <c r="S4062" i="1"/>
  <c r="T4062" i="1"/>
  <c r="U4062" i="1"/>
  <c r="BE4062" i="1"/>
  <c r="CC4062" i="1"/>
  <c r="CD4062" i="1"/>
  <c r="A4063" i="1"/>
  <c r="C4063" i="1"/>
  <c r="S4063" i="1"/>
  <c r="T4063" i="1"/>
  <c r="U4063" i="1"/>
  <c r="BE4063" i="1"/>
  <c r="CC4063" i="1"/>
  <c r="CD4063" i="1"/>
  <c r="A4064" i="1"/>
  <c r="C4064" i="1"/>
  <c r="S4064" i="1"/>
  <c r="T4064" i="1"/>
  <c r="U4064" i="1"/>
  <c r="BE4064" i="1"/>
  <c r="CC4064" i="1"/>
  <c r="CD4064" i="1"/>
  <c r="A4065" i="1"/>
  <c r="C4065" i="1"/>
  <c r="S4065" i="1"/>
  <c r="T4065" i="1"/>
  <c r="U4065" i="1"/>
  <c r="BE4065" i="1"/>
  <c r="CC4065" i="1"/>
  <c r="CD4065" i="1"/>
  <c r="A4066" i="1"/>
  <c r="C4066" i="1"/>
  <c r="S4066" i="1"/>
  <c r="T4066" i="1"/>
  <c r="U4066" i="1"/>
  <c r="BE4066" i="1"/>
  <c r="CC4066" i="1"/>
  <c r="CD4066" i="1"/>
  <c r="A4067" i="1"/>
  <c r="C4067" i="1"/>
  <c r="S4067" i="1"/>
  <c r="T4067" i="1"/>
  <c r="U4067" i="1"/>
  <c r="BE4067" i="1"/>
  <c r="CC4067" i="1"/>
  <c r="CD4067" i="1"/>
  <c r="A4068" i="1"/>
  <c r="C4068" i="1"/>
  <c r="S4068" i="1"/>
  <c r="T4068" i="1"/>
  <c r="U4068" i="1"/>
  <c r="BE4068" i="1"/>
  <c r="CC4068" i="1"/>
  <c r="CD4068" i="1"/>
  <c r="A4069" i="1"/>
  <c r="C4069" i="1"/>
  <c r="S4069" i="1"/>
  <c r="T4069" i="1"/>
  <c r="U4069" i="1"/>
  <c r="BE4069" i="1"/>
  <c r="CC4069" i="1"/>
  <c r="CD4069" i="1"/>
  <c r="A4070" i="1"/>
  <c r="C4070" i="1"/>
  <c r="S4070" i="1"/>
  <c r="T4070" i="1"/>
  <c r="U4070" i="1"/>
  <c r="BE4070" i="1"/>
  <c r="CC4070" i="1"/>
  <c r="CD4070" i="1"/>
  <c r="A4071" i="1"/>
  <c r="C4071" i="1"/>
  <c r="S4071" i="1"/>
  <c r="T4071" i="1"/>
  <c r="U4071" i="1"/>
  <c r="BE4071" i="1"/>
  <c r="CC4071" i="1"/>
  <c r="CD4071" i="1"/>
  <c r="A4072" i="1"/>
  <c r="C4072" i="1"/>
  <c r="S4072" i="1"/>
  <c r="T4072" i="1"/>
  <c r="U4072" i="1"/>
  <c r="BE4072" i="1"/>
  <c r="CC4072" i="1"/>
  <c r="CD4072" i="1"/>
  <c r="A4073" i="1"/>
  <c r="C4073" i="1"/>
  <c r="S4073" i="1"/>
  <c r="T4073" i="1"/>
  <c r="U4073" i="1"/>
  <c r="BE4073" i="1"/>
  <c r="CC4073" i="1"/>
  <c r="CD4073" i="1"/>
  <c r="A4074" i="1"/>
  <c r="C4074" i="1"/>
  <c r="S4074" i="1"/>
  <c r="T4074" i="1"/>
  <c r="U4074" i="1"/>
  <c r="BE4074" i="1"/>
  <c r="CC4074" i="1"/>
  <c r="CD4074" i="1"/>
  <c r="A4075" i="1"/>
  <c r="C4075" i="1"/>
  <c r="S4075" i="1"/>
  <c r="T4075" i="1"/>
  <c r="U4075" i="1"/>
  <c r="BE4075" i="1"/>
  <c r="CC4075" i="1"/>
  <c r="CD4075" i="1"/>
  <c r="A4076" i="1"/>
  <c r="C4076" i="1"/>
  <c r="S4076" i="1"/>
  <c r="T4076" i="1"/>
  <c r="U4076" i="1"/>
  <c r="BE4076" i="1"/>
  <c r="CC4076" i="1"/>
  <c r="CD4076" i="1"/>
  <c r="A4077" i="1"/>
  <c r="C4077" i="1"/>
  <c r="S4077" i="1"/>
  <c r="T4077" i="1"/>
  <c r="U4077" i="1"/>
  <c r="BE4077" i="1"/>
  <c r="CC4077" i="1"/>
  <c r="CD4077" i="1"/>
  <c r="A4078" i="1"/>
  <c r="C4078" i="1"/>
  <c r="S4078" i="1"/>
  <c r="T4078" i="1"/>
  <c r="U4078" i="1"/>
  <c r="BE4078" i="1"/>
  <c r="CC4078" i="1"/>
  <c r="CD4078" i="1"/>
  <c r="A4079" i="1"/>
  <c r="C4079" i="1"/>
  <c r="S4079" i="1"/>
  <c r="T4079" i="1"/>
  <c r="U4079" i="1"/>
  <c r="BE4079" i="1"/>
  <c r="CC4079" i="1"/>
  <c r="CD4079" i="1"/>
  <c r="A4080" i="1"/>
  <c r="C4080" i="1"/>
  <c r="S4080" i="1"/>
  <c r="T4080" i="1"/>
  <c r="U4080" i="1"/>
  <c r="BE4080" i="1"/>
  <c r="CC4080" i="1"/>
  <c r="CD4080" i="1"/>
  <c r="A4081" i="1"/>
  <c r="C4081" i="1"/>
  <c r="S4081" i="1"/>
  <c r="T4081" i="1"/>
  <c r="U4081" i="1"/>
  <c r="BE4081" i="1"/>
  <c r="CC4081" i="1"/>
  <c r="CD4081" i="1"/>
  <c r="A4082" i="1"/>
  <c r="C4082" i="1"/>
  <c r="S4082" i="1"/>
  <c r="T4082" i="1"/>
  <c r="U4082" i="1"/>
  <c r="BE4082" i="1"/>
  <c r="CC4082" i="1"/>
  <c r="CD4082" i="1"/>
  <c r="A4083" i="1"/>
  <c r="C4083" i="1"/>
  <c r="S4083" i="1"/>
  <c r="T4083" i="1"/>
  <c r="U4083" i="1"/>
  <c r="BE4083" i="1"/>
  <c r="CC4083" i="1"/>
  <c r="CD4083" i="1"/>
  <c r="A4084" i="1"/>
  <c r="C4084" i="1"/>
  <c r="S4084" i="1"/>
  <c r="T4084" i="1"/>
  <c r="U4084" i="1"/>
  <c r="BE4084" i="1"/>
  <c r="CC4084" i="1"/>
  <c r="CD4084" i="1"/>
  <c r="A4085" i="1"/>
  <c r="C4085" i="1"/>
  <c r="S4085" i="1"/>
  <c r="T4085" i="1"/>
  <c r="U4085" i="1"/>
  <c r="BE4085" i="1"/>
  <c r="CC4085" i="1"/>
  <c r="CD4085" i="1"/>
  <c r="A4086" i="1"/>
  <c r="C4086" i="1"/>
  <c r="S4086" i="1"/>
  <c r="T4086" i="1"/>
  <c r="U4086" i="1"/>
  <c r="BE4086" i="1"/>
  <c r="CC4086" i="1"/>
  <c r="CD4086" i="1"/>
  <c r="A4087" i="1"/>
  <c r="C4087" i="1"/>
  <c r="S4087" i="1"/>
  <c r="T4087" i="1"/>
  <c r="U4087" i="1"/>
  <c r="BE4087" i="1"/>
  <c r="CC4087" i="1"/>
  <c r="CD4087" i="1"/>
  <c r="A4088" i="1"/>
  <c r="C4088" i="1"/>
  <c r="S4088" i="1"/>
  <c r="T4088" i="1"/>
  <c r="U4088" i="1"/>
  <c r="BE4088" i="1"/>
  <c r="CC4088" i="1"/>
  <c r="CD4088" i="1"/>
  <c r="A4089" i="1"/>
  <c r="C4089" i="1"/>
  <c r="S4089" i="1"/>
  <c r="T4089" i="1"/>
  <c r="U4089" i="1"/>
  <c r="BE4089" i="1"/>
  <c r="CC4089" i="1"/>
  <c r="CD4089" i="1"/>
  <c r="A4090" i="1"/>
  <c r="C4090" i="1"/>
  <c r="S4090" i="1"/>
  <c r="T4090" i="1"/>
  <c r="U4090" i="1"/>
  <c r="BE4090" i="1"/>
  <c r="CC4090" i="1"/>
  <c r="CD4090" i="1"/>
  <c r="A4091" i="1"/>
  <c r="C4091" i="1"/>
  <c r="S4091" i="1"/>
  <c r="T4091" i="1"/>
  <c r="U4091" i="1"/>
  <c r="BE4091" i="1"/>
  <c r="CC4091" i="1"/>
  <c r="CD4091" i="1"/>
  <c r="A4092" i="1"/>
  <c r="C4092" i="1"/>
  <c r="S4092" i="1"/>
  <c r="T4092" i="1"/>
  <c r="U4092" i="1"/>
  <c r="BE4092" i="1"/>
  <c r="CC4092" i="1"/>
  <c r="CD4092" i="1"/>
  <c r="A4093" i="1"/>
  <c r="C4093" i="1"/>
  <c r="S4093" i="1"/>
  <c r="T4093" i="1"/>
  <c r="U4093" i="1"/>
  <c r="BE4093" i="1"/>
  <c r="CC4093" i="1"/>
  <c r="CD4093" i="1"/>
  <c r="A4094" i="1"/>
  <c r="C4094" i="1"/>
  <c r="S4094" i="1"/>
  <c r="T4094" i="1"/>
  <c r="U4094" i="1"/>
  <c r="BE4094" i="1"/>
  <c r="CC4094" i="1"/>
  <c r="CD4094" i="1"/>
  <c r="A4095" i="1"/>
  <c r="C4095" i="1"/>
  <c r="S4095" i="1"/>
  <c r="T4095" i="1"/>
  <c r="U4095" i="1"/>
  <c r="BE4095" i="1"/>
  <c r="CC4095" i="1"/>
  <c r="CD4095" i="1"/>
  <c r="A4096" i="1"/>
  <c r="C4096" i="1"/>
  <c r="S4096" i="1"/>
  <c r="T4096" i="1"/>
  <c r="U4096" i="1"/>
  <c r="BE4096" i="1"/>
  <c r="CC4096" i="1"/>
  <c r="CD4096" i="1"/>
  <c r="A4097" i="1"/>
  <c r="C4097" i="1"/>
  <c r="S4097" i="1"/>
  <c r="T4097" i="1"/>
  <c r="U4097" i="1"/>
  <c r="BE4097" i="1"/>
  <c r="CC4097" i="1"/>
  <c r="CD4097" i="1"/>
  <c r="A4098" i="1"/>
  <c r="C4098" i="1"/>
  <c r="S4098" i="1"/>
  <c r="T4098" i="1"/>
  <c r="U4098" i="1"/>
  <c r="BE4098" i="1"/>
  <c r="CC4098" i="1"/>
  <c r="CD4098" i="1"/>
  <c r="A4099" i="1"/>
  <c r="C4099" i="1"/>
  <c r="S4099" i="1"/>
  <c r="T4099" i="1"/>
  <c r="U4099" i="1"/>
  <c r="BE4099" i="1"/>
  <c r="CC4099" i="1"/>
  <c r="CD4099" i="1"/>
  <c r="A4100" i="1"/>
  <c r="C4100" i="1"/>
  <c r="S4100" i="1"/>
  <c r="T4100" i="1"/>
  <c r="U4100" i="1"/>
  <c r="BE4100" i="1"/>
  <c r="CC4100" i="1"/>
  <c r="CD4100" i="1"/>
  <c r="A4101" i="1"/>
  <c r="C4101" i="1"/>
  <c r="S4101" i="1"/>
  <c r="T4101" i="1"/>
  <c r="U4101" i="1"/>
  <c r="BE4101" i="1"/>
  <c r="CC4101" i="1"/>
  <c r="CD4101" i="1"/>
  <c r="A4102" i="1"/>
  <c r="C4102" i="1"/>
  <c r="S4102" i="1"/>
  <c r="T4102" i="1"/>
  <c r="U4102" i="1"/>
  <c r="BE4102" i="1"/>
  <c r="CC4102" i="1"/>
  <c r="CD4102" i="1"/>
  <c r="A4103" i="1"/>
  <c r="C4103" i="1"/>
  <c r="S4103" i="1"/>
  <c r="T4103" i="1"/>
  <c r="U4103" i="1"/>
  <c r="BE4103" i="1"/>
  <c r="CC4103" i="1"/>
  <c r="CD4103" i="1"/>
  <c r="A4104" i="1"/>
  <c r="C4104" i="1"/>
  <c r="S4104" i="1"/>
  <c r="T4104" i="1"/>
  <c r="U4104" i="1"/>
  <c r="BE4104" i="1"/>
  <c r="CC4104" i="1"/>
  <c r="CD4104" i="1"/>
  <c r="A4105" i="1"/>
  <c r="C4105" i="1"/>
  <c r="S4105" i="1"/>
  <c r="T4105" i="1"/>
  <c r="U4105" i="1"/>
  <c r="BE4105" i="1"/>
  <c r="CC4105" i="1"/>
  <c r="CD4105" i="1"/>
  <c r="A4106" i="1"/>
  <c r="C4106" i="1"/>
  <c r="S4106" i="1"/>
  <c r="T4106" i="1"/>
  <c r="U4106" i="1"/>
  <c r="BE4106" i="1"/>
  <c r="CC4106" i="1"/>
  <c r="CD4106" i="1"/>
  <c r="A4107" i="1"/>
  <c r="C4107" i="1"/>
  <c r="S4107" i="1"/>
  <c r="T4107" i="1"/>
  <c r="U4107" i="1"/>
  <c r="BE4107" i="1"/>
  <c r="CC4107" i="1"/>
  <c r="CD4107" i="1"/>
  <c r="A4108" i="1"/>
  <c r="C4108" i="1"/>
  <c r="S4108" i="1"/>
  <c r="T4108" i="1"/>
  <c r="U4108" i="1"/>
  <c r="BE4108" i="1"/>
  <c r="CC4108" i="1"/>
  <c r="CD4108" i="1"/>
  <c r="A4109" i="1"/>
  <c r="C4109" i="1"/>
  <c r="S4109" i="1"/>
  <c r="T4109" i="1"/>
  <c r="U4109" i="1"/>
  <c r="BE4109" i="1"/>
  <c r="CC4109" i="1"/>
  <c r="CD4109" i="1"/>
  <c r="A4110" i="1"/>
  <c r="C4110" i="1"/>
  <c r="S4110" i="1"/>
  <c r="T4110" i="1"/>
  <c r="U4110" i="1"/>
  <c r="BE4110" i="1"/>
  <c r="CC4110" i="1"/>
  <c r="CD4110" i="1"/>
  <c r="A4111" i="1"/>
  <c r="C4111" i="1"/>
  <c r="S4111" i="1"/>
  <c r="T4111" i="1"/>
  <c r="U4111" i="1"/>
  <c r="BE4111" i="1"/>
  <c r="CC4111" i="1"/>
  <c r="CD4111" i="1"/>
  <c r="A4112" i="1"/>
  <c r="C4112" i="1"/>
  <c r="S4112" i="1"/>
  <c r="T4112" i="1"/>
  <c r="U4112" i="1"/>
  <c r="BE4112" i="1"/>
  <c r="CC4112" i="1"/>
  <c r="CD4112" i="1"/>
  <c r="A4113" i="1"/>
  <c r="C4113" i="1"/>
  <c r="S4113" i="1"/>
  <c r="T4113" i="1"/>
  <c r="U4113" i="1"/>
  <c r="BE4113" i="1"/>
  <c r="CC4113" i="1"/>
  <c r="CD4113" i="1"/>
  <c r="A4114" i="1"/>
  <c r="C4114" i="1"/>
  <c r="S4114" i="1"/>
  <c r="T4114" i="1"/>
  <c r="U4114" i="1"/>
  <c r="BE4114" i="1"/>
  <c r="CC4114" i="1"/>
  <c r="CD4114" i="1"/>
  <c r="A4115" i="1"/>
  <c r="C4115" i="1"/>
  <c r="S4115" i="1"/>
  <c r="T4115" i="1"/>
  <c r="U4115" i="1"/>
  <c r="BE4115" i="1"/>
  <c r="CC4115" i="1"/>
  <c r="CD4115" i="1"/>
  <c r="A4116" i="1"/>
  <c r="C4116" i="1"/>
  <c r="S4116" i="1"/>
  <c r="T4116" i="1"/>
  <c r="U4116" i="1"/>
  <c r="BE4116" i="1"/>
  <c r="CC4116" i="1"/>
  <c r="CD4116" i="1"/>
  <c r="A4117" i="1"/>
  <c r="C4117" i="1"/>
  <c r="S4117" i="1"/>
  <c r="T4117" i="1"/>
  <c r="U4117" i="1"/>
  <c r="BE4117" i="1"/>
  <c r="CC4117" i="1"/>
  <c r="CD4117" i="1"/>
  <c r="A4118" i="1"/>
  <c r="C4118" i="1"/>
  <c r="S4118" i="1"/>
  <c r="T4118" i="1"/>
  <c r="U4118" i="1"/>
  <c r="BE4118" i="1"/>
  <c r="CC4118" i="1"/>
  <c r="CD4118" i="1"/>
  <c r="A4119" i="1"/>
  <c r="C4119" i="1"/>
  <c r="S4119" i="1"/>
  <c r="T4119" i="1"/>
  <c r="U4119" i="1"/>
  <c r="BE4119" i="1"/>
  <c r="CC4119" i="1"/>
  <c r="CD4119" i="1"/>
  <c r="A4120" i="1"/>
  <c r="C4120" i="1"/>
  <c r="S4120" i="1"/>
  <c r="T4120" i="1"/>
  <c r="U4120" i="1"/>
  <c r="BE4120" i="1"/>
  <c r="CC4120" i="1"/>
  <c r="CD4120" i="1"/>
  <c r="A4121" i="1"/>
  <c r="C4121" i="1"/>
  <c r="S4121" i="1"/>
  <c r="T4121" i="1"/>
  <c r="U4121" i="1"/>
  <c r="BE4121" i="1"/>
  <c r="CC4121" i="1"/>
  <c r="CD4121" i="1"/>
  <c r="A4122" i="1"/>
  <c r="C4122" i="1"/>
  <c r="S4122" i="1"/>
  <c r="T4122" i="1"/>
  <c r="U4122" i="1"/>
  <c r="BE4122" i="1"/>
  <c r="CC4122" i="1"/>
  <c r="CD4122" i="1"/>
  <c r="A4123" i="1"/>
  <c r="C4123" i="1"/>
  <c r="S4123" i="1"/>
  <c r="T4123" i="1"/>
  <c r="U4123" i="1"/>
  <c r="BE4123" i="1"/>
  <c r="CC4123" i="1"/>
  <c r="CD4123" i="1"/>
  <c r="A4124" i="1"/>
  <c r="C4124" i="1"/>
  <c r="S4124" i="1"/>
  <c r="T4124" i="1"/>
  <c r="U4124" i="1"/>
  <c r="BE4124" i="1"/>
  <c r="CC4124" i="1"/>
  <c r="CD4124" i="1"/>
  <c r="A4125" i="1"/>
  <c r="C4125" i="1"/>
  <c r="S4125" i="1"/>
  <c r="T4125" i="1"/>
  <c r="U4125" i="1"/>
  <c r="BE4125" i="1"/>
  <c r="CC4125" i="1"/>
  <c r="CD4125" i="1"/>
  <c r="A4126" i="1"/>
  <c r="C4126" i="1"/>
  <c r="S4126" i="1"/>
  <c r="T4126" i="1"/>
  <c r="U4126" i="1"/>
  <c r="BE4126" i="1"/>
  <c r="CC4126" i="1"/>
  <c r="CD4126" i="1"/>
  <c r="A4127" i="1"/>
  <c r="C4127" i="1"/>
  <c r="S4127" i="1"/>
  <c r="T4127" i="1"/>
  <c r="U4127" i="1"/>
  <c r="BE4127" i="1"/>
  <c r="CC4127" i="1"/>
  <c r="CD4127" i="1"/>
  <c r="A4128" i="1"/>
  <c r="C4128" i="1"/>
  <c r="S4128" i="1"/>
  <c r="T4128" i="1"/>
  <c r="U4128" i="1"/>
  <c r="BE4128" i="1"/>
  <c r="CC4128" i="1"/>
  <c r="CD4128" i="1"/>
  <c r="A4129" i="1"/>
  <c r="C4129" i="1"/>
  <c r="S4129" i="1"/>
  <c r="T4129" i="1"/>
  <c r="U4129" i="1"/>
  <c r="BE4129" i="1"/>
  <c r="CC4129" i="1"/>
  <c r="CD4129" i="1"/>
  <c r="A4130" i="1"/>
  <c r="C4130" i="1"/>
  <c r="S4130" i="1"/>
  <c r="T4130" i="1"/>
  <c r="U4130" i="1"/>
  <c r="BE4130" i="1"/>
  <c r="CC4130" i="1"/>
  <c r="CD4130" i="1"/>
  <c r="A4131" i="1"/>
  <c r="C4131" i="1"/>
  <c r="S4131" i="1"/>
  <c r="T4131" i="1"/>
  <c r="U4131" i="1"/>
  <c r="BE4131" i="1"/>
  <c r="CC4131" i="1"/>
  <c r="CD4131" i="1"/>
  <c r="A4132" i="1"/>
  <c r="C4132" i="1"/>
  <c r="S4132" i="1"/>
  <c r="T4132" i="1"/>
  <c r="U4132" i="1"/>
  <c r="BE4132" i="1"/>
  <c r="CC4132" i="1"/>
  <c r="CD4132" i="1"/>
  <c r="A4133" i="1"/>
  <c r="C4133" i="1"/>
  <c r="S4133" i="1"/>
  <c r="T4133" i="1"/>
  <c r="U4133" i="1"/>
  <c r="BE4133" i="1"/>
  <c r="CC4133" i="1"/>
  <c r="CD4133" i="1"/>
  <c r="A4134" i="1"/>
  <c r="C4134" i="1"/>
  <c r="S4134" i="1"/>
  <c r="T4134" i="1"/>
  <c r="U4134" i="1"/>
  <c r="BE4134" i="1"/>
  <c r="CC4134" i="1"/>
  <c r="CD4134" i="1"/>
  <c r="A4135" i="1"/>
  <c r="C4135" i="1"/>
  <c r="S4135" i="1"/>
  <c r="T4135" i="1"/>
  <c r="U4135" i="1"/>
  <c r="BE4135" i="1"/>
  <c r="CC4135" i="1"/>
  <c r="CD4135" i="1"/>
  <c r="A4136" i="1"/>
  <c r="C4136" i="1"/>
  <c r="S4136" i="1"/>
  <c r="T4136" i="1"/>
  <c r="U4136" i="1"/>
  <c r="BE4136" i="1"/>
  <c r="CC4136" i="1"/>
  <c r="CD4136" i="1"/>
  <c r="A4137" i="1"/>
  <c r="C4137" i="1"/>
  <c r="S4137" i="1"/>
  <c r="T4137" i="1"/>
  <c r="U4137" i="1"/>
  <c r="BE4137" i="1"/>
  <c r="CC4137" i="1"/>
  <c r="CD4137" i="1"/>
  <c r="A4138" i="1"/>
  <c r="C4138" i="1"/>
  <c r="S4138" i="1"/>
  <c r="T4138" i="1"/>
  <c r="U4138" i="1"/>
  <c r="BE4138" i="1"/>
  <c r="CC4138" i="1"/>
  <c r="CD4138" i="1"/>
  <c r="A4139" i="1"/>
  <c r="C4139" i="1"/>
  <c r="S4139" i="1"/>
  <c r="T4139" i="1"/>
  <c r="U4139" i="1"/>
  <c r="BE4139" i="1"/>
  <c r="CC4139" i="1"/>
  <c r="CD4139" i="1"/>
  <c r="A4140" i="1"/>
  <c r="C4140" i="1"/>
  <c r="S4140" i="1"/>
  <c r="T4140" i="1"/>
  <c r="U4140" i="1"/>
  <c r="BE4140" i="1"/>
  <c r="CC4140" i="1"/>
  <c r="CD4140" i="1"/>
  <c r="A4141" i="1"/>
  <c r="C4141" i="1"/>
  <c r="S4141" i="1"/>
  <c r="T4141" i="1"/>
  <c r="U4141" i="1"/>
  <c r="BE4141" i="1"/>
  <c r="CC4141" i="1"/>
  <c r="CD4141" i="1"/>
  <c r="A4142" i="1"/>
  <c r="C4142" i="1"/>
  <c r="S4142" i="1"/>
  <c r="T4142" i="1"/>
  <c r="U4142" i="1"/>
  <c r="BE4142" i="1"/>
  <c r="CC4142" i="1"/>
  <c r="CD4142" i="1"/>
  <c r="A4143" i="1"/>
  <c r="C4143" i="1"/>
  <c r="S4143" i="1"/>
  <c r="T4143" i="1"/>
  <c r="U4143" i="1"/>
  <c r="BE4143" i="1"/>
  <c r="CC4143" i="1"/>
  <c r="CD4143" i="1"/>
  <c r="A4144" i="1"/>
  <c r="C4144" i="1"/>
  <c r="S4144" i="1"/>
  <c r="T4144" i="1"/>
  <c r="U4144" i="1"/>
  <c r="BE4144" i="1"/>
  <c r="CC4144" i="1"/>
  <c r="CD4144" i="1"/>
  <c r="A4145" i="1"/>
  <c r="C4145" i="1"/>
  <c r="S4145" i="1"/>
  <c r="T4145" i="1"/>
  <c r="U4145" i="1"/>
  <c r="BE4145" i="1"/>
  <c r="CC4145" i="1"/>
  <c r="CD4145" i="1"/>
  <c r="A4146" i="1"/>
  <c r="C4146" i="1"/>
  <c r="S4146" i="1"/>
  <c r="T4146" i="1"/>
  <c r="U4146" i="1"/>
  <c r="BE4146" i="1"/>
  <c r="CC4146" i="1"/>
  <c r="CD4146" i="1"/>
  <c r="A4147" i="1"/>
  <c r="C4147" i="1"/>
  <c r="S4147" i="1"/>
  <c r="T4147" i="1"/>
  <c r="U4147" i="1"/>
  <c r="BE4147" i="1"/>
  <c r="CC4147" i="1"/>
  <c r="CD4147" i="1"/>
  <c r="A4148" i="1"/>
  <c r="C4148" i="1"/>
  <c r="S4148" i="1"/>
  <c r="T4148" i="1"/>
  <c r="U4148" i="1"/>
  <c r="BE4148" i="1"/>
  <c r="CC4148" i="1"/>
  <c r="CD4148" i="1"/>
  <c r="A4149" i="1"/>
  <c r="C4149" i="1"/>
  <c r="S4149" i="1"/>
  <c r="T4149" i="1"/>
  <c r="U4149" i="1"/>
  <c r="BE4149" i="1"/>
  <c r="CC4149" i="1"/>
  <c r="CD4149" i="1"/>
  <c r="A4150" i="1"/>
  <c r="C4150" i="1"/>
  <c r="S4150" i="1"/>
  <c r="T4150" i="1"/>
  <c r="U4150" i="1"/>
  <c r="BE4150" i="1"/>
  <c r="CC4150" i="1"/>
  <c r="CD4150" i="1"/>
  <c r="A4151" i="1"/>
  <c r="C4151" i="1"/>
  <c r="S4151" i="1"/>
  <c r="T4151" i="1"/>
  <c r="U4151" i="1"/>
  <c r="BE4151" i="1"/>
  <c r="CC4151" i="1"/>
  <c r="CD4151" i="1"/>
  <c r="A4152" i="1"/>
  <c r="C4152" i="1"/>
  <c r="S4152" i="1"/>
  <c r="T4152" i="1"/>
  <c r="U4152" i="1"/>
  <c r="BE4152" i="1"/>
  <c r="CC4152" i="1"/>
  <c r="CD4152" i="1"/>
  <c r="A4153" i="1"/>
  <c r="C4153" i="1"/>
  <c r="S4153" i="1"/>
  <c r="T4153" i="1"/>
  <c r="U4153" i="1"/>
  <c r="BE4153" i="1"/>
  <c r="CC4153" i="1"/>
  <c r="CD4153" i="1"/>
  <c r="A4154" i="1"/>
  <c r="C4154" i="1"/>
  <c r="S4154" i="1"/>
  <c r="T4154" i="1"/>
  <c r="U4154" i="1"/>
  <c r="BE4154" i="1"/>
  <c r="CC4154" i="1"/>
  <c r="CD4154" i="1"/>
  <c r="A4155" i="1"/>
  <c r="C4155" i="1"/>
  <c r="S4155" i="1"/>
  <c r="T4155" i="1"/>
  <c r="U4155" i="1"/>
  <c r="BE4155" i="1"/>
  <c r="CC4155" i="1"/>
  <c r="CD4155" i="1"/>
  <c r="A4156" i="1"/>
  <c r="C4156" i="1"/>
  <c r="S4156" i="1"/>
  <c r="T4156" i="1"/>
  <c r="U4156" i="1"/>
  <c r="BE4156" i="1"/>
  <c r="CC4156" i="1"/>
  <c r="CD4156" i="1"/>
  <c r="A4157" i="1"/>
  <c r="C4157" i="1"/>
  <c r="S4157" i="1"/>
  <c r="T4157" i="1"/>
  <c r="U4157" i="1"/>
  <c r="BE4157" i="1"/>
  <c r="CC4157" i="1"/>
  <c r="CD4157" i="1"/>
  <c r="A4158" i="1"/>
  <c r="C4158" i="1"/>
  <c r="S4158" i="1"/>
  <c r="T4158" i="1"/>
  <c r="U4158" i="1"/>
  <c r="BE4158" i="1"/>
  <c r="CC4158" i="1"/>
  <c r="CD4158" i="1"/>
  <c r="A4159" i="1"/>
  <c r="C4159" i="1"/>
  <c r="S4159" i="1"/>
  <c r="T4159" i="1"/>
  <c r="U4159" i="1"/>
  <c r="BE4159" i="1"/>
  <c r="CC4159" i="1"/>
  <c r="CD4159" i="1"/>
  <c r="A4160" i="1"/>
  <c r="C4160" i="1"/>
  <c r="S4160" i="1"/>
  <c r="T4160" i="1"/>
  <c r="U4160" i="1"/>
  <c r="BE4160" i="1"/>
  <c r="CC4160" i="1"/>
  <c r="CD4160" i="1"/>
  <c r="A4161" i="1"/>
  <c r="C4161" i="1"/>
  <c r="S4161" i="1"/>
  <c r="T4161" i="1"/>
  <c r="U4161" i="1"/>
  <c r="BE4161" i="1"/>
  <c r="CC4161" i="1"/>
  <c r="CD4161" i="1"/>
  <c r="A4162" i="1"/>
  <c r="C4162" i="1"/>
  <c r="S4162" i="1"/>
  <c r="T4162" i="1"/>
  <c r="U4162" i="1"/>
  <c r="BE4162" i="1"/>
  <c r="CC4162" i="1"/>
  <c r="CD4162" i="1"/>
  <c r="A4163" i="1"/>
  <c r="C4163" i="1"/>
  <c r="S4163" i="1"/>
  <c r="T4163" i="1"/>
  <c r="U4163" i="1"/>
  <c r="BE4163" i="1"/>
  <c r="CC4163" i="1"/>
  <c r="CD4163" i="1"/>
  <c r="A4164" i="1"/>
  <c r="C4164" i="1"/>
  <c r="S4164" i="1"/>
  <c r="T4164" i="1"/>
  <c r="U4164" i="1"/>
  <c r="BE4164" i="1"/>
  <c r="CC4164" i="1"/>
  <c r="CD4164" i="1"/>
  <c r="A4165" i="1"/>
  <c r="C4165" i="1"/>
  <c r="S4165" i="1"/>
  <c r="T4165" i="1"/>
  <c r="U4165" i="1"/>
  <c r="BE4165" i="1"/>
  <c r="CC4165" i="1"/>
  <c r="CD4165" i="1"/>
  <c r="A4166" i="1"/>
  <c r="C4166" i="1"/>
  <c r="S4166" i="1"/>
  <c r="T4166" i="1"/>
  <c r="U4166" i="1"/>
  <c r="BE4166" i="1"/>
  <c r="CC4166" i="1"/>
  <c r="CD4166" i="1"/>
  <c r="A4167" i="1"/>
  <c r="C4167" i="1"/>
  <c r="S4167" i="1"/>
  <c r="T4167" i="1"/>
  <c r="U4167" i="1"/>
  <c r="BE4167" i="1"/>
  <c r="CC4167" i="1"/>
  <c r="CD4167" i="1"/>
  <c r="A4168" i="1"/>
  <c r="C4168" i="1"/>
  <c r="S4168" i="1"/>
  <c r="T4168" i="1"/>
  <c r="U4168" i="1"/>
  <c r="BE4168" i="1"/>
  <c r="CC4168" i="1"/>
  <c r="CD4168" i="1"/>
  <c r="A4169" i="1"/>
  <c r="C4169" i="1"/>
  <c r="S4169" i="1"/>
  <c r="T4169" i="1"/>
  <c r="U4169" i="1"/>
  <c r="BE4169" i="1"/>
  <c r="CC4169" i="1"/>
  <c r="CD4169" i="1"/>
  <c r="A4170" i="1"/>
  <c r="C4170" i="1"/>
  <c r="S4170" i="1"/>
  <c r="T4170" i="1"/>
  <c r="U4170" i="1"/>
  <c r="BE4170" i="1"/>
  <c r="CC4170" i="1"/>
  <c r="CD4170" i="1"/>
  <c r="A4171" i="1"/>
  <c r="C4171" i="1"/>
  <c r="S4171" i="1"/>
  <c r="T4171" i="1"/>
  <c r="U4171" i="1"/>
  <c r="BE4171" i="1"/>
  <c r="CC4171" i="1"/>
  <c r="CD4171" i="1"/>
  <c r="A4172" i="1"/>
  <c r="C4172" i="1"/>
  <c r="S4172" i="1"/>
  <c r="T4172" i="1"/>
  <c r="U4172" i="1"/>
  <c r="BE4172" i="1"/>
  <c r="CC4172" i="1"/>
  <c r="CD4172" i="1"/>
  <c r="A4173" i="1"/>
  <c r="C4173" i="1"/>
  <c r="S4173" i="1"/>
  <c r="T4173" i="1"/>
  <c r="U4173" i="1"/>
  <c r="BE4173" i="1"/>
  <c r="CC4173" i="1"/>
  <c r="CD4173" i="1"/>
  <c r="A4174" i="1"/>
  <c r="C4174" i="1"/>
  <c r="S4174" i="1"/>
  <c r="T4174" i="1"/>
  <c r="U4174" i="1"/>
  <c r="BE4174" i="1"/>
  <c r="CC4174" i="1"/>
  <c r="CD4174" i="1"/>
  <c r="A4175" i="1"/>
  <c r="C4175" i="1"/>
  <c r="S4175" i="1"/>
  <c r="T4175" i="1"/>
  <c r="U4175" i="1"/>
  <c r="BE4175" i="1"/>
  <c r="CC4175" i="1"/>
  <c r="CD4175" i="1"/>
  <c r="A4176" i="1"/>
  <c r="C4176" i="1"/>
  <c r="S4176" i="1"/>
  <c r="T4176" i="1"/>
  <c r="U4176" i="1"/>
  <c r="BE4176" i="1"/>
  <c r="CC4176" i="1"/>
  <c r="CD4176" i="1"/>
  <c r="A4177" i="1"/>
  <c r="C4177" i="1"/>
  <c r="S4177" i="1"/>
  <c r="T4177" i="1"/>
  <c r="U4177" i="1"/>
  <c r="BE4177" i="1"/>
  <c r="CC4177" i="1"/>
  <c r="CD4177" i="1"/>
  <c r="A4178" i="1"/>
  <c r="C4178" i="1"/>
  <c r="S4178" i="1"/>
  <c r="T4178" i="1"/>
  <c r="U4178" i="1"/>
  <c r="BE4178" i="1"/>
  <c r="CC4178" i="1"/>
  <c r="CD4178" i="1"/>
  <c r="A4179" i="1"/>
  <c r="C4179" i="1"/>
  <c r="S4179" i="1"/>
  <c r="T4179" i="1"/>
  <c r="U4179" i="1"/>
  <c r="BE4179" i="1"/>
  <c r="CC4179" i="1"/>
  <c r="CD4179" i="1"/>
  <c r="A4180" i="1"/>
  <c r="C4180" i="1"/>
  <c r="S4180" i="1"/>
  <c r="T4180" i="1"/>
  <c r="U4180" i="1"/>
  <c r="BE4180" i="1"/>
  <c r="CC4180" i="1"/>
  <c r="CD4180" i="1"/>
  <c r="A4181" i="1"/>
  <c r="C4181" i="1"/>
  <c r="S4181" i="1"/>
  <c r="T4181" i="1"/>
  <c r="U4181" i="1"/>
  <c r="BE4181" i="1"/>
  <c r="CC4181" i="1"/>
  <c r="CD4181" i="1"/>
  <c r="A4182" i="1"/>
  <c r="C4182" i="1"/>
  <c r="S4182" i="1"/>
  <c r="T4182" i="1"/>
  <c r="U4182" i="1"/>
  <c r="BE4182" i="1"/>
  <c r="CC4182" i="1"/>
  <c r="CD4182" i="1"/>
  <c r="A4183" i="1"/>
  <c r="C4183" i="1"/>
  <c r="S4183" i="1"/>
  <c r="T4183" i="1"/>
  <c r="U4183" i="1"/>
  <c r="BE4183" i="1"/>
  <c r="CC4183" i="1"/>
  <c r="CD4183" i="1"/>
  <c r="A4184" i="1"/>
  <c r="C4184" i="1"/>
  <c r="S4184" i="1"/>
  <c r="T4184" i="1"/>
  <c r="U4184" i="1"/>
  <c r="BE4184" i="1"/>
  <c r="CC4184" i="1"/>
  <c r="CD4184" i="1"/>
  <c r="A4185" i="1"/>
  <c r="C4185" i="1"/>
  <c r="S4185" i="1"/>
  <c r="T4185" i="1"/>
  <c r="U4185" i="1"/>
  <c r="BE4185" i="1"/>
  <c r="CC4185" i="1"/>
  <c r="CD4185" i="1"/>
  <c r="A4186" i="1"/>
  <c r="C4186" i="1"/>
  <c r="S4186" i="1"/>
  <c r="T4186" i="1"/>
  <c r="U4186" i="1"/>
  <c r="BE4186" i="1"/>
  <c r="CC4186" i="1"/>
  <c r="CD4186" i="1"/>
  <c r="A4187" i="1"/>
  <c r="C4187" i="1"/>
  <c r="S4187" i="1"/>
  <c r="T4187" i="1"/>
  <c r="U4187" i="1"/>
  <c r="BE4187" i="1"/>
  <c r="CC4187" i="1"/>
  <c r="CD4187" i="1"/>
  <c r="A4188" i="1"/>
  <c r="C4188" i="1"/>
  <c r="S4188" i="1"/>
  <c r="T4188" i="1"/>
  <c r="U4188" i="1"/>
  <c r="BE4188" i="1"/>
  <c r="CC4188" i="1"/>
  <c r="CD4188" i="1"/>
  <c r="A4189" i="1"/>
  <c r="C4189" i="1"/>
  <c r="S4189" i="1"/>
  <c r="T4189" i="1"/>
  <c r="U4189" i="1"/>
  <c r="BE4189" i="1"/>
  <c r="CC4189" i="1"/>
  <c r="CD4189" i="1"/>
  <c r="A4190" i="1"/>
  <c r="C4190" i="1"/>
  <c r="S4190" i="1"/>
  <c r="T4190" i="1"/>
  <c r="U4190" i="1"/>
  <c r="BE4190" i="1"/>
  <c r="CC4190" i="1"/>
  <c r="CD4190" i="1"/>
  <c r="A4191" i="1"/>
  <c r="C4191" i="1"/>
  <c r="S4191" i="1"/>
  <c r="T4191" i="1"/>
  <c r="U4191" i="1"/>
  <c r="BE4191" i="1"/>
  <c r="CC4191" i="1"/>
  <c r="CD4191" i="1"/>
  <c r="A4192" i="1"/>
  <c r="C4192" i="1"/>
  <c r="S4192" i="1"/>
  <c r="T4192" i="1"/>
  <c r="U4192" i="1"/>
  <c r="BE4192" i="1"/>
  <c r="CC4192" i="1"/>
  <c r="CD4192" i="1"/>
  <c r="A4193" i="1"/>
  <c r="C4193" i="1"/>
  <c r="S4193" i="1"/>
  <c r="T4193" i="1"/>
  <c r="U4193" i="1"/>
  <c r="BE4193" i="1"/>
  <c r="CC4193" i="1"/>
  <c r="CD4193" i="1"/>
  <c r="A4194" i="1"/>
  <c r="C4194" i="1"/>
  <c r="S4194" i="1"/>
  <c r="T4194" i="1"/>
  <c r="U4194" i="1"/>
  <c r="BE4194" i="1"/>
  <c r="CC4194" i="1"/>
  <c r="CD4194" i="1"/>
  <c r="A4195" i="1"/>
  <c r="C4195" i="1"/>
  <c r="S4195" i="1"/>
  <c r="T4195" i="1"/>
  <c r="U4195" i="1"/>
  <c r="BE4195" i="1"/>
  <c r="CC4195" i="1"/>
  <c r="CD4195" i="1"/>
  <c r="A4196" i="1"/>
  <c r="C4196" i="1"/>
  <c r="S4196" i="1"/>
  <c r="T4196" i="1"/>
  <c r="U4196" i="1"/>
  <c r="BE4196" i="1"/>
  <c r="CC4196" i="1"/>
  <c r="CD4196" i="1"/>
  <c r="A4197" i="1"/>
  <c r="C4197" i="1"/>
  <c r="S4197" i="1"/>
  <c r="T4197" i="1"/>
  <c r="U4197" i="1"/>
  <c r="BE4197" i="1"/>
  <c r="CC4197" i="1"/>
  <c r="CD4197" i="1"/>
  <c r="A4198" i="1"/>
  <c r="C4198" i="1"/>
  <c r="S4198" i="1"/>
  <c r="T4198" i="1"/>
  <c r="U4198" i="1"/>
  <c r="BE4198" i="1"/>
  <c r="CC4198" i="1"/>
  <c r="CD4198" i="1"/>
  <c r="A4199" i="1"/>
  <c r="C4199" i="1"/>
  <c r="S4199" i="1"/>
  <c r="T4199" i="1"/>
  <c r="U4199" i="1"/>
  <c r="BE4199" i="1"/>
  <c r="CC4199" i="1"/>
  <c r="CD4199" i="1"/>
  <c r="A4200" i="1"/>
  <c r="C4200" i="1"/>
  <c r="S4200" i="1"/>
  <c r="T4200" i="1"/>
  <c r="U4200" i="1"/>
  <c r="BE4200" i="1"/>
  <c r="CC4200" i="1"/>
  <c r="CD4200" i="1"/>
  <c r="A4201" i="1"/>
  <c r="C4201" i="1"/>
  <c r="S4201" i="1"/>
  <c r="T4201" i="1"/>
  <c r="U4201" i="1"/>
  <c r="BE4201" i="1"/>
  <c r="CC4201" i="1"/>
  <c r="CD4201" i="1"/>
  <c r="A4202" i="1"/>
  <c r="C4202" i="1"/>
  <c r="S4202" i="1"/>
  <c r="T4202" i="1"/>
  <c r="U4202" i="1"/>
  <c r="BE4202" i="1"/>
  <c r="CC4202" i="1"/>
  <c r="CD4202" i="1"/>
  <c r="A4203" i="1"/>
  <c r="C4203" i="1"/>
  <c r="S4203" i="1"/>
  <c r="T4203" i="1"/>
  <c r="U4203" i="1"/>
  <c r="BE4203" i="1"/>
  <c r="CC4203" i="1"/>
  <c r="CD4203" i="1"/>
  <c r="A4204" i="1"/>
  <c r="C4204" i="1"/>
  <c r="S4204" i="1"/>
  <c r="T4204" i="1"/>
  <c r="U4204" i="1"/>
  <c r="BE4204" i="1"/>
  <c r="CC4204" i="1"/>
  <c r="CD4204" i="1"/>
  <c r="A4205" i="1"/>
  <c r="C4205" i="1"/>
  <c r="S4205" i="1"/>
  <c r="T4205" i="1"/>
  <c r="U4205" i="1"/>
  <c r="BE4205" i="1"/>
  <c r="CC4205" i="1"/>
  <c r="CD4205" i="1"/>
  <c r="A4206" i="1"/>
  <c r="C4206" i="1"/>
  <c r="S4206" i="1"/>
  <c r="T4206" i="1"/>
  <c r="U4206" i="1"/>
  <c r="BE4206" i="1"/>
  <c r="CC4206" i="1"/>
  <c r="CD4206" i="1"/>
  <c r="A4207" i="1"/>
  <c r="C4207" i="1"/>
  <c r="S4207" i="1"/>
  <c r="T4207" i="1"/>
  <c r="U4207" i="1"/>
  <c r="BE4207" i="1"/>
  <c r="CC4207" i="1"/>
  <c r="CD4207" i="1"/>
  <c r="A4208" i="1"/>
  <c r="C4208" i="1"/>
  <c r="S4208" i="1"/>
  <c r="T4208" i="1"/>
  <c r="U4208" i="1"/>
  <c r="BE4208" i="1"/>
  <c r="CC4208" i="1"/>
  <c r="CD4208" i="1"/>
  <c r="A4209" i="1"/>
  <c r="C4209" i="1"/>
  <c r="S4209" i="1"/>
  <c r="T4209" i="1"/>
  <c r="U4209" i="1"/>
  <c r="BE4209" i="1"/>
  <c r="CC4209" i="1"/>
  <c r="CD4209" i="1"/>
  <c r="A4210" i="1"/>
  <c r="C4210" i="1"/>
  <c r="S4210" i="1"/>
  <c r="T4210" i="1"/>
  <c r="U4210" i="1"/>
  <c r="BE4210" i="1"/>
  <c r="CC4210" i="1"/>
  <c r="CD4210" i="1"/>
  <c r="A4211" i="1"/>
  <c r="C4211" i="1"/>
  <c r="S4211" i="1"/>
  <c r="T4211" i="1"/>
  <c r="U4211" i="1"/>
  <c r="BE4211" i="1"/>
  <c r="CC4211" i="1"/>
  <c r="CD4211" i="1"/>
  <c r="A4212" i="1"/>
  <c r="C4212" i="1"/>
  <c r="S4212" i="1"/>
  <c r="T4212" i="1"/>
  <c r="U4212" i="1"/>
  <c r="BE4212" i="1"/>
  <c r="CC4212" i="1"/>
  <c r="CD4212" i="1"/>
  <c r="A4213" i="1"/>
  <c r="C4213" i="1"/>
  <c r="S4213" i="1"/>
  <c r="T4213" i="1"/>
  <c r="U4213" i="1"/>
  <c r="BE4213" i="1"/>
  <c r="CC4213" i="1"/>
  <c r="CD4213" i="1"/>
  <c r="A4214" i="1"/>
  <c r="C4214" i="1"/>
  <c r="S4214" i="1"/>
  <c r="T4214" i="1"/>
  <c r="U4214" i="1"/>
  <c r="BE4214" i="1"/>
  <c r="CC4214" i="1"/>
  <c r="CD4214" i="1"/>
  <c r="A4215" i="1"/>
  <c r="C4215" i="1"/>
  <c r="S4215" i="1"/>
  <c r="T4215" i="1"/>
  <c r="U4215" i="1"/>
  <c r="BE4215" i="1"/>
  <c r="CC4215" i="1"/>
  <c r="CD4215" i="1"/>
  <c r="A4216" i="1"/>
  <c r="C4216" i="1"/>
  <c r="S4216" i="1"/>
  <c r="T4216" i="1"/>
  <c r="U4216" i="1"/>
  <c r="BE4216" i="1"/>
  <c r="CC4216" i="1"/>
  <c r="CD4216" i="1"/>
  <c r="A4217" i="1"/>
  <c r="C4217" i="1"/>
  <c r="S4217" i="1"/>
  <c r="T4217" i="1"/>
  <c r="U4217" i="1"/>
  <c r="BE4217" i="1"/>
  <c r="CC4217" i="1"/>
  <c r="CD4217" i="1"/>
  <c r="A4218" i="1"/>
  <c r="C4218" i="1"/>
  <c r="S4218" i="1"/>
  <c r="T4218" i="1"/>
  <c r="U4218" i="1"/>
  <c r="BE4218" i="1"/>
  <c r="CC4218" i="1"/>
  <c r="CD4218" i="1"/>
  <c r="A4219" i="1"/>
  <c r="C4219" i="1"/>
  <c r="S4219" i="1"/>
  <c r="T4219" i="1"/>
  <c r="U4219" i="1"/>
  <c r="BE4219" i="1"/>
  <c r="CC4219" i="1"/>
  <c r="CD4219" i="1"/>
  <c r="A4220" i="1"/>
  <c r="C4220" i="1"/>
  <c r="S4220" i="1"/>
  <c r="T4220" i="1"/>
  <c r="U4220" i="1"/>
  <c r="BE4220" i="1"/>
  <c r="CC4220" i="1"/>
  <c r="CD4220" i="1"/>
  <c r="A4221" i="1"/>
  <c r="C4221" i="1"/>
  <c r="S4221" i="1"/>
  <c r="T4221" i="1"/>
  <c r="U4221" i="1"/>
  <c r="BE4221" i="1"/>
  <c r="CC4221" i="1"/>
  <c r="CD4221" i="1"/>
  <c r="A4222" i="1"/>
  <c r="C4222" i="1"/>
  <c r="S4222" i="1"/>
  <c r="T4222" i="1"/>
  <c r="U4222" i="1"/>
  <c r="BE4222" i="1"/>
  <c r="CC4222" i="1"/>
  <c r="CD4222" i="1"/>
  <c r="A4223" i="1"/>
  <c r="C4223" i="1"/>
  <c r="S4223" i="1"/>
  <c r="T4223" i="1"/>
  <c r="U4223" i="1"/>
  <c r="BE4223" i="1"/>
  <c r="CC4223" i="1"/>
  <c r="CD4223" i="1"/>
  <c r="A4224" i="1"/>
  <c r="C4224" i="1"/>
  <c r="S4224" i="1"/>
  <c r="T4224" i="1"/>
  <c r="U4224" i="1"/>
  <c r="BE4224" i="1"/>
  <c r="CC4224" i="1"/>
  <c r="CD4224" i="1"/>
  <c r="A4225" i="1"/>
  <c r="C4225" i="1"/>
  <c r="S4225" i="1"/>
  <c r="T4225" i="1"/>
  <c r="U4225" i="1"/>
  <c r="BE4225" i="1"/>
  <c r="CC4225" i="1"/>
  <c r="CD4225" i="1"/>
  <c r="A4226" i="1"/>
  <c r="C4226" i="1"/>
  <c r="S4226" i="1"/>
  <c r="T4226" i="1"/>
  <c r="U4226" i="1"/>
  <c r="BE4226" i="1"/>
  <c r="CC4226" i="1"/>
  <c r="CD4226" i="1"/>
  <c r="A4227" i="1"/>
  <c r="C4227" i="1"/>
  <c r="S4227" i="1"/>
  <c r="T4227" i="1"/>
  <c r="U4227" i="1"/>
  <c r="BE4227" i="1"/>
  <c r="CC4227" i="1"/>
  <c r="CD4227" i="1"/>
  <c r="A4228" i="1"/>
  <c r="C4228" i="1"/>
  <c r="S4228" i="1"/>
  <c r="T4228" i="1"/>
  <c r="U4228" i="1"/>
  <c r="BE4228" i="1"/>
  <c r="CC4228" i="1"/>
  <c r="CD4228" i="1"/>
  <c r="A4229" i="1"/>
  <c r="C4229" i="1"/>
  <c r="S4229" i="1"/>
  <c r="T4229" i="1"/>
  <c r="U4229" i="1"/>
  <c r="BE4229" i="1"/>
  <c r="CC4229" i="1"/>
  <c r="CD4229" i="1"/>
  <c r="A4230" i="1"/>
  <c r="C4230" i="1"/>
  <c r="S4230" i="1"/>
  <c r="T4230" i="1"/>
  <c r="U4230" i="1"/>
  <c r="BE4230" i="1"/>
  <c r="CC4230" i="1"/>
  <c r="CD4230" i="1"/>
  <c r="A4231" i="1"/>
  <c r="C4231" i="1"/>
  <c r="S4231" i="1"/>
  <c r="T4231" i="1"/>
  <c r="U4231" i="1"/>
  <c r="BE4231" i="1"/>
  <c r="CC4231" i="1"/>
  <c r="CD4231" i="1"/>
  <c r="A4232" i="1"/>
  <c r="C4232" i="1"/>
  <c r="S4232" i="1"/>
  <c r="T4232" i="1"/>
  <c r="U4232" i="1"/>
  <c r="BE4232" i="1"/>
  <c r="CC4232" i="1"/>
  <c r="CD4232" i="1"/>
  <c r="A4233" i="1"/>
  <c r="C4233" i="1"/>
  <c r="S4233" i="1"/>
  <c r="T4233" i="1"/>
  <c r="U4233" i="1"/>
  <c r="BE4233" i="1"/>
  <c r="CC4233" i="1"/>
  <c r="CD4233" i="1"/>
  <c r="A4234" i="1"/>
  <c r="C4234" i="1"/>
  <c r="S4234" i="1"/>
  <c r="T4234" i="1"/>
  <c r="U4234" i="1"/>
  <c r="BE4234" i="1"/>
  <c r="CC4234" i="1"/>
  <c r="CD4234" i="1"/>
  <c r="A4235" i="1"/>
  <c r="C4235" i="1"/>
  <c r="S4235" i="1"/>
  <c r="T4235" i="1"/>
  <c r="U4235" i="1"/>
  <c r="BE4235" i="1"/>
  <c r="CC4235" i="1"/>
  <c r="CD4235" i="1"/>
  <c r="A4236" i="1"/>
  <c r="C4236" i="1"/>
  <c r="S4236" i="1"/>
  <c r="T4236" i="1"/>
  <c r="U4236" i="1"/>
  <c r="BE4236" i="1"/>
  <c r="CC4236" i="1"/>
  <c r="CD4236" i="1"/>
  <c r="A4237" i="1"/>
  <c r="C4237" i="1"/>
  <c r="S4237" i="1"/>
  <c r="T4237" i="1"/>
  <c r="U4237" i="1"/>
  <c r="BE4237" i="1"/>
  <c r="CC4237" i="1"/>
  <c r="CD4237" i="1"/>
  <c r="A4238" i="1"/>
  <c r="C4238" i="1"/>
  <c r="S4238" i="1"/>
  <c r="T4238" i="1"/>
  <c r="U4238" i="1"/>
  <c r="BE4238" i="1"/>
  <c r="CC4238" i="1"/>
  <c r="CD4238" i="1"/>
  <c r="A4239" i="1"/>
  <c r="C4239" i="1"/>
  <c r="S4239" i="1"/>
  <c r="T4239" i="1"/>
  <c r="U4239" i="1"/>
  <c r="BE4239" i="1"/>
  <c r="CC4239" i="1"/>
  <c r="CD4239" i="1"/>
  <c r="A4240" i="1"/>
  <c r="C4240" i="1"/>
  <c r="S4240" i="1"/>
  <c r="T4240" i="1"/>
  <c r="U4240" i="1"/>
  <c r="BE4240" i="1"/>
  <c r="CC4240" i="1"/>
  <c r="CD4240" i="1"/>
  <c r="A4241" i="1"/>
  <c r="C4241" i="1"/>
  <c r="S4241" i="1"/>
  <c r="T4241" i="1"/>
  <c r="U4241" i="1"/>
  <c r="BE4241" i="1"/>
  <c r="CC4241" i="1"/>
  <c r="CD4241" i="1"/>
  <c r="A4242" i="1"/>
  <c r="C4242" i="1"/>
  <c r="S4242" i="1"/>
  <c r="T4242" i="1"/>
  <c r="U4242" i="1"/>
  <c r="BE4242" i="1"/>
  <c r="CC4242" i="1"/>
  <c r="CD4242" i="1"/>
  <c r="A4243" i="1"/>
  <c r="C4243" i="1"/>
  <c r="S4243" i="1"/>
  <c r="T4243" i="1"/>
  <c r="U4243" i="1"/>
  <c r="BE4243" i="1"/>
  <c r="CC4243" i="1"/>
  <c r="CD4243" i="1"/>
  <c r="A4244" i="1"/>
  <c r="C4244" i="1"/>
  <c r="S4244" i="1"/>
  <c r="T4244" i="1"/>
  <c r="U4244" i="1"/>
  <c r="BE4244" i="1"/>
  <c r="CC4244" i="1"/>
  <c r="CD4244" i="1"/>
  <c r="A4245" i="1"/>
  <c r="C4245" i="1"/>
  <c r="S4245" i="1"/>
  <c r="T4245" i="1"/>
  <c r="U4245" i="1"/>
  <c r="BE4245" i="1"/>
  <c r="CC4245" i="1"/>
  <c r="CD4245" i="1"/>
  <c r="A4246" i="1"/>
  <c r="C4246" i="1"/>
  <c r="S4246" i="1"/>
  <c r="T4246" i="1"/>
  <c r="U4246" i="1"/>
  <c r="BE4246" i="1"/>
  <c r="CC4246" i="1"/>
  <c r="CD4246" i="1"/>
  <c r="A4247" i="1"/>
  <c r="C4247" i="1"/>
  <c r="S4247" i="1"/>
  <c r="T4247" i="1"/>
  <c r="U4247" i="1"/>
  <c r="BE4247" i="1"/>
  <c r="CC4247" i="1"/>
  <c r="CD4247" i="1"/>
  <c r="A4248" i="1"/>
  <c r="C4248" i="1"/>
  <c r="S4248" i="1"/>
  <c r="T4248" i="1"/>
  <c r="U4248" i="1"/>
  <c r="BE4248" i="1"/>
  <c r="CC4248" i="1"/>
  <c r="CD4248" i="1"/>
  <c r="A4249" i="1"/>
  <c r="C4249" i="1"/>
  <c r="S4249" i="1"/>
  <c r="T4249" i="1"/>
  <c r="U4249" i="1"/>
  <c r="BE4249" i="1"/>
  <c r="CC4249" i="1"/>
  <c r="CD4249" i="1"/>
  <c r="A4250" i="1"/>
  <c r="C4250" i="1"/>
  <c r="S4250" i="1"/>
  <c r="T4250" i="1"/>
  <c r="U4250" i="1"/>
  <c r="BE4250" i="1"/>
  <c r="CC4250" i="1"/>
  <c r="CD4250" i="1"/>
  <c r="A4251" i="1"/>
  <c r="C4251" i="1"/>
  <c r="S4251" i="1"/>
  <c r="T4251" i="1"/>
  <c r="U4251" i="1"/>
  <c r="BE4251" i="1"/>
  <c r="CC4251" i="1"/>
  <c r="CD4251" i="1"/>
  <c r="A4252" i="1"/>
  <c r="C4252" i="1"/>
  <c r="S4252" i="1"/>
  <c r="T4252" i="1"/>
  <c r="U4252" i="1"/>
  <c r="BE4252" i="1"/>
  <c r="CC4252" i="1"/>
  <c r="CD4252" i="1"/>
  <c r="A4253" i="1"/>
  <c r="C4253" i="1"/>
  <c r="S4253" i="1"/>
  <c r="T4253" i="1"/>
  <c r="U4253" i="1"/>
  <c r="BE4253" i="1"/>
  <c r="CC4253" i="1"/>
  <c r="CD4253" i="1"/>
  <c r="A4254" i="1"/>
  <c r="C4254" i="1"/>
  <c r="S4254" i="1"/>
  <c r="T4254" i="1"/>
  <c r="U4254" i="1"/>
  <c r="BE4254" i="1"/>
  <c r="CC4254" i="1"/>
  <c r="CD4254" i="1"/>
  <c r="A4255" i="1"/>
  <c r="C4255" i="1"/>
  <c r="S4255" i="1"/>
  <c r="T4255" i="1"/>
  <c r="U4255" i="1"/>
  <c r="BE4255" i="1"/>
  <c r="CC4255" i="1"/>
  <c r="CD4255" i="1"/>
  <c r="A4256" i="1"/>
  <c r="C4256" i="1"/>
  <c r="S4256" i="1"/>
  <c r="T4256" i="1"/>
  <c r="U4256" i="1"/>
  <c r="BE4256" i="1"/>
  <c r="CC4256" i="1"/>
  <c r="CD4256" i="1"/>
  <c r="A4257" i="1"/>
  <c r="C4257" i="1"/>
  <c r="S4257" i="1"/>
  <c r="T4257" i="1"/>
  <c r="U4257" i="1"/>
  <c r="BE4257" i="1"/>
  <c r="CC4257" i="1"/>
  <c r="CD4257" i="1"/>
  <c r="A4258" i="1"/>
  <c r="C4258" i="1"/>
  <c r="S4258" i="1"/>
  <c r="T4258" i="1"/>
  <c r="U4258" i="1"/>
  <c r="BE4258" i="1"/>
  <c r="CC4258" i="1"/>
  <c r="CD4258" i="1"/>
  <c r="A4259" i="1"/>
  <c r="C4259" i="1"/>
  <c r="S4259" i="1"/>
  <c r="T4259" i="1"/>
  <c r="U4259" i="1"/>
  <c r="BE4259" i="1"/>
  <c r="CC4259" i="1"/>
  <c r="CD4259" i="1"/>
  <c r="A4260" i="1"/>
  <c r="C4260" i="1"/>
  <c r="S4260" i="1"/>
  <c r="T4260" i="1"/>
  <c r="U4260" i="1"/>
  <c r="BE4260" i="1"/>
  <c r="CC4260" i="1"/>
  <c r="CD4260" i="1"/>
  <c r="A4261" i="1"/>
  <c r="C4261" i="1"/>
  <c r="S4261" i="1"/>
  <c r="T4261" i="1"/>
  <c r="U4261" i="1"/>
  <c r="BE4261" i="1"/>
  <c r="CC4261" i="1"/>
  <c r="CD4261" i="1"/>
  <c r="A4262" i="1"/>
  <c r="C4262" i="1"/>
  <c r="S4262" i="1"/>
  <c r="T4262" i="1"/>
  <c r="U4262" i="1"/>
  <c r="BE4262" i="1"/>
  <c r="CC4262" i="1"/>
  <c r="CD4262" i="1"/>
  <c r="A4263" i="1"/>
  <c r="C4263" i="1"/>
  <c r="S4263" i="1"/>
  <c r="T4263" i="1"/>
  <c r="U4263" i="1"/>
  <c r="BE4263" i="1"/>
  <c r="CC4263" i="1"/>
  <c r="CD4263" i="1"/>
  <c r="A4264" i="1"/>
  <c r="C4264" i="1"/>
  <c r="S4264" i="1"/>
  <c r="T4264" i="1"/>
  <c r="U4264" i="1"/>
  <c r="BE4264" i="1"/>
  <c r="CC4264" i="1"/>
  <c r="CD4264" i="1"/>
  <c r="A4265" i="1"/>
  <c r="C4265" i="1"/>
  <c r="S4265" i="1"/>
  <c r="T4265" i="1"/>
  <c r="U4265" i="1"/>
  <c r="BE4265" i="1"/>
  <c r="CC4265" i="1"/>
  <c r="CD4265" i="1"/>
  <c r="A4266" i="1"/>
  <c r="C4266" i="1"/>
  <c r="S4266" i="1"/>
  <c r="T4266" i="1"/>
  <c r="U4266" i="1"/>
  <c r="BE4266" i="1"/>
  <c r="CC4266" i="1"/>
  <c r="CD4266" i="1"/>
  <c r="A4267" i="1"/>
  <c r="C4267" i="1"/>
  <c r="S4267" i="1"/>
  <c r="T4267" i="1"/>
  <c r="U4267" i="1"/>
  <c r="BE4267" i="1"/>
  <c r="CC4267" i="1"/>
  <c r="CD4267" i="1"/>
  <c r="A4268" i="1"/>
  <c r="C4268" i="1"/>
  <c r="S4268" i="1"/>
  <c r="T4268" i="1"/>
  <c r="U4268" i="1"/>
  <c r="BE4268" i="1"/>
  <c r="CC4268" i="1"/>
  <c r="CD4268" i="1"/>
  <c r="A4269" i="1"/>
  <c r="C4269" i="1"/>
  <c r="S4269" i="1"/>
  <c r="T4269" i="1"/>
  <c r="U4269" i="1"/>
  <c r="BE4269" i="1"/>
  <c r="CC4269" i="1"/>
  <c r="CD4269" i="1"/>
  <c r="A4270" i="1"/>
  <c r="C4270" i="1"/>
  <c r="S4270" i="1"/>
  <c r="T4270" i="1"/>
  <c r="U4270" i="1"/>
  <c r="BE4270" i="1"/>
  <c r="CC4270" i="1"/>
  <c r="CD4270" i="1"/>
  <c r="A4271" i="1"/>
  <c r="C4271" i="1"/>
  <c r="S4271" i="1"/>
  <c r="T4271" i="1"/>
  <c r="U4271" i="1"/>
  <c r="BE4271" i="1"/>
  <c r="CC4271" i="1"/>
  <c r="CD4271" i="1"/>
  <c r="A4272" i="1"/>
  <c r="C4272" i="1"/>
  <c r="S4272" i="1"/>
  <c r="T4272" i="1"/>
  <c r="U4272" i="1"/>
  <c r="BE4272" i="1"/>
  <c r="CC4272" i="1"/>
  <c r="CD4272" i="1"/>
  <c r="A4273" i="1"/>
  <c r="C4273" i="1"/>
  <c r="S4273" i="1"/>
  <c r="T4273" i="1"/>
  <c r="U4273" i="1"/>
  <c r="BE4273" i="1"/>
  <c r="CC4273" i="1"/>
  <c r="CD4273" i="1"/>
  <c r="A4274" i="1"/>
  <c r="C4274" i="1"/>
  <c r="S4274" i="1"/>
  <c r="T4274" i="1"/>
  <c r="U4274" i="1"/>
  <c r="BE4274" i="1"/>
  <c r="CC4274" i="1"/>
  <c r="CD4274" i="1"/>
  <c r="A4275" i="1"/>
  <c r="C4275" i="1"/>
  <c r="S4275" i="1"/>
  <c r="T4275" i="1"/>
  <c r="U4275" i="1"/>
  <c r="BE4275" i="1"/>
  <c r="CC4275" i="1"/>
  <c r="CD4275" i="1"/>
  <c r="A4276" i="1"/>
  <c r="C4276" i="1"/>
  <c r="S4276" i="1"/>
  <c r="T4276" i="1"/>
  <c r="U4276" i="1"/>
  <c r="BE4276" i="1"/>
  <c r="CC4276" i="1"/>
  <c r="CD4276" i="1"/>
  <c r="A4277" i="1"/>
  <c r="C4277" i="1"/>
  <c r="S4277" i="1"/>
  <c r="T4277" i="1"/>
  <c r="U4277" i="1"/>
  <c r="BE4277" i="1"/>
  <c r="CC4277" i="1"/>
  <c r="CD4277" i="1"/>
  <c r="A4278" i="1"/>
  <c r="C4278" i="1"/>
  <c r="S4278" i="1"/>
  <c r="T4278" i="1"/>
  <c r="U4278" i="1"/>
  <c r="BE4278" i="1"/>
  <c r="CC4278" i="1"/>
  <c r="CD4278" i="1"/>
  <c r="A4279" i="1"/>
  <c r="C4279" i="1"/>
  <c r="S4279" i="1"/>
  <c r="T4279" i="1"/>
  <c r="U4279" i="1"/>
  <c r="BE4279" i="1"/>
  <c r="CC4279" i="1"/>
  <c r="CD4279" i="1"/>
  <c r="A4280" i="1"/>
  <c r="C4280" i="1"/>
  <c r="S4280" i="1"/>
  <c r="T4280" i="1"/>
  <c r="U4280" i="1"/>
  <c r="BE4280" i="1"/>
  <c r="CC4280" i="1"/>
  <c r="CD4280" i="1"/>
  <c r="A4281" i="1"/>
  <c r="C4281" i="1"/>
  <c r="S4281" i="1"/>
  <c r="T4281" i="1"/>
  <c r="U4281" i="1"/>
  <c r="BE4281" i="1"/>
  <c r="CC4281" i="1"/>
  <c r="CD4281" i="1"/>
  <c r="A4282" i="1"/>
  <c r="C4282" i="1"/>
  <c r="S4282" i="1"/>
  <c r="T4282" i="1"/>
  <c r="U4282" i="1"/>
  <c r="BE4282" i="1"/>
  <c r="CC4282" i="1"/>
  <c r="CD4282" i="1"/>
  <c r="A4283" i="1"/>
  <c r="C4283" i="1"/>
  <c r="S4283" i="1"/>
  <c r="T4283" i="1"/>
  <c r="U4283" i="1"/>
  <c r="BE4283" i="1"/>
  <c r="CC4283" i="1"/>
  <c r="CD4283" i="1"/>
  <c r="A4284" i="1"/>
  <c r="C4284" i="1"/>
  <c r="S4284" i="1"/>
  <c r="T4284" i="1"/>
  <c r="U4284" i="1"/>
  <c r="BE4284" i="1"/>
  <c r="CC4284" i="1"/>
  <c r="CD4284" i="1"/>
  <c r="A4285" i="1"/>
  <c r="C4285" i="1"/>
  <c r="S4285" i="1"/>
  <c r="T4285" i="1"/>
  <c r="U4285" i="1"/>
  <c r="BE4285" i="1"/>
  <c r="CC4285" i="1"/>
  <c r="CD4285" i="1"/>
  <c r="A4286" i="1"/>
  <c r="C4286" i="1"/>
  <c r="S4286" i="1"/>
  <c r="T4286" i="1"/>
  <c r="U4286" i="1"/>
  <c r="BE4286" i="1"/>
  <c r="CC4286" i="1"/>
  <c r="CD4286" i="1"/>
  <c r="A4287" i="1"/>
  <c r="C4287" i="1"/>
  <c r="S4287" i="1"/>
  <c r="T4287" i="1"/>
  <c r="U4287" i="1"/>
  <c r="BE4287" i="1"/>
  <c r="CC4287" i="1"/>
  <c r="CD4287" i="1"/>
  <c r="A4288" i="1"/>
  <c r="C4288" i="1"/>
  <c r="S4288" i="1"/>
  <c r="T4288" i="1"/>
  <c r="U4288" i="1"/>
  <c r="BE4288" i="1"/>
  <c r="CC4288" i="1"/>
  <c r="CD4288" i="1"/>
  <c r="A4289" i="1"/>
  <c r="C4289" i="1"/>
  <c r="S4289" i="1"/>
  <c r="T4289" i="1"/>
  <c r="U4289" i="1"/>
  <c r="BE4289" i="1"/>
  <c r="CC4289" i="1"/>
  <c r="CD4289" i="1"/>
  <c r="A4290" i="1"/>
  <c r="C4290" i="1"/>
  <c r="S4290" i="1"/>
  <c r="T4290" i="1"/>
  <c r="U4290" i="1"/>
  <c r="BE4290" i="1"/>
  <c r="CC4290" i="1"/>
  <c r="CD4290" i="1"/>
  <c r="A4291" i="1"/>
  <c r="C4291" i="1"/>
  <c r="S4291" i="1"/>
  <c r="T4291" i="1"/>
  <c r="U4291" i="1"/>
  <c r="BE4291" i="1"/>
  <c r="CC4291" i="1"/>
  <c r="CD4291" i="1"/>
  <c r="A4292" i="1"/>
  <c r="C4292" i="1"/>
  <c r="S4292" i="1"/>
  <c r="T4292" i="1"/>
  <c r="U4292" i="1"/>
  <c r="BE4292" i="1"/>
  <c r="CC4292" i="1"/>
  <c r="CD4292" i="1"/>
  <c r="A4293" i="1"/>
  <c r="C4293" i="1"/>
  <c r="S4293" i="1"/>
  <c r="T4293" i="1"/>
  <c r="U4293" i="1"/>
  <c r="BE4293" i="1"/>
  <c r="CC4293" i="1"/>
  <c r="CD4293" i="1"/>
  <c r="A4294" i="1"/>
  <c r="C4294" i="1"/>
  <c r="S4294" i="1"/>
  <c r="T4294" i="1"/>
  <c r="U4294" i="1"/>
  <c r="BE4294" i="1"/>
  <c r="CC4294" i="1"/>
  <c r="CD4294" i="1"/>
  <c r="A4295" i="1"/>
  <c r="C4295" i="1"/>
  <c r="S4295" i="1"/>
  <c r="T4295" i="1"/>
  <c r="U4295" i="1"/>
  <c r="BE4295" i="1"/>
  <c r="CC4295" i="1"/>
  <c r="CD4295" i="1"/>
  <c r="A4296" i="1"/>
  <c r="C4296" i="1"/>
  <c r="S4296" i="1"/>
  <c r="T4296" i="1"/>
  <c r="U4296" i="1"/>
  <c r="BE4296" i="1"/>
  <c r="CC4296" i="1"/>
  <c r="CD4296" i="1"/>
  <c r="A4297" i="1"/>
  <c r="C4297" i="1"/>
  <c r="S4297" i="1"/>
  <c r="T4297" i="1"/>
  <c r="U4297" i="1"/>
  <c r="BE4297" i="1"/>
  <c r="CC4297" i="1"/>
  <c r="CD4297" i="1"/>
  <c r="A4298" i="1"/>
  <c r="C4298" i="1"/>
  <c r="S4298" i="1"/>
  <c r="T4298" i="1"/>
  <c r="U4298" i="1"/>
  <c r="BE4298" i="1"/>
  <c r="CC4298" i="1"/>
  <c r="CD4298" i="1"/>
  <c r="A4299" i="1"/>
  <c r="C4299" i="1"/>
  <c r="S4299" i="1"/>
  <c r="T4299" i="1"/>
  <c r="U4299" i="1"/>
  <c r="BE4299" i="1"/>
  <c r="CC4299" i="1"/>
  <c r="CD4299" i="1"/>
  <c r="A4300" i="1"/>
  <c r="C4300" i="1"/>
  <c r="S4300" i="1"/>
  <c r="T4300" i="1"/>
  <c r="U4300" i="1"/>
  <c r="BE4300" i="1"/>
  <c r="CC4300" i="1"/>
  <c r="CD4300" i="1"/>
  <c r="A4301" i="1"/>
  <c r="C4301" i="1"/>
  <c r="S4301" i="1"/>
  <c r="T4301" i="1"/>
  <c r="U4301" i="1"/>
  <c r="BE4301" i="1"/>
  <c r="CC4301" i="1"/>
  <c r="CD4301" i="1"/>
  <c r="A4302" i="1"/>
  <c r="C4302" i="1"/>
  <c r="S4302" i="1"/>
  <c r="T4302" i="1"/>
  <c r="U4302" i="1"/>
  <c r="BE4302" i="1"/>
  <c r="CC4302" i="1"/>
  <c r="CD4302" i="1"/>
  <c r="A4303" i="1"/>
  <c r="C4303" i="1"/>
  <c r="S4303" i="1"/>
  <c r="T4303" i="1"/>
  <c r="U4303" i="1"/>
  <c r="BE4303" i="1"/>
  <c r="CC4303" i="1"/>
  <c r="CD4303" i="1"/>
  <c r="A4304" i="1"/>
  <c r="C4304" i="1"/>
  <c r="S4304" i="1"/>
  <c r="T4304" i="1"/>
  <c r="U4304" i="1"/>
  <c r="BE4304" i="1"/>
  <c r="CC4304" i="1"/>
  <c r="CD4304" i="1"/>
  <c r="A4305" i="1"/>
  <c r="C4305" i="1"/>
  <c r="S4305" i="1"/>
  <c r="T4305" i="1"/>
  <c r="U4305" i="1"/>
  <c r="BE4305" i="1"/>
  <c r="CC4305" i="1"/>
  <c r="CD4305" i="1"/>
  <c r="A4306" i="1"/>
  <c r="C4306" i="1"/>
  <c r="S4306" i="1"/>
  <c r="T4306" i="1"/>
  <c r="U4306" i="1"/>
  <c r="BE4306" i="1"/>
  <c r="CC4306" i="1"/>
  <c r="CD4306" i="1"/>
  <c r="A4307" i="1"/>
  <c r="C4307" i="1"/>
  <c r="S4307" i="1"/>
  <c r="T4307" i="1"/>
  <c r="U4307" i="1"/>
  <c r="BE4307" i="1"/>
  <c r="CC4307" i="1"/>
  <c r="CD4307" i="1"/>
  <c r="A4308" i="1"/>
  <c r="C4308" i="1"/>
  <c r="S4308" i="1"/>
  <c r="T4308" i="1"/>
  <c r="U4308" i="1"/>
  <c r="BE4308" i="1"/>
  <c r="CC4308" i="1"/>
  <c r="CD4308" i="1"/>
  <c r="A4309" i="1"/>
  <c r="C4309" i="1"/>
  <c r="S4309" i="1"/>
  <c r="T4309" i="1"/>
  <c r="U4309" i="1"/>
  <c r="BE4309" i="1"/>
  <c r="CC4309" i="1"/>
  <c r="CD4309" i="1"/>
  <c r="A4310" i="1"/>
  <c r="C4310" i="1"/>
  <c r="S4310" i="1"/>
  <c r="T4310" i="1"/>
  <c r="U4310" i="1"/>
  <c r="BE4310" i="1"/>
  <c r="CC4310" i="1"/>
  <c r="CD4310" i="1"/>
  <c r="A4311" i="1"/>
  <c r="C4311" i="1"/>
  <c r="S4311" i="1"/>
  <c r="T4311" i="1"/>
  <c r="U4311" i="1"/>
  <c r="BE4311" i="1"/>
  <c r="CC4311" i="1"/>
  <c r="CD4311" i="1"/>
  <c r="A4312" i="1"/>
  <c r="C4312" i="1"/>
  <c r="S4312" i="1"/>
  <c r="T4312" i="1"/>
  <c r="U4312" i="1"/>
  <c r="BE4312" i="1"/>
  <c r="CC4312" i="1"/>
  <c r="CD4312" i="1"/>
  <c r="A4313" i="1"/>
  <c r="C4313" i="1"/>
  <c r="S4313" i="1"/>
  <c r="T4313" i="1"/>
  <c r="U4313" i="1"/>
  <c r="BE4313" i="1"/>
  <c r="CC4313" i="1"/>
  <c r="CD4313" i="1"/>
  <c r="A4314" i="1"/>
  <c r="C4314" i="1"/>
  <c r="S4314" i="1"/>
  <c r="T4314" i="1"/>
  <c r="U4314" i="1"/>
  <c r="BE4314" i="1"/>
  <c r="CC4314" i="1"/>
  <c r="CD4314" i="1"/>
  <c r="A4315" i="1"/>
  <c r="C4315" i="1"/>
  <c r="S4315" i="1"/>
  <c r="T4315" i="1"/>
  <c r="U4315" i="1"/>
  <c r="BE4315" i="1"/>
  <c r="CC4315" i="1"/>
  <c r="CD4315" i="1"/>
  <c r="A4316" i="1"/>
  <c r="C4316" i="1"/>
  <c r="S4316" i="1"/>
  <c r="T4316" i="1"/>
  <c r="U4316" i="1"/>
  <c r="BE4316" i="1"/>
  <c r="CC4316" i="1"/>
  <c r="CD4316" i="1"/>
  <c r="A4317" i="1"/>
  <c r="C4317" i="1"/>
  <c r="S4317" i="1"/>
  <c r="T4317" i="1"/>
  <c r="U4317" i="1"/>
  <c r="BE4317" i="1"/>
  <c r="CC4317" i="1"/>
  <c r="CD4317" i="1"/>
  <c r="A4318" i="1"/>
  <c r="C4318" i="1"/>
  <c r="S4318" i="1"/>
  <c r="T4318" i="1"/>
  <c r="U4318" i="1"/>
  <c r="BE4318" i="1"/>
  <c r="CC4318" i="1"/>
  <c r="CD4318" i="1"/>
  <c r="A4319" i="1"/>
  <c r="C4319" i="1"/>
  <c r="S4319" i="1"/>
  <c r="T4319" i="1"/>
  <c r="U4319" i="1"/>
  <c r="BE4319" i="1"/>
  <c r="CC4319" i="1"/>
  <c r="CD4319" i="1"/>
  <c r="A4320" i="1"/>
  <c r="C4320" i="1"/>
  <c r="S4320" i="1"/>
  <c r="T4320" i="1"/>
  <c r="U4320" i="1"/>
  <c r="BE4320" i="1"/>
  <c r="CC4320" i="1"/>
  <c r="CD4320" i="1"/>
  <c r="A4321" i="1"/>
  <c r="C4321" i="1"/>
  <c r="S4321" i="1"/>
  <c r="T4321" i="1"/>
  <c r="U4321" i="1"/>
  <c r="BE4321" i="1"/>
  <c r="CC4321" i="1"/>
  <c r="CD4321" i="1"/>
  <c r="A4322" i="1"/>
  <c r="C4322" i="1"/>
  <c r="S4322" i="1"/>
  <c r="T4322" i="1"/>
  <c r="U4322" i="1"/>
  <c r="BE4322" i="1"/>
  <c r="CC4322" i="1"/>
  <c r="CD4322" i="1"/>
  <c r="A4323" i="1"/>
  <c r="C4323" i="1"/>
  <c r="S4323" i="1"/>
  <c r="T4323" i="1"/>
  <c r="U4323" i="1"/>
  <c r="BE4323" i="1"/>
  <c r="CC4323" i="1"/>
  <c r="CD4323" i="1"/>
  <c r="A4324" i="1"/>
  <c r="C4324" i="1"/>
  <c r="S4324" i="1"/>
  <c r="T4324" i="1"/>
  <c r="U4324" i="1"/>
  <c r="BE4324" i="1"/>
  <c r="CC4324" i="1"/>
  <c r="CD4324" i="1"/>
  <c r="A4325" i="1"/>
  <c r="C4325" i="1"/>
  <c r="S4325" i="1"/>
  <c r="T4325" i="1"/>
  <c r="U4325" i="1"/>
  <c r="BE4325" i="1"/>
  <c r="CC4325" i="1"/>
  <c r="CD4325" i="1"/>
  <c r="A4326" i="1"/>
  <c r="C4326" i="1"/>
  <c r="S4326" i="1"/>
  <c r="T4326" i="1"/>
  <c r="U4326" i="1"/>
  <c r="BE4326" i="1"/>
  <c r="CC4326" i="1"/>
  <c r="CD4326" i="1"/>
  <c r="A4327" i="1"/>
  <c r="C4327" i="1"/>
  <c r="S4327" i="1"/>
  <c r="T4327" i="1"/>
  <c r="U4327" i="1"/>
  <c r="BE4327" i="1"/>
  <c r="CC4327" i="1"/>
  <c r="CD4327" i="1"/>
  <c r="A4328" i="1"/>
  <c r="C4328" i="1"/>
  <c r="S4328" i="1"/>
  <c r="T4328" i="1"/>
  <c r="U4328" i="1"/>
  <c r="BE4328" i="1"/>
  <c r="CC4328" i="1"/>
  <c r="CD4328" i="1"/>
  <c r="A4329" i="1"/>
  <c r="C4329" i="1"/>
  <c r="S4329" i="1"/>
  <c r="T4329" i="1"/>
  <c r="U4329" i="1"/>
  <c r="BE4329" i="1"/>
  <c r="CC4329" i="1"/>
  <c r="CD4329" i="1"/>
  <c r="A4330" i="1"/>
  <c r="C4330" i="1"/>
  <c r="S4330" i="1"/>
  <c r="T4330" i="1"/>
  <c r="U4330" i="1"/>
  <c r="BE4330" i="1"/>
  <c r="CC4330" i="1"/>
  <c r="CD4330" i="1"/>
  <c r="A4331" i="1"/>
  <c r="C4331" i="1"/>
  <c r="S4331" i="1"/>
  <c r="T4331" i="1"/>
  <c r="U4331" i="1"/>
  <c r="BE4331" i="1"/>
  <c r="CC4331" i="1"/>
  <c r="CD4331" i="1"/>
  <c r="A4332" i="1"/>
  <c r="C4332" i="1"/>
  <c r="S4332" i="1"/>
  <c r="T4332" i="1"/>
  <c r="U4332" i="1"/>
  <c r="BE4332" i="1"/>
  <c r="CC4332" i="1"/>
  <c r="CD4332" i="1"/>
  <c r="A4333" i="1"/>
  <c r="C4333" i="1"/>
  <c r="S4333" i="1"/>
  <c r="T4333" i="1"/>
  <c r="U4333" i="1"/>
  <c r="BE4333" i="1"/>
  <c r="CC4333" i="1"/>
  <c r="CD4333" i="1"/>
  <c r="A4334" i="1"/>
  <c r="C4334" i="1"/>
  <c r="S4334" i="1"/>
  <c r="T4334" i="1"/>
  <c r="U4334" i="1"/>
  <c r="BE4334" i="1"/>
  <c r="CC4334" i="1"/>
  <c r="CD4334" i="1"/>
  <c r="A4335" i="1"/>
  <c r="C4335" i="1"/>
  <c r="S4335" i="1"/>
  <c r="T4335" i="1"/>
  <c r="U4335" i="1"/>
  <c r="BE4335" i="1"/>
  <c r="CC4335" i="1"/>
  <c r="CD4335" i="1"/>
  <c r="A4336" i="1"/>
  <c r="C4336" i="1"/>
  <c r="S4336" i="1"/>
  <c r="T4336" i="1"/>
  <c r="U4336" i="1"/>
  <c r="BE4336" i="1"/>
  <c r="CC4336" i="1"/>
  <c r="CD4336" i="1"/>
  <c r="A4337" i="1"/>
  <c r="C4337" i="1"/>
  <c r="S4337" i="1"/>
  <c r="T4337" i="1"/>
  <c r="U4337" i="1"/>
  <c r="BE4337" i="1"/>
  <c r="CC4337" i="1"/>
  <c r="CD4337" i="1"/>
  <c r="A4338" i="1"/>
  <c r="C4338" i="1"/>
  <c r="S4338" i="1"/>
  <c r="T4338" i="1"/>
  <c r="U4338" i="1"/>
  <c r="BE4338" i="1"/>
  <c r="CC4338" i="1"/>
  <c r="CD4338" i="1"/>
  <c r="A4339" i="1"/>
  <c r="C4339" i="1"/>
  <c r="S4339" i="1"/>
  <c r="T4339" i="1"/>
  <c r="U4339" i="1"/>
  <c r="BE4339" i="1"/>
  <c r="CC4339" i="1"/>
  <c r="CD4339" i="1"/>
  <c r="A4340" i="1"/>
  <c r="C4340" i="1"/>
  <c r="S4340" i="1"/>
  <c r="T4340" i="1"/>
  <c r="U4340" i="1"/>
  <c r="BE4340" i="1"/>
  <c r="CC4340" i="1"/>
  <c r="CD4340" i="1"/>
  <c r="A4341" i="1"/>
  <c r="C4341" i="1"/>
  <c r="S4341" i="1"/>
  <c r="T4341" i="1"/>
  <c r="U4341" i="1"/>
  <c r="BE4341" i="1"/>
  <c r="CC4341" i="1"/>
  <c r="CD4341" i="1"/>
  <c r="A4342" i="1"/>
  <c r="C4342" i="1"/>
  <c r="S4342" i="1"/>
  <c r="T4342" i="1"/>
  <c r="U4342" i="1"/>
  <c r="BE4342" i="1"/>
  <c r="CC4342" i="1"/>
  <c r="CD4342" i="1"/>
  <c r="A4343" i="1"/>
  <c r="C4343" i="1"/>
  <c r="S4343" i="1"/>
  <c r="T4343" i="1"/>
  <c r="U4343" i="1"/>
  <c r="BE4343" i="1"/>
  <c r="CC4343" i="1"/>
  <c r="CD4343" i="1"/>
  <c r="A4344" i="1"/>
  <c r="C4344" i="1"/>
  <c r="S4344" i="1"/>
  <c r="T4344" i="1"/>
  <c r="U4344" i="1"/>
  <c r="BE4344" i="1"/>
  <c r="CC4344" i="1"/>
  <c r="CD4344" i="1"/>
  <c r="A4345" i="1"/>
  <c r="C4345" i="1"/>
  <c r="S4345" i="1"/>
  <c r="T4345" i="1"/>
  <c r="U4345" i="1"/>
  <c r="BE4345" i="1"/>
  <c r="CC4345" i="1"/>
  <c r="CD4345" i="1"/>
  <c r="A4346" i="1"/>
  <c r="C4346" i="1"/>
  <c r="S4346" i="1"/>
  <c r="T4346" i="1"/>
  <c r="U4346" i="1"/>
  <c r="BE4346" i="1"/>
  <c r="CC4346" i="1"/>
  <c r="CD4346" i="1"/>
  <c r="A4347" i="1"/>
  <c r="C4347" i="1"/>
  <c r="S4347" i="1"/>
  <c r="T4347" i="1"/>
  <c r="U4347" i="1"/>
  <c r="BE4347" i="1"/>
  <c r="CC4347" i="1"/>
  <c r="CD4347" i="1"/>
  <c r="A4348" i="1"/>
  <c r="C4348" i="1"/>
  <c r="S4348" i="1"/>
  <c r="T4348" i="1"/>
  <c r="U4348" i="1"/>
  <c r="BE4348" i="1"/>
  <c r="CC4348" i="1"/>
  <c r="CD4348" i="1"/>
  <c r="A4349" i="1"/>
  <c r="C4349" i="1"/>
  <c r="S4349" i="1"/>
  <c r="T4349" i="1"/>
  <c r="U4349" i="1"/>
  <c r="BE4349" i="1"/>
  <c r="CC4349" i="1"/>
  <c r="CD4349" i="1"/>
  <c r="A4350" i="1"/>
  <c r="C4350" i="1"/>
  <c r="S4350" i="1"/>
  <c r="T4350" i="1"/>
  <c r="U4350" i="1"/>
  <c r="BE4350" i="1"/>
  <c r="CC4350" i="1"/>
  <c r="CD4350" i="1"/>
  <c r="A4351" i="1"/>
  <c r="C4351" i="1"/>
  <c r="S4351" i="1"/>
  <c r="T4351" i="1"/>
  <c r="U4351" i="1"/>
  <c r="BE4351" i="1"/>
  <c r="CC4351" i="1"/>
  <c r="CD4351" i="1"/>
  <c r="A4352" i="1"/>
  <c r="C4352" i="1"/>
  <c r="S4352" i="1"/>
  <c r="T4352" i="1"/>
  <c r="U4352" i="1"/>
  <c r="BE4352" i="1"/>
  <c r="CC4352" i="1"/>
  <c r="CD4352" i="1"/>
  <c r="A4353" i="1"/>
  <c r="C4353" i="1"/>
  <c r="S4353" i="1"/>
  <c r="T4353" i="1"/>
  <c r="U4353" i="1"/>
  <c r="BE4353" i="1"/>
  <c r="CC4353" i="1"/>
  <c r="CD4353" i="1"/>
  <c r="A4354" i="1"/>
  <c r="C4354" i="1"/>
  <c r="S4354" i="1"/>
  <c r="T4354" i="1"/>
  <c r="U4354" i="1"/>
  <c r="BE4354" i="1"/>
  <c r="CC4354" i="1"/>
  <c r="CD4354" i="1"/>
  <c r="A4355" i="1"/>
  <c r="C4355" i="1"/>
  <c r="S4355" i="1"/>
  <c r="T4355" i="1"/>
  <c r="U4355" i="1"/>
  <c r="BE4355" i="1"/>
  <c r="CC4355" i="1"/>
  <c r="CD4355" i="1"/>
  <c r="A4356" i="1"/>
  <c r="C4356" i="1"/>
  <c r="S4356" i="1"/>
  <c r="T4356" i="1"/>
  <c r="U4356" i="1"/>
  <c r="BE4356" i="1"/>
  <c r="CC4356" i="1"/>
  <c r="CD4356" i="1"/>
  <c r="A4357" i="1"/>
  <c r="C4357" i="1"/>
  <c r="S4357" i="1"/>
  <c r="T4357" i="1"/>
  <c r="U4357" i="1"/>
  <c r="BE4357" i="1"/>
  <c r="CC4357" i="1"/>
  <c r="CD4357" i="1"/>
  <c r="A4358" i="1"/>
  <c r="C4358" i="1"/>
  <c r="S4358" i="1"/>
  <c r="T4358" i="1"/>
  <c r="U4358" i="1"/>
  <c r="BE4358" i="1"/>
  <c r="CC4358" i="1"/>
  <c r="CD4358" i="1"/>
  <c r="A4359" i="1"/>
  <c r="C4359" i="1"/>
  <c r="S4359" i="1"/>
  <c r="T4359" i="1"/>
  <c r="U4359" i="1"/>
  <c r="BE4359" i="1"/>
  <c r="CC4359" i="1"/>
  <c r="CD4359" i="1"/>
  <c r="A4360" i="1"/>
  <c r="C4360" i="1"/>
  <c r="S4360" i="1"/>
  <c r="T4360" i="1"/>
  <c r="U4360" i="1"/>
  <c r="BE4360" i="1"/>
  <c r="CC4360" i="1"/>
  <c r="CD4360" i="1"/>
  <c r="A4361" i="1"/>
  <c r="C4361" i="1"/>
  <c r="S4361" i="1"/>
  <c r="T4361" i="1"/>
  <c r="U4361" i="1"/>
  <c r="BE4361" i="1"/>
  <c r="CC4361" i="1"/>
  <c r="CD4361" i="1"/>
  <c r="A4362" i="1"/>
  <c r="C4362" i="1"/>
  <c r="S4362" i="1"/>
  <c r="T4362" i="1"/>
  <c r="U4362" i="1"/>
  <c r="BE4362" i="1"/>
  <c r="CC4362" i="1"/>
  <c r="CD4362" i="1"/>
  <c r="A4363" i="1"/>
  <c r="C4363" i="1"/>
  <c r="S4363" i="1"/>
  <c r="T4363" i="1"/>
  <c r="U4363" i="1"/>
  <c r="BE4363" i="1"/>
  <c r="CC4363" i="1"/>
  <c r="CD4363" i="1"/>
  <c r="A4364" i="1"/>
  <c r="C4364" i="1"/>
  <c r="S4364" i="1"/>
  <c r="T4364" i="1"/>
  <c r="U4364" i="1"/>
  <c r="BE4364" i="1"/>
  <c r="CC4364" i="1"/>
  <c r="CD4364" i="1"/>
  <c r="A4365" i="1"/>
  <c r="C4365" i="1"/>
  <c r="S4365" i="1"/>
  <c r="T4365" i="1"/>
  <c r="U4365" i="1"/>
  <c r="BE4365" i="1"/>
  <c r="CC4365" i="1"/>
  <c r="CD4365" i="1"/>
  <c r="A4366" i="1"/>
  <c r="C4366" i="1"/>
  <c r="S4366" i="1"/>
  <c r="T4366" i="1"/>
  <c r="U4366" i="1"/>
  <c r="BE4366" i="1"/>
  <c r="CC4366" i="1"/>
  <c r="CD4366" i="1"/>
  <c r="A4367" i="1"/>
  <c r="C4367" i="1"/>
  <c r="S4367" i="1"/>
  <c r="T4367" i="1"/>
  <c r="U4367" i="1"/>
  <c r="BE4367" i="1"/>
  <c r="CC4367" i="1"/>
  <c r="CD4367" i="1"/>
  <c r="A4368" i="1"/>
  <c r="C4368" i="1"/>
  <c r="S4368" i="1"/>
  <c r="T4368" i="1"/>
  <c r="U4368" i="1"/>
  <c r="BE4368" i="1"/>
  <c r="CC4368" i="1"/>
  <c r="CD4368" i="1"/>
  <c r="A4369" i="1"/>
  <c r="C4369" i="1"/>
  <c r="S4369" i="1"/>
  <c r="T4369" i="1"/>
  <c r="U4369" i="1"/>
  <c r="BE4369" i="1"/>
  <c r="CC4369" i="1"/>
  <c r="CD4369" i="1"/>
  <c r="A4370" i="1"/>
  <c r="C4370" i="1"/>
  <c r="S4370" i="1"/>
  <c r="T4370" i="1"/>
  <c r="U4370" i="1"/>
  <c r="BE4370" i="1"/>
  <c r="CC4370" i="1"/>
  <c r="CD4370" i="1"/>
  <c r="A4371" i="1"/>
  <c r="C4371" i="1"/>
  <c r="S4371" i="1"/>
  <c r="T4371" i="1"/>
  <c r="U4371" i="1"/>
  <c r="BE4371" i="1"/>
  <c r="CC4371" i="1"/>
  <c r="CD4371" i="1"/>
  <c r="A4372" i="1"/>
  <c r="C4372" i="1"/>
  <c r="S4372" i="1"/>
  <c r="T4372" i="1"/>
  <c r="U4372" i="1"/>
  <c r="BE4372" i="1"/>
  <c r="CC4372" i="1"/>
  <c r="CD4372" i="1"/>
  <c r="A4373" i="1"/>
  <c r="C4373" i="1"/>
  <c r="S4373" i="1"/>
  <c r="T4373" i="1"/>
  <c r="U4373" i="1"/>
  <c r="BE4373" i="1"/>
  <c r="CC4373" i="1"/>
  <c r="CD4373" i="1"/>
  <c r="A4374" i="1"/>
  <c r="C4374" i="1"/>
  <c r="S4374" i="1"/>
  <c r="T4374" i="1"/>
  <c r="U4374" i="1"/>
  <c r="BE4374" i="1"/>
  <c r="CC4374" i="1"/>
  <c r="CD4374" i="1"/>
  <c r="A4375" i="1"/>
  <c r="C4375" i="1"/>
  <c r="S4375" i="1"/>
  <c r="T4375" i="1"/>
  <c r="U4375" i="1"/>
  <c r="BE4375" i="1"/>
  <c r="CC4375" i="1"/>
  <c r="CD4375" i="1"/>
  <c r="A4376" i="1"/>
  <c r="C4376" i="1"/>
  <c r="S4376" i="1"/>
  <c r="T4376" i="1"/>
  <c r="U4376" i="1"/>
  <c r="BE4376" i="1"/>
  <c r="CC4376" i="1"/>
  <c r="CD4376" i="1"/>
  <c r="A4377" i="1"/>
  <c r="C4377" i="1"/>
  <c r="S4377" i="1"/>
  <c r="T4377" i="1"/>
  <c r="U4377" i="1"/>
  <c r="BE4377" i="1"/>
  <c r="CC4377" i="1"/>
  <c r="CD4377" i="1"/>
  <c r="A4378" i="1"/>
  <c r="C4378" i="1"/>
  <c r="S4378" i="1"/>
  <c r="T4378" i="1"/>
  <c r="U4378" i="1"/>
  <c r="BE4378" i="1"/>
  <c r="CC4378" i="1"/>
  <c r="CD4378" i="1"/>
  <c r="A4379" i="1"/>
  <c r="C4379" i="1"/>
  <c r="S4379" i="1"/>
  <c r="T4379" i="1"/>
  <c r="U4379" i="1"/>
  <c r="BE4379" i="1"/>
  <c r="CC4379" i="1"/>
  <c r="CD4379" i="1"/>
  <c r="A4380" i="1"/>
  <c r="C4380" i="1"/>
  <c r="S4380" i="1"/>
  <c r="T4380" i="1"/>
  <c r="U4380" i="1"/>
  <c r="BE4380" i="1"/>
  <c r="CC4380" i="1"/>
  <c r="CD4380" i="1"/>
  <c r="A4381" i="1"/>
  <c r="C4381" i="1"/>
  <c r="S4381" i="1"/>
  <c r="T4381" i="1"/>
  <c r="U4381" i="1"/>
  <c r="BE4381" i="1"/>
  <c r="CC4381" i="1"/>
  <c r="CD4381" i="1"/>
  <c r="A4382" i="1"/>
  <c r="C4382" i="1"/>
  <c r="S4382" i="1"/>
  <c r="T4382" i="1"/>
  <c r="U4382" i="1"/>
  <c r="BE4382" i="1"/>
  <c r="CC4382" i="1"/>
  <c r="CD4382" i="1"/>
  <c r="A4383" i="1"/>
  <c r="C4383" i="1"/>
  <c r="S4383" i="1"/>
  <c r="T4383" i="1"/>
  <c r="U4383" i="1"/>
  <c r="BE4383" i="1"/>
  <c r="CC4383" i="1"/>
  <c r="CD4383" i="1"/>
  <c r="A4384" i="1"/>
  <c r="C4384" i="1"/>
  <c r="S4384" i="1"/>
  <c r="T4384" i="1"/>
  <c r="U4384" i="1"/>
  <c r="BE4384" i="1"/>
  <c r="CC4384" i="1"/>
  <c r="CD4384" i="1"/>
  <c r="A4385" i="1"/>
  <c r="C4385" i="1"/>
  <c r="S4385" i="1"/>
  <c r="T4385" i="1"/>
  <c r="U4385" i="1"/>
  <c r="BE4385" i="1"/>
  <c r="CC4385" i="1"/>
  <c r="CD4385" i="1"/>
  <c r="A4386" i="1"/>
  <c r="C4386" i="1"/>
  <c r="S4386" i="1"/>
  <c r="T4386" i="1"/>
  <c r="U4386" i="1"/>
  <c r="BE4386" i="1"/>
  <c r="CC4386" i="1"/>
  <c r="CD4386" i="1"/>
  <c r="A4387" i="1"/>
  <c r="C4387" i="1"/>
  <c r="S4387" i="1"/>
  <c r="T4387" i="1"/>
  <c r="U4387" i="1"/>
  <c r="BE4387" i="1"/>
  <c r="CC4387" i="1"/>
  <c r="CD4387" i="1"/>
  <c r="A4388" i="1"/>
  <c r="C4388" i="1"/>
  <c r="S4388" i="1"/>
  <c r="T4388" i="1"/>
  <c r="U4388" i="1"/>
  <c r="BE4388" i="1"/>
  <c r="CC4388" i="1"/>
  <c r="CD4388" i="1"/>
  <c r="A4389" i="1"/>
  <c r="C4389" i="1"/>
  <c r="S4389" i="1"/>
  <c r="T4389" i="1"/>
  <c r="U4389" i="1"/>
  <c r="BE4389" i="1"/>
  <c r="CC4389" i="1"/>
  <c r="CD4389" i="1"/>
  <c r="A4390" i="1"/>
  <c r="C4390" i="1"/>
  <c r="S4390" i="1"/>
  <c r="T4390" i="1"/>
  <c r="U4390" i="1"/>
  <c r="BE4390" i="1"/>
  <c r="CC4390" i="1"/>
  <c r="CD4390" i="1"/>
  <c r="A4391" i="1"/>
  <c r="C4391" i="1"/>
  <c r="S4391" i="1"/>
  <c r="T4391" i="1"/>
  <c r="U4391" i="1"/>
  <c r="BE4391" i="1"/>
  <c r="CC4391" i="1"/>
  <c r="CD4391" i="1"/>
  <c r="A4392" i="1"/>
  <c r="C4392" i="1"/>
  <c r="S4392" i="1"/>
  <c r="T4392" i="1"/>
  <c r="U4392" i="1"/>
  <c r="BE4392" i="1"/>
  <c r="CC4392" i="1"/>
  <c r="CD4392" i="1"/>
  <c r="A4393" i="1"/>
  <c r="C4393" i="1"/>
  <c r="S4393" i="1"/>
  <c r="T4393" i="1"/>
  <c r="U4393" i="1"/>
  <c r="BE4393" i="1"/>
  <c r="CC4393" i="1"/>
  <c r="CD4393" i="1"/>
  <c r="A4394" i="1"/>
  <c r="C4394" i="1"/>
  <c r="S4394" i="1"/>
  <c r="T4394" i="1"/>
  <c r="U4394" i="1"/>
  <c r="BE4394" i="1"/>
  <c r="CC4394" i="1"/>
  <c r="CD4394" i="1"/>
  <c r="A4395" i="1"/>
  <c r="C4395" i="1"/>
  <c r="S4395" i="1"/>
  <c r="T4395" i="1"/>
  <c r="U4395" i="1"/>
  <c r="BE4395" i="1"/>
  <c r="CC4395" i="1"/>
  <c r="CD4395" i="1"/>
  <c r="A4396" i="1"/>
  <c r="C4396" i="1"/>
  <c r="S4396" i="1"/>
  <c r="T4396" i="1"/>
  <c r="U4396" i="1"/>
  <c r="BE4396" i="1"/>
  <c r="CC4396" i="1"/>
  <c r="CD4396" i="1"/>
  <c r="A4397" i="1"/>
  <c r="C4397" i="1"/>
  <c r="S4397" i="1"/>
  <c r="T4397" i="1"/>
  <c r="U4397" i="1"/>
  <c r="BE4397" i="1"/>
  <c r="CC4397" i="1"/>
  <c r="CD4397" i="1"/>
  <c r="A4398" i="1"/>
  <c r="C4398" i="1"/>
  <c r="S4398" i="1"/>
  <c r="T4398" i="1"/>
  <c r="U4398" i="1"/>
  <c r="BE4398" i="1"/>
  <c r="CC4398" i="1"/>
  <c r="CD4398" i="1"/>
  <c r="A4399" i="1"/>
  <c r="C4399" i="1"/>
  <c r="S4399" i="1"/>
  <c r="T4399" i="1"/>
  <c r="U4399" i="1"/>
  <c r="BE4399" i="1"/>
  <c r="CC4399" i="1"/>
  <c r="CD4399" i="1"/>
  <c r="A4400" i="1"/>
  <c r="C4400" i="1"/>
  <c r="S4400" i="1"/>
  <c r="T4400" i="1"/>
  <c r="U4400" i="1"/>
  <c r="BE4400" i="1"/>
  <c r="CC4400" i="1"/>
  <c r="CD4400" i="1"/>
  <c r="A4401" i="1"/>
  <c r="C4401" i="1"/>
  <c r="S4401" i="1"/>
  <c r="T4401" i="1"/>
  <c r="U4401" i="1"/>
  <c r="BE4401" i="1"/>
  <c r="CC4401" i="1"/>
  <c r="CD4401" i="1"/>
  <c r="A4402" i="1"/>
  <c r="C4402" i="1"/>
  <c r="S4402" i="1"/>
  <c r="T4402" i="1"/>
  <c r="U4402" i="1"/>
  <c r="BE4402" i="1"/>
  <c r="CC4402" i="1"/>
  <c r="CD4402" i="1"/>
  <c r="A4403" i="1"/>
  <c r="C4403" i="1"/>
  <c r="S4403" i="1"/>
  <c r="T4403" i="1"/>
  <c r="U4403" i="1"/>
  <c r="BE4403" i="1"/>
  <c r="CC4403" i="1"/>
  <c r="CD4403" i="1"/>
  <c r="A4404" i="1"/>
  <c r="C4404" i="1"/>
  <c r="S4404" i="1"/>
  <c r="T4404" i="1"/>
  <c r="U4404" i="1"/>
  <c r="BE4404" i="1"/>
  <c r="CC4404" i="1"/>
  <c r="CD4404" i="1"/>
  <c r="A4405" i="1"/>
  <c r="C4405" i="1"/>
  <c r="S4405" i="1"/>
  <c r="T4405" i="1"/>
  <c r="U4405" i="1"/>
  <c r="BE4405" i="1"/>
  <c r="CC4405" i="1"/>
  <c r="CD4405" i="1"/>
  <c r="A4406" i="1"/>
  <c r="C4406" i="1"/>
  <c r="S4406" i="1"/>
  <c r="T4406" i="1"/>
  <c r="U4406" i="1"/>
  <c r="BE4406" i="1"/>
  <c r="CC4406" i="1"/>
  <c r="CD4406" i="1"/>
  <c r="A4407" i="1"/>
  <c r="C4407" i="1"/>
  <c r="S4407" i="1"/>
  <c r="T4407" i="1"/>
  <c r="U4407" i="1"/>
  <c r="BE4407" i="1"/>
  <c r="CC4407" i="1"/>
  <c r="CD4407" i="1"/>
  <c r="A4408" i="1"/>
  <c r="C4408" i="1"/>
  <c r="S4408" i="1"/>
  <c r="T4408" i="1"/>
  <c r="U4408" i="1"/>
  <c r="BE4408" i="1"/>
  <c r="CC4408" i="1"/>
  <c r="CD4408" i="1"/>
  <c r="A4409" i="1"/>
  <c r="C4409" i="1"/>
  <c r="S4409" i="1"/>
  <c r="T4409" i="1"/>
  <c r="U4409" i="1"/>
  <c r="BE4409" i="1"/>
  <c r="CC4409" i="1"/>
  <c r="CD4409" i="1"/>
  <c r="A4410" i="1"/>
  <c r="C4410" i="1"/>
  <c r="S4410" i="1"/>
  <c r="T4410" i="1"/>
  <c r="U4410" i="1"/>
  <c r="BE4410" i="1"/>
  <c r="CC4410" i="1"/>
  <c r="CD4410" i="1"/>
  <c r="A4411" i="1"/>
  <c r="C4411" i="1"/>
  <c r="S4411" i="1"/>
  <c r="T4411" i="1"/>
  <c r="U4411" i="1"/>
  <c r="BE4411" i="1"/>
  <c r="CC4411" i="1"/>
  <c r="CD4411" i="1"/>
  <c r="A4412" i="1"/>
  <c r="C4412" i="1"/>
  <c r="S4412" i="1"/>
  <c r="T4412" i="1"/>
  <c r="U4412" i="1"/>
  <c r="BE4412" i="1"/>
  <c r="CC4412" i="1"/>
  <c r="CD4412" i="1"/>
  <c r="A4413" i="1"/>
  <c r="C4413" i="1"/>
  <c r="S4413" i="1"/>
  <c r="T4413" i="1"/>
  <c r="U4413" i="1"/>
  <c r="BE4413" i="1"/>
  <c r="CC4413" i="1"/>
  <c r="CD4413" i="1"/>
  <c r="A4414" i="1"/>
  <c r="C4414" i="1"/>
  <c r="S4414" i="1"/>
  <c r="T4414" i="1"/>
  <c r="U4414" i="1"/>
  <c r="BE4414" i="1"/>
  <c r="CC4414" i="1"/>
  <c r="CD4414" i="1"/>
  <c r="A4415" i="1"/>
  <c r="C4415" i="1"/>
  <c r="S4415" i="1"/>
  <c r="T4415" i="1"/>
  <c r="U4415" i="1"/>
  <c r="BE4415" i="1"/>
  <c r="CC4415" i="1"/>
  <c r="CD4415" i="1"/>
  <c r="A4416" i="1"/>
  <c r="C4416" i="1"/>
  <c r="S4416" i="1"/>
  <c r="T4416" i="1"/>
  <c r="U4416" i="1"/>
  <c r="BE4416" i="1"/>
  <c r="CC4416" i="1"/>
  <c r="CD4416" i="1"/>
  <c r="A4417" i="1"/>
  <c r="C4417" i="1"/>
  <c r="S4417" i="1"/>
  <c r="T4417" i="1"/>
  <c r="U4417" i="1"/>
  <c r="BE4417" i="1"/>
  <c r="CC4417" i="1"/>
  <c r="CD4417" i="1"/>
  <c r="A4418" i="1"/>
  <c r="C4418" i="1"/>
  <c r="S4418" i="1"/>
  <c r="T4418" i="1"/>
  <c r="U4418" i="1"/>
  <c r="BE4418" i="1"/>
  <c r="CC4418" i="1"/>
  <c r="CD4418" i="1"/>
  <c r="A4419" i="1"/>
  <c r="C4419" i="1"/>
  <c r="S4419" i="1"/>
  <c r="T4419" i="1"/>
  <c r="U4419" i="1"/>
  <c r="BE4419" i="1"/>
  <c r="CC4419" i="1"/>
  <c r="CD4419" i="1"/>
  <c r="A4420" i="1"/>
  <c r="C4420" i="1"/>
  <c r="S4420" i="1"/>
  <c r="T4420" i="1"/>
  <c r="U4420" i="1"/>
  <c r="BE4420" i="1"/>
  <c r="CC4420" i="1"/>
  <c r="CD4420" i="1"/>
  <c r="A4421" i="1"/>
  <c r="C4421" i="1"/>
  <c r="S4421" i="1"/>
  <c r="T4421" i="1"/>
  <c r="U4421" i="1"/>
  <c r="BE4421" i="1"/>
  <c r="CC4421" i="1"/>
  <c r="CD4421" i="1"/>
  <c r="A4422" i="1"/>
  <c r="C4422" i="1"/>
  <c r="S4422" i="1"/>
  <c r="T4422" i="1"/>
  <c r="U4422" i="1"/>
  <c r="BE4422" i="1"/>
  <c r="CC4422" i="1"/>
  <c r="CD4422" i="1"/>
  <c r="A4423" i="1"/>
  <c r="C4423" i="1"/>
  <c r="S4423" i="1"/>
  <c r="T4423" i="1"/>
  <c r="U4423" i="1"/>
  <c r="BE4423" i="1"/>
  <c r="CC4423" i="1"/>
  <c r="CD4423" i="1"/>
  <c r="A4424" i="1"/>
  <c r="C4424" i="1"/>
  <c r="S4424" i="1"/>
  <c r="T4424" i="1"/>
  <c r="U4424" i="1"/>
  <c r="BE4424" i="1"/>
  <c r="CC4424" i="1"/>
  <c r="CD4424" i="1"/>
  <c r="A4425" i="1"/>
  <c r="C4425" i="1"/>
  <c r="S4425" i="1"/>
  <c r="T4425" i="1"/>
  <c r="U4425" i="1"/>
  <c r="BE4425" i="1"/>
  <c r="CC4425" i="1"/>
  <c r="CD4425" i="1"/>
  <c r="A4426" i="1"/>
  <c r="C4426" i="1"/>
  <c r="S4426" i="1"/>
  <c r="T4426" i="1"/>
  <c r="U4426" i="1"/>
  <c r="BE4426" i="1"/>
  <c r="CC4426" i="1"/>
  <c r="CD4426" i="1"/>
  <c r="A4427" i="1"/>
  <c r="C4427" i="1"/>
  <c r="S4427" i="1"/>
  <c r="T4427" i="1"/>
  <c r="U4427" i="1"/>
  <c r="BE4427" i="1"/>
  <c r="CC4427" i="1"/>
  <c r="CD4427" i="1"/>
  <c r="A4428" i="1"/>
  <c r="C4428" i="1"/>
  <c r="S4428" i="1"/>
  <c r="T4428" i="1"/>
  <c r="U4428" i="1"/>
  <c r="BE4428" i="1"/>
  <c r="CC4428" i="1"/>
  <c r="CD4428" i="1"/>
  <c r="A4429" i="1"/>
  <c r="C4429" i="1"/>
  <c r="S4429" i="1"/>
  <c r="T4429" i="1"/>
  <c r="U4429" i="1"/>
  <c r="BE4429" i="1"/>
  <c r="CC4429" i="1"/>
  <c r="CD4429" i="1"/>
  <c r="A4430" i="1"/>
  <c r="C4430" i="1"/>
  <c r="S4430" i="1"/>
  <c r="T4430" i="1"/>
  <c r="U4430" i="1"/>
  <c r="BE4430" i="1"/>
  <c r="CC4430" i="1"/>
  <c r="CD4430" i="1"/>
  <c r="A4431" i="1"/>
  <c r="C4431" i="1"/>
  <c r="S4431" i="1"/>
  <c r="T4431" i="1"/>
  <c r="U4431" i="1"/>
  <c r="BE4431" i="1"/>
  <c r="CC4431" i="1"/>
  <c r="CD4431" i="1"/>
  <c r="A4432" i="1"/>
  <c r="C4432" i="1"/>
  <c r="S4432" i="1"/>
  <c r="T4432" i="1"/>
  <c r="U4432" i="1"/>
  <c r="BE4432" i="1"/>
  <c r="CC4432" i="1"/>
  <c r="CD4432" i="1"/>
  <c r="A4433" i="1"/>
  <c r="C4433" i="1"/>
  <c r="S4433" i="1"/>
  <c r="T4433" i="1"/>
  <c r="U4433" i="1"/>
  <c r="BE4433" i="1"/>
  <c r="CC4433" i="1"/>
  <c r="CD4433" i="1"/>
  <c r="A4434" i="1"/>
  <c r="C4434" i="1"/>
  <c r="S4434" i="1"/>
  <c r="T4434" i="1"/>
  <c r="U4434" i="1"/>
  <c r="BE4434" i="1"/>
  <c r="CC4434" i="1"/>
  <c r="CD4434" i="1"/>
  <c r="A4435" i="1"/>
  <c r="C4435" i="1"/>
  <c r="S4435" i="1"/>
  <c r="T4435" i="1"/>
  <c r="U4435" i="1"/>
  <c r="BE4435" i="1"/>
  <c r="CC4435" i="1"/>
  <c r="CD4435" i="1"/>
  <c r="A4436" i="1"/>
  <c r="C4436" i="1"/>
  <c r="S4436" i="1"/>
  <c r="T4436" i="1"/>
  <c r="U4436" i="1"/>
  <c r="BE4436" i="1"/>
  <c r="CC4436" i="1"/>
  <c r="CD4436" i="1"/>
  <c r="A4437" i="1"/>
  <c r="C4437" i="1"/>
  <c r="S4437" i="1"/>
  <c r="T4437" i="1"/>
  <c r="U4437" i="1"/>
  <c r="BE4437" i="1"/>
  <c r="CC4437" i="1"/>
  <c r="CD4437" i="1"/>
  <c r="A4438" i="1"/>
  <c r="C4438" i="1"/>
  <c r="S4438" i="1"/>
  <c r="T4438" i="1"/>
  <c r="U4438" i="1"/>
  <c r="BE4438" i="1"/>
  <c r="CC4438" i="1"/>
  <c r="CD4438" i="1"/>
  <c r="A4439" i="1"/>
  <c r="C4439" i="1"/>
  <c r="S4439" i="1"/>
  <c r="T4439" i="1"/>
  <c r="U4439" i="1"/>
  <c r="BE4439" i="1"/>
  <c r="CC4439" i="1"/>
  <c r="CD4439" i="1"/>
  <c r="A4440" i="1"/>
  <c r="C4440" i="1"/>
  <c r="S4440" i="1"/>
  <c r="T4440" i="1"/>
  <c r="U4440" i="1"/>
  <c r="BE4440" i="1"/>
  <c r="CC4440" i="1"/>
  <c r="CD4440" i="1"/>
  <c r="A4441" i="1"/>
  <c r="C4441" i="1"/>
  <c r="S4441" i="1"/>
  <c r="T4441" i="1"/>
  <c r="U4441" i="1"/>
  <c r="BE4441" i="1"/>
  <c r="CC4441" i="1"/>
  <c r="CD4441" i="1"/>
  <c r="A4442" i="1"/>
  <c r="C4442" i="1"/>
  <c r="S4442" i="1"/>
  <c r="T4442" i="1"/>
  <c r="U4442" i="1"/>
  <c r="BE4442" i="1"/>
  <c r="CC4442" i="1"/>
  <c r="CD4442" i="1"/>
  <c r="A4443" i="1"/>
  <c r="C4443" i="1"/>
  <c r="S4443" i="1"/>
  <c r="T4443" i="1"/>
  <c r="U4443" i="1"/>
  <c r="BE4443" i="1"/>
  <c r="CC4443" i="1"/>
  <c r="CD4443" i="1"/>
  <c r="A4444" i="1"/>
  <c r="C4444" i="1"/>
  <c r="S4444" i="1"/>
  <c r="T4444" i="1"/>
  <c r="U4444" i="1"/>
  <c r="BE4444" i="1"/>
  <c r="CC4444" i="1"/>
  <c r="CD4444" i="1"/>
  <c r="A4445" i="1"/>
  <c r="C4445" i="1"/>
  <c r="S4445" i="1"/>
  <c r="T4445" i="1"/>
  <c r="U4445" i="1"/>
  <c r="BE4445" i="1"/>
  <c r="CC4445" i="1"/>
  <c r="CD4445" i="1"/>
  <c r="A4446" i="1"/>
  <c r="C4446" i="1"/>
  <c r="S4446" i="1"/>
  <c r="T4446" i="1"/>
  <c r="U4446" i="1"/>
  <c r="BE4446" i="1"/>
  <c r="CC4446" i="1"/>
  <c r="CD4446" i="1"/>
  <c r="A4447" i="1"/>
  <c r="C4447" i="1"/>
  <c r="S4447" i="1"/>
  <c r="T4447" i="1"/>
  <c r="U4447" i="1"/>
  <c r="BE4447" i="1"/>
  <c r="CC4447" i="1"/>
  <c r="CD4447" i="1"/>
  <c r="A4448" i="1"/>
  <c r="C4448" i="1"/>
  <c r="S4448" i="1"/>
  <c r="T4448" i="1"/>
  <c r="U4448" i="1"/>
  <c r="BE4448" i="1"/>
  <c r="CC4448" i="1"/>
  <c r="CD4448" i="1"/>
  <c r="A4449" i="1"/>
  <c r="C4449" i="1"/>
  <c r="S4449" i="1"/>
  <c r="T4449" i="1"/>
  <c r="U4449" i="1"/>
  <c r="BE4449" i="1"/>
  <c r="CC4449" i="1"/>
  <c r="CD4449" i="1"/>
  <c r="A4450" i="1"/>
  <c r="C4450" i="1"/>
  <c r="S4450" i="1"/>
  <c r="T4450" i="1"/>
  <c r="U4450" i="1"/>
  <c r="BE4450" i="1"/>
  <c r="CC4450" i="1"/>
  <c r="CD4450" i="1"/>
  <c r="A4451" i="1"/>
  <c r="C4451" i="1"/>
  <c r="S4451" i="1"/>
  <c r="T4451" i="1"/>
  <c r="U4451" i="1"/>
  <c r="BE4451" i="1"/>
  <c r="CC4451" i="1"/>
  <c r="CD4451" i="1"/>
  <c r="A4452" i="1"/>
  <c r="C4452" i="1"/>
  <c r="S4452" i="1"/>
  <c r="T4452" i="1"/>
  <c r="U4452" i="1"/>
  <c r="BE4452" i="1"/>
  <c r="CC4452" i="1"/>
  <c r="CD4452" i="1"/>
  <c r="A4453" i="1"/>
  <c r="C4453" i="1"/>
  <c r="S4453" i="1"/>
  <c r="T4453" i="1"/>
  <c r="U4453" i="1"/>
  <c r="BE4453" i="1"/>
  <c r="CC4453" i="1"/>
  <c r="CD4453" i="1"/>
  <c r="A4454" i="1"/>
  <c r="C4454" i="1"/>
  <c r="S4454" i="1"/>
  <c r="T4454" i="1"/>
  <c r="U4454" i="1"/>
  <c r="BE4454" i="1"/>
  <c r="CC4454" i="1"/>
  <c r="CD4454" i="1"/>
  <c r="A4455" i="1"/>
  <c r="C4455" i="1"/>
  <c r="S4455" i="1"/>
  <c r="T4455" i="1"/>
  <c r="U4455" i="1"/>
  <c r="BE4455" i="1"/>
  <c r="CC4455" i="1"/>
  <c r="CD4455" i="1"/>
  <c r="A4456" i="1"/>
  <c r="C4456" i="1"/>
  <c r="S4456" i="1"/>
  <c r="T4456" i="1"/>
  <c r="U4456" i="1"/>
  <c r="BE4456" i="1"/>
  <c r="CC4456" i="1"/>
  <c r="CD4456" i="1"/>
  <c r="A4457" i="1"/>
  <c r="C4457" i="1"/>
  <c r="S4457" i="1"/>
  <c r="T4457" i="1"/>
  <c r="U4457" i="1"/>
  <c r="BE4457" i="1"/>
  <c r="CC4457" i="1"/>
  <c r="CD4457" i="1"/>
  <c r="A4458" i="1"/>
  <c r="C4458" i="1"/>
  <c r="S4458" i="1"/>
  <c r="T4458" i="1"/>
  <c r="U4458" i="1"/>
  <c r="BE4458" i="1"/>
  <c r="CC4458" i="1"/>
  <c r="CD4458" i="1"/>
  <c r="A4459" i="1"/>
  <c r="C4459" i="1"/>
  <c r="S4459" i="1"/>
  <c r="T4459" i="1"/>
  <c r="U4459" i="1"/>
  <c r="BE4459" i="1"/>
  <c r="CC4459" i="1"/>
  <c r="CD4459" i="1"/>
  <c r="A4460" i="1"/>
  <c r="C4460" i="1"/>
  <c r="S4460" i="1"/>
  <c r="T4460" i="1"/>
  <c r="U4460" i="1"/>
  <c r="BE4460" i="1"/>
  <c r="CC4460" i="1"/>
  <c r="CD4460" i="1"/>
  <c r="A4461" i="1"/>
  <c r="C4461" i="1"/>
  <c r="S4461" i="1"/>
  <c r="T4461" i="1"/>
  <c r="U4461" i="1"/>
  <c r="BE4461" i="1"/>
  <c r="CC4461" i="1"/>
  <c r="CD4461" i="1"/>
  <c r="A4462" i="1"/>
  <c r="C4462" i="1"/>
  <c r="S4462" i="1"/>
  <c r="T4462" i="1"/>
  <c r="U4462" i="1"/>
  <c r="BE4462" i="1"/>
  <c r="CC4462" i="1"/>
  <c r="CD4462" i="1"/>
  <c r="A4463" i="1"/>
  <c r="C4463" i="1"/>
  <c r="S4463" i="1"/>
  <c r="T4463" i="1"/>
  <c r="U4463" i="1"/>
  <c r="BE4463" i="1"/>
  <c r="CC4463" i="1"/>
  <c r="CD4463" i="1"/>
  <c r="A4464" i="1"/>
  <c r="C4464" i="1"/>
  <c r="S4464" i="1"/>
  <c r="T4464" i="1"/>
  <c r="U4464" i="1"/>
  <c r="BE4464" i="1"/>
  <c r="CC4464" i="1"/>
  <c r="CD4464" i="1"/>
  <c r="A4465" i="1"/>
  <c r="C4465" i="1"/>
  <c r="S4465" i="1"/>
  <c r="T4465" i="1"/>
  <c r="U4465" i="1"/>
  <c r="BE4465" i="1"/>
  <c r="CC4465" i="1"/>
  <c r="CD4465" i="1"/>
  <c r="A4466" i="1"/>
  <c r="C4466" i="1"/>
  <c r="S4466" i="1"/>
  <c r="T4466" i="1"/>
  <c r="U4466" i="1"/>
  <c r="BE4466" i="1"/>
  <c r="CC4466" i="1"/>
  <c r="CD4466" i="1"/>
  <c r="A4467" i="1"/>
  <c r="C4467" i="1"/>
  <c r="S4467" i="1"/>
  <c r="T4467" i="1"/>
  <c r="U4467" i="1"/>
  <c r="BE4467" i="1"/>
  <c r="CC4467" i="1"/>
  <c r="CD4467" i="1"/>
  <c r="A4468" i="1"/>
  <c r="C4468" i="1"/>
  <c r="S4468" i="1"/>
  <c r="T4468" i="1"/>
  <c r="U4468" i="1"/>
  <c r="BE4468" i="1"/>
  <c r="CC4468" i="1"/>
  <c r="CD4468" i="1"/>
  <c r="A4469" i="1"/>
  <c r="C4469" i="1"/>
  <c r="S4469" i="1"/>
  <c r="T4469" i="1"/>
  <c r="U4469" i="1"/>
  <c r="BE4469" i="1"/>
  <c r="CC4469" i="1"/>
  <c r="CD4469" i="1"/>
  <c r="A4470" i="1"/>
  <c r="C4470" i="1"/>
  <c r="S4470" i="1"/>
  <c r="T4470" i="1"/>
  <c r="U4470" i="1"/>
  <c r="BE4470" i="1"/>
  <c r="CC4470" i="1"/>
  <c r="CD4470" i="1"/>
  <c r="A4471" i="1"/>
  <c r="C4471" i="1"/>
  <c r="S4471" i="1"/>
  <c r="T4471" i="1"/>
  <c r="U4471" i="1"/>
  <c r="BE4471" i="1"/>
  <c r="CC4471" i="1"/>
  <c r="CD4471" i="1"/>
  <c r="A4472" i="1"/>
  <c r="C4472" i="1"/>
  <c r="S4472" i="1"/>
  <c r="T4472" i="1"/>
  <c r="U4472" i="1"/>
  <c r="BE4472" i="1"/>
  <c r="CC4472" i="1"/>
  <c r="CD4472" i="1"/>
  <c r="A4473" i="1"/>
  <c r="C4473" i="1"/>
  <c r="S4473" i="1"/>
  <c r="T4473" i="1"/>
  <c r="U4473" i="1"/>
  <c r="BE4473" i="1"/>
  <c r="CC4473" i="1"/>
  <c r="CD4473" i="1"/>
  <c r="A4474" i="1"/>
  <c r="C4474" i="1"/>
  <c r="S4474" i="1"/>
  <c r="T4474" i="1"/>
  <c r="U4474" i="1"/>
  <c r="BE4474" i="1"/>
  <c r="CC4474" i="1"/>
  <c r="CD4474" i="1"/>
  <c r="A4475" i="1"/>
  <c r="C4475" i="1"/>
  <c r="S4475" i="1"/>
  <c r="T4475" i="1"/>
  <c r="U4475" i="1"/>
  <c r="BE4475" i="1"/>
  <c r="CC4475" i="1"/>
  <c r="CD4475" i="1"/>
  <c r="A4476" i="1"/>
  <c r="C4476" i="1"/>
  <c r="S4476" i="1"/>
  <c r="T4476" i="1"/>
  <c r="U4476" i="1"/>
  <c r="BE4476" i="1"/>
  <c r="CC4476" i="1"/>
  <c r="CD4476" i="1"/>
  <c r="A4477" i="1"/>
  <c r="C4477" i="1"/>
  <c r="S4477" i="1"/>
  <c r="T4477" i="1"/>
  <c r="U4477" i="1"/>
  <c r="BE4477" i="1"/>
  <c r="CC4477" i="1"/>
  <c r="CD4477" i="1"/>
  <c r="A4478" i="1"/>
  <c r="C4478" i="1"/>
  <c r="S4478" i="1"/>
  <c r="T4478" i="1"/>
  <c r="U4478" i="1"/>
  <c r="BE4478" i="1"/>
  <c r="CC4478" i="1"/>
  <c r="CD4478" i="1"/>
  <c r="A4479" i="1"/>
  <c r="C4479" i="1"/>
  <c r="S4479" i="1"/>
  <c r="T4479" i="1"/>
  <c r="U4479" i="1"/>
  <c r="BE4479" i="1"/>
  <c r="CC4479" i="1"/>
  <c r="CD4479" i="1"/>
  <c r="A4480" i="1"/>
  <c r="C4480" i="1"/>
  <c r="S4480" i="1"/>
  <c r="T4480" i="1"/>
  <c r="U4480" i="1"/>
  <c r="BE4480" i="1"/>
  <c r="CC4480" i="1"/>
  <c r="CD4480" i="1"/>
  <c r="A4481" i="1"/>
  <c r="C4481" i="1"/>
  <c r="S4481" i="1"/>
  <c r="T4481" i="1"/>
  <c r="U4481" i="1"/>
  <c r="BE4481" i="1"/>
  <c r="CC4481" i="1"/>
  <c r="CD4481" i="1"/>
  <c r="A4482" i="1"/>
  <c r="C4482" i="1"/>
  <c r="S4482" i="1"/>
  <c r="T4482" i="1"/>
  <c r="U4482" i="1"/>
  <c r="BE4482" i="1"/>
  <c r="CC4482" i="1"/>
  <c r="CD4482" i="1"/>
  <c r="A4483" i="1"/>
  <c r="C4483" i="1"/>
  <c r="S4483" i="1"/>
  <c r="T4483" i="1"/>
  <c r="U4483" i="1"/>
  <c r="BE4483" i="1"/>
  <c r="CC4483" i="1"/>
  <c r="CD4483" i="1"/>
  <c r="A4484" i="1"/>
  <c r="C4484" i="1"/>
  <c r="S4484" i="1"/>
  <c r="T4484" i="1"/>
  <c r="U4484" i="1"/>
  <c r="BE4484" i="1"/>
  <c r="CC4484" i="1"/>
  <c r="CD4484" i="1"/>
  <c r="A4485" i="1"/>
  <c r="C4485" i="1"/>
  <c r="S4485" i="1"/>
  <c r="T4485" i="1"/>
  <c r="U4485" i="1"/>
  <c r="BE4485" i="1"/>
  <c r="CC4485" i="1"/>
  <c r="CD4485" i="1"/>
  <c r="A4486" i="1"/>
  <c r="C4486" i="1"/>
  <c r="S4486" i="1"/>
  <c r="T4486" i="1"/>
  <c r="U4486" i="1"/>
  <c r="BE4486" i="1"/>
  <c r="CC4486" i="1"/>
  <c r="CD4486" i="1"/>
  <c r="A4487" i="1"/>
  <c r="C4487" i="1"/>
  <c r="S4487" i="1"/>
  <c r="T4487" i="1"/>
  <c r="U4487" i="1"/>
  <c r="BE4487" i="1"/>
  <c r="CC4487" i="1"/>
  <c r="CD4487" i="1"/>
  <c r="A4488" i="1"/>
  <c r="C4488" i="1"/>
  <c r="S4488" i="1"/>
  <c r="T4488" i="1"/>
  <c r="U4488" i="1"/>
  <c r="BE4488" i="1"/>
  <c r="CC4488" i="1"/>
  <c r="CD4488" i="1"/>
  <c r="A4489" i="1"/>
  <c r="C4489" i="1"/>
  <c r="S4489" i="1"/>
  <c r="T4489" i="1"/>
  <c r="U4489" i="1"/>
  <c r="BE4489" i="1"/>
  <c r="CC4489" i="1"/>
  <c r="CD4489" i="1"/>
  <c r="A4490" i="1"/>
  <c r="C4490" i="1"/>
  <c r="S4490" i="1"/>
  <c r="T4490" i="1"/>
  <c r="U4490" i="1"/>
  <c r="BE4490" i="1"/>
  <c r="CC4490" i="1"/>
  <c r="CD4490" i="1"/>
  <c r="A4491" i="1"/>
  <c r="C4491" i="1"/>
  <c r="S4491" i="1"/>
  <c r="T4491" i="1"/>
  <c r="U4491" i="1"/>
  <c r="BE4491" i="1"/>
  <c r="CC4491" i="1"/>
  <c r="CD4491" i="1"/>
  <c r="A4492" i="1"/>
  <c r="C4492" i="1"/>
  <c r="S4492" i="1"/>
  <c r="T4492" i="1"/>
  <c r="U4492" i="1"/>
  <c r="BE4492" i="1"/>
  <c r="CC4492" i="1"/>
  <c r="CD4492" i="1"/>
  <c r="A4493" i="1"/>
  <c r="C4493" i="1"/>
  <c r="S4493" i="1"/>
  <c r="T4493" i="1"/>
  <c r="U4493" i="1"/>
  <c r="BE4493" i="1"/>
  <c r="CC4493" i="1"/>
  <c r="CD4493" i="1"/>
  <c r="A4494" i="1"/>
  <c r="C4494" i="1"/>
  <c r="S4494" i="1"/>
  <c r="T4494" i="1"/>
  <c r="U4494" i="1"/>
  <c r="BE4494" i="1"/>
  <c r="CC4494" i="1"/>
  <c r="CD4494" i="1"/>
  <c r="A4495" i="1"/>
  <c r="C4495" i="1"/>
  <c r="S4495" i="1"/>
  <c r="T4495" i="1"/>
  <c r="U4495" i="1"/>
  <c r="BE4495" i="1"/>
  <c r="CC4495" i="1"/>
  <c r="CD4495" i="1"/>
  <c r="A4496" i="1"/>
  <c r="C4496" i="1"/>
  <c r="S4496" i="1"/>
  <c r="T4496" i="1"/>
  <c r="U4496" i="1"/>
  <c r="BE4496" i="1"/>
  <c r="CC4496" i="1"/>
  <c r="CD4496" i="1"/>
  <c r="A4497" i="1"/>
  <c r="C4497" i="1"/>
  <c r="S4497" i="1"/>
  <c r="T4497" i="1"/>
  <c r="U4497" i="1"/>
  <c r="BE4497" i="1"/>
  <c r="CC4497" i="1"/>
  <c r="CD4497" i="1"/>
  <c r="A4498" i="1"/>
  <c r="C4498" i="1"/>
  <c r="S4498" i="1"/>
  <c r="T4498" i="1"/>
  <c r="U4498" i="1"/>
  <c r="BE4498" i="1"/>
  <c r="CC4498" i="1"/>
  <c r="CD4498" i="1"/>
  <c r="A4499" i="1"/>
  <c r="C4499" i="1"/>
  <c r="S4499" i="1"/>
  <c r="T4499" i="1"/>
  <c r="U4499" i="1"/>
  <c r="BE4499" i="1"/>
  <c r="CC4499" i="1"/>
  <c r="CD4499" i="1"/>
  <c r="A4500" i="1"/>
  <c r="C4500" i="1"/>
  <c r="S4500" i="1"/>
  <c r="T4500" i="1"/>
  <c r="U4500" i="1"/>
  <c r="BE4500" i="1"/>
  <c r="CC4500" i="1"/>
  <c r="CD4500" i="1"/>
  <c r="A4501" i="1"/>
  <c r="C4501" i="1"/>
  <c r="S4501" i="1"/>
  <c r="T4501" i="1"/>
  <c r="U4501" i="1"/>
  <c r="BE4501" i="1"/>
  <c r="CC4501" i="1"/>
  <c r="CD4501" i="1"/>
  <c r="A4502" i="1"/>
  <c r="C4502" i="1"/>
  <c r="S4502" i="1"/>
  <c r="T4502" i="1"/>
  <c r="U4502" i="1"/>
  <c r="BE4502" i="1"/>
  <c r="CC4502" i="1"/>
  <c r="CD4502" i="1"/>
  <c r="A4503" i="1"/>
  <c r="C4503" i="1"/>
  <c r="S4503" i="1"/>
  <c r="T4503" i="1"/>
  <c r="U4503" i="1"/>
  <c r="BE4503" i="1"/>
  <c r="CC4503" i="1"/>
  <c r="CD4503" i="1"/>
  <c r="A4504" i="1"/>
  <c r="C4504" i="1"/>
  <c r="S4504" i="1"/>
  <c r="T4504" i="1"/>
  <c r="U4504" i="1"/>
  <c r="BE4504" i="1"/>
  <c r="CC4504" i="1"/>
  <c r="CD4504" i="1"/>
  <c r="A4505" i="1"/>
  <c r="C4505" i="1"/>
  <c r="S4505" i="1"/>
  <c r="T4505" i="1"/>
  <c r="U4505" i="1"/>
  <c r="BE4505" i="1"/>
  <c r="CC4505" i="1"/>
  <c r="CD4505" i="1"/>
  <c r="A4506" i="1"/>
  <c r="C4506" i="1"/>
  <c r="S4506" i="1"/>
  <c r="T4506" i="1"/>
  <c r="U4506" i="1"/>
  <c r="BE4506" i="1"/>
  <c r="CC4506" i="1"/>
  <c r="CD4506" i="1"/>
  <c r="A4507" i="1"/>
  <c r="C4507" i="1"/>
  <c r="S4507" i="1"/>
  <c r="T4507" i="1"/>
  <c r="U4507" i="1"/>
  <c r="BE4507" i="1"/>
  <c r="CC4507" i="1"/>
  <c r="CD4507" i="1"/>
  <c r="A4508" i="1"/>
  <c r="C4508" i="1"/>
  <c r="S4508" i="1"/>
  <c r="T4508" i="1"/>
  <c r="U4508" i="1"/>
  <c r="BE4508" i="1"/>
  <c r="CC4508" i="1"/>
  <c r="CD4508" i="1"/>
  <c r="A4509" i="1"/>
  <c r="C4509" i="1"/>
  <c r="S4509" i="1"/>
  <c r="T4509" i="1"/>
  <c r="U4509" i="1"/>
  <c r="BE4509" i="1"/>
  <c r="CC4509" i="1"/>
  <c r="CD4509" i="1"/>
  <c r="A4510" i="1"/>
  <c r="C4510" i="1"/>
  <c r="S4510" i="1"/>
  <c r="T4510" i="1"/>
  <c r="U4510" i="1"/>
  <c r="BE4510" i="1"/>
  <c r="CC4510" i="1"/>
  <c r="CD4510" i="1"/>
  <c r="A4511" i="1"/>
  <c r="C4511" i="1"/>
  <c r="S4511" i="1"/>
  <c r="T4511" i="1"/>
  <c r="U4511" i="1"/>
  <c r="BE4511" i="1"/>
  <c r="CC4511" i="1"/>
  <c r="CD4511" i="1"/>
  <c r="A4512" i="1"/>
  <c r="C4512" i="1"/>
  <c r="S4512" i="1"/>
  <c r="T4512" i="1"/>
  <c r="U4512" i="1"/>
  <c r="BE4512" i="1"/>
  <c r="CC4512" i="1"/>
  <c r="CD4512" i="1"/>
  <c r="A4513" i="1"/>
  <c r="C4513" i="1"/>
  <c r="S4513" i="1"/>
  <c r="T4513" i="1"/>
  <c r="U4513" i="1"/>
  <c r="BE4513" i="1"/>
  <c r="CC4513" i="1"/>
  <c r="CD4513" i="1"/>
  <c r="A4514" i="1"/>
  <c r="C4514" i="1"/>
  <c r="S4514" i="1"/>
  <c r="T4514" i="1"/>
  <c r="U4514" i="1"/>
  <c r="BE4514" i="1"/>
  <c r="CC4514" i="1"/>
  <c r="CD4514" i="1"/>
  <c r="A4515" i="1"/>
  <c r="C4515" i="1"/>
  <c r="S4515" i="1"/>
  <c r="T4515" i="1"/>
  <c r="U4515" i="1"/>
  <c r="BE4515" i="1"/>
  <c r="CC4515" i="1"/>
  <c r="CD4515" i="1"/>
  <c r="A4516" i="1"/>
  <c r="C4516" i="1"/>
  <c r="S4516" i="1"/>
  <c r="T4516" i="1"/>
  <c r="U4516" i="1"/>
  <c r="BE4516" i="1"/>
  <c r="CC4516" i="1"/>
  <c r="CD4516" i="1"/>
  <c r="A4517" i="1"/>
  <c r="C4517" i="1"/>
  <c r="S4517" i="1"/>
  <c r="T4517" i="1"/>
  <c r="U4517" i="1"/>
  <c r="BE4517" i="1"/>
  <c r="CC4517" i="1"/>
  <c r="CD4517" i="1"/>
  <c r="A4518" i="1"/>
  <c r="C4518" i="1"/>
  <c r="S4518" i="1"/>
  <c r="T4518" i="1"/>
  <c r="U4518" i="1"/>
  <c r="BE4518" i="1"/>
  <c r="CC4518" i="1"/>
  <c r="CD4518" i="1"/>
  <c r="A4519" i="1"/>
  <c r="C4519" i="1"/>
  <c r="S4519" i="1"/>
  <c r="U4519" i="1"/>
  <c r="BE4519" i="1"/>
  <c r="CC4519" i="1"/>
  <c r="CD4519" i="1"/>
  <c r="A4520" i="1"/>
  <c r="C4520" i="1"/>
  <c r="S4520" i="1"/>
  <c r="T4520" i="1"/>
  <c r="U4520" i="1"/>
  <c r="BE4520" i="1"/>
  <c r="CC4520" i="1"/>
  <c r="CD4520" i="1"/>
  <c r="A4521" i="1"/>
  <c r="C4521" i="1"/>
  <c r="S4521" i="1"/>
  <c r="T4521" i="1"/>
  <c r="U4521" i="1"/>
  <c r="BE4521" i="1"/>
  <c r="CC4521" i="1"/>
  <c r="CD4521" i="1"/>
  <c r="A4522" i="1"/>
  <c r="C4522" i="1"/>
  <c r="S4522" i="1"/>
  <c r="T4522" i="1"/>
  <c r="U4522" i="1"/>
  <c r="BE4522" i="1"/>
  <c r="CC4522" i="1"/>
  <c r="CD4522" i="1"/>
  <c r="A4523" i="1"/>
  <c r="C4523" i="1"/>
  <c r="S4523" i="1"/>
  <c r="T4523" i="1"/>
  <c r="U4523" i="1"/>
  <c r="BE4523" i="1"/>
  <c r="CC4523" i="1"/>
  <c r="CD4523" i="1"/>
  <c r="A4524" i="1"/>
  <c r="C4524" i="1"/>
  <c r="S4524" i="1"/>
  <c r="T4524" i="1"/>
  <c r="U4524" i="1"/>
  <c r="BE4524" i="1"/>
  <c r="CC4524" i="1"/>
  <c r="CD4524" i="1"/>
  <c r="A4525" i="1"/>
  <c r="C4525" i="1"/>
  <c r="S4525" i="1"/>
  <c r="T4525" i="1"/>
  <c r="U4525" i="1"/>
  <c r="BE4525" i="1"/>
  <c r="CC4525" i="1"/>
  <c r="CD4525" i="1"/>
  <c r="A4526" i="1"/>
  <c r="C4526" i="1"/>
  <c r="S4526" i="1"/>
  <c r="T4526" i="1"/>
  <c r="U4526" i="1"/>
  <c r="BE4526" i="1"/>
  <c r="CC4526" i="1"/>
  <c r="CD4526" i="1"/>
  <c r="A4527" i="1"/>
  <c r="C4527" i="1"/>
  <c r="S4527" i="1"/>
  <c r="T4527" i="1"/>
  <c r="U4527" i="1"/>
  <c r="BE4527" i="1"/>
  <c r="CC4527" i="1"/>
  <c r="CD4527" i="1"/>
  <c r="A4528" i="1"/>
  <c r="C4528" i="1"/>
  <c r="S4528" i="1"/>
  <c r="T4528" i="1"/>
  <c r="U4528" i="1"/>
  <c r="BE4528" i="1"/>
  <c r="CC4528" i="1"/>
  <c r="CD4528" i="1"/>
  <c r="A4529" i="1"/>
  <c r="C4529" i="1"/>
  <c r="S4529" i="1"/>
  <c r="T4529" i="1"/>
  <c r="U4529" i="1"/>
  <c r="BE4529" i="1"/>
  <c r="CC4529" i="1"/>
  <c r="CD4529" i="1"/>
  <c r="A4530" i="1"/>
  <c r="C4530" i="1"/>
  <c r="S4530" i="1"/>
  <c r="T4530" i="1"/>
  <c r="U4530" i="1"/>
  <c r="BE4530" i="1"/>
  <c r="CC4530" i="1"/>
  <c r="CD4530" i="1"/>
  <c r="A4531" i="1"/>
  <c r="C4531" i="1"/>
  <c r="S4531" i="1"/>
  <c r="T4531" i="1"/>
  <c r="U4531" i="1"/>
  <c r="BE4531" i="1"/>
  <c r="CC4531" i="1"/>
  <c r="CD4531" i="1"/>
  <c r="A4532" i="1"/>
  <c r="C4532" i="1"/>
  <c r="S4532" i="1"/>
  <c r="T4532" i="1"/>
  <c r="U4532" i="1"/>
  <c r="BE4532" i="1"/>
  <c r="CC4532" i="1"/>
  <c r="CD4532" i="1"/>
  <c r="A4533" i="1"/>
  <c r="C4533" i="1"/>
  <c r="S4533" i="1"/>
  <c r="T4533" i="1"/>
  <c r="U4533" i="1"/>
  <c r="BE4533" i="1"/>
  <c r="CC4533" i="1"/>
  <c r="CD4533" i="1"/>
  <c r="A4534" i="1"/>
  <c r="C4534" i="1"/>
  <c r="S4534" i="1"/>
  <c r="T4534" i="1"/>
  <c r="U4534" i="1"/>
  <c r="BE4534" i="1"/>
  <c r="CC4534" i="1"/>
  <c r="CD4534" i="1"/>
  <c r="A4535" i="1"/>
  <c r="C4535" i="1"/>
  <c r="S4535" i="1"/>
  <c r="T4535" i="1"/>
  <c r="U4535" i="1"/>
  <c r="BE4535" i="1"/>
  <c r="CC4535" i="1"/>
  <c r="CD4535" i="1"/>
  <c r="A4536" i="1"/>
  <c r="C4536" i="1"/>
  <c r="S4536" i="1"/>
  <c r="T4536" i="1"/>
  <c r="U4536" i="1"/>
  <c r="BE4536" i="1"/>
  <c r="CC4536" i="1"/>
  <c r="CD4536" i="1"/>
  <c r="A4537" i="1"/>
  <c r="C4537" i="1"/>
  <c r="S4537" i="1"/>
  <c r="T4537" i="1"/>
  <c r="U4537" i="1"/>
  <c r="BE4537" i="1"/>
  <c r="CC4537" i="1"/>
  <c r="CD4537" i="1"/>
  <c r="A4538" i="1"/>
  <c r="C4538" i="1"/>
  <c r="S4538" i="1"/>
  <c r="T4538" i="1"/>
  <c r="U4538" i="1"/>
  <c r="BE4538" i="1"/>
  <c r="CC4538" i="1"/>
  <c r="CD4538" i="1"/>
  <c r="A4539" i="1"/>
  <c r="C4539" i="1"/>
  <c r="S4539" i="1"/>
  <c r="T4539" i="1"/>
  <c r="U4539" i="1"/>
  <c r="BE4539" i="1"/>
  <c r="CC4539" i="1"/>
  <c r="CD4539" i="1"/>
  <c r="A4540" i="1"/>
  <c r="C4540" i="1"/>
  <c r="S4540" i="1"/>
  <c r="T4540" i="1"/>
  <c r="U4540" i="1"/>
  <c r="BE4540" i="1"/>
  <c r="CC4540" i="1"/>
  <c r="CD4540" i="1"/>
  <c r="A4541" i="1"/>
  <c r="C4541" i="1"/>
  <c r="S4541" i="1"/>
  <c r="T4541" i="1"/>
  <c r="U4541" i="1"/>
  <c r="BE4541" i="1"/>
  <c r="CC4541" i="1"/>
  <c r="CD4541" i="1"/>
  <c r="A4542" i="1"/>
  <c r="C4542" i="1"/>
  <c r="S4542" i="1"/>
  <c r="T4542" i="1"/>
  <c r="U4542" i="1"/>
  <c r="BE4542" i="1"/>
  <c r="CC4542" i="1"/>
  <c r="CD4542" i="1"/>
  <c r="A4543" i="1"/>
  <c r="C4543" i="1"/>
  <c r="S4543" i="1"/>
  <c r="T4543" i="1"/>
  <c r="U4543" i="1"/>
  <c r="BE4543" i="1"/>
  <c r="CC4543" i="1"/>
  <c r="CD4543" i="1"/>
  <c r="A4544" i="1"/>
  <c r="C4544" i="1"/>
  <c r="S4544" i="1"/>
  <c r="T4544" i="1"/>
  <c r="U4544" i="1"/>
  <c r="BE4544" i="1"/>
  <c r="CC4544" i="1"/>
  <c r="CD4544" i="1"/>
  <c r="A4545" i="1"/>
  <c r="C4545" i="1"/>
  <c r="S4545" i="1"/>
  <c r="T4545" i="1"/>
  <c r="U4545" i="1"/>
  <c r="BE4545" i="1"/>
  <c r="CC4545" i="1"/>
  <c r="CD4545" i="1"/>
  <c r="A4546" i="1"/>
  <c r="C4546" i="1"/>
  <c r="S4546" i="1"/>
  <c r="T4546" i="1"/>
  <c r="U4546" i="1"/>
  <c r="BE4546" i="1"/>
  <c r="CC4546" i="1"/>
  <c r="CD4546" i="1"/>
  <c r="A4547" i="1"/>
  <c r="C4547" i="1"/>
  <c r="S4547" i="1"/>
  <c r="T4547" i="1"/>
  <c r="U4547" i="1"/>
  <c r="BE4547" i="1"/>
  <c r="CC4547" i="1"/>
  <c r="CD4547" i="1"/>
  <c r="A4548" i="1"/>
  <c r="C4548" i="1"/>
  <c r="S4548" i="1"/>
  <c r="T4548" i="1"/>
  <c r="U4548" i="1"/>
  <c r="BE4548" i="1"/>
  <c r="CC4548" i="1"/>
  <c r="CD4548" i="1"/>
  <c r="A4549" i="1"/>
  <c r="C4549" i="1"/>
  <c r="S4549" i="1"/>
  <c r="T4549" i="1"/>
  <c r="U4549" i="1"/>
  <c r="BE4549" i="1"/>
  <c r="CC4549" i="1"/>
  <c r="CD4549" i="1"/>
  <c r="A4550" i="1"/>
  <c r="C4550" i="1"/>
  <c r="S4550" i="1"/>
  <c r="T4550" i="1"/>
  <c r="U4550" i="1"/>
  <c r="BE4550" i="1"/>
  <c r="CC4550" i="1"/>
  <c r="CD4550" i="1"/>
  <c r="A4551" i="1"/>
  <c r="C4551" i="1"/>
  <c r="S4551" i="1"/>
  <c r="T4551" i="1"/>
  <c r="U4551" i="1"/>
  <c r="BE4551" i="1"/>
  <c r="CC4551" i="1"/>
  <c r="CD4551" i="1"/>
  <c r="A4552" i="1"/>
  <c r="C4552" i="1"/>
  <c r="S4552" i="1"/>
  <c r="T4552" i="1"/>
  <c r="U4552" i="1"/>
  <c r="BE4552" i="1"/>
  <c r="CC4552" i="1"/>
  <c r="CD4552" i="1"/>
  <c r="A4553" i="1"/>
  <c r="C4553" i="1"/>
  <c r="S4553" i="1"/>
  <c r="T4553" i="1"/>
  <c r="U4553" i="1"/>
  <c r="BE4553" i="1"/>
  <c r="CC4553" i="1"/>
  <c r="CD4553" i="1"/>
  <c r="A4554" i="1"/>
  <c r="C4554" i="1"/>
  <c r="S4554" i="1"/>
  <c r="T4554" i="1"/>
  <c r="U4554" i="1"/>
  <c r="BE4554" i="1"/>
  <c r="CC4554" i="1"/>
  <c r="CD4554" i="1"/>
  <c r="A4555" i="1"/>
  <c r="C4555" i="1"/>
  <c r="S4555" i="1"/>
  <c r="T4555" i="1"/>
  <c r="U4555" i="1"/>
  <c r="BE4555" i="1"/>
  <c r="CC4555" i="1"/>
  <c r="CD4555" i="1"/>
  <c r="A4556" i="1"/>
  <c r="C4556" i="1"/>
  <c r="S4556" i="1"/>
  <c r="T4556" i="1"/>
  <c r="U4556" i="1"/>
  <c r="BE4556" i="1"/>
  <c r="CC4556" i="1"/>
  <c r="CD4556" i="1"/>
  <c r="A4557" i="1"/>
  <c r="C4557" i="1"/>
  <c r="S4557" i="1"/>
  <c r="T4557" i="1"/>
  <c r="U4557" i="1"/>
  <c r="BE4557" i="1"/>
  <c r="CC4557" i="1"/>
  <c r="CD4557" i="1"/>
  <c r="A4558" i="1"/>
  <c r="C4558" i="1"/>
  <c r="S4558" i="1"/>
  <c r="T4558" i="1"/>
  <c r="U4558" i="1"/>
  <c r="BE4558" i="1"/>
  <c r="CC4558" i="1"/>
  <c r="CD4558" i="1"/>
  <c r="A4559" i="1"/>
  <c r="C4559" i="1"/>
  <c r="S4559" i="1"/>
  <c r="T4559" i="1"/>
  <c r="U4559" i="1"/>
  <c r="BE4559" i="1"/>
  <c r="CC4559" i="1"/>
  <c r="CD4559" i="1"/>
  <c r="A4560" i="1"/>
  <c r="C4560" i="1"/>
  <c r="S4560" i="1"/>
  <c r="T4560" i="1"/>
  <c r="U4560" i="1"/>
  <c r="BE4560" i="1"/>
  <c r="CC4560" i="1"/>
  <c r="CD4560" i="1"/>
  <c r="A4561" i="1"/>
  <c r="C4561" i="1"/>
  <c r="S4561" i="1"/>
  <c r="T4561" i="1"/>
  <c r="U4561" i="1"/>
  <c r="BE4561" i="1"/>
  <c r="CC4561" i="1"/>
  <c r="CD4561" i="1"/>
  <c r="A4562" i="1"/>
  <c r="C4562" i="1"/>
  <c r="S4562" i="1"/>
  <c r="T4562" i="1"/>
  <c r="U4562" i="1"/>
  <c r="BE4562" i="1"/>
  <c r="CC4562" i="1"/>
  <c r="CD4562" i="1"/>
  <c r="A4563" i="1"/>
  <c r="C4563" i="1"/>
  <c r="S4563" i="1"/>
  <c r="T4563" i="1"/>
  <c r="U4563" i="1"/>
  <c r="BE4563" i="1"/>
  <c r="CC4563" i="1"/>
  <c r="CD4563" i="1"/>
  <c r="A4564" i="1"/>
  <c r="C4564" i="1"/>
  <c r="S4564" i="1"/>
  <c r="T4564" i="1"/>
  <c r="U4564" i="1"/>
  <c r="BE4564" i="1"/>
  <c r="CC4564" i="1"/>
  <c r="CD4564" i="1"/>
  <c r="A4565" i="1"/>
  <c r="C4565" i="1"/>
  <c r="S4565" i="1"/>
  <c r="T4565" i="1"/>
  <c r="U4565" i="1"/>
  <c r="BE4565" i="1"/>
  <c r="CC4565" i="1"/>
  <c r="CD4565" i="1"/>
  <c r="A4566" i="1"/>
  <c r="C4566" i="1"/>
  <c r="S4566" i="1"/>
  <c r="T4566" i="1"/>
  <c r="U4566" i="1"/>
  <c r="BE4566" i="1"/>
  <c r="CC4566" i="1"/>
  <c r="CD4566" i="1"/>
  <c r="A4567" i="1"/>
  <c r="C4567" i="1"/>
  <c r="S4567" i="1"/>
  <c r="T4567" i="1"/>
  <c r="U4567" i="1"/>
  <c r="BE4567" i="1"/>
  <c r="CC4567" i="1"/>
  <c r="CD4567" i="1"/>
  <c r="A4568" i="1"/>
  <c r="C4568" i="1"/>
  <c r="S4568" i="1"/>
  <c r="T4568" i="1"/>
  <c r="U4568" i="1"/>
  <c r="BE4568" i="1"/>
  <c r="CC4568" i="1"/>
  <c r="CD4568" i="1"/>
  <c r="A4569" i="1"/>
  <c r="C4569" i="1"/>
  <c r="S4569" i="1"/>
  <c r="T4569" i="1"/>
  <c r="U4569" i="1"/>
  <c r="BE4569" i="1"/>
  <c r="CC4569" i="1"/>
  <c r="CD4569" i="1"/>
  <c r="A4570" i="1"/>
  <c r="C4570" i="1"/>
  <c r="S4570" i="1"/>
  <c r="T4570" i="1"/>
  <c r="U4570" i="1"/>
  <c r="BE4570" i="1"/>
  <c r="CC4570" i="1"/>
  <c r="CD4570" i="1"/>
  <c r="A4571" i="1"/>
  <c r="C4571" i="1"/>
  <c r="S4571" i="1"/>
  <c r="T4571" i="1"/>
  <c r="U4571" i="1"/>
  <c r="BE4571" i="1"/>
  <c r="CC4571" i="1"/>
  <c r="CD4571" i="1"/>
  <c r="A4572" i="1"/>
  <c r="C4572" i="1"/>
  <c r="S4572" i="1"/>
  <c r="T4572" i="1"/>
  <c r="U4572" i="1"/>
  <c r="BE4572" i="1"/>
  <c r="CC4572" i="1"/>
  <c r="CD4572" i="1"/>
  <c r="A4573" i="1"/>
  <c r="C4573" i="1"/>
  <c r="S4573" i="1"/>
  <c r="T4573" i="1"/>
  <c r="U4573" i="1"/>
  <c r="BE4573" i="1"/>
  <c r="CC4573" i="1"/>
  <c r="CD4573" i="1"/>
  <c r="A4574" i="1"/>
  <c r="C4574" i="1"/>
  <c r="S4574" i="1"/>
  <c r="T4574" i="1"/>
  <c r="U4574" i="1"/>
  <c r="BE4574" i="1"/>
  <c r="CC4574" i="1"/>
  <c r="CD4574" i="1"/>
  <c r="A4575" i="1"/>
  <c r="C4575" i="1"/>
  <c r="S4575" i="1"/>
  <c r="T4575" i="1"/>
  <c r="U4575" i="1"/>
  <c r="BE4575" i="1"/>
  <c r="CC4575" i="1"/>
  <c r="CD4575" i="1"/>
  <c r="A4576" i="1"/>
  <c r="C4576" i="1"/>
  <c r="S4576" i="1"/>
  <c r="T4576" i="1"/>
  <c r="U4576" i="1"/>
  <c r="BE4576" i="1"/>
  <c r="CC4576" i="1"/>
  <c r="CD4576" i="1"/>
  <c r="A4577" i="1"/>
  <c r="C4577" i="1"/>
  <c r="S4577" i="1"/>
  <c r="T4577" i="1"/>
  <c r="U4577" i="1"/>
  <c r="BE4577" i="1"/>
  <c r="CC4577" i="1"/>
  <c r="CD4577" i="1"/>
  <c r="A4578" i="1"/>
  <c r="C4578" i="1"/>
  <c r="S4578" i="1"/>
  <c r="T4578" i="1"/>
  <c r="U4578" i="1"/>
  <c r="BE4578" i="1"/>
  <c r="CC4578" i="1"/>
  <c r="CD4578" i="1"/>
  <c r="A4579" i="1"/>
  <c r="C4579" i="1"/>
  <c r="S4579" i="1"/>
  <c r="T4579" i="1"/>
  <c r="U4579" i="1"/>
  <c r="BE4579" i="1"/>
  <c r="CC4579" i="1"/>
  <c r="CD4579" i="1"/>
  <c r="A4580" i="1"/>
  <c r="C4580" i="1"/>
  <c r="S4580" i="1"/>
  <c r="T4580" i="1"/>
  <c r="U4580" i="1"/>
  <c r="BE4580" i="1"/>
  <c r="CC4580" i="1"/>
  <c r="CD4580" i="1"/>
  <c r="A4581" i="1"/>
  <c r="C4581" i="1"/>
  <c r="S4581" i="1"/>
  <c r="T4581" i="1"/>
  <c r="U4581" i="1"/>
  <c r="BE4581" i="1"/>
  <c r="CC4581" i="1"/>
  <c r="CD4581" i="1"/>
  <c r="A4582" i="1"/>
  <c r="C4582" i="1"/>
  <c r="S4582" i="1"/>
  <c r="T4582" i="1"/>
  <c r="U4582" i="1"/>
  <c r="BE4582" i="1"/>
  <c r="CC4582" i="1"/>
  <c r="CD4582" i="1"/>
  <c r="A4583" i="1"/>
  <c r="C4583" i="1"/>
  <c r="S4583" i="1"/>
  <c r="T4583" i="1"/>
  <c r="U4583" i="1"/>
  <c r="BE4583" i="1"/>
  <c r="CC4583" i="1"/>
  <c r="CD4583" i="1"/>
  <c r="A4584" i="1"/>
  <c r="C4584" i="1"/>
  <c r="S4584" i="1"/>
  <c r="T4584" i="1"/>
  <c r="U4584" i="1"/>
  <c r="BE4584" i="1"/>
  <c r="CC4584" i="1"/>
  <c r="CD4584" i="1"/>
  <c r="A4585" i="1"/>
  <c r="C4585" i="1"/>
  <c r="S4585" i="1"/>
  <c r="T4585" i="1"/>
  <c r="U4585" i="1"/>
  <c r="BE4585" i="1"/>
  <c r="CC4585" i="1"/>
  <c r="CD4585" i="1"/>
  <c r="A4586" i="1"/>
  <c r="C4586" i="1"/>
  <c r="S4586" i="1"/>
  <c r="T4586" i="1"/>
  <c r="U4586" i="1"/>
  <c r="BE4586" i="1"/>
  <c r="CC4586" i="1"/>
  <c r="CD4586" i="1"/>
  <c r="A4587" i="1"/>
  <c r="C4587" i="1"/>
  <c r="S4587" i="1"/>
  <c r="T4587" i="1"/>
  <c r="U4587" i="1"/>
  <c r="BE4587" i="1"/>
  <c r="CC4587" i="1"/>
  <c r="CD4587" i="1"/>
  <c r="A4588" i="1"/>
  <c r="C4588" i="1"/>
  <c r="S4588" i="1"/>
  <c r="T4588" i="1"/>
  <c r="U4588" i="1"/>
  <c r="BE4588" i="1"/>
  <c r="CC4588" i="1"/>
  <c r="CD4588" i="1"/>
  <c r="A4589" i="1"/>
  <c r="C4589" i="1"/>
  <c r="S4589" i="1"/>
  <c r="T4589" i="1"/>
  <c r="U4589" i="1"/>
  <c r="BE4589" i="1"/>
  <c r="CC4589" i="1"/>
  <c r="CD4589" i="1"/>
  <c r="A4590" i="1"/>
  <c r="C4590" i="1"/>
  <c r="S4590" i="1"/>
  <c r="T4590" i="1"/>
  <c r="U4590" i="1"/>
  <c r="BE4590" i="1"/>
  <c r="CC4590" i="1"/>
  <c r="CD4590" i="1"/>
  <c r="A4591" i="1"/>
  <c r="C4591" i="1"/>
  <c r="S4591" i="1"/>
  <c r="T4591" i="1"/>
  <c r="U4591" i="1"/>
  <c r="BE4591" i="1"/>
  <c r="CC4591" i="1"/>
  <c r="CD4591" i="1"/>
  <c r="A4592" i="1"/>
  <c r="C4592" i="1"/>
  <c r="S4592" i="1"/>
  <c r="T4592" i="1"/>
  <c r="U4592" i="1"/>
  <c r="BE4592" i="1"/>
  <c r="CC4592" i="1"/>
  <c r="CD4592" i="1"/>
  <c r="A4593" i="1"/>
  <c r="C4593" i="1"/>
  <c r="S4593" i="1"/>
  <c r="T4593" i="1"/>
  <c r="U4593" i="1"/>
  <c r="BE4593" i="1"/>
  <c r="CC4593" i="1"/>
  <c r="CD4593" i="1"/>
  <c r="A4594" i="1"/>
  <c r="C4594" i="1"/>
  <c r="S4594" i="1"/>
  <c r="T4594" i="1"/>
  <c r="U4594" i="1"/>
  <c r="BE4594" i="1"/>
  <c r="CC4594" i="1"/>
  <c r="CD4594" i="1"/>
  <c r="A4595" i="1"/>
  <c r="C4595" i="1"/>
  <c r="S4595" i="1"/>
  <c r="T4595" i="1"/>
  <c r="U4595" i="1"/>
  <c r="BE4595" i="1"/>
  <c r="CC4595" i="1"/>
  <c r="CD4595" i="1"/>
  <c r="A4596" i="1"/>
  <c r="C4596" i="1"/>
  <c r="S4596" i="1"/>
  <c r="T4596" i="1"/>
  <c r="U4596" i="1"/>
  <c r="BE4596" i="1"/>
  <c r="CC4596" i="1"/>
  <c r="CD4596" i="1"/>
  <c r="A4597" i="1"/>
  <c r="C4597" i="1"/>
  <c r="S4597" i="1"/>
  <c r="T4597" i="1"/>
  <c r="U4597" i="1"/>
  <c r="BE4597" i="1"/>
  <c r="CC4597" i="1"/>
  <c r="CD4597" i="1"/>
  <c r="A4598" i="1"/>
  <c r="C4598" i="1"/>
  <c r="S4598" i="1"/>
  <c r="T4598" i="1"/>
  <c r="U4598" i="1"/>
  <c r="BE4598" i="1"/>
  <c r="CC4598" i="1"/>
  <c r="CD4598" i="1"/>
  <c r="A4599" i="1"/>
  <c r="C4599" i="1"/>
  <c r="S4599" i="1"/>
  <c r="T4599" i="1"/>
  <c r="U4599" i="1"/>
  <c r="BE4599" i="1"/>
  <c r="CC4599" i="1"/>
  <c r="CD4599" i="1"/>
  <c r="A4600" i="1"/>
  <c r="C4600" i="1"/>
  <c r="S4600" i="1"/>
  <c r="T4600" i="1"/>
  <c r="U4600" i="1"/>
  <c r="BE4600" i="1"/>
  <c r="CC4600" i="1"/>
  <c r="CD4600" i="1"/>
  <c r="A4601" i="1"/>
  <c r="C4601" i="1"/>
  <c r="S4601" i="1"/>
  <c r="T4601" i="1"/>
  <c r="U4601" i="1"/>
  <c r="BE4601" i="1"/>
  <c r="CC4601" i="1"/>
  <c r="CD4601" i="1"/>
  <c r="A4602" i="1"/>
  <c r="C4602" i="1"/>
  <c r="S4602" i="1"/>
  <c r="T4602" i="1"/>
  <c r="U4602" i="1"/>
  <c r="BE4602" i="1"/>
  <c r="CC4602" i="1"/>
  <c r="CD4602" i="1"/>
  <c r="A4603" i="1"/>
  <c r="C4603" i="1"/>
  <c r="S4603" i="1"/>
  <c r="T4603" i="1"/>
  <c r="U4603" i="1"/>
  <c r="BE4603" i="1"/>
  <c r="CC4603" i="1"/>
  <c r="CD4603" i="1"/>
  <c r="A4604" i="1"/>
  <c r="C4604" i="1"/>
  <c r="S4604" i="1"/>
  <c r="T4604" i="1"/>
  <c r="U4604" i="1"/>
  <c r="BE4604" i="1"/>
  <c r="CC4604" i="1"/>
  <c r="CD4604" i="1"/>
  <c r="A4605" i="1"/>
  <c r="C4605" i="1"/>
  <c r="S4605" i="1"/>
  <c r="T4605" i="1"/>
  <c r="U4605" i="1"/>
  <c r="BE4605" i="1"/>
  <c r="CC4605" i="1"/>
  <c r="CD4605" i="1"/>
  <c r="A4606" i="1"/>
  <c r="C4606" i="1"/>
  <c r="S4606" i="1"/>
  <c r="T4606" i="1"/>
  <c r="U4606" i="1"/>
  <c r="BE4606" i="1"/>
  <c r="CC4606" i="1"/>
  <c r="CD4606" i="1"/>
  <c r="A4607" i="1"/>
  <c r="C4607" i="1"/>
  <c r="S4607" i="1"/>
  <c r="T4607" i="1"/>
  <c r="U4607" i="1"/>
  <c r="BE4607" i="1"/>
  <c r="CC4607" i="1"/>
  <c r="CD4607" i="1"/>
  <c r="A4608" i="1"/>
  <c r="C4608" i="1"/>
  <c r="S4608" i="1"/>
  <c r="T4608" i="1"/>
  <c r="U4608" i="1"/>
  <c r="BE4608" i="1"/>
  <c r="CC4608" i="1"/>
  <c r="CD4608" i="1"/>
  <c r="A4609" i="1"/>
  <c r="C4609" i="1"/>
  <c r="S4609" i="1"/>
  <c r="T4609" i="1"/>
  <c r="U4609" i="1"/>
  <c r="BE4609" i="1"/>
  <c r="CC4609" i="1"/>
  <c r="CD4609" i="1"/>
  <c r="A4610" i="1"/>
  <c r="C4610" i="1"/>
  <c r="S4610" i="1"/>
  <c r="T4610" i="1"/>
  <c r="U4610" i="1"/>
  <c r="BE4610" i="1"/>
  <c r="CC4610" i="1"/>
  <c r="CD4610" i="1"/>
  <c r="A4611" i="1"/>
  <c r="C4611" i="1"/>
  <c r="S4611" i="1"/>
  <c r="T4611" i="1"/>
  <c r="U4611" i="1"/>
  <c r="BE4611" i="1"/>
  <c r="CC4611" i="1"/>
  <c r="CD4611" i="1"/>
  <c r="A4612" i="1"/>
  <c r="C4612" i="1"/>
  <c r="S4612" i="1"/>
  <c r="T4612" i="1"/>
  <c r="U4612" i="1"/>
  <c r="BE4612" i="1"/>
  <c r="CC4612" i="1"/>
  <c r="CD4612" i="1"/>
  <c r="A4613" i="1"/>
  <c r="C4613" i="1"/>
  <c r="S4613" i="1"/>
  <c r="T4613" i="1"/>
  <c r="U4613" i="1"/>
  <c r="BE4613" i="1"/>
  <c r="CC4613" i="1"/>
  <c r="CD4613" i="1"/>
  <c r="A4614" i="1"/>
  <c r="C4614" i="1"/>
  <c r="S4614" i="1"/>
  <c r="T4614" i="1"/>
  <c r="U4614" i="1"/>
  <c r="BE4614" i="1"/>
  <c r="CC4614" i="1"/>
  <c r="CD4614" i="1"/>
  <c r="A4615" i="1"/>
  <c r="C4615" i="1"/>
  <c r="S4615" i="1"/>
  <c r="T4615" i="1"/>
  <c r="U4615" i="1"/>
  <c r="BE4615" i="1"/>
  <c r="CC4615" i="1"/>
  <c r="CD4615" i="1"/>
  <c r="A4616" i="1"/>
  <c r="C4616" i="1"/>
  <c r="S4616" i="1"/>
  <c r="T4616" i="1"/>
  <c r="U4616" i="1"/>
  <c r="BE4616" i="1"/>
  <c r="CC4616" i="1"/>
  <c r="CD4616" i="1"/>
  <c r="A4617" i="1"/>
  <c r="C4617" i="1"/>
  <c r="S4617" i="1"/>
  <c r="T4617" i="1"/>
  <c r="U4617" i="1"/>
  <c r="BE4617" i="1"/>
  <c r="CC4617" i="1"/>
  <c r="CD4617" i="1"/>
  <c r="A4618" i="1"/>
  <c r="C4618" i="1"/>
  <c r="S4618" i="1"/>
  <c r="T4618" i="1"/>
  <c r="U4618" i="1"/>
  <c r="BE4618" i="1"/>
  <c r="CC4618" i="1"/>
  <c r="CD4618" i="1"/>
  <c r="A4619" i="1"/>
  <c r="C4619" i="1"/>
  <c r="S4619" i="1"/>
  <c r="T4619" i="1"/>
  <c r="U4619" i="1"/>
  <c r="BE4619" i="1"/>
  <c r="CC4619" i="1"/>
  <c r="CD4619" i="1"/>
  <c r="A4620" i="1"/>
  <c r="C4620" i="1"/>
  <c r="S4620" i="1"/>
  <c r="T4620" i="1"/>
  <c r="U4620" i="1"/>
  <c r="BE4620" i="1"/>
  <c r="CC4620" i="1"/>
  <c r="CD4620" i="1"/>
  <c r="A4621" i="1"/>
  <c r="C4621" i="1"/>
  <c r="S4621" i="1"/>
  <c r="T4621" i="1"/>
  <c r="U4621" i="1"/>
  <c r="BE4621" i="1"/>
  <c r="CC4621" i="1"/>
  <c r="CD4621" i="1"/>
  <c r="A4622" i="1"/>
  <c r="C4622" i="1"/>
  <c r="S4622" i="1"/>
  <c r="T4622" i="1"/>
  <c r="U4622" i="1"/>
  <c r="BE4622" i="1"/>
  <c r="CC4622" i="1"/>
  <c r="CD4622" i="1"/>
  <c r="A4623" i="1"/>
  <c r="C4623" i="1"/>
  <c r="S4623" i="1"/>
  <c r="T4623" i="1"/>
  <c r="U4623" i="1"/>
  <c r="BE4623" i="1"/>
  <c r="CC4623" i="1"/>
  <c r="CD4623" i="1"/>
  <c r="A4624" i="1"/>
  <c r="C4624" i="1"/>
  <c r="S4624" i="1"/>
  <c r="T4624" i="1"/>
  <c r="U4624" i="1"/>
  <c r="BE4624" i="1"/>
  <c r="CC4624" i="1"/>
  <c r="CD4624" i="1"/>
  <c r="A4625" i="1"/>
  <c r="C4625" i="1"/>
  <c r="S4625" i="1"/>
  <c r="T4625" i="1"/>
  <c r="U4625" i="1"/>
  <c r="BE4625" i="1"/>
  <c r="CC4625" i="1"/>
  <c r="CD4625" i="1"/>
  <c r="A4626" i="1"/>
  <c r="C4626" i="1"/>
  <c r="S4626" i="1"/>
  <c r="T4626" i="1"/>
  <c r="U4626" i="1"/>
  <c r="BE4626" i="1"/>
  <c r="CC4626" i="1"/>
  <c r="CD4626" i="1"/>
  <c r="A4627" i="1"/>
  <c r="C4627" i="1"/>
  <c r="S4627" i="1"/>
  <c r="T4627" i="1"/>
  <c r="U4627" i="1"/>
  <c r="BE4627" i="1"/>
  <c r="CC4627" i="1"/>
  <c r="CD4627" i="1"/>
  <c r="A4628" i="1"/>
  <c r="C4628" i="1"/>
  <c r="S4628" i="1"/>
  <c r="T4628" i="1"/>
  <c r="U4628" i="1"/>
  <c r="BE4628" i="1"/>
  <c r="CC4628" i="1"/>
  <c r="CD4628" i="1"/>
  <c r="A4629" i="1"/>
  <c r="C4629" i="1"/>
  <c r="S4629" i="1"/>
  <c r="T4629" i="1"/>
  <c r="U4629" i="1"/>
  <c r="BE4629" i="1"/>
  <c r="CC4629" i="1"/>
  <c r="CD4629" i="1"/>
  <c r="A4630" i="1"/>
  <c r="C4630" i="1"/>
  <c r="S4630" i="1"/>
  <c r="T4630" i="1"/>
  <c r="U4630" i="1"/>
  <c r="BE4630" i="1"/>
  <c r="CC4630" i="1"/>
  <c r="CD4630" i="1"/>
  <c r="A4631" i="1"/>
  <c r="C4631" i="1"/>
  <c r="S4631" i="1"/>
  <c r="T4631" i="1"/>
  <c r="U4631" i="1"/>
  <c r="BE4631" i="1"/>
  <c r="CC4631" i="1"/>
  <c r="CD4631" i="1"/>
  <c r="A4632" i="1"/>
  <c r="C4632" i="1"/>
  <c r="S4632" i="1"/>
  <c r="T4632" i="1"/>
  <c r="U4632" i="1"/>
  <c r="BE4632" i="1"/>
  <c r="CC4632" i="1"/>
  <c r="CD4632" i="1"/>
  <c r="A4633" i="1"/>
  <c r="C4633" i="1"/>
  <c r="S4633" i="1"/>
  <c r="T4633" i="1"/>
  <c r="U4633" i="1"/>
  <c r="BE4633" i="1"/>
  <c r="CC4633" i="1"/>
  <c r="CD4633" i="1"/>
  <c r="A4634" i="1"/>
  <c r="C4634" i="1"/>
  <c r="S4634" i="1"/>
  <c r="T4634" i="1"/>
  <c r="U4634" i="1"/>
  <c r="BE4634" i="1"/>
  <c r="CC4634" i="1"/>
  <c r="CD4634" i="1"/>
  <c r="A4635" i="1"/>
  <c r="C4635" i="1"/>
  <c r="S4635" i="1"/>
  <c r="T4635" i="1"/>
  <c r="U4635" i="1"/>
  <c r="BE4635" i="1"/>
  <c r="CC4635" i="1"/>
  <c r="CD4635" i="1"/>
  <c r="A4636" i="1"/>
  <c r="C4636" i="1"/>
  <c r="S4636" i="1"/>
  <c r="T4636" i="1"/>
  <c r="U4636" i="1"/>
  <c r="BE4636" i="1"/>
  <c r="CC4636" i="1"/>
  <c r="CD4636" i="1"/>
  <c r="A4637" i="1"/>
  <c r="C4637" i="1"/>
  <c r="S4637" i="1"/>
  <c r="T4637" i="1"/>
  <c r="U4637" i="1"/>
  <c r="BE4637" i="1"/>
  <c r="CC4637" i="1"/>
  <c r="CD4637" i="1"/>
  <c r="A4638" i="1"/>
  <c r="C4638" i="1"/>
  <c r="S4638" i="1"/>
  <c r="T4638" i="1"/>
  <c r="U4638" i="1"/>
  <c r="BE4638" i="1"/>
  <c r="CC4638" i="1"/>
  <c r="CD4638" i="1"/>
  <c r="A4639" i="1"/>
  <c r="C4639" i="1"/>
  <c r="S4639" i="1"/>
  <c r="T4639" i="1"/>
  <c r="U4639" i="1"/>
  <c r="BE4639" i="1"/>
  <c r="CC4639" i="1"/>
  <c r="CD4639" i="1"/>
  <c r="A4640" i="1"/>
  <c r="C4640" i="1"/>
  <c r="S4640" i="1"/>
  <c r="T4640" i="1"/>
  <c r="U4640" i="1"/>
  <c r="BE4640" i="1"/>
  <c r="CC4640" i="1"/>
  <c r="CD4640" i="1"/>
  <c r="A4641" i="1"/>
  <c r="C4641" i="1"/>
  <c r="S4641" i="1"/>
  <c r="T4641" i="1"/>
  <c r="U4641" i="1"/>
  <c r="BE4641" i="1"/>
  <c r="CC4641" i="1"/>
  <c r="CD4641" i="1"/>
  <c r="A4642" i="1"/>
  <c r="C4642" i="1"/>
  <c r="S4642" i="1"/>
  <c r="T4642" i="1"/>
  <c r="U4642" i="1"/>
  <c r="BE4642" i="1"/>
  <c r="CC4642" i="1"/>
  <c r="CD4642" i="1"/>
  <c r="A4643" i="1"/>
  <c r="C4643" i="1"/>
  <c r="S4643" i="1"/>
  <c r="T4643" i="1"/>
  <c r="U4643" i="1"/>
  <c r="BE4643" i="1"/>
  <c r="CC4643" i="1"/>
  <c r="CD4643" i="1"/>
  <c r="A4644" i="1"/>
  <c r="C4644" i="1"/>
  <c r="S4644" i="1"/>
  <c r="T4644" i="1"/>
  <c r="U4644" i="1"/>
  <c r="BE4644" i="1"/>
  <c r="CC4644" i="1"/>
  <c r="CD4644" i="1"/>
  <c r="A4645" i="1"/>
  <c r="C4645" i="1"/>
  <c r="S4645" i="1"/>
  <c r="T4645" i="1"/>
  <c r="U4645" i="1"/>
  <c r="BE4645" i="1"/>
  <c r="CC4645" i="1"/>
  <c r="CD4645" i="1"/>
  <c r="A4646" i="1"/>
  <c r="C4646" i="1"/>
  <c r="S4646" i="1"/>
  <c r="T4646" i="1"/>
  <c r="U4646" i="1"/>
  <c r="BE4646" i="1"/>
  <c r="CC4646" i="1"/>
  <c r="CD4646" i="1"/>
  <c r="A4647" i="1"/>
  <c r="C4647" i="1"/>
  <c r="S4647" i="1"/>
  <c r="T4647" i="1"/>
  <c r="U4647" i="1"/>
  <c r="BE4647" i="1"/>
  <c r="CC4647" i="1"/>
  <c r="CD4647" i="1"/>
  <c r="A4648" i="1"/>
  <c r="C4648" i="1"/>
  <c r="S4648" i="1"/>
  <c r="T4648" i="1"/>
  <c r="U4648" i="1"/>
  <c r="BE4648" i="1"/>
  <c r="CC4648" i="1"/>
  <c r="CD4648" i="1"/>
  <c r="A4649" i="1"/>
  <c r="C4649" i="1"/>
  <c r="S4649" i="1"/>
  <c r="T4649" i="1"/>
  <c r="U4649" i="1"/>
  <c r="BE4649" i="1"/>
  <c r="CC4649" i="1"/>
  <c r="CD4649" i="1"/>
  <c r="A4650" i="1"/>
  <c r="C4650" i="1"/>
  <c r="S4650" i="1"/>
  <c r="T4650" i="1"/>
  <c r="U4650" i="1"/>
  <c r="BE4650" i="1"/>
  <c r="CC4650" i="1"/>
  <c r="CD4650" i="1"/>
  <c r="A4651" i="1"/>
  <c r="C4651" i="1"/>
  <c r="S4651" i="1"/>
  <c r="T4651" i="1"/>
  <c r="U4651" i="1"/>
  <c r="BE4651" i="1"/>
  <c r="CC4651" i="1"/>
  <c r="CD4651" i="1"/>
  <c r="A4652" i="1"/>
  <c r="C4652" i="1"/>
  <c r="S4652" i="1"/>
  <c r="T4652" i="1"/>
  <c r="U4652" i="1"/>
  <c r="BE4652" i="1"/>
  <c r="CC4652" i="1"/>
  <c r="CD4652" i="1"/>
  <c r="A4653" i="1"/>
  <c r="C4653" i="1"/>
  <c r="S4653" i="1"/>
  <c r="T4653" i="1"/>
  <c r="U4653" i="1"/>
  <c r="BE4653" i="1"/>
  <c r="CC4653" i="1"/>
  <c r="CD4653" i="1"/>
  <c r="A4654" i="1"/>
  <c r="C4654" i="1"/>
  <c r="S4654" i="1"/>
  <c r="T4654" i="1"/>
  <c r="U4654" i="1"/>
  <c r="BE4654" i="1"/>
  <c r="CC4654" i="1"/>
  <c r="CD4654" i="1"/>
  <c r="A4655" i="1"/>
  <c r="C4655" i="1"/>
  <c r="S4655" i="1"/>
  <c r="T4655" i="1"/>
  <c r="U4655" i="1"/>
  <c r="BE4655" i="1"/>
  <c r="CC4655" i="1"/>
  <c r="CD4655" i="1"/>
  <c r="A4656" i="1"/>
  <c r="C4656" i="1"/>
  <c r="S4656" i="1"/>
  <c r="T4656" i="1"/>
  <c r="U4656" i="1"/>
  <c r="BE4656" i="1"/>
  <c r="CC4656" i="1"/>
  <c r="CD4656" i="1"/>
  <c r="A4657" i="1"/>
  <c r="C4657" i="1"/>
  <c r="S4657" i="1"/>
  <c r="T4657" i="1"/>
  <c r="U4657" i="1"/>
  <c r="BE4657" i="1"/>
  <c r="CC4657" i="1"/>
  <c r="CD4657" i="1"/>
  <c r="A4658" i="1"/>
  <c r="C4658" i="1"/>
  <c r="S4658" i="1"/>
  <c r="T4658" i="1"/>
  <c r="U4658" i="1"/>
  <c r="BE4658" i="1"/>
  <c r="CC4658" i="1"/>
  <c r="CD4658" i="1"/>
  <c r="A4659" i="1"/>
  <c r="C4659" i="1"/>
  <c r="S4659" i="1"/>
  <c r="T4659" i="1"/>
  <c r="U4659" i="1"/>
  <c r="BE4659" i="1"/>
  <c r="CC4659" i="1"/>
  <c r="CD4659" i="1"/>
  <c r="A4660" i="1"/>
  <c r="C4660" i="1"/>
  <c r="S4660" i="1"/>
  <c r="T4660" i="1"/>
  <c r="U4660" i="1"/>
  <c r="BE4660" i="1"/>
  <c r="CC4660" i="1"/>
  <c r="CD4660" i="1"/>
  <c r="A4661" i="1"/>
  <c r="C4661" i="1"/>
  <c r="S4661" i="1"/>
  <c r="T4661" i="1"/>
  <c r="U4661" i="1"/>
  <c r="BE4661" i="1"/>
  <c r="CC4661" i="1"/>
  <c r="CD4661" i="1"/>
  <c r="A4662" i="1"/>
  <c r="C4662" i="1"/>
  <c r="S4662" i="1"/>
  <c r="T4662" i="1"/>
  <c r="U4662" i="1"/>
  <c r="BE4662" i="1"/>
  <c r="CC4662" i="1"/>
  <c r="CD4662" i="1"/>
  <c r="A4663" i="1"/>
  <c r="C4663" i="1"/>
  <c r="S4663" i="1"/>
  <c r="T4663" i="1"/>
  <c r="U4663" i="1"/>
  <c r="BE4663" i="1"/>
  <c r="CC4663" i="1"/>
  <c r="CD4663" i="1"/>
  <c r="A4664" i="1"/>
  <c r="C4664" i="1"/>
  <c r="S4664" i="1"/>
  <c r="T4664" i="1"/>
  <c r="U4664" i="1"/>
  <c r="BE4664" i="1"/>
  <c r="CC4664" i="1"/>
  <c r="CD4664" i="1"/>
  <c r="A4665" i="1"/>
  <c r="C4665" i="1"/>
  <c r="S4665" i="1"/>
  <c r="T4665" i="1"/>
  <c r="U4665" i="1"/>
  <c r="BE4665" i="1"/>
  <c r="CC4665" i="1"/>
  <c r="CD4665" i="1"/>
  <c r="A4666" i="1"/>
  <c r="C4666" i="1"/>
  <c r="S4666" i="1"/>
  <c r="T4666" i="1"/>
  <c r="U4666" i="1"/>
  <c r="BE4666" i="1"/>
  <c r="CC4666" i="1"/>
  <c r="CD4666" i="1"/>
  <c r="A4667" i="1"/>
  <c r="C4667" i="1"/>
  <c r="S4667" i="1"/>
  <c r="T4667" i="1"/>
  <c r="U4667" i="1"/>
  <c r="BE4667" i="1"/>
  <c r="CC4667" i="1"/>
  <c r="CD4667" i="1"/>
  <c r="A4668" i="1"/>
  <c r="C4668" i="1"/>
  <c r="S4668" i="1"/>
  <c r="T4668" i="1"/>
  <c r="U4668" i="1"/>
  <c r="BE4668" i="1"/>
  <c r="CC4668" i="1"/>
  <c r="CD4668" i="1"/>
  <c r="A4669" i="1"/>
  <c r="C4669" i="1"/>
  <c r="S4669" i="1"/>
  <c r="T4669" i="1"/>
  <c r="U4669" i="1"/>
  <c r="BE4669" i="1"/>
  <c r="CC4669" i="1"/>
  <c r="CD4669" i="1"/>
  <c r="A4670" i="1"/>
  <c r="C4670" i="1"/>
  <c r="S4670" i="1"/>
  <c r="T4670" i="1"/>
  <c r="U4670" i="1"/>
  <c r="BE4670" i="1"/>
  <c r="CC4670" i="1"/>
  <c r="CD4670" i="1"/>
  <c r="A4671" i="1"/>
  <c r="C4671" i="1"/>
  <c r="S4671" i="1"/>
  <c r="T4671" i="1"/>
  <c r="U4671" i="1"/>
  <c r="BE4671" i="1"/>
  <c r="CC4671" i="1"/>
  <c r="CD4671" i="1"/>
  <c r="A4672" i="1"/>
  <c r="C4672" i="1"/>
  <c r="S4672" i="1"/>
  <c r="T4672" i="1"/>
  <c r="U4672" i="1"/>
  <c r="BE4672" i="1"/>
  <c r="CC4672" i="1"/>
  <c r="CD4672" i="1"/>
  <c r="A4673" i="1"/>
  <c r="C4673" i="1"/>
  <c r="S4673" i="1"/>
  <c r="T4673" i="1"/>
  <c r="U4673" i="1"/>
  <c r="BE4673" i="1"/>
  <c r="CC4673" i="1"/>
  <c r="CD4673" i="1"/>
  <c r="A4674" i="1"/>
  <c r="C4674" i="1"/>
  <c r="S4674" i="1"/>
  <c r="T4674" i="1"/>
  <c r="U4674" i="1"/>
  <c r="BE4674" i="1"/>
  <c r="CC4674" i="1"/>
  <c r="CD4674" i="1"/>
  <c r="A4675" i="1"/>
  <c r="C4675" i="1"/>
  <c r="S4675" i="1"/>
  <c r="T4675" i="1"/>
  <c r="U4675" i="1"/>
  <c r="BE4675" i="1"/>
  <c r="CC4675" i="1"/>
  <c r="CD4675" i="1"/>
  <c r="A4676" i="1"/>
  <c r="C4676" i="1"/>
  <c r="S4676" i="1"/>
  <c r="T4676" i="1"/>
  <c r="U4676" i="1"/>
  <c r="BE4676" i="1"/>
  <c r="CC4676" i="1"/>
  <c r="CD4676" i="1"/>
  <c r="A4677" i="1"/>
  <c r="C4677" i="1"/>
  <c r="S4677" i="1"/>
  <c r="T4677" i="1"/>
  <c r="U4677" i="1"/>
  <c r="BE4677" i="1"/>
  <c r="CC4677" i="1"/>
  <c r="CD4677" i="1"/>
  <c r="A4678" i="1"/>
  <c r="C4678" i="1"/>
  <c r="S4678" i="1"/>
  <c r="T4678" i="1"/>
  <c r="U4678" i="1"/>
  <c r="BE4678" i="1"/>
  <c r="CC4678" i="1"/>
  <c r="CD4678" i="1"/>
  <c r="A4679" i="1"/>
  <c r="C4679" i="1"/>
  <c r="S4679" i="1"/>
  <c r="T4679" i="1"/>
  <c r="U4679" i="1"/>
  <c r="BE4679" i="1"/>
  <c r="CC4679" i="1"/>
  <c r="CD4679" i="1"/>
  <c r="A4680" i="1"/>
  <c r="C4680" i="1"/>
  <c r="S4680" i="1"/>
  <c r="T4680" i="1"/>
  <c r="U4680" i="1"/>
  <c r="BE4680" i="1"/>
  <c r="CC4680" i="1"/>
  <c r="CD4680" i="1"/>
  <c r="A4681" i="1"/>
  <c r="C4681" i="1"/>
  <c r="S4681" i="1"/>
  <c r="T4681" i="1"/>
  <c r="U4681" i="1"/>
  <c r="BE4681" i="1"/>
  <c r="CC4681" i="1"/>
  <c r="CD4681" i="1"/>
  <c r="A4682" i="1"/>
  <c r="C4682" i="1"/>
  <c r="S4682" i="1"/>
  <c r="T4682" i="1"/>
  <c r="U4682" i="1"/>
  <c r="BE4682" i="1"/>
  <c r="CC4682" i="1"/>
  <c r="CD4682" i="1"/>
  <c r="A4683" i="1"/>
  <c r="C4683" i="1"/>
  <c r="S4683" i="1"/>
  <c r="T4683" i="1"/>
  <c r="U4683" i="1"/>
  <c r="BE4683" i="1"/>
  <c r="CC4683" i="1"/>
  <c r="CD4683" i="1"/>
  <c r="A4684" i="1"/>
  <c r="C4684" i="1"/>
  <c r="S4684" i="1"/>
  <c r="T4684" i="1"/>
  <c r="U4684" i="1"/>
  <c r="BE4684" i="1"/>
  <c r="CC4684" i="1"/>
  <c r="CD4684" i="1"/>
  <c r="A4685" i="1"/>
  <c r="C4685" i="1"/>
  <c r="S4685" i="1"/>
  <c r="T4685" i="1"/>
  <c r="U4685" i="1"/>
  <c r="BE4685" i="1"/>
  <c r="CC4685" i="1"/>
  <c r="CD4685" i="1"/>
  <c r="A4686" i="1"/>
  <c r="C4686" i="1"/>
  <c r="S4686" i="1"/>
  <c r="T4686" i="1"/>
  <c r="U4686" i="1"/>
  <c r="BE4686" i="1"/>
  <c r="CC4686" i="1"/>
  <c r="CD4686" i="1"/>
  <c r="A4687" i="1"/>
  <c r="C4687" i="1"/>
  <c r="S4687" i="1"/>
  <c r="T4687" i="1"/>
  <c r="U4687" i="1"/>
  <c r="BE4687" i="1"/>
  <c r="CC4687" i="1"/>
  <c r="CD4687" i="1"/>
  <c r="A4688" i="1"/>
  <c r="C4688" i="1"/>
  <c r="S4688" i="1"/>
  <c r="T4688" i="1"/>
  <c r="U4688" i="1"/>
  <c r="BE4688" i="1"/>
  <c r="CC4688" i="1"/>
  <c r="CD4688" i="1"/>
  <c r="A4689" i="1"/>
  <c r="C4689" i="1"/>
  <c r="S4689" i="1"/>
  <c r="T4689" i="1"/>
  <c r="U4689" i="1"/>
  <c r="BE4689" i="1"/>
  <c r="CC4689" i="1"/>
  <c r="CD4689" i="1"/>
  <c r="A4690" i="1"/>
  <c r="C4690" i="1"/>
  <c r="S4690" i="1"/>
  <c r="T4690" i="1"/>
  <c r="U4690" i="1"/>
  <c r="BE4690" i="1"/>
  <c r="CC4690" i="1"/>
  <c r="CD4690" i="1"/>
  <c r="A4691" i="1"/>
  <c r="C4691" i="1"/>
  <c r="S4691" i="1"/>
  <c r="T4691" i="1"/>
  <c r="U4691" i="1"/>
  <c r="BE4691" i="1"/>
  <c r="CC4691" i="1"/>
  <c r="CD4691" i="1"/>
  <c r="A4692" i="1"/>
  <c r="C4692" i="1"/>
  <c r="S4692" i="1"/>
  <c r="T4692" i="1"/>
  <c r="U4692" i="1"/>
  <c r="BE4692" i="1"/>
  <c r="CC4692" i="1"/>
  <c r="CD4692" i="1"/>
  <c r="A4693" i="1"/>
  <c r="C4693" i="1"/>
  <c r="S4693" i="1"/>
  <c r="T4693" i="1"/>
  <c r="U4693" i="1"/>
  <c r="BE4693" i="1"/>
  <c r="CC4693" i="1"/>
  <c r="CD4693" i="1"/>
  <c r="A4694" i="1"/>
  <c r="C4694" i="1"/>
  <c r="S4694" i="1"/>
  <c r="T4694" i="1"/>
  <c r="U4694" i="1"/>
  <c r="BE4694" i="1"/>
  <c r="CC4694" i="1"/>
  <c r="CD4694" i="1"/>
  <c r="A4695" i="1"/>
  <c r="C4695" i="1"/>
  <c r="S4695" i="1"/>
  <c r="T4695" i="1"/>
  <c r="U4695" i="1"/>
  <c r="BE4695" i="1"/>
  <c r="CC4695" i="1"/>
  <c r="CD4695" i="1"/>
  <c r="A4696" i="1"/>
  <c r="C4696" i="1"/>
  <c r="S4696" i="1"/>
  <c r="T4696" i="1"/>
  <c r="U4696" i="1"/>
  <c r="BE4696" i="1"/>
  <c r="CC4696" i="1"/>
  <c r="CD4696" i="1"/>
  <c r="A4697" i="1"/>
  <c r="C4697" i="1"/>
  <c r="S4697" i="1"/>
  <c r="T4697" i="1"/>
  <c r="U4697" i="1"/>
  <c r="BE4697" i="1"/>
  <c r="CC4697" i="1"/>
  <c r="CD4697" i="1"/>
  <c r="A4698" i="1"/>
  <c r="C4698" i="1"/>
  <c r="S4698" i="1"/>
  <c r="T4698" i="1"/>
  <c r="U4698" i="1"/>
  <c r="BE4698" i="1"/>
  <c r="CC4698" i="1"/>
  <c r="CD4698" i="1"/>
  <c r="A4699" i="1"/>
  <c r="C4699" i="1"/>
  <c r="S4699" i="1"/>
  <c r="T4699" i="1"/>
  <c r="U4699" i="1"/>
  <c r="BE4699" i="1"/>
  <c r="CC4699" i="1"/>
  <c r="CD4699" i="1"/>
  <c r="A4700" i="1"/>
  <c r="C4700" i="1"/>
  <c r="S4700" i="1"/>
  <c r="T4700" i="1"/>
  <c r="U4700" i="1"/>
  <c r="BE4700" i="1"/>
  <c r="CC4700" i="1"/>
  <c r="CD4700" i="1"/>
  <c r="A4701" i="1"/>
  <c r="C4701" i="1"/>
  <c r="S4701" i="1"/>
  <c r="T4701" i="1"/>
  <c r="U4701" i="1"/>
  <c r="BE4701" i="1"/>
  <c r="CC4701" i="1"/>
  <c r="CD4701" i="1"/>
  <c r="A4702" i="1"/>
  <c r="C4702" i="1"/>
  <c r="S4702" i="1"/>
  <c r="T4702" i="1"/>
  <c r="U4702" i="1"/>
  <c r="BE4702" i="1"/>
  <c r="CC4702" i="1"/>
  <c r="CD4702" i="1"/>
  <c r="A4703" i="1"/>
  <c r="C4703" i="1"/>
  <c r="S4703" i="1"/>
  <c r="T4703" i="1"/>
  <c r="U4703" i="1"/>
  <c r="BE4703" i="1"/>
  <c r="CC4703" i="1"/>
  <c r="CD4703" i="1"/>
  <c r="A4704" i="1"/>
  <c r="C4704" i="1"/>
  <c r="S4704" i="1"/>
  <c r="T4704" i="1"/>
  <c r="U4704" i="1"/>
  <c r="BE4704" i="1"/>
  <c r="CC4704" i="1"/>
  <c r="CD4704" i="1"/>
  <c r="A4705" i="1"/>
  <c r="C4705" i="1"/>
  <c r="S4705" i="1"/>
  <c r="T4705" i="1"/>
  <c r="U4705" i="1"/>
  <c r="BE4705" i="1"/>
  <c r="CC4705" i="1"/>
  <c r="CD4705" i="1"/>
  <c r="A4706" i="1"/>
  <c r="C4706" i="1"/>
  <c r="S4706" i="1"/>
  <c r="T4706" i="1"/>
  <c r="U4706" i="1"/>
  <c r="BE4706" i="1"/>
  <c r="CC4706" i="1"/>
  <c r="CD4706" i="1"/>
  <c r="A4707" i="1"/>
  <c r="C4707" i="1"/>
  <c r="S4707" i="1"/>
  <c r="T4707" i="1"/>
  <c r="U4707" i="1"/>
  <c r="BE4707" i="1"/>
  <c r="CC4707" i="1"/>
  <c r="CD4707" i="1"/>
  <c r="A4708" i="1"/>
  <c r="C4708" i="1"/>
  <c r="S4708" i="1"/>
  <c r="T4708" i="1"/>
  <c r="U4708" i="1"/>
  <c r="BE4708" i="1"/>
  <c r="CC4708" i="1"/>
  <c r="CD4708" i="1"/>
  <c r="A4709" i="1"/>
  <c r="C4709" i="1"/>
  <c r="S4709" i="1"/>
  <c r="T4709" i="1"/>
  <c r="U4709" i="1"/>
  <c r="BE4709" i="1"/>
  <c r="CC4709" i="1"/>
  <c r="CD4709" i="1"/>
  <c r="A4710" i="1"/>
  <c r="C4710" i="1"/>
  <c r="S4710" i="1"/>
  <c r="T4710" i="1"/>
  <c r="U4710" i="1"/>
  <c r="BE4710" i="1"/>
  <c r="CC4710" i="1"/>
  <c r="CD4710" i="1"/>
  <c r="A4711" i="1"/>
  <c r="C4711" i="1"/>
  <c r="S4711" i="1"/>
  <c r="T4711" i="1"/>
  <c r="U4711" i="1"/>
  <c r="BE4711" i="1"/>
  <c r="CC4711" i="1"/>
  <c r="CD4711" i="1"/>
  <c r="A4712" i="1"/>
  <c r="C4712" i="1"/>
  <c r="S4712" i="1"/>
  <c r="T4712" i="1"/>
  <c r="U4712" i="1"/>
  <c r="BE4712" i="1"/>
  <c r="CC4712" i="1"/>
  <c r="CD4712" i="1"/>
  <c r="A4713" i="1"/>
  <c r="C4713" i="1"/>
  <c r="S4713" i="1"/>
  <c r="T4713" i="1"/>
  <c r="U4713" i="1"/>
  <c r="BE4713" i="1"/>
  <c r="CC4713" i="1"/>
  <c r="CD4713" i="1"/>
  <c r="A4714" i="1"/>
  <c r="C4714" i="1"/>
  <c r="S4714" i="1"/>
  <c r="T4714" i="1"/>
  <c r="U4714" i="1"/>
  <c r="BE4714" i="1"/>
  <c r="CC4714" i="1"/>
  <c r="CD4714" i="1"/>
  <c r="A4715" i="1"/>
  <c r="C4715" i="1"/>
  <c r="S4715" i="1"/>
  <c r="T4715" i="1"/>
  <c r="U4715" i="1"/>
  <c r="BE4715" i="1"/>
  <c r="CC4715" i="1"/>
  <c r="CD4715" i="1"/>
  <c r="A4716" i="1"/>
  <c r="C4716" i="1"/>
  <c r="S4716" i="1"/>
  <c r="T4716" i="1"/>
  <c r="U4716" i="1"/>
  <c r="BE4716" i="1"/>
  <c r="CC4716" i="1"/>
  <c r="CD4716" i="1"/>
  <c r="A4717" i="1"/>
  <c r="C4717" i="1"/>
  <c r="S4717" i="1"/>
  <c r="T4717" i="1"/>
  <c r="U4717" i="1"/>
  <c r="BE4717" i="1"/>
  <c r="CC4717" i="1"/>
  <c r="CD4717" i="1"/>
  <c r="A4718" i="1"/>
  <c r="C4718" i="1"/>
  <c r="S4718" i="1"/>
  <c r="T4718" i="1"/>
  <c r="U4718" i="1"/>
  <c r="BE4718" i="1"/>
  <c r="CC4718" i="1"/>
  <c r="CD4718" i="1"/>
  <c r="A4719" i="1"/>
  <c r="C4719" i="1"/>
  <c r="S4719" i="1"/>
  <c r="T4719" i="1"/>
  <c r="U4719" i="1"/>
  <c r="BE4719" i="1"/>
  <c r="CC4719" i="1"/>
  <c r="CD4719" i="1"/>
  <c r="A4720" i="1"/>
  <c r="C4720" i="1"/>
  <c r="S4720" i="1"/>
  <c r="T4720" i="1"/>
  <c r="U4720" i="1"/>
  <c r="BE4720" i="1"/>
  <c r="CC4720" i="1"/>
  <c r="CD4720" i="1"/>
  <c r="A4721" i="1"/>
  <c r="C4721" i="1"/>
  <c r="S4721" i="1"/>
  <c r="T4721" i="1"/>
  <c r="U4721" i="1"/>
  <c r="BE4721" i="1"/>
  <c r="CC4721" i="1"/>
  <c r="CD4721" i="1"/>
  <c r="A4722" i="1"/>
  <c r="C4722" i="1"/>
  <c r="S4722" i="1"/>
  <c r="T4722" i="1"/>
  <c r="U4722" i="1"/>
  <c r="BE4722" i="1"/>
  <c r="CC4722" i="1"/>
  <c r="CD4722" i="1"/>
  <c r="A4723" i="1"/>
  <c r="C4723" i="1"/>
  <c r="S4723" i="1"/>
  <c r="T4723" i="1"/>
  <c r="U4723" i="1"/>
  <c r="BE4723" i="1"/>
  <c r="CC4723" i="1"/>
  <c r="CD4723" i="1"/>
  <c r="A4724" i="1"/>
  <c r="C4724" i="1"/>
  <c r="S4724" i="1"/>
  <c r="T4724" i="1"/>
  <c r="U4724" i="1"/>
  <c r="BE4724" i="1"/>
  <c r="CC4724" i="1"/>
  <c r="CD4724" i="1"/>
  <c r="A4725" i="1"/>
  <c r="C4725" i="1"/>
  <c r="S4725" i="1"/>
  <c r="T4725" i="1"/>
  <c r="U4725" i="1"/>
  <c r="BE4725" i="1"/>
  <c r="CC4725" i="1"/>
  <c r="CD4725" i="1"/>
  <c r="A4726" i="1"/>
  <c r="C4726" i="1"/>
  <c r="S4726" i="1"/>
  <c r="T4726" i="1"/>
  <c r="U4726" i="1"/>
  <c r="BE4726" i="1"/>
  <c r="CC4726" i="1"/>
  <c r="CD4726" i="1"/>
  <c r="A4727" i="1"/>
  <c r="C4727" i="1"/>
  <c r="S4727" i="1"/>
  <c r="T4727" i="1"/>
  <c r="U4727" i="1"/>
  <c r="BE4727" i="1"/>
  <c r="CC4727" i="1"/>
  <c r="CD4727" i="1"/>
</calcChain>
</file>

<file path=xl/sharedStrings.xml><?xml version="1.0" encoding="utf-8"?>
<sst xmlns="http://schemas.openxmlformats.org/spreadsheetml/2006/main" count="66272" uniqueCount="8424">
  <si>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</si>
  <si>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</si>
  <si>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</si>
  <si>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</si>
  <si>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</si>
  <si>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</si>
  <si>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</si>
  <si>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</si>
  <si>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</si>
  <si>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</si>
  <si>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</si>
  <si>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</si>
  <si>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</si>
  <si>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</si>
  <si>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</si>
  <si>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</si>
  <si>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</si>
  <si>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</si>
  <si>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</si>
  <si>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</si>
  <si>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</si>
  <si>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</si>
  <si>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</si>
  <si>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</si>
  <si>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SBA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</si>
  <si>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</si>
  <si>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</si>
  <si>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</si>
  <si>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</si>
  <si>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</si>
  <si>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</si>
  <si>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</si>
  <si>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</si>
  <si>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</si>
  <si>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</si>
  <si>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</si>
  <si>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</si>
  <si>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</si>
  <si>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</si>
  <si>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</si>
  <si>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</si>
  <si>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</si>
  <si>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</si>
  <si>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</si>
  <si>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</si>
  <si>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</si>
  <si>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</si>
  <si>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</si>
  <si>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</si>
  <si>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</si>
  <si>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</si>
  <si>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</si>
  <si>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</si>
  <si>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</si>
  <si>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</si>
  <si>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</si>
  <si>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</si>
  <si>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</si>
  <si>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</si>
  <si>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</si>
  <si>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</si>
  <si>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</si>
  <si>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</si>
  <si>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</si>
  <si>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</si>
  <si>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</si>
  <si>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</si>
  <si>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</si>
  <si>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</si>
  <si>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</si>
  <si>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</si>
  <si>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</si>
  <si>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</si>
  <si>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</si>
  <si>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</si>
  <si>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</si>
  <si>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</si>
  <si>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</si>
  <si>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</si>
  <si>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</si>
  <si>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</si>
  <si>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</si>
  <si>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</si>
  <si>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</si>
  <si>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</si>
  <si>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</si>
  <si>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</si>
  <si>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</si>
  <si>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</si>
  <si>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</si>
  <si>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</si>
  <si>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</si>
  <si>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</si>
  <si>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</si>
  <si>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</si>
  <si>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</si>
  <si>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</si>
  <si>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</si>
  <si>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</si>
  <si>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</si>
  <si>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</si>
  <si>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</si>
  <si>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</si>
  <si>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</si>
  <si>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</si>
  <si>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</si>
  <si>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</si>
  <si>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</si>
  <si>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VehId</t>
  </si>
  <si>
    <t>TimeOrig</t>
  </si>
  <si>
    <t>Best 1090 LV+</t>
  </si>
  <si>
    <t>c1</t>
  </si>
  <si>
    <t>Seattle</t>
  </si>
  <si>
    <t>Enroute</t>
  </si>
  <si>
    <t>A</t>
  </si>
  <si>
    <t>EnRoute</t>
  </si>
  <si>
    <t>047:06:13.43 N</t>
  </si>
  <si>
    <t>122:17:13.41 W</t>
  </si>
  <si>
    <t>GNSS</t>
  </si>
  <si>
    <t>TDOA</t>
  </si>
  <si>
    <t>RS - HP 1090 Multi Chl Radio</t>
  </si>
  <si>
    <t>174-19</t>
  </si>
  <si>
    <t>PWT</t>
  </si>
  <si>
    <t xml:space="preserve"> </t>
  </si>
  <si>
    <t>047:06:14.28 N</t>
  </si>
  <si>
    <t>122:17:13.33 W</t>
  </si>
  <si>
    <t>047:06:15.29 N</t>
  </si>
  <si>
    <t>122:17:13.18 W</t>
  </si>
  <si>
    <t>047:06:16.52 N</t>
  </si>
  <si>
    <t>047:06:17.61 N</t>
  </si>
  <si>
    <t>122:17:13.10 W</t>
  </si>
  <si>
    <t>047:06:18.61 N</t>
  </si>
  <si>
    <t>122:17:12.79 W</t>
  </si>
  <si>
    <t>047:06:19.69 N</t>
  </si>
  <si>
    <t>122:17:12.64 W</t>
  </si>
  <si>
    <t>047:06:20.70 N</t>
  </si>
  <si>
    <t>122:17:12.56 W</t>
  </si>
  <si>
    <t>047:06:21.70 N</t>
  </si>
  <si>
    <t>122:17:12.41 W</t>
  </si>
  <si>
    <t>047:06:22.55 N</t>
  </si>
  <si>
    <t>047:06:23.55 N</t>
  </si>
  <si>
    <t>122:17:12.33 W</t>
  </si>
  <si>
    <t>047:06:24.56 N</t>
  </si>
  <si>
    <t>122:17:12.18 W</t>
  </si>
  <si>
    <t>047:06:25.64 N</t>
  </si>
  <si>
    <t>122:17:11.87 W</t>
  </si>
  <si>
    <t>047:06:26.64 N</t>
  </si>
  <si>
    <t>047:06:28.03 N</t>
  </si>
  <si>
    <t>122:17:11.64 W</t>
  </si>
  <si>
    <t>047:06:28.96 N</t>
  </si>
  <si>
    <t>122:17:11.56 W</t>
  </si>
  <si>
    <t>047:06:30.04 N</t>
  </si>
  <si>
    <t>122:17:11.40 W</t>
  </si>
  <si>
    <t>047:06:31.12 N</t>
  </si>
  <si>
    <t>122:17:11.33 W</t>
  </si>
  <si>
    <t>047:06:32.21 N</t>
  </si>
  <si>
    <t>047:06:33.29 N</t>
  </si>
  <si>
    <t>122:17:11.09 W</t>
  </si>
  <si>
    <t>Oceanic</t>
  </si>
  <si>
    <t>047:06:34.45 N</t>
  </si>
  <si>
    <t>122:17:10.86 W</t>
  </si>
  <si>
    <t>047:06:35.53 N</t>
  </si>
  <si>
    <t>047:06:36.76 N</t>
  </si>
  <si>
    <t>122:17:10.63 W</t>
  </si>
  <si>
    <t>047:06:37.84 N</t>
  </si>
  <si>
    <t>047:06:38.85 N</t>
  </si>
  <si>
    <t>122:17:10.32 W</t>
  </si>
  <si>
    <t>047:06:39.93 N</t>
  </si>
  <si>
    <t>122:17:10.40 W</t>
  </si>
  <si>
    <t>047:06:41.17 N</t>
  </si>
  <si>
    <t>122:17:10.09 W</t>
  </si>
  <si>
    <t>047:06:42.32 N</t>
  </si>
  <si>
    <t>RS - LP 1090 Single Chl Radio</t>
  </si>
  <si>
    <t>212-02</t>
  </si>
  <si>
    <t>SEAA</t>
  </si>
  <si>
    <t>047:06:43.79 N</t>
  </si>
  <si>
    <t>047:06:45.18 N</t>
  </si>
  <si>
    <t>122:17:09.86 W</t>
  </si>
  <si>
    <t>047:06:46.19 N</t>
  </si>
  <si>
    <t>047:06:47.50 N</t>
  </si>
  <si>
    <t>122:17:09.63 W</t>
  </si>
  <si>
    <t>047:06:48.50 N</t>
  </si>
  <si>
    <t>122:17:09.32 W</t>
  </si>
  <si>
    <t>047:06:49.74 N</t>
  </si>
  <si>
    <t>122:17:08.85 W</t>
  </si>
  <si>
    <t>047:06:50.67 N</t>
  </si>
  <si>
    <t>122:17:08.31 W</t>
  </si>
  <si>
    <t>047:06:51.90 N</t>
  </si>
  <si>
    <t>122:17:07.39 W</t>
  </si>
  <si>
    <t>047:06:52.83 N</t>
  </si>
  <si>
    <t>122:17:06.38 W</t>
  </si>
  <si>
    <t>047:06:53.83 N</t>
  </si>
  <si>
    <t>122:17:05.07 W</t>
  </si>
  <si>
    <t>047:06:54.53 N</t>
  </si>
  <si>
    <t>122:17:04.30 W</t>
  </si>
  <si>
    <t>047:06:55.15 N</t>
  </si>
  <si>
    <t>122:17:02.91 W</t>
  </si>
  <si>
    <t>174-17</t>
  </si>
  <si>
    <t>PAE</t>
  </si>
  <si>
    <t>047:06:56.00 N</t>
  </si>
  <si>
    <t>122:17:01.21 W</t>
  </si>
  <si>
    <t>047:06:56.38 N</t>
  </si>
  <si>
    <t>122:17:00.00 W</t>
  </si>
  <si>
    <t>047:06:57.00 N</t>
  </si>
  <si>
    <t>122:16:58.50 W</t>
  </si>
  <si>
    <t>047:06:57.39 N</t>
  </si>
  <si>
    <t>122:16:56.96 W</t>
  </si>
  <si>
    <t>047:06:57.77 N</t>
  </si>
  <si>
    <t>122:16:55.49 W</t>
  </si>
  <si>
    <t>047:06:58.08 N</t>
  </si>
  <si>
    <t>122:16:54.18 W</t>
  </si>
  <si>
    <t>047:06:58.31 N</t>
  </si>
  <si>
    <t>122:16:52.55 W</t>
  </si>
  <si>
    <t>047:06:58.70 N</t>
  </si>
  <si>
    <t>122:16:50.86 W</t>
  </si>
  <si>
    <t>047:06:58.93 N</t>
  </si>
  <si>
    <t>122:16:49.31 W</t>
  </si>
  <si>
    <t>047:06:59.24 N</t>
  </si>
  <si>
    <t>122:16:47.77 W</t>
  </si>
  <si>
    <t>212-01</t>
  </si>
  <si>
    <t>SEA</t>
  </si>
  <si>
    <t>047:06:59.32 N</t>
  </si>
  <si>
    <t>122:16:46.38 W</t>
  </si>
  <si>
    <t>047:06:59.47 N</t>
  </si>
  <si>
    <t>122:16:44.68 W</t>
  </si>
  <si>
    <t>122:16:43.13 W</t>
  </si>
  <si>
    <t>047:06:59.40 N</t>
  </si>
  <si>
    <t>122:16:41.43 W</t>
  </si>
  <si>
    <t>047:06:58.62 N</t>
  </si>
  <si>
    <t>122:16:37.72 W</t>
  </si>
  <si>
    <t>047:06:58.39 N</t>
  </si>
  <si>
    <t>122:16:36.10 W</t>
  </si>
  <si>
    <t>122:16:34.79 W</t>
  </si>
  <si>
    <t>047:06:57.31 N</t>
  </si>
  <si>
    <t>122:16:33.24 W</t>
  </si>
  <si>
    <t>047:06:56.69 N</t>
  </si>
  <si>
    <t>122:16:31.85 W</t>
  </si>
  <si>
    <t>047:06:56.07 N</t>
  </si>
  <si>
    <t>122:16:30.31 W</t>
  </si>
  <si>
    <t>047:06:55.22 N</t>
  </si>
  <si>
    <t>122:16:29.07 W</t>
  </si>
  <si>
    <t>122:16:27.99 W</t>
  </si>
  <si>
    <t>047:06:53.68 N</t>
  </si>
  <si>
    <t>122:16:26.83 W</t>
  </si>
  <si>
    <t>122:16:25.75 W</t>
  </si>
  <si>
    <t>047:06:51.67 N</t>
  </si>
  <si>
    <t>122:16:24.51 W</t>
  </si>
  <si>
    <t>047:06:50.74 N</t>
  </si>
  <si>
    <t>122:16:23.36 W</t>
  </si>
  <si>
    <t>047:06:49.89 N</t>
  </si>
  <si>
    <t>122:16:22.66 W</t>
  </si>
  <si>
    <t>047:06:48.97 N</t>
  </si>
  <si>
    <t>122:16:21.66 W</t>
  </si>
  <si>
    <t>047:06:47.89 N</t>
  </si>
  <si>
    <t>122:16:20.88 W</t>
  </si>
  <si>
    <t>047:06:46.80 N</t>
  </si>
  <si>
    <t>122:16:20.19 W</t>
  </si>
  <si>
    <t>047:06:45.80 N</t>
  </si>
  <si>
    <t>122:16:19.42 W</t>
  </si>
  <si>
    <t>047:06:44.80 N</t>
  </si>
  <si>
    <t>122:16:18.87 W</t>
  </si>
  <si>
    <t>122:16:18.10 W</t>
  </si>
  <si>
    <t>047:06:42.63 N</t>
  </si>
  <si>
    <t>122:16:17.64 W</t>
  </si>
  <si>
    <t>047:06:41.32 N</t>
  </si>
  <si>
    <t>122:16:16.94 W</t>
  </si>
  <si>
    <t>047:06:40.01 N</t>
  </si>
  <si>
    <t>122:16:16.48 W</t>
  </si>
  <si>
    <t>047:06:38.77 N</t>
  </si>
  <si>
    <t>122:16:16.09 W</t>
  </si>
  <si>
    <t>047:06:37.77 N</t>
  </si>
  <si>
    <t>122:16:15.86 W</t>
  </si>
  <si>
    <t>047:06:36.69 N</t>
  </si>
  <si>
    <t>122:16:15.71 W</t>
  </si>
  <si>
    <t>047:06:35.29 N</t>
  </si>
  <si>
    <t>122:16:15.32 W</t>
  </si>
  <si>
    <t>047:06:33.90 N</t>
  </si>
  <si>
    <t>047:06:32.75 N</t>
  </si>
  <si>
    <t>122:16:15.24 W</t>
  </si>
  <si>
    <t>047:06:31.43 N</t>
  </si>
  <si>
    <t>122:16:15.09 W</t>
  </si>
  <si>
    <t>047:06:30.27 N</t>
  </si>
  <si>
    <t>122:16:15.01 W</t>
  </si>
  <si>
    <t>047:06:29.12 N</t>
  </si>
  <si>
    <t>122:16:14.70 W</t>
  </si>
  <si>
    <t>122:16:14.86 W</t>
  </si>
  <si>
    <t>047:06:26.80 N</t>
  </si>
  <si>
    <t>047:06:25.56 N</t>
  </si>
  <si>
    <t>047:06:24.33 N</t>
  </si>
  <si>
    <t>047:06:23.17 N</t>
  </si>
  <si>
    <t>047:06:19.61 N</t>
  </si>
  <si>
    <t>122:16:15.48 W</t>
  </si>
  <si>
    <t>047:06:18.30 N</t>
  </si>
  <si>
    <t>047:06:17.30 N</t>
  </si>
  <si>
    <t>047:06:15.98 N</t>
  </si>
  <si>
    <t>047:06:14.67 N</t>
  </si>
  <si>
    <t>047:06:13.28 N</t>
  </si>
  <si>
    <t>122:16:15.94 W</t>
  </si>
  <si>
    <t>047:06:12.28 N</t>
  </si>
  <si>
    <t>047:06:11.12 N</t>
  </si>
  <si>
    <t>047:06:09.80 N</t>
  </si>
  <si>
    <t>122:16:16.33 W</t>
  </si>
  <si>
    <t>047:06:08.72 N</t>
  </si>
  <si>
    <t>047:06:07.25 N</t>
  </si>
  <si>
    <t>122:16:16.63 W</t>
  </si>
  <si>
    <t>047:06:05.94 N</t>
  </si>
  <si>
    <t>122:16:16.87 W</t>
  </si>
  <si>
    <t>047:06:04.78 N</t>
  </si>
  <si>
    <t>047:06:03.39 N</t>
  </si>
  <si>
    <t>122:16:17.18 W</t>
  </si>
  <si>
    <t>047:06:02.23 N</t>
  </si>
  <si>
    <t>122:16:17.41 W</t>
  </si>
  <si>
    <t>047:06:00.77 N</t>
  </si>
  <si>
    <t>122:16:17.72 W</t>
  </si>
  <si>
    <t>047:05:59.45 N</t>
  </si>
  <si>
    <t>122:16:17.95 W</t>
  </si>
  <si>
    <t>047:05:58.06 N</t>
  </si>
  <si>
    <t>047:05:56.90 N</t>
  </si>
  <si>
    <t>122:16:18.41 W</t>
  </si>
  <si>
    <t>047:05:55.51 N</t>
  </si>
  <si>
    <t>122:16:18.64 W</t>
  </si>
  <si>
    <t>047:05:53.50 N</t>
  </si>
  <si>
    <t>122:16:19.18 W</t>
  </si>
  <si>
    <t>047:05:52.35 N</t>
  </si>
  <si>
    <t>047:05:50.72 N</t>
  </si>
  <si>
    <t>122:16:19.96 W</t>
  </si>
  <si>
    <t>047:05:49.49 N</t>
  </si>
  <si>
    <t>047:05:48.17 N</t>
  </si>
  <si>
    <t>122:16:20.65 W</t>
  </si>
  <si>
    <t>047:05:46.78 N</t>
  </si>
  <si>
    <t>122:16:21.19 W</t>
  </si>
  <si>
    <t>047:05:45.62 N</t>
  </si>
  <si>
    <t>122:16:21.42 W</t>
  </si>
  <si>
    <t>047:05:44.31 N</t>
  </si>
  <si>
    <t>122:16:21.89 W</t>
  </si>
  <si>
    <t>047:05:43.00 N</t>
  </si>
  <si>
    <t>122:16:22.20 W</t>
  </si>
  <si>
    <t>047:05:41.69 N</t>
  </si>
  <si>
    <t>122:16:22.89 W</t>
  </si>
  <si>
    <t>047:05:40.14 N</t>
  </si>
  <si>
    <t>122:16:23.20 W</t>
  </si>
  <si>
    <t>047:05:39.06 N</t>
  </si>
  <si>
    <t>122:16:23.66 W</t>
  </si>
  <si>
    <t>047:05:37.75 N</t>
  </si>
  <si>
    <t>122:16:23.97 W</t>
  </si>
  <si>
    <t>047:05:36.43 N</t>
  </si>
  <si>
    <t>122:16:24.13 W</t>
  </si>
  <si>
    <t>047:05:35.27 N</t>
  </si>
  <si>
    <t>122:16:24.36 W</t>
  </si>
  <si>
    <t>047:05:34.11 N</t>
  </si>
  <si>
    <t>122:16:24.75 W</t>
  </si>
  <si>
    <t>047:05:32.80 N</t>
  </si>
  <si>
    <t>122:16:24.90 W</t>
  </si>
  <si>
    <t>047:05:31.41 N</t>
  </si>
  <si>
    <t>122:16:25.21 W</t>
  </si>
  <si>
    <t>047:05:29.94 N</t>
  </si>
  <si>
    <t>122:16:25.36 W</t>
  </si>
  <si>
    <t>047:05:28.32 N</t>
  </si>
  <si>
    <t>122:16:25.83 W</t>
  </si>
  <si>
    <t>047:05:27.16 N</t>
  </si>
  <si>
    <t>122:16:26.14 W</t>
  </si>
  <si>
    <t>047:05:25.69 N</t>
  </si>
  <si>
    <t>122:16:26.21 W</t>
  </si>
  <si>
    <t>047:05:24.38 N</t>
  </si>
  <si>
    <t>122:16:26.52 W</t>
  </si>
  <si>
    <t>047:05:22.91 N</t>
  </si>
  <si>
    <t>047:05:21.52 N</t>
  </si>
  <si>
    <t>122:16:26.99 W</t>
  </si>
  <si>
    <t>047:05:19.59 N</t>
  </si>
  <si>
    <t>122:16:27.60 W</t>
  </si>
  <si>
    <t>047:05:18.20 N</t>
  </si>
  <si>
    <t>122:16:27.76 W</t>
  </si>
  <si>
    <t>047:05:16.50 N</t>
  </si>
  <si>
    <t>122:16:28.30 W</t>
  </si>
  <si>
    <t>047:05:15.11 N</t>
  </si>
  <si>
    <t>122:16:28.61 W</t>
  </si>
  <si>
    <t>047:05:14.18 N</t>
  </si>
  <si>
    <t>047:05:12.79 N</t>
  </si>
  <si>
    <t>122:16:29.30 W</t>
  </si>
  <si>
    <t>047:05:11.33 N</t>
  </si>
  <si>
    <t>122:16:29.84 W</t>
  </si>
  <si>
    <t>047:05:09.94 N</t>
  </si>
  <si>
    <t>122:16:30.08 W</t>
  </si>
  <si>
    <t>047:05:08.47 N</t>
  </si>
  <si>
    <t>122:16:30.54 W</t>
  </si>
  <si>
    <t>047:05:07.08 N</t>
  </si>
  <si>
    <t>122:16:31.08 W</t>
  </si>
  <si>
    <t>047:05:05.46 N</t>
  </si>
  <si>
    <t>122:16:31.31 W</t>
  </si>
  <si>
    <t>047:05:04.22 N</t>
  </si>
  <si>
    <t>047:05:02.75 N</t>
  </si>
  <si>
    <t>047:05:01.59 N</t>
  </si>
  <si>
    <t>122:16:32.32 W</t>
  </si>
  <si>
    <t>047:05:00.13 N</t>
  </si>
  <si>
    <t>122:16:32.55 W</t>
  </si>
  <si>
    <t>047:04:58.50 N</t>
  </si>
  <si>
    <t>122:16:33.01 W</t>
  </si>
  <si>
    <t>047:04:57.04 N</t>
  </si>
  <si>
    <t>122:16:33.32 W</t>
  </si>
  <si>
    <t>047:04:55.72 N</t>
  </si>
  <si>
    <t>122:16:33.55 W</t>
  </si>
  <si>
    <t>047:04:54.33 N</t>
  </si>
  <si>
    <t>122:16:33.86 W</t>
  </si>
  <si>
    <t>047:04:52.86 N</t>
  </si>
  <si>
    <t>122:16:34.25 W</t>
  </si>
  <si>
    <t>047:04:51.55 N</t>
  </si>
  <si>
    <t>122:16:34.63 W</t>
  </si>
  <si>
    <t>047:04:50.24 N</t>
  </si>
  <si>
    <t>122:16:35.02 W</t>
  </si>
  <si>
    <t>047:04:48.85 N</t>
  </si>
  <si>
    <t>122:16:35.41 W</t>
  </si>
  <si>
    <t>047:04:47.61 N</t>
  </si>
  <si>
    <t>122:16:35.71 W</t>
  </si>
  <si>
    <t>047:04:46.45 N</t>
  </si>
  <si>
    <t>122:16:36.02 W</t>
  </si>
  <si>
    <t>047:04:44.99 N</t>
  </si>
  <si>
    <t>122:16:36.41 W</t>
  </si>
  <si>
    <t>047:04:43.67 N</t>
  </si>
  <si>
    <t>122:16:36.72 W</t>
  </si>
  <si>
    <t>047:04:42.44 N</t>
  </si>
  <si>
    <t>122:16:37.18 W</t>
  </si>
  <si>
    <t>047:04:41.05 N</t>
  </si>
  <si>
    <t>047:04:39.35 N</t>
  </si>
  <si>
    <t>122:16:38.19 W</t>
  </si>
  <si>
    <t>047:04:38.11 N</t>
  </si>
  <si>
    <t>122:16:38.65 W</t>
  </si>
  <si>
    <t>047:04:36.72 N</t>
  </si>
  <si>
    <t>122:16:39.19 W</t>
  </si>
  <si>
    <t>047:04:35.41 N</t>
  </si>
  <si>
    <t>122:16:39.42 W</t>
  </si>
  <si>
    <t>047:04:34.25 N</t>
  </si>
  <si>
    <t>122:16:39.96 W</t>
  </si>
  <si>
    <t>047:04:32.93 N</t>
  </si>
  <si>
    <t>122:16:40.20 W</t>
  </si>
  <si>
    <t>047:04:31.47 N</t>
  </si>
  <si>
    <t>122:16:40.66 W</t>
  </si>
  <si>
    <t>047:04:29.92 N</t>
  </si>
  <si>
    <t>122:16:40.97 W</t>
  </si>
  <si>
    <t>047:04:28.53 N</t>
  </si>
  <si>
    <t>047:04:27.22 N</t>
  </si>
  <si>
    <t>122:16:41.89 W</t>
  </si>
  <si>
    <t>047:04:25.75 N</t>
  </si>
  <si>
    <t>122:16:42.20 W</t>
  </si>
  <si>
    <t>047:04:24.36 N</t>
  </si>
  <si>
    <t>122:16:42.67 W</t>
  </si>
  <si>
    <t>047:04:22.89 N</t>
  </si>
  <si>
    <t>122:16:42.98 W</t>
  </si>
  <si>
    <t>047:04:21.58 N</t>
  </si>
  <si>
    <t>122:16:43.44 W</t>
  </si>
  <si>
    <t>047:04:19.65 N</t>
  </si>
  <si>
    <t>122:16:43.75 W</t>
  </si>
  <si>
    <t>047:04:18.18 N</t>
  </si>
  <si>
    <t>122:16:44.29 W</t>
  </si>
  <si>
    <t>047:04:16.79 N</t>
  </si>
  <si>
    <t>047:04:15.63 N</t>
  </si>
  <si>
    <t>122:16:44.91 W</t>
  </si>
  <si>
    <t>047:04:14.16 N</t>
  </si>
  <si>
    <t>122:16:45.29 W</t>
  </si>
  <si>
    <t>047:04:12.62 N</t>
  </si>
  <si>
    <t>122:16:45.76 W</t>
  </si>
  <si>
    <t>047:04:11.31 N</t>
  </si>
  <si>
    <t>122:16:45.99 W</t>
  </si>
  <si>
    <t>047:04:10.07 N</t>
  </si>
  <si>
    <t>047:04:08.60 N</t>
  </si>
  <si>
    <t>122:16:46.76 W</t>
  </si>
  <si>
    <t>047:04:07.21 N</t>
  </si>
  <si>
    <t>122:16:47.15 W</t>
  </si>
  <si>
    <t>047:04:05.74 N</t>
  </si>
  <si>
    <t>122:16:47.53 W</t>
  </si>
  <si>
    <t>047:04:04.43 N</t>
  </si>
  <si>
    <t>122:16:47.61 W</t>
  </si>
  <si>
    <t>047:04:02.89 N</t>
  </si>
  <si>
    <t>122:16:48.07 W</t>
  </si>
  <si>
    <t>047:04:01.49 N</t>
  </si>
  <si>
    <t>122:16:48.38 W</t>
  </si>
  <si>
    <t>047:04:00.26 N</t>
  </si>
  <si>
    <t>122:16:48.54 W</t>
  </si>
  <si>
    <t>047:03:58.71 N</t>
  </si>
  <si>
    <t>122:16:49.08 W</t>
  </si>
  <si>
    <t>047:03:57.25 N</t>
  </si>
  <si>
    <t>047:03:55.70 N</t>
  </si>
  <si>
    <t>122:16:49.85 W</t>
  </si>
  <si>
    <t>047:03:54.39 N</t>
  </si>
  <si>
    <t>122:16:50.31 W</t>
  </si>
  <si>
    <t>047:03:52.23 N</t>
  </si>
  <si>
    <t>122:16:51.09 W</t>
  </si>
  <si>
    <t>047:03:51.07 N</t>
  </si>
  <si>
    <t>122:16:51.55 W</t>
  </si>
  <si>
    <t>047:03:49.91 N</t>
  </si>
  <si>
    <t>122:16:52.09 W</t>
  </si>
  <si>
    <t>047:03:48.52 N</t>
  </si>
  <si>
    <t>122:16:52.40 W</t>
  </si>
  <si>
    <t>047:03:46.97 N</t>
  </si>
  <si>
    <t>122:16:53.10 W</t>
  </si>
  <si>
    <t>047:03:45.81 N</t>
  </si>
  <si>
    <t>122:16:53.79 W</t>
  </si>
  <si>
    <t>047:03:44.65 N</t>
  </si>
  <si>
    <t>122:16:54.25 W</t>
  </si>
  <si>
    <t>047:03:43.34 N</t>
  </si>
  <si>
    <t>122:16:55.03 W</t>
  </si>
  <si>
    <t>047:03:41.95 N</t>
  </si>
  <si>
    <t>122:16:55.64 W</t>
  </si>
  <si>
    <t>047:03:40.72 N</t>
  </si>
  <si>
    <t>122:16:56.03 W</t>
  </si>
  <si>
    <t>047:03:39.48 N</t>
  </si>
  <si>
    <t>122:16:56.65 W</t>
  </si>
  <si>
    <t>047:03:38.40 N</t>
  </si>
  <si>
    <t>122:16:57.27 W</t>
  </si>
  <si>
    <t>047:03:37.24 N</t>
  </si>
  <si>
    <t>122:16:57.73 W</t>
  </si>
  <si>
    <t>047:03:35.93 N</t>
  </si>
  <si>
    <t>122:16:58.43 W</t>
  </si>
  <si>
    <t>047:03:34.61 N</t>
  </si>
  <si>
    <t>122:16:58.97 W</t>
  </si>
  <si>
    <t>047:03:33.15 N</t>
  </si>
  <si>
    <t>122:16:59.74 W</t>
  </si>
  <si>
    <t>047:03:31.91 N</t>
  </si>
  <si>
    <t>122:17:00.20 W</t>
  </si>
  <si>
    <t>047:03:30.67 N</t>
  </si>
  <si>
    <t>122:17:00.74 W</t>
  </si>
  <si>
    <t>047:03:29.21 N</t>
  </si>
  <si>
    <t>047:03:27.89 N</t>
  </si>
  <si>
    <t>122:17:01.75 W</t>
  </si>
  <si>
    <t>047:03:26.73 N</t>
  </si>
  <si>
    <t>122:17:02.29 W</t>
  </si>
  <si>
    <t>047:03:25.42 N</t>
  </si>
  <si>
    <t>122:17:02.67 W</t>
  </si>
  <si>
    <t>047:03:24.11 N</t>
  </si>
  <si>
    <t>122:17:03.22 W</t>
  </si>
  <si>
    <t>047:03:22.72 N</t>
  </si>
  <si>
    <t>122:17:03.52 W</t>
  </si>
  <si>
    <t>047:03:21.40 N</t>
  </si>
  <si>
    <t>122:17:03.91 W</t>
  </si>
  <si>
    <t>047:03:20.01 N</t>
  </si>
  <si>
    <t>047:03:18.78 N</t>
  </si>
  <si>
    <t>122:17:04.68 W</t>
  </si>
  <si>
    <t>047:03:17.54 N</t>
  </si>
  <si>
    <t>047:03:16.15 N</t>
  </si>
  <si>
    <t>122:17:05.38 W</t>
  </si>
  <si>
    <t>047:03:14.99 N</t>
  </si>
  <si>
    <t>122:17:05.53 W</t>
  </si>
  <si>
    <t>047:03:13.52 N</t>
  </si>
  <si>
    <t>122:17:05.92 W</t>
  </si>
  <si>
    <t>047:03:12.37 N</t>
  </si>
  <si>
    <t>122:17:06.15 W</t>
  </si>
  <si>
    <t>047:03:11.13 N</t>
  </si>
  <si>
    <t>122:17:06.31 W</t>
  </si>
  <si>
    <t>047:03:09.74 N</t>
  </si>
  <si>
    <t>122:17:06.61 W</t>
  </si>
  <si>
    <t>047:03:08.43 N</t>
  </si>
  <si>
    <t>122:17:07.08 W</t>
  </si>
  <si>
    <t>047:03:06.96 N</t>
  </si>
  <si>
    <t>122:17:07.31 W</t>
  </si>
  <si>
    <t>047:03:05.41 N</t>
  </si>
  <si>
    <t>122:17:07.62 W</t>
  </si>
  <si>
    <t>047:03:04.10 N</t>
  </si>
  <si>
    <t>122:17:07.85 W</t>
  </si>
  <si>
    <t>047:03:02.79 N</t>
  </si>
  <si>
    <t>122:17:08.16 W</t>
  </si>
  <si>
    <t>047:03:01.40 N</t>
  </si>
  <si>
    <t>122:17:08.62 W</t>
  </si>
  <si>
    <t>047:02:59.77 N</t>
  </si>
  <si>
    <t>047:02:58.54 N</t>
  </si>
  <si>
    <t>047:02:57.07 N</t>
  </si>
  <si>
    <t>047:02:55.68 N</t>
  </si>
  <si>
    <t>047:02:54.60 N</t>
  </si>
  <si>
    <t>047:02:53.05 N</t>
  </si>
  <si>
    <t>047:02:51.74 N</t>
  </si>
  <si>
    <t>047:02:50.35 N</t>
  </si>
  <si>
    <t>047:02:49.19 N</t>
  </si>
  <si>
    <t>047:02:47.65 N</t>
  </si>
  <si>
    <t>047:02:46.33 N</t>
  </si>
  <si>
    <t>047:02:44.32 N</t>
  </si>
  <si>
    <t>122:17:13.64 W</t>
  </si>
  <si>
    <t>047:02:42.32 N</t>
  </si>
  <si>
    <t>122:17:14.42 W</t>
  </si>
  <si>
    <t>047:02:40.69 N</t>
  </si>
  <si>
    <t>122:17:14.80 W</t>
  </si>
  <si>
    <t>047:02:39.46 N</t>
  </si>
  <si>
    <t>122:17:15.19 W</t>
  </si>
  <si>
    <t>047:02:38.07 N</t>
  </si>
  <si>
    <t>122:17:15.57 W</t>
  </si>
  <si>
    <t>047:02:36.75 N</t>
  </si>
  <si>
    <t>122:17:15.96 W</t>
  </si>
  <si>
    <t>047:02:35.29 N</t>
  </si>
  <si>
    <t>122:17:16.19 W</t>
  </si>
  <si>
    <t>047:02:33.90 N</t>
  </si>
  <si>
    <t>122:17:16.42 W</t>
  </si>
  <si>
    <t>047:02:32.66 N</t>
  </si>
  <si>
    <t>122:17:16.81 W</t>
  </si>
  <si>
    <t>047:02:31.04 N</t>
  </si>
  <si>
    <t>122:17:17.27 W</t>
  </si>
  <si>
    <t>047:02:29.57 N</t>
  </si>
  <si>
    <t>122:17:17.74 W</t>
  </si>
  <si>
    <t>047:02:27.56 N</t>
  </si>
  <si>
    <t>122:17:18.28 W</t>
  </si>
  <si>
    <t>047:02:26.25 N</t>
  </si>
  <si>
    <t>122:17:18.74 W</t>
  </si>
  <si>
    <t>047:02:25.09 N</t>
  </si>
  <si>
    <t>047:02:23.62 N</t>
  </si>
  <si>
    <t>122:17:19.28 W</t>
  </si>
  <si>
    <t>047:02:22.39 N</t>
  </si>
  <si>
    <t>122:17:19.51 W</t>
  </si>
  <si>
    <t>047:02:20.84 N</t>
  </si>
  <si>
    <t>122:17:20.29 W</t>
  </si>
  <si>
    <t>047:02:19.45 N</t>
  </si>
  <si>
    <t>122:17:20.52 W</t>
  </si>
  <si>
    <t>047:02:18.21 N</t>
  </si>
  <si>
    <t>122:17:20.98 W</t>
  </si>
  <si>
    <t>047:02:16.52 N</t>
  </si>
  <si>
    <t>122:17:21.52 W</t>
  </si>
  <si>
    <t>047:02:15.36 N</t>
  </si>
  <si>
    <t>122:17:22.06 W</t>
  </si>
  <si>
    <t>047:02:14.04 N</t>
  </si>
  <si>
    <t>122:17:22.45 W</t>
  </si>
  <si>
    <t>174-15</t>
  </si>
  <si>
    <t>SSE</t>
  </si>
  <si>
    <t>047:02:12.50 N</t>
  </si>
  <si>
    <t>122:17:23.07 W</t>
  </si>
  <si>
    <t>047:02:11.42 N</t>
  </si>
  <si>
    <t>122:17:23.45 W</t>
  </si>
  <si>
    <t>047:02:09.95 N</t>
  </si>
  <si>
    <t>122:17:23.92 W</t>
  </si>
  <si>
    <t>047:02:08.64 N</t>
  </si>
  <si>
    <t>122:17:24.54 W</t>
  </si>
  <si>
    <t>047:02:07.25 N</t>
  </si>
  <si>
    <t>122:17:24.92 W</t>
  </si>
  <si>
    <t>047:02:05.93 N</t>
  </si>
  <si>
    <t>122:17:25.54 W</t>
  </si>
  <si>
    <t>047:02:04.77 N</t>
  </si>
  <si>
    <t>122:17:25.93 W</t>
  </si>
  <si>
    <t>047:02:03.46 N</t>
  </si>
  <si>
    <t>122:17:26.31 W</t>
  </si>
  <si>
    <t>047:02:02.15 N</t>
  </si>
  <si>
    <t>122:17:26.93 W</t>
  </si>
  <si>
    <t>047:02:00.99 N</t>
  </si>
  <si>
    <t>122:17:27.16 W</t>
  </si>
  <si>
    <t>047:01:59.75 N</t>
  </si>
  <si>
    <t>122:17:27.63 W</t>
  </si>
  <si>
    <t>047:01:58.52 N</t>
  </si>
  <si>
    <t>122:17:27.93 W</t>
  </si>
  <si>
    <t>047:01:57.20 N</t>
  </si>
  <si>
    <t>122:17:28.09 W</t>
  </si>
  <si>
    <t>047:01:55.89 N</t>
  </si>
  <si>
    <t>122:17:28.63 W</t>
  </si>
  <si>
    <t>047:01:54.42 N</t>
  </si>
  <si>
    <t>122:17:28.86 W</t>
  </si>
  <si>
    <t>047:01:52.57 N</t>
  </si>
  <si>
    <t>122:17:29.40 W</t>
  </si>
  <si>
    <t>047:01:51.26 N</t>
  </si>
  <si>
    <t>122:17:29.87 W</t>
  </si>
  <si>
    <t>047:01:49.86 N</t>
  </si>
  <si>
    <t>122:17:30.17 W</t>
  </si>
  <si>
    <t>047:01:48.63 N</t>
  </si>
  <si>
    <t>122:17:30.64 W</t>
  </si>
  <si>
    <t>047:01:47.55 N</t>
  </si>
  <si>
    <t>122:17:30.87 W</t>
  </si>
  <si>
    <t>047:01:46.16 N</t>
  </si>
  <si>
    <t>122:17:31.18 W</t>
  </si>
  <si>
    <t>047:01:44.69 N</t>
  </si>
  <si>
    <t>122:17:31.64 W</t>
  </si>
  <si>
    <t>047:01:43.14 N</t>
  </si>
  <si>
    <t>122:17:31.95 W</t>
  </si>
  <si>
    <t>047:01:41.99 N</t>
  </si>
  <si>
    <t>122:17:32.41 W</t>
  </si>
  <si>
    <t>047:01:40.60 N</t>
  </si>
  <si>
    <t>122:17:32.88 W</t>
  </si>
  <si>
    <t>047:01:39.28 N</t>
  </si>
  <si>
    <t>122:17:33.19 W</t>
  </si>
  <si>
    <t>047:01:38.12 N</t>
  </si>
  <si>
    <t>122:17:33.73 W</t>
  </si>
  <si>
    <t>047:01:36.81 N</t>
  </si>
  <si>
    <t>122:17:34.35 W</t>
  </si>
  <si>
    <t>047:01:35.57 N</t>
  </si>
  <si>
    <t>122:17:34.73 W</t>
  </si>
  <si>
    <t>047:01:34.18 N</t>
  </si>
  <si>
    <t>122:17:35.04 W</t>
  </si>
  <si>
    <t>047:01:32.64 N</t>
  </si>
  <si>
    <t>122:17:35.81 W</t>
  </si>
  <si>
    <t>047:01:31.17 N</t>
  </si>
  <si>
    <t>122:17:36.28 W</t>
  </si>
  <si>
    <t>047:01:29.78 N</t>
  </si>
  <si>
    <t>122:17:36.97 W</t>
  </si>
  <si>
    <t>047:01:28.78 N</t>
  </si>
  <si>
    <t>122:17:37.51 W</t>
  </si>
  <si>
    <t>047:01:27.39 N</t>
  </si>
  <si>
    <t>122:17:38.05 W</t>
  </si>
  <si>
    <t>047:01:25.92 N</t>
  </si>
  <si>
    <t>122:17:38.52 W</t>
  </si>
  <si>
    <t>047:01:24.61 N</t>
  </si>
  <si>
    <t>122:17:39.06 W</t>
  </si>
  <si>
    <t>047:01:23.14 N</t>
  </si>
  <si>
    <t>122:17:39.52 W</t>
  </si>
  <si>
    <t>047:01:21.90 N</t>
  </si>
  <si>
    <t>122:17:40.29 W</t>
  </si>
  <si>
    <t>047:01:20.67 N</t>
  </si>
  <si>
    <t>122:17:40.76 W</t>
  </si>
  <si>
    <t>047:01:19.51 N</t>
  </si>
  <si>
    <t>122:17:41.22 W</t>
  </si>
  <si>
    <t>047:01:18.19 N</t>
  </si>
  <si>
    <t>122:17:41.84 W</t>
  </si>
  <si>
    <t>047:01:17.03 N</t>
  </si>
  <si>
    <t>122:17:42.46 W</t>
  </si>
  <si>
    <t>047:01:15.64 N</t>
  </si>
  <si>
    <t>122:17:42.84 W</t>
  </si>
  <si>
    <t>047:01:14.41 N</t>
  </si>
  <si>
    <t>122:17:43.46 W</t>
  </si>
  <si>
    <t>047:01:13.10 N</t>
  </si>
  <si>
    <t>122:17:44.23 W</t>
  </si>
  <si>
    <t>047:01:11.63 N</t>
  </si>
  <si>
    <t>122:17:44.85 W</t>
  </si>
  <si>
    <t>047:01:10.39 N</t>
  </si>
  <si>
    <t>122:17:45.47 W</t>
  </si>
  <si>
    <t>047:01:09.16 N</t>
  </si>
  <si>
    <t>122:17:45.86 W</t>
  </si>
  <si>
    <t>047:01:07.61 N</t>
  </si>
  <si>
    <t>122:17:46.40 W</t>
  </si>
  <si>
    <t>047:01:06.61 N</t>
  </si>
  <si>
    <t>122:17:46.86 W</t>
  </si>
  <si>
    <t>047:01:05.29 N</t>
  </si>
  <si>
    <t>122:17:47.40 W</t>
  </si>
  <si>
    <t>047:01:04.13 N</t>
  </si>
  <si>
    <t>122:17:47.86 W</t>
  </si>
  <si>
    <t>047:01:02.74 N</t>
  </si>
  <si>
    <t>122:17:48.40 W</t>
  </si>
  <si>
    <t>047:01:01.51 N</t>
  </si>
  <si>
    <t>122:17:48.95 W</t>
  </si>
  <si>
    <t>047:01:00.35 N</t>
  </si>
  <si>
    <t>122:17:49.41 W</t>
  </si>
  <si>
    <t>047:00:58.88 N</t>
  </si>
  <si>
    <t>122:17:50.18 W</t>
  </si>
  <si>
    <t>047:00:57.57 N</t>
  </si>
  <si>
    <t>122:17:50.65 W</t>
  </si>
  <si>
    <t>047:00:56.41 N</t>
  </si>
  <si>
    <t>122:17:51.11 W</t>
  </si>
  <si>
    <t>047:00:55.25 N</t>
  </si>
  <si>
    <t>122:17:51.65 W</t>
  </si>
  <si>
    <t>047:00:53.86 N</t>
  </si>
  <si>
    <t>122:17:52.19 W</t>
  </si>
  <si>
    <t>047:00:52.62 N</t>
  </si>
  <si>
    <t>122:17:52.89 W</t>
  </si>
  <si>
    <t>047:00:51.54 N</t>
  </si>
  <si>
    <t>122:17:53.50 W</t>
  </si>
  <si>
    <t>047:00:50.38 N</t>
  </si>
  <si>
    <t>122:17:53.97 W</t>
  </si>
  <si>
    <t>047:00:48.99 N</t>
  </si>
  <si>
    <t>122:17:54.74 W</t>
  </si>
  <si>
    <t>047:00:47.68 N</t>
  </si>
  <si>
    <t>122:17:54.97 W</t>
  </si>
  <si>
    <t>047:00:45.98 N</t>
  </si>
  <si>
    <t>122:17:55.74 W</t>
  </si>
  <si>
    <t>047:00:44.75 N</t>
  </si>
  <si>
    <t>122:17:56.36 W</t>
  </si>
  <si>
    <t>047:00:43.51 N</t>
  </si>
  <si>
    <t>122:17:56.75 W</t>
  </si>
  <si>
    <t>047:00:42.27 N</t>
  </si>
  <si>
    <t>122:17:57.29 W</t>
  </si>
  <si>
    <t>047:00:40.81 N</t>
  </si>
  <si>
    <t>122:17:57.75 W</t>
  </si>
  <si>
    <t>047:00:39.34 N</t>
  </si>
  <si>
    <t>122:17:58.29 W</t>
  </si>
  <si>
    <t>047:00:37.79 N</t>
  </si>
  <si>
    <t>122:17:59.07 W</t>
  </si>
  <si>
    <t>047:00:36.09 N</t>
  </si>
  <si>
    <t>122:17:59.84 W</t>
  </si>
  <si>
    <t>047:00:34.78 N</t>
  </si>
  <si>
    <t>122:18:00.53 W</t>
  </si>
  <si>
    <t>047:00:33.47 N</t>
  </si>
  <si>
    <t>122:18:01.07 W</t>
  </si>
  <si>
    <t>047:00:31.92 N</t>
  </si>
  <si>
    <t>122:18:01.61 W</t>
  </si>
  <si>
    <t>047:00:30.69 N</t>
  </si>
  <si>
    <t>122:18:02.00 W</t>
  </si>
  <si>
    <t>047:00:29.45 N</t>
  </si>
  <si>
    <t>122:18:02.62 W</t>
  </si>
  <si>
    <t>047:00:28.37 N</t>
  </si>
  <si>
    <t>122:18:03.00 W</t>
  </si>
  <si>
    <t>047:00:27.06 N</t>
  </si>
  <si>
    <t>122:18:03.62 W</t>
  </si>
  <si>
    <t>047:00:25.90 N</t>
  </si>
  <si>
    <t>122:18:04.24 W</t>
  </si>
  <si>
    <t>047:00:24.58 N</t>
  </si>
  <si>
    <t>122:18:04.86 W</t>
  </si>
  <si>
    <t>047:00:23.27 N</t>
  </si>
  <si>
    <t>122:18:05.71 W</t>
  </si>
  <si>
    <t>047:00:22.11 N</t>
  </si>
  <si>
    <t>122:18:06.25 W</t>
  </si>
  <si>
    <t>047:00:21.03 N</t>
  </si>
  <si>
    <t>122:18:06.87 W</t>
  </si>
  <si>
    <t>047:00:19.79 N</t>
  </si>
  <si>
    <t>122:18:07.72 W</t>
  </si>
  <si>
    <t>047:00:18.71 N</t>
  </si>
  <si>
    <t>122:18:08.18 W</t>
  </si>
  <si>
    <t>047:00:17.32 N</t>
  </si>
  <si>
    <t>122:18:08.95 W</t>
  </si>
  <si>
    <t>047:00:16.16 N</t>
  </si>
  <si>
    <t>122:18:09.42 W</t>
  </si>
  <si>
    <t>047:00:14.85 N</t>
  </si>
  <si>
    <t>122:18:10.19 W</t>
  </si>
  <si>
    <t>047:00:13.38 N</t>
  </si>
  <si>
    <t>122:18:10.88 W</t>
  </si>
  <si>
    <t>047:00:12.07 N</t>
  </si>
  <si>
    <t>122:18:11.42 W</t>
  </si>
  <si>
    <t>047:00:11.07 N</t>
  </si>
  <si>
    <t>122:18:11.89 W</t>
  </si>
  <si>
    <t>047:00:09.83 N</t>
  </si>
  <si>
    <t>122:18:12.20 W</t>
  </si>
  <si>
    <t>047:00:08.59 N</t>
  </si>
  <si>
    <t>122:18:12.89 W</t>
  </si>
  <si>
    <t>047:00:07.28 N</t>
  </si>
  <si>
    <t>122:18:13.51 W</t>
  </si>
  <si>
    <t>047:00:06.12 N</t>
  </si>
  <si>
    <t>122:18:14.13 W</t>
  </si>
  <si>
    <t>047:00:04.81 N</t>
  </si>
  <si>
    <t>122:18:14.98 W</t>
  </si>
  <si>
    <t>047:00:03.50 N</t>
  </si>
  <si>
    <t>122:18:15.60 W</t>
  </si>
  <si>
    <t>047:00:02.26 N</t>
  </si>
  <si>
    <t>122:18:16.52 W</t>
  </si>
  <si>
    <t>047:00:01.25 N</t>
  </si>
  <si>
    <t>122:18:17.06 W</t>
  </si>
  <si>
    <t>046:59:59.86 N</t>
  </si>
  <si>
    <t>122:18:17.84 W</t>
  </si>
  <si>
    <t>046:59:58.78 N</t>
  </si>
  <si>
    <t>122:18:18.30 W</t>
  </si>
  <si>
    <t>046:59:57.39 N</t>
  </si>
  <si>
    <t>122:18:19.07 W</t>
  </si>
  <si>
    <t>046:59:56.08 N</t>
  </si>
  <si>
    <t>122:18:19.84 W</t>
  </si>
  <si>
    <t>046:59:54.77 N</t>
  </si>
  <si>
    <t>122:18:20.54 W</t>
  </si>
  <si>
    <t>046:59:53.30 N</t>
  </si>
  <si>
    <t>122:18:21.31 W</t>
  </si>
  <si>
    <t>046:59:52.06 N</t>
  </si>
  <si>
    <t>122:18:21.85 W</t>
  </si>
  <si>
    <t>046:59:50.67 N</t>
  </si>
  <si>
    <t>122:18:22.55 W</t>
  </si>
  <si>
    <t>046:59:49.20 N</t>
  </si>
  <si>
    <t>122:18:23.40 W</t>
  </si>
  <si>
    <t>046:59:47.89 N</t>
  </si>
  <si>
    <t>122:18:24.02 W</t>
  </si>
  <si>
    <t>046:59:46.66 N</t>
  </si>
  <si>
    <t>122:18:24.63 W</t>
  </si>
  <si>
    <t>046:59:45.19 N</t>
  </si>
  <si>
    <t>122:18:25.48 W</t>
  </si>
  <si>
    <t>046:59:44.03 N</t>
  </si>
  <si>
    <t>122:18:26.41 W</t>
  </si>
  <si>
    <t>046:59:42.72 N</t>
  </si>
  <si>
    <t>122:18:27.26 W</t>
  </si>
  <si>
    <t>046:59:41.63 N</t>
  </si>
  <si>
    <t>122:18:27.72 W</t>
  </si>
  <si>
    <t>046:59:40.48 N</t>
  </si>
  <si>
    <t>122:18:28.42 W</t>
  </si>
  <si>
    <t>046:59:39.32 N</t>
  </si>
  <si>
    <t>122:18:29.19 W</t>
  </si>
  <si>
    <t>046:59:37.77 N</t>
  </si>
  <si>
    <t>122:18:30.20 W</t>
  </si>
  <si>
    <t>046:59:36.46 N</t>
  </si>
  <si>
    <t>122:18:30.97 W</t>
  </si>
  <si>
    <t>046:59:34.99 N</t>
  </si>
  <si>
    <t>122:18:31.90 W</t>
  </si>
  <si>
    <t>046:59:33.91 N</t>
  </si>
  <si>
    <t>122:18:32.51 W</t>
  </si>
  <si>
    <t>046:59:32.52 N</t>
  </si>
  <si>
    <t>122:18:33.44 W</t>
  </si>
  <si>
    <t>046:59:31.28 N</t>
  </si>
  <si>
    <t>122:18:34.29 W</t>
  </si>
  <si>
    <t>046:59:30.05 N</t>
  </si>
  <si>
    <t>122:18:35.14 W</t>
  </si>
  <si>
    <t>046:59:28.73 N</t>
  </si>
  <si>
    <t>122:18:35.83 W</t>
  </si>
  <si>
    <t>046:59:27.42 N</t>
  </si>
  <si>
    <t>122:18:36.61 W</t>
  </si>
  <si>
    <t>046:59:26.11 N</t>
  </si>
  <si>
    <t>122:18:37.61 W</t>
  </si>
  <si>
    <t>046:59:24.95 N</t>
  </si>
  <si>
    <t>122:18:38.08 W</t>
  </si>
  <si>
    <t>046:59:23.56 N</t>
  </si>
  <si>
    <t>122:18:38.85 W</t>
  </si>
  <si>
    <t>046:59:22.32 N</t>
  </si>
  <si>
    <t>122:18:39.62 W</t>
  </si>
  <si>
    <t>046:59:21.01 N</t>
  </si>
  <si>
    <t>122:18:40.39 W</t>
  </si>
  <si>
    <t>046:59:19.70 N</t>
  </si>
  <si>
    <t>122:18:41.09 W</t>
  </si>
  <si>
    <t>046:59:18.38 N</t>
  </si>
  <si>
    <t>122:18:41.86 W</t>
  </si>
  <si>
    <t>046:59:17.22 N</t>
  </si>
  <si>
    <t>122:18:42.56 W</t>
  </si>
  <si>
    <t>046:59:15.76 N</t>
  </si>
  <si>
    <t>122:18:43.56 W</t>
  </si>
  <si>
    <t>046:59:14.60 N</t>
  </si>
  <si>
    <t>122:18:44.02 W</t>
  </si>
  <si>
    <t>046:59:13.36 N</t>
  </si>
  <si>
    <t>122:18:44.64 W</t>
  </si>
  <si>
    <t>046:59:12.13 N</t>
  </si>
  <si>
    <t>122:18:45.49 W</t>
  </si>
  <si>
    <t>046:59:10.81 N</t>
  </si>
  <si>
    <t>122:18:46.42 W</t>
  </si>
  <si>
    <t>046:59:09.50 N</t>
  </si>
  <si>
    <t>122:18:47.27 W</t>
  </si>
  <si>
    <t>046:59:07.95 N</t>
  </si>
  <si>
    <t>122:18:48.27 W</t>
  </si>
  <si>
    <t>046:59:06.64 N</t>
  </si>
  <si>
    <t>122:18:48.97 W</t>
  </si>
  <si>
    <t>046:59:05.25 N</t>
  </si>
  <si>
    <t>122:18:49.97 W</t>
  </si>
  <si>
    <t>046:59:04.09 N</t>
  </si>
  <si>
    <t>122:18:50.74 W</t>
  </si>
  <si>
    <t>046:59:02.78 N</t>
  </si>
  <si>
    <t>122:18:51.52 W</t>
  </si>
  <si>
    <t>046:59:01.62 N</t>
  </si>
  <si>
    <t>122:18:52.29 W</t>
  </si>
  <si>
    <t>046:59:00.38 N</t>
  </si>
  <si>
    <t>122:18:52.91 W</t>
  </si>
  <si>
    <t>046:58:59.23 N</t>
  </si>
  <si>
    <t>122:18:53.68 W</t>
  </si>
  <si>
    <t>046:58:57.91 N</t>
  </si>
  <si>
    <t>122:18:54.68 W</t>
  </si>
  <si>
    <t>046:58:56.75 N</t>
  </si>
  <si>
    <t>122:18:55.15 W</t>
  </si>
  <si>
    <t>046:58:55.59 N</t>
  </si>
  <si>
    <t>122:18:55.84 W</t>
  </si>
  <si>
    <t>046:58:54.44 N</t>
  </si>
  <si>
    <t>122:18:56.38 W</t>
  </si>
  <si>
    <t>046:58:53.05 N</t>
  </si>
  <si>
    <t>122:18:57.08 W</t>
  </si>
  <si>
    <t>046:58:51.65 N</t>
  </si>
  <si>
    <t>122:18:57.85 W</t>
  </si>
  <si>
    <t>046:58:50.19 N</t>
  </si>
  <si>
    <t>122:18:58.62 W</t>
  </si>
  <si>
    <t>046:58:48.87 N</t>
  </si>
  <si>
    <t>122:18:59.40 W</t>
  </si>
  <si>
    <t>046:58:47.56 N</t>
  </si>
  <si>
    <t>122:18:59.86 W</t>
  </si>
  <si>
    <t>046:58:46.17 N</t>
  </si>
  <si>
    <t>122:19:00.63 W</t>
  </si>
  <si>
    <t>046:58:45.09 N</t>
  </si>
  <si>
    <t>122:19:01.33 W</t>
  </si>
  <si>
    <t>046:58:43.70 N</t>
  </si>
  <si>
    <t>122:19:01.64 W</t>
  </si>
  <si>
    <t>046:58:42.31 N</t>
  </si>
  <si>
    <t>122:19:02.56 W</t>
  </si>
  <si>
    <t>046:58:40.99 N</t>
  </si>
  <si>
    <t>122:19:02.95 W</t>
  </si>
  <si>
    <t>046:58:39.45 N</t>
  </si>
  <si>
    <t>122:19:03.57 W</t>
  </si>
  <si>
    <t>046:58:38.29 N</t>
  </si>
  <si>
    <t>122:19:04.18 W</t>
  </si>
  <si>
    <t>046:58:37.13 N</t>
  </si>
  <si>
    <t>122:19:04.80 W</t>
  </si>
  <si>
    <t>046:58:35.43 N</t>
  </si>
  <si>
    <t>122:19:05.50 W</t>
  </si>
  <si>
    <t>046:58:33.58 N</t>
  </si>
  <si>
    <t>122:19:06.19 W</t>
  </si>
  <si>
    <t>046:58:32.42 N</t>
  </si>
  <si>
    <t>122:19:06.97 W</t>
  </si>
  <si>
    <t>046:58:31.11 N</t>
  </si>
  <si>
    <t>122:19:07.51 W</t>
  </si>
  <si>
    <t>046:58:29.95 N</t>
  </si>
  <si>
    <t>122:19:08.28 W</t>
  </si>
  <si>
    <t>046:58:28.56 N</t>
  </si>
  <si>
    <t>122:19:08.74 W</t>
  </si>
  <si>
    <t>046:58:27.40 N</t>
  </si>
  <si>
    <t>122:19:09.28 W</t>
  </si>
  <si>
    <t>046:58:26.32 N</t>
  </si>
  <si>
    <t>122:19:09.98 W</t>
  </si>
  <si>
    <t>046:58:24.93 N</t>
  </si>
  <si>
    <t>122:19:10.52 W</t>
  </si>
  <si>
    <t>046:58:23.38 N</t>
  </si>
  <si>
    <t>122:19:11.06 W</t>
  </si>
  <si>
    <t>046:58:22.15 N</t>
  </si>
  <si>
    <t>122:19:11.45 W</t>
  </si>
  <si>
    <t>046:58:20.83 N</t>
  </si>
  <si>
    <t>122:19:11.99 W</t>
  </si>
  <si>
    <t>046:58:19.52 N</t>
  </si>
  <si>
    <t>122:19:12.30 W</t>
  </si>
  <si>
    <t>046:58:18.36 N</t>
  </si>
  <si>
    <t>122:19:12.60 W</t>
  </si>
  <si>
    <t>046:58:17.05 N</t>
  </si>
  <si>
    <t>122:19:13.07 W</t>
  </si>
  <si>
    <t>046:58:15.81 N</t>
  </si>
  <si>
    <t>122:19:13.30 W</t>
  </si>
  <si>
    <t>046:58:14.58 N</t>
  </si>
  <si>
    <t>122:19:13.45 W</t>
  </si>
  <si>
    <t>046:58:13.34 N</t>
  </si>
  <si>
    <t>122:19:13.84 W</t>
  </si>
  <si>
    <t>046:58:12.10 N</t>
  </si>
  <si>
    <t>122:19:14.23 W</t>
  </si>
  <si>
    <t>046:58:10.79 N</t>
  </si>
  <si>
    <t>122:19:14.30 W</t>
  </si>
  <si>
    <t>046:58:09.63 N</t>
  </si>
  <si>
    <t>122:19:14.69 W</t>
  </si>
  <si>
    <t>046:58:08.32 N</t>
  </si>
  <si>
    <t>122:19:15.08 W</t>
  </si>
  <si>
    <t>046:58:07.01 N</t>
  </si>
  <si>
    <t>122:19:15.46 W</t>
  </si>
  <si>
    <t>046:58:05.69 N</t>
  </si>
  <si>
    <t>122:19:15.69 W</t>
  </si>
  <si>
    <t>046:58:04.46 N</t>
  </si>
  <si>
    <t>122:19:16.08 W</t>
  </si>
  <si>
    <t>046:58:03.22 N</t>
  </si>
  <si>
    <t>122:19:16.39 W</t>
  </si>
  <si>
    <t>046:58:01.91 N</t>
  </si>
  <si>
    <t>122:19:16.62 W</t>
  </si>
  <si>
    <t>046:58:00.90 N</t>
  </si>
  <si>
    <t>122:19:16.85 W</t>
  </si>
  <si>
    <t>046:57:59.74 N</t>
  </si>
  <si>
    <t>122:19:17.39 W</t>
  </si>
  <si>
    <t>046:57:58.43 N</t>
  </si>
  <si>
    <t>122:19:17.93 W</t>
  </si>
  <si>
    <t>046:57:57.27 N</t>
  </si>
  <si>
    <t>122:19:18.17 W</t>
  </si>
  <si>
    <t>046:57:56.11 N</t>
  </si>
  <si>
    <t>122:19:18.40 W</t>
  </si>
  <si>
    <t>046:57:54.88 N</t>
  </si>
  <si>
    <t>122:19:18.63 W</t>
  </si>
  <si>
    <t>046:57:53.87 N</t>
  </si>
  <si>
    <t>122:19:19.17 W</t>
  </si>
  <si>
    <t>046:57:52.64 N</t>
  </si>
  <si>
    <t>122:19:19.40 W</t>
  </si>
  <si>
    <t>046:57:51.71 N</t>
  </si>
  <si>
    <t>122:19:19.63 W</t>
  </si>
  <si>
    <t>046:57:50.40 N</t>
  </si>
  <si>
    <t>122:19:19.94 W</t>
  </si>
  <si>
    <t>046:57:49.39 N</t>
  </si>
  <si>
    <t>122:19:20.41 W</t>
  </si>
  <si>
    <t>046:57:48.00 N</t>
  </si>
  <si>
    <t>122:19:20.72 W</t>
  </si>
  <si>
    <t>046:57:46.77 N</t>
  </si>
  <si>
    <t>122:19:21.10 W</t>
  </si>
  <si>
    <t>046:57:45.69 N</t>
  </si>
  <si>
    <t>122:19:21.41 W</t>
  </si>
  <si>
    <t>046:57:44.45 N</t>
  </si>
  <si>
    <t>122:19:22.11 W</t>
  </si>
  <si>
    <t>046:57:43.14 N</t>
  </si>
  <si>
    <t>122:19:22.57 W</t>
  </si>
  <si>
    <t>046:57:42.29 N</t>
  </si>
  <si>
    <t>122:19:22.88 W</t>
  </si>
  <si>
    <t>046:57:41.13 N</t>
  </si>
  <si>
    <t>122:19:23.19 W</t>
  </si>
  <si>
    <t>046:57:39.97 N</t>
  </si>
  <si>
    <t>122:19:23.81 W</t>
  </si>
  <si>
    <t>046:57:38.81 N</t>
  </si>
  <si>
    <t>122:19:24.19 W</t>
  </si>
  <si>
    <t>046:57:37.65 N</t>
  </si>
  <si>
    <t>122:19:24.81 W</t>
  </si>
  <si>
    <t>046:57:36.49 N</t>
  </si>
  <si>
    <t>122:19:24.96 W</t>
  </si>
  <si>
    <t>046:57:35.57 N</t>
  </si>
  <si>
    <t>122:19:25.58 W</t>
  </si>
  <si>
    <t>046:57:34.25 N</t>
  </si>
  <si>
    <t>122:19:25.97 W</t>
  </si>
  <si>
    <t>046:57:33.25 N</t>
  </si>
  <si>
    <t>122:19:26.28 W</t>
  </si>
  <si>
    <t>046:57:31.78 N</t>
  </si>
  <si>
    <t>122:19:26.74 W</t>
  </si>
  <si>
    <t>046:57:30.78 N</t>
  </si>
  <si>
    <t>122:19:27.28 W</t>
  </si>
  <si>
    <t>046:57:29.39 N</t>
  </si>
  <si>
    <t>122:19:27.51 W</t>
  </si>
  <si>
    <t>046:57:28.46 N</t>
  </si>
  <si>
    <t>122:19:28.05 W</t>
  </si>
  <si>
    <t>046:57:27.07 N</t>
  </si>
  <si>
    <t>122:19:28.29 W</t>
  </si>
  <si>
    <t>046:57:25.99 N</t>
  </si>
  <si>
    <t>122:19:28.75 W</t>
  </si>
  <si>
    <t>046:57:24.75 N</t>
  </si>
  <si>
    <t>122:19:29.06 W</t>
  </si>
  <si>
    <t>046:57:23.52 N</t>
  </si>
  <si>
    <t>122:19:29.75 W</t>
  </si>
  <si>
    <t>046:57:22.05 N</t>
  </si>
  <si>
    <t>122:19:30.29 W</t>
  </si>
  <si>
    <t>046:57:20.89 N</t>
  </si>
  <si>
    <t>122:19:30.60 W</t>
  </si>
  <si>
    <t>046:57:19.73 N</t>
  </si>
  <si>
    <t>122:19:30.99 W</t>
  </si>
  <si>
    <t>046:57:18.57 N</t>
  </si>
  <si>
    <t>122:19:31.53 W</t>
  </si>
  <si>
    <t>046:57:17.34 N</t>
  </si>
  <si>
    <t>122:19:31.84 W</t>
  </si>
  <si>
    <t>046:57:16.10 N</t>
  </si>
  <si>
    <t>122:19:32.46 W</t>
  </si>
  <si>
    <t>046:57:14.86 N</t>
  </si>
  <si>
    <t>122:19:33.08 W</t>
  </si>
  <si>
    <t>046:57:13.47 N</t>
  </si>
  <si>
    <t>122:19:33.62 W</t>
  </si>
  <si>
    <t>046:57:12.31 N</t>
  </si>
  <si>
    <t>122:19:34.23 W</t>
  </si>
  <si>
    <t>046:57:11.16 N</t>
  </si>
  <si>
    <t>122:19:34.62 W</t>
  </si>
  <si>
    <t>046:57:09.84 N</t>
  </si>
  <si>
    <t>122:19:35.24 W</t>
  </si>
  <si>
    <t>046:57:08.45 N</t>
  </si>
  <si>
    <t>122:19:35.62 W</t>
  </si>
  <si>
    <t>046:57:07.37 N</t>
  </si>
  <si>
    <t>122:19:36.17 W</t>
  </si>
  <si>
    <t>046:57:05.98 N</t>
  </si>
  <si>
    <t>122:19:36.63 W</t>
  </si>
  <si>
    <t>046:57:04.98 N</t>
  </si>
  <si>
    <t>122:19:37.17 W</t>
  </si>
  <si>
    <t>046:57:03.59 N</t>
  </si>
  <si>
    <t>122:19:37.40 W</t>
  </si>
  <si>
    <t>046:57:02.27 N</t>
  </si>
  <si>
    <t>122:19:37.94 W</t>
  </si>
  <si>
    <t>046:57:00.80 N</t>
  </si>
  <si>
    <t>122:19:38.41 W</t>
  </si>
  <si>
    <t>046:56:59.41 N</t>
  </si>
  <si>
    <t>122:19:38.95 W</t>
  </si>
  <si>
    <t>046:56:58.26 N</t>
  </si>
  <si>
    <t>122:19:39.41 W</t>
  </si>
  <si>
    <t>046:56:56.94 N</t>
  </si>
  <si>
    <t>122:19:39.87 W</t>
  </si>
  <si>
    <t>046:56:55.55 N</t>
  </si>
  <si>
    <t>122:19:40.49 W</t>
  </si>
  <si>
    <t>046:56:54.32 N</t>
  </si>
  <si>
    <t>122:19:40.65 W</t>
  </si>
  <si>
    <t>046:56:53.08 N</t>
  </si>
  <si>
    <t>122:19:41.19 W</t>
  </si>
  <si>
    <t>046:56:51.92 N</t>
  </si>
  <si>
    <t>122:19:41.73 W</t>
  </si>
  <si>
    <t>046:56:50.68 N</t>
  </si>
  <si>
    <t>122:19:42.11 W</t>
  </si>
  <si>
    <t>046:56:49.06 N</t>
  </si>
  <si>
    <t>122:19:42.89 W</t>
  </si>
  <si>
    <t>046:56:47.67 N</t>
  </si>
  <si>
    <t>122:19:43.27 W</t>
  </si>
  <si>
    <t>046:56:46.44 N</t>
  </si>
  <si>
    <t>122:19:43.89 W</t>
  </si>
  <si>
    <t>046:56:45.20 N</t>
  </si>
  <si>
    <t>122:19:44.51 W</t>
  </si>
  <si>
    <t>046:56:43.66 N</t>
  </si>
  <si>
    <t>122:19:45.13 W</t>
  </si>
  <si>
    <t>046:56:42.34 N</t>
  </si>
  <si>
    <t>122:19:45.51 W</t>
  </si>
  <si>
    <t>046:56:41.18 N</t>
  </si>
  <si>
    <t>122:19:46.05 W</t>
  </si>
  <si>
    <t>046:56:39.79 N</t>
  </si>
  <si>
    <t>122:19:46.83 W</t>
  </si>
  <si>
    <t>046:56:38.48 N</t>
  </si>
  <si>
    <t>122:19:47.60 W</t>
  </si>
  <si>
    <t>046:56:37.32 N</t>
  </si>
  <si>
    <t>122:19:48.06 W</t>
  </si>
  <si>
    <t>046:56:36.01 N</t>
  </si>
  <si>
    <t>122:19:48.83 W</t>
  </si>
  <si>
    <t>046:56:34.77 N</t>
  </si>
  <si>
    <t>122:19:49.61 W</t>
  </si>
  <si>
    <t>046:56:33.54 N</t>
  </si>
  <si>
    <t>122:19:50.07 W</t>
  </si>
  <si>
    <t>046:56:32.45 N</t>
  </si>
  <si>
    <t>122:19:50.84 W</t>
  </si>
  <si>
    <t>046:56:31.30 N</t>
  </si>
  <si>
    <t>122:19:51.54 W</t>
  </si>
  <si>
    <t>046:56:29.91 N</t>
  </si>
  <si>
    <t>122:19:52.16 W</t>
  </si>
  <si>
    <t>046:56:28.82 N</t>
  </si>
  <si>
    <t>122:19:53.01 W</t>
  </si>
  <si>
    <t>046:56:27.59 N</t>
  </si>
  <si>
    <t>122:19:53.62 W</t>
  </si>
  <si>
    <t>046:56:26.51 N</t>
  </si>
  <si>
    <t>122:19:54.24 W</t>
  </si>
  <si>
    <t>046:56:25.35 N</t>
  </si>
  <si>
    <t>122:19:54.70 W</t>
  </si>
  <si>
    <t>046:56:24.27 N</t>
  </si>
  <si>
    <t>122:19:55.40 W</t>
  </si>
  <si>
    <t>046:56:22.72 N</t>
  </si>
  <si>
    <t>122:19:56.40 W</t>
  </si>
  <si>
    <t>046:56:22.03 N</t>
  </si>
  <si>
    <t>122:19:56.94 W</t>
  </si>
  <si>
    <t>046:56:20.71 N</t>
  </si>
  <si>
    <t>122:19:57.72 W</t>
  </si>
  <si>
    <t>046:56:19.40 N</t>
  </si>
  <si>
    <t>122:19:58.49 W</t>
  </si>
  <si>
    <t>046:56:18.09 N</t>
  </si>
  <si>
    <t>122:19:59.42 W</t>
  </si>
  <si>
    <t>046:56:16.93 N</t>
  </si>
  <si>
    <t>122:20:00.19 W</t>
  </si>
  <si>
    <t>046:56:15.61 N</t>
  </si>
  <si>
    <t>122:20:00.88 W</t>
  </si>
  <si>
    <t>046:56:14.61 N</t>
  </si>
  <si>
    <t>122:20:01.66 W</t>
  </si>
  <si>
    <t>046:56:13.14 N</t>
  </si>
  <si>
    <t>122:20:02.51 W</t>
  </si>
  <si>
    <t>046:56:11.98 N</t>
  </si>
  <si>
    <t>122:20:03.12 W</t>
  </si>
  <si>
    <t>046:56:10.83 N</t>
  </si>
  <si>
    <t>122:20:03.74 W</t>
  </si>
  <si>
    <t>046:56:09.67 N</t>
  </si>
  <si>
    <t>122:20:04.52 W</t>
  </si>
  <si>
    <t>046:56:08.51 N</t>
  </si>
  <si>
    <t>122:20:05.36 W</t>
  </si>
  <si>
    <t>046:56:07.04 N</t>
  </si>
  <si>
    <t>122:20:06.14 W</t>
  </si>
  <si>
    <t>046:56:05.80 N</t>
  </si>
  <si>
    <t>122:20:07.06 W</t>
  </si>
  <si>
    <t>046:56:03.95 N</t>
  </si>
  <si>
    <t>122:20:08.38 W</t>
  </si>
  <si>
    <t>046:56:02.56 N</t>
  </si>
  <si>
    <t>122:20:09.30 W</t>
  </si>
  <si>
    <t>046:56:01.48 N</t>
  </si>
  <si>
    <t>122:20:10.15 W</t>
  </si>
  <si>
    <t>046:56:00.24 N</t>
  </si>
  <si>
    <t>122:20:11.08 W</t>
  </si>
  <si>
    <t>046:55:58.62 N</t>
  </si>
  <si>
    <t>122:20:12.16 W</t>
  </si>
  <si>
    <t>046:55:57.31 N</t>
  </si>
  <si>
    <t>122:20:13.01 W</t>
  </si>
  <si>
    <t>046:55:56.07 N</t>
  </si>
  <si>
    <t>122:20:13.94 W</t>
  </si>
  <si>
    <t>046:55:54.76 N</t>
  </si>
  <si>
    <t>122:20:14.94 W</t>
  </si>
  <si>
    <t>046:55:53.75 N</t>
  </si>
  <si>
    <t>122:20:15.72 W</t>
  </si>
  <si>
    <t>046:55:52.52 N</t>
  </si>
  <si>
    <t>122:20:16.72 W</t>
  </si>
  <si>
    <t>046:55:51.20 N</t>
  </si>
  <si>
    <t>122:20:17.72 W</t>
  </si>
  <si>
    <t>046:55:50.05 N</t>
  </si>
  <si>
    <t>122:20:18.73 W</t>
  </si>
  <si>
    <t>046:55:48.73 N</t>
  </si>
  <si>
    <t>122:20:19.73 W</t>
  </si>
  <si>
    <t>046:55:47.57 N</t>
  </si>
  <si>
    <t>122:20:20.66 W</t>
  </si>
  <si>
    <t>046:55:46.26 N</t>
  </si>
  <si>
    <t>122:20:21.90 W</t>
  </si>
  <si>
    <t>046:55:45.02 N</t>
  </si>
  <si>
    <t>122:20:23.05 W</t>
  </si>
  <si>
    <t>046:55:43.94 N</t>
  </si>
  <si>
    <t>122:20:23.90 W</t>
  </si>
  <si>
    <t>046:55:42.78 N</t>
  </si>
  <si>
    <t>122:20:24.68 W</t>
  </si>
  <si>
    <t>046:55:41.70 N</t>
  </si>
  <si>
    <t>122:20:25.84 W</t>
  </si>
  <si>
    <t>046:55:40.47 N</t>
  </si>
  <si>
    <t>122:20:26.61 W</t>
  </si>
  <si>
    <t>046:55:39.15 N</t>
  </si>
  <si>
    <t>122:20:27.84 W</t>
  </si>
  <si>
    <t>046:55:37.84 N</t>
  </si>
  <si>
    <t>122:20:28.85 W</t>
  </si>
  <si>
    <t>046:55:35.29 N</t>
  </si>
  <si>
    <t>122:20:30.93 W</t>
  </si>
  <si>
    <t>046:55:34.21 N</t>
  </si>
  <si>
    <t>122:20:31.78 W</t>
  </si>
  <si>
    <t>046:55:33.13 N</t>
  </si>
  <si>
    <t>122:20:32.94 W</t>
  </si>
  <si>
    <t>046:55:31.97 N</t>
  </si>
  <si>
    <t>122:20:33.79 W</t>
  </si>
  <si>
    <t>046:55:30.58 N</t>
  </si>
  <si>
    <t>122:20:34.95 W</t>
  </si>
  <si>
    <t>046:55:29.50 N</t>
  </si>
  <si>
    <t>122:20:36.03 W</t>
  </si>
  <si>
    <t>046:55:28.11 N</t>
  </si>
  <si>
    <t>122:20:37.27 W</t>
  </si>
  <si>
    <t>046:55:27.26 N</t>
  </si>
  <si>
    <t>122:20:38.04 W</t>
  </si>
  <si>
    <t>046:55:26.10 N</t>
  </si>
  <si>
    <t>122:20:39.04 W</t>
  </si>
  <si>
    <t>046:55:25.02 N</t>
  </si>
  <si>
    <t>122:20:39.97 W</t>
  </si>
  <si>
    <t>046:55:23.70 N</t>
  </si>
  <si>
    <t>122:20:40.98 W</t>
  </si>
  <si>
    <t>046:55:22.55 N</t>
  </si>
  <si>
    <t>122:20:42.06 W</t>
  </si>
  <si>
    <t>046:55:21.70 N</t>
  </si>
  <si>
    <t>122:20:42.83 W</t>
  </si>
  <si>
    <t>046:55:20.54 N</t>
  </si>
  <si>
    <t>122:20:43.91 W</t>
  </si>
  <si>
    <t>046:55:19.38 N</t>
  </si>
  <si>
    <t>122:20:44.84 W</t>
  </si>
  <si>
    <t>046:55:18.22 N</t>
  </si>
  <si>
    <t>122:20:45.92 W</t>
  </si>
  <si>
    <t>046:55:17.22 N</t>
  </si>
  <si>
    <t>122:20:46.85 W</t>
  </si>
  <si>
    <t>046:55:15.98 N</t>
  </si>
  <si>
    <t>122:20:47.85 W</t>
  </si>
  <si>
    <t>046:55:14.82 N</t>
  </si>
  <si>
    <t>122:20:48.93 W</t>
  </si>
  <si>
    <t>046:55:13.66 N</t>
  </si>
  <si>
    <t>122:20:49.86 W</t>
  </si>
  <si>
    <t>046:55:12.66 N</t>
  </si>
  <si>
    <t>122:20:50.63 W</t>
  </si>
  <si>
    <t>046:55:11.50 N</t>
  </si>
  <si>
    <t>122:20:51.48 W</t>
  </si>
  <si>
    <t>046:55:10.34 N</t>
  </si>
  <si>
    <t>122:20:52.18 W</t>
  </si>
  <si>
    <t>046:55:09.34 N</t>
  </si>
  <si>
    <t>122:20:52.95 W</t>
  </si>
  <si>
    <t>046:55:07.95 N</t>
  </si>
  <si>
    <t>122:20:53.95 W</t>
  </si>
  <si>
    <t>046:55:06.17 N</t>
  </si>
  <si>
    <t>122:20:55.50 W</t>
  </si>
  <si>
    <t>046:55:04.78 N</t>
  </si>
  <si>
    <t>122:20:56.50 W</t>
  </si>
  <si>
    <t>046:55:03.77 N</t>
  </si>
  <si>
    <t>122:20:57.51 W</t>
  </si>
  <si>
    <t>046:55:02.92 N</t>
  </si>
  <si>
    <t>122:20:58.28 W</t>
  </si>
  <si>
    <t>046:55:01.61 N</t>
  </si>
  <si>
    <t>122:20:59.28 W</t>
  </si>
  <si>
    <t>046:55:00.61 N</t>
  </si>
  <si>
    <t>122:21:00.21 W</t>
  </si>
  <si>
    <t>046:54:59.60 N</t>
  </si>
  <si>
    <t>122:21:01.37 W</t>
  </si>
  <si>
    <t>046:54:58.44 N</t>
  </si>
  <si>
    <t>122:21:02.22 W</t>
  </si>
  <si>
    <t>046:54:56.90 N</t>
  </si>
  <si>
    <t>122:21:03.61 W</t>
  </si>
  <si>
    <t>Terminal</t>
  </si>
  <si>
    <t>046:54:55.97 N</t>
  </si>
  <si>
    <t>122:21:04.46 W</t>
  </si>
  <si>
    <t>046:54:55.05 N</t>
  </si>
  <si>
    <t>122:21:05.39 W</t>
  </si>
  <si>
    <t>046:54:53.42 N</t>
  </si>
  <si>
    <t>122:21:06.93 W</t>
  </si>
  <si>
    <t>046:54:52.19 N</t>
  </si>
  <si>
    <t>122:21:07.94 W</t>
  </si>
  <si>
    <t>046:54:50.72 N</t>
  </si>
  <si>
    <t>122:21:09.17 W</t>
  </si>
  <si>
    <t>046:54:49.72 N</t>
  </si>
  <si>
    <t>122:21:10.10 W</t>
  </si>
  <si>
    <t>046:54:47.78 N</t>
  </si>
  <si>
    <t>122:21:11.88 W</t>
  </si>
  <si>
    <t>046:54:46.63 N</t>
  </si>
  <si>
    <t>122:21:13.11 W</t>
  </si>
  <si>
    <t>046:54:45.00 N</t>
  </si>
  <si>
    <t>122:21:14.35 W</t>
  </si>
  <si>
    <t>046:54:43.84 N</t>
  </si>
  <si>
    <t>122:21:15.27 W</t>
  </si>
  <si>
    <t>046:54:42.84 N</t>
  </si>
  <si>
    <t>122:21:16.05 W</t>
  </si>
  <si>
    <t>046:54:41.84 N</t>
  </si>
  <si>
    <t>122:21:17.05 W</t>
  </si>
  <si>
    <t>046:54:40.68 N</t>
  </si>
  <si>
    <t>122:21:18.06 W</t>
  </si>
  <si>
    <t>046:54:39.67 N</t>
  </si>
  <si>
    <t>122:21:19.06 W</t>
  </si>
  <si>
    <t>046:54:38.67 N</t>
  </si>
  <si>
    <t>122:21:19.83 W</t>
  </si>
  <si>
    <t>046:54:37.74 N</t>
  </si>
  <si>
    <t>122:21:20.53 W</t>
  </si>
  <si>
    <t>046:54:36.43 N</t>
  </si>
  <si>
    <t>122:21:21.76 W</t>
  </si>
  <si>
    <t>046:54:35.58 N</t>
  </si>
  <si>
    <t>122:21:22.46 W</t>
  </si>
  <si>
    <t>046:54:34.11 N</t>
  </si>
  <si>
    <t>122:21:23.93 W</t>
  </si>
  <si>
    <t>046:54:33.11 N</t>
  </si>
  <si>
    <t>122:21:24.93 W</t>
  </si>
  <si>
    <t>046:54:31.95 N</t>
  </si>
  <si>
    <t>122:21:25.93 W</t>
  </si>
  <si>
    <t>046:54:30.94 N</t>
  </si>
  <si>
    <t>122:21:26.94 W</t>
  </si>
  <si>
    <t>046:54:29.79 N</t>
  </si>
  <si>
    <t>122:21:27.94 W</t>
  </si>
  <si>
    <t>046:54:28.78 N</t>
  </si>
  <si>
    <t>122:21:29.18 W</t>
  </si>
  <si>
    <t>046:54:27.85 N</t>
  </si>
  <si>
    <t>122:21:29.87 W</t>
  </si>
  <si>
    <t>046:54:26.77 N</t>
  </si>
  <si>
    <t>122:21:31.03 W</t>
  </si>
  <si>
    <t>046:54:25.38 N</t>
  </si>
  <si>
    <t>122:21:32.50 W</t>
  </si>
  <si>
    <t>046:54:24.22 N</t>
  </si>
  <si>
    <t>122:21:33.89 W</t>
  </si>
  <si>
    <t>046:54:23.22 N</t>
  </si>
  <si>
    <t>122:21:34.51 W</t>
  </si>
  <si>
    <t>046:54:22.22 N</t>
  </si>
  <si>
    <t>122:21:35.82 W</t>
  </si>
  <si>
    <t>046:54:21.06 N</t>
  </si>
  <si>
    <t>122:21:36.83 W</t>
  </si>
  <si>
    <t>046:54:19.90 N</t>
  </si>
  <si>
    <t>122:21:37.83 W</t>
  </si>
  <si>
    <t>046:54:19.05 N</t>
  </si>
  <si>
    <t>122:21:38.60 W</t>
  </si>
  <si>
    <t>046:54:17.97 N</t>
  </si>
  <si>
    <t>122:21:39.76 W</t>
  </si>
  <si>
    <t>046:54:16.65 N</t>
  </si>
  <si>
    <t>122:21:40.77 W</t>
  </si>
  <si>
    <t>046:54:15.49 N</t>
  </si>
  <si>
    <t>122:21:41.92 W</t>
  </si>
  <si>
    <t>046:54:14.72 N</t>
  </si>
  <si>
    <t>122:21:42.93 W</t>
  </si>
  <si>
    <t>046:54:13.49 N</t>
  </si>
  <si>
    <t>122:21:43.78 W</t>
  </si>
  <si>
    <t>046:54:12.48 N</t>
  </si>
  <si>
    <t>122:21:44.71 W</t>
  </si>
  <si>
    <t>046:54:11.32 N</t>
  </si>
  <si>
    <t>122:21:45.71 W</t>
  </si>
  <si>
    <t>046:54:09.86 N</t>
  </si>
  <si>
    <t>122:21:46.95 W</t>
  </si>
  <si>
    <t>046:54:08.70 N</t>
  </si>
  <si>
    <t>122:21:47.95 W</t>
  </si>
  <si>
    <t>046:54:07.38 N</t>
  </si>
  <si>
    <t>122:21:49.19 W</t>
  </si>
  <si>
    <t>046:54:06.30 N</t>
  </si>
  <si>
    <t>122:21:50.04 W</t>
  </si>
  <si>
    <t>046:54:05.30 N</t>
  </si>
  <si>
    <t>122:21:50.81 W</t>
  </si>
  <si>
    <t>046:54:04.14 N</t>
  </si>
  <si>
    <t>122:21:52.04 W</t>
  </si>
  <si>
    <t>046:54:02.98 N</t>
  </si>
  <si>
    <t>122:21:53.13 W</t>
  </si>
  <si>
    <t>046:54:01.98 N</t>
  </si>
  <si>
    <t>122:21:53.90 W</t>
  </si>
  <si>
    <t>046:54:00.74 N</t>
  </si>
  <si>
    <t>122:21:55.06 W</t>
  </si>
  <si>
    <t>046:53:59.58 N</t>
  </si>
  <si>
    <t>122:21:56.37 W</t>
  </si>
  <si>
    <t>046:53:58.50 N</t>
  </si>
  <si>
    <t>122:21:57.61 W</t>
  </si>
  <si>
    <t>046:53:57.42 N</t>
  </si>
  <si>
    <t>122:21:58.61 W</t>
  </si>
  <si>
    <t>046:53:56.41 N</t>
  </si>
  <si>
    <t>122:21:59.38 W</t>
  </si>
  <si>
    <t>046:53:55.18 N</t>
  </si>
  <si>
    <t>122:22:00.54 W</t>
  </si>
  <si>
    <t>046:53:54.10 N</t>
  </si>
  <si>
    <t>122:22:01.70 W</t>
  </si>
  <si>
    <t>046:53:52.71 N</t>
  </si>
  <si>
    <t>122:22:02.94 W</t>
  </si>
  <si>
    <t>046:53:51.55 N</t>
  </si>
  <si>
    <t>122:22:04.02 W</t>
  </si>
  <si>
    <t>046:53:50.54 N</t>
  </si>
  <si>
    <t>122:22:04.94 W</t>
  </si>
  <si>
    <t>046:53:49.23 N</t>
  </si>
  <si>
    <t>122:22:06.26 W</t>
  </si>
  <si>
    <t>046:53:48.07 N</t>
  </si>
  <si>
    <t>122:22:07.49 W</t>
  </si>
  <si>
    <t>046:53:46.99 N</t>
  </si>
  <si>
    <t>122:22:08.50 W</t>
  </si>
  <si>
    <t>046:53:46.06 N</t>
  </si>
  <si>
    <t>122:22:09.50 W</t>
  </si>
  <si>
    <t>046:53:44.67 N</t>
  </si>
  <si>
    <t>122:22:11.05 W</t>
  </si>
  <si>
    <t>046:53:43.20 N</t>
  </si>
  <si>
    <t>122:22:12.67 W</t>
  </si>
  <si>
    <t>046:53:41.97 N</t>
  </si>
  <si>
    <t>122:22:13.83 W</t>
  </si>
  <si>
    <t>046:53:40.89 N</t>
  </si>
  <si>
    <t>122:22:14.91 W</t>
  </si>
  <si>
    <t>046:53:39.88 N</t>
  </si>
  <si>
    <t>122:22:16.15 W</t>
  </si>
  <si>
    <t>046:53:38.72 N</t>
  </si>
  <si>
    <t>122:22:17.15 W</t>
  </si>
  <si>
    <t>046:53:37.72 N</t>
  </si>
  <si>
    <t>122:22:18.08 W</t>
  </si>
  <si>
    <t>046:53:36.48 N</t>
  </si>
  <si>
    <t>122:22:19.39 W</t>
  </si>
  <si>
    <t>046:53:35.17 N</t>
  </si>
  <si>
    <t>122:22:20.47 W</t>
  </si>
  <si>
    <t>046:53:33.94 N</t>
  </si>
  <si>
    <t>122:22:21.78 W</t>
  </si>
  <si>
    <t>046:53:33.09 N</t>
  </si>
  <si>
    <t>122:22:22.79 W</t>
  </si>
  <si>
    <t>046:53:31.77 N</t>
  </si>
  <si>
    <t>122:22:24.02 W</t>
  </si>
  <si>
    <t>046:53:30.77 N</t>
  </si>
  <si>
    <t>122:22:25.03 W</t>
  </si>
  <si>
    <t>046:53:29.84 N</t>
  </si>
  <si>
    <t>122:22:26.26 W</t>
  </si>
  <si>
    <t>046:53:28.61 N</t>
  </si>
  <si>
    <t>122:22:27.27 W</t>
  </si>
  <si>
    <t>046:53:27.52 N</t>
  </si>
  <si>
    <t>122:22:28.50 W</t>
  </si>
  <si>
    <t>046:53:26.44 N</t>
  </si>
  <si>
    <t>122:22:29.59 W</t>
  </si>
  <si>
    <t>046:53:25.36 N</t>
  </si>
  <si>
    <t>122:22:30.75 W</t>
  </si>
  <si>
    <t>046:53:24.43 N</t>
  </si>
  <si>
    <t>122:22:31.83 W</t>
  </si>
  <si>
    <t>046:53:23.58 N</t>
  </si>
  <si>
    <t>122:22:32.83 W</t>
  </si>
  <si>
    <t>046:53:22.43 N</t>
  </si>
  <si>
    <t>122:22:33.83 W</t>
  </si>
  <si>
    <t>046:53:21.42 N</t>
  </si>
  <si>
    <t>122:22:35.15 W</t>
  </si>
  <si>
    <t>046:53:20.42 N</t>
  </si>
  <si>
    <t>122:22:36.38 W</t>
  </si>
  <si>
    <t>046:53:19.03 N</t>
  </si>
  <si>
    <t>122:22:37.70 W</t>
  </si>
  <si>
    <t>046:53:18.25 N</t>
  </si>
  <si>
    <t>122:22:38.86 W</t>
  </si>
  <si>
    <t>046:53:17.40 N</t>
  </si>
  <si>
    <t>122:22:40.25 W</t>
  </si>
  <si>
    <t>046:53:16.32 N</t>
  </si>
  <si>
    <t>122:22:41.56 W</t>
  </si>
  <si>
    <t>046:53:15.40 N</t>
  </si>
  <si>
    <t>122:22:42.49 W</t>
  </si>
  <si>
    <t>046:53:14.55 N</t>
  </si>
  <si>
    <t>122:22:43.72 W</t>
  </si>
  <si>
    <t>046:53:13.54 N</t>
  </si>
  <si>
    <t>122:22:45.04 W</t>
  </si>
  <si>
    <t>046:53:12.54 N</t>
  </si>
  <si>
    <t>122:22:46.50 W</t>
  </si>
  <si>
    <t>046:53:11.53 N</t>
  </si>
  <si>
    <t>122:22:47.82 W</t>
  </si>
  <si>
    <t>046:53:10.68 N</t>
  </si>
  <si>
    <t>122:22:48.82 W</t>
  </si>
  <si>
    <t>046:53:09.68 N</t>
  </si>
  <si>
    <t>122:22:50.21 W</t>
  </si>
  <si>
    <t>046:53:08.68 N</t>
  </si>
  <si>
    <t>122:22:51.37 W</t>
  </si>
  <si>
    <t>046:53:07.52 N</t>
  </si>
  <si>
    <t>122:22:52.92 W</t>
  </si>
  <si>
    <t>046:53:06.59 N</t>
  </si>
  <si>
    <t>122:22:53.92 W</t>
  </si>
  <si>
    <t>046:53:05.66 N</t>
  </si>
  <si>
    <t>122:22:55.16 W</t>
  </si>
  <si>
    <t>046:53:04.66 N</t>
  </si>
  <si>
    <t>122:22:56.16 W</t>
  </si>
  <si>
    <t>046:53:03.65 N</t>
  </si>
  <si>
    <t>122:22:57.70 W</t>
  </si>
  <si>
    <t>046:53:02.65 N</t>
  </si>
  <si>
    <t>122:22:58.86 W</t>
  </si>
  <si>
    <t>046:53:01.65 N</t>
  </si>
  <si>
    <t>122:23:00.10 W</t>
  </si>
  <si>
    <t>046:53:00.64 N</t>
  </si>
  <si>
    <t>122:23:01.26 W</t>
  </si>
  <si>
    <t>046:52:59.41 N</t>
  </si>
  <si>
    <t>122:23:02.49 W</t>
  </si>
  <si>
    <t>046:52:58.48 N</t>
  </si>
  <si>
    <t>122:23:03.81 W</t>
  </si>
  <si>
    <t>046:52:57.40 N</t>
  </si>
  <si>
    <t>122:23:05.04 W</t>
  </si>
  <si>
    <t>046:52:56.39 N</t>
  </si>
  <si>
    <t>122:23:06.28 W</t>
  </si>
  <si>
    <t>046:52:55.23 N</t>
  </si>
  <si>
    <t>122:23:07.51 W</t>
  </si>
  <si>
    <t>046:52:54.08 N</t>
  </si>
  <si>
    <t>122:23:08.83 W</t>
  </si>
  <si>
    <t>046:52:53.07 N</t>
  </si>
  <si>
    <t>122:23:10.30 W</t>
  </si>
  <si>
    <t>046:52:52.22 N</t>
  </si>
  <si>
    <t>122:23:11.53 W</t>
  </si>
  <si>
    <t>046:52:51.37 N</t>
  </si>
  <si>
    <t>122:23:12.92 W</t>
  </si>
  <si>
    <t>046:52:50.44 N</t>
  </si>
  <si>
    <t>122:23:14.47 W</t>
  </si>
  <si>
    <t>046:52:49.44 N</t>
  </si>
  <si>
    <t>122:23:15.93 W</t>
  </si>
  <si>
    <t>046:52:48.59 N</t>
  </si>
  <si>
    <t>122:23:17.17 W</t>
  </si>
  <si>
    <t>046:52:47.74 N</t>
  </si>
  <si>
    <t>122:23:18.48 W</t>
  </si>
  <si>
    <t>046:52:46.97 N</t>
  </si>
  <si>
    <t>122:23:19.64 W</t>
  </si>
  <si>
    <t>046:52:46.04 N</t>
  </si>
  <si>
    <t>122:23:21.26 W</t>
  </si>
  <si>
    <t>046:52:44.96 N</t>
  </si>
  <si>
    <t>122:23:22.66 W</t>
  </si>
  <si>
    <t>046:52:44.19 N</t>
  </si>
  <si>
    <t>122:23:23.81 W</t>
  </si>
  <si>
    <t>046:52:43.34 N</t>
  </si>
  <si>
    <t>122:23:25.13 W</t>
  </si>
  <si>
    <t>046:52:42.49 N</t>
  </si>
  <si>
    <t>122:23:26.36 W</t>
  </si>
  <si>
    <t>046:52:41.56 N</t>
  </si>
  <si>
    <t>122:23:27.83 W</t>
  </si>
  <si>
    <t>046:52:40.63 N</t>
  </si>
  <si>
    <t>122:23:29.14 W</t>
  </si>
  <si>
    <t>046:52:39.63 N</t>
  </si>
  <si>
    <t>122:23:30.38 W</t>
  </si>
  <si>
    <t>046:52:38.86 N</t>
  </si>
  <si>
    <t>122:23:31.69 W</t>
  </si>
  <si>
    <t>046:52:38.09 N</t>
  </si>
  <si>
    <t>122:23:33.01 W</t>
  </si>
  <si>
    <t>046:52:37.16 N</t>
  </si>
  <si>
    <t>122:23:34.24 W</t>
  </si>
  <si>
    <t>046:52:36.23 N</t>
  </si>
  <si>
    <t>122:23:35.71 W</t>
  </si>
  <si>
    <t>046:52:35.30 N</t>
  </si>
  <si>
    <t>122:23:37.18 W</t>
  </si>
  <si>
    <t>046:52:34.45 N</t>
  </si>
  <si>
    <t>122:23:38.80 W</t>
  </si>
  <si>
    <t>046:52:33.60 N</t>
  </si>
  <si>
    <t>122:23:39.96 W</t>
  </si>
  <si>
    <t>046:52:32.99 N</t>
  </si>
  <si>
    <t>122:23:41.43 W</t>
  </si>
  <si>
    <t>046:52:31.98 N</t>
  </si>
  <si>
    <t>122:23:42.89 W</t>
  </si>
  <si>
    <t>046:52:31.29 N</t>
  </si>
  <si>
    <t>122:23:44.13 W</t>
  </si>
  <si>
    <t>046:52:30.44 N</t>
  </si>
  <si>
    <t>122:23:45.37 W</t>
  </si>
  <si>
    <t>046:52:29.51 N</t>
  </si>
  <si>
    <t>122:23:46.83 W</t>
  </si>
  <si>
    <t>046:52:28.58 N</t>
  </si>
  <si>
    <t>122:23:48.15 W</t>
  </si>
  <si>
    <t>046:52:27.58 N</t>
  </si>
  <si>
    <t>122:23:49.69 W</t>
  </si>
  <si>
    <t>046:52:26.73 N</t>
  </si>
  <si>
    <t>122:23:51.08 W</t>
  </si>
  <si>
    <t>046:52:25.73 N</t>
  </si>
  <si>
    <t>122:23:52.24 W</t>
  </si>
  <si>
    <t>046:52:24.95 N</t>
  </si>
  <si>
    <t>122:23:53.48 W</t>
  </si>
  <si>
    <t>046:52:23.72 N</t>
  </si>
  <si>
    <t>122:23:55.02 W</t>
  </si>
  <si>
    <t>046:52:22.94 N</t>
  </si>
  <si>
    <t>122:23:56.49 W</t>
  </si>
  <si>
    <t>046:52:21.86 N</t>
  </si>
  <si>
    <t>122:23:58.03 W</t>
  </si>
  <si>
    <t>046:52:21.09 N</t>
  </si>
  <si>
    <t>122:23:59.19 W</t>
  </si>
  <si>
    <t>046:52:20.24 N</t>
  </si>
  <si>
    <t>122:24:00.58 W</t>
  </si>
  <si>
    <t>046:52:19.24 N</t>
  </si>
  <si>
    <t>122:24:02.13 W</t>
  </si>
  <si>
    <t>046:52:18.23 N</t>
  </si>
  <si>
    <t>122:24:03.13 W</t>
  </si>
  <si>
    <t>046:52:17.38 N</t>
  </si>
  <si>
    <t>122:24:04.60 W</t>
  </si>
  <si>
    <t>046:52:16.30 N</t>
  </si>
  <si>
    <t>122:24:06.15 W</t>
  </si>
  <si>
    <t>046:52:15.68 N</t>
  </si>
  <si>
    <t>122:24:07.15 W</t>
  </si>
  <si>
    <t>046:52:14.83 N</t>
  </si>
  <si>
    <t>122:24:08.46 W</t>
  </si>
  <si>
    <t>046:52:13.98 N</t>
  </si>
  <si>
    <t>122:24:09.62 W</t>
  </si>
  <si>
    <t>046:52:12.98 N</t>
  </si>
  <si>
    <t>122:24:11.24 W</t>
  </si>
  <si>
    <t>046:52:12.21 N</t>
  </si>
  <si>
    <t>122:24:12.56 W</t>
  </si>
  <si>
    <t>046:52:11.51 N</t>
  </si>
  <si>
    <t>122:24:13.79 W</t>
  </si>
  <si>
    <t>046:52:10.59 N</t>
  </si>
  <si>
    <t>122:24:15.26 W</t>
  </si>
  <si>
    <t>046:52:09.89 N</t>
  </si>
  <si>
    <t>122:24:16.50 W</t>
  </si>
  <si>
    <t>046:52:08.89 N</t>
  </si>
  <si>
    <t>122:24:17.96 W</t>
  </si>
  <si>
    <t>046:52:07.96 N</t>
  </si>
  <si>
    <t>122:24:19.59 W</t>
  </si>
  <si>
    <t>046:52:07.26 N</t>
  </si>
  <si>
    <t>122:24:20.75 W</t>
  </si>
  <si>
    <t>046:52:06.41 N</t>
  </si>
  <si>
    <t>122:24:22.45 W</t>
  </si>
  <si>
    <t>046:52:05.64 N</t>
  </si>
  <si>
    <t>122:24:23.68 W</t>
  </si>
  <si>
    <t>046:52:04.79 N</t>
  </si>
  <si>
    <t>122:24:25.15 W</t>
  </si>
  <si>
    <t>046:52:04.10 N</t>
  </si>
  <si>
    <t>122:24:26.38 W</t>
  </si>
  <si>
    <t>046:52:03.32 N</t>
  </si>
  <si>
    <t>122:24:27.85 W</t>
  </si>
  <si>
    <t>046:52:02.47 N</t>
  </si>
  <si>
    <t>122:24:29.24 W</t>
  </si>
  <si>
    <t>046:52:01.78 N</t>
  </si>
  <si>
    <t>122:24:30.63 W</t>
  </si>
  <si>
    <t>046:52:01.16 N</t>
  </si>
  <si>
    <t>122:24:32.18 W</t>
  </si>
  <si>
    <t>046:52:00.16 N</t>
  </si>
  <si>
    <t>122:24:33.88 W</t>
  </si>
  <si>
    <t>046:51:59.62 N</t>
  </si>
  <si>
    <t>122:24:34.80 W</t>
  </si>
  <si>
    <t>046:51:58.84 N</t>
  </si>
  <si>
    <t>122:24:36.50 W</t>
  </si>
  <si>
    <t>046:51:58.07 N</t>
  </si>
  <si>
    <t>122:24:37.74 W</t>
  </si>
  <si>
    <t>046:51:57.45 N</t>
  </si>
  <si>
    <t>122:24:38.98 W</t>
  </si>
  <si>
    <t>046:51:56.53 N</t>
  </si>
  <si>
    <t>122:24:40.60 W</t>
  </si>
  <si>
    <t>046:51:55.75 N</t>
  </si>
  <si>
    <t>122:24:41.99 W</t>
  </si>
  <si>
    <t>046:51:54.90 N</t>
  </si>
  <si>
    <t>122:24:43.46 W</t>
  </si>
  <si>
    <t>046:51:54.05 N</t>
  </si>
  <si>
    <t>122:24:44.69 W</t>
  </si>
  <si>
    <t>046:51:53.44 N</t>
  </si>
  <si>
    <t>122:24:45.93 W</t>
  </si>
  <si>
    <t>046:51:52.59 N</t>
  </si>
  <si>
    <t>122:24:47.55 W</t>
  </si>
  <si>
    <t>046:51:51.97 N</t>
  </si>
  <si>
    <t>122:24:48.55 W</t>
  </si>
  <si>
    <t>046:51:51.20 N</t>
  </si>
  <si>
    <t>122:24:49.87 W</t>
  </si>
  <si>
    <t>046:51:50.19 N</t>
  </si>
  <si>
    <t>122:24:51.34 W</t>
  </si>
  <si>
    <t>046:51:49.50 N</t>
  </si>
  <si>
    <t>122:24:52.65 W</t>
  </si>
  <si>
    <t>046:51:48.72 N</t>
  </si>
  <si>
    <t>122:24:53.81 W</t>
  </si>
  <si>
    <t>046:51:47.95 N</t>
  </si>
  <si>
    <t>122:24:55.28 W</t>
  </si>
  <si>
    <t>046:51:47.18 N</t>
  </si>
  <si>
    <t>122:24:56.59 W</t>
  </si>
  <si>
    <t>046:51:46.48 N</t>
  </si>
  <si>
    <t>122:24:57.75 W</t>
  </si>
  <si>
    <t>046:51:45.63 N</t>
  </si>
  <si>
    <t>122:24:59.14 W</t>
  </si>
  <si>
    <t>046:51:44.86 N</t>
  </si>
  <si>
    <t>122:25:00.30 W</t>
  </si>
  <si>
    <t>046:51:44.17 N</t>
  </si>
  <si>
    <t>122:25:01.22 W</t>
  </si>
  <si>
    <t>046:51:43.32 N</t>
  </si>
  <si>
    <t>122:25:02.46 W</t>
  </si>
  <si>
    <t>046:51:42.54 N</t>
  </si>
  <si>
    <t>122:25:03.77 W</t>
  </si>
  <si>
    <t>046:51:41.85 N</t>
  </si>
  <si>
    <t>122:25:04.93 W</t>
  </si>
  <si>
    <t>046:51:41.15 N</t>
  </si>
  <si>
    <t>122:25:05.94 W</t>
  </si>
  <si>
    <t>046:51:40.54 N</t>
  </si>
  <si>
    <t>122:25:07.33 W</t>
  </si>
  <si>
    <t>046:51:39.84 N</t>
  </si>
  <si>
    <t>122:25:08.41 W</t>
  </si>
  <si>
    <t>046:51:39.07 N</t>
  </si>
  <si>
    <t>122:25:09.80 W</t>
  </si>
  <si>
    <t>046:51:38.30 N</t>
  </si>
  <si>
    <t>122:25:10.88 W</t>
  </si>
  <si>
    <t>046:51:37.52 N</t>
  </si>
  <si>
    <t>122:25:12.12 W</t>
  </si>
  <si>
    <t>046:51:36.67 N</t>
  </si>
  <si>
    <t>122:25:13.58 W</t>
  </si>
  <si>
    <t>046:51:35.75 N</t>
  </si>
  <si>
    <t>122:25:14.82 W</t>
  </si>
  <si>
    <t>046:51:34.97 N</t>
  </si>
  <si>
    <t>122:25:16.36 W</t>
  </si>
  <si>
    <t>046:51:34.12 N</t>
  </si>
  <si>
    <t>122:25:17.52 W</t>
  </si>
  <si>
    <t>046:51:33.27 N</t>
  </si>
  <si>
    <t>122:25:18.84 W</t>
  </si>
  <si>
    <t>046:51:32.66 N</t>
  </si>
  <si>
    <t>122:25:20.15 W</t>
  </si>
  <si>
    <t>046:51:31.65 N</t>
  </si>
  <si>
    <t>122:25:21.85 W</t>
  </si>
  <si>
    <t>046:51:30.96 N</t>
  </si>
  <si>
    <t>122:25:23.24 W</t>
  </si>
  <si>
    <t>046:51:30.11 N</t>
  </si>
  <si>
    <t>122:25:24.47 W</t>
  </si>
  <si>
    <t>046:51:29.33 N</t>
  </si>
  <si>
    <t>122:25:26.17 W</t>
  </si>
  <si>
    <t>046:51:28.64 N</t>
  </si>
  <si>
    <t>122:25:27.72 W</t>
  </si>
  <si>
    <t>046:51:28.02 N</t>
  </si>
  <si>
    <t>122:25:29.03 W</t>
  </si>
  <si>
    <t>046:51:27.25 N</t>
  </si>
  <si>
    <t>122:25:30.65 W</t>
  </si>
  <si>
    <t>046:51:26.40 N</t>
  </si>
  <si>
    <t>122:25:32.43 W</t>
  </si>
  <si>
    <t>046:51:25.70 N</t>
  </si>
  <si>
    <t>122:25:33.90 W</t>
  </si>
  <si>
    <t>046:51:24.93 N</t>
  </si>
  <si>
    <t>122:25:35.83 W</t>
  </si>
  <si>
    <t>046:51:24.24 N</t>
  </si>
  <si>
    <t>122:25:37.30 W</t>
  </si>
  <si>
    <t>046:51:23.54 N</t>
  </si>
  <si>
    <t>122:25:38.84 W</t>
  </si>
  <si>
    <t>046:51:22.92 N</t>
  </si>
  <si>
    <t>122:25:40.39 W</t>
  </si>
  <si>
    <t>046:51:22.46 N</t>
  </si>
  <si>
    <t>122:25:42.09 W</t>
  </si>
  <si>
    <t>046:51:21.76 N</t>
  </si>
  <si>
    <t>122:25:43.56 W</t>
  </si>
  <si>
    <t>046:51:21.07 N</t>
  </si>
  <si>
    <t>122:25:45.49 W</t>
  </si>
  <si>
    <t>046:51:20.22 N</t>
  </si>
  <si>
    <t>122:25:47.73 W</t>
  </si>
  <si>
    <t>046:51:19.60 N</t>
  </si>
  <si>
    <t>122:25:49.35 W</t>
  </si>
  <si>
    <t>046:51:19.06 N</t>
  </si>
  <si>
    <t>122:25:50.97 W</t>
  </si>
  <si>
    <t>046:51:18.29 N</t>
  </si>
  <si>
    <t>122:25:52.98 W</t>
  </si>
  <si>
    <t>046:51:17.67 N</t>
  </si>
  <si>
    <t>122:25:54.37 W</t>
  </si>
  <si>
    <t>046:51:17.05 N</t>
  </si>
  <si>
    <t>122:25:56.15 W</t>
  </si>
  <si>
    <t>046:51:16.36 N</t>
  </si>
  <si>
    <t>122:25:58.00 W</t>
  </si>
  <si>
    <t>046:51:15.66 N</t>
  </si>
  <si>
    <t>122:25:59.93 W</t>
  </si>
  <si>
    <t>046:51:15.20 N</t>
  </si>
  <si>
    <t>122:26:01.40 W</t>
  </si>
  <si>
    <t>046:51:14.35 N</t>
  </si>
  <si>
    <t>122:26:03.33 W</t>
  </si>
  <si>
    <t>046:51:13.89 N</t>
  </si>
  <si>
    <t>122:26:04.80 W</t>
  </si>
  <si>
    <t>046:51:13.19 N</t>
  </si>
  <si>
    <t>122:26:06.73 W</t>
  </si>
  <si>
    <t>046:51:12.42 N</t>
  </si>
  <si>
    <t>122:26:08.35 W</t>
  </si>
  <si>
    <t>046:51:11.65 N</t>
  </si>
  <si>
    <t>122:26:10.21 W</t>
  </si>
  <si>
    <t>046:51:11.03 N</t>
  </si>
  <si>
    <t>122:26:12.21 W</t>
  </si>
  <si>
    <t>046:51:10.33 N</t>
  </si>
  <si>
    <t>122:26:13.91 W</t>
  </si>
  <si>
    <t>046:51:09.40 N</t>
  </si>
  <si>
    <t>122:26:16.31 W</t>
  </si>
  <si>
    <t>046:51:08.86 N</t>
  </si>
  <si>
    <t>122:26:18.16 W</t>
  </si>
  <si>
    <t>046:51:08.17 N</t>
  </si>
  <si>
    <t>122:26:19.86 W</t>
  </si>
  <si>
    <t>046:51:07.47 N</t>
  </si>
  <si>
    <t>122:26:22.10 W</t>
  </si>
  <si>
    <t>046:51:07.01 N</t>
  </si>
  <si>
    <t>122:26:23.57 W</t>
  </si>
  <si>
    <t>046:51:06.47 N</t>
  </si>
  <si>
    <t>122:26:25.04 W</t>
  </si>
  <si>
    <t>046:51:05.85 N</t>
  </si>
  <si>
    <t>122:26:27.05 W</t>
  </si>
  <si>
    <t>046:51:05.16 N</t>
  </si>
  <si>
    <t>122:26:28.90 W</t>
  </si>
  <si>
    <t>046:51:04.62 N</t>
  </si>
  <si>
    <t>122:26:30.75 W</t>
  </si>
  <si>
    <t>046:51:04.00 N</t>
  </si>
  <si>
    <t>122:26:32.76 W</t>
  </si>
  <si>
    <t>046:51:03.30 N</t>
  </si>
  <si>
    <t>122:26:34.46 W</t>
  </si>
  <si>
    <t>046:51:02.84 N</t>
  </si>
  <si>
    <t>122:26:36.32 W</t>
  </si>
  <si>
    <t>046:51:02.30 N</t>
  </si>
  <si>
    <t>122:26:37.78 W</t>
  </si>
  <si>
    <t>046:51:01.53 N</t>
  </si>
  <si>
    <t>122:26:39.95 W</t>
  </si>
  <si>
    <t>046:51:00.98 N</t>
  </si>
  <si>
    <t>122:26:41.88 W</t>
  </si>
  <si>
    <t>046:51:00.29 N</t>
  </si>
  <si>
    <t>122:26:43.58 W</t>
  </si>
  <si>
    <t>046:50:59.75 N</t>
  </si>
  <si>
    <t>122:26:45.04 W</t>
  </si>
  <si>
    <t>046:50:59.05 N</t>
  </si>
  <si>
    <t>122:26:46.98 W</t>
  </si>
  <si>
    <t>046:50:58.44 N</t>
  </si>
  <si>
    <t>122:26:48.75 W</t>
  </si>
  <si>
    <t>046:50:57.97 N</t>
  </si>
  <si>
    <t>122:26:50.30 W</t>
  </si>
  <si>
    <t>046:50:57.20 N</t>
  </si>
  <si>
    <t>122:26:52.00 W</t>
  </si>
  <si>
    <t>046:50:56.58 N</t>
  </si>
  <si>
    <t>122:26:54.00 W</t>
  </si>
  <si>
    <t>046:50:55.73 N</t>
  </si>
  <si>
    <t>122:26:56.94 W</t>
  </si>
  <si>
    <t>046:50:55.11 N</t>
  </si>
  <si>
    <t>122:26:59.03 W</t>
  </si>
  <si>
    <t>046:50:54.57 N</t>
  </si>
  <si>
    <t>122:27:01.19 W</t>
  </si>
  <si>
    <t>046:50:53.96 N</t>
  </si>
  <si>
    <t>122:27:03.35 W</t>
  </si>
  <si>
    <t>046:50:53.57 N</t>
  </si>
  <si>
    <t>122:27:05.05 W</t>
  </si>
  <si>
    <t>046:50:53.11 N</t>
  </si>
  <si>
    <t>122:27:06.83 W</t>
  </si>
  <si>
    <t>046:50:52.64 N</t>
  </si>
  <si>
    <t>122:27:08.68 W</t>
  </si>
  <si>
    <t>046:50:52.10 N</t>
  </si>
  <si>
    <t>122:27:10.61 W</t>
  </si>
  <si>
    <t>046:50:51.64 N</t>
  </si>
  <si>
    <t>122:27:12.78 W</t>
  </si>
  <si>
    <t>046:50:51.10 N</t>
  </si>
  <si>
    <t>122:27:14.48 W</t>
  </si>
  <si>
    <t>046:50:50.71 N</t>
  </si>
  <si>
    <t>122:27:15.94 W</t>
  </si>
  <si>
    <t>046:50:50.25 N</t>
  </si>
  <si>
    <t>122:27:17.95 W</t>
  </si>
  <si>
    <t>046:50:49.78 N</t>
  </si>
  <si>
    <t>122:27:20.04 W</t>
  </si>
  <si>
    <t>046:50:49.40 N</t>
  </si>
  <si>
    <t>122:27:21.89 W</t>
  </si>
  <si>
    <t>046:50:49.01 N</t>
  </si>
  <si>
    <t>122:27:23.82 W</t>
  </si>
  <si>
    <t>046:50:48.70 N</t>
  </si>
  <si>
    <t>122:27:25.60 W</t>
  </si>
  <si>
    <t>046:50:48.32 N</t>
  </si>
  <si>
    <t>122:27:27.68 W</t>
  </si>
  <si>
    <t>046:50:48.01 N</t>
  </si>
  <si>
    <t>122:27:29.62 W</t>
  </si>
  <si>
    <t>046:50:47.70 N</t>
  </si>
  <si>
    <t>122:27:31.32 W</t>
  </si>
  <si>
    <t>046:50:47.39 N</t>
  </si>
  <si>
    <t>122:27:33.25 W</t>
  </si>
  <si>
    <t>046:50:47.00 N</t>
  </si>
  <si>
    <t>122:27:35.18 W</t>
  </si>
  <si>
    <t>046:50:46.69 N</t>
  </si>
  <si>
    <t>122:27:36.95 W</t>
  </si>
  <si>
    <t>046:50:46.39 N</t>
  </si>
  <si>
    <t>122:27:39.19 W</t>
  </si>
  <si>
    <t>046:50:46.08 N</t>
  </si>
  <si>
    <t>122:27:40.97 W</t>
  </si>
  <si>
    <t>046:50:45.69 N</t>
  </si>
  <si>
    <t>122:27:42.90 W</t>
  </si>
  <si>
    <t>046:50:45.54 N</t>
  </si>
  <si>
    <t>122:27:44.68 W</t>
  </si>
  <si>
    <t>046:50:45.23 N</t>
  </si>
  <si>
    <t>122:27:46.84 W</t>
  </si>
  <si>
    <t>046:50:45.07 N</t>
  </si>
  <si>
    <t>122:27:48.62 W</t>
  </si>
  <si>
    <t>046:50:44.84 N</t>
  </si>
  <si>
    <t>122:27:50.86 W</t>
  </si>
  <si>
    <t>046:50:44.69 N</t>
  </si>
  <si>
    <t>122:27:52.79 W</t>
  </si>
  <si>
    <t>046:50:44.53 N</t>
  </si>
  <si>
    <t>122:27:54.80 W</t>
  </si>
  <si>
    <t>046:50:44.38 N</t>
  </si>
  <si>
    <t>122:27:56.88 W</t>
  </si>
  <si>
    <t>046:50:44.22 N</t>
  </si>
  <si>
    <t>122:27:58.58 W</t>
  </si>
  <si>
    <t>046:50:43.99 N</t>
  </si>
  <si>
    <t>122:28:00.44 W</t>
  </si>
  <si>
    <t>046:50:43.84 N</t>
  </si>
  <si>
    <t>122:28:02.45 W</t>
  </si>
  <si>
    <t>046:50:43.68 N</t>
  </si>
  <si>
    <t>122:28:04.69 W</t>
  </si>
  <si>
    <t>046:50:43.53 N</t>
  </si>
  <si>
    <t>122:28:06.62 W</t>
  </si>
  <si>
    <t>046:50:43.37 N</t>
  </si>
  <si>
    <t>122:28:08.70 W</t>
  </si>
  <si>
    <t>046:50:43.22 N</t>
  </si>
  <si>
    <t>122:28:10.63 W</t>
  </si>
  <si>
    <t>046:50:42.99 N</t>
  </si>
  <si>
    <t>122:28:12.33 W</t>
  </si>
  <si>
    <t>046:50:43.06 N</t>
  </si>
  <si>
    <t>122:28:14.27 W</t>
  </si>
  <si>
    <t>046:50:42.91 N</t>
  </si>
  <si>
    <t>122:28:16.43 W</t>
  </si>
  <si>
    <t>046:50:42.75 N</t>
  </si>
  <si>
    <t>122:28:17.90 W</t>
  </si>
  <si>
    <t>046:50:42.52 N</t>
  </si>
  <si>
    <t>122:28:19.98 W</t>
  </si>
  <si>
    <t>122:28:21.99 W</t>
  </si>
  <si>
    <t>046:50:42.37 N</t>
  </si>
  <si>
    <t>122:28:23.92 W</t>
  </si>
  <si>
    <t>046:50:42.21 N</t>
  </si>
  <si>
    <t>122:28:25.62 W</t>
  </si>
  <si>
    <t>046:50:42.06 N</t>
  </si>
  <si>
    <t>122:28:27.78 W</t>
  </si>
  <si>
    <t>046:50:41.98 N</t>
  </si>
  <si>
    <t>122:28:29.64 W</t>
  </si>
  <si>
    <t>122:28:31.41 W</t>
  </si>
  <si>
    <t>046:50:41.83 N</t>
  </si>
  <si>
    <t>122:28:33.58 W</t>
  </si>
  <si>
    <t>046:50:41.90 N</t>
  </si>
  <si>
    <t>122:28:35.51 W</t>
  </si>
  <si>
    <t>122:28:37.05 W</t>
  </si>
  <si>
    <t>122:28:39.06 W</t>
  </si>
  <si>
    <t>122:28:41.07 W</t>
  </si>
  <si>
    <t>122:28:43.00 W</t>
  </si>
  <si>
    <t>122:28:45.47 W</t>
  </si>
  <si>
    <t>122:28:47.33 W</t>
  </si>
  <si>
    <t>122:28:49.41 W</t>
  </si>
  <si>
    <t>122:28:51.11 W</t>
  </si>
  <si>
    <t>122:28:53.12 W</t>
  </si>
  <si>
    <t>122:28:55.52 W</t>
  </si>
  <si>
    <t>122:28:57.60 W</t>
  </si>
  <si>
    <t>122:28:59.61 W</t>
  </si>
  <si>
    <t>122:29:01.54 W</t>
  </si>
  <si>
    <t>122:29:03.70 W</t>
  </si>
  <si>
    <t>122:29:05.71 W</t>
  </si>
  <si>
    <t>122:29:07.57 W</t>
  </si>
  <si>
    <t>122:29:09.73 W</t>
  </si>
  <si>
    <t>122:29:11.66 W</t>
  </si>
  <si>
    <t>122:29:13.82 W</t>
  </si>
  <si>
    <t>122:29:15.60 W</t>
  </si>
  <si>
    <t>122:29:17.69 W</t>
  </si>
  <si>
    <t>046:50:45.38 N</t>
  </si>
  <si>
    <t>122:29:19.38 W</t>
  </si>
  <si>
    <t>122:29:21.32 W</t>
  </si>
  <si>
    <t>046:50:45.84 N</t>
  </si>
  <si>
    <t>122:29:23.48 W</t>
  </si>
  <si>
    <t>046:50:46.23 N</t>
  </si>
  <si>
    <t>122:29:25.49 W</t>
  </si>
  <si>
    <t>046:50:46.31 N</t>
  </si>
  <si>
    <t>122:29:27.57 W</t>
  </si>
  <si>
    <t>122:29:29.43 W</t>
  </si>
  <si>
    <t>046:50:46.85 N</t>
  </si>
  <si>
    <t>122:29:31.90 W</t>
  </si>
  <si>
    <t>046:50:47.16 N</t>
  </si>
  <si>
    <t>122:29:34.06 W</t>
  </si>
  <si>
    <t>122:29:36.15 W</t>
  </si>
  <si>
    <t>122:29:38.47 W</t>
  </si>
  <si>
    <t>046:50:47.85 N</t>
  </si>
  <si>
    <t>122:29:40.09 W</t>
  </si>
  <si>
    <t>046:50:48.16 N</t>
  </si>
  <si>
    <t>122:29:42.25 W</t>
  </si>
  <si>
    <t>046:50:48.47 N</t>
  </si>
  <si>
    <t>122:29:44.72 W</t>
  </si>
  <si>
    <t>046:50:48.63 N</t>
  </si>
  <si>
    <t>122:29:46.42 W</t>
  </si>
  <si>
    <t>046:50:48.86 N</t>
  </si>
  <si>
    <t>122:29:48.28 W</t>
  </si>
  <si>
    <t>046:50:49.09 N</t>
  </si>
  <si>
    <t>122:29:49.97 W</t>
  </si>
  <si>
    <t>046:50:49.32 N</t>
  </si>
  <si>
    <t>122:29:51.67 W</t>
  </si>
  <si>
    <t>122:29:53.91 W</t>
  </si>
  <si>
    <t>046:50:49.55 N</t>
  </si>
  <si>
    <t>122:29:56.15 W</t>
  </si>
  <si>
    <t>122:29:58.47 W</t>
  </si>
  <si>
    <t>046:50:49.86 N</t>
  </si>
  <si>
    <t>122:30:00.09 W</t>
  </si>
  <si>
    <t>046:50:50.17 N</t>
  </si>
  <si>
    <t>122:30:02.03 W</t>
  </si>
  <si>
    <t>122:30:04.03 W</t>
  </si>
  <si>
    <t>046:50:50.40 N</t>
  </si>
  <si>
    <t>122:30:05.81 W</t>
  </si>
  <si>
    <t>046:50:50.48 N</t>
  </si>
  <si>
    <t>122:30:07.59 W</t>
  </si>
  <si>
    <t>046:50:50.56 N</t>
  </si>
  <si>
    <t>122:30:09.75 W</t>
  </si>
  <si>
    <t>046:50:50.63 N</t>
  </si>
  <si>
    <t>122:30:11.68 W</t>
  </si>
  <si>
    <t>046:50:50.79 N</t>
  </si>
  <si>
    <t>122:30:14.15 W</t>
  </si>
  <si>
    <t>122:30:16.08 W</t>
  </si>
  <si>
    <t>046:50:50.87 N</t>
  </si>
  <si>
    <t>122:30:18.17 W</t>
  </si>
  <si>
    <t>122:30:19.87 W</t>
  </si>
  <si>
    <t>046:50:50.94 N</t>
  </si>
  <si>
    <t>122:30:22.11 W</t>
  </si>
  <si>
    <t>122:30:23.81 W</t>
  </si>
  <si>
    <t>122:30:25.97 W</t>
  </si>
  <si>
    <t>122:30:28.14 W</t>
  </si>
  <si>
    <t>122:30:29.99 W</t>
  </si>
  <si>
    <t>122:30:32.23 W</t>
  </si>
  <si>
    <t>122:30:34.24 W</t>
  </si>
  <si>
    <t>122:30:36.09 W</t>
  </si>
  <si>
    <t>122:30:37.79 W</t>
  </si>
  <si>
    <t>122:30:39.65 W</t>
  </si>
  <si>
    <t>122:30:41.89 W</t>
  </si>
  <si>
    <t>046:50:50.32 N</t>
  </si>
  <si>
    <t>122:30:43.82 W</t>
  </si>
  <si>
    <t>122:30:45.44 W</t>
  </si>
  <si>
    <t>046:50:49.94 N</t>
  </si>
  <si>
    <t>122:30:47.68 W</t>
  </si>
  <si>
    <t>122:30:49.76 W</t>
  </si>
  <si>
    <t>122:30:52.00 W</t>
  </si>
  <si>
    <t>122:30:53.78 W</t>
  </si>
  <si>
    <t>122:30:55.87 W</t>
  </si>
  <si>
    <t>046:50:49.71 N</t>
  </si>
  <si>
    <t>122:30:57.72 W</t>
  </si>
  <si>
    <t>122:30:59.42 W</t>
  </si>
  <si>
    <t>122:31:01.89 W</t>
  </si>
  <si>
    <t>046:50:49.48 N</t>
  </si>
  <si>
    <t>122:31:03.82 W</t>
  </si>
  <si>
    <t>122:31:05.83 W</t>
  </si>
  <si>
    <t>122:31:07.92 W</t>
  </si>
  <si>
    <t>122:31:09.85 W</t>
  </si>
  <si>
    <t>046:50:49.24 N</t>
  </si>
  <si>
    <t>122:31:12.32 W</t>
  </si>
  <si>
    <t>122:31:14.02 W</t>
  </si>
  <si>
    <t>122:31:15.72 W</t>
  </si>
  <si>
    <t>046:50:49.17 N</t>
  </si>
  <si>
    <t>122:31:17.81 W</t>
  </si>
  <si>
    <t>122:31:19.74 W</t>
  </si>
  <si>
    <t>122:31:22.13 W</t>
  </si>
  <si>
    <t>122:31:24.53 W</t>
  </si>
  <si>
    <t>122:31:26.38 W</t>
  </si>
  <si>
    <t>122:31:28.08 W</t>
  </si>
  <si>
    <t>122:31:30.32 W</t>
  </si>
  <si>
    <t>122:31:32.48 W</t>
  </si>
  <si>
    <t>122:31:34.80 W</t>
  </si>
  <si>
    <t>122:31:37.04 W</t>
  </si>
  <si>
    <t>122:31:38.97 W</t>
  </si>
  <si>
    <t>122:31:40.67 W</t>
  </si>
  <si>
    <t>122:31:42.60 W</t>
  </si>
  <si>
    <t>122:31:44.76 W</t>
  </si>
  <si>
    <t>122:31:46.93 W</t>
  </si>
  <si>
    <t>122:31:48.63 W</t>
  </si>
  <si>
    <t>122:31:50.87 W</t>
  </si>
  <si>
    <t>122:31:52.80 W</t>
  </si>
  <si>
    <t>122:31:54.58 W</t>
  </si>
  <si>
    <t>122:31:56.35 W</t>
  </si>
  <si>
    <t>122:31:58.05 W</t>
  </si>
  <si>
    <t>122:32:00.21 W</t>
  </si>
  <si>
    <t>122:32:02.15 W</t>
  </si>
  <si>
    <t>122:32:04.31 W</t>
  </si>
  <si>
    <t>122:32:06.47 W</t>
  </si>
  <si>
    <t>122:32:08.63 W</t>
  </si>
  <si>
    <t>122:32:10.87 W</t>
  </si>
  <si>
    <t>122:32:13.04 W</t>
  </si>
  <si>
    <t>122:32:14.74 W</t>
  </si>
  <si>
    <t>122:32:16.59 W</t>
  </si>
  <si>
    <t>122:32:18.75 W</t>
  </si>
  <si>
    <t>122:32:20.53 W</t>
  </si>
  <si>
    <t>122:32:22.23 W</t>
  </si>
  <si>
    <t>122:32:24.47 W</t>
  </si>
  <si>
    <t>122:32:26.17 W</t>
  </si>
  <si>
    <t>122:32:28.18 W</t>
  </si>
  <si>
    <t>046:50:48.78 N</t>
  </si>
  <si>
    <t>122:32:30.34 W</t>
  </si>
  <si>
    <t>122:32:32.12 W</t>
  </si>
  <si>
    <t>122:32:34.20 W</t>
  </si>
  <si>
    <t>122:32:36.37 W</t>
  </si>
  <si>
    <t>122:32:38.30 W</t>
  </si>
  <si>
    <t>122:32:40.31 W</t>
  </si>
  <si>
    <t>122:32:42.24 W</t>
  </si>
  <si>
    <t>122:32:44.40 W</t>
  </si>
  <si>
    <t>122:32:46.02 W</t>
  </si>
  <si>
    <t>046:50:48.55 N</t>
  </si>
  <si>
    <t>122:32:48.19 W</t>
  </si>
  <si>
    <t>122:32:49.65 W</t>
  </si>
  <si>
    <t>122:32:51.35 W</t>
  </si>
  <si>
    <t>046:50:48.39 N</t>
  </si>
  <si>
    <t>122:32:53.36 W</t>
  </si>
  <si>
    <t>122:32:55.68 W</t>
  </si>
  <si>
    <t>046:50:48.24 N</t>
  </si>
  <si>
    <t>122:32:57.61 W</t>
  </si>
  <si>
    <t>046:50:48.08 N</t>
  </si>
  <si>
    <t>122:32:59.85 W</t>
  </si>
  <si>
    <t>122:33:01.94 W</t>
  </si>
  <si>
    <t>122:33:04.02 W</t>
  </si>
  <si>
    <t>046:50:47.47 N</t>
  </si>
  <si>
    <t>122:33:05.80 W</t>
  </si>
  <si>
    <t>046:50:47.23 N</t>
  </si>
  <si>
    <t>122:33:07.73 W</t>
  </si>
  <si>
    <t>122:33:09.97 W</t>
  </si>
  <si>
    <t>122:33:11.90 W</t>
  </si>
  <si>
    <t>122:33:13.91 W</t>
  </si>
  <si>
    <t>046:50:46.15 N</t>
  </si>
  <si>
    <t>122:33:15.69 W</t>
  </si>
  <si>
    <t>122:33:17.85 W</t>
  </si>
  <si>
    <t>122:33:19.78 W</t>
  </si>
  <si>
    <t>122:33:21.79 W</t>
  </si>
  <si>
    <t>122:33:23.64 W</t>
  </si>
  <si>
    <t>122:33:25.50 W</t>
  </si>
  <si>
    <t>122:33:27.27 W</t>
  </si>
  <si>
    <t>122:33:29.51 W</t>
  </si>
  <si>
    <t>122:33:31.21 W</t>
  </si>
  <si>
    <t>122:33:33.30 W</t>
  </si>
  <si>
    <t>122:33:35.23 W</t>
  </si>
  <si>
    <t>046:50:41.75 N</t>
  </si>
  <si>
    <t>122:33:37.16 W</t>
  </si>
  <si>
    <t>046:50:41.21 N</t>
  </si>
  <si>
    <t>122:33:39.55 W</t>
  </si>
  <si>
    <t>046:50:40.82 N</t>
  </si>
  <si>
    <t>122:33:41.56 W</t>
  </si>
  <si>
    <t>046:50:40.44 N</t>
  </si>
  <si>
    <t>122:33:43.42 W</t>
  </si>
  <si>
    <t>046:50:39.97 N</t>
  </si>
  <si>
    <t>122:33:45.58 W</t>
  </si>
  <si>
    <t>046:50:39.59 N</t>
  </si>
  <si>
    <t>122:33:47.59 W</t>
  </si>
  <si>
    <t>046:50:39.28 N</t>
  </si>
  <si>
    <t>122:33:49.44 W</t>
  </si>
  <si>
    <t>046:50:38.66 N</t>
  </si>
  <si>
    <t>122:33:52.46 W</t>
  </si>
  <si>
    <t>046:50:38.27 N</t>
  </si>
  <si>
    <t>122:33:54.08 W</t>
  </si>
  <si>
    <t>046:50:37.97 N</t>
  </si>
  <si>
    <t>122:33:55.78 W</t>
  </si>
  <si>
    <t>046:50:37.50 N</t>
  </si>
  <si>
    <t>122:33:57.63 W</t>
  </si>
  <si>
    <t>046:50:37.19 N</t>
  </si>
  <si>
    <t>122:33:59.64 W</t>
  </si>
  <si>
    <t>046:50:36.81 N</t>
  </si>
  <si>
    <t>122:34:01.57 W</t>
  </si>
  <si>
    <t>046:50:36.34 N</t>
  </si>
  <si>
    <t>122:34:03.35 W</t>
  </si>
  <si>
    <t>046:50:35.96 N</t>
  </si>
  <si>
    <t>122:34:05.43 W</t>
  </si>
  <si>
    <t>046:50:35.49 N</t>
  </si>
  <si>
    <t>122:34:07.29 W</t>
  </si>
  <si>
    <t>046:50:35.11 N</t>
  </si>
  <si>
    <t>122:34:09.22 W</t>
  </si>
  <si>
    <t>046:50:34.64 N</t>
  </si>
  <si>
    <t>122:34:10.99 W</t>
  </si>
  <si>
    <t>046:50:34.33 N</t>
  </si>
  <si>
    <t>122:34:12.39 W</t>
  </si>
  <si>
    <t>046:50:33.95 N</t>
  </si>
  <si>
    <t>122:34:14.47 W</t>
  </si>
  <si>
    <t>046:50:33.64 N</t>
  </si>
  <si>
    <t>122:34:16.25 W</t>
  </si>
  <si>
    <t>046:50:33.10 N</t>
  </si>
  <si>
    <t>122:34:18.18 W</t>
  </si>
  <si>
    <t>046:50:32.87 N</t>
  </si>
  <si>
    <t>122:34:20.11 W</t>
  </si>
  <si>
    <t>046:50:32.48 N</t>
  </si>
  <si>
    <t>122:34:21.65 W</t>
  </si>
  <si>
    <t>046:50:32.02 N</t>
  </si>
  <si>
    <t>122:34:23.51 W</t>
  </si>
  <si>
    <t>046:50:31.71 N</t>
  </si>
  <si>
    <t>122:34:24.90 W</t>
  </si>
  <si>
    <t>046:50:31.48 N</t>
  </si>
  <si>
    <t>122:34:26.83 W</t>
  </si>
  <si>
    <t>046:50:30.94 N</t>
  </si>
  <si>
    <t>122:34:28.84 W</t>
  </si>
  <si>
    <t>046:50:30.70 N</t>
  </si>
  <si>
    <t>122:34:30.46 W</t>
  </si>
  <si>
    <t>046:50:30.32 N</t>
  </si>
  <si>
    <t>122:34:32.24 W</t>
  </si>
  <si>
    <t>046:50:29.85 N</t>
  </si>
  <si>
    <t>122:34:34.09 W</t>
  </si>
  <si>
    <t>046:50:29.39 N</t>
  </si>
  <si>
    <t>122:34:36.02 W</t>
  </si>
  <si>
    <t>046:50:28.93 N</t>
  </si>
  <si>
    <t>122:34:37.95 W</t>
  </si>
  <si>
    <t>046:50:28.62 N</t>
  </si>
  <si>
    <t>122:34:39.42 W</t>
  </si>
  <si>
    <t>046:50:28.08 N</t>
  </si>
  <si>
    <t>122:34:41.35 W</t>
  </si>
  <si>
    <t>046:50:27.69 N</t>
  </si>
  <si>
    <t>122:34:43.28 W</t>
  </si>
  <si>
    <t>046:50:27.38 N</t>
  </si>
  <si>
    <t>122:34:44.44 W</t>
  </si>
  <si>
    <t>046:50:26.92 N</t>
  </si>
  <si>
    <t>122:34:46.37 W</t>
  </si>
  <si>
    <t>046:50:26.53 N</t>
  </si>
  <si>
    <t>122:34:48.07 W</t>
  </si>
  <si>
    <t>046:50:26.07 N</t>
  </si>
  <si>
    <t>122:34:49.85 W</t>
  </si>
  <si>
    <t>046:50:25.61 N</t>
  </si>
  <si>
    <t>122:34:51.55 W</t>
  </si>
  <si>
    <t>046:50:25.30 N</t>
  </si>
  <si>
    <t>122:34:53.02 W</t>
  </si>
  <si>
    <t>046:50:24.76 N</t>
  </si>
  <si>
    <t>122:34:54.87 W</t>
  </si>
  <si>
    <t>046:50:24.45 N</t>
  </si>
  <si>
    <t>122:34:56.49 W</t>
  </si>
  <si>
    <t>046:50:23.91 N</t>
  </si>
  <si>
    <t>122:34:58.19 W</t>
  </si>
  <si>
    <t>046:50:23.44 N</t>
  </si>
  <si>
    <t>122:35:00.12 W</t>
  </si>
  <si>
    <t>046:50:23.13 N</t>
  </si>
  <si>
    <t>122:35:01.82 W</t>
  </si>
  <si>
    <t>046:50:22.75 N</t>
  </si>
  <si>
    <t>122:35:03.14 W</t>
  </si>
  <si>
    <t>046:50:22.44 N</t>
  </si>
  <si>
    <t>122:35:04.99 W</t>
  </si>
  <si>
    <t>046:50:21.90 N</t>
  </si>
  <si>
    <t>122:35:06.84 W</t>
  </si>
  <si>
    <t>046:50:21.43 N</t>
  </si>
  <si>
    <t>122:35:08.62 W</t>
  </si>
  <si>
    <t>046:50:21.13 N</t>
  </si>
  <si>
    <t>122:35:10.24 W</t>
  </si>
  <si>
    <t>046:50:20.74 N</t>
  </si>
  <si>
    <t>122:35:12.10 W</t>
  </si>
  <si>
    <t>046:50:20.28 N</t>
  </si>
  <si>
    <t>122:35:13.64 W</t>
  </si>
  <si>
    <t>046:50:19.97 N</t>
  </si>
  <si>
    <t>122:35:15.11 W</t>
  </si>
  <si>
    <t>046:50:19.50 N</t>
  </si>
  <si>
    <t>122:35:17.04 W</t>
  </si>
  <si>
    <t>046:50:18.89 N</t>
  </si>
  <si>
    <t>122:35:18.97 W</t>
  </si>
  <si>
    <t>046:50:18.42 N</t>
  </si>
  <si>
    <t>122:35:20.75 W</t>
  </si>
  <si>
    <t>046:50:18.04 N</t>
  </si>
  <si>
    <t>122:35:22.22 W</t>
  </si>
  <si>
    <t>046:50:17.57 N</t>
  </si>
  <si>
    <t>122:35:23.68 W</t>
  </si>
  <si>
    <t>046:50:17.19 N</t>
  </si>
  <si>
    <t>122:35:25.46 W</t>
  </si>
  <si>
    <t>046:50:16.72 N</t>
  </si>
  <si>
    <t>122:35:27.16 W</t>
  </si>
  <si>
    <t>046:50:16.03 N</t>
  </si>
  <si>
    <t>122:35:29.09 W</t>
  </si>
  <si>
    <t>046:50:15.72 N</t>
  </si>
  <si>
    <t>122:35:30.64 W</t>
  </si>
  <si>
    <t>046:50:15.33 N</t>
  </si>
  <si>
    <t>122:35:32.49 W</t>
  </si>
  <si>
    <t>046:50:14.87 N</t>
  </si>
  <si>
    <t>122:35:34.42 W</t>
  </si>
  <si>
    <t>046:50:14.33 N</t>
  </si>
  <si>
    <t>122:35:36.28 W</t>
  </si>
  <si>
    <t>046:50:13.86 N</t>
  </si>
  <si>
    <t>122:35:37.74 W</t>
  </si>
  <si>
    <t>046:50:13.55 N</t>
  </si>
  <si>
    <t>122:35:39.44 W</t>
  </si>
  <si>
    <t>046:50:13.01 N</t>
  </si>
  <si>
    <t>122:35:40.99 W</t>
  </si>
  <si>
    <t>046:50:12.55 N</t>
  </si>
  <si>
    <t>122:35:43.07 W</t>
  </si>
  <si>
    <t>046:50:12.01 N</t>
  </si>
  <si>
    <t>122:35:44.70 W</t>
  </si>
  <si>
    <t>046:50:11.55 N</t>
  </si>
  <si>
    <t>122:35:46.40 W</t>
  </si>
  <si>
    <t>046:50:11.08 N</t>
  </si>
  <si>
    <t>122:35:48.64 W</t>
  </si>
  <si>
    <t>046:50:10.54 N</t>
  </si>
  <si>
    <t>122:35:50.41 W</t>
  </si>
  <si>
    <t>046:50:10.08 N</t>
  </si>
  <si>
    <t>122:35:51.96 W</t>
  </si>
  <si>
    <t>046:50:09.54 N</t>
  </si>
  <si>
    <t>122:35:53.81 W</t>
  </si>
  <si>
    <t>046:50:09.07 N</t>
  </si>
  <si>
    <t>122:35:55.59 W</t>
  </si>
  <si>
    <t>046:50:08.53 N</t>
  </si>
  <si>
    <t>122:35:57.29 W</t>
  </si>
  <si>
    <t>046:50:08.15 N</t>
  </si>
  <si>
    <t>122:35:59.30 W</t>
  </si>
  <si>
    <t>046:50:07.68 N</t>
  </si>
  <si>
    <t>122:36:00.76 W</t>
  </si>
  <si>
    <t>046:50:07.30 N</t>
  </si>
  <si>
    <t>122:36:02.62 W</t>
  </si>
  <si>
    <t>046:50:06.83 N</t>
  </si>
  <si>
    <t>122:36:04.47 W</t>
  </si>
  <si>
    <t>046:50:06.14 N</t>
  </si>
  <si>
    <t>122:36:06.48 W</t>
  </si>
  <si>
    <t>046:50:05.83 N</t>
  </si>
  <si>
    <t>122:36:08.18 W</t>
  </si>
  <si>
    <t>046:50:05.29 N</t>
  </si>
  <si>
    <t>122:36:09.80 W</t>
  </si>
  <si>
    <t>046:50:04.83 N</t>
  </si>
  <si>
    <t>122:36:11.42 W</t>
  </si>
  <si>
    <t>046:50:04.29 N</t>
  </si>
  <si>
    <t>122:36:13.35 W</t>
  </si>
  <si>
    <t>046:50:03.82 N</t>
  </si>
  <si>
    <t>122:36:15.36 W</t>
  </si>
  <si>
    <t>046:50:03.28 N</t>
  </si>
  <si>
    <t>122:36:17.06 W</t>
  </si>
  <si>
    <t>046:50:02.82 N</t>
  </si>
  <si>
    <t>122:36:19.07 W</t>
  </si>
  <si>
    <t>046:50:02.35 N</t>
  </si>
  <si>
    <t>122:36:20.93 W</t>
  </si>
  <si>
    <t>046:50:01.81 N</t>
  </si>
  <si>
    <t>122:36:22.39 W</t>
  </si>
  <si>
    <t>046:50:01.12 N</t>
  </si>
  <si>
    <t>122:36:24.71 W</t>
  </si>
  <si>
    <t>046:50:00.73 N</t>
  </si>
  <si>
    <t>122:36:26.49 W</t>
  </si>
  <si>
    <t>046:50:00.11 N</t>
  </si>
  <si>
    <t>122:36:28.19 W</t>
  </si>
  <si>
    <t>046:49:59.34 N</t>
  </si>
  <si>
    <t>122:36:30.81 W</t>
  </si>
  <si>
    <t>046:49:58.72 N</t>
  </si>
  <si>
    <t>122:36:32.51 W</t>
  </si>
  <si>
    <t>046:49:58.26 N</t>
  </si>
  <si>
    <t>122:36:34.13 W</t>
  </si>
  <si>
    <t>046:49:57.72 N</t>
  </si>
  <si>
    <t>122:36:35.91 W</t>
  </si>
  <si>
    <t>046:49:56.87 N</t>
  </si>
  <si>
    <t>122:36:38.77 W</t>
  </si>
  <si>
    <t>046:49:56.41 N</t>
  </si>
  <si>
    <t>122:36:40.24 W</t>
  </si>
  <si>
    <t>046:49:55.94 N</t>
  </si>
  <si>
    <t>122:36:42.01 W</t>
  </si>
  <si>
    <t>046:49:55.40 N</t>
  </si>
  <si>
    <t>122:36:44.10 W</t>
  </si>
  <si>
    <t>046:49:54.94 N</t>
  </si>
  <si>
    <t>122:36:46.03 W</t>
  </si>
  <si>
    <t>046:49:54.40 N</t>
  </si>
  <si>
    <t>122:36:47.73 W</t>
  </si>
  <si>
    <t>046:49:54.09 N</t>
  </si>
  <si>
    <t>122:36:49.74 W</t>
  </si>
  <si>
    <t>046:49:53.55 N</t>
  </si>
  <si>
    <t>122:36:51.67 W</t>
  </si>
  <si>
    <t>046:49:53.24 N</t>
  </si>
  <si>
    <t>122:36:53.45 W</t>
  </si>
  <si>
    <t>046:49:52.93 N</t>
  </si>
  <si>
    <t>122:36:55.45 W</t>
  </si>
  <si>
    <t>046:49:52.47 N</t>
  </si>
  <si>
    <t>122:36:57.31 W</t>
  </si>
  <si>
    <t>046:49:51.93 N</t>
  </si>
  <si>
    <t>122:36:59.32 W</t>
  </si>
  <si>
    <t>046:49:51.46 N</t>
  </si>
  <si>
    <t>122:37:01.17 W</t>
  </si>
  <si>
    <t>046:49:51.08 N</t>
  </si>
  <si>
    <t>122:37:03.03 W</t>
  </si>
  <si>
    <t>046:49:50.84 N</t>
  </si>
  <si>
    <t>122:37:05.03 W</t>
  </si>
  <si>
    <t>046:49:50.23 N</t>
  </si>
  <si>
    <t>122:37:07.04 W</t>
  </si>
  <si>
    <t>046:49:49.76 N</t>
  </si>
  <si>
    <t>122:37:09.20 W</t>
  </si>
  <si>
    <t>046:49:49.38 N</t>
  </si>
  <si>
    <t>122:37:10.98 W</t>
  </si>
  <si>
    <t>046:49:49.14 N</t>
  </si>
  <si>
    <t>122:37:12.99 W</t>
  </si>
  <si>
    <t>046:49:48.68 N</t>
  </si>
  <si>
    <t>122:37:14.92 W</t>
  </si>
  <si>
    <t>046:49:48.37 N</t>
  </si>
  <si>
    <t>122:37:16.62 W</t>
  </si>
  <si>
    <t>046:49:47.91 N</t>
  </si>
  <si>
    <t>122:37:18.86 W</t>
  </si>
  <si>
    <t>046:49:47.37 N</t>
  </si>
  <si>
    <t>122:37:20.64 W</t>
  </si>
  <si>
    <t>046:49:46.98 N</t>
  </si>
  <si>
    <t>122:37:22.65 W</t>
  </si>
  <si>
    <t>046:49:46.52 N</t>
  </si>
  <si>
    <t>122:37:24.35 W</t>
  </si>
  <si>
    <t>046:49:46.21 N</t>
  </si>
  <si>
    <t>122:37:26.04 W</t>
  </si>
  <si>
    <t>046:49:45.90 N</t>
  </si>
  <si>
    <t>122:37:27.98 W</t>
  </si>
  <si>
    <t>046:49:45.36 N</t>
  </si>
  <si>
    <t>122:37:29.98 W</t>
  </si>
  <si>
    <t>046:49:45.05 N</t>
  </si>
  <si>
    <t>122:37:31.45 W</t>
  </si>
  <si>
    <t>046:49:44.51 N</t>
  </si>
  <si>
    <t>122:37:33.31 W</t>
  </si>
  <si>
    <t>046:49:44.05 N</t>
  </si>
  <si>
    <t>122:37:34.93 W</t>
  </si>
  <si>
    <t>046:49:43.51 N</t>
  </si>
  <si>
    <t>122:37:37.17 W</t>
  </si>
  <si>
    <t>046:49:43.04 N</t>
  </si>
  <si>
    <t>122:37:39.10 W</t>
  </si>
  <si>
    <t>046:49:42.66 N</t>
  </si>
  <si>
    <t>122:37:40.88 W</t>
  </si>
  <si>
    <t>046:49:42.27 N</t>
  </si>
  <si>
    <t>122:37:42.96 W</t>
  </si>
  <si>
    <t>046:49:42.04 N</t>
  </si>
  <si>
    <t>122:37:44.82 W</t>
  </si>
  <si>
    <t>046:49:41.57 N</t>
  </si>
  <si>
    <t>122:37:46.52 W</t>
  </si>
  <si>
    <t>046:49:41.27 N</t>
  </si>
  <si>
    <t>122:37:48.21 W</t>
  </si>
  <si>
    <t>046:49:40.72 N</t>
  </si>
  <si>
    <t>122:37:50.38 W</t>
  </si>
  <si>
    <t>046:49:40.42 N</t>
  </si>
  <si>
    <t>122:37:52.54 W</t>
  </si>
  <si>
    <t>046:49:40.11 N</t>
  </si>
  <si>
    <t>122:37:54.24 W</t>
  </si>
  <si>
    <t>046:49:39.64 N</t>
  </si>
  <si>
    <t>122:37:56.17 W</t>
  </si>
  <si>
    <t>046:49:39.26 N</t>
  </si>
  <si>
    <t>122:37:57.87 W</t>
  </si>
  <si>
    <t>046:49:39.03 N</t>
  </si>
  <si>
    <t>122:37:59.65 W</t>
  </si>
  <si>
    <t>046:49:38.64 N</t>
  </si>
  <si>
    <t>122:38:01.50 W</t>
  </si>
  <si>
    <t>046:49:38.18 N</t>
  </si>
  <si>
    <t>122:38:03.36 W</t>
  </si>
  <si>
    <t>046:49:37.48 N</t>
  </si>
  <si>
    <t>122:38:06.06 W</t>
  </si>
  <si>
    <t>046:49:37.09 N</t>
  </si>
  <si>
    <t>122:38:07.99 W</t>
  </si>
  <si>
    <t>046:49:36.63 N</t>
  </si>
  <si>
    <t>122:38:09.77 W</t>
  </si>
  <si>
    <t>046:49:36.17 N</t>
  </si>
  <si>
    <t>122:38:11.62 W</t>
  </si>
  <si>
    <t>046:49:35.63 N</t>
  </si>
  <si>
    <t>122:38:13.24 W</t>
  </si>
  <si>
    <t>046:49:35.32 N</t>
  </si>
  <si>
    <t>122:38:15.25 W</t>
  </si>
  <si>
    <t>046:49:34.78 N</t>
  </si>
  <si>
    <t>122:38:16.95 W</t>
  </si>
  <si>
    <t>046:49:34.31 N</t>
  </si>
  <si>
    <t>122:38:18.88 W</t>
  </si>
  <si>
    <t>046:49:33.77 N</t>
  </si>
  <si>
    <t>122:38:20.66 W</t>
  </si>
  <si>
    <t>046:49:33.31 N</t>
  </si>
  <si>
    <t>122:38:22.51 W</t>
  </si>
  <si>
    <t>046:49:32.77 N</t>
  </si>
  <si>
    <t>122:38:24.14 W</t>
  </si>
  <si>
    <t>046:49:32.15 N</t>
  </si>
  <si>
    <t>122:38:25.83 W</t>
  </si>
  <si>
    <t>046:49:31.69 N</t>
  </si>
  <si>
    <t>122:38:27.30 W</t>
  </si>
  <si>
    <t>046:49:31.15 N</t>
  </si>
  <si>
    <t>122:38:29.08 W</t>
  </si>
  <si>
    <t>046:49:30.45 N</t>
  </si>
  <si>
    <t>122:38:30.78 W</t>
  </si>
  <si>
    <t>046:49:29.52 N</t>
  </si>
  <si>
    <t>122:38:32.86 W</t>
  </si>
  <si>
    <t>046:49:28.98 N</t>
  </si>
  <si>
    <t>122:38:34.49 W</t>
  </si>
  <si>
    <t>046:49:28.21 N</t>
  </si>
  <si>
    <t>122:38:36.49 W</t>
  </si>
  <si>
    <t>046:49:27.59 N</t>
  </si>
  <si>
    <t>122:38:38.19 W</t>
  </si>
  <si>
    <t>046:49:26.90 N</t>
  </si>
  <si>
    <t>122:38:39.82 W</t>
  </si>
  <si>
    <t>046:49:26.28 N</t>
  </si>
  <si>
    <t>122:38:41.67 W</t>
  </si>
  <si>
    <t>046:49:25.43 N</t>
  </si>
  <si>
    <t>122:38:43.68 W</t>
  </si>
  <si>
    <t>046:49:24.73 N</t>
  </si>
  <si>
    <t>122:38:45.61 W</t>
  </si>
  <si>
    <t>046:49:24.12 N</t>
  </si>
  <si>
    <t>122:38:47.08 W</t>
  </si>
  <si>
    <t>046:49:23.58 N</t>
  </si>
  <si>
    <t>122:38:48.85 W</t>
  </si>
  <si>
    <t>046:49:22.96 N</t>
  </si>
  <si>
    <t>122:38:50.71 W</t>
  </si>
  <si>
    <t>046:49:22.26 N</t>
  </si>
  <si>
    <t>122:38:52.56 W</t>
  </si>
  <si>
    <t>046:49:21.57 N</t>
  </si>
  <si>
    <t>122:38:54.57 W</t>
  </si>
  <si>
    <t>046:49:21.10 N</t>
  </si>
  <si>
    <t>122:38:56.04 W</t>
  </si>
  <si>
    <t>046:49:20.33 N</t>
  </si>
  <si>
    <t>122:38:57.89 W</t>
  </si>
  <si>
    <t>046:49:19.64 N</t>
  </si>
  <si>
    <t>122:38:59.82 W</t>
  </si>
  <si>
    <t>046:49:19.17 N</t>
  </si>
  <si>
    <t>122:39:01.52 W</t>
  </si>
  <si>
    <t>046:49:18.55 N</t>
  </si>
  <si>
    <t>122:39:03.22 W</t>
  </si>
  <si>
    <t>046:49:18.01 N</t>
  </si>
  <si>
    <t>122:39:05.15 W</t>
  </si>
  <si>
    <t>046:49:17.32 N</t>
  </si>
  <si>
    <t>122:39:07.08 W</t>
  </si>
  <si>
    <t>046:49:16.70 N</t>
  </si>
  <si>
    <t>122:39:08.86 W</t>
  </si>
  <si>
    <t>046:49:16.24 N</t>
  </si>
  <si>
    <t>122:39:10.72 W</t>
  </si>
  <si>
    <t>046:49:15.54 N</t>
  </si>
  <si>
    <t>122:39:12.34 W</t>
  </si>
  <si>
    <t>046:49:15.00 N</t>
  </si>
  <si>
    <t>122:39:14.35 W</t>
  </si>
  <si>
    <t>046:49:14.54 N</t>
  </si>
  <si>
    <t>122:39:15.81 W</t>
  </si>
  <si>
    <t>046:49:14.00 N</t>
  </si>
  <si>
    <t>122:39:17.28 W</t>
  </si>
  <si>
    <t>046:49:13.38 N</t>
  </si>
  <si>
    <t>122:39:19.99 W</t>
  </si>
  <si>
    <t>046:49:12.92 N</t>
  </si>
  <si>
    <t>122:39:21.84 W</t>
  </si>
  <si>
    <t>046:49:12.37 N</t>
  </si>
  <si>
    <t>122:39:24.00 W</t>
  </si>
  <si>
    <t>046:49:11.91 N</t>
  </si>
  <si>
    <t>122:39:25.62 W</t>
  </si>
  <si>
    <t>046:49:11.53 N</t>
  </si>
  <si>
    <t>122:39:27.17 W</t>
  </si>
  <si>
    <t>046:49:11.29 N</t>
  </si>
  <si>
    <t>122:39:29.02 W</t>
  </si>
  <si>
    <t>046:49:10.91 N</t>
  </si>
  <si>
    <t>122:39:31.19 W</t>
  </si>
  <si>
    <t>046:49:10.44 N</t>
  </si>
  <si>
    <t>122:39:32.89 W</t>
  </si>
  <si>
    <t>046:49:10.21 N</t>
  </si>
  <si>
    <t>122:39:34.82 W</t>
  </si>
  <si>
    <t>046:49:09.83 N</t>
  </si>
  <si>
    <t>122:39:36.83 W</t>
  </si>
  <si>
    <t>046:49:09.44 N</t>
  </si>
  <si>
    <t>122:39:38.68 W</t>
  </si>
  <si>
    <t>046:49:08.98 N</t>
  </si>
  <si>
    <t>122:39:40.76 W</t>
  </si>
  <si>
    <t>046:49:08.82 N</t>
  </si>
  <si>
    <t>122:39:42.54 W</t>
  </si>
  <si>
    <t>046:49:08.36 N</t>
  </si>
  <si>
    <t>122:39:44.47 W</t>
  </si>
  <si>
    <t>046:49:08.13 N</t>
  </si>
  <si>
    <t>122:39:45.94 W</t>
  </si>
  <si>
    <t>046:49:07.82 N</t>
  </si>
  <si>
    <t>122:39:47.72 W</t>
  </si>
  <si>
    <t>046:49:07.43 N</t>
  </si>
  <si>
    <t>122:39:49.80 W</t>
  </si>
  <si>
    <t>046:49:07.12 N</t>
  </si>
  <si>
    <t>122:39:51.19 W</t>
  </si>
  <si>
    <t>046:49:06.97 N</t>
  </si>
  <si>
    <t>122:39:53.12 W</t>
  </si>
  <si>
    <t>046:49:06.81 N</t>
  </si>
  <si>
    <t>122:39:55.06 W</t>
  </si>
  <si>
    <t>046:49:06.50 N</t>
  </si>
  <si>
    <t>122:39:56.83 W</t>
  </si>
  <si>
    <t>046:49:06.35 N</t>
  </si>
  <si>
    <t>122:39:59.15 W</t>
  </si>
  <si>
    <t>046:49:06.20 N</t>
  </si>
  <si>
    <t>122:40:01.00 W</t>
  </si>
  <si>
    <t>046:49:05.96 N</t>
  </si>
  <si>
    <t>122:40:03.24 W</t>
  </si>
  <si>
    <t>046:49:05.81 N</t>
  </si>
  <si>
    <t>122:40:04.94 W</t>
  </si>
  <si>
    <t>046:49:05.65 N</t>
  </si>
  <si>
    <t>122:40:06.72 W</t>
  </si>
  <si>
    <t>046:49:05.50 N</t>
  </si>
  <si>
    <t>122:40:08.42 W</t>
  </si>
  <si>
    <t>046:49:05.19 N</t>
  </si>
  <si>
    <t>122:40:10.27 W</t>
  </si>
  <si>
    <t>046:49:04.96 N</t>
  </si>
  <si>
    <t>122:40:12.44 W</t>
  </si>
  <si>
    <t>046:49:04.65 N</t>
  </si>
  <si>
    <t>122:40:14.14 W</t>
  </si>
  <si>
    <t>046:49:04.50 N</t>
  </si>
  <si>
    <t>122:40:16.53 W</t>
  </si>
  <si>
    <t>046:49:04.19 N</t>
  </si>
  <si>
    <t>122:40:18.46 W</t>
  </si>
  <si>
    <t>046:49:04.03 N</t>
  </si>
  <si>
    <t>122:40:20.39 W</t>
  </si>
  <si>
    <t>046:49:03.65 N</t>
  </si>
  <si>
    <t>122:40:22.56 W</t>
  </si>
  <si>
    <t>046:49:03.34 N</t>
  </si>
  <si>
    <t>122:40:24.80 W</t>
  </si>
  <si>
    <t>046:49:03.18 N</t>
  </si>
  <si>
    <t>122:40:26.42 W</t>
  </si>
  <si>
    <t>046:49:02.87 N</t>
  </si>
  <si>
    <t>122:40:28.35 W</t>
  </si>
  <si>
    <t>046:49:02.64 N</t>
  </si>
  <si>
    <t>122:40:30.43 W</t>
  </si>
  <si>
    <t>046:49:02.49 N</t>
  </si>
  <si>
    <t>122:40:32.21 W</t>
  </si>
  <si>
    <t>046:49:02.33 N</t>
  </si>
  <si>
    <t>122:40:34.37 W</t>
  </si>
  <si>
    <t>046:49:02.18 N</t>
  </si>
  <si>
    <t>122:40:36.31 W</t>
  </si>
  <si>
    <t>046:49:01.87 N</t>
  </si>
  <si>
    <t>122:40:38.70 W</t>
  </si>
  <si>
    <t>046:49:01.64 N</t>
  </si>
  <si>
    <t>122:40:40.86 W</t>
  </si>
  <si>
    <t>046:49:01.56 N</t>
  </si>
  <si>
    <t>122:40:42.56 W</t>
  </si>
  <si>
    <t>046:49:01.33 N</t>
  </si>
  <si>
    <t>122:40:44.57 W</t>
  </si>
  <si>
    <t>046:49:01.02 N</t>
  </si>
  <si>
    <t>122:40:46.43 W</t>
  </si>
  <si>
    <t>046:49:00.86 N</t>
  </si>
  <si>
    <t>122:40:48.90 W</t>
  </si>
  <si>
    <t>046:49:00.56 N</t>
  </si>
  <si>
    <t>122:40:50.52 W</t>
  </si>
  <si>
    <t>046:49:00.40 N</t>
  </si>
  <si>
    <t>122:40:52.99 W</t>
  </si>
  <si>
    <t>046:49:00.25 N</t>
  </si>
  <si>
    <t>122:40:54.38 W</t>
  </si>
  <si>
    <t>046:48:59.94 N</t>
  </si>
  <si>
    <t>122:40:56.39 W</t>
  </si>
  <si>
    <t>046:48:59.71 N</t>
  </si>
  <si>
    <t>122:40:58.48 W</t>
  </si>
  <si>
    <t>046:48:59.55 N</t>
  </si>
  <si>
    <t>122:41:00.72 W</t>
  </si>
  <si>
    <t>046:48:59.09 N</t>
  </si>
  <si>
    <t>122:41:03.57 W</t>
  </si>
  <si>
    <t>046:48:58.70 N</t>
  </si>
  <si>
    <t>122:41:05.74 W</t>
  </si>
  <si>
    <t>046:48:58.47 N</t>
  </si>
  <si>
    <t>122:41:07.51 W</t>
  </si>
  <si>
    <t>046:48:58.24 N</t>
  </si>
  <si>
    <t>122:41:09.37 W</t>
  </si>
  <si>
    <t>046:48:58.08 N</t>
  </si>
  <si>
    <t>122:41:11.07 W</t>
  </si>
  <si>
    <t>046:48:57.78 N</t>
  </si>
  <si>
    <t>122:41:13.00 W</t>
  </si>
  <si>
    <t>046:48:57.39 N</t>
  </si>
  <si>
    <t>122:41:14.93 W</t>
  </si>
  <si>
    <t>046:48:57.08 N</t>
  </si>
  <si>
    <t>122:41:16.71 W</t>
  </si>
  <si>
    <t>046:48:56.77 N</t>
  </si>
  <si>
    <t>122:41:18.79 W</t>
  </si>
  <si>
    <t>046:48:56.23 N</t>
  </si>
  <si>
    <t>122:41:20.72 W</t>
  </si>
  <si>
    <t>046:48:56.08 N</t>
  </si>
  <si>
    <t>122:41:22.42 W</t>
  </si>
  <si>
    <t>046:48:55.77 N</t>
  </si>
  <si>
    <t>122:41:24.35 W</t>
  </si>
  <si>
    <t>046:48:55.46 N</t>
  </si>
  <si>
    <t>122:41:26.21 W</t>
  </si>
  <si>
    <t>046:48:55.07 N</t>
  </si>
  <si>
    <t>122:41:28.29 W</t>
  </si>
  <si>
    <t>046:48:54.76 N</t>
  </si>
  <si>
    <t>122:41:29.84 W</t>
  </si>
  <si>
    <t>046:48:54.61 N</t>
  </si>
  <si>
    <t>122:41:32.00 W</t>
  </si>
  <si>
    <t>046:48:54.07 N</t>
  </si>
  <si>
    <t>122:41:34.24 W</t>
  </si>
  <si>
    <t>046:48:53.99 N</t>
  </si>
  <si>
    <t>122:41:35.86 W</t>
  </si>
  <si>
    <t>046:48:53.60 N</t>
  </si>
  <si>
    <t>122:41:37.41 W</t>
  </si>
  <si>
    <t>046:48:53.14 N</t>
  </si>
  <si>
    <t>122:41:39.73 W</t>
  </si>
  <si>
    <t>046:48:52.91 N</t>
  </si>
  <si>
    <t>122:41:41.43 W</t>
  </si>
  <si>
    <t>046:48:52.60 N</t>
  </si>
  <si>
    <t>122:41:42.89 W</t>
  </si>
  <si>
    <t>046:48:52.21 N</t>
  </si>
  <si>
    <t>122:41:44.82 W</t>
  </si>
  <si>
    <t>046:48:51.98 N</t>
  </si>
  <si>
    <t>122:41:46.99 W</t>
  </si>
  <si>
    <t>046:48:51.52 N</t>
  </si>
  <si>
    <t>122:41:48.92 W</t>
  </si>
  <si>
    <t>046:48:51.29 N</t>
  </si>
  <si>
    <t>122:41:50.62 W</t>
  </si>
  <si>
    <t>046:48:51.05 N</t>
  </si>
  <si>
    <t>122:41:52.24 W</t>
  </si>
  <si>
    <t>046:48:50.75 N</t>
  </si>
  <si>
    <t>122:41:54.02 W</t>
  </si>
  <si>
    <t>046:48:50.51 N</t>
  </si>
  <si>
    <t>122:41:55.41 W</t>
  </si>
  <si>
    <t>046:48:50.05 N</t>
  </si>
  <si>
    <t>122:41:57.49 W</t>
  </si>
  <si>
    <t>046:48:49.82 N</t>
  </si>
  <si>
    <t>122:41:59.50 W</t>
  </si>
  <si>
    <t>046:48:49.51 N</t>
  </si>
  <si>
    <t>122:42:01.43 W</t>
  </si>
  <si>
    <t>046:48:49.20 N</t>
  </si>
  <si>
    <t>122:42:03.36 W</t>
  </si>
  <si>
    <t>046:48:48.81 N</t>
  </si>
  <si>
    <t>122:42:05.06 W</t>
  </si>
  <si>
    <t>046:48:48.51 N</t>
  </si>
  <si>
    <t>122:42:06.76 W</t>
  </si>
  <si>
    <t>046:48:48.20 N</t>
  </si>
  <si>
    <t>122:42:08.69 W</t>
  </si>
  <si>
    <t>046:48:47.73 N</t>
  </si>
  <si>
    <t>122:42:10.55 W</t>
  </si>
  <si>
    <t>046:48:47.35 N</t>
  </si>
  <si>
    <t>122:42:12.56 W</t>
  </si>
  <si>
    <t>046:48:46.88 N</t>
  </si>
  <si>
    <t>122:42:14.49 W</t>
  </si>
  <si>
    <t>046:48:46.57 N</t>
  </si>
  <si>
    <t>122:42:16.42 W</t>
  </si>
  <si>
    <t>046:48:46.03 N</t>
  </si>
  <si>
    <t>122:42:17.96 W</t>
  </si>
  <si>
    <t>046:48:45.72 N</t>
  </si>
  <si>
    <t>122:42:19.74 W</t>
  </si>
  <si>
    <t>046:48:45.18 N</t>
  </si>
  <si>
    <t>122:42:21.44 W</t>
  </si>
  <si>
    <t>046:48:44.72 N</t>
  </si>
  <si>
    <t>122:42:23.60 W</t>
  </si>
  <si>
    <t>046:48:44.10 N</t>
  </si>
  <si>
    <t>122:42:25.53 W</t>
  </si>
  <si>
    <t>046:48:43.56 N</t>
  </si>
  <si>
    <t>122:42:27.47 W</t>
  </si>
  <si>
    <t>046:48:43.10 N</t>
  </si>
  <si>
    <t>122:42:29.40 W</t>
  </si>
  <si>
    <t>046:48:42.71 N</t>
  </si>
  <si>
    <t>122:42:31.33 W</t>
  </si>
  <si>
    <t>046:48:42.17 N</t>
  </si>
  <si>
    <t>122:42:33.03 W</t>
  </si>
  <si>
    <t>046:48:41.71 N</t>
  </si>
  <si>
    <t>122:42:35.04 W</t>
  </si>
  <si>
    <t>046:48:41.24 N</t>
  </si>
  <si>
    <t>122:42:37.12 W</t>
  </si>
  <si>
    <t>046:48:40.86 N</t>
  </si>
  <si>
    <t>122:42:38.98 W</t>
  </si>
  <si>
    <t>046:48:40.32 N</t>
  </si>
  <si>
    <t>122:42:40.44 W</t>
  </si>
  <si>
    <t>046:48:39.85 N</t>
  </si>
  <si>
    <t>122:42:42.45 W</t>
  </si>
  <si>
    <t>046:48:39.31 N</t>
  </si>
  <si>
    <t>122:42:44.46 W</t>
  </si>
  <si>
    <t>046:48:39.00 N</t>
  </si>
  <si>
    <t>122:42:45.93 W</t>
  </si>
  <si>
    <t>046:48:38.46 N</t>
  </si>
  <si>
    <t>122:42:47.78 W</t>
  </si>
  <si>
    <t>046:48:38.00 N</t>
  </si>
  <si>
    <t>122:42:49.64 W</t>
  </si>
  <si>
    <t>046:48:37.54 N</t>
  </si>
  <si>
    <t>122:42:51.57 W</t>
  </si>
  <si>
    <t>046:48:37.00 N</t>
  </si>
  <si>
    <t>122:42:53.81 W</t>
  </si>
  <si>
    <t>046:48:36.53 N</t>
  </si>
  <si>
    <t>122:42:55.82 W</t>
  </si>
  <si>
    <t>046:48:35.84 N</t>
  </si>
  <si>
    <t>122:42:58.06 W</t>
  </si>
  <si>
    <t>046:48:35.30 N</t>
  </si>
  <si>
    <t>122:42:59.83 W</t>
  </si>
  <si>
    <t>046:48:34.99 N</t>
  </si>
  <si>
    <t>122:43:01.45 W</t>
  </si>
  <si>
    <t>046:48:34.52 N</t>
  </si>
  <si>
    <t>122:43:03.46 W</t>
  </si>
  <si>
    <t>046:48:34.21 N</t>
  </si>
  <si>
    <t>122:43:05.08 W</t>
  </si>
  <si>
    <t>046:48:33.67 N</t>
  </si>
  <si>
    <t>122:43:07.17 W</t>
  </si>
  <si>
    <t>046:48:33.29 N</t>
  </si>
  <si>
    <t>122:43:09.18 W</t>
  </si>
  <si>
    <t>046:48:32.82 N</t>
  </si>
  <si>
    <t>122:43:11.42 W</t>
  </si>
  <si>
    <t>046:48:32.44 N</t>
  </si>
  <si>
    <t>122:43:13.12 W</t>
  </si>
  <si>
    <t>046:48:32.05 N</t>
  </si>
  <si>
    <t>122:43:14.97 W</t>
  </si>
  <si>
    <t>046:48:31.74 N</t>
  </si>
  <si>
    <t>122:43:17.21 W</t>
  </si>
  <si>
    <t>046:48:31.43 N</t>
  </si>
  <si>
    <t>122:43:19.07 W</t>
  </si>
  <si>
    <t>046:48:31.12 N</t>
  </si>
  <si>
    <t>122:43:21.00 W</t>
  </si>
  <si>
    <t>046:48:30.89 N</t>
  </si>
  <si>
    <t>122:43:22.93 W</t>
  </si>
  <si>
    <t>046:48:30.82 N</t>
  </si>
  <si>
    <t>122:43:24.94 W</t>
  </si>
  <si>
    <t>046:48:30.58 N</t>
  </si>
  <si>
    <t>122:43:26.79 W</t>
  </si>
  <si>
    <t>046:48:30.27 N</t>
  </si>
  <si>
    <t>122:43:28.95 W</t>
  </si>
  <si>
    <t>046:48:30.12 N</t>
  </si>
  <si>
    <t>122:43:31.89 W</t>
  </si>
  <si>
    <t>046:48:30.04 N</t>
  </si>
  <si>
    <t>122:43:34.05 W</t>
  </si>
  <si>
    <t>046:48:29.89 N</t>
  </si>
  <si>
    <t>122:43:35.75 W</t>
  </si>
  <si>
    <t>122:43:37.91 W</t>
  </si>
  <si>
    <t>046:48:29.73 N</t>
  </si>
  <si>
    <t>122:43:39.85 W</t>
  </si>
  <si>
    <t>046:48:29.81 N</t>
  </si>
  <si>
    <t>122:43:41.55 W</t>
  </si>
  <si>
    <t>046:48:29.58 N</t>
  </si>
  <si>
    <t>122:43:43.48 W</t>
  </si>
  <si>
    <t>122:43:45.64 W</t>
  </si>
  <si>
    <t>122:43:47.34 W</t>
  </si>
  <si>
    <t>122:43:49.50 W</t>
  </si>
  <si>
    <t>046:48:29.43 N</t>
  </si>
  <si>
    <t>122:43:51.43 W</t>
  </si>
  <si>
    <t>122:43:53.36 W</t>
  </si>
  <si>
    <t>122:43:55.14 W</t>
  </si>
  <si>
    <t>122:43:57.00 W</t>
  </si>
  <si>
    <t>122:43:58.69 W</t>
  </si>
  <si>
    <t>046:48:29.27 N</t>
  </si>
  <si>
    <t>122:44:00.55 W</t>
  </si>
  <si>
    <t>122:44:02.48 W</t>
  </si>
  <si>
    <t>122:44:04.72 W</t>
  </si>
  <si>
    <t>046:48:29.12 N</t>
  </si>
  <si>
    <t>122:44:06.50 W</t>
  </si>
  <si>
    <t>122:44:08.58 W</t>
  </si>
  <si>
    <t>122:44:09.97 W</t>
  </si>
  <si>
    <t>122:44:11.90 W</t>
  </si>
  <si>
    <t>122:44:13.68 W</t>
  </si>
  <si>
    <t>122:44:15.53 W</t>
  </si>
  <si>
    <t>122:44:17.39 W</t>
  </si>
  <si>
    <t>122:44:19.17 W</t>
  </si>
  <si>
    <t>046:48:29.66 N</t>
  </si>
  <si>
    <t>122:44:20.56 W</t>
  </si>
  <si>
    <t>122:44:22.56 W</t>
  </si>
  <si>
    <t>046:48:29.97 N</t>
  </si>
  <si>
    <t>122:44:24.26 W</t>
  </si>
  <si>
    <t>122:44:26.12 W</t>
  </si>
  <si>
    <t>122:44:27.74 W</t>
  </si>
  <si>
    <t>046:48:30.35 N</t>
  </si>
  <si>
    <t>122:44:29.75 W</t>
  </si>
  <si>
    <t>046:48:30.43 N</t>
  </si>
  <si>
    <t>122:44:31.22 W</t>
  </si>
  <si>
    <t>122:44:32.92 W</t>
  </si>
  <si>
    <t>122:44:34.69 W</t>
  </si>
  <si>
    <t>122:44:36.62 W</t>
  </si>
  <si>
    <t>046:48:31.05 N</t>
  </si>
  <si>
    <t>122:44:38.48 W</t>
  </si>
  <si>
    <t>122:44:40.33 W</t>
  </si>
  <si>
    <t>046:48:31.20 N</t>
  </si>
  <si>
    <t>122:44:42.03 W</t>
  </si>
  <si>
    <t>122:44:44.04 W</t>
  </si>
  <si>
    <t>122:44:46.05 W</t>
  </si>
  <si>
    <t>122:44:47.82 W</t>
  </si>
  <si>
    <t>046:48:31.90 N</t>
  </si>
  <si>
    <t>122:44:49.52 W</t>
  </si>
  <si>
    <t>122:44:51.45 W</t>
  </si>
  <si>
    <t>046:48:32.13 N</t>
  </si>
  <si>
    <t>122:44:53.23 W</t>
  </si>
  <si>
    <t>046:48:32.28 N</t>
  </si>
  <si>
    <t>122:44:54.70 W</t>
  </si>
  <si>
    <t>122:44:56.40 W</t>
  </si>
  <si>
    <t>046:48:32.67 N</t>
  </si>
  <si>
    <t>122:44:58.18 W</t>
  </si>
  <si>
    <t>122:45:00.18 W</t>
  </si>
  <si>
    <t>046:48:32.98 N</t>
  </si>
  <si>
    <t>122:45:01.88 W</t>
  </si>
  <si>
    <t>046:48:33.21 N</t>
  </si>
  <si>
    <t>122:45:03.74 W</t>
  </si>
  <si>
    <t>122:45:06.60 W</t>
  </si>
  <si>
    <t>046:48:33.44 N</t>
  </si>
  <si>
    <t>122:45:08.76 W</t>
  </si>
  <si>
    <t>122:45:10.30 W</t>
  </si>
  <si>
    <t>046:48:33.83 N</t>
  </si>
  <si>
    <t>122:45:12.23 W</t>
  </si>
  <si>
    <t>046:48:33.98 N</t>
  </si>
  <si>
    <t>122:45:14.17 W</t>
  </si>
  <si>
    <t>046:48:34.14 N</t>
  </si>
  <si>
    <t>122:45:15.94 W</t>
  </si>
  <si>
    <t>046:48:34.37 N</t>
  </si>
  <si>
    <t>122:45:18.03 W</t>
  </si>
  <si>
    <t>046:48:34.45 N</t>
  </si>
  <si>
    <t>122:45:19.88 W</t>
  </si>
  <si>
    <t>046:48:34.83 N</t>
  </si>
  <si>
    <t>122:45:21.58 W</t>
  </si>
  <si>
    <t>122:45:23.28 W</t>
  </si>
  <si>
    <t>046:48:35.14 N</t>
  </si>
  <si>
    <t>122:45:25.13 W</t>
  </si>
  <si>
    <t>046:48:35.45 N</t>
  </si>
  <si>
    <t>122:45:27.30 W</t>
  </si>
  <si>
    <t>046:48:35.68 N</t>
  </si>
  <si>
    <t>122:45:29.31 W</t>
  </si>
  <si>
    <t>046:48:35.99 N</t>
  </si>
  <si>
    <t>122:45:31.01 W</t>
  </si>
  <si>
    <t>046:48:36.15 N</t>
  </si>
  <si>
    <t>122:45:32.94 W</t>
  </si>
  <si>
    <t>046:48:36.30 N</t>
  </si>
  <si>
    <t>122:45:34.71 W</t>
  </si>
  <si>
    <t>046:48:36.69 N</t>
  </si>
  <si>
    <t>122:45:36.95 W</t>
  </si>
  <si>
    <t>046:48:36.84 N</t>
  </si>
  <si>
    <t>122:45:38.42 W</t>
  </si>
  <si>
    <t>046:48:37.15 N</t>
  </si>
  <si>
    <t>122:45:40.43 W</t>
  </si>
  <si>
    <t>122:45:42.13 W</t>
  </si>
  <si>
    <t>046:48:37.85 N</t>
  </si>
  <si>
    <t>122:45:44.14 W</t>
  </si>
  <si>
    <t>122:45:45.84 W</t>
  </si>
  <si>
    <t>046:48:38.31 N</t>
  </si>
  <si>
    <t>122:45:47.15 W</t>
  </si>
  <si>
    <t>046:48:38.69 N</t>
  </si>
  <si>
    <t>122:45:49.08 W</t>
  </si>
  <si>
    <t>122:45:50.55 W</t>
  </si>
  <si>
    <t>122:45:52.79 W</t>
  </si>
  <si>
    <t>046:48:39.78 N</t>
  </si>
  <si>
    <t>122:45:54.87 W</t>
  </si>
  <si>
    <t>046:48:40.16 N</t>
  </si>
  <si>
    <t>122:45:56.50 W</t>
  </si>
  <si>
    <t>122:45:58.51 W</t>
  </si>
  <si>
    <t>046:48:40.70 N</t>
  </si>
  <si>
    <t>122:46:00.21 W</t>
  </si>
  <si>
    <t>046:48:40.94 N</t>
  </si>
  <si>
    <t>122:46:02.37 W</t>
  </si>
  <si>
    <t>046:48:41.09 N</t>
  </si>
  <si>
    <t>122:46:04.53 W</t>
  </si>
  <si>
    <t>046:48:41.32 N</t>
  </si>
  <si>
    <t>122:46:06.62 W</t>
  </si>
  <si>
    <t>122:46:08.86 W</t>
  </si>
  <si>
    <t>046:48:41.86 N</t>
  </si>
  <si>
    <t>122:46:10.87 W</t>
  </si>
  <si>
    <t>046:48:42.25 N</t>
  </si>
  <si>
    <t>122:46:12.72 W</t>
  </si>
  <si>
    <t>046:48:42.56 N</t>
  </si>
  <si>
    <t>122:46:14.57 W</t>
  </si>
  <si>
    <t>046:48:42.87 N</t>
  </si>
  <si>
    <t>122:46:16.50 W</t>
  </si>
  <si>
    <t>046:48:43.25 N</t>
  </si>
  <si>
    <t>122:46:18.05 W</t>
  </si>
  <si>
    <t>046:48:43.72 N</t>
  </si>
  <si>
    <t>122:46:19.98 W</t>
  </si>
  <si>
    <t>122:46:21.91 W</t>
  </si>
  <si>
    <t>046:48:44.57 N</t>
  </si>
  <si>
    <t>122:46:23.92 W</t>
  </si>
  <si>
    <t>046:48:44.87 N</t>
  </si>
  <si>
    <t>122:46:25.93 W</t>
  </si>
  <si>
    <t>122:46:27.63 W</t>
  </si>
  <si>
    <t>046:48:45.57 N</t>
  </si>
  <si>
    <t>122:46:29.17 W</t>
  </si>
  <si>
    <t>046:48:45.88 N</t>
  </si>
  <si>
    <t>122:46:31.10 W</t>
  </si>
  <si>
    <t>046:48:46.19 N</t>
  </si>
  <si>
    <t>122:46:32.73 W</t>
  </si>
  <si>
    <t>122:46:34.81 W</t>
  </si>
  <si>
    <t>122:46:36.59 W</t>
  </si>
  <si>
    <t>046:48:47.19 N</t>
  </si>
  <si>
    <t>122:46:38.83 W</t>
  </si>
  <si>
    <t>046:48:47.42 N</t>
  </si>
  <si>
    <t>122:46:40.76 W</t>
  </si>
  <si>
    <t>046:48:47.89 N</t>
  </si>
  <si>
    <t>122:46:42.61 W</t>
  </si>
  <si>
    <t>046:48:48.04 N</t>
  </si>
  <si>
    <t>122:46:44.70 W</t>
  </si>
  <si>
    <t>046:48:48.35 N</t>
  </si>
  <si>
    <t>122:46:46.24 W</t>
  </si>
  <si>
    <t>046:48:48.66 N</t>
  </si>
  <si>
    <t>122:46:47.94 W</t>
  </si>
  <si>
    <t>046:48:49.05 N</t>
  </si>
  <si>
    <t>122:46:49.88 W</t>
  </si>
  <si>
    <t>046:48:49.59 N</t>
  </si>
  <si>
    <t>122:46:51.88 W</t>
  </si>
  <si>
    <t>046:48:49.97 N</t>
  </si>
  <si>
    <t>122:46:53.97 W</t>
  </si>
  <si>
    <t>122:46:55.90 W</t>
  </si>
  <si>
    <t>046:48:50.90 N</t>
  </si>
  <si>
    <t>122:46:57.83 W</t>
  </si>
  <si>
    <t>122:46:59.76 W</t>
  </si>
  <si>
    <t>046:48:51.75 N</t>
  </si>
  <si>
    <t>122:47:01.54 W</t>
  </si>
  <si>
    <t>046:48:52.14 N</t>
  </si>
  <si>
    <t>122:47:03.39 W</t>
  </si>
  <si>
    <t>046:48:52.44 N</t>
  </si>
  <si>
    <t>122:47:04.86 W</t>
  </si>
  <si>
    <t>122:47:06.48 W</t>
  </si>
  <si>
    <t>046:48:53.45 N</t>
  </si>
  <si>
    <t>122:47:08.18 W</t>
  </si>
  <si>
    <t>046:48:53.91 N</t>
  </si>
  <si>
    <t>122:47:09.88 W</t>
  </si>
  <si>
    <t>046:48:54.30 N</t>
  </si>
  <si>
    <t>122:47:11.58 W</t>
  </si>
  <si>
    <t>122:47:13.28 W</t>
  </si>
  <si>
    <t>046:48:55.30 N</t>
  </si>
  <si>
    <t>122:47:15.44 W</t>
  </si>
  <si>
    <t>122:47:17.30 W</t>
  </si>
  <si>
    <t>046:48:56.31 N</t>
  </si>
  <si>
    <t>122:47:19.31 W</t>
  </si>
  <si>
    <t>046:48:56.62 N</t>
  </si>
  <si>
    <t>122:47:20.77 W</t>
  </si>
  <si>
    <t>046:48:57.47 N</t>
  </si>
  <si>
    <t>122:47:23.79 W</t>
  </si>
  <si>
    <t>046:48:57.93 N</t>
  </si>
  <si>
    <t>122:47:25.33 W</t>
  </si>
  <si>
    <t>046:48:58.32 N</t>
  </si>
  <si>
    <t>122:47:27.19 W</t>
  </si>
  <si>
    <t>122:47:28.96 W</t>
  </si>
  <si>
    <t>122:47:30.66 W</t>
  </si>
  <si>
    <t>046:48:59.47 N</t>
  </si>
  <si>
    <t>122:47:32.13 W</t>
  </si>
  <si>
    <t>046:48:59.86 N</t>
  </si>
  <si>
    <t>122:47:33.98 W</t>
  </si>
  <si>
    <t>122:47:35.91 W</t>
  </si>
  <si>
    <t>046:49:00.79 N</t>
  </si>
  <si>
    <t>122:47:37.61 W</t>
  </si>
  <si>
    <t>046:49:01.17 N</t>
  </si>
  <si>
    <t>122:47:39.31 W</t>
  </si>
  <si>
    <t>122:47:41.09 W</t>
  </si>
  <si>
    <t>122:47:42.94 W</t>
  </si>
  <si>
    <t>122:47:44.49 W</t>
  </si>
  <si>
    <t>046:49:03.03 N</t>
  </si>
  <si>
    <t>122:47:46.34 W</t>
  </si>
  <si>
    <t>046:49:03.49 N</t>
  </si>
  <si>
    <t>122:47:47.97 W</t>
  </si>
  <si>
    <t>122:47:49.66 W</t>
  </si>
  <si>
    <t>046:49:04.34 N</t>
  </si>
  <si>
    <t>122:47:51.44 W</t>
  </si>
  <si>
    <t>122:47:53.30 W</t>
  </si>
  <si>
    <t>122:47:55.15 W</t>
  </si>
  <si>
    <t>122:47:57.16 W</t>
  </si>
  <si>
    <t>122:47:58.63 W</t>
  </si>
  <si>
    <t>122:48:00.56 W</t>
  </si>
  <si>
    <t>046:49:07.35 N</t>
  </si>
  <si>
    <t>122:48:02.33 W</t>
  </si>
  <si>
    <t>122:48:04.26 W</t>
  </si>
  <si>
    <t>046:49:08.20 N</t>
  </si>
  <si>
    <t>122:48:05.81 W</t>
  </si>
  <si>
    <t>046:49:08.59 N</t>
  </si>
  <si>
    <t>122:48:07.82 W</t>
  </si>
  <si>
    <t>122:48:09.52 W</t>
  </si>
  <si>
    <t>046:49:09.36 N</t>
  </si>
  <si>
    <t>122:48:10.99 W</t>
  </si>
  <si>
    <t>046:49:09.67 N</t>
  </si>
  <si>
    <t>122:48:12.92 W</t>
  </si>
  <si>
    <t>046:49:10.13 N</t>
  </si>
  <si>
    <t>122:48:14.77 W</t>
  </si>
  <si>
    <t>046:49:10.52 N</t>
  </si>
  <si>
    <t>122:48:16.62 W</t>
  </si>
  <si>
    <t>122:48:18.63 W</t>
  </si>
  <si>
    <t>122:48:20.56 W</t>
  </si>
  <si>
    <t>046:49:11.68 N</t>
  </si>
  <si>
    <t>122:48:22.57 W</t>
  </si>
  <si>
    <t>046:49:12.07 N</t>
  </si>
  <si>
    <t>122:48:24.43 W</t>
  </si>
  <si>
    <t>122:48:26.13 W</t>
  </si>
  <si>
    <t>122:48:28.06 W</t>
  </si>
  <si>
    <t>122:48:29.76 W</t>
  </si>
  <si>
    <t>046:49:13.77 N</t>
  </si>
  <si>
    <t>122:48:31.69 W</t>
  </si>
  <si>
    <t>046:49:14.23 N</t>
  </si>
  <si>
    <t>122:48:33.46 W</t>
  </si>
  <si>
    <t>122:48:35.47 W</t>
  </si>
  <si>
    <t>122:48:37.17 W</t>
  </si>
  <si>
    <t>046:49:15.39 N</t>
  </si>
  <si>
    <t>122:48:38.64 W</t>
  </si>
  <si>
    <t>046:49:15.70 N</t>
  </si>
  <si>
    <t>122:48:40.65 W</t>
  </si>
  <si>
    <t>046:49:16.08 N</t>
  </si>
  <si>
    <t>122:48:42.35 W</t>
  </si>
  <si>
    <t>046:49:16.55 N</t>
  </si>
  <si>
    <t>122:48:44.36 W</t>
  </si>
  <si>
    <t>046:49:16.86 N</t>
  </si>
  <si>
    <t>122:48:46.13 W</t>
  </si>
  <si>
    <t>046:49:17.24 N</t>
  </si>
  <si>
    <t>122:48:48.06 W</t>
  </si>
  <si>
    <t>046:49:17.55 N</t>
  </si>
  <si>
    <t>122:48:49.76 W</t>
  </si>
  <si>
    <t>046:49:17.86 N</t>
  </si>
  <si>
    <t>122:48:51.46 W</t>
  </si>
  <si>
    <t>046:49:18.17 N</t>
  </si>
  <si>
    <t>122:48:53.63 W</t>
  </si>
  <si>
    <t>122:48:55.48 W</t>
  </si>
  <si>
    <t>046:49:18.86 N</t>
  </si>
  <si>
    <t>122:48:57.49 W</t>
  </si>
  <si>
    <t>046:49:19.25 N</t>
  </si>
  <si>
    <t>122:48:59.19 W</t>
  </si>
  <si>
    <t>046:49:19.48 N</t>
  </si>
  <si>
    <t>122:49:01.04 W</t>
  </si>
  <si>
    <t>046:49:20.02 N</t>
  </si>
  <si>
    <t>122:49:02.97 W</t>
  </si>
  <si>
    <t>046:49:20.25 N</t>
  </si>
  <si>
    <t>122:49:04.83 W</t>
  </si>
  <si>
    <t>046:49:20.64 N</t>
  </si>
  <si>
    <t>122:49:06.84 W</t>
  </si>
  <si>
    <t>122:49:08.84 W</t>
  </si>
  <si>
    <t>046:49:21.49 N</t>
  </si>
  <si>
    <t>122:49:10.47 W</t>
  </si>
  <si>
    <t>046:49:21.80 N</t>
  </si>
  <si>
    <t>122:49:12.17 W</t>
  </si>
  <si>
    <t>046:49:22.11 N</t>
  </si>
  <si>
    <t>122:49:13.79 W</t>
  </si>
  <si>
    <t>046:49:22.49 N</t>
  </si>
  <si>
    <t>122:49:15.80 W</t>
  </si>
  <si>
    <t>046:49:22.88 N</t>
  </si>
  <si>
    <t>122:49:17.50 W</t>
  </si>
  <si>
    <t>046:49:23.27 N</t>
  </si>
  <si>
    <t>122:49:19.43 W</t>
  </si>
  <si>
    <t>046:49:23.73 N</t>
  </si>
  <si>
    <t>122:49:21.44 W</t>
  </si>
  <si>
    <t>122:49:23.29 W</t>
  </si>
  <si>
    <t>046:49:24.43 N</t>
  </si>
  <si>
    <t>122:49:25.37 W</t>
  </si>
  <si>
    <t>122:49:27.38 W</t>
  </si>
  <si>
    <t>046:49:25.12 N</t>
  </si>
  <si>
    <t>122:49:29.08 W</t>
  </si>
  <si>
    <t>122:49:31.25 W</t>
  </si>
  <si>
    <t>046:49:25.74 N</t>
  </si>
  <si>
    <t>122:49:32.79 W</t>
  </si>
  <si>
    <t>046:49:26.12 N</t>
  </si>
  <si>
    <t>122:49:34.88 W</t>
  </si>
  <si>
    <t>046:49:26.59 N</t>
  </si>
  <si>
    <t>122:49:36.81 W</t>
  </si>
  <si>
    <t>046:49:26.97 N</t>
  </si>
  <si>
    <t>122:49:38.74 W</t>
  </si>
  <si>
    <t>046:49:27.21 N</t>
  </si>
  <si>
    <t>122:49:40.59 W</t>
  </si>
  <si>
    <t>046:49:27.75 N</t>
  </si>
  <si>
    <t>122:49:42.52 W</t>
  </si>
  <si>
    <t>046:49:28.13 N</t>
  </si>
  <si>
    <t>122:49:44.15 W</t>
  </si>
  <si>
    <t>046:49:28.60 N</t>
  </si>
  <si>
    <t>122:49:45.92 W</t>
  </si>
  <si>
    <t>122:49:47.85 W</t>
  </si>
  <si>
    <t>046:49:29.21 N</t>
  </si>
  <si>
    <t>122:49:49.79 W</t>
  </si>
  <si>
    <t>046:49:29.68 N</t>
  </si>
  <si>
    <t>122:49:51.95 W</t>
  </si>
  <si>
    <t>046:49:30.14 N</t>
  </si>
  <si>
    <t>122:49:53.80 W</t>
  </si>
  <si>
    <t>046:49:30.68 N</t>
  </si>
  <si>
    <t>122:49:55.81 W</t>
  </si>
  <si>
    <t>122:49:57.74 W</t>
  </si>
  <si>
    <t>046:49:31.46 N</t>
  </si>
  <si>
    <t>122:49:59.21 W</t>
  </si>
  <si>
    <t>046:49:31.76 N</t>
  </si>
  <si>
    <t>122:50:01.45 W</t>
  </si>
  <si>
    <t>122:50:03.54 W</t>
  </si>
  <si>
    <t>046:49:32.61 N</t>
  </si>
  <si>
    <t>122:50:05.16 W</t>
  </si>
  <si>
    <t>046:49:33.00 N</t>
  </si>
  <si>
    <t>122:50:07.17 W</t>
  </si>
  <si>
    <t>046:49:33.54 N</t>
  </si>
  <si>
    <t>122:50:09.10 W</t>
  </si>
  <si>
    <t>046:49:34.00 N</t>
  </si>
  <si>
    <t>122:50:11.26 W</t>
  </si>
  <si>
    <t>122:50:13.11 W</t>
  </si>
  <si>
    <t>046:49:34.62 N</t>
  </si>
  <si>
    <t>122:50:14.58 W</t>
  </si>
  <si>
    <t>046:49:35.01 N</t>
  </si>
  <si>
    <t>122:50:16.36 W</t>
  </si>
  <si>
    <t>122:50:17.98 W</t>
  </si>
  <si>
    <t>122:50:19.76 W</t>
  </si>
  <si>
    <t>122:50:21.38 W</t>
  </si>
  <si>
    <t>046:49:36.48 N</t>
  </si>
  <si>
    <t>122:50:23.23 W</t>
  </si>
  <si>
    <t>046:49:36.79 N</t>
  </si>
  <si>
    <t>122:50:24.78 W</t>
  </si>
  <si>
    <t>046:49:37.17 N</t>
  </si>
  <si>
    <t>122:50:26.40 W</t>
  </si>
  <si>
    <t>122:50:28.10 W</t>
  </si>
  <si>
    <t>046:49:37.87 N</t>
  </si>
  <si>
    <t>122:50:30.11 W</t>
  </si>
  <si>
    <t>122:50:32.12 W</t>
  </si>
  <si>
    <t>046:49:38.48 N</t>
  </si>
  <si>
    <t>122:50:33.35 W</t>
  </si>
  <si>
    <t>046:49:38.79 N</t>
  </si>
  <si>
    <t>122:50:35.36 W</t>
  </si>
  <si>
    <t>046:49:39.18 N</t>
  </si>
  <si>
    <t>122:50:37.06 W</t>
  </si>
  <si>
    <t>046:49:39.41 N</t>
  </si>
  <si>
    <t>122:50:38.99 W</t>
  </si>
  <si>
    <t>046:49:39.87 N</t>
  </si>
  <si>
    <t>122:50:40.54 W</t>
  </si>
  <si>
    <t>046:49:40.18 N</t>
  </si>
  <si>
    <t>122:50:42.47 W</t>
  </si>
  <si>
    <t>046:49:40.49 N</t>
  </si>
  <si>
    <t>122:50:44.24 W</t>
  </si>
  <si>
    <t>046:49:40.96 N</t>
  </si>
  <si>
    <t>122:50:46.02 W</t>
  </si>
  <si>
    <t>046:49:41.19 N</t>
  </si>
  <si>
    <t>122:50:47.95 W</t>
  </si>
  <si>
    <t>046:49:41.65 N</t>
  </si>
  <si>
    <t>122:50:49.88 W</t>
  </si>
  <si>
    <t>122:50:52.12 W</t>
  </si>
  <si>
    <t>046:49:42.35 N</t>
  </si>
  <si>
    <t>122:50:53.59 W</t>
  </si>
  <si>
    <t>046:49:42.73 N</t>
  </si>
  <si>
    <t>122:50:55.37 W</t>
  </si>
  <si>
    <t>122:50:57.07 W</t>
  </si>
  <si>
    <t>046:49:43.43 N</t>
  </si>
  <si>
    <t>122:50:59.00 W</t>
  </si>
  <si>
    <t>046:49:43.66 N</t>
  </si>
  <si>
    <t>122:51:00.78 W</t>
  </si>
  <si>
    <t>122:51:02.24 W</t>
  </si>
  <si>
    <t>046:49:44.36 N</t>
  </si>
  <si>
    <t>122:51:04.25 W</t>
  </si>
  <si>
    <t>122:51:06.26 W</t>
  </si>
  <si>
    <t>046:49:44.90 N</t>
  </si>
  <si>
    <t>122:51:07.73 W</t>
  </si>
  <si>
    <t>046:49:45.21 N</t>
  </si>
  <si>
    <t>122:51:09.43 W</t>
  </si>
  <si>
    <t>046:49:45.51 N</t>
  </si>
  <si>
    <t>122:51:11.28 W</t>
  </si>
  <si>
    <t>122:51:13.14 W</t>
  </si>
  <si>
    <t>122:51:14.68 W</t>
  </si>
  <si>
    <t>122:51:16.61 W</t>
  </si>
  <si>
    <t>122:51:18.54 W</t>
  </si>
  <si>
    <t>122:51:20.71 W</t>
  </si>
  <si>
    <t>046:49:47.75 N</t>
  </si>
  <si>
    <t>122:51:22.56 W</t>
  </si>
  <si>
    <t>046:49:48.14 N</t>
  </si>
  <si>
    <t>122:51:24.34 W</t>
  </si>
  <si>
    <t>046:49:48.53 N</t>
  </si>
  <si>
    <t>122:51:26.04 W</t>
  </si>
  <si>
    <t>046:49:48.84 N</t>
  </si>
  <si>
    <t>122:51:28.20 W</t>
  </si>
  <si>
    <t>046:49:49.22 N</t>
  </si>
  <si>
    <t>122:51:29.74 W</t>
  </si>
  <si>
    <t>046:49:49.69 N</t>
  </si>
  <si>
    <t>122:51:31.60 W</t>
  </si>
  <si>
    <t>046:49:50.07 N</t>
  </si>
  <si>
    <t>122:51:33.45 W</t>
  </si>
  <si>
    <t>046:49:50.30 N</t>
  </si>
  <si>
    <t>122:51:34.92 W</t>
  </si>
  <si>
    <t>046:49:50.77 N</t>
  </si>
  <si>
    <t>122:51:36.85 W</t>
  </si>
  <si>
    <t>046:49:51.15 N</t>
  </si>
  <si>
    <t>122:51:38.55 W</t>
  </si>
  <si>
    <t>122:51:40.25 W</t>
  </si>
  <si>
    <t>122:51:42.41 W</t>
  </si>
  <si>
    <t>046:49:52.31 N</t>
  </si>
  <si>
    <t>122:51:44.34 W</t>
  </si>
  <si>
    <t>046:49:52.78 N</t>
  </si>
  <si>
    <t>122:51:46.04 W</t>
  </si>
  <si>
    <t>046:49:53.08 N</t>
  </si>
  <si>
    <t>122:51:48.21 W</t>
  </si>
  <si>
    <t>046:49:53.47 N</t>
  </si>
  <si>
    <t>122:51:49.67 W</t>
  </si>
  <si>
    <t>046:49:53.78 N</t>
  </si>
  <si>
    <t>122:51:51.45 W</t>
  </si>
  <si>
    <t>046:49:54.24 N</t>
  </si>
  <si>
    <t>122:51:53.46 W</t>
  </si>
  <si>
    <t>122:51:55.16 W</t>
  </si>
  <si>
    <t>122:51:56.93 W</t>
  </si>
  <si>
    <t>046:49:55.25 N</t>
  </si>
  <si>
    <t>122:51:58.87 W</t>
  </si>
  <si>
    <t>046:49:55.79 N</t>
  </si>
  <si>
    <t>122:52:00.87 W</t>
  </si>
  <si>
    <t>046:49:56.25 N</t>
  </si>
  <si>
    <t>122:52:02.81 W</t>
  </si>
  <si>
    <t>046:49:56.64 N</t>
  </si>
  <si>
    <t>122:52:04.58 W</t>
  </si>
  <si>
    <t>122:52:06.05 W</t>
  </si>
  <si>
    <t>046:49:57.26 N</t>
  </si>
  <si>
    <t>122:52:08.06 W</t>
  </si>
  <si>
    <t>046:49:57.56 N</t>
  </si>
  <si>
    <t>122:52:09.68 W</t>
  </si>
  <si>
    <t>046:49:57.95 N</t>
  </si>
  <si>
    <t>122:52:11.46 W</t>
  </si>
  <si>
    <t>046:49:58.41 N</t>
  </si>
  <si>
    <t>122:52:13.31 W</t>
  </si>
  <si>
    <t>122:52:15.01 W</t>
  </si>
  <si>
    <t>046:49:58.96 N</t>
  </si>
  <si>
    <t>122:52:16.71 W</t>
  </si>
  <si>
    <t>046:49:59.57 N</t>
  </si>
  <si>
    <t>122:52:18.80 W</t>
  </si>
  <si>
    <t>046:50:00.00 N</t>
  </si>
  <si>
    <t>122:52:20.42 W</t>
  </si>
  <si>
    <t>046:50:00.27 N</t>
  </si>
  <si>
    <t>122:52:22.58 W</t>
  </si>
  <si>
    <t>122:52:24.36 W</t>
  </si>
  <si>
    <t>122:52:26.06 W</t>
  </si>
  <si>
    <t>046:50:01.50 N</t>
  </si>
  <si>
    <t>122:52:27.99 W</t>
  </si>
  <si>
    <t>046:50:01.97 N</t>
  </si>
  <si>
    <t>122:52:29.53 W</t>
  </si>
  <si>
    <t>122:52:31.39 W</t>
  </si>
  <si>
    <t>122:52:33.24 W</t>
  </si>
  <si>
    <t>046:50:03.36 N</t>
  </si>
  <si>
    <t>122:52:35.25 W</t>
  </si>
  <si>
    <t>046:50:03.67 N</t>
  </si>
  <si>
    <t>122:52:36.95 W</t>
  </si>
  <si>
    <t>046:50:03.98 N</t>
  </si>
  <si>
    <t>122:52:38.57 W</t>
  </si>
  <si>
    <t>046:50:04.44 N</t>
  </si>
  <si>
    <t>122:52:40.66 W</t>
  </si>
  <si>
    <t>122:52:42.20 W</t>
  </si>
  <si>
    <t>122:52:44.13 W</t>
  </si>
  <si>
    <t>046:50:05.68 N</t>
  </si>
  <si>
    <t>122:52:45.83 W</t>
  </si>
  <si>
    <t>046:50:05.98 N</t>
  </si>
  <si>
    <t>122:52:47.61 W</t>
  </si>
  <si>
    <t>046:50:06.45 N</t>
  </si>
  <si>
    <t>122:52:49.69 W</t>
  </si>
  <si>
    <t>046:50:06.76 N</t>
  </si>
  <si>
    <t>122:52:51.16 W</t>
  </si>
  <si>
    <t>046:50:07.14 N</t>
  </si>
  <si>
    <t>122:52:52.78 W</t>
  </si>
  <si>
    <t>046:50:07.45 N</t>
  </si>
  <si>
    <t>122:52:54.56 W</t>
  </si>
  <si>
    <t>046:50:07.84 N</t>
  </si>
  <si>
    <t>122:52:56.26 W</t>
  </si>
  <si>
    <t>046:50:08.30 N</t>
  </si>
  <si>
    <t>122:52:58.11 W</t>
  </si>
  <si>
    <t>046:50:08.69 N</t>
  </si>
  <si>
    <t>122:53:00.20 W</t>
  </si>
  <si>
    <t>046:50:09.15 N</t>
  </si>
  <si>
    <t>122:53:02.44 W</t>
  </si>
  <si>
    <t>122:53:04.37 W</t>
  </si>
  <si>
    <t>046:50:09.85 N</t>
  </si>
  <si>
    <t>122:53:06.15 W</t>
  </si>
  <si>
    <t>046:50:10.16 N</t>
  </si>
  <si>
    <t>122:53:08.08 W</t>
  </si>
  <si>
    <t>046:50:10.39 N</t>
  </si>
  <si>
    <t>122:53:09.70 W</t>
  </si>
  <si>
    <t>046:50:10.85 N</t>
  </si>
  <si>
    <t>122:53:11.56 W</t>
  </si>
  <si>
    <t>122:53:13.56 W</t>
  </si>
  <si>
    <t>046:50:11.31 N</t>
  </si>
  <si>
    <t>122:53:15.26 W</t>
  </si>
  <si>
    <t>046:50:11.70 N</t>
  </si>
  <si>
    <t>122:53:16.96 W</t>
  </si>
  <si>
    <t>046:50:12.09 N</t>
  </si>
  <si>
    <t>122:53:18.66 W</t>
  </si>
  <si>
    <t>046:50:12.32 N</t>
  </si>
  <si>
    <t>122:53:20.44 W</t>
  </si>
  <si>
    <t>046:50:12.71 N</t>
  </si>
  <si>
    <t>122:53:22.29 W</t>
  </si>
  <si>
    <t>122:53:24.15 W</t>
  </si>
  <si>
    <t>046:50:13.40 N</t>
  </si>
  <si>
    <t>122:53:26.08 W</t>
  </si>
  <si>
    <t>046:50:13.71 N</t>
  </si>
  <si>
    <t>122:53:28.01 W</t>
  </si>
  <si>
    <t>046:50:14.02 N</t>
  </si>
  <si>
    <t>122:53:29.86 W</t>
  </si>
  <si>
    <t>046:50:14.56 N</t>
  </si>
  <si>
    <t>122:53:31.87 W</t>
  </si>
  <si>
    <t>122:53:33.57 W</t>
  </si>
  <si>
    <t>046:50:15.18 N</t>
  </si>
  <si>
    <t>122:53:35.27 W</t>
  </si>
  <si>
    <t>046:50:15.56 N</t>
  </si>
  <si>
    <t>122:53:37.28 W</t>
  </si>
  <si>
    <t>046:50:15.87 N</t>
  </si>
  <si>
    <t>122:53:39.13 W</t>
  </si>
  <si>
    <t>046:50:16.18 N</t>
  </si>
  <si>
    <t>122:53:40.99 W</t>
  </si>
  <si>
    <t>046:50:16.57 N</t>
  </si>
  <si>
    <t>122:53:42.45 W</t>
  </si>
  <si>
    <t>046:50:16.88 N</t>
  </si>
  <si>
    <t>122:53:44.46 W</t>
  </si>
  <si>
    <t>046:50:17.34 N</t>
  </si>
  <si>
    <t>122:53:46.39 W</t>
  </si>
  <si>
    <t>046:50:17.73 N</t>
  </si>
  <si>
    <t>122:53:48.17 W</t>
  </si>
  <si>
    <t>122:53:50.03 W</t>
  </si>
  <si>
    <t>122:53:51.88 W</t>
  </si>
  <si>
    <t>046:50:18.81 N</t>
  </si>
  <si>
    <t>122:53:53.89 W</t>
  </si>
  <si>
    <t>046:50:19.19 N</t>
  </si>
  <si>
    <t>122:53:55.59 W</t>
  </si>
  <si>
    <t>122:53:57.44 W</t>
  </si>
  <si>
    <t>046:50:19.81 N</t>
  </si>
  <si>
    <t>122:53:58.91 W</t>
  </si>
  <si>
    <t>122:54:01.07 W</t>
  </si>
  <si>
    <t>046:50:20.66 N</t>
  </si>
  <si>
    <t>122:54:02.77 W</t>
  </si>
  <si>
    <t>122:54:04.93 W</t>
  </si>
  <si>
    <t>046:50:21.59 N</t>
  </si>
  <si>
    <t>122:54:06.71 W</t>
  </si>
  <si>
    <t>122:54:08.64 W</t>
  </si>
  <si>
    <t>046:50:22.28 N</t>
  </si>
  <si>
    <t>122:54:10.73 W</t>
  </si>
  <si>
    <t>122:54:12.58 W</t>
  </si>
  <si>
    <t>122:54:14.36 W</t>
  </si>
  <si>
    <t>122:54:16.29 W</t>
  </si>
  <si>
    <t>046:50:23.75 N</t>
  </si>
  <si>
    <t>122:54:18.22 W</t>
  </si>
  <si>
    <t>046:50:24.06 N</t>
  </si>
  <si>
    <t>122:54:19.92 W</t>
  </si>
  <si>
    <t>046:50:24.60 N</t>
  </si>
  <si>
    <t>122:54:21.85 W</t>
  </si>
  <si>
    <t>122:54:23.55 W</t>
  </si>
  <si>
    <t>046:50:25.06 N</t>
  </si>
  <si>
    <t>122:54:25.25 W</t>
  </si>
  <si>
    <t>046:50:25.45 N</t>
  </si>
  <si>
    <t>122:54:27.10 W</t>
  </si>
  <si>
    <t>046:50:25.76 N</t>
  </si>
  <si>
    <t>122:54:28.96 W</t>
  </si>
  <si>
    <t>046:50:26.22 N</t>
  </si>
  <si>
    <t>122:54:30.97 W</t>
  </si>
  <si>
    <t>122:54:32.90 W</t>
  </si>
  <si>
    <t>122:54:34.60 W</t>
  </si>
  <si>
    <t>046:50:27.31 N</t>
  </si>
  <si>
    <t>122:54:36.37 W</t>
  </si>
  <si>
    <t>046:50:27.61 N</t>
  </si>
  <si>
    <t>122:54:38.54 W</t>
  </si>
  <si>
    <t>122:54:40.85 W</t>
  </si>
  <si>
    <t>046:50:28.31 N</t>
  </si>
  <si>
    <t>122:54:42.24 W</t>
  </si>
  <si>
    <t>046:50:28.70 N</t>
  </si>
  <si>
    <t>122:54:44.48 W</t>
  </si>
  <si>
    <t>046:50:29.08 N</t>
  </si>
  <si>
    <t>122:54:46.26 W</t>
  </si>
  <si>
    <t>122:54:48.12 W</t>
  </si>
  <si>
    <t>046:50:29.78 N</t>
  </si>
  <si>
    <t>122:54:49.97 W</t>
  </si>
  <si>
    <t>046:50:30.01 N</t>
  </si>
  <si>
    <t>122:54:51.98 W</t>
  </si>
  <si>
    <t>046:50:30.47 N</t>
  </si>
  <si>
    <t>122:54:53.68 W</t>
  </si>
  <si>
    <t>046:50:30.78 N</t>
  </si>
  <si>
    <t>122:54:55.84 W</t>
  </si>
  <si>
    <t>046:50:31.09 N</t>
  </si>
  <si>
    <t>122:54:57.62 W</t>
  </si>
  <si>
    <t>122:54:59.47 W</t>
  </si>
  <si>
    <t>046:50:31.79 N</t>
  </si>
  <si>
    <t>122:55:01.32 W</t>
  </si>
  <si>
    <t>046:50:32.17 N</t>
  </si>
  <si>
    <t>122:55:03.10 W</t>
  </si>
  <si>
    <t>122:55:04.72 W</t>
  </si>
  <si>
    <t>046:50:32.79 N</t>
  </si>
  <si>
    <t>122:55:06.50 W</t>
  </si>
  <si>
    <t>046:50:33.18 N</t>
  </si>
  <si>
    <t>122:55:08.35 W</t>
  </si>
  <si>
    <t>046:50:33.48 N</t>
  </si>
  <si>
    <t>122:55:10.21 W</t>
  </si>
  <si>
    <t>122:55:12.45 W</t>
  </si>
  <si>
    <t>122:55:14.38 W</t>
  </si>
  <si>
    <t>122:55:16.31 W</t>
  </si>
  <si>
    <t>046:50:35.18 N</t>
  </si>
  <si>
    <t>122:55:18.40 W</t>
  </si>
  <si>
    <t>122:55:20.17 W</t>
  </si>
  <si>
    <t>046:50:35.80 N</t>
  </si>
  <si>
    <t>122:55:21.80 W</t>
  </si>
  <si>
    <t>046:50:36.19 N</t>
  </si>
  <si>
    <t>122:55:23.57 W</t>
  </si>
  <si>
    <t>046:50:36.42 N</t>
  </si>
  <si>
    <t>122:55:25.50 W</t>
  </si>
  <si>
    <t>122:55:27.28 W</t>
  </si>
  <si>
    <t>046:50:37.27 N</t>
  </si>
  <si>
    <t>122:55:28.90 W</t>
  </si>
  <si>
    <t>122:55:30.76 W</t>
  </si>
  <si>
    <t>046:50:37.81 N</t>
  </si>
  <si>
    <t>122:55:32.46 W</t>
  </si>
  <si>
    <t>046:50:38.35 N</t>
  </si>
  <si>
    <t>122:55:34.46 W</t>
  </si>
  <si>
    <t>046:50:38.74 N</t>
  </si>
  <si>
    <t>122:55:36.32 W</t>
  </si>
  <si>
    <t>046:50:39.20 N</t>
  </si>
  <si>
    <t>122:55:38.40 W</t>
  </si>
  <si>
    <t>046:50:39.51 N</t>
  </si>
  <si>
    <t>122:55:40.10 W</t>
  </si>
  <si>
    <t>046:50:39.82 N</t>
  </si>
  <si>
    <t>122:55:41.57 W</t>
  </si>
  <si>
    <t>046:50:40.28 N</t>
  </si>
  <si>
    <t>122:55:43.35 W</t>
  </si>
  <si>
    <t>046:50:40.51 N</t>
  </si>
  <si>
    <t>122:55:45.28 W</t>
  </si>
  <si>
    <t>046:50:40.90 N</t>
  </si>
  <si>
    <t>122:55:47.44 W</t>
  </si>
  <si>
    <t>046:50:41.36 N</t>
  </si>
  <si>
    <t>122:55:49.37 W</t>
  </si>
  <si>
    <t>046:50:41.67 N</t>
  </si>
  <si>
    <t>122:55:50.99 W</t>
  </si>
  <si>
    <t>122:55:52.69 W</t>
  </si>
  <si>
    <t>122:55:54.24 W</t>
  </si>
  <si>
    <t>122:55:56.09 W</t>
  </si>
  <si>
    <t>122:55:58.02 W</t>
  </si>
  <si>
    <t>122:55:59.88 W</t>
  </si>
  <si>
    <t>122:56:02.12 W</t>
  </si>
  <si>
    <t>046:50:44.07 N</t>
  </si>
  <si>
    <t>122:56:03.82 W</t>
  </si>
  <si>
    <t>122:56:05.52 W</t>
  </si>
  <si>
    <t>122:56:07.29 W</t>
  </si>
  <si>
    <t>122:56:09.38 W</t>
  </si>
  <si>
    <t>122:56:11.31 W</t>
  </si>
  <si>
    <t>122:56:13.01 W</t>
  </si>
  <si>
    <t>122:56:14.94 W</t>
  </si>
  <si>
    <t>122:56:16.72 W</t>
  </si>
  <si>
    <t>122:56:18.19 W</t>
  </si>
  <si>
    <t>046:50:46.54 N</t>
  </si>
  <si>
    <t>122:56:19.96 W</t>
  </si>
  <si>
    <t>122:56:21.89 W</t>
  </si>
  <si>
    <t>122:56:23.59 W</t>
  </si>
  <si>
    <t>046:50:47.54 N</t>
  </si>
  <si>
    <t>122:56:25.37 W</t>
  </si>
  <si>
    <t>122:56:27.30 W</t>
  </si>
  <si>
    <t>122:56:29.39 W</t>
  </si>
  <si>
    <t>122:56:31.01 W</t>
  </si>
  <si>
    <t>122:56:32.79 W</t>
  </si>
  <si>
    <t>122:56:34.72 W</t>
  </si>
  <si>
    <t>122:56:36.42 W</t>
  </si>
  <si>
    <t>122:56:38.19 W</t>
  </si>
  <si>
    <t>122:56:40.05 W</t>
  </si>
  <si>
    <t>122:56:41.67 W</t>
  </si>
  <si>
    <t>122:56:43.37 W</t>
  </si>
  <si>
    <t>122:56:44.84 W</t>
  </si>
  <si>
    <t>122:56:46.61 W</t>
  </si>
  <si>
    <t>046:50:51.25 N</t>
  </si>
  <si>
    <t>122:56:48.47 W</t>
  </si>
  <si>
    <t>122:56:50.40 W</t>
  </si>
  <si>
    <t>046:50:51.87 N</t>
  </si>
  <si>
    <t>122:56:52.02 W</t>
  </si>
  <si>
    <t>122:56:54.03 W</t>
  </si>
  <si>
    <t>046:50:52.41 N</t>
  </si>
  <si>
    <t>122:56:55.73 W</t>
  </si>
  <si>
    <t>046:50:52.80 N</t>
  </si>
  <si>
    <t>122:56:57.35 W</t>
  </si>
  <si>
    <t>122:56:59.51 W</t>
  </si>
  <si>
    <t>046:50:53.41 N</t>
  </si>
  <si>
    <t>122:57:00.98 W</t>
  </si>
  <si>
    <t>046:50:53.72 N</t>
  </si>
  <si>
    <t>122:57:02.91 W</t>
  </si>
  <si>
    <t>046:50:54.11 N</t>
  </si>
  <si>
    <t>122:57:04.38 W</t>
  </si>
  <si>
    <t>046:50:54.42 N</t>
  </si>
  <si>
    <t>122:57:06.31 W</t>
  </si>
  <si>
    <t>046:50:54.73 N</t>
  </si>
  <si>
    <t>122:57:07.86 W</t>
  </si>
  <si>
    <t>122:57:09.71 W</t>
  </si>
  <si>
    <t>046:50:55.42 N</t>
  </si>
  <si>
    <t>122:57:11.10 W</t>
  </si>
  <si>
    <t>122:57:12.80 W</t>
  </si>
  <si>
    <t>046:50:56.04 N</t>
  </si>
  <si>
    <t>122:57:14.50 W</t>
  </si>
  <si>
    <t>046:50:56.43 N</t>
  </si>
  <si>
    <t>122:57:16.66 W</t>
  </si>
  <si>
    <t>122:57:17.98 W</t>
  </si>
  <si>
    <t>046:50:56.89 N</t>
  </si>
  <si>
    <t>122:57:19.83 W</t>
  </si>
  <si>
    <t>046:50:57.28 N</t>
  </si>
  <si>
    <t>122:57:21.45 W</t>
  </si>
  <si>
    <t>046:50:57.59 N</t>
  </si>
  <si>
    <t>122:57:23.23 W</t>
  </si>
  <si>
    <t>046:50:57.90 N</t>
  </si>
  <si>
    <t>122:57:24.85 W</t>
  </si>
  <si>
    <t>046:50:58.13 N</t>
  </si>
  <si>
    <t>122:57:26.40 W</t>
  </si>
  <si>
    <t>122:57:28.40 W</t>
  </si>
  <si>
    <t>046:50:58.67 N</t>
  </si>
  <si>
    <t>122:57:30.41 W</t>
  </si>
  <si>
    <t>046:50:59.13 N</t>
  </si>
  <si>
    <t>122:57:31.88 W</t>
  </si>
  <si>
    <t>046:50:59.36 N</t>
  </si>
  <si>
    <t>122:57:34.04 W</t>
  </si>
  <si>
    <t>122:57:35.59 W</t>
  </si>
  <si>
    <t>046:51:00.14 N</t>
  </si>
  <si>
    <t>122:57:37.52 W</t>
  </si>
  <si>
    <t>046:51:00.44 N</t>
  </si>
  <si>
    <t>122:57:39.30 W</t>
  </si>
  <si>
    <t>046:51:00.68 N</t>
  </si>
  <si>
    <t>122:57:40.76 W</t>
  </si>
  <si>
    <t>046:51:01.14 N</t>
  </si>
  <si>
    <t>122:57:42.69 W</t>
  </si>
  <si>
    <t>046:51:01.60 N</t>
  </si>
  <si>
    <t>122:57:44.94 W</t>
  </si>
  <si>
    <t>046:51:01.83 N</t>
  </si>
  <si>
    <t>122:57:46.56 W</t>
  </si>
  <si>
    <t>122:57:48.49 W</t>
  </si>
  <si>
    <t>046:51:02.68 N</t>
  </si>
  <si>
    <t>122:57:50.42 W</t>
  </si>
  <si>
    <t>046:51:03.15 N</t>
  </si>
  <si>
    <t>122:57:52.12 W</t>
  </si>
  <si>
    <t>046:51:03.46 N</t>
  </si>
  <si>
    <t>122:57:54.05 W</t>
  </si>
  <si>
    <t>046:51:03.84 N</t>
  </si>
  <si>
    <t>122:57:55.75 W</t>
  </si>
  <si>
    <t>046:51:04.15 N</t>
  </si>
  <si>
    <t>122:57:57.29 W</t>
  </si>
  <si>
    <t>122:57:59.15 W</t>
  </si>
  <si>
    <t>046:51:05.00 N</t>
  </si>
  <si>
    <t>122:58:01.00 W</t>
  </si>
  <si>
    <t>046:51:05.31 N</t>
  </si>
  <si>
    <t>122:58:03.01 W</t>
  </si>
  <si>
    <t>046:51:05.62 N</t>
  </si>
  <si>
    <t>122:58:04.48 W</t>
  </si>
  <si>
    <t>046:51:06.08 N</t>
  </si>
  <si>
    <t>122:58:06.33 W</t>
  </si>
  <si>
    <t>122:58:08.26 W</t>
  </si>
  <si>
    <t>046:51:06.86 N</t>
  </si>
  <si>
    <t>122:58:10.20 W</t>
  </si>
  <si>
    <t>046:51:07.16 N</t>
  </si>
  <si>
    <t>122:58:11.89 W</t>
  </si>
  <si>
    <t>122:58:13.59 W</t>
  </si>
  <si>
    <t>046:51:07.86 N</t>
  </si>
  <si>
    <t>122:58:15.37 W</t>
  </si>
  <si>
    <t>046:51:08.25 N</t>
  </si>
  <si>
    <t>122:58:17.46 W</t>
  </si>
  <si>
    <t>046:51:08.56 N</t>
  </si>
  <si>
    <t>122:58:19.62 W</t>
  </si>
  <si>
    <t>046:51:09.02 N</t>
  </si>
  <si>
    <t>122:58:21.55 W</t>
  </si>
  <si>
    <t>046:51:09.33 N</t>
  </si>
  <si>
    <t>122:58:23.02 W</t>
  </si>
  <si>
    <t>046:51:09.71 N</t>
  </si>
  <si>
    <t>122:58:24.95 W</t>
  </si>
  <si>
    <t>046:51:10.02 N</t>
  </si>
  <si>
    <t>122:58:26.73 W</t>
  </si>
  <si>
    <t>046:51:10.41 N</t>
  </si>
  <si>
    <t>122:58:28.81 W</t>
  </si>
  <si>
    <t>046:51:10.87 N</t>
  </si>
  <si>
    <t>122:58:30.90 W</t>
  </si>
  <si>
    <t>046:51:11.26 N</t>
  </si>
  <si>
    <t>122:58:32.60 W</t>
  </si>
  <si>
    <t>046:51:11.57 N</t>
  </si>
  <si>
    <t>122:58:34.84 W</t>
  </si>
  <si>
    <t>046:51:12.03 N</t>
  </si>
  <si>
    <t>122:58:36.61 W</t>
  </si>
  <si>
    <t>046:51:12.34 N</t>
  </si>
  <si>
    <t>122:58:38.08 W</t>
  </si>
  <si>
    <t>046:51:12.73 N</t>
  </si>
  <si>
    <t>122:58:40.09 W</t>
  </si>
  <si>
    <t>046:51:13.04 N</t>
  </si>
  <si>
    <t>122:58:42.25 W</t>
  </si>
  <si>
    <t>046:51:13.50 N</t>
  </si>
  <si>
    <t>122:58:44.26 W</t>
  </si>
  <si>
    <t>046:51:14.04 N</t>
  </si>
  <si>
    <t>122:58:46.12 W</t>
  </si>
  <si>
    <t>122:58:47.74 W</t>
  </si>
  <si>
    <t>046:51:14.74 N</t>
  </si>
  <si>
    <t>122:58:49.44 W</t>
  </si>
  <si>
    <t>046:51:15.04 N</t>
  </si>
  <si>
    <t>122:58:50.98 W</t>
  </si>
  <si>
    <t>046:51:15.35 N</t>
  </si>
  <si>
    <t>122:58:52.68 W</t>
  </si>
  <si>
    <t>122:58:54.84 W</t>
  </si>
  <si>
    <t>046:51:16.20 N</t>
  </si>
  <si>
    <t>122:58:56.78 W</t>
  </si>
  <si>
    <t>046:51:16.51 N</t>
  </si>
  <si>
    <t>122:58:58.86 W</t>
  </si>
  <si>
    <t>046:51:16.82 N</t>
  </si>
  <si>
    <t>122:59:00.64 W</t>
  </si>
  <si>
    <t>046:51:17.21 N</t>
  </si>
  <si>
    <t>122:59:02.34 W</t>
  </si>
  <si>
    <t>046:51:17.52 N</t>
  </si>
  <si>
    <t>122:59:04.04 W</t>
  </si>
  <si>
    <t>046:51:17.82 N</t>
  </si>
  <si>
    <t>122:59:05.66 W</t>
  </si>
  <si>
    <t>046:51:18.21 N</t>
  </si>
  <si>
    <t>122:59:07.74 W</t>
  </si>
  <si>
    <t>046:51:18.52 N</t>
  </si>
  <si>
    <t>122:59:09.75 W</t>
  </si>
  <si>
    <t>046:51:18.98 N</t>
  </si>
  <si>
    <t>122:59:11.68 W</t>
  </si>
  <si>
    <t>046:51:19.22 N</t>
  </si>
  <si>
    <t>122:59:13.69 W</t>
  </si>
  <si>
    <t>122:59:15.55 W</t>
  </si>
  <si>
    <t>046:51:19.83 N</t>
  </si>
  <si>
    <t>122:59:17.48 W</t>
  </si>
  <si>
    <t>046:51:20.14 N</t>
  </si>
  <si>
    <t>122:59:19.18 W</t>
  </si>
  <si>
    <t>046:51:20.37 N</t>
  </si>
  <si>
    <t>122:59:20.88 W</t>
  </si>
  <si>
    <t>046:51:20.61 N</t>
  </si>
  <si>
    <t>122:59:22.81 W</t>
  </si>
  <si>
    <t>122:59:24.82 W</t>
  </si>
  <si>
    <t>046:51:21.30 N</t>
  </si>
  <si>
    <t>122:59:26.90 W</t>
  </si>
  <si>
    <t>046:51:21.61 N</t>
  </si>
  <si>
    <t>122:59:29.06 W</t>
  </si>
  <si>
    <t>046:51:21.92 N</t>
  </si>
  <si>
    <t>122:59:30.76 W</t>
  </si>
  <si>
    <t>046:51:22.31 N</t>
  </si>
  <si>
    <t>122:59:32.93 W</t>
  </si>
  <si>
    <t>046:51:22.61 N</t>
  </si>
  <si>
    <t>122:59:34.39 W</t>
  </si>
  <si>
    <t>122:59:36.40 W</t>
  </si>
  <si>
    <t>046:51:23.39 N</t>
  </si>
  <si>
    <t>122:59:38.18 W</t>
  </si>
  <si>
    <t>046:51:23.77 N</t>
  </si>
  <si>
    <t>122:59:40.19 W</t>
  </si>
  <si>
    <t>122:59:41.81 W</t>
  </si>
  <si>
    <t>046:51:24.62 N</t>
  </si>
  <si>
    <t>122:59:43.36 W</t>
  </si>
  <si>
    <t>046:51:25.09 N</t>
  </si>
  <si>
    <t>122:59:45.06 W</t>
  </si>
  <si>
    <t>046:51:25.63 N</t>
  </si>
  <si>
    <t>122:59:47.30 W</t>
  </si>
  <si>
    <t>046:51:25.94 N</t>
  </si>
  <si>
    <t>122:59:49.07 W</t>
  </si>
  <si>
    <t>122:59:50.77 W</t>
  </si>
  <si>
    <t>046:51:26.79 N</t>
  </si>
  <si>
    <t>122:59:52.78 W</t>
  </si>
  <si>
    <t>046:51:27.09 N</t>
  </si>
  <si>
    <t>122:59:54.48 W</t>
  </si>
  <si>
    <t>046:51:27.56 N</t>
  </si>
  <si>
    <t>122:59:56.33 W</t>
  </si>
  <si>
    <t>046:51:27.94 N</t>
  </si>
  <si>
    <t>122:59:58.19 W</t>
  </si>
  <si>
    <t>046:51:28.18 N</t>
  </si>
  <si>
    <t>123:00:00.00 W</t>
  </si>
  <si>
    <t>123:00:02.13 W</t>
  </si>
  <si>
    <t>046:51:29.03 N</t>
  </si>
  <si>
    <t>123:00:03.83 W</t>
  </si>
  <si>
    <t>046:51:29.49 N</t>
  </si>
  <si>
    <t>123:00:05.99 W</t>
  </si>
  <si>
    <t>046:51:29.95 N</t>
  </si>
  <si>
    <t>123:00:07.84 W</t>
  </si>
  <si>
    <t>046:51:30.34 N</t>
  </si>
  <si>
    <t>123:00:09.85 W</t>
  </si>
  <si>
    <t>046:51:30.65 N</t>
  </si>
  <si>
    <t>123:00:11.55 W</t>
  </si>
  <si>
    <t>046:51:31.03 N</t>
  </si>
  <si>
    <t>123:00:13.41 W</t>
  </si>
  <si>
    <t>046:51:31.42 N</t>
  </si>
  <si>
    <t>123:00:15.49 W</t>
  </si>
  <si>
    <t>046:51:31.81 N</t>
  </si>
  <si>
    <t>123:00:17.73 W</t>
  </si>
  <si>
    <t>046:51:32.12 N</t>
  </si>
  <si>
    <t>123:00:19.20 W</t>
  </si>
  <si>
    <t>046:51:32.50 N</t>
  </si>
  <si>
    <t>123:00:21.13 W</t>
  </si>
  <si>
    <t>046:51:32.97 N</t>
  </si>
  <si>
    <t>123:00:23.29 W</t>
  </si>
  <si>
    <t>123:00:25.38 W</t>
  </si>
  <si>
    <t>046:51:33.66 N</t>
  </si>
  <si>
    <t>123:00:27.16 W</t>
  </si>
  <si>
    <t>046:51:33.97 N</t>
  </si>
  <si>
    <t>123:00:28.85 W</t>
  </si>
  <si>
    <t>046:51:34.28 N</t>
  </si>
  <si>
    <t>123:00:30.79 W</t>
  </si>
  <si>
    <t>046:51:34.66 N</t>
  </si>
  <si>
    <t>123:00:32.72 W</t>
  </si>
  <si>
    <t>123:00:34.26 W</t>
  </si>
  <si>
    <t>046:51:35.28 N</t>
  </si>
  <si>
    <t>123:00:36.04 W</t>
  </si>
  <si>
    <t>123:00:38.05 W</t>
  </si>
  <si>
    <t>046:51:35.98 N</t>
  </si>
  <si>
    <t>123:00:39.75 W</t>
  </si>
  <si>
    <t>046:51:36.44 N</t>
  </si>
  <si>
    <t>123:00:41.91 W</t>
  </si>
  <si>
    <t>046:51:36.91 N</t>
  </si>
  <si>
    <t>123:00:43.84 W</t>
  </si>
  <si>
    <t>046:51:37.29 N</t>
  </si>
  <si>
    <t>123:00:46.00 W</t>
  </si>
  <si>
    <t>046:51:37.60 N</t>
  </si>
  <si>
    <t>123:00:47.70 W</t>
  </si>
  <si>
    <t>046:51:37.99 N</t>
  </si>
  <si>
    <t>123:00:49.33 W</t>
  </si>
  <si>
    <t>046:51:38.53 N</t>
  </si>
  <si>
    <t>123:00:51.57 W</t>
  </si>
  <si>
    <t>046:51:38.91 N</t>
  </si>
  <si>
    <t>123:00:53.50 W</t>
  </si>
  <si>
    <t>046:51:39.15 N</t>
  </si>
  <si>
    <t>123:00:55.27 W</t>
  </si>
  <si>
    <t>046:51:39.61 N</t>
  </si>
  <si>
    <t>123:00:57.13 W</t>
  </si>
  <si>
    <t>046:51:40.00 N</t>
  </si>
  <si>
    <t>123:00:58.75 W</t>
  </si>
  <si>
    <t>046:51:40.30 N</t>
  </si>
  <si>
    <t>123:01:00.45 W</t>
  </si>
  <si>
    <t>046:51:40.69 N</t>
  </si>
  <si>
    <t>123:01:02.38 W</t>
  </si>
  <si>
    <t>123:01:04.16 W</t>
  </si>
  <si>
    <t>046:51:41.54 N</t>
  </si>
  <si>
    <t>123:01:06.01 W</t>
  </si>
  <si>
    <t>046:51:42.00 N</t>
  </si>
  <si>
    <t>123:01:07.86 W</t>
  </si>
  <si>
    <t>046:51:42.39 N</t>
  </si>
  <si>
    <t>123:01:09.87 W</t>
  </si>
  <si>
    <t>046:51:42.85 N</t>
  </si>
  <si>
    <t>123:01:12.04 W</t>
  </si>
  <si>
    <t>123:01:13.81 W</t>
  </si>
  <si>
    <t>046:51:43.70 N</t>
  </si>
  <si>
    <t>123:01:15.67 W</t>
  </si>
  <si>
    <t>123:01:17.60 W</t>
  </si>
  <si>
    <t>046:51:44.71 N</t>
  </si>
  <si>
    <t>123:01:19.53 W</t>
  </si>
  <si>
    <t>046:51:45.02 N</t>
  </si>
  <si>
    <t>123:01:21.77 W</t>
  </si>
  <si>
    <t>046:51:45.33 N</t>
  </si>
  <si>
    <t>123:01:23.39 W</t>
  </si>
  <si>
    <t>046:51:45.87 N</t>
  </si>
  <si>
    <t>123:01:25.17 W</t>
  </si>
  <si>
    <t>046:51:46.17 N</t>
  </si>
  <si>
    <t>123:01:26.94 W</t>
  </si>
  <si>
    <t>046:51:46.72 N</t>
  </si>
  <si>
    <t>123:01:28.88 W</t>
  </si>
  <si>
    <t>046:51:47.02 N</t>
  </si>
  <si>
    <t>123:01:30.65 W</t>
  </si>
  <si>
    <t>046:51:47.41 N</t>
  </si>
  <si>
    <t>123:01:32.58 W</t>
  </si>
  <si>
    <t>046:51:47.80 N</t>
  </si>
  <si>
    <t>123:01:34.75 W</t>
  </si>
  <si>
    <t>046:51:48.18 N</t>
  </si>
  <si>
    <t>123:01:36.60 W</t>
  </si>
  <si>
    <t>046:51:48.65 N</t>
  </si>
  <si>
    <t>123:01:38.30 W</t>
  </si>
  <si>
    <t>046:51:48.96 N</t>
  </si>
  <si>
    <t>123:01:40.46 W</t>
  </si>
  <si>
    <t>046:51:49.42 N</t>
  </si>
  <si>
    <t>123:01:42.24 W</t>
  </si>
  <si>
    <t>046:51:49.57 N</t>
  </si>
  <si>
    <t>123:01:44.02 W</t>
  </si>
  <si>
    <t>046:51:49.96 N</t>
  </si>
  <si>
    <t>123:01:45.79 W</t>
  </si>
  <si>
    <t>123:01:47.42 W</t>
  </si>
  <si>
    <t>046:51:50.58 N</t>
  </si>
  <si>
    <t>123:01:49.42 W</t>
  </si>
  <si>
    <t>046:51:50.89 N</t>
  </si>
  <si>
    <t>123:01:51.66 W</t>
  </si>
  <si>
    <t>046:51:51.27 N</t>
  </si>
  <si>
    <t>123:01:53.29 W</t>
  </si>
  <si>
    <t>046:51:51.58 N</t>
  </si>
  <si>
    <t>123:01:55.14 W</t>
  </si>
  <si>
    <t>123:01:57.15 W</t>
  </si>
  <si>
    <t>046:51:52.05 N</t>
  </si>
  <si>
    <t>123:01:58.85 W</t>
  </si>
  <si>
    <t>123:02:01.01 W</t>
  </si>
  <si>
    <t>046:51:52.90 N</t>
  </si>
  <si>
    <t>123:02:03.17 W</t>
  </si>
  <si>
    <t>046:51:53.05 N</t>
  </si>
  <si>
    <t>123:02:05.03 W</t>
  </si>
  <si>
    <t>123:02:06.50 W</t>
  </si>
  <si>
    <t>046:51:53.75 N</t>
  </si>
  <si>
    <t>123:02:08.50 W</t>
  </si>
  <si>
    <t>123:02:10.44 W</t>
  </si>
  <si>
    <t>046:51:54.44 N</t>
  </si>
  <si>
    <t>123:02:12.37 W</t>
  </si>
  <si>
    <t>046:51:54.75 N</t>
  </si>
  <si>
    <t>123:02:14.14 W</t>
  </si>
  <si>
    <t>046:51:55.29 N</t>
  </si>
  <si>
    <t>123:02:16.38 W</t>
  </si>
  <si>
    <t>046:51:55.52 N</t>
  </si>
  <si>
    <t>123:02:18.16 W</t>
  </si>
  <si>
    <t>123:02:19.78 W</t>
  </si>
  <si>
    <t>046:51:56.22 N</t>
  </si>
  <si>
    <t>123:02:21.95 W</t>
  </si>
  <si>
    <t>123:02:23.64 W</t>
  </si>
  <si>
    <t>046:51:56.91 N</t>
  </si>
  <si>
    <t>123:02:25.81 W</t>
  </si>
  <si>
    <t>046:51:57.30 N</t>
  </si>
  <si>
    <t>123:02:27.74 W</t>
  </si>
  <si>
    <t>046:51:57.53 N</t>
  </si>
  <si>
    <t>123:02:29.67 W</t>
  </si>
  <si>
    <t>046:51:57.92 N</t>
  </si>
  <si>
    <t>123:02:31.45 W</t>
  </si>
  <si>
    <t>046:51:58.23 N</t>
  </si>
  <si>
    <t>123:02:33.30 W</t>
  </si>
  <si>
    <t>046:51:58.53 N</t>
  </si>
  <si>
    <t>123:02:35.00 W</t>
  </si>
  <si>
    <t>123:02:37.16 W</t>
  </si>
  <si>
    <t>046:51:59.31 N</t>
  </si>
  <si>
    <t>123:02:39.09 W</t>
  </si>
  <si>
    <t>046:51:59.54 N</t>
  </si>
  <si>
    <t>123:02:40.79 W</t>
  </si>
  <si>
    <t>046:51:59.92 N</t>
  </si>
  <si>
    <t>123:02:42.80 W</t>
  </si>
  <si>
    <t>123:02:44.89 W</t>
  </si>
  <si>
    <t>046:52:00.62 N</t>
  </si>
  <si>
    <t>123:02:46.74 W</t>
  </si>
  <si>
    <t>046:52:00.85 N</t>
  </si>
  <si>
    <t>123:02:48.75 W</t>
  </si>
  <si>
    <t>046:52:01.32 N</t>
  </si>
  <si>
    <t>123:02:50.22 W</t>
  </si>
  <si>
    <t>046:52:01.47 N</t>
  </si>
  <si>
    <t>123:02:52.15 W</t>
  </si>
  <si>
    <t>046:52:01.93 N</t>
  </si>
  <si>
    <t>123:02:53.93 W</t>
  </si>
  <si>
    <t>046:52:02.32 N</t>
  </si>
  <si>
    <t>123:02:56.01 W</t>
  </si>
  <si>
    <t>046:52:02.63 N</t>
  </si>
  <si>
    <t>123:02:57.87 W</t>
  </si>
  <si>
    <t>046:52:02.94 N</t>
  </si>
  <si>
    <t>123:02:59.64 W</t>
  </si>
  <si>
    <t>046:52:03.48 N</t>
  </si>
  <si>
    <t>123:03:01.65 W</t>
  </si>
  <si>
    <t>046:52:03.79 N</t>
  </si>
  <si>
    <t>123:03:03.43 W</t>
  </si>
  <si>
    <t>123:03:05.59 W</t>
  </si>
  <si>
    <t>046:52:04.48 N</t>
  </si>
  <si>
    <t>123:03:07.06 W</t>
  </si>
  <si>
    <t>046:52:04.95 N</t>
  </si>
  <si>
    <t>123:03:08.99 W</t>
  </si>
  <si>
    <t>046:52:05.26 N</t>
  </si>
  <si>
    <t>123:03:10.77 W</t>
  </si>
  <si>
    <t>123:03:13.01 W</t>
  </si>
  <si>
    <t>046:52:05.95 N</t>
  </si>
  <si>
    <t>123:03:14.47 W</t>
  </si>
  <si>
    <t>046:52:06.34 N</t>
  </si>
  <si>
    <t>123:03:16.10 W</t>
  </si>
  <si>
    <t>046:52:06.57 N</t>
  </si>
  <si>
    <t>123:03:17.95 W</t>
  </si>
  <si>
    <t>046:52:06.95 N</t>
  </si>
  <si>
    <t>123:03:19.96 W</t>
  </si>
  <si>
    <t>046:52:07.42 N</t>
  </si>
  <si>
    <t>123:03:21.89 W</t>
  </si>
  <si>
    <t>046:52:07.73 N</t>
  </si>
  <si>
    <t>123:03:23.82 W</t>
  </si>
  <si>
    <t>046:52:08.11 N</t>
  </si>
  <si>
    <t>123:03:25.37 W</t>
  </si>
  <si>
    <t>046:52:08.34 N</t>
  </si>
  <si>
    <t>123:03:27.30 W</t>
  </si>
  <si>
    <t>046:52:08.73 N</t>
  </si>
  <si>
    <t>123:03:29.31 W</t>
  </si>
  <si>
    <t>046:52:09.04 N</t>
  </si>
  <si>
    <t>123:03:31.24 W</t>
  </si>
  <si>
    <t>046:52:09.35 N</t>
  </si>
  <si>
    <t>123:03:33.63 W</t>
  </si>
  <si>
    <t>046:52:09.74 N</t>
  </si>
  <si>
    <t>123:03:35.25 W</t>
  </si>
  <si>
    <t>046:52:09.97 N</t>
  </si>
  <si>
    <t>123:03:37.18 W</t>
  </si>
  <si>
    <t>046:52:10.35 N</t>
  </si>
  <si>
    <t>123:03:39.19 W</t>
  </si>
  <si>
    <t>046:52:10.74 N</t>
  </si>
  <si>
    <t>123:03:41.12 W</t>
  </si>
  <si>
    <t>046:52:11.05 N</t>
  </si>
  <si>
    <t>123:03:42.90 W</t>
  </si>
  <si>
    <t>046:52:11.36 N</t>
  </si>
  <si>
    <t>123:03:44.75 W</t>
  </si>
  <si>
    <t>123:03:46.30 W</t>
  </si>
  <si>
    <t>046:52:11.90 N</t>
  </si>
  <si>
    <t>123:03:48.31 W</t>
  </si>
  <si>
    <t>123:03:50.55 W</t>
  </si>
  <si>
    <t>046:52:12.52 N</t>
  </si>
  <si>
    <t>123:03:52.17 W</t>
  </si>
  <si>
    <t>046:52:12.83 N</t>
  </si>
  <si>
    <t>123:03:54.26 W</t>
  </si>
  <si>
    <t>046:52:13.21 N</t>
  </si>
  <si>
    <t>123:03:56.19 W</t>
  </si>
  <si>
    <t>046:52:13.52 N</t>
  </si>
  <si>
    <t>123:03:57.96 W</t>
  </si>
  <si>
    <t>046:52:13.83 N</t>
  </si>
  <si>
    <t>123:04:00.00 W</t>
  </si>
  <si>
    <t>046:52:14.22 N</t>
  </si>
  <si>
    <t>123:04:01.67 W</t>
  </si>
  <si>
    <t>046:52:14.52 N</t>
  </si>
  <si>
    <t>123:04:03.76 W</t>
  </si>
  <si>
    <t>046:52:14.68 N</t>
  </si>
  <si>
    <t>123:04:05.61 W</t>
  </si>
  <si>
    <t>046:52:14.99 N</t>
  </si>
  <si>
    <t>123:04:07.08 W</t>
  </si>
  <si>
    <t>046:52:15.22 N</t>
  </si>
  <si>
    <t>123:04:09.09 W</t>
  </si>
  <si>
    <t>046:52:15.53 N</t>
  </si>
  <si>
    <t>123:04:11.10 W</t>
  </si>
  <si>
    <t>046:52:15.84 N</t>
  </si>
  <si>
    <t>123:04:12.95 W</t>
  </si>
  <si>
    <t>046:52:16.07 N</t>
  </si>
  <si>
    <t>123:04:14.96 W</t>
  </si>
  <si>
    <t>123:04:16.97 W</t>
  </si>
  <si>
    <t>046:52:16.69 N</t>
  </si>
  <si>
    <t>123:04:18.74 W</t>
  </si>
  <si>
    <t>046:52:16.84 N</t>
  </si>
  <si>
    <t>123:04:20.67 W</t>
  </si>
  <si>
    <t>046:52:17.23 N</t>
  </si>
  <si>
    <t>123:04:22.53 W</t>
  </si>
  <si>
    <t>046:52:17.31 N</t>
  </si>
  <si>
    <t>123:04:24.15 W</t>
  </si>
  <si>
    <t>046:52:17.69 N</t>
  </si>
  <si>
    <t>123:04:26.39 W</t>
  </si>
  <si>
    <t>046:52:17.85 N</t>
  </si>
  <si>
    <t>123:04:28.40 W</t>
  </si>
  <si>
    <t>123:04:30.18 W</t>
  </si>
  <si>
    <t>046:52:18.46 N</t>
  </si>
  <si>
    <t>123:04:31.80 W</t>
  </si>
  <si>
    <t>046:52:18.62 N</t>
  </si>
  <si>
    <t>123:04:33.58 W</t>
  </si>
  <si>
    <t>046:52:18.85 N</t>
  </si>
  <si>
    <t>123:04:35.20 W</t>
  </si>
  <si>
    <t>123:04:37.28 W</t>
  </si>
  <si>
    <t>046:52:19.62 N</t>
  </si>
  <si>
    <t>123:04:39.21 W</t>
  </si>
  <si>
    <t>046:52:19.85 N</t>
  </si>
  <si>
    <t>123:04:41.07 W</t>
  </si>
  <si>
    <t>123:04:43.08 W</t>
  </si>
  <si>
    <t>046:52:20.40 N</t>
  </si>
  <si>
    <t>123:04:44.85 W</t>
  </si>
  <si>
    <t>046:52:20.78 N</t>
  </si>
  <si>
    <t>123:04:46.63 W</t>
  </si>
  <si>
    <t>123:04:48.64 W</t>
  </si>
  <si>
    <t>046:52:21.25 N</t>
  </si>
  <si>
    <t>123:04:50.65 W</t>
  </si>
  <si>
    <t>046:52:21.55 N</t>
  </si>
  <si>
    <t>123:04:52.19 W</t>
  </si>
  <si>
    <t>046:52:21.94 N</t>
  </si>
  <si>
    <t>123:04:54.35 W</t>
  </si>
  <si>
    <t>046:52:22.25 N</t>
  </si>
  <si>
    <t>123:04:56.29 W</t>
  </si>
  <si>
    <t>046:52:22.56 N</t>
  </si>
  <si>
    <t>123:04:58.29 W</t>
  </si>
  <si>
    <t>123:05:00.00 W</t>
  </si>
  <si>
    <t>046:52:23.25 N</t>
  </si>
  <si>
    <t>123:05:01.77 W</t>
  </si>
  <si>
    <t>046:52:23.41 N</t>
  </si>
  <si>
    <t>123:05:03.62 W</t>
  </si>
  <si>
    <t>123:05:05.17 W</t>
  </si>
  <si>
    <t>046:52:24.10 N</t>
  </si>
  <si>
    <t>123:05:07.18 W</t>
  </si>
  <si>
    <t>046:52:24.41 N</t>
  </si>
  <si>
    <t>123:05:09.50 W</t>
  </si>
  <si>
    <t>046:52:24.72 N</t>
  </si>
  <si>
    <t>123:05:11.12 W</t>
  </si>
  <si>
    <t>046:52:24.88 N</t>
  </si>
  <si>
    <t>123:05:12.89 W</t>
  </si>
  <si>
    <t>046:52:25.18 N</t>
  </si>
  <si>
    <t>123:05:14.83 W</t>
  </si>
  <si>
    <t>046:52:25.57 N</t>
  </si>
  <si>
    <t>123:05:16.29 W</t>
  </si>
  <si>
    <t>123:05:18.61 W</t>
  </si>
  <si>
    <t>046:52:26.11 N</t>
  </si>
  <si>
    <t>123:05:20.62 W</t>
  </si>
  <si>
    <t>046:52:26.34 N</t>
  </si>
  <si>
    <t>123:05:22.47 W</t>
  </si>
  <si>
    <t>123:05:24.40 W</t>
  </si>
  <si>
    <t>046:52:26.96 N</t>
  </si>
  <si>
    <t>123:05:25.95 W</t>
  </si>
  <si>
    <t>046:52:27.27 N</t>
  </si>
  <si>
    <t>123:05:28.19 W</t>
  </si>
  <si>
    <t>123:05:29.73 W</t>
  </si>
  <si>
    <t>046:52:27.73 N</t>
  </si>
  <si>
    <t>123:05:31.74 W</t>
  </si>
  <si>
    <t>046:52:28.20 N</t>
  </si>
  <si>
    <t>123:05:33.91 W</t>
  </si>
  <si>
    <t>046:52:28.43 N</t>
  </si>
  <si>
    <t>123:05:35.84 W</t>
  </si>
  <si>
    <t>046:52:28.82 N</t>
  </si>
  <si>
    <t>123:05:37.61 W</t>
  </si>
  <si>
    <t>046:52:29.12 N</t>
  </si>
  <si>
    <t>123:05:39.39 W</t>
  </si>
  <si>
    <t>123:05:41.32 W</t>
  </si>
  <si>
    <t>046:52:29.82 N</t>
  </si>
  <si>
    <t>123:05:43.25 W</t>
  </si>
  <si>
    <t>046:52:30.13 N</t>
  </si>
  <si>
    <t>123:05:45.18 W</t>
  </si>
  <si>
    <t>123:05:46.73 W</t>
  </si>
  <si>
    <t>046:52:30.75 N</t>
  </si>
  <si>
    <t>123:05:48.74 W</t>
  </si>
  <si>
    <t>046:52:31.13 N</t>
  </si>
  <si>
    <t>123:05:50.51 W</t>
  </si>
  <si>
    <t>046:52:31.52 N</t>
  </si>
  <si>
    <t>123:05:52.44 W</t>
  </si>
  <si>
    <t>123:05:54.07 W</t>
  </si>
  <si>
    <t>046:52:32.29 N</t>
  </si>
  <si>
    <t>123:05:55.84 W</t>
  </si>
  <si>
    <t>046:52:32.60 N</t>
  </si>
  <si>
    <t>123:05:57.85 W</t>
  </si>
  <si>
    <t>046:52:33.14 N</t>
  </si>
  <si>
    <t>123:05:59.86 W</t>
  </si>
  <si>
    <t>046:52:33.45 N</t>
  </si>
  <si>
    <t>123:06:01.56 W</t>
  </si>
  <si>
    <t>046:52:33.76 N</t>
  </si>
  <si>
    <t>123:06:03.26 W</t>
  </si>
  <si>
    <t>046:52:34.15 N</t>
  </si>
  <si>
    <t>123:06:04.80 W</t>
  </si>
  <si>
    <t>046:52:34.61 N</t>
  </si>
  <si>
    <t>123:06:06.74 W</t>
  </si>
  <si>
    <t>046:52:35.00 N</t>
  </si>
  <si>
    <t>123:06:08.82 W</t>
  </si>
  <si>
    <t>123:06:10.44 W</t>
  </si>
  <si>
    <t>046:52:35.85 N</t>
  </si>
  <si>
    <t>123:06:12.61 W</t>
  </si>
  <si>
    <t>046:52:36.15 N</t>
  </si>
  <si>
    <t>123:06:14.61 W</t>
  </si>
  <si>
    <t>046:52:36.62 N</t>
  </si>
  <si>
    <t>123:06:16.39 W</t>
  </si>
  <si>
    <t>046:52:36.85 N</t>
  </si>
  <si>
    <t>123:06:18.17 W</t>
  </si>
  <si>
    <t>046:52:37.24 N</t>
  </si>
  <si>
    <t>123:06:20.10 W</t>
  </si>
  <si>
    <t>046:52:37.62 N</t>
  </si>
  <si>
    <t>123:06:21.95 W</t>
  </si>
  <si>
    <t>046:52:38.01 N</t>
  </si>
  <si>
    <t>123:06:23.73 W</t>
  </si>
  <si>
    <t>046:52:38.39 N</t>
  </si>
  <si>
    <t>123:06:25.51 W</t>
  </si>
  <si>
    <t>046:52:38.70 N</t>
  </si>
  <si>
    <t>123:06:27.52 W</t>
  </si>
  <si>
    <t>046:52:39.01 N</t>
  </si>
  <si>
    <t>123:06:29.29 W</t>
  </si>
  <si>
    <t>046:52:39.40 N</t>
  </si>
  <si>
    <t>123:06:30.99 W</t>
  </si>
  <si>
    <t>046:52:39.86 N</t>
  </si>
  <si>
    <t>123:06:32.85 W</t>
  </si>
  <si>
    <t>046:52:40.02 N</t>
  </si>
  <si>
    <t>123:06:34.70 W</t>
  </si>
  <si>
    <t>046:52:40.40 N</t>
  </si>
  <si>
    <t>123:06:36.40 W</t>
  </si>
  <si>
    <t>046:52:40.87 N</t>
  </si>
  <si>
    <t>123:06:38.18 W</t>
  </si>
  <si>
    <t>046:52:41.18 N</t>
  </si>
  <si>
    <t>123:06:40.49 W</t>
  </si>
  <si>
    <t>046:52:41.48 N</t>
  </si>
  <si>
    <t>123:06:41.96 W</t>
  </si>
  <si>
    <t>046:52:41.87 N</t>
  </si>
  <si>
    <t>123:06:44.05 W</t>
  </si>
  <si>
    <t>046:52:42.18 N</t>
  </si>
  <si>
    <t>123:06:46.05 W</t>
  </si>
  <si>
    <t>123:06:47.83 W</t>
  </si>
  <si>
    <t>046:52:42.87 N</t>
  </si>
  <si>
    <t>123:06:49.76 W</t>
  </si>
  <si>
    <t>046:52:43.18 N</t>
  </si>
  <si>
    <t>123:06:51.62 W</t>
  </si>
  <si>
    <t>046:52:43.49 N</t>
  </si>
  <si>
    <t>123:06:53.70 W</t>
  </si>
  <si>
    <t>046:52:43.88 N</t>
  </si>
  <si>
    <t>123:06:55.71 W</t>
  </si>
  <si>
    <t>123:06:57.41 W</t>
  </si>
  <si>
    <t>046:52:44.50 N</t>
  </si>
  <si>
    <t>123:06:59.26 W</t>
  </si>
  <si>
    <t>046:52:44.81 N</t>
  </si>
  <si>
    <t>123:07:00.89 W</t>
  </si>
  <si>
    <t>046:52:45.04 N</t>
  </si>
  <si>
    <t>123:07:02.82 W</t>
  </si>
  <si>
    <t>046:52:45.50 N</t>
  </si>
  <si>
    <t>123:07:04.59 W</t>
  </si>
  <si>
    <t>046:52:45.73 N</t>
  </si>
  <si>
    <t>123:07:06.83 W</t>
  </si>
  <si>
    <t>123:07:08.61 W</t>
  </si>
  <si>
    <t>046:52:46.35 N</t>
  </si>
  <si>
    <t>123:07:10.77 W</t>
  </si>
  <si>
    <t>046:52:46.51 N</t>
  </si>
  <si>
    <t>123:07:12.24 W</t>
  </si>
  <si>
    <t>046:52:46.81 N</t>
  </si>
  <si>
    <t>123:07:14.48 W</t>
  </si>
  <si>
    <t>046:52:47.12 N</t>
  </si>
  <si>
    <t>123:07:15.95 W</t>
  </si>
  <si>
    <t>046:52:47.28 N</t>
  </si>
  <si>
    <t>123:07:18.19 W</t>
  </si>
  <si>
    <t>046:52:47.51 N</t>
  </si>
  <si>
    <t>123:07:19.81 W</t>
  </si>
  <si>
    <t>046:52:47.90 N</t>
  </si>
  <si>
    <t>123:07:21.28 W</t>
  </si>
  <si>
    <t>046:52:48.13 N</t>
  </si>
  <si>
    <t>123:07:23.37 W</t>
  </si>
  <si>
    <t>046:52:48.28 N</t>
  </si>
  <si>
    <t>123:07:25.14 W</t>
  </si>
  <si>
    <t>046:52:48.44 N</t>
  </si>
  <si>
    <t>123:07:27.07 W</t>
  </si>
  <si>
    <t>046:52:48.75 N</t>
  </si>
  <si>
    <t>123:07:28.93 W</t>
  </si>
  <si>
    <t>046:52:48.98 N</t>
  </si>
  <si>
    <t>123:07:31.01 W</t>
  </si>
  <si>
    <t>046:52:49.13 N</t>
  </si>
  <si>
    <t>123:07:33.25 W</t>
  </si>
  <si>
    <t>046:52:49.36 N</t>
  </si>
  <si>
    <t>123:07:35.26 W</t>
  </si>
  <si>
    <t>046:52:49.60 N</t>
  </si>
  <si>
    <t>123:07:36.96 W</t>
  </si>
  <si>
    <t>046:52:49.90 N</t>
  </si>
  <si>
    <t>123:07:39.05 W</t>
  </si>
  <si>
    <t>046:52:50.29 N</t>
  </si>
  <si>
    <t>123:07:40.90 W</t>
  </si>
  <si>
    <t>046:52:50.52 N</t>
  </si>
  <si>
    <t>123:07:42.83 W</t>
  </si>
  <si>
    <t>046:52:50.75 N</t>
  </si>
  <si>
    <t>123:07:44.61 W</t>
  </si>
  <si>
    <t>046:52:51.06 N</t>
  </si>
  <si>
    <t>123:07:46.62 W</t>
  </si>
  <si>
    <t>046:52:51.22 N</t>
  </si>
  <si>
    <t>123:07:48.39 W</t>
  </si>
  <si>
    <t>046:52:51.60 N</t>
  </si>
  <si>
    <t>123:07:50.32 W</t>
  </si>
  <si>
    <t>046:52:51.76 N</t>
  </si>
  <si>
    <t>123:07:51.95 W</t>
  </si>
  <si>
    <t>046:52:52.07 N</t>
  </si>
  <si>
    <t>123:07:54.03 W</t>
  </si>
  <si>
    <t>046:52:52.38 N</t>
  </si>
  <si>
    <t>123:07:56.27 W</t>
  </si>
  <si>
    <t>046:52:52.53 N</t>
  </si>
  <si>
    <t>123:07:58.05 W</t>
  </si>
  <si>
    <t>046:52:52.76 N</t>
  </si>
  <si>
    <t>123:08:00.21 W</t>
  </si>
  <si>
    <t>046:52:52.92 N</t>
  </si>
  <si>
    <t>123:08:02.14 W</t>
  </si>
  <si>
    <t>046:52:53.23 N</t>
  </si>
  <si>
    <t>123:08:03.92 W</t>
  </si>
  <si>
    <t>046:52:53.38 N</t>
  </si>
  <si>
    <t>123:08:05.62 W</t>
  </si>
  <si>
    <t>046:52:53.53 N</t>
  </si>
  <si>
    <t>123:08:07.63 W</t>
  </si>
  <si>
    <t>046:52:53.92 N</t>
  </si>
  <si>
    <t>123:08:09.48 W</t>
  </si>
  <si>
    <t>123:08:11.34 W</t>
  </si>
  <si>
    <t>046:52:54.38 N</t>
  </si>
  <si>
    <t>123:08:13.50 W</t>
  </si>
  <si>
    <t>046:52:54.77 N</t>
  </si>
  <si>
    <t>123:08:15.28 W</t>
  </si>
  <si>
    <t>046:52:55.08 N</t>
  </si>
  <si>
    <t>123:08:17.05 W</t>
  </si>
  <si>
    <t>046:52:55.39 N</t>
  </si>
  <si>
    <t>123:08:19.14 W</t>
  </si>
  <si>
    <t>046:52:55.70 N</t>
  </si>
  <si>
    <t>123:08:21.22 W</t>
  </si>
  <si>
    <t>046:52:55.93 N</t>
  </si>
  <si>
    <t>123:08:23.15 W</t>
  </si>
  <si>
    <t>046:52:56.24 N</t>
  </si>
  <si>
    <t>123:08:25.16 W</t>
  </si>
  <si>
    <t>123:08:26.71 W</t>
  </si>
  <si>
    <t>046:52:56.62 N</t>
  </si>
  <si>
    <t>123:08:28.49 W</t>
  </si>
  <si>
    <t>046:52:56.86 N</t>
  </si>
  <si>
    <t>123:08:30.34 W</t>
  </si>
  <si>
    <t>046:52:57.01 N</t>
  </si>
  <si>
    <t>123:08:32.58 W</t>
  </si>
  <si>
    <t>046:52:57.24 N</t>
  </si>
  <si>
    <t>123:08:34.59 W</t>
  </si>
  <si>
    <t>046:52:57.55 N</t>
  </si>
  <si>
    <t>123:08:36.52 W</t>
  </si>
  <si>
    <t>046:52:57.63 N</t>
  </si>
  <si>
    <t>123:08:38.14 W</t>
  </si>
  <si>
    <t>046:52:57.86 N</t>
  </si>
  <si>
    <t>123:08:40.23 W</t>
  </si>
  <si>
    <t>046:52:58.02 N</t>
  </si>
  <si>
    <t>123:08:42.00 W</t>
  </si>
  <si>
    <t>046:52:58.25 N</t>
  </si>
  <si>
    <t>123:08:43.70 W</t>
  </si>
  <si>
    <t>046:52:58.40 N</t>
  </si>
  <si>
    <t>123:08:45.71 W</t>
  </si>
  <si>
    <t>046:52:58.63 N</t>
  </si>
  <si>
    <t>123:08:47.49 W</t>
  </si>
  <si>
    <t>046:52:58.86 N</t>
  </si>
  <si>
    <t>123:08:49.42 W</t>
  </si>
  <si>
    <t>046:52:58.94 N</t>
  </si>
  <si>
    <t>123:08:51.27 W</t>
  </si>
  <si>
    <t>046:52:59.25 N</t>
  </si>
  <si>
    <t>123:08:53.59 W</t>
  </si>
  <si>
    <t>123:08:55.14 W</t>
  </si>
  <si>
    <t>046:52:59.64 N</t>
  </si>
  <si>
    <t>123:08:57.07 W</t>
  </si>
  <si>
    <t>046:53:00.02 N</t>
  </si>
  <si>
    <t>123:08:59.08 W</t>
  </si>
  <si>
    <t>046:53:00.26 N</t>
  </si>
  <si>
    <t>123:09:00.93 W</t>
  </si>
  <si>
    <t>046:53:00.49 N</t>
  </si>
  <si>
    <t>123:09:03.01 W</t>
  </si>
  <si>
    <t>046:53:00.80 N</t>
  </si>
  <si>
    <t>123:09:04.71 W</t>
  </si>
  <si>
    <t>046:53:00.95 N</t>
  </si>
  <si>
    <t>123:09:06.72 W</t>
  </si>
  <si>
    <t>046:53:01.26 N</t>
  </si>
  <si>
    <t>123:09:08.58 W</t>
  </si>
  <si>
    <t>046:53:01.41 N</t>
  </si>
  <si>
    <t>123:09:10.04 W</t>
  </si>
  <si>
    <t>046:53:01.80 N</t>
  </si>
  <si>
    <t>123:09:12.13 W</t>
  </si>
  <si>
    <t>046:53:01.95 N</t>
  </si>
  <si>
    <t>123:09:14.37 W</t>
  </si>
  <si>
    <t>046:53:02.26 N</t>
  </si>
  <si>
    <t>123:09:16.61 W</t>
  </si>
  <si>
    <t>046:53:02.42 N</t>
  </si>
  <si>
    <t>123:09:18.46 W</t>
  </si>
  <si>
    <t>123:09:19.93 W</t>
  </si>
  <si>
    <t>046:53:02.96 N</t>
  </si>
  <si>
    <t>123:09:21.79 W</t>
  </si>
  <si>
    <t>046:53:03.11 N</t>
  </si>
  <si>
    <t>123:09:23.72 W</t>
  </si>
  <si>
    <t>046:53:03.42 N</t>
  </si>
  <si>
    <t>123:09:25.73 W</t>
  </si>
  <si>
    <t>046:53:03.81 N</t>
  </si>
  <si>
    <t>123:09:27.97 W</t>
  </si>
  <si>
    <t>046:53:03.96 N</t>
  </si>
  <si>
    <t>123:09:29.43 W</t>
  </si>
  <si>
    <t>046:53:04.27 N</t>
  </si>
  <si>
    <t>123:09:31.60 W</t>
  </si>
  <si>
    <t>046:53:04.58 N</t>
  </si>
  <si>
    <t>123:09:33.37 W</t>
  </si>
  <si>
    <t>046:53:04.97 N</t>
  </si>
  <si>
    <t>123:09:35.38 W</t>
  </si>
  <si>
    <t>046:53:05.12 N</t>
  </si>
  <si>
    <t>123:09:37.08 W</t>
  </si>
  <si>
    <t>046:53:05.43 N</t>
  </si>
  <si>
    <t>123:09:39.09 W</t>
  </si>
  <si>
    <t>046:53:05.74 N</t>
  </si>
  <si>
    <t>123:09:40.79 W</t>
  </si>
  <si>
    <t>046:53:05.97 N</t>
  </si>
  <si>
    <t>123:09:42.80 W</t>
  </si>
  <si>
    <t>046:53:06.44 N</t>
  </si>
  <si>
    <t>123:09:44.50 W</t>
  </si>
  <si>
    <t>123:09:46.51 W</t>
  </si>
  <si>
    <t>046:53:06.90 N</t>
  </si>
  <si>
    <t>123:09:48.20 W</t>
  </si>
  <si>
    <t>046:53:07.13 N</t>
  </si>
  <si>
    <t>123:09:50.14 W</t>
  </si>
  <si>
    <t>123:09:52.14 W</t>
  </si>
  <si>
    <t>046:53:07.90 N</t>
  </si>
  <si>
    <t>123:09:54.38 W</t>
  </si>
  <si>
    <t>046:53:08.13 N</t>
  </si>
  <si>
    <t>123:09:55.93 W</t>
  </si>
  <si>
    <t>046:53:08.52 N</t>
  </si>
  <si>
    <t>123:09:58.02 W</t>
  </si>
  <si>
    <t>123:09:59.48 W</t>
  </si>
  <si>
    <t>046:53:08.98 N</t>
  </si>
  <si>
    <t>123:10:01.26 W</t>
  </si>
  <si>
    <t>046:53:09.37 N</t>
  </si>
  <si>
    <t>123:10:03.35 W</t>
  </si>
  <si>
    <t>123:10:05.04 W</t>
  </si>
  <si>
    <t>046:53:09.99 N</t>
  </si>
  <si>
    <t>123:10:07.36 W</t>
  </si>
  <si>
    <t>046:53:10.22 N</t>
  </si>
  <si>
    <t>123:10:09.22 W</t>
  </si>
  <si>
    <t>046:53:10.53 N</t>
  </si>
  <si>
    <t>123:10:11.15 W</t>
  </si>
  <si>
    <t>046:53:10.84 N</t>
  </si>
  <si>
    <t>123:10:12.92 W</t>
  </si>
  <si>
    <t>046:53:11.22 N</t>
  </si>
  <si>
    <t>123:10:15.16 W</t>
  </si>
  <si>
    <t>123:10:17.02 W</t>
  </si>
  <si>
    <t>046:53:11.84 N</t>
  </si>
  <si>
    <t>123:10:19.10 W</t>
  </si>
  <si>
    <t>046:53:12.15 N</t>
  </si>
  <si>
    <t>123:10:20.80 W</t>
  </si>
  <si>
    <t>123:10:22.81 W</t>
  </si>
  <si>
    <t>046:53:12.85 N</t>
  </si>
  <si>
    <t>123:10:24.59 W</t>
  </si>
  <si>
    <t>046:53:13.16 N</t>
  </si>
  <si>
    <t>123:10:26.36 W</t>
  </si>
  <si>
    <t>046:53:13.70 N</t>
  </si>
  <si>
    <t>123:10:28.06 W</t>
  </si>
  <si>
    <t>046:53:14.16 N</t>
  </si>
  <si>
    <t>123:10:29.92 W</t>
  </si>
  <si>
    <t>046:53:14.70 N</t>
  </si>
  <si>
    <t>123:10:31.93 W</t>
  </si>
  <si>
    <t>046:53:15.01 N</t>
  </si>
  <si>
    <t>123:10:33.70 W</t>
  </si>
  <si>
    <t>046:53:15.47 N</t>
  </si>
  <si>
    <t>123:10:35.48 W</t>
  </si>
  <si>
    <t>046:53:16.01 N</t>
  </si>
  <si>
    <t>123:10:37.41 W</t>
  </si>
  <si>
    <t>123:10:38.88 W</t>
  </si>
  <si>
    <t>046:53:16.79 N</t>
  </si>
  <si>
    <t>123:10:40.89 W</t>
  </si>
  <si>
    <t>046:53:17.17 N</t>
  </si>
  <si>
    <t>123:10:42.36 W</t>
  </si>
  <si>
    <t>046:53:17.64 N</t>
  </si>
  <si>
    <t>123:10:44.36 W</t>
  </si>
  <si>
    <t>046:53:17.87 N</t>
  </si>
  <si>
    <t>123:10:46.14 W</t>
  </si>
  <si>
    <t>123:10:47.84 W</t>
  </si>
  <si>
    <t>046:53:18.72 N</t>
  </si>
  <si>
    <t>123:10:49.69 W</t>
  </si>
  <si>
    <t>123:10:51.24 W</t>
  </si>
  <si>
    <t>046:53:19.41 N</t>
  </si>
  <si>
    <t>123:10:52.78 W</t>
  </si>
  <si>
    <t>046:53:19.80 N</t>
  </si>
  <si>
    <t>123:10:54.48 W</t>
  </si>
  <si>
    <t>046:53:20.26 N</t>
  </si>
  <si>
    <t>123:10:56.72 W</t>
  </si>
  <si>
    <t>046:53:20.73 N</t>
  </si>
  <si>
    <t>123:10:58.04 W</t>
  </si>
  <si>
    <t>046:53:21.27 N</t>
  </si>
  <si>
    <t>123:11:00.20 W</t>
  </si>
  <si>
    <t>046:53:21.58 N</t>
  </si>
  <si>
    <t>123:11:02.13 W</t>
  </si>
  <si>
    <t>046:53:22.04 N</t>
  </si>
  <si>
    <t>123:11:04.14 W</t>
  </si>
  <si>
    <t>123:11:05.68 W</t>
  </si>
  <si>
    <t>046:53:22.89 N</t>
  </si>
  <si>
    <t>123:11:07.62 W</t>
  </si>
  <si>
    <t>046:53:23.28 N</t>
  </si>
  <si>
    <t>123:11:09.24 W</t>
  </si>
  <si>
    <t>123:11:11.01 W</t>
  </si>
  <si>
    <t>046:53:23.89 N</t>
  </si>
  <si>
    <t>123:11:13.02 W</t>
  </si>
  <si>
    <t>046:53:24.36 N</t>
  </si>
  <si>
    <t>123:11:15.03 W</t>
  </si>
  <si>
    <t>046:53:24.90 N</t>
  </si>
  <si>
    <t>123:11:16.96 W</t>
  </si>
  <si>
    <t>046:53:25.28 N</t>
  </si>
  <si>
    <t>123:11:18.58 W</t>
  </si>
  <si>
    <t>046:53:25.67 N</t>
  </si>
  <si>
    <t>123:11:20.67 W</t>
  </si>
  <si>
    <t>046:53:26.29 N</t>
  </si>
  <si>
    <t>123:11:22.37 W</t>
  </si>
  <si>
    <t>046:53:26.60 N</t>
  </si>
  <si>
    <t>123:11:23.91 W</t>
  </si>
  <si>
    <t>046:53:26.91 N</t>
  </si>
  <si>
    <t>123:11:25.92 W</t>
  </si>
  <si>
    <t>123:11:27.62 W</t>
  </si>
  <si>
    <t>046:53:27.91 N</t>
  </si>
  <si>
    <t>123:11:29.48 W</t>
  </si>
  <si>
    <t>046:53:28.37 N</t>
  </si>
  <si>
    <t>123:11:31.10 W</t>
  </si>
  <si>
    <t>046:53:28.76 N</t>
  </si>
  <si>
    <t>123:11:32.80 W</t>
  </si>
  <si>
    <t>046:53:29.07 N</t>
  </si>
  <si>
    <t>123:11:34.34 W</t>
  </si>
  <si>
    <t>046:53:29.45 N</t>
  </si>
  <si>
    <t>123:11:36.04 W</t>
  </si>
  <si>
    <t>046:53:30.00 N</t>
  </si>
  <si>
    <t>123:11:37.97 W</t>
  </si>
  <si>
    <t>046:53:30.46 N</t>
  </si>
  <si>
    <t>123:11:39.75 W</t>
  </si>
  <si>
    <t>046:53:31.00 N</t>
  </si>
  <si>
    <t>123:11:41.68 W</t>
  </si>
  <si>
    <t>046:53:31.31 N</t>
  </si>
  <si>
    <t>123:11:43.15 W</t>
  </si>
  <si>
    <t>123:11:44.69 W</t>
  </si>
  <si>
    <t>046:53:32.31 N</t>
  </si>
  <si>
    <t>123:11:46.63 W</t>
  </si>
  <si>
    <t>046:53:32.78 N</t>
  </si>
  <si>
    <t>123:11:48.25 W</t>
  </si>
  <si>
    <t>046:53:33.32 N</t>
  </si>
  <si>
    <t>123:11:50.10 W</t>
  </si>
  <si>
    <t>046:53:33.78 N</t>
  </si>
  <si>
    <t>123:11:51.80 W</t>
  </si>
  <si>
    <t>046:53:34.32 N</t>
  </si>
  <si>
    <t>123:11:53.81 W</t>
  </si>
  <si>
    <t>046:53:34.79 N</t>
  </si>
  <si>
    <t>123:11:55.51 W</t>
  </si>
  <si>
    <t>046:53:35.33 N</t>
  </si>
  <si>
    <t>123:11:57.36 W</t>
  </si>
  <si>
    <t>046:53:35.79 N</t>
  </si>
  <si>
    <t>123:11:59.22 W</t>
  </si>
  <si>
    <t>046:53:36.33 N</t>
  </si>
  <si>
    <t>123:12:00.92 W</t>
  </si>
  <si>
    <t>046:53:36.87 N</t>
  </si>
  <si>
    <t>123:12:02.92 W</t>
  </si>
  <si>
    <t>046:53:37.33 N</t>
  </si>
  <si>
    <t>123:12:04.47 W</t>
  </si>
  <si>
    <t>046:53:37.87 N</t>
  </si>
  <si>
    <t>123:12:06.40 W</t>
  </si>
  <si>
    <t>046:53:38.34 N</t>
  </si>
  <si>
    <t>123:12:08.25 W</t>
  </si>
  <si>
    <t>046:53:38.88 N</t>
  </si>
  <si>
    <t>123:12:10.11 W</t>
  </si>
  <si>
    <t>046:53:39.34 N</t>
  </si>
  <si>
    <t>123:12:11.58 W</t>
  </si>
  <si>
    <t>123:12:13.58 W</t>
  </si>
  <si>
    <t>046:53:40.50 N</t>
  </si>
  <si>
    <t>123:12:15.36 W</t>
  </si>
  <si>
    <t>046:53:41.04 N</t>
  </si>
  <si>
    <t>123:12:17.06 W</t>
  </si>
  <si>
    <t>046:53:41.66 N</t>
  </si>
  <si>
    <t>123:12:18.99 W</t>
  </si>
  <si>
    <t>046:53:42.20 N</t>
  </si>
  <si>
    <t>123:12:20.69 W</t>
  </si>
  <si>
    <t>046:53:42.82 N</t>
  </si>
  <si>
    <t>123:12:22.47 W</t>
  </si>
  <si>
    <t>046:53:43.36 N</t>
  </si>
  <si>
    <t>123:12:24.24 W</t>
  </si>
  <si>
    <t>046:53:43.82 N</t>
  </si>
  <si>
    <t>123:12:26.18 W</t>
  </si>
  <si>
    <t>046:53:44.29 N</t>
  </si>
  <si>
    <t>123:12:27.41 W</t>
  </si>
  <si>
    <t>046:53:44.83 N</t>
  </si>
  <si>
    <t>123:12:29.34 W</t>
  </si>
  <si>
    <t>046:53:45.52 N</t>
  </si>
  <si>
    <t>123:12:31.12 W</t>
  </si>
  <si>
    <t>046:53:45.99 N</t>
  </si>
  <si>
    <t>123:12:33.13 W</t>
  </si>
  <si>
    <t>046:53:46.45 N</t>
  </si>
  <si>
    <t>123:12:34.60 W</t>
  </si>
  <si>
    <t>046:53:46.84 N</t>
  </si>
  <si>
    <t>123:12:36.22 W</t>
  </si>
  <si>
    <t>046:53:47.45 N</t>
  </si>
  <si>
    <t>123:12:37.84 W</t>
  </si>
  <si>
    <t>046:53:47.84 N</t>
  </si>
  <si>
    <t>123:12:39.46 W</t>
  </si>
  <si>
    <t>046:53:48.46 N</t>
  </si>
  <si>
    <t>123:12:41.55 W</t>
  </si>
  <si>
    <t>046:53:48.92 N</t>
  </si>
  <si>
    <t>123:12:43.48 W</t>
  </si>
  <si>
    <t>046:53:49.62 N</t>
  </si>
  <si>
    <t>123:12:45.49 W</t>
  </si>
  <si>
    <t>046:53:50.08 N</t>
  </si>
  <si>
    <t>123:12:46.96 W</t>
  </si>
  <si>
    <t>123:12:48.58 W</t>
  </si>
  <si>
    <t>046:53:51.08 N</t>
  </si>
  <si>
    <t>123:12:50.12 W</t>
  </si>
  <si>
    <t>123:12:52.13 W</t>
  </si>
  <si>
    <t>046:53:52.24 N</t>
  </si>
  <si>
    <t>123:12:54.22 W</t>
  </si>
  <si>
    <t>123:12:55.99 W</t>
  </si>
  <si>
    <t>046:53:53.25 N</t>
  </si>
  <si>
    <t>123:12:57.62 W</t>
  </si>
  <si>
    <t>046:53:53.87 N</t>
  </si>
  <si>
    <t>123:12:59.08 W</t>
  </si>
  <si>
    <t>046:53:54.41 N</t>
  </si>
  <si>
    <t>123:13:00.78 W</t>
  </si>
  <si>
    <t>046:53:55.10 N</t>
  </si>
  <si>
    <t>123:13:02.79 W</t>
  </si>
  <si>
    <t>046:53:55.72 N</t>
  </si>
  <si>
    <t>123:13:04.49 W</t>
  </si>
  <si>
    <t>123:13:06.34 W</t>
  </si>
  <si>
    <t>046:53:57.19 N</t>
  </si>
  <si>
    <t>123:13:08.20 W</t>
  </si>
  <si>
    <t>046:53:57.80 N</t>
  </si>
  <si>
    <t>123:13:10.21 W</t>
  </si>
  <si>
    <t>046:53:58.58 N</t>
  </si>
  <si>
    <t>123:13:11.67 W</t>
  </si>
  <si>
    <t>046:53:59.12 N</t>
  </si>
  <si>
    <t>123:13:13.22 W</t>
  </si>
  <si>
    <t>046:53:59.81 N</t>
  </si>
  <si>
    <t>123:13:14.92 W</t>
  </si>
  <si>
    <t>046:54:00.43 N</t>
  </si>
  <si>
    <t>123:13:16.77 W</t>
  </si>
  <si>
    <t>046:54:01.13 N</t>
  </si>
  <si>
    <t>123:13:18.32 W</t>
  </si>
  <si>
    <t>123:13:20.09 W</t>
  </si>
  <si>
    <t>046:54:02.59 N</t>
  </si>
  <si>
    <t>123:13:21.79 W</t>
  </si>
  <si>
    <t>046:54:03.29 N</t>
  </si>
  <si>
    <t>123:13:23.34 W</t>
  </si>
  <si>
    <t>046:54:03.91 N</t>
  </si>
  <si>
    <t>123:13:25.04 W</t>
  </si>
  <si>
    <t>046:54:04.60 N</t>
  </si>
  <si>
    <t>123:13:26.35 W</t>
  </si>
  <si>
    <t>046:54:05.45 N</t>
  </si>
  <si>
    <t>123:13:27.97 W</t>
  </si>
  <si>
    <t>046:54:06.15 N</t>
  </si>
  <si>
    <t>123:13:29.67 W</t>
  </si>
  <si>
    <t>046:54:07.00 N</t>
  </si>
  <si>
    <t>123:13:31.45 W</t>
  </si>
  <si>
    <t>046:54:07.46 N</t>
  </si>
  <si>
    <t>123:13:33.00 W</t>
  </si>
  <si>
    <t>046:54:08.23 N</t>
  </si>
  <si>
    <t>123:13:34.69 W</t>
  </si>
  <si>
    <t>046:54:08.85 N</t>
  </si>
  <si>
    <t>123:13:36.16 W</t>
  </si>
  <si>
    <t>046:54:09.55 N</t>
  </si>
  <si>
    <t>123:13:38.09 W</t>
  </si>
  <si>
    <t>046:54:10.32 N</t>
  </si>
  <si>
    <t>123:13:39.56 W</t>
  </si>
  <si>
    <t>046:54:11.01 N</t>
  </si>
  <si>
    <t>123:13:41.57 W</t>
  </si>
  <si>
    <t>046:54:11.86 N</t>
  </si>
  <si>
    <t>123:13:43.35 W</t>
  </si>
  <si>
    <t>046:54:12.33 N</t>
  </si>
  <si>
    <t>123:13:44.58 W</t>
  </si>
  <si>
    <t>046:54:13.18 N</t>
  </si>
  <si>
    <t>123:13:46.28 W</t>
  </si>
  <si>
    <t>046:54:13.87 N</t>
  </si>
  <si>
    <t>123:13:47.90 W</t>
  </si>
  <si>
    <t>046:54:14.34 N</t>
  </si>
  <si>
    <t>123:13:49.45 W</t>
  </si>
  <si>
    <t>046:54:15.11 N</t>
  </si>
  <si>
    <t>123:13:51.23 W</t>
  </si>
  <si>
    <t>046:54:15.88 N</t>
  </si>
  <si>
    <t>123:13:52.77 W</t>
  </si>
  <si>
    <t>046:54:16.50 N</t>
  </si>
  <si>
    <t>123:13:54.24 W</t>
  </si>
  <si>
    <t>046:54:17.27 N</t>
  </si>
  <si>
    <t>123:13:55.94 W</t>
  </si>
  <si>
    <t>046:54:18.04 N</t>
  </si>
  <si>
    <t>123:13:57.33 W</t>
  </si>
  <si>
    <t>046:54:18.51 N</t>
  </si>
  <si>
    <t>123:13:58.56 W</t>
  </si>
  <si>
    <t>046:54:19.43 N</t>
  </si>
  <si>
    <t>123:14:00.34 W</t>
  </si>
  <si>
    <t>046:54:20.05 N</t>
  </si>
  <si>
    <t>123:14:01.89 W</t>
  </si>
  <si>
    <t>046:54:20.90 N</t>
  </si>
  <si>
    <t>123:14:03.43 W</t>
  </si>
  <si>
    <t>046:54:21.75 N</t>
  </si>
  <si>
    <t>123:14:05.28 W</t>
  </si>
  <si>
    <t>046:54:22.37 N</t>
  </si>
  <si>
    <t>123:14:07.06 W</t>
  </si>
  <si>
    <t>046:54:23.06 N</t>
  </si>
  <si>
    <t>123:14:08.53 W</t>
  </si>
  <si>
    <t>046:54:23.61 N</t>
  </si>
  <si>
    <t>123:14:10.23 W</t>
  </si>
  <si>
    <t>046:54:24.38 N</t>
  </si>
  <si>
    <t>123:14:12.24 W</t>
  </si>
  <si>
    <t>046:54:25.00 N</t>
  </si>
  <si>
    <t>123:14:14.25 W</t>
  </si>
  <si>
    <t>046:54:25.61 N</t>
  </si>
  <si>
    <t>123:14:16.10 W</t>
  </si>
  <si>
    <t>046:54:26.08 N</t>
  </si>
  <si>
    <t>123:14:17.57 W</t>
  </si>
  <si>
    <t>046:54:26.85 N</t>
  </si>
  <si>
    <t>123:14:19.42 W</t>
  </si>
  <si>
    <t>046:54:27.39 N</t>
  </si>
  <si>
    <t>123:14:21.12 W</t>
  </si>
  <si>
    <t>046:54:28.01 N</t>
  </si>
  <si>
    <t>123:14:23.13 W</t>
  </si>
  <si>
    <t>046:54:28.63 N</t>
  </si>
  <si>
    <t>123:14:24.67 W</t>
  </si>
  <si>
    <t>046:54:29.32 N</t>
  </si>
  <si>
    <t>123:14:26.30 W</t>
  </si>
  <si>
    <t>046:54:29.94 N</t>
  </si>
  <si>
    <t>123:14:28.23 W</t>
  </si>
  <si>
    <t>046:54:30.64 N</t>
  </si>
  <si>
    <t>123:14:30.00 W</t>
  </si>
  <si>
    <t>046:54:31.25 N</t>
  </si>
  <si>
    <t>123:14:31.78 W</t>
  </si>
  <si>
    <t>046:54:32.10 N</t>
  </si>
  <si>
    <t>123:14:33.79 W</t>
  </si>
  <si>
    <t>046:54:32.95 N</t>
  </si>
  <si>
    <t>123:14:35.26 W</t>
  </si>
  <si>
    <t>046:54:33.65 N</t>
  </si>
  <si>
    <t>123:14:36.88 W</t>
  </si>
  <si>
    <t>046:54:34.42 N</t>
  </si>
  <si>
    <t>123:14:38.42 W</t>
  </si>
  <si>
    <t>046:54:35.12 N</t>
  </si>
  <si>
    <t>123:14:39.89 W</t>
  </si>
  <si>
    <t>046:54:35.73 N</t>
  </si>
  <si>
    <t>123:14:41.44 W</t>
  </si>
  <si>
    <t>046:54:36.51 N</t>
  </si>
  <si>
    <t>123:14:42.98 W</t>
  </si>
  <si>
    <t>046:54:37.12 N</t>
  </si>
  <si>
    <t>123:14:44.45 W</t>
  </si>
  <si>
    <t>046:54:37.97 N</t>
  </si>
  <si>
    <t>123:14:45.99 W</t>
  </si>
  <si>
    <t>123:14:47.62 W</t>
  </si>
  <si>
    <t>046:54:39.52 N</t>
  </si>
  <si>
    <t>123:14:49.32 W</t>
  </si>
  <si>
    <t>046:54:40.21 N</t>
  </si>
  <si>
    <t>123:14:50.78 W</t>
  </si>
  <si>
    <t>046:54:40.83 N</t>
  </si>
  <si>
    <t>123:14:52.33 W</t>
  </si>
  <si>
    <t>046:54:41.53 N</t>
  </si>
  <si>
    <t>123:14:53.56 W</t>
  </si>
  <si>
    <t>046:54:42.30 N</t>
  </si>
  <si>
    <t>123:14:55.26 W</t>
  </si>
  <si>
    <t>046:54:43.15 N</t>
  </si>
  <si>
    <t>123:14:56.96 W</t>
  </si>
  <si>
    <t>123:14:58.20 W</t>
  </si>
  <si>
    <t>046:54:44.54 N</t>
  </si>
  <si>
    <t>123:14:59.67 W</t>
  </si>
  <si>
    <t>123:15:00.67 W</t>
  </si>
  <si>
    <t>046:54:45.70 N</t>
  </si>
  <si>
    <t>123:15:02.22 W</t>
  </si>
  <si>
    <t>046:54:46.47 N</t>
  </si>
  <si>
    <t>123:15:03.92 W</t>
  </si>
  <si>
    <t>046:54:47.17 N</t>
  </si>
  <si>
    <t>123:15:05.23 W</t>
  </si>
  <si>
    <t>046:54:47.94 N</t>
  </si>
  <si>
    <t>123:15:06.85 W</t>
  </si>
  <si>
    <t>046:54:48.56 N</t>
  </si>
  <si>
    <t>123:15:08.32 W</t>
  </si>
  <si>
    <t>046:54:49.25 N</t>
  </si>
  <si>
    <t>123:15:09.86 W</t>
  </si>
  <si>
    <t>046:54:50.02 N</t>
  </si>
  <si>
    <t>123:15:11.33 W</t>
  </si>
  <si>
    <t>123:15:13.11 W</t>
  </si>
  <si>
    <t>046:54:51.41 N</t>
  </si>
  <si>
    <t>123:15:14.50 W</t>
  </si>
  <si>
    <t>046:54:52.03 N</t>
  </si>
  <si>
    <t>123:15:15.73 W</t>
  </si>
  <si>
    <t>046:54:52.73 N</t>
  </si>
  <si>
    <t>123:15:17.20 W</t>
  </si>
  <si>
    <t>046:54:53.50 N</t>
  </si>
  <si>
    <t>123:15:18.75 W</t>
  </si>
  <si>
    <t>046:54:54.27 N</t>
  </si>
  <si>
    <t>123:15:20.21 W</t>
  </si>
  <si>
    <t>046:54:55.28 N</t>
  </si>
  <si>
    <t>123:15:21.99 W</t>
  </si>
  <si>
    <t>046:54:55.90 N</t>
  </si>
  <si>
    <t>123:15:23.23 W</t>
  </si>
  <si>
    <t>046:54:56.74 N</t>
  </si>
  <si>
    <t>123:15:24.77 W</t>
  </si>
  <si>
    <t>046:54:57.44 N</t>
  </si>
  <si>
    <t>123:15:26.01 W</t>
  </si>
  <si>
    <t>046:54:58.29 N</t>
  </si>
  <si>
    <t>123:15:27.40 W</t>
  </si>
  <si>
    <t>046:54:59.14 N</t>
  </si>
  <si>
    <t>123:15:28.87 W</t>
  </si>
  <si>
    <t>046:55:00.07 N</t>
  </si>
  <si>
    <t>123:15:30.33 W</t>
  </si>
  <si>
    <t>046:55:00.92 N</t>
  </si>
  <si>
    <t>123:15:31.80 W</t>
  </si>
  <si>
    <t>123:15:33.12 W</t>
  </si>
  <si>
    <t>046:55:02.46 N</t>
  </si>
  <si>
    <t>123:15:34.58 W</t>
  </si>
  <si>
    <t>046:55:03.08 N</t>
  </si>
  <si>
    <t>123:15:36.05 W</t>
  </si>
  <si>
    <t>046:55:03.93 N</t>
  </si>
  <si>
    <t>123:15:37.21 W</t>
  </si>
  <si>
    <t>123:15:38.75 W</t>
  </si>
  <si>
    <t>046:55:05.47 N</t>
  </si>
  <si>
    <t>123:15:39.99 W</t>
  </si>
  <si>
    <t>046:55:06.40 N</t>
  </si>
  <si>
    <t>123:15:41.46 W</t>
  </si>
  <si>
    <t>046:55:07.25 N</t>
  </si>
  <si>
    <t>123:15:43.23 W</t>
  </si>
  <si>
    <t>123:15:44.78 W</t>
  </si>
  <si>
    <t>046:55:08.72 N</t>
  </si>
  <si>
    <t>123:15:46.17 W</t>
  </si>
  <si>
    <t>046:55:09.72 N</t>
  </si>
  <si>
    <t>123:15:47.87 W</t>
  </si>
  <si>
    <t>123:15:49.11 W</t>
  </si>
  <si>
    <t>046:55:10.96 N</t>
  </si>
  <si>
    <t>123:15:50.65 W</t>
  </si>
  <si>
    <t>046:55:11.81 N</t>
  </si>
  <si>
    <t>123:15:52.35 W</t>
  </si>
  <si>
    <t>123:15:54.05 W</t>
  </si>
  <si>
    <t>046:55:13.35 N</t>
  </si>
  <si>
    <t>123:15:55.67 W</t>
  </si>
  <si>
    <t>046:55:14.05 N</t>
  </si>
  <si>
    <t>123:15:57.22 W</t>
  </si>
  <si>
    <t>046:55:15.05 N</t>
  </si>
  <si>
    <t>123:15:58.76 W</t>
  </si>
  <si>
    <t>046:55:15.75 N</t>
  </si>
  <si>
    <t>123:16:00.23 W</t>
  </si>
  <si>
    <t>046:55:16.37 N</t>
  </si>
  <si>
    <t>123:16:01.77 W</t>
  </si>
  <si>
    <t>123:16:03.09 W</t>
  </si>
  <si>
    <t>046:55:17.91 N</t>
  </si>
  <si>
    <t>123:16:04.71 W</t>
  </si>
  <si>
    <t>046:55:18.76 N</t>
  </si>
  <si>
    <t>123:16:06.72 W</t>
  </si>
  <si>
    <t>046:55:19.53 N</t>
  </si>
  <si>
    <t>123:16:07.88 W</t>
  </si>
  <si>
    <t>046:55:20.38 N</t>
  </si>
  <si>
    <t>123:16:09.65 W</t>
  </si>
  <si>
    <t>046:55:21.08 N</t>
  </si>
  <si>
    <t>123:16:10.89 W</t>
  </si>
  <si>
    <t>046:55:21.85 N</t>
  </si>
  <si>
    <t>123:16:12.59 W</t>
  </si>
  <si>
    <t>123:16:13.98 W</t>
  </si>
  <si>
    <t>046:55:23.40 N</t>
  </si>
  <si>
    <t>123:16:15.45 W</t>
  </si>
  <si>
    <t>046:55:24.01 N</t>
  </si>
  <si>
    <t>123:16:17.07 W</t>
  </si>
  <si>
    <t>046:55:24.86 N</t>
  </si>
  <si>
    <t>123:16:18.54 W</t>
  </si>
  <si>
    <t>046:55:25.56 N</t>
  </si>
  <si>
    <t>123:16:20.31 W</t>
  </si>
  <si>
    <t>046:55:26.33 N</t>
  </si>
  <si>
    <t>123:16:21.78 W</t>
  </si>
  <si>
    <t>046:55:27.10 N</t>
  </si>
  <si>
    <t>123:16:23.33 W</t>
  </si>
  <si>
    <t>046:55:27.80 N</t>
  </si>
  <si>
    <t>123:16:24.95 W</t>
  </si>
  <si>
    <t>046:55:28.49 N</t>
  </si>
  <si>
    <t>123:16:26.18 W</t>
  </si>
  <si>
    <t>046:55:29.27 N</t>
  </si>
  <si>
    <t>123:16:27.65 W</t>
  </si>
  <si>
    <t>046:55:29.96 N</t>
  </si>
  <si>
    <t>123:16:29.20 W</t>
  </si>
  <si>
    <t>123:16:30.66 W</t>
  </si>
  <si>
    <t>046:55:31.43 N</t>
  </si>
  <si>
    <t>123:16:32.36 W</t>
  </si>
  <si>
    <t>046:55:32.12 N</t>
  </si>
  <si>
    <t>123:16:33.91 W</t>
  </si>
  <si>
    <t>046:55:32.82 N</t>
  </si>
  <si>
    <t>123:16:35.53 W</t>
  </si>
  <si>
    <t>046:55:33.59 N</t>
  </si>
  <si>
    <t>123:16:37.08 W</t>
  </si>
  <si>
    <t>046:55:34.13 N</t>
  </si>
  <si>
    <t>123:16:38.54 W</t>
  </si>
  <si>
    <t>046:55:34.83 N</t>
  </si>
  <si>
    <t>123:16:39.86 W</t>
  </si>
  <si>
    <t>046:55:35.52 N</t>
  </si>
  <si>
    <t>123:16:41.56 W</t>
  </si>
  <si>
    <t>046:55:36.22 N</t>
  </si>
  <si>
    <t>123:16:43.26 W</t>
  </si>
  <si>
    <t>046:55:36.84 N</t>
  </si>
  <si>
    <t>123:16:44.65 W</t>
  </si>
  <si>
    <t>046:55:37.53 N</t>
  </si>
  <si>
    <t>123:16:46.27 W</t>
  </si>
  <si>
    <t>046:55:38.38 N</t>
  </si>
  <si>
    <t>123:16:47.97 W</t>
  </si>
  <si>
    <t>046:55:38.84 N</t>
  </si>
  <si>
    <t>123:16:49.20 W</t>
  </si>
  <si>
    <t>046:55:39.62 N</t>
  </si>
  <si>
    <t>123:16:50.75 W</t>
  </si>
  <si>
    <t>046:55:40.16 N</t>
  </si>
  <si>
    <t>123:16:52.14 W</t>
  </si>
  <si>
    <t>046:55:40.85 N</t>
  </si>
  <si>
    <t>123:16:53.38 W</t>
  </si>
  <si>
    <t>046:55:41.63 N</t>
  </si>
  <si>
    <t>123:16:55.15 W</t>
  </si>
  <si>
    <t>046:55:42.32 N</t>
  </si>
  <si>
    <t>123:16:56.77 W</t>
  </si>
  <si>
    <t>046:55:43.17 N</t>
  </si>
  <si>
    <t>123:16:58.32 W</t>
  </si>
  <si>
    <t>046:55:43.71 N</t>
  </si>
  <si>
    <t>123:16:59.63 W</t>
  </si>
  <si>
    <t>046:55:44.48 N</t>
  </si>
  <si>
    <t>123:17:01.10 W</t>
  </si>
  <si>
    <t>123:17:02.65 W</t>
  </si>
  <si>
    <t>046:55:45.80 N</t>
  </si>
  <si>
    <t>123:17:04.04 W</t>
  </si>
  <si>
    <t>046:55:46.34 N</t>
  </si>
  <si>
    <t>123:17:05.43 W</t>
  </si>
  <si>
    <t>046:55:47.19 N</t>
  </si>
  <si>
    <t>123:17:07.20 W</t>
  </si>
  <si>
    <t>046:55:47.88 N</t>
  </si>
  <si>
    <t>123:17:08.75 W</t>
  </si>
  <si>
    <t>046:55:48.58 N</t>
  </si>
  <si>
    <t>123:17:10.22 W</t>
  </si>
  <si>
    <t>046:55:49.27 N</t>
  </si>
  <si>
    <t>123:17:11.68 W</t>
  </si>
  <si>
    <t>046:55:49.89 N</t>
  </si>
  <si>
    <t>123:17:13.15 W</t>
  </si>
  <si>
    <t>046:55:50.51 N</t>
  </si>
  <si>
    <t>123:17:14.54 W</t>
  </si>
  <si>
    <t>123:17:16.32 W</t>
  </si>
  <si>
    <t>046:55:52.05 N</t>
  </si>
  <si>
    <t>123:17:17.86 W</t>
  </si>
  <si>
    <t>123:17:19.10 W</t>
  </si>
  <si>
    <t>046:55:53.37 N</t>
  </si>
  <si>
    <t>123:17:20.88 W</t>
  </si>
  <si>
    <t>046:55:54.06 N</t>
  </si>
  <si>
    <t>123:17:22.42 W</t>
  </si>
  <si>
    <t>123:17:24.20 W</t>
  </si>
  <si>
    <t>046:55:55.61 N</t>
  </si>
  <si>
    <t>123:17:25.74 W</t>
  </si>
  <si>
    <t>046:55:56.23 N</t>
  </si>
  <si>
    <t>123:17:27.21 W</t>
  </si>
  <si>
    <t>046:55:56.77 N</t>
  </si>
  <si>
    <t>123:17:28.52 W</t>
  </si>
  <si>
    <t>046:55:57.46 N</t>
  </si>
  <si>
    <t>123:17:29.99 W</t>
  </si>
  <si>
    <t>046:55:58.08 N</t>
  </si>
  <si>
    <t>123:17:31.30 W</t>
  </si>
  <si>
    <t>123:17:32.85 W</t>
  </si>
  <si>
    <t>046:55:59.39 N</t>
  </si>
  <si>
    <t>123:17:34.32 W</t>
  </si>
  <si>
    <t>046:56:00.09 N</t>
  </si>
  <si>
    <t>123:17:35.94 W</t>
  </si>
  <si>
    <t>046:56:00.78 N</t>
  </si>
  <si>
    <t>123:17:37.64 W</t>
  </si>
  <si>
    <t>046:56:01.63 N</t>
  </si>
  <si>
    <t>123:17:39.42 W</t>
  </si>
  <si>
    <t>046:56:02.10 N</t>
  </si>
  <si>
    <t>123:17:40.65 W</t>
  </si>
  <si>
    <t>046:56:02.95 N</t>
  </si>
  <si>
    <t>123:17:42.35 W</t>
  </si>
  <si>
    <t>046:56:03.49 N</t>
  </si>
  <si>
    <t>123:17:43.97 W</t>
  </si>
  <si>
    <t>046:56:04.26 N</t>
  </si>
  <si>
    <t>123:17:45.59 W</t>
  </si>
  <si>
    <t>046:56:04.88 N</t>
  </si>
  <si>
    <t>123:17:47.06 W</t>
  </si>
  <si>
    <t>046:56:05.57 N</t>
  </si>
  <si>
    <t>123:17:48.53 W</t>
  </si>
  <si>
    <t>046:56:06.11 N</t>
  </si>
  <si>
    <t>123:17:50.08 W</t>
  </si>
  <si>
    <t>046:56:06.89 N</t>
  </si>
  <si>
    <t>123:17:51.47 W</t>
  </si>
  <si>
    <t>046:56:07.50 N</t>
  </si>
  <si>
    <t>123:17:53.09 W</t>
  </si>
  <si>
    <t>046:56:08.04 N</t>
  </si>
  <si>
    <t>123:17:54.71 W</t>
  </si>
  <si>
    <t>046:56:08.66 N</t>
  </si>
  <si>
    <t>123:17:56.10 W</t>
  </si>
  <si>
    <t>046:56:09.36 N</t>
  </si>
  <si>
    <t>123:17:57.95 W</t>
  </si>
  <si>
    <t>046:56:09.98 N</t>
  </si>
  <si>
    <t>123:17:59.42 W</t>
  </si>
  <si>
    <t>046:56:10.67 N</t>
  </si>
  <si>
    <t>123:18:00.89 W</t>
  </si>
  <si>
    <t>046:56:11.29 N</t>
  </si>
  <si>
    <t>123:18:02.59 W</t>
  </si>
  <si>
    <t>046:56:11.83 N</t>
  </si>
  <si>
    <t>123:18:04.13 W</t>
  </si>
  <si>
    <t>046:56:12.52 N</t>
  </si>
  <si>
    <t>123:18:05.29 W</t>
  </si>
  <si>
    <t>123:18:07.07 W</t>
  </si>
  <si>
    <t>046:56:13.76 N</t>
  </si>
  <si>
    <t>123:18:08.77 W</t>
  </si>
  <si>
    <t>046:56:14.30 N</t>
  </si>
  <si>
    <t>123:18:10.01 W</t>
  </si>
  <si>
    <t>046:56:15.00 N</t>
  </si>
  <si>
    <t>123:18:11.63 W</t>
  </si>
  <si>
    <t>046:56:15.85 N</t>
  </si>
  <si>
    <t>123:18:13.10 W</t>
  </si>
  <si>
    <t>046:56:16.46 N</t>
  </si>
  <si>
    <t>123:18:14.72 W</t>
  </si>
  <si>
    <t>046:56:17.16 N</t>
  </si>
  <si>
    <t>123:18:16.42 W</t>
  </si>
  <si>
    <t>046:56:17.70 N</t>
  </si>
  <si>
    <t>123:18:17.65 W</t>
  </si>
  <si>
    <t>046:56:18.40 N</t>
  </si>
  <si>
    <t>123:18:19.20 W</t>
  </si>
  <si>
    <t>046:56:19.01 N</t>
  </si>
  <si>
    <t>123:18:20.74 W</t>
  </si>
  <si>
    <t>046:56:19.71 N</t>
  </si>
  <si>
    <t>123:18:22.13 W</t>
  </si>
  <si>
    <t>046:56:20.40 N</t>
  </si>
  <si>
    <t>123:18:23.76 W</t>
  </si>
  <si>
    <t>046:56:21.02 N</t>
  </si>
  <si>
    <t>123:18:25.53 W</t>
  </si>
  <si>
    <t>046:56:21.72 N</t>
  </si>
  <si>
    <t>123:18:27.08 W</t>
  </si>
  <si>
    <t>046:56:22.41 N</t>
  </si>
  <si>
    <t>123:18:28.62 W</t>
  </si>
  <si>
    <t>046:56:22.88 N</t>
  </si>
  <si>
    <t>123:18:30.09 W</t>
  </si>
  <si>
    <t>046:56:23.57 N</t>
  </si>
  <si>
    <t>123:18:31.63 W</t>
  </si>
  <si>
    <t>046:56:24.34 N</t>
  </si>
  <si>
    <t>123:18:33.02 W</t>
  </si>
  <si>
    <t>046:56:24.88 N</t>
  </si>
  <si>
    <t>123:18:34.65 W</t>
  </si>
  <si>
    <t>046:56:25.66 N</t>
  </si>
  <si>
    <t>123:18:36.27 W</t>
  </si>
  <si>
    <t>046:56:26.27 N</t>
  </si>
  <si>
    <t>123:18:37.74 W</t>
  </si>
  <si>
    <t>046:56:26.89 N</t>
  </si>
  <si>
    <t>123:18:39.20 W</t>
  </si>
  <si>
    <t>123:18:40.75 W</t>
  </si>
  <si>
    <t>046:56:28.28 N</t>
  </si>
  <si>
    <t>123:18:42.45 W</t>
  </si>
  <si>
    <t>046:56:28.98 N</t>
  </si>
  <si>
    <t>123:18:44.15 W</t>
  </si>
  <si>
    <t>046:56:29.60 N</t>
  </si>
  <si>
    <t>123:18:45.62 W</t>
  </si>
  <si>
    <t>046:56:30.29 N</t>
  </si>
  <si>
    <t>123:18:47.08 W</t>
  </si>
  <si>
    <t>046:56:30.76 N</t>
  </si>
  <si>
    <t>123:18:48.32 W</t>
  </si>
  <si>
    <t>046:56:31.45 N</t>
  </si>
  <si>
    <t>123:18:49.86 W</t>
  </si>
  <si>
    <t>046:56:32.15 N</t>
  </si>
  <si>
    <t>123:18:51.18 W</t>
  </si>
  <si>
    <t>046:56:32.76 N</t>
  </si>
  <si>
    <t>123:18:52.65 W</t>
  </si>
  <si>
    <t>123:18:54.27 W</t>
  </si>
  <si>
    <t>046:56:34.31 N</t>
  </si>
  <si>
    <t>123:18:55.74 W</t>
  </si>
  <si>
    <t>046:56:35.08 N</t>
  </si>
  <si>
    <t>123:18:57.28 W</t>
  </si>
  <si>
    <t>046:56:35.78 N</t>
  </si>
  <si>
    <t>123:18:58.75 W</t>
  </si>
  <si>
    <t>046:56:36.55 N</t>
  </si>
  <si>
    <t>123:19:00.22 W</t>
  </si>
  <si>
    <t>123:19:01.84 W</t>
  </si>
  <si>
    <t>046:56:37.86 N</t>
  </si>
  <si>
    <t>123:19:02.92 W</t>
  </si>
  <si>
    <t>123:19:04.62 W</t>
  </si>
  <si>
    <t>046:56:39.33 N</t>
  </si>
  <si>
    <t>123:19:06.16 W</t>
  </si>
  <si>
    <t>046:56:40.02 N</t>
  </si>
  <si>
    <t>123:19:07.86 W</t>
  </si>
  <si>
    <t>046:56:40.64 N</t>
  </si>
  <si>
    <t>123:19:09.33 W</t>
  </si>
  <si>
    <t>123:19:10.64 W</t>
  </si>
  <si>
    <t>046:56:41.96 N</t>
  </si>
  <si>
    <t>123:19:12.58 W</t>
  </si>
  <si>
    <t>046:56:42.50 N</t>
  </si>
  <si>
    <t>123:19:13.97 W</t>
  </si>
  <si>
    <t>046:56:43.11 N</t>
  </si>
  <si>
    <t>123:19:15.51 W</t>
  </si>
  <si>
    <t>046:56:43.81 N</t>
  </si>
  <si>
    <t>123:19:16.98 W</t>
  </si>
  <si>
    <t>046:56:44.51 N</t>
  </si>
  <si>
    <t>123:19:18.76 W</t>
  </si>
  <si>
    <t>046:56:45.05 N</t>
  </si>
  <si>
    <t>123:19:20.30 W</t>
  </si>
  <si>
    <t>046:56:45.59 N</t>
  </si>
  <si>
    <t>123:19:21.69 W</t>
  </si>
  <si>
    <t>046:56:46.13 N</t>
  </si>
  <si>
    <t>123:19:22.93 W</t>
  </si>
  <si>
    <t>046:56:46.67 N</t>
  </si>
  <si>
    <t>123:19:24.63 W</t>
  </si>
  <si>
    <t>046:56:47.36 N</t>
  </si>
  <si>
    <t>123:19:26.40 W</t>
  </si>
  <si>
    <t>046:56:48.06 N</t>
  </si>
  <si>
    <t>123:19:28.18 W</t>
  </si>
  <si>
    <t>046:56:48.75 N</t>
  </si>
  <si>
    <t>123:19:29.88 W</t>
  </si>
  <si>
    <t>046:56:49.22 N</t>
  </si>
  <si>
    <t>123:19:31.50 W</t>
  </si>
  <si>
    <t>046:56:49.68 N</t>
  </si>
  <si>
    <t>123:19:33.12 W</t>
  </si>
  <si>
    <t>046:56:50.38 N</t>
  </si>
  <si>
    <t>123:19:34.82 W</t>
  </si>
  <si>
    <t>046:56:50.84 N</t>
  </si>
  <si>
    <t>123:19:36.29 W</t>
  </si>
  <si>
    <t>046:56:51.38 N</t>
  </si>
  <si>
    <t>123:19:37.84 W</t>
  </si>
  <si>
    <t>046:56:51.84 N</t>
  </si>
  <si>
    <t>123:19:39.30 W</t>
  </si>
  <si>
    <t>046:56:52.38 N</t>
  </si>
  <si>
    <t>123:19:41.08 W</t>
  </si>
  <si>
    <t>046:56:53.00 N</t>
  </si>
  <si>
    <t>123:19:42.70 W</t>
  </si>
  <si>
    <t>046:56:53.54 N</t>
  </si>
  <si>
    <t>123:19:44.17 W</t>
  </si>
  <si>
    <t>046:56:54.01 N</t>
  </si>
  <si>
    <t>123:19:45.48 W</t>
  </si>
  <si>
    <t>046:56:54.70 N</t>
  </si>
  <si>
    <t>123:19:47.41 W</t>
  </si>
  <si>
    <t>046:56:55.24 N</t>
  </si>
  <si>
    <t>123:19:48.96 W</t>
  </si>
  <si>
    <t>046:56:55.78 N</t>
  </si>
  <si>
    <t>123:19:50.66 W</t>
  </si>
  <si>
    <t>046:56:56.32 N</t>
  </si>
  <si>
    <t>123:19:52.13 W</t>
  </si>
  <si>
    <t>046:56:56.79 N</t>
  </si>
  <si>
    <t>123:19:53.36 W</t>
  </si>
  <si>
    <t>046:56:57.41 N</t>
  </si>
  <si>
    <t>123:19:54.75 W</t>
  </si>
  <si>
    <t>046:56:58.10 N</t>
  </si>
  <si>
    <t>123:19:56.53 W</t>
  </si>
  <si>
    <t>046:56:58.64 N</t>
  </si>
  <si>
    <t>123:19:58.31 W</t>
  </si>
  <si>
    <t>046:56:59.26 N</t>
  </si>
  <si>
    <t>123:20:00.08 W</t>
  </si>
  <si>
    <t>046:56:59.80 N</t>
  </si>
  <si>
    <t>123:20:01.55 W</t>
  </si>
  <si>
    <t>046:57:00.26 N</t>
  </si>
  <si>
    <t>123:20:03.17 W</t>
  </si>
  <si>
    <t>046:57:00.96 N</t>
  </si>
  <si>
    <t>123:20:04.49 W</t>
  </si>
  <si>
    <t>046:57:01.42 N</t>
  </si>
  <si>
    <t>123:20:06.42 W</t>
  </si>
  <si>
    <t>046:57:02.04 N</t>
  </si>
  <si>
    <t>123:20:07.96 W</t>
  </si>
  <si>
    <t>046:57:02.58 N</t>
  </si>
  <si>
    <t>123:20:09.51 W</t>
  </si>
  <si>
    <t>046:57:03.28 N</t>
  </si>
  <si>
    <t>123:20:11.05 W</t>
  </si>
  <si>
    <t>046:57:03.97 N</t>
  </si>
  <si>
    <t>123:20:12.75 W</t>
  </si>
  <si>
    <t>046:57:04.51 N</t>
  </si>
  <si>
    <t>123:20:14.61 W</t>
  </si>
  <si>
    <t>046:57:05.05 N</t>
  </si>
  <si>
    <t>123:20:15.84 W</t>
  </si>
  <si>
    <t>046:57:05.59 N</t>
  </si>
  <si>
    <t>123:20:17.39 W</t>
  </si>
  <si>
    <t>046:57:06.21 N</t>
  </si>
  <si>
    <t>123:20:18.85 W</t>
  </si>
  <si>
    <t>046:57:06.83 N</t>
  </si>
  <si>
    <t>123:20:20.63 W</t>
  </si>
  <si>
    <t>046:57:07.45 N</t>
  </si>
  <si>
    <t>123:20:22.41 W</t>
  </si>
  <si>
    <t>046:57:08.30 N</t>
  </si>
  <si>
    <t>123:20:24.42 W</t>
  </si>
  <si>
    <t>046:57:08.84 N</t>
  </si>
  <si>
    <t>123:20:25.96 W</t>
  </si>
  <si>
    <t>046:57:09.46 N</t>
  </si>
  <si>
    <t>123:20:27.74 W</t>
  </si>
  <si>
    <t>046:57:10.15 N</t>
  </si>
  <si>
    <t>123:20:29.51 W</t>
  </si>
  <si>
    <t>046:57:10.69 N</t>
  </si>
  <si>
    <t>123:20:31.06 W</t>
  </si>
  <si>
    <t>046:57:11.31 N</t>
  </si>
  <si>
    <t>123:20:32.68 W</t>
  </si>
  <si>
    <t>046:57:11.93 N</t>
  </si>
  <si>
    <t>123:20:34.61 W</t>
  </si>
  <si>
    <t>046:57:12.47 N</t>
  </si>
  <si>
    <t>123:20:36.16 W</t>
  </si>
  <si>
    <t>046:57:13.01 N</t>
  </si>
  <si>
    <t>123:20:37.63 W</t>
  </si>
  <si>
    <t>046:57:13.63 N</t>
  </si>
  <si>
    <t>123:20:39.09 W</t>
  </si>
  <si>
    <t>046:57:14.25 N</t>
  </si>
  <si>
    <t>123:20:41.10 W</t>
  </si>
  <si>
    <t>046:57:14.94 N</t>
  </si>
  <si>
    <t>123:20:42.57 W</t>
  </si>
  <si>
    <t>046:57:15.48 N</t>
  </si>
  <si>
    <t>123:20:44.19 W</t>
  </si>
  <si>
    <t>123:20:45.50 W</t>
  </si>
  <si>
    <t>046:57:16.72 N</t>
  </si>
  <si>
    <t>123:20:47.28 W</t>
  </si>
  <si>
    <t>046:57:17.41 N</t>
  </si>
  <si>
    <t>123:20:49.21 W</t>
  </si>
  <si>
    <t>046:57:18.03 N</t>
  </si>
  <si>
    <t>123:20:50.83 W</t>
  </si>
  <si>
    <t>046:57:18.73 N</t>
  </si>
  <si>
    <t>123:20:52.61 W</t>
  </si>
  <si>
    <t>046:57:19.34 N</t>
  </si>
  <si>
    <t>123:20:54.39 W</t>
  </si>
  <si>
    <t>046:57:19.88 N</t>
  </si>
  <si>
    <t>123:20:55.62 W</t>
  </si>
  <si>
    <t>046:57:20.50 N</t>
  </si>
  <si>
    <t>123:20:57.40 W</t>
  </si>
  <si>
    <t>046:57:21.04 N</t>
  </si>
  <si>
    <t>123:20:58.71 W</t>
  </si>
  <si>
    <t>046:57:21.58 N</t>
  </si>
  <si>
    <t>123:21:00.18 W</t>
  </si>
  <si>
    <t>046:57:22.20 N</t>
  </si>
  <si>
    <t>123:21:01.80 W</t>
  </si>
  <si>
    <t>046:57:22.74 N</t>
  </si>
  <si>
    <t>123:21:03.50 W</t>
  </si>
  <si>
    <t>046:57:23.36 N</t>
  </si>
  <si>
    <t>123:21:05.05 W</t>
  </si>
  <si>
    <t>046:57:23.98 N</t>
  </si>
  <si>
    <t>123:21:06.52 W</t>
  </si>
  <si>
    <t>046:57:24.60 N</t>
  </si>
  <si>
    <t>123:21:08.06 W</t>
  </si>
  <si>
    <t>046:57:25.21 N</t>
  </si>
  <si>
    <t>123:21:10.07 W</t>
  </si>
  <si>
    <t>046:57:25.91 N</t>
  </si>
  <si>
    <t>123:21:11.85 W</t>
  </si>
  <si>
    <t>046:57:26.45 N</t>
  </si>
  <si>
    <t>123:21:13.70 W</t>
  </si>
  <si>
    <t>123:21:15.40 W</t>
  </si>
  <si>
    <t>046:57:27.76 N</t>
  </si>
  <si>
    <t>123:21:17.18 W</t>
  </si>
  <si>
    <t>046:57:28.23 N</t>
  </si>
  <si>
    <t>123:21:18.72 W</t>
  </si>
  <si>
    <t>046:57:28.77 N</t>
  </si>
  <si>
    <t>123:21:20.27 W</t>
  </si>
  <si>
    <t>046:57:29.46 N</t>
  </si>
  <si>
    <t>123:21:21.58 W</t>
  </si>
  <si>
    <t>046:57:29.93 N</t>
  </si>
  <si>
    <t>123:21:23.28 W</t>
  </si>
  <si>
    <t>046:57:30.47 N</t>
  </si>
  <si>
    <t>123:21:24.82 W</t>
  </si>
  <si>
    <t>046:57:31.09 N</t>
  </si>
  <si>
    <t>123:21:26.29 W</t>
  </si>
  <si>
    <t>123:21:28.07 W</t>
  </si>
  <si>
    <t>046:57:32.40 N</t>
  </si>
  <si>
    <t>123:21:29.54 W</t>
  </si>
  <si>
    <t>046:57:32.94 N</t>
  </si>
  <si>
    <t>123:21:31.39 W</t>
  </si>
  <si>
    <t>046:57:33.63 N</t>
  </si>
  <si>
    <t>123:21:33.17 W</t>
  </si>
  <si>
    <t>046:57:34.41 N</t>
  </si>
  <si>
    <t>123:21:34.71 W</t>
  </si>
  <si>
    <t>046:57:34.95 N</t>
  </si>
  <si>
    <t>123:21:36.18 W</t>
  </si>
  <si>
    <t>123:21:37.96 W</t>
  </si>
  <si>
    <t>046:57:36.11 N</t>
  </si>
  <si>
    <t>123:21:39.50 W</t>
  </si>
  <si>
    <t>046:57:36.88 N</t>
  </si>
  <si>
    <t>123:21:41.12 W</t>
  </si>
  <si>
    <t>046:57:37.50 N</t>
  </si>
  <si>
    <t>123:21:42.90 W</t>
  </si>
  <si>
    <t>046:57:38.12 N</t>
  </si>
  <si>
    <t>123:21:44.60 W</t>
  </si>
  <si>
    <t>123:21:45.83 W</t>
  </si>
  <si>
    <t>046:57:39.27 N</t>
  </si>
  <si>
    <t>123:21:47.61 W</t>
  </si>
  <si>
    <t>123:21:48.85 W</t>
  </si>
  <si>
    <t>046:57:40.66 N</t>
  </si>
  <si>
    <t>123:21:50.62 W</t>
  </si>
  <si>
    <t>046:57:41.44 N</t>
  </si>
  <si>
    <t>123:21:52.48 W</t>
  </si>
  <si>
    <t>046:57:41.98 N</t>
  </si>
  <si>
    <t>123:21:53.95 W</t>
  </si>
  <si>
    <t>046:57:42.60 N</t>
  </si>
  <si>
    <t>123:21:55.49 W</t>
  </si>
  <si>
    <t>046:57:43.37 N</t>
  </si>
  <si>
    <t>123:21:57.27 W</t>
  </si>
  <si>
    <t>046:57:43.91 N</t>
  </si>
  <si>
    <t>123:21:58.66 W</t>
  </si>
  <si>
    <t>046:57:44.60 N</t>
  </si>
  <si>
    <t>123:22:00.20 W</t>
  </si>
  <si>
    <t>046:57:45.14 N</t>
  </si>
  <si>
    <t>123:22:01.83 W</t>
  </si>
  <si>
    <t>046:57:45.76 N</t>
  </si>
  <si>
    <t>123:22:03.37 W</t>
  </si>
  <si>
    <t>046:57:46.53 N</t>
  </si>
  <si>
    <t>123:22:04.84 W</t>
  </si>
  <si>
    <t>046:57:47.15 N</t>
  </si>
  <si>
    <t>123:22:06.61 W</t>
  </si>
  <si>
    <t>046:57:47.69 N</t>
  </si>
  <si>
    <t>123:22:08.55 W</t>
  </si>
  <si>
    <t>046:57:48.54 N</t>
  </si>
  <si>
    <t>123:22:10.32 W</t>
  </si>
  <si>
    <t>046:57:49.01 N</t>
  </si>
  <si>
    <t>123:22:11.71 W</t>
  </si>
  <si>
    <t>046:57:49.70 N</t>
  </si>
  <si>
    <t>123:22:13.18 W</t>
  </si>
  <si>
    <t>123:22:14.96 W</t>
  </si>
  <si>
    <t>046:57:50.86 N</t>
  </si>
  <si>
    <t>123:22:16.50 W</t>
  </si>
  <si>
    <t>046:57:51.56 N</t>
  </si>
  <si>
    <t>123:22:18.05 W</t>
  </si>
  <si>
    <t>046:57:52.02 N</t>
  </si>
  <si>
    <t>123:22:19.59 W</t>
  </si>
  <si>
    <t>123:22:20.91 W</t>
  </si>
  <si>
    <t>046:57:53.33 N</t>
  </si>
  <si>
    <t>123:22:22.68 W</t>
  </si>
  <si>
    <t>046:57:53.95 N</t>
  </si>
  <si>
    <t>123:22:24.15 W</t>
  </si>
  <si>
    <t>046:57:54.65 N</t>
  </si>
  <si>
    <t>123:22:25.85 W</t>
  </si>
  <si>
    <t>046:57:55.26 N</t>
  </si>
  <si>
    <t>123:22:27.70 W</t>
  </si>
  <si>
    <t>046:57:55.88 N</t>
  </si>
  <si>
    <t>123:22:29.17 W</t>
  </si>
  <si>
    <t>046:57:56.42 N</t>
  </si>
  <si>
    <t>123:22:30.56 W</t>
  </si>
  <si>
    <t>046:57:57.04 N</t>
  </si>
  <si>
    <t>123:22:31.95 W</t>
  </si>
  <si>
    <t>046:57:57.58 N</t>
  </si>
  <si>
    <t>123:22:33.57 W</t>
  </si>
  <si>
    <t>046:57:58.28 N</t>
  </si>
  <si>
    <t>123:22:35.27 W</t>
  </si>
  <si>
    <t>046:57:58.74 N</t>
  </si>
  <si>
    <t>123:22:36.82 W</t>
  </si>
  <si>
    <t>046:57:59.59 N</t>
  </si>
  <si>
    <t>123:22:38.29 W</t>
  </si>
  <si>
    <t>046:58:00.29 N</t>
  </si>
  <si>
    <t>123:22:40.22 W</t>
  </si>
  <si>
    <t>046:58:00.75 N</t>
  </si>
  <si>
    <t>123:22:41.61 W</t>
  </si>
  <si>
    <t>046:58:01.37 N</t>
  </si>
  <si>
    <t>123:22:43.46 W</t>
  </si>
  <si>
    <t>046:58:02.14 N</t>
  </si>
  <si>
    <t>123:22:44.93 W</t>
  </si>
  <si>
    <t>046:58:02.53 N</t>
  </si>
  <si>
    <t>123:22:46.40 W</t>
  </si>
  <si>
    <t>046:58:03.30 N</t>
  </si>
  <si>
    <t>123:22:48.17 W</t>
  </si>
  <si>
    <t>046:58:03.84 N</t>
  </si>
  <si>
    <t>123:22:49.87 W</t>
  </si>
  <si>
    <t>046:58:04.69 N</t>
  </si>
  <si>
    <t>123:22:51.57 W</t>
  </si>
  <si>
    <t>046:58:05.31 N</t>
  </si>
  <si>
    <t>123:22:53.27 W</t>
  </si>
  <si>
    <t>046:58:05.85 N</t>
  </si>
  <si>
    <t>123:22:54.82 W</t>
  </si>
  <si>
    <t>046:58:06.54 N</t>
  </si>
  <si>
    <t>123:22:56.28 W</t>
  </si>
  <si>
    <t>046:58:06.93 N</t>
  </si>
  <si>
    <t>123:22:57.83 W</t>
  </si>
  <si>
    <t>046:58:07.70 N</t>
  </si>
  <si>
    <t>123:22:59.53 W</t>
  </si>
  <si>
    <t>046:58:08.16 N</t>
  </si>
  <si>
    <t>123:23:00.84 W</t>
  </si>
  <si>
    <t>046:58:08.78 N</t>
  </si>
  <si>
    <t>123:23:02.93 W</t>
  </si>
  <si>
    <t>046:58:09.48 N</t>
  </si>
  <si>
    <t>123:23:04.47 W</t>
  </si>
  <si>
    <t>046:58:09.94 N</t>
  </si>
  <si>
    <t>123:23:05.94 W</t>
  </si>
  <si>
    <t>046:58:10.48 N</t>
  </si>
  <si>
    <t>123:23:07.49 W</t>
  </si>
  <si>
    <t>046:58:11.10 N</t>
  </si>
  <si>
    <t>123:23:09.42 W</t>
  </si>
  <si>
    <t>046:58:11.79 N</t>
  </si>
  <si>
    <t>123:23:11.04 W</t>
  </si>
  <si>
    <t>046:58:12.26 N</t>
  </si>
  <si>
    <t>123:23:12.58 W</t>
  </si>
  <si>
    <t>046:58:12.95 N</t>
  </si>
  <si>
    <t>123:23:14.59 W</t>
  </si>
  <si>
    <t>046:58:13.65 N</t>
  </si>
  <si>
    <t>123:23:16.06 W</t>
  </si>
  <si>
    <t>046:58:14.11 N</t>
  </si>
  <si>
    <t>123:23:17.76 W</t>
  </si>
  <si>
    <t>046:58:14.65 N</t>
  </si>
  <si>
    <t>123:23:19.38 W</t>
  </si>
  <si>
    <t>046:58:15.19 N</t>
  </si>
  <si>
    <t>123:23:20.93 W</t>
  </si>
  <si>
    <t>123:23:22.94 W</t>
  </si>
  <si>
    <t>046:58:16.58 N</t>
  </si>
  <si>
    <t>123:23:24.71 W</t>
  </si>
  <si>
    <t>123:23:26.26 W</t>
  </si>
  <si>
    <t>046:58:17.59 N</t>
  </si>
  <si>
    <t>123:23:28.19 W</t>
  </si>
  <si>
    <t>046:58:18.21 N</t>
  </si>
  <si>
    <t>123:23:29.89 W</t>
  </si>
  <si>
    <t>046:58:18.67 N</t>
  </si>
  <si>
    <t>123:23:31.36 W</t>
  </si>
  <si>
    <t>046:58:19.21 N</t>
  </si>
  <si>
    <t>123:23:32.90 W</t>
  </si>
  <si>
    <t>046:58:19.67 N</t>
  </si>
  <si>
    <t>123:23:34.60 W</t>
  </si>
  <si>
    <t>046:58:20.37 N</t>
  </si>
  <si>
    <t>123:23:36.61 W</t>
  </si>
  <si>
    <t>123:23:38.08 W</t>
  </si>
  <si>
    <t>046:58:21.37 N</t>
  </si>
  <si>
    <t>123:23:39.93 W</t>
  </si>
  <si>
    <t>046:58:21.84 N</t>
  </si>
  <si>
    <t>123:23:41.55 W</t>
  </si>
  <si>
    <t>046:58:22.38 N</t>
  </si>
  <si>
    <t>123:23:43.25 W</t>
  </si>
  <si>
    <t>046:58:22.92 N</t>
  </si>
  <si>
    <t>123:23:45.26 W</t>
  </si>
  <si>
    <t>046:58:23.46 N</t>
  </si>
  <si>
    <t>123:23:46.96 W</t>
  </si>
  <si>
    <t>046:58:23.85 N</t>
  </si>
  <si>
    <t>123:23:48.43 W</t>
  </si>
  <si>
    <t>046:58:24.39 N</t>
  </si>
  <si>
    <t>123:23:50.28 W</t>
  </si>
  <si>
    <t>123:23:52.06 W</t>
  </si>
  <si>
    <t>046:58:25.24 N</t>
  </si>
  <si>
    <t>123:23:53.60 W</t>
  </si>
  <si>
    <t>046:58:25.62 N</t>
  </si>
  <si>
    <t>123:23:55.38 W</t>
  </si>
  <si>
    <t>046:58:25.93 N</t>
  </si>
  <si>
    <t>123:23:56.85 W</t>
  </si>
  <si>
    <t>046:58:26.47 N</t>
  </si>
  <si>
    <t>123:23:58.86 W</t>
  </si>
  <si>
    <t>046:58:26.94 N</t>
  </si>
  <si>
    <t>123:24:00.71 W</t>
  </si>
  <si>
    <t>046:58:27.24 N</t>
  </si>
  <si>
    <t>123:24:02.72 W</t>
  </si>
  <si>
    <t>046:58:27.63 N</t>
  </si>
  <si>
    <t>123:24:04.49 W</t>
  </si>
  <si>
    <t>046:58:27.94 N</t>
  </si>
  <si>
    <t>123:24:06.27 W</t>
  </si>
  <si>
    <t>046:58:28.25 N</t>
  </si>
  <si>
    <t>123:24:07.82 W</t>
  </si>
  <si>
    <t>123:24:09.67 W</t>
  </si>
  <si>
    <t>046:58:28.94 N</t>
  </si>
  <si>
    <t>123:24:11.60 W</t>
  </si>
  <si>
    <t>046:58:29.25 N</t>
  </si>
  <si>
    <t>123:24:13.61 W</t>
  </si>
  <si>
    <t>046:58:29.56 N</t>
  </si>
  <si>
    <t>123:24:15.39 W</t>
  </si>
  <si>
    <t>123:24:17.47 W</t>
  </si>
  <si>
    <t>046:58:30.26 N</t>
  </si>
  <si>
    <t>123:24:18.94 W</t>
  </si>
  <si>
    <t>046:58:30.57 N</t>
  </si>
  <si>
    <t>123:24:20.56 W</t>
  </si>
  <si>
    <t>046:58:30.80 N</t>
  </si>
  <si>
    <t>123:24:22.49 W</t>
  </si>
  <si>
    <t>123:24:24.58 W</t>
  </si>
  <si>
    <t>046:58:31.42 N</t>
  </si>
  <si>
    <t>123:24:26.36 W</t>
  </si>
  <si>
    <t>046:58:31.80 N</t>
  </si>
  <si>
    <t>123:24:28.13 W</t>
  </si>
  <si>
    <t>046:58:32.03 N</t>
  </si>
  <si>
    <t>123:24:30.22 W</t>
  </si>
  <si>
    <t>046:58:32.19 N</t>
  </si>
  <si>
    <t>123:24:31.69 W</t>
  </si>
  <si>
    <t>046:58:32.57 N</t>
  </si>
  <si>
    <t>123:24:33.39 W</t>
  </si>
  <si>
    <t>046:58:32.88 N</t>
  </si>
  <si>
    <t>123:24:35.39 W</t>
  </si>
  <si>
    <t>046:58:33.19 N</t>
  </si>
  <si>
    <t>123:24:37.63 W</t>
  </si>
  <si>
    <t>123:24:39.49 W</t>
  </si>
  <si>
    <t>046:58:33.89 N</t>
  </si>
  <si>
    <t>123:24:41.11 W</t>
  </si>
  <si>
    <t>046:58:34.12 N</t>
  </si>
  <si>
    <t>123:24:43.04 W</t>
  </si>
  <si>
    <t>046:58:34.35 N</t>
  </si>
  <si>
    <t>123:24:44.82 W</t>
  </si>
  <si>
    <t>046:58:34.51 N</t>
  </si>
  <si>
    <t>123:24:46.29 W</t>
  </si>
  <si>
    <t>046:58:34.81 N</t>
  </si>
  <si>
    <t>123:24:48.14 W</t>
  </si>
  <si>
    <t>046:58:35.20 N</t>
  </si>
  <si>
    <t>123:24:49.99 W</t>
  </si>
  <si>
    <t>046:58:35.28 N</t>
  </si>
  <si>
    <t>123:24:51.92 W</t>
  </si>
  <si>
    <t>046:58:35.59 N</t>
  </si>
  <si>
    <t>123:24:54.24 W</t>
  </si>
  <si>
    <t>046:58:35.82 N</t>
  </si>
  <si>
    <t>123:24:56.48 W</t>
  </si>
  <si>
    <t>046:58:35.97 N</t>
  </si>
  <si>
    <t>123:24:58.18 W</t>
  </si>
  <si>
    <t>123:24:59.88 W</t>
  </si>
  <si>
    <t>046:58:36.13 N</t>
  </si>
  <si>
    <t>123:25:01.81 W</t>
  </si>
  <si>
    <t>046:58:36.28 N</t>
  </si>
  <si>
    <t>123:25:03.82 W</t>
  </si>
  <si>
    <t>046:58:36.44 N</t>
  </si>
  <si>
    <t>123:25:05.60 W</t>
  </si>
  <si>
    <t>046:58:36.59 N</t>
  </si>
  <si>
    <t>123:25:07.91 W</t>
  </si>
  <si>
    <t>046:58:36.67 N</t>
  </si>
  <si>
    <t>123:25:09.77 W</t>
  </si>
  <si>
    <t>046:58:36.82 N</t>
  </si>
  <si>
    <t>123:25:11.47 W</t>
  </si>
  <si>
    <t>123:25:13.48 W</t>
  </si>
  <si>
    <t>046:58:36.98 N</t>
  </si>
  <si>
    <t>123:25:15.18 W</t>
  </si>
  <si>
    <t>123:25:17.03 W</t>
  </si>
  <si>
    <t>123:25:18.88 W</t>
  </si>
  <si>
    <t>046:58:37.36 N</t>
  </si>
  <si>
    <t>123:25:21.12 W</t>
  </si>
  <si>
    <t>046:58:37.44 N</t>
  </si>
  <si>
    <t>123:25:22.82 W</t>
  </si>
  <si>
    <t>046:58:37.67 N</t>
  </si>
  <si>
    <t>123:25:25.06 W</t>
  </si>
  <si>
    <t>046:58:37.83 N</t>
  </si>
  <si>
    <t>123:25:26.92 W</t>
  </si>
  <si>
    <t>046:58:37.98 N</t>
  </si>
  <si>
    <t>123:25:28.69 W</t>
  </si>
  <si>
    <t>046:58:38.14 N</t>
  </si>
  <si>
    <t>123:25:30.55 W</t>
  </si>
  <si>
    <t>123:25:32.25 W</t>
  </si>
  <si>
    <t>046:58:38.45 N</t>
  </si>
  <si>
    <t>123:25:34.49 W</t>
  </si>
  <si>
    <t>046:58:38.68 N</t>
  </si>
  <si>
    <t>123:25:36.50 W</t>
  </si>
  <si>
    <t>046:58:38.83 N</t>
  </si>
  <si>
    <t>123:25:38.66 W</t>
  </si>
  <si>
    <t>046:58:38.99 N</t>
  </si>
  <si>
    <t>123:25:40.59 W</t>
  </si>
  <si>
    <t>046:58:39.14 N</t>
  </si>
  <si>
    <t>123:25:42.37 W</t>
  </si>
  <si>
    <t>123:25:44.14 W</t>
  </si>
  <si>
    <t>046:58:39.30 N</t>
  </si>
  <si>
    <t>123:25:46.15 W</t>
  </si>
  <si>
    <t>123:25:48.08 W</t>
  </si>
  <si>
    <t>123:25:50.32 W</t>
  </si>
  <si>
    <t>046:58:39.68 N</t>
  </si>
  <si>
    <t>123:25:52.25 W</t>
  </si>
  <si>
    <t>046:58:39.60 N</t>
  </si>
  <si>
    <t>123:25:54.03 W</t>
  </si>
  <si>
    <t>046:58:39.84 N</t>
  </si>
  <si>
    <t>123:25:56.04 W</t>
  </si>
  <si>
    <t>123:25:57.82 W</t>
  </si>
  <si>
    <t>046:58:39.99 N</t>
  </si>
  <si>
    <t>123:26:00.00 W</t>
  </si>
  <si>
    <t>123:26:01.68 W</t>
  </si>
  <si>
    <t>046:58:40.14 N</t>
  </si>
  <si>
    <t>123:26:03.69 W</t>
  </si>
  <si>
    <t>123:26:05.46 W</t>
  </si>
  <si>
    <t>046:58:40.30 N</t>
  </si>
  <si>
    <t>123:26:07.40 W</t>
  </si>
  <si>
    <t>046:58:40.45 N</t>
  </si>
  <si>
    <t>123:26:09.25 W</t>
  </si>
  <si>
    <t>046:58:40.61 N</t>
  </si>
  <si>
    <t>123:26:11.34 W</t>
  </si>
  <si>
    <t>123:26:13.58 W</t>
  </si>
  <si>
    <t>046:58:40.84 N</t>
  </si>
  <si>
    <t>123:26:15.35 W</t>
  </si>
  <si>
    <t>123:26:17.13 W</t>
  </si>
  <si>
    <t>046:58:41.15 N</t>
  </si>
  <si>
    <t>123:26:18.75 W</t>
  </si>
  <si>
    <t>123:26:20.91 W</t>
  </si>
  <si>
    <t>046:58:41.30 N</t>
  </si>
  <si>
    <t>123:26:22.92 W</t>
  </si>
  <si>
    <t>046:58:41.46 N</t>
  </si>
  <si>
    <t>123:26:25.16 W</t>
  </si>
  <si>
    <t>046:58:41.61 N</t>
  </si>
  <si>
    <t>123:26:26.86 W</t>
  </si>
  <si>
    <t>123:26:29.10 W</t>
  </si>
  <si>
    <t>046:58:41.84 N</t>
  </si>
  <si>
    <t>123:26:31.03 W</t>
  </si>
  <si>
    <t>046:58:42.00 N</t>
  </si>
  <si>
    <t>123:26:32.81 W</t>
  </si>
  <si>
    <t>046:58:42.08 N</t>
  </si>
  <si>
    <t>123:26:34.82 W</t>
  </si>
  <si>
    <t>046:58:42.15 N</t>
  </si>
  <si>
    <t>123:26:36.67 W</t>
  </si>
  <si>
    <t>123:26:38.76 W</t>
  </si>
  <si>
    <t>046:58:42.46 N</t>
  </si>
  <si>
    <t>123:26:41.00 W</t>
  </si>
  <si>
    <t>046:58:42.69 N</t>
  </si>
  <si>
    <t>123:26:42.70 W</t>
  </si>
  <si>
    <t>046:58:42.77 N</t>
  </si>
  <si>
    <t>123:26:45.17 W</t>
  </si>
  <si>
    <t>046:58:42.93 N</t>
  </si>
  <si>
    <t>123:26:47.18 W</t>
  </si>
  <si>
    <t>046:58:43.16 N</t>
  </si>
  <si>
    <t>123:26:49.03 W</t>
  </si>
  <si>
    <t>046:58:43.31 N</t>
  </si>
  <si>
    <t>123:26:51.12 W</t>
  </si>
  <si>
    <t>123:26:53.13 W</t>
  </si>
  <si>
    <t>046:58:43.62 N</t>
  </si>
  <si>
    <t>123:26:55.06 W</t>
  </si>
  <si>
    <t>046:58:43.78 N</t>
  </si>
  <si>
    <t>123:26:56.83 W</t>
  </si>
  <si>
    <t>046:58:43.85 N</t>
  </si>
  <si>
    <t>123:26:58.69 W</t>
  </si>
  <si>
    <t>046:58:43.93 N</t>
  </si>
  <si>
    <t>123:27:00.54 W</t>
  </si>
  <si>
    <t>046:58:44.01 N</t>
  </si>
  <si>
    <t>123:27:02.47 W</t>
  </si>
  <si>
    <t>046:58:44.24 N</t>
  </si>
  <si>
    <t>123:27:04.71 W</t>
  </si>
  <si>
    <t>046:58:44.32 N</t>
  </si>
  <si>
    <t>123:27:06.57 W</t>
  </si>
  <si>
    <t>046:58:44.39 N</t>
  </si>
  <si>
    <t>123:27:08.42 W</t>
  </si>
  <si>
    <t>046:58:44.47 N</t>
  </si>
  <si>
    <t>123:27:10.35 W</t>
  </si>
  <si>
    <t>046:58:44.78 N</t>
  </si>
  <si>
    <t>123:27:12.59 W</t>
  </si>
  <si>
    <t>046:58:44.86 N</t>
  </si>
  <si>
    <t>123:27:14.14 W</t>
  </si>
  <si>
    <t>046:58:45.01 N</t>
  </si>
  <si>
    <t>123:27:16.22 W</t>
  </si>
  <si>
    <t>046:58:45.17 N</t>
  </si>
  <si>
    <t>123:27:18.46 W</t>
  </si>
  <si>
    <t>046:58:45.24 N</t>
  </si>
  <si>
    <t>123:27:20.32 W</t>
  </si>
  <si>
    <t>046:58:45.32 N</t>
  </si>
  <si>
    <t>123:27:22.25 W</t>
  </si>
  <si>
    <t>046:58:45.55 N</t>
  </si>
  <si>
    <t>123:27:24.26 W</t>
  </si>
  <si>
    <t>046:58:45.71 N</t>
  </si>
  <si>
    <t>123:27:26.34 W</t>
  </si>
  <si>
    <t>123:27:27.96 W</t>
  </si>
  <si>
    <t>046:58:45.86 N</t>
  </si>
  <si>
    <t>123:27:29.90 W</t>
  </si>
  <si>
    <t>046:58:46.02 N</t>
  </si>
  <si>
    <t>123:27:31.67 W</t>
  </si>
  <si>
    <t>123:27:33.91 W</t>
  </si>
  <si>
    <t>046:58:46.25 N</t>
  </si>
  <si>
    <t>123:27:35.84 W</t>
  </si>
  <si>
    <t>046:58:46.32 N</t>
  </si>
  <si>
    <t>123:27:38.01 W</t>
  </si>
  <si>
    <t>046:58:46.40 N</t>
  </si>
  <si>
    <t>123:27:40.09 W</t>
  </si>
  <si>
    <t>046:58:46.48 N</t>
  </si>
  <si>
    <t>123:27:42.02 W</t>
  </si>
  <si>
    <t>046:58:46.71 N</t>
  </si>
  <si>
    <t>123:27:44.03 W</t>
  </si>
  <si>
    <t>046:58:46.87 N</t>
  </si>
  <si>
    <t>123:27:45.58 W</t>
  </si>
  <si>
    <t>046:58:47.02 N</t>
  </si>
  <si>
    <t>123:27:47.74 W</t>
  </si>
  <si>
    <t>046:58:47.17 N</t>
  </si>
  <si>
    <t>123:27:49.67 W</t>
  </si>
  <si>
    <t>046:58:47.25 N</t>
  </si>
  <si>
    <t>123:27:51.91 W</t>
  </si>
  <si>
    <t>046:58:47.33 N</t>
  </si>
  <si>
    <t>123:27:53.69 W</t>
  </si>
  <si>
    <t>046:58:47.48 N</t>
  </si>
  <si>
    <t>123:27:55.77 W</t>
  </si>
  <si>
    <t>046:58:47.72 N</t>
  </si>
  <si>
    <t>123:27:57.47 W</t>
  </si>
  <si>
    <t>046:58:47.87 N</t>
  </si>
  <si>
    <t>123:27:59.33 W</t>
  </si>
  <si>
    <t>046:58:48.02 N</t>
  </si>
  <si>
    <t>123:28:01.57 W</t>
  </si>
  <si>
    <t>123:28:03.58 W</t>
  </si>
  <si>
    <t>046:58:48.18 N</t>
  </si>
  <si>
    <t>123:28:05.74 W</t>
  </si>
  <si>
    <t>046:58:48.56 N</t>
  </si>
  <si>
    <t>123:28:07.98 W</t>
  </si>
  <si>
    <t>046:58:48.72 N</t>
  </si>
  <si>
    <t>123:28:09.76 W</t>
  </si>
  <si>
    <t>123:28:11.46 W</t>
  </si>
  <si>
    <t>123:28:13.46 W</t>
  </si>
  <si>
    <t>046:58:49.03 N</t>
  </si>
  <si>
    <t>123:28:15.55 W</t>
  </si>
  <si>
    <t>046:58:49.18 N</t>
  </si>
  <si>
    <t>123:28:17.40 W</t>
  </si>
  <si>
    <t>046:58:49.34 N</t>
  </si>
  <si>
    <t>123:28:19.57 W</t>
  </si>
  <si>
    <t>046:58:49.57 N</t>
  </si>
  <si>
    <t>123:28:21.57 W</t>
  </si>
  <si>
    <t>046:58:49.72 N</t>
  </si>
  <si>
    <t>123:28:23.35 W</t>
  </si>
  <si>
    <t>046:58:49.88 N</t>
  </si>
  <si>
    <t>123:28:25.44 W</t>
  </si>
  <si>
    <t>046:58:50.03 N</t>
  </si>
  <si>
    <t>123:28:27.45 W</t>
  </si>
  <si>
    <t>123:28:29.22 W</t>
  </si>
  <si>
    <t>046:58:50.34 N</t>
  </si>
  <si>
    <t>123:28:31.00 W</t>
  </si>
  <si>
    <t>046:58:50.57 N</t>
  </si>
  <si>
    <t>123:28:33.24 W</t>
  </si>
  <si>
    <t>046:58:50.73 N</t>
  </si>
  <si>
    <t>123:28:35.02 W</t>
  </si>
  <si>
    <t>046:58:50.81 N</t>
  </si>
  <si>
    <t>123:28:37.18 W</t>
  </si>
  <si>
    <t>046:58:51.04 N</t>
  </si>
  <si>
    <t>123:28:39.11 W</t>
  </si>
  <si>
    <t>046:58:51.19 N</t>
  </si>
  <si>
    <t>123:28:41.35 W</t>
  </si>
  <si>
    <t>046:58:51.35 N</t>
  </si>
  <si>
    <t>123:28:43.13 W</t>
  </si>
  <si>
    <t>046:58:51.58 N</t>
  </si>
  <si>
    <t>123:28:45.21 W</t>
  </si>
  <si>
    <t>123:28:47.07 W</t>
  </si>
  <si>
    <t>046:58:51.81 N</t>
  </si>
  <si>
    <t>123:28:48.77 W</t>
  </si>
  <si>
    <t>046:58:51.89 N</t>
  </si>
  <si>
    <t>123:28:50.47 W</t>
  </si>
  <si>
    <t>046:58:52.20 N</t>
  </si>
  <si>
    <t>123:28:52.47 W</t>
  </si>
  <si>
    <t>123:28:54.56 W</t>
  </si>
  <si>
    <t>046:58:52.50 N</t>
  </si>
  <si>
    <t>123:28:56.41 W</t>
  </si>
  <si>
    <t>046:58:52.58 N</t>
  </si>
  <si>
    <t>123:28:58.34 W</t>
  </si>
  <si>
    <t>046:58:52.66 N</t>
  </si>
  <si>
    <t>123:29:00.43 W</t>
  </si>
  <si>
    <t>046:58:52.89 N</t>
  </si>
  <si>
    <t>123:29:02.44 W</t>
  </si>
  <si>
    <t>123:29:04.45 W</t>
  </si>
  <si>
    <t>123:29:06.22 W</t>
  </si>
  <si>
    <t>046:58:53.20 N</t>
  </si>
  <si>
    <t>123:29:08.23 W</t>
  </si>
  <si>
    <t>046:58:53.35 N</t>
  </si>
  <si>
    <t>123:29:10.24 W</t>
  </si>
  <si>
    <t>046:58:53.51 N</t>
  </si>
  <si>
    <t>123:29:12.02 W</t>
  </si>
  <si>
    <t>046:58:53.66 N</t>
  </si>
  <si>
    <t>123:29:14.26 W</t>
  </si>
  <si>
    <t>046:58:53.89 N</t>
  </si>
  <si>
    <t>123:29:16.11 W</t>
  </si>
  <si>
    <t>046:58:53.97 N</t>
  </si>
  <si>
    <t>123:29:18.43 W</t>
  </si>
  <si>
    <t>046:58:54.13 N</t>
  </si>
  <si>
    <t>123:29:20.44 W</t>
  </si>
  <si>
    <t>046:58:54.20 N</t>
  </si>
  <si>
    <t>123:29:22.45 W</t>
  </si>
  <si>
    <t>123:29:24.15 W</t>
  </si>
  <si>
    <t>046:58:54.59 N</t>
  </si>
  <si>
    <t>123:29:26.23 W</t>
  </si>
  <si>
    <t>046:58:54.74 N</t>
  </si>
  <si>
    <t>123:29:28.01 W</t>
  </si>
  <si>
    <t>046:58:54.98 N</t>
  </si>
  <si>
    <t>123:29:29.78 W</t>
  </si>
  <si>
    <t>046:58:55.05 N</t>
  </si>
  <si>
    <t>123:29:31.56 W</t>
  </si>
  <si>
    <t>046:58:55.21 N</t>
  </si>
  <si>
    <t>123:29:33.34 W</t>
  </si>
  <si>
    <t>046:58:55.36 N</t>
  </si>
  <si>
    <t>123:29:35.35 W</t>
  </si>
  <si>
    <t>123:29:37.51 W</t>
  </si>
  <si>
    <t>046:58:55.75 N</t>
  </si>
  <si>
    <t>123:29:39.44 W</t>
  </si>
  <si>
    <t>046:58:55.98 N</t>
  </si>
  <si>
    <t>123:29:41.22 W</t>
  </si>
  <si>
    <t>046:58:56.06 N</t>
  </si>
  <si>
    <t>123:29:43.23 W</t>
  </si>
  <si>
    <t>046:58:56.14 N</t>
  </si>
  <si>
    <t>123:29:45.16 W</t>
  </si>
  <si>
    <t>046:58:56.21 N</t>
  </si>
  <si>
    <t>123:29:47.01 W</t>
  </si>
  <si>
    <t>046:58:56.37 N</t>
  </si>
  <si>
    <t>123:29:48.79 W</t>
  </si>
  <si>
    <t>046:58:56.60 N</t>
  </si>
  <si>
    <t>123:29:51.10 W</t>
  </si>
  <si>
    <t>123:29:53.34 W</t>
  </si>
  <si>
    <t>123:29:55.04 W</t>
  </si>
  <si>
    <t>046:58:56.91 N</t>
  </si>
  <si>
    <t>123:29:56.74 W</t>
  </si>
  <si>
    <t>046:58:57.06 N</t>
  </si>
  <si>
    <t>123:29:58.44 W</t>
  </si>
  <si>
    <t>046:58:57.22 N</t>
  </si>
  <si>
    <t>123:30:00.22 W</t>
  </si>
  <si>
    <t>046:58:57.29 N</t>
  </si>
  <si>
    <t>123:30:02.23 W</t>
  </si>
  <si>
    <t>046:58:57.60 N</t>
  </si>
  <si>
    <t>123:30:04.39 W</t>
  </si>
  <si>
    <t>046:58:57.76 N</t>
  </si>
  <si>
    <t>123:30:06.32 W</t>
  </si>
  <si>
    <t>123:30:08.56 W</t>
  </si>
  <si>
    <t>046:58:58.07 N</t>
  </si>
  <si>
    <t>123:30:10.34 W</t>
  </si>
  <si>
    <t>046:58:58.22 N</t>
  </si>
  <si>
    <t>123:30:12.12 W</t>
  </si>
  <si>
    <t>046:58:58.38 N</t>
  </si>
  <si>
    <t>123:30:14.20 W</t>
  </si>
  <si>
    <t>046:58:58.61 N</t>
  </si>
  <si>
    <t>123:30:15.82 W</t>
  </si>
  <si>
    <t>046:58:58.76 N</t>
  </si>
  <si>
    <t>123:30:17.75 W</t>
  </si>
  <si>
    <t>046:58:59.07 N</t>
  </si>
  <si>
    <t>123:30:19.76 W</t>
  </si>
  <si>
    <t>123:30:22.00 W</t>
  </si>
  <si>
    <t>046:58:59.46 N</t>
  </si>
  <si>
    <t>123:30:24.09 W</t>
  </si>
  <si>
    <t>046:58:59.61 N</t>
  </si>
  <si>
    <t>123:30:25.56 W</t>
  </si>
  <si>
    <t>046:58:59.77 N</t>
  </si>
  <si>
    <t>123:30:27.64 W</t>
  </si>
  <si>
    <t>046:59:00.07 N</t>
  </si>
  <si>
    <t>123:30:29.42 W</t>
  </si>
  <si>
    <t>046:59:00.23 N</t>
  </si>
  <si>
    <t>123:30:31.58 W</t>
  </si>
  <si>
    <t>046:59:00.54 N</t>
  </si>
  <si>
    <t>123:30:33.59 W</t>
  </si>
  <si>
    <t>046:59:00.77 N</t>
  </si>
  <si>
    <t>123:30:35.68 W</t>
  </si>
  <si>
    <t>046:59:00.92 N</t>
  </si>
  <si>
    <t>123:30:37.53 W</t>
  </si>
  <si>
    <t>046:59:01.23 N</t>
  </si>
  <si>
    <t>123:30:39.54 W</t>
  </si>
  <si>
    <t>046:59:01.47 N</t>
  </si>
  <si>
    <t>123:30:41.32 W</t>
  </si>
  <si>
    <t>123:30:43.32 W</t>
  </si>
  <si>
    <t>046:59:01.85 N</t>
  </si>
  <si>
    <t>123:30:45.18 W</t>
  </si>
  <si>
    <t>046:59:02.24 N</t>
  </si>
  <si>
    <t>123:30:46.95 W</t>
  </si>
  <si>
    <t>046:59:02.39 N</t>
  </si>
  <si>
    <t>123:30:49.19 W</t>
  </si>
  <si>
    <t>046:59:02.62 N</t>
  </si>
  <si>
    <t>123:30:51.20 W</t>
  </si>
  <si>
    <t>046:59:02.86 N</t>
  </si>
  <si>
    <t>123:30:52.90 W</t>
  </si>
  <si>
    <t>046:59:03.01 N</t>
  </si>
  <si>
    <t>123:30:54.60 W</t>
  </si>
  <si>
    <t>046:59:03.09 N</t>
  </si>
  <si>
    <t>123:30:56.22 W</t>
  </si>
  <si>
    <t>046:59:03.40 N</t>
  </si>
  <si>
    <t>123:30:58.54 W</t>
  </si>
  <si>
    <t>046:59:03.55 N</t>
  </si>
  <si>
    <t>123:31:00.55 W</t>
  </si>
  <si>
    <t>046:59:03.78 N</t>
  </si>
  <si>
    <t>123:31:02.33 W</t>
  </si>
  <si>
    <t>046:59:03.86 N</t>
  </si>
  <si>
    <t>123:31:04.49 W</t>
  </si>
  <si>
    <t>123:31:06.11 W</t>
  </si>
  <si>
    <t>046:59:04.32 N</t>
  </si>
  <si>
    <t>123:31:08.20 W</t>
  </si>
  <si>
    <t>046:59:04.48 N</t>
  </si>
  <si>
    <t>123:31:10.21 W</t>
  </si>
  <si>
    <t>046:59:04.71 N</t>
  </si>
  <si>
    <t>123:31:11.91 W</t>
  </si>
  <si>
    <t>046:59:04.86 N</t>
  </si>
  <si>
    <t>123:31:13.60 W</t>
  </si>
  <si>
    <t>046:59:05.02 N</t>
  </si>
  <si>
    <t>123:31:15.85 W</t>
  </si>
  <si>
    <t>123:31:17.78 W</t>
  </si>
  <si>
    <t>046:59:05.33 N</t>
  </si>
  <si>
    <t>123:31:19.32 W</t>
  </si>
  <si>
    <t>046:59:05.64 N</t>
  </si>
  <si>
    <t>123:31:21.33 W</t>
  </si>
  <si>
    <t>046:59:05.87 N</t>
  </si>
  <si>
    <t>123:31:23.26 W</t>
  </si>
  <si>
    <t>046:59:05.95 N</t>
  </si>
  <si>
    <t>123:31:25.42 W</t>
  </si>
  <si>
    <t>046:59:06.33 N</t>
  </si>
  <si>
    <t>123:31:27.20 W</t>
  </si>
  <si>
    <t>046:59:06.49 N</t>
  </si>
  <si>
    <t>123:31:29.21 W</t>
  </si>
  <si>
    <t>123:31:30.91 W</t>
  </si>
  <si>
    <t>046:59:06.95 N</t>
  </si>
  <si>
    <t>123:31:32.76 W</t>
  </si>
  <si>
    <t>046:59:07.18 N</t>
  </si>
  <si>
    <t>123:31:34.62 W</t>
  </si>
  <si>
    <t>046:59:07.26 N</t>
  </si>
  <si>
    <t>123:31:36.32 W</t>
  </si>
  <si>
    <t>046:59:07.49 N</t>
  </si>
  <si>
    <t>123:31:38.09 W</t>
  </si>
  <si>
    <t>046:59:07.64 N</t>
  </si>
  <si>
    <t>123:31:40.33 W</t>
  </si>
  <si>
    <t>123:31:42.34 W</t>
  </si>
  <si>
    <t>046:59:08.11 N</t>
  </si>
  <si>
    <t>123:31:44.50 W</t>
  </si>
  <si>
    <t>046:59:08.49 N</t>
  </si>
  <si>
    <t>123:31:46.74 W</t>
  </si>
  <si>
    <t>046:59:08.65 N</t>
  </si>
  <si>
    <t>123:31:48.44 W</t>
  </si>
  <si>
    <t>046:59:08.80 N</t>
  </si>
  <si>
    <t>123:31:50.22 W</t>
  </si>
  <si>
    <t>046:59:09.11 N</t>
  </si>
  <si>
    <t>123:31:52.23 W</t>
  </si>
  <si>
    <t>123:31:54.08 W</t>
  </si>
  <si>
    <t>046:59:09.65 N</t>
  </si>
  <si>
    <t>123:31:55.94 W</t>
  </si>
  <si>
    <t>046:59:09.96 N</t>
  </si>
  <si>
    <t>123:31:57.87 W</t>
  </si>
  <si>
    <t>046:59:10.27 N</t>
  </si>
  <si>
    <t>123:31:59.88 W</t>
  </si>
  <si>
    <t>046:59:10.50 N</t>
  </si>
  <si>
    <t>123:32:01.88 W</t>
  </si>
  <si>
    <t>123:32:03.58 W</t>
  </si>
  <si>
    <t>046:59:10.97 N</t>
  </si>
  <si>
    <t>123:32:05.44 W</t>
  </si>
  <si>
    <t>046:59:11.35 N</t>
  </si>
  <si>
    <t>123:32:07.21 W</t>
  </si>
  <si>
    <t>046:59:11.51 N</t>
  </si>
  <si>
    <t>123:32:09.30 W</t>
  </si>
  <si>
    <t>046:59:11.74 N</t>
  </si>
  <si>
    <t>123:32:11.23 W</t>
  </si>
  <si>
    <t>046:59:11.97 N</t>
  </si>
  <si>
    <t>123:32:13.09 W</t>
  </si>
  <si>
    <t>046:59:12.28 N</t>
  </si>
  <si>
    <t>123:32:15.17 W</t>
  </si>
  <si>
    <t>046:59:12.51 N</t>
  </si>
  <si>
    <t>123:32:17.10 W</t>
  </si>
  <si>
    <t>046:59:12.74 N</t>
  </si>
  <si>
    <t>123:32:18.88 W</t>
  </si>
  <si>
    <t>046:59:12.98 N</t>
  </si>
  <si>
    <t>123:32:20.96 W</t>
  </si>
  <si>
    <t>123:32:22.97 W</t>
  </si>
  <si>
    <t>046:59:13.52 N</t>
  </si>
  <si>
    <t>123:32:24.75 W</t>
  </si>
  <si>
    <t>046:59:13.82 N</t>
  </si>
  <si>
    <t>123:32:26.76 W</t>
  </si>
  <si>
    <t>046:59:14.13 N</t>
  </si>
  <si>
    <t>123:32:28.54 W</t>
  </si>
  <si>
    <t>046:59:14.44 N</t>
  </si>
  <si>
    <t>123:32:30.54 W</t>
  </si>
  <si>
    <t>046:59:14.67 N</t>
  </si>
  <si>
    <t>123:32:32.09 W</t>
  </si>
  <si>
    <t>046:59:15.06 N</t>
  </si>
  <si>
    <t>123:32:34.25 W</t>
  </si>
  <si>
    <t>046:59:15.37 N</t>
  </si>
  <si>
    <t>123:32:36.18 W</t>
  </si>
  <si>
    <t>046:59:15.52 N</t>
  </si>
  <si>
    <t>123:32:37.88 W</t>
  </si>
  <si>
    <t>046:59:15.83 N</t>
  </si>
  <si>
    <t>123:32:39.66 W</t>
  </si>
  <si>
    <t>046:59:16.14 N</t>
  </si>
  <si>
    <t>123:32:41.98 W</t>
  </si>
  <si>
    <t>046:59:16.37 N</t>
  </si>
  <si>
    <t>123:32:43.60 W</t>
  </si>
  <si>
    <t>046:59:16.68 N</t>
  </si>
  <si>
    <t>123:32:45.84 W</t>
  </si>
  <si>
    <t>046:59:16.84 N</t>
  </si>
  <si>
    <t>123:32:47.77 W</t>
  </si>
  <si>
    <t>046:59:16.99 N</t>
  </si>
  <si>
    <t>123:32:49.55 W</t>
  </si>
  <si>
    <t>046:59:17.38 N</t>
  </si>
  <si>
    <t>123:32:51.25 W</t>
  </si>
  <si>
    <t>046:59:17.53 N</t>
  </si>
  <si>
    <t>123:32:53.02 W</t>
  </si>
  <si>
    <t>046:59:17.69 N</t>
  </si>
  <si>
    <t>123:32:54.64 W</t>
  </si>
  <si>
    <t>046:59:18.00 N</t>
  </si>
  <si>
    <t>123:32:56.96 W</t>
  </si>
  <si>
    <t>046:59:18.15 N</t>
  </si>
  <si>
    <t>123:32:58.74 W</t>
  </si>
  <si>
    <t>123:33:00.44 W</t>
  </si>
  <si>
    <t>046:59:18.69 N</t>
  </si>
  <si>
    <t>123:33:02.68 W</t>
  </si>
  <si>
    <t>046:59:18.85 N</t>
  </si>
  <si>
    <t>123:33:04.76 W</t>
  </si>
  <si>
    <t>046:59:19.00 N</t>
  </si>
  <si>
    <t>123:33:06.31 W</t>
  </si>
  <si>
    <t>046:59:19.39 N</t>
  </si>
  <si>
    <t>123:33:08.09 W</t>
  </si>
  <si>
    <t>046:59:19.54 N</t>
  </si>
  <si>
    <t>123:33:10.09 W</t>
  </si>
  <si>
    <t>046:59:19.85 N</t>
  </si>
  <si>
    <t>123:33:12.18 W</t>
  </si>
  <si>
    <t>046:59:20.00 N</t>
  </si>
  <si>
    <t>123:33:13.88 W</t>
  </si>
  <si>
    <t>046:59:20.39 N</t>
  </si>
  <si>
    <t>123:33:16.20 W</t>
  </si>
  <si>
    <t>046:59:20.70 N</t>
  </si>
  <si>
    <t>123:33:18.21 W</t>
  </si>
  <si>
    <t>046:59:20.85 N</t>
  </si>
  <si>
    <t>123:33:19.98 W</t>
  </si>
  <si>
    <t>046:59:21.24 N</t>
  </si>
  <si>
    <t>123:33:22.30 W</t>
  </si>
  <si>
    <t>046:59:21.40 N</t>
  </si>
  <si>
    <t>123:33:24.08 W</t>
  </si>
  <si>
    <t>046:59:21.63 N</t>
  </si>
  <si>
    <t>123:33:25.85 W</t>
  </si>
  <si>
    <t>046:59:21.86 N</t>
  </si>
  <si>
    <t>123:33:27.63 W</t>
  </si>
  <si>
    <t>046:59:22.17 N</t>
  </si>
  <si>
    <t>123:33:29.56 W</t>
  </si>
  <si>
    <t>046:59:22.40 N</t>
  </si>
  <si>
    <t>123:33:31.65 W</t>
  </si>
  <si>
    <t>046:59:22.48 N</t>
  </si>
  <si>
    <t>123:33:33.27 W</t>
  </si>
  <si>
    <t>046:59:22.71 N</t>
  </si>
  <si>
    <t>123:33:35.20 W</t>
  </si>
  <si>
    <t>046:59:23.17 N</t>
  </si>
  <si>
    <t>123:33:37.29 W</t>
  </si>
  <si>
    <t>046:59:23.40 N</t>
  </si>
  <si>
    <t>123:33:38.98 W</t>
  </si>
  <si>
    <t>046:59:23.64 N</t>
  </si>
  <si>
    <t>123:33:40.99 W</t>
  </si>
  <si>
    <t>046:59:23.87 N</t>
  </si>
  <si>
    <t>123:33:42.85 W</t>
  </si>
  <si>
    <t>046:59:24.10 N</t>
  </si>
  <si>
    <t>123:33:44.70 W</t>
  </si>
  <si>
    <t>046:59:24.41 N</t>
  </si>
  <si>
    <t>123:33:46.63 W</t>
  </si>
  <si>
    <t>046:59:24.64 N</t>
  </si>
  <si>
    <t>123:33:48.41 W</t>
  </si>
  <si>
    <t>046:59:24.87 N</t>
  </si>
  <si>
    <t>123:33:50.42 W</t>
  </si>
  <si>
    <t>046:59:25.26 N</t>
  </si>
  <si>
    <t>123:33:52.12 W</t>
  </si>
  <si>
    <t>046:59:25.41 N</t>
  </si>
  <si>
    <t>123:33:53.74 W</t>
  </si>
  <si>
    <t>046:59:25.80 N</t>
  </si>
  <si>
    <t>123:33:55.82 W</t>
  </si>
  <si>
    <t>046:59:26.03 N</t>
  </si>
  <si>
    <t>123:33:57.76 W</t>
  </si>
  <si>
    <t>046:59:26.26 N</t>
  </si>
  <si>
    <t>123:33:59.84 W</t>
  </si>
  <si>
    <t>046:59:26.57 N</t>
  </si>
  <si>
    <t>123:34:01.62 W</t>
  </si>
  <si>
    <t>046:59:26.80 N</t>
  </si>
  <si>
    <t>123:34:03.24 W</t>
  </si>
  <si>
    <t>046:59:27.11 N</t>
  </si>
  <si>
    <t>123:34:04.94 W</t>
  </si>
  <si>
    <t>046:59:27.27 N</t>
  </si>
  <si>
    <t>123:34:07.18 W</t>
  </si>
  <si>
    <t>046:59:27.57 N</t>
  </si>
  <si>
    <t>123:34:09.19 W</t>
  </si>
  <si>
    <t>046:59:27.88 N</t>
  </si>
  <si>
    <t>123:34:11.12 W</t>
  </si>
  <si>
    <t>046:59:28.04 N</t>
  </si>
  <si>
    <t>123:34:12.74 W</t>
  </si>
  <si>
    <t>046:59:28.42 N</t>
  </si>
  <si>
    <t>123:34:14.60 W</t>
  </si>
  <si>
    <t>123:34:16.53 W</t>
  </si>
  <si>
    <t>046:59:28.89 N</t>
  </si>
  <si>
    <t>123:34:18.54 W</t>
  </si>
  <si>
    <t>046:59:29.27 N</t>
  </si>
  <si>
    <t>123:34:20.78 W</t>
  </si>
  <si>
    <t>046:59:29.58 N</t>
  </si>
  <si>
    <t>123:34:22.63 W</t>
  </si>
  <si>
    <t>046:59:29.74 N</t>
  </si>
  <si>
    <t>123:34:24.25 W</t>
  </si>
  <si>
    <t>123:34:25.95 W</t>
  </si>
  <si>
    <t>046:59:30.28 N</t>
  </si>
  <si>
    <t>123:34:27.96 W</t>
  </si>
  <si>
    <t>046:59:30.43 N</t>
  </si>
  <si>
    <t>123:34:30.20 W</t>
  </si>
  <si>
    <t>046:59:30.74 N</t>
  </si>
  <si>
    <t>123:34:32.13 W</t>
  </si>
  <si>
    <t>046:59:30.90 N</t>
  </si>
  <si>
    <t>123:34:34.06 W</t>
  </si>
  <si>
    <t>046:59:31.21 N</t>
  </si>
  <si>
    <t>123:34:36.07 W</t>
  </si>
  <si>
    <t>123:34:37.85 W</t>
  </si>
  <si>
    <t>046:59:31.59 N</t>
  </si>
  <si>
    <t>123:34:39.39 W</t>
  </si>
  <si>
    <t>046:59:31.75 N</t>
  </si>
  <si>
    <t>123:34:41.25 W</t>
  </si>
  <si>
    <t>046:59:32.06 N</t>
  </si>
  <si>
    <t>123:34:43.49 W</t>
  </si>
  <si>
    <t>046:59:32.36 N</t>
  </si>
  <si>
    <t>123:34:45.73 W</t>
  </si>
  <si>
    <t>123:34:47.43 W</t>
  </si>
  <si>
    <t>046:59:32.75 N</t>
  </si>
  <si>
    <t>123:34:49.28 W</t>
  </si>
  <si>
    <t>046:59:33.06 N</t>
  </si>
  <si>
    <t>123:34:50.90 W</t>
  </si>
  <si>
    <t>046:59:33.45 N</t>
  </si>
  <si>
    <t>123:34:52.76 W</t>
  </si>
  <si>
    <t>046:59:33.60 N</t>
  </si>
  <si>
    <t>123:34:54.30 W</t>
  </si>
  <si>
    <t>046:59:33.99 N</t>
  </si>
  <si>
    <t>123:34:56.08 W</t>
  </si>
  <si>
    <t>046:59:34.30 N</t>
  </si>
  <si>
    <t>123:34:58.09 W</t>
  </si>
  <si>
    <t>046:59:34.68 N</t>
  </si>
  <si>
    <t>123:35:00.09 W</t>
  </si>
  <si>
    <t>123:35:02.03 W</t>
  </si>
  <si>
    <t>046:59:35.45 N</t>
  </si>
  <si>
    <t>123:35:04.19 W</t>
  </si>
  <si>
    <t>046:59:35.84 N</t>
  </si>
  <si>
    <t>123:35:05.73 W</t>
  </si>
  <si>
    <t>046:59:36.15 N</t>
  </si>
  <si>
    <t>123:35:07.74 W</t>
  </si>
  <si>
    <t>123:35:09.44 W</t>
  </si>
  <si>
    <t>046:59:36.84 N</t>
  </si>
  <si>
    <t>123:35:10.91 W</t>
  </si>
  <si>
    <t>046:59:37.15 N</t>
  </si>
  <si>
    <t>123:35:13.15 W</t>
  </si>
  <si>
    <t>046:59:37.62 N</t>
  </si>
  <si>
    <t>123:35:14.93 W</t>
  </si>
  <si>
    <t>046:59:37.93 N</t>
  </si>
  <si>
    <t>123:35:16.86 W</t>
  </si>
  <si>
    <t>046:59:38.16 N</t>
  </si>
  <si>
    <t>123:35:18.40 W</t>
  </si>
  <si>
    <t>046:59:38.47 N</t>
  </si>
  <si>
    <t>123:35:20.33 W</t>
  </si>
  <si>
    <t>046:59:38.78 N</t>
  </si>
  <si>
    <t>123:35:21.96 W</t>
  </si>
  <si>
    <t>046:59:39.16 N</t>
  </si>
  <si>
    <t>123:35:23.81 W</t>
  </si>
  <si>
    <t>046:59:39.47 N</t>
  </si>
  <si>
    <t>123:35:26.05 W</t>
  </si>
  <si>
    <t>046:59:39.78 N</t>
  </si>
  <si>
    <t>123:35:27.75 W</t>
  </si>
  <si>
    <t>046:59:40.01 N</t>
  </si>
  <si>
    <t>123:35:29.53 W</t>
  </si>
  <si>
    <t>046:59:40.32 N</t>
  </si>
  <si>
    <t>123:35:31.30 W</t>
  </si>
  <si>
    <t>046:59:40.63 N</t>
  </si>
  <si>
    <t>123:35:33.08 W</t>
  </si>
  <si>
    <t>046:59:40.94 N</t>
  </si>
  <si>
    <t>123:35:35.17 W</t>
  </si>
  <si>
    <t>046:59:41.17 N</t>
  </si>
  <si>
    <t>123:35:36.94 W</t>
  </si>
  <si>
    <t>046:59:41.40 N</t>
  </si>
  <si>
    <t>123:35:38.87 W</t>
  </si>
  <si>
    <t>046:59:41.79 N</t>
  </si>
  <si>
    <t>123:35:40.73 W</t>
  </si>
  <si>
    <t>046:59:42.17 N</t>
  </si>
  <si>
    <t>123:35:42.74 W</t>
  </si>
  <si>
    <t>046:59:42.41 N</t>
  </si>
  <si>
    <t>123:35:44.59 W</t>
  </si>
  <si>
    <t>046:59:42.79 N</t>
  </si>
  <si>
    <t>123:35:46.52 W</t>
  </si>
  <si>
    <t>046:59:43.10 N</t>
  </si>
  <si>
    <t>123:35:48.53 W</t>
  </si>
  <si>
    <t>046:59:43.41 N</t>
  </si>
  <si>
    <t>123:35:50.46 W</t>
  </si>
  <si>
    <t>046:59:43.64 N</t>
  </si>
  <si>
    <t>123:35:52.39 W</t>
  </si>
  <si>
    <t>123:35:53.86 W</t>
  </si>
  <si>
    <t>046:59:44.26 N</t>
  </si>
  <si>
    <t>123:35:55.40 W</t>
  </si>
  <si>
    <t>046:59:44.65 N</t>
  </si>
  <si>
    <t>123:35:57.41 W</t>
  </si>
  <si>
    <t>046:59:44.88 N</t>
  </si>
  <si>
    <t>123:35:59.42 W</t>
  </si>
  <si>
    <t>123:36:00.89 W</t>
  </si>
  <si>
    <t>046:59:45.57 N</t>
  </si>
  <si>
    <t>123:36:03.13 W</t>
  </si>
  <si>
    <t>046:59:45.88 N</t>
  </si>
  <si>
    <t>123:36:05.06 W</t>
  </si>
  <si>
    <t>046:59:46.04 N</t>
  </si>
  <si>
    <t>123:36:06.84 W</t>
  </si>
  <si>
    <t>046:59:46.35 N</t>
  </si>
  <si>
    <t>123:36:08.77 W</t>
  </si>
  <si>
    <t>123:36:10.85 W</t>
  </si>
  <si>
    <t>046:59:46.89 N</t>
  </si>
  <si>
    <t>123:36:12.48 W</t>
  </si>
  <si>
    <t>046:59:47.20 N</t>
  </si>
  <si>
    <t>123:36:14.25 W</t>
  </si>
  <si>
    <t>046:59:47.50 N</t>
  </si>
  <si>
    <t>123:36:16.42 W</t>
  </si>
  <si>
    <t>046:59:47.66 N</t>
  </si>
  <si>
    <t>123:36:17.96 W</t>
  </si>
  <si>
    <t>046:59:47.81 N</t>
  </si>
  <si>
    <t>123:36:19.74 W</t>
  </si>
  <si>
    <t>046:59:48.20 N</t>
  </si>
  <si>
    <t>123:36:21.36 W</t>
  </si>
  <si>
    <t>046:59:48.35 N</t>
  </si>
  <si>
    <t>123:36:23.29 W</t>
  </si>
  <si>
    <t>046:59:48.66 N</t>
  </si>
  <si>
    <t>123:36:25.61 W</t>
  </si>
  <si>
    <t>046:59:49.05 N</t>
  </si>
  <si>
    <t>123:36:27.54 W</t>
  </si>
  <si>
    <t>123:36:29.16 W</t>
  </si>
  <si>
    <t>046:59:49.36 N</t>
  </si>
  <si>
    <t>123:36:30.63 W</t>
  </si>
  <si>
    <t>046:59:49.67 N</t>
  </si>
  <si>
    <t>123:36:32.95 W</t>
  </si>
  <si>
    <t>046:59:49.90 N</t>
  </si>
  <si>
    <t>123:36:34.49 W</t>
  </si>
  <si>
    <t>046:59:50.13 N</t>
  </si>
  <si>
    <t>123:36:36.50 W</t>
  </si>
  <si>
    <t>046:59:50.36 N</t>
  </si>
  <si>
    <t>123:36:38.28 W</t>
  </si>
  <si>
    <t>123:36:40.21 W</t>
  </si>
  <si>
    <t>046:59:50.98 N</t>
  </si>
  <si>
    <t>123:36:42.14 W</t>
  </si>
  <si>
    <t>046:59:51.21 N</t>
  </si>
  <si>
    <t>123:36:43.84 W</t>
  </si>
  <si>
    <t>046:59:51.52 N</t>
  </si>
  <si>
    <t>123:36:45.85 W</t>
  </si>
  <si>
    <t>046:59:51.83 N</t>
  </si>
  <si>
    <t>123:36:47.62 W</t>
  </si>
  <si>
    <t>123:36:49.17 W</t>
  </si>
  <si>
    <t>046:59:52.22 N</t>
  </si>
  <si>
    <t>123:36:50.95 W</t>
  </si>
  <si>
    <t>046:59:52.53 N</t>
  </si>
  <si>
    <t>123:36:52.95 W</t>
  </si>
  <si>
    <t>046:59:52.99 N</t>
  </si>
  <si>
    <t>123:36:55.04 W</t>
  </si>
  <si>
    <t>046:59:53.22 N</t>
  </si>
  <si>
    <t>123:36:57.05 W</t>
  </si>
  <si>
    <t>046:59:53.53 N</t>
  </si>
  <si>
    <t>123:36:59.06 W</t>
  </si>
  <si>
    <t>046:59:53.76 N</t>
  </si>
  <si>
    <t>123:37:01.22 W</t>
  </si>
  <si>
    <t>046:59:54.07 N</t>
  </si>
  <si>
    <t>123:37:02.84 W</t>
  </si>
  <si>
    <t>046:59:54.23 N</t>
  </si>
  <si>
    <t>123:37:04.39 W</t>
  </si>
  <si>
    <t>046:59:54.61 N</t>
  </si>
  <si>
    <t>123:37:06.39 W</t>
  </si>
  <si>
    <t>123:37:08.33 W</t>
  </si>
  <si>
    <t>046:59:55.08 N</t>
  </si>
  <si>
    <t>123:37:10.49 W</t>
  </si>
  <si>
    <t>046:59:55.31 N</t>
  </si>
  <si>
    <t>123:37:12.34 W</t>
  </si>
  <si>
    <t>046:59:55.46 N</t>
  </si>
  <si>
    <t>123:37:14.27 W</t>
  </si>
  <si>
    <t>046:59:55.69 N</t>
  </si>
  <si>
    <t>123:37:16.05 W</t>
  </si>
  <si>
    <t>046:59:55.92 N</t>
  </si>
  <si>
    <t>123:37:17.83 W</t>
  </si>
  <si>
    <t>123:37:19.45 W</t>
  </si>
  <si>
    <t>123:37:21.23 W</t>
  </si>
  <si>
    <t>046:59:56.23 N</t>
  </si>
  <si>
    <t>123:37:23.16 W</t>
  </si>
  <si>
    <t>046:59:56.54 N</t>
  </si>
  <si>
    <t>123:37:25.17 W</t>
  </si>
  <si>
    <t>046:59:56.77 N</t>
  </si>
  <si>
    <t>123:37:27.17 W</t>
  </si>
  <si>
    <t>046:59:56.93 N</t>
  </si>
  <si>
    <t>123:37:28.72 W</t>
  </si>
  <si>
    <t>046:59:57.08 N</t>
  </si>
  <si>
    <t>123:37:30.88 W</t>
  </si>
  <si>
    <t>046:59:57.24 N</t>
  </si>
  <si>
    <t>123:37:32.81 W</t>
  </si>
  <si>
    <t>123:37:34.82 W</t>
  </si>
  <si>
    <t>046:59:57.55 N</t>
  </si>
  <si>
    <t>123:37:36.75 W</t>
  </si>
  <si>
    <t>046:59:57.78 N</t>
  </si>
  <si>
    <t>123:37:38.53 W</t>
  </si>
  <si>
    <t>046:59:58.09 N</t>
  </si>
  <si>
    <t>123:37:40.38 W</t>
  </si>
  <si>
    <t>046:59:58.24 N</t>
  </si>
  <si>
    <t>123:37:42.24 W</t>
  </si>
  <si>
    <t>046:59:58.40 N</t>
  </si>
  <si>
    <t>123:37:44.17 W</t>
  </si>
  <si>
    <t>046:59:58.55 N</t>
  </si>
  <si>
    <t>123:37:45.95 W</t>
  </si>
  <si>
    <t>123:37:47.95 W</t>
  </si>
  <si>
    <t>046:59:59.09 N</t>
  </si>
  <si>
    <t>123:37:49.89 W</t>
  </si>
  <si>
    <t>123:37:52.05 W</t>
  </si>
  <si>
    <t>046:59:59.40 N</t>
  </si>
  <si>
    <t>123:37:54.29 W</t>
  </si>
  <si>
    <t>046:59:59.56 N</t>
  </si>
  <si>
    <t>123:37:56.30 W</t>
  </si>
  <si>
    <t>046:59:59.79 N</t>
  </si>
  <si>
    <t>123:37:57.84 W</t>
  </si>
  <si>
    <t>123:38:00.00 W</t>
  </si>
  <si>
    <t>047:00:00.10 N</t>
  </si>
  <si>
    <t>123:38:02.17 W</t>
  </si>
  <si>
    <t>047:00:00.25 N</t>
  </si>
  <si>
    <t>123:38:03.94 W</t>
  </si>
  <si>
    <t>047:00:00.56 N</t>
  </si>
  <si>
    <t>123:38:05.95 W</t>
  </si>
  <si>
    <t>047:00:00.79 N</t>
  </si>
  <si>
    <t>123:38:07.73 W</t>
  </si>
  <si>
    <t>047:00:00.87 N</t>
  </si>
  <si>
    <t>123:38:09.66 W</t>
  </si>
  <si>
    <t>047:00:01.10 N</t>
  </si>
  <si>
    <t>123:38:11.59 W</t>
  </si>
  <si>
    <t>047:00:01.41 N</t>
  </si>
  <si>
    <t>123:38:13.60 W</t>
  </si>
  <si>
    <t>047:00:01.56 N</t>
  </si>
  <si>
    <t>123:38:15.61 W</t>
  </si>
  <si>
    <t>047:00:01.80 N</t>
  </si>
  <si>
    <t>123:38:17.62 W</t>
  </si>
  <si>
    <t>047:00:02.03 N</t>
  </si>
  <si>
    <t>123:38:19.78 W</t>
  </si>
  <si>
    <t>047:00:02.10 N</t>
  </si>
  <si>
    <t>123:38:21.48 W</t>
  </si>
  <si>
    <t>047:00:02.41 N</t>
  </si>
  <si>
    <t>123:38:23.49 W</t>
  </si>
  <si>
    <t>047:00:02.49 N</t>
  </si>
  <si>
    <t>123:38:25.50 W</t>
  </si>
  <si>
    <t>047:00:02.80 N</t>
  </si>
  <si>
    <t>123:38:27.04 W</t>
  </si>
  <si>
    <t>047:00:02.95 N</t>
  </si>
  <si>
    <t>123:38:29.28 W</t>
  </si>
  <si>
    <t>047:00:03.19 N</t>
  </si>
  <si>
    <t>123:38:31.14 W</t>
  </si>
  <si>
    <t>047:00:03.42 N</t>
  </si>
  <si>
    <t>123:38:33.14 W</t>
  </si>
  <si>
    <t>047:00:03.65 N</t>
  </si>
  <si>
    <t>123:38:35.15 W</t>
  </si>
  <si>
    <t>047:00:03.88 N</t>
  </si>
  <si>
    <t>123:38:36.85 W</t>
  </si>
  <si>
    <t>047:00:04.11 N</t>
  </si>
  <si>
    <t>123:38:38.47 W</t>
  </si>
  <si>
    <t>047:00:04.34 N</t>
  </si>
  <si>
    <t>123:38:40.33 W</t>
  </si>
  <si>
    <t>047:00:04.58 N</t>
  </si>
  <si>
    <t>123:38:42.26 W</t>
  </si>
  <si>
    <t>123:38:44.27 W</t>
  </si>
  <si>
    <t>047:00:04.96 N</t>
  </si>
  <si>
    <t>123:38:46.28 W</t>
  </si>
  <si>
    <t>047:00:05.19 N</t>
  </si>
  <si>
    <t>123:38:48.21 W</t>
  </si>
  <si>
    <t>047:00:05.35 N</t>
  </si>
  <si>
    <t>123:38:49.98 W</t>
  </si>
  <si>
    <t>047:00:05.66 N</t>
  </si>
  <si>
    <t>123:38:51.92 W</t>
  </si>
  <si>
    <t>047:00:05.81 N</t>
  </si>
  <si>
    <t>123:38:53.92 W</t>
  </si>
  <si>
    <t>047:00:05.97 N</t>
  </si>
  <si>
    <t>123:38:55.70 W</t>
  </si>
  <si>
    <t>123:38:57.40 W</t>
  </si>
  <si>
    <t>123:38:59.33 W</t>
  </si>
  <si>
    <t>047:00:06.35 N</t>
  </si>
  <si>
    <t>123:39:01.34 W</t>
  </si>
  <si>
    <t>047:00:06.43 N</t>
  </si>
  <si>
    <t>123:39:03.04 W</t>
  </si>
  <si>
    <t>047:00:06.66 N</t>
  </si>
  <si>
    <t>123:39:04.82 W</t>
  </si>
  <si>
    <t>047:00:06.82 N</t>
  </si>
  <si>
    <t>123:39:06.82 W</t>
  </si>
  <si>
    <t>047:00:06.97 N</t>
  </si>
  <si>
    <t>123:39:08.83 W</t>
  </si>
  <si>
    <t>047:00:07.13 N</t>
  </si>
  <si>
    <t>123:39:11.00 W</t>
  </si>
  <si>
    <t>123:39:12.46 W</t>
  </si>
  <si>
    <t>123:39:14.70 W</t>
  </si>
  <si>
    <t>047:00:07.43 N</t>
  </si>
  <si>
    <t>123:39:16.40 W</t>
  </si>
  <si>
    <t>047:00:07.59 N</t>
  </si>
  <si>
    <t>123:39:18.26 W</t>
  </si>
  <si>
    <t>047:00:07.82 N</t>
  </si>
  <si>
    <t>123:39:19.72 W</t>
  </si>
  <si>
    <t>047:00:07.98 N</t>
  </si>
  <si>
    <t>123:39:22.04 W</t>
  </si>
  <si>
    <t>123:39:24.05 W</t>
  </si>
  <si>
    <t>047:00:08.13 N</t>
  </si>
  <si>
    <t>123:39:26.06 W</t>
  </si>
  <si>
    <t>047:00:08.28 N</t>
  </si>
  <si>
    <t>123:39:27.91 W</t>
  </si>
  <si>
    <t>047:00:08.44 N</t>
  </si>
  <si>
    <t>123:39:29.92 W</t>
  </si>
  <si>
    <t>123:39:31.47 W</t>
  </si>
  <si>
    <t>047:00:08.83 N</t>
  </si>
  <si>
    <t>123:39:33.71 W</t>
  </si>
  <si>
    <t>047:00:08.98 N</t>
  </si>
  <si>
    <t>123:39:35.71 W</t>
  </si>
  <si>
    <t>123:39:37.65 W</t>
  </si>
  <si>
    <t>047:00:09.13 N</t>
  </si>
  <si>
    <t>123:39:39.27 W</t>
  </si>
  <si>
    <t>047:00:09.29 N</t>
  </si>
  <si>
    <t>123:39:41.04 W</t>
  </si>
  <si>
    <t>047:00:09.44 N</t>
  </si>
  <si>
    <t>123:39:42.82 W</t>
  </si>
  <si>
    <t>123:39:44.83 W</t>
  </si>
  <si>
    <t>047:00:09.67 N</t>
  </si>
  <si>
    <t>123:39:46.92 W</t>
  </si>
  <si>
    <t>047:00:09.75 N</t>
  </si>
  <si>
    <t>123:39:48.77 W</t>
  </si>
  <si>
    <t>047:00:09.98 N</t>
  </si>
  <si>
    <t>123:39:50.70 W</t>
  </si>
  <si>
    <t>047:00:10.14 N</t>
  </si>
  <si>
    <t>123:39:52.48 W</t>
  </si>
  <si>
    <t>123:39:54.49 W</t>
  </si>
  <si>
    <t>047:00:10.29 N</t>
  </si>
  <si>
    <t>123:39:56.03 W</t>
  </si>
  <si>
    <t>047:00:10.45 N</t>
  </si>
  <si>
    <t>123:39:57.96 W</t>
  </si>
  <si>
    <t>047:00:10.68 N</t>
  </si>
  <si>
    <t>123:39:59.82 W</t>
  </si>
  <si>
    <t>047:00:10.83 N</t>
  </si>
  <si>
    <t>123:40:01.82 W</t>
  </si>
  <si>
    <t>047:00:10.91 N</t>
  </si>
  <si>
    <t>123:40:03.83 W</t>
  </si>
  <si>
    <t>047:00:10.99 N</t>
  </si>
  <si>
    <t>123:40:05.69 W</t>
  </si>
  <si>
    <t>047:00:11.30 N</t>
  </si>
  <si>
    <t>123:40:07.54 W</t>
  </si>
  <si>
    <t>047:00:11.45 N</t>
  </si>
  <si>
    <t>123:40:09.78 W</t>
  </si>
  <si>
    <t>047:00:11.61 N</t>
  </si>
  <si>
    <t>123:40:11.25 W</t>
  </si>
  <si>
    <t>047:00:11.76 N</t>
  </si>
  <si>
    <t>123:40:13.49 W</t>
  </si>
  <si>
    <t>047:00:11.92 N</t>
  </si>
  <si>
    <t>123:40:15.27 W</t>
  </si>
  <si>
    <t>123:40:17.20 W</t>
  </si>
  <si>
    <t>047:00:12.22 N</t>
  </si>
  <si>
    <t>123:40:18.97 W</t>
  </si>
  <si>
    <t>047:00:12.30 N</t>
  </si>
  <si>
    <t>123:40:20.83 W</t>
  </si>
  <si>
    <t>047:00:12.46 N</t>
  </si>
  <si>
    <t>123:40:22.60 W</t>
  </si>
  <si>
    <t>047:00:12.69 N</t>
  </si>
  <si>
    <t>123:40:24.38 W</t>
  </si>
  <si>
    <t>047:00:12.92 N</t>
  </si>
  <si>
    <t>123:40:26.39 W</t>
  </si>
  <si>
    <t>047:00:13.15 N</t>
  </si>
  <si>
    <t>123:40:28.24 W</t>
  </si>
  <si>
    <t>047:00:13.31 N</t>
  </si>
  <si>
    <t>123:40:30.02 W</t>
  </si>
  <si>
    <t>047:00:13.54 N</t>
  </si>
  <si>
    <t>123:40:32.03 W</t>
  </si>
  <si>
    <t>047:00:13.69 N</t>
  </si>
  <si>
    <t>123:40:34.04 W</t>
  </si>
  <si>
    <t>047:00:13.92 N</t>
  </si>
  <si>
    <t>123:40:35.74 W</t>
  </si>
  <si>
    <t>047:00:14.16 N</t>
  </si>
  <si>
    <t>123:40:37.82 W</t>
  </si>
  <si>
    <t>047:00:14.39 N</t>
  </si>
  <si>
    <t>123:40:39.68 W</t>
  </si>
  <si>
    <t>047:00:14.54 N</t>
  </si>
  <si>
    <t>123:40:41.22 W</t>
  </si>
  <si>
    <t>047:00:14.70 N</t>
  </si>
  <si>
    <t>123:40:43.15 W</t>
  </si>
  <si>
    <t>123:40:44.93 W</t>
  </si>
  <si>
    <t>047:00:15.24 N</t>
  </si>
  <si>
    <t>123:40:46.86 W</t>
  </si>
  <si>
    <t>047:00:15.31 N</t>
  </si>
  <si>
    <t>123:40:49.02 W</t>
  </si>
  <si>
    <t>047:00:15.55 N</t>
  </si>
  <si>
    <t>123:40:50.80 W</t>
  </si>
  <si>
    <t>047:00:15.85 N</t>
  </si>
  <si>
    <t>123:40:52.81 W</t>
  </si>
  <si>
    <t>047:00:16.01 N</t>
  </si>
  <si>
    <t>123:40:54.28 W</t>
  </si>
  <si>
    <t>047:00:16.24 N</t>
  </si>
  <si>
    <t>123:40:56.05 W</t>
  </si>
  <si>
    <t>047:00:16.55 N</t>
  </si>
  <si>
    <t>123:40:57.98 W</t>
  </si>
  <si>
    <t>047:00:16.70 N</t>
  </si>
  <si>
    <t>123:40:59.91 W</t>
  </si>
  <si>
    <t>047:00:17.01 N</t>
  </si>
  <si>
    <t>123:41:01.92 W</t>
  </si>
  <si>
    <t>047:00:17.17 N</t>
  </si>
  <si>
    <t>123:41:03.47 W</t>
  </si>
  <si>
    <t>123:41:05.24 W</t>
  </si>
  <si>
    <t>047:00:17.48 N</t>
  </si>
  <si>
    <t>123:41:07.25 W</t>
  </si>
  <si>
    <t>047:00:17.86 N</t>
  </si>
  <si>
    <t>123:41:09.34 W</t>
  </si>
  <si>
    <t>047:00:18.02 N</t>
  </si>
  <si>
    <t>123:41:11.35 W</t>
  </si>
  <si>
    <t>047:00:18.17 N</t>
  </si>
  <si>
    <t>123:41:13.05 W</t>
  </si>
  <si>
    <t>047:00:18.56 N</t>
  </si>
  <si>
    <t>123:41:15.13 W</t>
  </si>
  <si>
    <t>123:41:17.06 W</t>
  </si>
  <si>
    <t>047:00:18.87 N</t>
  </si>
  <si>
    <t>123:41:18.69 W</t>
  </si>
  <si>
    <t>047:00:19.18 N</t>
  </si>
  <si>
    <t>123:41:20.77 W</t>
  </si>
  <si>
    <t>047:00:19.33 N</t>
  </si>
  <si>
    <t>123:41:22.47 W</t>
  </si>
  <si>
    <t>047:00:19.49 N</t>
  </si>
  <si>
    <t>123:41:24.48 W</t>
  </si>
  <si>
    <t>047:00:19.72 N</t>
  </si>
  <si>
    <t>123:41:26.56 W</t>
  </si>
  <si>
    <t>047:00:20.03 N</t>
  </si>
  <si>
    <t>123:41:28.81 W</t>
  </si>
  <si>
    <t>047:00:20.34 N</t>
  </si>
  <si>
    <t>123:41:31.12 W</t>
  </si>
  <si>
    <t>047:00:20.49 N</t>
  </si>
  <si>
    <t>123:41:32.82 W</t>
  </si>
  <si>
    <t>047:00:20.64 N</t>
  </si>
  <si>
    <t>123:41:34.60 W</t>
  </si>
  <si>
    <t>123:41:36.68 W</t>
  </si>
  <si>
    <t>047:00:21.18 N</t>
  </si>
  <si>
    <t>123:41:38.54 W</t>
  </si>
  <si>
    <t>047:00:21.34 N</t>
  </si>
  <si>
    <t>123:41:40.01 W</t>
  </si>
  <si>
    <t>047:00:21.73 N</t>
  </si>
  <si>
    <t>123:41:42.25 W</t>
  </si>
  <si>
    <t>047:00:21.80 N</t>
  </si>
  <si>
    <t>123:41:43.95 W</t>
  </si>
  <si>
    <t>047:00:22.03 N</t>
  </si>
  <si>
    <t>123:41:46.03 W</t>
  </si>
  <si>
    <t>047:00:22.27 N</t>
  </si>
  <si>
    <t>123:41:47.96 W</t>
  </si>
  <si>
    <t>047:00:22.58 N</t>
  </si>
  <si>
    <t>123:41:49.82 W</t>
  </si>
  <si>
    <t>047:00:22.81 N</t>
  </si>
  <si>
    <t>123:41:52.13 W</t>
  </si>
  <si>
    <t>047:00:22.96 N</t>
  </si>
  <si>
    <t>123:41:54.14 W</t>
  </si>
  <si>
    <t>047:00:23.19 N</t>
  </si>
  <si>
    <t>123:41:56.23 W</t>
  </si>
  <si>
    <t>047:00:23.42 N</t>
  </si>
  <si>
    <t>123:41:58.31 W</t>
  </si>
  <si>
    <t>047:00:23.73 N</t>
  </si>
  <si>
    <t>123:42:00.24 W</t>
  </si>
  <si>
    <t>047:00:23.81 N</t>
  </si>
  <si>
    <t>123:42:02.02 W</t>
  </si>
  <si>
    <t>047:00:24.04 N</t>
  </si>
  <si>
    <t>123:42:04.34 W</t>
  </si>
  <si>
    <t>047:00:24.27 N</t>
  </si>
  <si>
    <t>123:42:05.96 W</t>
  </si>
  <si>
    <t>123:42:07.82 W</t>
  </si>
  <si>
    <t>047:00:24.74 N</t>
  </si>
  <si>
    <t>123:42:09.90 W</t>
  </si>
  <si>
    <t>047:00:24.89 N</t>
  </si>
  <si>
    <t>123:42:11.68 W</t>
  </si>
  <si>
    <t>047:00:25.12 N</t>
  </si>
  <si>
    <t>123:42:13.92 W</t>
  </si>
  <si>
    <t>047:00:25.36 N</t>
  </si>
  <si>
    <t>123:42:16.00 W</t>
  </si>
  <si>
    <t>047:00:25.59 N</t>
  </si>
  <si>
    <t>123:42:17.86 W</t>
  </si>
  <si>
    <t>123:42:19.79 W</t>
  </si>
  <si>
    <t>047:00:26.05 N</t>
  </si>
  <si>
    <t>123:42:21.80 W</t>
  </si>
  <si>
    <t>047:00:26.21 N</t>
  </si>
  <si>
    <t>123:42:23.34 W</t>
  </si>
  <si>
    <t>047:00:26.44 N</t>
  </si>
  <si>
    <t>123:42:25.50 W</t>
  </si>
  <si>
    <t>047:00:26.75 N</t>
  </si>
  <si>
    <t>123:42:27.36 W</t>
  </si>
  <si>
    <t>123:42:29.44 W</t>
  </si>
  <si>
    <t>047:00:27.21 N</t>
  </si>
  <si>
    <t>123:42:31.45 W</t>
  </si>
  <si>
    <t>047:00:27.60 N</t>
  </si>
  <si>
    <t>123:42:33.38 W</t>
  </si>
  <si>
    <t>047:00:27.75 N</t>
  </si>
  <si>
    <t>123:42:35.24 W</t>
  </si>
  <si>
    <t>047:00:28.06 N</t>
  </si>
  <si>
    <t>123:42:37.40 W</t>
  </si>
  <si>
    <t>123:42:39.56 W</t>
  </si>
  <si>
    <t>047:00:28.75 N</t>
  </si>
  <si>
    <t>123:42:41.34 W</t>
  </si>
  <si>
    <t>047:00:28.91 N</t>
  </si>
  <si>
    <t>123:42:43.58 W</t>
  </si>
  <si>
    <t>047:00:29.06 N</t>
  </si>
  <si>
    <t>123:42:45.13 W</t>
  </si>
  <si>
    <t>123:42:46.90 W</t>
  </si>
  <si>
    <t>047:00:29.68 N</t>
  </si>
  <si>
    <t>123:42:48.99 W</t>
  </si>
  <si>
    <t>047:00:30.07 N</t>
  </si>
  <si>
    <t>123:42:51.00 W</t>
  </si>
  <si>
    <t>047:00:30.22 N</t>
  </si>
  <si>
    <t>123:42:52.70 W</t>
  </si>
  <si>
    <t>047:00:30.45 N</t>
  </si>
  <si>
    <t>123:42:54.47 W</t>
  </si>
  <si>
    <t>047:00:30.76 N</t>
  </si>
  <si>
    <t>123:42:56.79 W</t>
  </si>
  <si>
    <t>047:00:31.07 N</t>
  </si>
  <si>
    <t>123:42:58.80 W</t>
  </si>
  <si>
    <t>047:00:31.46 N</t>
  </si>
  <si>
    <t>123:43:00.34 W</t>
  </si>
  <si>
    <t>047:00:31.69 N</t>
  </si>
  <si>
    <t>123:43:02.35 W</t>
  </si>
  <si>
    <t>047:00:31.84 N</t>
  </si>
  <si>
    <t>123:43:03.82 W</t>
  </si>
  <si>
    <t>047:00:32.23 N</t>
  </si>
  <si>
    <t>123:43:05.67 W</t>
  </si>
  <si>
    <t>047:00:32.54 N</t>
  </si>
  <si>
    <t>123:43:07.53 W</t>
  </si>
  <si>
    <t>047:00:32.77 N</t>
  </si>
  <si>
    <t>123:43:09.46 W</t>
  </si>
  <si>
    <t>047:00:33.00 N</t>
  </si>
  <si>
    <t>123:43:11.47 W</t>
  </si>
  <si>
    <t>047:00:33.08 N</t>
  </si>
  <si>
    <t>123:43:13.24 W</t>
  </si>
  <si>
    <t>123:43:15.56 W</t>
  </si>
  <si>
    <t>047:00:33.62 N</t>
  </si>
  <si>
    <t>123:43:17.03 W</t>
  </si>
  <si>
    <t>047:00:33.85 N</t>
  </si>
  <si>
    <t>123:43:18.65 W</t>
  </si>
  <si>
    <t>047:00:33.93 N</t>
  </si>
  <si>
    <t>123:43:20.89 W</t>
  </si>
  <si>
    <t>047:00:34.16 N</t>
  </si>
  <si>
    <t>123:43:22.82 W</t>
  </si>
  <si>
    <t>047:00:34.47 N</t>
  </si>
  <si>
    <t>123:43:24.68 W</t>
  </si>
  <si>
    <t>047:00:34.63 N</t>
  </si>
  <si>
    <t>123:43:26.68 W</t>
  </si>
  <si>
    <t>047:00:35.01 N</t>
  </si>
  <si>
    <t>123:43:28.77 W</t>
  </si>
  <si>
    <t>047:00:35.09 N</t>
  </si>
  <si>
    <t>123:43:30.47 W</t>
  </si>
  <si>
    <t>047:00:35.32 N</t>
  </si>
  <si>
    <t>123:43:32.48 W</t>
  </si>
  <si>
    <t>047:00:35.48 N</t>
  </si>
  <si>
    <t>123:43:34.26 W</t>
  </si>
  <si>
    <t>047:00:35.63 N</t>
  </si>
  <si>
    <t>123:43:36.19 W</t>
  </si>
  <si>
    <t>047:00:35.94 N</t>
  </si>
  <si>
    <t>123:43:38.12 W</t>
  </si>
  <si>
    <t>047:00:36.02 N</t>
  </si>
  <si>
    <t>123:43:39.89 W</t>
  </si>
  <si>
    <t>047:00:36.25 N</t>
  </si>
  <si>
    <t>123:43:42.13 W</t>
  </si>
  <si>
    <t>047:00:36.48 N</t>
  </si>
  <si>
    <t>123:43:44.14 W</t>
  </si>
  <si>
    <t>047:00:36.63 N</t>
  </si>
  <si>
    <t>123:43:46.23 W</t>
  </si>
  <si>
    <t>047:00:36.79 N</t>
  </si>
  <si>
    <t>123:43:47.85 W</t>
  </si>
  <si>
    <t>047:00:36.94 N</t>
  </si>
  <si>
    <t>123:43:49.78 W</t>
  </si>
  <si>
    <t>047:00:37.10 N</t>
  </si>
  <si>
    <t>123:43:51.56 W</t>
  </si>
  <si>
    <t>047:00:37.48 N</t>
  </si>
  <si>
    <t>123:43:53.57 W</t>
  </si>
  <si>
    <t>047:00:37.64 N</t>
  </si>
  <si>
    <t>123:43:55.73 W</t>
  </si>
  <si>
    <t>123:43:57.35 W</t>
  </si>
  <si>
    <t>047:00:37.95 N</t>
  </si>
  <si>
    <t>123:43:59.13 W</t>
  </si>
  <si>
    <t>047:00:38.33 N</t>
  </si>
  <si>
    <t>123:44:01.45 W</t>
  </si>
  <si>
    <t>047:00:38.49 N</t>
  </si>
  <si>
    <t>123:44:03.15 W</t>
  </si>
  <si>
    <t>047:00:38.64 N</t>
  </si>
  <si>
    <t>123:44:05.23 W</t>
  </si>
  <si>
    <t>047:00:38.95 N</t>
  </si>
  <si>
    <t>123:44:07.55 W</t>
  </si>
  <si>
    <t>047:00:39.11 N</t>
  </si>
  <si>
    <t>123:44:09.33 W</t>
  </si>
  <si>
    <t>047:00:39.42 N</t>
  </si>
  <si>
    <t>123:44:11.03 W</t>
  </si>
  <si>
    <t>047:00:39.65 N</t>
  </si>
  <si>
    <t>123:44:12.88 W</t>
  </si>
  <si>
    <t>047:00:39.80 N</t>
  </si>
  <si>
    <t>123:44:15.12 W</t>
  </si>
  <si>
    <t>047:00:39.96 N</t>
  </si>
  <si>
    <t>123:44:16.97 W</t>
  </si>
  <si>
    <t>047:00:40.11 N</t>
  </si>
  <si>
    <t>123:44:18.90 W</t>
  </si>
  <si>
    <t>047:00:40.42 N</t>
  </si>
  <si>
    <t>123:44:20.91 W</t>
  </si>
  <si>
    <t>047:00:40.65 N</t>
  </si>
  <si>
    <t>123:44:22.77 W</t>
  </si>
  <si>
    <t>047:00:40.73 N</t>
  </si>
  <si>
    <t>123:44:24.93 W</t>
  </si>
  <si>
    <t>047:00:41.11 N</t>
  </si>
  <si>
    <t>123:44:27.09 W</t>
  </si>
  <si>
    <t>123:44:29.10 W</t>
  </si>
  <si>
    <t>047:00:41.35 N</t>
  </si>
  <si>
    <t>123:44:30.57 W</t>
  </si>
  <si>
    <t>047:00:41.58 N</t>
  </si>
  <si>
    <t>123:44:32.35 W</t>
  </si>
  <si>
    <t>047:00:41.66 N</t>
  </si>
  <si>
    <t>123:44:34.12 W</t>
  </si>
  <si>
    <t>047:00:41.89 N</t>
  </si>
  <si>
    <t>123:44:36.05 W</t>
  </si>
  <si>
    <t>123:44:37.75 W</t>
  </si>
  <si>
    <t>047:00:42.43 N</t>
  </si>
  <si>
    <t>123:44:39.99 W</t>
  </si>
  <si>
    <t>047:00:42.74 N</t>
  </si>
  <si>
    <t>123:44:41.92 W</t>
  </si>
  <si>
    <t>047:00:42.89 N</t>
  </si>
  <si>
    <t>123:44:43.70 W</t>
  </si>
  <si>
    <t>047:00:42.97 N</t>
  </si>
  <si>
    <t>123:44:45.79 W</t>
  </si>
  <si>
    <t>047:00:43.20 N</t>
  </si>
  <si>
    <t>123:44:47.64 W</t>
  </si>
  <si>
    <t>047:00:43.43 N</t>
  </si>
  <si>
    <t>123:44:49.11 W</t>
  </si>
  <si>
    <t>047:00:43.74 N</t>
  </si>
  <si>
    <t>123:44:51.35 W</t>
  </si>
  <si>
    <t>047:00:43.82 N</t>
  </si>
  <si>
    <t>123:44:52.89 W</t>
  </si>
  <si>
    <t>047:00:44.05 N</t>
  </si>
  <si>
    <t>123:44:55.06 W</t>
  </si>
  <si>
    <t>047:00:44.36 N</t>
  </si>
  <si>
    <t>123:44:56.68 W</t>
  </si>
  <si>
    <t>047:00:44.51 N</t>
  </si>
  <si>
    <t>123:44:58.76 W</t>
  </si>
  <si>
    <t>047:00:44.82 N</t>
  </si>
  <si>
    <t>123:45:00.77 W</t>
  </si>
  <si>
    <t>047:00:45.05 N</t>
  </si>
  <si>
    <t>123:45:02.47 W</t>
  </si>
  <si>
    <t>047:00:45.36 N</t>
  </si>
  <si>
    <t>123:45:04.33 W</t>
  </si>
  <si>
    <t>047:00:45.52 N</t>
  </si>
  <si>
    <t>123:45:06.41 W</t>
  </si>
  <si>
    <t>047:00:45.83 N</t>
  </si>
  <si>
    <t>123:45:08.11 W</t>
  </si>
  <si>
    <t>123:45:10.43 W</t>
  </si>
  <si>
    <t>047:00:46.37 N</t>
  </si>
  <si>
    <t>123:45:12.36 W</t>
  </si>
  <si>
    <t>047:00:46.52 N</t>
  </si>
  <si>
    <t>123:45:13.83 W</t>
  </si>
  <si>
    <t>047:00:46.83 N</t>
  </si>
  <si>
    <t>123:45:15.99 W</t>
  </si>
  <si>
    <t>047:00:46.99 N</t>
  </si>
  <si>
    <t>123:45:18.00 W</t>
  </si>
  <si>
    <t>047:00:47.14 N</t>
  </si>
  <si>
    <t>123:45:19.78 W</t>
  </si>
  <si>
    <t>047:00:47.53 N</t>
  </si>
  <si>
    <t>123:45:21.78 W</t>
  </si>
  <si>
    <t>123:45:23.72 W</t>
  </si>
  <si>
    <t>047:00:47.84 N</t>
  </si>
  <si>
    <t>123:45:25.49 W</t>
  </si>
  <si>
    <t>047:00:47.99 N</t>
  </si>
  <si>
    <t>123:45:27.11 W</t>
  </si>
  <si>
    <t>047:00:48.22 N</t>
  </si>
  <si>
    <t>123:45:29.43 W</t>
  </si>
  <si>
    <t>047:00:48.38 N</t>
  </si>
  <si>
    <t>123:45:31.21 W</t>
  </si>
  <si>
    <t>047:00:48.53 N</t>
  </si>
  <si>
    <t>123:45:33.14 W</t>
  </si>
  <si>
    <t>047:00:48.68 N</t>
  </si>
  <si>
    <t>123:45:35.07 W</t>
  </si>
  <si>
    <t>047:00:48.84 N</t>
  </si>
  <si>
    <t>123:45:37.08 W</t>
  </si>
  <si>
    <t>123:45:38.78 W</t>
  </si>
  <si>
    <t>047:00:49.23 N</t>
  </si>
  <si>
    <t>123:45:41.10 W</t>
  </si>
  <si>
    <t>047:00:49.38 N</t>
  </si>
  <si>
    <t>123:45:42.56 W</t>
  </si>
  <si>
    <t>047:00:49.69 N</t>
  </si>
  <si>
    <t>123:45:44.49 W</t>
  </si>
  <si>
    <t>047:00:49.84 N</t>
  </si>
  <si>
    <t>123:45:46.43 W</t>
  </si>
  <si>
    <t>047:00:50.15 N</t>
  </si>
  <si>
    <t>123:45:48.20 W</t>
  </si>
  <si>
    <t>047:00:50.31 N</t>
  </si>
  <si>
    <t>123:45:50.44 W</t>
  </si>
  <si>
    <t>047:00:50.54 N</t>
  </si>
  <si>
    <t>123:45:52.22 W</t>
  </si>
  <si>
    <t>047:00:50.85 N</t>
  </si>
  <si>
    <t>123:45:54.15 W</t>
  </si>
  <si>
    <t>047:00:51.00 N</t>
  </si>
  <si>
    <t>123:45:56.00 W</t>
  </si>
  <si>
    <t>047:00:51.31 N</t>
  </si>
  <si>
    <t>123:45:58.09 W</t>
  </si>
  <si>
    <t>123:45:59.87 W</t>
  </si>
  <si>
    <t>047:00:51.70 N</t>
  </si>
  <si>
    <t>123:46:01.64 W</t>
  </si>
  <si>
    <t>047:00:51.77 N</t>
  </si>
  <si>
    <t>123:46:03.27 W</t>
  </si>
  <si>
    <t>047:00:52.01 N</t>
  </si>
  <si>
    <t>123:46:05.43 W</t>
  </si>
  <si>
    <t>047:00:52.39 N</t>
  </si>
  <si>
    <t>123:46:07.44 W</t>
  </si>
  <si>
    <t>123:46:09.21 W</t>
  </si>
  <si>
    <t>047:00:52.78 N</t>
  </si>
  <si>
    <t>123:46:10.91 W</t>
  </si>
  <si>
    <t>047:00:53.01 N</t>
  </si>
  <si>
    <t>123:46:12.77 W</t>
  </si>
  <si>
    <t>047:00:53.32 N</t>
  </si>
  <si>
    <t>123:46:14.62 W</t>
  </si>
  <si>
    <t>047:00:53.55 N</t>
  </si>
  <si>
    <t>123:46:16.55 W</t>
  </si>
  <si>
    <t>047:00:53.78 N</t>
  </si>
  <si>
    <t>123:46:18.64 W</t>
  </si>
  <si>
    <t>047:00:53.94 N</t>
  </si>
  <si>
    <t>123:46:20.34 W</t>
  </si>
  <si>
    <t>047:00:54.25 N</t>
  </si>
  <si>
    <t>123:46:22.11 W</t>
  </si>
  <si>
    <t>047:00:54.56 N</t>
  </si>
  <si>
    <t>123:46:23.89 W</t>
  </si>
  <si>
    <t>047:00:54.79 N</t>
  </si>
  <si>
    <t>123:46:25.74 W</t>
  </si>
  <si>
    <t>047:00:55.10 N</t>
  </si>
  <si>
    <t>123:46:27.75 W</t>
  </si>
  <si>
    <t>047:00:55.41 N</t>
  </si>
  <si>
    <t>123:46:29.45 W</t>
  </si>
  <si>
    <t>047:00:55.71 N</t>
  </si>
  <si>
    <t>123:46:31.31 W</t>
  </si>
  <si>
    <t>047:00:55.87 N</t>
  </si>
  <si>
    <t>123:46:33.32 W</t>
  </si>
  <si>
    <t>047:00:56.26 N</t>
  </si>
  <si>
    <t>123:46:35.17 W</t>
  </si>
  <si>
    <t>123:46:36.87 W</t>
  </si>
  <si>
    <t>047:00:56.72 N</t>
  </si>
  <si>
    <t>123:46:38.88 W</t>
  </si>
  <si>
    <t>047:00:56.87 N</t>
  </si>
  <si>
    <t>123:46:40.89 W</t>
  </si>
  <si>
    <t>047:00:57.26 N</t>
  </si>
  <si>
    <t>123:46:42.97 W</t>
  </si>
  <si>
    <t>047:00:57.41 N</t>
  </si>
  <si>
    <t>123:46:44.67 W</t>
  </si>
  <si>
    <t>047:00:57.72 N</t>
  </si>
  <si>
    <t>123:46:46.76 W</t>
  </si>
  <si>
    <t>047:00:57.88 N</t>
  </si>
  <si>
    <t>123:46:48.22 W</t>
  </si>
  <si>
    <t>047:00:58.26 N</t>
  </si>
  <si>
    <t>123:46:50.23 W</t>
  </si>
  <si>
    <t>047:00:58.42 N</t>
  </si>
  <si>
    <t>123:46:52.09 W</t>
  </si>
  <si>
    <t>047:00:58.73 N</t>
  </si>
  <si>
    <t>123:46:53.94 W</t>
  </si>
  <si>
    <t>047:00:59.11 N</t>
  </si>
  <si>
    <t>123:46:55.64 W</t>
  </si>
  <si>
    <t>047:00:59.35 N</t>
  </si>
  <si>
    <t>123:46:57.88 W</t>
  </si>
  <si>
    <t>047:00:59.58 N</t>
  </si>
  <si>
    <t>123:46:59.66 W</t>
  </si>
  <si>
    <t>047:00:59.89 N</t>
  </si>
  <si>
    <t>123:47:01.67 W</t>
  </si>
  <si>
    <t>047:01:00.19 N</t>
  </si>
  <si>
    <t>123:47:03.60 W</t>
  </si>
  <si>
    <t>047:01:00.43 N</t>
  </si>
  <si>
    <t>123:47:05.53 W</t>
  </si>
  <si>
    <t>047:01:00.74 N</t>
  </si>
  <si>
    <t>123:47:07.30 W</t>
  </si>
  <si>
    <t>047:01:00.89 N</t>
  </si>
  <si>
    <t>123:47:08.77 W</t>
  </si>
  <si>
    <t>047:01:01.20 N</t>
  </si>
  <si>
    <t>123:47:11.01 W</t>
  </si>
  <si>
    <t>047:01:01.43 N</t>
  </si>
  <si>
    <t>123:47:12.87 W</t>
  </si>
  <si>
    <t>047:01:01.66 N</t>
  </si>
  <si>
    <t>123:47:14.95 W</t>
  </si>
  <si>
    <t>047:01:01.89 N</t>
  </si>
  <si>
    <t>123:47:16.65 W</t>
  </si>
  <si>
    <t>047:01:02.36 N</t>
  </si>
  <si>
    <t>123:47:18.43 W</t>
  </si>
  <si>
    <t>047:01:02.59 N</t>
  </si>
  <si>
    <t>123:47:20.20 W</t>
  </si>
  <si>
    <t>047:01:02.82 N</t>
  </si>
  <si>
    <t>123:47:22.37 W</t>
  </si>
  <si>
    <t>047:01:03.13 N</t>
  </si>
  <si>
    <t>123:47:23.99 W</t>
  </si>
  <si>
    <t>047:01:03.52 N</t>
  </si>
  <si>
    <t>123:47:26.08 W</t>
  </si>
  <si>
    <t>047:01:03.59 N</t>
  </si>
  <si>
    <t>123:47:27.77 W</t>
  </si>
  <si>
    <t>047:01:03.90 N</t>
  </si>
  <si>
    <t>123:47:29.32 W</t>
  </si>
  <si>
    <t>123:47:31.25 W</t>
  </si>
  <si>
    <t>047:01:04.52 N</t>
  </si>
  <si>
    <t>123:47:33.26 W</t>
  </si>
  <si>
    <t>047:01:04.75 N</t>
  </si>
  <si>
    <t>123:47:35.19 W</t>
  </si>
  <si>
    <t>047:01:05.14 N</t>
  </si>
  <si>
    <t>123:47:37.20 W</t>
  </si>
  <si>
    <t>123:47:39.21 W</t>
  </si>
  <si>
    <t>047:01:05.68 N</t>
  </si>
  <si>
    <t>123:47:40.68 W</t>
  </si>
  <si>
    <t>047:01:05.91 N</t>
  </si>
  <si>
    <t>123:47:42.53 W</t>
  </si>
  <si>
    <t>047:01:06.14 N</t>
  </si>
  <si>
    <t>123:47:44.31 W</t>
  </si>
  <si>
    <t>047:01:06.45 N</t>
  </si>
  <si>
    <t>123:47:46.31 W</t>
  </si>
  <si>
    <t>047:01:06.76 N</t>
  </si>
  <si>
    <t>123:47:48.09 W</t>
  </si>
  <si>
    <t>047:01:06.99 N</t>
  </si>
  <si>
    <t>123:47:49.79 W</t>
  </si>
  <si>
    <t>047:01:07.30 N</t>
  </si>
  <si>
    <t>123:47:52.03 W</t>
  </si>
  <si>
    <t>123:47:53.65 W</t>
  </si>
  <si>
    <t>047:01:08.00 N</t>
  </si>
  <si>
    <t>123:47:55.43 W</t>
  </si>
  <si>
    <t>047:01:08.15 N</t>
  </si>
  <si>
    <t>123:47:57.21 W</t>
  </si>
  <si>
    <t>047:01:08.46 N</t>
  </si>
  <si>
    <t>123:47:59.21 W</t>
  </si>
  <si>
    <t>047:01:08.77 N</t>
  </si>
  <si>
    <t>123:48:01.30 W</t>
  </si>
  <si>
    <t>123:48:03.31 W</t>
  </si>
  <si>
    <t>047:01:09.46 N</t>
  </si>
  <si>
    <t>123:48:05.09 W</t>
  </si>
  <si>
    <t>047:01:09.77 N</t>
  </si>
  <si>
    <t>123:48:06.86 W</t>
  </si>
  <si>
    <t>047:01:10.01 N</t>
  </si>
  <si>
    <t>123:48:08.64 W</t>
  </si>
  <si>
    <t>047:01:10.24 N</t>
  </si>
  <si>
    <t>123:48:10.11 W</t>
  </si>
  <si>
    <t>047:01:10.47 N</t>
  </si>
  <si>
    <t>123:48:11.96 W</t>
  </si>
  <si>
    <t>047:01:10.78 N</t>
  </si>
  <si>
    <t>123:48:13.81 W</t>
  </si>
  <si>
    <t>047:01:11.16 N</t>
  </si>
  <si>
    <t>123:48:15.44 W</t>
  </si>
  <si>
    <t>047:01:11.47 N</t>
  </si>
  <si>
    <t>123:48:17.75 W</t>
  </si>
  <si>
    <t>123:48:19.30 W</t>
  </si>
  <si>
    <t>047:01:12.01 N</t>
  </si>
  <si>
    <t>123:48:21.31 W</t>
  </si>
  <si>
    <t>047:01:12.32 N</t>
  </si>
  <si>
    <t>123:48:22.85 W</t>
  </si>
  <si>
    <t>047:01:12.55 N</t>
  </si>
  <si>
    <t>123:48:24.94 W</t>
  </si>
  <si>
    <t>047:01:12.79 N</t>
  </si>
  <si>
    <t>123:48:26.64 W</t>
  </si>
  <si>
    <t>123:48:28.41 W</t>
  </si>
  <si>
    <t>047:01:13.40 N</t>
  </si>
  <si>
    <t>123:48:30.58 W</t>
  </si>
  <si>
    <t>047:01:13.79 N</t>
  </si>
  <si>
    <t>123:48:32.43 W</t>
  </si>
  <si>
    <t>047:01:14.18 N</t>
  </si>
  <si>
    <t>123:48:34.75 W</t>
  </si>
  <si>
    <t>047:01:14.33 N</t>
  </si>
  <si>
    <t>123:48:36.29 W</t>
  </si>
  <si>
    <t>047:01:14.72 N</t>
  </si>
  <si>
    <t>123:48:37.99 W</t>
  </si>
  <si>
    <t>047:01:15.03 N</t>
  </si>
  <si>
    <t>123:48:39.85 W</t>
  </si>
  <si>
    <t>047:01:15.18 N</t>
  </si>
  <si>
    <t>123:48:41.62 W</t>
  </si>
  <si>
    <t>047:01:15.49 N</t>
  </si>
  <si>
    <t>123:48:43.63 W</t>
  </si>
  <si>
    <t>047:01:15.88 N</t>
  </si>
  <si>
    <t>123:48:45.41 W</t>
  </si>
  <si>
    <t>047:01:16.19 N</t>
  </si>
  <si>
    <t>123:48:47.19 W</t>
  </si>
  <si>
    <t>047:01:16.65 N</t>
  </si>
  <si>
    <t>123:48:49.43 W</t>
  </si>
  <si>
    <t>123:48:51.36 W</t>
  </si>
  <si>
    <t>047:01:17.34 N</t>
  </si>
  <si>
    <t>123:48:53.21 W</t>
  </si>
  <si>
    <t>047:01:17.65 N</t>
  </si>
  <si>
    <t>123:48:55.06 W</t>
  </si>
  <si>
    <t>047:01:17.81 N</t>
  </si>
  <si>
    <t>123:48:56.84 W</t>
  </si>
  <si>
    <t>123:48:58.54 W</t>
  </si>
  <si>
    <t>047:01:18.50 N</t>
  </si>
  <si>
    <t>123:49:00.55 W</t>
  </si>
  <si>
    <t>047:01:18.89 N</t>
  </si>
  <si>
    <t>123:49:02.09 W</t>
  </si>
  <si>
    <t>047:01:19.12 N</t>
  </si>
  <si>
    <t>123:49:03.95 W</t>
  </si>
  <si>
    <t>123:49:05.72 W</t>
  </si>
  <si>
    <t>047:01:19.97 N</t>
  </si>
  <si>
    <t>123:49:07.96 W</t>
  </si>
  <si>
    <t>047:01:20.20 N</t>
  </si>
  <si>
    <t>123:49:09.74 W</t>
  </si>
  <si>
    <t>123:49:11.67 W</t>
  </si>
  <si>
    <t>047:01:20.97 N</t>
  </si>
  <si>
    <t>123:49:13.84 W</t>
  </si>
  <si>
    <t>047:01:21.36 N</t>
  </si>
  <si>
    <t>123:49:15.84 W</t>
  </si>
  <si>
    <t>047:01:21.59 N</t>
  </si>
  <si>
    <t>123:49:17.54 W</t>
  </si>
  <si>
    <t>047:01:22.06 N</t>
  </si>
  <si>
    <t>123:49:19.40 W</t>
  </si>
  <si>
    <t>047:01:22.29 N</t>
  </si>
  <si>
    <t>123:49:21.25 W</t>
  </si>
  <si>
    <t>047:01:22.52 N</t>
  </si>
  <si>
    <t>123:49:23.18 W</t>
  </si>
  <si>
    <t>047:01:22.91 N</t>
  </si>
  <si>
    <t>123:49:24.65 W</t>
  </si>
  <si>
    <t>047:01:23.21 N</t>
  </si>
  <si>
    <t>123:49:26.43 W</t>
  </si>
  <si>
    <t>047:01:23.52 N</t>
  </si>
  <si>
    <t>123:49:28.20 W</t>
  </si>
  <si>
    <t>047:01:23.76 N</t>
  </si>
  <si>
    <t>123:49:29.90 W</t>
  </si>
  <si>
    <t>047:01:24.06 N</t>
  </si>
  <si>
    <t>123:49:31.68 W</t>
  </si>
  <si>
    <t>047:01:24.45 N</t>
  </si>
  <si>
    <t>123:49:33.92 W</t>
  </si>
  <si>
    <t>047:01:24.68 N</t>
  </si>
  <si>
    <t>123:49:35.62 W</t>
  </si>
  <si>
    <t>047:01:25.07 N</t>
  </si>
  <si>
    <t>123:49:37.63 W</t>
  </si>
  <si>
    <t>047:01:25.45 N</t>
  </si>
  <si>
    <t>123:49:39.56 W</t>
  </si>
  <si>
    <t>047:01:25.69 N</t>
  </si>
  <si>
    <t>123:49:41.41 W</t>
  </si>
  <si>
    <t>047:01:26.07 N</t>
  </si>
  <si>
    <t>123:49:43.19 W</t>
  </si>
  <si>
    <t>047:01:26.38 N</t>
  </si>
  <si>
    <t>123:49:45.04 W</t>
  </si>
  <si>
    <t>047:01:26.69 N</t>
  </si>
  <si>
    <t>123:49:46.97 W</t>
  </si>
  <si>
    <t>047:01:27.08 N</t>
  </si>
  <si>
    <t>123:49:49.06 W</t>
  </si>
  <si>
    <t>123:49:50.91 W</t>
  </si>
  <si>
    <t>047:01:27.69 N</t>
  </si>
  <si>
    <t>123:49:52.69 W</t>
  </si>
  <si>
    <t>047:01:28.24 N</t>
  </si>
  <si>
    <t>123:49:54.62 W</t>
  </si>
  <si>
    <t>047:01:28.54 N</t>
  </si>
  <si>
    <t>123:49:56.40 W</t>
  </si>
  <si>
    <t>047:01:28.85 N</t>
  </si>
  <si>
    <t>123:49:58.33 W</t>
  </si>
  <si>
    <t>047:01:29.24 N</t>
  </si>
  <si>
    <t>123:50:00.42 W</t>
  </si>
  <si>
    <t>047:01:29.55 N</t>
  </si>
  <si>
    <t>123:50:02.58 W</t>
  </si>
  <si>
    <t>047:01:29.86 N</t>
  </si>
  <si>
    <t>123:50:04.05 W</t>
  </si>
  <si>
    <t>047:01:30.09 N</t>
  </si>
  <si>
    <t>123:50:05.98 W</t>
  </si>
  <si>
    <t>047:01:30.40 N</t>
  </si>
  <si>
    <t>123:50:07.75 W</t>
  </si>
  <si>
    <t>047:01:30.78 N</t>
  </si>
  <si>
    <t>123:50:09.84 W</t>
  </si>
  <si>
    <t>123:50:11.69 W</t>
  </si>
  <si>
    <t>047:01:31.48 N</t>
  </si>
  <si>
    <t>123:50:13.93 W</t>
  </si>
  <si>
    <t>047:01:31.79 N</t>
  </si>
  <si>
    <t>123:50:15.87 W</t>
  </si>
  <si>
    <t>047:01:32.25 N</t>
  </si>
  <si>
    <t>123:50:17.95 W</t>
  </si>
  <si>
    <t>047:01:32.48 N</t>
  </si>
  <si>
    <t>123:50:19.88 W</t>
  </si>
  <si>
    <t>047:01:32.87 N</t>
  </si>
  <si>
    <t>123:50:21.58 W</t>
  </si>
  <si>
    <t>047:01:33.10 N</t>
  </si>
  <si>
    <t>123:50:23.51 W</t>
  </si>
  <si>
    <t>047:01:33.49 N</t>
  </si>
  <si>
    <t>123:50:25.52 W</t>
  </si>
  <si>
    <t>047:01:33.80 N</t>
  </si>
  <si>
    <t>123:50:27.53 W</t>
  </si>
  <si>
    <t>123:50:29.23 W</t>
  </si>
  <si>
    <t>047:01:34.57 N</t>
  </si>
  <si>
    <t>123:50:31.08 W</t>
  </si>
  <si>
    <t>047:01:34.96 N</t>
  </si>
  <si>
    <t>123:50:33.17 W</t>
  </si>
  <si>
    <t>047:01:35.27 N</t>
  </si>
  <si>
    <t>123:50:35.18 W</t>
  </si>
  <si>
    <t>047:01:35.50 N</t>
  </si>
  <si>
    <t>123:50:36.95 W</t>
  </si>
  <si>
    <t>047:01:35.81 N</t>
  </si>
  <si>
    <t>123:50:38.89 W</t>
  </si>
  <si>
    <t>047:01:36.11 N</t>
  </si>
  <si>
    <t>123:50:40.97 W</t>
  </si>
  <si>
    <t>047:01:36.42 N</t>
  </si>
  <si>
    <t>123:50:42.75 W</t>
  </si>
  <si>
    <t>123:50:44.83 W</t>
  </si>
  <si>
    <t>047:01:37.12 N</t>
  </si>
  <si>
    <t>123:50:46.30 W</t>
  </si>
  <si>
    <t>047:01:37.43 N</t>
  </si>
  <si>
    <t>123:50:48.31 W</t>
  </si>
  <si>
    <t>047:01:37.81 N</t>
  </si>
  <si>
    <t>123:50:50.16 W</t>
  </si>
  <si>
    <t>123:50:52.02 W</t>
  </si>
  <si>
    <t>047:01:38.43 N</t>
  </si>
  <si>
    <t>123:50:54.18 W</t>
  </si>
  <si>
    <t>047:01:38.82 N</t>
  </si>
  <si>
    <t>123:50:56.19 W</t>
  </si>
  <si>
    <t>047:01:39.13 N</t>
  </si>
  <si>
    <t>123:50:57.97 W</t>
  </si>
  <si>
    <t>047:01:39.59 N</t>
  </si>
  <si>
    <t>123:50:59.90 W</t>
  </si>
  <si>
    <t>047:01:39.90 N</t>
  </si>
  <si>
    <t>123:51:02.14 W</t>
  </si>
  <si>
    <t>047:01:40.44 N</t>
  </si>
  <si>
    <t>123:51:04.07 W</t>
  </si>
  <si>
    <t>047:01:41.06 N</t>
  </si>
  <si>
    <t>123:51:07.08 W</t>
  </si>
  <si>
    <t>047:01:41.45 N</t>
  </si>
  <si>
    <t>123:51:08.86 W</t>
  </si>
  <si>
    <t>047:01:41.91 N</t>
  </si>
  <si>
    <t>123:51:10.79 W</t>
  </si>
  <si>
    <t>047:01:42.14 N</t>
  </si>
  <si>
    <t>123:51:12.41 W</t>
  </si>
  <si>
    <t>047:01:42.45 N</t>
  </si>
  <si>
    <t>123:51:14.19 W</t>
  </si>
  <si>
    <t>047:01:42.99 N</t>
  </si>
  <si>
    <t>123:51:16.27 W</t>
  </si>
  <si>
    <t>047:01:43.30 N</t>
  </si>
  <si>
    <t>123:51:18.05 W</t>
  </si>
  <si>
    <t>047:01:43.69 N</t>
  </si>
  <si>
    <t>123:51:19.67 W</t>
  </si>
  <si>
    <t>047:01:44.23 N</t>
  </si>
  <si>
    <t>123:51:21.91 W</t>
  </si>
  <si>
    <t>047:01:44.53 N</t>
  </si>
  <si>
    <t>123:51:24.15 W</t>
  </si>
  <si>
    <t>047:01:44.84 N</t>
  </si>
  <si>
    <t>123:51:25.85 W</t>
  </si>
  <si>
    <t>047:01:45.15 N</t>
  </si>
  <si>
    <t>123:51:27.63 W</t>
  </si>
  <si>
    <t>047:01:45.69 N</t>
  </si>
  <si>
    <t>123:51:29.56 W</t>
  </si>
  <si>
    <t>047:01:46.00 N</t>
  </si>
  <si>
    <t>123:51:31.18 W</t>
  </si>
  <si>
    <t>047:01:46.31 N</t>
  </si>
  <si>
    <t>123:51:33.27 W</t>
  </si>
  <si>
    <t>047:01:46.85 N</t>
  </si>
  <si>
    <t>123:51:35.28 W</t>
  </si>
  <si>
    <t>047:01:47.32 N</t>
  </si>
  <si>
    <t>123:51:37.28 W</t>
  </si>
  <si>
    <t>047:01:47.70 N</t>
  </si>
  <si>
    <t>123:51:39.45 W</t>
  </si>
  <si>
    <t>047:01:48.01 N</t>
  </si>
  <si>
    <t>123:51:41.30 W</t>
  </si>
  <si>
    <t>047:01:48.47 N</t>
  </si>
  <si>
    <t>123:51:42.92 W</t>
  </si>
  <si>
    <t>047:01:48.86 N</t>
  </si>
  <si>
    <t>123:51:44.85 W</t>
  </si>
  <si>
    <t>047:01:49.32 N</t>
  </si>
  <si>
    <t>123:51:47.17 W</t>
  </si>
  <si>
    <t>123:51:49.49 W</t>
  </si>
  <si>
    <t>047:01:50.33 N</t>
  </si>
  <si>
    <t>123:51:51.50 W</t>
  </si>
  <si>
    <t>047:01:50.71 N</t>
  </si>
  <si>
    <t>123:51:52.97 W</t>
  </si>
  <si>
    <t>047:01:51.02 N</t>
  </si>
  <si>
    <t>123:51:55.05 W</t>
  </si>
  <si>
    <t>047:01:51.49 N</t>
  </si>
  <si>
    <t>123:51:56.98 W</t>
  </si>
  <si>
    <t>047:01:51.95 N</t>
  </si>
  <si>
    <t>123:51:58.76 W</t>
  </si>
  <si>
    <t>047:01:52.26 N</t>
  </si>
  <si>
    <t>123:52:00.69 W</t>
  </si>
  <si>
    <t>047:01:52.72 N</t>
  </si>
  <si>
    <t>123:52:02.62 W</t>
  </si>
  <si>
    <t>047:01:53.11 N</t>
  </si>
  <si>
    <t>123:52:04.71 W</t>
  </si>
  <si>
    <t>047:01:53.57 N</t>
  </si>
  <si>
    <t>123:52:06.41 W</t>
  </si>
  <si>
    <t>047:01:53.96 N</t>
  </si>
  <si>
    <t>123:52:08.11 W</t>
  </si>
  <si>
    <t>047:01:54.35 N</t>
  </si>
  <si>
    <t>123:52:09.96 W</t>
  </si>
  <si>
    <t>047:01:54.73 N</t>
  </si>
  <si>
    <t>123:52:12.12 W</t>
  </si>
  <si>
    <t>047:01:55.04 N</t>
  </si>
  <si>
    <t>123:52:13.82 W</t>
  </si>
  <si>
    <t>047:01:55.58 N</t>
  </si>
  <si>
    <t>123:52:15.52 W</t>
  </si>
  <si>
    <t>123:52:17.61 W</t>
  </si>
  <si>
    <t>047:01:56.20 N</t>
  </si>
  <si>
    <t>123:52:19.15 W</t>
  </si>
  <si>
    <t>047:01:56.59 N</t>
  </si>
  <si>
    <t>123:52:20.77 W</t>
  </si>
  <si>
    <t>047:01:56.89 N</t>
  </si>
  <si>
    <t>123:52:22.63 W</t>
  </si>
  <si>
    <t>047:01:57.36 N</t>
  </si>
  <si>
    <t>123:52:24.48 W</t>
  </si>
  <si>
    <t>047:01:57.74 N</t>
  </si>
  <si>
    <t>123:52:26.49 W</t>
  </si>
  <si>
    <t>047:01:58.05 N</t>
  </si>
  <si>
    <t>123:52:28.50 W</t>
  </si>
  <si>
    <t>047:01:58.44 N</t>
  </si>
  <si>
    <t>123:52:30.28 W</t>
  </si>
  <si>
    <t>047:01:58.67 N</t>
  </si>
  <si>
    <t>123:52:32.13 W</t>
  </si>
  <si>
    <t>047:01:59.21 N</t>
  </si>
  <si>
    <t>123:52:34.37 W</t>
  </si>
  <si>
    <t>047:01:59.52 N</t>
  </si>
  <si>
    <t>123:52:35.84 W</t>
  </si>
  <si>
    <t>123:52:37.61 W</t>
  </si>
  <si>
    <t>047:02:00.22 N</t>
  </si>
  <si>
    <t>123:52:39.55 W</t>
  </si>
  <si>
    <t>047:02:00.53 N</t>
  </si>
  <si>
    <t>123:52:41.48 W</t>
  </si>
  <si>
    <t>047:02:00.91 N</t>
  </si>
  <si>
    <t>123:52:43.72 W</t>
  </si>
  <si>
    <t>047:02:01.37 N</t>
  </si>
  <si>
    <t>123:52:45.19 W</t>
  </si>
  <si>
    <t>047:02:01.76 N</t>
  </si>
  <si>
    <t>123:52:47.27 W</t>
  </si>
  <si>
    <t>123:52:49.43 W</t>
  </si>
  <si>
    <t>047:02:02.61 N</t>
  </si>
  <si>
    <t>123:52:51.06 W</t>
  </si>
  <si>
    <t>047:02:03.00 N</t>
  </si>
  <si>
    <t>123:52:53.14 W</t>
  </si>
  <si>
    <t>123:52:55.15 W</t>
  </si>
  <si>
    <t>047:02:03.62 N</t>
  </si>
  <si>
    <t>123:52:56.85 W</t>
  </si>
  <si>
    <t>047:02:04.08 N</t>
  </si>
  <si>
    <t>123:52:58.94 W</t>
  </si>
  <si>
    <t>047:02:04.46 N</t>
  </si>
  <si>
    <t>123:53:00.79 W</t>
  </si>
  <si>
    <t>047:02:05.01 N</t>
  </si>
  <si>
    <t>123:53:03.03 W</t>
  </si>
  <si>
    <t>047:02:05.47 N</t>
  </si>
  <si>
    <t>123:53:04.73 W</t>
  </si>
  <si>
    <t>047:02:05.78 N</t>
  </si>
  <si>
    <t>123:53:06.81 W</t>
  </si>
  <si>
    <t>047:02:06.32 N</t>
  </si>
  <si>
    <t>123:53:08.44 W</t>
  </si>
  <si>
    <t>047:02:06.63 N</t>
  </si>
  <si>
    <t>123:53:10.68 W</t>
  </si>
  <si>
    <t>047:02:07.09 N</t>
  </si>
  <si>
    <t>123:53:12.38 W</t>
  </si>
  <si>
    <t>047:02:07.48 N</t>
  </si>
  <si>
    <t>123:53:14.38 W</t>
  </si>
  <si>
    <t>047:02:07.94 N</t>
  </si>
  <si>
    <t>123:53:16.39 W</t>
  </si>
  <si>
    <t>047:02:08.25 N</t>
  </si>
  <si>
    <t>123:53:18.32 W</t>
  </si>
  <si>
    <t>047:02:08.56 N</t>
  </si>
  <si>
    <t>123:53:20.33 W</t>
  </si>
  <si>
    <t>047:02:08.95 N</t>
  </si>
  <si>
    <t>123:53:21.96 W</t>
  </si>
  <si>
    <t>047:02:09.49 N</t>
  </si>
  <si>
    <t>123:53:24.27 W</t>
  </si>
  <si>
    <t>047:02:09.79 N</t>
  </si>
  <si>
    <t>123:53:25.82 W</t>
  </si>
  <si>
    <t>047:02:10.26 N</t>
  </si>
  <si>
    <t>123:53:27.75 W</t>
  </si>
  <si>
    <t>047:02:10.49 N</t>
  </si>
  <si>
    <t>123:53:29.83 W</t>
  </si>
  <si>
    <t>047:02:10.95 N</t>
  </si>
  <si>
    <t>123:53:31.84 W</t>
  </si>
  <si>
    <t>047:02:11.26 N</t>
  </si>
  <si>
    <t>123:53:33.93 W</t>
  </si>
  <si>
    <t>047:02:11.65 N</t>
  </si>
  <si>
    <t>123:53:35.71 W</t>
  </si>
  <si>
    <t>047:02:11.88 N</t>
  </si>
  <si>
    <t>123:53:37.64 W</t>
  </si>
  <si>
    <t>047:02:12.11 N</t>
  </si>
  <si>
    <t>123:53:39.49 W</t>
  </si>
  <si>
    <t>123:53:41.04 W</t>
  </si>
  <si>
    <t>047:02:12.73 N</t>
  </si>
  <si>
    <t>123:53:43.04 W</t>
  </si>
  <si>
    <t>047:02:12.96 N</t>
  </si>
  <si>
    <t>123:53:45.05 W</t>
  </si>
  <si>
    <t>047:02:13.35 N</t>
  </si>
  <si>
    <t>123:53:47.06 W</t>
  </si>
  <si>
    <t>047:02:13.66 N</t>
  </si>
  <si>
    <t>123:53:48.84 W</t>
  </si>
  <si>
    <t>047:02:13.97 N</t>
  </si>
  <si>
    <t>123:53:50.92 W</t>
  </si>
  <si>
    <t>047:02:14.20 N</t>
  </si>
  <si>
    <t>123:53:52.93 W</t>
  </si>
  <si>
    <t>047:02:14.51 N</t>
  </si>
  <si>
    <t>123:53:54.71 W</t>
  </si>
  <si>
    <t>047:02:14.82 N</t>
  </si>
  <si>
    <t>123:53:56.48 W</t>
  </si>
  <si>
    <t>047:02:15.12 N</t>
  </si>
  <si>
    <t>123:53:58.72 W</t>
  </si>
  <si>
    <t>047:02:15.51 N</t>
  </si>
  <si>
    <t>123:54:00.89 W</t>
  </si>
  <si>
    <t>047:02:15.82 N</t>
  </si>
  <si>
    <t>123:54:02.59 W</t>
  </si>
  <si>
    <t>047:02:16.21 N</t>
  </si>
  <si>
    <t>123:54:04.60 W</t>
  </si>
  <si>
    <t>123:54:06.06 W</t>
  </si>
  <si>
    <t>047:02:16.82 N</t>
  </si>
  <si>
    <t>123:54:08.30 W</t>
  </si>
  <si>
    <t>047:02:17.21 N</t>
  </si>
  <si>
    <t>123:54:10.16 W</t>
  </si>
  <si>
    <t>047:02:17.52 N</t>
  </si>
  <si>
    <t>123:54:12.24 W</t>
  </si>
  <si>
    <t>047:02:17.83 N</t>
  </si>
  <si>
    <t>123:54:14.25 W</t>
  </si>
  <si>
    <t>047:02:18.14 N</t>
  </si>
  <si>
    <t>123:54:15.95 W</t>
  </si>
  <si>
    <t>047:02:18.68 N</t>
  </si>
  <si>
    <t>123:54:18.42 W</t>
  </si>
  <si>
    <t>047:02:18.99 N</t>
  </si>
  <si>
    <t>123:54:20.59 W</t>
  </si>
  <si>
    <t>047:02:19.30 N</t>
  </si>
  <si>
    <t>123:54:22.36 W</t>
  </si>
  <si>
    <t>047:02:19.61 N</t>
  </si>
  <si>
    <t>123:54:24.06 W</t>
  </si>
  <si>
    <t>047:02:19.84 N</t>
  </si>
  <si>
    <t>123:54:25.92 W</t>
  </si>
  <si>
    <t>047:02:20.38 N</t>
  </si>
  <si>
    <t>123:54:27.92 W</t>
  </si>
  <si>
    <t>047:02:20.61 N</t>
  </si>
  <si>
    <t>123:54:29.78 W</t>
  </si>
  <si>
    <t>047:02:21.00 N</t>
  </si>
  <si>
    <t>123:54:31.94 W</t>
  </si>
  <si>
    <t>047:02:21.38 N</t>
  </si>
  <si>
    <t>123:54:33.72 W</t>
  </si>
  <si>
    <t>047:02:21.77 N</t>
  </si>
  <si>
    <t>123:54:35.49 W</t>
  </si>
  <si>
    <t>047:02:22.00 N</t>
  </si>
  <si>
    <t>123:54:37.58 W</t>
  </si>
  <si>
    <t>047:02:22.46 N</t>
  </si>
  <si>
    <t>123:54:39.43 W</t>
  </si>
  <si>
    <t>047:02:22.85 N</t>
  </si>
  <si>
    <t>123:54:41.37 W</t>
  </si>
  <si>
    <t>047:02:23.24 N</t>
  </si>
  <si>
    <t>123:54:43.37 W</t>
  </si>
  <si>
    <t>123:54:45.38 W</t>
  </si>
  <si>
    <t>047:02:24.01 N</t>
  </si>
  <si>
    <t>123:54:47.47 W</t>
  </si>
  <si>
    <t>047:02:24.55 N</t>
  </si>
  <si>
    <t>123:54:50.25 W</t>
  </si>
  <si>
    <t>047:02:24.94 N</t>
  </si>
  <si>
    <t>123:54:52.26 W</t>
  </si>
  <si>
    <t>047:02:25.40 N</t>
  </si>
  <si>
    <t>123:54:54.27 W</t>
  </si>
  <si>
    <t>047:02:25.71 N</t>
  </si>
  <si>
    <t>123:54:56.04 W</t>
  </si>
  <si>
    <t>047:02:26.09 N</t>
  </si>
  <si>
    <t>123:54:57.97 W</t>
  </si>
  <si>
    <t>047:02:26.40 N</t>
  </si>
  <si>
    <t>123:54:59.91 W</t>
  </si>
  <si>
    <t>047:02:26.87 N</t>
  </si>
  <si>
    <t>123:55:01.91 W</t>
  </si>
  <si>
    <t>047:02:27.25 N</t>
  </si>
  <si>
    <t>123:55:03.92 W</t>
  </si>
  <si>
    <t>047:02:27.72 N</t>
  </si>
  <si>
    <t>123:55:05.70 W</t>
  </si>
  <si>
    <t>047:02:28.03 N</t>
  </si>
  <si>
    <t>123:55:07.86 W</t>
  </si>
  <si>
    <t>047:02:28.57 N</t>
  </si>
  <si>
    <t>123:55:09.48 W</t>
  </si>
  <si>
    <t>047:02:28.72 N</t>
  </si>
  <si>
    <t>123:55:11.26 W</t>
  </si>
  <si>
    <t>047:02:29.18 N</t>
  </si>
  <si>
    <t>123:55:13.04 W</t>
  </si>
  <si>
    <t>047:02:29.72 N</t>
  </si>
  <si>
    <t>123:55:15.05 W</t>
  </si>
  <si>
    <t>047:02:30.03 N</t>
  </si>
  <si>
    <t>123:55:16.74 W</t>
  </si>
  <si>
    <t>047:02:30.50 N</t>
  </si>
  <si>
    <t>123:55:18.75 W</t>
  </si>
  <si>
    <t>047:02:30.81 N</t>
  </si>
  <si>
    <t>123:55:20.45 W</t>
  </si>
  <si>
    <t>047:02:31.12 N</t>
  </si>
  <si>
    <t>123:55:22.15 W</t>
  </si>
  <si>
    <t>047:02:31.58 N</t>
  </si>
  <si>
    <t>123:55:24.16 W</t>
  </si>
  <si>
    <t>047:02:32.12 N</t>
  </si>
  <si>
    <t>123:55:26.48 W</t>
  </si>
  <si>
    <t>174-11</t>
  </si>
  <si>
    <t>S18</t>
  </si>
  <si>
    <t>047:02:32.51 N</t>
  </si>
  <si>
    <t>123:55:28.33 W</t>
  </si>
  <si>
    <t>047:02:32.89 N</t>
  </si>
  <si>
    <t>123:55:30.26 W</t>
  </si>
  <si>
    <t>047:02:33.28 N</t>
  </si>
  <si>
    <t>123:55:31.81 W</t>
  </si>
  <si>
    <t>047:02:33.51 N</t>
  </si>
  <si>
    <t>123:55:33.58 W</t>
  </si>
  <si>
    <t>123:55:35.36 W</t>
  </si>
  <si>
    <t>047:02:34.28 N</t>
  </si>
  <si>
    <t>123:55:37.29 W</t>
  </si>
  <si>
    <t>047:02:34.75 N</t>
  </si>
  <si>
    <t>123:55:39.15 W</t>
  </si>
  <si>
    <t>047:02:34.90 N</t>
  </si>
  <si>
    <t>123:55:40.69 W</t>
  </si>
  <si>
    <t>047:02:35.44 N</t>
  </si>
  <si>
    <t>123:55:42.70 W</t>
  </si>
  <si>
    <t>047:02:35.75 N</t>
  </si>
  <si>
    <t>123:55:44.48 W</t>
  </si>
  <si>
    <t>047:02:36.14 N</t>
  </si>
  <si>
    <t>123:55:46.49 W</t>
  </si>
  <si>
    <t>047:02:36.60 N</t>
  </si>
  <si>
    <t>123:55:48.42 W</t>
  </si>
  <si>
    <t>047:02:36.99 N</t>
  </si>
  <si>
    <t>123:55:50.27 W</t>
  </si>
  <si>
    <t>047:02:37.30 N</t>
  </si>
  <si>
    <t>123:55:52.36 W</t>
  </si>
  <si>
    <t>047:02:37.76 N</t>
  </si>
  <si>
    <t>123:55:54.29 W</t>
  </si>
  <si>
    <t>047:02:38.14 N</t>
  </si>
  <si>
    <t>123:55:56.14 W</t>
  </si>
  <si>
    <t>047:02:38.45 N</t>
  </si>
  <si>
    <t>123:55:57.92 W</t>
  </si>
  <si>
    <t>047:02:38.76 N</t>
  </si>
  <si>
    <t>123:55:59.77 W</t>
  </si>
  <si>
    <t>047:02:39.15 N</t>
  </si>
  <si>
    <t>123:56:01.47 W</t>
  </si>
  <si>
    <t>047:02:39.38 N</t>
  </si>
  <si>
    <t>123:56:03.48 W</t>
  </si>
  <si>
    <t>047:02:39.77 N</t>
  </si>
  <si>
    <t>123:56:05.26 W</t>
  </si>
  <si>
    <t>047:02:40.08 N</t>
  </si>
  <si>
    <t>123:56:07.19 W</t>
  </si>
  <si>
    <t>047:02:40.46 N</t>
  </si>
  <si>
    <t>123:56:09.04 W</t>
  </si>
  <si>
    <t>123:56:10.90 W</t>
  </si>
  <si>
    <t>047:02:41.00 N</t>
  </si>
  <si>
    <t>123:56:12.90 W</t>
  </si>
  <si>
    <t>047:02:41.31 N</t>
  </si>
  <si>
    <t>123:56:14.91 W</t>
  </si>
  <si>
    <t>047:02:41.62 N</t>
  </si>
  <si>
    <t>123:56:16.69 W</t>
  </si>
  <si>
    <t>047:02:42.08 N</t>
  </si>
  <si>
    <t>123:56:18.54 W</t>
  </si>
  <si>
    <t>123:56:20.47 W</t>
  </si>
  <si>
    <t>047:02:42.55 N</t>
  </si>
  <si>
    <t>123:56:22.25 W</t>
  </si>
  <si>
    <t>047:02:43.01 N</t>
  </si>
  <si>
    <t>123:56:24.26 W</t>
  </si>
  <si>
    <t>047:02:43.17 N</t>
  </si>
  <si>
    <t>123:56:26.19 W</t>
  </si>
  <si>
    <t>047:02:43.55 N</t>
  </si>
  <si>
    <t>123:56:28.20 W</t>
  </si>
  <si>
    <t>047:02:43.78 N</t>
  </si>
  <si>
    <t>123:56:30.13 W</t>
  </si>
  <si>
    <t>047:02:44.17 N</t>
  </si>
  <si>
    <t>123:56:31.91 W</t>
  </si>
  <si>
    <t>047:02:44.56 N</t>
  </si>
  <si>
    <t>123:56:33.84 W</t>
  </si>
  <si>
    <t>047:02:45.02 N</t>
  </si>
  <si>
    <t>123:56:35.69 W</t>
  </si>
  <si>
    <t>047:02:45.33 N</t>
  </si>
  <si>
    <t>123:56:37.85 W</t>
  </si>
  <si>
    <t>047:02:45.64 N</t>
  </si>
  <si>
    <t>123:56:39.71 W</t>
  </si>
  <si>
    <t>047:02:46.02 N</t>
  </si>
  <si>
    <t>123:56:41.56 W</t>
  </si>
  <si>
    <t>047:02:46.49 N</t>
  </si>
  <si>
    <t>123:56:43.49 W</t>
  </si>
  <si>
    <t>047:02:47.03 N</t>
  </si>
  <si>
    <t>123:56:46.35 W</t>
  </si>
  <si>
    <t>047:02:47.34 N</t>
  </si>
  <si>
    <t>123:56:48.21 W</t>
  </si>
  <si>
    <t>123:56:50.14 W</t>
  </si>
  <si>
    <t>047:02:48.11 N</t>
  </si>
  <si>
    <t>123:56:51.91 W</t>
  </si>
  <si>
    <t>047:02:48.50 N</t>
  </si>
  <si>
    <t>123:56:53.92 W</t>
  </si>
  <si>
    <t>047:02:48.96 N</t>
  </si>
  <si>
    <t>123:56:55.62 W</t>
  </si>
  <si>
    <t>047:02:49.35 N</t>
  </si>
  <si>
    <t>123:56:57.71 W</t>
  </si>
  <si>
    <t>047:02:49.81 N</t>
  </si>
  <si>
    <t>123:56:59.56 W</t>
  </si>
  <si>
    <t>047:02:50.20 N</t>
  </si>
  <si>
    <t>123:57:01.26 W</t>
  </si>
  <si>
    <t>047:02:50.58 N</t>
  </si>
  <si>
    <t>123:57:03.27 W</t>
  </si>
  <si>
    <t>047:02:51.20 N</t>
  </si>
  <si>
    <t>123:57:05.12 W</t>
  </si>
  <si>
    <t>047:02:51.66 N</t>
  </si>
  <si>
    <t>123:57:07.13 W</t>
  </si>
  <si>
    <t>047:02:52.28 N</t>
  </si>
  <si>
    <t>123:57:08.99 W</t>
  </si>
  <si>
    <t>047:02:52.67 N</t>
  </si>
  <si>
    <t>123:57:10.69 W</t>
  </si>
  <si>
    <t>047:02:53.29 N</t>
  </si>
  <si>
    <t>123:57:12.93 W</t>
  </si>
  <si>
    <t>047:02:53.67 N</t>
  </si>
  <si>
    <t>123:57:14.47 W</t>
  </si>
  <si>
    <t>047:02:54.21 N</t>
  </si>
  <si>
    <t>123:57:16.40 W</t>
  </si>
  <si>
    <t>123:57:21.04 W</t>
  </si>
  <si>
    <t>047:02:56.22 N</t>
  </si>
  <si>
    <t>123:57:22.58 W</t>
  </si>
  <si>
    <t>123:57:25.36 W</t>
  </si>
  <si>
    <t>047:02:57.53 N</t>
  </si>
  <si>
    <t>123:57:26.98 W</t>
  </si>
  <si>
    <t>047:02:58.23 N</t>
  </si>
  <si>
    <t>123:57:28.92 W</t>
  </si>
  <si>
    <t>047:02:58.85 N</t>
  </si>
  <si>
    <t>123:57:30.69 W</t>
  </si>
  <si>
    <t>047:02:59.23 N</t>
  </si>
  <si>
    <t>123:57:32.24 W</t>
  </si>
  <si>
    <t>047:02:59.85 N</t>
  </si>
  <si>
    <t>123:57:34.17 W</t>
  </si>
  <si>
    <t>047:03:00.39 N</t>
  </si>
  <si>
    <t>123:57:36.02 W</t>
  </si>
  <si>
    <t>047:03:01.01 N</t>
  </si>
  <si>
    <t>123:57:37.64 W</t>
  </si>
  <si>
    <t>047:03:01.55 N</t>
  </si>
  <si>
    <t>123:57:39.58 W</t>
  </si>
  <si>
    <t>047:03:02.17 N</t>
  </si>
  <si>
    <t>123:57:41.35 W</t>
  </si>
  <si>
    <t>047:03:02.56 N</t>
  </si>
  <si>
    <t>123:57:42.90 W</t>
  </si>
  <si>
    <t>047:03:03.33 N</t>
  </si>
  <si>
    <t>123:57:45.06 W</t>
  </si>
  <si>
    <t>047:03:03.95 N</t>
  </si>
  <si>
    <t>123:57:47.69 W</t>
  </si>
  <si>
    <t>047:03:04.56 N</t>
  </si>
  <si>
    <t>123:57:49.70 W</t>
  </si>
  <si>
    <t>047:03:05.26 N</t>
  </si>
  <si>
    <t>123:57:51.70 W</t>
  </si>
  <si>
    <t>047:03:05.80 N</t>
  </si>
  <si>
    <t>123:57:53.25 W</t>
  </si>
  <si>
    <t>047:03:06.26 N</t>
  </si>
  <si>
    <t>123:57:55.03 W</t>
  </si>
  <si>
    <t>047:03:07.11 N</t>
  </si>
  <si>
    <t>123:57:57.81 W</t>
  </si>
  <si>
    <t>047:03:07.73 N</t>
  </si>
  <si>
    <t>123:57:59.66 W</t>
  </si>
  <si>
    <t>123:58:02.36 W</t>
  </si>
  <si>
    <t>047:03:08.89 N</t>
  </si>
  <si>
    <t>123:58:04.06 W</t>
  </si>
  <si>
    <t>047:03:09.43 N</t>
  </si>
  <si>
    <t>123:58:05.92 W</t>
  </si>
  <si>
    <t>047:03:09.89 N</t>
  </si>
  <si>
    <t>123:58:07.77 W</t>
  </si>
  <si>
    <t>047:03:10.28 N</t>
  </si>
  <si>
    <t>123:58:09.78 W</t>
  </si>
  <si>
    <t>047:03:10.82 N</t>
  </si>
  <si>
    <t>123:58:11.79 W</t>
  </si>
  <si>
    <t>047:03:11.21 N</t>
  </si>
  <si>
    <t>123:58:13.72 W</t>
  </si>
  <si>
    <t>047:03:11.67 N</t>
  </si>
  <si>
    <t>123:58:15.80 W</t>
  </si>
  <si>
    <t>047:03:12.13 N</t>
  </si>
  <si>
    <t>123:58:17.89 W</t>
  </si>
  <si>
    <t>123:58:19.67 W</t>
  </si>
  <si>
    <t>047:03:12.83 N</t>
  </si>
  <si>
    <t>123:58:21.68 W</t>
  </si>
  <si>
    <t>047:03:13.22 N</t>
  </si>
  <si>
    <t>123:58:23.38 W</t>
  </si>
  <si>
    <t>047:03:13.68 N</t>
  </si>
  <si>
    <t>123:58:25.23 W</t>
  </si>
  <si>
    <t>047:03:13.99 N</t>
  </si>
  <si>
    <t>123:58:27.01 W</t>
  </si>
  <si>
    <t>047:03:14.37 N</t>
  </si>
  <si>
    <t>123:58:28.55 W</t>
  </si>
  <si>
    <t>047:03:14.68 N</t>
  </si>
  <si>
    <t>123:58:30.56 W</t>
  </si>
  <si>
    <t>123:58:32.26 W</t>
  </si>
  <si>
    <t>047:03:15.69 N</t>
  </si>
  <si>
    <t>123:58:35.27 W</t>
  </si>
  <si>
    <t>047:03:16.00 N</t>
  </si>
  <si>
    <t>123:58:36.97 W</t>
  </si>
  <si>
    <t>047:03:16.46 N</t>
  </si>
  <si>
    <t>123:58:38.98 W</t>
  </si>
  <si>
    <t>047:03:16.85 N</t>
  </si>
  <si>
    <t>123:58:40.68 W</t>
  </si>
  <si>
    <t>047:03:17.15 N</t>
  </si>
  <si>
    <t>123:58:42.46 W</t>
  </si>
  <si>
    <t>047:03:17.62 N</t>
  </si>
  <si>
    <t>123:58:44.15 W</t>
  </si>
  <si>
    <t>047:03:18.00 N</t>
  </si>
  <si>
    <t>123:58:46.24 W</t>
  </si>
  <si>
    <t>047:03:18.47 N</t>
  </si>
  <si>
    <t>123:58:48.09 W</t>
  </si>
  <si>
    <t>047:03:18.85 N</t>
  </si>
  <si>
    <t>123:58:50.03 W</t>
  </si>
  <si>
    <t>047:03:19.16 N</t>
  </si>
  <si>
    <t>123:58:52.11 W</t>
  </si>
  <si>
    <t>047:03:19.63 N</t>
  </si>
  <si>
    <t>123:58:53.81 W</t>
  </si>
  <si>
    <t>047:03:19.94 N</t>
  </si>
  <si>
    <t>123:58:55.51 W</t>
  </si>
  <si>
    <t>047:03:20.32 N</t>
  </si>
  <si>
    <t>123:58:57.67 W</t>
  </si>
  <si>
    <t>047:03:20.71 N</t>
  </si>
  <si>
    <t>123:58:59.68 W</t>
  </si>
  <si>
    <t>047:03:21.09 N</t>
  </si>
  <si>
    <t>123:59:01.92 W</t>
  </si>
  <si>
    <t>123:59:03.93 W</t>
  </si>
  <si>
    <t>047:03:21.79 N</t>
  </si>
  <si>
    <t>123:59:05.63 W</t>
  </si>
  <si>
    <t>047:03:22.02 N</t>
  </si>
  <si>
    <t>123:59:07.33 W</t>
  </si>
  <si>
    <t>047:03:22.56 N</t>
  </si>
  <si>
    <t>123:59:10.34 W</t>
  </si>
  <si>
    <t>047:03:23.10 N</t>
  </si>
  <si>
    <t>123:59:12.35 W</t>
  </si>
  <si>
    <t>047:03:23.33 N</t>
  </si>
  <si>
    <t>123:59:14.13 W</t>
  </si>
  <si>
    <t>047:03:23.72 N</t>
  </si>
  <si>
    <t>123:59:15.90 W</t>
  </si>
  <si>
    <t>047:03:24.18 N</t>
  </si>
  <si>
    <t>123:59:17.91 W</t>
  </si>
  <si>
    <t>047:03:24.57 N</t>
  </si>
  <si>
    <t>123:59:20.00 W</t>
  </si>
  <si>
    <t>047:03:24.88 N</t>
  </si>
  <si>
    <t>123:59:21.77 W</t>
  </si>
  <si>
    <t>047:03:25.19 N</t>
  </si>
  <si>
    <t>123:59:23.55 W</t>
  </si>
  <si>
    <t>047:03:25.73 N</t>
  </si>
  <si>
    <t>123:59:25.17 W</t>
  </si>
  <si>
    <t>047:03:26.04 N</t>
  </si>
  <si>
    <t>123:59:27.10 W</t>
  </si>
  <si>
    <t>047:03:26.35 N</t>
  </si>
  <si>
    <t>123:59:29.11 W</t>
  </si>
  <si>
    <t>047:03:26.89 N</t>
  </si>
  <si>
    <t>123:59:31.12 W</t>
  </si>
  <si>
    <t>047:03:27.43 N</t>
  </si>
  <si>
    <t>123:59:33.13 W</t>
  </si>
  <si>
    <t>047:03:27.74 N</t>
  </si>
  <si>
    <t>123:59:34.91 W</t>
  </si>
  <si>
    <t>047:03:28.05 N</t>
  </si>
  <si>
    <t>123:59:36.53 W</t>
  </si>
  <si>
    <t>047:03:28.43 N</t>
  </si>
  <si>
    <t>123:59:38.46 W</t>
  </si>
  <si>
    <t>047:03:28.82 N</t>
  </si>
  <si>
    <t>123:59:40.47 W</t>
  </si>
  <si>
    <t>123:59:42.55 W</t>
  </si>
  <si>
    <t>047:03:29.67 N</t>
  </si>
  <si>
    <t>123:59:44.72 W</t>
  </si>
  <si>
    <t>047:03:30.13 N</t>
  </si>
  <si>
    <t>123:59:46.96 W</t>
  </si>
  <si>
    <t>047:03:30.60 N</t>
  </si>
  <si>
    <t>123:59:48.66 W</t>
  </si>
  <si>
    <t>047:03:30.98 N</t>
  </si>
  <si>
    <t>123:59:50.90 W</t>
  </si>
  <si>
    <t>047:03:31.45 N</t>
  </si>
  <si>
    <t>123:59:52.91 W</t>
  </si>
  <si>
    <t>123:59:56.23 W</t>
  </si>
  <si>
    <t>047:03:32.30 N</t>
  </si>
  <si>
    <t>123:59:58.08 W</t>
  </si>
  <si>
    <t>047:03:32.76 N</t>
  </si>
  <si>
    <t>124:00:00.01 W</t>
  </si>
  <si>
    <t>047:03:33.30 N</t>
  </si>
  <si>
    <t>124:00:02.72 W</t>
  </si>
  <si>
    <t>047:03:33.61 N</t>
  </si>
  <si>
    <t>124:00:04.57 W</t>
  </si>
  <si>
    <t>047:03:34.07 N</t>
  </si>
  <si>
    <t>124:00:06.35 W</t>
  </si>
  <si>
    <t>047:03:34.46 N</t>
  </si>
  <si>
    <t>124:00:08.66 W</t>
  </si>
  <si>
    <t>047:03:34.77 N</t>
  </si>
  <si>
    <t>124:00:10.90 W</t>
  </si>
  <si>
    <t>047:03:35.23 N</t>
  </si>
  <si>
    <t>124:00:12.68 W</t>
  </si>
  <si>
    <t>047:03:35.62 N</t>
  </si>
  <si>
    <t>124:00:14.84 W</t>
  </si>
  <si>
    <t>124:00:17.01 W</t>
  </si>
  <si>
    <t>047:03:36.23 N</t>
  </si>
  <si>
    <t>124:00:18.55 W</t>
  </si>
  <si>
    <t>047:03:36.62 N</t>
  </si>
  <si>
    <t>124:00:20.56 W</t>
  </si>
  <si>
    <t>047:03:37.08 N</t>
  </si>
  <si>
    <t>124:00:22.80 W</t>
  </si>
  <si>
    <t>047:03:37.47 N</t>
  </si>
  <si>
    <t>124:00:24.35 W</t>
  </si>
  <si>
    <t>047:03:37.93 N</t>
  </si>
  <si>
    <t>124:00:26.74 W</t>
  </si>
  <si>
    <t>047:03:38.24 N</t>
  </si>
  <si>
    <t>124:00:28.67 W</t>
  </si>
  <si>
    <t>047:03:38.63 N</t>
  </si>
  <si>
    <t>124:00:30.99 W</t>
  </si>
  <si>
    <t>047:03:39.09 N</t>
  </si>
  <si>
    <t>124:00:32.92 W</t>
  </si>
  <si>
    <t>124:00:34.77 W</t>
  </si>
  <si>
    <t>047:03:39.71 N</t>
  </si>
  <si>
    <t>124:00:36.63 W</t>
  </si>
  <si>
    <t>047:03:40.25 N</t>
  </si>
  <si>
    <t>124:00:38.33 W</t>
  </si>
  <si>
    <t>047:03:40.56 N</t>
  </si>
  <si>
    <t>124:00:40.57 W</t>
  </si>
  <si>
    <t>047:03:40.95 N</t>
  </si>
  <si>
    <t>124:00:42.34 W</t>
  </si>
  <si>
    <t>047:03:41.33 N</t>
  </si>
  <si>
    <t>124:00:44.12 W</t>
  </si>
  <si>
    <t>047:03:41.72 N</t>
  </si>
  <si>
    <t>124:00:45.97 W</t>
  </si>
  <si>
    <t>047:03:42.03 N</t>
  </si>
  <si>
    <t>124:00:48.21 W</t>
  </si>
  <si>
    <t>047:03:42.34 N</t>
  </si>
  <si>
    <t>124:00:49.68 W</t>
  </si>
  <si>
    <t>047:03:42.65 N</t>
  </si>
  <si>
    <t>124:00:51.54 W</t>
  </si>
  <si>
    <t>047:03:43.03 N</t>
  </si>
  <si>
    <t>124:00:53.70 W</t>
  </si>
  <si>
    <t>124:00:56.17 W</t>
  </si>
  <si>
    <t>047:03:43.50 N</t>
  </si>
  <si>
    <t>124:00:57.87 W</t>
  </si>
  <si>
    <t>047:03:43.81 N</t>
  </si>
  <si>
    <t>124:00:59.34 W</t>
  </si>
  <si>
    <t>047:03:44.19 N</t>
  </si>
  <si>
    <t>124:01:01.35 W</t>
  </si>
  <si>
    <t>047:03:44.50 N</t>
  </si>
  <si>
    <t>124:01:03.20 W</t>
  </si>
  <si>
    <t>124:01:05.29 W</t>
  </si>
  <si>
    <t>047:03:45.20 N</t>
  </si>
  <si>
    <t>124:01:07.29 W</t>
  </si>
  <si>
    <t>047:03:45.50 N</t>
  </si>
  <si>
    <t>124:01:08.99 W</t>
  </si>
  <si>
    <t>047:03:45.97 N</t>
  </si>
  <si>
    <t>124:01:10.69 W</t>
  </si>
  <si>
    <t>047:03:46.66 N</t>
  </si>
  <si>
    <t>124:01:12.32 W</t>
  </si>
  <si>
    <t>047:03:47.13 N</t>
  </si>
  <si>
    <t>124:01:13.71 W</t>
  </si>
  <si>
    <t>047:03:47.98 N</t>
  </si>
  <si>
    <t>124:01:15.17 W</t>
  </si>
  <si>
    <t>047:03:48.83 N</t>
  </si>
  <si>
    <t>124:01:16.64 W</t>
  </si>
  <si>
    <t>047:03:49.68 N</t>
  </si>
  <si>
    <t>124:01:17.88 W</t>
  </si>
  <si>
    <t>047:03:50.76 N</t>
  </si>
  <si>
    <t>124:01:19.11 W</t>
  </si>
  <si>
    <t>047:03:52.07 N</t>
  </si>
  <si>
    <t>124:01:20.12 W</t>
  </si>
  <si>
    <t>047:03:53.23 N</t>
  </si>
  <si>
    <t>124:01:20.89 W</t>
  </si>
  <si>
    <t>047:03:54.54 N</t>
  </si>
  <si>
    <t>124:01:21.59 W</t>
  </si>
  <si>
    <t>047:03:55.86 N</t>
  </si>
  <si>
    <t>124:01:21.89 W</t>
  </si>
  <si>
    <t>047:03:57.32 N</t>
  </si>
  <si>
    <t>124:01:21.82 W</t>
  </si>
  <si>
    <t>047:03:58.56 N</t>
  </si>
  <si>
    <t>047:03:59.87 N</t>
  </si>
  <si>
    <t>124:01:21.43 W</t>
  </si>
  <si>
    <t>047:04:01.19 N</t>
  </si>
  <si>
    <t>047:04:02.11 N</t>
  </si>
  <si>
    <t>047:04:03.27 N</t>
  </si>
  <si>
    <t>124:01:17.65 W</t>
  </si>
  <si>
    <t>047:04:05.28 N</t>
  </si>
  <si>
    <t>124:01:16.18 W</t>
  </si>
  <si>
    <t>047:04:06.13 N</t>
  </si>
  <si>
    <t>124:01:14.32 W</t>
  </si>
  <si>
    <t>047:04:06.59 N</t>
  </si>
  <si>
    <t>124:01:12.55 W</t>
  </si>
  <si>
    <t>047:04:07.06 N</t>
  </si>
  <si>
    <t>124:01:10.46 W</t>
  </si>
  <si>
    <t>047:04:07.29 N</t>
  </si>
  <si>
    <t>124:01:08.45 W</t>
  </si>
  <si>
    <t>047:04:07.13 N</t>
  </si>
  <si>
    <t>124:01:06.44 W</t>
  </si>
  <si>
    <t>124:01:04.44 W</t>
  </si>
  <si>
    <t>047:04:06.75 N</t>
  </si>
  <si>
    <t>124:01:02.58 W</t>
  </si>
  <si>
    <t>047:04:06.28 N</t>
  </si>
  <si>
    <t>124:01:00.34 W</t>
  </si>
  <si>
    <t>124:00:58.87 W</t>
  </si>
  <si>
    <t>047:04:05.13 N</t>
  </si>
  <si>
    <t>124:00:57.10 W</t>
  </si>
  <si>
    <t>047:04:04.28 N</t>
  </si>
  <si>
    <t>124:00:55.17 W</t>
  </si>
  <si>
    <t>047:04:03.58 N</t>
  </si>
  <si>
    <t>124:00:53.54 W</t>
  </si>
  <si>
    <t>047:04:02.81 N</t>
  </si>
  <si>
    <t>124:00:51.92 W</t>
  </si>
  <si>
    <t>047:04:01.88 N</t>
  </si>
  <si>
    <t>124:00:50.22 W</t>
  </si>
  <si>
    <t>047:04:01.26 N</t>
  </si>
  <si>
    <t>124:00:48.68 W</t>
  </si>
  <si>
    <t>124:00:46.90 W</t>
  </si>
  <si>
    <t>047:03:59.49 N</t>
  </si>
  <si>
    <t>124:00:45.28 W</t>
  </si>
  <si>
    <t>124:00:43.89 W</t>
  </si>
  <si>
    <t>047:03:58.02 N</t>
  </si>
  <si>
    <t>124:00:42.27 W</t>
  </si>
  <si>
    <t>047:03:57.09 N</t>
  </si>
  <si>
    <t>047:03:56.40 N</t>
  </si>
  <si>
    <t>124:00:39.10 W</t>
  </si>
  <si>
    <t>047:03:55.55 N</t>
  </si>
  <si>
    <t>124:00:37.55 W</t>
  </si>
  <si>
    <t>047:03:54.85 N</t>
  </si>
  <si>
    <t>124:00:36.40 W</t>
  </si>
  <si>
    <t>047:03:54.00 N</t>
  </si>
  <si>
    <t>047:03:53.38 N</t>
  </si>
  <si>
    <t>124:00:33.54 W</t>
  </si>
  <si>
    <t>047:03:52.61 N</t>
  </si>
  <si>
    <t>124:00:32.38 W</t>
  </si>
  <si>
    <t>047:03:51.68 N</t>
  </si>
  <si>
    <t>047:03:50.68 N</t>
  </si>
  <si>
    <t>124:00:29.44 W</t>
  </si>
  <si>
    <t>047:03:49.75 N</t>
  </si>
  <si>
    <t>124:00:27.98 W</t>
  </si>
  <si>
    <t>124:00:26.66 W</t>
  </si>
  <si>
    <t>047:03:47.82 N</t>
  </si>
  <si>
    <t>124:00:25.12 W</t>
  </si>
  <si>
    <t>124:00:23.73 W</t>
  </si>
  <si>
    <t>047:03:46.20 N</t>
  </si>
  <si>
    <t>124:00:22.34 W</t>
  </si>
  <si>
    <t>124:00:20.79 W</t>
  </si>
  <si>
    <t>047:03:44.81 N</t>
  </si>
  <si>
    <t>124:00:19.32 W</t>
  </si>
  <si>
    <t>124:00:17.86 W</t>
  </si>
  <si>
    <t>047:03:43.65 N</t>
  </si>
  <si>
    <t>124:00:16.31 W</t>
  </si>
  <si>
    <t>124:00:14.61 W</t>
  </si>
  <si>
    <t>124:00:12.99 W</t>
  </si>
  <si>
    <t>124:00:11.44 W</t>
  </si>
  <si>
    <t>124:00:09.44 W</t>
  </si>
  <si>
    <t>124:00:07.66 W</t>
  </si>
  <si>
    <t>047:03:41.49 N</t>
  </si>
  <si>
    <t>124:00:05.88 W</t>
  </si>
  <si>
    <t>047:03:41.41 N</t>
  </si>
  <si>
    <t>124:00:03.72 W</t>
  </si>
  <si>
    <t>047:03:41.18 N</t>
  </si>
  <si>
    <t>124:00:02.02 W</t>
  </si>
  <si>
    <t>123:59:59.78 W</t>
  </si>
  <si>
    <t>047:03:41.10 N</t>
  </si>
  <si>
    <t>123:59:58.00 W</t>
  </si>
  <si>
    <t>123:59:56.07 W</t>
  </si>
  <si>
    <t>123:59:53.99 W</t>
  </si>
  <si>
    <t>047:03:41.57 N</t>
  </si>
  <si>
    <t>123:59:51.90 W</t>
  </si>
  <si>
    <t>047:03:41.80 N</t>
  </si>
  <si>
    <t>123:59:50.43 W</t>
  </si>
  <si>
    <t>047:03:42.18 N</t>
  </si>
  <si>
    <t>047:03:42.49 N</t>
  </si>
  <si>
    <t>123:59:44.79 W</t>
  </si>
  <si>
    <t>047:03:42.80 N</t>
  </si>
  <si>
    <t>123:59:42.01 W</t>
  </si>
  <si>
    <t>123:59:40.00 W</t>
  </si>
  <si>
    <t>047:03:43.11 N</t>
  </si>
  <si>
    <t>123:59:38.00 W</t>
  </si>
  <si>
    <t>123:59:35.91 W</t>
  </si>
  <si>
    <t>123:59:34.21 W</t>
  </si>
  <si>
    <t>123:59:32.36 W</t>
  </si>
  <si>
    <t>123:59:30.66 W</t>
  </si>
  <si>
    <t>123:59:28.57 W</t>
  </si>
  <si>
    <t>123:59:26.64 W</t>
  </si>
  <si>
    <t>123:59:25.02 W</t>
  </si>
  <si>
    <t>123:59:21.93 W</t>
  </si>
  <si>
    <t>123:59:20.23 W</t>
  </si>
  <si>
    <t>123:59:18.45 W</t>
  </si>
  <si>
    <t>047:03:43.19 N</t>
  </si>
  <si>
    <t>123:59:16.75 W</t>
  </si>
  <si>
    <t>123:59:15.05 W</t>
  </si>
  <si>
    <t>123:59:13.82 W</t>
  </si>
  <si>
    <t>123:59:12.66 W</t>
  </si>
  <si>
    <t>123:59:11.11 W</t>
  </si>
  <si>
    <t>123:59:09.80 W</t>
  </si>
  <si>
    <t>123:59:08.57 W</t>
  </si>
  <si>
    <t>123:59:07.02 W</t>
  </si>
  <si>
    <t>123:59:05.86 W</t>
  </si>
  <si>
    <t>123:59:04.55 W</t>
  </si>
  <si>
    <t>123:59:03.39 W</t>
  </si>
  <si>
    <t>123:59:02.46 W</t>
  </si>
  <si>
    <t>047:03:43.96 N</t>
  </si>
  <si>
    <t>123:59:01.23 W</t>
  </si>
  <si>
    <t>047:03:44.35 N</t>
  </si>
  <si>
    <t>123:59:00.45 W</t>
  </si>
  <si>
    <t>123:58:59.45 W</t>
  </si>
  <si>
    <t>047:03:45.66 N</t>
  </si>
  <si>
    <t>123:58:58.91 W</t>
  </si>
  <si>
    <t>047:03:46.82 N</t>
  </si>
  <si>
    <t>123:58:58.68 W</t>
  </si>
  <si>
    <t>047:03:47.67 N</t>
  </si>
  <si>
    <t>123:58:58.75 W</t>
  </si>
  <si>
    <t>047:03:48.29 N</t>
  </si>
  <si>
    <t>123:58:59.22 W</t>
  </si>
  <si>
    <t>047:03:48.98 N</t>
  </si>
  <si>
    <t>123:58:59.91 W</t>
  </si>
  <si>
    <t>047:03:49.60 N</t>
  </si>
  <si>
    <t>123:59:00.69 W</t>
  </si>
  <si>
    <t>047:03:49.99 N</t>
  </si>
  <si>
    <t>123:59:01.69 W</t>
  </si>
  <si>
    <t>047:03:50.29 N</t>
  </si>
  <si>
    <t>123:59:02.93 W</t>
  </si>
  <si>
    <t>047:03:50.45 N</t>
  </si>
  <si>
    <t>123:59:04.16 W</t>
  </si>
  <si>
    <t>123:59:05.24 W</t>
  </si>
  <si>
    <t>123:59:06.40 W</t>
  </si>
  <si>
    <t>123:59:07.41 W</t>
  </si>
  <si>
    <t>123:59:08.87 W</t>
  </si>
  <si>
    <t>123:59:11.89 W</t>
  </si>
  <si>
    <t>047:03:50.53 N</t>
  </si>
  <si>
    <t>123:59:12.89 W</t>
  </si>
  <si>
    <t>047:03:50.60 N</t>
  </si>
  <si>
    <t>123:59:15.52 W</t>
  </si>
  <si>
    <t>123:59:16.68 W</t>
  </si>
  <si>
    <t>123:59:17.68 W</t>
  </si>
  <si>
    <t>047:03:50.37 N</t>
  </si>
  <si>
    <t>123:59:19.23 W</t>
  </si>
  <si>
    <t>123:59:20.46 W</t>
  </si>
  <si>
    <t>123:59:22.70 W</t>
  </si>
  <si>
    <t>123:59:24.17 W</t>
  </si>
  <si>
    <t>123:59:25.56 W</t>
  </si>
  <si>
    <t>123:59:26.41 W</t>
  </si>
  <si>
    <t>047:03:50.83 N</t>
  </si>
  <si>
    <t>123:59:27.80 W</t>
  </si>
  <si>
    <t>047:03:50.99 N</t>
  </si>
  <si>
    <t>123:59:28.88 W</t>
  </si>
  <si>
    <t>047:03:51.30 N</t>
  </si>
  <si>
    <t>123:59:30.12 W</t>
  </si>
  <si>
    <t>047:03:51.38 N</t>
  </si>
  <si>
    <t>047:03:51.61 N</t>
  </si>
  <si>
    <t>123:59:32.13 W</t>
  </si>
  <si>
    <t>047:03:51.84 N</t>
  </si>
  <si>
    <t>123:59:34.06 W</t>
  </si>
  <si>
    <t>123:59:35.22 W</t>
  </si>
  <si>
    <t>123:59:36.30 W</t>
  </si>
  <si>
    <t>047:03:51.99 N</t>
  </si>
  <si>
    <t>123:59:37.22 W</t>
  </si>
  <si>
    <t>047:03:51.53 N</t>
  </si>
  <si>
    <t>123:59:38.23 W</t>
  </si>
  <si>
    <t>047:03:50.91 N</t>
  </si>
  <si>
    <t>123:59:39.00 W</t>
  </si>
  <si>
    <t>123:59:39.46 W</t>
  </si>
  <si>
    <t>047:03:48.67 N</t>
  </si>
  <si>
    <t>123:59:40.24 W</t>
  </si>
  <si>
    <t>123:59:40.55 W</t>
  </si>
  <si>
    <t>047:03:41.87 N</t>
  </si>
  <si>
    <t>123:59:39.77 W</t>
  </si>
  <si>
    <t>123:59:39.23 W</t>
  </si>
  <si>
    <t>123:59:38.77 W</t>
  </si>
  <si>
    <t>047:03:37.78 N</t>
  </si>
  <si>
    <t>047:03:36.78 N</t>
  </si>
  <si>
    <t>123:59:37.76 W</t>
  </si>
  <si>
    <t>047:03:35.31 N</t>
  </si>
  <si>
    <t>123:59:37.69 W</t>
  </si>
  <si>
    <t>047:03:32.91 N</t>
  </si>
  <si>
    <t>047:03:32.14 N</t>
  </si>
  <si>
    <t>123:59:38.54 W</t>
  </si>
  <si>
    <t>047:03:31.60 N</t>
  </si>
  <si>
    <t>047:03:30.83 N</t>
  </si>
  <si>
    <t>047:03:30.36 N</t>
  </si>
  <si>
    <t>123:59:40.78 W</t>
  </si>
  <si>
    <t>047:03:29.82 N</t>
  </si>
  <si>
    <t>047:03:29.44 N</t>
  </si>
  <si>
    <t>123:59:42.79 W</t>
  </si>
  <si>
    <t>123:59:43.79 W</t>
  </si>
  <si>
    <t>047:03:29.05 N</t>
  </si>
  <si>
    <t>123:59:44.95 W</t>
  </si>
  <si>
    <t>123:59:46.11 W</t>
  </si>
  <si>
    <t>123:59:47.19 W</t>
  </si>
  <si>
    <t>047:03:29.59 N</t>
  </si>
  <si>
    <t>123:59:48.35 W</t>
  </si>
  <si>
    <t>047:03:29.90 N</t>
  </si>
  <si>
    <t>123:59:49.12 W</t>
  </si>
  <si>
    <t>123:59:50.12 W</t>
  </si>
  <si>
    <t>047:03:31.06 N</t>
  </si>
  <si>
    <t>123:59:51.13 W</t>
  </si>
  <si>
    <t>047:03:31.83 N</t>
  </si>
  <si>
    <t>047:03:32.60 N</t>
  </si>
  <si>
    <t>123:59:52.44 W</t>
  </si>
  <si>
    <t>047:03:33.45 N</t>
  </si>
  <si>
    <t>047:03:34.30 N</t>
  </si>
  <si>
    <t>123:59:53.37 W</t>
  </si>
  <si>
    <t>047:03:35.08 N</t>
  </si>
  <si>
    <t>047:03:35.77 N</t>
  </si>
  <si>
    <t>123:59:54.37 W</t>
  </si>
  <si>
    <t>123:59:54.45 W</t>
  </si>
  <si>
    <t>123:59:54.84 W</t>
  </si>
  <si>
    <t>123:59:55.45 W</t>
  </si>
  <si>
    <t>047:03:38.55 N</t>
  </si>
  <si>
    <t>123:59:55.84 W</t>
  </si>
  <si>
    <t>047:03:39.32 N</t>
  </si>
  <si>
    <t>047:03:39.79 N</t>
  </si>
  <si>
    <t>123:59:56.77 W</t>
  </si>
  <si>
    <t>123:59:57.08 W</t>
  </si>
  <si>
    <t>123:59:57.46 W</t>
  </si>
  <si>
    <t>123:59:57.77 W</t>
  </si>
  <si>
    <t>047:03:42.72 N</t>
  </si>
  <si>
    <t>123:59:58.24 W</t>
  </si>
  <si>
    <t>123:59:58.54 W</t>
  </si>
  <si>
    <t>123:59:58.78 W</t>
  </si>
  <si>
    <t>047:03:46.51 N</t>
  </si>
  <si>
    <t>123:59:59.01 W</t>
  </si>
  <si>
    <t>047:03:47.28 N</t>
  </si>
  <si>
    <t>123:59:59.32 W</t>
  </si>
  <si>
    <t>047:03:48.21 N</t>
  </si>
  <si>
    <t>123:59:59.55 W</t>
  </si>
  <si>
    <t>047:03:52.53 N</t>
  </si>
  <si>
    <t>047:03:54.23 N</t>
  </si>
  <si>
    <t>047:03:55.08 N</t>
  </si>
  <si>
    <t>123:59:58.31 W</t>
  </si>
  <si>
    <t>047:03:56.24 N</t>
  </si>
  <si>
    <t>123:59:57.00 W</t>
  </si>
  <si>
    <t>047:03:56.86 N</t>
  </si>
  <si>
    <t>123:59:56.30 W</t>
  </si>
  <si>
    <t>047:03:57.40 N</t>
  </si>
  <si>
    <t>047:03:58.10 N</t>
  </si>
  <si>
    <t>047:03:58.48 N</t>
  </si>
  <si>
    <t>123:59:53.60 W</t>
  </si>
  <si>
    <t>047:03:58.87 N</t>
  </si>
  <si>
    <t>123:59:52.21 W</t>
  </si>
  <si>
    <t>047:03:59.02 N</t>
  </si>
  <si>
    <t>047:03:59.10 N</t>
  </si>
  <si>
    <t>123:59:49.89 W</t>
  </si>
  <si>
    <t>123:59:47.58 W</t>
  </si>
  <si>
    <t>047:03:58.17 N</t>
  </si>
  <si>
    <t>123:59:46.65 W</t>
  </si>
  <si>
    <t>047:03:57.71 N</t>
  </si>
  <si>
    <t>123:59:45.72 W</t>
  </si>
  <si>
    <t>047:03:56.09 N</t>
  </si>
  <si>
    <t>123:59:44.56 W</t>
  </si>
  <si>
    <t>047:03:55.39 N</t>
  </si>
  <si>
    <t>123:59:44.33 W</t>
  </si>
  <si>
    <t>047:03:53.54 N</t>
  </si>
  <si>
    <t>123:59:44.18 W</t>
  </si>
  <si>
    <t>047:03:51.76 N</t>
  </si>
  <si>
    <t>123:59:43.94 W</t>
  </si>
  <si>
    <t>123:59:43.56 W</t>
  </si>
  <si>
    <t>123:59:43.25 W</t>
  </si>
  <si>
    <t>047:03:49.21 N</t>
  </si>
  <si>
    <t>047:03:47.36 N</t>
  </si>
  <si>
    <t>123:59:41.55 W</t>
  </si>
  <si>
    <t>123:59:41.01 W</t>
  </si>
  <si>
    <t>123:59:35.83 W</t>
  </si>
  <si>
    <t>123:59:35.45 W</t>
  </si>
  <si>
    <t>047:03:33.99 N</t>
  </si>
  <si>
    <t>123:59:35.29 W</t>
  </si>
  <si>
    <t>047:03:31.99 N</t>
  </si>
  <si>
    <t>123:59:34.83 W</t>
  </si>
  <si>
    <t>047:03:31.14 N</t>
  </si>
  <si>
    <t>123:59:34.60 W</t>
  </si>
  <si>
    <t>047:03:30.44 N</t>
  </si>
  <si>
    <t>123:59:34.44 W</t>
  </si>
  <si>
    <t>047:03:29.75 N</t>
  </si>
  <si>
    <t>123:59:33.83 W</t>
  </si>
  <si>
    <t>047:03:27.35 N</t>
  </si>
  <si>
    <t>123:59:33.59 W</t>
  </si>
  <si>
    <t>047:03:26.58 N</t>
  </si>
  <si>
    <t>123:59:33.44 W</t>
  </si>
  <si>
    <t>047:03:25.88 N</t>
  </si>
  <si>
    <t>123:59:33.05 W</t>
  </si>
  <si>
    <t>047:03:25.03 N</t>
  </si>
  <si>
    <t>123:59:32.90 W</t>
  </si>
  <si>
    <t>047:03:24.26 N</t>
  </si>
  <si>
    <t>123:59:32.59 W</t>
  </si>
  <si>
    <t>047:03:23.57 N</t>
  </si>
  <si>
    <t>123:59:32.43 W</t>
  </si>
  <si>
    <t>047:03:21.94 N</t>
  </si>
  <si>
    <t>123:59:31.58 W</t>
  </si>
  <si>
    <t>047:03:21.02 N</t>
  </si>
  <si>
    <t>047:03:20.09 N</t>
  </si>
  <si>
    <t>047:03:19.32 N</t>
  </si>
  <si>
    <t>047:03:18.55 N</t>
  </si>
  <si>
    <t>047:03:17.70 N</t>
  </si>
  <si>
    <t>123:59:29.58 W</t>
  </si>
  <si>
    <t>123:59:29.34 W</t>
  </si>
  <si>
    <t>047:03:15.15 N</t>
  </si>
  <si>
    <t>047:03:14.53 N</t>
  </si>
  <si>
    <t>123:59:28.65 W</t>
  </si>
  <si>
    <t>047:03:13.83 N</t>
  </si>
  <si>
    <t>123:59:28.42 W</t>
  </si>
  <si>
    <t>123:59:28.11 W</t>
  </si>
  <si>
    <t>047:03:11.82 N</t>
  </si>
  <si>
    <t>047:03:11.05 N</t>
  </si>
  <si>
    <t>123:59:27.41 W</t>
  </si>
  <si>
    <t>047:03:10.05 N</t>
  </si>
  <si>
    <t>123:59:27.18 W</t>
  </si>
  <si>
    <t>047:03:09.28 N</t>
  </si>
  <si>
    <t>123:59:26.56 W</t>
  </si>
  <si>
    <t>123:59:26.18 W</t>
  </si>
  <si>
    <t>047:03:07.81 N</t>
  </si>
  <si>
    <t>123:59:25.79 W</t>
  </si>
  <si>
    <t>123:59:25.41 W</t>
  </si>
  <si>
    <t>047:03:06.42 N</t>
  </si>
  <si>
    <t>123:59:24.40 W</t>
  </si>
  <si>
    <t>047:03:04.80 N</t>
  </si>
  <si>
    <t>123:59:22.93 W</t>
  </si>
  <si>
    <t>047:03:04.49 N</t>
  </si>
  <si>
    <t>123:59:20.69 W</t>
  </si>
  <si>
    <t>047:03:04.41 N</t>
  </si>
  <si>
    <t>123:59:18.22 W</t>
  </si>
  <si>
    <t>047:03:05.95 N</t>
  </si>
  <si>
    <t>047:03:06.65 N</t>
  </si>
  <si>
    <t>123:59:14.90 W</t>
  </si>
  <si>
    <t>047:03:07.65 N</t>
  </si>
  <si>
    <t>123:59:13.90 W</t>
  </si>
  <si>
    <t>047:03:10.36 N</t>
  </si>
  <si>
    <t>123:59:14.05 W</t>
  </si>
  <si>
    <t>123:59:14.51 W</t>
  </si>
  <si>
    <t>047:03:11.98 N</t>
  </si>
  <si>
    <t>123:59:15.67 W</t>
  </si>
  <si>
    <t>047:03:12.67 N</t>
  </si>
  <si>
    <t>047:03:12.98 N</t>
  </si>
  <si>
    <t>123:59:17.45 W</t>
  </si>
  <si>
    <t>123:59:18.76 W</t>
  </si>
  <si>
    <t>123:59:19.77 W</t>
  </si>
  <si>
    <t>047:03:14.45 N</t>
  </si>
  <si>
    <t>123:59:20.77 W</t>
  </si>
  <si>
    <t>123:59:21.70 W</t>
  </si>
  <si>
    <t>123:59:22.55 W</t>
  </si>
  <si>
    <t>047:03:16.69 N</t>
  </si>
  <si>
    <t>123:59:23.24 W</t>
  </si>
  <si>
    <t>047:03:17.31 N</t>
  </si>
  <si>
    <t>123:59:23.78 W</t>
  </si>
  <si>
    <t>047:03:18.31 N</t>
  </si>
  <si>
    <t>047:03:19.01 N</t>
  </si>
  <si>
    <t>047:03:19.55 N</t>
  </si>
  <si>
    <t>047:03:20.24 N</t>
  </si>
  <si>
    <t>047:03:21.87 N</t>
  </si>
  <si>
    <t>123:59:29.89 W</t>
  </si>
  <si>
    <t>123:59:30.35 W</t>
  </si>
  <si>
    <t>123:59:30.89 W</t>
  </si>
  <si>
    <t>047:03:27.66 N</t>
  </si>
  <si>
    <t>123:59:31.35 W</t>
  </si>
  <si>
    <t>047:03:29.51 N</t>
  </si>
  <si>
    <t>123:59:50.67 W</t>
  </si>
  <si>
    <t>123:59:51.36 W</t>
  </si>
  <si>
    <t>047:03:38.71 N</t>
  </si>
  <si>
    <t>123:59:51.44 W</t>
  </si>
  <si>
    <t>047:03:37.32 N</t>
  </si>
  <si>
    <t>047:03:36.47 N</t>
  </si>
  <si>
    <t>123:59:50.36 W</t>
  </si>
  <si>
    <t>047:03:34.92 N</t>
  </si>
  <si>
    <t>123:59:49.66 W</t>
  </si>
  <si>
    <t>123:59:48.89 W</t>
  </si>
  <si>
    <t>047:03:33.76 N</t>
  </si>
  <si>
    <t>123:59:48.19 W</t>
  </si>
  <si>
    <t>123:59:45.33 W</t>
  </si>
  <si>
    <t>047:03:31.21 N</t>
  </si>
  <si>
    <t>123:59:44.10 W</t>
  </si>
  <si>
    <t>047:03:30.52 N</t>
  </si>
  <si>
    <t>123:59:42.94 W</t>
  </si>
  <si>
    <t>123:59:42.32 W</t>
  </si>
  <si>
    <t>123:59:41.47 W</t>
  </si>
  <si>
    <t>047:03:27.58 N</t>
  </si>
  <si>
    <t>123:59:38.31 W</t>
  </si>
  <si>
    <t>123:59:37.30 W</t>
  </si>
  <si>
    <t>123:59:36.68 W</t>
  </si>
  <si>
    <t>047:03:21.71 N</t>
  </si>
  <si>
    <t>123:59:35.68 W</t>
  </si>
  <si>
    <t>047:03:20.94 N</t>
  </si>
  <si>
    <t>047:03:19.86 N</t>
  </si>
  <si>
    <t>123:59:34.67 W</t>
  </si>
  <si>
    <t>123:59:31.82 W</t>
  </si>
  <si>
    <t>047:03:13.45 N</t>
  </si>
  <si>
    <t>047:03:12.52 N</t>
  </si>
  <si>
    <t>047:03:11.75 N</t>
  </si>
  <si>
    <t>047:03:10.97 N</t>
  </si>
  <si>
    <t>047:03:09.97 N</t>
  </si>
  <si>
    <t>047:03:09.12 N</t>
  </si>
  <si>
    <t>047:03:08.27 N</t>
  </si>
  <si>
    <t>047:03:07.27 N</t>
  </si>
  <si>
    <t>123:59:27.57 W</t>
  </si>
  <si>
    <t>047:03:05.64 N</t>
  </si>
  <si>
    <t>123:59:26.87 W</t>
  </si>
  <si>
    <t>123:59:25.95 W</t>
  </si>
  <si>
    <t>123:59:24.94 W</t>
  </si>
  <si>
    <t>047:03:03.56 N</t>
  </si>
  <si>
    <t>047:03:03.48 N</t>
  </si>
  <si>
    <t>047:03:03.25 N</t>
  </si>
  <si>
    <t>123:59:21.47 W</t>
  </si>
  <si>
    <t>047:03:03.17 N</t>
  </si>
  <si>
    <t>123:59:18.99 W</t>
  </si>
  <si>
    <t>123:59:17.76 W</t>
  </si>
  <si>
    <t>047:03:05.10 N</t>
  </si>
  <si>
    <t>123:59:14.28 W</t>
  </si>
  <si>
    <t>123:59:13.66 W</t>
  </si>
  <si>
    <t>123:59:14.44 W</t>
  </si>
  <si>
    <t>047:03:11.28 N</t>
  </si>
  <si>
    <t>047:03:12.21 N</t>
  </si>
  <si>
    <t>123:59:19.46 W</t>
  </si>
  <si>
    <t>047:03:13.37 N</t>
  </si>
  <si>
    <t>123:59:21.23 W</t>
  </si>
  <si>
    <t>123:59:22.01 W</t>
  </si>
  <si>
    <t>123:59:23.01 W</t>
  </si>
  <si>
    <t>123:59:23.94 W</t>
  </si>
  <si>
    <t>047:03:16.31 N</t>
  </si>
  <si>
    <t>123:59:24.56 W</t>
  </si>
  <si>
    <t>047:03:17.00 N</t>
  </si>
  <si>
    <t>123:59:25.33 W</t>
  </si>
  <si>
    <t>123:59:26.33 W</t>
  </si>
  <si>
    <t>047:03:20.86 N</t>
  </si>
  <si>
    <t>047:03:21.64 N</t>
  </si>
  <si>
    <t>123:59:27.88 W</t>
  </si>
  <si>
    <t>047:03:22.18 N</t>
  </si>
  <si>
    <t>047:03:22.95 N</t>
  </si>
  <si>
    <t>047:03:24.73 N</t>
  </si>
  <si>
    <t>123:59:29.65 W</t>
  </si>
  <si>
    <t>047:03:28.20 N</t>
  </si>
  <si>
    <t>047:03:28.90 N</t>
  </si>
  <si>
    <t>123:59:31.66 W</t>
  </si>
  <si>
    <t>123:59:33.67 W</t>
  </si>
  <si>
    <t>123:59:56.00 W</t>
  </si>
  <si>
    <t>123:59:57.31 W</t>
  </si>
  <si>
    <t>124:00:01.25 W</t>
  </si>
  <si>
    <t>124:00:02.79 W</t>
  </si>
  <si>
    <t>124:00:03.87 W</t>
  </si>
  <si>
    <t>047:03:46.35 N</t>
  </si>
  <si>
    <t>124:00:05.57 W</t>
  </si>
  <si>
    <t>047:03:46.12 N</t>
  </si>
  <si>
    <t>124:00:07.20 W</t>
  </si>
  <si>
    <t>124:00:08.90 W</t>
  </si>
  <si>
    <t>124:00:10.44 W</t>
  </si>
  <si>
    <t>124:00:12.37 W</t>
  </si>
  <si>
    <t>047:03:45.12 N</t>
  </si>
  <si>
    <t>124:00:13.76 W</t>
  </si>
  <si>
    <t>047:03:44.96 N</t>
  </si>
  <si>
    <t>124:00:15.08 W</t>
  </si>
  <si>
    <t>047:03:44.11 N</t>
  </si>
  <si>
    <t>124:00:20.33 W</t>
  </si>
  <si>
    <t>047:03:43.88 N</t>
  </si>
  <si>
    <t>124:00:21.80 W</t>
  </si>
  <si>
    <t>124:00:23.65 W</t>
  </si>
  <si>
    <t>124:00:24.96 W</t>
  </si>
  <si>
    <t>124:00:26.51 W</t>
  </si>
  <si>
    <t>124:00:27.90 W</t>
  </si>
  <si>
    <t>124:00:29.68 W</t>
  </si>
  <si>
    <t>124:00:31.68 W</t>
  </si>
  <si>
    <t>124:00:33.23 W</t>
  </si>
  <si>
    <t>124:00:35.01 W</t>
  </si>
  <si>
    <t>124:00:36.86 W</t>
  </si>
  <si>
    <t>047:03:41.02 N</t>
  </si>
  <si>
    <t>124:00:40.34 W</t>
  </si>
  <si>
    <t>047:03:40.48 N</t>
  </si>
  <si>
    <t>124:00:41.65 W</t>
  </si>
  <si>
    <t>047:03:40.33 N</t>
  </si>
  <si>
    <t>124:00:43.43 W</t>
  </si>
  <si>
    <t>047:03:39.87 N</t>
  </si>
  <si>
    <t>124:00:46.67 W</t>
  </si>
  <si>
    <t>047:03:39.25 N</t>
  </si>
  <si>
    <t>124:00:50.45 W</t>
  </si>
  <si>
    <t>047:03:38.94 N</t>
  </si>
  <si>
    <t>124:00:52.23 W</t>
  </si>
  <si>
    <t>124:00:53.93 W</t>
  </si>
  <si>
    <t>047:03:38.48 N</t>
  </si>
  <si>
    <t>124:00:55.55 W</t>
  </si>
  <si>
    <t>047:03:38.32 N</t>
  </si>
  <si>
    <t>124:00:57.33 W</t>
  </si>
  <si>
    <t>124:01:05.21 W</t>
  </si>
  <si>
    <t>047:03:36.93 N</t>
  </si>
  <si>
    <t>124:01:06.99 W</t>
  </si>
  <si>
    <t>124:01:08.76 W</t>
  </si>
  <si>
    <t>124:01:10.23 W</t>
  </si>
  <si>
    <t>124:01:11.93 W</t>
  </si>
  <si>
    <t>047:03:36.08 N</t>
  </si>
  <si>
    <t>124:01:13.55 W</t>
  </si>
  <si>
    <t>124:01:16.87 W</t>
  </si>
  <si>
    <t>124:01:18.65 W</t>
  </si>
  <si>
    <t>047:03:35.46 N</t>
  </si>
  <si>
    <t>124:01:23.21 W</t>
  </si>
  <si>
    <t>124:01:25.06 W</t>
  </si>
  <si>
    <t>124:01:26.76 W</t>
  </si>
  <si>
    <t>124:01:28.54 W</t>
  </si>
  <si>
    <t>124:01:30.24 W</t>
  </si>
  <si>
    <t>124:01:34.72 W</t>
  </si>
  <si>
    <t>124:01:36.34 W</t>
  </si>
  <si>
    <t>124:01:38.43 W</t>
  </si>
  <si>
    <t>124:01:40.20 W</t>
  </si>
  <si>
    <t>124:01:41.90 W</t>
  </si>
  <si>
    <t>124:01:43.76 W</t>
  </si>
  <si>
    <t>124:01:45.61 W</t>
  </si>
  <si>
    <t>124:01:47.31 W</t>
  </si>
  <si>
    <t>124:01:49.32 W</t>
  </si>
  <si>
    <t>047:03:34.23 N</t>
  </si>
  <si>
    <t>124:01:51.33 W</t>
  </si>
  <si>
    <t>047:03:34.15 N</t>
  </si>
  <si>
    <t>124:01:52.72 W</t>
  </si>
  <si>
    <t>124:01:54.65 W</t>
  </si>
  <si>
    <t>124:01:56.42 W</t>
  </si>
  <si>
    <t>124:01:58.20 W</t>
  </si>
  <si>
    <t>124:02:00.13 W</t>
  </si>
  <si>
    <t>124:02:01.68 W</t>
  </si>
  <si>
    <t>124:02:03.22 W</t>
  </si>
  <si>
    <t>124:02:05.08 W</t>
  </si>
  <si>
    <t>047:03:33.22 N</t>
  </si>
  <si>
    <t>124:02:06.78 W</t>
  </si>
  <si>
    <t>124:02:08.55 W</t>
  </si>
  <si>
    <t>124:02:10.33 W</t>
  </si>
  <si>
    <t>047:03:33.07 N</t>
  </si>
  <si>
    <t>124:02:11.87 W</t>
  </si>
  <si>
    <t>047:03:32.99 N</t>
  </si>
  <si>
    <t>124:02:13.50 W</t>
  </si>
  <si>
    <t>124:02:14.73 W</t>
  </si>
  <si>
    <t>124:02:16.43 W</t>
  </si>
  <si>
    <t>124:02:18.21 W</t>
  </si>
  <si>
    <t>124:02:19.68 W</t>
  </si>
  <si>
    <t>047:03:32.45 N</t>
  </si>
  <si>
    <t>124:02:22.30 W</t>
  </si>
  <si>
    <t>047:03:32.22 N</t>
  </si>
  <si>
    <t>124:02:24.31 W</t>
  </si>
  <si>
    <t>047:03:32.06 N</t>
  </si>
  <si>
    <t>124:02:26.09 W</t>
  </si>
  <si>
    <t>124:02:27.55 W</t>
  </si>
  <si>
    <t>124:02:29.33 W</t>
  </si>
  <si>
    <t>047:03:31.75 N</t>
  </si>
  <si>
    <t>124:02:31.11 W</t>
  </si>
  <si>
    <t>047:03:31.68 N</t>
  </si>
  <si>
    <t>124:02:33.50 W</t>
  </si>
  <si>
    <t>047:03:31.52 N</t>
  </si>
  <si>
    <t>124:02:35.51 W</t>
  </si>
  <si>
    <t>047:03:31.29 N</t>
  </si>
  <si>
    <t>124:02:36.98 W</t>
  </si>
  <si>
    <t>124:02:38.76 W</t>
  </si>
  <si>
    <t>124:02:40.30 W</t>
  </si>
  <si>
    <t>124:02:42.46 W</t>
  </si>
  <si>
    <t>124:02:44.16 W</t>
  </si>
  <si>
    <t>124:02:46.33 W</t>
  </si>
  <si>
    <t>047:03:30.21 N</t>
  </si>
  <si>
    <t>124:02:48.41 W</t>
  </si>
  <si>
    <t>124:02:50.34 W</t>
  </si>
  <si>
    <t>124:02:52.20 W</t>
  </si>
  <si>
    <t>124:02:54.05 W</t>
  </si>
  <si>
    <t>124:02:55.75 W</t>
  </si>
  <si>
    <t>124:02:57.53 W</t>
  </si>
  <si>
    <t>124:02:59.54 W</t>
  </si>
  <si>
    <t>047:03:29.36 N</t>
  </si>
  <si>
    <t>124:03:01.23 W</t>
  </si>
  <si>
    <t>124:03:03.48 W</t>
  </si>
  <si>
    <t>124:03:05.33 W</t>
  </si>
  <si>
    <t>124:03:07.41 W</t>
  </si>
  <si>
    <t>124:03:09.19 W</t>
  </si>
  <si>
    <t>124:03:11.43 W</t>
  </si>
  <si>
    <t>124:03:13.44 W</t>
  </si>
  <si>
    <t>124:03:15.29 W</t>
  </si>
  <si>
    <t>124:03:17.30 W</t>
  </si>
  <si>
    <t>124:03:19.08 W</t>
  </si>
  <si>
    <t>124:03:21.09 W</t>
  </si>
  <si>
    <t>124:03:23.25 W</t>
  </si>
  <si>
    <t>124:03:24.87 W</t>
  </si>
  <si>
    <t>124:03:26.96 W</t>
  </si>
  <si>
    <t>124:03:28.66 W</t>
  </si>
  <si>
    <t>124:03:30.90 W</t>
  </si>
  <si>
    <t>124:03:32.60 W</t>
  </si>
  <si>
    <t>124:03:34.99 W</t>
  </si>
  <si>
    <t>047:03:30.06 N</t>
  </si>
  <si>
    <t>124:03:37.31 W</t>
  </si>
  <si>
    <t>124:03:39.32 W</t>
  </si>
  <si>
    <t>124:03:41.40 W</t>
  </si>
  <si>
    <t>124:03:43.49 W</t>
  </si>
  <si>
    <t>124:03:45.42 W</t>
  </si>
  <si>
    <t>124:03:47.43 W</t>
  </si>
  <si>
    <t>124:03:50.52 W</t>
  </si>
  <si>
    <t>124:03:52.60 W</t>
  </si>
  <si>
    <t>124:03:54.77 W</t>
  </si>
  <si>
    <t>124:03:57.08 W</t>
  </si>
  <si>
    <t>047:03:30.75 N</t>
  </si>
  <si>
    <t>124:03:58.86 W</t>
  </si>
  <si>
    <t>124:04:00.87 W</t>
  </si>
  <si>
    <t>124:04:03.19 W</t>
  </si>
  <si>
    <t>124:04:04.96 W</t>
  </si>
  <si>
    <t>124:04:06.97 W</t>
  </si>
  <si>
    <t>124:04:09.44 W</t>
  </si>
  <si>
    <t>124:04:11.68 W</t>
  </si>
  <si>
    <t>124:04:13.54 W</t>
  </si>
  <si>
    <t>124:04:15.32 W</t>
  </si>
  <si>
    <t>124:04:16.86 W</t>
  </si>
  <si>
    <t>124:04:18.87 W</t>
  </si>
  <si>
    <t>124:04:20.95 W</t>
  </si>
  <si>
    <t>124:04:22.42 W</t>
  </si>
  <si>
    <t>124:04:24.74 W</t>
  </si>
  <si>
    <t>124:04:26.75 W</t>
  </si>
  <si>
    <t>124:04:28.52 W</t>
  </si>
  <si>
    <t>124:04:30.46 W</t>
  </si>
  <si>
    <t>124:04:32.70 W</t>
  </si>
  <si>
    <t>124:04:34.86 W</t>
  </si>
  <si>
    <t>124:04:36.40 W</t>
  </si>
  <si>
    <t>124:04:38.10 W</t>
  </si>
  <si>
    <t>124:04:39.96 W</t>
  </si>
  <si>
    <t>124:04:43.74 W</t>
  </si>
  <si>
    <t>124:04:45.75 W</t>
  </si>
  <si>
    <t>124:04:47.76 W</t>
  </si>
  <si>
    <t>047:03:32.84 N</t>
  </si>
  <si>
    <t>124:04:49.46 W</t>
  </si>
  <si>
    <t>124:04:51.62 W</t>
  </si>
  <si>
    <t>124:04:53.17 W</t>
  </si>
  <si>
    <t>124:04:54.94 W</t>
  </si>
  <si>
    <t>124:04:56.95 W</t>
  </si>
  <si>
    <t>124:04:58.88 W</t>
  </si>
  <si>
    <t>124:05:00.74 W</t>
  </si>
  <si>
    <t>124:05:02.98 W</t>
  </si>
  <si>
    <t>124:05:07.53 W</t>
  </si>
  <si>
    <t>047:03:33.92 N</t>
  </si>
  <si>
    <t>124:05:09.31 W</t>
  </si>
  <si>
    <t>124:05:13.48 W</t>
  </si>
  <si>
    <t>124:05:18.89 W</t>
  </si>
  <si>
    <t>124:05:20.51 W</t>
  </si>
  <si>
    <t>124:05:27.54 W</t>
  </si>
  <si>
    <t>047:03:37.63 N</t>
  </si>
  <si>
    <t>124:05:31.17 W</t>
  </si>
  <si>
    <t>124:05:34.73 W</t>
  </si>
  <si>
    <t>124:05:39.67 W</t>
  </si>
  <si>
    <t>124:05:42.30 W</t>
  </si>
  <si>
    <t>124:05:46.85 W</t>
  </si>
  <si>
    <t>124:05:53.19 W</t>
  </si>
  <si>
    <t>124:05:58.21 W</t>
  </si>
  <si>
    <t>124:06:00.91 W</t>
  </si>
  <si>
    <t>124:06:03.08 W</t>
  </si>
  <si>
    <t>124:06:05.62 W</t>
  </si>
  <si>
    <t>124:06:08.33 W</t>
  </si>
  <si>
    <t>047:03:45.35 N</t>
  </si>
  <si>
    <t>124:06:11.03 W</t>
  </si>
  <si>
    <t>124:06:14.74 W</t>
  </si>
  <si>
    <t>124:06:16.52 W</t>
  </si>
  <si>
    <t>124:06:28.18 W</t>
  </si>
  <si>
    <t>124:06:30.11 W</t>
  </si>
  <si>
    <t>047:03:48.59 N</t>
  </si>
  <si>
    <t>124:06:32.04 W</t>
  </si>
  <si>
    <t>124:06:34.05 W</t>
  </si>
  <si>
    <t>124:06:36.29 W</t>
  </si>
  <si>
    <t>124:06:40.00 W</t>
  </si>
  <si>
    <t>124:06:41.85 W</t>
  </si>
  <si>
    <t>124:06:43.94 W</t>
  </si>
  <si>
    <t>124:06:46.64 W</t>
  </si>
  <si>
    <t>124:06:49.66 W</t>
  </si>
  <si>
    <t>124:06:51.36 W</t>
  </si>
  <si>
    <t>124:06:54.06 W</t>
  </si>
  <si>
    <t>047:03:52.38 N</t>
  </si>
  <si>
    <t>124:06:57.61 W</t>
  </si>
  <si>
    <t>047:03:53.77 N</t>
  </si>
  <si>
    <t>124:07:04.18 W</t>
  </si>
  <si>
    <t>047:03:53.92 N</t>
  </si>
  <si>
    <t>124:07:05.18 W</t>
  </si>
  <si>
    <t>124:07:06.96 W</t>
  </si>
  <si>
    <t>047:03:54.70 N</t>
  </si>
  <si>
    <t>124:07:08.89 W</t>
  </si>
  <si>
    <t>047:03:55.01 N</t>
  </si>
  <si>
    <t>124:07:10.51 W</t>
  </si>
  <si>
    <t>124:07:12.37 W</t>
  </si>
  <si>
    <t>124:07:14.07 W</t>
  </si>
  <si>
    <t>124:07:15.84 W</t>
  </si>
  <si>
    <t>047:03:56.71 N</t>
  </si>
  <si>
    <t>124:07:17.62 W</t>
  </si>
  <si>
    <t>047:03:57.01 N</t>
  </si>
  <si>
    <t>124:07:19.32 W</t>
  </si>
  <si>
    <t>047:03:57.56 N</t>
  </si>
  <si>
    <t>124:07:21.17 W</t>
  </si>
  <si>
    <t>124:07:23.03 W</t>
  </si>
  <si>
    <t>047:03:58.41 N</t>
  </si>
  <si>
    <t>124:07:24.96 W</t>
  </si>
  <si>
    <t>124:07:27.04 W</t>
  </si>
  <si>
    <t>047:03:59.41 N</t>
  </si>
  <si>
    <t>124:07:28.51 W</t>
  </si>
  <si>
    <t>047:03:59.72 N</t>
  </si>
  <si>
    <t>124:07:30.29 W</t>
  </si>
  <si>
    <t>047:04:00.34 N</t>
  </si>
  <si>
    <t>124:07:32.37 W</t>
  </si>
  <si>
    <t>047:04:00.88 N</t>
  </si>
  <si>
    <t>124:07:34.07 W</t>
  </si>
  <si>
    <t>047:04:01.34 N</t>
  </si>
  <si>
    <t>124:07:35.62 W</t>
  </si>
  <si>
    <t>047:04:01.80 N</t>
  </si>
  <si>
    <t>124:07:37.32 W</t>
  </si>
  <si>
    <t>047:04:02.27 N</t>
  </si>
  <si>
    <t>124:07:38.79 W</t>
  </si>
  <si>
    <t>124:07:40.72 W</t>
  </si>
  <si>
    <t>047:04:03.43 N</t>
  </si>
  <si>
    <t>124:07:42.26 W</t>
  </si>
  <si>
    <t>047:04:04.12 N</t>
  </si>
  <si>
    <t>124:07:43.73 W</t>
  </si>
  <si>
    <t>047:04:04.58 N</t>
  </si>
  <si>
    <t>124:07:45.27 W</t>
  </si>
  <si>
    <t>047:04:05.43 N</t>
  </si>
  <si>
    <t>124:07:46.51 W</t>
  </si>
  <si>
    <t>047:04:05.90 N</t>
  </si>
  <si>
    <t>124:07:47.98 W</t>
  </si>
  <si>
    <t>124:07:49.29 W</t>
  </si>
  <si>
    <t>047:04:07.44 N</t>
  </si>
  <si>
    <t>124:07:50.45 W</t>
  </si>
  <si>
    <t>047:04:08.06 N</t>
  </si>
  <si>
    <t>124:07:51.45 W</t>
  </si>
  <si>
    <t>047:04:08.91 N</t>
  </si>
  <si>
    <t>124:07:52.92 W</t>
  </si>
  <si>
    <t>047:04:09.76 N</t>
  </si>
  <si>
    <t>124:07:53.85 W</t>
  </si>
  <si>
    <t>047:04:10.53 N</t>
  </si>
  <si>
    <t>124:07:54.85 W</t>
  </si>
  <si>
    <t>047:04:11.46 N</t>
  </si>
  <si>
    <t>124:07:55.63 W</t>
  </si>
  <si>
    <t>047:04:12.39 N</t>
  </si>
  <si>
    <t>124:07:56.40 W</t>
  </si>
  <si>
    <t>047:04:13.16 N</t>
  </si>
  <si>
    <t>124:07:57.09 W</t>
  </si>
  <si>
    <t>124:07:57.71 W</t>
  </si>
  <si>
    <t>047:04:15.17 N</t>
  </si>
  <si>
    <t>124:07:58.33 W</t>
  </si>
  <si>
    <t>047:04:16.17 N</t>
  </si>
  <si>
    <t>124:07:58.72 W</t>
  </si>
  <si>
    <t>047:04:17.18 N</t>
  </si>
  <si>
    <t>124:07:59.18 W</t>
  </si>
  <si>
    <t>047:04:18.26 N</t>
  </si>
  <si>
    <t>124:07:59.57 W</t>
  </si>
  <si>
    <t>047:04:19.34 N</t>
  </si>
  <si>
    <t>124:07:59.72 W</t>
  </si>
  <si>
    <t>047:04:20.34 N</t>
  </si>
  <si>
    <t>124:08:00.00 W</t>
  </si>
  <si>
    <t>047:04:21.27 N</t>
  </si>
  <si>
    <t>124:08:00.11 W</t>
  </si>
  <si>
    <t>047:04:22.43 N</t>
  </si>
  <si>
    <t>047:04:23.51 N</t>
  </si>
  <si>
    <t>047:04:24.51 N</t>
  </si>
  <si>
    <t>124:07:59.80 W</t>
  </si>
  <si>
    <t>047:04:25.52 N</t>
  </si>
  <si>
    <t>124:07:59.49 W</t>
  </si>
  <si>
    <t>047:04:26.68 N</t>
  </si>
  <si>
    <t>124:07:59.10 W</t>
  </si>
  <si>
    <t>047:04:27.53 N</t>
  </si>
  <si>
    <t>047:04:28.38 N</t>
  </si>
  <si>
    <t>124:07:58.10 W</t>
  </si>
  <si>
    <t>047:04:29.15 N</t>
  </si>
  <si>
    <t>124:07:57.33 W</t>
  </si>
  <si>
    <t>047:04:30.00 N</t>
  </si>
  <si>
    <t>124:07:56.63 W</t>
  </si>
  <si>
    <t>047:04:30.62 N</t>
  </si>
  <si>
    <t>047:04:31.16 N</t>
  </si>
  <si>
    <t>047:04:31.78 N</t>
  </si>
  <si>
    <t>047:04:32.16 N</t>
  </si>
  <si>
    <t>047:04:32.63 N</t>
  </si>
  <si>
    <t>124:07:51.92 W</t>
  </si>
  <si>
    <t>047:04:33.09 N</t>
  </si>
  <si>
    <t>124:07:50.91 W</t>
  </si>
  <si>
    <t>047:04:33.40 N</t>
  </si>
  <si>
    <t>124:07:49.60 W</t>
  </si>
  <si>
    <t>047:04:33.78 N</t>
  </si>
  <si>
    <t>124:07:48.44 W</t>
  </si>
  <si>
    <t>124:07:47.28 W</t>
  </si>
  <si>
    <t>047:04:34.40 N</t>
  </si>
  <si>
    <t>124:07:46.20 W</t>
  </si>
  <si>
    <t>047:04:34.79 N</t>
  </si>
  <si>
    <t>047:04:35.10 N</t>
  </si>
  <si>
    <t>124:07:44.04 W</t>
  </si>
  <si>
    <t>047:04:35.25 N</t>
  </si>
  <si>
    <t>124:07:42.49 W</t>
  </si>
  <si>
    <t>047:04:35.64 N</t>
  </si>
  <si>
    <t>124:07:41.18 W</t>
  </si>
  <si>
    <t>047:04:35.79 N</t>
  </si>
  <si>
    <t>124:07:40.18 W</t>
  </si>
  <si>
    <t>124:07:38.71 W</t>
  </si>
  <si>
    <t>047:04:35.95 N</t>
  </si>
  <si>
    <t>124:07:37.63 W</t>
  </si>
  <si>
    <t>124:07:36.62 W</t>
  </si>
  <si>
    <t>047:04:36.10 N</t>
  </si>
  <si>
    <t>124:07:35.39 W</t>
  </si>
  <si>
    <t>124:07:33.61 W</t>
  </si>
  <si>
    <t>124:07:31.29 W</t>
  </si>
  <si>
    <t>124:07:29.90 W</t>
  </si>
  <si>
    <t>124:07:28.90 W</t>
  </si>
  <si>
    <t>124:07:27.51 W</t>
  </si>
  <si>
    <t>124:07:26.19 W</t>
  </si>
  <si>
    <t>124:07:23.72 W</t>
  </si>
  <si>
    <t>124:07:22.41 W</t>
  </si>
  <si>
    <t>047:04:34.94 N</t>
  </si>
  <si>
    <t>124:07:20.01 W</t>
  </si>
  <si>
    <t>124:07:18.62 W</t>
  </si>
  <si>
    <t>047:04:34.09 N</t>
  </si>
  <si>
    <t>124:07:17.54 W</t>
  </si>
  <si>
    <t>124:07:16.31 W</t>
  </si>
  <si>
    <t>047:04:33.55 N</t>
  </si>
  <si>
    <t>124:07:15.07 W</t>
  </si>
  <si>
    <t>047:04:33.32 N</t>
  </si>
  <si>
    <t>124:07:13.83 W</t>
  </si>
  <si>
    <t>124:07:12.83 W</t>
  </si>
  <si>
    <t>047:04:32.78 N</t>
  </si>
  <si>
    <t>124:07:11.59 W</t>
  </si>
  <si>
    <t>124:07:10.67 W</t>
  </si>
  <si>
    <t>047:04:32.39 N</t>
  </si>
  <si>
    <t>124:07:09.51 W</t>
  </si>
  <si>
    <t>047:04:32.08 N</t>
  </si>
  <si>
    <t>124:07:08.50 W</t>
  </si>
  <si>
    <t>047:04:31.93 N</t>
  </si>
  <si>
    <t>124:07:05.72 W</t>
  </si>
  <si>
    <t>047:04:31.39 N</t>
  </si>
  <si>
    <t>124:07:04.41 W</t>
  </si>
  <si>
    <t>124:07:03.25 W</t>
  </si>
  <si>
    <t>047:04:30.93 N</t>
  </si>
  <si>
    <t>124:07:02.17 W</t>
  </si>
  <si>
    <t>124:07:01.01 W</t>
  </si>
  <si>
    <t>047:04:30.39 N</t>
  </si>
  <si>
    <t>124:06:59.62 W</t>
  </si>
  <si>
    <t>047:04:30.15 N</t>
  </si>
  <si>
    <t>124:06:58.31 W</t>
  </si>
  <si>
    <t>047:04:29.69 N</t>
  </si>
  <si>
    <t>124:06:57.07 W</t>
  </si>
  <si>
    <t>047:04:29.38 N</t>
  </si>
  <si>
    <t>124:06:55.84 W</t>
  </si>
  <si>
    <t>047:04:29.23 N</t>
  </si>
  <si>
    <t>124:06:54.83 W</t>
  </si>
  <si>
    <t>047:04:28.84 N</t>
  </si>
  <si>
    <t>124:06:53.83 W</t>
  </si>
  <si>
    <t>124:06:52.28 W</t>
  </si>
  <si>
    <t>047:04:28.22 N</t>
  </si>
  <si>
    <t>124:06:50.97 W</t>
  </si>
  <si>
    <t>047:04:27.84 N</t>
  </si>
  <si>
    <t>124:06:49.89 W</t>
  </si>
  <si>
    <t>124:06:48.50 W</t>
  </si>
  <si>
    <t>124:06:47.42 W</t>
  </si>
  <si>
    <t>047:04:26.91 N</t>
  </si>
  <si>
    <t>124:06:46.18 W</t>
  </si>
  <si>
    <t>047:04:26.52 N</t>
  </si>
  <si>
    <t>124:06:45.18 W</t>
  </si>
  <si>
    <t>047:04:26.06 N</t>
  </si>
  <si>
    <t>124:06:43.71 W</t>
  </si>
  <si>
    <t>047:04:25.67 N</t>
  </si>
  <si>
    <t>124:06:42.47 W</t>
  </si>
  <si>
    <t>047:04:25.36 N</t>
  </si>
  <si>
    <t>124:06:41.24 W</t>
  </si>
  <si>
    <t>047:04:25.06 N</t>
  </si>
  <si>
    <t>124:06:38.84 W</t>
  </si>
  <si>
    <t>047:04:24.21 N</t>
  </si>
  <si>
    <t>124:06:37.76 W</t>
  </si>
  <si>
    <t>047:04:23.90 N</t>
  </si>
  <si>
    <t>124:06:36.76 W</t>
  </si>
  <si>
    <t>124:06:35.52 W</t>
  </si>
  <si>
    <t>047:04:23.05 N</t>
  </si>
  <si>
    <t>047:04:22.74 N</t>
  </si>
  <si>
    <t>124:06:33.05 W</t>
  </si>
  <si>
    <t>047:04:22.20 N</t>
  </si>
  <si>
    <t>124:06:31.73 W</t>
  </si>
  <si>
    <t>047:04:21.73 N</t>
  </si>
  <si>
    <t>124:06:30.58 W</t>
  </si>
  <si>
    <t>047:04:21.35 N</t>
  </si>
  <si>
    <t>124:06:29.49 W</t>
  </si>
  <si>
    <t>047:04:20.88 N</t>
  </si>
  <si>
    <t>124:06:28.41 W</t>
  </si>
  <si>
    <t>124:06:27.41 W</t>
  </si>
  <si>
    <t>047:04:19.96 N</t>
  </si>
  <si>
    <t>124:06:26.17 W</t>
  </si>
  <si>
    <t>047:04:19.49 N</t>
  </si>
  <si>
    <t>124:06:25.17 W</t>
  </si>
  <si>
    <t>047:04:18.95 N</t>
  </si>
  <si>
    <t>124:06:23.93 W</t>
  </si>
  <si>
    <t>047:04:18.49 N</t>
  </si>
  <si>
    <t>124:06:22.85 W</t>
  </si>
  <si>
    <t>047:04:18.10 N</t>
  </si>
  <si>
    <t>124:06:21.92 W</t>
  </si>
  <si>
    <t>047:04:17.64 N</t>
  </si>
  <si>
    <t>124:06:20.84 W</t>
  </si>
  <si>
    <t>047:04:17.10 N</t>
  </si>
  <si>
    <t>124:06:19.99 W</t>
  </si>
  <si>
    <t>047:04:16.48 N</t>
  </si>
  <si>
    <t>124:06:18.83 W</t>
  </si>
  <si>
    <t>047:04:16.02 N</t>
  </si>
  <si>
    <t>124:06:17.98 W</t>
  </si>
  <si>
    <t>047:04:15.48 N</t>
  </si>
  <si>
    <t>124:06:16.75 W</t>
  </si>
  <si>
    <t>047:04:15.01 N</t>
  </si>
  <si>
    <t>124:06:15.98 W</t>
  </si>
  <si>
    <t>047:04:14.32 N</t>
  </si>
  <si>
    <t>124:06:15.28 W</t>
  </si>
  <si>
    <t>047:04:13.85 N</t>
  </si>
  <si>
    <t>124:06:13.97 W</t>
  </si>
  <si>
    <t>047:04:12.31 N</t>
  </si>
  <si>
    <t>124:06:13.50 W</t>
  </si>
  <si>
    <t>047:04:11.69 N</t>
  </si>
  <si>
    <t>124:06:13.04 W</t>
  </si>
  <si>
    <t>047:04:10.76 N</t>
  </si>
  <si>
    <t>124:06:12.50 W</t>
  </si>
  <si>
    <t>047:04:10.30 N</t>
  </si>
  <si>
    <t>047:04:09.45 N</t>
  </si>
  <si>
    <t>124:06:12.19 W</t>
  </si>
  <si>
    <t>047:04:08.76 N</t>
  </si>
  <si>
    <t>047:04:08.22 N</t>
  </si>
  <si>
    <t>124:06:12.58 W</t>
  </si>
  <si>
    <t>047:04:07.60 N</t>
  </si>
  <si>
    <t>124:06:12.96 W</t>
  </si>
  <si>
    <t>047:04:06.98 N</t>
  </si>
  <si>
    <t>124:06:13.74 W</t>
  </si>
  <si>
    <t>047:04:06.44 N</t>
  </si>
  <si>
    <t>124:06:14.51 W</t>
  </si>
  <si>
    <t>047:04:05.98 N</t>
  </si>
  <si>
    <t>124:06:16.05 W</t>
  </si>
  <si>
    <t>047:04:04.74 N</t>
  </si>
  <si>
    <t>124:06:17.52 W</t>
  </si>
  <si>
    <t>124:06:18.29 W</t>
  </si>
  <si>
    <t>047:04:03.74 N</t>
  </si>
  <si>
    <t>124:06:19.30 W</t>
  </si>
  <si>
    <t>047:04:03.12 N</t>
  </si>
  <si>
    <t>124:06:20.07 W</t>
  </si>
  <si>
    <t>047:04:02.65 N</t>
  </si>
  <si>
    <t>124:06:20.92 W</t>
  </si>
  <si>
    <t>124:06:21.62 W</t>
  </si>
  <si>
    <t>047:04:01.96 N</t>
  </si>
  <si>
    <t>124:06:22.46 W</t>
  </si>
  <si>
    <t>047:04:01.57 N</t>
  </si>
  <si>
    <t>124:06:23.62 W</t>
  </si>
  <si>
    <t>124:06:26.40 W</t>
  </si>
  <si>
    <t>047:04:01.11 N</t>
  </si>
  <si>
    <t>124:06:27.72 W</t>
  </si>
  <si>
    <t>124:06:29.57 W</t>
  </si>
  <si>
    <t>124:06:30.81 W</t>
  </si>
  <si>
    <t>047:04:01.65 N</t>
  </si>
  <si>
    <t>124:06:32.58 W</t>
  </si>
  <si>
    <t>124:06:33.28 W</t>
  </si>
  <si>
    <t>124:06:34.28 W</t>
  </si>
  <si>
    <t>124:06:35.06 W</t>
  </si>
  <si>
    <t>124:06:36.06 W</t>
  </si>
  <si>
    <t>047:04:02.50 N</t>
  </si>
  <si>
    <t>047:04:02.96 N</t>
  </si>
  <si>
    <t>124:06:38.76 W</t>
  </si>
  <si>
    <t>124:06:39.61 W</t>
  </si>
  <si>
    <t>124:06:40.23 W</t>
  </si>
  <si>
    <t>047:04:03.66 N</t>
  </si>
  <si>
    <t>047:04:03.81 N</t>
  </si>
  <si>
    <t>124:06:42.24 W</t>
  </si>
  <si>
    <t>047:04:03.89 N</t>
  </si>
  <si>
    <t>124:06:43.17 W</t>
  </si>
  <si>
    <t>124:06:44.17 W</t>
  </si>
  <si>
    <t>124:06:44.94 W</t>
  </si>
  <si>
    <t>124:06:45.72 W</t>
  </si>
  <si>
    <t>124:06:46.41 W</t>
  </si>
  <si>
    <t>124:06:47.49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</si>
</sst>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F4727"/>
  <sheetViews>
    <sheetView tabSelected="1" workbookViewId="0"/>
  </sheetViews>
  <sheetFormatPr defaultRowHeight="14.4" x14ac:dyDescent="0.3"/>
  <sheetData>
    <row r="1" spans="1:1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</row>
    <row r="2" spans="1:110" x14ac:dyDescent="0.3">
      <c r="A2" t="str">
        <f>"18:34:22.047"</f>
        <v>18:34:22.047</v>
      </c>
      <c r="B2" t="s">
        <v>110</v>
      </c>
      <c r="C2" t="str">
        <f t="shared" ref="C2:C65" si="0">"ffdfd3c0"</f>
        <v>ffdfd3c0</v>
      </c>
      <c r="D2" t="s">
        <v>111</v>
      </c>
      <c r="E2">
        <v>18</v>
      </c>
      <c r="F2">
        <v>1018</v>
      </c>
      <c r="G2" t="s">
        <v>112</v>
      </c>
      <c r="J2" t="s">
        <v>113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R2" t="s">
        <v>114</v>
      </c>
      <c r="S2" t="str">
        <f>"18:34:21.805"</f>
        <v>18:34:21.805</v>
      </c>
      <c r="T2" t="str">
        <f>"18:34:21.703"</f>
        <v>18:34:21.703</v>
      </c>
      <c r="U2" t="str">
        <f t="shared" ref="U2:U65" si="1">"a1cdbe"</f>
        <v>a1cdbe</v>
      </c>
      <c r="V2">
        <v>0</v>
      </c>
      <c r="W2">
        <v>0</v>
      </c>
      <c r="X2">
        <v>1</v>
      </c>
      <c r="Y2">
        <v>0</v>
      </c>
      <c r="Z2">
        <v>0</v>
      </c>
      <c r="AB2">
        <v>0</v>
      </c>
      <c r="AC2">
        <v>9</v>
      </c>
      <c r="AD2">
        <v>3</v>
      </c>
      <c r="AE2">
        <v>0</v>
      </c>
      <c r="AF2">
        <v>9</v>
      </c>
      <c r="AG2" t="s">
        <v>115</v>
      </c>
      <c r="AH2">
        <v>0</v>
      </c>
      <c r="AI2">
        <v>0</v>
      </c>
      <c r="AJ2">
        <v>1</v>
      </c>
      <c r="AK2">
        <v>0</v>
      </c>
      <c r="AL2" t="s">
        <v>116</v>
      </c>
      <c r="AM2">
        <v>47.103732000000001</v>
      </c>
      <c r="AN2" t="s">
        <v>117</v>
      </c>
      <c r="AO2">
        <v>-122.287059</v>
      </c>
      <c r="AP2">
        <v>100</v>
      </c>
      <c r="AQ2">
        <v>300</v>
      </c>
      <c r="AR2" t="s">
        <v>118</v>
      </c>
      <c r="AS2">
        <v>3</v>
      </c>
      <c r="AT2">
        <v>57</v>
      </c>
      <c r="AU2">
        <v>960</v>
      </c>
      <c r="BC2">
        <v>1200</v>
      </c>
      <c r="BD2">
        <v>1</v>
      </c>
      <c r="BE2" t="str">
        <f t="shared" ref="BE2:BE65" si="2">"N215T   "</f>
        <v xml:space="preserve">N215T   </v>
      </c>
      <c r="BF2">
        <v>1</v>
      </c>
      <c r="BH2">
        <v>0</v>
      </c>
      <c r="BI2">
        <v>0</v>
      </c>
      <c r="BJ2">
        <v>0</v>
      </c>
      <c r="BK2">
        <v>675</v>
      </c>
      <c r="BL2">
        <v>375</v>
      </c>
      <c r="BM2" t="s">
        <v>119</v>
      </c>
      <c r="BN2">
        <v>1</v>
      </c>
      <c r="BO2">
        <v>1</v>
      </c>
      <c r="BP2">
        <v>1</v>
      </c>
      <c r="BQ2">
        <v>0</v>
      </c>
      <c r="BT2">
        <v>0</v>
      </c>
      <c r="BU2">
        <v>0</v>
      </c>
      <c r="BV2">
        <v>0</v>
      </c>
      <c r="CC2" t="str">
        <f>"18:34:21.813"</f>
        <v>18:34:21.813</v>
      </c>
      <c r="CD2" t="str">
        <f>"810300097"</f>
        <v>810300097</v>
      </c>
      <c r="CQ2">
        <v>0</v>
      </c>
      <c r="CR2">
        <v>2</v>
      </c>
      <c r="CS2">
        <v>0</v>
      </c>
      <c r="CT2">
        <v>2</v>
      </c>
      <c r="CU2">
        <v>0</v>
      </c>
      <c r="CV2">
        <v>3</v>
      </c>
      <c r="CW2" t="s">
        <v>120</v>
      </c>
      <c r="CX2">
        <v>261</v>
      </c>
      <c r="CY2">
        <v>2</v>
      </c>
      <c r="CZ2" t="s">
        <v>121</v>
      </c>
      <c r="DA2" t="s">
        <v>122</v>
      </c>
      <c r="DD2">
        <v>14249520</v>
      </c>
      <c r="DE2" t="s">
        <v>123</v>
      </c>
    </row>
    <row r="3" spans="1:110" x14ac:dyDescent="0.3">
      <c r="A3" t="str">
        <f>"18:34:23.359"</f>
        <v>18:34:23.359</v>
      </c>
      <c r="B3" t="s">
        <v>110</v>
      </c>
      <c r="C3" t="str">
        <f t="shared" si="0"/>
        <v>ffdfd3c0</v>
      </c>
      <c r="D3" t="s">
        <v>111</v>
      </c>
      <c r="E3">
        <v>18</v>
      </c>
      <c r="F3">
        <v>1018</v>
      </c>
      <c r="G3" t="s">
        <v>112</v>
      </c>
      <c r="J3" t="s">
        <v>113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R3" t="s">
        <v>114</v>
      </c>
      <c r="S3" t="str">
        <f>"18:34:22.828"</f>
        <v>18:34:22.828</v>
      </c>
      <c r="T3" t="str">
        <f>"18:34:22.727"</f>
        <v>18:34:22.727</v>
      </c>
      <c r="U3" t="str">
        <f t="shared" si="1"/>
        <v>a1cdbe</v>
      </c>
      <c r="V3">
        <v>0</v>
      </c>
      <c r="W3">
        <v>0</v>
      </c>
      <c r="X3">
        <v>1</v>
      </c>
      <c r="Y3">
        <v>0</v>
      </c>
      <c r="Z3">
        <v>0</v>
      </c>
      <c r="AB3">
        <v>0</v>
      </c>
      <c r="AC3">
        <v>9</v>
      </c>
      <c r="AD3">
        <v>3</v>
      </c>
      <c r="AE3">
        <v>0</v>
      </c>
      <c r="AF3">
        <v>9</v>
      </c>
      <c r="AG3" t="s">
        <v>115</v>
      </c>
      <c r="AH3">
        <v>0</v>
      </c>
      <c r="AI3">
        <v>0</v>
      </c>
      <c r="AJ3">
        <v>1</v>
      </c>
      <c r="AK3">
        <v>0</v>
      </c>
      <c r="AL3" t="s">
        <v>124</v>
      </c>
      <c r="AM3">
        <v>47.103968000000002</v>
      </c>
      <c r="AN3" t="s">
        <v>125</v>
      </c>
      <c r="AO3">
        <v>-122.287037</v>
      </c>
      <c r="AP3">
        <v>100</v>
      </c>
      <c r="AQ3">
        <v>300</v>
      </c>
      <c r="AR3" t="s">
        <v>118</v>
      </c>
      <c r="AS3">
        <v>2</v>
      </c>
      <c r="AT3">
        <v>57</v>
      </c>
      <c r="AU3">
        <v>960</v>
      </c>
      <c r="BC3">
        <v>1200</v>
      </c>
      <c r="BD3">
        <v>1</v>
      </c>
      <c r="BE3" t="str">
        <f t="shared" si="2"/>
        <v xml:space="preserve">N215T   </v>
      </c>
      <c r="BF3">
        <v>1</v>
      </c>
      <c r="BH3">
        <v>0</v>
      </c>
      <c r="BI3">
        <v>0</v>
      </c>
      <c r="BJ3">
        <v>0</v>
      </c>
      <c r="BK3">
        <v>700</v>
      </c>
      <c r="BL3">
        <v>400</v>
      </c>
      <c r="BM3" t="s">
        <v>119</v>
      </c>
      <c r="BN3">
        <v>1</v>
      </c>
      <c r="BO3">
        <v>1</v>
      </c>
      <c r="BP3">
        <v>1</v>
      </c>
      <c r="BQ3">
        <v>0</v>
      </c>
      <c r="BT3">
        <v>0</v>
      </c>
      <c r="BU3">
        <v>0</v>
      </c>
      <c r="BV3">
        <v>0</v>
      </c>
      <c r="CC3" t="str">
        <f>"18:34:22.828"</f>
        <v>18:34:22.828</v>
      </c>
      <c r="CD3" t="str">
        <f>"830199625"</f>
        <v>830199625</v>
      </c>
      <c r="CQ3">
        <v>0</v>
      </c>
      <c r="CR3">
        <v>2</v>
      </c>
      <c r="CS3">
        <v>0</v>
      </c>
      <c r="CT3">
        <v>2</v>
      </c>
      <c r="CU3">
        <v>0</v>
      </c>
      <c r="CV3">
        <v>3</v>
      </c>
      <c r="CW3" t="s">
        <v>120</v>
      </c>
      <c r="CX3">
        <v>261</v>
      </c>
      <c r="CY3">
        <v>1</v>
      </c>
      <c r="CZ3" t="s">
        <v>121</v>
      </c>
      <c r="DA3" t="s">
        <v>122</v>
      </c>
      <c r="DD3">
        <v>3092545</v>
      </c>
      <c r="DE3" t="s">
        <v>123</v>
      </c>
    </row>
    <row r="4" spans="1:110" x14ac:dyDescent="0.3">
      <c r="A4" t="str">
        <f>"18:34:24.359"</f>
        <v>18:34:24.359</v>
      </c>
      <c r="B4" t="s">
        <v>110</v>
      </c>
      <c r="C4" t="str">
        <f t="shared" si="0"/>
        <v>ffdfd3c0</v>
      </c>
      <c r="D4" t="s">
        <v>111</v>
      </c>
      <c r="E4">
        <v>18</v>
      </c>
      <c r="F4">
        <v>1018</v>
      </c>
      <c r="G4" t="s">
        <v>112</v>
      </c>
      <c r="J4" t="s">
        <v>113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R4" t="s">
        <v>114</v>
      </c>
      <c r="S4" t="str">
        <f>"18:34:23.844"</f>
        <v>18:34:23.844</v>
      </c>
      <c r="T4" t="str">
        <f>"18:34:23.344"</f>
        <v>18:34:23.344</v>
      </c>
      <c r="U4" t="str">
        <f t="shared" si="1"/>
        <v>a1cdbe</v>
      </c>
      <c r="V4">
        <v>0</v>
      </c>
      <c r="W4">
        <v>0</v>
      </c>
      <c r="X4">
        <v>1</v>
      </c>
      <c r="Y4">
        <v>0</v>
      </c>
      <c r="Z4">
        <v>0</v>
      </c>
      <c r="AB4">
        <v>0</v>
      </c>
      <c r="AC4">
        <v>9</v>
      </c>
      <c r="AD4">
        <v>3</v>
      </c>
      <c r="AE4">
        <v>0</v>
      </c>
      <c r="AF4">
        <v>9</v>
      </c>
      <c r="AG4" t="s">
        <v>115</v>
      </c>
      <c r="AH4">
        <v>0</v>
      </c>
      <c r="AI4">
        <v>0</v>
      </c>
      <c r="AJ4">
        <v>1</v>
      </c>
      <c r="AK4">
        <v>0</v>
      </c>
      <c r="AL4" t="s">
        <v>126</v>
      </c>
      <c r="AM4">
        <v>47.104247000000001</v>
      </c>
      <c r="AN4" t="s">
        <v>127</v>
      </c>
      <c r="AO4">
        <v>-122.28699400000001</v>
      </c>
      <c r="AP4">
        <v>100</v>
      </c>
      <c r="AQ4">
        <v>300</v>
      </c>
      <c r="AR4" t="s">
        <v>118</v>
      </c>
      <c r="AS4">
        <v>3</v>
      </c>
      <c r="AT4">
        <v>57</v>
      </c>
      <c r="AU4">
        <v>960</v>
      </c>
      <c r="BC4">
        <v>1200</v>
      </c>
      <c r="BD4">
        <v>1</v>
      </c>
      <c r="BE4" t="str">
        <f t="shared" si="2"/>
        <v xml:space="preserve">N215T   </v>
      </c>
      <c r="BF4">
        <v>1</v>
      </c>
      <c r="BH4">
        <v>0</v>
      </c>
      <c r="BI4">
        <v>0</v>
      </c>
      <c r="BJ4">
        <v>0</v>
      </c>
      <c r="BK4">
        <v>700</v>
      </c>
      <c r="BL4">
        <v>400</v>
      </c>
      <c r="BM4" t="s">
        <v>119</v>
      </c>
      <c r="BN4">
        <v>1</v>
      </c>
      <c r="BO4">
        <v>1</v>
      </c>
      <c r="BP4">
        <v>1</v>
      </c>
      <c r="BQ4">
        <v>0</v>
      </c>
      <c r="BT4">
        <v>0</v>
      </c>
      <c r="BU4">
        <v>0</v>
      </c>
      <c r="BV4">
        <v>0</v>
      </c>
      <c r="CC4" t="str">
        <f>"18:34:23.852"</f>
        <v>18:34:23.852</v>
      </c>
      <c r="CD4" t="str">
        <f>"850099162"</f>
        <v>850099162</v>
      </c>
      <c r="CQ4">
        <v>0</v>
      </c>
      <c r="CR4">
        <v>2</v>
      </c>
      <c r="CS4">
        <v>0</v>
      </c>
      <c r="CT4">
        <v>2</v>
      </c>
      <c r="CU4">
        <v>0</v>
      </c>
      <c r="CV4">
        <v>3</v>
      </c>
      <c r="CW4" t="s">
        <v>120</v>
      </c>
      <c r="CX4">
        <v>261</v>
      </c>
      <c r="CY4">
        <v>1</v>
      </c>
      <c r="CZ4" t="s">
        <v>121</v>
      </c>
      <c r="DA4" t="s">
        <v>122</v>
      </c>
      <c r="DD4">
        <v>3093138</v>
      </c>
      <c r="DE4" t="s">
        <v>123</v>
      </c>
    </row>
    <row r="5" spans="1:110" x14ac:dyDescent="0.3">
      <c r="A5" t="str">
        <f>"18:34:25.367"</f>
        <v>18:34:25.367</v>
      </c>
      <c r="B5" t="s">
        <v>110</v>
      </c>
      <c r="C5" t="str">
        <f t="shared" si="0"/>
        <v>ffdfd3c0</v>
      </c>
      <c r="D5" t="s">
        <v>111</v>
      </c>
      <c r="E5">
        <v>18</v>
      </c>
      <c r="F5">
        <v>1018</v>
      </c>
      <c r="G5" t="s">
        <v>112</v>
      </c>
      <c r="J5" t="s">
        <v>113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R5" t="s">
        <v>114</v>
      </c>
      <c r="S5" t="str">
        <f>"18:34:25.133"</f>
        <v>18:34:25.133</v>
      </c>
      <c r="T5" t="str">
        <f>"18:34:24.734"</f>
        <v>18:34:24.734</v>
      </c>
      <c r="U5" t="str">
        <f t="shared" si="1"/>
        <v>a1cdbe</v>
      </c>
      <c r="V5">
        <v>0</v>
      </c>
      <c r="W5">
        <v>0</v>
      </c>
      <c r="X5">
        <v>1</v>
      </c>
      <c r="Y5">
        <v>0</v>
      </c>
      <c r="Z5">
        <v>0</v>
      </c>
      <c r="AB5">
        <v>0</v>
      </c>
      <c r="AC5">
        <v>9</v>
      </c>
      <c r="AD5">
        <v>3</v>
      </c>
      <c r="AE5">
        <v>0</v>
      </c>
      <c r="AF5">
        <v>9</v>
      </c>
      <c r="AG5" t="s">
        <v>115</v>
      </c>
      <c r="AH5">
        <v>0</v>
      </c>
      <c r="AI5">
        <v>0</v>
      </c>
      <c r="AJ5">
        <v>1</v>
      </c>
      <c r="AK5">
        <v>0</v>
      </c>
      <c r="AL5" t="s">
        <v>128</v>
      </c>
      <c r="AM5">
        <v>47.104590000000002</v>
      </c>
      <c r="AN5" t="s">
        <v>127</v>
      </c>
      <c r="AO5">
        <v>-122.28699400000001</v>
      </c>
      <c r="AP5">
        <v>100</v>
      </c>
      <c r="AQ5">
        <v>300</v>
      </c>
      <c r="AR5" t="s">
        <v>118</v>
      </c>
      <c r="AS5">
        <v>2</v>
      </c>
      <c r="AT5">
        <v>58</v>
      </c>
      <c r="AU5">
        <v>1088</v>
      </c>
      <c r="BC5">
        <v>1200</v>
      </c>
      <c r="BD5">
        <v>1</v>
      </c>
      <c r="BE5" t="str">
        <f t="shared" si="2"/>
        <v xml:space="preserve">N215T   </v>
      </c>
      <c r="BF5">
        <v>1</v>
      </c>
      <c r="BH5">
        <v>0</v>
      </c>
      <c r="BI5">
        <v>0</v>
      </c>
      <c r="BJ5">
        <v>0</v>
      </c>
      <c r="BK5">
        <v>725</v>
      </c>
      <c r="BL5">
        <v>425</v>
      </c>
      <c r="BM5" t="s">
        <v>119</v>
      </c>
      <c r="BN5">
        <v>1</v>
      </c>
      <c r="BO5">
        <v>1</v>
      </c>
      <c r="BP5">
        <v>1</v>
      </c>
      <c r="BQ5">
        <v>0</v>
      </c>
      <c r="BT5">
        <v>0</v>
      </c>
      <c r="BU5">
        <v>0</v>
      </c>
      <c r="BV5">
        <v>0</v>
      </c>
      <c r="CC5" t="str">
        <f>"18:34:25.141"</f>
        <v>18:34:25.141</v>
      </c>
      <c r="CD5" t="str">
        <f>"139972095"</f>
        <v>139972095</v>
      </c>
      <c r="CQ5">
        <v>0</v>
      </c>
      <c r="CR5">
        <v>2</v>
      </c>
      <c r="CS5">
        <v>0</v>
      </c>
      <c r="CT5">
        <v>2</v>
      </c>
      <c r="CU5">
        <v>0</v>
      </c>
      <c r="CV5">
        <v>4</v>
      </c>
      <c r="CW5" t="s">
        <v>120</v>
      </c>
      <c r="CX5">
        <v>261</v>
      </c>
      <c r="CY5">
        <v>2</v>
      </c>
      <c r="CZ5" t="s">
        <v>121</v>
      </c>
      <c r="DA5" t="s">
        <v>122</v>
      </c>
      <c r="DD5">
        <v>14251071</v>
      </c>
      <c r="DE5" t="s">
        <v>123</v>
      </c>
    </row>
    <row r="6" spans="1:110" x14ac:dyDescent="0.3">
      <c r="A6" t="str">
        <f>"18:34:26.367"</f>
        <v>18:34:26.367</v>
      </c>
      <c r="B6" t="s">
        <v>110</v>
      </c>
      <c r="C6" t="str">
        <f t="shared" si="0"/>
        <v>ffdfd3c0</v>
      </c>
      <c r="D6" t="s">
        <v>111</v>
      </c>
      <c r="E6">
        <v>18</v>
      </c>
      <c r="F6">
        <v>1018</v>
      </c>
      <c r="G6" t="s">
        <v>112</v>
      </c>
      <c r="J6" t="s">
        <v>113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R6" t="s">
        <v>114</v>
      </c>
      <c r="S6" t="str">
        <f>"18:34:26.125"</f>
        <v>18:34:26.125</v>
      </c>
      <c r="T6" t="str">
        <f>"18:34:25.828"</f>
        <v>18:34:25.828</v>
      </c>
      <c r="U6" t="str">
        <f t="shared" si="1"/>
        <v>a1cdbe</v>
      </c>
      <c r="V6">
        <v>0</v>
      </c>
      <c r="W6">
        <v>0</v>
      </c>
      <c r="X6">
        <v>1</v>
      </c>
      <c r="Y6">
        <v>0</v>
      </c>
      <c r="Z6">
        <v>0</v>
      </c>
      <c r="AB6">
        <v>0</v>
      </c>
      <c r="AC6">
        <v>9</v>
      </c>
      <c r="AD6">
        <v>3</v>
      </c>
      <c r="AE6">
        <v>0</v>
      </c>
      <c r="AF6">
        <v>9</v>
      </c>
      <c r="AG6" t="s">
        <v>115</v>
      </c>
      <c r="AH6">
        <v>0</v>
      </c>
      <c r="AI6">
        <v>0</v>
      </c>
      <c r="AJ6">
        <v>1</v>
      </c>
      <c r="AK6">
        <v>0</v>
      </c>
      <c r="AL6" t="s">
        <v>129</v>
      </c>
      <c r="AM6">
        <v>47.104889999999997</v>
      </c>
      <c r="AN6" t="s">
        <v>130</v>
      </c>
      <c r="AO6">
        <v>-122.286973</v>
      </c>
      <c r="AP6">
        <v>100</v>
      </c>
      <c r="AQ6">
        <v>400</v>
      </c>
      <c r="AR6" t="s">
        <v>118</v>
      </c>
      <c r="AS6">
        <v>3</v>
      </c>
      <c r="AT6">
        <v>58</v>
      </c>
      <c r="AU6">
        <v>1152</v>
      </c>
      <c r="BC6">
        <v>1200</v>
      </c>
      <c r="BD6">
        <v>1</v>
      </c>
      <c r="BE6" t="str">
        <f t="shared" si="2"/>
        <v xml:space="preserve">N215T   </v>
      </c>
      <c r="BF6">
        <v>1</v>
      </c>
      <c r="BH6">
        <v>0</v>
      </c>
      <c r="BI6">
        <v>0</v>
      </c>
      <c r="BJ6">
        <v>0</v>
      </c>
      <c r="BK6">
        <v>750</v>
      </c>
      <c r="BL6">
        <v>350</v>
      </c>
      <c r="BM6" t="s">
        <v>119</v>
      </c>
      <c r="BN6">
        <v>1</v>
      </c>
      <c r="BO6">
        <v>1</v>
      </c>
      <c r="BP6">
        <v>1</v>
      </c>
      <c r="BQ6">
        <v>0</v>
      </c>
      <c r="BT6">
        <v>0</v>
      </c>
      <c r="BU6">
        <v>0</v>
      </c>
      <c r="BV6">
        <v>0</v>
      </c>
      <c r="CC6" t="str">
        <f>"18:34:26.133"</f>
        <v>18:34:26.133</v>
      </c>
      <c r="CD6" t="str">
        <f>"129874594"</f>
        <v>129874594</v>
      </c>
      <c r="CQ6">
        <v>0</v>
      </c>
      <c r="CR6">
        <v>2</v>
      </c>
      <c r="CS6">
        <v>0</v>
      </c>
      <c r="CT6">
        <v>2</v>
      </c>
      <c r="CU6">
        <v>0</v>
      </c>
      <c r="CV6">
        <v>5</v>
      </c>
      <c r="CW6" t="s">
        <v>120</v>
      </c>
      <c r="CX6">
        <v>261</v>
      </c>
      <c r="CY6">
        <v>1</v>
      </c>
      <c r="CZ6" t="s">
        <v>121</v>
      </c>
      <c r="DA6" t="s">
        <v>122</v>
      </c>
      <c r="DD6">
        <v>3094399</v>
      </c>
      <c r="DE6" t="s">
        <v>123</v>
      </c>
    </row>
    <row r="7" spans="1:110" x14ac:dyDescent="0.3">
      <c r="A7" t="str">
        <f>"18:34:27.477"</f>
        <v>18:34:27.477</v>
      </c>
      <c r="B7" t="s">
        <v>110</v>
      </c>
      <c r="C7" t="str">
        <f t="shared" si="0"/>
        <v>ffdfd3c0</v>
      </c>
      <c r="D7" t="s">
        <v>111</v>
      </c>
      <c r="E7">
        <v>18</v>
      </c>
      <c r="F7">
        <v>1018</v>
      </c>
      <c r="G7" t="s">
        <v>112</v>
      </c>
      <c r="J7" t="s">
        <v>113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R7" t="s">
        <v>114</v>
      </c>
      <c r="S7" t="str">
        <f>"18:34:27.188"</f>
        <v>18:34:27.188</v>
      </c>
      <c r="T7" t="str">
        <f>"18:34:26.789"</f>
        <v>18:34:26.789</v>
      </c>
      <c r="U7" t="str">
        <f t="shared" si="1"/>
        <v>a1cdbe</v>
      </c>
      <c r="V7">
        <v>0</v>
      </c>
      <c r="W7">
        <v>0</v>
      </c>
      <c r="X7">
        <v>1</v>
      </c>
      <c r="Y7">
        <v>0</v>
      </c>
      <c r="Z7">
        <v>0</v>
      </c>
      <c r="AB7">
        <v>0</v>
      </c>
      <c r="AC7">
        <v>9</v>
      </c>
      <c r="AD7">
        <v>3</v>
      </c>
      <c r="AE7">
        <v>0</v>
      </c>
      <c r="AF7">
        <v>9</v>
      </c>
      <c r="AG7" t="s">
        <v>115</v>
      </c>
      <c r="AH7">
        <v>0</v>
      </c>
      <c r="AI7">
        <v>0</v>
      </c>
      <c r="AJ7">
        <v>1</v>
      </c>
      <c r="AK7">
        <v>0</v>
      </c>
      <c r="AL7" t="s">
        <v>131</v>
      </c>
      <c r="AM7">
        <v>47.105168999999997</v>
      </c>
      <c r="AN7" t="s">
        <v>132</v>
      </c>
      <c r="AO7">
        <v>-122.28688699999999</v>
      </c>
      <c r="AP7">
        <v>100</v>
      </c>
      <c r="AQ7">
        <v>400</v>
      </c>
      <c r="AR7" t="s">
        <v>118</v>
      </c>
      <c r="AS7">
        <v>4</v>
      </c>
      <c r="AT7">
        <v>59</v>
      </c>
      <c r="AU7">
        <v>1216</v>
      </c>
      <c r="BC7">
        <v>1200</v>
      </c>
      <c r="BD7">
        <v>1</v>
      </c>
      <c r="BE7" t="str">
        <f t="shared" si="2"/>
        <v xml:space="preserve">N215T   </v>
      </c>
      <c r="BF7">
        <v>1</v>
      </c>
      <c r="BH7">
        <v>0</v>
      </c>
      <c r="BI7">
        <v>0</v>
      </c>
      <c r="BJ7">
        <v>0</v>
      </c>
      <c r="BK7">
        <v>775</v>
      </c>
      <c r="BL7">
        <v>375</v>
      </c>
      <c r="BM7" t="s">
        <v>119</v>
      </c>
      <c r="BN7">
        <v>1</v>
      </c>
      <c r="BO7">
        <v>1</v>
      </c>
      <c r="BP7">
        <v>1</v>
      </c>
      <c r="BQ7">
        <v>0</v>
      </c>
      <c r="BT7">
        <v>0</v>
      </c>
      <c r="BU7">
        <v>0</v>
      </c>
      <c r="BV7">
        <v>0</v>
      </c>
      <c r="CC7" t="str">
        <f>"18:34:27.195"</f>
        <v>18:34:27.195</v>
      </c>
      <c r="CD7" t="str">
        <f>"194769661"</f>
        <v>194769661</v>
      </c>
      <c r="CQ7">
        <v>0</v>
      </c>
      <c r="CR7">
        <v>2</v>
      </c>
      <c r="CS7">
        <v>0</v>
      </c>
      <c r="CT7">
        <v>2</v>
      </c>
      <c r="CU7">
        <v>0</v>
      </c>
      <c r="CV7">
        <v>4</v>
      </c>
      <c r="CW7" t="s">
        <v>120</v>
      </c>
      <c r="CX7">
        <v>261</v>
      </c>
      <c r="CY7">
        <v>2</v>
      </c>
      <c r="CZ7" t="s">
        <v>121</v>
      </c>
      <c r="DA7" t="s">
        <v>122</v>
      </c>
      <c r="DD7">
        <v>14252014</v>
      </c>
      <c r="DE7" t="s">
        <v>123</v>
      </c>
    </row>
    <row r="8" spans="1:110" x14ac:dyDescent="0.3">
      <c r="A8" t="str">
        <f>"18:34:28.484"</f>
        <v>18:34:28.484</v>
      </c>
      <c r="B8" t="s">
        <v>110</v>
      </c>
      <c r="C8" t="str">
        <f t="shared" si="0"/>
        <v>ffdfd3c0</v>
      </c>
      <c r="D8" t="s">
        <v>111</v>
      </c>
      <c r="E8">
        <v>18</v>
      </c>
      <c r="F8">
        <v>1018</v>
      </c>
      <c r="G8" t="s">
        <v>112</v>
      </c>
      <c r="J8" t="s">
        <v>113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R8" t="s">
        <v>114</v>
      </c>
      <c r="S8" t="str">
        <f>"18:34:28.258"</f>
        <v>18:34:28.258</v>
      </c>
      <c r="T8" t="str">
        <f>"18:34:27.961"</f>
        <v>18:34:27.961</v>
      </c>
      <c r="U8" t="str">
        <f t="shared" si="1"/>
        <v>a1cdbe</v>
      </c>
      <c r="V8">
        <v>0</v>
      </c>
      <c r="W8">
        <v>0</v>
      </c>
      <c r="X8">
        <v>1</v>
      </c>
      <c r="Y8">
        <v>0</v>
      </c>
      <c r="Z8">
        <v>0</v>
      </c>
      <c r="AB8">
        <v>0</v>
      </c>
      <c r="AC8">
        <v>9</v>
      </c>
      <c r="AD8">
        <v>3</v>
      </c>
      <c r="AE8">
        <v>0</v>
      </c>
      <c r="AF8">
        <v>9</v>
      </c>
      <c r="AG8" t="s">
        <v>115</v>
      </c>
      <c r="AH8">
        <v>0</v>
      </c>
      <c r="AI8">
        <v>0</v>
      </c>
      <c r="AJ8">
        <v>1</v>
      </c>
      <c r="AK8">
        <v>0</v>
      </c>
      <c r="AL8" t="s">
        <v>133</v>
      </c>
      <c r="AM8">
        <v>47.105469999999997</v>
      </c>
      <c r="AN8" t="s">
        <v>134</v>
      </c>
      <c r="AO8">
        <v>-122.286844</v>
      </c>
      <c r="AP8">
        <v>100</v>
      </c>
      <c r="AQ8">
        <v>400</v>
      </c>
      <c r="AR8" t="s">
        <v>118</v>
      </c>
      <c r="AS8">
        <v>5</v>
      </c>
      <c r="AT8">
        <v>60</v>
      </c>
      <c r="AU8">
        <v>1024</v>
      </c>
      <c r="BC8">
        <v>1200</v>
      </c>
      <c r="BD8">
        <v>1</v>
      </c>
      <c r="BE8" t="str">
        <f t="shared" si="2"/>
        <v xml:space="preserve">N215T   </v>
      </c>
      <c r="BF8">
        <v>1</v>
      </c>
      <c r="BH8">
        <v>0</v>
      </c>
      <c r="BI8">
        <v>0</v>
      </c>
      <c r="BJ8">
        <v>0</v>
      </c>
      <c r="BK8">
        <v>775</v>
      </c>
      <c r="BL8">
        <v>375</v>
      </c>
      <c r="BM8" t="s">
        <v>119</v>
      </c>
      <c r="BN8">
        <v>1</v>
      </c>
      <c r="BO8">
        <v>1</v>
      </c>
      <c r="BP8">
        <v>1</v>
      </c>
      <c r="BQ8">
        <v>0</v>
      </c>
      <c r="BT8">
        <v>0</v>
      </c>
      <c r="BU8">
        <v>0</v>
      </c>
      <c r="BV8">
        <v>0</v>
      </c>
      <c r="CC8" t="str">
        <f>"18:34:28.258"</f>
        <v>18:34:28.258</v>
      </c>
      <c r="CD8" t="str">
        <f>"259664776"</f>
        <v>259664776</v>
      </c>
      <c r="CQ8">
        <v>0</v>
      </c>
      <c r="CR8">
        <v>2</v>
      </c>
      <c r="CS8">
        <v>0</v>
      </c>
      <c r="CT8">
        <v>2</v>
      </c>
      <c r="CU8">
        <v>0</v>
      </c>
      <c r="CV8">
        <v>5</v>
      </c>
      <c r="CW8" t="s">
        <v>120</v>
      </c>
      <c r="CX8">
        <v>261</v>
      </c>
      <c r="CY8">
        <v>1</v>
      </c>
      <c r="CZ8" t="s">
        <v>121</v>
      </c>
      <c r="DA8" t="s">
        <v>122</v>
      </c>
      <c r="DD8">
        <v>3095585</v>
      </c>
      <c r="DE8" t="s">
        <v>123</v>
      </c>
    </row>
    <row r="9" spans="1:110" x14ac:dyDescent="0.3">
      <c r="A9" t="str">
        <f>"18:34:29.539"</f>
        <v>18:34:29.539</v>
      </c>
      <c r="B9" t="s">
        <v>110</v>
      </c>
      <c r="C9" t="str">
        <f t="shared" si="0"/>
        <v>ffdfd3c0</v>
      </c>
      <c r="D9" t="s">
        <v>111</v>
      </c>
      <c r="E9">
        <v>18</v>
      </c>
      <c r="F9">
        <v>1018</v>
      </c>
      <c r="G9" t="s">
        <v>112</v>
      </c>
      <c r="J9" t="s">
        <v>113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R9" t="s">
        <v>114</v>
      </c>
      <c r="S9" t="str">
        <f>"18:34:29.273"</f>
        <v>18:34:29.273</v>
      </c>
      <c r="T9" t="str">
        <f>"18:34:29.273"</f>
        <v>18:34:29.273</v>
      </c>
      <c r="U9" t="str">
        <f t="shared" si="1"/>
        <v>a1cdbe</v>
      </c>
      <c r="V9">
        <v>0</v>
      </c>
      <c r="W9">
        <v>0</v>
      </c>
      <c r="X9">
        <v>1</v>
      </c>
      <c r="Y9">
        <v>0</v>
      </c>
      <c r="Z9">
        <v>0</v>
      </c>
      <c r="AB9">
        <v>0</v>
      </c>
      <c r="AC9">
        <v>9</v>
      </c>
      <c r="AD9">
        <v>3</v>
      </c>
      <c r="AE9">
        <v>0</v>
      </c>
      <c r="AF9">
        <v>9</v>
      </c>
      <c r="AG9" t="s">
        <v>115</v>
      </c>
      <c r="AH9">
        <v>0</v>
      </c>
      <c r="AI9">
        <v>0</v>
      </c>
      <c r="AJ9">
        <v>1</v>
      </c>
      <c r="AK9">
        <v>0</v>
      </c>
      <c r="AL9" t="s">
        <v>135</v>
      </c>
      <c r="AM9">
        <v>47.105749000000003</v>
      </c>
      <c r="AN9" t="s">
        <v>136</v>
      </c>
      <c r="AO9">
        <v>-122.286823</v>
      </c>
      <c r="AP9">
        <v>100</v>
      </c>
      <c r="AQ9">
        <v>400</v>
      </c>
      <c r="AR9" t="s">
        <v>118</v>
      </c>
      <c r="AS9">
        <v>5</v>
      </c>
      <c r="AT9">
        <v>61</v>
      </c>
      <c r="AU9">
        <v>896</v>
      </c>
      <c r="BC9">
        <v>1200</v>
      </c>
      <c r="BD9">
        <v>1</v>
      </c>
      <c r="BE9" t="str">
        <f t="shared" si="2"/>
        <v xml:space="preserve">N215T   </v>
      </c>
      <c r="BF9">
        <v>1</v>
      </c>
      <c r="BH9">
        <v>0</v>
      </c>
      <c r="BI9">
        <v>0</v>
      </c>
      <c r="BJ9">
        <v>0</v>
      </c>
      <c r="BK9">
        <v>800</v>
      </c>
      <c r="BL9">
        <v>400</v>
      </c>
      <c r="BM9" t="s">
        <v>119</v>
      </c>
      <c r="BN9">
        <v>1</v>
      </c>
      <c r="BO9">
        <v>1</v>
      </c>
      <c r="BP9">
        <v>1</v>
      </c>
      <c r="BQ9">
        <v>0</v>
      </c>
      <c r="BT9">
        <v>0</v>
      </c>
      <c r="BU9">
        <v>0</v>
      </c>
      <c r="BV9">
        <v>0</v>
      </c>
      <c r="CC9" t="str">
        <f>"18:34:29.281"</f>
        <v>18:34:29.281</v>
      </c>
      <c r="CD9" t="str">
        <f>"279564287"</f>
        <v>279564287</v>
      </c>
      <c r="CQ9">
        <v>0</v>
      </c>
      <c r="CR9">
        <v>2</v>
      </c>
      <c r="CS9">
        <v>0</v>
      </c>
      <c r="CT9">
        <v>2</v>
      </c>
      <c r="CU9">
        <v>0</v>
      </c>
      <c r="CV9">
        <v>5</v>
      </c>
      <c r="CW9" t="s">
        <v>120</v>
      </c>
      <c r="CX9">
        <v>261</v>
      </c>
      <c r="CY9">
        <v>1</v>
      </c>
      <c r="CZ9" t="s">
        <v>121</v>
      </c>
      <c r="DA9" t="s">
        <v>122</v>
      </c>
      <c r="DD9">
        <v>3096157</v>
      </c>
      <c r="DE9" t="s">
        <v>123</v>
      </c>
    </row>
    <row r="10" spans="1:110" x14ac:dyDescent="0.3">
      <c r="A10" t="str">
        <f>"18:34:30.539"</f>
        <v>18:34:30.539</v>
      </c>
      <c r="B10" t="s">
        <v>110</v>
      </c>
      <c r="C10" t="str">
        <f t="shared" si="0"/>
        <v>ffdfd3c0</v>
      </c>
      <c r="D10" t="s">
        <v>111</v>
      </c>
      <c r="E10">
        <v>18</v>
      </c>
      <c r="F10">
        <v>1018</v>
      </c>
      <c r="G10" t="s">
        <v>112</v>
      </c>
      <c r="J10" t="s">
        <v>113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R10" t="s">
        <v>114</v>
      </c>
      <c r="S10" t="str">
        <f>"18:34:30.281"</f>
        <v>18:34:30.281</v>
      </c>
      <c r="T10" t="str">
        <f>"18:34:29.883"</f>
        <v>18:34:29.883</v>
      </c>
      <c r="U10" t="str">
        <f t="shared" si="1"/>
        <v>a1cdbe</v>
      </c>
      <c r="V10">
        <v>0</v>
      </c>
      <c r="W10">
        <v>0</v>
      </c>
      <c r="X10">
        <v>1</v>
      </c>
      <c r="Y10">
        <v>0</v>
      </c>
      <c r="Z10">
        <v>0</v>
      </c>
      <c r="AB10">
        <v>0</v>
      </c>
      <c r="AC10">
        <v>9</v>
      </c>
      <c r="AD10">
        <v>3</v>
      </c>
      <c r="AE10">
        <v>0</v>
      </c>
      <c r="AF10">
        <v>9</v>
      </c>
      <c r="AG10" t="s">
        <v>115</v>
      </c>
      <c r="AH10">
        <v>0</v>
      </c>
      <c r="AI10">
        <v>0</v>
      </c>
      <c r="AJ10">
        <v>1</v>
      </c>
      <c r="AK10">
        <v>0</v>
      </c>
      <c r="AL10" t="s">
        <v>137</v>
      </c>
      <c r="AM10">
        <v>47.106028000000002</v>
      </c>
      <c r="AN10" t="s">
        <v>138</v>
      </c>
      <c r="AO10">
        <v>-122.28677999999999</v>
      </c>
      <c r="AP10">
        <v>100</v>
      </c>
      <c r="AQ10">
        <v>400</v>
      </c>
      <c r="AR10" t="s">
        <v>118</v>
      </c>
      <c r="AS10">
        <v>6</v>
      </c>
      <c r="AT10">
        <v>61</v>
      </c>
      <c r="AU10">
        <v>832</v>
      </c>
      <c r="BC10">
        <v>1200</v>
      </c>
      <c r="BD10">
        <v>1</v>
      </c>
      <c r="BE10" t="str">
        <f t="shared" si="2"/>
        <v xml:space="preserve">N215T   </v>
      </c>
      <c r="BF10">
        <v>1</v>
      </c>
      <c r="BH10">
        <v>0</v>
      </c>
      <c r="BI10">
        <v>0</v>
      </c>
      <c r="BJ10">
        <v>0</v>
      </c>
      <c r="BK10">
        <v>800</v>
      </c>
      <c r="BL10">
        <v>400</v>
      </c>
      <c r="BM10" t="s">
        <v>119</v>
      </c>
      <c r="BN10">
        <v>1</v>
      </c>
      <c r="BO10">
        <v>1</v>
      </c>
      <c r="BP10">
        <v>1</v>
      </c>
      <c r="BQ10">
        <v>0</v>
      </c>
      <c r="BT10">
        <v>0</v>
      </c>
      <c r="BU10">
        <v>0</v>
      </c>
      <c r="BV10">
        <v>0</v>
      </c>
      <c r="CC10" t="str">
        <f>"18:34:30.281"</f>
        <v>18:34:30.281</v>
      </c>
      <c r="CD10" t="str">
        <f>"284465282"</f>
        <v>284465282</v>
      </c>
      <c r="CQ10">
        <v>0</v>
      </c>
      <c r="CR10">
        <v>2</v>
      </c>
      <c r="CS10">
        <v>0</v>
      </c>
      <c r="CT10">
        <v>2</v>
      </c>
      <c r="CU10">
        <v>0</v>
      </c>
      <c r="CV10">
        <v>5</v>
      </c>
      <c r="CW10" t="s">
        <v>120</v>
      </c>
      <c r="CX10">
        <v>261</v>
      </c>
      <c r="CY10">
        <v>2</v>
      </c>
      <c r="CZ10" t="s">
        <v>121</v>
      </c>
      <c r="DA10" t="s">
        <v>122</v>
      </c>
      <c r="DD10">
        <v>14253479</v>
      </c>
      <c r="DE10" t="s">
        <v>123</v>
      </c>
    </row>
    <row r="11" spans="1:110" x14ac:dyDescent="0.3">
      <c r="A11" t="str">
        <f>"18:34:31.398"</f>
        <v>18:34:31.398</v>
      </c>
      <c r="B11" t="s">
        <v>110</v>
      </c>
      <c r="C11" t="str">
        <f t="shared" si="0"/>
        <v>ffdfd3c0</v>
      </c>
      <c r="D11" t="s">
        <v>111</v>
      </c>
      <c r="E11">
        <v>18</v>
      </c>
      <c r="F11">
        <v>1018</v>
      </c>
      <c r="G11" t="s">
        <v>112</v>
      </c>
      <c r="J11" t="s">
        <v>113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R11" t="s">
        <v>114</v>
      </c>
      <c r="S11" t="str">
        <f>"18:34:31.109"</f>
        <v>18:34:31.109</v>
      </c>
      <c r="T11" t="str">
        <f>"18:34:30.313"</f>
        <v>18:34:30.313</v>
      </c>
      <c r="U11" t="str">
        <f t="shared" si="1"/>
        <v>a1cdbe</v>
      </c>
      <c r="V11">
        <v>0</v>
      </c>
      <c r="W11">
        <v>0</v>
      </c>
      <c r="X11">
        <v>1</v>
      </c>
      <c r="Y11">
        <v>0</v>
      </c>
      <c r="Z11">
        <v>0</v>
      </c>
      <c r="AB11">
        <v>0</v>
      </c>
      <c r="AC11">
        <v>9</v>
      </c>
      <c r="AD11">
        <v>3</v>
      </c>
      <c r="AE11">
        <v>0</v>
      </c>
      <c r="AF11">
        <v>9</v>
      </c>
      <c r="AG11" t="s">
        <v>115</v>
      </c>
      <c r="AH11">
        <v>0</v>
      </c>
      <c r="AI11">
        <v>0</v>
      </c>
      <c r="AJ11">
        <v>1</v>
      </c>
      <c r="AK11">
        <v>0</v>
      </c>
      <c r="AL11" t="s">
        <v>139</v>
      </c>
      <c r="AM11">
        <v>47.106264000000003</v>
      </c>
      <c r="AN11" t="s">
        <v>138</v>
      </c>
      <c r="AO11">
        <v>-122.28677999999999</v>
      </c>
      <c r="AP11">
        <v>100</v>
      </c>
      <c r="AQ11">
        <v>400</v>
      </c>
      <c r="AR11" t="s">
        <v>118</v>
      </c>
      <c r="AS11">
        <v>6</v>
      </c>
      <c r="AT11">
        <v>61</v>
      </c>
      <c r="AU11">
        <v>832</v>
      </c>
      <c r="BC11">
        <v>1200</v>
      </c>
      <c r="BD11">
        <v>1</v>
      </c>
      <c r="BE11" t="str">
        <f t="shared" si="2"/>
        <v xml:space="preserve">N215T   </v>
      </c>
      <c r="BF11">
        <v>1</v>
      </c>
      <c r="BH11">
        <v>0</v>
      </c>
      <c r="BI11">
        <v>0</v>
      </c>
      <c r="BJ11">
        <v>0</v>
      </c>
      <c r="BK11">
        <v>825</v>
      </c>
      <c r="BL11">
        <v>425</v>
      </c>
      <c r="BM11" t="s">
        <v>119</v>
      </c>
      <c r="BN11">
        <v>1</v>
      </c>
      <c r="BO11">
        <v>1</v>
      </c>
      <c r="BP11">
        <v>1</v>
      </c>
      <c r="BQ11">
        <v>0</v>
      </c>
      <c r="BT11">
        <v>0</v>
      </c>
      <c r="BU11">
        <v>0</v>
      </c>
      <c r="BV11">
        <v>0</v>
      </c>
      <c r="CC11" t="str">
        <f>"18:34:31.109"</f>
        <v>18:34:31.109</v>
      </c>
      <c r="CD11" t="str">
        <f>"109384023"</f>
        <v>109384023</v>
      </c>
      <c r="CQ11">
        <v>0</v>
      </c>
      <c r="CR11">
        <v>2</v>
      </c>
      <c r="CS11">
        <v>0</v>
      </c>
      <c r="CT11">
        <v>2</v>
      </c>
      <c r="CU11">
        <v>0</v>
      </c>
      <c r="CV11">
        <v>6</v>
      </c>
      <c r="CW11" t="s">
        <v>120</v>
      </c>
      <c r="CX11">
        <v>261</v>
      </c>
      <c r="CY11">
        <v>1</v>
      </c>
      <c r="CZ11" t="s">
        <v>121</v>
      </c>
      <c r="DA11" t="s">
        <v>122</v>
      </c>
      <c r="DD11">
        <v>3097182</v>
      </c>
      <c r="DE11" t="s">
        <v>123</v>
      </c>
    </row>
    <row r="12" spans="1:110" x14ac:dyDescent="0.3">
      <c r="A12" t="str">
        <f>"18:34:32.305"</f>
        <v>18:34:32.305</v>
      </c>
      <c r="B12" t="s">
        <v>110</v>
      </c>
      <c r="C12" t="str">
        <f t="shared" si="0"/>
        <v>ffdfd3c0</v>
      </c>
      <c r="D12" t="s">
        <v>111</v>
      </c>
      <c r="E12">
        <v>18</v>
      </c>
      <c r="F12">
        <v>1018</v>
      </c>
      <c r="G12" t="s">
        <v>112</v>
      </c>
      <c r="J12" t="s">
        <v>113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R12" t="s">
        <v>114</v>
      </c>
      <c r="S12" t="str">
        <f>"18:34:32.063"</f>
        <v>18:34:32.063</v>
      </c>
      <c r="T12" t="str">
        <f>"18:34:31.961"</f>
        <v>18:34:31.961</v>
      </c>
      <c r="U12" t="str">
        <f t="shared" si="1"/>
        <v>a1cdbe</v>
      </c>
      <c r="V12">
        <v>0</v>
      </c>
      <c r="W12">
        <v>0</v>
      </c>
      <c r="X12">
        <v>1</v>
      </c>
      <c r="Y12">
        <v>0</v>
      </c>
      <c r="Z12">
        <v>0</v>
      </c>
      <c r="AB12">
        <v>0</v>
      </c>
      <c r="AC12">
        <v>9</v>
      </c>
      <c r="AD12">
        <v>3</v>
      </c>
      <c r="AE12">
        <v>0</v>
      </c>
      <c r="AF12">
        <v>9</v>
      </c>
      <c r="AG12" t="s">
        <v>115</v>
      </c>
      <c r="AH12">
        <v>0</v>
      </c>
      <c r="AI12">
        <v>0</v>
      </c>
      <c r="AJ12">
        <v>1</v>
      </c>
      <c r="AK12">
        <v>0</v>
      </c>
      <c r="AL12" t="s">
        <v>140</v>
      </c>
      <c r="AM12">
        <v>47.106543000000002</v>
      </c>
      <c r="AN12" t="s">
        <v>141</v>
      </c>
      <c r="AO12">
        <v>-122.28675800000001</v>
      </c>
      <c r="AP12">
        <v>100</v>
      </c>
      <c r="AQ12">
        <v>500</v>
      </c>
      <c r="AR12" t="s">
        <v>118</v>
      </c>
      <c r="AS12">
        <v>6</v>
      </c>
      <c r="AT12">
        <v>62</v>
      </c>
      <c r="AU12">
        <v>832</v>
      </c>
      <c r="BC12">
        <v>1200</v>
      </c>
      <c r="BD12">
        <v>1</v>
      </c>
      <c r="BE12" t="str">
        <f t="shared" si="2"/>
        <v xml:space="preserve">N215T   </v>
      </c>
      <c r="BF12">
        <v>1</v>
      </c>
      <c r="BH12">
        <v>0</v>
      </c>
      <c r="BI12">
        <v>0</v>
      </c>
      <c r="BJ12">
        <v>0</v>
      </c>
      <c r="BK12">
        <v>850</v>
      </c>
      <c r="BL12">
        <v>350</v>
      </c>
      <c r="BM12" t="s">
        <v>119</v>
      </c>
      <c r="BN12">
        <v>1</v>
      </c>
      <c r="BO12">
        <v>1</v>
      </c>
      <c r="BP12">
        <v>1</v>
      </c>
      <c r="BQ12">
        <v>0</v>
      </c>
      <c r="BT12">
        <v>0</v>
      </c>
      <c r="BU12">
        <v>0</v>
      </c>
      <c r="BV12">
        <v>0</v>
      </c>
      <c r="CC12" t="str">
        <f>"18:34:32.070"</f>
        <v>18:34:32.070</v>
      </c>
      <c r="CD12" t="str">
        <f>"069289451"</f>
        <v>069289451</v>
      </c>
      <c r="CQ12">
        <v>0</v>
      </c>
      <c r="CR12">
        <v>2</v>
      </c>
      <c r="CS12">
        <v>0</v>
      </c>
      <c r="CT12">
        <v>2</v>
      </c>
      <c r="CU12">
        <v>0</v>
      </c>
      <c r="CV12">
        <v>5</v>
      </c>
      <c r="CW12" t="s">
        <v>120</v>
      </c>
      <c r="CX12">
        <v>261</v>
      </c>
      <c r="CY12">
        <v>1</v>
      </c>
      <c r="CZ12" t="s">
        <v>121</v>
      </c>
      <c r="DA12" t="s">
        <v>122</v>
      </c>
      <c r="DD12">
        <v>3097752</v>
      </c>
      <c r="DE12" t="s">
        <v>123</v>
      </c>
    </row>
    <row r="13" spans="1:110" x14ac:dyDescent="0.3">
      <c r="A13" t="str">
        <f>"18:34:33.305"</f>
        <v>18:34:33.305</v>
      </c>
      <c r="B13" t="s">
        <v>110</v>
      </c>
      <c r="C13" t="str">
        <f t="shared" si="0"/>
        <v>ffdfd3c0</v>
      </c>
      <c r="D13" t="s">
        <v>111</v>
      </c>
      <c r="E13">
        <v>18</v>
      </c>
      <c r="F13">
        <v>1018</v>
      </c>
      <c r="G13" t="s">
        <v>112</v>
      </c>
      <c r="J13" t="s">
        <v>113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R13" t="s">
        <v>114</v>
      </c>
      <c r="S13" t="str">
        <f>"18:34:33.023"</f>
        <v>18:34:33.023</v>
      </c>
      <c r="T13" t="str">
        <f>"18:34:33.023"</f>
        <v>18:34:33.023</v>
      </c>
      <c r="U13" t="str">
        <f t="shared" si="1"/>
        <v>a1cdbe</v>
      </c>
      <c r="V13">
        <v>0</v>
      </c>
      <c r="W13">
        <v>0</v>
      </c>
      <c r="X13">
        <v>1</v>
      </c>
      <c r="Y13">
        <v>0</v>
      </c>
      <c r="Z13">
        <v>0</v>
      </c>
      <c r="AB13">
        <v>0</v>
      </c>
      <c r="AC13">
        <v>9</v>
      </c>
      <c r="AD13">
        <v>3</v>
      </c>
      <c r="AE13">
        <v>0</v>
      </c>
      <c r="AF13">
        <v>9</v>
      </c>
      <c r="AG13" t="s">
        <v>115</v>
      </c>
      <c r="AH13">
        <v>0</v>
      </c>
      <c r="AI13">
        <v>0</v>
      </c>
      <c r="AJ13">
        <v>1</v>
      </c>
      <c r="AK13">
        <v>0</v>
      </c>
      <c r="AL13" t="s">
        <v>142</v>
      </c>
      <c r="AM13">
        <v>47.106822000000001</v>
      </c>
      <c r="AN13" t="s">
        <v>143</v>
      </c>
      <c r="AO13">
        <v>-122.286716</v>
      </c>
      <c r="AP13">
        <v>100</v>
      </c>
      <c r="AQ13">
        <v>500</v>
      </c>
      <c r="AR13" t="s">
        <v>118</v>
      </c>
      <c r="AS13">
        <v>6</v>
      </c>
      <c r="AT13">
        <v>62</v>
      </c>
      <c r="AU13">
        <v>768</v>
      </c>
      <c r="BC13">
        <v>1200</v>
      </c>
      <c r="BD13">
        <v>1</v>
      </c>
      <c r="BE13" t="str">
        <f t="shared" si="2"/>
        <v xml:space="preserve">N215T   </v>
      </c>
      <c r="BF13">
        <v>1</v>
      </c>
      <c r="BH13">
        <v>0</v>
      </c>
      <c r="BI13">
        <v>0</v>
      </c>
      <c r="BJ13">
        <v>0</v>
      </c>
      <c r="BK13">
        <v>850</v>
      </c>
      <c r="BL13">
        <v>350</v>
      </c>
      <c r="BM13" t="s">
        <v>119</v>
      </c>
      <c r="BN13">
        <v>1</v>
      </c>
      <c r="BO13">
        <v>1</v>
      </c>
      <c r="BP13">
        <v>1</v>
      </c>
      <c r="BQ13">
        <v>0</v>
      </c>
      <c r="BT13">
        <v>0</v>
      </c>
      <c r="BU13">
        <v>0</v>
      </c>
      <c r="BV13">
        <v>0</v>
      </c>
      <c r="CC13" t="str">
        <f>"18:34:33.031"</f>
        <v>18:34:33.031</v>
      </c>
      <c r="CD13" t="str">
        <f>"029194905"</f>
        <v>029194905</v>
      </c>
      <c r="CQ13">
        <v>0</v>
      </c>
      <c r="CR13">
        <v>2</v>
      </c>
      <c r="CS13">
        <v>0</v>
      </c>
      <c r="CT13">
        <v>2</v>
      </c>
      <c r="CU13">
        <v>0</v>
      </c>
      <c r="CV13">
        <v>5</v>
      </c>
      <c r="CW13" t="s">
        <v>120</v>
      </c>
      <c r="CX13">
        <v>261</v>
      </c>
      <c r="CY13">
        <v>1</v>
      </c>
      <c r="CZ13" t="s">
        <v>121</v>
      </c>
      <c r="DA13" t="s">
        <v>122</v>
      </c>
      <c r="DD13">
        <v>3098311</v>
      </c>
      <c r="DE13" t="s">
        <v>123</v>
      </c>
    </row>
    <row r="14" spans="1:110" x14ac:dyDescent="0.3">
      <c r="A14" t="str">
        <f>"18:34:34.359"</f>
        <v>18:34:34.359</v>
      </c>
      <c r="B14" t="s">
        <v>110</v>
      </c>
      <c r="C14" t="str">
        <f t="shared" si="0"/>
        <v>ffdfd3c0</v>
      </c>
      <c r="D14" t="s">
        <v>111</v>
      </c>
      <c r="E14">
        <v>18</v>
      </c>
      <c r="F14">
        <v>1018</v>
      </c>
      <c r="G14" t="s">
        <v>112</v>
      </c>
      <c r="J14" t="s">
        <v>113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R14" t="s">
        <v>114</v>
      </c>
      <c r="S14" t="str">
        <f>"18:34:34.102"</f>
        <v>18:34:34.102</v>
      </c>
      <c r="T14" t="str">
        <f>"18:34:34.000"</f>
        <v>18:34:34.000</v>
      </c>
      <c r="U14" t="str">
        <f t="shared" si="1"/>
        <v>a1cdbe</v>
      </c>
      <c r="V14">
        <v>0</v>
      </c>
      <c r="W14">
        <v>0</v>
      </c>
      <c r="X14">
        <v>1</v>
      </c>
      <c r="Y14">
        <v>0</v>
      </c>
      <c r="Z14">
        <v>0</v>
      </c>
      <c r="AB14">
        <v>0</v>
      </c>
      <c r="AC14">
        <v>9</v>
      </c>
      <c r="AD14">
        <v>3</v>
      </c>
      <c r="AE14">
        <v>0</v>
      </c>
      <c r="AF14">
        <v>9</v>
      </c>
      <c r="AG14" t="s">
        <v>115</v>
      </c>
      <c r="AH14">
        <v>0</v>
      </c>
      <c r="AI14">
        <v>0</v>
      </c>
      <c r="AJ14">
        <v>1</v>
      </c>
      <c r="AK14">
        <v>0</v>
      </c>
      <c r="AL14" t="s">
        <v>144</v>
      </c>
      <c r="AM14">
        <v>47.107121999999997</v>
      </c>
      <c r="AN14" t="s">
        <v>145</v>
      </c>
      <c r="AO14">
        <v>-122.28663</v>
      </c>
      <c r="AP14">
        <v>100</v>
      </c>
      <c r="AQ14">
        <v>500</v>
      </c>
      <c r="AR14" t="s">
        <v>118</v>
      </c>
      <c r="AS14">
        <v>5</v>
      </c>
      <c r="AT14">
        <v>63</v>
      </c>
      <c r="AU14">
        <v>896</v>
      </c>
      <c r="BC14">
        <v>1200</v>
      </c>
      <c r="BD14">
        <v>1</v>
      </c>
      <c r="BE14" t="str">
        <f t="shared" si="2"/>
        <v xml:space="preserve">N215T   </v>
      </c>
      <c r="BF14">
        <v>1</v>
      </c>
      <c r="BH14">
        <v>0</v>
      </c>
      <c r="BI14">
        <v>0</v>
      </c>
      <c r="BJ14">
        <v>0</v>
      </c>
      <c r="BK14">
        <v>875</v>
      </c>
      <c r="BL14">
        <v>375</v>
      </c>
      <c r="BM14" t="s">
        <v>119</v>
      </c>
      <c r="BN14">
        <v>1</v>
      </c>
      <c r="BO14">
        <v>1</v>
      </c>
      <c r="BP14">
        <v>1</v>
      </c>
      <c r="BQ14">
        <v>0</v>
      </c>
      <c r="BT14">
        <v>0</v>
      </c>
      <c r="BU14">
        <v>0</v>
      </c>
      <c r="BV14">
        <v>0</v>
      </c>
      <c r="CC14" t="str">
        <f>"18:34:34.109"</f>
        <v>18:34:34.109</v>
      </c>
      <c r="CD14" t="str">
        <f>"109088520"</f>
        <v>109088520</v>
      </c>
      <c r="CQ14">
        <v>0</v>
      </c>
      <c r="CR14">
        <v>2</v>
      </c>
      <c r="CS14">
        <v>0</v>
      </c>
      <c r="CT14">
        <v>2</v>
      </c>
      <c r="CU14">
        <v>0</v>
      </c>
      <c r="CV14">
        <v>5</v>
      </c>
      <c r="CW14" t="s">
        <v>120</v>
      </c>
      <c r="CX14">
        <v>261</v>
      </c>
      <c r="CY14">
        <v>1</v>
      </c>
      <c r="CZ14" t="s">
        <v>121</v>
      </c>
      <c r="DA14" t="s">
        <v>122</v>
      </c>
      <c r="DD14">
        <v>3098909</v>
      </c>
      <c r="DE14" t="s">
        <v>123</v>
      </c>
    </row>
    <row r="15" spans="1:110" x14ac:dyDescent="0.3">
      <c r="A15" t="str">
        <f>"18:34:35.422"</f>
        <v>18:34:35.422</v>
      </c>
      <c r="B15" t="s">
        <v>110</v>
      </c>
      <c r="C15" t="str">
        <f t="shared" si="0"/>
        <v>ffdfd3c0</v>
      </c>
      <c r="D15" t="s">
        <v>111</v>
      </c>
      <c r="E15">
        <v>18</v>
      </c>
      <c r="F15">
        <v>1018</v>
      </c>
      <c r="G15" t="s">
        <v>112</v>
      </c>
      <c r="J15" t="s">
        <v>113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R15" t="s">
        <v>114</v>
      </c>
      <c r="S15" t="str">
        <f>"18:34:35.156"</f>
        <v>18:34:35.156</v>
      </c>
      <c r="T15" t="str">
        <f>"18:34:34.453"</f>
        <v>18:34:34.453</v>
      </c>
      <c r="U15" t="str">
        <f t="shared" si="1"/>
        <v>a1cdbe</v>
      </c>
      <c r="V15">
        <v>0</v>
      </c>
      <c r="W15">
        <v>0</v>
      </c>
      <c r="X15">
        <v>1</v>
      </c>
      <c r="Y15">
        <v>0</v>
      </c>
      <c r="Z15">
        <v>0</v>
      </c>
      <c r="AB15">
        <v>0</v>
      </c>
      <c r="AC15">
        <v>9</v>
      </c>
      <c r="AD15">
        <v>3</v>
      </c>
      <c r="AE15">
        <v>0</v>
      </c>
      <c r="AF15">
        <v>9</v>
      </c>
      <c r="AG15" t="s">
        <v>115</v>
      </c>
      <c r="AH15">
        <v>0</v>
      </c>
      <c r="AI15">
        <v>0</v>
      </c>
      <c r="AJ15">
        <v>1</v>
      </c>
      <c r="AK15">
        <v>0</v>
      </c>
      <c r="AL15" t="s">
        <v>146</v>
      </c>
      <c r="AM15">
        <v>47.107401000000003</v>
      </c>
      <c r="AN15" t="s">
        <v>145</v>
      </c>
      <c r="AO15">
        <v>-122.28663</v>
      </c>
      <c r="AP15">
        <v>100</v>
      </c>
      <c r="AQ15">
        <v>500</v>
      </c>
      <c r="AR15" t="s">
        <v>118</v>
      </c>
      <c r="AS15">
        <v>5</v>
      </c>
      <c r="AT15">
        <v>63</v>
      </c>
      <c r="AU15">
        <v>768</v>
      </c>
      <c r="BC15">
        <v>1200</v>
      </c>
      <c r="BD15">
        <v>1</v>
      </c>
      <c r="BE15" t="str">
        <f t="shared" si="2"/>
        <v xml:space="preserve">N215T   </v>
      </c>
      <c r="BF15">
        <v>1</v>
      </c>
      <c r="BH15">
        <v>0</v>
      </c>
      <c r="BI15">
        <v>0</v>
      </c>
      <c r="BJ15">
        <v>0</v>
      </c>
      <c r="BK15">
        <v>875</v>
      </c>
      <c r="BL15">
        <v>375</v>
      </c>
      <c r="BM15" t="s">
        <v>119</v>
      </c>
      <c r="BN15">
        <v>1</v>
      </c>
      <c r="BO15">
        <v>1</v>
      </c>
      <c r="BP15">
        <v>1</v>
      </c>
      <c r="BQ15">
        <v>0</v>
      </c>
      <c r="BT15">
        <v>0</v>
      </c>
      <c r="BU15">
        <v>0</v>
      </c>
      <c r="BV15">
        <v>0</v>
      </c>
      <c r="CC15" t="str">
        <f>"18:34:35.156"</f>
        <v>18:34:35.156</v>
      </c>
      <c r="CD15" t="str">
        <f>"158985067"</f>
        <v>158985067</v>
      </c>
      <c r="CQ15">
        <v>0</v>
      </c>
      <c r="CR15">
        <v>2</v>
      </c>
      <c r="CS15">
        <v>0</v>
      </c>
      <c r="CT15">
        <v>2</v>
      </c>
      <c r="CU15">
        <v>0</v>
      </c>
      <c r="CV15">
        <v>4</v>
      </c>
      <c r="CW15" t="s">
        <v>120</v>
      </c>
      <c r="CX15">
        <v>261</v>
      </c>
      <c r="CY15">
        <v>2</v>
      </c>
      <c r="CZ15" t="s">
        <v>121</v>
      </c>
      <c r="DA15" t="s">
        <v>122</v>
      </c>
      <c r="DD15">
        <v>14255874</v>
      </c>
      <c r="DE15" t="s">
        <v>123</v>
      </c>
    </row>
    <row r="16" spans="1:110" x14ac:dyDescent="0.3">
      <c r="A16" t="str">
        <f>"18:34:36.523"</f>
        <v>18:34:36.523</v>
      </c>
      <c r="B16" t="s">
        <v>110</v>
      </c>
      <c r="C16" t="str">
        <f t="shared" si="0"/>
        <v>ffdfd3c0</v>
      </c>
      <c r="D16" t="s">
        <v>111</v>
      </c>
      <c r="E16">
        <v>18</v>
      </c>
      <c r="F16">
        <v>1018</v>
      </c>
      <c r="G16" t="s">
        <v>112</v>
      </c>
      <c r="J16" t="s">
        <v>113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R16" t="s">
        <v>114</v>
      </c>
      <c r="S16" t="str">
        <f>"18:34:36.297"</f>
        <v>18:34:36.297</v>
      </c>
      <c r="T16" t="str">
        <f>"18:34:36.195"</f>
        <v>18:34:36.195</v>
      </c>
      <c r="U16" t="str">
        <f t="shared" si="1"/>
        <v>a1cdbe</v>
      </c>
      <c r="V16">
        <v>0</v>
      </c>
      <c r="W16">
        <v>0</v>
      </c>
      <c r="X16">
        <v>1</v>
      </c>
      <c r="Y16">
        <v>0</v>
      </c>
      <c r="Z16">
        <v>0</v>
      </c>
      <c r="AB16">
        <v>0</v>
      </c>
      <c r="AC16">
        <v>9</v>
      </c>
      <c r="AD16">
        <v>3</v>
      </c>
      <c r="AE16">
        <v>0</v>
      </c>
      <c r="AF16">
        <v>9</v>
      </c>
      <c r="AG16" t="s">
        <v>115</v>
      </c>
      <c r="AH16">
        <v>0</v>
      </c>
      <c r="AI16">
        <v>0</v>
      </c>
      <c r="AJ16">
        <v>1</v>
      </c>
      <c r="AK16">
        <v>0</v>
      </c>
      <c r="AL16" t="s">
        <v>147</v>
      </c>
      <c r="AM16">
        <v>47.107787000000002</v>
      </c>
      <c r="AN16" t="s">
        <v>148</v>
      </c>
      <c r="AO16">
        <v>-122.286565</v>
      </c>
      <c r="AP16">
        <v>100</v>
      </c>
      <c r="AQ16">
        <v>500</v>
      </c>
      <c r="AR16" t="s">
        <v>118</v>
      </c>
      <c r="AS16">
        <v>4</v>
      </c>
      <c r="AT16">
        <v>64</v>
      </c>
      <c r="AU16">
        <v>832</v>
      </c>
      <c r="BC16">
        <v>1200</v>
      </c>
      <c r="BD16">
        <v>1</v>
      </c>
      <c r="BE16" t="str">
        <f t="shared" si="2"/>
        <v xml:space="preserve">N215T   </v>
      </c>
      <c r="BF16">
        <v>1</v>
      </c>
      <c r="BH16">
        <v>0</v>
      </c>
      <c r="BI16">
        <v>0</v>
      </c>
      <c r="BJ16">
        <v>0</v>
      </c>
      <c r="BK16">
        <v>900</v>
      </c>
      <c r="BL16">
        <v>400</v>
      </c>
      <c r="BM16" t="s">
        <v>119</v>
      </c>
      <c r="BN16">
        <v>1</v>
      </c>
      <c r="BO16">
        <v>1</v>
      </c>
      <c r="BP16">
        <v>1</v>
      </c>
      <c r="BQ16">
        <v>0</v>
      </c>
      <c r="BT16">
        <v>0</v>
      </c>
      <c r="BU16">
        <v>0</v>
      </c>
      <c r="BV16">
        <v>0</v>
      </c>
      <c r="CC16" t="str">
        <f>"18:34:36.297"</f>
        <v>18:34:36.297</v>
      </c>
      <c r="CD16" t="str">
        <f>"298872779"</f>
        <v>298872779</v>
      </c>
      <c r="CQ16">
        <v>0</v>
      </c>
      <c r="CR16">
        <v>2</v>
      </c>
      <c r="CS16">
        <v>0</v>
      </c>
      <c r="CT16">
        <v>2</v>
      </c>
      <c r="CU16">
        <v>0</v>
      </c>
      <c r="CV16">
        <v>4</v>
      </c>
      <c r="CW16" t="s">
        <v>120</v>
      </c>
      <c r="CX16">
        <v>261</v>
      </c>
      <c r="CY16">
        <v>2</v>
      </c>
      <c r="CZ16" t="s">
        <v>121</v>
      </c>
      <c r="DA16" t="s">
        <v>122</v>
      </c>
      <c r="DD16">
        <v>14256417</v>
      </c>
      <c r="DE16" t="s">
        <v>123</v>
      </c>
    </row>
    <row r="17" spans="1:109" x14ac:dyDescent="0.3">
      <c r="A17" t="str">
        <f>"18:34:37.578"</f>
        <v>18:34:37.578</v>
      </c>
      <c r="B17" t="s">
        <v>110</v>
      </c>
      <c r="C17" t="str">
        <f t="shared" si="0"/>
        <v>ffdfd3c0</v>
      </c>
      <c r="D17" t="s">
        <v>111</v>
      </c>
      <c r="E17">
        <v>18</v>
      </c>
      <c r="F17">
        <v>1018</v>
      </c>
      <c r="G17" t="s">
        <v>112</v>
      </c>
      <c r="J17" t="s">
        <v>113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R17" t="s">
        <v>114</v>
      </c>
      <c r="S17" t="str">
        <f>"18:34:37.313"</f>
        <v>18:34:37.313</v>
      </c>
      <c r="T17" t="str">
        <f>"18:34:36.813"</f>
        <v>18:34:36.813</v>
      </c>
      <c r="U17" t="str">
        <f t="shared" si="1"/>
        <v>a1cdbe</v>
      </c>
      <c r="V17">
        <v>0</v>
      </c>
      <c r="W17">
        <v>0</v>
      </c>
      <c r="X17">
        <v>1</v>
      </c>
      <c r="Y17">
        <v>0</v>
      </c>
      <c r="Z17">
        <v>0</v>
      </c>
      <c r="AB17">
        <v>0</v>
      </c>
      <c r="AC17">
        <v>9</v>
      </c>
      <c r="AD17">
        <v>3</v>
      </c>
      <c r="AE17">
        <v>0</v>
      </c>
      <c r="AF17">
        <v>9</v>
      </c>
      <c r="AG17" t="s">
        <v>115</v>
      </c>
      <c r="AH17">
        <v>0</v>
      </c>
      <c r="AI17">
        <v>0</v>
      </c>
      <c r="AJ17">
        <v>1</v>
      </c>
      <c r="AK17">
        <v>0</v>
      </c>
      <c r="AL17" t="s">
        <v>149</v>
      </c>
      <c r="AM17">
        <v>47.108044999999997</v>
      </c>
      <c r="AN17" t="s">
        <v>150</v>
      </c>
      <c r="AO17">
        <v>-122.28654400000001</v>
      </c>
      <c r="AP17">
        <v>100</v>
      </c>
      <c r="AQ17">
        <v>500</v>
      </c>
      <c r="AR17" t="s">
        <v>118</v>
      </c>
      <c r="AS17">
        <v>4</v>
      </c>
      <c r="AT17">
        <v>64</v>
      </c>
      <c r="AU17">
        <v>768</v>
      </c>
      <c r="BC17">
        <v>1200</v>
      </c>
      <c r="BD17">
        <v>1</v>
      </c>
      <c r="BE17" t="str">
        <f t="shared" si="2"/>
        <v xml:space="preserve">N215T   </v>
      </c>
      <c r="BF17">
        <v>1</v>
      </c>
      <c r="BH17">
        <v>0</v>
      </c>
      <c r="BI17">
        <v>0</v>
      </c>
      <c r="BJ17">
        <v>0</v>
      </c>
      <c r="BK17">
        <v>900</v>
      </c>
      <c r="BL17">
        <v>400</v>
      </c>
      <c r="BM17" t="s">
        <v>119</v>
      </c>
      <c r="BN17">
        <v>1</v>
      </c>
      <c r="BO17">
        <v>1</v>
      </c>
      <c r="BP17">
        <v>1</v>
      </c>
      <c r="BQ17">
        <v>0</v>
      </c>
      <c r="BT17">
        <v>0</v>
      </c>
      <c r="BU17">
        <v>0</v>
      </c>
      <c r="BV17">
        <v>0</v>
      </c>
      <c r="CC17" t="str">
        <f>"18:34:37.320"</f>
        <v>18:34:37.320</v>
      </c>
      <c r="CD17" t="str">
        <f>"318772302"</f>
        <v>318772302</v>
      </c>
      <c r="CQ17">
        <v>0</v>
      </c>
      <c r="CR17">
        <v>2</v>
      </c>
      <c r="CS17">
        <v>0</v>
      </c>
      <c r="CT17">
        <v>2</v>
      </c>
      <c r="CU17">
        <v>0</v>
      </c>
      <c r="CV17">
        <v>5</v>
      </c>
      <c r="CW17" t="s">
        <v>120</v>
      </c>
      <c r="CX17">
        <v>261</v>
      </c>
      <c r="CY17">
        <v>1</v>
      </c>
      <c r="CZ17" t="s">
        <v>121</v>
      </c>
      <c r="DA17" t="s">
        <v>122</v>
      </c>
      <c r="DD17">
        <v>3100724</v>
      </c>
      <c r="DE17" t="s">
        <v>123</v>
      </c>
    </row>
    <row r="18" spans="1:109" x14ac:dyDescent="0.3">
      <c r="A18" t="str">
        <f>"18:34:38.484"</f>
        <v>18:34:38.484</v>
      </c>
      <c r="B18" t="s">
        <v>110</v>
      </c>
      <c r="C18" t="str">
        <f t="shared" si="0"/>
        <v>ffdfd3c0</v>
      </c>
      <c r="D18" t="s">
        <v>111</v>
      </c>
      <c r="E18">
        <v>18</v>
      </c>
      <c r="F18">
        <v>1018</v>
      </c>
      <c r="G18" t="s">
        <v>112</v>
      </c>
      <c r="J18" t="s">
        <v>113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R18" t="s">
        <v>114</v>
      </c>
      <c r="S18" t="str">
        <f>"18:34:38.227"</f>
        <v>18:34:38.227</v>
      </c>
      <c r="T18" t="str">
        <f>"18:34:37.930"</f>
        <v>18:34:37.930</v>
      </c>
      <c r="U18" t="str">
        <f t="shared" si="1"/>
        <v>a1cdbe</v>
      </c>
      <c r="V18">
        <v>0</v>
      </c>
      <c r="W18">
        <v>0</v>
      </c>
      <c r="X18">
        <v>1</v>
      </c>
      <c r="Y18">
        <v>0</v>
      </c>
      <c r="Z18">
        <v>0</v>
      </c>
      <c r="AB18">
        <v>0</v>
      </c>
      <c r="AC18">
        <v>9</v>
      </c>
      <c r="AD18">
        <v>3</v>
      </c>
      <c r="AE18">
        <v>0</v>
      </c>
      <c r="AF18">
        <v>9</v>
      </c>
      <c r="AG18" t="s">
        <v>115</v>
      </c>
      <c r="AH18">
        <v>0</v>
      </c>
      <c r="AI18">
        <v>0</v>
      </c>
      <c r="AJ18">
        <v>1</v>
      </c>
      <c r="AK18">
        <v>0</v>
      </c>
      <c r="AL18" t="s">
        <v>151</v>
      </c>
      <c r="AM18">
        <v>47.108345</v>
      </c>
      <c r="AN18" t="s">
        <v>152</v>
      </c>
      <c r="AO18">
        <v>-122.286501</v>
      </c>
      <c r="AP18">
        <v>100</v>
      </c>
      <c r="AQ18">
        <v>500</v>
      </c>
      <c r="AR18" t="s">
        <v>118</v>
      </c>
      <c r="AS18">
        <v>4</v>
      </c>
      <c r="AT18">
        <v>65</v>
      </c>
      <c r="AU18">
        <v>896</v>
      </c>
      <c r="BC18">
        <v>1200</v>
      </c>
      <c r="BD18">
        <v>1</v>
      </c>
      <c r="BE18" t="str">
        <f t="shared" si="2"/>
        <v xml:space="preserve">N215T   </v>
      </c>
      <c r="BF18">
        <v>1</v>
      </c>
      <c r="BH18">
        <v>0</v>
      </c>
      <c r="BI18">
        <v>0</v>
      </c>
      <c r="BJ18">
        <v>0</v>
      </c>
      <c r="BK18">
        <v>925</v>
      </c>
      <c r="BL18">
        <v>425</v>
      </c>
      <c r="BM18" t="s">
        <v>119</v>
      </c>
      <c r="BN18">
        <v>1</v>
      </c>
      <c r="BO18">
        <v>1</v>
      </c>
      <c r="BP18">
        <v>1</v>
      </c>
      <c r="BQ18">
        <v>0</v>
      </c>
      <c r="BT18">
        <v>0</v>
      </c>
      <c r="BU18">
        <v>0</v>
      </c>
      <c r="BV18">
        <v>0</v>
      </c>
      <c r="CC18" t="str">
        <f>"18:34:38.234"</f>
        <v>18:34:38.234</v>
      </c>
      <c r="CD18" t="str">
        <f>"233682172"</f>
        <v>233682172</v>
      </c>
      <c r="CQ18">
        <v>0</v>
      </c>
      <c r="CR18">
        <v>2</v>
      </c>
      <c r="CS18">
        <v>0</v>
      </c>
      <c r="CT18">
        <v>2</v>
      </c>
      <c r="CU18">
        <v>0</v>
      </c>
      <c r="CV18">
        <v>6</v>
      </c>
      <c r="CW18" t="s">
        <v>120</v>
      </c>
      <c r="CX18">
        <v>261</v>
      </c>
      <c r="CY18">
        <v>1</v>
      </c>
      <c r="CZ18" t="s">
        <v>121</v>
      </c>
      <c r="DA18" t="s">
        <v>122</v>
      </c>
      <c r="DD18">
        <v>3101273</v>
      </c>
      <c r="DE18" t="s">
        <v>123</v>
      </c>
    </row>
    <row r="19" spans="1:109" x14ac:dyDescent="0.3">
      <c r="A19" t="str">
        <f>"18:34:39.391"</f>
        <v>18:34:39.391</v>
      </c>
      <c r="B19" t="s">
        <v>110</v>
      </c>
      <c r="C19" t="str">
        <f t="shared" si="0"/>
        <v>ffdfd3c0</v>
      </c>
      <c r="D19" t="s">
        <v>111</v>
      </c>
      <c r="E19">
        <v>18</v>
      </c>
      <c r="F19">
        <v>1018</v>
      </c>
      <c r="G19" t="s">
        <v>112</v>
      </c>
      <c r="J19" t="s">
        <v>113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R19" t="s">
        <v>114</v>
      </c>
      <c r="S19" t="str">
        <f>"18:34:39.148"</f>
        <v>18:34:39.148</v>
      </c>
      <c r="T19" t="str">
        <f>"18:34:38.852"</f>
        <v>18:34:38.852</v>
      </c>
      <c r="U19" t="str">
        <f t="shared" si="1"/>
        <v>a1cdbe</v>
      </c>
      <c r="V19">
        <v>0</v>
      </c>
      <c r="W19">
        <v>0</v>
      </c>
      <c r="X19">
        <v>1</v>
      </c>
      <c r="Y19">
        <v>0</v>
      </c>
      <c r="Z19">
        <v>0</v>
      </c>
      <c r="AB19">
        <v>0</v>
      </c>
      <c r="AC19">
        <v>9</v>
      </c>
      <c r="AD19">
        <v>3</v>
      </c>
      <c r="AE19">
        <v>0</v>
      </c>
      <c r="AF19">
        <v>9</v>
      </c>
      <c r="AG19" t="s">
        <v>115</v>
      </c>
      <c r="AH19">
        <v>0</v>
      </c>
      <c r="AI19">
        <v>0</v>
      </c>
      <c r="AJ19">
        <v>1</v>
      </c>
      <c r="AK19">
        <v>0</v>
      </c>
      <c r="AL19" t="s">
        <v>153</v>
      </c>
      <c r="AM19">
        <v>47.108645000000003</v>
      </c>
      <c r="AN19" t="s">
        <v>154</v>
      </c>
      <c r="AO19">
        <v>-122.286479</v>
      </c>
      <c r="AP19">
        <v>100</v>
      </c>
      <c r="AQ19">
        <v>600</v>
      </c>
      <c r="AR19" t="s">
        <v>118</v>
      </c>
      <c r="AS19">
        <v>5</v>
      </c>
      <c r="AT19">
        <v>65</v>
      </c>
      <c r="AU19">
        <v>960</v>
      </c>
      <c r="BC19">
        <v>1200</v>
      </c>
      <c r="BD19">
        <v>1</v>
      </c>
      <c r="BE19" t="str">
        <f t="shared" si="2"/>
        <v xml:space="preserve">N215T   </v>
      </c>
      <c r="BF19">
        <v>1</v>
      </c>
      <c r="BH19">
        <v>0</v>
      </c>
      <c r="BI19">
        <v>0</v>
      </c>
      <c r="BJ19">
        <v>0</v>
      </c>
      <c r="BK19">
        <v>925</v>
      </c>
      <c r="BL19">
        <v>325</v>
      </c>
      <c r="BM19" t="s">
        <v>119</v>
      </c>
      <c r="BN19">
        <v>1</v>
      </c>
      <c r="BO19">
        <v>1</v>
      </c>
      <c r="BP19">
        <v>1</v>
      </c>
      <c r="BQ19">
        <v>0</v>
      </c>
      <c r="BT19">
        <v>0</v>
      </c>
      <c r="BU19">
        <v>0</v>
      </c>
      <c r="BV19">
        <v>0</v>
      </c>
      <c r="CC19" t="str">
        <f>"18:34:39.148"</f>
        <v>18:34:39.148</v>
      </c>
      <c r="CD19" t="str">
        <f>"148592024"</f>
        <v>148592024</v>
      </c>
      <c r="CQ19">
        <v>0</v>
      </c>
      <c r="CR19">
        <v>2</v>
      </c>
      <c r="CS19">
        <v>0</v>
      </c>
      <c r="CT19">
        <v>2</v>
      </c>
      <c r="CU19">
        <v>0</v>
      </c>
      <c r="CV19">
        <v>5</v>
      </c>
      <c r="CW19" t="s">
        <v>120</v>
      </c>
      <c r="CX19">
        <v>261</v>
      </c>
      <c r="CY19">
        <v>1</v>
      </c>
      <c r="CZ19" t="s">
        <v>121</v>
      </c>
      <c r="DA19" t="s">
        <v>122</v>
      </c>
      <c r="DD19">
        <v>3101783</v>
      </c>
      <c r="DE19" t="s">
        <v>123</v>
      </c>
    </row>
    <row r="20" spans="1:109" x14ac:dyDescent="0.3">
      <c r="A20" t="str">
        <f>"18:34:40.445"</f>
        <v>18:34:40.445</v>
      </c>
      <c r="B20" t="s">
        <v>110</v>
      </c>
      <c r="C20" t="str">
        <f t="shared" si="0"/>
        <v>ffdfd3c0</v>
      </c>
      <c r="D20" t="s">
        <v>111</v>
      </c>
      <c r="E20">
        <v>18</v>
      </c>
      <c r="F20">
        <v>1018</v>
      </c>
      <c r="G20" t="s">
        <v>112</v>
      </c>
      <c r="J20" t="s">
        <v>113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R20" t="s">
        <v>114</v>
      </c>
      <c r="S20" t="str">
        <f>"18:34:40.211"</f>
        <v>18:34:40.211</v>
      </c>
      <c r="T20" t="str">
        <f>"18:34:39.813"</f>
        <v>18:34:39.813</v>
      </c>
      <c r="U20" t="str">
        <f t="shared" si="1"/>
        <v>a1cdbe</v>
      </c>
      <c r="V20">
        <v>0</v>
      </c>
      <c r="W20">
        <v>0</v>
      </c>
      <c r="X20">
        <v>1</v>
      </c>
      <c r="Y20">
        <v>0</v>
      </c>
      <c r="Z20">
        <v>0</v>
      </c>
      <c r="AB20">
        <v>0</v>
      </c>
      <c r="AC20">
        <v>9</v>
      </c>
      <c r="AD20">
        <v>3</v>
      </c>
      <c r="AE20">
        <v>0</v>
      </c>
      <c r="AF20">
        <v>9</v>
      </c>
      <c r="AG20" t="s">
        <v>115</v>
      </c>
      <c r="AH20">
        <v>0</v>
      </c>
      <c r="AI20">
        <v>0</v>
      </c>
      <c r="AJ20">
        <v>1</v>
      </c>
      <c r="AK20">
        <v>0</v>
      </c>
      <c r="AL20" t="s">
        <v>155</v>
      </c>
      <c r="AM20">
        <v>47.108946000000003</v>
      </c>
      <c r="AN20" t="s">
        <v>152</v>
      </c>
      <c r="AO20">
        <v>-122.286501</v>
      </c>
      <c r="AP20">
        <v>100</v>
      </c>
      <c r="AQ20">
        <v>600</v>
      </c>
      <c r="AR20" t="s">
        <v>118</v>
      </c>
      <c r="AS20">
        <v>5</v>
      </c>
      <c r="AT20">
        <v>66</v>
      </c>
      <c r="AU20">
        <v>832</v>
      </c>
      <c r="BC20">
        <v>1200</v>
      </c>
      <c r="BD20">
        <v>1</v>
      </c>
      <c r="BE20" t="str">
        <f t="shared" si="2"/>
        <v xml:space="preserve">N215T   </v>
      </c>
      <c r="BF20">
        <v>1</v>
      </c>
      <c r="BH20">
        <v>0</v>
      </c>
      <c r="BI20">
        <v>0</v>
      </c>
      <c r="BJ20">
        <v>0</v>
      </c>
      <c r="BK20">
        <v>950</v>
      </c>
      <c r="BL20">
        <v>350</v>
      </c>
      <c r="BM20" t="s">
        <v>119</v>
      </c>
      <c r="BN20">
        <v>1</v>
      </c>
      <c r="BO20">
        <v>1</v>
      </c>
      <c r="BP20">
        <v>1</v>
      </c>
      <c r="BQ20">
        <v>0</v>
      </c>
      <c r="BT20">
        <v>0</v>
      </c>
      <c r="BU20">
        <v>0</v>
      </c>
      <c r="BV20">
        <v>0</v>
      </c>
      <c r="CC20" t="str">
        <f>"18:34:40.211"</f>
        <v>18:34:40.211</v>
      </c>
      <c r="CD20" t="str">
        <f>"213487086"</f>
        <v>213487086</v>
      </c>
      <c r="CQ20">
        <v>0</v>
      </c>
      <c r="CR20">
        <v>2</v>
      </c>
      <c r="CS20">
        <v>0</v>
      </c>
      <c r="CT20">
        <v>2</v>
      </c>
      <c r="CU20">
        <v>0</v>
      </c>
      <c r="CV20">
        <v>5</v>
      </c>
      <c r="CW20" t="s">
        <v>120</v>
      </c>
      <c r="CX20">
        <v>261</v>
      </c>
      <c r="CY20">
        <v>1</v>
      </c>
      <c r="CZ20" t="s">
        <v>121</v>
      </c>
      <c r="DA20" t="s">
        <v>122</v>
      </c>
      <c r="DD20">
        <v>3102370</v>
      </c>
      <c r="DE20" t="s">
        <v>123</v>
      </c>
    </row>
    <row r="21" spans="1:109" x14ac:dyDescent="0.3">
      <c r="A21" t="str">
        <f>"18:34:41.398"</f>
        <v>18:34:41.398</v>
      </c>
      <c r="B21" t="s">
        <v>110</v>
      </c>
      <c r="C21" t="str">
        <f t="shared" si="0"/>
        <v>ffdfd3c0</v>
      </c>
      <c r="D21" t="s">
        <v>111</v>
      </c>
      <c r="E21">
        <v>18</v>
      </c>
      <c r="F21">
        <v>1018</v>
      </c>
      <c r="G21" t="s">
        <v>112</v>
      </c>
      <c r="J21" t="s">
        <v>113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R21" t="s">
        <v>114</v>
      </c>
      <c r="S21" t="str">
        <f>"18:34:41.172"</f>
        <v>18:34:41.172</v>
      </c>
      <c r="T21" t="str">
        <f>"18:34:40.273"</f>
        <v>18:34:40.273</v>
      </c>
      <c r="U21" t="str">
        <f t="shared" si="1"/>
        <v>a1cdbe</v>
      </c>
      <c r="V21">
        <v>0</v>
      </c>
      <c r="W21">
        <v>0</v>
      </c>
      <c r="X21">
        <v>1</v>
      </c>
      <c r="Y21">
        <v>0</v>
      </c>
      <c r="Z21">
        <v>0</v>
      </c>
      <c r="AB21">
        <v>0</v>
      </c>
      <c r="AC21">
        <v>9</v>
      </c>
      <c r="AD21">
        <v>3</v>
      </c>
      <c r="AE21">
        <v>0</v>
      </c>
      <c r="AF21">
        <v>9</v>
      </c>
      <c r="AG21" t="s">
        <v>115</v>
      </c>
      <c r="AH21">
        <v>0</v>
      </c>
      <c r="AI21">
        <v>0</v>
      </c>
      <c r="AJ21">
        <v>1</v>
      </c>
      <c r="AK21">
        <v>0</v>
      </c>
      <c r="AL21" t="s">
        <v>156</v>
      </c>
      <c r="AM21">
        <v>47.109245999999999</v>
      </c>
      <c r="AN21" t="s">
        <v>157</v>
      </c>
      <c r="AO21">
        <v>-122.28641500000001</v>
      </c>
      <c r="AP21">
        <v>100</v>
      </c>
      <c r="AQ21">
        <v>600</v>
      </c>
      <c r="AR21" t="s">
        <v>118</v>
      </c>
      <c r="AS21">
        <v>5</v>
      </c>
      <c r="AT21">
        <v>66</v>
      </c>
      <c r="AU21">
        <v>832</v>
      </c>
      <c r="BC21">
        <v>1200</v>
      </c>
      <c r="BD21">
        <v>1</v>
      </c>
      <c r="BE21" t="str">
        <f t="shared" si="2"/>
        <v xml:space="preserve">N215T   </v>
      </c>
      <c r="BF21">
        <v>1</v>
      </c>
      <c r="BH21">
        <v>0</v>
      </c>
      <c r="BI21">
        <v>0</v>
      </c>
      <c r="BJ21">
        <v>0</v>
      </c>
      <c r="BK21">
        <v>950</v>
      </c>
      <c r="BL21">
        <v>350</v>
      </c>
      <c r="BM21" t="s">
        <v>119</v>
      </c>
      <c r="BN21">
        <v>1</v>
      </c>
      <c r="BO21">
        <v>1</v>
      </c>
      <c r="BP21">
        <v>1</v>
      </c>
      <c r="BQ21">
        <v>0</v>
      </c>
      <c r="BT21">
        <v>0</v>
      </c>
      <c r="BU21">
        <v>0</v>
      </c>
      <c r="BV21">
        <v>0</v>
      </c>
      <c r="CC21" t="str">
        <f>"18:34:41.172"</f>
        <v>18:34:41.172</v>
      </c>
      <c r="CD21" t="str">
        <f>"173392552"</f>
        <v>173392552</v>
      </c>
      <c r="CQ21">
        <v>0</v>
      </c>
      <c r="CR21">
        <v>2</v>
      </c>
      <c r="CS21">
        <v>0</v>
      </c>
      <c r="CT21">
        <v>2</v>
      </c>
      <c r="CU21">
        <v>0</v>
      </c>
      <c r="CV21">
        <v>4</v>
      </c>
      <c r="CW21" t="s">
        <v>120</v>
      </c>
      <c r="CX21">
        <v>261</v>
      </c>
      <c r="CY21">
        <v>1</v>
      </c>
      <c r="CZ21" t="s">
        <v>121</v>
      </c>
      <c r="DA21" t="s">
        <v>122</v>
      </c>
      <c r="DD21">
        <v>3102906</v>
      </c>
      <c r="DE21" t="s">
        <v>123</v>
      </c>
    </row>
    <row r="22" spans="1:109" x14ac:dyDescent="0.3">
      <c r="A22" t="str">
        <f>"18:34:42.359"</f>
        <v>18:34:42.359</v>
      </c>
      <c r="B22" t="s">
        <v>110</v>
      </c>
      <c r="C22" t="str">
        <f t="shared" si="0"/>
        <v>ffdfd3c0</v>
      </c>
      <c r="D22" t="s">
        <v>111</v>
      </c>
      <c r="E22">
        <v>18</v>
      </c>
      <c r="F22">
        <v>1018</v>
      </c>
      <c r="G22" t="s">
        <v>112</v>
      </c>
      <c r="J22" t="s">
        <v>113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R22" t="s">
        <v>114</v>
      </c>
      <c r="S22" t="str">
        <f>"18:34:42.117"</f>
        <v>18:34:42.117</v>
      </c>
      <c r="T22" t="str">
        <f>"18:34:41.914"</f>
        <v>18:34:41.914</v>
      </c>
      <c r="U22" t="str">
        <f t="shared" si="1"/>
        <v>a1cdbe</v>
      </c>
      <c r="V22">
        <v>0</v>
      </c>
      <c r="W22">
        <v>0</v>
      </c>
      <c r="X22">
        <v>1</v>
      </c>
      <c r="Y22">
        <v>0</v>
      </c>
      <c r="Z22">
        <v>0</v>
      </c>
      <c r="AB22">
        <v>0</v>
      </c>
      <c r="AC22">
        <v>9</v>
      </c>
      <c r="AD22">
        <v>3</v>
      </c>
      <c r="AE22">
        <v>0</v>
      </c>
      <c r="AF22">
        <v>9</v>
      </c>
      <c r="AG22" t="s">
        <v>158</v>
      </c>
      <c r="AH22">
        <v>0</v>
      </c>
      <c r="AI22">
        <v>3</v>
      </c>
      <c r="AJ22">
        <v>1</v>
      </c>
      <c r="AK22">
        <v>0</v>
      </c>
      <c r="AL22" t="s">
        <v>159</v>
      </c>
      <c r="AM22">
        <v>47.109568000000003</v>
      </c>
      <c r="AN22" t="s">
        <v>160</v>
      </c>
      <c r="AO22">
        <v>-122.286351</v>
      </c>
      <c r="AP22">
        <v>100</v>
      </c>
      <c r="AQ22">
        <v>600</v>
      </c>
      <c r="AR22" t="s">
        <v>118</v>
      </c>
      <c r="AS22">
        <v>6</v>
      </c>
      <c r="AT22">
        <v>66</v>
      </c>
      <c r="AU22">
        <v>960</v>
      </c>
      <c r="BC22">
        <v>1200</v>
      </c>
      <c r="BD22">
        <v>1</v>
      </c>
      <c r="BE22" t="str">
        <f t="shared" si="2"/>
        <v xml:space="preserve">N215T   </v>
      </c>
      <c r="BF22">
        <v>1</v>
      </c>
      <c r="BH22">
        <v>0</v>
      </c>
      <c r="BI22">
        <v>0</v>
      </c>
      <c r="BJ22">
        <v>0</v>
      </c>
      <c r="BK22">
        <v>975</v>
      </c>
      <c r="BL22">
        <v>375</v>
      </c>
      <c r="BM22" t="s">
        <v>119</v>
      </c>
      <c r="BN22">
        <v>1</v>
      </c>
      <c r="BO22">
        <v>1</v>
      </c>
      <c r="BP22">
        <v>1</v>
      </c>
      <c r="BQ22">
        <v>0</v>
      </c>
      <c r="BT22">
        <v>0</v>
      </c>
      <c r="BU22">
        <v>0</v>
      </c>
      <c r="BV22">
        <v>0</v>
      </c>
      <c r="CC22" t="str">
        <f>"18:34:42.117"</f>
        <v>18:34:42.117</v>
      </c>
      <c r="CD22" t="str">
        <f>"118299430"</f>
        <v>118299430</v>
      </c>
      <c r="CQ22">
        <v>0</v>
      </c>
      <c r="CR22">
        <v>2</v>
      </c>
      <c r="CS22">
        <v>0</v>
      </c>
      <c r="CT22">
        <v>2</v>
      </c>
      <c r="CU22">
        <v>0</v>
      </c>
      <c r="CV22">
        <v>5</v>
      </c>
      <c r="CW22" t="s">
        <v>120</v>
      </c>
      <c r="CX22">
        <v>261</v>
      </c>
      <c r="CY22">
        <v>1</v>
      </c>
      <c r="CZ22" t="s">
        <v>121</v>
      </c>
      <c r="DA22" t="s">
        <v>122</v>
      </c>
      <c r="DD22">
        <v>3103497</v>
      </c>
      <c r="DE22" t="s">
        <v>123</v>
      </c>
    </row>
    <row r="23" spans="1:109" x14ac:dyDescent="0.3">
      <c r="A23" t="str">
        <f>"18:34:43.414"</f>
        <v>18:34:43.414</v>
      </c>
      <c r="B23" t="s">
        <v>110</v>
      </c>
      <c r="C23" t="str">
        <f t="shared" si="0"/>
        <v>ffdfd3c0</v>
      </c>
      <c r="D23" t="s">
        <v>111</v>
      </c>
      <c r="E23">
        <v>18</v>
      </c>
      <c r="F23">
        <v>1018</v>
      </c>
      <c r="G23" t="s">
        <v>112</v>
      </c>
      <c r="J23" t="s">
        <v>113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R23" t="s">
        <v>114</v>
      </c>
      <c r="S23" t="str">
        <f>"18:34:43.195"</f>
        <v>18:34:43.195</v>
      </c>
      <c r="T23" t="str">
        <f>"18:34:42.992"</f>
        <v>18:34:42.992</v>
      </c>
      <c r="U23" t="str">
        <f t="shared" si="1"/>
        <v>a1cdbe</v>
      </c>
      <c r="V23">
        <v>0</v>
      </c>
      <c r="W23">
        <v>0</v>
      </c>
      <c r="X23">
        <v>1</v>
      </c>
      <c r="Y23">
        <v>0</v>
      </c>
      <c r="Z23">
        <v>0</v>
      </c>
      <c r="AB23">
        <v>0</v>
      </c>
      <c r="AC23">
        <v>9</v>
      </c>
      <c r="AD23">
        <v>3</v>
      </c>
      <c r="AE23">
        <v>0</v>
      </c>
      <c r="AF23">
        <v>9</v>
      </c>
      <c r="AG23" t="s">
        <v>158</v>
      </c>
      <c r="AH23">
        <v>0</v>
      </c>
      <c r="AI23">
        <v>3</v>
      </c>
      <c r="AJ23">
        <v>1</v>
      </c>
      <c r="AK23">
        <v>0</v>
      </c>
      <c r="AL23" t="s">
        <v>161</v>
      </c>
      <c r="AM23">
        <v>47.109869000000003</v>
      </c>
      <c r="AN23" t="s">
        <v>160</v>
      </c>
      <c r="AO23">
        <v>-122.286351</v>
      </c>
      <c r="AP23">
        <v>100</v>
      </c>
      <c r="AQ23">
        <v>600</v>
      </c>
      <c r="AR23" t="s">
        <v>118</v>
      </c>
      <c r="AS23">
        <v>8</v>
      </c>
      <c r="AT23">
        <v>67</v>
      </c>
      <c r="AU23">
        <v>1024</v>
      </c>
      <c r="BC23">
        <v>1200</v>
      </c>
      <c r="BD23">
        <v>1</v>
      </c>
      <c r="BE23" t="str">
        <f t="shared" si="2"/>
        <v xml:space="preserve">N215T   </v>
      </c>
      <c r="BF23">
        <v>1</v>
      </c>
      <c r="BH23">
        <v>0</v>
      </c>
      <c r="BI23">
        <v>0</v>
      </c>
      <c r="BJ23">
        <v>0</v>
      </c>
      <c r="BK23">
        <v>1000</v>
      </c>
      <c r="BL23">
        <v>400</v>
      </c>
      <c r="BM23" t="s">
        <v>119</v>
      </c>
      <c r="BN23">
        <v>1</v>
      </c>
      <c r="BO23">
        <v>1</v>
      </c>
      <c r="BP23">
        <v>1</v>
      </c>
      <c r="BQ23">
        <v>0</v>
      </c>
      <c r="BT23">
        <v>0</v>
      </c>
      <c r="BU23">
        <v>0</v>
      </c>
      <c r="BV23">
        <v>0</v>
      </c>
      <c r="CC23" t="str">
        <f>"18:34:43.195"</f>
        <v>18:34:43.195</v>
      </c>
      <c r="CD23" t="str">
        <f>"198193074"</f>
        <v>198193074</v>
      </c>
      <c r="CQ23">
        <v>0</v>
      </c>
      <c r="CR23">
        <v>2</v>
      </c>
      <c r="CS23">
        <v>0</v>
      </c>
      <c r="CT23">
        <v>2</v>
      </c>
      <c r="CU23">
        <v>0</v>
      </c>
      <c r="CV23">
        <v>5</v>
      </c>
      <c r="CW23" t="s">
        <v>120</v>
      </c>
      <c r="CX23">
        <v>261</v>
      </c>
      <c r="CY23">
        <v>1</v>
      </c>
      <c r="CZ23" t="s">
        <v>121</v>
      </c>
      <c r="DA23" t="s">
        <v>122</v>
      </c>
      <c r="DD23">
        <v>3104120</v>
      </c>
      <c r="DE23" t="s">
        <v>123</v>
      </c>
    </row>
    <row r="24" spans="1:109" x14ac:dyDescent="0.3">
      <c r="A24" t="str">
        <f>"18:34:44.570"</f>
        <v>18:34:44.570</v>
      </c>
      <c r="B24" t="s">
        <v>110</v>
      </c>
      <c r="C24" t="str">
        <f t="shared" si="0"/>
        <v>ffdfd3c0</v>
      </c>
      <c r="D24" t="s">
        <v>111</v>
      </c>
      <c r="E24">
        <v>18</v>
      </c>
      <c r="F24">
        <v>1018</v>
      </c>
      <c r="G24" t="s">
        <v>112</v>
      </c>
      <c r="J24" t="s">
        <v>113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R24" t="s">
        <v>114</v>
      </c>
      <c r="S24" t="str">
        <f>"18:34:44.352"</f>
        <v>18:34:44.352</v>
      </c>
      <c r="T24" t="str">
        <f>"18:34:43.953"</f>
        <v>18:34:43.953</v>
      </c>
      <c r="U24" t="str">
        <f t="shared" si="1"/>
        <v>a1cdbe</v>
      </c>
      <c r="V24">
        <v>0</v>
      </c>
      <c r="W24">
        <v>0</v>
      </c>
      <c r="X24">
        <v>1</v>
      </c>
      <c r="Y24">
        <v>0</v>
      </c>
      <c r="Z24">
        <v>0</v>
      </c>
      <c r="AB24">
        <v>0</v>
      </c>
      <c r="AC24">
        <v>9</v>
      </c>
      <c r="AD24">
        <v>3</v>
      </c>
      <c r="AE24">
        <v>0</v>
      </c>
      <c r="AF24">
        <v>9</v>
      </c>
      <c r="AG24" t="s">
        <v>158</v>
      </c>
      <c r="AH24">
        <v>0</v>
      </c>
      <c r="AI24">
        <v>3</v>
      </c>
      <c r="AJ24">
        <v>1</v>
      </c>
      <c r="AK24">
        <v>0</v>
      </c>
      <c r="AL24" t="s">
        <v>162</v>
      </c>
      <c r="AM24">
        <v>47.110211999999997</v>
      </c>
      <c r="AN24" t="s">
        <v>163</v>
      </c>
      <c r="AO24">
        <v>-122.286286</v>
      </c>
      <c r="AP24">
        <v>100</v>
      </c>
      <c r="AQ24">
        <v>600</v>
      </c>
      <c r="AR24" t="s">
        <v>118</v>
      </c>
      <c r="AS24">
        <v>7</v>
      </c>
      <c r="AT24">
        <v>67</v>
      </c>
      <c r="AU24">
        <v>1088</v>
      </c>
      <c r="BC24">
        <v>1200</v>
      </c>
      <c r="BD24">
        <v>1</v>
      </c>
      <c r="BE24" t="str">
        <f t="shared" si="2"/>
        <v xml:space="preserve">N215T   </v>
      </c>
      <c r="BF24">
        <v>1</v>
      </c>
      <c r="BH24">
        <v>0</v>
      </c>
      <c r="BI24">
        <v>0</v>
      </c>
      <c r="BJ24">
        <v>0</v>
      </c>
      <c r="BK24">
        <v>1025</v>
      </c>
      <c r="BL24">
        <v>425</v>
      </c>
      <c r="BM24" t="s">
        <v>119</v>
      </c>
      <c r="BN24">
        <v>1</v>
      </c>
      <c r="BO24">
        <v>1</v>
      </c>
      <c r="BP24">
        <v>1</v>
      </c>
      <c r="BQ24">
        <v>0</v>
      </c>
      <c r="BT24">
        <v>0</v>
      </c>
      <c r="BU24">
        <v>0</v>
      </c>
      <c r="BV24">
        <v>0</v>
      </c>
      <c r="CC24" t="str">
        <f>"18:34:44.352"</f>
        <v>18:34:44.352</v>
      </c>
      <c r="CD24" t="str">
        <f>"353079278"</f>
        <v>353079278</v>
      </c>
      <c r="CQ24">
        <v>0</v>
      </c>
      <c r="CR24">
        <v>2</v>
      </c>
      <c r="CS24">
        <v>0</v>
      </c>
      <c r="CT24">
        <v>2</v>
      </c>
      <c r="CU24">
        <v>0</v>
      </c>
      <c r="CV24">
        <v>5</v>
      </c>
      <c r="CW24" t="s">
        <v>120</v>
      </c>
      <c r="CX24">
        <v>261</v>
      </c>
      <c r="CY24">
        <v>1</v>
      </c>
      <c r="CZ24" t="s">
        <v>121</v>
      </c>
      <c r="DA24" t="s">
        <v>122</v>
      </c>
      <c r="DD24">
        <v>3104765</v>
      </c>
      <c r="DE24" t="s">
        <v>123</v>
      </c>
    </row>
    <row r="25" spans="1:109" x14ac:dyDescent="0.3">
      <c r="A25" t="str">
        <f>"18:34:45.422"</f>
        <v>18:34:45.422</v>
      </c>
      <c r="B25" t="s">
        <v>110</v>
      </c>
      <c r="C25" t="str">
        <f t="shared" si="0"/>
        <v>ffdfd3c0</v>
      </c>
      <c r="D25" t="s">
        <v>111</v>
      </c>
      <c r="E25">
        <v>18</v>
      </c>
      <c r="F25">
        <v>1018</v>
      </c>
      <c r="G25" t="s">
        <v>112</v>
      </c>
      <c r="J25" t="s">
        <v>113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R25" t="s">
        <v>114</v>
      </c>
      <c r="S25" t="str">
        <f>"18:34:45.188"</f>
        <v>18:34:45.188</v>
      </c>
      <c r="T25" t="str">
        <f>"18:34:44.891"</f>
        <v>18:34:44.891</v>
      </c>
      <c r="U25" t="str">
        <f t="shared" si="1"/>
        <v>a1cdbe</v>
      </c>
      <c r="V25">
        <v>0</v>
      </c>
      <c r="W25">
        <v>0</v>
      </c>
      <c r="X25">
        <v>1</v>
      </c>
      <c r="Y25">
        <v>0</v>
      </c>
      <c r="Z25">
        <v>0</v>
      </c>
      <c r="AB25">
        <v>0</v>
      </c>
      <c r="AC25">
        <v>9</v>
      </c>
      <c r="AD25">
        <v>3</v>
      </c>
      <c r="AE25">
        <v>0</v>
      </c>
      <c r="AF25">
        <v>9</v>
      </c>
      <c r="AG25" t="s">
        <v>158</v>
      </c>
      <c r="AH25">
        <v>0</v>
      </c>
      <c r="AI25">
        <v>3</v>
      </c>
      <c r="AJ25">
        <v>1</v>
      </c>
      <c r="AK25">
        <v>0</v>
      </c>
      <c r="AL25" t="s">
        <v>164</v>
      </c>
      <c r="AM25">
        <v>47.110512</v>
      </c>
      <c r="AN25" t="s">
        <v>163</v>
      </c>
      <c r="AO25">
        <v>-122.286286</v>
      </c>
      <c r="AP25">
        <v>100</v>
      </c>
      <c r="AQ25">
        <v>700</v>
      </c>
      <c r="AR25" t="s">
        <v>118</v>
      </c>
      <c r="AS25">
        <v>6</v>
      </c>
      <c r="AT25">
        <v>68</v>
      </c>
      <c r="AU25">
        <v>1088</v>
      </c>
      <c r="BC25">
        <v>1200</v>
      </c>
      <c r="BD25">
        <v>1</v>
      </c>
      <c r="BE25" t="str">
        <f t="shared" si="2"/>
        <v xml:space="preserve">N215T   </v>
      </c>
      <c r="BF25">
        <v>1</v>
      </c>
      <c r="BH25">
        <v>0</v>
      </c>
      <c r="BI25">
        <v>0</v>
      </c>
      <c r="BJ25">
        <v>0</v>
      </c>
      <c r="BK25">
        <v>1025</v>
      </c>
      <c r="BL25">
        <v>325</v>
      </c>
      <c r="BM25" t="s">
        <v>119</v>
      </c>
      <c r="BN25">
        <v>1</v>
      </c>
      <c r="BO25">
        <v>1</v>
      </c>
      <c r="BP25">
        <v>1</v>
      </c>
      <c r="BQ25">
        <v>0</v>
      </c>
      <c r="BT25">
        <v>0</v>
      </c>
      <c r="BU25">
        <v>0</v>
      </c>
      <c r="BV25">
        <v>0</v>
      </c>
      <c r="CC25" t="str">
        <f>"18:34:45.195"</f>
        <v>18:34:45.195</v>
      </c>
      <c r="CD25" t="str">
        <f>"192996531"</f>
        <v>192996531</v>
      </c>
      <c r="CQ25">
        <v>0</v>
      </c>
      <c r="CR25">
        <v>2</v>
      </c>
      <c r="CS25">
        <v>0</v>
      </c>
      <c r="CT25">
        <v>2</v>
      </c>
      <c r="CU25">
        <v>0</v>
      </c>
      <c r="CV25">
        <v>5</v>
      </c>
      <c r="CW25" t="s">
        <v>120</v>
      </c>
      <c r="CX25">
        <v>261</v>
      </c>
      <c r="CY25">
        <v>2</v>
      </c>
      <c r="CZ25" t="s">
        <v>121</v>
      </c>
      <c r="DA25" t="s">
        <v>122</v>
      </c>
      <c r="DD25">
        <v>14260753</v>
      </c>
      <c r="DE25" t="s">
        <v>123</v>
      </c>
    </row>
    <row r="26" spans="1:109" x14ac:dyDescent="0.3">
      <c r="A26" t="str">
        <f>"18:34:46.328"</f>
        <v>18:34:46.328</v>
      </c>
      <c r="B26" t="s">
        <v>110</v>
      </c>
      <c r="C26" t="str">
        <f t="shared" si="0"/>
        <v>ffdfd3c0</v>
      </c>
      <c r="D26" t="s">
        <v>111</v>
      </c>
      <c r="E26">
        <v>18</v>
      </c>
      <c r="F26">
        <v>1018</v>
      </c>
      <c r="G26" t="s">
        <v>112</v>
      </c>
      <c r="J26" t="s">
        <v>113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R26" t="s">
        <v>114</v>
      </c>
      <c r="S26" t="str">
        <f>"18:34:46.133"</f>
        <v>18:34:46.133</v>
      </c>
      <c r="T26" t="str">
        <f>"18:34:45.930"</f>
        <v>18:34:45.930</v>
      </c>
      <c r="U26" t="str">
        <f t="shared" si="1"/>
        <v>a1cdbe</v>
      </c>
      <c r="V26">
        <v>0</v>
      </c>
      <c r="W26">
        <v>0</v>
      </c>
      <c r="X26">
        <v>1</v>
      </c>
      <c r="Y26">
        <v>0</v>
      </c>
      <c r="Z26">
        <v>0</v>
      </c>
      <c r="AB26">
        <v>0</v>
      </c>
      <c r="AC26">
        <v>9</v>
      </c>
      <c r="AD26">
        <v>3</v>
      </c>
      <c r="AE26">
        <v>0</v>
      </c>
      <c r="AF26">
        <v>9</v>
      </c>
      <c r="AG26" t="s">
        <v>158</v>
      </c>
      <c r="AH26">
        <v>0</v>
      </c>
      <c r="AI26">
        <v>3</v>
      </c>
      <c r="AJ26">
        <v>1</v>
      </c>
      <c r="AK26">
        <v>0</v>
      </c>
      <c r="AL26" t="s">
        <v>165</v>
      </c>
      <c r="AM26">
        <v>47.110790999999999</v>
      </c>
      <c r="AN26" t="s">
        <v>166</v>
      </c>
      <c r="AO26">
        <v>-122.28620100000001</v>
      </c>
      <c r="AP26">
        <v>100</v>
      </c>
      <c r="AQ26">
        <v>700</v>
      </c>
      <c r="AR26" t="s">
        <v>118</v>
      </c>
      <c r="AS26">
        <v>5</v>
      </c>
      <c r="AT26">
        <v>69</v>
      </c>
      <c r="AU26">
        <v>960</v>
      </c>
      <c r="BC26">
        <v>1200</v>
      </c>
      <c r="BD26">
        <v>1</v>
      </c>
      <c r="BE26" t="str">
        <f t="shared" si="2"/>
        <v xml:space="preserve">N215T   </v>
      </c>
      <c r="BF26">
        <v>1</v>
      </c>
      <c r="BH26">
        <v>0</v>
      </c>
      <c r="BI26">
        <v>0</v>
      </c>
      <c r="BJ26">
        <v>0</v>
      </c>
      <c r="BK26">
        <v>1050</v>
      </c>
      <c r="BL26">
        <v>350</v>
      </c>
      <c r="BM26" t="s">
        <v>119</v>
      </c>
      <c r="BN26">
        <v>1</v>
      </c>
      <c r="BO26">
        <v>1</v>
      </c>
      <c r="BP26">
        <v>1</v>
      </c>
      <c r="BQ26">
        <v>0</v>
      </c>
      <c r="BT26">
        <v>0</v>
      </c>
      <c r="BU26">
        <v>0</v>
      </c>
      <c r="BV26">
        <v>0</v>
      </c>
      <c r="CC26" t="str">
        <f>"18:34:46.141"</f>
        <v>18:34:46.141</v>
      </c>
      <c r="CD26" t="str">
        <f>"137903426"</f>
        <v>137903426</v>
      </c>
      <c r="CQ26">
        <v>0</v>
      </c>
      <c r="CR26">
        <v>2</v>
      </c>
      <c r="CS26">
        <v>0</v>
      </c>
      <c r="CT26">
        <v>2</v>
      </c>
      <c r="CU26">
        <v>0</v>
      </c>
      <c r="CV26">
        <v>5</v>
      </c>
      <c r="CW26" t="s">
        <v>120</v>
      </c>
      <c r="CX26">
        <v>261</v>
      </c>
      <c r="CY26">
        <v>1</v>
      </c>
      <c r="CZ26" t="s">
        <v>121</v>
      </c>
      <c r="DA26" t="s">
        <v>122</v>
      </c>
      <c r="DD26">
        <v>3105733</v>
      </c>
      <c r="DE26" t="s">
        <v>123</v>
      </c>
    </row>
    <row r="27" spans="1:109" x14ac:dyDescent="0.3">
      <c r="A27" t="str">
        <f>"18:34:47.336"</f>
        <v>18:34:47.336</v>
      </c>
      <c r="B27" t="s">
        <v>110</v>
      </c>
      <c r="C27" t="str">
        <f t="shared" si="0"/>
        <v>ffdfd3c0</v>
      </c>
      <c r="D27" t="s">
        <v>111</v>
      </c>
      <c r="E27">
        <v>18</v>
      </c>
      <c r="F27">
        <v>1018</v>
      </c>
      <c r="G27" t="s">
        <v>112</v>
      </c>
      <c r="J27" t="s">
        <v>113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R27" t="s">
        <v>114</v>
      </c>
      <c r="S27" t="str">
        <f>"18:34:47.109"</f>
        <v>18:34:47.109</v>
      </c>
      <c r="T27" t="str">
        <f>"18:34:46.906"</f>
        <v>18:34:46.906</v>
      </c>
      <c r="U27" t="str">
        <f t="shared" si="1"/>
        <v>a1cdbe</v>
      </c>
      <c r="V27">
        <v>0</v>
      </c>
      <c r="W27">
        <v>0</v>
      </c>
      <c r="X27">
        <v>1</v>
      </c>
      <c r="Y27">
        <v>0</v>
      </c>
      <c r="Z27">
        <v>0</v>
      </c>
      <c r="AB27">
        <v>0</v>
      </c>
      <c r="AC27">
        <v>9</v>
      </c>
      <c r="AD27">
        <v>3</v>
      </c>
      <c r="AE27">
        <v>0</v>
      </c>
      <c r="AF27">
        <v>9</v>
      </c>
      <c r="AG27" t="s">
        <v>158</v>
      </c>
      <c r="AH27">
        <v>0</v>
      </c>
      <c r="AI27">
        <v>3</v>
      </c>
      <c r="AJ27">
        <v>1</v>
      </c>
      <c r="AK27">
        <v>0</v>
      </c>
      <c r="AL27" t="s">
        <v>167</v>
      </c>
      <c r="AM27">
        <v>47.111091999999999</v>
      </c>
      <c r="AN27" t="s">
        <v>168</v>
      </c>
      <c r="AO27">
        <v>-122.286222</v>
      </c>
      <c r="AP27">
        <v>100</v>
      </c>
      <c r="AQ27">
        <v>700</v>
      </c>
      <c r="AR27" t="s">
        <v>118</v>
      </c>
      <c r="AS27">
        <v>4</v>
      </c>
      <c r="AT27">
        <v>70</v>
      </c>
      <c r="AU27">
        <v>832</v>
      </c>
      <c r="BC27">
        <v>1200</v>
      </c>
      <c r="BD27">
        <v>1</v>
      </c>
      <c r="BE27" t="str">
        <f t="shared" si="2"/>
        <v xml:space="preserve">N215T   </v>
      </c>
      <c r="BF27">
        <v>1</v>
      </c>
      <c r="BH27">
        <v>0</v>
      </c>
      <c r="BI27">
        <v>0</v>
      </c>
      <c r="BJ27">
        <v>0</v>
      </c>
      <c r="BK27">
        <v>1075</v>
      </c>
      <c r="BL27">
        <v>375</v>
      </c>
      <c r="BM27" t="s">
        <v>119</v>
      </c>
      <c r="BN27">
        <v>1</v>
      </c>
      <c r="BO27">
        <v>1</v>
      </c>
      <c r="BP27">
        <v>1</v>
      </c>
      <c r="BQ27">
        <v>0</v>
      </c>
      <c r="BT27">
        <v>0</v>
      </c>
      <c r="BU27">
        <v>0</v>
      </c>
      <c r="BV27">
        <v>0</v>
      </c>
      <c r="CC27" t="str">
        <f>"18:34:47.109"</f>
        <v>18:34:47.109</v>
      </c>
      <c r="CD27" t="str">
        <f>"112807363"</f>
        <v>112807363</v>
      </c>
      <c r="CQ27">
        <v>0</v>
      </c>
      <c r="CR27">
        <v>2</v>
      </c>
      <c r="CS27">
        <v>0</v>
      </c>
      <c r="CT27">
        <v>2</v>
      </c>
      <c r="CU27">
        <v>0</v>
      </c>
      <c r="CV27">
        <v>5</v>
      </c>
      <c r="CW27" t="s">
        <v>120</v>
      </c>
      <c r="CX27">
        <v>261</v>
      </c>
      <c r="CY27">
        <v>1</v>
      </c>
      <c r="CZ27" t="s">
        <v>121</v>
      </c>
      <c r="DA27" t="s">
        <v>122</v>
      </c>
      <c r="DD27">
        <v>3106337</v>
      </c>
      <c r="DE27" t="s">
        <v>123</v>
      </c>
    </row>
    <row r="28" spans="1:109" x14ac:dyDescent="0.3">
      <c r="A28" t="str">
        <f>"18:34:48.391"</f>
        <v>18:34:48.391</v>
      </c>
      <c r="B28" t="s">
        <v>110</v>
      </c>
      <c r="C28" t="str">
        <f t="shared" si="0"/>
        <v>ffdfd3c0</v>
      </c>
      <c r="D28" t="s">
        <v>111</v>
      </c>
      <c r="E28">
        <v>18</v>
      </c>
      <c r="F28">
        <v>1018</v>
      </c>
      <c r="G28" t="s">
        <v>112</v>
      </c>
      <c r="J28" t="s">
        <v>113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R28" t="s">
        <v>114</v>
      </c>
      <c r="S28" t="str">
        <f>"18:34:48.141"</f>
        <v>18:34:48.141</v>
      </c>
      <c r="T28" t="str">
        <f>"18:34:47.742"</f>
        <v>18:34:47.742</v>
      </c>
      <c r="U28" t="str">
        <f t="shared" si="1"/>
        <v>a1cdbe</v>
      </c>
      <c r="V28">
        <v>0</v>
      </c>
      <c r="W28">
        <v>0</v>
      </c>
      <c r="X28">
        <v>1</v>
      </c>
      <c r="Y28">
        <v>0</v>
      </c>
      <c r="Z28">
        <v>0</v>
      </c>
      <c r="AB28">
        <v>0</v>
      </c>
      <c r="AC28">
        <v>9</v>
      </c>
      <c r="AD28">
        <v>3</v>
      </c>
      <c r="AE28">
        <v>0</v>
      </c>
      <c r="AF28">
        <v>9</v>
      </c>
      <c r="AG28" t="s">
        <v>158</v>
      </c>
      <c r="AH28">
        <v>0</v>
      </c>
      <c r="AI28">
        <v>3</v>
      </c>
      <c r="AJ28">
        <v>1</v>
      </c>
      <c r="AK28">
        <v>0</v>
      </c>
      <c r="AL28" t="s">
        <v>169</v>
      </c>
      <c r="AM28">
        <v>47.111435</v>
      </c>
      <c r="AN28" t="s">
        <v>170</v>
      </c>
      <c r="AO28">
        <v>-122.286136</v>
      </c>
      <c r="AP28">
        <v>100</v>
      </c>
      <c r="AQ28">
        <v>700</v>
      </c>
      <c r="AR28" t="s">
        <v>118</v>
      </c>
      <c r="AS28">
        <v>4</v>
      </c>
      <c r="AT28">
        <v>70</v>
      </c>
      <c r="AU28">
        <v>704</v>
      </c>
      <c r="BC28">
        <v>1200</v>
      </c>
      <c r="BD28">
        <v>1</v>
      </c>
      <c r="BE28" t="str">
        <f t="shared" si="2"/>
        <v xml:space="preserve">N215T   </v>
      </c>
      <c r="BF28">
        <v>1</v>
      </c>
      <c r="BH28">
        <v>0</v>
      </c>
      <c r="BI28">
        <v>0</v>
      </c>
      <c r="BJ28">
        <v>0</v>
      </c>
      <c r="BK28">
        <v>1075</v>
      </c>
      <c r="BL28">
        <v>375</v>
      </c>
      <c r="BM28" t="s">
        <v>119</v>
      </c>
      <c r="BN28">
        <v>1</v>
      </c>
      <c r="BO28">
        <v>1</v>
      </c>
      <c r="BP28">
        <v>1</v>
      </c>
      <c r="BQ28">
        <v>0</v>
      </c>
      <c r="BT28">
        <v>0</v>
      </c>
      <c r="BU28">
        <v>0</v>
      </c>
      <c r="BV28">
        <v>0</v>
      </c>
      <c r="CC28" t="str">
        <f>"18:34:48.148"</f>
        <v>18:34:48.148</v>
      </c>
      <c r="CD28" t="str">
        <f>"147705407"</f>
        <v>147705407</v>
      </c>
      <c r="CQ28">
        <v>0</v>
      </c>
      <c r="CR28">
        <v>2</v>
      </c>
      <c r="CS28">
        <v>0</v>
      </c>
      <c r="CT28">
        <v>2</v>
      </c>
      <c r="CU28">
        <v>0</v>
      </c>
      <c r="CV28">
        <v>5</v>
      </c>
      <c r="CW28" t="s">
        <v>120</v>
      </c>
      <c r="CX28">
        <v>261</v>
      </c>
      <c r="CY28">
        <v>1</v>
      </c>
      <c r="CZ28" t="s">
        <v>121</v>
      </c>
      <c r="DA28" t="s">
        <v>122</v>
      </c>
      <c r="DD28">
        <v>3106907</v>
      </c>
      <c r="DE28" t="s">
        <v>123</v>
      </c>
    </row>
    <row r="29" spans="1:109" x14ac:dyDescent="0.3">
      <c r="A29" t="str">
        <f>"18:34:49.297"</f>
        <v>18:34:49.297</v>
      </c>
      <c r="B29" t="s">
        <v>110</v>
      </c>
      <c r="C29" t="str">
        <f t="shared" si="0"/>
        <v>ffdfd3c0</v>
      </c>
      <c r="D29" t="s">
        <v>111</v>
      </c>
      <c r="E29">
        <v>18</v>
      </c>
      <c r="F29">
        <v>1018</v>
      </c>
      <c r="G29" t="s">
        <v>112</v>
      </c>
      <c r="J29" t="s">
        <v>113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R29" t="s">
        <v>114</v>
      </c>
      <c r="S29" t="str">
        <f>"18:34:49.086"</f>
        <v>18:34:49.086</v>
      </c>
      <c r="T29" t="str">
        <f>"18:34:48.789"</f>
        <v>18:34:48.789</v>
      </c>
      <c r="U29" t="str">
        <f t="shared" si="1"/>
        <v>a1cdbe</v>
      </c>
      <c r="V29">
        <v>0</v>
      </c>
      <c r="W29">
        <v>0</v>
      </c>
      <c r="X29">
        <v>1</v>
      </c>
      <c r="Y29">
        <v>0</v>
      </c>
      <c r="Z29">
        <v>0</v>
      </c>
      <c r="AB29">
        <v>0</v>
      </c>
      <c r="AC29">
        <v>9</v>
      </c>
      <c r="AD29">
        <v>3</v>
      </c>
      <c r="AE29">
        <v>0</v>
      </c>
      <c r="AF29">
        <v>9</v>
      </c>
      <c r="AG29" t="s">
        <v>158</v>
      </c>
      <c r="AH29">
        <v>0</v>
      </c>
      <c r="AI29">
        <v>3</v>
      </c>
      <c r="AJ29">
        <v>1</v>
      </c>
      <c r="AK29">
        <v>0</v>
      </c>
      <c r="AL29" t="s">
        <v>171</v>
      </c>
      <c r="AM29">
        <v>47.111756999999997</v>
      </c>
      <c r="AN29" t="s">
        <v>170</v>
      </c>
      <c r="AO29">
        <v>-122.286136</v>
      </c>
      <c r="AP29">
        <v>100</v>
      </c>
      <c r="AQ29">
        <v>700</v>
      </c>
      <c r="AR29" t="s">
        <v>118</v>
      </c>
      <c r="AS29">
        <v>4</v>
      </c>
      <c r="AT29">
        <v>71</v>
      </c>
      <c r="AU29">
        <v>768</v>
      </c>
      <c r="BC29">
        <v>1200</v>
      </c>
      <c r="BD29">
        <v>1</v>
      </c>
      <c r="BE29" t="str">
        <f t="shared" si="2"/>
        <v xml:space="preserve">N215T   </v>
      </c>
      <c r="BF29">
        <v>1</v>
      </c>
      <c r="BH29">
        <v>0</v>
      </c>
      <c r="BI29">
        <v>0</v>
      </c>
      <c r="BJ29">
        <v>0</v>
      </c>
      <c r="BK29">
        <v>1100</v>
      </c>
      <c r="BL29">
        <v>400</v>
      </c>
      <c r="BM29" t="s">
        <v>119</v>
      </c>
      <c r="BN29">
        <v>1</v>
      </c>
      <c r="BO29">
        <v>1</v>
      </c>
      <c r="BP29">
        <v>1</v>
      </c>
      <c r="BQ29">
        <v>0</v>
      </c>
      <c r="BT29">
        <v>0</v>
      </c>
      <c r="BU29">
        <v>0</v>
      </c>
      <c r="BV29">
        <v>0</v>
      </c>
      <c r="CC29" t="str">
        <f>"18:34:49.094"</f>
        <v>18:34:49.094</v>
      </c>
      <c r="CD29" t="str">
        <f>"092549051"</f>
        <v>092549051</v>
      </c>
      <c r="CQ29">
        <v>0</v>
      </c>
      <c r="CR29">
        <v>2</v>
      </c>
      <c r="CS29">
        <v>0</v>
      </c>
      <c r="CT29">
        <v>2</v>
      </c>
      <c r="CU29">
        <v>0</v>
      </c>
      <c r="CV29">
        <v>3</v>
      </c>
      <c r="CW29" t="s">
        <v>172</v>
      </c>
      <c r="CX29">
        <v>326</v>
      </c>
      <c r="CY29">
        <v>0</v>
      </c>
      <c r="CZ29" t="s">
        <v>173</v>
      </c>
      <c r="DA29" t="s">
        <v>174</v>
      </c>
      <c r="DD29">
        <v>5589633</v>
      </c>
      <c r="DE29" t="s">
        <v>123</v>
      </c>
    </row>
    <row r="30" spans="1:109" x14ac:dyDescent="0.3">
      <c r="A30" t="str">
        <f>"18:34:50.500"</f>
        <v>18:34:50.500</v>
      </c>
      <c r="B30" t="s">
        <v>110</v>
      </c>
      <c r="C30" t="str">
        <f t="shared" si="0"/>
        <v>ffdfd3c0</v>
      </c>
      <c r="D30" t="s">
        <v>111</v>
      </c>
      <c r="E30">
        <v>18</v>
      </c>
      <c r="F30">
        <v>1018</v>
      </c>
      <c r="G30" t="s">
        <v>112</v>
      </c>
      <c r="J30" t="s">
        <v>113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R30" t="s">
        <v>114</v>
      </c>
      <c r="S30" t="str">
        <f>"18:34:50.273"</f>
        <v>18:34:50.273</v>
      </c>
      <c r="T30" t="str">
        <f>"18:34:49.773"</f>
        <v>18:34:49.773</v>
      </c>
      <c r="U30" t="str">
        <f t="shared" si="1"/>
        <v>a1cdbe</v>
      </c>
      <c r="V30">
        <v>0</v>
      </c>
      <c r="W30">
        <v>0</v>
      </c>
      <c r="X30">
        <v>1</v>
      </c>
      <c r="Y30">
        <v>0</v>
      </c>
      <c r="Z30">
        <v>0</v>
      </c>
      <c r="AB30">
        <v>0</v>
      </c>
      <c r="AC30">
        <v>9</v>
      </c>
      <c r="AD30">
        <v>3</v>
      </c>
      <c r="AE30">
        <v>0</v>
      </c>
      <c r="AF30">
        <v>9</v>
      </c>
      <c r="AG30" t="s">
        <v>158</v>
      </c>
      <c r="AH30">
        <v>0</v>
      </c>
      <c r="AI30">
        <v>3</v>
      </c>
      <c r="AJ30">
        <v>1</v>
      </c>
      <c r="AK30">
        <v>0</v>
      </c>
      <c r="AL30" t="s">
        <v>175</v>
      </c>
      <c r="AM30">
        <v>47.112164</v>
      </c>
      <c r="AN30" t="s">
        <v>170</v>
      </c>
      <c r="AO30">
        <v>-122.286136</v>
      </c>
      <c r="AP30">
        <v>100</v>
      </c>
      <c r="AQ30">
        <v>700</v>
      </c>
      <c r="AR30" t="s">
        <v>118</v>
      </c>
      <c r="AS30">
        <v>3</v>
      </c>
      <c r="AT30">
        <v>71</v>
      </c>
      <c r="AU30">
        <v>832</v>
      </c>
      <c r="BC30">
        <v>1200</v>
      </c>
      <c r="BD30">
        <v>1</v>
      </c>
      <c r="BE30" t="str">
        <f t="shared" si="2"/>
        <v xml:space="preserve">N215T   </v>
      </c>
      <c r="BF30">
        <v>1</v>
      </c>
      <c r="BH30">
        <v>0</v>
      </c>
      <c r="BI30">
        <v>0</v>
      </c>
      <c r="BJ30">
        <v>0</v>
      </c>
      <c r="BK30">
        <v>1100</v>
      </c>
      <c r="BL30">
        <v>400</v>
      </c>
      <c r="BM30" t="s">
        <v>119</v>
      </c>
      <c r="BN30">
        <v>1</v>
      </c>
      <c r="BO30">
        <v>1</v>
      </c>
      <c r="BP30">
        <v>1</v>
      </c>
      <c r="BQ30">
        <v>0</v>
      </c>
      <c r="BT30">
        <v>0</v>
      </c>
      <c r="BU30">
        <v>0</v>
      </c>
      <c r="BV30">
        <v>0</v>
      </c>
      <c r="CC30" t="str">
        <f>"18:34:50.281"</f>
        <v>18:34:50.281</v>
      </c>
      <c r="CD30" t="str">
        <f>"277432287"</f>
        <v>277432287</v>
      </c>
      <c r="CQ30">
        <v>0</v>
      </c>
      <c r="CR30">
        <v>2</v>
      </c>
      <c r="CS30">
        <v>0</v>
      </c>
      <c r="CT30">
        <v>2</v>
      </c>
      <c r="CU30">
        <v>0</v>
      </c>
      <c r="CV30">
        <v>4</v>
      </c>
      <c r="CW30" t="s">
        <v>172</v>
      </c>
      <c r="CX30">
        <v>326</v>
      </c>
      <c r="CY30">
        <v>0</v>
      </c>
      <c r="CZ30" t="s">
        <v>173</v>
      </c>
      <c r="DA30" t="s">
        <v>174</v>
      </c>
      <c r="DD30">
        <v>5590210</v>
      </c>
      <c r="DE30" t="s">
        <v>123</v>
      </c>
    </row>
    <row r="31" spans="1:109" x14ac:dyDescent="0.3">
      <c r="A31" t="str">
        <f>"18:34:51.609"</f>
        <v>18:34:51.609</v>
      </c>
      <c r="B31" t="s">
        <v>110</v>
      </c>
      <c r="C31" t="str">
        <f t="shared" si="0"/>
        <v>ffdfd3c0</v>
      </c>
      <c r="D31" t="s">
        <v>111</v>
      </c>
      <c r="E31">
        <v>18</v>
      </c>
      <c r="F31">
        <v>1018</v>
      </c>
      <c r="G31" t="s">
        <v>112</v>
      </c>
      <c r="J31" t="s">
        <v>113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R31" t="s">
        <v>114</v>
      </c>
      <c r="S31" t="str">
        <f>"18:34:51.383"</f>
        <v>18:34:51.383</v>
      </c>
      <c r="T31" t="str">
        <f>"18:34:50.984"</f>
        <v>18:34:50.984</v>
      </c>
      <c r="U31" t="str">
        <f t="shared" si="1"/>
        <v>a1cdbe</v>
      </c>
      <c r="V31">
        <v>0</v>
      </c>
      <c r="W31">
        <v>0</v>
      </c>
      <c r="X31">
        <v>1</v>
      </c>
      <c r="Y31">
        <v>0</v>
      </c>
      <c r="Z31">
        <v>0</v>
      </c>
      <c r="AB31">
        <v>0</v>
      </c>
      <c r="AC31">
        <v>9</v>
      </c>
      <c r="AD31">
        <v>3</v>
      </c>
      <c r="AE31">
        <v>0</v>
      </c>
      <c r="AF31">
        <v>9</v>
      </c>
      <c r="AG31" t="s">
        <v>158</v>
      </c>
      <c r="AH31">
        <v>0</v>
      </c>
      <c r="AI31">
        <v>3</v>
      </c>
      <c r="AJ31">
        <v>1</v>
      </c>
      <c r="AK31">
        <v>0</v>
      </c>
      <c r="AL31" t="s">
        <v>176</v>
      </c>
      <c r="AM31">
        <v>47.112551000000003</v>
      </c>
      <c r="AN31" t="s">
        <v>177</v>
      </c>
      <c r="AO31">
        <v>-122.286072</v>
      </c>
      <c r="AP31">
        <v>100</v>
      </c>
      <c r="AQ31">
        <v>800</v>
      </c>
      <c r="AR31" t="s">
        <v>118</v>
      </c>
      <c r="AS31">
        <v>2</v>
      </c>
      <c r="AT31">
        <v>71</v>
      </c>
      <c r="AU31">
        <v>896</v>
      </c>
      <c r="BC31">
        <v>1200</v>
      </c>
      <c r="BD31">
        <v>1</v>
      </c>
      <c r="BE31" t="str">
        <f t="shared" si="2"/>
        <v xml:space="preserve">N215T   </v>
      </c>
      <c r="BF31">
        <v>1</v>
      </c>
      <c r="BH31">
        <v>0</v>
      </c>
      <c r="BI31">
        <v>0</v>
      </c>
      <c r="BJ31">
        <v>0</v>
      </c>
      <c r="BK31">
        <v>1125</v>
      </c>
      <c r="BL31">
        <v>325</v>
      </c>
      <c r="BM31" t="s">
        <v>119</v>
      </c>
      <c r="BN31">
        <v>1</v>
      </c>
      <c r="BO31">
        <v>1</v>
      </c>
      <c r="BP31">
        <v>1</v>
      </c>
      <c r="BQ31">
        <v>0</v>
      </c>
      <c r="BT31">
        <v>0</v>
      </c>
      <c r="BU31">
        <v>0</v>
      </c>
      <c r="BV31">
        <v>0</v>
      </c>
      <c r="CC31" t="str">
        <f>"18:34:51.391"</f>
        <v>18:34:51.391</v>
      </c>
      <c r="CD31" t="str">
        <f>"387322911"</f>
        <v>387322911</v>
      </c>
      <c r="CQ31">
        <v>0</v>
      </c>
      <c r="CR31">
        <v>2</v>
      </c>
      <c r="CS31">
        <v>0</v>
      </c>
      <c r="CT31">
        <v>2</v>
      </c>
      <c r="CU31">
        <v>0</v>
      </c>
      <c r="CV31">
        <v>4</v>
      </c>
      <c r="CW31" t="s">
        <v>172</v>
      </c>
      <c r="CX31">
        <v>326</v>
      </c>
      <c r="CY31">
        <v>0</v>
      </c>
      <c r="CZ31" t="s">
        <v>173</v>
      </c>
      <c r="DA31" t="s">
        <v>174</v>
      </c>
      <c r="DD31">
        <v>5590778</v>
      </c>
      <c r="DE31" t="s">
        <v>123</v>
      </c>
    </row>
    <row r="32" spans="1:109" x14ac:dyDescent="0.3">
      <c r="A32" t="str">
        <f>"18:34:52.516"</f>
        <v>18:34:52.516</v>
      </c>
      <c r="B32" t="s">
        <v>110</v>
      </c>
      <c r="C32" t="str">
        <f t="shared" si="0"/>
        <v>ffdfd3c0</v>
      </c>
      <c r="D32" t="s">
        <v>111</v>
      </c>
      <c r="E32">
        <v>18</v>
      </c>
      <c r="F32">
        <v>1018</v>
      </c>
      <c r="G32" t="s">
        <v>112</v>
      </c>
      <c r="J32" t="s">
        <v>113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R32" t="s">
        <v>114</v>
      </c>
      <c r="S32" t="str">
        <f>"18:34:52.297"</f>
        <v>18:34:52.297</v>
      </c>
      <c r="T32" t="str">
        <f>"18:34:51.898"</f>
        <v>18:34:51.898</v>
      </c>
      <c r="U32" t="str">
        <f t="shared" si="1"/>
        <v>a1cdbe</v>
      </c>
      <c r="V32">
        <v>0</v>
      </c>
      <c r="W32">
        <v>0</v>
      </c>
      <c r="X32">
        <v>1</v>
      </c>
      <c r="Y32">
        <v>0</v>
      </c>
      <c r="Z32">
        <v>0</v>
      </c>
      <c r="AB32">
        <v>0</v>
      </c>
      <c r="AC32">
        <v>9</v>
      </c>
      <c r="AD32">
        <v>3</v>
      </c>
      <c r="AE32">
        <v>0</v>
      </c>
      <c r="AF32">
        <v>9</v>
      </c>
      <c r="AG32" t="s">
        <v>158</v>
      </c>
      <c r="AH32">
        <v>0</v>
      </c>
      <c r="AI32">
        <v>3</v>
      </c>
      <c r="AJ32">
        <v>1</v>
      </c>
      <c r="AK32">
        <v>0</v>
      </c>
      <c r="AL32" t="s">
        <v>178</v>
      </c>
      <c r="AM32">
        <v>47.112830000000002</v>
      </c>
      <c r="AN32" t="s">
        <v>177</v>
      </c>
      <c r="AO32">
        <v>-122.286072</v>
      </c>
      <c r="AP32">
        <v>100</v>
      </c>
      <c r="AQ32">
        <v>800</v>
      </c>
      <c r="AR32" t="s">
        <v>118</v>
      </c>
      <c r="AS32">
        <v>3</v>
      </c>
      <c r="AT32">
        <v>72</v>
      </c>
      <c r="AU32">
        <v>768</v>
      </c>
      <c r="BC32">
        <v>1200</v>
      </c>
      <c r="BD32">
        <v>1</v>
      </c>
      <c r="BE32" t="str">
        <f t="shared" si="2"/>
        <v xml:space="preserve">N215T   </v>
      </c>
      <c r="BF32">
        <v>1</v>
      </c>
      <c r="BH32">
        <v>0</v>
      </c>
      <c r="BI32">
        <v>0</v>
      </c>
      <c r="BJ32">
        <v>0</v>
      </c>
      <c r="BK32">
        <v>1125</v>
      </c>
      <c r="BL32">
        <v>325</v>
      </c>
      <c r="BM32" t="s">
        <v>119</v>
      </c>
      <c r="BN32">
        <v>1</v>
      </c>
      <c r="BO32">
        <v>1</v>
      </c>
      <c r="BP32">
        <v>1</v>
      </c>
      <c r="BQ32">
        <v>0</v>
      </c>
      <c r="BT32">
        <v>0</v>
      </c>
      <c r="BU32">
        <v>0</v>
      </c>
      <c r="BV32">
        <v>0</v>
      </c>
      <c r="CC32" t="str">
        <f>"18:34:52.305"</f>
        <v>18:34:52.305</v>
      </c>
      <c r="CD32" t="str">
        <f>"302296069"</f>
        <v>302296069</v>
      </c>
      <c r="CQ32">
        <v>0</v>
      </c>
      <c r="CR32">
        <v>2</v>
      </c>
      <c r="CS32">
        <v>0</v>
      </c>
      <c r="CT32">
        <v>2</v>
      </c>
      <c r="CU32">
        <v>0</v>
      </c>
      <c r="CV32">
        <v>5</v>
      </c>
      <c r="CW32" t="s">
        <v>120</v>
      </c>
      <c r="CX32">
        <v>261</v>
      </c>
      <c r="CY32">
        <v>2</v>
      </c>
      <c r="CZ32" t="s">
        <v>121</v>
      </c>
      <c r="DA32" t="s">
        <v>122</v>
      </c>
      <c r="DD32">
        <v>14264262</v>
      </c>
      <c r="DE32" t="s">
        <v>123</v>
      </c>
    </row>
    <row r="33" spans="1:109" x14ac:dyDescent="0.3">
      <c r="A33" t="str">
        <f>"18:34:53.617"</f>
        <v>18:34:53.617</v>
      </c>
      <c r="B33" t="s">
        <v>110</v>
      </c>
      <c r="C33" t="str">
        <f t="shared" si="0"/>
        <v>ffdfd3c0</v>
      </c>
      <c r="D33" t="s">
        <v>111</v>
      </c>
      <c r="E33">
        <v>18</v>
      </c>
      <c r="F33">
        <v>1018</v>
      </c>
      <c r="G33" t="s">
        <v>112</v>
      </c>
      <c r="J33" t="s">
        <v>113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R33" t="s">
        <v>114</v>
      </c>
      <c r="S33" t="str">
        <f>"18:34:53.375"</f>
        <v>18:34:53.375</v>
      </c>
      <c r="T33" t="str">
        <f>"18:34:53.273"</f>
        <v>18:34:53.273</v>
      </c>
      <c r="U33" t="str">
        <f t="shared" si="1"/>
        <v>a1cdbe</v>
      </c>
      <c r="V33">
        <v>0</v>
      </c>
      <c r="W33">
        <v>0</v>
      </c>
      <c r="X33">
        <v>1</v>
      </c>
      <c r="Y33">
        <v>0</v>
      </c>
      <c r="Z33">
        <v>0</v>
      </c>
      <c r="AB33">
        <v>0</v>
      </c>
      <c r="AC33">
        <v>9</v>
      </c>
      <c r="AD33">
        <v>3</v>
      </c>
      <c r="AE33">
        <v>0</v>
      </c>
      <c r="AF33">
        <v>9</v>
      </c>
      <c r="AG33" t="s">
        <v>158</v>
      </c>
      <c r="AH33">
        <v>0</v>
      </c>
      <c r="AI33">
        <v>3</v>
      </c>
      <c r="AJ33">
        <v>1</v>
      </c>
      <c r="AK33">
        <v>0</v>
      </c>
      <c r="AL33" t="s">
        <v>179</v>
      </c>
      <c r="AM33">
        <v>47.113194</v>
      </c>
      <c r="AN33" t="s">
        <v>180</v>
      </c>
      <c r="AO33">
        <v>-122.286007</v>
      </c>
      <c r="AP33">
        <v>100</v>
      </c>
      <c r="AQ33">
        <v>800</v>
      </c>
      <c r="AR33" t="s">
        <v>118</v>
      </c>
      <c r="AS33">
        <v>8</v>
      </c>
      <c r="AT33">
        <v>72</v>
      </c>
      <c r="AU33">
        <v>1088</v>
      </c>
      <c r="BC33">
        <v>1200</v>
      </c>
      <c r="BD33">
        <v>1</v>
      </c>
      <c r="BE33" t="str">
        <f t="shared" si="2"/>
        <v xml:space="preserve">N215T   </v>
      </c>
      <c r="BF33">
        <v>1</v>
      </c>
      <c r="BH33">
        <v>0</v>
      </c>
      <c r="BI33">
        <v>0</v>
      </c>
      <c r="BJ33">
        <v>0</v>
      </c>
      <c r="BK33">
        <v>1150</v>
      </c>
      <c r="BL33">
        <v>350</v>
      </c>
      <c r="BM33" t="s">
        <v>119</v>
      </c>
      <c r="BN33">
        <v>1</v>
      </c>
      <c r="BO33">
        <v>1</v>
      </c>
      <c r="BP33">
        <v>1</v>
      </c>
      <c r="BQ33">
        <v>0</v>
      </c>
      <c r="BT33">
        <v>0</v>
      </c>
      <c r="BU33">
        <v>0</v>
      </c>
      <c r="BV33">
        <v>0</v>
      </c>
      <c r="CC33" t="str">
        <f>"18:34:53.383"</f>
        <v>18:34:53.383</v>
      </c>
      <c r="CD33" t="str">
        <f>"382189644"</f>
        <v>382189644</v>
      </c>
      <c r="CQ33">
        <v>0</v>
      </c>
      <c r="CR33">
        <v>2</v>
      </c>
      <c r="CS33">
        <v>0</v>
      </c>
      <c r="CT33">
        <v>2</v>
      </c>
      <c r="CU33">
        <v>0</v>
      </c>
      <c r="CV33">
        <v>5</v>
      </c>
      <c r="CW33" t="s">
        <v>120</v>
      </c>
      <c r="CX33">
        <v>261</v>
      </c>
      <c r="CY33">
        <v>1</v>
      </c>
      <c r="CZ33" t="s">
        <v>121</v>
      </c>
      <c r="DA33" t="s">
        <v>122</v>
      </c>
      <c r="DD33">
        <v>3109845</v>
      </c>
      <c r="DE33" t="s">
        <v>123</v>
      </c>
    </row>
    <row r="34" spans="1:109" x14ac:dyDescent="0.3">
      <c r="A34" t="str">
        <f>"18:34:54.578"</f>
        <v>18:34:54.578</v>
      </c>
      <c r="B34" t="s">
        <v>110</v>
      </c>
      <c r="C34" t="str">
        <f t="shared" si="0"/>
        <v>ffdfd3c0</v>
      </c>
      <c r="D34" t="s">
        <v>111</v>
      </c>
      <c r="E34">
        <v>18</v>
      </c>
      <c r="F34">
        <v>1018</v>
      </c>
      <c r="G34" t="s">
        <v>112</v>
      </c>
      <c r="J34" t="s">
        <v>113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R34" t="s">
        <v>114</v>
      </c>
      <c r="S34" t="str">
        <f>"18:34:54.297"</f>
        <v>18:34:54.297</v>
      </c>
      <c r="T34" t="str">
        <f>"18:34:54.297"</f>
        <v>18:34:54.297</v>
      </c>
      <c r="U34" t="str">
        <f t="shared" si="1"/>
        <v>a1cdbe</v>
      </c>
      <c r="V34">
        <v>0</v>
      </c>
      <c r="W34">
        <v>0</v>
      </c>
      <c r="X34">
        <v>1</v>
      </c>
      <c r="Y34">
        <v>0</v>
      </c>
      <c r="Z34">
        <v>0</v>
      </c>
      <c r="AB34">
        <v>0</v>
      </c>
      <c r="AC34">
        <v>9</v>
      </c>
      <c r="AD34">
        <v>3</v>
      </c>
      <c r="AE34">
        <v>0</v>
      </c>
      <c r="AF34">
        <v>9</v>
      </c>
      <c r="AG34" t="s">
        <v>158</v>
      </c>
      <c r="AH34">
        <v>0</v>
      </c>
      <c r="AI34">
        <v>3</v>
      </c>
      <c r="AJ34">
        <v>1</v>
      </c>
      <c r="AK34">
        <v>0</v>
      </c>
      <c r="AL34" t="s">
        <v>181</v>
      </c>
      <c r="AM34">
        <v>47.113472999999999</v>
      </c>
      <c r="AN34" t="s">
        <v>182</v>
      </c>
      <c r="AO34">
        <v>-122.285922</v>
      </c>
      <c r="AP34">
        <v>100</v>
      </c>
      <c r="AQ34">
        <v>800</v>
      </c>
      <c r="AR34" t="s">
        <v>118</v>
      </c>
      <c r="AS34">
        <v>15</v>
      </c>
      <c r="AT34">
        <v>71</v>
      </c>
      <c r="AU34">
        <v>1344</v>
      </c>
      <c r="BC34">
        <v>1200</v>
      </c>
      <c r="BD34">
        <v>1</v>
      </c>
      <c r="BE34" t="str">
        <f t="shared" si="2"/>
        <v xml:space="preserve">N215T   </v>
      </c>
      <c r="BF34">
        <v>1</v>
      </c>
      <c r="BH34">
        <v>0</v>
      </c>
      <c r="BI34">
        <v>0</v>
      </c>
      <c r="BJ34">
        <v>0</v>
      </c>
      <c r="BK34">
        <v>1175</v>
      </c>
      <c r="BL34">
        <v>375</v>
      </c>
      <c r="BM34" t="s">
        <v>119</v>
      </c>
      <c r="BN34">
        <v>1</v>
      </c>
      <c r="BO34">
        <v>1</v>
      </c>
      <c r="BP34">
        <v>1</v>
      </c>
      <c r="BQ34">
        <v>0</v>
      </c>
      <c r="BT34">
        <v>0</v>
      </c>
      <c r="BU34">
        <v>0</v>
      </c>
      <c r="BV34">
        <v>0</v>
      </c>
      <c r="CC34" t="str">
        <f>"18:34:54.297"</f>
        <v>18:34:54.297</v>
      </c>
      <c r="CD34" t="str">
        <f>"297099506"</f>
        <v>297099506</v>
      </c>
      <c r="CQ34">
        <v>0</v>
      </c>
      <c r="CR34">
        <v>2</v>
      </c>
      <c r="CS34">
        <v>0</v>
      </c>
      <c r="CT34">
        <v>2</v>
      </c>
      <c r="CU34">
        <v>0</v>
      </c>
      <c r="CV34">
        <v>6</v>
      </c>
      <c r="CW34" t="s">
        <v>120</v>
      </c>
      <c r="CX34">
        <v>261</v>
      </c>
      <c r="CY34">
        <v>1</v>
      </c>
      <c r="CZ34" t="s">
        <v>121</v>
      </c>
      <c r="DA34" t="s">
        <v>122</v>
      </c>
      <c r="DD34">
        <v>3110344</v>
      </c>
      <c r="DE34" t="s">
        <v>123</v>
      </c>
    </row>
    <row r="35" spans="1:109" x14ac:dyDescent="0.3">
      <c r="A35" t="str">
        <f>"18:34:55.531"</f>
        <v>18:34:55.531</v>
      </c>
      <c r="B35" t="s">
        <v>110</v>
      </c>
      <c r="C35" t="str">
        <f t="shared" si="0"/>
        <v>ffdfd3c0</v>
      </c>
      <c r="D35" t="s">
        <v>111</v>
      </c>
      <c r="E35">
        <v>18</v>
      </c>
      <c r="F35">
        <v>1018</v>
      </c>
      <c r="G35" t="s">
        <v>112</v>
      </c>
      <c r="J35" t="s">
        <v>113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R35" t="s">
        <v>114</v>
      </c>
      <c r="S35" t="str">
        <f>"18:34:55.297"</f>
        <v>18:34:55.297</v>
      </c>
      <c r="T35" t="str">
        <f>"18:34:54.297"</f>
        <v>18:34:54.297</v>
      </c>
      <c r="U35" t="str">
        <f t="shared" si="1"/>
        <v>a1cdbe</v>
      </c>
      <c r="V35">
        <v>0</v>
      </c>
      <c r="W35">
        <v>0</v>
      </c>
      <c r="X35">
        <v>1</v>
      </c>
      <c r="Y35">
        <v>0</v>
      </c>
      <c r="Z35">
        <v>0</v>
      </c>
      <c r="AB35">
        <v>0</v>
      </c>
      <c r="AC35">
        <v>9</v>
      </c>
      <c r="AD35">
        <v>3</v>
      </c>
      <c r="AE35">
        <v>0</v>
      </c>
      <c r="AF35">
        <v>9</v>
      </c>
      <c r="AG35" t="s">
        <v>158</v>
      </c>
      <c r="AH35">
        <v>0</v>
      </c>
      <c r="AI35">
        <v>3</v>
      </c>
      <c r="AJ35">
        <v>1</v>
      </c>
      <c r="AK35">
        <v>0</v>
      </c>
      <c r="AL35" t="s">
        <v>183</v>
      </c>
      <c r="AM35">
        <v>47.113816999999997</v>
      </c>
      <c r="AN35" t="s">
        <v>184</v>
      </c>
      <c r="AO35">
        <v>-122.285793</v>
      </c>
      <c r="AP35">
        <v>100</v>
      </c>
      <c r="AQ35">
        <v>800</v>
      </c>
      <c r="AR35" t="s">
        <v>118</v>
      </c>
      <c r="AS35">
        <v>15</v>
      </c>
      <c r="AT35">
        <v>71</v>
      </c>
      <c r="AU35">
        <v>1344</v>
      </c>
      <c r="BC35">
        <v>1200</v>
      </c>
      <c r="BD35">
        <v>1</v>
      </c>
      <c r="BE35" t="str">
        <f t="shared" si="2"/>
        <v xml:space="preserve">N215T   </v>
      </c>
      <c r="BF35">
        <v>1</v>
      </c>
      <c r="BH35">
        <v>0</v>
      </c>
      <c r="BI35">
        <v>0</v>
      </c>
      <c r="BJ35">
        <v>0</v>
      </c>
      <c r="BK35">
        <v>1175</v>
      </c>
      <c r="BL35">
        <v>375</v>
      </c>
      <c r="BM35" t="s">
        <v>119</v>
      </c>
      <c r="BN35">
        <v>1</v>
      </c>
      <c r="BO35">
        <v>1</v>
      </c>
      <c r="BP35">
        <v>1</v>
      </c>
      <c r="BQ35">
        <v>0</v>
      </c>
      <c r="BT35">
        <v>0</v>
      </c>
      <c r="BU35">
        <v>0</v>
      </c>
      <c r="BV35">
        <v>0</v>
      </c>
      <c r="CC35" t="str">
        <f>"18:34:55.305"</f>
        <v>18:34:55.305</v>
      </c>
      <c r="CD35" t="str">
        <f>"302000530"</f>
        <v>302000530</v>
      </c>
      <c r="CQ35">
        <v>0</v>
      </c>
      <c r="CR35">
        <v>2</v>
      </c>
      <c r="CS35">
        <v>0</v>
      </c>
      <c r="CT35">
        <v>2</v>
      </c>
      <c r="CU35">
        <v>0</v>
      </c>
      <c r="CV35">
        <v>5</v>
      </c>
      <c r="CW35" t="s">
        <v>120</v>
      </c>
      <c r="CX35">
        <v>261</v>
      </c>
      <c r="CY35">
        <v>1</v>
      </c>
      <c r="CZ35" t="s">
        <v>121</v>
      </c>
      <c r="DA35" t="s">
        <v>122</v>
      </c>
      <c r="DD35">
        <v>3110921</v>
      </c>
      <c r="DE35" t="s">
        <v>123</v>
      </c>
    </row>
    <row r="36" spans="1:109" x14ac:dyDescent="0.3">
      <c r="A36" t="str">
        <f>"18:34:56.484"</f>
        <v>18:34:56.484</v>
      </c>
      <c r="B36" t="s">
        <v>110</v>
      </c>
      <c r="C36" t="str">
        <f t="shared" si="0"/>
        <v>ffdfd3c0</v>
      </c>
      <c r="D36" t="s">
        <v>111</v>
      </c>
      <c r="E36">
        <v>18</v>
      </c>
      <c r="F36">
        <v>1018</v>
      </c>
      <c r="G36" t="s">
        <v>112</v>
      </c>
      <c r="J36" t="s">
        <v>113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R36" t="s">
        <v>114</v>
      </c>
      <c r="S36" t="str">
        <f>"18:34:56.258"</f>
        <v>18:34:56.258</v>
      </c>
      <c r="T36" t="str">
        <f>"18:34:55.859"</f>
        <v>18:34:55.859</v>
      </c>
      <c r="U36" t="str">
        <f t="shared" si="1"/>
        <v>a1cdbe</v>
      </c>
      <c r="V36">
        <v>0</v>
      </c>
      <c r="W36">
        <v>0</v>
      </c>
      <c r="X36">
        <v>1</v>
      </c>
      <c r="Y36">
        <v>0</v>
      </c>
      <c r="Z36">
        <v>0</v>
      </c>
      <c r="AB36">
        <v>0</v>
      </c>
      <c r="AC36">
        <v>9</v>
      </c>
      <c r="AD36">
        <v>3</v>
      </c>
      <c r="AE36">
        <v>0</v>
      </c>
      <c r="AF36">
        <v>9</v>
      </c>
      <c r="AG36" t="s">
        <v>158</v>
      </c>
      <c r="AH36">
        <v>0</v>
      </c>
      <c r="AI36">
        <v>3</v>
      </c>
      <c r="AJ36">
        <v>1</v>
      </c>
      <c r="AK36">
        <v>0</v>
      </c>
      <c r="AL36" t="s">
        <v>185</v>
      </c>
      <c r="AM36">
        <v>47.114074000000002</v>
      </c>
      <c r="AN36" t="s">
        <v>186</v>
      </c>
      <c r="AO36">
        <v>-122.28564299999999</v>
      </c>
      <c r="AP36">
        <v>100</v>
      </c>
      <c r="AQ36">
        <v>800</v>
      </c>
      <c r="AR36" t="s">
        <v>118</v>
      </c>
      <c r="AS36">
        <v>27</v>
      </c>
      <c r="AT36">
        <v>66</v>
      </c>
      <c r="AU36">
        <v>1408</v>
      </c>
      <c r="BC36">
        <v>1200</v>
      </c>
      <c r="BD36">
        <v>1</v>
      </c>
      <c r="BE36" t="str">
        <f t="shared" si="2"/>
        <v xml:space="preserve">N215T   </v>
      </c>
      <c r="BF36">
        <v>1</v>
      </c>
      <c r="BH36">
        <v>0</v>
      </c>
      <c r="BI36">
        <v>0</v>
      </c>
      <c r="BJ36">
        <v>0</v>
      </c>
      <c r="BK36">
        <v>1200</v>
      </c>
      <c r="BL36">
        <v>400</v>
      </c>
      <c r="BM36" t="s">
        <v>119</v>
      </c>
      <c r="BN36">
        <v>1</v>
      </c>
      <c r="BO36">
        <v>1</v>
      </c>
      <c r="BP36">
        <v>1</v>
      </c>
      <c r="BQ36">
        <v>0</v>
      </c>
      <c r="BT36">
        <v>0</v>
      </c>
      <c r="BU36">
        <v>0</v>
      </c>
      <c r="BV36">
        <v>0</v>
      </c>
      <c r="CC36" t="str">
        <f>"18:34:56.266"</f>
        <v>18:34:56.266</v>
      </c>
      <c r="CD36" t="str">
        <f>"261905997"</f>
        <v>261905997</v>
      </c>
      <c r="CQ36">
        <v>0</v>
      </c>
      <c r="CR36">
        <v>2</v>
      </c>
      <c r="CS36">
        <v>0</v>
      </c>
      <c r="CT36">
        <v>2</v>
      </c>
      <c r="CU36">
        <v>0</v>
      </c>
      <c r="CV36">
        <v>6</v>
      </c>
      <c r="CW36" t="s">
        <v>120</v>
      </c>
      <c r="CX36">
        <v>261</v>
      </c>
      <c r="CY36">
        <v>2</v>
      </c>
      <c r="CZ36" t="s">
        <v>121</v>
      </c>
      <c r="DA36" t="s">
        <v>122</v>
      </c>
      <c r="DD36">
        <v>14266227</v>
      </c>
      <c r="DE36" t="s">
        <v>123</v>
      </c>
    </row>
    <row r="37" spans="1:109" x14ac:dyDescent="0.3">
      <c r="A37" t="str">
        <f>"18:34:57.492"</f>
        <v>18:34:57.492</v>
      </c>
      <c r="B37" t="s">
        <v>110</v>
      </c>
      <c r="C37" t="str">
        <f t="shared" si="0"/>
        <v>ffdfd3c0</v>
      </c>
      <c r="D37" t="s">
        <v>111</v>
      </c>
      <c r="E37">
        <v>18</v>
      </c>
      <c r="F37">
        <v>1018</v>
      </c>
      <c r="G37" t="s">
        <v>112</v>
      </c>
      <c r="J37" t="s">
        <v>113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R37" t="s">
        <v>114</v>
      </c>
      <c r="S37" t="str">
        <f>"18:34:57.289"</f>
        <v>18:34:57.289</v>
      </c>
      <c r="T37" t="str">
        <f>"18:34:56.992"</f>
        <v>18:34:56.992</v>
      </c>
      <c r="U37" t="str">
        <f t="shared" si="1"/>
        <v>a1cdbe</v>
      </c>
      <c r="V37">
        <v>0</v>
      </c>
      <c r="W37">
        <v>0</v>
      </c>
      <c r="X37">
        <v>1</v>
      </c>
      <c r="Y37">
        <v>0</v>
      </c>
      <c r="Z37">
        <v>0</v>
      </c>
      <c r="AB37">
        <v>0</v>
      </c>
      <c r="AC37">
        <v>9</v>
      </c>
      <c r="AD37">
        <v>3</v>
      </c>
      <c r="AE37">
        <v>0</v>
      </c>
      <c r="AF37">
        <v>9</v>
      </c>
      <c r="AG37" t="s">
        <v>158</v>
      </c>
      <c r="AH37">
        <v>0</v>
      </c>
      <c r="AI37">
        <v>3</v>
      </c>
      <c r="AJ37">
        <v>1</v>
      </c>
      <c r="AK37">
        <v>0</v>
      </c>
      <c r="AL37" t="s">
        <v>187</v>
      </c>
      <c r="AM37">
        <v>47.114418000000001</v>
      </c>
      <c r="AN37" t="s">
        <v>188</v>
      </c>
      <c r="AO37">
        <v>-122.28538500000001</v>
      </c>
      <c r="AP37">
        <v>100</v>
      </c>
      <c r="AQ37">
        <v>900</v>
      </c>
      <c r="AR37" t="s">
        <v>118</v>
      </c>
      <c r="AS37">
        <v>34</v>
      </c>
      <c r="AT37">
        <v>62</v>
      </c>
      <c r="AU37">
        <v>1536</v>
      </c>
      <c r="BC37">
        <v>1200</v>
      </c>
      <c r="BD37">
        <v>1</v>
      </c>
      <c r="BE37" t="str">
        <f t="shared" si="2"/>
        <v xml:space="preserve">N215T   </v>
      </c>
      <c r="BF37">
        <v>1</v>
      </c>
      <c r="BH37">
        <v>0</v>
      </c>
      <c r="BI37">
        <v>0</v>
      </c>
      <c r="BJ37">
        <v>0</v>
      </c>
      <c r="BK37">
        <v>1225</v>
      </c>
      <c r="BL37">
        <v>325</v>
      </c>
      <c r="BM37" t="s">
        <v>119</v>
      </c>
      <c r="BN37">
        <v>1</v>
      </c>
      <c r="BO37">
        <v>1</v>
      </c>
      <c r="BP37">
        <v>1</v>
      </c>
      <c r="BQ37">
        <v>0</v>
      </c>
      <c r="BT37">
        <v>0</v>
      </c>
      <c r="BU37">
        <v>0</v>
      </c>
      <c r="BV37">
        <v>0</v>
      </c>
      <c r="CC37" t="str">
        <f>"18:34:57.297"</f>
        <v>18:34:57.297</v>
      </c>
      <c r="CD37" t="str">
        <f>"296740462"</f>
        <v>296740462</v>
      </c>
      <c r="CQ37">
        <v>0</v>
      </c>
      <c r="CR37">
        <v>2</v>
      </c>
      <c r="CS37">
        <v>0</v>
      </c>
      <c r="CT37">
        <v>2</v>
      </c>
      <c r="CU37">
        <v>0</v>
      </c>
      <c r="CV37">
        <v>6</v>
      </c>
      <c r="CW37" t="s">
        <v>172</v>
      </c>
      <c r="CX37">
        <v>326</v>
      </c>
      <c r="CY37">
        <v>0</v>
      </c>
      <c r="CZ37" t="s">
        <v>173</v>
      </c>
      <c r="DA37" t="s">
        <v>174</v>
      </c>
      <c r="DD37">
        <v>5593867</v>
      </c>
      <c r="DE37" t="s">
        <v>123</v>
      </c>
    </row>
    <row r="38" spans="1:109" x14ac:dyDescent="0.3">
      <c r="A38" t="str">
        <f>"18:34:58.648"</f>
        <v>18:34:58.648</v>
      </c>
      <c r="B38" t="s">
        <v>110</v>
      </c>
      <c r="C38" t="str">
        <f t="shared" si="0"/>
        <v>ffdfd3c0</v>
      </c>
      <c r="D38" t="s">
        <v>111</v>
      </c>
      <c r="E38">
        <v>18</v>
      </c>
      <c r="F38">
        <v>1018</v>
      </c>
      <c r="G38" t="s">
        <v>112</v>
      </c>
      <c r="J38" t="s">
        <v>113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R38" t="s">
        <v>114</v>
      </c>
      <c r="S38" t="str">
        <f>"18:34:58.414"</f>
        <v>18:34:58.414</v>
      </c>
      <c r="T38" t="str">
        <f>"18:34:58.016"</f>
        <v>18:34:58.016</v>
      </c>
      <c r="U38" t="str">
        <f t="shared" si="1"/>
        <v>a1cdbe</v>
      </c>
      <c r="V38">
        <v>0</v>
      </c>
      <c r="W38">
        <v>0</v>
      </c>
      <c r="X38">
        <v>1</v>
      </c>
      <c r="Y38">
        <v>0</v>
      </c>
      <c r="Z38">
        <v>0</v>
      </c>
      <c r="AB38">
        <v>0</v>
      </c>
      <c r="AC38">
        <v>9</v>
      </c>
      <c r="AD38">
        <v>3</v>
      </c>
      <c r="AE38">
        <v>0</v>
      </c>
      <c r="AF38">
        <v>9</v>
      </c>
      <c r="AG38" t="s">
        <v>158</v>
      </c>
      <c r="AH38">
        <v>0</v>
      </c>
      <c r="AI38">
        <v>3</v>
      </c>
      <c r="AJ38">
        <v>1</v>
      </c>
      <c r="AK38">
        <v>0</v>
      </c>
      <c r="AL38" t="s">
        <v>189</v>
      </c>
      <c r="AM38">
        <v>47.114674999999998</v>
      </c>
      <c r="AN38" t="s">
        <v>190</v>
      </c>
      <c r="AO38">
        <v>-122.285106</v>
      </c>
      <c r="AP38">
        <v>100</v>
      </c>
      <c r="AQ38">
        <v>900</v>
      </c>
      <c r="AR38" t="s">
        <v>118</v>
      </c>
      <c r="AS38">
        <v>40</v>
      </c>
      <c r="AT38">
        <v>58</v>
      </c>
      <c r="AU38">
        <v>1408</v>
      </c>
      <c r="BC38">
        <v>1200</v>
      </c>
      <c r="BD38">
        <v>1</v>
      </c>
      <c r="BE38" t="str">
        <f t="shared" si="2"/>
        <v xml:space="preserve">N215T   </v>
      </c>
      <c r="BF38">
        <v>1</v>
      </c>
      <c r="BH38">
        <v>0</v>
      </c>
      <c r="BI38">
        <v>0</v>
      </c>
      <c r="BJ38">
        <v>0</v>
      </c>
      <c r="BK38">
        <v>1250</v>
      </c>
      <c r="BL38">
        <v>350</v>
      </c>
      <c r="BM38" t="s">
        <v>119</v>
      </c>
      <c r="BN38">
        <v>1</v>
      </c>
      <c r="BO38">
        <v>1</v>
      </c>
      <c r="BP38">
        <v>1</v>
      </c>
      <c r="BQ38">
        <v>0</v>
      </c>
      <c r="BT38">
        <v>0</v>
      </c>
      <c r="BU38">
        <v>0</v>
      </c>
      <c r="BV38">
        <v>0</v>
      </c>
      <c r="CC38" t="str">
        <f>"18:34:58.422"</f>
        <v>18:34:58.422</v>
      </c>
      <c r="CD38" t="str">
        <f>"421629632"</f>
        <v>421629632</v>
      </c>
      <c r="CQ38">
        <v>0</v>
      </c>
      <c r="CR38">
        <v>2</v>
      </c>
      <c r="CS38">
        <v>0</v>
      </c>
      <c r="CT38">
        <v>2</v>
      </c>
      <c r="CU38">
        <v>0</v>
      </c>
      <c r="CV38">
        <v>6</v>
      </c>
      <c r="CW38" t="s">
        <v>172</v>
      </c>
      <c r="CX38">
        <v>326</v>
      </c>
      <c r="CY38">
        <v>0</v>
      </c>
      <c r="CZ38" t="s">
        <v>173</v>
      </c>
      <c r="DA38" t="s">
        <v>174</v>
      </c>
      <c r="DD38">
        <v>5594422</v>
      </c>
      <c r="DE38" t="s">
        <v>123</v>
      </c>
    </row>
    <row r="39" spans="1:109" x14ac:dyDescent="0.3">
      <c r="A39" t="str">
        <f>"18:34:59.656"</f>
        <v>18:34:59.656</v>
      </c>
      <c r="B39" t="s">
        <v>110</v>
      </c>
      <c r="C39" t="str">
        <f t="shared" si="0"/>
        <v>ffdfd3c0</v>
      </c>
      <c r="D39" t="s">
        <v>111</v>
      </c>
      <c r="E39">
        <v>18</v>
      </c>
      <c r="F39">
        <v>1018</v>
      </c>
      <c r="G39" t="s">
        <v>112</v>
      </c>
      <c r="J39" t="s">
        <v>113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R39" t="s">
        <v>114</v>
      </c>
      <c r="S39" t="str">
        <f>"18:34:59.438"</f>
        <v>18:34:59.438</v>
      </c>
      <c r="T39" t="str">
        <f>"18:34:59.039"</f>
        <v>18:34:59.039</v>
      </c>
      <c r="U39" t="str">
        <f t="shared" si="1"/>
        <v>a1cdbe</v>
      </c>
      <c r="V39">
        <v>0</v>
      </c>
      <c r="W39">
        <v>0</v>
      </c>
      <c r="X39">
        <v>1</v>
      </c>
      <c r="Y39">
        <v>0</v>
      </c>
      <c r="Z39">
        <v>0</v>
      </c>
      <c r="AB39">
        <v>0</v>
      </c>
      <c r="AC39">
        <v>9</v>
      </c>
      <c r="AD39">
        <v>3</v>
      </c>
      <c r="AE39">
        <v>0</v>
      </c>
      <c r="AF39">
        <v>9</v>
      </c>
      <c r="AG39" t="s">
        <v>158</v>
      </c>
      <c r="AH39">
        <v>0</v>
      </c>
      <c r="AI39">
        <v>3</v>
      </c>
      <c r="AJ39">
        <v>1</v>
      </c>
      <c r="AK39">
        <v>0</v>
      </c>
      <c r="AL39" t="s">
        <v>191</v>
      </c>
      <c r="AM39">
        <v>47.114953999999997</v>
      </c>
      <c r="AN39" t="s">
        <v>192</v>
      </c>
      <c r="AO39">
        <v>-122.284741</v>
      </c>
      <c r="AP39">
        <v>100</v>
      </c>
      <c r="AQ39">
        <v>900</v>
      </c>
      <c r="AR39" t="s">
        <v>118</v>
      </c>
      <c r="AS39">
        <v>44</v>
      </c>
      <c r="AT39">
        <v>54</v>
      </c>
      <c r="AU39">
        <v>1216</v>
      </c>
      <c r="BC39">
        <v>1200</v>
      </c>
      <c r="BD39">
        <v>1</v>
      </c>
      <c r="BE39" t="str">
        <f t="shared" si="2"/>
        <v xml:space="preserve">N215T   </v>
      </c>
      <c r="BF39">
        <v>1</v>
      </c>
      <c r="BH39">
        <v>0</v>
      </c>
      <c r="BI39">
        <v>0</v>
      </c>
      <c r="BJ39">
        <v>0</v>
      </c>
      <c r="BK39">
        <v>1275</v>
      </c>
      <c r="BL39">
        <v>375</v>
      </c>
      <c r="BM39" t="s">
        <v>119</v>
      </c>
      <c r="BN39">
        <v>1</v>
      </c>
      <c r="BO39">
        <v>1</v>
      </c>
      <c r="BP39">
        <v>1</v>
      </c>
      <c r="BQ39">
        <v>0</v>
      </c>
      <c r="BT39">
        <v>0</v>
      </c>
      <c r="BU39">
        <v>0</v>
      </c>
      <c r="BV39">
        <v>0</v>
      </c>
      <c r="CC39" t="str">
        <f>"18:34:59.445"</f>
        <v>18:34:59.445</v>
      </c>
      <c r="CD39" t="str">
        <f>"441529139"</f>
        <v>441529139</v>
      </c>
      <c r="CQ39">
        <v>0</v>
      </c>
      <c r="CR39">
        <v>2</v>
      </c>
      <c r="CS39">
        <v>0</v>
      </c>
      <c r="CT39">
        <v>2</v>
      </c>
      <c r="CU39">
        <v>0</v>
      </c>
      <c r="CV39">
        <v>6</v>
      </c>
      <c r="CW39" t="s">
        <v>172</v>
      </c>
      <c r="CX39">
        <v>326</v>
      </c>
      <c r="CY39">
        <v>0</v>
      </c>
      <c r="CZ39" t="s">
        <v>173</v>
      </c>
      <c r="DA39" t="s">
        <v>174</v>
      </c>
      <c r="DD39">
        <v>5594926</v>
      </c>
      <c r="DE39" t="s">
        <v>123</v>
      </c>
    </row>
    <row r="40" spans="1:109" x14ac:dyDescent="0.3">
      <c r="A40" t="str">
        <f>"18:35:00.508"</f>
        <v>18:35:00.508</v>
      </c>
      <c r="B40" t="s">
        <v>110</v>
      </c>
      <c r="C40" t="str">
        <f t="shared" si="0"/>
        <v>ffdfd3c0</v>
      </c>
      <c r="D40" t="s">
        <v>111</v>
      </c>
      <c r="E40">
        <v>18</v>
      </c>
      <c r="F40">
        <v>1018</v>
      </c>
      <c r="G40" t="s">
        <v>112</v>
      </c>
      <c r="J40" t="s">
        <v>113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R40" t="s">
        <v>114</v>
      </c>
      <c r="S40" t="str">
        <f>"18:35:00.289"</f>
        <v>18:35:00.289</v>
      </c>
      <c r="T40" t="str">
        <f>"18:34:59.992"</f>
        <v>18:34:59.992</v>
      </c>
      <c r="U40" t="str">
        <f t="shared" si="1"/>
        <v>a1cdbe</v>
      </c>
      <c r="V40">
        <v>0</v>
      </c>
      <c r="W40">
        <v>0</v>
      </c>
      <c r="X40">
        <v>1</v>
      </c>
      <c r="Y40">
        <v>0</v>
      </c>
      <c r="Z40">
        <v>0</v>
      </c>
      <c r="AB40">
        <v>0</v>
      </c>
      <c r="AC40">
        <v>9</v>
      </c>
      <c r="AD40">
        <v>3</v>
      </c>
      <c r="AE40">
        <v>0</v>
      </c>
      <c r="AF40">
        <v>9</v>
      </c>
      <c r="AG40" t="s">
        <v>158</v>
      </c>
      <c r="AH40">
        <v>0</v>
      </c>
      <c r="AI40">
        <v>3</v>
      </c>
      <c r="AJ40">
        <v>1</v>
      </c>
      <c r="AK40">
        <v>0</v>
      </c>
      <c r="AL40" t="s">
        <v>193</v>
      </c>
      <c r="AM40">
        <v>47.115147</v>
      </c>
      <c r="AN40" t="s">
        <v>194</v>
      </c>
      <c r="AO40">
        <v>-122.284527</v>
      </c>
      <c r="AP40">
        <v>100</v>
      </c>
      <c r="AQ40">
        <v>900</v>
      </c>
      <c r="AR40" t="s">
        <v>118</v>
      </c>
      <c r="AS40">
        <v>47</v>
      </c>
      <c r="AT40">
        <v>50</v>
      </c>
      <c r="AU40">
        <v>1280</v>
      </c>
      <c r="BC40">
        <v>1200</v>
      </c>
      <c r="BD40">
        <v>1</v>
      </c>
      <c r="BE40" t="str">
        <f t="shared" si="2"/>
        <v xml:space="preserve">N215T   </v>
      </c>
      <c r="BF40">
        <v>1</v>
      </c>
      <c r="BH40">
        <v>0</v>
      </c>
      <c r="BI40">
        <v>0</v>
      </c>
      <c r="BJ40">
        <v>0</v>
      </c>
      <c r="BK40">
        <v>1300</v>
      </c>
      <c r="BL40">
        <v>400</v>
      </c>
      <c r="BM40" t="s">
        <v>119</v>
      </c>
      <c r="BN40">
        <v>1</v>
      </c>
      <c r="BO40">
        <v>1</v>
      </c>
      <c r="BP40">
        <v>1</v>
      </c>
      <c r="BQ40">
        <v>0</v>
      </c>
      <c r="BT40">
        <v>0</v>
      </c>
      <c r="BU40">
        <v>0</v>
      </c>
      <c r="BV40">
        <v>0</v>
      </c>
      <c r="CC40" t="str">
        <f>"18:35:00.297"</f>
        <v>18:35:00.297</v>
      </c>
      <c r="CD40" t="str">
        <f>"296444924"</f>
        <v>296444924</v>
      </c>
      <c r="CQ40">
        <v>0</v>
      </c>
      <c r="CR40">
        <v>2</v>
      </c>
      <c r="CS40">
        <v>0</v>
      </c>
      <c r="CT40">
        <v>2</v>
      </c>
      <c r="CU40">
        <v>0</v>
      </c>
      <c r="CV40">
        <v>6</v>
      </c>
      <c r="CW40" t="s">
        <v>172</v>
      </c>
      <c r="CX40">
        <v>326</v>
      </c>
      <c r="CY40">
        <v>0</v>
      </c>
      <c r="CZ40" t="s">
        <v>173</v>
      </c>
      <c r="DA40" t="s">
        <v>174</v>
      </c>
      <c r="DD40">
        <v>5595365</v>
      </c>
      <c r="DE40" t="s">
        <v>123</v>
      </c>
    </row>
    <row r="41" spans="1:109" x14ac:dyDescent="0.3">
      <c r="A41" t="str">
        <f>"18:35:01.516"</f>
        <v>18:35:01.516</v>
      </c>
      <c r="B41" t="s">
        <v>110</v>
      </c>
      <c r="C41" t="str">
        <f t="shared" si="0"/>
        <v>ffdfd3c0</v>
      </c>
      <c r="D41" t="s">
        <v>111</v>
      </c>
      <c r="E41">
        <v>18</v>
      </c>
      <c r="F41">
        <v>1018</v>
      </c>
      <c r="G41" t="s">
        <v>112</v>
      </c>
      <c r="J41" t="s">
        <v>113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R41" t="s">
        <v>114</v>
      </c>
      <c r="S41" t="str">
        <f>"18:35:01.266"</f>
        <v>18:35:01.266</v>
      </c>
      <c r="T41" t="str">
        <f>"18:35:00.867"</f>
        <v>18:35:00.867</v>
      </c>
      <c r="U41" t="str">
        <f t="shared" si="1"/>
        <v>a1cdbe</v>
      </c>
      <c r="V41">
        <v>0</v>
      </c>
      <c r="W41">
        <v>0</v>
      </c>
      <c r="X41">
        <v>1</v>
      </c>
      <c r="Y41">
        <v>0</v>
      </c>
      <c r="Z41">
        <v>0</v>
      </c>
      <c r="AB41">
        <v>0</v>
      </c>
      <c r="AC41">
        <v>9</v>
      </c>
      <c r="AD41">
        <v>3</v>
      </c>
      <c r="AE41">
        <v>0</v>
      </c>
      <c r="AF41">
        <v>9</v>
      </c>
      <c r="AG41" t="s">
        <v>158</v>
      </c>
      <c r="AH41">
        <v>0</v>
      </c>
      <c r="AI41">
        <v>3</v>
      </c>
      <c r="AJ41">
        <v>1</v>
      </c>
      <c r="AK41">
        <v>0</v>
      </c>
      <c r="AL41" t="s">
        <v>195</v>
      </c>
      <c r="AM41">
        <v>47.115319</v>
      </c>
      <c r="AN41" t="s">
        <v>196</v>
      </c>
      <c r="AO41">
        <v>-122.28414100000001</v>
      </c>
      <c r="AP41">
        <v>100</v>
      </c>
      <c r="AQ41">
        <v>900</v>
      </c>
      <c r="AR41" t="s">
        <v>118</v>
      </c>
      <c r="AS41">
        <v>51</v>
      </c>
      <c r="AT41">
        <v>44</v>
      </c>
      <c r="AU41">
        <v>1280</v>
      </c>
      <c r="BC41">
        <v>1200</v>
      </c>
      <c r="BD41">
        <v>1</v>
      </c>
      <c r="BE41" t="str">
        <f t="shared" si="2"/>
        <v xml:space="preserve">N215T   </v>
      </c>
      <c r="BF41">
        <v>1</v>
      </c>
      <c r="BH41">
        <v>0</v>
      </c>
      <c r="BI41">
        <v>0</v>
      </c>
      <c r="BJ41">
        <v>0</v>
      </c>
      <c r="BK41">
        <v>1325</v>
      </c>
      <c r="BL41">
        <v>425</v>
      </c>
      <c r="BM41" t="s">
        <v>119</v>
      </c>
      <c r="BN41">
        <v>1</v>
      </c>
      <c r="BO41">
        <v>1</v>
      </c>
      <c r="BP41">
        <v>1</v>
      </c>
      <c r="BQ41">
        <v>0</v>
      </c>
      <c r="BT41">
        <v>0</v>
      </c>
      <c r="BU41">
        <v>0</v>
      </c>
      <c r="BV41">
        <v>0</v>
      </c>
      <c r="CC41" t="str">
        <f>"18:35:01.273"</f>
        <v>18:35:01.273</v>
      </c>
      <c r="CD41" t="str">
        <f>"271517633"</f>
        <v>271517633</v>
      </c>
      <c r="CQ41">
        <v>0</v>
      </c>
      <c r="CR41">
        <v>2</v>
      </c>
      <c r="CS41">
        <v>0</v>
      </c>
      <c r="CT41">
        <v>2</v>
      </c>
      <c r="CU41">
        <v>0</v>
      </c>
      <c r="CV41">
        <v>5</v>
      </c>
      <c r="CW41" t="s">
        <v>120</v>
      </c>
      <c r="CX41">
        <v>259</v>
      </c>
      <c r="CY41">
        <v>1</v>
      </c>
      <c r="CZ41" t="s">
        <v>197</v>
      </c>
      <c r="DA41" t="s">
        <v>198</v>
      </c>
      <c r="DD41">
        <v>14646538</v>
      </c>
      <c r="DE41" t="s">
        <v>123</v>
      </c>
    </row>
    <row r="42" spans="1:109" x14ac:dyDescent="0.3">
      <c r="A42" t="str">
        <f>"18:35:02.672"</f>
        <v>18:35:02.672</v>
      </c>
      <c r="B42" t="s">
        <v>110</v>
      </c>
      <c r="C42" t="str">
        <f t="shared" si="0"/>
        <v>ffdfd3c0</v>
      </c>
      <c r="D42" t="s">
        <v>111</v>
      </c>
      <c r="E42">
        <v>18</v>
      </c>
      <c r="F42">
        <v>1018</v>
      </c>
      <c r="G42" t="s">
        <v>112</v>
      </c>
      <c r="J42" t="s">
        <v>113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R42" t="s">
        <v>114</v>
      </c>
      <c r="S42" t="str">
        <f>"18:35:02.438"</f>
        <v>18:35:02.438</v>
      </c>
      <c r="T42" t="str">
        <f>"18:35:02.438"</f>
        <v>18:35:02.438</v>
      </c>
      <c r="U42" t="str">
        <f t="shared" si="1"/>
        <v>a1cdbe</v>
      </c>
      <c r="V42">
        <v>0</v>
      </c>
      <c r="W42">
        <v>0</v>
      </c>
      <c r="X42">
        <v>1</v>
      </c>
      <c r="Y42">
        <v>0</v>
      </c>
      <c r="Z42">
        <v>0</v>
      </c>
      <c r="AB42">
        <v>0</v>
      </c>
      <c r="AC42">
        <v>9</v>
      </c>
      <c r="AD42">
        <v>3</v>
      </c>
      <c r="AE42">
        <v>0</v>
      </c>
      <c r="AF42">
        <v>9</v>
      </c>
      <c r="AG42" t="s">
        <v>158</v>
      </c>
      <c r="AH42">
        <v>0</v>
      </c>
      <c r="AI42">
        <v>3</v>
      </c>
      <c r="AJ42">
        <v>1</v>
      </c>
      <c r="AK42">
        <v>0</v>
      </c>
      <c r="AL42" t="s">
        <v>199</v>
      </c>
      <c r="AM42">
        <v>47.115555000000001</v>
      </c>
      <c r="AN42" t="s">
        <v>200</v>
      </c>
      <c r="AO42">
        <v>-122.283669</v>
      </c>
      <c r="AP42">
        <v>100</v>
      </c>
      <c r="AQ42">
        <v>1000</v>
      </c>
      <c r="AR42" t="s">
        <v>118</v>
      </c>
      <c r="AS42">
        <v>56</v>
      </c>
      <c r="AT42">
        <v>36</v>
      </c>
      <c r="AU42">
        <v>1216</v>
      </c>
      <c r="BC42">
        <v>1200</v>
      </c>
      <c r="BD42">
        <v>1</v>
      </c>
      <c r="BE42" t="str">
        <f t="shared" si="2"/>
        <v xml:space="preserve">N215T   </v>
      </c>
      <c r="BF42">
        <v>1</v>
      </c>
      <c r="BH42">
        <v>0</v>
      </c>
      <c r="BI42">
        <v>0</v>
      </c>
      <c r="BJ42">
        <v>0</v>
      </c>
      <c r="BK42">
        <v>1350</v>
      </c>
      <c r="BL42">
        <v>350</v>
      </c>
      <c r="BM42" t="s">
        <v>119</v>
      </c>
      <c r="BN42">
        <v>1</v>
      </c>
      <c r="BO42">
        <v>1</v>
      </c>
      <c r="BP42">
        <v>1</v>
      </c>
      <c r="BQ42">
        <v>0</v>
      </c>
      <c r="BT42">
        <v>0</v>
      </c>
      <c r="BU42">
        <v>0</v>
      </c>
      <c r="BV42">
        <v>0</v>
      </c>
      <c r="CC42" t="str">
        <f>"18:35:02.438"</f>
        <v>18:35:02.438</v>
      </c>
      <c r="CD42" t="str">
        <f>"441233656"</f>
        <v>441233656</v>
      </c>
      <c r="CQ42">
        <v>0</v>
      </c>
      <c r="CR42">
        <v>2</v>
      </c>
      <c r="CS42">
        <v>0</v>
      </c>
      <c r="CT42">
        <v>2</v>
      </c>
      <c r="CU42">
        <v>0</v>
      </c>
      <c r="CV42">
        <v>6</v>
      </c>
      <c r="CW42" t="s">
        <v>172</v>
      </c>
      <c r="CX42">
        <v>326</v>
      </c>
      <c r="CY42">
        <v>0</v>
      </c>
      <c r="CZ42" t="s">
        <v>173</v>
      </c>
      <c r="DA42" t="s">
        <v>174</v>
      </c>
      <c r="DD42">
        <v>5596505</v>
      </c>
      <c r="DE42" t="s">
        <v>123</v>
      </c>
    </row>
    <row r="43" spans="1:109" x14ac:dyDescent="0.3">
      <c r="A43" t="str">
        <f>"18:35:03.680"</f>
        <v>18:35:03.680</v>
      </c>
      <c r="B43" t="s">
        <v>110</v>
      </c>
      <c r="C43" t="str">
        <f t="shared" si="0"/>
        <v>ffdfd3c0</v>
      </c>
      <c r="D43" t="s">
        <v>111</v>
      </c>
      <c r="E43">
        <v>18</v>
      </c>
      <c r="F43">
        <v>1018</v>
      </c>
      <c r="G43" t="s">
        <v>112</v>
      </c>
      <c r="J43" t="s">
        <v>113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R43" t="s">
        <v>114</v>
      </c>
      <c r="S43" t="str">
        <f>"18:35:03.414"</f>
        <v>18:35:03.414</v>
      </c>
      <c r="T43" t="str">
        <f>"18:35:03.016"</f>
        <v>18:35:03.016</v>
      </c>
      <c r="U43" t="str">
        <f t="shared" si="1"/>
        <v>a1cdbe</v>
      </c>
      <c r="V43">
        <v>0</v>
      </c>
      <c r="W43">
        <v>0</v>
      </c>
      <c r="X43">
        <v>1</v>
      </c>
      <c r="Y43">
        <v>0</v>
      </c>
      <c r="Z43">
        <v>0</v>
      </c>
      <c r="AB43">
        <v>0</v>
      </c>
      <c r="AC43">
        <v>9</v>
      </c>
      <c r="AD43">
        <v>3</v>
      </c>
      <c r="AE43">
        <v>0</v>
      </c>
      <c r="AF43">
        <v>9</v>
      </c>
      <c r="AG43" t="s">
        <v>158</v>
      </c>
      <c r="AH43">
        <v>0</v>
      </c>
      <c r="AI43">
        <v>3</v>
      </c>
      <c r="AJ43">
        <v>1</v>
      </c>
      <c r="AK43">
        <v>0</v>
      </c>
      <c r="AL43" t="s">
        <v>201</v>
      </c>
      <c r="AM43">
        <v>47.115662</v>
      </c>
      <c r="AN43" t="s">
        <v>202</v>
      </c>
      <c r="AO43">
        <v>-122.283325</v>
      </c>
      <c r="AP43">
        <v>100</v>
      </c>
      <c r="AQ43">
        <v>1000</v>
      </c>
      <c r="AR43" t="s">
        <v>118</v>
      </c>
      <c r="AS43">
        <v>57</v>
      </c>
      <c r="AT43">
        <v>33</v>
      </c>
      <c r="AU43">
        <v>1216</v>
      </c>
      <c r="BC43">
        <v>1200</v>
      </c>
      <c r="BD43">
        <v>1</v>
      </c>
      <c r="BE43" t="str">
        <f t="shared" si="2"/>
        <v xml:space="preserve">N215T   </v>
      </c>
      <c r="BF43">
        <v>1</v>
      </c>
      <c r="BH43">
        <v>0</v>
      </c>
      <c r="BI43">
        <v>0</v>
      </c>
      <c r="BJ43">
        <v>0</v>
      </c>
      <c r="BK43">
        <v>1375</v>
      </c>
      <c r="BL43">
        <v>375</v>
      </c>
      <c r="BM43" t="s">
        <v>119</v>
      </c>
      <c r="BN43">
        <v>1</v>
      </c>
      <c r="BO43">
        <v>1</v>
      </c>
      <c r="BP43">
        <v>1</v>
      </c>
      <c r="BQ43">
        <v>0</v>
      </c>
      <c r="BT43">
        <v>0</v>
      </c>
      <c r="BU43">
        <v>0</v>
      </c>
      <c r="BV43">
        <v>0</v>
      </c>
      <c r="CC43" t="str">
        <f>"18:35:03.414"</f>
        <v>18:35:03.414</v>
      </c>
      <c r="CD43" t="str">
        <f>"416376618"</f>
        <v>416376618</v>
      </c>
      <c r="CQ43">
        <v>0</v>
      </c>
      <c r="CR43">
        <v>2</v>
      </c>
      <c r="CS43">
        <v>0</v>
      </c>
      <c r="CT43">
        <v>2</v>
      </c>
      <c r="CU43">
        <v>0</v>
      </c>
      <c r="CV43">
        <v>6</v>
      </c>
      <c r="CW43" t="s">
        <v>120</v>
      </c>
      <c r="CX43">
        <v>259</v>
      </c>
      <c r="CY43">
        <v>1</v>
      </c>
      <c r="CZ43" t="s">
        <v>197</v>
      </c>
      <c r="DA43" t="s">
        <v>198</v>
      </c>
      <c r="DD43">
        <v>14647935</v>
      </c>
      <c r="DE43" t="s">
        <v>123</v>
      </c>
    </row>
    <row r="44" spans="1:109" x14ac:dyDescent="0.3">
      <c r="A44" t="str">
        <f>"18:35:04.680"</f>
        <v>18:35:04.680</v>
      </c>
      <c r="B44" t="s">
        <v>110</v>
      </c>
      <c r="C44" t="str">
        <f t="shared" si="0"/>
        <v>ffdfd3c0</v>
      </c>
      <c r="D44" t="s">
        <v>111</v>
      </c>
      <c r="E44">
        <v>18</v>
      </c>
      <c r="F44">
        <v>1018</v>
      </c>
      <c r="G44" t="s">
        <v>112</v>
      </c>
      <c r="J44" t="s">
        <v>113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R44" t="s">
        <v>114</v>
      </c>
      <c r="S44" t="str">
        <f>"18:35:04.445"</f>
        <v>18:35:04.445</v>
      </c>
      <c r="T44" t="str">
        <f>"18:35:04.047"</f>
        <v>18:35:04.047</v>
      </c>
      <c r="U44" t="str">
        <f t="shared" si="1"/>
        <v>a1cdbe</v>
      </c>
      <c r="V44">
        <v>0</v>
      </c>
      <c r="W44">
        <v>0</v>
      </c>
      <c r="X44">
        <v>1</v>
      </c>
      <c r="Y44">
        <v>0</v>
      </c>
      <c r="Z44">
        <v>0</v>
      </c>
      <c r="AB44">
        <v>0</v>
      </c>
      <c r="AC44">
        <v>9</v>
      </c>
      <c r="AD44">
        <v>3</v>
      </c>
      <c r="AE44">
        <v>0</v>
      </c>
      <c r="AF44">
        <v>9</v>
      </c>
      <c r="AG44" t="s">
        <v>158</v>
      </c>
      <c r="AH44">
        <v>0</v>
      </c>
      <c r="AI44">
        <v>3</v>
      </c>
      <c r="AJ44">
        <v>1</v>
      </c>
      <c r="AK44">
        <v>0</v>
      </c>
      <c r="AL44" t="s">
        <v>203</v>
      </c>
      <c r="AM44">
        <v>47.115834</v>
      </c>
      <c r="AN44" t="s">
        <v>204</v>
      </c>
      <c r="AO44">
        <v>-122.282917</v>
      </c>
      <c r="AP44">
        <v>100</v>
      </c>
      <c r="AQ44">
        <v>1000</v>
      </c>
      <c r="AR44" t="s">
        <v>118</v>
      </c>
      <c r="AS44">
        <v>59</v>
      </c>
      <c r="AT44">
        <v>29</v>
      </c>
      <c r="AU44">
        <v>1216</v>
      </c>
      <c r="BC44">
        <v>1200</v>
      </c>
      <c r="BD44">
        <v>1</v>
      </c>
      <c r="BE44" t="str">
        <f t="shared" si="2"/>
        <v xml:space="preserve">N215T   </v>
      </c>
      <c r="BF44">
        <v>1</v>
      </c>
      <c r="BH44">
        <v>0</v>
      </c>
      <c r="BI44">
        <v>0</v>
      </c>
      <c r="BJ44">
        <v>0</v>
      </c>
      <c r="BK44">
        <v>1400</v>
      </c>
      <c r="BL44">
        <v>400</v>
      </c>
      <c r="BM44" t="s">
        <v>119</v>
      </c>
      <c r="BN44">
        <v>1</v>
      </c>
      <c r="BO44">
        <v>1</v>
      </c>
      <c r="BP44">
        <v>1</v>
      </c>
      <c r="BQ44">
        <v>0</v>
      </c>
      <c r="BT44">
        <v>0</v>
      </c>
      <c r="BU44">
        <v>0</v>
      </c>
      <c r="BV44">
        <v>0</v>
      </c>
      <c r="CC44" t="str">
        <f>"18:35:04.453"</f>
        <v>18:35:04.453</v>
      </c>
      <c r="CD44" t="str">
        <f>"451274709"</f>
        <v>451274709</v>
      </c>
      <c r="CQ44">
        <v>0</v>
      </c>
      <c r="CR44">
        <v>2</v>
      </c>
      <c r="CS44">
        <v>0</v>
      </c>
      <c r="CT44">
        <v>2</v>
      </c>
      <c r="CU44">
        <v>0</v>
      </c>
      <c r="CV44">
        <v>5</v>
      </c>
      <c r="CW44" t="s">
        <v>120</v>
      </c>
      <c r="CX44">
        <v>259</v>
      </c>
      <c r="CY44">
        <v>2</v>
      </c>
      <c r="CZ44" t="s">
        <v>197</v>
      </c>
      <c r="DA44" t="s">
        <v>198</v>
      </c>
      <c r="DD44">
        <v>11240044</v>
      </c>
      <c r="DE44" t="s">
        <v>123</v>
      </c>
    </row>
    <row r="45" spans="1:109" x14ac:dyDescent="0.3">
      <c r="A45" t="str">
        <f>"18:35:05.688"</f>
        <v>18:35:05.688</v>
      </c>
      <c r="B45" t="s">
        <v>110</v>
      </c>
      <c r="C45" t="str">
        <f t="shared" si="0"/>
        <v>ffdfd3c0</v>
      </c>
      <c r="D45" t="s">
        <v>111</v>
      </c>
      <c r="E45">
        <v>18</v>
      </c>
      <c r="F45">
        <v>1018</v>
      </c>
      <c r="G45" t="s">
        <v>112</v>
      </c>
      <c r="J45" t="s">
        <v>113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R45" t="s">
        <v>114</v>
      </c>
      <c r="S45" t="str">
        <f>"18:35:05.453"</f>
        <v>18:35:05.453</v>
      </c>
      <c r="T45" t="str">
        <f>"18:35:05.055"</f>
        <v>18:35:05.055</v>
      </c>
      <c r="U45" t="str">
        <f t="shared" si="1"/>
        <v>a1cdbe</v>
      </c>
      <c r="V45">
        <v>0</v>
      </c>
      <c r="W45">
        <v>0</v>
      </c>
      <c r="X45">
        <v>1</v>
      </c>
      <c r="Y45">
        <v>0</v>
      </c>
      <c r="Z45">
        <v>0</v>
      </c>
      <c r="AB45">
        <v>0</v>
      </c>
      <c r="AC45">
        <v>9</v>
      </c>
      <c r="AD45">
        <v>3</v>
      </c>
      <c r="AE45">
        <v>0</v>
      </c>
      <c r="AF45">
        <v>9</v>
      </c>
      <c r="AG45" t="s">
        <v>158</v>
      </c>
      <c r="AH45">
        <v>0</v>
      </c>
      <c r="AI45">
        <v>3</v>
      </c>
      <c r="AJ45">
        <v>1</v>
      </c>
      <c r="AK45">
        <v>0</v>
      </c>
      <c r="AL45" t="s">
        <v>205</v>
      </c>
      <c r="AM45">
        <v>47.115940999999999</v>
      </c>
      <c r="AN45" t="s">
        <v>206</v>
      </c>
      <c r="AO45">
        <v>-122.282488</v>
      </c>
      <c r="AP45">
        <v>100</v>
      </c>
      <c r="AQ45">
        <v>1000</v>
      </c>
      <c r="AR45" t="s">
        <v>118</v>
      </c>
      <c r="AS45">
        <v>60</v>
      </c>
      <c r="AT45">
        <v>26</v>
      </c>
      <c r="AU45">
        <v>1280</v>
      </c>
      <c r="BC45">
        <v>1200</v>
      </c>
      <c r="BD45">
        <v>1</v>
      </c>
      <c r="BE45" t="str">
        <f t="shared" si="2"/>
        <v xml:space="preserve">N215T   </v>
      </c>
      <c r="BF45">
        <v>1</v>
      </c>
      <c r="BH45">
        <v>0</v>
      </c>
      <c r="BI45">
        <v>0</v>
      </c>
      <c r="BJ45">
        <v>0</v>
      </c>
      <c r="BK45">
        <v>1400</v>
      </c>
      <c r="BL45">
        <v>400</v>
      </c>
      <c r="BM45" t="s">
        <v>119</v>
      </c>
      <c r="BN45">
        <v>1</v>
      </c>
      <c r="BO45">
        <v>1</v>
      </c>
      <c r="BP45">
        <v>1</v>
      </c>
      <c r="BQ45">
        <v>0</v>
      </c>
      <c r="BT45">
        <v>0</v>
      </c>
      <c r="BU45">
        <v>0</v>
      </c>
      <c r="BV45">
        <v>0</v>
      </c>
      <c r="CC45" t="str">
        <f>"18:35:05.453"</f>
        <v>18:35:05.453</v>
      </c>
      <c r="CD45" t="str">
        <f>"456175733"</f>
        <v>456175733</v>
      </c>
      <c r="CQ45">
        <v>0</v>
      </c>
      <c r="CR45">
        <v>2</v>
      </c>
      <c r="CS45">
        <v>0</v>
      </c>
      <c r="CT45">
        <v>2</v>
      </c>
      <c r="CU45">
        <v>0</v>
      </c>
      <c r="CV45">
        <v>6</v>
      </c>
      <c r="CW45" t="s">
        <v>120</v>
      </c>
      <c r="CX45">
        <v>259</v>
      </c>
      <c r="CY45">
        <v>1</v>
      </c>
      <c r="CZ45" t="s">
        <v>197</v>
      </c>
      <c r="DA45" t="s">
        <v>198</v>
      </c>
      <c r="DD45">
        <v>14649323</v>
      </c>
      <c r="DE45" t="s">
        <v>123</v>
      </c>
    </row>
    <row r="46" spans="1:109" x14ac:dyDescent="0.3">
      <c r="A46" t="str">
        <f>"18:35:06.695"</f>
        <v>18:35:06.695</v>
      </c>
      <c r="B46" t="s">
        <v>110</v>
      </c>
      <c r="C46" t="str">
        <f t="shared" si="0"/>
        <v>ffdfd3c0</v>
      </c>
      <c r="D46" t="s">
        <v>111</v>
      </c>
      <c r="E46">
        <v>18</v>
      </c>
      <c r="F46">
        <v>1018</v>
      </c>
      <c r="G46" t="s">
        <v>112</v>
      </c>
      <c r="J46" t="s">
        <v>113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R46" t="s">
        <v>114</v>
      </c>
      <c r="S46" t="str">
        <f>"18:35:06.469"</f>
        <v>18:35:06.469</v>
      </c>
      <c r="T46" t="str">
        <f>"18:35:05.969"</f>
        <v>18:35:05.969</v>
      </c>
      <c r="U46" t="str">
        <f t="shared" si="1"/>
        <v>a1cdbe</v>
      </c>
      <c r="V46">
        <v>0</v>
      </c>
      <c r="W46">
        <v>0</v>
      </c>
      <c r="X46">
        <v>1</v>
      </c>
      <c r="Y46">
        <v>0</v>
      </c>
      <c r="Z46">
        <v>0</v>
      </c>
      <c r="AB46">
        <v>0</v>
      </c>
      <c r="AC46">
        <v>9</v>
      </c>
      <c r="AD46">
        <v>3</v>
      </c>
      <c r="AE46">
        <v>0</v>
      </c>
      <c r="AF46">
        <v>9</v>
      </c>
      <c r="AG46" t="s">
        <v>158</v>
      </c>
      <c r="AH46">
        <v>0</v>
      </c>
      <c r="AI46">
        <v>3</v>
      </c>
      <c r="AJ46">
        <v>1</v>
      </c>
      <c r="AK46">
        <v>0</v>
      </c>
      <c r="AL46" t="s">
        <v>207</v>
      </c>
      <c r="AM46">
        <v>47.116047999999999</v>
      </c>
      <c r="AN46" t="s">
        <v>208</v>
      </c>
      <c r="AO46">
        <v>-122.28208100000001</v>
      </c>
      <c r="AP46">
        <v>100</v>
      </c>
      <c r="AQ46">
        <v>1000</v>
      </c>
      <c r="AR46" t="s">
        <v>118</v>
      </c>
      <c r="AS46">
        <v>61</v>
      </c>
      <c r="AT46">
        <v>23</v>
      </c>
      <c r="AU46">
        <v>1280</v>
      </c>
      <c r="BC46">
        <v>1200</v>
      </c>
      <c r="BD46">
        <v>1</v>
      </c>
      <c r="BE46" t="str">
        <f t="shared" si="2"/>
        <v xml:space="preserve">N215T   </v>
      </c>
      <c r="BF46">
        <v>1</v>
      </c>
      <c r="BH46">
        <v>0</v>
      </c>
      <c r="BI46">
        <v>0</v>
      </c>
      <c r="BJ46">
        <v>0</v>
      </c>
      <c r="BK46">
        <v>1425</v>
      </c>
      <c r="BL46">
        <v>425</v>
      </c>
      <c r="BM46" t="s">
        <v>119</v>
      </c>
      <c r="BN46">
        <v>1</v>
      </c>
      <c r="BO46">
        <v>1</v>
      </c>
      <c r="BP46">
        <v>1</v>
      </c>
      <c r="BQ46">
        <v>0</v>
      </c>
      <c r="BT46">
        <v>0</v>
      </c>
      <c r="BU46">
        <v>0</v>
      </c>
      <c r="BV46">
        <v>0</v>
      </c>
      <c r="CC46" t="str">
        <f>"18:35:06.477"</f>
        <v>18:35:06.477</v>
      </c>
      <c r="CD46" t="str">
        <f>"476075293"</f>
        <v>476075293</v>
      </c>
      <c r="CQ46">
        <v>0</v>
      </c>
      <c r="CR46">
        <v>2</v>
      </c>
      <c r="CS46">
        <v>0</v>
      </c>
      <c r="CT46">
        <v>2</v>
      </c>
      <c r="CU46">
        <v>0</v>
      </c>
      <c r="CV46">
        <v>6</v>
      </c>
      <c r="CW46" t="s">
        <v>120</v>
      </c>
      <c r="CX46">
        <v>259</v>
      </c>
      <c r="CY46">
        <v>1</v>
      </c>
      <c r="CZ46" t="s">
        <v>197</v>
      </c>
      <c r="DA46" t="s">
        <v>198</v>
      </c>
      <c r="DD46">
        <v>14649970</v>
      </c>
      <c r="DE46" t="s">
        <v>123</v>
      </c>
    </row>
    <row r="47" spans="1:109" x14ac:dyDescent="0.3">
      <c r="A47" t="str">
        <f>"18:35:07.602"</f>
        <v>18:35:07.602</v>
      </c>
      <c r="B47" t="s">
        <v>110</v>
      </c>
      <c r="C47" t="str">
        <f t="shared" si="0"/>
        <v>ffdfd3c0</v>
      </c>
      <c r="D47" t="s">
        <v>111</v>
      </c>
      <c r="E47">
        <v>18</v>
      </c>
      <c r="F47">
        <v>1018</v>
      </c>
      <c r="G47" t="s">
        <v>112</v>
      </c>
      <c r="J47" t="s">
        <v>113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R47" t="s">
        <v>114</v>
      </c>
      <c r="S47" t="str">
        <f>"18:35:07.359"</f>
        <v>18:35:07.359</v>
      </c>
      <c r="T47" t="str">
        <f>"18:35:06.961"</f>
        <v>18:35:06.961</v>
      </c>
      <c r="U47" t="str">
        <f t="shared" si="1"/>
        <v>a1cdbe</v>
      </c>
      <c r="V47">
        <v>0</v>
      </c>
      <c r="W47">
        <v>0</v>
      </c>
      <c r="X47">
        <v>1</v>
      </c>
      <c r="Y47">
        <v>0</v>
      </c>
      <c r="Z47">
        <v>0</v>
      </c>
      <c r="AB47">
        <v>0</v>
      </c>
      <c r="AC47">
        <v>9</v>
      </c>
      <c r="AD47">
        <v>3</v>
      </c>
      <c r="AE47">
        <v>0</v>
      </c>
      <c r="AF47">
        <v>9</v>
      </c>
      <c r="AG47" t="s">
        <v>158</v>
      </c>
      <c r="AH47">
        <v>0</v>
      </c>
      <c r="AI47">
        <v>3</v>
      </c>
      <c r="AJ47">
        <v>1</v>
      </c>
      <c r="AK47">
        <v>0</v>
      </c>
      <c r="AL47" t="s">
        <v>209</v>
      </c>
      <c r="AM47">
        <v>47.116134000000002</v>
      </c>
      <c r="AN47" t="s">
        <v>210</v>
      </c>
      <c r="AO47">
        <v>-122.281716</v>
      </c>
      <c r="AP47">
        <v>100</v>
      </c>
      <c r="AQ47">
        <v>1100</v>
      </c>
      <c r="AR47" t="s">
        <v>118</v>
      </c>
      <c r="AS47">
        <v>61</v>
      </c>
      <c r="AT47">
        <v>21</v>
      </c>
      <c r="AU47">
        <v>1152</v>
      </c>
      <c r="BC47">
        <v>1200</v>
      </c>
      <c r="BD47">
        <v>1</v>
      </c>
      <c r="BE47" t="str">
        <f t="shared" si="2"/>
        <v xml:space="preserve">N215T   </v>
      </c>
      <c r="BF47">
        <v>1</v>
      </c>
      <c r="BH47">
        <v>0</v>
      </c>
      <c r="BI47">
        <v>0</v>
      </c>
      <c r="BJ47">
        <v>0</v>
      </c>
      <c r="BK47">
        <v>1450</v>
      </c>
      <c r="BL47">
        <v>350</v>
      </c>
      <c r="BM47" t="s">
        <v>119</v>
      </c>
      <c r="BN47">
        <v>1</v>
      </c>
      <c r="BO47">
        <v>1</v>
      </c>
      <c r="BP47">
        <v>1</v>
      </c>
      <c r="BQ47">
        <v>0</v>
      </c>
      <c r="BT47">
        <v>0</v>
      </c>
      <c r="BU47">
        <v>0</v>
      </c>
      <c r="BV47">
        <v>0</v>
      </c>
      <c r="CC47" t="str">
        <f>"18:35:07.359"</f>
        <v>18:35:07.359</v>
      </c>
      <c r="CD47" t="str">
        <f>"360988146"</f>
        <v>360988146</v>
      </c>
      <c r="CQ47">
        <v>0</v>
      </c>
      <c r="CR47">
        <v>2</v>
      </c>
      <c r="CS47">
        <v>0</v>
      </c>
      <c r="CT47">
        <v>2</v>
      </c>
      <c r="CU47">
        <v>0</v>
      </c>
      <c r="CV47">
        <v>5</v>
      </c>
      <c r="CW47" t="s">
        <v>120</v>
      </c>
      <c r="CX47">
        <v>259</v>
      </c>
      <c r="CY47">
        <v>1</v>
      </c>
      <c r="CZ47" t="s">
        <v>197</v>
      </c>
      <c r="DA47" t="s">
        <v>198</v>
      </c>
      <c r="DD47">
        <v>14650587</v>
      </c>
      <c r="DE47" t="s">
        <v>123</v>
      </c>
    </row>
    <row r="48" spans="1:109" x14ac:dyDescent="0.3">
      <c r="A48" t="str">
        <f>"18:35:08.555"</f>
        <v>18:35:08.555</v>
      </c>
      <c r="B48" t="s">
        <v>110</v>
      </c>
      <c r="C48" t="str">
        <f t="shared" si="0"/>
        <v>ffdfd3c0</v>
      </c>
      <c r="D48" t="s">
        <v>111</v>
      </c>
      <c r="E48">
        <v>18</v>
      </c>
      <c r="F48">
        <v>1018</v>
      </c>
      <c r="G48" t="s">
        <v>112</v>
      </c>
      <c r="J48" t="s">
        <v>113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R48" t="s">
        <v>114</v>
      </c>
      <c r="S48" t="str">
        <f>"18:35:08.344"</f>
        <v>18:35:08.344</v>
      </c>
      <c r="T48" t="str">
        <f>"18:35:08.047"</f>
        <v>18:35:08.047</v>
      </c>
      <c r="U48" t="str">
        <f t="shared" si="1"/>
        <v>a1cdbe</v>
      </c>
      <c r="V48">
        <v>0</v>
      </c>
      <c r="W48">
        <v>0</v>
      </c>
      <c r="X48">
        <v>1</v>
      </c>
      <c r="Y48">
        <v>0</v>
      </c>
      <c r="Z48">
        <v>0</v>
      </c>
      <c r="AB48">
        <v>0</v>
      </c>
      <c r="AC48">
        <v>9</v>
      </c>
      <c r="AD48">
        <v>3</v>
      </c>
      <c r="AE48">
        <v>0</v>
      </c>
      <c r="AF48">
        <v>9</v>
      </c>
      <c r="AG48" t="s">
        <v>158</v>
      </c>
      <c r="AH48">
        <v>0</v>
      </c>
      <c r="AI48">
        <v>3</v>
      </c>
      <c r="AJ48">
        <v>1</v>
      </c>
      <c r="AK48">
        <v>0</v>
      </c>
      <c r="AL48" t="s">
        <v>211</v>
      </c>
      <c r="AM48">
        <v>47.116199000000002</v>
      </c>
      <c r="AN48" t="s">
        <v>212</v>
      </c>
      <c r="AO48">
        <v>-122.281265</v>
      </c>
      <c r="AP48">
        <v>100</v>
      </c>
      <c r="AQ48">
        <v>1100</v>
      </c>
      <c r="AR48" t="s">
        <v>118</v>
      </c>
      <c r="AS48">
        <v>61</v>
      </c>
      <c r="AT48">
        <v>19</v>
      </c>
      <c r="AU48">
        <v>1088</v>
      </c>
      <c r="BC48">
        <v>1200</v>
      </c>
      <c r="BD48">
        <v>1</v>
      </c>
      <c r="BE48" t="str">
        <f t="shared" si="2"/>
        <v xml:space="preserve">N215T   </v>
      </c>
      <c r="BF48">
        <v>1</v>
      </c>
      <c r="BH48">
        <v>0</v>
      </c>
      <c r="BI48">
        <v>0</v>
      </c>
      <c r="BJ48">
        <v>0</v>
      </c>
      <c r="BK48">
        <v>1475</v>
      </c>
      <c r="BL48">
        <v>375</v>
      </c>
      <c r="BM48" t="s">
        <v>119</v>
      </c>
      <c r="BN48">
        <v>1</v>
      </c>
      <c r="BO48">
        <v>1</v>
      </c>
      <c r="BP48">
        <v>1</v>
      </c>
      <c r="BQ48">
        <v>0</v>
      </c>
      <c r="BT48">
        <v>0</v>
      </c>
      <c r="BU48">
        <v>0</v>
      </c>
      <c r="BV48">
        <v>0</v>
      </c>
      <c r="CC48" t="str">
        <f>"18:35:08.352"</f>
        <v>18:35:08.352</v>
      </c>
      <c r="CD48" t="str">
        <f>"350890658"</f>
        <v>350890658</v>
      </c>
      <c r="CQ48">
        <v>0</v>
      </c>
      <c r="CR48">
        <v>2</v>
      </c>
      <c r="CS48">
        <v>0</v>
      </c>
      <c r="CT48">
        <v>2</v>
      </c>
      <c r="CU48">
        <v>0</v>
      </c>
      <c r="CV48">
        <v>5</v>
      </c>
      <c r="CW48" t="s">
        <v>120</v>
      </c>
      <c r="CX48">
        <v>259</v>
      </c>
      <c r="CY48">
        <v>1</v>
      </c>
      <c r="CZ48" t="s">
        <v>197</v>
      </c>
      <c r="DA48" t="s">
        <v>198</v>
      </c>
      <c r="DD48">
        <v>14651196</v>
      </c>
      <c r="DE48" t="s">
        <v>123</v>
      </c>
    </row>
    <row r="49" spans="1:109" x14ac:dyDescent="0.3">
      <c r="A49" t="str">
        <f>"18:35:09.758"</f>
        <v>18:35:09.758</v>
      </c>
      <c r="B49" t="s">
        <v>110</v>
      </c>
      <c r="C49" t="str">
        <f t="shared" si="0"/>
        <v>ffdfd3c0</v>
      </c>
      <c r="D49" t="s">
        <v>111</v>
      </c>
      <c r="E49">
        <v>18</v>
      </c>
      <c r="F49">
        <v>1018</v>
      </c>
      <c r="G49" t="s">
        <v>112</v>
      </c>
      <c r="J49" t="s">
        <v>113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R49" t="s">
        <v>114</v>
      </c>
      <c r="S49" t="str">
        <f>"18:35:09.500"</f>
        <v>18:35:09.500</v>
      </c>
      <c r="T49" t="str">
        <f>"18:35:09.000"</f>
        <v>18:35:09.000</v>
      </c>
      <c r="U49" t="str">
        <f t="shared" si="1"/>
        <v>a1cdbe</v>
      </c>
      <c r="V49">
        <v>0</v>
      </c>
      <c r="W49">
        <v>0</v>
      </c>
      <c r="X49">
        <v>1</v>
      </c>
      <c r="Y49">
        <v>0</v>
      </c>
      <c r="Z49">
        <v>0</v>
      </c>
      <c r="AB49">
        <v>0</v>
      </c>
      <c r="AC49">
        <v>9</v>
      </c>
      <c r="AD49">
        <v>3</v>
      </c>
      <c r="AE49">
        <v>0</v>
      </c>
      <c r="AF49">
        <v>9</v>
      </c>
      <c r="AG49" t="s">
        <v>158</v>
      </c>
      <c r="AH49">
        <v>0</v>
      </c>
      <c r="AI49">
        <v>3</v>
      </c>
      <c r="AJ49">
        <v>1</v>
      </c>
      <c r="AK49">
        <v>0</v>
      </c>
      <c r="AL49" t="s">
        <v>213</v>
      </c>
      <c r="AM49">
        <v>47.116306000000002</v>
      </c>
      <c r="AN49" t="s">
        <v>214</v>
      </c>
      <c r="AO49">
        <v>-122.280793</v>
      </c>
      <c r="AP49">
        <v>100</v>
      </c>
      <c r="AQ49">
        <v>1100</v>
      </c>
      <c r="AR49" t="s">
        <v>118</v>
      </c>
      <c r="AS49">
        <v>61</v>
      </c>
      <c r="AT49">
        <v>18</v>
      </c>
      <c r="AU49">
        <v>1024</v>
      </c>
      <c r="BC49">
        <v>1200</v>
      </c>
      <c r="BD49">
        <v>1</v>
      </c>
      <c r="BE49" t="str">
        <f t="shared" si="2"/>
        <v xml:space="preserve">N215T   </v>
      </c>
      <c r="BF49">
        <v>1</v>
      </c>
      <c r="BH49">
        <v>0</v>
      </c>
      <c r="BI49">
        <v>0</v>
      </c>
      <c r="BJ49">
        <v>0</v>
      </c>
      <c r="BK49">
        <v>1475</v>
      </c>
      <c r="BL49">
        <v>375</v>
      </c>
      <c r="BM49" t="s">
        <v>119</v>
      </c>
      <c r="BN49">
        <v>1</v>
      </c>
      <c r="BO49">
        <v>1</v>
      </c>
      <c r="BP49">
        <v>1</v>
      </c>
      <c r="BQ49">
        <v>0</v>
      </c>
      <c r="BT49">
        <v>0</v>
      </c>
      <c r="BU49">
        <v>0</v>
      </c>
      <c r="BV49">
        <v>0</v>
      </c>
      <c r="CC49" t="str">
        <f>"18:35:09.508"</f>
        <v>18:35:09.508</v>
      </c>
      <c r="CD49" t="str">
        <f>"505776952"</f>
        <v>505776952</v>
      </c>
      <c r="CQ49">
        <v>0</v>
      </c>
      <c r="CR49">
        <v>2</v>
      </c>
      <c r="CS49">
        <v>0</v>
      </c>
      <c r="CT49">
        <v>2</v>
      </c>
      <c r="CU49">
        <v>0</v>
      </c>
      <c r="CV49">
        <v>5</v>
      </c>
      <c r="CW49" t="s">
        <v>120</v>
      </c>
      <c r="CX49">
        <v>259</v>
      </c>
      <c r="CY49">
        <v>1</v>
      </c>
      <c r="CZ49" t="s">
        <v>197</v>
      </c>
      <c r="DA49" t="s">
        <v>198</v>
      </c>
      <c r="DD49">
        <v>14651958</v>
      </c>
      <c r="DE49" t="s">
        <v>123</v>
      </c>
    </row>
    <row r="50" spans="1:109" x14ac:dyDescent="0.3">
      <c r="A50" t="str">
        <f>"18:35:10.766"</f>
        <v>18:35:10.766</v>
      </c>
      <c r="B50" t="s">
        <v>110</v>
      </c>
      <c r="C50" t="str">
        <f t="shared" si="0"/>
        <v>ffdfd3c0</v>
      </c>
      <c r="D50" t="s">
        <v>111</v>
      </c>
      <c r="E50">
        <v>18</v>
      </c>
      <c r="F50">
        <v>1018</v>
      </c>
      <c r="G50" t="s">
        <v>112</v>
      </c>
      <c r="J50" t="s">
        <v>113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R50" t="s">
        <v>114</v>
      </c>
      <c r="S50" t="str">
        <f>"18:35:10.539"</f>
        <v>18:35:10.539</v>
      </c>
      <c r="T50" t="str">
        <f>"18:35:10.539"</f>
        <v>18:35:10.539</v>
      </c>
      <c r="U50" t="str">
        <f t="shared" si="1"/>
        <v>a1cdbe</v>
      </c>
      <c r="V50">
        <v>0</v>
      </c>
      <c r="W50">
        <v>0</v>
      </c>
      <c r="X50">
        <v>1</v>
      </c>
      <c r="Y50">
        <v>0</v>
      </c>
      <c r="Z50">
        <v>0</v>
      </c>
      <c r="AB50">
        <v>0</v>
      </c>
      <c r="AC50">
        <v>9</v>
      </c>
      <c r="AD50">
        <v>3</v>
      </c>
      <c r="AE50">
        <v>0</v>
      </c>
      <c r="AF50">
        <v>9</v>
      </c>
      <c r="AG50" t="s">
        <v>158</v>
      </c>
      <c r="AH50">
        <v>0</v>
      </c>
      <c r="AI50">
        <v>3</v>
      </c>
      <c r="AJ50">
        <v>1</v>
      </c>
      <c r="AK50">
        <v>0</v>
      </c>
      <c r="AL50" t="s">
        <v>215</v>
      </c>
      <c r="AM50">
        <v>47.116370000000003</v>
      </c>
      <c r="AN50" t="s">
        <v>216</v>
      </c>
      <c r="AO50">
        <v>-122.28036400000001</v>
      </c>
      <c r="AP50">
        <v>100</v>
      </c>
      <c r="AQ50">
        <v>1100</v>
      </c>
      <c r="AR50" t="s">
        <v>118</v>
      </c>
      <c r="AS50">
        <v>61</v>
      </c>
      <c r="AT50">
        <v>16</v>
      </c>
      <c r="AU50">
        <v>1024</v>
      </c>
      <c r="BC50">
        <v>1200</v>
      </c>
      <c r="BD50">
        <v>1</v>
      </c>
      <c r="BE50" t="str">
        <f t="shared" si="2"/>
        <v xml:space="preserve">N215T   </v>
      </c>
      <c r="BF50">
        <v>1</v>
      </c>
      <c r="BH50">
        <v>0</v>
      </c>
      <c r="BI50">
        <v>0</v>
      </c>
      <c r="BJ50">
        <v>0</v>
      </c>
      <c r="BK50">
        <v>1500</v>
      </c>
      <c r="BL50">
        <v>400</v>
      </c>
      <c r="BM50" t="s">
        <v>119</v>
      </c>
      <c r="BN50">
        <v>1</v>
      </c>
      <c r="BO50">
        <v>1</v>
      </c>
      <c r="BP50">
        <v>1</v>
      </c>
      <c r="BQ50">
        <v>0</v>
      </c>
      <c r="BT50">
        <v>0</v>
      </c>
      <c r="BU50">
        <v>0</v>
      </c>
      <c r="BV50">
        <v>0</v>
      </c>
      <c r="CC50" t="str">
        <f>"18:35:10.539"</f>
        <v>18:35:10.539</v>
      </c>
      <c r="CD50" t="str">
        <f>"540675047"</f>
        <v>540675047</v>
      </c>
      <c r="CQ50">
        <v>0</v>
      </c>
      <c r="CR50">
        <v>2</v>
      </c>
      <c r="CS50">
        <v>0</v>
      </c>
      <c r="CT50">
        <v>2</v>
      </c>
      <c r="CU50">
        <v>0</v>
      </c>
      <c r="CV50">
        <v>4</v>
      </c>
      <c r="CW50" t="s">
        <v>120</v>
      </c>
      <c r="CX50">
        <v>259</v>
      </c>
      <c r="CY50">
        <v>1</v>
      </c>
      <c r="CZ50" t="s">
        <v>197</v>
      </c>
      <c r="DA50" t="s">
        <v>198</v>
      </c>
      <c r="DD50">
        <v>14652643</v>
      </c>
      <c r="DE50" t="s">
        <v>123</v>
      </c>
    </row>
    <row r="51" spans="1:109" x14ac:dyDescent="0.3">
      <c r="A51" t="str">
        <f>"18:35:11.672"</f>
        <v>18:35:11.672</v>
      </c>
      <c r="B51" t="s">
        <v>110</v>
      </c>
      <c r="C51" t="str">
        <f t="shared" si="0"/>
        <v>ffdfd3c0</v>
      </c>
      <c r="D51" t="s">
        <v>111</v>
      </c>
      <c r="E51">
        <v>18</v>
      </c>
      <c r="F51">
        <v>1018</v>
      </c>
      <c r="G51" t="s">
        <v>112</v>
      </c>
      <c r="J51" t="s">
        <v>113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R51" t="s">
        <v>114</v>
      </c>
      <c r="S51" t="str">
        <f>"18:35:11.438"</f>
        <v>18:35:11.438</v>
      </c>
      <c r="T51" t="str">
        <f>"18:35:09.539"</f>
        <v>18:35:09.539</v>
      </c>
      <c r="U51" t="str">
        <f t="shared" si="1"/>
        <v>a1cdbe</v>
      </c>
      <c r="V51">
        <v>0</v>
      </c>
      <c r="W51">
        <v>0</v>
      </c>
      <c r="X51">
        <v>1</v>
      </c>
      <c r="Y51">
        <v>0</v>
      </c>
      <c r="Z51">
        <v>0</v>
      </c>
      <c r="AB51">
        <v>0</v>
      </c>
      <c r="AC51">
        <v>9</v>
      </c>
      <c r="AD51">
        <v>3</v>
      </c>
      <c r="AE51">
        <v>0</v>
      </c>
      <c r="AF51">
        <v>9</v>
      </c>
      <c r="AG51" t="s">
        <v>158</v>
      </c>
      <c r="AH51">
        <v>0</v>
      </c>
      <c r="AI51">
        <v>3</v>
      </c>
      <c r="AJ51">
        <v>1</v>
      </c>
      <c r="AK51">
        <v>0</v>
      </c>
      <c r="AL51" t="s">
        <v>217</v>
      </c>
      <c r="AM51">
        <v>47.116455999999999</v>
      </c>
      <c r="AN51" t="s">
        <v>218</v>
      </c>
      <c r="AO51">
        <v>-122.27993499999999</v>
      </c>
      <c r="AP51">
        <v>100</v>
      </c>
      <c r="AQ51">
        <v>1100</v>
      </c>
      <c r="AR51" t="s">
        <v>118</v>
      </c>
      <c r="AS51">
        <v>61</v>
      </c>
      <c r="AT51">
        <v>17</v>
      </c>
      <c r="AU51">
        <v>1088</v>
      </c>
      <c r="BC51">
        <v>1200</v>
      </c>
      <c r="BD51">
        <v>1</v>
      </c>
      <c r="BE51" t="str">
        <f t="shared" si="2"/>
        <v xml:space="preserve">N215T   </v>
      </c>
      <c r="BF51">
        <v>1</v>
      </c>
      <c r="BH51">
        <v>0</v>
      </c>
      <c r="BI51">
        <v>0</v>
      </c>
      <c r="BJ51">
        <v>0</v>
      </c>
      <c r="BK51">
        <v>1500</v>
      </c>
      <c r="BL51">
        <v>400</v>
      </c>
      <c r="BM51" t="s">
        <v>119</v>
      </c>
      <c r="BN51">
        <v>1</v>
      </c>
      <c r="BO51">
        <v>1</v>
      </c>
      <c r="BP51">
        <v>1</v>
      </c>
      <c r="BQ51">
        <v>0</v>
      </c>
      <c r="BT51">
        <v>0</v>
      </c>
      <c r="BU51">
        <v>0</v>
      </c>
      <c r="BV51">
        <v>0</v>
      </c>
      <c r="CC51" t="str">
        <f>"18:35:11.438"</f>
        <v>18:35:11.438</v>
      </c>
      <c r="CD51" t="str">
        <f>"440415592"</f>
        <v>440415592</v>
      </c>
      <c r="CQ51">
        <v>0</v>
      </c>
      <c r="CR51">
        <v>2</v>
      </c>
      <c r="CS51">
        <v>0</v>
      </c>
      <c r="CT51">
        <v>2</v>
      </c>
      <c r="CU51">
        <v>0</v>
      </c>
      <c r="CV51">
        <v>2</v>
      </c>
      <c r="CW51" t="s">
        <v>172</v>
      </c>
      <c r="CX51">
        <v>325</v>
      </c>
      <c r="CY51">
        <v>0</v>
      </c>
      <c r="CZ51" t="s">
        <v>219</v>
      </c>
      <c r="DA51" t="s">
        <v>220</v>
      </c>
      <c r="DD51">
        <v>4403757</v>
      </c>
      <c r="DE51" t="s">
        <v>123</v>
      </c>
    </row>
    <row r="52" spans="1:109" x14ac:dyDescent="0.3">
      <c r="A52" t="str">
        <f>"18:35:12.727"</f>
        <v>18:35:12.727</v>
      </c>
      <c r="B52" t="s">
        <v>110</v>
      </c>
      <c r="C52" t="str">
        <f t="shared" si="0"/>
        <v>ffdfd3c0</v>
      </c>
      <c r="D52" t="s">
        <v>111</v>
      </c>
      <c r="E52">
        <v>18</v>
      </c>
      <c r="F52">
        <v>1018</v>
      </c>
      <c r="G52" t="s">
        <v>112</v>
      </c>
      <c r="J52" t="s">
        <v>113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R52" t="s">
        <v>114</v>
      </c>
      <c r="S52" t="str">
        <f>"18:35:12.484"</f>
        <v>18:35:12.484</v>
      </c>
      <c r="T52" t="str">
        <f>"18:35:12.086"</f>
        <v>18:35:12.086</v>
      </c>
      <c r="U52" t="str">
        <f t="shared" si="1"/>
        <v>a1cdbe</v>
      </c>
      <c r="V52">
        <v>0</v>
      </c>
      <c r="W52">
        <v>0</v>
      </c>
      <c r="X52">
        <v>1</v>
      </c>
      <c r="Y52">
        <v>0</v>
      </c>
      <c r="Z52">
        <v>0</v>
      </c>
      <c r="AB52">
        <v>0</v>
      </c>
      <c r="AC52">
        <v>9</v>
      </c>
      <c r="AD52">
        <v>3</v>
      </c>
      <c r="AE52">
        <v>0</v>
      </c>
      <c r="AF52">
        <v>9</v>
      </c>
      <c r="AG52" t="s">
        <v>158</v>
      </c>
      <c r="AH52">
        <v>0</v>
      </c>
      <c r="AI52">
        <v>3</v>
      </c>
      <c r="AJ52">
        <v>1</v>
      </c>
      <c r="AK52">
        <v>0</v>
      </c>
      <c r="AL52" t="s">
        <v>221</v>
      </c>
      <c r="AM52">
        <v>47.116477000000003</v>
      </c>
      <c r="AN52" t="s">
        <v>222</v>
      </c>
      <c r="AO52">
        <v>-122.279549</v>
      </c>
      <c r="AP52">
        <v>100</v>
      </c>
      <c r="AQ52">
        <v>1100</v>
      </c>
      <c r="AR52" t="s">
        <v>118</v>
      </c>
      <c r="AS52">
        <v>63</v>
      </c>
      <c r="AT52">
        <v>11</v>
      </c>
      <c r="AU52">
        <v>896</v>
      </c>
      <c r="BC52">
        <v>1200</v>
      </c>
      <c r="BD52">
        <v>1</v>
      </c>
      <c r="BE52" t="str">
        <f t="shared" si="2"/>
        <v xml:space="preserve">N215T   </v>
      </c>
      <c r="BF52">
        <v>1</v>
      </c>
      <c r="BH52">
        <v>0</v>
      </c>
      <c r="BI52">
        <v>0</v>
      </c>
      <c r="BJ52">
        <v>0</v>
      </c>
      <c r="BK52">
        <v>1525</v>
      </c>
      <c r="BL52">
        <v>425</v>
      </c>
      <c r="BM52" t="s">
        <v>119</v>
      </c>
      <c r="BN52">
        <v>1</v>
      </c>
      <c r="BO52">
        <v>1</v>
      </c>
      <c r="BP52">
        <v>1</v>
      </c>
      <c r="BQ52">
        <v>0</v>
      </c>
      <c r="BT52">
        <v>0</v>
      </c>
      <c r="BU52">
        <v>0</v>
      </c>
      <c r="BV52">
        <v>0</v>
      </c>
      <c r="CC52" t="str">
        <f>"18:35:12.492"</f>
        <v>18:35:12.492</v>
      </c>
      <c r="CD52" t="str">
        <f>"490483086"</f>
        <v>490483086</v>
      </c>
      <c r="CQ52">
        <v>0</v>
      </c>
      <c r="CR52">
        <v>2</v>
      </c>
      <c r="CS52">
        <v>0</v>
      </c>
      <c r="CT52">
        <v>2</v>
      </c>
      <c r="CU52">
        <v>0</v>
      </c>
      <c r="CV52">
        <v>4</v>
      </c>
      <c r="CW52" t="s">
        <v>120</v>
      </c>
      <c r="CX52">
        <v>259</v>
      </c>
      <c r="CY52">
        <v>1</v>
      </c>
      <c r="CZ52" t="s">
        <v>197</v>
      </c>
      <c r="DA52" t="s">
        <v>198</v>
      </c>
      <c r="DD52">
        <v>14653938</v>
      </c>
      <c r="DE52" t="s">
        <v>123</v>
      </c>
    </row>
    <row r="53" spans="1:109" x14ac:dyDescent="0.3">
      <c r="A53" t="str">
        <f>"18:35:13.836"</f>
        <v>18:35:13.836</v>
      </c>
      <c r="B53" t="s">
        <v>110</v>
      </c>
      <c r="C53" t="str">
        <f t="shared" si="0"/>
        <v>ffdfd3c0</v>
      </c>
      <c r="D53" t="s">
        <v>111</v>
      </c>
      <c r="E53">
        <v>18</v>
      </c>
      <c r="F53">
        <v>1018</v>
      </c>
      <c r="G53" t="s">
        <v>112</v>
      </c>
      <c r="J53" t="s">
        <v>113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R53" t="s">
        <v>114</v>
      </c>
      <c r="S53" t="str">
        <f>"18:35:13.594"</f>
        <v>18:35:13.594</v>
      </c>
      <c r="T53" t="str">
        <f>"18:35:13.594"</f>
        <v>18:35:13.594</v>
      </c>
      <c r="U53" t="str">
        <f t="shared" si="1"/>
        <v>a1cdbe</v>
      </c>
      <c r="V53">
        <v>0</v>
      </c>
      <c r="W53">
        <v>0</v>
      </c>
      <c r="X53">
        <v>1</v>
      </c>
      <c r="Y53">
        <v>0</v>
      </c>
      <c r="Z53">
        <v>0</v>
      </c>
      <c r="AB53">
        <v>0</v>
      </c>
      <c r="AC53">
        <v>9</v>
      </c>
      <c r="AD53">
        <v>3</v>
      </c>
      <c r="AE53">
        <v>0</v>
      </c>
      <c r="AF53">
        <v>9</v>
      </c>
      <c r="AG53" t="s">
        <v>158</v>
      </c>
      <c r="AH53">
        <v>0</v>
      </c>
      <c r="AI53">
        <v>3</v>
      </c>
      <c r="AJ53">
        <v>1</v>
      </c>
      <c r="AK53">
        <v>0</v>
      </c>
      <c r="AL53" t="s">
        <v>223</v>
      </c>
      <c r="AM53">
        <v>47.116520000000001</v>
      </c>
      <c r="AN53" t="s">
        <v>224</v>
      </c>
      <c r="AO53">
        <v>-122.279077</v>
      </c>
      <c r="AP53">
        <v>100</v>
      </c>
      <c r="AQ53">
        <v>1200</v>
      </c>
      <c r="AR53" t="s">
        <v>118</v>
      </c>
      <c r="AS53">
        <v>63</v>
      </c>
      <c r="AT53">
        <v>5</v>
      </c>
      <c r="AU53">
        <v>896</v>
      </c>
      <c r="BC53">
        <v>1200</v>
      </c>
      <c r="BD53">
        <v>1</v>
      </c>
      <c r="BE53" t="str">
        <f t="shared" si="2"/>
        <v xml:space="preserve">N215T   </v>
      </c>
      <c r="BF53">
        <v>1</v>
      </c>
      <c r="BH53">
        <v>0</v>
      </c>
      <c r="BI53">
        <v>0</v>
      </c>
      <c r="BJ53">
        <v>0</v>
      </c>
      <c r="BK53">
        <v>1550</v>
      </c>
      <c r="BL53">
        <v>350</v>
      </c>
      <c r="BM53" t="s">
        <v>119</v>
      </c>
      <c r="BN53">
        <v>1</v>
      </c>
      <c r="BO53">
        <v>1</v>
      </c>
      <c r="BP53">
        <v>1</v>
      </c>
      <c r="BQ53">
        <v>0</v>
      </c>
      <c r="BT53">
        <v>0</v>
      </c>
      <c r="BU53">
        <v>0</v>
      </c>
      <c r="BV53">
        <v>0</v>
      </c>
      <c r="CC53" t="str">
        <f>"18:35:13.602"</f>
        <v>18:35:13.602</v>
      </c>
      <c r="CD53" t="str">
        <f>"600373802"</f>
        <v>600373802</v>
      </c>
      <c r="CQ53">
        <v>0</v>
      </c>
      <c r="CR53">
        <v>2</v>
      </c>
      <c r="CS53">
        <v>0</v>
      </c>
      <c r="CT53">
        <v>2</v>
      </c>
      <c r="CU53">
        <v>0</v>
      </c>
      <c r="CV53">
        <v>3</v>
      </c>
      <c r="CW53" t="s">
        <v>120</v>
      </c>
      <c r="CX53">
        <v>259</v>
      </c>
      <c r="CY53">
        <v>1</v>
      </c>
      <c r="CZ53" t="s">
        <v>197</v>
      </c>
      <c r="DA53" t="s">
        <v>198</v>
      </c>
      <c r="DD53">
        <v>14654678</v>
      </c>
      <c r="DE53" t="s">
        <v>123</v>
      </c>
    </row>
    <row r="54" spans="1:109" x14ac:dyDescent="0.3">
      <c r="A54" t="str">
        <f>"18:35:14.688"</f>
        <v>18:35:14.688</v>
      </c>
      <c r="B54" t="s">
        <v>110</v>
      </c>
      <c r="C54" t="str">
        <f t="shared" si="0"/>
        <v>ffdfd3c0</v>
      </c>
      <c r="D54" t="s">
        <v>111</v>
      </c>
      <c r="E54">
        <v>18</v>
      </c>
      <c r="F54">
        <v>1018</v>
      </c>
      <c r="G54" t="s">
        <v>112</v>
      </c>
      <c r="J54" t="s">
        <v>113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R54" t="s">
        <v>114</v>
      </c>
      <c r="S54" t="str">
        <f>"18:35:14.500"</f>
        <v>18:35:14.500</v>
      </c>
      <c r="T54" t="str">
        <f>"18:35:14.102"</f>
        <v>18:35:14.102</v>
      </c>
      <c r="U54" t="str">
        <f t="shared" si="1"/>
        <v>a1cdbe</v>
      </c>
      <c r="V54">
        <v>0</v>
      </c>
      <c r="W54">
        <v>0</v>
      </c>
      <c r="X54">
        <v>1</v>
      </c>
      <c r="Y54">
        <v>0</v>
      </c>
      <c r="Z54">
        <v>0</v>
      </c>
      <c r="AB54">
        <v>0</v>
      </c>
      <c r="AC54">
        <v>9</v>
      </c>
      <c r="AD54">
        <v>3</v>
      </c>
      <c r="AE54">
        <v>0</v>
      </c>
      <c r="AF54">
        <v>9</v>
      </c>
      <c r="AG54" t="s">
        <v>158</v>
      </c>
      <c r="AH54">
        <v>0</v>
      </c>
      <c r="AI54">
        <v>3</v>
      </c>
      <c r="AJ54">
        <v>1</v>
      </c>
      <c r="AK54">
        <v>0</v>
      </c>
      <c r="AL54" t="s">
        <v>223</v>
      </c>
      <c r="AM54">
        <v>47.116520000000001</v>
      </c>
      <c r="AN54" t="s">
        <v>225</v>
      </c>
      <c r="AO54">
        <v>-122.27864700000001</v>
      </c>
      <c r="AP54">
        <v>100</v>
      </c>
      <c r="AQ54">
        <v>1200</v>
      </c>
      <c r="AR54" t="s">
        <v>118</v>
      </c>
      <c r="AS54">
        <v>64</v>
      </c>
      <c r="AT54">
        <v>2</v>
      </c>
      <c r="AU54">
        <v>896</v>
      </c>
      <c r="BC54">
        <v>1200</v>
      </c>
      <c r="BD54">
        <v>1</v>
      </c>
      <c r="BE54" t="str">
        <f t="shared" si="2"/>
        <v xml:space="preserve">N215T   </v>
      </c>
      <c r="BF54">
        <v>1</v>
      </c>
      <c r="BH54">
        <v>0</v>
      </c>
      <c r="BI54">
        <v>0</v>
      </c>
      <c r="BJ54">
        <v>0</v>
      </c>
      <c r="BK54">
        <v>1550</v>
      </c>
      <c r="BL54">
        <v>350</v>
      </c>
      <c r="BM54" t="s">
        <v>119</v>
      </c>
      <c r="BN54">
        <v>1</v>
      </c>
      <c r="BO54">
        <v>1</v>
      </c>
      <c r="BP54">
        <v>1</v>
      </c>
      <c r="BQ54">
        <v>0</v>
      </c>
      <c r="BT54">
        <v>0</v>
      </c>
      <c r="BU54">
        <v>0</v>
      </c>
      <c r="BV54">
        <v>0</v>
      </c>
      <c r="CC54" t="str">
        <f>"18:35:14.500"</f>
        <v>18:35:14.500</v>
      </c>
      <c r="CD54" t="str">
        <f>"500285206"</f>
        <v>500285206</v>
      </c>
      <c r="CQ54">
        <v>0</v>
      </c>
      <c r="CR54">
        <v>2</v>
      </c>
      <c r="CS54">
        <v>0</v>
      </c>
      <c r="CT54">
        <v>2</v>
      </c>
      <c r="CU54">
        <v>0</v>
      </c>
      <c r="CV54">
        <v>5</v>
      </c>
      <c r="CW54" t="s">
        <v>120</v>
      </c>
      <c r="CX54">
        <v>259</v>
      </c>
      <c r="CY54">
        <v>1</v>
      </c>
      <c r="CZ54" t="s">
        <v>197</v>
      </c>
      <c r="DA54" t="s">
        <v>198</v>
      </c>
      <c r="DD54">
        <v>14655271</v>
      </c>
      <c r="DE54" t="s">
        <v>123</v>
      </c>
    </row>
    <row r="55" spans="1:109" x14ac:dyDescent="0.3">
      <c r="A55" t="str">
        <f>"18:35:15.742"</f>
        <v>18:35:15.742</v>
      </c>
      <c r="B55" t="s">
        <v>110</v>
      </c>
      <c r="C55" t="str">
        <f t="shared" si="0"/>
        <v>ffdfd3c0</v>
      </c>
      <c r="D55" t="s">
        <v>111</v>
      </c>
      <c r="E55">
        <v>18</v>
      </c>
      <c r="F55">
        <v>1018</v>
      </c>
      <c r="G55" t="s">
        <v>112</v>
      </c>
      <c r="J55" t="s">
        <v>113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R55" t="s">
        <v>114</v>
      </c>
      <c r="S55" t="str">
        <f>"18:35:15.516"</f>
        <v>18:35:15.516</v>
      </c>
      <c r="T55" t="str">
        <f>"18:35:15.516"</f>
        <v>18:35:15.516</v>
      </c>
      <c r="U55" t="str">
        <f t="shared" si="1"/>
        <v>a1cdbe</v>
      </c>
      <c r="V55">
        <v>0</v>
      </c>
      <c r="W55">
        <v>0</v>
      </c>
      <c r="X55">
        <v>1</v>
      </c>
      <c r="Y55">
        <v>0</v>
      </c>
      <c r="Z55">
        <v>0</v>
      </c>
      <c r="AB55">
        <v>0</v>
      </c>
      <c r="AC55">
        <v>9</v>
      </c>
      <c r="AD55">
        <v>3</v>
      </c>
      <c r="AE55">
        <v>0</v>
      </c>
      <c r="AF55">
        <v>9</v>
      </c>
      <c r="AG55" t="s">
        <v>158</v>
      </c>
      <c r="AH55">
        <v>0</v>
      </c>
      <c r="AI55">
        <v>3</v>
      </c>
      <c r="AJ55">
        <v>1</v>
      </c>
      <c r="AK55">
        <v>0</v>
      </c>
      <c r="AL55" t="s">
        <v>226</v>
      </c>
      <c r="AM55">
        <v>47.116498999999997</v>
      </c>
      <c r="AN55" t="s">
        <v>227</v>
      </c>
      <c r="AO55">
        <v>-122.278175</v>
      </c>
      <c r="AP55">
        <v>100</v>
      </c>
      <c r="AQ55">
        <v>1200</v>
      </c>
      <c r="AR55" t="s">
        <v>118</v>
      </c>
      <c r="AS55">
        <v>64</v>
      </c>
      <c r="AT55">
        <v>-6</v>
      </c>
      <c r="AU55">
        <v>896</v>
      </c>
      <c r="BC55">
        <v>1200</v>
      </c>
      <c r="BD55">
        <v>1</v>
      </c>
      <c r="BE55" t="str">
        <f t="shared" si="2"/>
        <v xml:space="preserve">N215T   </v>
      </c>
      <c r="BF55">
        <v>1</v>
      </c>
      <c r="BH55">
        <v>0</v>
      </c>
      <c r="BI55">
        <v>0</v>
      </c>
      <c r="BJ55">
        <v>0</v>
      </c>
      <c r="BK55">
        <v>1575</v>
      </c>
      <c r="BL55">
        <v>375</v>
      </c>
      <c r="BM55" t="s">
        <v>119</v>
      </c>
      <c r="BN55">
        <v>1</v>
      </c>
      <c r="BO55">
        <v>1</v>
      </c>
      <c r="BP55">
        <v>1</v>
      </c>
      <c r="BQ55">
        <v>0</v>
      </c>
      <c r="BT55">
        <v>0</v>
      </c>
      <c r="BU55">
        <v>0</v>
      </c>
      <c r="BV55">
        <v>0</v>
      </c>
      <c r="CC55" t="str">
        <f>"18:35:15.523"</f>
        <v>18:35:15.523</v>
      </c>
      <c r="CD55" t="str">
        <f>"520184853"</f>
        <v>520184853</v>
      </c>
      <c r="CQ55">
        <v>0</v>
      </c>
      <c r="CR55">
        <v>2</v>
      </c>
      <c r="CS55">
        <v>0</v>
      </c>
      <c r="CT55">
        <v>2</v>
      </c>
      <c r="CU55">
        <v>0</v>
      </c>
      <c r="CV55">
        <v>2</v>
      </c>
      <c r="CW55" t="s">
        <v>120</v>
      </c>
      <c r="CX55">
        <v>259</v>
      </c>
      <c r="CY55">
        <v>1</v>
      </c>
      <c r="CZ55" t="s">
        <v>197</v>
      </c>
      <c r="DA55" t="s">
        <v>198</v>
      </c>
      <c r="DD55">
        <v>14655953</v>
      </c>
      <c r="DE55" t="s">
        <v>123</v>
      </c>
    </row>
    <row r="56" spans="1:109" x14ac:dyDescent="0.3">
      <c r="A56" t="str">
        <f>"18:35:18.156"</f>
        <v>18:35:18.156</v>
      </c>
      <c r="B56" t="s">
        <v>110</v>
      </c>
      <c r="C56" t="str">
        <f t="shared" si="0"/>
        <v>ffdfd3c0</v>
      </c>
      <c r="D56" t="s">
        <v>111</v>
      </c>
      <c r="E56">
        <v>18</v>
      </c>
      <c r="F56">
        <v>1018</v>
      </c>
      <c r="G56" t="s">
        <v>112</v>
      </c>
      <c r="J56" t="s">
        <v>113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R56" t="s">
        <v>114</v>
      </c>
      <c r="S56" t="str">
        <f>"18:35:17.945"</f>
        <v>18:35:17.945</v>
      </c>
      <c r="T56" t="str">
        <f>"18:35:16.445"</f>
        <v>18:35:16.445</v>
      </c>
      <c r="U56" t="str">
        <f t="shared" si="1"/>
        <v>a1cdbe</v>
      </c>
      <c r="V56">
        <v>0</v>
      </c>
      <c r="W56">
        <v>0</v>
      </c>
      <c r="X56">
        <v>1</v>
      </c>
      <c r="Y56">
        <v>0</v>
      </c>
      <c r="Z56">
        <v>0</v>
      </c>
      <c r="AB56">
        <v>0</v>
      </c>
      <c r="AC56">
        <v>9</v>
      </c>
      <c r="AD56">
        <v>3</v>
      </c>
      <c r="AE56">
        <v>0</v>
      </c>
      <c r="AF56">
        <v>9</v>
      </c>
      <c r="AG56" t="s">
        <v>158</v>
      </c>
      <c r="AH56">
        <v>0</v>
      </c>
      <c r="AI56">
        <v>3</v>
      </c>
      <c r="AJ56">
        <v>1</v>
      </c>
      <c r="AK56">
        <v>0</v>
      </c>
      <c r="AL56" t="s">
        <v>228</v>
      </c>
      <c r="AM56">
        <v>47.116284</v>
      </c>
      <c r="AN56" t="s">
        <v>229</v>
      </c>
      <c r="AO56">
        <v>-122.277145</v>
      </c>
      <c r="AP56">
        <v>100</v>
      </c>
      <c r="AQ56">
        <v>1200</v>
      </c>
      <c r="AR56" t="s">
        <v>118</v>
      </c>
      <c r="AS56">
        <v>64</v>
      </c>
      <c r="AT56">
        <v>-12</v>
      </c>
      <c r="AU56">
        <v>960</v>
      </c>
      <c r="BC56">
        <v>1200</v>
      </c>
      <c r="BD56">
        <v>1</v>
      </c>
      <c r="BE56" t="str">
        <f t="shared" si="2"/>
        <v xml:space="preserve">N215T   </v>
      </c>
      <c r="BF56">
        <v>1</v>
      </c>
      <c r="BH56">
        <v>0</v>
      </c>
      <c r="BI56">
        <v>0</v>
      </c>
      <c r="BJ56">
        <v>0</v>
      </c>
      <c r="BK56">
        <v>1600</v>
      </c>
      <c r="BL56">
        <v>400</v>
      </c>
      <c r="BM56" t="s">
        <v>119</v>
      </c>
      <c r="BN56">
        <v>1</v>
      </c>
      <c r="BO56">
        <v>1</v>
      </c>
      <c r="BP56">
        <v>1</v>
      </c>
      <c r="BQ56">
        <v>0</v>
      </c>
      <c r="BT56">
        <v>0</v>
      </c>
      <c r="BU56">
        <v>0</v>
      </c>
      <c r="BV56">
        <v>0</v>
      </c>
      <c r="CC56" t="str">
        <f>"18:35:17.953"</f>
        <v>18:35:17.953</v>
      </c>
      <c r="CD56" t="str">
        <f>"949945682"</f>
        <v>949945682</v>
      </c>
      <c r="CQ56">
        <v>0</v>
      </c>
      <c r="CR56">
        <v>2</v>
      </c>
      <c r="CS56">
        <v>0</v>
      </c>
      <c r="CT56">
        <v>2</v>
      </c>
      <c r="CU56">
        <v>0</v>
      </c>
      <c r="CV56">
        <v>1</v>
      </c>
      <c r="CW56" t="s">
        <v>120</v>
      </c>
      <c r="CX56">
        <v>259</v>
      </c>
      <c r="CY56">
        <v>1</v>
      </c>
      <c r="CZ56" t="s">
        <v>197</v>
      </c>
      <c r="DA56" t="s">
        <v>198</v>
      </c>
      <c r="DD56">
        <v>14657521</v>
      </c>
      <c r="DE56" t="s">
        <v>123</v>
      </c>
    </row>
    <row r="57" spans="1:109" x14ac:dyDescent="0.3">
      <c r="A57" t="str">
        <f>"18:35:19.211"</f>
        <v>18:35:19.211</v>
      </c>
      <c r="B57" t="s">
        <v>110</v>
      </c>
      <c r="C57" t="str">
        <f t="shared" si="0"/>
        <v>ffdfd3c0</v>
      </c>
      <c r="D57" t="s">
        <v>111</v>
      </c>
      <c r="E57">
        <v>18</v>
      </c>
      <c r="F57">
        <v>1018</v>
      </c>
      <c r="G57" t="s">
        <v>112</v>
      </c>
      <c r="J57" t="s">
        <v>113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R57" t="s">
        <v>114</v>
      </c>
      <c r="S57" t="str">
        <f>"18:35:18.984"</f>
        <v>18:35:18.984</v>
      </c>
      <c r="T57" t="str">
        <f>"18:35:18.586"</f>
        <v>18:35:18.586</v>
      </c>
      <c r="U57" t="str">
        <f t="shared" si="1"/>
        <v>a1cdbe</v>
      </c>
      <c r="V57">
        <v>0</v>
      </c>
      <c r="W57">
        <v>0</v>
      </c>
      <c r="X57">
        <v>1</v>
      </c>
      <c r="Y57">
        <v>0</v>
      </c>
      <c r="Z57">
        <v>0</v>
      </c>
      <c r="AB57">
        <v>0</v>
      </c>
      <c r="AC57">
        <v>9</v>
      </c>
      <c r="AD57">
        <v>3</v>
      </c>
      <c r="AE57">
        <v>0</v>
      </c>
      <c r="AF57">
        <v>9</v>
      </c>
      <c r="AG57" t="s">
        <v>158</v>
      </c>
      <c r="AH57">
        <v>0</v>
      </c>
      <c r="AI57">
        <v>3</v>
      </c>
      <c r="AJ57">
        <v>1</v>
      </c>
      <c r="AK57">
        <v>0</v>
      </c>
      <c r="AL57" t="s">
        <v>230</v>
      </c>
      <c r="AM57">
        <v>47.116219999999998</v>
      </c>
      <c r="AN57" t="s">
        <v>231</v>
      </c>
      <c r="AO57">
        <v>-122.276695</v>
      </c>
      <c r="AP57">
        <v>100</v>
      </c>
      <c r="AQ57">
        <v>1200</v>
      </c>
      <c r="AR57" t="s">
        <v>118</v>
      </c>
      <c r="AS57">
        <v>63</v>
      </c>
      <c r="AT57">
        <v>-22</v>
      </c>
      <c r="AU57">
        <v>960</v>
      </c>
      <c r="BC57">
        <v>1200</v>
      </c>
      <c r="BD57">
        <v>1</v>
      </c>
      <c r="BE57" t="str">
        <f t="shared" si="2"/>
        <v xml:space="preserve">N215T   </v>
      </c>
      <c r="BF57">
        <v>1</v>
      </c>
      <c r="BH57">
        <v>0</v>
      </c>
      <c r="BI57">
        <v>0</v>
      </c>
      <c r="BJ57">
        <v>0</v>
      </c>
      <c r="BK57">
        <v>1625</v>
      </c>
      <c r="BL57">
        <v>425</v>
      </c>
      <c r="BM57" t="s">
        <v>119</v>
      </c>
      <c r="BN57">
        <v>1</v>
      </c>
      <c r="BO57">
        <v>1</v>
      </c>
      <c r="BP57">
        <v>1</v>
      </c>
      <c r="BQ57">
        <v>0</v>
      </c>
      <c r="BT57">
        <v>0</v>
      </c>
      <c r="BU57">
        <v>0</v>
      </c>
      <c r="BV57">
        <v>0</v>
      </c>
      <c r="CC57" t="str">
        <f>"18:35:18.984"</f>
        <v>18:35:18.984</v>
      </c>
      <c r="CD57" t="str">
        <f>"984740331"</f>
        <v>984740331</v>
      </c>
      <c r="CQ57">
        <v>0</v>
      </c>
      <c r="CR57">
        <v>2</v>
      </c>
      <c r="CS57">
        <v>0</v>
      </c>
      <c r="CT57">
        <v>2</v>
      </c>
      <c r="CU57">
        <v>0</v>
      </c>
      <c r="CV57">
        <v>3</v>
      </c>
      <c r="CW57" t="s">
        <v>120</v>
      </c>
      <c r="CX57">
        <v>261</v>
      </c>
      <c r="CY57">
        <v>1</v>
      </c>
      <c r="CZ57" t="s">
        <v>121</v>
      </c>
      <c r="DA57" t="s">
        <v>122</v>
      </c>
      <c r="DD57">
        <v>3124413</v>
      </c>
      <c r="DE57" t="s">
        <v>123</v>
      </c>
    </row>
    <row r="58" spans="1:109" x14ac:dyDescent="0.3">
      <c r="A58" t="str">
        <f>"18:35:20.219"</f>
        <v>18:35:20.219</v>
      </c>
      <c r="B58" t="s">
        <v>110</v>
      </c>
      <c r="C58" t="str">
        <f t="shared" si="0"/>
        <v>ffdfd3c0</v>
      </c>
      <c r="D58" t="s">
        <v>111</v>
      </c>
      <c r="E58">
        <v>18</v>
      </c>
      <c r="F58">
        <v>1018</v>
      </c>
      <c r="G58" t="s">
        <v>112</v>
      </c>
      <c r="J58" t="s">
        <v>113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R58" t="s">
        <v>114</v>
      </c>
      <c r="S58" t="str">
        <f>"18:35:19.969"</f>
        <v>18:35:19.969</v>
      </c>
      <c r="T58" t="str">
        <f>"18:35:19.570"</f>
        <v>18:35:19.570</v>
      </c>
      <c r="U58" t="str">
        <f t="shared" si="1"/>
        <v>a1cdbe</v>
      </c>
      <c r="V58">
        <v>0</v>
      </c>
      <c r="W58">
        <v>0</v>
      </c>
      <c r="X58">
        <v>1</v>
      </c>
      <c r="Y58">
        <v>0</v>
      </c>
      <c r="Z58">
        <v>0</v>
      </c>
      <c r="AB58">
        <v>0</v>
      </c>
      <c r="AC58">
        <v>9</v>
      </c>
      <c r="AD58">
        <v>3</v>
      </c>
      <c r="AE58">
        <v>0</v>
      </c>
      <c r="AF58">
        <v>9</v>
      </c>
      <c r="AG58" t="s">
        <v>158</v>
      </c>
      <c r="AH58">
        <v>0</v>
      </c>
      <c r="AI58">
        <v>3</v>
      </c>
      <c r="AJ58">
        <v>1</v>
      </c>
      <c r="AK58">
        <v>0</v>
      </c>
      <c r="AL58" t="s">
        <v>207</v>
      </c>
      <c r="AM58">
        <v>47.116047999999999</v>
      </c>
      <c r="AN58" t="s">
        <v>232</v>
      </c>
      <c r="AO58">
        <v>-122.27633</v>
      </c>
      <c r="AP58">
        <v>100</v>
      </c>
      <c r="AQ58">
        <v>1300</v>
      </c>
      <c r="AR58" t="s">
        <v>118</v>
      </c>
      <c r="AS58">
        <v>61</v>
      </c>
      <c r="AT58">
        <v>-27</v>
      </c>
      <c r="AU58">
        <v>1024</v>
      </c>
      <c r="BC58">
        <v>1200</v>
      </c>
      <c r="BD58">
        <v>1</v>
      </c>
      <c r="BE58" t="str">
        <f t="shared" si="2"/>
        <v xml:space="preserve">N215T   </v>
      </c>
      <c r="BF58">
        <v>1</v>
      </c>
      <c r="BH58">
        <v>0</v>
      </c>
      <c r="BI58">
        <v>0</v>
      </c>
      <c r="BJ58">
        <v>0</v>
      </c>
      <c r="BK58">
        <v>1650</v>
      </c>
      <c r="BL58">
        <v>350</v>
      </c>
      <c r="BM58" t="s">
        <v>119</v>
      </c>
      <c r="BN58">
        <v>1</v>
      </c>
      <c r="BO58">
        <v>1</v>
      </c>
      <c r="BP58">
        <v>1</v>
      </c>
      <c r="BQ58">
        <v>0</v>
      </c>
      <c r="BT58">
        <v>0</v>
      </c>
      <c r="BU58">
        <v>0</v>
      </c>
      <c r="BV58">
        <v>0</v>
      </c>
      <c r="CC58" t="str">
        <f>"18:35:19.977"</f>
        <v>18:35:19.977</v>
      </c>
      <c r="CD58" t="str">
        <f>"974642989"</f>
        <v>974642989</v>
      </c>
      <c r="CQ58">
        <v>0</v>
      </c>
      <c r="CR58">
        <v>2</v>
      </c>
      <c r="CS58">
        <v>0</v>
      </c>
      <c r="CT58">
        <v>2</v>
      </c>
      <c r="CU58">
        <v>0</v>
      </c>
      <c r="CV58">
        <v>5</v>
      </c>
      <c r="CW58" t="s">
        <v>120</v>
      </c>
      <c r="CX58">
        <v>261</v>
      </c>
      <c r="CY58">
        <v>2</v>
      </c>
      <c r="CZ58" t="s">
        <v>121</v>
      </c>
      <c r="DA58" t="s">
        <v>122</v>
      </c>
      <c r="DD58">
        <v>14277714</v>
      </c>
      <c r="DE58" t="s">
        <v>123</v>
      </c>
    </row>
    <row r="59" spans="1:109" x14ac:dyDescent="0.3">
      <c r="A59" t="str">
        <f>"18:35:21.172"</f>
        <v>18:35:21.172</v>
      </c>
      <c r="B59" t="s">
        <v>110</v>
      </c>
      <c r="C59" t="str">
        <f t="shared" si="0"/>
        <v>ffdfd3c0</v>
      </c>
      <c r="D59" t="s">
        <v>111</v>
      </c>
      <c r="E59">
        <v>18</v>
      </c>
      <c r="F59">
        <v>1018</v>
      </c>
      <c r="G59" t="s">
        <v>112</v>
      </c>
      <c r="J59" t="s">
        <v>113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R59" t="s">
        <v>114</v>
      </c>
      <c r="S59" t="str">
        <f>"18:35:20.930"</f>
        <v>18:35:20.930</v>
      </c>
      <c r="T59" t="str">
        <f>"18:35:20.531"</f>
        <v>18:35:20.531</v>
      </c>
      <c r="U59" t="str">
        <f t="shared" si="1"/>
        <v>a1cdbe</v>
      </c>
      <c r="V59">
        <v>0</v>
      </c>
      <c r="W59">
        <v>0</v>
      </c>
      <c r="X59">
        <v>1</v>
      </c>
      <c r="Y59">
        <v>0</v>
      </c>
      <c r="Z59">
        <v>0</v>
      </c>
      <c r="AB59">
        <v>0</v>
      </c>
      <c r="AC59">
        <v>9</v>
      </c>
      <c r="AD59">
        <v>3</v>
      </c>
      <c r="AE59">
        <v>0</v>
      </c>
      <c r="AF59">
        <v>9</v>
      </c>
      <c r="AG59" t="s">
        <v>158</v>
      </c>
      <c r="AH59">
        <v>0</v>
      </c>
      <c r="AI59">
        <v>3</v>
      </c>
      <c r="AJ59">
        <v>1</v>
      </c>
      <c r="AK59">
        <v>0</v>
      </c>
      <c r="AL59" t="s">
        <v>233</v>
      </c>
      <c r="AM59">
        <v>47.115920000000003</v>
      </c>
      <c r="AN59" t="s">
        <v>234</v>
      </c>
      <c r="AO59">
        <v>-122.275901</v>
      </c>
      <c r="AP59">
        <v>100</v>
      </c>
      <c r="AQ59">
        <v>1300</v>
      </c>
      <c r="AR59" t="s">
        <v>118</v>
      </c>
      <c r="AS59">
        <v>60</v>
      </c>
      <c r="AT59">
        <v>-31</v>
      </c>
      <c r="AU59">
        <v>1152</v>
      </c>
      <c r="BC59">
        <v>1200</v>
      </c>
      <c r="BD59">
        <v>1</v>
      </c>
      <c r="BE59" t="str">
        <f t="shared" si="2"/>
        <v xml:space="preserve">N215T   </v>
      </c>
      <c r="BF59">
        <v>1</v>
      </c>
      <c r="BH59">
        <v>0</v>
      </c>
      <c r="BI59">
        <v>0</v>
      </c>
      <c r="BJ59">
        <v>0</v>
      </c>
      <c r="BK59">
        <v>1650</v>
      </c>
      <c r="BL59">
        <v>350</v>
      </c>
      <c r="BM59" t="s">
        <v>119</v>
      </c>
      <c r="BN59">
        <v>1</v>
      </c>
      <c r="BO59">
        <v>1</v>
      </c>
      <c r="BP59">
        <v>1</v>
      </c>
      <c r="BQ59">
        <v>0</v>
      </c>
      <c r="BT59">
        <v>0</v>
      </c>
      <c r="BU59">
        <v>0</v>
      </c>
      <c r="BV59">
        <v>0</v>
      </c>
      <c r="CC59" t="str">
        <f>"18:35:20.938"</f>
        <v>18:35:20.938</v>
      </c>
      <c r="CD59" t="str">
        <f>"934548607"</f>
        <v>934548607</v>
      </c>
      <c r="CQ59">
        <v>0</v>
      </c>
      <c r="CR59">
        <v>2</v>
      </c>
      <c r="CS59">
        <v>0</v>
      </c>
      <c r="CT59">
        <v>2</v>
      </c>
      <c r="CU59">
        <v>0</v>
      </c>
      <c r="CV59">
        <v>3</v>
      </c>
      <c r="CW59" t="s">
        <v>120</v>
      </c>
      <c r="CX59">
        <v>261</v>
      </c>
      <c r="CY59">
        <v>1</v>
      </c>
      <c r="CZ59" t="s">
        <v>121</v>
      </c>
      <c r="DA59" t="s">
        <v>122</v>
      </c>
      <c r="DD59">
        <v>3125537</v>
      </c>
      <c r="DE59" t="s">
        <v>123</v>
      </c>
    </row>
    <row r="60" spans="1:109" x14ac:dyDescent="0.3">
      <c r="A60" t="str">
        <f>"18:35:22.180"</f>
        <v>18:35:22.180</v>
      </c>
      <c r="B60" t="s">
        <v>110</v>
      </c>
      <c r="C60" t="str">
        <f t="shared" si="0"/>
        <v>ffdfd3c0</v>
      </c>
      <c r="D60" t="s">
        <v>111</v>
      </c>
      <c r="E60">
        <v>18</v>
      </c>
      <c r="F60">
        <v>1018</v>
      </c>
      <c r="G60" t="s">
        <v>112</v>
      </c>
      <c r="J60" t="s">
        <v>113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R60" t="s">
        <v>114</v>
      </c>
      <c r="S60" t="str">
        <f>"18:35:21.922"</f>
        <v>18:35:21.922</v>
      </c>
      <c r="T60" t="str">
        <f>"18:35:21.523"</f>
        <v>18:35:21.523</v>
      </c>
      <c r="U60" t="str">
        <f t="shared" si="1"/>
        <v>a1cdbe</v>
      </c>
      <c r="V60">
        <v>0</v>
      </c>
      <c r="W60">
        <v>0</v>
      </c>
      <c r="X60">
        <v>1</v>
      </c>
      <c r="Y60">
        <v>0</v>
      </c>
      <c r="Z60">
        <v>0</v>
      </c>
      <c r="AB60">
        <v>0</v>
      </c>
      <c r="AC60">
        <v>9</v>
      </c>
      <c r="AD60">
        <v>3</v>
      </c>
      <c r="AE60">
        <v>0</v>
      </c>
      <c r="AF60">
        <v>9</v>
      </c>
      <c r="AG60" t="s">
        <v>158</v>
      </c>
      <c r="AH60">
        <v>0</v>
      </c>
      <c r="AI60">
        <v>3</v>
      </c>
      <c r="AJ60">
        <v>1</v>
      </c>
      <c r="AK60">
        <v>0</v>
      </c>
      <c r="AL60" t="s">
        <v>235</v>
      </c>
      <c r="AM60">
        <v>47.115748000000004</v>
      </c>
      <c r="AN60" t="s">
        <v>236</v>
      </c>
      <c r="AO60">
        <v>-122.275515</v>
      </c>
      <c r="AP60">
        <v>100</v>
      </c>
      <c r="AQ60">
        <v>1300</v>
      </c>
      <c r="AR60" t="s">
        <v>118</v>
      </c>
      <c r="AS60">
        <v>58</v>
      </c>
      <c r="AT60">
        <v>-35</v>
      </c>
      <c r="AU60">
        <v>1216</v>
      </c>
      <c r="BC60">
        <v>1200</v>
      </c>
      <c r="BD60">
        <v>1</v>
      </c>
      <c r="BE60" t="str">
        <f t="shared" si="2"/>
        <v xml:space="preserve">N215T   </v>
      </c>
      <c r="BF60">
        <v>1</v>
      </c>
      <c r="BH60">
        <v>0</v>
      </c>
      <c r="BI60">
        <v>0</v>
      </c>
      <c r="BJ60">
        <v>0</v>
      </c>
      <c r="BK60">
        <v>1675</v>
      </c>
      <c r="BL60">
        <v>375</v>
      </c>
      <c r="BM60" t="s">
        <v>119</v>
      </c>
      <c r="BN60">
        <v>1</v>
      </c>
      <c r="BO60">
        <v>1</v>
      </c>
      <c r="BP60">
        <v>1</v>
      </c>
      <c r="BQ60">
        <v>0</v>
      </c>
      <c r="BT60">
        <v>0</v>
      </c>
      <c r="BU60">
        <v>0</v>
      </c>
      <c r="BV60">
        <v>0</v>
      </c>
      <c r="CC60" t="str">
        <f>"18:35:21.922"</f>
        <v>18:35:21.922</v>
      </c>
      <c r="CD60" t="str">
        <f>"924451269"</f>
        <v>924451269</v>
      </c>
      <c r="CQ60">
        <v>0</v>
      </c>
      <c r="CR60">
        <v>2</v>
      </c>
      <c r="CS60">
        <v>0</v>
      </c>
      <c r="CT60">
        <v>2</v>
      </c>
      <c r="CU60">
        <v>0</v>
      </c>
      <c r="CV60">
        <v>3</v>
      </c>
      <c r="CW60" t="s">
        <v>120</v>
      </c>
      <c r="CX60">
        <v>261</v>
      </c>
      <c r="CY60">
        <v>2</v>
      </c>
      <c r="CZ60" t="s">
        <v>121</v>
      </c>
      <c r="DA60" t="s">
        <v>122</v>
      </c>
      <c r="DD60">
        <v>14278630</v>
      </c>
      <c r="DE60" t="s">
        <v>123</v>
      </c>
    </row>
    <row r="61" spans="1:109" x14ac:dyDescent="0.3">
      <c r="A61" t="str">
        <f>"18:35:23.336"</f>
        <v>18:35:23.336</v>
      </c>
      <c r="B61" t="s">
        <v>110</v>
      </c>
      <c r="C61" t="str">
        <f t="shared" si="0"/>
        <v>ffdfd3c0</v>
      </c>
      <c r="D61" t="s">
        <v>111</v>
      </c>
      <c r="E61">
        <v>18</v>
      </c>
      <c r="F61">
        <v>1018</v>
      </c>
      <c r="G61" t="s">
        <v>112</v>
      </c>
      <c r="J61" t="s">
        <v>113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R61" t="s">
        <v>114</v>
      </c>
      <c r="S61" t="str">
        <f>"18:35:23.094"</f>
        <v>18:35:23.094</v>
      </c>
      <c r="T61" t="str">
        <f>"18:35:23.094"</f>
        <v>18:35:23.094</v>
      </c>
      <c r="U61" t="str">
        <f t="shared" si="1"/>
        <v>a1cdbe</v>
      </c>
      <c r="V61">
        <v>0</v>
      </c>
      <c r="W61">
        <v>0</v>
      </c>
      <c r="X61">
        <v>1</v>
      </c>
      <c r="Y61">
        <v>0</v>
      </c>
      <c r="Z61">
        <v>0</v>
      </c>
      <c r="AB61">
        <v>0</v>
      </c>
      <c r="AC61">
        <v>9</v>
      </c>
      <c r="AD61">
        <v>3</v>
      </c>
      <c r="AE61">
        <v>0</v>
      </c>
      <c r="AF61">
        <v>9</v>
      </c>
      <c r="AG61" t="s">
        <v>158</v>
      </c>
      <c r="AH61">
        <v>0</v>
      </c>
      <c r="AI61">
        <v>3</v>
      </c>
      <c r="AJ61">
        <v>1</v>
      </c>
      <c r="AK61">
        <v>0</v>
      </c>
      <c r="AL61" t="s">
        <v>237</v>
      </c>
      <c r="AM61">
        <v>47.115575999999997</v>
      </c>
      <c r="AN61" t="s">
        <v>238</v>
      </c>
      <c r="AO61">
        <v>-122.275085</v>
      </c>
      <c r="AP61">
        <v>100</v>
      </c>
      <c r="AQ61">
        <v>1300</v>
      </c>
      <c r="AR61" t="s">
        <v>118</v>
      </c>
      <c r="AS61">
        <v>54</v>
      </c>
      <c r="AT61">
        <v>-40</v>
      </c>
      <c r="AU61">
        <v>1216</v>
      </c>
      <c r="BC61">
        <v>1200</v>
      </c>
      <c r="BD61">
        <v>1</v>
      </c>
      <c r="BE61" t="str">
        <f t="shared" si="2"/>
        <v xml:space="preserve">N215T   </v>
      </c>
      <c r="BF61">
        <v>1</v>
      </c>
      <c r="BH61">
        <v>0</v>
      </c>
      <c r="BI61">
        <v>0</v>
      </c>
      <c r="BJ61">
        <v>0</v>
      </c>
      <c r="BK61">
        <v>1600</v>
      </c>
      <c r="BL61">
        <v>300</v>
      </c>
      <c r="BM61" t="s">
        <v>119</v>
      </c>
      <c r="BN61">
        <v>1</v>
      </c>
      <c r="BO61">
        <v>1</v>
      </c>
      <c r="BP61">
        <v>1</v>
      </c>
      <c r="BQ61">
        <v>0</v>
      </c>
      <c r="BT61">
        <v>0</v>
      </c>
      <c r="BU61">
        <v>0</v>
      </c>
      <c r="BV61">
        <v>0</v>
      </c>
      <c r="CC61" t="str">
        <f>"18:35:23.094"</f>
        <v>18:35:23.094</v>
      </c>
      <c r="CD61" t="str">
        <f>"094271026"</f>
        <v>094271026</v>
      </c>
      <c r="CQ61">
        <v>0</v>
      </c>
      <c r="CR61">
        <v>2</v>
      </c>
      <c r="CS61">
        <v>0</v>
      </c>
      <c r="CT61">
        <v>2</v>
      </c>
      <c r="CU61">
        <v>0</v>
      </c>
      <c r="CV61">
        <v>1</v>
      </c>
      <c r="CW61" t="s">
        <v>172</v>
      </c>
      <c r="CX61">
        <v>326</v>
      </c>
      <c r="CY61">
        <v>0</v>
      </c>
      <c r="CZ61" t="s">
        <v>173</v>
      </c>
      <c r="DA61" t="s">
        <v>174</v>
      </c>
      <c r="DD61">
        <v>5606997</v>
      </c>
      <c r="DE61" t="s">
        <v>123</v>
      </c>
    </row>
    <row r="62" spans="1:109" x14ac:dyDescent="0.3">
      <c r="A62" t="str">
        <f>"18:35:24.445"</f>
        <v>18:35:24.445</v>
      </c>
      <c r="B62" t="s">
        <v>110</v>
      </c>
      <c r="C62" t="str">
        <f t="shared" si="0"/>
        <v>ffdfd3c0</v>
      </c>
      <c r="D62" t="s">
        <v>111</v>
      </c>
      <c r="E62">
        <v>18</v>
      </c>
      <c r="F62">
        <v>1018</v>
      </c>
      <c r="G62" t="s">
        <v>112</v>
      </c>
      <c r="J62" t="s">
        <v>113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R62" t="s">
        <v>114</v>
      </c>
      <c r="S62" t="str">
        <f>"18:35:24.203"</f>
        <v>18:35:24.203</v>
      </c>
      <c r="T62" t="str">
        <f>"18:35:24.102"</f>
        <v>18:35:24.102</v>
      </c>
      <c r="U62" t="str">
        <f t="shared" si="1"/>
        <v>a1cdbe</v>
      </c>
      <c r="V62">
        <v>0</v>
      </c>
      <c r="W62">
        <v>0</v>
      </c>
      <c r="X62">
        <v>1</v>
      </c>
      <c r="Y62">
        <v>0</v>
      </c>
      <c r="Z62">
        <v>0</v>
      </c>
      <c r="AB62">
        <v>0</v>
      </c>
      <c r="AC62">
        <v>9</v>
      </c>
      <c r="AD62">
        <v>3</v>
      </c>
      <c r="AE62">
        <v>0</v>
      </c>
      <c r="AF62">
        <v>9</v>
      </c>
      <c r="AG62" t="s">
        <v>158</v>
      </c>
      <c r="AH62">
        <v>0</v>
      </c>
      <c r="AI62">
        <v>3</v>
      </c>
      <c r="AJ62">
        <v>1</v>
      </c>
      <c r="AK62">
        <v>0</v>
      </c>
      <c r="AL62" t="s">
        <v>239</v>
      </c>
      <c r="AM62">
        <v>47.115340000000003</v>
      </c>
      <c r="AN62" t="s">
        <v>240</v>
      </c>
      <c r="AO62">
        <v>-122.274742</v>
      </c>
      <c r="AP62">
        <v>100</v>
      </c>
      <c r="AQ62">
        <v>1300</v>
      </c>
      <c r="AR62" t="s">
        <v>118</v>
      </c>
      <c r="AS62">
        <v>51</v>
      </c>
      <c r="AT62">
        <v>-41</v>
      </c>
      <c r="AU62">
        <v>1152</v>
      </c>
      <c r="BC62">
        <v>1200</v>
      </c>
      <c r="BD62">
        <v>1</v>
      </c>
      <c r="BE62" t="str">
        <f t="shared" si="2"/>
        <v xml:space="preserve">N215T   </v>
      </c>
      <c r="BF62">
        <v>1</v>
      </c>
      <c r="BH62">
        <v>0</v>
      </c>
      <c r="BI62">
        <v>0</v>
      </c>
      <c r="BJ62">
        <v>0</v>
      </c>
      <c r="BK62">
        <v>1725</v>
      </c>
      <c r="BL62">
        <v>425</v>
      </c>
      <c r="BM62" t="s">
        <v>119</v>
      </c>
      <c r="BN62">
        <v>1</v>
      </c>
      <c r="BO62">
        <v>1</v>
      </c>
      <c r="BP62">
        <v>1</v>
      </c>
      <c r="BQ62">
        <v>0</v>
      </c>
      <c r="BT62">
        <v>0</v>
      </c>
      <c r="BU62">
        <v>0</v>
      </c>
      <c r="BV62">
        <v>0</v>
      </c>
      <c r="CC62" t="str">
        <f>"18:35:24.203"</f>
        <v>18:35:24.203</v>
      </c>
      <c r="CD62" t="str">
        <f>"204330403"</f>
        <v>204330403</v>
      </c>
      <c r="CQ62">
        <v>0</v>
      </c>
      <c r="CR62">
        <v>2</v>
      </c>
      <c r="CS62">
        <v>0</v>
      </c>
      <c r="CT62">
        <v>2</v>
      </c>
      <c r="CU62">
        <v>0</v>
      </c>
      <c r="CV62">
        <v>5</v>
      </c>
      <c r="CW62" t="s">
        <v>120</v>
      </c>
      <c r="CX62">
        <v>259</v>
      </c>
      <c r="CY62">
        <v>1</v>
      </c>
      <c r="CZ62" t="s">
        <v>197</v>
      </c>
      <c r="DA62" t="s">
        <v>198</v>
      </c>
      <c r="DD62">
        <v>14661615</v>
      </c>
      <c r="DE62" t="s">
        <v>123</v>
      </c>
    </row>
    <row r="63" spans="1:109" x14ac:dyDescent="0.3">
      <c r="A63" t="str">
        <f>"18:35:25.344"</f>
        <v>18:35:25.344</v>
      </c>
      <c r="B63" t="s">
        <v>110</v>
      </c>
      <c r="C63" t="str">
        <f t="shared" si="0"/>
        <v>ffdfd3c0</v>
      </c>
      <c r="D63" t="s">
        <v>111</v>
      </c>
      <c r="E63">
        <v>18</v>
      </c>
      <c r="F63">
        <v>1018</v>
      </c>
      <c r="G63" t="s">
        <v>112</v>
      </c>
      <c r="J63" t="s">
        <v>113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R63" t="s">
        <v>114</v>
      </c>
      <c r="S63" t="str">
        <f>"18:35:25.133"</f>
        <v>18:35:25.133</v>
      </c>
      <c r="T63" t="str">
        <f>"18:35:25.031"</f>
        <v>18:35:25.031</v>
      </c>
      <c r="U63" t="str">
        <f t="shared" si="1"/>
        <v>a1cdbe</v>
      </c>
      <c r="V63">
        <v>0</v>
      </c>
      <c r="W63">
        <v>0</v>
      </c>
      <c r="X63">
        <v>1</v>
      </c>
      <c r="Y63">
        <v>0</v>
      </c>
      <c r="Z63">
        <v>0</v>
      </c>
      <c r="AB63">
        <v>0</v>
      </c>
      <c r="AC63">
        <v>9</v>
      </c>
      <c r="AD63">
        <v>3</v>
      </c>
      <c r="AE63">
        <v>0</v>
      </c>
      <c r="AF63">
        <v>9</v>
      </c>
      <c r="AG63" t="s">
        <v>158</v>
      </c>
      <c r="AH63">
        <v>0</v>
      </c>
      <c r="AI63">
        <v>3</v>
      </c>
      <c r="AJ63">
        <v>1</v>
      </c>
      <c r="AK63">
        <v>0</v>
      </c>
      <c r="AL63" t="s">
        <v>193</v>
      </c>
      <c r="AM63">
        <v>47.115147</v>
      </c>
      <c r="AN63" t="s">
        <v>241</v>
      </c>
      <c r="AO63">
        <v>-122.27444199999999</v>
      </c>
      <c r="AP63">
        <v>100</v>
      </c>
      <c r="AQ63">
        <v>1400</v>
      </c>
      <c r="AR63" t="s">
        <v>118</v>
      </c>
      <c r="AS63">
        <v>48</v>
      </c>
      <c r="AT63">
        <v>-44</v>
      </c>
      <c r="AU63">
        <v>1152</v>
      </c>
      <c r="BC63">
        <v>1200</v>
      </c>
      <c r="BD63">
        <v>1</v>
      </c>
      <c r="BE63" t="str">
        <f t="shared" si="2"/>
        <v xml:space="preserve">N215T   </v>
      </c>
      <c r="BF63">
        <v>1</v>
      </c>
      <c r="BH63">
        <v>0</v>
      </c>
      <c r="BI63">
        <v>0</v>
      </c>
      <c r="BJ63">
        <v>0</v>
      </c>
      <c r="BK63">
        <v>1750</v>
      </c>
      <c r="BL63">
        <v>350</v>
      </c>
      <c r="BM63" t="s">
        <v>119</v>
      </c>
      <c r="BN63">
        <v>1</v>
      </c>
      <c r="BO63">
        <v>1</v>
      </c>
      <c r="BP63">
        <v>1</v>
      </c>
      <c r="BQ63">
        <v>0</v>
      </c>
      <c r="BT63">
        <v>0</v>
      </c>
      <c r="BU63">
        <v>0</v>
      </c>
      <c r="BV63">
        <v>0</v>
      </c>
      <c r="CC63" t="str">
        <f>"18:35:25.133"</f>
        <v>18:35:25.133</v>
      </c>
      <c r="CD63" t="str">
        <f>"134238962"</f>
        <v>134238962</v>
      </c>
      <c r="CQ63">
        <v>0</v>
      </c>
      <c r="CR63">
        <v>2</v>
      </c>
      <c r="CS63">
        <v>0</v>
      </c>
      <c r="CT63">
        <v>2</v>
      </c>
      <c r="CU63">
        <v>0</v>
      </c>
      <c r="CV63">
        <v>5</v>
      </c>
      <c r="CW63" t="s">
        <v>120</v>
      </c>
      <c r="CX63">
        <v>259</v>
      </c>
      <c r="CY63">
        <v>1</v>
      </c>
      <c r="CZ63" t="s">
        <v>197</v>
      </c>
      <c r="DA63" t="s">
        <v>198</v>
      </c>
      <c r="DD63">
        <v>14662182</v>
      </c>
      <c r="DE63" t="s">
        <v>123</v>
      </c>
    </row>
    <row r="64" spans="1:109" x14ac:dyDescent="0.3">
      <c r="A64" t="str">
        <f>"18:35:26.305"</f>
        <v>18:35:26.305</v>
      </c>
      <c r="B64" t="s">
        <v>110</v>
      </c>
      <c r="C64" t="str">
        <f t="shared" si="0"/>
        <v>ffdfd3c0</v>
      </c>
      <c r="D64" t="s">
        <v>111</v>
      </c>
      <c r="E64">
        <v>18</v>
      </c>
      <c r="F64">
        <v>1018</v>
      </c>
      <c r="G64" t="s">
        <v>112</v>
      </c>
      <c r="J64" t="s">
        <v>113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R64" t="s">
        <v>114</v>
      </c>
      <c r="S64" t="str">
        <f>"18:35:26.094"</f>
        <v>18:35:26.094</v>
      </c>
      <c r="T64" t="str">
        <f>"18:35:25.695"</f>
        <v>18:35:25.695</v>
      </c>
      <c r="U64" t="str">
        <f t="shared" si="1"/>
        <v>a1cdbe</v>
      </c>
      <c r="V64">
        <v>0</v>
      </c>
      <c r="W64">
        <v>0</v>
      </c>
      <c r="X64">
        <v>1</v>
      </c>
      <c r="Y64">
        <v>0</v>
      </c>
      <c r="Z64">
        <v>0</v>
      </c>
      <c r="AB64">
        <v>0</v>
      </c>
      <c r="AC64">
        <v>9</v>
      </c>
      <c r="AD64">
        <v>3</v>
      </c>
      <c r="AE64">
        <v>0</v>
      </c>
      <c r="AF64">
        <v>9</v>
      </c>
      <c r="AG64" t="s">
        <v>158</v>
      </c>
      <c r="AH64">
        <v>0</v>
      </c>
      <c r="AI64">
        <v>3</v>
      </c>
      <c r="AJ64">
        <v>1</v>
      </c>
      <c r="AK64">
        <v>0</v>
      </c>
      <c r="AL64" t="s">
        <v>242</v>
      </c>
      <c r="AM64">
        <v>47.114910999999999</v>
      </c>
      <c r="AN64" t="s">
        <v>243</v>
      </c>
      <c r="AO64">
        <v>-122.27412</v>
      </c>
      <c r="AP64">
        <v>100</v>
      </c>
      <c r="AQ64">
        <v>1400</v>
      </c>
      <c r="AR64" t="s">
        <v>118</v>
      </c>
      <c r="AS64">
        <v>47</v>
      </c>
      <c r="AT64">
        <v>-45</v>
      </c>
      <c r="AU64">
        <v>1152</v>
      </c>
      <c r="BC64">
        <v>1200</v>
      </c>
      <c r="BD64">
        <v>1</v>
      </c>
      <c r="BE64" t="str">
        <f t="shared" si="2"/>
        <v xml:space="preserve">N215T   </v>
      </c>
      <c r="BF64">
        <v>1</v>
      </c>
      <c r="BH64">
        <v>0</v>
      </c>
      <c r="BI64">
        <v>0</v>
      </c>
      <c r="BJ64">
        <v>0</v>
      </c>
      <c r="BK64">
        <v>1775</v>
      </c>
      <c r="BL64">
        <v>375</v>
      </c>
      <c r="BM64" t="s">
        <v>119</v>
      </c>
      <c r="BN64">
        <v>1</v>
      </c>
      <c r="BO64">
        <v>1</v>
      </c>
      <c r="BP64">
        <v>1</v>
      </c>
      <c r="BQ64">
        <v>0</v>
      </c>
      <c r="BT64">
        <v>0</v>
      </c>
      <c r="BU64">
        <v>0</v>
      </c>
      <c r="BV64">
        <v>0</v>
      </c>
      <c r="CC64" t="str">
        <f>"18:35:26.094"</f>
        <v>18:35:26.094</v>
      </c>
      <c r="CD64" t="str">
        <f>"094144512"</f>
        <v>094144512</v>
      </c>
      <c r="CQ64">
        <v>0</v>
      </c>
      <c r="CR64">
        <v>2</v>
      </c>
      <c r="CS64">
        <v>0</v>
      </c>
      <c r="CT64">
        <v>2</v>
      </c>
      <c r="CU64">
        <v>0</v>
      </c>
      <c r="CV64">
        <v>4</v>
      </c>
      <c r="CW64" t="s">
        <v>120</v>
      </c>
      <c r="CX64">
        <v>259</v>
      </c>
      <c r="CY64">
        <v>1</v>
      </c>
      <c r="CZ64" t="s">
        <v>197</v>
      </c>
      <c r="DA64" t="s">
        <v>198</v>
      </c>
      <c r="DD64">
        <v>14662806</v>
      </c>
      <c r="DE64" t="s">
        <v>123</v>
      </c>
    </row>
    <row r="65" spans="1:109" x14ac:dyDescent="0.3">
      <c r="A65" t="str">
        <f>"18:35:27.359"</f>
        <v>18:35:27.359</v>
      </c>
      <c r="B65" t="s">
        <v>110</v>
      </c>
      <c r="C65" t="str">
        <f t="shared" si="0"/>
        <v>ffdfd3c0</v>
      </c>
      <c r="D65" t="s">
        <v>111</v>
      </c>
      <c r="E65">
        <v>18</v>
      </c>
      <c r="F65">
        <v>1018</v>
      </c>
      <c r="G65" t="s">
        <v>112</v>
      </c>
      <c r="J65" t="s">
        <v>113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R65" t="s">
        <v>114</v>
      </c>
      <c r="S65" t="str">
        <f>"18:35:27.125"</f>
        <v>18:35:27.125</v>
      </c>
      <c r="T65" t="str">
        <f>"18:35:27.125"</f>
        <v>18:35:27.125</v>
      </c>
      <c r="U65" t="str">
        <f t="shared" si="1"/>
        <v>a1cdbe</v>
      </c>
      <c r="V65">
        <v>0</v>
      </c>
      <c r="W65">
        <v>0</v>
      </c>
      <c r="X65">
        <v>1</v>
      </c>
      <c r="Y65">
        <v>0</v>
      </c>
      <c r="Z65">
        <v>0</v>
      </c>
      <c r="AB65">
        <v>0</v>
      </c>
      <c r="AC65">
        <v>9</v>
      </c>
      <c r="AD65">
        <v>3</v>
      </c>
      <c r="AE65">
        <v>0</v>
      </c>
      <c r="AF65">
        <v>9</v>
      </c>
      <c r="AG65" t="s">
        <v>158</v>
      </c>
      <c r="AH65">
        <v>0</v>
      </c>
      <c r="AI65">
        <v>3</v>
      </c>
      <c r="AJ65">
        <v>1</v>
      </c>
      <c r="AK65">
        <v>0</v>
      </c>
      <c r="AL65" t="s">
        <v>189</v>
      </c>
      <c r="AM65">
        <v>47.114674999999998</v>
      </c>
      <c r="AN65" t="s">
        <v>244</v>
      </c>
      <c r="AO65">
        <v>-122.273819</v>
      </c>
      <c r="AP65">
        <v>100</v>
      </c>
      <c r="AQ65">
        <v>1400</v>
      </c>
      <c r="AR65" t="s">
        <v>118</v>
      </c>
      <c r="AS65">
        <v>43</v>
      </c>
      <c r="AT65">
        <v>-49</v>
      </c>
      <c r="AU65">
        <v>960</v>
      </c>
      <c r="BC65">
        <v>1200</v>
      </c>
      <c r="BD65">
        <v>1</v>
      </c>
      <c r="BE65" t="str">
        <f t="shared" si="2"/>
        <v xml:space="preserve">N215T   </v>
      </c>
      <c r="BF65">
        <v>1</v>
      </c>
      <c r="BH65">
        <v>0</v>
      </c>
      <c r="BI65">
        <v>0</v>
      </c>
      <c r="BJ65">
        <v>0</v>
      </c>
      <c r="BK65">
        <v>1800</v>
      </c>
      <c r="BL65">
        <v>400</v>
      </c>
      <c r="BM65" t="s">
        <v>119</v>
      </c>
      <c r="BN65">
        <v>1</v>
      </c>
      <c r="BO65">
        <v>1</v>
      </c>
      <c r="BP65">
        <v>1</v>
      </c>
      <c r="BQ65">
        <v>0</v>
      </c>
      <c r="BT65">
        <v>0</v>
      </c>
      <c r="BU65">
        <v>0</v>
      </c>
      <c r="BV65">
        <v>0</v>
      </c>
      <c r="CC65" t="str">
        <f>"18:35:27.133"</f>
        <v>18:35:27.133</v>
      </c>
      <c r="CD65" t="str">
        <f>"128939554"</f>
        <v>128939554</v>
      </c>
      <c r="CQ65">
        <v>0</v>
      </c>
      <c r="CR65">
        <v>2</v>
      </c>
      <c r="CS65">
        <v>0</v>
      </c>
      <c r="CT65">
        <v>2</v>
      </c>
      <c r="CU65">
        <v>0</v>
      </c>
      <c r="CV65">
        <v>3</v>
      </c>
      <c r="CW65" t="s">
        <v>120</v>
      </c>
      <c r="CX65">
        <v>261</v>
      </c>
      <c r="CY65">
        <v>2</v>
      </c>
      <c r="CZ65" t="s">
        <v>121</v>
      </c>
      <c r="DA65" t="s">
        <v>122</v>
      </c>
      <c r="DD65">
        <v>14280973</v>
      </c>
      <c r="DE65" t="s">
        <v>123</v>
      </c>
    </row>
    <row r="66" spans="1:109" x14ac:dyDescent="0.3">
      <c r="A66" t="str">
        <f>"18:35:28.813"</f>
        <v>18:35:28.813</v>
      </c>
      <c r="B66" t="s">
        <v>110</v>
      </c>
      <c r="C66" t="str">
        <f t="shared" ref="C66:C129" si="3">"ffdfd3c0"</f>
        <v>ffdfd3c0</v>
      </c>
      <c r="D66" t="s">
        <v>111</v>
      </c>
      <c r="E66">
        <v>18</v>
      </c>
      <c r="F66">
        <v>1018</v>
      </c>
      <c r="G66" t="s">
        <v>112</v>
      </c>
      <c r="J66" t="s">
        <v>113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R66" t="s">
        <v>114</v>
      </c>
      <c r="S66" t="str">
        <f>"18:35:28.594"</f>
        <v>18:35:28.594</v>
      </c>
      <c r="T66" t="str">
        <f>"18:35:28.594"</f>
        <v>18:35:28.594</v>
      </c>
      <c r="U66" t="str">
        <f t="shared" ref="U66:U129" si="4">"a1cdbe"</f>
        <v>a1cdbe</v>
      </c>
      <c r="V66">
        <v>0</v>
      </c>
      <c r="W66">
        <v>0</v>
      </c>
      <c r="X66">
        <v>1</v>
      </c>
      <c r="Y66">
        <v>0</v>
      </c>
      <c r="Z66">
        <v>0</v>
      </c>
      <c r="AB66">
        <v>0</v>
      </c>
      <c r="AC66">
        <v>9</v>
      </c>
      <c r="AD66">
        <v>3</v>
      </c>
      <c r="AE66">
        <v>0</v>
      </c>
      <c r="AF66">
        <v>9</v>
      </c>
      <c r="AG66" t="s">
        <v>158</v>
      </c>
      <c r="AH66">
        <v>0</v>
      </c>
      <c r="AI66">
        <v>3</v>
      </c>
      <c r="AJ66">
        <v>1</v>
      </c>
      <c r="AK66">
        <v>0</v>
      </c>
      <c r="AL66" t="s">
        <v>245</v>
      </c>
      <c r="AM66">
        <v>47.114353000000001</v>
      </c>
      <c r="AN66" t="s">
        <v>246</v>
      </c>
      <c r="AO66">
        <v>-122.273476</v>
      </c>
      <c r="AP66">
        <v>100</v>
      </c>
      <c r="AQ66">
        <v>1400</v>
      </c>
      <c r="AR66" t="s">
        <v>118</v>
      </c>
      <c r="AS66">
        <v>40</v>
      </c>
      <c r="AT66">
        <v>-52</v>
      </c>
      <c r="AU66">
        <v>896</v>
      </c>
      <c r="BC66">
        <v>1200</v>
      </c>
      <c r="BD66">
        <v>1</v>
      </c>
      <c r="BE66" t="str">
        <f t="shared" ref="BE66:BE129" si="5">"N215T   "</f>
        <v xml:space="preserve">N215T   </v>
      </c>
      <c r="BF66">
        <v>1</v>
      </c>
      <c r="BH66">
        <v>0</v>
      </c>
      <c r="BI66">
        <v>0</v>
      </c>
      <c r="BJ66">
        <v>0</v>
      </c>
      <c r="BK66">
        <v>1825</v>
      </c>
      <c r="BL66">
        <v>425</v>
      </c>
      <c r="BM66" t="s">
        <v>119</v>
      </c>
      <c r="BN66">
        <v>1</v>
      </c>
      <c r="BO66">
        <v>1</v>
      </c>
      <c r="BP66">
        <v>1</v>
      </c>
      <c r="BQ66">
        <v>0</v>
      </c>
      <c r="BT66">
        <v>0</v>
      </c>
      <c r="BU66">
        <v>0</v>
      </c>
      <c r="BV66">
        <v>0</v>
      </c>
      <c r="CC66" t="str">
        <f>"18:35:28.602"</f>
        <v>18:35:28.602</v>
      </c>
      <c r="CD66" t="str">
        <f>"598898172"</f>
        <v>598898172</v>
      </c>
      <c r="CQ66">
        <v>0</v>
      </c>
      <c r="CR66">
        <v>2</v>
      </c>
      <c r="CS66">
        <v>0</v>
      </c>
      <c r="CT66">
        <v>2</v>
      </c>
      <c r="CU66">
        <v>0</v>
      </c>
      <c r="CV66">
        <v>2</v>
      </c>
      <c r="CW66" t="s">
        <v>120</v>
      </c>
      <c r="CX66">
        <v>259</v>
      </c>
      <c r="CY66">
        <v>1</v>
      </c>
      <c r="CZ66" t="s">
        <v>197</v>
      </c>
      <c r="DA66" t="s">
        <v>198</v>
      </c>
      <c r="DD66">
        <v>14664384</v>
      </c>
      <c r="DE66" t="s">
        <v>123</v>
      </c>
    </row>
    <row r="67" spans="1:109" x14ac:dyDescent="0.3">
      <c r="A67" t="str">
        <f>"18:35:29.820"</f>
        <v>18:35:29.820</v>
      </c>
      <c r="B67" t="s">
        <v>110</v>
      </c>
      <c r="C67" t="str">
        <f t="shared" si="3"/>
        <v>ffdfd3c0</v>
      </c>
      <c r="D67" t="s">
        <v>111</v>
      </c>
      <c r="E67">
        <v>18</v>
      </c>
      <c r="F67">
        <v>1018</v>
      </c>
      <c r="G67" t="s">
        <v>112</v>
      </c>
      <c r="J67" t="s">
        <v>113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R67" t="s">
        <v>114</v>
      </c>
      <c r="S67" t="str">
        <f>"18:35:29.555"</f>
        <v>18:35:29.555</v>
      </c>
      <c r="T67" t="str">
        <f>"18:35:29.453"</f>
        <v>18:35:29.453</v>
      </c>
      <c r="U67" t="str">
        <f t="shared" si="4"/>
        <v>a1cdbe</v>
      </c>
      <c r="V67">
        <v>0</v>
      </c>
      <c r="W67">
        <v>0</v>
      </c>
      <c r="X67">
        <v>1</v>
      </c>
      <c r="Y67">
        <v>0</v>
      </c>
      <c r="Z67">
        <v>0</v>
      </c>
      <c r="AB67">
        <v>0</v>
      </c>
      <c r="AC67">
        <v>9</v>
      </c>
      <c r="AD67">
        <v>3</v>
      </c>
      <c r="AE67">
        <v>0</v>
      </c>
      <c r="AF67">
        <v>9</v>
      </c>
      <c r="AG67" t="s">
        <v>158</v>
      </c>
      <c r="AH67">
        <v>0</v>
      </c>
      <c r="AI67">
        <v>3</v>
      </c>
      <c r="AJ67">
        <v>1</v>
      </c>
      <c r="AK67">
        <v>0</v>
      </c>
      <c r="AL67" t="s">
        <v>247</v>
      </c>
      <c r="AM67">
        <v>47.114096000000004</v>
      </c>
      <c r="AN67" t="s">
        <v>248</v>
      </c>
      <c r="AO67">
        <v>-122.27315400000001</v>
      </c>
      <c r="AP67">
        <v>100</v>
      </c>
      <c r="AQ67">
        <v>1400</v>
      </c>
      <c r="AR67" t="s">
        <v>118</v>
      </c>
      <c r="AS67">
        <v>38</v>
      </c>
      <c r="AT67">
        <v>-54</v>
      </c>
      <c r="AU67">
        <v>768</v>
      </c>
      <c r="BC67">
        <v>1200</v>
      </c>
      <c r="BD67">
        <v>1</v>
      </c>
      <c r="BE67" t="str">
        <f t="shared" si="5"/>
        <v xml:space="preserve">N215T   </v>
      </c>
      <c r="BF67">
        <v>1</v>
      </c>
      <c r="BH67">
        <v>0</v>
      </c>
      <c r="BI67">
        <v>0</v>
      </c>
      <c r="BJ67">
        <v>0</v>
      </c>
      <c r="BK67">
        <v>1850</v>
      </c>
      <c r="BL67">
        <v>450</v>
      </c>
      <c r="BM67" t="s">
        <v>119</v>
      </c>
      <c r="BN67">
        <v>1</v>
      </c>
      <c r="BO67">
        <v>1</v>
      </c>
      <c r="BP67">
        <v>1</v>
      </c>
      <c r="BQ67">
        <v>0</v>
      </c>
      <c r="BT67">
        <v>0</v>
      </c>
      <c r="BU67">
        <v>0</v>
      </c>
      <c r="BV67">
        <v>0</v>
      </c>
      <c r="CC67" t="str">
        <f>"18:35:29.563"</f>
        <v>18:35:29.563</v>
      </c>
      <c r="CD67" t="str">
        <f>"558633124"</f>
        <v>558633124</v>
      </c>
      <c r="CQ67">
        <v>0</v>
      </c>
      <c r="CR67">
        <v>2</v>
      </c>
      <c r="CS67">
        <v>0</v>
      </c>
      <c r="CT67">
        <v>2</v>
      </c>
      <c r="CU67">
        <v>0</v>
      </c>
      <c r="CV67">
        <v>3</v>
      </c>
      <c r="CW67" t="s">
        <v>172</v>
      </c>
      <c r="CX67">
        <v>325</v>
      </c>
      <c r="CY67">
        <v>0</v>
      </c>
      <c r="CZ67" t="s">
        <v>219</v>
      </c>
      <c r="DA67" t="s">
        <v>220</v>
      </c>
      <c r="DD67">
        <v>4412230</v>
      </c>
      <c r="DE67" t="s">
        <v>123</v>
      </c>
    </row>
    <row r="68" spans="1:109" x14ac:dyDescent="0.3">
      <c r="A68" t="str">
        <f>"18:35:30.680"</f>
        <v>18:35:30.680</v>
      </c>
      <c r="B68" t="s">
        <v>110</v>
      </c>
      <c r="C68" t="str">
        <f t="shared" si="3"/>
        <v>ffdfd3c0</v>
      </c>
      <c r="D68" t="s">
        <v>111</v>
      </c>
      <c r="E68">
        <v>18</v>
      </c>
      <c r="F68">
        <v>1018</v>
      </c>
      <c r="G68" t="s">
        <v>112</v>
      </c>
      <c r="J68" t="s">
        <v>113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R68" t="s">
        <v>114</v>
      </c>
      <c r="S68" t="str">
        <f>"18:35:30.438"</f>
        <v>18:35:30.438</v>
      </c>
      <c r="T68" t="str">
        <f>"18:35:30.039"</f>
        <v>18:35:30.039</v>
      </c>
      <c r="U68" t="str">
        <f t="shared" si="4"/>
        <v>a1cdbe</v>
      </c>
      <c r="V68">
        <v>0</v>
      </c>
      <c r="W68">
        <v>0</v>
      </c>
      <c r="X68">
        <v>1</v>
      </c>
      <c r="Y68">
        <v>0</v>
      </c>
      <c r="Z68">
        <v>0</v>
      </c>
      <c r="AB68">
        <v>0</v>
      </c>
      <c r="AC68">
        <v>9</v>
      </c>
      <c r="AD68">
        <v>3</v>
      </c>
      <c r="AE68">
        <v>0</v>
      </c>
      <c r="AF68">
        <v>9</v>
      </c>
      <c r="AG68" t="s">
        <v>158</v>
      </c>
      <c r="AH68">
        <v>0</v>
      </c>
      <c r="AI68">
        <v>3</v>
      </c>
      <c r="AJ68">
        <v>1</v>
      </c>
      <c r="AK68">
        <v>0</v>
      </c>
      <c r="AL68" t="s">
        <v>249</v>
      </c>
      <c r="AM68">
        <v>47.113860000000003</v>
      </c>
      <c r="AN68" t="s">
        <v>250</v>
      </c>
      <c r="AO68">
        <v>-122.272961</v>
      </c>
      <c r="AP68">
        <v>100</v>
      </c>
      <c r="AQ68">
        <v>1400</v>
      </c>
      <c r="AR68" t="s">
        <v>118</v>
      </c>
      <c r="AS68">
        <v>37</v>
      </c>
      <c r="AT68">
        <v>-56</v>
      </c>
      <c r="AU68">
        <v>768</v>
      </c>
      <c r="BC68">
        <v>1200</v>
      </c>
      <c r="BD68">
        <v>1</v>
      </c>
      <c r="BE68" t="str">
        <f t="shared" si="5"/>
        <v xml:space="preserve">N215T   </v>
      </c>
      <c r="BF68">
        <v>1</v>
      </c>
      <c r="BH68">
        <v>0</v>
      </c>
      <c r="BI68">
        <v>0</v>
      </c>
      <c r="BJ68">
        <v>0</v>
      </c>
      <c r="BK68">
        <v>1850</v>
      </c>
      <c r="BL68">
        <v>450</v>
      </c>
      <c r="BM68" t="s">
        <v>119</v>
      </c>
      <c r="BN68">
        <v>1</v>
      </c>
      <c r="BO68">
        <v>1</v>
      </c>
      <c r="BP68">
        <v>1</v>
      </c>
      <c r="BQ68">
        <v>0</v>
      </c>
      <c r="BT68">
        <v>0</v>
      </c>
      <c r="BU68">
        <v>0</v>
      </c>
      <c r="BV68">
        <v>0</v>
      </c>
      <c r="CC68" t="str">
        <f>"18:35:30.445"</f>
        <v>18:35:30.445</v>
      </c>
      <c r="CD68" t="str">
        <f>"443546116"</f>
        <v>443546116</v>
      </c>
      <c r="CQ68">
        <v>0</v>
      </c>
      <c r="CR68">
        <v>2</v>
      </c>
      <c r="CS68">
        <v>0</v>
      </c>
      <c r="CT68">
        <v>2</v>
      </c>
      <c r="CU68">
        <v>0</v>
      </c>
      <c r="CV68">
        <v>5</v>
      </c>
      <c r="CW68" t="s">
        <v>172</v>
      </c>
      <c r="CX68">
        <v>325</v>
      </c>
      <c r="CY68">
        <v>0</v>
      </c>
      <c r="CZ68" t="s">
        <v>219</v>
      </c>
      <c r="DA68" t="s">
        <v>220</v>
      </c>
      <c r="DD68">
        <v>4412679</v>
      </c>
      <c r="DE68" t="s">
        <v>123</v>
      </c>
    </row>
    <row r="69" spans="1:109" x14ac:dyDescent="0.3">
      <c r="A69" t="str">
        <f>"18:35:31.688"</f>
        <v>18:35:31.688</v>
      </c>
      <c r="B69" t="s">
        <v>110</v>
      </c>
      <c r="C69" t="str">
        <f t="shared" si="3"/>
        <v>ffdfd3c0</v>
      </c>
      <c r="D69" t="s">
        <v>111</v>
      </c>
      <c r="E69">
        <v>18</v>
      </c>
      <c r="F69">
        <v>1018</v>
      </c>
      <c r="G69" t="s">
        <v>112</v>
      </c>
      <c r="J69" t="s">
        <v>113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R69" t="s">
        <v>114</v>
      </c>
      <c r="S69" t="str">
        <f>"18:35:31.461"</f>
        <v>18:35:31.461</v>
      </c>
      <c r="T69" t="str">
        <f>"18:35:31.461"</f>
        <v>18:35:31.461</v>
      </c>
      <c r="U69" t="str">
        <f t="shared" si="4"/>
        <v>a1cdbe</v>
      </c>
      <c r="V69">
        <v>0</v>
      </c>
      <c r="W69">
        <v>0</v>
      </c>
      <c r="X69">
        <v>1</v>
      </c>
      <c r="Y69">
        <v>0</v>
      </c>
      <c r="Z69">
        <v>0</v>
      </c>
      <c r="AB69">
        <v>0</v>
      </c>
      <c r="AC69">
        <v>9</v>
      </c>
      <c r="AD69">
        <v>3</v>
      </c>
      <c r="AE69">
        <v>0</v>
      </c>
      <c r="AF69">
        <v>9</v>
      </c>
      <c r="AG69" t="s">
        <v>158</v>
      </c>
      <c r="AH69">
        <v>0</v>
      </c>
      <c r="AI69">
        <v>3</v>
      </c>
      <c r="AJ69">
        <v>1</v>
      </c>
      <c r="AK69">
        <v>0</v>
      </c>
      <c r="AL69" t="s">
        <v>251</v>
      </c>
      <c r="AM69">
        <v>47.113602</v>
      </c>
      <c r="AN69" t="s">
        <v>252</v>
      </c>
      <c r="AO69">
        <v>-122.272682</v>
      </c>
      <c r="AP69">
        <v>100</v>
      </c>
      <c r="AQ69">
        <v>1500</v>
      </c>
      <c r="AR69" t="s">
        <v>118</v>
      </c>
      <c r="AS69">
        <v>33</v>
      </c>
      <c r="AT69">
        <v>-59</v>
      </c>
      <c r="AU69">
        <v>768</v>
      </c>
      <c r="BC69">
        <v>1200</v>
      </c>
      <c r="BD69">
        <v>1</v>
      </c>
      <c r="BE69" t="str">
        <f t="shared" si="5"/>
        <v xml:space="preserve">N215T   </v>
      </c>
      <c r="BF69">
        <v>1</v>
      </c>
      <c r="BH69">
        <v>0</v>
      </c>
      <c r="BI69">
        <v>0</v>
      </c>
      <c r="BJ69">
        <v>0</v>
      </c>
      <c r="BK69">
        <v>1850</v>
      </c>
      <c r="BL69">
        <v>350</v>
      </c>
      <c r="BM69" t="s">
        <v>119</v>
      </c>
      <c r="BN69">
        <v>1</v>
      </c>
      <c r="BO69">
        <v>1</v>
      </c>
      <c r="BP69">
        <v>1</v>
      </c>
      <c r="BQ69">
        <v>0</v>
      </c>
      <c r="BT69">
        <v>0</v>
      </c>
      <c r="BU69">
        <v>0</v>
      </c>
      <c r="BV69">
        <v>0</v>
      </c>
      <c r="CC69" t="str">
        <f>"18:35:31.461"</f>
        <v>18:35:31.461</v>
      </c>
      <c r="CD69" t="str">
        <f>"463445832"</f>
        <v>463445832</v>
      </c>
      <c r="CQ69">
        <v>0</v>
      </c>
      <c r="CR69">
        <v>2</v>
      </c>
      <c r="CS69">
        <v>0</v>
      </c>
      <c r="CT69">
        <v>2</v>
      </c>
      <c r="CU69">
        <v>0</v>
      </c>
      <c r="CV69">
        <v>5</v>
      </c>
      <c r="CW69" t="s">
        <v>172</v>
      </c>
      <c r="CX69">
        <v>325</v>
      </c>
      <c r="CY69">
        <v>0</v>
      </c>
      <c r="CZ69" t="s">
        <v>219</v>
      </c>
      <c r="DA69" t="s">
        <v>220</v>
      </c>
      <c r="DD69">
        <v>4413136</v>
      </c>
      <c r="DE69" t="s">
        <v>123</v>
      </c>
    </row>
    <row r="70" spans="1:109" x14ac:dyDescent="0.3">
      <c r="A70" t="str">
        <f>"18:35:32.734"</f>
        <v>18:35:32.734</v>
      </c>
      <c r="B70" t="s">
        <v>110</v>
      </c>
      <c r="C70" t="str">
        <f t="shared" si="3"/>
        <v>ffdfd3c0</v>
      </c>
      <c r="D70" t="s">
        <v>111</v>
      </c>
      <c r="E70">
        <v>18</v>
      </c>
      <c r="F70">
        <v>1018</v>
      </c>
      <c r="G70" t="s">
        <v>112</v>
      </c>
      <c r="J70" t="s">
        <v>113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R70" t="s">
        <v>114</v>
      </c>
      <c r="S70" t="str">
        <f>"18:35:32.508"</f>
        <v>18:35:32.508</v>
      </c>
      <c r="T70" t="str">
        <f>"18:35:32.508"</f>
        <v>18:35:32.508</v>
      </c>
      <c r="U70" t="str">
        <f t="shared" si="4"/>
        <v>a1cdbe</v>
      </c>
      <c r="V70">
        <v>0</v>
      </c>
      <c r="W70">
        <v>0</v>
      </c>
      <c r="X70">
        <v>1</v>
      </c>
      <c r="Y70">
        <v>0</v>
      </c>
      <c r="Z70">
        <v>0</v>
      </c>
      <c r="AB70">
        <v>0</v>
      </c>
      <c r="AC70">
        <v>9</v>
      </c>
      <c r="AD70">
        <v>3</v>
      </c>
      <c r="AE70">
        <v>0</v>
      </c>
      <c r="AF70">
        <v>9</v>
      </c>
      <c r="AG70" t="s">
        <v>158</v>
      </c>
      <c r="AH70">
        <v>0</v>
      </c>
      <c r="AI70">
        <v>3</v>
      </c>
      <c r="AJ70">
        <v>1</v>
      </c>
      <c r="AK70">
        <v>0</v>
      </c>
      <c r="AL70" t="s">
        <v>253</v>
      </c>
      <c r="AM70">
        <v>47.113301999999997</v>
      </c>
      <c r="AN70" t="s">
        <v>254</v>
      </c>
      <c r="AO70">
        <v>-122.272468</v>
      </c>
      <c r="AP70">
        <v>100</v>
      </c>
      <c r="AQ70">
        <v>1500</v>
      </c>
      <c r="AR70" t="s">
        <v>118</v>
      </c>
      <c r="AS70">
        <v>32</v>
      </c>
      <c r="AT70">
        <v>-60</v>
      </c>
      <c r="AU70">
        <v>832</v>
      </c>
      <c r="BC70">
        <v>1200</v>
      </c>
      <c r="BD70">
        <v>1</v>
      </c>
      <c r="BE70" t="str">
        <f t="shared" si="5"/>
        <v xml:space="preserve">N215T   </v>
      </c>
      <c r="BF70">
        <v>1</v>
      </c>
      <c r="BH70">
        <v>0</v>
      </c>
      <c r="BI70">
        <v>0</v>
      </c>
      <c r="BJ70">
        <v>0</v>
      </c>
      <c r="BK70">
        <v>1875</v>
      </c>
      <c r="BL70">
        <v>375</v>
      </c>
      <c r="BM70" t="s">
        <v>119</v>
      </c>
      <c r="BN70">
        <v>1</v>
      </c>
      <c r="BO70">
        <v>1</v>
      </c>
      <c r="BP70">
        <v>1</v>
      </c>
      <c r="BQ70">
        <v>0</v>
      </c>
      <c r="BT70">
        <v>0</v>
      </c>
      <c r="BU70">
        <v>0</v>
      </c>
      <c r="BV70">
        <v>0</v>
      </c>
      <c r="CC70" t="str">
        <f>"18:35:32.516"</f>
        <v>18:35:32.516</v>
      </c>
      <c r="CD70" t="str">
        <f>"513513220"</f>
        <v>513513220</v>
      </c>
      <c r="CQ70">
        <v>0</v>
      </c>
      <c r="CR70">
        <v>2</v>
      </c>
      <c r="CS70">
        <v>0</v>
      </c>
      <c r="CT70">
        <v>2</v>
      </c>
      <c r="CU70">
        <v>0</v>
      </c>
      <c r="CV70">
        <v>5</v>
      </c>
      <c r="CW70" t="s">
        <v>120</v>
      </c>
      <c r="CX70">
        <v>259</v>
      </c>
      <c r="CY70">
        <v>1</v>
      </c>
      <c r="CZ70" t="s">
        <v>197</v>
      </c>
      <c r="DA70" t="s">
        <v>198</v>
      </c>
      <c r="DD70">
        <v>14666795</v>
      </c>
      <c r="DE70" t="s">
        <v>123</v>
      </c>
    </row>
    <row r="71" spans="1:109" x14ac:dyDescent="0.3">
      <c r="A71" t="str">
        <f>"18:35:33.797"</f>
        <v>18:35:33.797</v>
      </c>
      <c r="B71" t="s">
        <v>110</v>
      </c>
      <c r="C71" t="str">
        <f t="shared" si="3"/>
        <v>ffdfd3c0</v>
      </c>
      <c r="D71" t="s">
        <v>111</v>
      </c>
      <c r="E71">
        <v>18</v>
      </c>
      <c r="F71">
        <v>1018</v>
      </c>
      <c r="G71" t="s">
        <v>112</v>
      </c>
      <c r="J71" t="s">
        <v>113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R71" t="s">
        <v>114</v>
      </c>
      <c r="S71" t="str">
        <f>"18:35:33.586"</f>
        <v>18:35:33.586</v>
      </c>
      <c r="T71" t="str">
        <f>"18:35:33.086"</f>
        <v>18:35:33.086</v>
      </c>
      <c r="U71" t="str">
        <f t="shared" si="4"/>
        <v>a1cdbe</v>
      </c>
      <c r="V71">
        <v>0</v>
      </c>
      <c r="W71">
        <v>0</v>
      </c>
      <c r="X71">
        <v>1</v>
      </c>
      <c r="Y71">
        <v>0</v>
      </c>
      <c r="Z71">
        <v>0</v>
      </c>
      <c r="AB71">
        <v>0</v>
      </c>
      <c r="AC71">
        <v>9</v>
      </c>
      <c r="AD71">
        <v>3</v>
      </c>
      <c r="AE71">
        <v>0</v>
      </c>
      <c r="AF71">
        <v>9</v>
      </c>
      <c r="AG71" t="s">
        <v>158</v>
      </c>
      <c r="AH71">
        <v>0</v>
      </c>
      <c r="AI71">
        <v>3</v>
      </c>
      <c r="AJ71">
        <v>1</v>
      </c>
      <c r="AK71">
        <v>0</v>
      </c>
      <c r="AL71" t="s">
        <v>255</v>
      </c>
      <c r="AM71">
        <v>47.113000999999997</v>
      </c>
      <c r="AN71" t="s">
        <v>256</v>
      </c>
      <c r="AO71">
        <v>-122.272274</v>
      </c>
      <c r="AP71">
        <v>100</v>
      </c>
      <c r="AQ71">
        <v>1500</v>
      </c>
      <c r="AR71" t="s">
        <v>118</v>
      </c>
      <c r="AS71">
        <v>32</v>
      </c>
      <c r="AT71">
        <v>-61</v>
      </c>
      <c r="AU71">
        <v>704</v>
      </c>
      <c r="BC71">
        <v>1200</v>
      </c>
      <c r="BD71">
        <v>1</v>
      </c>
      <c r="BE71" t="str">
        <f t="shared" si="5"/>
        <v xml:space="preserve">N215T   </v>
      </c>
      <c r="BF71">
        <v>1</v>
      </c>
      <c r="BH71">
        <v>0</v>
      </c>
      <c r="BI71">
        <v>0</v>
      </c>
      <c r="BJ71">
        <v>0</v>
      </c>
      <c r="BK71">
        <v>1875</v>
      </c>
      <c r="BL71">
        <v>375</v>
      </c>
      <c r="BM71" t="s">
        <v>119</v>
      </c>
      <c r="BN71">
        <v>1</v>
      </c>
      <c r="BO71">
        <v>1</v>
      </c>
      <c r="BP71">
        <v>1</v>
      </c>
      <c r="BQ71">
        <v>0</v>
      </c>
      <c r="BT71">
        <v>0</v>
      </c>
      <c r="BU71">
        <v>0</v>
      </c>
      <c r="BV71">
        <v>0</v>
      </c>
      <c r="CC71" t="str">
        <f>"18:35:33.594"</f>
        <v>18:35:33.594</v>
      </c>
      <c r="CD71" t="str">
        <f>"593407048"</f>
        <v>593407048</v>
      </c>
      <c r="CQ71">
        <v>0</v>
      </c>
      <c r="CR71">
        <v>2</v>
      </c>
      <c r="CS71">
        <v>0</v>
      </c>
      <c r="CT71">
        <v>2</v>
      </c>
      <c r="CU71">
        <v>0</v>
      </c>
      <c r="CV71">
        <v>5</v>
      </c>
      <c r="CW71" t="s">
        <v>120</v>
      </c>
      <c r="CX71">
        <v>259</v>
      </c>
      <c r="CY71">
        <v>1</v>
      </c>
      <c r="CZ71" t="s">
        <v>197</v>
      </c>
      <c r="DA71" t="s">
        <v>198</v>
      </c>
      <c r="DD71">
        <v>14667482</v>
      </c>
      <c r="DE71" t="s">
        <v>123</v>
      </c>
    </row>
    <row r="72" spans="1:109" x14ac:dyDescent="0.3">
      <c r="A72" t="str">
        <f>"18:35:34.797"</f>
        <v>18:35:34.797</v>
      </c>
      <c r="B72" t="s">
        <v>110</v>
      </c>
      <c r="C72" t="str">
        <f t="shared" si="3"/>
        <v>ffdfd3c0</v>
      </c>
      <c r="D72" t="s">
        <v>111</v>
      </c>
      <c r="E72">
        <v>18</v>
      </c>
      <c r="F72">
        <v>1018</v>
      </c>
      <c r="G72" t="s">
        <v>112</v>
      </c>
      <c r="J72" t="s">
        <v>113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R72" t="s">
        <v>114</v>
      </c>
      <c r="S72" t="str">
        <f>"18:35:34.563"</f>
        <v>18:35:34.563</v>
      </c>
      <c r="T72" t="str">
        <f>"18:35:34.164"</f>
        <v>18:35:34.164</v>
      </c>
      <c r="U72" t="str">
        <f t="shared" si="4"/>
        <v>a1cdbe</v>
      </c>
      <c r="V72">
        <v>0</v>
      </c>
      <c r="W72">
        <v>0</v>
      </c>
      <c r="X72">
        <v>1</v>
      </c>
      <c r="Y72">
        <v>0</v>
      </c>
      <c r="Z72">
        <v>0</v>
      </c>
      <c r="AB72">
        <v>0</v>
      </c>
      <c r="AC72">
        <v>9</v>
      </c>
      <c r="AD72">
        <v>3</v>
      </c>
      <c r="AE72">
        <v>0</v>
      </c>
      <c r="AF72">
        <v>9</v>
      </c>
      <c r="AG72" t="s">
        <v>158</v>
      </c>
      <c r="AH72">
        <v>0</v>
      </c>
      <c r="AI72">
        <v>3</v>
      </c>
      <c r="AJ72">
        <v>1</v>
      </c>
      <c r="AK72">
        <v>0</v>
      </c>
      <c r="AL72" t="s">
        <v>257</v>
      </c>
      <c r="AM72">
        <v>47.112721999999998</v>
      </c>
      <c r="AN72" t="s">
        <v>258</v>
      </c>
      <c r="AO72">
        <v>-122.27206</v>
      </c>
      <c r="AP72">
        <v>100</v>
      </c>
      <c r="AQ72">
        <v>1500</v>
      </c>
      <c r="AR72" t="s">
        <v>118</v>
      </c>
      <c r="AS72">
        <v>31</v>
      </c>
      <c r="AT72">
        <v>-63</v>
      </c>
      <c r="AU72">
        <v>704</v>
      </c>
      <c r="BC72">
        <v>1200</v>
      </c>
      <c r="BD72">
        <v>1</v>
      </c>
      <c r="BE72" t="str">
        <f t="shared" si="5"/>
        <v xml:space="preserve">N215T   </v>
      </c>
      <c r="BF72">
        <v>1</v>
      </c>
      <c r="BH72">
        <v>0</v>
      </c>
      <c r="BI72">
        <v>0</v>
      </c>
      <c r="BJ72">
        <v>0</v>
      </c>
      <c r="BK72">
        <v>1875</v>
      </c>
      <c r="BL72">
        <v>375</v>
      </c>
      <c r="BM72" t="s">
        <v>119</v>
      </c>
      <c r="BN72">
        <v>1</v>
      </c>
      <c r="BO72">
        <v>1</v>
      </c>
      <c r="BP72">
        <v>1</v>
      </c>
      <c r="BQ72">
        <v>0</v>
      </c>
      <c r="BT72">
        <v>0</v>
      </c>
      <c r="BU72">
        <v>0</v>
      </c>
      <c r="BV72">
        <v>0</v>
      </c>
      <c r="CC72" t="str">
        <f>"18:35:34.570"</f>
        <v>18:35:34.570</v>
      </c>
      <c r="CD72" t="str">
        <f>"568140560"</f>
        <v>568140560</v>
      </c>
      <c r="CQ72">
        <v>0</v>
      </c>
      <c r="CR72">
        <v>2</v>
      </c>
      <c r="CS72">
        <v>0</v>
      </c>
      <c r="CT72">
        <v>2</v>
      </c>
      <c r="CU72">
        <v>0</v>
      </c>
      <c r="CV72">
        <v>4</v>
      </c>
      <c r="CW72" t="s">
        <v>172</v>
      </c>
      <c r="CX72">
        <v>325</v>
      </c>
      <c r="CY72">
        <v>0</v>
      </c>
      <c r="CZ72" t="s">
        <v>219</v>
      </c>
      <c r="DA72" t="s">
        <v>220</v>
      </c>
      <c r="DD72">
        <v>4414591</v>
      </c>
      <c r="DE72" t="s">
        <v>123</v>
      </c>
    </row>
    <row r="73" spans="1:109" x14ac:dyDescent="0.3">
      <c r="A73" t="str">
        <f>"18:35:35.656"</f>
        <v>18:35:35.656</v>
      </c>
      <c r="B73" t="s">
        <v>110</v>
      </c>
      <c r="C73" t="str">
        <f t="shared" si="3"/>
        <v>ffdfd3c0</v>
      </c>
      <c r="D73" t="s">
        <v>111</v>
      </c>
      <c r="E73">
        <v>18</v>
      </c>
      <c r="F73">
        <v>1018</v>
      </c>
      <c r="G73" t="s">
        <v>112</v>
      </c>
      <c r="J73" t="s">
        <v>113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R73" t="s">
        <v>114</v>
      </c>
      <c r="S73" t="str">
        <f>"18:35:35.422"</f>
        <v>18:35:35.422</v>
      </c>
      <c r="T73" t="str">
        <f>"18:35:35.219"</f>
        <v>18:35:35.219</v>
      </c>
      <c r="U73" t="str">
        <f t="shared" si="4"/>
        <v>a1cdbe</v>
      </c>
      <c r="V73">
        <v>0</v>
      </c>
      <c r="W73">
        <v>0</v>
      </c>
      <c r="X73">
        <v>1</v>
      </c>
      <c r="Y73">
        <v>0</v>
      </c>
      <c r="Z73">
        <v>0</v>
      </c>
      <c r="AB73">
        <v>0</v>
      </c>
      <c r="AC73">
        <v>9</v>
      </c>
      <c r="AD73">
        <v>3</v>
      </c>
      <c r="AE73">
        <v>0</v>
      </c>
      <c r="AF73">
        <v>9</v>
      </c>
      <c r="AG73" t="s">
        <v>158</v>
      </c>
      <c r="AH73">
        <v>0</v>
      </c>
      <c r="AI73">
        <v>3</v>
      </c>
      <c r="AJ73">
        <v>1</v>
      </c>
      <c r="AK73">
        <v>0</v>
      </c>
      <c r="AL73" t="s">
        <v>259</v>
      </c>
      <c r="AM73">
        <v>47.112442999999999</v>
      </c>
      <c r="AN73" t="s">
        <v>260</v>
      </c>
      <c r="AO73">
        <v>-122.27191000000001</v>
      </c>
      <c r="AP73">
        <v>100</v>
      </c>
      <c r="AQ73">
        <v>1500</v>
      </c>
      <c r="AR73" t="s">
        <v>118</v>
      </c>
      <c r="AS73">
        <v>29</v>
      </c>
      <c r="AT73">
        <v>-65</v>
      </c>
      <c r="AU73">
        <v>704</v>
      </c>
      <c r="BC73">
        <v>1200</v>
      </c>
      <c r="BD73">
        <v>1</v>
      </c>
      <c r="BE73" t="str">
        <f t="shared" si="5"/>
        <v xml:space="preserve">N215T   </v>
      </c>
      <c r="BF73">
        <v>1</v>
      </c>
      <c r="BH73">
        <v>0</v>
      </c>
      <c r="BI73">
        <v>0</v>
      </c>
      <c r="BJ73">
        <v>0</v>
      </c>
      <c r="BK73">
        <v>1900</v>
      </c>
      <c r="BL73">
        <v>400</v>
      </c>
      <c r="BM73" t="s">
        <v>119</v>
      </c>
      <c r="BN73">
        <v>1</v>
      </c>
      <c r="BO73">
        <v>1</v>
      </c>
      <c r="BP73">
        <v>1</v>
      </c>
      <c r="BQ73">
        <v>0</v>
      </c>
      <c r="BT73">
        <v>0</v>
      </c>
      <c r="BU73">
        <v>0</v>
      </c>
      <c r="BV73">
        <v>0</v>
      </c>
      <c r="CC73" t="str">
        <f>"18:35:35.422"</f>
        <v>18:35:35.422</v>
      </c>
      <c r="CD73" t="str">
        <f>"423227106"</f>
        <v>423227106</v>
      </c>
      <c r="CQ73">
        <v>0</v>
      </c>
      <c r="CR73">
        <v>2</v>
      </c>
      <c r="CS73">
        <v>0</v>
      </c>
      <c r="CT73">
        <v>2</v>
      </c>
      <c r="CU73">
        <v>0</v>
      </c>
      <c r="CV73">
        <v>5</v>
      </c>
      <c r="CW73" t="s">
        <v>120</v>
      </c>
      <c r="CX73">
        <v>259</v>
      </c>
      <c r="CY73">
        <v>1</v>
      </c>
      <c r="CZ73" t="s">
        <v>197</v>
      </c>
      <c r="DA73" t="s">
        <v>198</v>
      </c>
      <c r="DD73">
        <v>14668582</v>
      </c>
      <c r="DE73" t="s">
        <v>123</v>
      </c>
    </row>
    <row r="74" spans="1:109" x14ac:dyDescent="0.3">
      <c r="A74" t="str">
        <f>"18:35:36.555"</f>
        <v>18:35:36.555</v>
      </c>
      <c r="B74" t="s">
        <v>110</v>
      </c>
      <c r="C74" t="str">
        <f t="shared" si="3"/>
        <v>ffdfd3c0</v>
      </c>
      <c r="D74" t="s">
        <v>111</v>
      </c>
      <c r="E74">
        <v>18</v>
      </c>
      <c r="F74">
        <v>1018</v>
      </c>
      <c r="G74" t="s">
        <v>112</v>
      </c>
      <c r="J74" t="s">
        <v>113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R74" t="s">
        <v>114</v>
      </c>
      <c r="S74" t="str">
        <f>"18:35:36.336"</f>
        <v>18:35:36.336</v>
      </c>
      <c r="T74" t="str">
        <f>"18:35:36.336"</f>
        <v>18:35:36.336</v>
      </c>
      <c r="U74" t="str">
        <f t="shared" si="4"/>
        <v>a1cdbe</v>
      </c>
      <c r="V74">
        <v>0</v>
      </c>
      <c r="W74">
        <v>0</v>
      </c>
      <c r="X74">
        <v>1</v>
      </c>
      <c r="Y74">
        <v>0</v>
      </c>
      <c r="Z74">
        <v>0</v>
      </c>
      <c r="AB74">
        <v>0</v>
      </c>
      <c r="AC74">
        <v>9</v>
      </c>
      <c r="AD74">
        <v>3</v>
      </c>
      <c r="AE74">
        <v>0</v>
      </c>
      <c r="AF74">
        <v>9</v>
      </c>
      <c r="AG74" t="s">
        <v>158</v>
      </c>
      <c r="AH74">
        <v>0</v>
      </c>
      <c r="AI74">
        <v>3</v>
      </c>
      <c r="AJ74">
        <v>1</v>
      </c>
      <c r="AK74">
        <v>0</v>
      </c>
      <c r="AL74" t="s">
        <v>175</v>
      </c>
      <c r="AM74">
        <v>47.112164</v>
      </c>
      <c r="AN74" t="s">
        <v>261</v>
      </c>
      <c r="AO74">
        <v>-122.27169499999999</v>
      </c>
      <c r="AP74">
        <v>100</v>
      </c>
      <c r="AQ74">
        <v>1500</v>
      </c>
      <c r="AR74" t="s">
        <v>118</v>
      </c>
      <c r="AS74">
        <v>27</v>
      </c>
      <c r="AT74">
        <v>-66</v>
      </c>
      <c r="AU74">
        <v>896</v>
      </c>
      <c r="BC74">
        <v>1200</v>
      </c>
      <c r="BD74">
        <v>1</v>
      </c>
      <c r="BE74" t="str">
        <f t="shared" si="5"/>
        <v xml:space="preserve">N215T   </v>
      </c>
      <c r="BF74">
        <v>1</v>
      </c>
      <c r="BH74">
        <v>0</v>
      </c>
      <c r="BI74">
        <v>0</v>
      </c>
      <c r="BJ74">
        <v>0</v>
      </c>
      <c r="BK74">
        <v>1900</v>
      </c>
      <c r="BL74">
        <v>400</v>
      </c>
      <c r="BM74" t="s">
        <v>119</v>
      </c>
      <c r="BN74">
        <v>1</v>
      </c>
      <c r="BO74">
        <v>1</v>
      </c>
      <c r="BP74">
        <v>1</v>
      </c>
      <c r="BQ74">
        <v>0</v>
      </c>
      <c r="BT74">
        <v>0</v>
      </c>
      <c r="BU74">
        <v>0</v>
      </c>
      <c r="BV74">
        <v>0</v>
      </c>
      <c r="CC74" t="str">
        <f>"18:35:36.336"</f>
        <v>18:35:36.336</v>
      </c>
      <c r="CD74" t="str">
        <f>"338137156"</f>
        <v>338137156</v>
      </c>
      <c r="CQ74">
        <v>0</v>
      </c>
      <c r="CR74">
        <v>2</v>
      </c>
      <c r="CS74">
        <v>0</v>
      </c>
      <c r="CT74">
        <v>2</v>
      </c>
      <c r="CU74">
        <v>0</v>
      </c>
      <c r="CV74">
        <v>5</v>
      </c>
      <c r="CW74" t="s">
        <v>120</v>
      </c>
      <c r="CX74">
        <v>259</v>
      </c>
      <c r="CY74">
        <v>1</v>
      </c>
      <c r="CZ74" t="s">
        <v>197</v>
      </c>
      <c r="DA74" t="s">
        <v>198</v>
      </c>
      <c r="DD74">
        <v>14669140</v>
      </c>
      <c r="DE74" t="s">
        <v>123</v>
      </c>
    </row>
    <row r="75" spans="1:109" x14ac:dyDescent="0.3">
      <c r="A75" t="str">
        <f>"18:35:37.563"</f>
        <v>18:35:37.563</v>
      </c>
      <c r="B75" t="s">
        <v>110</v>
      </c>
      <c r="C75" t="str">
        <f t="shared" si="3"/>
        <v>ffdfd3c0</v>
      </c>
      <c r="D75" t="s">
        <v>111</v>
      </c>
      <c r="E75">
        <v>18</v>
      </c>
      <c r="F75">
        <v>1018</v>
      </c>
      <c r="G75" t="s">
        <v>112</v>
      </c>
      <c r="J75" t="s">
        <v>113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R75" t="s">
        <v>114</v>
      </c>
      <c r="S75" t="str">
        <f>"18:35:37.367"</f>
        <v>18:35:37.367</v>
      </c>
      <c r="T75" t="str">
        <f>"18:35:37.266"</f>
        <v>18:35:37.266</v>
      </c>
      <c r="U75" t="str">
        <f t="shared" si="4"/>
        <v>a1cdbe</v>
      </c>
      <c r="V75">
        <v>0</v>
      </c>
      <c r="W75">
        <v>0</v>
      </c>
      <c r="X75">
        <v>1</v>
      </c>
      <c r="Y75">
        <v>0</v>
      </c>
      <c r="Z75">
        <v>0</v>
      </c>
      <c r="AB75">
        <v>0</v>
      </c>
      <c r="AC75">
        <v>9</v>
      </c>
      <c r="AD75">
        <v>3</v>
      </c>
      <c r="AE75">
        <v>0</v>
      </c>
      <c r="AF75">
        <v>9</v>
      </c>
      <c r="AG75" t="s">
        <v>158</v>
      </c>
      <c r="AH75">
        <v>0</v>
      </c>
      <c r="AI75">
        <v>3</v>
      </c>
      <c r="AJ75">
        <v>1</v>
      </c>
      <c r="AK75">
        <v>0</v>
      </c>
      <c r="AL75" t="s">
        <v>262</v>
      </c>
      <c r="AM75">
        <v>47.111843</v>
      </c>
      <c r="AN75" t="s">
        <v>263</v>
      </c>
      <c r="AO75">
        <v>-122.27156600000001</v>
      </c>
      <c r="AP75">
        <v>100</v>
      </c>
      <c r="AQ75">
        <v>1500</v>
      </c>
      <c r="AR75" t="s">
        <v>118</v>
      </c>
      <c r="AS75">
        <v>24</v>
      </c>
      <c r="AT75">
        <v>-68</v>
      </c>
      <c r="AU75">
        <v>768</v>
      </c>
      <c r="BC75">
        <v>1200</v>
      </c>
      <c r="BD75">
        <v>1</v>
      </c>
      <c r="BE75" t="str">
        <f t="shared" si="5"/>
        <v xml:space="preserve">N215T   </v>
      </c>
      <c r="BF75">
        <v>1</v>
      </c>
      <c r="BH75">
        <v>0</v>
      </c>
      <c r="BI75">
        <v>0</v>
      </c>
      <c r="BJ75">
        <v>0</v>
      </c>
      <c r="BK75">
        <v>1925</v>
      </c>
      <c r="BL75">
        <v>425</v>
      </c>
      <c r="BM75" t="s">
        <v>119</v>
      </c>
      <c r="BN75">
        <v>1</v>
      </c>
      <c r="BO75">
        <v>1</v>
      </c>
      <c r="BP75">
        <v>1</v>
      </c>
      <c r="BQ75">
        <v>0</v>
      </c>
      <c r="BT75">
        <v>0</v>
      </c>
      <c r="BU75">
        <v>0</v>
      </c>
      <c r="BV75">
        <v>0</v>
      </c>
      <c r="CC75" t="str">
        <f>"18:35:37.375"</f>
        <v>18:35:37.375</v>
      </c>
      <c r="CD75" t="str">
        <f>"372864797"</f>
        <v>372864797</v>
      </c>
      <c r="CQ75">
        <v>0</v>
      </c>
      <c r="CR75">
        <v>2</v>
      </c>
      <c r="CS75">
        <v>0</v>
      </c>
      <c r="CT75">
        <v>2</v>
      </c>
      <c r="CU75">
        <v>0</v>
      </c>
      <c r="CV75">
        <v>4</v>
      </c>
      <c r="CW75" t="s">
        <v>172</v>
      </c>
      <c r="CX75">
        <v>325</v>
      </c>
      <c r="CY75">
        <v>0</v>
      </c>
      <c r="CZ75" t="s">
        <v>219</v>
      </c>
      <c r="DA75" t="s">
        <v>220</v>
      </c>
      <c r="DD75">
        <v>4415931</v>
      </c>
      <c r="DE75" t="s">
        <v>123</v>
      </c>
    </row>
    <row r="76" spans="1:109" x14ac:dyDescent="0.3">
      <c r="A76" t="str">
        <f>"18:35:38.773"</f>
        <v>18:35:38.773</v>
      </c>
      <c r="B76" t="s">
        <v>110</v>
      </c>
      <c r="C76" t="str">
        <f t="shared" si="3"/>
        <v>ffdfd3c0</v>
      </c>
      <c r="D76" t="s">
        <v>111</v>
      </c>
      <c r="E76">
        <v>18</v>
      </c>
      <c r="F76">
        <v>1018</v>
      </c>
      <c r="G76" t="s">
        <v>112</v>
      </c>
      <c r="J76" t="s">
        <v>113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R76" t="s">
        <v>114</v>
      </c>
      <c r="S76" t="str">
        <f>"18:35:38.555"</f>
        <v>18:35:38.555</v>
      </c>
      <c r="T76" t="str">
        <f>"18:35:38.258"</f>
        <v>18:35:38.258</v>
      </c>
      <c r="U76" t="str">
        <f t="shared" si="4"/>
        <v>a1cdbe</v>
      </c>
      <c r="V76">
        <v>0</v>
      </c>
      <c r="W76">
        <v>0</v>
      </c>
      <c r="X76">
        <v>1</v>
      </c>
      <c r="Y76">
        <v>0</v>
      </c>
      <c r="Z76">
        <v>0</v>
      </c>
      <c r="AB76">
        <v>0</v>
      </c>
      <c r="AC76">
        <v>9</v>
      </c>
      <c r="AD76">
        <v>3</v>
      </c>
      <c r="AE76">
        <v>0</v>
      </c>
      <c r="AF76">
        <v>9</v>
      </c>
      <c r="AG76" t="s">
        <v>158</v>
      </c>
      <c r="AH76">
        <v>0</v>
      </c>
      <c r="AI76">
        <v>3</v>
      </c>
      <c r="AJ76">
        <v>1</v>
      </c>
      <c r="AK76">
        <v>0</v>
      </c>
      <c r="AL76" t="s">
        <v>264</v>
      </c>
      <c r="AM76">
        <v>47.111477999999998</v>
      </c>
      <c r="AN76" t="s">
        <v>265</v>
      </c>
      <c r="AO76">
        <v>-122.271373</v>
      </c>
      <c r="AP76">
        <v>100</v>
      </c>
      <c r="AQ76">
        <v>1600</v>
      </c>
      <c r="AR76" t="s">
        <v>118</v>
      </c>
      <c r="AS76">
        <v>22</v>
      </c>
      <c r="AT76">
        <v>-69</v>
      </c>
      <c r="AU76">
        <v>704</v>
      </c>
      <c r="BC76">
        <v>1200</v>
      </c>
      <c r="BD76">
        <v>1</v>
      </c>
      <c r="BE76" t="str">
        <f t="shared" si="5"/>
        <v xml:space="preserve">N215T   </v>
      </c>
      <c r="BF76">
        <v>1</v>
      </c>
      <c r="BH76">
        <v>0</v>
      </c>
      <c r="BI76">
        <v>0</v>
      </c>
      <c r="BJ76">
        <v>0</v>
      </c>
      <c r="BK76">
        <v>1925</v>
      </c>
      <c r="BL76">
        <v>325</v>
      </c>
      <c r="BM76" t="s">
        <v>119</v>
      </c>
      <c r="BN76">
        <v>1</v>
      </c>
      <c r="BO76">
        <v>1</v>
      </c>
      <c r="BP76">
        <v>1</v>
      </c>
      <c r="BQ76">
        <v>0</v>
      </c>
      <c r="BT76">
        <v>0</v>
      </c>
      <c r="BU76">
        <v>0</v>
      </c>
      <c r="BV76">
        <v>0</v>
      </c>
      <c r="CC76" t="str">
        <f>"18:35:38.555"</f>
        <v>18:35:38.555</v>
      </c>
      <c r="CD76" t="str">
        <f>"557815814"</f>
        <v>557815814</v>
      </c>
      <c r="CQ76">
        <v>0</v>
      </c>
      <c r="CR76">
        <v>2</v>
      </c>
      <c r="CS76">
        <v>0</v>
      </c>
      <c r="CT76">
        <v>2</v>
      </c>
      <c r="CU76">
        <v>0</v>
      </c>
      <c r="CV76">
        <v>2</v>
      </c>
      <c r="CW76" t="s">
        <v>120</v>
      </c>
      <c r="CX76">
        <v>261</v>
      </c>
      <c r="CY76">
        <v>2</v>
      </c>
      <c r="CZ76" t="s">
        <v>121</v>
      </c>
      <c r="DA76" t="s">
        <v>122</v>
      </c>
      <c r="DD76">
        <v>14286093</v>
      </c>
      <c r="DE76" t="s">
        <v>123</v>
      </c>
    </row>
    <row r="77" spans="1:109" x14ac:dyDescent="0.3">
      <c r="A77" t="str">
        <f>"18:35:39.875"</f>
        <v>18:35:39.875</v>
      </c>
      <c r="B77" t="s">
        <v>110</v>
      </c>
      <c r="C77" t="str">
        <f t="shared" si="3"/>
        <v>ffdfd3c0</v>
      </c>
      <c r="D77" t="s">
        <v>111</v>
      </c>
      <c r="E77">
        <v>18</v>
      </c>
      <c r="F77">
        <v>1018</v>
      </c>
      <c r="G77" t="s">
        <v>112</v>
      </c>
      <c r="J77" t="s">
        <v>113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R77" t="s">
        <v>114</v>
      </c>
      <c r="S77" t="str">
        <f>"18:35:39.648"</f>
        <v>18:35:39.648</v>
      </c>
      <c r="T77" t="str">
        <f>"18:35:39.352"</f>
        <v>18:35:39.352</v>
      </c>
      <c r="U77" t="str">
        <f t="shared" si="4"/>
        <v>a1cdbe</v>
      </c>
      <c r="V77">
        <v>0</v>
      </c>
      <c r="W77">
        <v>0</v>
      </c>
      <c r="X77">
        <v>1</v>
      </c>
      <c r="Y77">
        <v>0</v>
      </c>
      <c r="Z77">
        <v>0</v>
      </c>
      <c r="AB77">
        <v>0</v>
      </c>
      <c r="AC77">
        <v>9</v>
      </c>
      <c r="AD77">
        <v>3</v>
      </c>
      <c r="AE77">
        <v>0</v>
      </c>
      <c r="AF77">
        <v>9</v>
      </c>
      <c r="AG77" t="s">
        <v>158</v>
      </c>
      <c r="AH77">
        <v>0</v>
      </c>
      <c r="AI77">
        <v>3</v>
      </c>
      <c r="AJ77">
        <v>1</v>
      </c>
      <c r="AK77">
        <v>0</v>
      </c>
      <c r="AL77" t="s">
        <v>266</v>
      </c>
      <c r="AM77">
        <v>47.111113000000003</v>
      </c>
      <c r="AN77" t="s">
        <v>267</v>
      </c>
      <c r="AO77">
        <v>-122.27124499999999</v>
      </c>
      <c r="AP77">
        <v>100</v>
      </c>
      <c r="AQ77">
        <v>1600</v>
      </c>
      <c r="AR77" t="s">
        <v>118</v>
      </c>
      <c r="AS77">
        <v>19</v>
      </c>
      <c r="AT77">
        <v>-71</v>
      </c>
      <c r="AU77">
        <v>704</v>
      </c>
      <c r="BC77">
        <v>1200</v>
      </c>
      <c r="BD77">
        <v>1</v>
      </c>
      <c r="BE77" t="str">
        <f t="shared" si="5"/>
        <v xml:space="preserve">N215T   </v>
      </c>
      <c r="BF77">
        <v>1</v>
      </c>
      <c r="BH77">
        <v>0</v>
      </c>
      <c r="BI77">
        <v>0</v>
      </c>
      <c r="BJ77">
        <v>0</v>
      </c>
      <c r="BK77">
        <v>1950</v>
      </c>
      <c r="BL77">
        <v>350</v>
      </c>
      <c r="BM77" t="s">
        <v>119</v>
      </c>
      <c r="BN77">
        <v>1</v>
      </c>
      <c r="BO77">
        <v>1</v>
      </c>
      <c r="BP77">
        <v>1</v>
      </c>
      <c r="BQ77">
        <v>0</v>
      </c>
      <c r="BT77">
        <v>0</v>
      </c>
      <c r="BU77">
        <v>0</v>
      </c>
      <c r="BV77">
        <v>0</v>
      </c>
      <c r="CC77" t="str">
        <f>"18:35:39.656"</f>
        <v>18:35:39.656</v>
      </c>
      <c r="CD77" t="str">
        <f>"652640641"</f>
        <v>652640641</v>
      </c>
      <c r="CQ77">
        <v>0</v>
      </c>
      <c r="CR77">
        <v>2</v>
      </c>
      <c r="CS77">
        <v>0</v>
      </c>
      <c r="CT77">
        <v>2</v>
      </c>
      <c r="CU77">
        <v>0</v>
      </c>
      <c r="CV77">
        <v>5</v>
      </c>
      <c r="CW77" t="s">
        <v>172</v>
      </c>
      <c r="CX77">
        <v>325</v>
      </c>
      <c r="CY77">
        <v>0</v>
      </c>
      <c r="CZ77" t="s">
        <v>219</v>
      </c>
      <c r="DA77" t="s">
        <v>220</v>
      </c>
      <c r="DD77">
        <v>4417032</v>
      </c>
      <c r="DE77" t="s">
        <v>123</v>
      </c>
    </row>
    <row r="78" spans="1:109" x14ac:dyDescent="0.3">
      <c r="A78" t="str">
        <f>"18:35:40.883"</f>
        <v>18:35:40.883</v>
      </c>
      <c r="B78" t="s">
        <v>110</v>
      </c>
      <c r="C78" t="str">
        <f t="shared" si="3"/>
        <v>ffdfd3c0</v>
      </c>
      <c r="D78" t="s">
        <v>111</v>
      </c>
      <c r="E78">
        <v>18</v>
      </c>
      <c r="F78">
        <v>1018</v>
      </c>
      <c r="G78" t="s">
        <v>112</v>
      </c>
      <c r="J78" t="s">
        <v>113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R78" t="s">
        <v>114</v>
      </c>
      <c r="S78" t="str">
        <f>"18:35:40.625"</f>
        <v>18:35:40.625</v>
      </c>
      <c r="T78" t="str">
        <f>"18:35:40.227"</f>
        <v>18:35:40.227</v>
      </c>
      <c r="U78" t="str">
        <f t="shared" si="4"/>
        <v>a1cdbe</v>
      </c>
      <c r="V78">
        <v>0</v>
      </c>
      <c r="W78">
        <v>0</v>
      </c>
      <c r="X78">
        <v>1</v>
      </c>
      <c r="Y78">
        <v>0</v>
      </c>
      <c r="Z78">
        <v>0</v>
      </c>
      <c r="AB78">
        <v>0</v>
      </c>
      <c r="AC78">
        <v>9</v>
      </c>
      <c r="AD78">
        <v>3</v>
      </c>
      <c r="AE78">
        <v>0</v>
      </c>
      <c r="AF78">
        <v>9</v>
      </c>
      <c r="AG78" t="s">
        <v>158</v>
      </c>
      <c r="AH78">
        <v>0</v>
      </c>
      <c r="AI78">
        <v>3</v>
      </c>
      <c r="AJ78">
        <v>1</v>
      </c>
      <c r="AK78">
        <v>0</v>
      </c>
      <c r="AL78" t="s">
        <v>268</v>
      </c>
      <c r="AM78">
        <v>47.110770000000002</v>
      </c>
      <c r="AN78" t="s">
        <v>269</v>
      </c>
      <c r="AO78">
        <v>-122.271137</v>
      </c>
      <c r="AP78">
        <v>100</v>
      </c>
      <c r="AQ78">
        <v>1600</v>
      </c>
      <c r="AR78" t="s">
        <v>118</v>
      </c>
      <c r="AS78">
        <v>15</v>
      </c>
      <c r="AT78">
        <v>-72</v>
      </c>
      <c r="AU78">
        <v>896</v>
      </c>
      <c r="BC78">
        <v>1200</v>
      </c>
      <c r="BD78">
        <v>1</v>
      </c>
      <c r="BE78" t="str">
        <f t="shared" si="5"/>
        <v xml:space="preserve">N215T   </v>
      </c>
      <c r="BF78">
        <v>1</v>
      </c>
      <c r="BH78">
        <v>0</v>
      </c>
      <c r="BI78">
        <v>0</v>
      </c>
      <c r="BJ78">
        <v>0</v>
      </c>
      <c r="BK78">
        <v>1950</v>
      </c>
      <c r="BL78">
        <v>350</v>
      </c>
      <c r="BM78" t="s">
        <v>119</v>
      </c>
      <c r="BN78">
        <v>1</v>
      </c>
      <c r="BO78">
        <v>1</v>
      </c>
      <c r="BP78">
        <v>1</v>
      </c>
      <c r="BQ78">
        <v>0</v>
      </c>
      <c r="BT78">
        <v>0</v>
      </c>
      <c r="BU78">
        <v>0</v>
      </c>
      <c r="BV78">
        <v>0</v>
      </c>
      <c r="CC78" t="str">
        <f>"18:35:40.625"</f>
        <v>18:35:40.625</v>
      </c>
      <c r="CD78" t="str">
        <f>"627544822"</f>
        <v>627544822</v>
      </c>
      <c r="CQ78">
        <v>0</v>
      </c>
      <c r="CR78">
        <v>2</v>
      </c>
      <c r="CS78">
        <v>0</v>
      </c>
      <c r="CT78">
        <v>2</v>
      </c>
      <c r="CU78">
        <v>0</v>
      </c>
      <c r="CV78">
        <v>5</v>
      </c>
      <c r="CW78" t="s">
        <v>172</v>
      </c>
      <c r="CX78">
        <v>325</v>
      </c>
      <c r="CY78">
        <v>0</v>
      </c>
      <c r="CZ78" t="s">
        <v>219</v>
      </c>
      <c r="DA78" t="s">
        <v>220</v>
      </c>
      <c r="DD78">
        <v>4417490</v>
      </c>
      <c r="DE78" t="s">
        <v>123</v>
      </c>
    </row>
    <row r="79" spans="1:109" x14ac:dyDescent="0.3">
      <c r="A79" t="str">
        <f>"18:35:41.734"</f>
        <v>18:35:41.734</v>
      </c>
      <c r="B79" t="s">
        <v>110</v>
      </c>
      <c r="C79" t="str">
        <f t="shared" si="3"/>
        <v>ffdfd3c0</v>
      </c>
      <c r="D79" t="s">
        <v>111</v>
      </c>
      <c r="E79">
        <v>18</v>
      </c>
      <c r="F79">
        <v>1018</v>
      </c>
      <c r="G79" t="s">
        <v>112</v>
      </c>
      <c r="J79" t="s">
        <v>113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R79" t="s">
        <v>114</v>
      </c>
      <c r="S79" t="str">
        <f>"18:35:41.523"</f>
        <v>18:35:41.523</v>
      </c>
      <c r="T79" t="str">
        <f>"18:35:41.125"</f>
        <v>18:35:41.125</v>
      </c>
      <c r="U79" t="str">
        <f t="shared" si="4"/>
        <v>a1cdbe</v>
      </c>
      <c r="V79">
        <v>0</v>
      </c>
      <c r="W79">
        <v>0</v>
      </c>
      <c r="X79">
        <v>1</v>
      </c>
      <c r="Y79">
        <v>0</v>
      </c>
      <c r="Z79">
        <v>0</v>
      </c>
      <c r="AB79">
        <v>0</v>
      </c>
      <c r="AC79">
        <v>9</v>
      </c>
      <c r="AD79">
        <v>3</v>
      </c>
      <c r="AE79">
        <v>0</v>
      </c>
      <c r="AF79">
        <v>9</v>
      </c>
      <c r="AG79" t="s">
        <v>158</v>
      </c>
      <c r="AH79">
        <v>0</v>
      </c>
      <c r="AI79">
        <v>3</v>
      </c>
      <c r="AJ79">
        <v>1</v>
      </c>
      <c r="AK79">
        <v>0</v>
      </c>
      <c r="AL79" t="s">
        <v>270</v>
      </c>
      <c r="AM79">
        <v>47.110491000000003</v>
      </c>
      <c r="AN79" t="s">
        <v>271</v>
      </c>
      <c r="AO79">
        <v>-122.271073</v>
      </c>
      <c r="AP79">
        <v>100</v>
      </c>
      <c r="AQ79">
        <v>1600</v>
      </c>
      <c r="AR79" t="s">
        <v>118</v>
      </c>
      <c r="AS79">
        <v>13</v>
      </c>
      <c r="AT79">
        <v>-73</v>
      </c>
      <c r="AU79">
        <v>896</v>
      </c>
      <c r="BC79">
        <v>1200</v>
      </c>
      <c r="BD79">
        <v>1</v>
      </c>
      <c r="BE79" t="str">
        <f t="shared" si="5"/>
        <v xml:space="preserve">N215T   </v>
      </c>
      <c r="BF79">
        <v>1</v>
      </c>
      <c r="BH79">
        <v>0</v>
      </c>
      <c r="BI79">
        <v>0</v>
      </c>
      <c r="BJ79">
        <v>0</v>
      </c>
      <c r="BK79">
        <v>1975</v>
      </c>
      <c r="BL79">
        <v>375</v>
      </c>
      <c r="BM79" t="s">
        <v>119</v>
      </c>
      <c r="BN79">
        <v>1</v>
      </c>
      <c r="BO79">
        <v>1</v>
      </c>
      <c r="BP79">
        <v>1</v>
      </c>
      <c r="BQ79">
        <v>0</v>
      </c>
      <c r="BT79">
        <v>0</v>
      </c>
      <c r="BU79">
        <v>0</v>
      </c>
      <c r="BV79">
        <v>0</v>
      </c>
      <c r="CC79" t="str">
        <f>"18:35:41.531"</f>
        <v>18:35:41.531</v>
      </c>
      <c r="CD79" t="str">
        <f>"527626957"</f>
        <v>527626957</v>
      </c>
      <c r="CQ79">
        <v>0</v>
      </c>
      <c r="CR79">
        <v>2</v>
      </c>
      <c r="CS79">
        <v>0</v>
      </c>
      <c r="CT79">
        <v>2</v>
      </c>
      <c r="CU79">
        <v>0</v>
      </c>
      <c r="CV79">
        <v>5</v>
      </c>
      <c r="CW79" t="s">
        <v>120</v>
      </c>
      <c r="CX79">
        <v>259</v>
      </c>
      <c r="CY79">
        <v>1</v>
      </c>
      <c r="CZ79" t="s">
        <v>197</v>
      </c>
      <c r="DA79" t="s">
        <v>198</v>
      </c>
      <c r="DD79">
        <v>14672425</v>
      </c>
      <c r="DE79" t="s">
        <v>123</v>
      </c>
    </row>
    <row r="80" spans="1:109" x14ac:dyDescent="0.3">
      <c r="A80" t="str">
        <f>"18:35:42.594"</f>
        <v>18:35:42.594</v>
      </c>
      <c r="B80" t="s">
        <v>110</v>
      </c>
      <c r="C80" t="str">
        <f t="shared" si="3"/>
        <v>ffdfd3c0</v>
      </c>
      <c r="D80" t="s">
        <v>111</v>
      </c>
      <c r="E80">
        <v>18</v>
      </c>
      <c r="F80">
        <v>1018</v>
      </c>
      <c r="G80" t="s">
        <v>112</v>
      </c>
      <c r="J80" t="s">
        <v>113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R80" t="s">
        <v>114</v>
      </c>
      <c r="S80" t="str">
        <f>"18:35:42.375"</f>
        <v>18:35:42.375</v>
      </c>
      <c r="T80" t="str">
        <f>"18:35:41.977"</f>
        <v>18:35:41.977</v>
      </c>
      <c r="U80" t="str">
        <f t="shared" si="4"/>
        <v>a1cdbe</v>
      </c>
      <c r="V80">
        <v>0</v>
      </c>
      <c r="W80">
        <v>0</v>
      </c>
      <c r="X80">
        <v>1</v>
      </c>
      <c r="Y80">
        <v>0</v>
      </c>
      <c r="Z80">
        <v>0</v>
      </c>
      <c r="AB80">
        <v>0</v>
      </c>
      <c r="AC80">
        <v>9</v>
      </c>
      <c r="AD80">
        <v>3</v>
      </c>
      <c r="AE80">
        <v>0</v>
      </c>
      <c r="AF80">
        <v>9</v>
      </c>
      <c r="AG80" t="s">
        <v>158</v>
      </c>
      <c r="AH80">
        <v>0</v>
      </c>
      <c r="AI80">
        <v>3</v>
      </c>
      <c r="AJ80">
        <v>1</v>
      </c>
      <c r="AK80">
        <v>0</v>
      </c>
      <c r="AL80" t="s">
        <v>272</v>
      </c>
      <c r="AM80">
        <v>47.110190000000003</v>
      </c>
      <c r="AN80" t="s">
        <v>273</v>
      </c>
      <c r="AO80">
        <v>-122.27103</v>
      </c>
      <c r="AP80">
        <v>100</v>
      </c>
      <c r="AQ80">
        <v>1600</v>
      </c>
      <c r="AR80" t="s">
        <v>118</v>
      </c>
      <c r="AS80">
        <v>11</v>
      </c>
      <c r="AT80">
        <v>-73</v>
      </c>
      <c r="AU80">
        <v>896</v>
      </c>
      <c r="BC80">
        <v>1200</v>
      </c>
      <c r="BD80">
        <v>1</v>
      </c>
      <c r="BE80" t="str">
        <f t="shared" si="5"/>
        <v xml:space="preserve">N215T   </v>
      </c>
      <c r="BF80">
        <v>1</v>
      </c>
      <c r="BH80">
        <v>0</v>
      </c>
      <c r="BI80">
        <v>0</v>
      </c>
      <c r="BJ80">
        <v>0</v>
      </c>
      <c r="BK80">
        <v>1975</v>
      </c>
      <c r="BL80">
        <v>375</v>
      </c>
      <c r="BM80" t="s">
        <v>119</v>
      </c>
      <c r="BN80">
        <v>1</v>
      </c>
      <c r="BO80">
        <v>1</v>
      </c>
      <c r="BP80">
        <v>1</v>
      </c>
      <c r="BQ80">
        <v>0</v>
      </c>
      <c r="BT80">
        <v>0</v>
      </c>
      <c r="BU80">
        <v>0</v>
      </c>
      <c r="BV80">
        <v>0</v>
      </c>
      <c r="CC80" t="str">
        <f>"18:35:42.383"</f>
        <v>18:35:42.383</v>
      </c>
      <c r="CD80" t="str">
        <f>"382439753"</f>
        <v>382439753</v>
      </c>
      <c r="CQ80">
        <v>0</v>
      </c>
      <c r="CR80">
        <v>2</v>
      </c>
      <c r="CS80">
        <v>0</v>
      </c>
      <c r="CT80">
        <v>2</v>
      </c>
      <c r="CU80">
        <v>0</v>
      </c>
      <c r="CV80">
        <v>5</v>
      </c>
      <c r="CW80" t="s">
        <v>120</v>
      </c>
      <c r="CX80">
        <v>261</v>
      </c>
      <c r="CY80">
        <v>1</v>
      </c>
      <c r="CZ80" t="s">
        <v>121</v>
      </c>
      <c r="DA80" t="s">
        <v>122</v>
      </c>
      <c r="DD80">
        <v>3137555</v>
      </c>
      <c r="DE80" t="s">
        <v>123</v>
      </c>
    </row>
    <row r="81" spans="1:109" x14ac:dyDescent="0.3">
      <c r="A81" t="str">
        <f>"18:35:43.695"</f>
        <v>18:35:43.695</v>
      </c>
      <c r="B81" t="s">
        <v>110</v>
      </c>
      <c r="C81" t="str">
        <f t="shared" si="3"/>
        <v>ffdfd3c0</v>
      </c>
      <c r="D81" t="s">
        <v>111</v>
      </c>
      <c r="E81">
        <v>18</v>
      </c>
      <c r="F81">
        <v>1018</v>
      </c>
      <c r="G81" t="s">
        <v>112</v>
      </c>
      <c r="J81" t="s">
        <v>113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R81" t="s">
        <v>114</v>
      </c>
      <c r="S81" t="str">
        <f>"18:35:43.477"</f>
        <v>18:35:43.477</v>
      </c>
      <c r="T81" t="str">
        <f>"18:35:43.078"</f>
        <v>18:35:43.078</v>
      </c>
      <c r="U81" t="str">
        <f t="shared" si="4"/>
        <v>a1cdbe</v>
      </c>
      <c r="V81">
        <v>0</v>
      </c>
      <c r="W81">
        <v>0</v>
      </c>
      <c r="X81">
        <v>1</v>
      </c>
      <c r="Y81">
        <v>0</v>
      </c>
      <c r="Z81">
        <v>0</v>
      </c>
      <c r="AB81">
        <v>0</v>
      </c>
      <c r="AC81">
        <v>9</v>
      </c>
      <c r="AD81">
        <v>3</v>
      </c>
      <c r="AE81">
        <v>0</v>
      </c>
      <c r="AF81">
        <v>9</v>
      </c>
      <c r="AG81" t="s">
        <v>158</v>
      </c>
      <c r="AH81">
        <v>0</v>
      </c>
      <c r="AI81">
        <v>3</v>
      </c>
      <c r="AJ81">
        <v>1</v>
      </c>
      <c r="AK81">
        <v>0</v>
      </c>
      <c r="AL81" t="s">
        <v>274</v>
      </c>
      <c r="AM81">
        <v>47.109803999999997</v>
      </c>
      <c r="AN81" t="s">
        <v>275</v>
      </c>
      <c r="AO81">
        <v>-122.270923</v>
      </c>
      <c r="AP81">
        <v>100</v>
      </c>
      <c r="AQ81">
        <v>1600</v>
      </c>
      <c r="AR81" t="s">
        <v>118</v>
      </c>
      <c r="AS81">
        <v>8</v>
      </c>
      <c r="AT81">
        <v>-74</v>
      </c>
      <c r="AU81">
        <v>960</v>
      </c>
      <c r="BC81">
        <v>1200</v>
      </c>
      <c r="BD81">
        <v>1</v>
      </c>
      <c r="BE81" t="str">
        <f t="shared" si="5"/>
        <v xml:space="preserve">N215T   </v>
      </c>
      <c r="BF81">
        <v>1</v>
      </c>
      <c r="BH81">
        <v>0</v>
      </c>
      <c r="BI81">
        <v>0</v>
      </c>
      <c r="BJ81">
        <v>0</v>
      </c>
      <c r="BK81">
        <v>2000</v>
      </c>
      <c r="BL81">
        <v>400</v>
      </c>
      <c r="BM81" t="s">
        <v>119</v>
      </c>
      <c r="BN81">
        <v>1</v>
      </c>
      <c r="BO81">
        <v>1</v>
      </c>
      <c r="BP81">
        <v>1</v>
      </c>
      <c r="BQ81">
        <v>0</v>
      </c>
      <c r="BT81">
        <v>0</v>
      </c>
      <c r="BU81">
        <v>0</v>
      </c>
      <c r="BV81">
        <v>0</v>
      </c>
      <c r="CC81" t="str">
        <f>"18:35:43.477"</f>
        <v>18:35:43.477</v>
      </c>
      <c r="CD81" t="str">
        <f>"477435274"</f>
        <v>477435274</v>
      </c>
      <c r="CQ81">
        <v>0</v>
      </c>
      <c r="CR81">
        <v>2</v>
      </c>
      <c r="CS81">
        <v>0</v>
      </c>
      <c r="CT81">
        <v>2</v>
      </c>
      <c r="CU81">
        <v>0</v>
      </c>
      <c r="CV81">
        <v>5</v>
      </c>
      <c r="CW81" t="s">
        <v>120</v>
      </c>
      <c r="CX81">
        <v>259</v>
      </c>
      <c r="CY81">
        <v>1</v>
      </c>
      <c r="CZ81" t="s">
        <v>197</v>
      </c>
      <c r="DA81" t="s">
        <v>198</v>
      </c>
      <c r="DD81">
        <v>14673645</v>
      </c>
      <c r="DE81" t="s">
        <v>123</v>
      </c>
    </row>
    <row r="82" spans="1:109" x14ac:dyDescent="0.3">
      <c r="A82" t="str">
        <f>"18:35:44.852"</f>
        <v>18:35:44.852</v>
      </c>
      <c r="B82" t="s">
        <v>110</v>
      </c>
      <c r="C82" t="str">
        <f t="shared" si="3"/>
        <v>ffdfd3c0</v>
      </c>
      <c r="D82" t="s">
        <v>111</v>
      </c>
      <c r="E82">
        <v>18</v>
      </c>
      <c r="F82">
        <v>1018</v>
      </c>
      <c r="G82" t="s">
        <v>112</v>
      </c>
      <c r="J82" t="s">
        <v>113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R82" t="s">
        <v>114</v>
      </c>
      <c r="S82" t="str">
        <f>"18:35:44.617"</f>
        <v>18:35:44.617</v>
      </c>
      <c r="T82" t="str">
        <f>"18:35:44.516"</f>
        <v>18:35:44.516</v>
      </c>
      <c r="U82" t="str">
        <f t="shared" si="4"/>
        <v>a1cdbe</v>
      </c>
      <c r="V82">
        <v>0</v>
      </c>
      <c r="W82">
        <v>0</v>
      </c>
      <c r="X82">
        <v>1</v>
      </c>
      <c r="Y82">
        <v>0</v>
      </c>
      <c r="Z82">
        <v>0</v>
      </c>
      <c r="AB82">
        <v>0</v>
      </c>
      <c r="AC82">
        <v>9</v>
      </c>
      <c r="AD82">
        <v>3</v>
      </c>
      <c r="AE82">
        <v>0</v>
      </c>
      <c r="AF82">
        <v>9</v>
      </c>
      <c r="AG82" t="s">
        <v>158</v>
      </c>
      <c r="AH82">
        <v>0</v>
      </c>
      <c r="AI82">
        <v>3</v>
      </c>
      <c r="AJ82">
        <v>1</v>
      </c>
      <c r="AK82">
        <v>0</v>
      </c>
      <c r="AL82" t="s">
        <v>276</v>
      </c>
      <c r="AM82">
        <v>47.109417999999998</v>
      </c>
      <c r="AN82" t="s">
        <v>275</v>
      </c>
      <c r="AO82">
        <v>-122.270923</v>
      </c>
      <c r="AP82">
        <v>100</v>
      </c>
      <c r="AQ82">
        <v>1700</v>
      </c>
      <c r="AR82" t="s">
        <v>118</v>
      </c>
      <c r="AS82">
        <v>6</v>
      </c>
      <c r="AT82">
        <v>-73</v>
      </c>
      <c r="AU82">
        <v>1088</v>
      </c>
      <c r="BC82">
        <v>1200</v>
      </c>
      <c r="BD82">
        <v>1</v>
      </c>
      <c r="BE82" t="str">
        <f t="shared" si="5"/>
        <v xml:space="preserve">N215T   </v>
      </c>
      <c r="BF82">
        <v>1</v>
      </c>
      <c r="BH82">
        <v>0</v>
      </c>
      <c r="BI82">
        <v>0</v>
      </c>
      <c r="BJ82">
        <v>0</v>
      </c>
      <c r="BK82">
        <v>2025</v>
      </c>
      <c r="BL82">
        <v>325</v>
      </c>
      <c r="BM82" t="s">
        <v>119</v>
      </c>
      <c r="BN82">
        <v>1</v>
      </c>
      <c r="BO82">
        <v>1</v>
      </c>
      <c r="BP82">
        <v>1</v>
      </c>
      <c r="BQ82">
        <v>0</v>
      </c>
      <c r="BT82">
        <v>0</v>
      </c>
      <c r="BU82">
        <v>0</v>
      </c>
      <c r="BV82">
        <v>0</v>
      </c>
      <c r="CC82" t="str">
        <f>"18:35:44.617"</f>
        <v>18:35:44.617</v>
      </c>
      <c r="CD82" t="str">
        <f>"617219994"</f>
        <v>617219994</v>
      </c>
      <c r="CQ82">
        <v>0</v>
      </c>
      <c r="CR82">
        <v>2</v>
      </c>
      <c r="CS82">
        <v>0</v>
      </c>
      <c r="CT82">
        <v>2</v>
      </c>
      <c r="CU82">
        <v>0</v>
      </c>
      <c r="CV82">
        <v>5</v>
      </c>
      <c r="CW82" t="s">
        <v>120</v>
      </c>
      <c r="CX82">
        <v>261</v>
      </c>
      <c r="CY82">
        <v>1</v>
      </c>
      <c r="CZ82" t="s">
        <v>121</v>
      </c>
      <c r="DA82" t="s">
        <v>122</v>
      </c>
      <c r="DD82">
        <v>3138777</v>
      </c>
      <c r="DE82" t="s">
        <v>123</v>
      </c>
    </row>
    <row r="83" spans="1:109" x14ac:dyDescent="0.3">
      <c r="A83" t="str">
        <f>"18:35:45.859"</f>
        <v>18:35:45.859</v>
      </c>
      <c r="B83" t="s">
        <v>110</v>
      </c>
      <c r="C83" t="str">
        <f t="shared" si="3"/>
        <v>ffdfd3c0</v>
      </c>
      <c r="D83" t="s">
        <v>111</v>
      </c>
      <c r="E83">
        <v>18</v>
      </c>
      <c r="F83">
        <v>1018</v>
      </c>
      <c r="G83" t="s">
        <v>112</v>
      </c>
      <c r="J83" t="s">
        <v>113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R83" t="s">
        <v>114</v>
      </c>
      <c r="S83" t="str">
        <f>"18:35:45.633"</f>
        <v>18:35:45.633</v>
      </c>
      <c r="T83" t="str">
        <f>"18:35:45.133"</f>
        <v>18:35:45.133</v>
      </c>
      <c r="U83" t="str">
        <f t="shared" si="4"/>
        <v>a1cdbe</v>
      </c>
      <c r="V83">
        <v>0</v>
      </c>
      <c r="W83">
        <v>0</v>
      </c>
      <c r="X83">
        <v>1</v>
      </c>
      <c r="Y83">
        <v>0</v>
      </c>
      <c r="Z83">
        <v>0</v>
      </c>
      <c r="AB83">
        <v>0</v>
      </c>
      <c r="AC83">
        <v>9</v>
      </c>
      <c r="AD83">
        <v>3</v>
      </c>
      <c r="AE83">
        <v>0</v>
      </c>
      <c r="AF83">
        <v>9</v>
      </c>
      <c r="AG83" t="s">
        <v>158</v>
      </c>
      <c r="AH83">
        <v>0</v>
      </c>
      <c r="AI83">
        <v>3</v>
      </c>
      <c r="AJ83">
        <v>1</v>
      </c>
      <c r="AK83">
        <v>0</v>
      </c>
      <c r="AL83" t="s">
        <v>277</v>
      </c>
      <c r="AM83">
        <v>47.109096000000001</v>
      </c>
      <c r="AN83" t="s">
        <v>278</v>
      </c>
      <c r="AO83">
        <v>-122.27090099999999</v>
      </c>
      <c r="AP83">
        <v>100</v>
      </c>
      <c r="AQ83">
        <v>1700</v>
      </c>
      <c r="AR83" t="s">
        <v>118</v>
      </c>
      <c r="AS83">
        <v>6</v>
      </c>
      <c r="AT83">
        <v>-73</v>
      </c>
      <c r="AU83">
        <v>1088</v>
      </c>
      <c r="BC83">
        <v>1200</v>
      </c>
      <c r="BD83">
        <v>1</v>
      </c>
      <c r="BE83" t="str">
        <f t="shared" si="5"/>
        <v xml:space="preserve">N215T   </v>
      </c>
      <c r="BF83">
        <v>1</v>
      </c>
      <c r="BH83">
        <v>0</v>
      </c>
      <c r="BI83">
        <v>0</v>
      </c>
      <c r="BJ83">
        <v>0</v>
      </c>
      <c r="BK83">
        <v>2050</v>
      </c>
      <c r="BL83">
        <v>350</v>
      </c>
      <c r="BM83" t="s">
        <v>119</v>
      </c>
      <c r="BN83">
        <v>1</v>
      </c>
      <c r="BO83">
        <v>1</v>
      </c>
      <c r="BP83">
        <v>1</v>
      </c>
      <c r="BQ83">
        <v>0</v>
      </c>
      <c r="BT83">
        <v>0</v>
      </c>
      <c r="BU83">
        <v>0</v>
      </c>
      <c r="BV83">
        <v>0</v>
      </c>
      <c r="CC83" t="str">
        <f>"18:35:45.641"</f>
        <v>18:35:45.641</v>
      </c>
      <c r="CD83" t="str">
        <f>"637222965"</f>
        <v>637222965</v>
      </c>
      <c r="CQ83">
        <v>0</v>
      </c>
      <c r="CR83">
        <v>2</v>
      </c>
      <c r="CS83">
        <v>0</v>
      </c>
      <c r="CT83">
        <v>2</v>
      </c>
      <c r="CU83">
        <v>0</v>
      </c>
      <c r="CV83">
        <v>5</v>
      </c>
      <c r="CW83" t="s">
        <v>120</v>
      </c>
      <c r="CX83">
        <v>259</v>
      </c>
      <c r="CY83">
        <v>1</v>
      </c>
      <c r="CZ83" t="s">
        <v>197</v>
      </c>
      <c r="DA83" t="s">
        <v>198</v>
      </c>
      <c r="DD83">
        <v>14674937</v>
      </c>
      <c r="DE83" t="s">
        <v>123</v>
      </c>
    </row>
    <row r="84" spans="1:109" x14ac:dyDescent="0.3">
      <c r="A84" t="str">
        <f>"18:35:46.914"</f>
        <v>18:35:46.914</v>
      </c>
      <c r="B84" t="s">
        <v>110</v>
      </c>
      <c r="C84" t="str">
        <f t="shared" si="3"/>
        <v>ffdfd3c0</v>
      </c>
      <c r="D84" t="s">
        <v>111</v>
      </c>
      <c r="E84">
        <v>18</v>
      </c>
      <c r="F84">
        <v>1018</v>
      </c>
      <c r="G84" t="s">
        <v>112</v>
      </c>
      <c r="J84" t="s">
        <v>113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R84" t="s">
        <v>114</v>
      </c>
      <c r="S84" t="str">
        <f>"18:35:46.672"</f>
        <v>18:35:46.672</v>
      </c>
      <c r="T84" t="str">
        <f>"18:35:46.672"</f>
        <v>18:35:46.672</v>
      </c>
      <c r="U84" t="str">
        <f t="shared" si="4"/>
        <v>a1cdbe</v>
      </c>
      <c r="V84">
        <v>0</v>
      </c>
      <c r="W84">
        <v>0</v>
      </c>
      <c r="X84">
        <v>1</v>
      </c>
      <c r="Y84">
        <v>0</v>
      </c>
      <c r="Z84">
        <v>0</v>
      </c>
      <c r="AB84">
        <v>0</v>
      </c>
      <c r="AC84">
        <v>9</v>
      </c>
      <c r="AD84">
        <v>3</v>
      </c>
      <c r="AE84">
        <v>0</v>
      </c>
      <c r="AF84">
        <v>9</v>
      </c>
      <c r="AG84" t="s">
        <v>158</v>
      </c>
      <c r="AH84">
        <v>0</v>
      </c>
      <c r="AI84">
        <v>3</v>
      </c>
      <c r="AJ84">
        <v>1</v>
      </c>
      <c r="AK84">
        <v>0</v>
      </c>
      <c r="AL84" t="s">
        <v>279</v>
      </c>
      <c r="AM84">
        <v>47.108730999999999</v>
      </c>
      <c r="AN84" t="s">
        <v>280</v>
      </c>
      <c r="AO84">
        <v>-122.270858</v>
      </c>
      <c r="AP84">
        <v>100</v>
      </c>
      <c r="AQ84">
        <v>1700</v>
      </c>
      <c r="AR84" t="s">
        <v>118</v>
      </c>
      <c r="AS84">
        <v>5</v>
      </c>
      <c r="AT84">
        <v>-72</v>
      </c>
      <c r="AU84">
        <v>896</v>
      </c>
      <c r="BC84">
        <v>1200</v>
      </c>
      <c r="BD84">
        <v>1</v>
      </c>
      <c r="BE84" t="str">
        <f t="shared" si="5"/>
        <v xml:space="preserve">N215T   </v>
      </c>
      <c r="BF84">
        <v>1</v>
      </c>
      <c r="BH84">
        <v>0</v>
      </c>
      <c r="BI84">
        <v>0</v>
      </c>
      <c r="BJ84">
        <v>0</v>
      </c>
      <c r="BK84">
        <v>2075</v>
      </c>
      <c r="BL84">
        <v>375</v>
      </c>
      <c r="BM84" t="s">
        <v>119</v>
      </c>
      <c r="BN84">
        <v>1</v>
      </c>
      <c r="BO84">
        <v>1</v>
      </c>
      <c r="BP84">
        <v>1</v>
      </c>
      <c r="BQ84">
        <v>0</v>
      </c>
      <c r="BT84">
        <v>0</v>
      </c>
      <c r="BU84">
        <v>0</v>
      </c>
      <c r="BV84">
        <v>0</v>
      </c>
      <c r="CC84" t="str">
        <f>"18:35:46.672"</f>
        <v>18:35:46.672</v>
      </c>
      <c r="CD84" t="str">
        <f>"672017930"</f>
        <v>672017930</v>
      </c>
      <c r="CQ84">
        <v>0</v>
      </c>
      <c r="CR84">
        <v>2</v>
      </c>
      <c r="CS84">
        <v>0</v>
      </c>
      <c r="CT84">
        <v>2</v>
      </c>
      <c r="CU84">
        <v>0</v>
      </c>
      <c r="CV84">
        <v>5</v>
      </c>
      <c r="CW84" t="s">
        <v>120</v>
      </c>
      <c r="CX84">
        <v>261</v>
      </c>
      <c r="CY84">
        <v>1</v>
      </c>
      <c r="CZ84" t="s">
        <v>121</v>
      </c>
      <c r="DA84" t="s">
        <v>122</v>
      </c>
      <c r="DD84">
        <v>3139938</v>
      </c>
      <c r="DE84" t="s">
        <v>123</v>
      </c>
    </row>
    <row r="85" spans="1:109" x14ac:dyDescent="0.3">
      <c r="A85" t="str">
        <f>"18:35:47.867"</f>
        <v>18:35:47.867</v>
      </c>
      <c r="B85" t="s">
        <v>110</v>
      </c>
      <c r="C85" t="str">
        <f t="shared" si="3"/>
        <v>ffdfd3c0</v>
      </c>
      <c r="D85" t="s">
        <v>111</v>
      </c>
      <c r="E85">
        <v>18</v>
      </c>
      <c r="F85">
        <v>1018</v>
      </c>
      <c r="G85" t="s">
        <v>112</v>
      </c>
      <c r="J85" t="s">
        <v>113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R85" t="s">
        <v>114</v>
      </c>
      <c r="S85" t="str">
        <f>"18:35:47.656"</f>
        <v>18:35:47.656</v>
      </c>
      <c r="T85" t="str">
        <f>"18:35:47.156"</f>
        <v>18:35:47.156</v>
      </c>
      <c r="U85" t="str">
        <f t="shared" si="4"/>
        <v>a1cdbe</v>
      </c>
      <c r="V85">
        <v>0</v>
      </c>
      <c r="W85">
        <v>0</v>
      </c>
      <c r="X85">
        <v>1</v>
      </c>
      <c r="Y85">
        <v>0</v>
      </c>
      <c r="Z85">
        <v>0</v>
      </c>
      <c r="AB85">
        <v>0</v>
      </c>
      <c r="AC85">
        <v>9</v>
      </c>
      <c r="AD85">
        <v>3</v>
      </c>
      <c r="AE85">
        <v>0</v>
      </c>
      <c r="AF85">
        <v>9</v>
      </c>
      <c r="AG85" t="s">
        <v>158</v>
      </c>
      <c r="AH85">
        <v>0</v>
      </c>
      <c r="AI85">
        <v>3</v>
      </c>
      <c r="AJ85">
        <v>1</v>
      </c>
      <c r="AK85">
        <v>0</v>
      </c>
      <c r="AL85" t="s">
        <v>281</v>
      </c>
      <c r="AM85">
        <v>47.108409000000002</v>
      </c>
      <c r="AN85" t="s">
        <v>282</v>
      </c>
      <c r="AO85">
        <v>-122.270837</v>
      </c>
      <c r="AP85">
        <v>100</v>
      </c>
      <c r="AQ85">
        <v>1700</v>
      </c>
      <c r="AR85" t="s">
        <v>118</v>
      </c>
      <c r="AS85">
        <v>5</v>
      </c>
      <c r="AT85">
        <v>-72</v>
      </c>
      <c r="AU85">
        <v>896</v>
      </c>
      <c r="BC85">
        <v>1200</v>
      </c>
      <c r="BD85">
        <v>1</v>
      </c>
      <c r="BE85" t="str">
        <f t="shared" si="5"/>
        <v xml:space="preserve">N215T   </v>
      </c>
      <c r="BF85">
        <v>1</v>
      </c>
      <c r="BH85">
        <v>0</v>
      </c>
      <c r="BI85">
        <v>0</v>
      </c>
      <c r="BJ85">
        <v>0</v>
      </c>
      <c r="BK85">
        <v>2075</v>
      </c>
      <c r="BL85">
        <v>375</v>
      </c>
      <c r="BM85" t="s">
        <v>119</v>
      </c>
      <c r="BN85">
        <v>1</v>
      </c>
      <c r="BO85">
        <v>1</v>
      </c>
      <c r="BP85">
        <v>1</v>
      </c>
      <c r="BQ85">
        <v>0</v>
      </c>
      <c r="BT85">
        <v>0</v>
      </c>
      <c r="BU85">
        <v>0</v>
      </c>
      <c r="BV85">
        <v>0</v>
      </c>
      <c r="CC85" t="str">
        <f>"18:35:47.664"</f>
        <v>18:35:47.664</v>
      </c>
      <c r="CD85" t="str">
        <f>"661920567"</f>
        <v>661920567</v>
      </c>
      <c r="CQ85">
        <v>0</v>
      </c>
      <c r="CR85">
        <v>2</v>
      </c>
      <c r="CS85">
        <v>0</v>
      </c>
      <c r="CT85">
        <v>2</v>
      </c>
      <c r="CU85">
        <v>0</v>
      </c>
      <c r="CV85">
        <v>5</v>
      </c>
      <c r="CW85" t="s">
        <v>120</v>
      </c>
      <c r="CX85">
        <v>261</v>
      </c>
      <c r="CY85">
        <v>1</v>
      </c>
      <c r="CZ85" t="s">
        <v>121</v>
      </c>
      <c r="DA85" t="s">
        <v>122</v>
      </c>
      <c r="DD85">
        <v>3140524</v>
      </c>
      <c r="DE85" t="s">
        <v>123</v>
      </c>
    </row>
    <row r="86" spans="1:109" x14ac:dyDescent="0.3">
      <c r="A86" t="str">
        <f>"18:35:48.727"</f>
        <v>18:35:48.727</v>
      </c>
      <c r="B86" t="s">
        <v>110</v>
      </c>
      <c r="C86" t="str">
        <f t="shared" si="3"/>
        <v>ffdfd3c0</v>
      </c>
      <c r="D86" t="s">
        <v>111</v>
      </c>
      <c r="E86">
        <v>18</v>
      </c>
      <c r="F86">
        <v>1018</v>
      </c>
      <c r="G86" t="s">
        <v>112</v>
      </c>
      <c r="J86" t="s">
        <v>113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R86" t="s">
        <v>114</v>
      </c>
      <c r="S86" t="str">
        <f>"18:35:48.516"</f>
        <v>18:35:48.516</v>
      </c>
      <c r="T86" t="str">
        <f>"18:35:48.313"</f>
        <v>18:35:48.313</v>
      </c>
      <c r="U86" t="str">
        <f t="shared" si="4"/>
        <v>a1cdbe</v>
      </c>
      <c r="V86">
        <v>0</v>
      </c>
      <c r="W86">
        <v>0</v>
      </c>
      <c r="X86">
        <v>1</v>
      </c>
      <c r="Y86">
        <v>0</v>
      </c>
      <c r="Z86">
        <v>0</v>
      </c>
      <c r="AB86">
        <v>0</v>
      </c>
      <c r="AC86">
        <v>9</v>
      </c>
      <c r="AD86">
        <v>3</v>
      </c>
      <c r="AE86">
        <v>0</v>
      </c>
      <c r="AF86">
        <v>9</v>
      </c>
      <c r="AG86" t="s">
        <v>158</v>
      </c>
      <c r="AH86">
        <v>0</v>
      </c>
      <c r="AI86">
        <v>3</v>
      </c>
      <c r="AJ86">
        <v>1</v>
      </c>
      <c r="AK86">
        <v>0</v>
      </c>
      <c r="AL86" t="s">
        <v>283</v>
      </c>
      <c r="AM86">
        <v>47.108088000000002</v>
      </c>
      <c r="AN86" t="s">
        <v>284</v>
      </c>
      <c r="AO86">
        <v>-122.270751</v>
      </c>
      <c r="AP86">
        <v>100</v>
      </c>
      <c r="AQ86">
        <v>1700</v>
      </c>
      <c r="AR86" t="s">
        <v>118</v>
      </c>
      <c r="AS86">
        <v>3</v>
      </c>
      <c r="AT86">
        <v>-72</v>
      </c>
      <c r="AU86">
        <v>960</v>
      </c>
      <c r="BC86">
        <v>1200</v>
      </c>
      <c r="BD86">
        <v>1</v>
      </c>
      <c r="BE86" t="str">
        <f t="shared" si="5"/>
        <v xml:space="preserve">N215T   </v>
      </c>
      <c r="BF86">
        <v>1</v>
      </c>
      <c r="BH86">
        <v>0</v>
      </c>
      <c r="BI86">
        <v>0</v>
      </c>
      <c r="BJ86">
        <v>0</v>
      </c>
      <c r="BK86">
        <v>2100</v>
      </c>
      <c r="BL86">
        <v>400</v>
      </c>
      <c r="BM86" t="s">
        <v>119</v>
      </c>
      <c r="BN86">
        <v>1</v>
      </c>
      <c r="BO86">
        <v>1</v>
      </c>
      <c r="BP86">
        <v>1</v>
      </c>
      <c r="BQ86">
        <v>0</v>
      </c>
      <c r="BT86">
        <v>0</v>
      </c>
      <c r="BU86">
        <v>0</v>
      </c>
      <c r="BV86">
        <v>0</v>
      </c>
      <c r="CC86" t="str">
        <f>"18:35:48.516"</f>
        <v>18:35:48.516</v>
      </c>
      <c r="CD86" t="str">
        <f>"516939836"</f>
        <v>516939836</v>
      </c>
      <c r="CQ86">
        <v>0</v>
      </c>
      <c r="CR86">
        <v>2</v>
      </c>
      <c r="CS86">
        <v>0</v>
      </c>
      <c r="CT86">
        <v>2</v>
      </c>
      <c r="CU86">
        <v>0</v>
      </c>
      <c r="CV86">
        <v>4</v>
      </c>
      <c r="CW86" t="s">
        <v>120</v>
      </c>
      <c r="CX86">
        <v>259</v>
      </c>
      <c r="CY86">
        <v>1</v>
      </c>
      <c r="CZ86" t="s">
        <v>197</v>
      </c>
      <c r="DA86" t="s">
        <v>198</v>
      </c>
      <c r="DD86">
        <v>14676712</v>
      </c>
      <c r="DE86" t="s">
        <v>123</v>
      </c>
    </row>
    <row r="87" spans="1:109" x14ac:dyDescent="0.3">
      <c r="A87" t="str">
        <f>"18:35:49.734"</f>
        <v>18:35:49.734</v>
      </c>
      <c r="B87" t="s">
        <v>110</v>
      </c>
      <c r="C87" t="str">
        <f t="shared" si="3"/>
        <v>ffdfd3c0</v>
      </c>
      <c r="D87" t="s">
        <v>111</v>
      </c>
      <c r="E87">
        <v>18</v>
      </c>
      <c r="F87">
        <v>1018</v>
      </c>
      <c r="G87" t="s">
        <v>112</v>
      </c>
      <c r="J87" t="s">
        <v>113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R87" t="s">
        <v>114</v>
      </c>
      <c r="S87" t="str">
        <f>"18:35:49.516"</f>
        <v>18:35:49.516</v>
      </c>
      <c r="T87" t="str">
        <f>"18:35:48.719"</f>
        <v>18:35:48.719</v>
      </c>
      <c r="U87" t="str">
        <f t="shared" si="4"/>
        <v>a1cdbe</v>
      </c>
      <c r="V87">
        <v>0</v>
      </c>
      <c r="W87">
        <v>0</v>
      </c>
      <c r="X87">
        <v>1</v>
      </c>
      <c r="Y87">
        <v>0</v>
      </c>
      <c r="Z87">
        <v>0</v>
      </c>
      <c r="AB87">
        <v>0</v>
      </c>
      <c r="AC87">
        <v>9</v>
      </c>
      <c r="AD87">
        <v>3</v>
      </c>
      <c r="AE87">
        <v>0</v>
      </c>
      <c r="AF87">
        <v>9</v>
      </c>
      <c r="AG87" t="s">
        <v>158</v>
      </c>
      <c r="AH87">
        <v>0</v>
      </c>
      <c r="AI87">
        <v>3</v>
      </c>
      <c r="AJ87">
        <v>1</v>
      </c>
      <c r="AK87">
        <v>0</v>
      </c>
      <c r="AL87" t="s">
        <v>147</v>
      </c>
      <c r="AM87">
        <v>47.107787000000002</v>
      </c>
      <c r="AN87" t="s">
        <v>285</v>
      </c>
      <c r="AO87">
        <v>-122.270794</v>
      </c>
      <c r="AP87">
        <v>100</v>
      </c>
      <c r="AQ87">
        <v>1700</v>
      </c>
      <c r="AR87" t="s">
        <v>118</v>
      </c>
      <c r="AS87">
        <v>2</v>
      </c>
      <c r="AT87">
        <v>-72</v>
      </c>
      <c r="AU87">
        <v>960</v>
      </c>
      <c r="BC87">
        <v>1200</v>
      </c>
      <c r="BD87">
        <v>1</v>
      </c>
      <c r="BE87" t="str">
        <f t="shared" si="5"/>
        <v xml:space="preserve">N215T   </v>
      </c>
      <c r="BF87">
        <v>1</v>
      </c>
      <c r="BH87">
        <v>0</v>
      </c>
      <c r="BI87">
        <v>0</v>
      </c>
      <c r="BJ87">
        <v>0</v>
      </c>
      <c r="BK87">
        <v>2100</v>
      </c>
      <c r="BL87">
        <v>400</v>
      </c>
      <c r="BM87" t="s">
        <v>119</v>
      </c>
      <c r="BN87">
        <v>1</v>
      </c>
      <c r="BO87">
        <v>1</v>
      </c>
      <c r="BP87">
        <v>1</v>
      </c>
      <c r="BQ87">
        <v>0</v>
      </c>
      <c r="BT87">
        <v>0</v>
      </c>
      <c r="BU87">
        <v>0</v>
      </c>
      <c r="BV87">
        <v>0</v>
      </c>
      <c r="CC87" t="str">
        <f>"18:35:49.523"</f>
        <v>18:35:49.523</v>
      </c>
      <c r="CD87" t="str">
        <f>"521670391"</f>
        <v>521670391</v>
      </c>
      <c r="CQ87">
        <v>0</v>
      </c>
      <c r="CR87">
        <v>2</v>
      </c>
      <c r="CS87">
        <v>0</v>
      </c>
      <c r="CT87">
        <v>2</v>
      </c>
      <c r="CU87">
        <v>0</v>
      </c>
      <c r="CV87">
        <v>1</v>
      </c>
      <c r="CW87" t="s">
        <v>172</v>
      </c>
      <c r="CX87">
        <v>325</v>
      </c>
      <c r="CY87">
        <v>0</v>
      </c>
      <c r="CZ87" t="s">
        <v>219</v>
      </c>
      <c r="DA87" t="s">
        <v>220</v>
      </c>
      <c r="DD87">
        <v>4421747</v>
      </c>
      <c r="DE87" t="s">
        <v>123</v>
      </c>
    </row>
    <row r="88" spans="1:109" x14ac:dyDescent="0.3">
      <c r="A88" t="str">
        <f>"18:35:50.734"</f>
        <v>18:35:50.734</v>
      </c>
      <c r="B88" t="s">
        <v>110</v>
      </c>
      <c r="C88" t="str">
        <f t="shared" si="3"/>
        <v>ffdfd3c0</v>
      </c>
      <c r="D88" t="s">
        <v>111</v>
      </c>
      <c r="E88">
        <v>18</v>
      </c>
      <c r="F88">
        <v>1018</v>
      </c>
      <c r="G88" t="s">
        <v>112</v>
      </c>
      <c r="J88" t="s">
        <v>113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R88" t="s">
        <v>114</v>
      </c>
      <c r="S88" t="str">
        <f>"18:35:50.523"</f>
        <v>18:35:50.523</v>
      </c>
      <c r="T88" t="str">
        <f>"18:35:50.523"</f>
        <v>18:35:50.523</v>
      </c>
      <c r="U88" t="str">
        <f t="shared" si="4"/>
        <v>a1cdbe</v>
      </c>
      <c r="V88">
        <v>0</v>
      </c>
      <c r="W88">
        <v>0</v>
      </c>
      <c r="X88">
        <v>1</v>
      </c>
      <c r="Y88">
        <v>0</v>
      </c>
      <c r="Z88">
        <v>0</v>
      </c>
      <c r="AB88">
        <v>0</v>
      </c>
      <c r="AC88">
        <v>9</v>
      </c>
      <c r="AD88">
        <v>3</v>
      </c>
      <c r="AE88">
        <v>0</v>
      </c>
      <c r="AF88">
        <v>9</v>
      </c>
      <c r="AG88" t="s">
        <v>158</v>
      </c>
      <c r="AH88">
        <v>0</v>
      </c>
      <c r="AI88">
        <v>3</v>
      </c>
      <c r="AJ88">
        <v>1</v>
      </c>
      <c r="AK88">
        <v>0</v>
      </c>
      <c r="AL88" t="s">
        <v>286</v>
      </c>
      <c r="AM88">
        <v>47.107444000000001</v>
      </c>
      <c r="AN88" t="s">
        <v>282</v>
      </c>
      <c r="AO88">
        <v>-122.270837</v>
      </c>
      <c r="AP88">
        <v>100</v>
      </c>
      <c r="AQ88">
        <v>1700</v>
      </c>
      <c r="AR88" t="s">
        <v>118</v>
      </c>
      <c r="AS88">
        <v>-1</v>
      </c>
      <c r="AT88">
        <v>-72</v>
      </c>
      <c r="AU88">
        <v>896</v>
      </c>
      <c r="BC88">
        <v>1200</v>
      </c>
      <c r="BD88">
        <v>1</v>
      </c>
      <c r="BE88" t="str">
        <f t="shared" si="5"/>
        <v xml:space="preserve">N215T   </v>
      </c>
      <c r="BF88">
        <v>1</v>
      </c>
      <c r="BH88">
        <v>0</v>
      </c>
      <c r="BI88">
        <v>0</v>
      </c>
      <c r="BJ88">
        <v>0</v>
      </c>
      <c r="BK88">
        <v>2125</v>
      </c>
      <c r="BL88">
        <v>425</v>
      </c>
      <c r="BM88" t="s">
        <v>119</v>
      </c>
      <c r="BN88">
        <v>1</v>
      </c>
      <c r="BO88">
        <v>1</v>
      </c>
      <c r="BP88">
        <v>1</v>
      </c>
      <c r="BQ88">
        <v>0</v>
      </c>
      <c r="BT88">
        <v>0</v>
      </c>
      <c r="BU88">
        <v>0</v>
      </c>
      <c r="BV88">
        <v>0</v>
      </c>
      <c r="CC88" t="str">
        <f>"18:35:50.523"</f>
        <v>18:35:50.523</v>
      </c>
      <c r="CD88" t="str">
        <f>"526638817"</f>
        <v>526638817</v>
      </c>
      <c r="CQ88">
        <v>0</v>
      </c>
      <c r="CR88">
        <v>2</v>
      </c>
      <c r="CS88">
        <v>0</v>
      </c>
      <c r="CT88">
        <v>2</v>
      </c>
      <c r="CU88">
        <v>0</v>
      </c>
      <c r="CV88">
        <v>4</v>
      </c>
      <c r="CW88" t="s">
        <v>120</v>
      </c>
      <c r="CX88">
        <v>261</v>
      </c>
      <c r="CY88">
        <v>2</v>
      </c>
      <c r="CZ88" t="s">
        <v>121</v>
      </c>
      <c r="DA88" t="s">
        <v>122</v>
      </c>
      <c r="DD88">
        <v>14291597</v>
      </c>
      <c r="DE88" t="s">
        <v>123</v>
      </c>
    </row>
    <row r="89" spans="1:109" x14ac:dyDescent="0.3">
      <c r="A89" t="str">
        <f>"18:35:51.742"</f>
        <v>18:35:51.742</v>
      </c>
      <c r="B89" t="s">
        <v>110</v>
      </c>
      <c r="C89" t="str">
        <f t="shared" si="3"/>
        <v>ffdfd3c0</v>
      </c>
      <c r="D89" t="s">
        <v>111</v>
      </c>
      <c r="E89">
        <v>18</v>
      </c>
      <c r="F89">
        <v>1018</v>
      </c>
      <c r="G89" t="s">
        <v>112</v>
      </c>
      <c r="J89" t="s">
        <v>113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R89" t="s">
        <v>114</v>
      </c>
      <c r="S89" t="str">
        <f>"18:35:51.539"</f>
        <v>18:35:51.539</v>
      </c>
      <c r="T89" t="str">
        <f>"18:35:51.141"</f>
        <v>18:35:51.141</v>
      </c>
      <c r="U89" t="str">
        <f t="shared" si="4"/>
        <v>a1cdbe</v>
      </c>
      <c r="V89">
        <v>0</v>
      </c>
      <c r="W89">
        <v>0</v>
      </c>
      <c r="X89">
        <v>1</v>
      </c>
      <c r="Y89">
        <v>0</v>
      </c>
      <c r="Z89">
        <v>0</v>
      </c>
      <c r="AB89">
        <v>0</v>
      </c>
      <c r="AC89">
        <v>9</v>
      </c>
      <c r="AD89">
        <v>3</v>
      </c>
      <c r="AE89">
        <v>0</v>
      </c>
      <c r="AF89">
        <v>9</v>
      </c>
      <c r="AG89" t="s">
        <v>158</v>
      </c>
      <c r="AH89">
        <v>0</v>
      </c>
      <c r="AI89">
        <v>3</v>
      </c>
      <c r="AJ89">
        <v>1</v>
      </c>
      <c r="AK89">
        <v>0</v>
      </c>
      <c r="AL89" t="s">
        <v>287</v>
      </c>
      <c r="AM89">
        <v>47.107100000000003</v>
      </c>
      <c r="AN89" t="s">
        <v>285</v>
      </c>
      <c r="AO89">
        <v>-122.270794</v>
      </c>
      <c r="AP89">
        <v>100</v>
      </c>
      <c r="AQ89">
        <v>1800</v>
      </c>
      <c r="AR89" t="s">
        <v>118</v>
      </c>
      <c r="AS89">
        <v>-2</v>
      </c>
      <c r="AT89">
        <v>-72</v>
      </c>
      <c r="AU89">
        <v>832</v>
      </c>
      <c r="BC89">
        <v>1200</v>
      </c>
      <c r="BD89">
        <v>1</v>
      </c>
      <c r="BE89" t="str">
        <f t="shared" si="5"/>
        <v xml:space="preserve">N215T   </v>
      </c>
      <c r="BF89">
        <v>1</v>
      </c>
      <c r="BH89">
        <v>0</v>
      </c>
      <c r="BI89">
        <v>0</v>
      </c>
      <c r="BJ89">
        <v>0</v>
      </c>
      <c r="BK89">
        <v>2025</v>
      </c>
      <c r="BL89">
        <v>225</v>
      </c>
      <c r="BM89" t="s">
        <v>119</v>
      </c>
      <c r="BN89">
        <v>1</v>
      </c>
      <c r="BO89">
        <v>1</v>
      </c>
      <c r="BP89">
        <v>1</v>
      </c>
      <c r="BQ89">
        <v>0</v>
      </c>
      <c r="BT89">
        <v>0</v>
      </c>
      <c r="BU89">
        <v>0</v>
      </c>
      <c r="BV89">
        <v>0</v>
      </c>
      <c r="CC89" t="str">
        <f>"18:35:51.547"</f>
        <v>18:35:51.547</v>
      </c>
      <c r="CD89" t="str">
        <f>"546538528"</f>
        <v>546538528</v>
      </c>
      <c r="CQ89">
        <v>0</v>
      </c>
      <c r="CR89">
        <v>2</v>
      </c>
      <c r="CS89">
        <v>0</v>
      </c>
      <c r="CT89">
        <v>2</v>
      </c>
      <c r="CU89">
        <v>0</v>
      </c>
      <c r="CV89">
        <v>5</v>
      </c>
      <c r="CW89" t="s">
        <v>120</v>
      </c>
      <c r="CX89">
        <v>261</v>
      </c>
      <c r="CY89">
        <v>1</v>
      </c>
      <c r="CZ89" t="s">
        <v>121</v>
      </c>
      <c r="DA89" t="s">
        <v>122</v>
      </c>
      <c r="DD89">
        <v>3142607</v>
      </c>
      <c r="DE89" t="s">
        <v>123</v>
      </c>
    </row>
    <row r="90" spans="1:109" x14ac:dyDescent="0.3">
      <c r="A90" t="str">
        <f>"18:35:52.797"</f>
        <v>18:35:52.797</v>
      </c>
      <c r="B90" t="s">
        <v>110</v>
      </c>
      <c r="C90" t="str">
        <f t="shared" si="3"/>
        <v>ffdfd3c0</v>
      </c>
      <c r="D90" t="s">
        <v>111</v>
      </c>
      <c r="E90">
        <v>18</v>
      </c>
      <c r="F90">
        <v>1018</v>
      </c>
      <c r="G90" t="s">
        <v>112</v>
      </c>
      <c r="J90" t="s">
        <v>113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R90" t="s">
        <v>114</v>
      </c>
      <c r="S90" t="str">
        <f>"18:35:52.547"</f>
        <v>18:35:52.547</v>
      </c>
      <c r="T90" t="str">
        <f>"18:35:52.148"</f>
        <v>18:35:52.148</v>
      </c>
      <c r="U90" t="str">
        <f t="shared" si="4"/>
        <v>a1cdbe</v>
      </c>
      <c r="V90">
        <v>0</v>
      </c>
      <c r="W90">
        <v>0</v>
      </c>
      <c r="X90">
        <v>1</v>
      </c>
      <c r="Y90">
        <v>0</v>
      </c>
      <c r="Z90">
        <v>0</v>
      </c>
      <c r="AB90">
        <v>0</v>
      </c>
      <c r="AC90">
        <v>9</v>
      </c>
      <c r="AD90">
        <v>3</v>
      </c>
      <c r="AE90">
        <v>0</v>
      </c>
      <c r="AF90">
        <v>9</v>
      </c>
      <c r="AG90" t="s">
        <v>158</v>
      </c>
      <c r="AH90">
        <v>0</v>
      </c>
      <c r="AI90">
        <v>3</v>
      </c>
      <c r="AJ90">
        <v>1</v>
      </c>
      <c r="AK90">
        <v>0</v>
      </c>
      <c r="AL90" t="s">
        <v>288</v>
      </c>
      <c r="AM90">
        <v>47.106757000000002</v>
      </c>
      <c r="AN90" t="s">
        <v>282</v>
      </c>
      <c r="AO90">
        <v>-122.270837</v>
      </c>
      <c r="AP90">
        <v>100</v>
      </c>
      <c r="AQ90">
        <v>1800</v>
      </c>
      <c r="AR90" t="s">
        <v>118</v>
      </c>
      <c r="AS90">
        <v>-2</v>
      </c>
      <c r="AT90">
        <v>-72</v>
      </c>
      <c r="AU90">
        <v>896</v>
      </c>
      <c r="BC90">
        <v>1200</v>
      </c>
      <c r="BD90">
        <v>1</v>
      </c>
      <c r="BE90" t="str">
        <f t="shared" si="5"/>
        <v xml:space="preserve">N215T   </v>
      </c>
      <c r="BF90">
        <v>1</v>
      </c>
      <c r="BH90">
        <v>0</v>
      </c>
      <c r="BI90">
        <v>0</v>
      </c>
      <c r="BJ90">
        <v>0</v>
      </c>
      <c r="BK90">
        <v>2150</v>
      </c>
      <c r="BL90">
        <v>350</v>
      </c>
      <c r="BM90" t="s">
        <v>119</v>
      </c>
      <c r="BN90">
        <v>1</v>
      </c>
      <c r="BO90">
        <v>1</v>
      </c>
      <c r="BP90">
        <v>1</v>
      </c>
      <c r="BQ90">
        <v>0</v>
      </c>
      <c r="BT90">
        <v>0</v>
      </c>
      <c r="BU90">
        <v>0</v>
      </c>
      <c r="BV90">
        <v>0</v>
      </c>
      <c r="CC90" t="str">
        <f>"18:35:52.555"</f>
        <v>18:35:52.555</v>
      </c>
      <c r="CD90" t="str">
        <f>"551439702"</f>
        <v>551439702</v>
      </c>
      <c r="CQ90">
        <v>0</v>
      </c>
      <c r="CR90">
        <v>2</v>
      </c>
      <c r="CS90">
        <v>0</v>
      </c>
      <c r="CT90">
        <v>2</v>
      </c>
      <c r="CU90">
        <v>0</v>
      </c>
      <c r="CV90">
        <v>5</v>
      </c>
      <c r="CW90" t="s">
        <v>120</v>
      </c>
      <c r="CX90">
        <v>261</v>
      </c>
      <c r="CY90">
        <v>1</v>
      </c>
      <c r="CZ90" t="s">
        <v>121</v>
      </c>
      <c r="DA90" t="s">
        <v>122</v>
      </c>
      <c r="DD90">
        <v>3143201</v>
      </c>
      <c r="DE90" t="s">
        <v>123</v>
      </c>
    </row>
    <row r="91" spans="1:109" x14ac:dyDescent="0.3">
      <c r="A91" t="str">
        <f>"18:35:53.805"</f>
        <v>18:35:53.805</v>
      </c>
      <c r="B91" t="s">
        <v>110</v>
      </c>
      <c r="C91" t="str">
        <f t="shared" si="3"/>
        <v>ffdfd3c0</v>
      </c>
      <c r="D91" t="s">
        <v>111</v>
      </c>
      <c r="E91">
        <v>18</v>
      </c>
      <c r="F91">
        <v>1018</v>
      </c>
      <c r="G91" t="s">
        <v>112</v>
      </c>
      <c r="J91" t="s">
        <v>113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R91" t="s">
        <v>114</v>
      </c>
      <c r="S91" t="str">
        <f>"18:35:53.570"</f>
        <v>18:35:53.570</v>
      </c>
      <c r="T91" t="str">
        <f>"18:35:53.172"</f>
        <v>18:35:53.172</v>
      </c>
      <c r="U91" t="str">
        <f t="shared" si="4"/>
        <v>a1cdbe</v>
      </c>
      <c r="V91">
        <v>0</v>
      </c>
      <c r="W91">
        <v>0</v>
      </c>
      <c r="X91">
        <v>1</v>
      </c>
      <c r="Y91">
        <v>0</v>
      </c>
      <c r="Z91">
        <v>0</v>
      </c>
      <c r="AB91">
        <v>0</v>
      </c>
      <c r="AC91">
        <v>9</v>
      </c>
      <c r="AD91">
        <v>3</v>
      </c>
      <c r="AE91">
        <v>0</v>
      </c>
      <c r="AF91">
        <v>9</v>
      </c>
      <c r="AG91" t="s">
        <v>158</v>
      </c>
      <c r="AH91">
        <v>0</v>
      </c>
      <c r="AI91">
        <v>3</v>
      </c>
      <c r="AJ91">
        <v>1</v>
      </c>
      <c r="AK91">
        <v>0</v>
      </c>
      <c r="AL91" t="s">
        <v>289</v>
      </c>
      <c r="AM91">
        <v>47.106434999999998</v>
      </c>
      <c r="AN91" t="s">
        <v>282</v>
      </c>
      <c r="AO91">
        <v>-122.270837</v>
      </c>
      <c r="AP91">
        <v>100</v>
      </c>
      <c r="AQ91">
        <v>1800</v>
      </c>
      <c r="AR91" t="s">
        <v>118</v>
      </c>
      <c r="AS91">
        <v>-3</v>
      </c>
      <c r="AT91">
        <v>-72</v>
      </c>
      <c r="AU91">
        <v>832</v>
      </c>
      <c r="BC91">
        <v>1200</v>
      </c>
      <c r="BD91">
        <v>1</v>
      </c>
      <c r="BE91" t="str">
        <f t="shared" si="5"/>
        <v xml:space="preserve">N215T   </v>
      </c>
      <c r="BF91">
        <v>1</v>
      </c>
      <c r="BH91">
        <v>0</v>
      </c>
      <c r="BI91">
        <v>0</v>
      </c>
      <c r="BJ91">
        <v>0</v>
      </c>
      <c r="BK91">
        <v>2175</v>
      </c>
      <c r="BL91">
        <v>375</v>
      </c>
      <c r="BM91" t="s">
        <v>119</v>
      </c>
      <c r="BN91">
        <v>1</v>
      </c>
      <c r="BO91">
        <v>1</v>
      </c>
      <c r="BP91">
        <v>1</v>
      </c>
      <c r="BQ91">
        <v>0</v>
      </c>
      <c r="BT91">
        <v>0</v>
      </c>
      <c r="BU91">
        <v>0</v>
      </c>
      <c r="BV91">
        <v>0</v>
      </c>
      <c r="CC91" t="str">
        <f>"18:35:53.570"</f>
        <v>18:35:53.570</v>
      </c>
      <c r="CD91" t="str">
        <f>"571339395"</f>
        <v>571339395</v>
      </c>
      <c r="CQ91">
        <v>0</v>
      </c>
      <c r="CR91">
        <v>2</v>
      </c>
      <c r="CS91">
        <v>0</v>
      </c>
      <c r="CT91">
        <v>2</v>
      </c>
      <c r="CU91">
        <v>0</v>
      </c>
      <c r="CV91">
        <v>5</v>
      </c>
      <c r="CW91" t="s">
        <v>120</v>
      </c>
      <c r="CX91">
        <v>261</v>
      </c>
      <c r="CY91">
        <v>2</v>
      </c>
      <c r="CZ91" t="s">
        <v>121</v>
      </c>
      <c r="DA91" t="s">
        <v>122</v>
      </c>
      <c r="DD91">
        <v>14293022</v>
      </c>
      <c r="DE91" t="s">
        <v>123</v>
      </c>
    </row>
    <row r="92" spans="1:109" x14ac:dyDescent="0.3">
      <c r="A92" t="str">
        <f>"18:35:54.961"</f>
        <v>18:35:54.961</v>
      </c>
      <c r="B92" t="s">
        <v>110</v>
      </c>
      <c r="C92" t="str">
        <f t="shared" si="3"/>
        <v>ffdfd3c0</v>
      </c>
      <c r="D92" t="s">
        <v>111</v>
      </c>
      <c r="E92">
        <v>18</v>
      </c>
      <c r="F92">
        <v>1018</v>
      </c>
      <c r="G92" t="s">
        <v>112</v>
      </c>
      <c r="J92" t="s">
        <v>113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R92" t="s">
        <v>114</v>
      </c>
      <c r="S92" t="str">
        <f>"18:35:54.695"</f>
        <v>18:35:54.695</v>
      </c>
      <c r="T92" t="str">
        <f>"18:35:54.195"</f>
        <v>18:35:54.195</v>
      </c>
      <c r="U92" t="str">
        <f t="shared" si="4"/>
        <v>a1cdbe</v>
      </c>
      <c r="V92">
        <v>0</v>
      </c>
      <c r="W92">
        <v>0</v>
      </c>
      <c r="X92">
        <v>1</v>
      </c>
      <c r="Y92">
        <v>0</v>
      </c>
      <c r="Z92">
        <v>0</v>
      </c>
      <c r="AB92">
        <v>0</v>
      </c>
      <c r="AC92">
        <v>9</v>
      </c>
      <c r="AD92">
        <v>3</v>
      </c>
      <c r="AE92">
        <v>0</v>
      </c>
      <c r="AF92">
        <v>9</v>
      </c>
      <c r="AG92" t="s">
        <v>158</v>
      </c>
      <c r="AH92">
        <v>0</v>
      </c>
      <c r="AI92">
        <v>3</v>
      </c>
      <c r="AJ92">
        <v>1</v>
      </c>
      <c r="AK92">
        <v>0</v>
      </c>
      <c r="AL92" t="s">
        <v>137</v>
      </c>
      <c r="AM92">
        <v>47.106028000000002</v>
      </c>
      <c r="AN92" t="s">
        <v>280</v>
      </c>
      <c r="AO92">
        <v>-122.270858</v>
      </c>
      <c r="AP92">
        <v>100</v>
      </c>
      <c r="AQ92">
        <v>1800</v>
      </c>
      <c r="AR92" t="s">
        <v>118</v>
      </c>
      <c r="AS92">
        <v>-4</v>
      </c>
      <c r="AT92">
        <v>-72</v>
      </c>
      <c r="AU92">
        <v>896</v>
      </c>
      <c r="BC92">
        <v>1200</v>
      </c>
      <c r="BD92">
        <v>1</v>
      </c>
      <c r="BE92" t="str">
        <f t="shared" si="5"/>
        <v xml:space="preserve">N215T   </v>
      </c>
      <c r="BF92">
        <v>1</v>
      </c>
      <c r="BH92">
        <v>0</v>
      </c>
      <c r="BI92">
        <v>0</v>
      </c>
      <c r="BJ92">
        <v>0</v>
      </c>
      <c r="BK92">
        <v>2175</v>
      </c>
      <c r="BL92">
        <v>375</v>
      </c>
      <c r="BM92" t="s">
        <v>119</v>
      </c>
      <c r="BN92">
        <v>1</v>
      </c>
      <c r="BO92">
        <v>1</v>
      </c>
      <c r="BP92">
        <v>1</v>
      </c>
      <c r="BQ92">
        <v>0</v>
      </c>
      <c r="BT92">
        <v>0</v>
      </c>
      <c r="BU92">
        <v>0</v>
      </c>
      <c r="BV92">
        <v>0</v>
      </c>
      <c r="CC92" t="str">
        <f>"18:35:54.695"</f>
        <v>18:35:54.695</v>
      </c>
      <c r="CD92" t="str">
        <f>"696228781"</f>
        <v>696228781</v>
      </c>
      <c r="CQ92">
        <v>0</v>
      </c>
      <c r="CR92">
        <v>2</v>
      </c>
      <c r="CS92">
        <v>0</v>
      </c>
      <c r="CT92">
        <v>2</v>
      </c>
      <c r="CU92">
        <v>0</v>
      </c>
      <c r="CV92">
        <v>4</v>
      </c>
      <c r="CW92" t="s">
        <v>120</v>
      </c>
      <c r="CX92">
        <v>261</v>
      </c>
      <c r="CY92">
        <v>1</v>
      </c>
      <c r="CZ92" t="s">
        <v>121</v>
      </c>
      <c r="DA92" t="s">
        <v>122</v>
      </c>
      <c r="DD92">
        <v>3144394</v>
      </c>
      <c r="DE92" t="s">
        <v>123</v>
      </c>
    </row>
    <row r="93" spans="1:109" x14ac:dyDescent="0.3">
      <c r="A93" t="str">
        <f>"18:35:55.867"</f>
        <v>18:35:55.867</v>
      </c>
      <c r="B93" t="s">
        <v>110</v>
      </c>
      <c r="C93" t="str">
        <f t="shared" si="3"/>
        <v>ffdfd3c0</v>
      </c>
      <c r="D93" t="s">
        <v>111</v>
      </c>
      <c r="E93">
        <v>18</v>
      </c>
      <c r="F93">
        <v>1018</v>
      </c>
      <c r="G93" t="s">
        <v>112</v>
      </c>
      <c r="J93" t="s">
        <v>113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R93" t="s">
        <v>114</v>
      </c>
      <c r="S93" t="str">
        <f>"18:35:55.641"</f>
        <v>18:35:55.641</v>
      </c>
      <c r="T93" t="str">
        <f>"18:35:55.641"</f>
        <v>18:35:55.641</v>
      </c>
      <c r="U93" t="str">
        <f t="shared" si="4"/>
        <v>a1cdbe</v>
      </c>
      <c r="V93">
        <v>0</v>
      </c>
      <c r="W93">
        <v>0</v>
      </c>
      <c r="X93">
        <v>1</v>
      </c>
      <c r="Y93">
        <v>0</v>
      </c>
      <c r="Z93">
        <v>0</v>
      </c>
      <c r="AB93">
        <v>0</v>
      </c>
      <c r="AC93">
        <v>9</v>
      </c>
      <c r="AD93">
        <v>3</v>
      </c>
      <c r="AE93">
        <v>0</v>
      </c>
      <c r="AF93">
        <v>9</v>
      </c>
      <c r="AG93" t="s">
        <v>158</v>
      </c>
      <c r="AH93">
        <v>0</v>
      </c>
      <c r="AI93">
        <v>3</v>
      </c>
      <c r="AJ93">
        <v>1</v>
      </c>
      <c r="AK93">
        <v>0</v>
      </c>
      <c r="AL93" t="s">
        <v>135</v>
      </c>
      <c r="AM93">
        <v>47.105749000000003</v>
      </c>
      <c r="AN93" t="s">
        <v>278</v>
      </c>
      <c r="AO93">
        <v>-122.27090099999999</v>
      </c>
      <c r="AP93">
        <v>100</v>
      </c>
      <c r="AQ93">
        <v>1800</v>
      </c>
      <c r="AR93" t="s">
        <v>118</v>
      </c>
      <c r="AS93">
        <v>-5</v>
      </c>
      <c r="AT93">
        <v>-72</v>
      </c>
      <c r="AU93">
        <v>896</v>
      </c>
      <c r="BC93">
        <v>1200</v>
      </c>
      <c r="BD93">
        <v>1</v>
      </c>
      <c r="BE93" t="str">
        <f t="shared" si="5"/>
        <v xml:space="preserve">N215T   </v>
      </c>
      <c r="BF93">
        <v>1</v>
      </c>
      <c r="BH93">
        <v>0</v>
      </c>
      <c r="BI93">
        <v>0</v>
      </c>
      <c r="BJ93">
        <v>0</v>
      </c>
      <c r="BK93">
        <v>2200</v>
      </c>
      <c r="BL93">
        <v>400</v>
      </c>
      <c r="BM93" t="s">
        <v>119</v>
      </c>
      <c r="BN93">
        <v>1</v>
      </c>
      <c r="BO93">
        <v>1</v>
      </c>
      <c r="BP93">
        <v>1</v>
      </c>
      <c r="BQ93">
        <v>0</v>
      </c>
      <c r="BT93">
        <v>0</v>
      </c>
      <c r="BU93">
        <v>0</v>
      </c>
      <c r="BV93">
        <v>0</v>
      </c>
      <c r="CC93" t="str">
        <f>"18:35:55.641"</f>
        <v>18:35:55.641</v>
      </c>
      <c r="CD93" t="str">
        <f>"641135808"</f>
        <v>641135808</v>
      </c>
      <c r="CQ93">
        <v>0</v>
      </c>
      <c r="CR93">
        <v>2</v>
      </c>
      <c r="CS93">
        <v>0</v>
      </c>
      <c r="CT93">
        <v>2</v>
      </c>
      <c r="CU93">
        <v>0</v>
      </c>
      <c r="CV93">
        <v>4</v>
      </c>
      <c r="CW93" t="s">
        <v>120</v>
      </c>
      <c r="CX93">
        <v>261</v>
      </c>
      <c r="CY93">
        <v>2</v>
      </c>
      <c r="CZ93" t="s">
        <v>121</v>
      </c>
      <c r="DA93" t="s">
        <v>122</v>
      </c>
      <c r="DD93">
        <v>14294007</v>
      </c>
      <c r="DE93" t="s">
        <v>123</v>
      </c>
    </row>
    <row r="94" spans="1:109" x14ac:dyDescent="0.3">
      <c r="A94" t="str">
        <f>"18:35:56.773"</f>
        <v>18:35:56.773</v>
      </c>
      <c r="B94" t="s">
        <v>110</v>
      </c>
      <c r="C94" t="str">
        <f t="shared" si="3"/>
        <v>ffdfd3c0</v>
      </c>
      <c r="D94" t="s">
        <v>111</v>
      </c>
      <c r="E94">
        <v>18</v>
      </c>
      <c r="F94">
        <v>1018</v>
      </c>
      <c r="G94" t="s">
        <v>112</v>
      </c>
      <c r="J94" t="s">
        <v>113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R94" t="s">
        <v>114</v>
      </c>
      <c r="S94" t="str">
        <f>"18:35:56.539"</f>
        <v>18:35:56.539</v>
      </c>
      <c r="T94" t="str">
        <f>"18:35:56.141"</f>
        <v>18:35:56.141</v>
      </c>
      <c r="U94" t="str">
        <f t="shared" si="4"/>
        <v>a1cdbe</v>
      </c>
      <c r="V94">
        <v>0</v>
      </c>
      <c r="W94">
        <v>0</v>
      </c>
      <c r="X94">
        <v>1</v>
      </c>
      <c r="Y94">
        <v>0</v>
      </c>
      <c r="Z94">
        <v>0</v>
      </c>
      <c r="AB94">
        <v>0</v>
      </c>
      <c r="AC94">
        <v>9</v>
      </c>
      <c r="AD94">
        <v>3</v>
      </c>
      <c r="AE94">
        <v>0</v>
      </c>
      <c r="AF94">
        <v>9</v>
      </c>
      <c r="AG94" t="s">
        <v>158</v>
      </c>
      <c r="AH94">
        <v>0</v>
      </c>
      <c r="AI94">
        <v>3</v>
      </c>
      <c r="AJ94">
        <v>1</v>
      </c>
      <c r="AK94">
        <v>0</v>
      </c>
      <c r="AL94" t="s">
        <v>290</v>
      </c>
      <c r="AM94">
        <v>47.105448000000003</v>
      </c>
      <c r="AN94" t="s">
        <v>291</v>
      </c>
      <c r="AO94">
        <v>-122.270966</v>
      </c>
      <c r="AP94">
        <v>100</v>
      </c>
      <c r="AQ94">
        <v>1800</v>
      </c>
      <c r="AR94" t="s">
        <v>118</v>
      </c>
      <c r="AS94">
        <v>-5</v>
      </c>
      <c r="AT94">
        <v>-72</v>
      </c>
      <c r="AU94">
        <v>896</v>
      </c>
      <c r="BC94">
        <v>1200</v>
      </c>
      <c r="BD94">
        <v>1</v>
      </c>
      <c r="BE94" t="str">
        <f t="shared" si="5"/>
        <v xml:space="preserve">N215T   </v>
      </c>
      <c r="BF94">
        <v>1</v>
      </c>
      <c r="BH94">
        <v>0</v>
      </c>
      <c r="BI94">
        <v>0</v>
      </c>
      <c r="BJ94">
        <v>0</v>
      </c>
      <c r="BK94">
        <v>2200</v>
      </c>
      <c r="BL94">
        <v>400</v>
      </c>
      <c r="BM94" t="s">
        <v>119</v>
      </c>
      <c r="BN94">
        <v>1</v>
      </c>
      <c r="BO94">
        <v>1</v>
      </c>
      <c r="BP94">
        <v>1</v>
      </c>
      <c r="BQ94">
        <v>0</v>
      </c>
      <c r="BT94">
        <v>0</v>
      </c>
      <c r="BU94">
        <v>0</v>
      </c>
      <c r="BV94">
        <v>0</v>
      </c>
      <c r="CC94" t="str">
        <f>"18:35:56.539"</f>
        <v>18:35:56.539</v>
      </c>
      <c r="CD94" t="str">
        <f>"541047315"</f>
        <v>541047315</v>
      </c>
      <c r="CQ94">
        <v>0</v>
      </c>
      <c r="CR94">
        <v>2</v>
      </c>
      <c r="CS94">
        <v>0</v>
      </c>
      <c r="CT94">
        <v>2</v>
      </c>
      <c r="CU94">
        <v>0</v>
      </c>
      <c r="CV94">
        <v>5</v>
      </c>
      <c r="CW94" t="s">
        <v>120</v>
      </c>
      <c r="CX94">
        <v>261</v>
      </c>
      <c r="CY94">
        <v>1</v>
      </c>
      <c r="CZ94" t="s">
        <v>121</v>
      </c>
      <c r="DA94" t="s">
        <v>122</v>
      </c>
      <c r="DD94">
        <v>3145434</v>
      </c>
      <c r="DE94" t="s">
        <v>123</v>
      </c>
    </row>
    <row r="95" spans="1:109" x14ac:dyDescent="0.3">
      <c r="A95" t="str">
        <f>"18:35:57.727"</f>
        <v>18:35:57.727</v>
      </c>
      <c r="B95" t="s">
        <v>110</v>
      </c>
      <c r="C95" t="str">
        <f t="shared" si="3"/>
        <v>ffdfd3c0</v>
      </c>
      <c r="D95" t="s">
        <v>111</v>
      </c>
      <c r="E95">
        <v>18</v>
      </c>
      <c r="F95">
        <v>1018</v>
      </c>
      <c r="G95" t="s">
        <v>112</v>
      </c>
      <c r="J95" t="s">
        <v>113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R95" t="s">
        <v>114</v>
      </c>
      <c r="S95" t="str">
        <f>"18:35:57.523"</f>
        <v>18:35:57.523</v>
      </c>
      <c r="T95" t="str">
        <f>"18:35:57.125"</f>
        <v>18:35:57.125</v>
      </c>
      <c r="U95" t="str">
        <f t="shared" si="4"/>
        <v>a1cdbe</v>
      </c>
      <c r="V95">
        <v>0</v>
      </c>
      <c r="W95">
        <v>0</v>
      </c>
      <c r="X95">
        <v>1</v>
      </c>
      <c r="Y95">
        <v>0</v>
      </c>
      <c r="Z95">
        <v>0</v>
      </c>
      <c r="AB95">
        <v>0</v>
      </c>
      <c r="AC95">
        <v>9</v>
      </c>
      <c r="AD95">
        <v>3</v>
      </c>
      <c r="AE95">
        <v>0</v>
      </c>
      <c r="AF95">
        <v>9</v>
      </c>
      <c r="AG95" t="s">
        <v>158</v>
      </c>
      <c r="AH95">
        <v>0</v>
      </c>
      <c r="AI95">
        <v>3</v>
      </c>
      <c r="AJ95">
        <v>1</v>
      </c>
      <c r="AK95">
        <v>0</v>
      </c>
      <c r="AL95" t="s">
        <v>292</v>
      </c>
      <c r="AM95">
        <v>47.105083</v>
      </c>
      <c r="AN95" t="s">
        <v>275</v>
      </c>
      <c r="AO95">
        <v>-122.270923</v>
      </c>
      <c r="AP95">
        <v>100</v>
      </c>
      <c r="AQ95">
        <v>1800</v>
      </c>
      <c r="AR95" t="s">
        <v>118</v>
      </c>
      <c r="AS95">
        <v>-5</v>
      </c>
      <c r="AT95">
        <v>-72</v>
      </c>
      <c r="AU95">
        <v>832</v>
      </c>
      <c r="BC95">
        <v>1200</v>
      </c>
      <c r="BD95">
        <v>1</v>
      </c>
      <c r="BE95" t="str">
        <f t="shared" si="5"/>
        <v xml:space="preserve">N215T   </v>
      </c>
      <c r="BF95">
        <v>1</v>
      </c>
      <c r="BH95">
        <v>0</v>
      </c>
      <c r="BI95">
        <v>0</v>
      </c>
      <c r="BJ95">
        <v>0</v>
      </c>
      <c r="BK95">
        <v>2225</v>
      </c>
      <c r="BL95">
        <v>425</v>
      </c>
      <c r="BM95" t="s">
        <v>119</v>
      </c>
      <c r="BN95">
        <v>1</v>
      </c>
      <c r="BO95">
        <v>1</v>
      </c>
      <c r="BP95">
        <v>1</v>
      </c>
      <c r="BQ95">
        <v>0</v>
      </c>
      <c r="BT95">
        <v>0</v>
      </c>
      <c r="BU95">
        <v>0</v>
      </c>
      <c r="BV95">
        <v>0</v>
      </c>
      <c r="CC95" t="str">
        <f>"18:35:57.531"</f>
        <v>18:35:57.531</v>
      </c>
      <c r="CD95" t="str">
        <f>"530949946"</f>
        <v>530949946</v>
      </c>
      <c r="CQ95">
        <v>0</v>
      </c>
      <c r="CR95">
        <v>2</v>
      </c>
      <c r="CS95">
        <v>0</v>
      </c>
      <c r="CT95">
        <v>2</v>
      </c>
      <c r="CU95">
        <v>0</v>
      </c>
      <c r="CV95">
        <v>4</v>
      </c>
      <c r="CW95" t="s">
        <v>120</v>
      </c>
      <c r="CX95">
        <v>261</v>
      </c>
      <c r="CY95">
        <v>1</v>
      </c>
      <c r="CZ95" t="s">
        <v>121</v>
      </c>
      <c r="DA95" t="s">
        <v>122</v>
      </c>
      <c r="DD95">
        <v>3145985</v>
      </c>
      <c r="DE95" t="s">
        <v>123</v>
      </c>
    </row>
    <row r="96" spans="1:109" x14ac:dyDescent="0.3">
      <c r="A96" t="str">
        <f>"18:35:58.734"</f>
        <v>18:35:58.734</v>
      </c>
      <c r="B96" t="s">
        <v>110</v>
      </c>
      <c r="C96" t="str">
        <f t="shared" si="3"/>
        <v>ffdfd3c0</v>
      </c>
      <c r="D96" t="s">
        <v>111</v>
      </c>
      <c r="E96">
        <v>18</v>
      </c>
      <c r="F96">
        <v>1018</v>
      </c>
      <c r="G96" t="s">
        <v>112</v>
      </c>
      <c r="J96" t="s">
        <v>113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R96" t="s">
        <v>114</v>
      </c>
      <c r="S96" t="str">
        <f>"18:35:58.531"</f>
        <v>18:35:58.531</v>
      </c>
      <c r="T96" t="str">
        <f>"18:35:58.133"</f>
        <v>18:35:58.133</v>
      </c>
      <c r="U96" t="str">
        <f t="shared" si="4"/>
        <v>a1cdbe</v>
      </c>
      <c r="V96">
        <v>0</v>
      </c>
      <c r="W96">
        <v>0</v>
      </c>
      <c r="X96">
        <v>1</v>
      </c>
      <c r="Y96">
        <v>0</v>
      </c>
      <c r="Z96">
        <v>0</v>
      </c>
      <c r="AB96">
        <v>0</v>
      </c>
      <c r="AC96">
        <v>9</v>
      </c>
      <c r="AD96">
        <v>3</v>
      </c>
      <c r="AE96">
        <v>0</v>
      </c>
      <c r="AF96">
        <v>9</v>
      </c>
      <c r="AG96" t="s">
        <v>158</v>
      </c>
      <c r="AH96">
        <v>0</v>
      </c>
      <c r="AI96">
        <v>3</v>
      </c>
      <c r="AJ96">
        <v>1</v>
      </c>
      <c r="AK96">
        <v>0</v>
      </c>
      <c r="AL96" t="s">
        <v>293</v>
      </c>
      <c r="AM96">
        <v>47.104804999999999</v>
      </c>
      <c r="AN96" t="s">
        <v>273</v>
      </c>
      <c r="AO96">
        <v>-122.27103</v>
      </c>
      <c r="AP96">
        <v>100</v>
      </c>
      <c r="AQ96">
        <v>1900</v>
      </c>
      <c r="AR96" t="s">
        <v>118</v>
      </c>
      <c r="AS96">
        <v>-5</v>
      </c>
      <c r="AT96">
        <v>-72</v>
      </c>
      <c r="AU96">
        <v>832</v>
      </c>
      <c r="BC96">
        <v>1200</v>
      </c>
      <c r="BD96">
        <v>1</v>
      </c>
      <c r="BE96" t="str">
        <f t="shared" si="5"/>
        <v xml:space="preserve">N215T   </v>
      </c>
      <c r="BF96">
        <v>1</v>
      </c>
      <c r="BH96">
        <v>0</v>
      </c>
      <c r="BI96">
        <v>0</v>
      </c>
      <c r="BJ96">
        <v>0</v>
      </c>
      <c r="BK96">
        <v>2250</v>
      </c>
      <c r="BL96">
        <v>350</v>
      </c>
      <c r="BM96" t="s">
        <v>119</v>
      </c>
      <c r="BN96">
        <v>1</v>
      </c>
      <c r="BO96">
        <v>1</v>
      </c>
      <c r="BP96">
        <v>1</v>
      </c>
      <c r="BQ96">
        <v>0</v>
      </c>
      <c r="BT96">
        <v>0</v>
      </c>
      <c r="BU96">
        <v>0</v>
      </c>
      <c r="BV96">
        <v>0</v>
      </c>
      <c r="CC96" t="str">
        <f>"18:35:58.539"</f>
        <v>18:35:58.539</v>
      </c>
      <c r="CD96" t="str">
        <f>"535851140"</f>
        <v>535851140</v>
      </c>
      <c r="CQ96">
        <v>0</v>
      </c>
      <c r="CR96">
        <v>2</v>
      </c>
      <c r="CS96">
        <v>0</v>
      </c>
      <c r="CT96">
        <v>2</v>
      </c>
      <c r="CU96">
        <v>0</v>
      </c>
      <c r="CV96">
        <v>4</v>
      </c>
      <c r="CW96" t="s">
        <v>120</v>
      </c>
      <c r="CX96">
        <v>261</v>
      </c>
      <c r="CY96">
        <v>2</v>
      </c>
      <c r="CZ96" t="s">
        <v>121</v>
      </c>
      <c r="DA96" t="s">
        <v>122</v>
      </c>
      <c r="DD96">
        <v>14295331</v>
      </c>
      <c r="DE96" t="s">
        <v>123</v>
      </c>
    </row>
    <row r="97" spans="1:109" x14ac:dyDescent="0.3">
      <c r="A97" t="str">
        <f>"18:35:59.836"</f>
        <v>18:35:59.836</v>
      </c>
      <c r="B97" t="s">
        <v>110</v>
      </c>
      <c r="C97" t="str">
        <f t="shared" si="3"/>
        <v>ffdfd3c0</v>
      </c>
      <c r="D97" t="s">
        <v>111</v>
      </c>
      <c r="E97">
        <v>18</v>
      </c>
      <c r="F97">
        <v>1018</v>
      </c>
      <c r="G97" t="s">
        <v>112</v>
      </c>
      <c r="J97" t="s">
        <v>113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R97" t="s">
        <v>114</v>
      </c>
      <c r="S97" t="str">
        <f>"18:35:59.578"</f>
        <v>18:35:59.578</v>
      </c>
      <c r="T97" t="str">
        <f>"18:35:59.281"</f>
        <v>18:35:59.281</v>
      </c>
      <c r="U97" t="str">
        <f t="shared" si="4"/>
        <v>a1cdbe</v>
      </c>
      <c r="V97">
        <v>0</v>
      </c>
      <c r="W97">
        <v>0</v>
      </c>
      <c r="X97">
        <v>1</v>
      </c>
      <c r="Y97">
        <v>0</v>
      </c>
      <c r="Z97">
        <v>0</v>
      </c>
      <c r="AB97">
        <v>0</v>
      </c>
      <c r="AC97">
        <v>9</v>
      </c>
      <c r="AD97">
        <v>3</v>
      </c>
      <c r="AE97">
        <v>0</v>
      </c>
      <c r="AF97">
        <v>9</v>
      </c>
      <c r="AG97" t="s">
        <v>158</v>
      </c>
      <c r="AH97">
        <v>0</v>
      </c>
      <c r="AI97">
        <v>3</v>
      </c>
      <c r="AJ97">
        <v>1</v>
      </c>
      <c r="AK97">
        <v>0</v>
      </c>
      <c r="AL97" t="s">
        <v>294</v>
      </c>
      <c r="AM97">
        <v>47.104439999999997</v>
      </c>
      <c r="AN97" t="s">
        <v>273</v>
      </c>
      <c r="AO97">
        <v>-122.27103</v>
      </c>
      <c r="AP97">
        <v>100</v>
      </c>
      <c r="AQ97">
        <v>1900</v>
      </c>
      <c r="AR97" t="s">
        <v>118</v>
      </c>
      <c r="AS97">
        <v>-4</v>
      </c>
      <c r="AT97">
        <v>-72</v>
      </c>
      <c r="AU97">
        <v>832</v>
      </c>
      <c r="BC97">
        <v>1200</v>
      </c>
      <c r="BD97">
        <v>1</v>
      </c>
      <c r="BE97" t="str">
        <f t="shared" si="5"/>
        <v xml:space="preserve">N215T   </v>
      </c>
      <c r="BF97">
        <v>1</v>
      </c>
      <c r="BH97">
        <v>0</v>
      </c>
      <c r="BI97">
        <v>0</v>
      </c>
      <c r="BJ97">
        <v>0</v>
      </c>
      <c r="BK97">
        <v>2250</v>
      </c>
      <c r="BL97">
        <v>350</v>
      </c>
      <c r="BM97" t="s">
        <v>119</v>
      </c>
      <c r="BN97">
        <v>1</v>
      </c>
      <c r="BO97">
        <v>1</v>
      </c>
      <c r="BP97">
        <v>1</v>
      </c>
      <c r="BQ97">
        <v>0</v>
      </c>
      <c r="BT97">
        <v>0</v>
      </c>
      <c r="BU97">
        <v>0</v>
      </c>
      <c r="BV97">
        <v>0</v>
      </c>
      <c r="CC97" t="str">
        <f>"18:35:59.586"</f>
        <v>18:35:59.586</v>
      </c>
      <c r="CD97" t="str">
        <f>"585747904"</f>
        <v>585747904</v>
      </c>
      <c r="CQ97">
        <v>0</v>
      </c>
      <c r="CR97">
        <v>2</v>
      </c>
      <c r="CS97">
        <v>0</v>
      </c>
      <c r="CT97">
        <v>2</v>
      </c>
      <c r="CU97">
        <v>0</v>
      </c>
      <c r="CV97">
        <v>5</v>
      </c>
      <c r="CW97" t="s">
        <v>120</v>
      </c>
      <c r="CX97">
        <v>261</v>
      </c>
      <c r="CY97">
        <v>1</v>
      </c>
      <c r="CZ97" t="s">
        <v>121</v>
      </c>
      <c r="DA97" t="s">
        <v>122</v>
      </c>
      <c r="DD97">
        <v>3147080</v>
      </c>
      <c r="DE97" t="s">
        <v>123</v>
      </c>
    </row>
    <row r="98" spans="1:109" x14ac:dyDescent="0.3">
      <c r="A98" t="str">
        <f>"18:36:00.945"</f>
        <v>18:36:00.945</v>
      </c>
      <c r="B98" t="s">
        <v>110</v>
      </c>
      <c r="C98" t="str">
        <f t="shared" si="3"/>
        <v>ffdfd3c0</v>
      </c>
      <c r="D98" t="s">
        <v>111</v>
      </c>
      <c r="E98">
        <v>18</v>
      </c>
      <c r="F98">
        <v>1018</v>
      </c>
      <c r="G98" t="s">
        <v>112</v>
      </c>
      <c r="J98" t="s">
        <v>113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R98" t="s">
        <v>114</v>
      </c>
      <c r="S98" t="str">
        <f>"18:36:00.680"</f>
        <v>18:36:00.680</v>
      </c>
      <c r="T98" t="str">
        <f>"18:36:00.383"</f>
        <v>18:36:00.383</v>
      </c>
      <c r="U98" t="str">
        <f t="shared" si="4"/>
        <v>a1cdbe</v>
      </c>
      <c r="V98">
        <v>0</v>
      </c>
      <c r="W98">
        <v>0</v>
      </c>
      <c r="X98">
        <v>1</v>
      </c>
      <c r="Y98">
        <v>0</v>
      </c>
      <c r="Z98">
        <v>0</v>
      </c>
      <c r="AB98">
        <v>0</v>
      </c>
      <c r="AC98">
        <v>9</v>
      </c>
      <c r="AD98">
        <v>3</v>
      </c>
      <c r="AE98">
        <v>0</v>
      </c>
      <c r="AF98">
        <v>9</v>
      </c>
      <c r="AG98" t="s">
        <v>158</v>
      </c>
      <c r="AH98">
        <v>0</v>
      </c>
      <c r="AI98">
        <v>3</v>
      </c>
      <c r="AJ98">
        <v>1</v>
      </c>
      <c r="AK98">
        <v>0</v>
      </c>
      <c r="AL98" t="s">
        <v>295</v>
      </c>
      <c r="AM98">
        <v>47.104075000000002</v>
      </c>
      <c r="AN98" t="s">
        <v>271</v>
      </c>
      <c r="AO98">
        <v>-122.271073</v>
      </c>
      <c r="AP98">
        <v>100</v>
      </c>
      <c r="AQ98">
        <v>1900</v>
      </c>
      <c r="AR98" t="s">
        <v>118</v>
      </c>
      <c r="AS98">
        <v>-4</v>
      </c>
      <c r="AT98">
        <v>-72</v>
      </c>
      <c r="AU98">
        <v>832</v>
      </c>
      <c r="BC98">
        <v>1200</v>
      </c>
      <c r="BD98">
        <v>1</v>
      </c>
      <c r="BE98" t="str">
        <f t="shared" si="5"/>
        <v xml:space="preserve">N215T   </v>
      </c>
      <c r="BF98">
        <v>1</v>
      </c>
      <c r="BH98">
        <v>0</v>
      </c>
      <c r="BI98">
        <v>0</v>
      </c>
      <c r="BJ98">
        <v>0</v>
      </c>
      <c r="BK98">
        <v>2275</v>
      </c>
      <c r="BL98">
        <v>375</v>
      </c>
      <c r="BM98" t="s">
        <v>119</v>
      </c>
      <c r="BN98">
        <v>1</v>
      </c>
      <c r="BO98">
        <v>1</v>
      </c>
      <c r="BP98">
        <v>1</v>
      </c>
      <c r="BQ98">
        <v>0</v>
      </c>
      <c r="BT98">
        <v>0</v>
      </c>
      <c r="BU98">
        <v>0</v>
      </c>
      <c r="BV98">
        <v>0</v>
      </c>
      <c r="CC98" t="str">
        <f>"18:36:00.680"</f>
        <v>18:36:00.680</v>
      </c>
      <c r="CD98" t="str">
        <f>"680743981"</f>
        <v>680743981</v>
      </c>
      <c r="CQ98">
        <v>0</v>
      </c>
      <c r="CR98">
        <v>2</v>
      </c>
      <c r="CS98">
        <v>0</v>
      </c>
      <c r="CT98">
        <v>2</v>
      </c>
      <c r="CU98">
        <v>0</v>
      </c>
      <c r="CV98">
        <v>2</v>
      </c>
      <c r="CW98" t="s">
        <v>120</v>
      </c>
      <c r="CX98">
        <v>259</v>
      </c>
      <c r="CY98">
        <v>1</v>
      </c>
      <c r="CZ98" t="s">
        <v>197</v>
      </c>
      <c r="DA98" t="s">
        <v>198</v>
      </c>
      <c r="DD98">
        <v>14684410</v>
      </c>
      <c r="DE98" t="s">
        <v>123</v>
      </c>
    </row>
    <row r="99" spans="1:109" x14ac:dyDescent="0.3">
      <c r="A99" t="str">
        <f>"18:36:02.000"</f>
        <v>18:36:02.000</v>
      </c>
      <c r="B99" t="s">
        <v>110</v>
      </c>
      <c r="C99" t="str">
        <f t="shared" si="3"/>
        <v>ffdfd3c0</v>
      </c>
      <c r="D99" t="s">
        <v>111</v>
      </c>
      <c r="E99">
        <v>18</v>
      </c>
      <c r="F99">
        <v>1018</v>
      </c>
      <c r="G99" t="s">
        <v>112</v>
      </c>
      <c r="J99" t="s">
        <v>113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R99" t="s">
        <v>114</v>
      </c>
      <c r="S99" t="str">
        <f>"18:36:01.727"</f>
        <v>18:36:01.727</v>
      </c>
      <c r="T99" t="str">
        <f>"18:36:01.328"</f>
        <v>18:36:01.328</v>
      </c>
      <c r="U99" t="str">
        <f t="shared" si="4"/>
        <v>a1cdbe</v>
      </c>
      <c r="V99">
        <v>0</v>
      </c>
      <c r="W99">
        <v>0</v>
      </c>
      <c r="X99">
        <v>1</v>
      </c>
      <c r="Y99">
        <v>0</v>
      </c>
      <c r="Z99">
        <v>0</v>
      </c>
      <c r="AB99">
        <v>0</v>
      </c>
      <c r="AC99">
        <v>9</v>
      </c>
      <c r="AD99">
        <v>3</v>
      </c>
      <c r="AE99">
        <v>0</v>
      </c>
      <c r="AF99">
        <v>9</v>
      </c>
      <c r="AG99" t="s">
        <v>158</v>
      </c>
      <c r="AH99">
        <v>0</v>
      </c>
      <c r="AI99">
        <v>3</v>
      </c>
      <c r="AJ99">
        <v>1</v>
      </c>
      <c r="AK99">
        <v>0</v>
      </c>
      <c r="AL99" t="s">
        <v>296</v>
      </c>
      <c r="AM99">
        <v>47.103689000000003</v>
      </c>
      <c r="AN99" t="s">
        <v>297</v>
      </c>
      <c r="AO99">
        <v>-122.27109400000001</v>
      </c>
      <c r="AP99">
        <v>100</v>
      </c>
      <c r="AQ99">
        <v>1900</v>
      </c>
      <c r="AR99" t="s">
        <v>118</v>
      </c>
      <c r="AS99">
        <v>-4</v>
      </c>
      <c r="AT99">
        <v>-73</v>
      </c>
      <c r="AU99">
        <v>896</v>
      </c>
      <c r="BC99">
        <v>1200</v>
      </c>
      <c r="BD99">
        <v>1</v>
      </c>
      <c r="BE99" t="str">
        <f t="shared" si="5"/>
        <v xml:space="preserve">N215T   </v>
      </c>
      <c r="BF99">
        <v>1</v>
      </c>
      <c r="BH99">
        <v>0</v>
      </c>
      <c r="BI99">
        <v>0</v>
      </c>
      <c r="BJ99">
        <v>0</v>
      </c>
      <c r="BK99">
        <v>2275</v>
      </c>
      <c r="BL99">
        <v>375</v>
      </c>
      <c r="BM99" t="s">
        <v>119</v>
      </c>
      <c r="BN99">
        <v>1</v>
      </c>
      <c r="BO99">
        <v>1</v>
      </c>
      <c r="BP99">
        <v>1</v>
      </c>
      <c r="BQ99">
        <v>0</v>
      </c>
      <c r="BT99">
        <v>0</v>
      </c>
      <c r="BU99">
        <v>0</v>
      </c>
      <c r="BV99">
        <v>0</v>
      </c>
      <c r="CC99" t="str">
        <f>"18:36:01.734"</f>
        <v>18:36:01.734</v>
      </c>
      <c r="CD99" t="str">
        <f>"730536951"</f>
        <v>730536951</v>
      </c>
      <c r="CQ99">
        <v>0</v>
      </c>
      <c r="CR99">
        <v>2</v>
      </c>
      <c r="CS99">
        <v>0</v>
      </c>
      <c r="CT99">
        <v>2</v>
      </c>
      <c r="CU99">
        <v>0</v>
      </c>
      <c r="CV99">
        <v>4</v>
      </c>
      <c r="CW99" t="s">
        <v>120</v>
      </c>
      <c r="CX99">
        <v>261</v>
      </c>
      <c r="CY99">
        <v>2</v>
      </c>
      <c r="CZ99" t="s">
        <v>121</v>
      </c>
      <c r="DA99" t="s">
        <v>122</v>
      </c>
      <c r="DD99">
        <v>14296825</v>
      </c>
      <c r="DE99" t="s">
        <v>123</v>
      </c>
    </row>
    <row r="100" spans="1:109" x14ac:dyDescent="0.3">
      <c r="A100" t="str">
        <f>"18:36:02.852"</f>
        <v>18:36:02.852</v>
      </c>
      <c r="B100" t="s">
        <v>110</v>
      </c>
      <c r="C100" t="str">
        <f t="shared" si="3"/>
        <v>ffdfd3c0</v>
      </c>
      <c r="D100" t="s">
        <v>111</v>
      </c>
      <c r="E100">
        <v>18</v>
      </c>
      <c r="F100">
        <v>1018</v>
      </c>
      <c r="G100" t="s">
        <v>112</v>
      </c>
      <c r="J100" t="s">
        <v>113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R100" t="s">
        <v>114</v>
      </c>
      <c r="S100" t="str">
        <f>"18:36:02.641"</f>
        <v>18:36:02.641</v>
      </c>
      <c r="T100" t="str">
        <f>"18:36:02.344"</f>
        <v>18:36:02.344</v>
      </c>
      <c r="U100" t="str">
        <f t="shared" si="4"/>
        <v>a1cdbe</v>
      </c>
      <c r="V100">
        <v>0</v>
      </c>
      <c r="W100">
        <v>0</v>
      </c>
      <c r="X100">
        <v>1</v>
      </c>
      <c r="Y100">
        <v>0</v>
      </c>
      <c r="Z100">
        <v>0</v>
      </c>
      <c r="AB100">
        <v>0</v>
      </c>
      <c r="AC100">
        <v>9</v>
      </c>
      <c r="AD100">
        <v>3</v>
      </c>
      <c r="AE100">
        <v>0</v>
      </c>
      <c r="AF100">
        <v>9</v>
      </c>
      <c r="AG100" t="s">
        <v>158</v>
      </c>
      <c r="AH100">
        <v>0</v>
      </c>
      <c r="AI100">
        <v>3</v>
      </c>
      <c r="AJ100">
        <v>1</v>
      </c>
      <c r="AK100">
        <v>0</v>
      </c>
      <c r="AL100" t="s">
        <v>298</v>
      </c>
      <c r="AM100">
        <v>47.103409999999997</v>
      </c>
      <c r="AN100" t="s">
        <v>269</v>
      </c>
      <c r="AO100">
        <v>-122.271137</v>
      </c>
      <c r="AP100">
        <v>100</v>
      </c>
      <c r="AQ100">
        <v>1900</v>
      </c>
      <c r="AR100" t="s">
        <v>118</v>
      </c>
      <c r="AS100">
        <v>-5</v>
      </c>
      <c r="AT100">
        <v>-73</v>
      </c>
      <c r="AU100">
        <v>896</v>
      </c>
      <c r="BC100">
        <v>1200</v>
      </c>
      <c r="BD100">
        <v>1</v>
      </c>
      <c r="BE100" t="str">
        <f t="shared" si="5"/>
        <v xml:space="preserve">N215T   </v>
      </c>
      <c r="BF100">
        <v>1</v>
      </c>
      <c r="BH100">
        <v>0</v>
      </c>
      <c r="BI100">
        <v>0</v>
      </c>
      <c r="BJ100">
        <v>0</v>
      </c>
      <c r="BK100">
        <v>2300</v>
      </c>
      <c r="BL100">
        <v>400</v>
      </c>
      <c r="BM100" t="s">
        <v>119</v>
      </c>
      <c r="BN100">
        <v>1</v>
      </c>
      <c r="BO100">
        <v>1</v>
      </c>
      <c r="BP100">
        <v>1</v>
      </c>
      <c r="BQ100">
        <v>0</v>
      </c>
      <c r="BT100">
        <v>0</v>
      </c>
      <c r="BU100">
        <v>0</v>
      </c>
      <c r="BV100">
        <v>0</v>
      </c>
      <c r="CC100" t="str">
        <f>"18:36:02.648"</f>
        <v>18:36:02.648</v>
      </c>
      <c r="CD100" t="str">
        <f>"645446959"</f>
        <v>645446959</v>
      </c>
      <c r="CQ100">
        <v>0</v>
      </c>
      <c r="CR100">
        <v>2</v>
      </c>
      <c r="CS100">
        <v>0</v>
      </c>
      <c r="CT100">
        <v>2</v>
      </c>
      <c r="CU100">
        <v>0</v>
      </c>
      <c r="CV100">
        <v>5</v>
      </c>
      <c r="CW100" t="s">
        <v>120</v>
      </c>
      <c r="CX100">
        <v>261</v>
      </c>
      <c r="CY100">
        <v>2</v>
      </c>
      <c r="CZ100" t="s">
        <v>121</v>
      </c>
      <c r="DA100" t="s">
        <v>122</v>
      </c>
      <c r="DD100">
        <v>14297269</v>
      </c>
      <c r="DE100" t="s">
        <v>123</v>
      </c>
    </row>
    <row r="101" spans="1:109" x14ac:dyDescent="0.3">
      <c r="A101" t="str">
        <f>"18:36:03.758"</f>
        <v>18:36:03.758</v>
      </c>
      <c r="B101" t="s">
        <v>110</v>
      </c>
      <c r="C101" t="str">
        <f t="shared" si="3"/>
        <v>ffdfd3c0</v>
      </c>
      <c r="D101" t="s">
        <v>111</v>
      </c>
      <c r="E101">
        <v>18</v>
      </c>
      <c r="F101">
        <v>1018</v>
      </c>
      <c r="G101" t="s">
        <v>112</v>
      </c>
      <c r="J101" t="s">
        <v>113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R101" t="s">
        <v>114</v>
      </c>
      <c r="S101" t="str">
        <f>"18:36:03.508"</f>
        <v>18:36:03.508</v>
      </c>
      <c r="T101" t="str">
        <f>"18:36:02.805"</f>
        <v>18:36:02.805</v>
      </c>
      <c r="U101" t="str">
        <f t="shared" si="4"/>
        <v>a1cdbe</v>
      </c>
      <c r="V101">
        <v>0</v>
      </c>
      <c r="W101">
        <v>0</v>
      </c>
      <c r="X101">
        <v>1</v>
      </c>
      <c r="Y101">
        <v>0</v>
      </c>
      <c r="Z101">
        <v>0</v>
      </c>
      <c r="AB101">
        <v>0</v>
      </c>
      <c r="AC101">
        <v>9</v>
      </c>
      <c r="AD101">
        <v>3</v>
      </c>
      <c r="AE101">
        <v>0</v>
      </c>
      <c r="AF101">
        <v>9</v>
      </c>
      <c r="AG101" t="s">
        <v>158</v>
      </c>
      <c r="AH101">
        <v>0</v>
      </c>
      <c r="AI101">
        <v>3</v>
      </c>
      <c r="AJ101">
        <v>1</v>
      </c>
      <c r="AK101">
        <v>0</v>
      </c>
      <c r="AL101" t="s">
        <v>299</v>
      </c>
      <c r="AM101">
        <v>47.103088</v>
      </c>
      <c r="AN101" t="s">
        <v>269</v>
      </c>
      <c r="AO101">
        <v>-122.271137</v>
      </c>
      <c r="AP101">
        <v>100</v>
      </c>
      <c r="AQ101">
        <v>1900</v>
      </c>
      <c r="AR101" t="s">
        <v>118</v>
      </c>
      <c r="AS101">
        <v>-5</v>
      </c>
      <c r="AT101">
        <v>-73</v>
      </c>
      <c r="AU101">
        <v>896</v>
      </c>
      <c r="BC101">
        <v>1200</v>
      </c>
      <c r="BD101">
        <v>1</v>
      </c>
      <c r="BE101" t="str">
        <f t="shared" si="5"/>
        <v xml:space="preserve">N215T   </v>
      </c>
      <c r="BF101">
        <v>1</v>
      </c>
      <c r="BH101">
        <v>0</v>
      </c>
      <c r="BI101">
        <v>0</v>
      </c>
      <c r="BJ101">
        <v>0</v>
      </c>
      <c r="BK101">
        <v>2300</v>
      </c>
      <c r="BL101">
        <v>400</v>
      </c>
      <c r="BM101" t="s">
        <v>119</v>
      </c>
      <c r="BN101">
        <v>1</v>
      </c>
      <c r="BO101">
        <v>1</v>
      </c>
      <c r="BP101">
        <v>1</v>
      </c>
      <c r="BQ101">
        <v>0</v>
      </c>
      <c r="BT101">
        <v>0</v>
      </c>
      <c r="BU101">
        <v>0</v>
      </c>
      <c r="BV101">
        <v>0</v>
      </c>
      <c r="CC101" t="str">
        <f>"18:36:03.516"</f>
        <v>18:36:03.516</v>
      </c>
      <c r="CD101" t="str">
        <f>"515396324"</f>
        <v>515396324</v>
      </c>
      <c r="CQ101">
        <v>0</v>
      </c>
      <c r="CR101">
        <v>2</v>
      </c>
      <c r="CS101">
        <v>0</v>
      </c>
      <c r="CT101">
        <v>2</v>
      </c>
      <c r="CU101">
        <v>0</v>
      </c>
      <c r="CV101">
        <v>5</v>
      </c>
      <c r="CW101" t="s">
        <v>120</v>
      </c>
      <c r="CX101">
        <v>261</v>
      </c>
      <c r="CY101">
        <v>1</v>
      </c>
      <c r="CZ101" t="s">
        <v>121</v>
      </c>
      <c r="DA101" t="s">
        <v>122</v>
      </c>
      <c r="DD101">
        <v>3149227</v>
      </c>
      <c r="DE101" t="s">
        <v>123</v>
      </c>
    </row>
    <row r="102" spans="1:109" x14ac:dyDescent="0.3">
      <c r="A102" t="str">
        <f>"18:36:04.867"</f>
        <v>18:36:04.867</v>
      </c>
      <c r="B102" t="s">
        <v>110</v>
      </c>
      <c r="C102" t="str">
        <f t="shared" si="3"/>
        <v>ffdfd3c0</v>
      </c>
      <c r="D102" t="s">
        <v>111</v>
      </c>
      <c r="E102">
        <v>18</v>
      </c>
      <c r="F102">
        <v>1018</v>
      </c>
      <c r="G102" t="s">
        <v>112</v>
      </c>
      <c r="J102" t="s">
        <v>113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R102" t="s">
        <v>114</v>
      </c>
      <c r="S102" t="str">
        <f>"18:36:04.625"</f>
        <v>18:36:04.625</v>
      </c>
      <c r="T102" t="str">
        <f>"18:36:04.227"</f>
        <v>18:36:04.227</v>
      </c>
      <c r="U102" t="str">
        <f t="shared" si="4"/>
        <v>a1cdbe</v>
      </c>
      <c r="V102">
        <v>0</v>
      </c>
      <c r="W102">
        <v>0</v>
      </c>
      <c r="X102">
        <v>1</v>
      </c>
      <c r="Y102">
        <v>0</v>
      </c>
      <c r="Z102">
        <v>0</v>
      </c>
      <c r="AB102">
        <v>0</v>
      </c>
      <c r="AC102">
        <v>9</v>
      </c>
      <c r="AD102">
        <v>3</v>
      </c>
      <c r="AE102">
        <v>0</v>
      </c>
      <c r="AF102">
        <v>9</v>
      </c>
      <c r="AG102" t="s">
        <v>158</v>
      </c>
      <c r="AH102">
        <v>0</v>
      </c>
      <c r="AI102">
        <v>3</v>
      </c>
      <c r="AJ102">
        <v>1</v>
      </c>
      <c r="AK102">
        <v>0</v>
      </c>
      <c r="AL102" t="s">
        <v>300</v>
      </c>
      <c r="AM102">
        <v>47.102722999999997</v>
      </c>
      <c r="AN102" t="s">
        <v>301</v>
      </c>
      <c r="AO102">
        <v>-122.271202</v>
      </c>
      <c r="AP102">
        <v>100</v>
      </c>
      <c r="AQ102">
        <v>1900</v>
      </c>
      <c r="AR102" t="s">
        <v>118</v>
      </c>
      <c r="AS102">
        <v>-6</v>
      </c>
      <c r="AT102">
        <v>-74</v>
      </c>
      <c r="AU102">
        <v>832</v>
      </c>
      <c r="BC102">
        <v>1200</v>
      </c>
      <c r="BD102">
        <v>1</v>
      </c>
      <c r="BE102" t="str">
        <f t="shared" si="5"/>
        <v xml:space="preserve">N215T   </v>
      </c>
      <c r="BF102">
        <v>1</v>
      </c>
      <c r="BH102">
        <v>0</v>
      </c>
      <c r="BI102">
        <v>0</v>
      </c>
      <c r="BJ102">
        <v>0</v>
      </c>
      <c r="BK102">
        <v>2325</v>
      </c>
      <c r="BL102">
        <v>425</v>
      </c>
      <c r="BM102" t="s">
        <v>119</v>
      </c>
      <c r="BN102">
        <v>1</v>
      </c>
      <c r="BO102">
        <v>1</v>
      </c>
      <c r="BP102">
        <v>1</v>
      </c>
      <c r="BQ102">
        <v>0</v>
      </c>
      <c r="BT102">
        <v>0</v>
      </c>
      <c r="BU102">
        <v>0</v>
      </c>
      <c r="BV102">
        <v>0</v>
      </c>
      <c r="CC102" t="str">
        <f>"18:36:04.625"</f>
        <v>18:36:04.625</v>
      </c>
      <c r="CD102" t="str">
        <f>"625287170"</f>
        <v>625287170</v>
      </c>
      <c r="CQ102">
        <v>0</v>
      </c>
      <c r="CR102">
        <v>2</v>
      </c>
      <c r="CS102">
        <v>0</v>
      </c>
      <c r="CT102">
        <v>2</v>
      </c>
      <c r="CU102">
        <v>0</v>
      </c>
      <c r="CV102">
        <v>5</v>
      </c>
      <c r="CW102" t="s">
        <v>120</v>
      </c>
      <c r="CX102">
        <v>261</v>
      </c>
      <c r="CY102">
        <v>2</v>
      </c>
      <c r="CZ102" t="s">
        <v>121</v>
      </c>
      <c r="DA102" t="s">
        <v>122</v>
      </c>
      <c r="DD102">
        <v>14298163</v>
      </c>
      <c r="DE102" t="s">
        <v>123</v>
      </c>
    </row>
    <row r="103" spans="1:109" x14ac:dyDescent="0.3">
      <c r="A103" t="str">
        <f>"18:36:05.867"</f>
        <v>18:36:05.867</v>
      </c>
      <c r="B103" t="s">
        <v>110</v>
      </c>
      <c r="C103" t="str">
        <f t="shared" si="3"/>
        <v>ffdfd3c0</v>
      </c>
      <c r="D103" t="s">
        <v>111</v>
      </c>
      <c r="E103">
        <v>18</v>
      </c>
      <c r="F103">
        <v>1018</v>
      </c>
      <c r="G103" t="s">
        <v>112</v>
      </c>
      <c r="J103" t="s">
        <v>113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R103" t="s">
        <v>114</v>
      </c>
      <c r="S103" t="str">
        <f>"18:36:05.609"</f>
        <v>18:36:05.609</v>
      </c>
      <c r="T103" t="str">
        <f>"18:36:05.211"</f>
        <v>18:36:05.211</v>
      </c>
      <c r="U103" t="str">
        <f t="shared" si="4"/>
        <v>a1cdbe</v>
      </c>
      <c r="V103">
        <v>0</v>
      </c>
      <c r="W103">
        <v>0</v>
      </c>
      <c r="X103">
        <v>1</v>
      </c>
      <c r="Y103">
        <v>0</v>
      </c>
      <c r="Z103">
        <v>0</v>
      </c>
      <c r="AB103">
        <v>0</v>
      </c>
      <c r="AC103">
        <v>9</v>
      </c>
      <c r="AD103">
        <v>3</v>
      </c>
      <c r="AE103">
        <v>0</v>
      </c>
      <c r="AF103">
        <v>9</v>
      </c>
      <c r="AG103" t="s">
        <v>158</v>
      </c>
      <c r="AH103">
        <v>0</v>
      </c>
      <c r="AI103">
        <v>3</v>
      </c>
      <c r="AJ103">
        <v>1</v>
      </c>
      <c r="AK103">
        <v>0</v>
      </c>
      <c r="AL103" t="s">
        <v>302</v>
      </c>
      <c r="AM103">
        <v>47.102423000000002</v>
      </c>
      <c r="AN103" t="s">
        <v>267</v>
      </c>
      <c r="AO103">
        <v>-122.27124499999999</v>
      </c>
      <c r="AP103">
        <v>100</v>
      </c>
      <c r="AQ103">
        <v>2000</v>
      </c>
      <c r="AR103" t="s">
        <v>118</v>
      </c>
      <c r="AS103">
        <v>-6</v>
      </c>
      <c r="AT103">
        <v>-74</v>
      </c>
      <c r="AU103">
        <v>832</v>
      </c>
      <c r="BC103">
        <v>1200</v>
      </c>
      <c r="BD103">
        <v>1</v>
      </c>
      <c r="BE103" t="str">
        <f t="shared" si="5"/>
        <v xml:space="preserve">N215T   </v>
      </c>
      <c r="BF103">
        <v>1</v>
      </c>
      <c r="BH103">
        <v>0</v>
      </c>
      <c r="BI103">
        <v>0</v>
      </c>
      <c r="BJ103">
        <v>0</v>
      </c>
      <c r="BK103">
        <v>2250</v>
      </c>
      <c r="BL103">
        <v>250</v>
      </c>
      <c r="BM103" t="s">
        <v>119</v>
      </c>
      <c r="BN103">
        <v>1</v>
      </c>
      <c r="BO103">
        <v>1</v>
      </c>
      <c r="BP103">
        <v>1</v>
      </c>
      <c r="BQ103">
        <v>0</v>
      </c>
      <c r="BT103">
        <v>0</v>
      </c>
      <c r="BU103">
        <v>0</v>
      </c>
      <c r="BV103">
        <v>0</v>
      </c>
      <c r="CC103" t="str">
        <f>"18:36:05.617"</f>
        <v>18:36:05.617</v>
      </c>
      <c r="CD103" t="str">
        <f>"615189794"</f>
        <v>615189794</v>
      </c>
      <c r="CQ103">
        <v>0</v>
      </c>
      <c r="CR103">
        <v>2</v>
      </c>
      <c r="CS103">
        <v>0</v>
      </c>
      <c r="CT103">
        <v>2</v>
      </c>
      <c r="CU103">
        <v>0</v>
      </c>
      <c r="CV103">
        <v>5</v>
      </c>
      <c r="CW103" t="s">
        <v>120</v>
      </c>
      <c r="CX103">
        <v>261</v>
      </c>
      <c r="CY103">
        <v>2</v>
      </c>
      <c r="CZ103" t="s">
        <v>121</v>
      </c>
      <c r="DA103" t="s">
        <v>122</v>
      </c>
      <c r="DD103">
        <v>14298622</v>
      </c>
      <c r="DE103" t="s">
        <v>123</v>
      </c>
    </row>
    <row r="104" spans="1:109" x14ac:dyDescent="0.3">
      <c r="A104" t="str">
        <f>"18:36:06.875"</f>
        <v>18:36:06.875</v>
      </c>
      <c r="B104" t="s">
        <v>110</v>
      </c>
      <c r="C104" t="str">
        <f t="shared" si="3"/>
        <v>ffdfd3c0</v>
      </c>
      <c r="D104" t="s">
        <v>111</v>
      </c>
      <c r="E104">
        <v>18</v>
      </c>
      <c r="F104">
        <v>1018</v>
      </c>
      <c r="G104" t="s">
        <v>112</v>
      </c>
      <c r="J104" t="s">
        <v>113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R104" t="s">
        <v>114</v>
      </c>
      <c r="S104" t="str">
        <f>"18:36:06.664"</f>
        <v>18:36:06.664</v>
      </c>
      <c r="T104" t="str">
        <f>"18:36:06.664"</f>
        <v>18:36:06.664</v>
      </c>
      <c r="U104" t="str">
        <f t="shared" si="4"/>
        <v>a1cdbe</v>
      </c>
      <c r="V104">
        <v>0</v>
      </c>
      <c r="W104">
        <v>0</v>
      </c>
      <c r="X104">
        <v>1</v>
      </c>
      <c r="Y104">
        <v>0</v>
      </c>
      <c r="Z104">
        <v>0</v>
      </c>
      <c r="AB104">
        <v>0</v>
      </c>
      <c r="AC104">
        <v>9</v>
      </c>
      <c r="AD104">
        <v>3</v>
      </c>
      <c r="AE104">
        <v>0</v>
      </c>
      <c r="AF104">
        <v>9</v>
      </c>
      <c r="AG104" t="s">
        <v>158</v>
      </c>
      <c r="AH104">
        <v>0</v>
      </c>
      <c r="AI104">
        <v>3</v>
      </c>
      <c r="AJ104">
        <v>1</v>
      </c>
      <c r="AK104">
        <v>0</v>
      </c>
      <c r="AL104" t="s">
        <v>303</v>
      </c>
      <c r="AM104">
        <v>47.102015000000002</v>
      </c>
      <c r="AN104" t="s">
        <v>304</v>
      </c>
      <c r="AO104">
        <v>-122.271287</v>
      </c>
      <c r="AP104">
        <v>100</v>
      </c>
      <c r="AQ104">
        <v>2000</v>
      </c>
      <c r="AR104" t="s">
        <v>118</v>
      </c>
      <c r="AS104">
        <v>-7</v>
      </c>
      <c r="AT104">
        <v>-75</v>
      </c>
      <c r="AU104">
        <v>768</v>
      </c>
      <c r="BC104">
        <v>1200</v>
      </c>
      <c r="BD104">
        <v>1</v>
      </c>
      <c r="BE104" t="str">
        <f t="shared" si="5"/>
        <v xml:space="preserve">N215T   </v>
      </c>
      <c r="BF104">
        <v>1</v>
      </c>
      <c r="BH104">
        <v>0</v>
      </c>
      <c r="BI104">
        <v>0</v>
      </c>
      <c r="BJ104">
        <v>0</v>
      </c>
      <c r="BK104">
        <v>2375</v>
      </c>
      <c r="BL104">
        <v>375</v>
      </c>
      <c r="BM104" t="s">
        <v>119</v>
      </c>
      <c r="BN104">
        <v>1</v>
      </c>
      <c r="BO104">
        <v>1</v>
      </c>
      <c r="BP104">
        <v>1</v>
      </c>
      <c r="BQ104">
        <v>0</v>
      </c>
      <c r="BT104">
        <v>0</v>
      </c>
      <c r="BU104">
        <v>0</v>
      </c>
      <c r="BV104">
        <v>0</v>
      </c>
      <c r="CC104" t="str">
        <f>"18:36:06.664"</f>
        <v>18:36:06.664</v>
      </c>
      <c r="CD104" t="str">
        <f>"665086559"</f>
        <v>665086559</v>
      </c>
      <c r="CQ104">
        <v>0</v>
      </c>
      <c r="CR104">
        <v>2</v>
      </c>
      <c r="CS104">
        <v>0</v>
      </c>
      <c r="CT104">
        <v>2</v>
      </c>
      <c r="CU104">
        <v>0</v>
      </c>
      <c r="CV104">
        <v>5</v>
      </c>
      <c r="CW104" t="s">
        <v>120</v>
      </c>
      <c r="CX104">
        <v>261</v>
      </c>
      <c r="CY104">
        <v>1</v>
      </c>
      <c r="CZ104" t="s">
        <v>121</v>
      </c>
      <c r="DA104" t="s">
        <v>122</v>
      </c>
      <c r="DD104">
        <v>3151001</v>
      </c>
      <c r="DE104" t="s">
        <v>123</v>
      </c>
    </row>
    <row r="105" spans="1:109" x14ac:dyDescent="0.3">
      <c r="A105" t="str">
        <f>"18:36:08.031"</f>
        <v>18:36:08.031</v>
      </c>
      <c r="B105" t="s">
        <v>110</v>
      </c>
      <c r="C105" t="str">
        <f t="shared" si="3"/>
        <v>ffdfd3c0</v>
      </c>
      <c r="D105" t="s">
        <v>111</v>
      </c>
      <c r="E105">
        <v>18</v>
      </c>
      <c r="F105">
        <v>1018</v>
      </c>
      <c r="G105" t="s">
        <v>112</v>
      </c>
      <c r="J105" t="s">
        <v>113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R105" t="s">
        <v>114</v>
      </c>
      <c r="S105" t="str">
        <f>"18:36:07.789"</f>
        <v>18:36:07.789</v>
      </c>
      <c r="T105" t="str">
        <f>"18:36:07.688"</f>
        <v>18:36:07.688</v>
      </c>
      <c r="U105" t="str">
        <f t="shared" si="4"/>
        <v>a1cdbe</v>
      </c>
      <c r="V105">
        <v>0</v>
      </c>
      <c r="W105">
        <v>0</v>
      </c>
      <c r="X105">
        <v>1</v>
      </c>
      <c r="Y105">
        <v>0</v>
      </c>
      <c r="Z105">
        <v>0</v>
      </c>
      <c r="AB105">
        <v>0</v>
      </c>
      <c r="AC105">
        <v>9</v>
      </c>
      <c r="AD105">
        <v>3</v>
      </c>
      <c r="AE105">
        <v>0</v>
      </c>
      <c r="AF105">
        <v>9</v>
      </c>
      <c r="AG105" t="s">
        <v>158</v>
      </c>
      <c r="AH105">
        <v>0</v>
      </c>
      <c r="AI105">
        <v>3</v>
      </c>
      <c r="AJ105">
        <v>1</v>
      </c>
      <c r="AK105">
        <v>0</v>
      </c>
      <c r="AL105" t="s">
        <v>305</v>
      </c>
      <c r="AM105">
        <v>47.101649999999999</v>
      </c>
      <c r="AN105" t="s">
        <v>306</v>
      </c>
      <c r="AO105">
        <v>-122.27135199999999</v>
      </c>
      <c r="AP105">
        <v>100</v>
      </c>
      <c r="AQ105">
        <v>2000</v>
      </c>
      <c r="AR105" t="s">
        <v>118</v>
      </c>
      <c r="AS105">
        <v>-8</v>
      </c>
      <c r="AT105">
        <v>-76</v>
      </c>
      <c r="AU105">
        <v>768</v>
      </c>
      <c r="BC105">
        <v>1200</v>
      </c>
      <c r="BD105">
        <v>1</v>
      </c>
      <c r="BE105" t="str">
        <f t="shared" si="5"/>
        <v xml:space="preserve">N215T   </v>
      </c>
      <c r="BF105">
        <v>1</v>
      </c>
      <c r="BH105">
        <v>0</v>
      </c>
      <c r="BI105">
        <v>0</v>
      </c>
      <c r="BJ105">
        <v>0</v>
      </c>
      <c r="BK105">
        <v>2375</v>
      </c>
      <c r="BL105">
        <v>375</v>
      </c>
      <c r="BM105" t="s">
        <v>119</v>
      </c>
      <c r="BN105">
        <v>1</v>
      </c>
      <c r="BO105">
        <v>1</v>
      </c>
      <c r="BP105">
        <v>1</v>
      </c>
      <c r="BQ105">
        <v>0</v>
      </c>
      <c r="BT105">
        <v>0</v>
      </c>
      <c r="BU105">
        <v>0</v>
      </c>
      <c r="BV105">
        <v>0</v>
      </c>
      <c r="CC105" t="str">
        <f>"18:36:07.789"</f>
        <v>18:36:07.789</v>
      </c>
      <c r="CD105" t="str">
        <f>"789975925"</f>
        <v>789975925</v>
      </c>
      <c r="CQ105">
        <v>0</v>
      </c>
      <c r="CR105">
        <v>2</v>
      </c>
      <c r="CS105">
        <v>0</v>
      </c>
      <c r="CT105">
        <v>2</v>
      </c>
      <c r="CU105">
        <v>0</v>
      </c>
      <c r="CV105">
        <v>5</v>
      </c>
      <c r="CW105" t="s">
        <v>120</v>
      </c>
      <c r="CX105">
        <v>261</v>
      </c>
      <c r="CY105">
        <v>1</v>
      </c>
      <c r="CZ105" t="s">
        <v>121</v>
      </c>
      <c r="DA105" t="s">
        <v>122</v>
      </c>
      <c r="DD105">
        <v>3151609</v>
      </c>
      <c r="DE105" t="s">
        <v>123</v>
      </c>
    </row>
    <row r="106" spans="1:109" x14ac:dyDescent="0.3">
      <c r="A106" t="str">
        <f>"18:36:08.984"</f>
        <v>18:36:08.984</v>
      </c>
      <c r="B106" t="s">
        <v>110</v>
      </c>
      <c r="C106" t="str">
        <f t="shared" si="3"/>
        <v>ffdfd3c0</v>
      </c>
      <c r="D106" t="s">
        <v>111</v>
      </c>
      <c r="E106">
        <v>18</v>
      </c>
      <c r="F106">
        <v>1018</v>
      </c>
      <c r="G106" t="s">
        <v>112</v>
      </c>
      <c r="J106" t="s">
        <v>113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R106" t="s">
        <v>114</v>
      </c>
      <c r="S106" t="str">
        <f>"18:36:08.758"</f>
        <v>18:36:08.758</v>
      </c>
      <c r="T106" t="str">
        <f>"18:36:08.258"</f>
        <v>18:36:08.258</v>
      </c>
      <c r="U106" t="str">
        <f t="shared" si="4"/>
        <v>a1cdbe</v>
      </c>
      <c r="V106">
        <v>0</v>
      </c>
      <c r="W106">
        <v>0</v>
      </c>
      <c r="X106">
        <v>1</v>
      </c>
      <c r="Y106">
        <v>0</v>
      </c>
      <c r="Z106">
        <v>0</v>
      </c>
      <c r="AB106">
        <v>0</v>
      </c>
      <c r="AC106">
        <v>9</v>
      </c>
      <c r="AD106">
        <v>3</v>
      </c>
      <c r="AE106">
        <v>0</v>
      </c>
      <c r="AF106">
        <v>9</v>
      </c>
      <c r="AG106" t="s">
        <v>158</v>
      </c>
      <c r="AH106">
        <v>0</v>
      </c>
      <c r="AI106">
        <v>3</v>
      </c>
      <c r="AJ106">
        <v>1</v>
      </c>
      <c r="AK106">
        <v>0</v>
      </c>
      <c r="AL106" t="s">
        <v>307</v>
      </c>
      <c r="AM106">
        <v>47.101328000000002</v>
      </c>
      <c r="AN106" t="s">
        <v>265</v>
      </c>
      <c r="AO106">
        <v>-122.271373</v>
      </c>
      <c r="AP106">
        <v>100</v>
      </c>
      <c r="AQ106">
        <v>2000</v>
      </c>
      <c r="AR106" t="s">
        <v>118</v>
      </c>
      <c r="AS106">
        <v>-8</v>
      </c>
      <c r="AT106">
        <v>-76</v>
      </c>
      <c r="AU106">
        <v>768</v>
      </c>
      <c r="BC106">
        <v>1200</v>
      </c>
      <c r="BD106">
        <v>1</v>
      </c>
      <c r="BE106" t="str">
        <f t="shared" si="5"/>
        <v xml:space="preserve">N215T   </v>
      </c>
      <c r="BF106">
        <v>1</v>
      </c>
      <c r="BH106">
        <v>0</v>
      </c>
      <c r="BI106">
        <v>0</v>
      </c>
      <c r="BJ106">
        <v>0</v>
      </c>
      <c r="BK106">
        <v>2375</v>
      </c>
      <c r="BL106">
        <v>375</v>
      </c>
      <c r="BM106" t="s">
        <v>119</v>
      </c>
      <c r="BN106">
        <v>1</v>
      </c>
      <c r="BO106">
        <v>1</v>
      </c>
      <c r="BP106">
        <v>1</v>
      </c>
      <c r="BQ106">
        <v>0</v>
      </c>
      <c r="BT106">
        <v>0</v>
      </c>
      <c r="BU106">
        <v>0</v>
      </c>
      <c r="BV106">
        <v>0</v>
      </c>
      <c r="CC106" t="str">
        <f>"18:36:08.766"</f>
        <v>18:36:08.766</v>
      </c>
      <c r="CD106" t="str">
        <f>"764880023"</f>
        <v>764880023</v>
      </c>
      <c r="CQ106">
        <v>0</v>
      </c>
      <c r="CR106">
        <v>2</v>
      </c>
      <c r="CS106">
        <v>0</v>
      </c>
      <c r="CT106">
        <v>2</v>
      </c>
      <c r="CU106">
        <v>0</v>
      </c>
      <c r="CV106">
        <v>5</v>
      </c>
      <c r="CW106" t="s">
        <v>120</v>
      </c>
      <c r="CX106">
        <v>261</v>
      </c>
      <c r="CY106">
        <v>1</v>
      </c>
      <c r="CZ106" t="s">
        <v>121</v>
      </c>
      <c r="DA106" t="s">
        <v>122</v>
      </c>
      <c r="DD106">
        <v>3152118</v>
      </c>
      <c r="DE106" t="s">
        <v>123</v>
      </c>
    </row>
    <row r="107" spans="1:109" x14ac:dyDescent="0.3">
      <c r="A107" t="str">
        <f>"18:36:09.945"</f>
        <v>18:36:09.945</v>
      </c>
      <c r="B107" t="s">
        <v>110</v>
      </c>
      <c r="C107" t="str">
        <f t="shared" si="3"/>
        <v>ffdfd3c0</v>
      </c>
      <c r="D107" t="s">
        <v>111</v>
      </c>
      <c r="E107">
        <v>18</v>
      </c>
      <c r="F107">
        <v>1018</v>
      </c>
      <c r="G107" t="s">
        <v>112</v>
      </c>
      <c r="J107" t="s">
        <v>113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R107" t="s">
        <v>114</v>
      </c>
      <c r="S107" t="str">
        <f>"18:36:09.703"</f>
        <v>18:36:09.703</v>
      </c>
      <c r="T107" t="str">
        <f>"18:36:09.406"</f>
        <v>18:36:09.406</v>
      </c>
      <c r="U107" t="str">
        <f t="shared" si="4"/>
        <v>a1cdbe</v>
      </c>
      <c r="V107">
        <v>0</v>
      </c>
      <c r="W107">
        <v>0</v>
      </c>
      <c r="X107">
        <v>1</v>
      </c>
      <c r="Y107">
        <v>0</v>
      </c>
      <c r="Z107">
        <v>0</v>
      </c>
      <c r="AB107">
        <v>0</v>
      </c>
      <c r="AC107">
        <v>9</v>
      </c>
      <c r="AD107">
        <v>3</v>
      </c>
      <c r="AE107">
        <v>0</v>
      </c>
      <c r="AF107">
        <v>9</v>
      </c>
      <c r="AG107" t="s">
        <v>158</v>
      </c>
      <c r="AH107">
        <v>0</v>
      </c>
      <c r="AI107">
        <v>3</v>
      </c>
      <c r="AJ107">
        <v>1</v>
      </c>
      <c r="AK107">
        <v>0</v>
      </c>
      <c r="AL107" t="s">
        <v>308</v>
      </c>
      <c r="AM107">
        <v>47.100942000000003</v>
      </c>
      <c r="AN107" t="s">
        <v>309</v>
      </c>
      <c r="AO107">
        <v>-122.271438</v>
      </c>
      <c r="AP107">
        <v>100</v>
      </c>
      <c r="AQ107">
        <v>2000</v>
      </c>
      <c r="AR107" t="s">
        <v>118</v>
      </c>
      <c r="AS107">
        <v>-8</v>
      </c>
      <c r="AT107">
        <v>-77</v>
      </c>
      <c r="AU107">
        <v>768</v>
      </c>
      <c r="BC107">
        <v>1200</v>
      </c>
      <c r="BD107">
        <v>1</v>
      </c>
      <c r="BE107" t="str">
        <f t="shared" si="5"/>
        <v xml:space="preserve">N215T   </v>
      </c>
      <c r="BF107">
        <v>1</v>
      </c>
      <c r="BH107">
        <v>0</v>
      </c>
      <c r="BI107">
        <v>0</v>
      </c>
      <c r="BJ107">
        <v>0</v>
      </c>
      <c r="BK107">
        <v>2400</v>
      </c>
      <c r="BL107">
        <v>400</v>
      </c>
      <c r="BM107" t="s">
        <v>119</v>
      </c>
      <c r="BN107">
        <v>1</v>
      </c>
      <c r="BO107">
        <v>1</v>
      </c>
      <c r="BP107">
        <v>1</v>
      </c>
      <c r="BQ107">
        <v>0</v>
      </c>
      <c r="BT107">
        <v>0</v>
      </c>
      <c r="BU107">
        <v>0</v>
      </c>
      <c r="BV107">
        <v>0</v>
      </c>
      <c r="CC107" t="str">
        <f>"18:36:09.711"</f>
        <v>18:36:09.711</v>
      </c>
      <c r="CD107" t="str">
        <f>"709787131"</f>
        <v>709787131</v>
      </c>
      <c r="CQ107">
        <v>0</v>
      </c>
      <c r="CR107">
        <v>2</v>
      </c>
      <c r="CS107">
        <v>0</v>
      </c>
      <c r="CT107">
        <v>2</v>
      </c>
      <c r="CU107">
        <v>0</v>
      </c>
      <c r="CV107">
        <v>5</v>
      </c>
      <c r="CW107" t="s">
        <v>120</v>
      </c>
      <c r="CX107">
        <v>261</v>
      </c>
      <c r="CY107">
        <v>1</v>
      </c>
      <c r="CZ107" t="s">
        <v>121</v>
      </c>
      <c r="DA107" t="s">
        <v>122</v>
      </c>
      <c r="DD107">
        <v>3152620</v>
      </c>
      <c r="DE107" t="s">
        <v>123</v>
      </c>
    </row>
    <row r="108" spans="1:109" x14ac:dyDescent="0.3">
      <c r="A108" t="str">
        <f>"18:36:10.852"</f>
        <v>18:36:10.852</v>
      </c>
      <c r="B108" t="s">
        <v>110</v>
      </c>
      <c r="C108" t="str">
        <f t="shared" si="3"/>
        <v>ffdfd3c0</v>
      </c>
      <c r="D108" t="s">
        <v>111</v>
      </c>
      <c r="E108">
        <v>18</v>
      </c>
      <c r="F108">
        <v>1018</v>
      </c>
      <c r="G108" t="s">
        <v>112</v>
      </c>
      <c r="J108" t="s">
        <v>113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R108" t="s">
        <v>114</v>
      </c>
      <c r="S108" t="str">
        <f>"18:36:10.617"</f>
        <v>18:36:10.617</v>
      </c>
      <c r="T108" t="str">
        <f>"18:36:10.516"</f>
        <v>18:36:10.516</v>
      </c>
      <c r="U108" t="str">
        <f t="shared" si="4"/>
        <v>a1cdbe</v>
      </c>
      <c r="V108">
        <v>0</v>
      </c>
      <c r="W108">
        <v>0</v>
      </c>
      <c r="X108">
        <v>1</v>
      </c>
      <c r="Y108">
        <v>0</v>
      </c>
      <c r="Z108">
        <v>0</v>
      </c>
      <c r="AB108">
        <v>0</v>
      </c>
      <c r="AC108">
        <v>9</v>
      </c>
      <c r="AD108">
        <v>3</v>
      </c>
      <c r="AE108">
        <v>0</v>
      </c>
      <c r="AF108">
        <v>9</v>
      </c>
      <c r="AG108" t="s">
        <v>158</v>
      </c>
      <c r="AH108">
        <v>0</v>
      </c>
      <c r="AI108">
        <v>3</v>
      </c>
      <c r="AJ108">
        <v>1</v>
      </c>
      <c r="AK108">
        <v>0</v>
      </c>
      <c r="AL108" t="s">
        <v>310</v>
      </c>
      <c r="AM108">
        <v>47.100619999999999</v>
      </c>
      <c r="AN108" t="s">
        <v>311</v>
      </c>
      <c r="AO108">
        <v>-122.271502</v>
      </c>
      <c r="AP108">
        <v>100</v>
      </c>
      <c r="AQ108">
        <v>2000</v>
      </c>
      <c r="AR108" t="s">
        <v>118</v>
      </c>
      <c r="AS108">
        <v>-8</v>
      </c>
      <c r="AT108">
        <v>-77</v>
      </c>
      <c r="AU108">
        <v>704</v>
      </c>
      <c r="BC108">
        <v>1200</v>
      </c>
      <c r="BD108">
        <v>1</v>
      </c>
      <c r="BE108" t="str">
        <f t="shared" si="5"/>
        <v xml:space="preserve">N215T   </v>
      </c>
      <c r="BF108">
        <v>1</v>
      </c>
      <c r="BH108">
        <v>0</v>
      </c>
      <c r="BI108">
        <v>0</v>
      </c>
      <c r="BJ108">
        <v>0</v>
      </c>
      <c r="BK108">
        <v>2400</v>
      </c>
      <c r="BL108">
        <v>400</v>
      </c>
      <c r="BM108" t="s">
        <v>119</v>
      </c>
      <c r="BN108">
        <v>1</v>
      </c>
      <c r="BO108">
        <v>1</v>
      </c>
      <c r="BP108">
        <v>1</v>
      </c>
      <c r="BQ108">
        <v>0</v>
      </c>
      <c r="BT108">
        <v>0</v>
      </c>
      <c r="BU108">
        <v>0</v>
      </c>
      <c r="BV108">
        <v>0</v>
      </c>
      <c r="CC108" t="str">
        <f>"18:36:10.625"</f>
        <v>18:36:10.625</v>
      </c>
      <c r="CD108" t="str">
        <f>"624697144"</f>
        <v>624697144</v>
      </c>
      <c r="CQ108">
        <v>0</v>
      </c>
      <c r="CR108">
        <v>2</v>
      </c>
      <c r="CS108">
        <v>0</v>
      </c>
      <c r="CT108">
        <v>2</v>
      </c>
      <c r="CU108">
        <v>0</v>
      </c>
      <c r="CV108">
        <v>5</v>
      </c>
      <c r="CW108" t="s">
        <v>120</v>
      </c>
      <c r="CX108">
        <v>261</v>
      </c>
      <c r="CY108">
        <v>1</v>
      </c>
      <c r="CZ108" t="s">
        <v>121</v>
      </c>
      <c r="DA108" t="s">
        <v>122</v>
      </c>
      <c r="DD108">
        <v>3153136</v>
      </c>
      <c r="DE108" t="s">
        <v>123</v>
      </c>
    </row>
    <row r="109" spans="1:109" x14ac:dyDescent="0.3">
      <c r="A109" t="str">
        <f>"18:36:11.953"</f>
        <v>18:36:11.953</v>
      </c>
      <c r="B109" t="s">
        <v>110</v>
      </c>
      <c r="C109" t="str">
        <f t="shared" si="3"/>
        <v>ffdfd3c0</v>
      </c>
      <c r="D109" t="s">
        <v>111</v>
      </c>
      <c r="E109">
        <v>18</v>
      </c>
      <c r="F109">
        <v>1018</v>
      </c>
      <c r="G109" t="s">
        <v>112</v>
      </c>
      <c r="J109" t="s">
        <v>113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R109" t="s">
        <v>114</v>
      </c>
      <c r="S109" t="str">
        <f>"18:36:11.734"</f>
        <v>18:36:11.734</v>
      </c>
      <c r="T109" t="str">
        <f>"18:36:11.438"</f>
        <v>18:36:11.438</v>
      </c>
      <c r="U109" t="str">
        <f t="shared" si="4"/>
        <v>a1cdbe</v>
      </c>
      <c r="V109">
        <v>0</v>
      </c>
      <c r="W109">
        <v>0</v>
      </c>
      <c r="X109">
        <v>1</v>
      </c>
      <c r="Y109">
        <v>0</v>
      </c>
      <c r="Z109">
        <v>0</v>
      </c>
      <c r="AB109">
        <v>0</v>
      </c>
      <c r="AC109">
        <v>9</v>
      </c>
      <c r="AD109">
        <v>3</v>
      </c>
      <c r="AE109">
        <v>0</v>
      </c>
      <c r="AF109">
        <v>9</v>
      </c>
      <c r="AG109" t="s">
        <v>158</v>
      </c>
      <c r="AH109">
        <v>0</v>
      </c>
      <c r="AI109">
        <v>3</v>
      </c>
      <c r="AJ109">
        <v>1</v>
      </c>
      <c r="AK109">
        <v>0</v>
      </c>
      <c r="AL109" t="s">
        <v>312</v>
      </c>
      <c r="AM109">
        <v>47.100212999999997</v>
      </c>
      <c r="AN109" t="s">
        <v>313</v>
      </c>
      <c r="AO109">
        <v>-122.27158799999999</v>
      </c>
      <c r="AP109">
        <v>100</v>
      </c>
      <c r="AQ109">
        <v>2000</v>
      </c>
      <c r="AR109" t="s">
        <v>118</v>
      </c>
      <c r="AS109">
        <v>-9</v>
      </c>
      <c r="AT109">
        <v>-78</v>
      </c>
      <c r="AU109">
        <v>640</v>
      </c>
      <c r="BC109">
        <v>1200</v>
      </c>
      <c r="BD109">
        <v>1</v>
      </c>
      <c r="BE109" t="str">
        <f t="shared" si="5"/>
        <v xml:space="preserve">N215T   </v>
      </c>
      <c r="BF109">
        <v>1</v>
      </c>
      <c r="BH109">
        <v>0</v>
      </c>
      <c r="BI109">
        <v>0</v>
      </c>
      <c r="BJ109">
        <v>0</v>
      </c>
      <c r="BK109">
        <v>2425</v>
      </c>
      <c r="BL109">
        <v>425</v>
      </c>
      <c r="BM109" t="s">
        <v>119</v>
      </c>
      <c r="BN109">
        <v>1</v>
      </c>
      <c r="BO109">
        <v>1</v>
      </c>
      <c r="BP109">
        <v>1</v>
      </c>
      <c r="BQ109">
        <v>0</v>
      </c>
      <c r="BT109">
        <v>0</v>
      </c>
      <c r="BU109">
        <v>0</v>
      </c>
      <c r="BV109">
        <v>0</v>
      </c>
      <c r="CC109" t="str">
        <f>"18:36:11.734"</f>
        <v>18:36:11.734</v>
      </c>
      <c r="CD109" t="str">
        <f>"734588000"</f>
        <v>734588000</v>
      </c>
      <c r="CQ109">
        <v>0</v>
      </c>
      <c r="CR109">
        <v>2</v>
      </c>
      <c r="CS109">
        <v>0</v>
      </c>
      <c r="CT109">
        <v>2</v>
      </c>
      <c r="CU109">
        <v>0</v>
      </c>
      <c r="CV109">
        <v>5</v>
      </c>
      <c r="CW109" t="s">
        <v>120</v>
      </c>
      <c r="CX109">
        <v>261</v>
      </c>
      <c r="CY109">
        <v>1</v>
      </c>
      <c r="CZ109" t="s">
        <v>121</v>
      </c>
      <c r="DA109" t="s">
        <v>122</v>
      </c>
      <c r="DD109">
        <v>3153778</v>
      </c>
      <c r="DE109" t="s">
        <v>123</v>
      </c>
    </row>
    <row r="110" spans="1:109" x14ac:dyDescent="0.3">
      <c r="A110" t="str">
        <f>"18:36:13.008"</f>
        <v>18:36:13.008</v>
      </c>
      <c r="B110" t="s">
        <v>110</v>
      </c>
      <c r="C110" t="str">
        <f t="shared" si="3"/>
        <v>ffdfd3c0</v>
      </c>
      <c r="D110" t="s">
        <v>111</v>
      </c>
      <c r="E110">
        <v>18</v>
      </c>
      <c r="F110">
        <v>1018</v>
      </c>
      <c r="G110" t="s">
        <v>112</v>
      </c>
      <c r="J110" t="s">
        <v>113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R110" t="s">
        <v>114</v>
      </c>
      <c r="S110" t="str">
        <f>"18:36:12.797"</f>
        <v>18:36:12.797</v>
      </c>
      <c r="T110" t="str">
        <f>"18:36:12.500"</f>
        <v>18:36:12.500</v>
      </c>
      <c r="U110" t="str">
        <f t="shared" si="4"/>
        <v>a1cdbe</v>
      </c>
      <c r="V110">
        <v>0</v>
      </c>
      <c r="W110">
        <v>0</v>
      </c>
      <c r="X110">
        <v>1</v>
      </c>
      <c r="Y110">
        <v>0</v>
      </c>
      <c r="Z110">
        <v>0</v>
      </c>
      <c r="AB110">
        <v>0</v>
      </c>
      <c r="AC110">
        <v>9</v>
      </c>
      <c r="AD110">
        <v>3</v>
      </c>
      <c r="AE110">
        <v>0</v>
      </c>
      <c r="AF110">
        <v>9</v>
      </c>
      <c r="AG110" t="s">
        <v>158</v>
      </c>
      <c r="AH110">
        <v>0</v>
      </c>
      <c r="AI110">
        <v>3</v>
      </c>
      <c r="AJ110">
        <v>1</v>
      </c>
      <c r="AK110">
        <v>0</v>
      </c>
      <c r="AL110" t="s">
        <v>314</v>
      </c>
      <c r="AM110">
        <v>47.099848000000001</v>
      </c>
      <c r="AN110" t="s">
        <v>315</v>
      </c>
      <c r="AO110">
        <v>-122.271652</v>
      </c>
      <c r="AP110">
        <v>100</v>
      </c>
      <c r="AQ110">
        <v>2100</v>
      </c>
      <c r="AR110" t="s">
        <v>118</v>
      </c>
      <c r="AS110">
        <v>-9</v>
      </c>
      <c r="AT110">
        <v>-78</v>
      </c>
      <c r="AU110">
        <v>576</v>
      </c>
      <c r="BC110">
        <v>1200</v>
      </c>
      <c r="BD110">
        <v>1</v>
      </c>
      <c r="BE110" t="str">
        <f t="shared" si="5"/>
        <v xml:space="preserve">N215T   </v>
      </c>
      <c r="BF110">
        <v>1</v>
      </c>
      <c r="BH110">
        <v>0</v>
      </c>
      <c r="BI110">
        <v>0</v>
      </c>
      <c r="BJ110">
        <v>0</v>
      </c>
      <c r="BK110">
        <v>2425</v>
      </c>
      <c r="BL110">
        <v>325</v>
      </c>
      <c r="BM110" t="s">
        <v>119</v>
      </c>
      <c r="BN110">
        <v>1</v>
      </c>
      <c r="BO110">
        <v>1</v>
      </c>
      <c r="BP110">
        <v>1</v>
      </c>
      <c r="BQ110">
        <v>0</v>
      </c>
      <c r="BT110">
        <v>0</v>
      </c>
      <c r="BU110">
        <v>0</v>
      </c>
      <c r="BV110">
        <v>0</v>
      </c>
      <c r="CC110" t="str">
        <f>"18:36:12.797"</f>
        <v>18:36:12.797</v>
      </c>
      <c r="CD110" t="str">
        <f>"799587502"</f>
        <v>799587502</v>
      </c>
      <c r="CQ110">
        <v>0</v>
      </c>
      <c r="CR110">
        <v>2</v>
      </c>
      <c r="CS110">
        <v>0</v>
      </c>
      <c r="CT110">
        <v>2</v>
      </c>
      <c r="CU110">
        <v>0</v>
      </c>
      <c r="CV110">
        <v>2</v>
      </c>
      <c r="CW110" t="s">
        <v>120</v>
      </c>
      <c r="CX110">
        <v>259</v>
      </c>
      <c r="CY110">
        <v>1</v>
      </c>
      <c r="CZ110" t="s">
        <v>197</v>
      </c>
      <c r="DA110" t="s">
        <v>198</v>
      </c>
      <c r="DD110">
        <v>14692184</v>
      </c>
      <c r="DE110" t="s">
        <v>123</v>
      </c>
    </row>
    <row r="111" spans="1:109" x14ac:dyDescent="0.3">
      <c r="A111" t="str">
        <f>"18:36:14.117"</f>
        <v>18:36:14.117</v>
      </c>
      <c r="B111" t="s">
        <v>110</v>
      </c>
      <c r="C111" t="str">
        <f t="shared" si="3"/>
        <v>ffdfd3c0</v>
      </c>
      <c r="D111" t="s">
        <v>111</v>
      </c>
      <c r="E111">
        <v>18</v>
      </c>
      <c r="F111">
        <v>1018</v>
      </c>
      <c r="G111" t="s">
        <v>112</v>
      </c>
      <c r="J111" t="s">
        <v>113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R111" t="s">
        <v>114</v>
      </c>
      <c r="S111" t="str">
        <f>"18:36:13.875"</f>
        <v>18:36:13.875</v>
      </c>
      <c r="T111" t="str">
        <f>"18:36:13.875"</f>
        <v>18:36:13.875</v>
      </c>
      <c r="U111" t="str">
        <f t="shared" si="4"/>
        <v>a1cdbe</v>
      </c>
      <c r="V111">
        <v>0</v>
      </c>
      <c r="W111">
        <v>0</v>
      </c>
      <c r="X111">
        <v>1</v>
      </c>
      <c r="Y111">
        <v>0</v>
      </c>
      <c r="Z111">
        <v>0</v>
      </c>
      <c r="AB111">
        <v>0</v>
      </c>
      <c r="AC111">
        <v>9</v>
      </c>
      <c r="AD111">
        <v>3</v>
      </c>
      <c r="AE111">
        <v>0</v>
      </c>
      <c r="AF111">
        <v>9</v>
      </c>
      <c r="AG111" t="s">
        <v>158</v>
      </c>
      <c r="AH111">
        <v>0</v>
      </c>
      <c r="AI111">
        <v>3</v>
      </c>
      <c r="AJ111">
        <v>1</v>
      </c>
      <c r="AK111">
        <v>0</v>
      </c>
      <c r="AL111" t="s">
        <v>316</v>
      </c>
      <c r="AM111">
        <v>47.099462000000003</v>
      </c>
      <c r="AN111" t="s">
        <v>261</v>
      </c>
      <c r="AO111">
        <v>-122.27169499999999</v>
      </c>
      <c r="AP111">
        <v>100</v>
      </c>
      <c r="AQ111">
        <v>2100</v>
      </c>
      <c r="AR111" t="s">
        <v>118</v>
      </c>
      <c r="AS111">
        <v>-10</v>
      </c>
      <c r="AT111">
        <v>-79</v>
      </c>
      <c r="AU111">
        <v>512</v>
      </c>
      <c r="BC111">
        <v>1200</v>
      </c>
      <c r="BD111">
        <v>1</v>
      </c>
      <c r="BE111" t="str">
        <f t="shared" si="5"/>
        <v xml:space="preserve">N215T   </v>
      </c>
      <c r="BF111">
        <v>1</v>
      </c>
      <c r="BH111">
        <v>0</v>
      </c>
      <c r="BI111">
        <v>0</v>
      </c>
      <c r="BJ111">
        <v>0</v>
      </c>
      <c r="BK111">
        <v>2450</v>
      </c>
      <c r="BL111">
        <v>350</v>
      </c>
      <c r="BM111" t="s">
        <v>119</v>
      </c>
      <c r="BN111">
        <v>1</v>
      </c>
      <c r="BO111">
        <v>1</v>
      </c>
      <c r="BP111">
        <v>1</v>
      </c>
      <c r="BQ111">
        <v>0</v>
      </c>
      <c r="BT111">
        <v>0</v>
      </c>
      <c r="BU111">
        <v>0</v>
      </c>
      <c r="BV111">
        <v>0</v>
      </c>
      <c r="CC111" t="str">
        <f>"18:36:13.883"</f>
        <v>18:36:13.883</v>
      </c>
      <c r="CD111" t="str">
        <f>"879310710"</f>
        <v>879310710</v>
      </c>
      <c r="CQ111">
        <v>0</v>
      </c>
      <c r="CR111">
        <v>2</v>
      </c>
      <c r="CS111">
        <v>0</v>
      </c>
      <c r="CT111">
        <v>2</v>
      </c>
      <c r="CU111">
        <v>0</v>
      </c>
      <c r="CV111">
        <v>3</v>
      </c>
      <c r="CW111" t="s">
        <v>172</v>
      </c>
      <c r="CX111">
        <v>325</v>
      </c>
      <c r="CY111">
        <v>0</v>
      </c>
      <c r="CZ111" t="s">
        <v>219</v>
      </c>
      <c r="DA111" t="s">
        <v>220</v>
      </c>
      <c r="DD111">
        <v>4433645</v>
      </c>
      <c r="DE111" t="s">
        <v>123</v>
      </c>
    </row>
    <row r="112" spans="1:109" x14ac:dyDescent="0.3">
      <c r="A112" t="str">
        <f>"18:36:14.969"</f>
        <v>18:36:14.969</v>
      </c>
      <c r="B112" t="s">
        <v>110</v>
      </c>
      <c r="C112" t="str">
        <f t="shared" si="3"/>
        <v>ffdfd3c0</v>
      </c>
      <c r="D112" t="s">
        <v>111</v>
      </c>
      <c r="E112">
        <v>18</v>
      </c>
      <c r="F112">
        <v>1018</v>
      </c>
      <c r="G112" t="s">
        <v>112</v>
      </c>
      <c r="J112" t="s">
        <v>113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R112" t="s">
        <v>114</v>
      </c>
      <c r="S112" t="str">
        <f>"18:36:14.742"</f>
        <v>18:36:14.742</v>
      </c>
      <c r="T112" t="str">
        <f>"18:36:14.742"</f>
        <v>18:36:14.742</v>
      </c>
      <c r="U112" t="str">
        <f t="shared" si="4"/>
        <v>a1cdbe</v>
      </c>
      <c r="V112">
        <v>0</v>
      </c>
      <c r="W112">
        <v>0</v>
      </c>
      <c r="X112">
        <v>1</v>
      </c>
      <c r="Y112">
        <v>0</v>
      </c>
      <c r="Z112">
        <v>0</v>
      </c>
      <c r="AB112">
        <v>0</v>
      </c>
      <c r="AC112">
        <v>9</v>
      </c>
      <c r="AD112">
        <v>3</v>
      </c>
      <c r="AE112">
        <v>0</v>
      </c>
      <c r="AF112">
        <v>9</v>
      </c>
      <c r="AG112" t="s">
        <v>158</v>
      </c>
      <c r="AH112">
        <v>0</v>
      </c>
      <c r="AI112">
        <v>3</v>
      </c>
      <c r="AJ112">
        <v>1</v>
      </c>
      <c r="AK112">
        <v>0</v>
      </c>
      <c r="AL112" t="s">
        <v>317</v>
      </c>
      <c r="AM112">
        <v>47.099139999999998</v>
      </c>
      <c r="AN112" t="s">
        <v>318</v>
      </c>
      <c r="AO112">
        <v>-122.271781</v>
      </c>
      <c r="AP112">
        <v>100</v>
      </c>
      <c r="AQ112">
        <v>2100</v>
      </c>
      <c r="AR112" t="s">
        <v>118</v>
      </c>
      <c r="AS112">
        <v>-11</v>
      </c>
      <c r="AT112">
        <v>-79</v>
      </c>
      <c r="AU112">
        <v>512</v>
      </c>
      <c r="BC112">
        <v>1200</v>
      </c>
      <c r="BD112">
        <v>1</v>
      </c>
      <c r="BE112" t="str">
        <f t="shared" si="5"/>
        <v xml:space="preserve">N215T   </v>
      </c>
      <c r="BF112">
        <v>1</v>
      </c>
      <c r="BH112">
        <v>0</v>
      </c>
      <c r="BI112">
        <v>0</v>
      </c>
      <c r="BJ112">
        <v>0</v>
      </c>
      <c r="BK112">
        <v>2450</v>
      </c>
      <c r="BL112">
        <v>350</v>
      </c>
      <c r="BM112" t="s">
        <v>119</v>
      </c>
      <c r="BN112">
        <v>1</v>
      </c>
      <c r="BO112">
        <v>1</v>
      </c>
      <c r="BP112">
        <v>1</v>
      </c>
      <c r="BQ112">
        <v>0</v>
      </c>
      <c r="BT112">
        <v>0</v>
      </c>
      <c r="BU112">
        <v>0</v>
      </c>
      <c r="BV112">
        <v>0</v>
      </c>
      <c r="CC112" t="str">
        <f>"18:36:14.750"</f>
        <v>18:36:14.750</v>
      </c>
      <c r="CD112" t="str">
        <f>"749291487"</f>
        <v>749291487</v>
      </c>
      <c r="CQ112">
        <v>0</v>
      </c>
      <c r="CR112">
        <v>2</v>
      </c>
      <c r="CS112">
        <v>0</v>
      </c>
      <c r="CT112">
        <v>2</v>
      </c>
      <c r="CU112">
        <v>0</v>
      </c>
      <c r="CV112">
        <v>4</v>
      </c>
      <c r="CW112" t="s">
        <v>120</v>
      </c>
      <c r="CX112">
        <v>261</v>
      </c>
      <c r="CY112">
        <v>1</v>
      </c>
      <c r="CZ112" t="s">
        <v>121</v>
      </c>
      <c r="DA112" t="s">
        <v>122</v>
      </c>
      <c r="DD112">
        <v>3155484</v>
      </c>
      <c r="DE112" t="s">
        <v>123</v>
      </c>
    </row>
    <row r="113" spans="1:109" x14ac:dyDescent="0.3">
      <c r="A113" t="str">
        <f>"18:36:16.023"</f>
        <v>18:36:16.023</v>
      </c>
      <c r="B113" t="s">
        <v>110</v>
      </c>
      <c r="C113" t="str">
        <f t="shared" si="3"/>
        <v>ffdfd3c0</v>
      </c>
      <c r="D113" t="s">
        <v>111</v>
      </c>
      <c r="E113">
        <v>18</v>
      </c>
      <c r="F113">
        <v>1018</v>
      </c>
      <c r="G113" t="s">
        <v>112</v>
      </c>
      <c r="J113" t="s">
        <v>113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R113" t="s">
        <v>114</v>
      </c>
      <c r="S113" t="str">
        <f>"18:36:15.797"</f>
        <v>18:36:15.797</v>
      </c>
      <c r="T113" t="str">
        <f>"18:36:15.297"</f>
        <v>18:36:15.297</v>
      </c>
      <c r="U113" t="str">
        <f t="shared" si="4"/>
        <v>a1cdbe</v>
      </c>
      <c r="V113">
        <v>0</v>
      </c>
      <c r="W113">
        <v>0</v>
      </c>
      <c r="X113">
        <v>1</v>
      </c>
      <c r="Y113">
        <v>0</v>
      </c>
      <c r="Z113">
        <v>0</v>
      </c>
      <c r="AB113">
        <v>0</v>
      </c>
      <c r="AC113">
        <v>9</v>
      </c>
      <c r="AD113">
        <v>3</v>
      </c>
      <c r="AE113">
        <v>0</v>
      </c>
      <c r="AF113">
        <v>9</v>
      </c>
      <c r="AG113" t="s">
        <v>158</v>
      </c>
      <c r="AH113">
        <v>0</v>
      </c>
      <c r="AI113">
        <v>3</v>
      </c>
      <c r="AJ113">
        <v>1</v>
      </c>
      <c r="AK113">
        <v>0</v>
      </c>
      <c r="AL113" t="s">
        <v>319</v>
      </c>
      <c r="AM113">
        <v>47.098753000000002</v>
      </c>
      <c r="AN113" t="s">
        <v>320</v>
      </c>
      <c r="AO113">
        <v>-122.271845</v>
      </c>
      <c r="AP113">
        <v>100</v>
      </c>
      <c r="AQ113">
        <v>2100</v>
      </c>
      <c r="AR113" t="s">
        <v>118</v>
      </c>
      <c r="AS113">
        <v>-11</v>
      </c>
      <c r="AT113">
        <v>-79</v>
      </c>
      <c r="AU113">
        <v>512</v>
      </c>
      <c r="BC113">
        <v>1200</v>
      </c>
      <c r="BD113">
        <v>1</v>
      </c>
      <c r="BE113" t="str">
        <f t="shared" si="5"/>
        <v xml:space="preserve">N215T   </v>
      </c>
      <c r="BF113">
        <v>1</v>
      </c>
      <c r="BH113">
        <v>0</v>
      </c>
      <c r="BI113">
        <v>0</v>
      </c>
      <c r="BJ113">
        <v>0</v>
      </c>
      <c r="BK113">
        <v>2450</v>
      </c>
      <c r="BL113">
        <v>350</v>
      </c>
      <c r="BM113" t="s">
        <v>119</v>
      </c>
      <c r="BN113">
        <v>1</v>
      </c>
      <c r="BO113">
        <v>1</v>
      </c>
      <c r="BP113">
        <v>1</v>
      </c>
      <c r="BQ113">
        <v>0</v>
      </c>
      <c r="BT113">
        <v>0</v>
      </c>
      <c r="BU113">
        <v>0</v>
      </c>
      <c r="BV113">
        <v>0</v>
      </c>
      <c r="CC113" t="str">
        <f>"18:36:15.797"</f>
        <v>18:36:15.797</v>
      </c>
      <c r="CD113" t="str">
        <f>"799188254"</f>
        <v>799188254</v>
      </c>
      <c r="CQ113">
        <v>0</v>
      </c>
      <c r="CR113">
        <v>2</v>
      </c>
      <c r="CS113">
        <v>0</v>
      </c>
      <c r="CT113">
        <v>2</v>
      </c>
      <c r="CU113">
        <v>0</v>
      </c>
      <c r="CV113">
        <v>4</v>
      </c>
      <c r="CW113" t="s">
        <v>120</v>
      </c>
      <c r="CX113">
        <v>261</v>
      </c>
      <c r="CY113">
        <v>1</v>
      </c>
      <c r="CZ113" t="s">
        <v>121</v>
      </c>
      <c r="DA113" t="s">
        <v>122</v>
      </c>
      <c r="DD113">
        <v>3156077</v>
      </c>
      <c r="DE113" t="s">
        <v>123</v>
      </c>
    </row>
    <row r="114" spans="1:109" x14ac:dyDescent="0.3">
      <c r="A114" t="str">
        <f>"18:36:17.484"</f>
        <v>18:36:17.484</v>
      </c>
      <c r="B114" t="s">
        <v>110</v>
      </c>
      <c r="C114" t="str">
        <f t="shared" si="3"/>
        <v>ffdfd3c0</v>
      </c>
      <c r="D114" t="s">
        <v>111</v>
      </c>
      <c r="E114">
        <v>18</v>
      </c>
      <c r="F114">
        <v>1018</v>
      </c>
      <c r="G114" t="s">
        <v>112</v>
      </c>
      <c r="J114" t="s">
        <v>113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R114" t="s">
        <v>114</v>
      </c>
      <c r="S114" t="str">
        <f>"18:36:17.250"</f>
        <v>18:36:17.250</v>
      </c>
      <c r="T114" t="str">
        <f>"18:36:17.250"</f>
        <v>18:36:17.250</v>
      </c>
      <c r="U114" t="str">
        <f t="shared" si="4"/>
        <v>a1cdbe</v>
      </c>
      <c r="V114">
        <v>0</v>
      </c>
      <c r="W114">
        <v>0</v>
      </c>
      <c r="X114">
        <v>1</v>
      </c>
      <c r="Y114">
        <v>0</v>
      </c>
      <c r="Z114">
        <v>0</v>
      </c>
      <c r="AB114">
        <v>0</v>
      </c>
      <c r="AC114">
        <v>9</v>
      </c>
      <c r="AD114">
        <v>3</v>
      </c>
      <c r="AE114">
        <v>0</v>
      </c>
      <c r="AF114">
        <v>9</v>
      </c>
      <c r="AG114" t="s">
        <v>158</v>
      </c>
      <c r="AH114">
        <v>0</v>
      </c>
      <c r="AI114">
        <v>3</v>
      </c>
      <c r="AJ114">
        <v>1</v>
      </c>
      <c r="AK114">
        <v>0</v>
      </c>
      <c r="AL114" t="s">
        <v>321</v>
      </c>
      <c r="AM114">
        <v>47.098196000000002</v>
      </c>
      <c r="AN114" t="s">
        <v>322</v>
      </c>
      <c r="AO114">
        <v>-122.271996</v>
      </c>
      <c r="AP114">
        <v>100</v>
      </c>
      <c r="AQ114">
        <v>2100</v>
      </c>
      <c r="AR114" t="s">
        <v>118</v>
      </c>
      <c r="AS114">
        <v>-13</v>
      </c>
      <c r="AT114">
        <v>-80</v>
      </c>
      <c r="AU114">
        <v>448</v>
      </c>
      <c r="BC114">
        <v>1200</v>
      </c>
      <c r="BD114">
        <v>1</v>
      </c>
      <c r="BE114" t="str">
        <f t="shared" si="5"/>
        <v xml:space="preserve">N215T   </v>
      </c>
      <c r="BF114">
        <v>1</v>
      </c>
      <c r="BH114">
        <v>0</v>
      </c>
      <c r="BI114">
        <v>0</v>
      </c>
      <c r="BJ114">
        <v>0</v>
      </c>
      <c r="BK114">
        <v>2475</v>
      </c>
      <c r="BL114">
        <v>375</v>
      </c>
      <c r="BM114" t="s">
        <v>119</v>
      </c>
      <c r="BN114">
        <v>1</v>
      </c>
      <c r="BO114">
        <v>1</v>
      </c>
      <c r="BP114">
        <v>1</v>
      </c>
      <c r="BQ114">
        <v>0</v>
      </c>
      <c r="BT114">
        <v>0</v>
      </c>
      <c r="BU114">
        <v>0</v>
      </c>
      <c r="BV114">
        <v>0</v>
      </c>
      <c r="CC114" t="str">
        <f>"18:36:17.258"</f>
        <v>18:36:17.258</v>
      </c>
      <c r="CD114" t="str">
        <f>"254045153"</f>
        <v>254045153</v>
      </c>
      <c r="CQ114">
        <v>0</v>
      </c>
      <c r="CR114">
        <v>2</v>
      </c>
      <c r="CS114">
        <v>0</v>
      </c>
      <c r="CT114">
        <v>2</v>
      </c>
      <c r="CU114">
        <v>0</v>
      </c>
      <c r="CV114">
        <v>5</v>
      </c>
      <c r="CW114" t="s">
        <v>120</v>
      </c>
      <c r="CX114">
        <v>261</v>
      </c>
      <c r="CY114">
        <v>1</v>
      </c>
      <c r="CZ114" t="s">
        <v>121</v>
      </c>
      <c r="DA114" t="s">
        <v>122</v>
      </c>
      <c r="DD114">
        <v>3156885</v>
      </c>
      <c r="DE114" t="s">
        <v>123</v>
      </c>
    </row>
    <row r="115" spans="1:109" x14ac:dyDescent="0.3">
      <c r="A115" t="str">
        <f>"18:36:18.438"</f>
        <v>18:36:18.438</v>
      </c>
      <c r="B115" t="s">
        <v>110</v>
      </c>
      <c r="C115" t="str">
        <f t="shared" si="3"/>
        <v>ffdfd3c0</v>
      </c>
      <c r="D115" t="s">
        <v>111</v>
      </c>
      <c r="E115">
        <v>18</v>
      </c>
      <c r="F115">
        <v>1018</v>
      </c>
      <c r="G115" t="s">
        <v>112</v>
      </c>
      <c r="J115" t="s">
        <v>113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R115" t="s">
        <v>114</v>
      </c>
      <c r="S115" t="str">
        <f>"18:36:18.180"</f>
        <v>18:36:18.180</v>
      </c>
      <c r="T115" t="str">
        <f>"18:36:18.180"</f>
        <v>18:36:18.180</v>
      </c>
      <c r="U115" t="str">
        <f t="shared" si="4"/>
        <v>a1cdbe</v>
      </c>
      <c r="V115">
        <v>0</v>
      </c>
      <c r="W115">
        <v>0</v>
      </c>
      <c r="X115">
        <v>1</v>
      </c>
      <c r="Y115">
        <v>0</v>
      </c>
      <c r="Z115">
        <v>0</v>
      </c>
      <c r="AB115">
        <v>0</v>
      </c>
      <c r="AC115">
        <v>9</v>
      </c>
      <c r="AD115">
        <v>3</v>
      </c>
      <c r="AE115">
        <v>0</v>
      </c>
      <c r="AF115">
        <v>9</v>
      </c>
      <c r="AG115" t="s">
        <v>158</v>
      </c>
      <c r="AH115">
        <v>0</v>
      </c>
      <c r="AI115">
        <v>3</v>
      </c>
      <c r="AJ115">
        <v>1</v>
      </c>
      <c r="AK115">
        <v>0</v>
      </c>
      <c r="AL115" t="s">
        <v>323</v>
      </c>
      <c r="AM115">
        <v>47.097873999999997</v>
      </c>
      <c r="AN115" t="s">
        <v>258</v>
      </c>
      <c r="AO115">
        <v>-122.27206</v>
      </c>
      <c r="AP115">
        <v>100</v>
      </c>
      <c r="AQ115">
        <v>2100</v>
      </c>
      <c r="AR115" t="s">
        <v>118</v>
      </c>
      <c r="AS115">
        <v>-14</v>
      </c>
      <c r="AT115">
        <v>-80</v>
      </c>
      <c r="AU115">
        <v>448</v>
      </c>
      <c r="BC115">
        <v>1200</v>
      </c>
      <c r="BD115">
        <v>1</v>
      </c>
      <c r="BE115" t="str">
        <f t="shared" si="5"/>
        <v xml:space="preserve">N215T   </v>
      </c>
      <c r="BF115">
        <v>1</v>
      </c>
      <c r="BH115">
        <v>0</v>
      </c>
      <c r="BI115">
        <v>0</v>
      </c>
      <c r="BJ115">
        <v>0</v>
      </c>
      <c r="BK115">
        <v>2475</v>
      </c>
      <c r="BL115">
        <v>375</v>
      </c>
      <c r="BM115" t="s">
        <v>119</v>
      </c>
      <c r="BN115">
        <v>1</v>
      </c>
      <c r="BO115">
        <v>1</v>
      </c>
      <c r="BP115">
        <v>1</v>
      </c>
      <c r="BQ115">
        <v>0</v>
      </c>
      <c r="BT115">
        <v>0</v>
      </c>
      <c r="BU115">
        <v>0</v>
      </c>
      <c r="BV115">
        <v>0</v>
      </c>
      <c r="CC115" t="str">
        <f>"18:36:18.188"</f>
        <v>18:36:18.188</v>
      </c>
      <c r="CD115" t="str">
        <f>"183953689"</f>
        <v>183953689</v>
      </c>
      <c r="CQ115">
        <v>0</v>
      </c>
      <c r="CR115">
        <v>2</v>
      </c>
      <c r="CS115">
        <v>0</v>
      </c>
      <c r="CT115">
        <v>2</v>
      </c>
      <c r="CU115">
        <v>0</v>
      </c>
      <c r="CV115">
        <v>5</v>
      </c>
      <c r="CW115" t="s">
        <v>120</v>
      </c>
      <c r="CX115">
        <v>261</v>
      </c>
      <c r="CY115">
        <v>1</v>
      </c>
      <c r="CZ115" t="s">
        <v>121</v>
      </c>
      <c r="DA115" t="s">
        <v>122</v>
      </c>
      <c r="DD115">
        <v>3157425</v>
      </c>
      <c r="DE115" t="s">
        <v>123</v>
      </c>
    </row>
    <row r="116" spans="1:109" x14ac:dyDescent="0.3">
      <c r="A116" t="str">
        <f>"18:36:19.492"</f>
        <v>18:36:19.492</v>
      </c>
      <c r="B116" t="s">
        <v>110</v>
      </c>
      <c r="C116" t="str">
        <f t="shared" si="3"/>
        <v>ffdfd3c0</v>
      </c>
      <c r="D116" t="s">
        <v>111</v>
      </c>
      <c r="E116">
        <v>18</v>
      </c>
      <c r="F116">
        <v>1018</v>
      </c>
      <c r="G116" t="s">
        <v>112</v>
      </c>
      <c r="J116" t="s">
        <v>113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R116" t="s">
        <v>114</v>
      </c>
      <c r="S116" t="str">
        <f>"18:36:19.289"</f>
        <v>18:36:19.289</v>
      </c>
      <c r="T116" t="str">
        <f>"18:36:19.289"</f>
        <v>18:36:19.289</v>
      </c>
      <c r="U116" t="str">
        <f t="shared" si="4"/>
        <v>a1cdbe</v>
      </c>
      <c r="V116">
        <v>0</v>
      </c>
      <c r="W116">
        <v>0</v>
      </c>
      <c r="X116">
        <v>1</v>
      </c>
      <c r="Y116">
        <v>0</v>
      </c>
      <c r="Z116">
        <v>0</v>
      </c>
      <c r="AB116">
        <v>0</v>
      </c>
      <c r="AC116">
        <v>9</v>
      </c>
      <c r="AD116">
        <v>3</v>
      </c>
      <c r="AE116">
        <v>0</v>
      </c>
      <c r="AF116">
        <v>9</v>
      </c>
      <c r="AG116" t="s">
        <v>158</v>
      </c>
      <c r="AH116">
        <v>0</v>
      </c>
      <c r="AI116">
        <v>3</v>
      </c>
      <c r="AJ116">
        <v>1</v>
      </c>
      <c r="AK116">
        <v>0</v>
      </c>
      <c r="AL116" t="s">
        <v>324</v>
      </c>
      <c r="AM116">
        <v>47.097422999999999</v>
      </c>
      <c r="AN116" t="s">
        <v>325</v>
      </c>
      <c r="AO116">
        <v>-122.27221</v>
      </c>
      <c r="AP116">
        <v>100</v>
      </c>
      <c r="AQ116">
        <v>2100</v>
      </c>
      <c r="AR116" t="s">
        <v>118</v>
      </c>
      <c r="AS116">
        <v>-16</v>
      </c>
      <c r="AT116">
        <v>-79</v>
      </c>
      <c r="AU116">
        <v>384</v>
      </c>
      <c r="BC116">
        <v>1200</v>
      </c>
      <c r="BD116">
        <v>1</v>
      </c>
      <c r="BE116" t="str">
        <f t="shared" si="5"/>
        <v xml:space="preserve">N215T   </v>
      </c>
      <c r="BF116">
        <v>1</v>
      </c>
      <c r="BH116">
        <v>0</v>
      </c>
      <c r="BI116">
        <v>0</v>
      </c>
      <c r="BJ116">
        <v>0</v>
      </c>
      <c r="BK116">
        <v>2475</v>
      </c>
      <c r="BL116">
        <v>375</v>
      </c>
      <c r="BM116" t="s">
        <v>119</v>
      </c>
      <c r="BN116">
        <v>1</v>
      </c>
      <c r="BO116">
        <v>1</v>
      </c>
      <c r="BP116">
        <v>1</v>
      </c>
      <c r="BQ116">
        <v>0</v>
      </c>
      <c r="BT116">
        <v>0</v>
      </c>
      <c r="BU116">
        <v>0</v>
      </c>
      <c r="BV116">
        <v>0</v>
      </c>
      <c r="CC116" t="str">
        <f>"18:36:19.297"</f>
        <v>18:36:19.297</v>
      </c>
      <c r="CD116" t="str">
        <f>"293844548"</f>
        <v>293844548</v>
      </c>
      <c r="CQ116">
        <v>0</v>
      </c>
      <c r="CR116">
        <v>2</v>
      </c>
      <c r="CS116">
        <v>0</v>
      </c>
      <c r="CT116">
        <v>2</v>
      </c>
      <c r="CU116">
        <v>0</v>
      </c>
      <c r="CV116">
        <v>5</v>
      </c>
      <c r="CW116" t="s">
        <v>120</v>
      </c>
      <c r="CX116">
        <v>261</v>
      </c>
      <c r="CY116">
        <v>1</v>
      </c>
      <c r="CZ116" t="s">
        <v>121</v>
      </c>
      <c r="DA116" t="s">
        <v>122</v>
      </c>
      <c r="DD116">
        <v>3158065</v>
      </c>
      <c r="DE116" t="s">
        <v>123</v>
      </c>
    </row>
    <row r="117" spans="1:109" x14ac:dyDescent="0.3">
      <c r="A117" t="str">
        <f>"18:36:20.602"</f>
        <v>18:36:20.602</v>
      </c>
      <c r="B117" t="s">
        <v>110</v>
      </c>
      <c r="C117" t="str">
        <f t="shared" si="3"/>
        <v>ffdfd3c0</v>
      </c>
      <c r="D117" t="s">
        <v>111</v>
      </c>
      <c r="E117">
        <v>18</v>
      </c>
      <c r="F117">
        <v>1018</v>
      </c>
      <c r="G117" t="s">
        <v>112</v>
      </c>
      <c r="J117" t="s">
        <v>113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R117" t="s">
        <v>114</v>
      </c>
      <c r="S117" t="str">
        <f>"18:36:20.352"</f>
        <v>18:36:20.352</v>
      </c>
      <c r="T117" t="str">
        <f>"18:36:20.352"</f>
        <v>18:36:20.352</v>
      </c>
      <c r="U117" t="str">
        <f t="shared" si="4"/>
        <v>a1cdbe</v>
      </c>
      <c r="V117">
        <v>0</v>
      </c>
      <c r="W117">
        <v>0</v>
      </c>
      <c r="X117">
        <v>1</v>
      </c>
      <c r="Y117">
        <v>0</v>
      </c>
      <c r="Z117">
        <v>0</v>
      </c>
      <c r="AB117">
        <v>0</v>
      </c>
      <c r="AC117">
        <v>9</v>
      </c>
      <c r="AD117">
        <v>3</v>
      </c>
      <c r="AE117">
        <v>0</v>
      </c>
      <c r="AF117">
        <v>9</v>
      </c>
      <c r="AG117" t="s">
        <v>158</v>
      </c>
      <c r="AH117">
        <v>0</v>
      </c>
      <c r="AI117">
        <v>3</v>
      </c>
      <c r="AJ117">
        <v>1</v>
      </c>
      <c r="AK117">
        <v>0</v>
      </c>
      <c r="AL117" t="s">
        <v>326</v>
      </c>
      <c r="AM117">
        <v>47.097079999999998</v>
      </c>
      <c r="AN117" t="s">
        <v>256</v>
      </c>
      <c r="AO117">
        <v>-122.272274</v>
      </c>
      <c r="AP117">
        <v>100</v>
      </c>
      <c r="AQ117">
        <v>2100</v>
      </c>
      <c r="AR117" t="s">
        <v>118</v>
      </c>
      <c r="AS117">
        <v>-16</v>
      </c>
      <c r="AT117">
        <v>-79</v>
      </c>
      <c r="AU117">
        <v>448</v>
      </c>
      <c r="BC117">
        <v>1200</v>
      </c>
      <c r="BD117">
        <v>1</v>
      </c>
      <c r="BE117" t="str">
        <f t="shared" si="5"/>
        <v xml:space="preserve">N215T   </v>
      </c>
      <c r="BF117">
        <v>1</v>
      </c>
      <c r="BH117">
        <v>0</v>
      </c>
      <c r="BI117">
        <v>0</v>
      </c>
      <c r="BJ117">
        <v>0</v>
      </c>
      <c r="BK117">
        <v>2475</v>
      </c>
      <c r="BL117">
        <v>375</v>
      </c>
      <c r="BM117" t="s">
        <v>119</v>
      </c>
      <c r="BN117">
        <v>1</v>
      </c>
      <c r="BO117">
        <v>1</v>
      </c>
      <c r="BP117">
        <v>1</v>
      </c>
      <c r="BQ117">
        <v>0</v>
      </c>
      <c r="BT117">
        <v>0</v>
      </c>
      <c r="BU117">
        <v>0</v>
      </c>
      <c r="BV117">
        <v>0</v>
      </c>
      <c r="CC117" t="str">
        <f>"18:36:20.359"</f>
        <v>18:36:20.359</v>
      </c>
      <c r="CD117" t="str">
        <f>"358739846"</f>
        <v>358739846</v>
      </c>
      <c r="CQ117">
        <v>0</v>
      </c>
      <c r="CR117">
        <v>2</v>
      </c>
      <c r="CS117">
        <v>0</v>
      </c>
      <c r="CT117">
        <v>2</v>
      </c>
      <c r="CU117">
        <v>0</v>
      </c>
      <c r="CV117">
        <v>5</v>
      </c>
      <c r="CW117" t="s">
        <v>120</v>
      </c>
      <c r="CX117">
        <v>261</v>
      </c>
      <c r="CY117">
        <v>2</v>
      </c>
      <c r="CZ117" t="s">
        <v>121</v>
      </c>
      <c r="DA117" t="s">
        <v>122</v>
      </c>
      <c r="DD117">
        <v>14305870</v>
      </c>
      <c r="DE117" t="s">
        <v>123</v>
      </c>
    </row>
    <row r="118" spans="1:109" x14ac:dyDescent="0.3">
      <c r="A118" t="str">
        <f>"18:36:21.609"</f>
        <v>18:36:21.609</v>
      </c>
      <c r="B118" t="s">
        <v>110</v>
      </c>
      <c r="C118" t="str">
        <f t="shared" si="3"/>
        <v>ffdfd3c0</v>
      </c>
      <c r="D118" t="s">
        <v>111</v>
      </c>
      <c r="E118">
        <v>18</v>
      </c>
      <c r="F118">
        <v>1018</v>
      </c>
      <c r="G118" t="s">
        <v>112</v>
      </c>
      <c r="J118" t="s">
        <v>113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R118" t="s">
        <v>114</v>
      </c>
      <c r="S118" t="str">
        <f>"18:36:21.391"</f>
        <v>18:36:21.391</v>
      </c>
      <c r="T118" t="str">
        <f>"18:36:21.289"</f>
        <v>18:36:21.289</v>
      </c>
      <c r="U118" t="str">
        <f t="shared" si="4"/>
        <v>a1cdbe</v>
      </c>
      <c r="V118">
        <v>0</v>
      </c>
      <c r="W118">
        <v>0</v>
      </c>
      <c r="X118">
        <v>1</v>
      </c>
      <c r="Y118">
        <v>0</v>
      </c>
      <c r="Z118">
        <v>0</v>
      </c>
      <c r="AB118">
        <v>0</v>
      </c>
      <c r="AC118">
        <v>9</v>
      </c>
      <c r="AD118">
        <v>3</v>
      </c>
      <c r="AE118">
        <v>0</v>
      </c>
      <c r="AF118">
        <v>9</v>
      </c>
      <c r="AG118" t="s">
        <v>158</v>
      </c>
      <c r="AH118">
        <v>0</v>
      </c>
      <c r="AI118">
        <v>3</v>
      </c>
      <c r="AJ118">
        <v>1</v>
      </c>
      <c r="AK118">
        <v>0</v>
      </c>
      <c r="AL118" t="s">
        <v>327</v>
      </c>
      <c r="AM118">
        <v>47.096715000000003</v>
      </c>
      <c r="AN118" t="s">
        <v>328</v>
      </c>
      <c r="AO118">
        <v>-122.272403</v>
      </c>
      <c r="AP118">
        <v>100</v>
      </c>
      <c r="AQ118">
        <v>2100</v>
      </c>
      <c r="AR118" t="s">
        <v>118</v>
      </c>
      <c r="AS118">
        <v>-17</v>
      </c>
      <c r="AT118">
        <v>-78</v>
      </c>
      <c r="AU118">
        <v>320</v>
      </c>
      <c r="BC118">
        <v>1200</v>
      </c>
      <c r="BD118">
        <v>1</v>
      </c>
      <c r="BE118" t="str">
        <f t="shared" si="5"/>
        <v xml:space="preserve">N215T   </v>
      </c>
      <c r="BF118">
        <v>1</v>
      </c>
      <c r="BH118">
        <v>0</v>
      </c>
      <c r="BI118">
        <v>0</v>
      </c>
      <c r="BJ118">
        <v>0</v>
      </c>
      <c r="BK118">
        <v>2500</v>
      </c>
      <c r="BL118">
        <v>400</v>
      </c>
      <c r="BM118" t="s">
        <v>119</v>
      </c>
      <c r="BN118">
        <v>1</v>
      </c>
      <c r="BO118">
        <v>1</v>
      </c>
      <c r="BP118">
        <v>1</v>
      </c>
      <c r="BQ118">
        <v>0</v>
      </c>
      <c r="BT118">
        <v>0</v>
      </c>
      <c r="BU118">
        <v>0</v>
      </c>
      <c r="BV118">
        <v>0</v>
      </c>
      <c r="CC118" t="str">
        <f>"18:36:21.391"</f>
        <v>18:36:21.391</v>
      </c>
      <c r="CD118" t="str">
        <f>"393638008"</f>
        <v>393638008</v>
      </c>
      <c r="CQ118">
        <v>0</v>
      </c>
      <c r="CR118">
        <v>2</v>
      </c>
      <c r="CS118">
        <v>0</v>
      </c>
      <c r="CT118">
        <v>2</v>
      </c>
      <c r="CU118">
        <v>0</v>
      </c>
      <c r="CV118">
        <v>5</v>
      </c>
      <c r="CW118" t="s">
        <v>120</v>
      </c>
      <c r="CX118">
        <v>261</v>
      </c>
      <c r="CY118">
        <v>1</v>
      </c>
      <c r="CZ118" t="s">
        <v>121</v>
      </c>
      <c r="DA118" t="s">
        <v>122</v>
      </c>
      <c r="DD118">
        <v>3159222</v>
      </c>
      <c r="DE118" t="s">
        <v>123</v>
      </c>
    </row>
    <row r="119" spans="1:109" x14ac:dyDescent="0.3">
      <c r="A119" t="str">
        <f>"18:36:22.609"</f>
        <v>18:36:22.609</v>
      </c>
      <c r="B119" t="s">
        <v>110</v>
      </c>
      <c r="C119" t="str">
        <f t="shared" si="3"/>
        <v>ffdfd3c0</v>
      </c>
      <c r="D119" t="s">
        <v>111</v>
      </c>
      <c r="E119">
        <v>18</v>
      </c>
      <c r="F119">
        <v>1018</v>
      </c>
      <c r="G119" t="s">
        <v>112</v>
      </c>
      <c r="J119" t="s">
        <v>113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R119" t="s">
        <v>114</v>
      </c>
      <c r="S119" t="str">
        <f>"18:36:22.367"</f>
        <v>18:36:22.367</v>
      </c>
      <c r="T119" t="str">
        <f>"18:36:22.266"</f>
        <v>18:36:22.266</v>
      </c>
      <c r="U119" t="str">
        <f t="shared" si="4"/>
        <v>a1cdbe</v>
      </c>
      <c r="V119">
        <v>0</v>
      </c>
      <c r="W119">
        <v>0</v>
      </c>
      <c r="X119">
        <v>1</v>
      </c>
      <c r="Y119">
        <v>0</v>
      </c>
      <c r="Z119">
        <v>0</v>
      </c>
      <c r="AB119">
        <v>0</v>
      </c>
      <c r="AC119">
        <v>9</v>
      </c>
      <c r="AD119">
        <v>3</v>
      </c>
      <c r="AE119">
        <v>0</v>
      </c>
      <c r="AF119">
        <v>9</v>
      </c>
      <c r="AG119" t="s">
        <v>158</v>
      </c>
      <c r="AH119">
        <v>0</v>
      </c>
      <c r="AI119">
        <v>3</v>
      </c>
      <c r="AJ119">
        <v>1</v>
      </c>
      <c r="AK119">
        <v>0</v>
      </c>
      <c r="AL119" t="s">
        <v>329</v>
      </c>
      <c r="AM119">
        <v>47.096328999999997</v>
      </c>
      <c r="AN119" t="s">
        <v>330</v>
      </c>
      <c r="AO119">
        <v>-122.272553</v>
      </c>
      <c r="AP119">
        <v>100</v>
      </c>
      <c r="AQ119">
        <v>2100</v>
      </c>
      <c r="AR119" t="s">
        <v>118</v>
      </c>
      <c r="AS119">
        <v>-17</v>
      </c>
      <c r="AT119">
        <v>-78</v>
      </c>
      <c r="AU119">
        <v>256</v>
      </c>
      <c r="BC119">
        <v>1200</v>
      </c>
      <c r="BD119">
        <v>1</v>
      </c>
      <c r="BE119" t="str">
        <f t="shared" si="5"/>
        <v xml:space="preserve">N215T   </v>
      </c>
      <c r="BF119">
        <v>1</v>
      </c>
      <c r="BH119">
        <v>0</v>
      </c>
      <c r="BI119">
        <v>0</v>
      </c>
      <c r="BJ119">
        <v>0</v>
      </c>
      <c r="BK119">
        <v>2500</v>
      </c>
      <c r="BL119">
        <v>400</v>
      </c>
      <c r="BM119" t="s">
        <v>119</v>
      </c>
      <c r="BN119">
        <v>1</v>
      </c>
      <c r="BO119">
        <v>1</v>
      </c>
      <c r="BP119">
        <v>1</v>
      </c>
      <c r="BQ119">
        <v>0</v>
      </c>
      <c r="BT119">
        <v>0</v>
      </c>
      <c r="BU119">
        <v>0</v>
      </c>
      <c r="BV119">
        <v>0</v>
      </c>
      <c r="CC119" t="str">
        <f>"18:36:22.367"</f>
        <v>18:36:22.367</v>
      </c>
      <c r="CD119" t="str">
        <f>"368542165"</f>
        <v>368542165</v>
      </c>
      <c r="CQ119">
        <v>0</v>
      </c>
      <c r="CR119">
        <v>2</v>
      </c>
      <c r="CS119">
        <v>0</v>
      </c>
      <c r="CT119">
        <v>2</v>
      </c>
      <c r="CU119">
        <v>0</v>
      </c>
      <c r="CV119">
        <v>4</v>
      </c>
      <c r="CW119" t="s">
        <v>120</v>
      </c>
      <c r="CX119">
        <v>261</v>
      </c>
      <c r="CY119">
        <v>2</v>
      </c>
      <c r="CZ119" t="s">
        <v>121</v>
      </c>
      <c r="DA119" t="s">
        <v>122</v>
      </c>
      <c r="DD119">
        <v>14306837</v>
      </c>
      <c r="DE119" t="s">
        <v>123</v>
      </c>
    </row>
    <row r="120" spans="1:109" x14ac:dyDescent="0.3">
      <c r="A120" t="str">
        <f>"18:36:23.570"</f>
        <v>18:36:23.570</v>
      </c>
      <c r="B120" t="s">
        <v>110</v>
      </c>
      <c r="C120" t="str">
        <f t="shared" si="3"/>
        <v>ffdfd3c0</v>
      </c>
      <c r="D120" t="s">
        <v>111</v>
      </c>
      <c r="E120">
        <v>18</v>
      </c>
      <c r="F120">
        <v>1018</v>
      </c>
      <c r="G120" t="s">
        <v>112</v>
      </c>
      <c r="J120" t="s">
        <v>113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R120" t="s">
        <v>114</v>
      </c>
      <c r="S120" t="str">
        <f>"18:36:23.336"</f>
        <v>18:36:23.336</v>
      </c>
      <c r="T120" t="str">
        <f>"18:36:23.336"</f>
        <v>18:36:23.336</v>
      </c>
      <c r="U120" t="str">
        <f t="shared" si="4"/>
        <v>a1cdbe</v>
      </c>
      <c r="V120">
        <v>0</v>
      </c>
      <c r="W120">
        <v>0</v>
      </c>
      <c r="X120">
        <v>1</v>
      </c>
      <c r="Y120">
        <v>0</v>
      </c>
      <c r="Z120">
        <v>0</v>
      </c>
      <c r="AB120">
        <v>0</v>
      </c>
      <c r="AC120">
        <v>9</v>
      </c>
      <c r="AD120">
        <v>3</v>
      </c>
      <c r="AE120">
        <v>0</v>
      </c>
      <c r="AF120">
        <v>9</v>
      </c>
      <c r="AG120" t="s">
        <v>158</v>
      </c>
      <c r="AH120">
        <v>0</v>
      </c>
      <c r="AI120">
        <v>3</v>
      </c>
      <c r="AJ120">
        <v>1</v>
      </c>
      <c r="AK120">
        <v>0</v>
      </c>
      <c r="AL120" t="s">
        <v>331</v>
      </c>
      <c r="AM120">
        <v>47.096007</v>
      </c>
      <c r="AN120" t="s">
        <v>332</v>
      </c>
      <c r="AO120">
        <v>-122.27261799999999</v>
      </c>
      <c r="AP120">
        <v>100</v>
      </c>
      <c r="AQ120">
        <v>2100</v>
      </c>
      <c r="AR120" t="s">
        <v>118</v>
      </c>
      <c r="AS120">
        <v>-16</v>
      </c>
      <c r="AT120">
        <v>-78</v>
      </c>
      <c r="AU120">
        <v>192</v>
      </c>
      <c r="BC120">
        <v>1200</v>
      </c>
      <c r="BD120">
        <v>1</v>
      </c>
      <c r="BE120" t="str">
        <f t="shared" si="5"/>
        <v xml:space="preserve">N215T   </v>
      </c>
      <c r="BF120">
        <v>1</v>
      </c>
      <c r="BH120">
        <v>0</v>
      </c>
      <c r="BI120">
        <v>0</v>
      </c>
      <c r="BJ120">
        <v>0</v>
      </c>
      <c r="BK120">
        <v>2500</v>
      </c>
      <c r="BL120">
        <v>400</v>
      </c>
      <c r="BM120" t="s">
        <v>119</v>
      </c>
      <c r="BN120">
        <v>1</v>
      </c>
      <c r="BO120">
        <v>1</v>
      </c>
      <c r="BP120">
        <v>1</v>
      </c>
      <c r="BQ120">
        <v>0</v>
      </c>
      <c r="BT120">
        <v>0</v>
      </c>
      <c r="BU120">
        <v>0</v>
      </c>
      <c r="BV120">
        <v>0</v>
      </c>
      <c r="CC120" t="str">
        <f>"18:36:23.344"</f>
        <v>18:36:23.344</v>
      </c>
      <c r="CD120" t="str">
        <f>"343446255"</f>
        <v>343446255</v>
      </c>
      <c r="CQ120">
        <v>0</v>
      </c>
      <c r="CR120">
        <v>2</v>
      </c>
      <c r="CS120">
        <v>0</v>
      </c>
      <c r="CT120">
        <v>2</v>
      </c>
      <c r="CU120">
        <v>0</v>
      </c>
      <c r="CV120">
        <v>4</v>
      </c>
      <c r="CW120" t="s">
        <v>120</v>
      </c>
      <c r="CX120">
        <v>261</v>
      </c>
      <c r="CY120">
        <v>1</v>
      </c>
      <c r="CZ120" t="s">
        <v>121</v>
      </c>
      <c r="DA120" t="s">
        <v>122</v>
      </c>
      <c r="DD120">
        <v>3160286</v>
      </c>
      <c r="DE120" t="s">
        <v>123</v>
      </c>
    </row>
    <row r="121" spans="1:109" x14ac:dyDescent="0.3">
      <c r="A121" t="str">
        <f>"18:36:24.625"</f>
        <v>18:36:24.625</v>
      </c>
      <c r="B121" t="s">
        <v>110</v>
      </c>
      <c r="C121" t="str">
        <f t="shared" si="3"/>
        <v>ffdfd3c0</v>
      </c>
      <c r="D121" t="s">
        <v>111</v>
      </c>
      <c r="E121">
        <v>18</v>
      </c>
      <c r="F121">
        <v>1018</v>
      </c>
      <c r="G121" t="s">
        <v>112</v>
      </c>
      <c r="J121" t="s">
        <v>113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R121" t="s">
        <v>114</v>
      </c>
      <c r="S121" t="str">
        <f>"18:36:24.375"</f>
        <v>18:36:24.375</v>
      </c>
      <c r="T121" t="str">
        <f>"18:36:23.773"</f>
        <v>18:36:23.773</v>
      </c>
      <c r="U121" t="str">
        <f t="shared" si="4"/>
        <v>a1cdbe</v>
      </c>
      <c r="V121">
        <v>0</v>
      </c>
      <c r="W121">
        <v>0</v>
      </c>
      <c r="X121">
        <v>1</v>
      </c>
      <c r="Y121">
        <v>0</v>
      </c>
      <c r="Z121">
        <v>0</v>
      </c>
      <c r="AB121">
        <v>0</v>
      </c>
      <c r="AC121">
        <v>9</v>
      </c>
      <c r="AD121">
        <v>3</v>
      </c>
      <c r="AE121">
        <v>0</v>
      </c>
      <c r="AF121">
        <v>9</v>
      </c>
      <c r="AG121" t="s">
        <v>158</v>
      </c>
      <c r="AH121">
        <v>0</v>
      </c>
      <c r="AI121">
        <v>3</v>
      </c>
      <c r="AJ121">
        <v>1</v>
      </c>
      <c r="AK121">
        <v>0</v>
      </c>
      <c r="AL121" t="s">
        <v>333</v>
      </c>
      <c r="AM121">
        <v>47.095641999999998</v>
      </c>
      <c r="AN121" t="s">
        <v>334</v>
      </c>
      <c r="AO121">
        <v>-122.272747</v>
      </c>
      <c r="AP121">
        <v>100</v>
      </c>
      <c r="AQ121">
        <v>2100</v>
      </c>
      <c r="AR121" t="s">
        <v>118</v>
      </c>
      <c r="AS121">
        <v>-16</v>
      </c>
      <c r="AT121">
        <v>-78</v>
      </c>
      <c r="AU121">
        <v>192</v>
      </c>
      <c r="BC121">
        <v>1200</v>
      </c>
      <c r="BD121">
        <v>1</v>
      </c>
      <c r="BE121" t="str">
        <f t="shared" si="5"/>
        <v xml:space="preserve">N215T   </v>
      </c>
      <c r="BF121">
        <v>1</v>
      </c>
      <c r="BH121">
        <v>0</v>
      </c>
      <c r="BI121">
        <v>0</v>
      </c>
      <c r="BJ121">
        <v>0</v>
      </c>
      <c r="BK121">
        <v>2500</v>
      </c>
      <c r="BL121">
        <v>400</v>
      </c>
      <c r="BM121" t="s">
        <v>119</v>
      </c>
      <c r="BN121">
        <v>1</v>
      </c>
      <c r="BO121">
        <v>1</v>
      </c>
      <c r="BP121">
        <v>1</v>
      </c>
      <c r="BQ121">
        <v>0</v>
      </c>
      <c r="BT121">
        <v>0</v>
      </c>
      <c r="BU121">
        <v>0</v>
      </c>
      <c r="BV121">
        <v>0</v>
      </c>
      <c r="CC121" t="str">
        <f>"18:36:24.375"</f>
        <v>18:36:24.375</v>
      </c>
      <c r="CD121" t="str">
        <f>"378344469"</f>
        <v>378344469</v>
      </c>
      <c r="CQ121">
        <v>0</v>
      </c>
      <c r="CR121">
        <v>2</v>
      </c>
      <c r="CS121">
        <v>0</v>
      </c>
      <c r="CT121">
        <v>2</v>
      </c>
      <c r="CU121">
        <v>0</v>
      </c>
      <c r="CV121">
        <v>5</v>
      </c>
      <c r="CW121" t="s">
        <v>120</v>
      </c>
      <c r="CX121">
        <v>261</v>
      </c>
      <c r="CY121">
        <v>1</v>
      </c>
      <c r="CZ121" t="s">
        <v>121</v>
      </c>
      <c r="DA121" t="s">
        <v>122</v>
      </c>
      <c r="DD121">
        <v>3160906</v>
      </c>
      <c r="DE121" t="s">
        <v>123</v>
      </c>
    </row>
    <row r="122" spans="1:109" x14ac:dyDescent="0.3">
      <c r="A122" t="str">
        <f>"18:36:25.633"</f>
        <v>18:36:25.633</v>
      </c>
      <c r="B122" t="s">
        <v>110</v>
      </c>
      <c r="C122" t="str">
        <f t="shared" si="3"/>
        <v>ffdfd3c0</v>
      </c>
      <c r="D122" t="s">
        <v>111</v>
      </c>
      <c r="E122">
        <v>18</v>
      </c>
      <c r="F122">
        <v>1018</v>
      </c>
      <c r="G122" t="s">
        <v>112</v>
      </c>
      <c r="J122" t="s">
        <v>113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R122" t="s">
        <v>114</v>
      </c>
      <c r="S122" t="str">
        <f>"18:36:25.391"</f>
        <v>18:36:25.391</v>
      </c>
      <c r="T122" t="str">
        <f>"18:36:24.891"</f>
        <v>18:36:24.891</v>
      </c>
      <c r="U122" t="str">
        <f t="shared" si="4"/>
        <v>a1cdbe</v>
      </c>
      <c r="V122">
        <v>0</v>
      </c>
      <c r="W122">
        <v>0</v>
      </c>
      <c r="X122">
        <v>1</v>
      </c>
      <c r="Y122">
        <v>0</v>
      </c>
      <c r="Z122">
        <v>0</v>
      </c>
      <c r="AB122">
        <v>0</v>
      </c>
      <c r="AC122">
        <v>9</v>
      </c>
      <c r="AD122">
        <v>3</v>
      </c>
      <c r="AE122">
        <v>0</v>
      </c>
      <c r="AF122">
        <v>9</v>
      </c>
      <c r="AG122" t="s">
        <v>158</v>
      </c>
      <c r="AH122">
        <v>0</v>
      </c>
      <c r="AI122">
        <v>3</v>
      </c>
      <c r="AJ122">
        <v>1</v>
      </c>
      <c r="AK122">
        <v>0</v>
      </c>
      <c r="AL122" t="s">
        <v>335</v>
      </c>
      <c r="AM122">
        <v>47.095277000000003</v>
      </c>
      <c r="AN122" t="s">
        <v>336</v>
      </c>
      <c r="AO122">
        <v>-122.27283199999999</v>
      </c>
      <c r="AP122">
        <v>100</v>
      </c>
      <c r="AQ122">
        <v>2100</v>
      </c>
      <c r="AR122" t="s">
        <v>118</v>
      </c>
      <c r="AS122">
        <v>-16</v>
      </c>
      <c r="AT122">
        <v>-77</v>
      </c>
      <c r="AU122">
        <v>192</v>
      </c>
      <c r="BC122">
        <v>1200</v>
      </c>
      <c r="BD122">
        <v>1</v>
      </c>
      <c r="BE122" t="str">
        <f t="shared" si="5"/>
        <v xml:space="preserve">N215T   </v>
      </c>
      <c r="BF122">
        <v>1</v>
      </c>
      <c r="BH122">
        <v>0</v>
      </c>
      <c r="BI122">
        <v>0</v>
      </c>
      <c r="BJ122">
        <v>0</v>
      </c>
      <c r="BK122">
        <v>2500</v>
      </c>
      <c r="BL122">
        <v>400</v>
      </c>
      <c r="BM122" t="s">
        <v>119</v>
      </c>
      <c r="BN122">
        <v>1</v>
      </c>
      <c r="BO122">
        <v>1</v>
      </c>
      <c r="BP122">
        <v>1</v>
      </c>
      <c r="BQ122">
        <v>0</v>
      </c>
      <c r="BT122">
        <v>0</v>
      </c>
      <c r="BU122">
        <v>0</v>
      </c>
      <c r="BV122">
        <v>0</v>
      </c>
      <c r="CC122" t="str">
        <f>"18:36:25.398"</f>
        <v>18:36:25.398</v>
      </c>
      <c r="CD122" t="str">
        <f>"398244144"</f>
        <v>398244144</v>
      </c>
      <c r="CQ122">
        <v>0</v>
      </c>
      <c r="CR122">
        <v>2</v>
      </c>
      <c r="CS122">
        <v>0</v>
      </c>
      <c r="CT122">
        <v>2</v>
      </c>
      <c r="CU122">
        <v>0</v>
      </c>
      <c r="CV122">
        <v>5</v>
      </c>
      <c r="CW122" t="s">
        <v>120</v>
      </c>
      <c r="CX122">
        <v>261</v>
      </c>
      <c r="CY122">
        <v>1</v>
      </c>
      <c r="CZ122" t="s">
        <v>121</v>
      </c>
      <c r="DA122" t="s">
        <v>122</v>
      </c>
      <c r="DD122">
        <v>3161474</v>
      </c>
      <c r="DE122" t="s">
        <v>123</v>
      </c>
    </row>
    <row r="123" spans="1:109" x14ac:dyDescent="0.3">
      <c r="A123" t="str">
        <f>"18:36:26.633"</f>
        <v>18:36:26.633</v>
      </c>
      <c r="B123" t="s">
        <v>110</v>
      </c>
      <c r="C123" t="str">
        <f t="shared" si="3"/>
        <v>ffdfd3c0</v>
      </c>
      <c r="D123" t="s">
        <v>111</v>
      </c>
      <c r="E123">
        <v>18</v>
      </c>
      <c r="F123">
        <v>1018</v>
      </c>
      <c r="G123" t="s">
        <v>112</v>
      </c>
      <c r="J123" t="s">
        <v>113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R123" t="s">
        <v>114</v>
      </c>
      <c r="S123" t="str">
        <f>"18:36:26.414"</f>
        <v>18:36:26.414</v>
      </c>
      <c r="T123" t="str">
        <f>"18:36:26.414"</f>
        <v>18:36:26.414</v>
      </c>
      <c r="U123" t="str">
        <f t="shared" si="4"/>
        <v>a1cdbe</v>
      </c>
      <c r="V123">
        <v>0</v>
      </c>
      <c r="W123">
        <v>0</v>
      </c>
      <c r="X123">
        <v>1</v>
      </c>
      <c r="Y123">
        <v>0</v>
      </c>
      <c r="Z123">
        <v>0</v>
      </c>
      <c r="AB123">
        <v>0</v>
      </c>
      <c r="AC123">
        <v>9</v>
      </c>
      <c r="AD123">
        <v>3</v>
      </c>
      <c r="AE123">
        <v>0</v>
      </c>
      <c r="AF123">
        <v>9</v>
      </c>
      <c r="AG123" t="s">
        <v>158</v>
      </c>
      <c r="AH123">
        <v>0</v>
      </c>
      <c r="AI123">
        <v>3</v>
      </c>
      <c r="AJ123">
        <v>1</v>
      </c>
      <c r="AK123">
        <v>0</v>
      </c>
      <c r="AL123" t="s">
        <v>337</v>
      </c>
      <c r="AM123">
        <v>47.094912999999998</v>
      </c>
      <c r="AN123" t="s">
        <v>338</v>
      </c>
      <c r="AO123">
        <v>-122.273026</v>
      </c>
      <c r="AP123">
        <v>100</v>
      </c>
      <c r="AQ123">
        <v>2100</v>
      </c>
      <c r="AR123" t="s">
        <v>118</v>
      </c>
      <c r="AS123">
        <v>-16</v>
      </c>
      <c r="AT123">
        <v>-77</v>
      </c>
      <c r="AU123">
        <v>64</v>
      </c>
      <c r="BC123">
        <v>1200</v>
      </c>
      <c r="BD123">
        <v>1</v>
      </c>
      <c r="BE123" t="str">
        <f t="shared" si="5"/>
        <v xml:space="preserve">N215T   </v>
      </c>
      <c r="BF123">
        <v>1</v>
      </c>
      <c r="BH123">
        <v>0</v>
      </c>
      <c r="BI123">
        <v>0</v>
      </c>
      <c r="BJ123">
        <v>0</v>
      </c>
      <c r="BK123">
        <v>2525</v>
      </c>
      <c r="BL123">
        <v>425</v>
      </c>
      <c r="BM123" t="s">
        <v>119</v>
      </c>
      <c r="BN123">
        <v>1</v>
      </c>
      <c r="BO123">
        <v>1</v>
      </c>
      <c r="BP123">
        <v>1</v>
      </c>
      <c r="BQ123">
        <v>0</v>
      </c>
      <c r="BT123">
        <v>0</v>
      </c>
      <c r="BU123">
        <v>0</v>
      </c>
      <c r="BV123">
        <v>0</v>
      </c>
      <c r="CC123" t="str">
        <f>"18:36:26.422"</f>
        <v>18:36:26.422</v>
      </c>
      <c r="CD123" t="str">
        <f>"418143864"</f>
        <v>418143864</v>
      </c>
      <c r="CQ123">
        <v>0</v>
      </c>
      <c r="CR123">
        <v>2</v>
      </c>
      <c r="CS123">
        <v>0</v>
      </c>
      <c r="CT123">
        <v>2</v>
      </c>
      <c r="CU123">
        <v>0</v>
      </c>
      <c r="CV123">
        <v>5</v>
      </c>
      <c r="CW123" t="s">
        <v>120</v>
      </c>
      <c r="CX123">
        <v>261</v>
      </c>
      <c r="CY123">
        <v>2</v>
      </c>
      <c r="CZ123" t="s">
        <v>121</v>
      </c>
      <c r="DA123" t="s">
        <v>122</v>
      </c>
      <c r="DD123">
        <v>14308890</v>
      </c>
      <c r="DE123" t="s">
        <v>123</v>
      </c>
    </row>
    <row r="124" spans="1:109" x14ac:dyDescent="0.3">
      <c r="A124" t="str">
        <f>"18:36:27.742"</f>
        <v>18:36:27.742</v>
      </c>
      <c r="B124" t="s">
        <v>110</v>
      </c>
      <c r="C124" t="str">
        <f t="shared" si="3"/>
        <v>ffdfd3c0</v>
      </c>
      <c r="D124" t="s">
        <v>111</v>
      </c>
      <c r="E124">
        <v>18</v>
      </c>
      <c r="F124">
        <v>1018</v>
      </c>
      <c r="G124" t="s">
        <v>112</v>
      </c>
      <c r="J124" t="s">
        <v>113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R124" t="s">
        <v>114</v>
      </c>
      <c r="S124" t="str">
        <f>"18:36:27.508"</f>
        <v>18:36:27.508</v>
      </c>
      <c r="T124" t="str">
        <f>"18:36:27.305"</f>
        <v>18:36:27.305</v>
      </c>
      <c r="U124" t="str">
        <f t="shared" si="4"/>
        <v>a1cdbe</v>
      </c>
      <c r="V124">
        <v>0</v>
      </c>
      <c r="W124">
        <v>0</v>
      </c>
      <c r="X124">
        <v>1</v>
      </c>
      <c r="Y124">
        <v>0</v>
      </c>
      <c r="Z124">
        <v>0</v>
      </c>
      <c r="AB124">
        <v>0</v>
      </c>
      <c r="AC124">
        <v>9</v>
      </c>
      <c r="AD124">
        <v>3</v>
      </c>
      <c r="AE124">
        <v>0</v>
      </c>
      <c r="AF124">
        <v>9</v>
      </c>
      <c r="AG124" t="s">
        <v>158</v>
      </c>
      <c r="AH124">
        <v>0</v>
      </c>
      <c r="AI124">
        <v>3</v>
      </c>
      <c r="AJ124">
        <v>1</v>
      </c>
      <c r="AK124">
        <v>0</v>
      </c>
      <c r="AL124" t="s">
        <v>339</v>
      </c>
      <c r="AM124">
        <v>47.094482999999997</v>
      </c>
      <c r="AN124" t="s">
        <v>340</v>
      </c>
      <c r="AO124">
        <v>-122.273111</v>
      </c>
      <c r="AP124">
        <v>100</v>
      </c>
      <c r="AQ124">
        <v>2100</v>
      </c>
      <c r="AR124" t="s">
        <v>118</v>
      </c>
      <c r="AS124">
        <v>-17</v>
      </c>
      <c r="AT124">
        <v>-77</v>
      </c>
      <c r="AU124">
        <v>64</v>
      </c>
      <c r="BC124">
        <v>1200</v>
      </c>
      <c r="BD124">
        <v>1</v>
      </c>
      <c r="BE124" t="str">
        <f t="shared" si="5"/>
        <v xml:space="preserve">N215T   </v>
      </c>
      <c r="BF124">
        <v>1</v>
      </c>
      <c r="BH124">
        <v>0</v>
      </c>
      <c r="BI124">
        <v>0</v>
      </c>
      <c r="BJ124">
        <v>0</v>
      </c>
      <c r="BK124">
        <v>2525</v>
      </c>
      <c r="BL124">
        <v>425</v>
      </c>
      <c r="BM124" t="s">
        <v>119</v>
      </c>
      <c r="BN124">
        <v>1</v>
      </c>
      <c r="BO124">
        <v>1</v>
      </c>
      <c r="BP124">
        <v>1</v>
      </c>
      <c r="BQ124">
        <v>0</v>
      </c>
      <c r="BT124">
        <v>0</v>
      </c>
      <c r="BU124">
        <v>0</v>
      </c>
      <c r="BV124">
        <v>0</v>
      </c>
      <c r="CC124" t="str">
        <f>"18:36:27.516"</f>
        <v>18:36:27.516</v>
      </c>
      <c r="CD124" t="str">
        <f>"513036138"</f>
        <v>513036138</v>
      </c>
      <c r="CQ124">
        <v>0</v>
      </c>
      <c r="CR124">
        <v>2</v>
      </c>
      <c r="CS124">
        <v>0</v>
      </c>
      <c r="CT124">
        <v>2</v>
      </c>
      <c r="CU124">
        <v>0</v>
      </c>
      <c r="CV124">
        <v>5</v>
      </c>
      <c r="CW124" t="s">
        <v>120</v>
      </c>
      <c r="CX124">
        <v>261</v>
      </c>
      <c r="CY124">
        <v>1</v>
      </c>
      <c r="CZ124" t="s">
        <v>121</v>
      </c>
      <c r="DA124" t="s">
        <v>122</v>
      </c>
      <c r="DD124">
        <v>3162671</v>
      </c>
      <c r="DE124" t="s">
        <v>123</v>
      </c>
    </row>
    <row r="125" spans="1:109" x14ac:dyDescent="0.3">
      <c r="A125" t="str">
        <f>"18:36:28.547"</f>
        <v>18:36:28.547</v>
      </c>
      <c r="B125" t="s">
        <v>110</v>
      </c>
      <c r="C125" t="str">
        <f t="shared" si="3"/>
        <v>ffdfd3c0</v>
      </c>
      <c r="D125" t="s">
        <v>111</v>
      </c>
      <c r="E125">
        <v>18</v>
      </c>
      <c r="F125">
        <v>1018</v>
      </c>
      <c r="G125" t="s">
        <v>112</v>
      </c>
      <c r="J125" t="s">
        <v>113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R125" t="s">
        <v>114</v>
      </c>
      <c r="S125" t="str">
        <f>"18:36:28.352"</f>
        <v>18:36:28.352</v>
      </c>
      <c r="T125" t="str">
        <f>"18:36:28.250"</f>
        <v>18:36:28.250</v>
      </c>
      <c r="U125" t="str">
        <f t="shared" si="4"/>
        <v>a1cdbe</v>
      </c>
      <c r="V125">
        <v>0</v>
      </c>
      <c r="W125">
        <v>0</v>
      </c>
      <c r="X125">
        <v>1</v>
      </c>
      <c r="Y125">
        <v>0</v>
      </c>
      <c r="Z125">
        <v>0</v>
      </c>
      <c r="AB125">
        <v>0</v>
      </c>
      <c r="AC125">
        <v>9</v>
      </c>
      <c r="AD125">
        <v>3</v>
      </c>
      <c r="AE125">
        <v>0</v>
      </c>
      <c r="AF125">
        <v>9</v>
      </c>
      <c r="AG125" t="s">
        <v>158</v>
      </c>
      <c r="AH125">
        <v>0</v>
      </c>
      <c r="AI125">
        <v>3</v>
      </c>
      <c r="AJ125">
        <v>1</v>
      </c>
      <c r="AK125">
        <v>0</v>
      </c>
      <c r="AL125" t="s">
        <v>341</v>
      </c>
      <c r="AM125">
        <v>47.094183000000001</v>
      </c>
      <c r="AN125" t="s">
        <v>342</v>
      </c>
      <c r="AO125">
        <v>-122.27324</v>
      </c>
      <c r="AP125">
        <v>100</v>
      </c>
      <c r="AQ125">
        <v>2100</v>
      </c>
      <c r="AR125" t="s">
        <v>118</v>
      </c>
      <c r="AS125">
        <v>-16</v>
      </c>
      <c r="AT125">
        <v>-77</v>
      </c>
      <c r="AU125">
        <v>64</v>
      </c>
      <c r="BC125">
        <v>1200</v>
      </c>
      <c r="BD125">
        <v>1</v>
      </c>
      <c r="BE125" t="str">
        <f t="shared" si="5"/>
        <v xml:space="preserve">N215T   </v>
      </c>
      <c r="BF125">
        <v>1</v>
      </c>
      <c r="BH125">
        <v>0</v>
      </c>
      <c r="BI125">
        <v>0</v>
      </c>
      <c r="BJ125">
        <v>0</v>
      </c>
      <c r="BK125">
        <v>2525</v>
      </c>
      <c r="BL125">
        <v>425</v>
      </c>
      <c r="BM125" t="s">
        <v>119</v>
      </c>
      <c r="BN125">
        <v>1</v>
      </c>
      <c r="BO125">
        <v>1</v>
      </c>
      <c r="BP125">
        <v>1</v>
      </c>
      <c r="BQ125">
        <v>0</v>
      </c>
      <c r="BT125">
        <v>0</v>
      </c>
      <c r="BU125">
        <v>0</v>
      </c>
      <c r="BV125">
        <v>0</v>
      </c>
      <c r="CC125" t="str">
        <f>"18:36:28.352"</f>
        <v>18:36:28.352</v>
      </c>
      <c r="CD125" t="str">
        <f>"352953559"</f>
        <v>352953559</v>
      </c>
      <c r="CQ125">
        <v>0</v>
      </c>
      <c r="CR125">
        <v>2</v>
      </c>
      <c r="CS125">
        <v>0</v>
      </c>
      <c r="CT125">
        <v>2</v>
      </c>
      <c r="CU125">
        <v>0</v>
      </c>
      <c r="CV125">
        <v>5</v>
      </c>
      <c r="CW125" t="s">
        <v>120</v>
      </c>
      <c r="CX125">
        <v>261</v>
      </c>
      <c r="CY125">
        <v>2</v>
      </c>
      <c r="CZ125" t="s">
        <v>121</v>
      </c>
      <c r="DA125" t="s">
        <v>122</v>
      </c>
      <c r="DD125">
        <v>14309863</v>
      </c>
      <c r="DE125" t="s">
        <v>123</v>
      </c>
    </row>
    <row r="126" spans="1:109" x14ac:dyDescent="0.3">
      <c r="A126" t="str">
        <f>"18:36:29.602"</f>
        <v>18:36:29.602</v>
      </c>
      <c r="B126" t="s">
        <v>110</v>
      </c>
      <c r="C126" t="str">
        <f t="shared" si="3"/>
        <v>ffdfd3c0</v>
      </c>
      <c r="D126" t="s">
        <v>111</v>
      </c>
      <c r="E126">
        <v>18</v>
      </c>
      <c r="F126">
        <v>1018</v>
      </c>
      <c r="G126" t="s">
        <v>112</v>
      </c>
      <c r="J126" t="s">
        <v>113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R126" t="s">
        <v>114</v>
      </c>
      <c r="S126" t="str">
        <f>"18:36:29.383"</f>
        <v>18:36:29.383</v>
      </c>
      <c r="T126" t="str">
        <f>"18:36:28.883"</f>
        <v>18:36:28.883</v>
      </c>
      <c r="U126" t="str">
        <f t="shared" si="4"/>
        <v>a1cdbe</v>
      </c>
      <c r="V126">
        <v>0</v>
      </c>
      <c r="W126">
        <v>0</v>
      </c>
      <c r="X126">
        <v>1</v>
      </c>
      <c r="Y126">
        <v>0</v>
      </c>
      <c r="Z126">
        <v>0</v>
      </c>
      <c r="AB126">
        <v>0</v>
      </c>
      <c r="AC126">
        <v>9</v>
      </c>
      <c r="AD126">
        <v>3</v>
      </c>
      <c r="AE126">
        <v>0</v>
      </c>
      <c r="AF126">
        <v>9</v>
      </c>
      <c r="AG126" t="s">
        <v>158</v>
      </c>
      <c r="AH126">
        <v>0</v>
      </c>
      <c r="AI126">
        <v>3</v>
      </c>
      <c r="AJ126">
        <v>1</v>
      </c>
      <c r="AK126">
        <v>0</v>
      </c>
      <c r="AL126" t="s">
        <v>343</v>
      </c>
      <c r="AM126">
        <v>47.093817999999999</v>
      </c>
      <c r="AN126" t="s">
        <v>344</v>
      </c>
      <c r="AO126">
        <v>-122.273326</v>
      </c>
      <c r="AP126">
        <v>100</v>
      </c>
      <c r="AQ126">
        <v>2100</v>
      </c>
      <c r="AR126" t="s">
        <v>118</v>
      </c>
      <c r="AS126">
        <v>-15</v>
      </c>
      <c r="AT126">
        <v>-78</v>
      </c>
      <c r="AU126">
        <v>64</v>
      </c>
      <c r="BC126">
        <v>1200</v>
      </c>
      <c r="BD126">
        <v>1</v>
      </c>
      <c r="BE126" t="str">
        <f t="shared" si="5"/>
        <v xml:space="preserve">N215T   </v>
      </c>
      <c r="BF126">
        <v>1</v>
      </c>
      <c r="BH126">
        <v>0</v>
      </c>
      <c r="BI126">
        <v>0</v>
      </c>
      <c r="BJ126">
        <v>0</v>
      </c>
      <c r="BK126">
        <v>2525</v>
      </c>
      <c r="BL126">
        <v>425</v>
      </c>
      <c r="BM126" t="s">
        <v>119</v>
      </c>
      <c r="BN126">
        <v>1</v>
      </c>
      <c r="BO126">
        <v>1</v>
      </c>
      <c r="BP126">
        <v>1</v>
      </c>
      <c r="BQ126">
        <v>0</v>
      </c>
      <c r="BT126">
        <v>0</v>
      </c>
      <c r="BU126">
        <v>0</v>
      </c>
      <c r="BV126">
        <v>0</v>
      </c>
      <c r="CC126" t="str">
        <f>"18:36:29.391"</f>
        <v>18:36:29.391</v>
      </c>
      <c r="CD126" t="str">
        <f>"387956768"</f>
        <v>387956768</v>
      </c>
      <c r="CQ126">
        <v>0</v>
      </c>
      <c r="CR126">
        <v>2</v>
      </c>
      <c r="CS126">
        <v>0</v>
      </c>
      <c r="CT126">
        <v>2</v>
      </c>
      <c r="CU126">
        <v>0</v>
      </c>
      <c r="CV126">
        <v>5</v>
      </c>
      <c r="CW126" t="s">
        <v>120</v>
      </c>
      <c r="CX126">
        <v>259</v>
      </c>
      <c r="CY126">
        <v>1</v>
      </c>
      <c r="CZ126" t="s">
        <v>197</v>
      </c>
      <c r="DA126" t="s">
        <v>198</v>
      </c>
      <c r="DD126">
        <v>14703088</v>
      </c>
      <c r="DE126" t="s">
        <v>123</v>
      </c>
    </row>
    <row r="127" spans="1:109" x14ac:dyDescent="0.3">
      <c r="A127" t="str">
        <f>"18:36:30.656"</f>
        <v>18:36:30.656</v>
      </c>
      <c r="B127" t="s">
        <v>110</v>
      </c>
      <c r="C127" t="str">
        <f t="shared" si="3"/>
        <v>ffdfd3c0</v>
      </c>
      <c r="D127" t="s">
        <v>111</v>
      </c>
      <c r="E127">
        <v>18</v>
      </c>
      <c r="F127">
        <v>1018</v>
      </c>
      <c r="G127" t="s">
        <v>112</v>
      </c>
      <c r="J127" t="s">
        <v>113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R127" t="s">
        <v>114</v>
      </c>
      <c r="S127" t="str">
        <f>"18:36:30.422"</f>
        <v>18:36:30.422</v>
      </c>
      <c r="T127" t="str">
        <f>"18:36:30.422"</f>
        <v>18:36:30.422</v>
      </c>
      <c r="U127" t="str">
        <f t="shared" si="4"/>
        <v>a1cdbe</v>
      </c>
      <c r="V127">
        <v>0</v>
      </c>
      <c r="W127">
        <v>0</v>
      </c>
      <c r="X127">
        <v>1</v>
      </c>
      <c r="Y127">
        <v>0</v>
      </c>
      <c r="Z127">
        <v>0</v>
      </c>
      <c r="AB127">
        <v>0</v>
      </c>
      <c r="AC127">
        <v>9</v>
      </c>
      <c r="AD127">
        <v>3</v>
      </c>
      <c r="AE127">
        <v>0</v>
      </c>
      <c r="AF127">
        <v>9</v>
      </c>
      <c r="AG127" t="s">
        <v>158</v>
      </c>
      <c r="AH127">
        <v>0</v>
      </c>
      <c r="AI127">
        <v>3</v>
      </c>
      <c r="AJ127">
        <v>1</v>
      </c>
      <c r="AK127">
        <v>0</v>
      </c>
      <c r="AL127" t="s">
        <v>345</v>
      </c>
      <c r="AM127">
        <v>47.093452999999997</v>
      </c>
      <c r="AN127" t="s">
        <v>346</v>
      </c>
      <c r="AO127">
        <v>-122.273369</v>
      </c>
      <c r="AP127">
        <v>100</v>
      </c>
      <c r="AQ127">
        <v>2100</v>
      </c>
      <c r="AR127" t="s">
        <v>118</v>
      </c>
      <c r="AS127">
        <v>-13</v>
      </c>
      <c r="AT127">
        <v>-79</v>
      </c>
      <c r="AU127">
        <v>64</v>
      </c>
      <c r="BC127">
        <v>1200</v>
      </c>
      <c r="BD127">
        <v>1</v>
      </c>
      <c r="BE127" t="str">
        <f t="shared" si="5"/>
        <v xml:space="preserve">N215T   </v>
      </c>
      <c r="BF127">
        <v>1</v>
      </c>
      <c r="BH127">
        <v>0</v>
      </c>
      <c r="BI127">
        <v>0</v>
      </c>
      <c r="BJ127">
        <v>0</v>
      </c>
      <c r="BK127">
        <v>2525</v>
      </c>
      <c r="BL127">
        <v>425</v>
      </c>
      <c r="BM127" t="s">
        <v>119</v>
      </c>
      <c r="BN127">
        <v>1</v>
      </c>
      <c r="BO127">
        <v>1</v>
      </c>
      <c r="BP127">
        <v>1</v>
      </c>
      <c r="BQ127">
        <v>0</v>
      </c>
      <c r="BT127">
        <v>0</v>
      </c>
      <c r="BU127">
        <v>0</v>
      </c>
      <c r="BV127">
        <v>0</v>
      </c>
      <c r="CC127" t="str">
        <f>"18:36:30.422"</f>
        <v>18:36:30.422</v>
      </c>
      <c r="CD127" t="str">
        <f>"422855051"</f>
        <v>422855051</v>
      </c>
      <c r="CQ127">
        <v>0</v>
      </c>
      <c r="CR127">
        <v>2</v>
      </c>
      <c r="CS127">
        <v>0</v>
      </c>
      <c r="CT127">
        <v>2</v>
      </c>
      <c r="CU127">
        <v>0</v>
      </c>
      <c r="CV127">
        <v>5</v>
      </c>
      <c r="CW127" t="s">
        <v>120</v>
      </c>
      <c r="CX127">
        <v>259</v>
      </c>
      <c r="CY127">
        <v>1</v>
      </c>
      <c r="CZ127" t="s">
        <v>197</v>
      </c>
      <c r="DA127" t="s">
        <v>198</v>
      </c>
      <c r="DD127">
        <v>14703748</v>
      </c>
      <c r="DE127" t="s">
        <v>123</v>
      </c>
    </row>
    <row r="128" spans="1:109" x14ac:dyDescent="0.3">
      <c r="A128" t="str">
        <f>"18:36:31.516"</f>
        <v>18:36:31.516</v>
      </c>
      <c r="B128" t="s">
        <v>110</v>
      </c>
      <c r="C128" t="str">
        <f t="shared" si="3"/>
        <v>ffdfd3c0</v>
      </c>
      <c r="D128" t="s">
        <v>111</v>
      </c>
      <c r="E128">
        <v>18</v>
      </c>
      <c r="F128">
        <v>1018</v>
      </c>
      <c r="G128" t="s">
        <v>112</v>
      </c>
      <c r="J128" t="s">
        <v>113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R128" t="s">
        <v>114</v>
      </c>
      <c r="S128" t="str">
        <f>"18:36:31.289"</f>
        <v>18:36:31.289</v>
      </c>
      <c r="T128" t="str">
        <f>"18:36:30.891"</f>
        <v>18:36:30.891</v>
      </c>
      <c r="U128" t="str">
        <f t="shared" si="4"/>
        <v>a1cdbe</v>
      </c>
      <c r="V128">
        <v>0</v>
      </c>
      <c r="W128">
        <v>0</v>
      </c>
      <c r="X128">
        <v>1</v>
      </c>
      <c r="Y128">
        <v>0</v>
      </c>
      <c r="Z128">
        <v>0</v>
      </c>
      <c r="AB128">
        <v>0</v>
      </c>
      <c r="AC128">
        <v>9</v>
      </c>
      <c r="AD128">
        <v>3</v>
      </c>
      <c r="AE128">
        <v>0</v>
      </c>
      <c r="AF128">
        <v>9</v>
      </c>
      <c r="AG128" t="s">
        <v>158</v>
      </c>
      <c r="AH128">
        <v>0</v>
      </c>
      <c r="AI128">
        <v>3</v>
      </c>
      <c r="AJ128">
        <v>1</v>
      </c>
      <c r="AK128">
        <v>0</v>
      </c>
      <c r="AL128" t="s">
        <v>347</v>
      </c>
      <c r="AM128">
        <v>47.093131999999997</v>
      </c>
      <c r="AN128" t="s">
        <v>348</v>
      </c>
      <c r="AO128">
        <v>-122.273433</v>
      </c>
      <c r="AP128">
        <v>100</v>
      </c>
      <c r="AQ128">
        <v>2100</v>
      </c>
      <c r="AR128" t="s">
        <v>118</v>
      </c>
      <c r="AS128">
        <v>-11</v>
      </c>
      <c r="AT128">
        <v>-79</v>
      </c>
      <c r="AU128">
        <v>128</v>
      </c>
      <c r="BC128">
        <v>1200</v>
      </c>
      <c r="BD128">
        <v>1</v>
      </c>
      <c r="BE128" t="str">
        <f t="shared" si="5"/>
        <v xml:space="preserve">N215T   </v>
      </c>
      <c r="BF128">
        <v>1</v>
      </c>
      <c r="BH128">
        <v>0</v>
      </c>
      <c r="BI128">
        <v>0</v>
      </c>
      <c r="BJ128">
        <v>0</v>
      </c>
      <c r="BK128">
        <v>2525</v>
      </c>
      <c r="BL128">
        <v>425</v>
      </c>
      <c r="BM128" t="s">
        <v>119</v>
      </c>
      <c r="BN128">
        <v>1</v>
      </c>
      <c r="BO128">
        <v>1</v>
      </c>
      <c r="BP128">
        <v>1</v>
      </c>
      <c r="BQ128">
        <v>0</v>
      </c>
      <c r="BT128">
        <v>0</v>
      </c>
      <c r="BU128">
        <v>0</v>
      </c>
      <c r="BV128">
        <v>0</v>
      </c>
      <c r="CC128" t="str">
        <f>"18:36:31.289"</f>
        <v>18:36:31.289</v>
      </c>
      <c r="CD128" t="str">
        <f>"292664415"</f>
        <v>292664415</v>
      </c>
      <c r="CQ128">
        <v>0</v>
      </c>
      <c r="CR128">
        <v>2</v>
      </c>
      <c r="CS128">
        <v>0</v>
      </c>
      <c r="CT128">
        <v>2</v>
      </c>
      <c r="CU128">
        <v>0</v>
      </c>
      <c r="CV128">
        <v>4</v>
      </c>
      <c r="CW128" t="s">
        <v>120</v>
      </c>
      <c r="CX128">
        <v>261</v>
      </c>
      <c r="CY128">
        <v>2</v>
      </c>
      <c r="CZ128" t="s">
        <v>121</v>
      </c>
      <c r="DA128" t="s">
        <v>122</v>
      </c>
      <c r="DD128">
        <v>14311334</v>
      </c>
      <c r="DE128" t="s">
        <v>123</v>
      </c>
    </row>
    <row r="129" spans="1:109" x14ac:dyDescent="0.3">
      <c r="A129" t="str">
        <f>"18:36:32.414"</f>
        <v>18:36:32.414</v>
      </c>
      <c r="B129" t="s">
        <v>110</v>
      </c>
      <c r="C129" t="str">
        <f t="shared" si="3"/>
        <v>ffdfd3c0</v>
      </c>
      <c r="D129" t="s">
        <v>111</v>
      </c>
      <c r="E129">
        <v>18</v>
      </c>
      <c r="F129">
        <v>1018</v>
      </c>
      <c r="G129" t="s">
        <v>112</v>
      </c>
      <c r="J129" t="s">
        <v>113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R129" t="s">
        <v>114</v>
      </c>
      <c r="S129" t="str">
        <f>"18:36:32.219"</f>
        <v>18:36:32.219</v>
      </c>
      <c r="T129" t="str">
        <f>"18:36:32.016"</f>
        <v>18:36:32.016</v>
      </c>
      <c r="U129" t="str">
        <f t="shared" si="4"/>
        <v>a1cdbe</v>
      </c>
      <c r="V129">
        <v>0</v>
      </c>
      <c r="W129">
        <v>0</v>
      </c>
      <c r="X129">
        <v>1</v>
      </c>
      <c r="Y129">
        <v>0</v>
      </c>
      <c r="Z129">
        <v>0</v>
      </c>
      <c r="AB129">
        <v>0</v>
      </c>
      <c r="AC129">
        <v>9</v>
      </c>
      <c r="AD129">
        <v>3</v>
      </c>
      <c r="AE129">
        <v>0</v>
      </c>
      <c r="AF129">
        <v>9</v>
      </c>
      <c r="AG129" t="s">
        <v>158</v>
      </c>
      <c r="AH129">
        <v>0</v>
      </c>
      <c r="AI129">
        <v>3</v>
      </c>
      <c r="AJ129">
        <v>1</v>
      </c>
      <c r="AK129">
        <v>0</v>
      </c>
      <c r="AL129" t="s">
        <v>349</v>
      </c>
      <c r="AM129">
        <v>47.09281</v>
      </c>
      <c r="AN129" t="s">
        <v>350</v>
      </c>
      <c r="AO129">
        <v>-122.27354</v>
      </c>
      <c r="AP129">
        <v>100</v>
      </c>
      <c r="AQ129">
        <v>2100</v>
      </c>
      <c r="AR129" t="s">
        <v>118</v>
      </c>
      <c r="AS129">
        <v>-11</v>
      </c>
      <c r="AT129">
        <v>-79</v>
      </c>
      <c r="AU129">
        <v>0</v>
      </c>
      <c r="BC129">
        <v>1200</v>
      </c>
      <c r="BD129">
        <v>1</v>
      </c>
      <c r="BE129" t="str">
        <f t="shared" si="5"/>
        <v xml:space="preserve">N215T   </v>
      </c>
      <c r="BF129">
        <v>1</v>
      </c>
      <c r="BH129">
        <v>0</v>
      </c>
      <c r="BI129">
        <v>0</v>
      </c>
      <c r="BJ129">
        <v>0</v>
      </c>
      <c r="BK129">
        <v>2525</v>
      </c>
      <c r="BL129">
        <v>425</v>
      </c>
      <c r="BM129" t="s">
        <v>119</v>
      </c>
      <c r="BN129">
        <v>1</v>
      </c>
      <c r="BO129">
        <v>1</v>
      </c>
      <c r="BP129">
        <v>1</v>
      </c>
      <c r="BQ129">
        <v>0</v>
      </c>
      <c r="BT129">
        <v>0</v>
      </c>
      <c r="BU129">
        <v>0</v>
      </c>
      <c r="BV129">
        <v>0</v>
      </c>
      <c r="CC129" t="str">
        <f>"18:36:32.219"</f>
        <v>18:36:32.219</v>
      </c>
      <c r="CD129" t="str">
        <f>"222572934"</f>
        <v>222572934</v>
      </c>
      <c r="CQ129">
        <v>0</v>
      </c>
      <c r="CR129">
        <v>2</v>
      </c>
      <c r="CS129">
        <v>0</v>
      </c>
      <c r="CT129">
        <v>2</v>
      </c>
      <c r="CU129">
        <v>0</v>
      </c>
      <c r="CV129">
        <v>5</v>
      </c>
      <c r="CW129" t="s">
        <v>120</v>
      </c>
      <c r="CX129">
        <v>261</v>
      </c>
      <c r="CY129">
        <v>1</v>
      </c>
      <c r="CZ129" t="s">
        <v>121</v>
      </c>
      <c r="DA129" t="s">
        <v>122</v>
      </c>
      <c r="DD129">
        <v>3165466</v>
      </c>
      <c r="DE129" t="s">
        <v>123</v>
      </c>
    </row>
    <row r="130" spans="1:109" x14ac:dyDescent="0.3">
      <c r="A130" t="str">
        <f>"18:36:33.422"</f>
        <v>18:36:33.422</v>
      </c>
      <c r="B130" t="s">
        <v>110</v>
      </c>
      <c r="C130" t="str">
        <f t="shared" ref="C130:C193" si="6">"ffdfd3c0"</f>
        <v>ffdfd3c0</v>
      </c>
      <c r="D130" t="s">
        <v>111</v>
      </c>
      <c r="E130">
        <v>18</v>
      </c>
      <c r="F130">
        <v>1018</v>
      </c>
      <c r="G130" t="s">
        <v>112</v>
      </c>
      <c r="J130" t="s">
        <v>113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R130" t="s">
        <v>114</v>
      </c>
      <c r="S130" t="str">
        <f>"18:36:33.227"</f>
        <v>18:36:33.227</v>
      </c>
      <c r="T130" t="str">
        <f>"18:36:33.023"</f>
        <v>18:36:33.023</v>
      </c>
      <c r="U130" t="str">
        <f t="shared" ref="U130:U193" si="7">"a1cdbe"</f>
        <v>a1cdbe</v>
      </c>
      <c r="V130">
        <v>0</v>
      </c>
      <c r="W130">
        <v>0</v>
      </c>
      <c r="X130">
        <v>1</v>
      </c>
      <c r="Y130">
        <v>0</v>
      </c>
      <c r="Z130">
        <v>0</v>
      </c>
      <c r="AB130">
        <v>0</v>
      </c>
      <c r="AC130">
        <v>9</v>
      </c>
      <c r="AD130">
        <v>3</v>
      </c>
      <c r="AE130">
        <v>0</v>
      </c>
      <c r="AF130">
        <v>9</v>
      </c>
      <c r="AG130" t="s">
        <v>158</v>
      </c>
      <c r="AH130">
        <v>0</v>
      </c>
      <c r="AI130">
        <v>3</v>
      </c>
      <c r="AJ130">
        <v>1</v>
      </c>
      <c r="AK130">
        <v>0</v>
      </c>
      <c r="AL130" t="s">
        <v>351</v>
      </c>
      <c r="AM130">
        <v>47.092444999999998</v>
      </c>
      <c r="AN130" t="s">
        <v>352</v>
      </c>
      <c r="AO130">
        <v>-122.273583</v>
      </c>
      <c r="AP130">
        <v>100</v>
      </c>
      <c r="AQ130">
        <v>2100</v>
      </c>
      <c r="AR130" t="s">
        <v>118</v>
      </c>
      <c r="AS130">
        <v>-11</v>
      </c>
      <c r="AT130">
        <v>-80</v>
      </c>
      <c r="AU130">
        <v>-128</v>
      </c>
      <c r="BC130">
        <v>1200</v>
      </c>
      <c r="BD130">
        <v>1</v>
      </c>
      <c r="BE130" t="str">
        <f t="shared" ref="BE130:BE193" si="8">"N215T   "</f>
        <v xml:space="preserve">N215T   </v>
      </c>
      <c r="BF130">
        <v>1</v>
      </c>
      <c r="BH130">
        <v>0</v>
      </c>
      <c r="BI130">
        <v>0</v>
      </c>
      <c r="BJ130">
        <v>0</v>
      </c>
      <c r="BK130">
        <v>2525</v>
      </c>
      <c r="BL130">
        <v>425</v>
      </c>
      <c r="BM130" t="s">
        <v>119</v>
      </c>
      <c r="BN130">
        <v>1</v>
      </c>
      <c r="BO130">
        <v>1</v>
      </c>
      <c r="BP130">
        <v>1</v>
      </c>
      <c r="BQ130">
        <v>0</v>
      </c>
      <c r="BT130">
        <v>0</v>
      </c>
      <c r="BU130">
        <v>0</v>
      </c>
      <c r="BV130">
        <v>0</v>
      </c>
      <c r="CC130" t="str">
        <f>"18:36:33.227"</f>
        <v>18:36:33.227</v>
      </c>
      <c r="CD130" t="str">
        <f>"227474106"</f>
        <v>227474106</v>
      </c>
      <c r="CQ130">
        <v>0</v>
      </c>
      <c r="CR130">
        <v>2</v>
      </c>
      <c r="CS130">
        <v>0</v>
      </c>
      <c r="CT130">
        <v>2</v>
      </c>
      <c r="CU130">
        <v>0</v>
      </c>
      <c r="CV130">
        <v>5</v>
      </c>
      <c r="CW130" t="s">
        <v>120</v>
      </c>
      <c r="CX130">
        <v>261</v>
      </c>
      <c r="CY130">
        <v>1</v>
      </c>
      <c r="CZ130" t="s">
        <v>121</v>
      </c>
      <c r="DA130" t="s">
        <v>122</v>
      </c>
      <c r="DD130">
        <v>3166043</v>
      </c>
      <c r="DE130" t="s">
        <v>123</v>
      </c>
    </row>
    <row r="131" spans="1:109" x14ac:dyDescent="0.3">
      <c r="A131" t="str">
        <f>"18:36:34.477"</f>
        <v>18:36:34.477</v>
      </c>
      <c r="B131" t="s">
        <v>110</v>
      </c>
      <c r="C131" t="str">
        <f t="shared" si="6"/>
        <v>ffdfd3c0</v>
      </c>
      <c r="D131" t="s">
        <v>111</v>
      </c>
      <c r="E131">
        <v>18</v>
      </c>
      <c r="F131">
        <v>1018</v>
      </c>
      <c r="G131" t="s">
        <v>112</v>
      </c>
      <c r="J131" t="s">
        <v>113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R131" t="s">
        <v>114</v>
      </c>
      <c r="S131" t="str">
        <f>"18:36:34.227"</f>
        <v>18:36:34.227</v>
      </c>
      <c r="T131" t="str">
        <f>"18:36:33.930"</f>
        <v>18:36:33.930</v>
      </c>
      <c r="U131" t="str">
        <f t="shared" si="7"/>
        <v>a1cdbe</v>
      </c>
      <c r="V131">
        <v>0</v>
      </c>
      <c r="W131">
        <v>0</v>
      </c>
      <c r="X131">
        <v>1</v>
      </c>
      <c r="Y131">
        <v>0</v>
      </c>
      <c r="Z131">
        <v>0</v>
      </c>
      <c r="AB131">
        <v>0</v>
      </c>
      <c r="AC131">
        <v>9</v>
      </c>
      <c r="AD131">
        <v>3</v>
      </c>
      <c r="AE131">
        <v>0</v>
      </c>
      <c r="AF131">
        <v>9</v>
      </c>
      <c r="AG131" t="s">
        <v>158</v>
      </c>
      <c r="AH131">
        <v>0</v>
      </c>
      <c r="AI131">
        <v>3</v>
      </c>
      <c r="AJ131">
        <v>1</v>
      </c>
      <c r="AK131">
        <v>0</v>
      </c>
      <c r="AL131" t="s">
        <v>353</v>
      </c>
      <c r="AM131">
        <v>47.092058999999999</v>
      </c>
      <c r="AN131" t="s">
        <v>354</v>
      </c>
      <c r="AO131">
        <v>-122.273669</v>
      </c>
      <c r="AP131">
        <v>100</v>
      </c>
      <c r="AQ131">
        <v>2100</v>
      </c>
      <c r="AR131" t="s">
        <v>118</v>
      </c>
      <c r="AS131">
        <v>-11</v>
      </c>
      <c r="AT131">
        <v>-80</v>
      </c>
      <c r="AU131">
        <v>-192</v>
      </c>
      <c r="BC131">
        <v>1200</v>
      </c>
      <c r="BD131">
        <v>1</v>
      </c>
      <c r="BE131" t="str">
        <f t="shared" si="8"/>
        <v xml:space="preserve">N215T   </v>
      </c>
      <c r="BF131">
        <v>1</v>
      </c>
      <c r="BH131">
        <v>0</v>
      </c>
      <c r="BI131">
        <v>0</v>
      </c>
      <c r="BJ131">
        <v>0</v>
      </c>
      <c r="BK131">
        <v>2525</v>
      </c>
      <c r="BL131">
        <v>425</v>
      </c>
      <c r="BM131" t="s">
        <v>119</v>
      </c>
      <c r="BN131">
        <v>1</v>
      </c>
      <c r="BO131">
        <v>1</v>
      </c>
      <c r="BP131">
        <v>1</v>
      </c>
      <c r="BQ131">
        <v>0</v>
      </c>
      <c r="BT131">
        <v>0</v>
      </c>
      <c r="BU131">
        <v>0</v>
      </c>
      <c r="BV131">
        <v>0</v>
      </c>
      <c r="CC131" t="str">
        <f>"18:36:34.234"</f>
        <v>18:36:34.234</v>
      </c>
      <c r="CD131" t="str">
        <f>"232480564"</f>
        <v>232480564</v>
      </c>
      <c r="CQ131">
        <v>0</v>
      </c>
      <c r="CR131">
        <v>2</v>
      </c>
      <c r="CS131">
        <v>0</v>
      </c>
      <c r="CT131">
        <v>2</v>
      </c>
      <c r="CU131">
        <v>0</v>
      </c>
      <c r="CV131">
        <v>5</v>
      </c>
      <c r="CW131" t="s">
        <v>120</v>
      </c>
      <c r="CX131">
        <v>259</v>
      </c>
      <c r="CY131">
        <v>1</v>
      </c>
      <c r="CZ131" t="s">
        <v>197</v>
      </c>
      <c r="DA131" t="s">
        <v>198</v>
      </c>
      <c r="DD131">
        <v>14706206</v>
      </c>
      <c r="DE131" t="s">
        <v>123</v>
      </c>
    </row>
    <row r="132" spans="1:109" x14ac:dyDescent="0.3">
      <c r="A132" t="str">
        <f>"18:36:35.531"</f>
        <v>18:36:35.531</v>
      </c>
      <c r="B132" t="s">
        <v>110</v>
      </c>
      <c r="C132" t="str">
        <f t="shared" si="6"/>
        <v>ffdfd3c0</v>
      </c>
      <c r="D132" t="s">
        <v>111</v>
      </c>
      <c r="E132">
        <v>18</v>
      </c>
      <c r="F132">
        <v>1018</v>
      </c>
      <c r="G132" t="s">
        <v>112</v>
      </c>
      <c r="J132" t="s">
        <v>113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R132" t="s">
        <v>114</v>
      </c>
      <c r="S132" t="str">
        <f>"18:36:35.320"</f>
        <v>18:36:35.320</v>
      </c>
      <c r="T132" t="str">
        <f>"18:36:34.922"</f>
        <v>18:36:34.922</v>
      </c>
      <c r="U132" t="str">
        <f t="shared" si="7"/>
        <v>a1cdbe</v>
      </c>
      <c r="V132">
        <v>0</v>
      </c>
      <c r="W132">
        <v>0</v>
      </c>
      <c r="X132">
        <v>1</v>
      </c>
      <c r="Y132">
        <v>0</v>
      </c>
      <c r="Z132">
        <v>0</v>
      </c>
      <c r="AB132">
        <v>0</v>
      </c>
      <c r="AC132">
        <v>9</v>
      </c>
      <c r="AD132">
        <v>3</v>
      </c>
      <c r="AE132">
        <v>0</v>
      </c>
      <c r="AF132">
        <v>9</v>
      </c>
      <c r="AG132" t="s">
        <v>158</v>
      </c>
      <c r="AH132">
        <v>0</v>
      </c>
      <c r="AI132">
        <v>3</v>
      </c>
      <c r="AJ132">
        <v>1</v>
      </c>
      <c r="AK132">
        <v>0</v>
      </c>
      <c r="AL132" t="s">
        <v>355</v>
      </c>
      <c r="AM132">
        <v>47.091650999999999</v>
      </c>
      <c r="AN132" t="s">
        <v>356</v>
      </c>
      <c r="AO132">
        <v>-122.273712</v>
      </c>
      <c r="AP132">
        <v>100</v>
      </c>
      <c r="AQ132">
        <v>2100</v>
      </c>
      <c r="AR132" t="s">
        <v>118</v>
      </c>
      <c r="AS132">
        <v>-10</v>
      </c>
      <c r="AT132">
        <v>-81</v>
      </c>
      <c r="AU132">
        <v>-192</v>
      </c>
      <c r="BC132">
        <v>1200</v>
      </c>
      <c r="BD132">
        <v>1</v>
      </c>
      <c r="BE132" t="str">
        <f t="shared" si="8"/>
        <v xml:space="preserve">N215T   </v>
      </c>
      <c r="BF132">
        <v>1</v>
      </c>
      <c r="BH132">
        <v>0</v>
      </c>
      <c r="BI132">
        <v>0</v>
      </c>
      <c r="BJ132">
        <v>0</v>
      </c>
      <c r="BK132">
        <v>2525</v>
      </c>
      <c r="BL132">
        <v>425</v>
      </c>
      <c r="BM132" t="s">
        <v>119</v>
      </c>
      <c r="BN132">
        <v>1</v>
      </c>
      <c r="BO132">
        <v>1</v>
      </c>
      <c r="BP132">
        <v>1</v>
      </c>
      <c r="BQ132">
        <v>0</v>
      </c>
      <c r="BT132">
        <v>0</v>
      </c>
      <c r="BU132">
        <v>0</v>
      </c>
      <c r="BV132">
        <v>0</v>
      </c>
      <c r="CC132" t="str">
        <f>"18:36:35.328"</f>
        <v>18:36:35.328</v>
      </c>
      <c r="CD132" t="str">
        <f>"327372912"</f>
        <v>327372912</v>
      </c>
      <c r="CQ132">
        <v>0</v>
      </c>
      <c r="CR132">
        <v>2</v>
      </c>
      <c r="CS132">
        <v>0</v>
      </c>
      <c r="CT132">
        <v>2</v>
      </c>
      <c r="CU132">
        <v>0</v>
      </c>
      <c r="CV132">
        <v>5</v>
      </c>
      <c r="CW132" t="s">
        <v>120</v>
      </c>
      <c r="CX132">
        <v>259</v>
      </c>
      <c r="CY132">
        <v>1</v>
      </c>
      <c r="CZ132" t="s">
        <v>197</v>
      </c>
      <c r="DA132" t="s">
        <v>198</v>
      </c>
      <c r="DD132">
        <v>14706917</v>
      </c>
      <c r="DE132" t="s">
        <v>123</v>
      </c>
    </row>
    <row r="133" spans="1:109" x14ac:dyDescent="0.3">
      <c r="A133" t="str">
        <f>"18:36:36.695"</f>
        <v>18:36:36.695</v>
      </c>
      <c r="B133" t="s">
        <v>110</v>
      </c>
      <c r="C133" t="str">
        <f t="shared" si="6"/>
        <v>ffdfd3c0</v>
      </c>
      <c r="D133" t="s">
        <v>111</v>
      </c>
      <c r="E133">
        <v>18</v>
      </c>
      <c r="F133">
        <v>1018</v>
      </c>
      <c r="G133" t="s">
        <v>112</v>
      </c>
      <c r="J133" t="s">
        <v>113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R133" t="s">
        <v>114</v>
      </c>
      <c r="S133" t="str">
        <f>"18:36:36.445"</f>
        <v>18:36:36.445</v>
      </c>
      <c r="T133" t="str">
        <f>"18:36:36.445"</f>
        <v>18:36:36.445</v>
      </c>
      <c r="U133" t="str">
        <f t="shared" si="7"/>
        <v>a1cdbe</v>
      </c>
      <c r="V133">
        <v>0</v>
      </c>
      <c r="W133">
        <v>0</v>
      </c>
      <c r="X133">
        <v>1</v>
      </c>
      <c r="Y133">
        <v>0</v>
      </c>
      <c r="Z133">
        <v>0</v>
      </c>
      <c r="AB133">
        <v>0</v>
      </c>
      <c r="AC133">
        <v>9</v>
      </c>
      <c r="AD133">
        <v>3</v>
      </c>
      <c r="AE133">
        <v>0</v>
      </c>
      <c r="AF133">
        <v>9</v>
      </c>
      <c r="AG133" t="s">
        <v>158</v>
      </c>
      <c r="AH133">
        <v>0</v>
      </c>
      <c r="AI133">
        <v>3</v>
      </c>
      <c r="AJ133">
        <v>1</v>
      </c>
      <c r="AK133">
        <v>0</v>
      </c>
      <c r="AL133" t="s">
        <v>357</v>
      </c>
      <c r="AM133">
        <v>47.091200000000001</v>
      </c>
      <c r="AN133" t="s">
        <v>358</v>
      </c>
      <c r="AO133">
        <v>-122.273841</v>
      </c>
      <c r="AP133">
        <v>100</v>
      </c>
      <c r="AQ133">
        <v>2100</v>
      </c>
      <c r="AR133" t="s">
        <v>118</v>
      </c>
      <c r="AS133">
        <v>-10</v>
      </c>
      <c r="AT133">
        <v>-81</v>
      </c>
      <c r="AU133">
        <v>-192</v>
      </c>
      <c r="BC133">
        <v>1200</v>
      </c>
      <c r="BD133">
        <v>1</v>
      </c>
      <c r="BE133" t="str">
        <f t="shared" si="8"/>
        <v xml:space="preserve">N215T   </v>
      </c>
      <c r="BF133">
        <v>1</v>
      </c>
      <c r="BH133">
        <v>0</v>
      </c>
      <c r="BI133">
        <v>0</v>
      </c>
      <c r="BJ133">
        <v>0</v>
      </c>
      <c r="BK133">
        <v>2525</v>
      </c>
      <c r="BL133">
        <v>425</v>
      </c>
      <c r="BM133" t="s">
        <v>119</v>
      </c>
      <c r="BN133">
        <v>1</v>
      </c>
      <c r="BO133">
        <v>1</v>
      </c>
      <c r="BP133">
        <v>1</v>
      </c>
      <c r="BQ133">
        <v>0</v>
      </c>
      <c r="BT133">
        <v>0</v>
      </c>
      <c r="BU133">
        <v>0</v>
      </c>
      <c r="BV133">
        <v>0</v>
      </c>
      <c r="CC133" t="str">
        <f>"18:36:36.453"</f>
        <v>18:36:36.453</v>
      </c>
      <c r="CD133" t="str">
        <f>"452157007"</f>
        <v>452157007</v>
      </c>
      <c r="CQ133">
        <v>0</v>
      </c>
      <c r="CR133">
        <v>2</v>
      </c>
      <c r="CS133">
        <v>0</v>
      </c>
      <c r="CT133">
        <v>2</v>
      </c>
      <c r="CU133">
        <v>0</v>
      </c>
      <c r="CV133">
        <v>5</v>
      </c>
      <c r="CW133" t="s">
        <v>120</v>
      </c>
      <c r="CX133">
        <v>261</v>
      </c>
      <c r="CY133">
        <v>2</v>
      </c>
      <c r="CZ133" t="s">
        <v>121</v>
      </c>
      <c r="DA133" t="s">
        <v>122</v>
      </c>
      <c r="DD133">
        <v>14313846</v>
      </c>
      <c r="DE133" t="s">
        <v>123</v>
      </c>
    </row>
    <row r="134" spans="1:109" x14ac:dyDescent="0.3">
      <c r="A134" t="str">
        <f>"18:36:37.594"</f>
        <v>18:36:37.594</v>
      </c>
      <c r="B134" t="s">
        <v>110</v>
      </c>
      <c r="C134" t="str">
        <f t="shared" si="6"/>
        <v>ffdfd3c0</v>
      </c>
      <c r="D134" t="s">
        <v>111</v>
      </c>
      <c r="E134">
        <v>18</v>
      </c>
      <c r="F134">
        <v>1018</v>
      </c>
      <c r="G134" t="s">
        <v>112</v>
      </c>
      <c r="J134" t="s">
        <v>113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R134" t="s">
        <v>114</v>
      </c>
      <c r="S134" t="str">
        <f>"18:36:37.352"</f>
        <v>18:36:37.352</v>
      </c>
      <c r="T134" t="str">
        <f>"18:36:37.352"</f>
        <v>18:36:37.352</v>
      </c>
      <c r="U134" t="str">
        <f t="shared" si="7"/>
        <v>a1cdbe</v>
      </c>
      <c r="V134">
        <v>0</v>
      </c>
      <c r="W134">
        <v>0</v>
      </c>
      <c r="X134">
        <v>1</v>
      </c>
      <c r="Y134">
        <v>0</v>
      </c>
      <c r="Z134">
        <v>0</v>
      </c>
      <c r="AB134">
        <v>0</v>
      </c>
      <c r="AC134">
        <v>9</v>
      </c>
      <c r="AD134">
        <v>3</v>
      </c>
      <c r="AE134">
        <v>0</v>
      </c>
      <c r="AF134">
        <v>9</v>
      </c>
      <c r="AG134" t="s">
        <v>158</v>
      </c>
      <c r="AH134">
        <v>0</v>
      </c>
      <c r="AI134">
        <v>3</v>
      </c>
      <c r="AJ134">
        <v>1</v>
      </c>
      <c r="AK134">
        <v>0</v>
      </c>
      <c r="AL134" t="s">
        <v>359</v>
      </c>
      <c r="AM134">
        <v>47.090877999999996</v>
      </c>
      <c r="AN134" t="s">
        <v>360</v>
      </c>
      <c r="AO134">
        <v>-122.273927</v>
      </c>
      <c r="AP134">
        <v>100</v>
      </c>
      <c r="AQ134">
        <v>2100</v>
      </c>
      <c r="AR134" t="s">
        <v>118</v>
      </c>
      <c r="AS134">
        <v>-10</v>
      </c>
      <c r="AT134">
        <v>-82</v>
      </c>
      <c r="AU134">
        <v>-64</v>
      </c>
      <c r="BC134">
        <v>1200</v>
      </c>
      <c r="BD134">
        <v>1</v>
      </c>
      <c r="BE134" t="str">
        <f t="shared" si="8"/>
        <v xml:space="preserve">N215T   </v>
      </c>
      <c r="BF134">
        <v>1</v>
      </c>
      <c r="BH134">
        <v>0</v>
      </c>
      <c r="BI134">
        <v>0</v>
      </c>
      <c r="BJ134">
        <v>0</v>
      </c>
      <c r="BK134">
        <v>2500</v>
      </c>
      <c r="BL134">
        <v>400</v>
      </c>
      <c r="BM134" t="s">
        <v>119</v>
      </c>
      <c r="BN134">
        <v>1</v>
      </c>
      <c r="BO134">
        <v>1</v>
      </c>
      <c r="BP134">
        <v>1</v>
      </c>
      <c r="BQ134">
        <v>0</v>
      </c>
      <c r="BT134">
        <v>0</v>
      </c>
      <c r="BU134">
        <v>0</v>
      </c>
      <c r="BV134">
        <v>0</v>
      </c>
      <c r="CC134" t="str">
        <f>"18:36:37.352"</f>
        <v>18:36:37.352</v>
      </c>
      <c r="CD134" t="str">
        <f>"352068496"</f>
        <v>352068496</v>
      </c>
      <c r="CQ134">
        <v>0</v>
      </c>
      <c r="CR134">
        <v>2</v>
      </c>
      <c r="CS134">
        <v>0</v>
      </c>
      <c r="CT134">
        <v>2</v>
      </c>
      <c r="CU134">
        <v>0</v>
      </c>
      <c r="CV134">
        <v>5</v>
      </c>
      <c r="CW134" t="s">
        <v>120</v>
      </c>
      <c r="CX134">
        <v>261</v>
      </c>
      <c r="CY134">
        <v>1</v>
      </c>
      <c r="CZ134" t="s">
        <v>121</v>
      </c>
      <c r="DA134" t="s">
        <v>122</v>
      </c>
      <c r="DD134">
        <v>3168389</v>
      </c>
      <c r="DE134" t="s">
        <v>123</v>
      </c>
    </row>
    <row r="135" spans="1:109" x14ac:dyDescent="0.3">
      <c r="A135" t="str">
        <f>"18:36:38.602"</f>
        <v>18:36:38.602</v>
      </c>
      <c r="B135" t="s">
        <v>110</v>
      </c>
      <c r="C135" t="str">
        <f t="shared" si="6"/>
        <v>ffdfd3c0</v>
      </c>
      <c r="D135" t="s">
        <v>111</v>
      </c>
      <c r="E135">
        <v>18</v>
      </c>
      <c r="F135">
        <v>1018</v>
      </c>
      <c r="G135" t="s">
        <v>112</v>
      </c>
      <c r="J135" t="s">
        <v>113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R135" t="s">
        <v>114</v>
      </c>
      <c r="S135" t="str">
        <f>"18:36:38.352"</f>
        <v>18:36:38.352</v>
      </c>
      <c r="T135" t="str">
        <f>"18:36:38.250"</f>
        <v>18:36:38.250</v>
      </c>
      <c r="U135" t="str">
        <f t="shared" si="7"/>
        <v>a1cdbe</v>
      </c>
      <c r="V135">
        <v>0</v>
      </c>
      <c r="W135">
        <v>0</v>
      </c>
      <c r="X135">
        <v>1</v>
      </c>
      <c r="Y135">
        <v>0</v>
      </c>
      <c r="Z135">
        <v>0</v>
      </c>
      <c r="AB135">
        <v>0</v>
      </c>
      <c r="AC135">
        <v>9</v>
      </c>
      <c r="AD135">
        <v>3</v>
      </c>
      <c r="AE135">
        <v>0</v>
      </c>
      <c r="AF135">
        <v>9</v>
      </c>
      <c r="AG135" t="s">
        <v>158</v>
      </c>
      <c r="AH135">
        <v>0</v>
      </c>
      <c r="AI135">
        <v>3</v>
      </c>
      <c r="AJ135">
        <v>1</v>
      </c>
      <c r="AK135">
        <v>0</v>
      </c>
      <c r="AL135" t="s">
        <v>361</v>
      </c>
      <c r="AM135">
        <v>47.090471000000001</v>
      </c>
      <c r="AN135" t="s">
        <v>362</v>
      </c>
      <c r="AO135">
        <v>-122.273948</v>
      </c>
      <c r="AP135">
        <v>100</v>
      </c>
      <c r="AQ135">
        <v>2100</v>
      </c>
      <c r="AR135" t="s">
        <v>118</v>
      </c>
      <c r="AS135">
        <v>-10</v>
      </c>
      <c r="AT135">
        <v>-82</v>
      </c>
      <c r="AU135">
        <v>0</v>
      </c>
      <c r="BC135">
        <v>1200</v>
      </c>
      <c r="BD135">
        <v>1</v>
      </c>
      <c r="BE135" t="str">
        <f t="shared" si="8"/>
        <v xml:space="preserve">N215T   </v>
      </c>
      <c r="BF135">
        <v>1</v>
      </c>
      <c r="BH135">
        <v>0</v>
      </c>
      <c r="BI135">
        <v>0</v>
      </c>
      <c r="BJ135">
        <v>0</v>
      </c>
      <c r="BK135">
        <v>2500</v>
      </c>
      <c r="BL135">
        <v>400</v>
      </c>
      <c r="BM135" t="s">
        <v>119</v>
      </c>
      <c r="BN135">
        <v>1</v>
      </c>
      <c r="BO135">
        <v>1</v>
      </c>
      <c r="BP135">
        <v>1</v>
      </c>
      <c r="BQ135">
        <v>0</v>
      </c>
      <c r="BT135">
        <v>0</v>
      </c>
      <c r="BU135">
        <v>0</v>
      </c>
      <c r="BV135">
        <v>0</v>
      </c>
      <c r="CC135" t="str">
        <f>"18:36:38.359"</f>
        <v>18:36:38.359</v>
      </c>
      <c r="CD135" t="str">
        <f>"356969668"</f>
        <v>356969668</v>
      </c>
      <c r="CQ135">
        <v>0</v>
      </c>
      <c r="CR135">
        <v>2</v>
      </c>
      <c r="CS135">
        <v>0</v>
      </c>
      <c r="CT135">
        <v>2</v>
      </c>
      <c r="CU135">
        <v>0</v>
      </c>
      <c r="CV135">
        <v>4</v>
      </c>
      <c r="CW135" t="s">
        <v>120</v>
      </c>
      <c r="CX135">
        <v>261</v>
      </c>
      <c r="CY135">
        <v>1</v>
      </c>
      <c r="CZ135" t="s">
        <v>121</v>
      </c>
      <c r="DA135" t="s">
        <v>122</v>
      </c>
      <c r="DD135">
        <v>3168977</v>
      </c>
      <c r="DE135" t="s">
        <v>123</v>
      </c>
    </row>
    <row r="136" spans="1:109" x14ac:dyDescent="0.3">
      <c r="A136" t="str">
        <f>"18:36:39.656"</f>
        <v>18:36:39.656</v>
      </c>
      <c r="B136" t="s">
        <v>110</v>
      </c>
      <c r="C136" t="str">
        <f t="shared" si="6"/>
        <v>ffdfd3c0</v>
      </c>
      <c r="D136" t="s">
        <v>111</v>
      </c>
      <c r="E136">
        <v>18</v>
      </c>
      <c r="F136">
        <v>1018</v>
      </c>
      <c r="G136" t="s">
        <v>112</v>
      </c>
      <c r="J136" t="s">
        <v>113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R136" t="s">
        <v>114</v>
      </c>
      <c r="S136" t="str">
        <f>"18:36:39.422"</f>
        <v>18:36:39.422</v>
      </c>
      <c r="T136" t="str">
        <f>"18:36:39.422"</f>
        <v>18:36:39.422</v>
      </c>
      <c r="U136" t="str">
        <f t="shared" si="7"/>
        <v>a1cdbe</v>
      </c>
      <c r="V136">
        <v>0</v>
      </c>
      <c r="W136">
        <v>0</v>
      </c>
      <c r="X136">
        <v>1</v>
      </c>
      <c r="Y136">
        <v>0</v>
      </c>
      <c r="Z136">
        <v>0</v>
      </c>
      <c r="AB136">
        <v>0</v>
      </c>
      <c r="AC136">
        <v>9</v>
      </c>
      <c r="AD136">
        <v>3</v>
      </c>
      <c r="AE136">
        <v>0</v>
      </c>
      <c r="AF136">
        <v>9</v>
      </c>
      <c r="AG136" t="s">
        <v>158</v>
      </c>
      <c r="AH136">
        <v>0</v>
      </c>
      <c r="AI136">
        <v>3</v>
      </c>
      <c r="AJ136">
        <v>1</v>
      </c>
      <c r="AK136">
        <v>0</v>
      </c>
      <c r="AL136" t="s">
        <v>363</v>
      </c>
      <c r="AM136">
        <v>47.090105999999999</v>
      </c>
      <c r="AN136" t="s">
        <v>364</v>
      </c>
      <c r="AO136">
        <v>-122.274034</v>
      </c>
      <c r="AP136">
        <v>100</v>
      </c>
      <c r="AQ136">
        <v>2100</v>
      </c>
      <c r="AR136" t="s">
        <v>118</v>
      </c>
      <c r="AS136">
        <v>-11</v>
      </c>
      <c r="AT136">
        <v>-82</v>
      </c>
      <c r="AU136">
        <v>-64</v>
      </c>
      <c r="BC136">
        <v>1200</v>
      </c>
      <c r="BD136">
        <v>1</v>
      </c>
      <c r="BE136" t="str">
        <f t="shared" si="8"/>
        <v xml:space="preserve">N215T   </v>
      </c>
      <c r="BF136">
        <v>1</v>
      </c>
      <c r="BH136">
        <v>0</v>
      </c>
      <c r="BI136">
        <v>0</v>
      </c>
      <c r="BJ136">
        <v>0</v>
      </c>
      <c r="BK136">
        <v>2500</v>
      </c>
      <c r="BL136">
        <v>400</v>
      </c>
      <c r="BM136" t="s">
        <v>119</v>
      </c>
      <c r="BN136">
        <v>1</v>
      </c>
      <c r="BO136">
        <v>1</v>
      </c>
      <c r="BP136">
        <v>1</v>
      </c>
      <c r="BQ136">
        <v>0</v>
      </c>
      <c r="BT136">
        <v>0</v>
      </c>
      <c r="BU136">
        <v>0</v>
      </c>
      <c r="BV136">
        <v>0</v>
      </c>
      <c r="CC136" t="str">
        <f>"18:36:39.422"</f>
        <v>18:36:39.422</v>
      </c>
      <c r="CD136" t="str">
        <f>"421970408"</f>
        <v>421970408</v>
      </c>
      <c r="CQ136">
        <v>0</v>
      </c>
      <c r="CR136">
        <v>2</v>
      </c>
      <c r="CS136">
        <v>0</v>
      </c>
      <c r="CT136">
        <v>2</v>
      </c>
      <c r="CU136">
        <v>0</v>
      </c>
      <c r="CV136">
        <v>5</v>
      </c>
      <c r="CW136" t="s">
        <v>120</v>
      </c>
      <c r="CX136">
        <v>259</v>
      </c>
      <c r="CY136">
        <v>1</v>
      </c>
      <c r="CZ136" t="s">
        <v>197</v>
      </c>
      <c r="DA136" t="s">
        <v>198</v>
      </c>
      <c r="DD136">
        <v>14709710</v>
      </c>
      <c r="DE136" t="s">
        <v>123</v>
      </c>
    </row>
    <row r="137" spans="1:109" x14ac:dyDescent="0.3">
      <c r="A137" t="str">
        <f>"18:36:40.664"</f>
        <v>18:36:40.664</v>
      </c>
      <c r="B137" t="s">
        <v>110</v>
      </c>
      <c r="C137" t="str">
        <f t="shared" si="6"/>
        <v>ffdfd3c0</v>
      </c>
      <c r="D137" t="s">
        <v>111</v>
      </c>
      <c r="E137">
        <v>18</v>
      </c>
      <c r="F137">
        <v>1018</v>
      </c>
      <c r="G137" t="s">
        <v>112</v>
      </c>
      <c r="J137" t="s">
        <v>113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R137" t="s">
        <v>114</v>
      </c>
      <c r="S137" t="str">
        <f>"18:36:40.422"</f>
        <v>18:36:40.422</v>
      </c>
      <c r="T137" t="str">
        <f>"18:36:40.320"</f>
        <v>18:36:40.320</v>
      </c>
      <c r="U137" t="str">
        <f t="shared" si="7"/>
        <v>a1cdbe</v>
      </c>
      <c r="V137">
        <v>0</v>
      </c>
      <c r="W137">
        <v>0</v>
      </c>
      <c r="X137">
        <v>1</v>
      </c>
      <c r="Y137">
        <v>0</v>
      </c>
      <c r="Z137">
        <v>0</v>
      </c>
      <c r="AB137">
        <v>0</v>
      </c>
      <c r="AC137">
        <v>9</v>
      </c>
      <c r="AD137">
        <v>3</v>
      </c>
      <c r="AE137">
        <v>0</v>
      </c>
      <c r="AF137">
        <v>9</v>
      </c>
      <c r="AG137" t="s">
        <v>158</v>
      </c>
      <c r="AH137">
        <v>0</v>
      </c>
      <c r="AI137">
        <v>3</v>
      </c>
      <c r="AJ137">
        <v>1</v>
      </c>
      <c r="AK137">
        <v>0</v>
      </c>
      <c r="AL137" t="s">
        <v>365</v>
      </c>
      <c r="AM137">
        <v>47.089697999999999</v>
      </c>
      <c r="AN137" t="s">
        <v>243</v>
      </c>
      <c r="AO137">
        <v>-122.27412</v>
      </c>
      <c r="AP137">
        <v>100</v>
      </c>
      <c r="AQ137">
        <v>2100</v>
      </c>
      <c r="AR137" t="s">
        <v>118</v>
      </c>
      <c r="AS137">
        <v>-11</v>
      </c>
      <c r="AT137">
        <v>-82</v>
      </c>
      <c r="AU137">
        <v>-128</v>
      </c>
      <c r="BC137">
        <v>1200</v>
      </c>
      <c r="BD137">
        <v>1</v>
      </c>
      <c r="BE137" t="str">
        <f t="shared" si="8"/>
        <v xml:space="preserve">N215T   </v>
      </c>
      <c r="BF137">
        <v>1</v>
      </c>
      <c r="BH137">
        <v>0</v>
      </c>
      <c r="BI137">
        <v>0</v>
      </c>
      <c r="BJ137">
        <v>0</v>
      </c>
      <c r="BK137">
        <v>2500</v>
      </c>
      <c r="BL137">
        <v>400</v>
      </c>
      <c r="BM137" t="s">
        <v>119</v>
      </c>
      <c r="BN137">
        <v>1</v>
      </c>
      <c r="BO137">
        <v>1</v>
      </c>
      <c r="BP137">
        <v>1</v>
      </c>
      <c r="BQ137">
        <v>0</v>
      </c>
      <c r="BT137">
        <v>0</v>
      </c>
      <c r="BU137">
        <v>0</v>
      </c>
      <c r="BV137">
        <v>0</v>
      </c>
      <c r="CC137" t="str">
        <f>"18:36:40.430"</f>
        <v>18:36:40.430</v>
      </c>
      <c r="CD137" t="str">
        <f>"426871649"</f>
        <v>426871649</v>
      </c>
      <c r="CQ137">
        <v>0</v>
      </c>
      <c r="CR137">
        <v>2</v>
      </c>
      <c r="CS137">
        <v>0</v>
      </c>
      <c r="CT137">
        <v>2</v>
      </c>
      <c r="CU137">
        <v>0</v>
      </c>
      <c r="CV137">
        <v>5</v>
      </c>
      <c r="CW137" t="s">
        <v>120</v>
      </c>
      <c r="CX137">
        <v>259</v>
      </c>
      <c r="CY137">
        <v>1</v>
      </c>
      <c r="CZ137" t="s">
        <v>197</v>
      </c>
      <c r="DA137" t="s">
        <v>198</v>
      </c>
      <c r="DD137">
        <v>14710380</v>
      </c>
      <c r="DE137" t="s">
        <v>123</v>
      </c>
    </row>
    <row r="138" spans="1:109" x14ac:dyDescent="0.3">
      <c r="A138" t="str">
        <f>"18:36:41.766"</f>
        <v>18:36:41.766</v>
      </c>
      <c r="B138" t="s">
        <v>110</v>
      </c>
      <c r="C138" t="str">
        <f t="shared" si="6"/>
        <v>ffdfd3c0</v>
      </c>
      <c r="D138" t="s">
        <v>111</v>
      </c>
      <c r="E138">
        <v>18</v>
      </c>
      <c r="F138">
        <v>1018</v>
      </c>
      <c r="G138" t="s">
        <v>112</v>
      </c>
      <c r="J138" t="s">
        <v>113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R138" t="s">
        <v>114</v>
      </c>
      <c r="S138" t="str">
        <f>"18:36:41.500"</f>
        <v>18:36:41.500</v>
      </c>
      <c r="T138" t="str">
        <f>"18:36:41.297"</f>
        <v>18:36:41.297</v>
      </c>
      <c r="U138" t="str">
        <f t="shared" si="7"/>
        <v>a1cdbe</v>
      </c>
      <c r="V138">
        <v>0</v>
      </c>
      <c r="W138">
        <v>0</v>
      </c>
      <c r="X138">
        <v>1</v>
      </c>
      <c r="Y138">
        <v>0</v>
      </c>
      <c r="Z138">
        <v>0</v>
      </c>
      <c r="AB138">
        <v>0</v>
      </c>
      <c r="AC138">
        <v>9</v>
      </c>
      <c r="AD138">
        <v>3</v>
      </c>
      <c r="AE138">
        <v>0</v>
      </c>
      <c r="AF138">
        <v>9</v>
      </c>
      <c r="AG138" t="s">
        <v>158</v>
      </c>
      <c r="AH138">
        <v>0</v>
      </c>
      <c r="AI138">
        <v>3</v>
      </c>
      <c r="AJ138">
        <v>1</v>
      </c>
      <c r="AK138">
        <v>0</v>
      </c>
      <c r="AL138" t="s">
        <v>366</v>
      </c>
      <c r="AM138">
        <v>47.089312</v>
      </c>
      <c r="AN138" t="s">
        <v>367</v>
      </c>
      <c r="AO138">
        <v>-122.274163</v>
      </c>
      <c r="AP138">
        <v>100</v>
      </c>
      <c r="AQ138">
        <v>2100</v>
      </c>
      <c r="AR138" t="s">
        <v>118</v>
      </c>
      <c r="AS138">
        <v>-12</v>
      </c>
      <c r="AT138">
        <v>-82</v>
      </c>
      <c r="AU138">
        <v>-128</v>
      </c>
      <c r="BC138">
        <v>1200</v>
      </c>
      <c r="BD138">
        <v>1</v>
      </c>
      <c r="BE138" t="str">
        <f t="shared" si="8"/>
        <v xml:space="preserve">N215T   </v>
      </c>
      <c r="BF138">
        <v>1</v>
      </c>
      <c r="BH138">
        <v>0</v>
      </c>
      <c r="BI138">
        <v>0</v>
      </c>
      <c r="BJ138">
        <v>0</v>
      </c>
      <c r="BK138">
        <v>2500</v>
      </c>
      <c r="BL138">
        <v>400</v>
      </c>
      <c r="BM138" t="s">
        <v>119</v>
      </c>
      <c r="BN138">
        <v>1</v>
      </c>
      <c r="BO138">
        <v>1</v>
      </c>
      <c r="BP138">
        <v>1</v>
      </c>
      <c r="BQ138">
        <v>0</v>
      </c>
      <c r="BT138">
        <v>0</v>
      </c>
      <c r="BU138">
        <v>0</v>
      </c>
      <c r="BV138">
        <v>0</v>
      </c>
      <c r="CC138" t="str">
        <f>"18:36:41.508"</f>
        <v>18:36:41.508</v>
      </c>
      <c r="CD138" t="str">
        <f>"506765486"</f>
        <v>506765486</v>
      </c>
      <c r="CQ138">
        <v>0</v>
      </c>
      <c r="CR138">
        <v>2</v>
      </c>
      <c r="CS138">
        <v>0</v>
      </c>
      <c r="CT138">
        <v>2</v>
      </c>
      <c r="CU138">
        <v>0</v>
      </c>
      <c r="CV138">
        <v>5</v>
      </c>
      <c r="CW138" t="s">
        <v>120</v>
      </c>
      <c r="CX138">
        <v>259</v>
      </c>
      <c r="CY138">
        <v>1</v>
      </c>
      <c r="CZ138" t="s">
        <v>197</v>
      </c>
      <c r="DA138" t="s">
        <v>198</v>
      </c>
      <c r="DD138">
        <v>14711079</v>
      </c>
      <c r="DE138" t="s">
        <v>123</v>
      </c>
    </row>
    <row r="139" spans="1:109" x14ac:dyDescent="0.3">
      <c r="A139" t="str">
        <f>"18:36:43.078"</f>
        <v>18:36:43.078</v>
      </c>
      <c r="B139" t="s">
        <v>110</v>
      </c>
      <c r="C139" t="str">
        <f t="shared" si="6"/>
        <v>ffdfd3c0</v>
      </c>
      <c r="D139" t="s">
        <v>111</v>
      </c>
      <c r="E139">
        <v>18</v>
      </c>
      <c r="F139">
        <v>1018</v>
      </c>
      <c r="G139" t="s">
        <v>112</v>
      </c>
      <c r="J139" t="s">
        <v>113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R139" t="s">
        <v>114</v>
      </c>
      <c r="S139" t="str">
        <f>"18:36:42.852"</f>
        <v>18:36:42.852</v>
      </c>
      <c r="T139" t="str">
        <f>"18:36:42.852"</f>
        <v>18:36:42.852</v>
      </c>
      <c r="U139" t="str">
        <f t="shared" si="7"/>
        <v>a1cdbe</v>
      </c>
      <c r="V139">
        <v>0</v>
      </c>
      <c r="W139">
        <v>0</v>
      </c>
      <c r="X139">
        <v>1</v>
      </c>
      <c r="Y139">
        <v>0</v>
      </c>
      <c r="Z139">
        <v>0</v>
      </c>
      <c r="AB139">
        <v>0</v>
      </c>
      <c r="AC139">
        <v>9</v>
      </c>
      <c r="AD139">
        <v>3</v>
      </c>
      <c r="AE139">
        <v>0</v>
      </c>
      <c r="AF139">
        <v>9</v>
      </c>
      <c r="AG139" t="s">
        <v>158</v>
      </c>
      <c r="AH139">
        <v>0</v>
      </c>
      <c r="AI139">
        <v>3</v>
      </c>
      <c r="AJ139">
        <v>1</v>
      </c>
      <c r="AK139">
        <v>0</v>
      </c>
      <c r="AL139" t="s">
        <v>368</v>
      </c>
      <c r="AM139">
        <v>47.088776000000003</v>
      </c>
      <c r="AN139" t="s">
        <v>369</v>
      </c>
      <c r="AO139">
        <v>-122.274334</v>
      </c>
      <c r="AP139">
        <v>100</v>
      </c>
      <c r="AQ139">
        <v>2100</v>
      </c>
      <c r="AR139" t="s">
        <v>118</v>
      </c>
      <c r="AS139">
        <v>-12</v>
      </c>
      <c r="AT139">
        <v>-82</v>
      </c>
      <c r="AU139">
        <v>-128</v>
      </c>
      <c r="BC139">
        <v>1200</v>
      </c>
      <c r="BD139">
        <v>1</v>
      </c>
      <c r="BE139" t="str">
        <f t="shared" si="8"/>
        <v xml:space="preserve">N215T   </v>
      </c>
      <c r="BF139">
        <v>1</v>
      </c>
      <c r="BH139">
        <v>0</v>
      </c>
      <c r="BI139">
        <v>0</v>
      </c>
      <c r="BJ139">
        <v>0</v>
      </c>
      <c r="BK139">
        <v>2500</v>
      </c>
      <c r="BL139">
        <v>400</v>
      </c>
      <c r="BM139" t="s">
        <v>119</v>
      </c>
      <c r="BN139">
        <v>1</v>
      </c>
      <c r="BO139">
        <v>1</v>
      </c>
      <c r="BP139">
        <v>1</v>
      </c>
      <c r="BQ139">
        <v>0</v>
      </c>
      <c r="BT139">
        <v>0</v>
      </c>
      <c r="BU139">
        <v>0</v>
      </c>
      <c r="BV139">
        <v>0</v>
      </c>
      <c r="CC139" t="str">
        <f>"18:36:42.859"</f>
        <v>18:36:42.859</v>
      </c>
      <c r="CD139" t="str">
        <f>"856632792"</f>
        <v>856632792</v>
      </c>
      <c r="CQ139">
        <v>0</v>
      </c>
      <c r="CR139">
        <v>2</v>
      </c>
      <c r="CS139">
        <v>0</v>
      </c>
      <c r="CT139">
        <v>2</v>
      </c>
      <c r="CU139">
        <v>0</v>
      </c>
      <c r="CV139">
        <v>5</v>
      </c>
      <c r="CW139" t="s">
        <v>120</v>
      </c>
      <c r="CX139">
        <v>259</v>
      </c>
      <c r="CY139">
        <v>1</v>
      </c>
      <c r="CZ139" t="s">
        <v>197</v>
      </c>
      <c r="DA139" t="s">
        <v>198</v>
      </c>
      <c r="DD139">
        <v>14712064</v>
      </c>
      <c r="DE139" t="s">
        <v>123</v>
      </c>
    </row>
    <row r="140" spans="1:109" x14ac:dyDescent="0.3">
      <c r="A140" t="str">
        <f>"18:36:44.180"</f>
        <v>18:36:44.180</v>
      </c>
      <c r="B140" t="s">
        <v>110</v>
      </c>
      <c r="C140" t="str">
        <f t="shared" si="6"/>
        <v>ffdfd3c0</v>
      </c>
      <c r="D140" t="s">
        <v>111</v>
      </c>
      <c r="E140">
        <v>18</v>
      </c>
      <c r="F140">
        <v>1018</v>
      </c>
      <c r="G140" t="s">
        <v>112</v>
      </c>
      <c r="J140" t="s">
        <v>113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R140" t="s">
        <v>114</v>
      </c>
      <c r="S140" t="str">
        <f>"18:36:43.930"</f>
        <v>18:36:43.930</v>
      </c>
      <c r="T140" t="str">
        <f>"18:36:43.430"</f>
        <v>18:36:43.430</v>
      </c>
      <c r="U140" t="str">
        <f t="shared" si="7"/>
        <v>a1cdbe</v>
      </c>
      <c r="V140">
        <v>0</v>
      </c>
      <c r="W140">
        <v>0</v>
      </c>
      <c r="X140">
        <v>1</v>
      </c>
      <c r="Y140">
        <v>0</v>
      </c>
      <c r="Z140">
        <v>0</v>
      </c>
      <c r="AB140">
        <v>0</v>
      </c>
      <c r="AC140">
        <v>9</v>
      </c>
      <c r="AD140">
        <v>3</v>
      </c>
      <c r="AE140">
        <v>0</v>
      </c>
      <c r="AF140">
        <v>9</v>
      </c>
      <c r="AG140" t="s">
        <v>158</v>
      </c>
      <c r="AH140">
        <v>0</v>
      </c>
      <c r="AI140">
        <v>3</v>
      </c>
      <c r="AJ140">
        <v>1</v>
      </c>
      <c r="AK140">
        <v>0</v>
      </c>
      <c r="AL140" t="s">
        <v>370</v>
      </c>
      <c r="AM140">
        <v>47.088388999999999</v>
      </c>
      <c r="AN140" t="s">
        <v>371</v>
      </c>
      <c r="AO140">
        <v>-122.274377</v>
      </c>
      <c r="AP140">
        <v>100</v>
      </c>
      <c r="AQ140">
        <v>2100</v>
      </c>
      <c r="AR140" t="s">
        <v>118</v>
      </c>
      <c r="AS140">
        <v>-13</v>
      </c>
      <c r="AT140">
        <v>-82</v>
      </c>
      <c r="AU140">
        <v>-192</v>
      </c>
      <c r="BC140">
        <v>1200</v>
      </c>
      <c r="BD140">
        <v>1</v>
      </c>
      <c r="BE140" t="str">
        <f t="shared" si="8"/>
        <v xml:space="preserve">N215T   </v>
      </c>
      <c r="BF140">
        <v>1</v>
      </c>
      <c r="BH140">
        <v>0</v>
      </c>
      <c r="BI140">
        <v>0</v>
      </c>
      <c r="BJ140">
        <v>0</v>
      </c>
      <c r="BK140">
        <v>2500</v>
      </c>
      <c r="BL140">
        <v>400</v>
      </c>
      <c r="BM140" t="s">
        <v>119</v>
      </c>
      <c r="BN140">
        <v>1</v>
      </c>
      <c r="BO140">
        <v>1</v>
      </c>
      <c r="BP140">
        <v>1</v>
      </c>
      <c r="BQ140">
        <v>0</v>
      </c>
      <c r="BT140">
        <v>0</v>
      </c>
      <c r="BU140">
        <v>0</v>
      </c>
      <c r="BV140">
        <v>0</v>
      </c>
      <c r="CC140" t="str">
        <f>"18:36:43.938"</f>
        <v>18:36:43.938</v>
      </c>
      <c r="CD140" t="str">
        <f>"936526655"</f>
        <v>936526655</v>
      </c>
      <c r="CQ140">
        <v>0</v>
      </c>
      <c r="CR140">
        <v>2</v>
      </c>
      <c r="CS140">
        <v>0</v>
      </c>
      <c r="CT140">
        <v>2</v>
      </c>
      <c r="CU140">
        <v>0</v>
      </c>
      <c r="CV140">
        <v>4</v>
      </c>
      <c r="CW140" t="s">
        <v>120</v>
      </c>
      <c r="CX140">
        <v>259</v>
      </c>
      <c r="CY140">
        <v>1</v>
      </c>
      <c r="CZ140" t="s">
        <v>197</v>
      </c>
      <c r="DA140" t="s">
        <v>198</v>
      </c>
      <c r="DD140">
        <v>14712827</v>
      </c>
      <c r="DE140" t="s">
        <v>123</v>
      </c>
    </row>
    <row r="141" spans="1:109" x14ac:dyDescent="0.3">
      <c r="A141" t="str">
        <f>"18:36:45.289"</f>
        <v>18:36:45.289</v>
      </c>
      <c r="B141" t="s">
        <v>110</v>
      </c>
      <c r="C141" t="str">
        <f t="shared" si="6"/>
        <v>ffdfd3c0</v>
      </c>
      <c r="D141" t="s">
        <v>111</v>
      </c>
      <c r="E141">
        <v>18</v>
      </c>
      <c r="F141">
        <v>1018</v>
      </c>
      <c r="G141" t="s">
        <v>112</v>
      </c>
      <c r="J141" t="s">
        <v>113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R141" t="s">
        <v>114</v>
      </c>
      <c r="S141" t="str">
        <f>"18:36:45.086"</f>
        <v>18:36:45.086</v>
      </c>
      <c r="T141" t="str">
        <f>"18:36:44.984"</f>
        <v>18:36:44.984</v>
      </c>
      <c r="U141" t="str">
        <f t="shared" si="7"/>
        <v>a1cdbe</v>
      </c>
      <c r="V141">
        <v>0</v>
      </c>
      <c r="W141">
        <v>0</v>
      </c>
      <c r="X141">
        <v>1</v>
      </c>
      <c r="Y141">
        <v>0</v>
      </c>
      <c r="Z141">
        <v>0</v>
      </c>
      <c r="AB141">
        <v>0</v>
      </c>
      <c r="AC141">
        <v>9</v>
      </c>
      <c r="AD141">
        <v>3</v>
      </c>
      <c r="AE141">
        <v>0</v>
      </c>
      <c r="AF141">
        <v>9</v>
      </c>
      <c r="AG141" t="s">
        <v>158</v>
      </c>
      <c r="AH141">
        <v>0</v>
      </c>
      <c r="AI141">
        <v>3</v>
      </c>
      <c r="AJ141">
        <v>1</v>
      </c>
      <c r="AK141">
        <v>0</v>
      </c>
      <c r="AL141" t="s">
        <v>372</v>
      </c>
      <c r="AM141">
        <v>47.087916999999997</v>
      </c>
      <c r="AN141" t="s">
        <v>373</v>
      </c>
      <c r="AO141">
        <v>-122.274528</v>
      </c>
      <c r="AP141">
        <v>100</v>
      </c>
      <c r="AQ141">
        <v>2100</v>
      </c>
      <c r="AR141" t="s">
        <v>118</v>
      </c>
      <c r="AS141">
        <v>-15</v>
      </c>
      <c r="AT141">
        <v>-82</v>
      </c>
      <c r="AU141">
        <v>-192</v>
      </c>
      <c r="BC141">
        <v>1200</v>
      </c>
      <c r="BD141">
        <v>1</v>
      </c>
      <c r="BE141" t="str">
        <f t="shared" si="8"/>
        <v xml:space="preserve">N215T   </v>
      </c>
      <c r="BF141">
        <v>1</v>
      </c>
      <c r="BH141">
        <v>0</v>
      </c>
      <c r="BI141">
        <v>0</v>
      </c>
      <c r="BJ141">
        <v>0</v>
      </c>
      <c r="BK141">
        <v>2500</v>
      </c>
      <c r="BL141">
        <v>400</v>
      </c>
      <c r="BM141" t="s">
        <v>119</v>
      </c>
      <c r="BN141">
        <v>1</v>
      </c>
      <c r="BO141">
        <v>1</v>
      </c>
      <c r="BP141">
        <v>1</v>
      </c>
      <c r="BQ141">
        <v>0</v>
      </c>
      <c r="BT141">
        <v>0</v>
      </c>
      <c r="BU141">
        <v>0</v>
      </c>
      <c r="BV141">
        <v>0</v>
      </c>
      <c r="CC141" t="str">
        <f>"18:36:45.094"</f>
        <v>18:36:45.094</v>
      </c>
      <c r="CD141" t="str">
        <f>"091307404"</f>
        <v>091307404</v>
      </c>
      <c r="CQ141">
        <v>0</v>
      </c>
      <c r="CR141">
        <v>2</v>
      </c>
      <c r="CS141">
        <v>0</v>
      </c>
      <c r="CT141">
        <v>2</v>
      </c>
      <c r="CU141">
        <v>0</v>
      </c>
      <c r="CV141">
        <v>5</v>
      </c>
      <c r="CW141" t="s">
        <v>120</v>
      </c>
      <c r="CX141">
        <v>261</v>
      </c>
      <c r="CY141">
        <v>1</v>
      </c>
      <c r="CZ141" t="s">
        <v>121</v>
      </c>
      <c r="DA141" t="s">
        <v>122</v>
      </c>
      <c r="DD141">
        <v>3172844</v>
      </c>
      <c r="DE141" t="s">
        <v>123</v>
      </c>
    </row>
    <row r="142" spans="1:109" x14ac:dyDescent="0.3">
      <c r="A142" t="str">
        <f>"18:36:46.297"</f>
        <v>18:36:46.297</v>
      </c>
      <c r="B142" t="s">
        <v>110</v>
      </c>
      <c r="C142" t="str">
        <f t="shared" si="6"/>
        <v>ffdfd3c0</v>
      </c>
      <c r="D142" t="s">
        <v>111</v>
      </c>
      <c r="E142">
        <v>18</v>
      </c>
      <c r="F142">
        <v>1018</v>
      </c>
      <c r="G142" t="s">
        <v>112</v>
      </c>
      <c r="J142" t="s">
        <v>113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R142" t="s">
        <v>114</v>
      </c>
      <c r="S142" t="str">
        <f>"18:36:46.063"</f>
        <v>18:36:46.063</v>
      </c>
      <c r="T142" t="str">
        <f>"18:36:45.461"</f>
        <v>18:36:45.461</v>
      </c>
      <c r="U142" t="str">
        <f t="shared" si="7"/>
        <v>a1cdbe</v>
      </c>
      <c r="V142">
        <v>0</v>
      </c>
      <c r="W142">
        <v>0</v>
      </c>
      <c r="X142">
        <v>1</v>
      </c>
      <c r="Y142">
        <v>0</v>
      </c>
      <c r="Z142">
        <v>0</v>
      </c>
      <c r="AB142">
        <v>0</v>
      </c>
      <c r="AC142">
        <v>9</v>
      </c>
      <c r="AD142">
        <v>3</v>
      </c>
      <c r="AE142">
        <v>0</v>
      </c>
      <c r="AF142">
        <v>9</v>
      </c>
      <c r="AG142" t="s">
        <v>158</v>
      </c>
      <c r="AH142">
        <v>0</v>
      </c>
      <c r="AI142">
        <v>3</v>
      </c>
      <c r="AJ142">
        <v>1</v>
      </c>
      <c r="AK142">
        <v>0</v>
      </c>
      <c r="AL142" t="s">
        <v>374</v>
      </c>
      <c r="AM142">
        <v>47.087530999999998</v>
      </c>
      <c r="AN142" t="s">
        <v>375</v>
      </c>
      <c r="AO142">
        <v>-122.274613</v>
      </c>
      <c r="AP142">
        <v>100</v>
      </c>
      <c r="AQ142">
        <v>2100</v>
      </c>
      <c r="AR142" t="s">
        <v>118</v>
      </c>
      <c r="AS142">
        <v>-15</v>
      </c>
      <c r="AT142">
        <v>-82</v>
      </c>
      <c r="AU142">
        <v>-192</v>
      </c>
      <c r="BC142">
        <v>1200</v>
      </c>
      <c r="BD142">
        <v>1</v>
      </c>
      <c r="BE142" t="str">
        <f t="shared" si="8"/>
        <v xml:space="preserve">N215T   </v>
      </c>
      <c r="BF142">
        <v>1</v>
      </c>
      <c r="BH142">
        <v>0</v>
      </c>
      <c r="BI142">
        <v>0</v>
      </c>
      <c r="BJ142">
        <v>0</v>
      </c>
      <c r="BK142">
        <v>2500</v>
      </c>
      <c r="BL142">
        <v>400</v>
      </c>
      <c r="BM142" t="s">
        <v>119</v>
      </c>
      <c r="BN142">
        <v>1</v>
      </c>
      <c r="BO142">
        <v>1</v>
      </c>
      <c r="BP142">
        <v>1</v>
      </c>
      <c r="BQ142">
        <v>0</v>
      </c>
      <c r="BT142">
        <v>0</v>
      </c>
      <c r="BU142">
        <v>0</v>
      </c>
      <c r="BV142">
        <v>0</v>
      </c>
      <c r="CC142" t="str">
        <f>"18:36:46.063"</f>
        <v>18:36:46.063</v>
      </c>
      <c r="CD142" t="str">
        <f>"066211513"</f>
        <v>066211513</v>
      </c>
      <c r="CQ142">
        <v>0</v>
      </c>
      <c r="CR142">
        <v>2</v>
      </c>
      <c r="CS142">
        <v>0</v>
      </c>
      <c r="CT142">
        <v>2</v>
      </c>
      <c r="CU142">
        <v>0</v>
      </c>
      <c r="CV142">
        <v>5</v>
      </c>
      <c r="CW142" t="s">
        <v>120</v>
      </c>
      <c r="CX142">
        <v>261</v>
      </c>
      <c r="CY142">
        <v>1</v>
      </c>
      <c r="CZ142" t="s">
        <v>121</v>
      </c>
      <c r="DA142" t="s">
        <v>122</v>
      </c>
      <c r="DD142">
        <v>3173341</v>
      </c>
      <c r="DE142" t="s">
        <v>123</v>
      </c>
    </row>
    <row r="143" spans="1:109" x14ac:dyDescent="0.3">
      <c r="A143" t="str">
        <f>"18:36:47.148"</f>
        <v>18:36:47.148</v>
      </c>
      <c r="B143" t="s">
        <v>110</v>
      </c>
      <c r="C143" t="str">
        <f t="shared" si="6"/>
        <v>ffdfd3c0</v>
      </c>
      <c r="D143" t="s">
        <v>111</v>
      </c>
      <c r="E143">
        <v>18</v>
      </c>
      <c r="F143">
        <v>1018</v>
      </c>
      <c r="G143" t="s">
        <v>112</v>
      </c>
      <c r="J143" t="s">
        <v>113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R143" t="s">
        <v>114</v>
      </c>
      <c r="S143" t="str">
        <f>"18:36:46.898"</f>
        <v>18:36:46.898</v>
      </c>
      <c r="T143" t="str">
        <f>"18:36:46.398"</f>
        <v>18:36:46.398</v>
      </c>
      <c r="U143" t="str">
        <f t="shared" si="7"/>
        <v>a1cdbe</v>
      </c>
      <c r="V143">
        <v>0</v>
      </c>
      <c r="W143">
        <v>0</v>
      </c>
      <c r="X143">
        <v>1</v>
      </c>
      <c r="Y143">
        <v>0</v>
      </c>
      <c r="Z143">
        <v>0</v>
      </c>
      <c r="AB143">
        <v>0</v>
      </c>
      <c r="AC143">
        <v>9</v>
      </c>
      <c r="AD143">
        <v>3</v>
      </c>
      <c r="AE143">
        <v>0</v>
      </c>
      <c r="AF143">
        <v>9</v>
      </c>
      <c r="AG143" t="s">
        <v>158</v>
      </c>
      <c r="AH143">
        <v>0</v>
      </c>
      <c r="AI143">
        <v>3</v>
      </c>
      <c r="AJ143">
        <v>1</v>
      </c>
      <c r="AK143">
        <v>0</v>
      </c>
      <c r="AL143" t="s">
        <v>376</v>
      </c>
      <c r="AM143">
        <v>47.087274000000001</v>
      </c>
      <c r="AN143" t="s">
        <v>240</v>
      </c>
      <c r="AO143">
        <v>-122.274742</v>
      </c>
      <c r="AP143">
        <v>100</v>
      </c>
      <c r="AQ143">
        <v>2100</v>
      </c>
      <c r="AR143" t="s">
        <v>118</v>
      </c>
      <c r="AS143">
        <v>-17</v>
      </c>
      <c r="AT143">
        <v>-82</v>
      </c>
      <c r="AU143">
        <v>-192</v>
      </c>
      <c r="BC143">
        <v>1200</v>
      </c>
      <c r="BD143">
        <v>1</v>
      </c>
      <c r="BE143" t="str">
        <f t="shared" si="8"/>
        <v xml:space="preserve">N215T   </v>
      </c>
      <c r="BF143">
        <v>1</v>
      </c>
      <c r="BH143">
        <v>0</v>
      </c>
      <c r="BI143">
        <v>0</v>
      </c>
      <c r="BJ143">
        <v>0</v>
      </c>
      <c r="BK143">
        <v>2500</v>
      </c>
      <c r="BL143">
        <v>400</v>
      </c>
      <c r="BM143" t="s">
        <v>119</v>
      </c>
      <c r="BN143">
        <v>1</v>
      </c>
      <c r="BO143">
        <v>1</v>
      </c>
      <c r="BP143">
        <v>1</v>
      </c>
      <c r="BQ143">
        <v>0</v>
      </c>
      <c r="BT143">
        <v>0</v>
      </c>
      <c r="BU143">
        <v>0</v>
      </c>
      <c r="BV143">
        <v>0</v>
      </c>
      <c r="CC143" t="str">
        <f>"18:36:46.906"</f>
        <v>18:36:46.906</v>
      </c>
      <c r="CD143" t="str">
        <f>"906128898"</f>
        <v>906128898</v>
      </c>
      <c r="CQ143">
        <v>0</v>
      </c>
      <c r="CR143">
        <v>2</v>
      </c>
      <c r="CS143">
        <v>0</v>
      </c>
      <c r="CT143">
        <v>2</v>
      </c>
      <c r="CU143">
        <v>0</v>
      </c>
      <c r="CV143">
        <v>5</v>
      </c>
      <c r="CW143" t="s">
        <v>120</v>
      </c>
      <c r="CX143">
        <v>261</v>
      </c>
      <c r="CY143">
        <v>1</v>
      </c>
      <c r="CZ143" t="s">
        <v>121</v>
      </c>
      <c r="DA143" t="s">
        <v>122</v>
      </c>
      <c r="DD143">
        <v>3173862</v>
      </c>
      <c r="DE143" t="s">
        <v>123</v>
      </c>
    </row>
    <row r="144" spans="1:109" x14ac:dyDescent="0.3">
      <c r="A144" t="str">
        <f>"18:36:48.055"</f>
        <v>18:36:48.055</v>
      </c>
      <c r="B144" t="s">
        <v>110</v>
      </c>
      <c r="C144" t="str">
        <f t="shared" si="6"/>
        <v>ffdfd3c0</v>
      </c>
      <c r="D144" t="s">
        <v>111</v>
      </c>
      <c r="E144">
        <v>18</v>
      </c>
      <c r="F144">
        <v>1018</v>
      </c>
      <c r="G144" t="s">
        <v>112</v>
      </c>
      <c r="J144" t="s">
        <v>113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R144" t="s">
        <v>114</v>
      </c>
      <c r="S144" t="str">
        <f>"18:36:47.805"</f>
        <v>18:36:47.805</v>
      </c>
      <c r="T144" t="str">
        <f>"18:36:47.805"</f>
        <v>18:36:47.805</v>
      </c>
      <c r="U144" t="str">
        <f t="shared" si="7"/>
        <v>a1cdbe</v>
      </c>
      <c r="V144">
        <v>0</v>
      </c>
      <c r="W144">
        <v>0</v>
      </c>
      <c r="X144">
        <v>1</v>
      </c>
      <c r="Y144">
        <v>0</v>
      </c>
      <c r="Z144">
        <v>0</v>
      </c>
      <c r="AB144">
        <v>0</v>
      </c>
      <c r="AC144">
        <v>9</v>
      </c>
      <c r="AD144">
        <v>3</v>
      </c>
      <c r="AE144">
        <v>0</v>
      </c>
      <c r="AF144">
        <v>9</v>
      </c>
      <c r="AG144" t="s">
        <v>158</v>
      </c>
      <c r="AH144">
        <v>0</v>
      </c>
      <c r="AI144">
        <v>3</v>
      </c>
      <c r="AJ144">
        <v>1</v>
      </c>
      <c r="AK144">
        <v>0</v>
      </c>
      <c r="AL144" t="s">
        <v>377</v>
      </c>
      <c r="AM144">
        <v>47.086886999999997</v>
      </c>
      <c r="AN144" t="s">
        <v>378</v>
      </c>
      <c r="AO144">
        <v>-122.274806</v>
      </c>
      <c r="AP144">
        <v>100</v>
      </c>
      <c r="AQ144">
        <v>2100</v>
      </c>
      <c r="AR144" t="s">
        <v>118</v>
      </c>
      <c r="AS144">
        <v>-16</v>
      </c>
      <c r="AT144">
        <v>-83</v>
      </c>
      <c r="AU144">
        <v>-192</v>
      </c>
      <c r="BC144">
        <v>1200</v>
      </c>
      <c r="BD144">
        <v>1</v>
      </c>
      <c r="BE144" t="str">
        <f t="shared" si="8"/>
        <v xml:space="preserve">N215T   </v>
      </c>
      <c r="BF144">
        <v>1</v>
      </c>
      <c r="BH144">
        <v>0</v>
      </c>
      <c r="BI144">
        <v>0</v>
      </c>
      <c r="BJ144">
        <v>0</v>
      </c>
      <c r="BK144">
        <v>2475</v>
      </c>
      <c r="BL144">
        <v>375</v>
      </c>
      <c r="BM144" t="s">
        <v>119</v>
      </c>
      <c r="BN144">
        <v>1</v>
      </c>
      <c r="BO144">
        <v>1</v>
      </c>
      <c r="BP144">
        <v>1</v>
      </c>
      <c r="BQ144">
        <v>0</v>
      </c>
      <c r="BT144">
        <v>0</v>
      </c>
      <c r="BU144">
        <v>0</v>
      </c>
      <c r="BV144">
        <v>0</v>
      </c>
      <c r="CC144" t="str">
        <f>"18:36:47.805"</f>
        <v>18:36:47.805</v>
      </c>
      <c r="CD144" t="str">
        <f>"806040399"</f>
        <v>806040399</v>
      </c>
      <c r="CQ144">
        <v>0</v>
      </c>
      <c r="CR144">
        <v>2</v>
      </c>
      <c r="CS144">
        <v>0</v>
      </c>
      <c r="CT144">
        <v>2</v>
      </c>
      <c r="CU144">
        <v>0</v>
      </c>
      <c r="CV144">
        <v>5</v>
      </c>
      <c r="CW144" t="s">
        <v>120</v>
      </c>
      <c r="CX144">
        <v>261</v>
      </c>
      <c r="CY144">
        <v>1</v>
      </c>
      <c r="CZ144" t="s">
        <v>121</v>
      </c>
      <c r="DA144" t="s">
        <v>122</v>
      </c>
      <c r="DD144">
        <v>3174401</v>
      </c>
      <c r="DE144" t="s">
        <v>123</v>
      </c>
    </row>
    <row r="145" spans="1:109" x14ac:dyDescent="0.3">
      <c r="A145" t="str">
        <f>"18:36:49.063"</f>
        <v>18:36:49.063</v>
      </c>
      <c r="B145" t="s">
        <v>110</v>
      </c>
      <c r="C145" t="str">
        <f t="shared" si="6"/>
        <v>ffdfd3c0</v>
      </c>
      <c r="D145" t="s">
        <v>111</v>
      </c>
      <c r="E145">
        <v>18</v>
      </c>
      <c r="F145">
        <v>1018</v>
      </c>
      <c r="G145" t="s">
        <v>112</v>
      </c>
      <c r="J145" t="s">
        <v>113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R145" t="s">
        <v>114</v>
      </c>
      <c r="S145" t="str">
        <f>"18:36:48.852"</f>
        <v>18:36:48.852</v>
      </c>
      <c r="T145" t="str">
        <f>"18:36:48.852"</f>
        <v>18:36:48.852</v>
      </c>
      <c r="U145" t="str">
        <f t="shared" si="7"/>
        <v>a1cdbe</v>
      </c>
      <c r="V145">
        <v>0</v>
      </c>
      <c r="W145">
        <v>0</v>
      </c>
      <c r="X145">
        <v>1</v>
      </c>
      <c r="Y145">
        <v>0</v>
      </c>
      <c r="Z145">
        <v>0</v>
      </c>
      <c r="AB145">
        <v>0</v>
      </c>
      <c r="AC145">
        <v>9</v>
      </c>
      <c r="AD145">
        <v>3</v>
      </c>
      <c r="AE145">
        <v>0</v>
      </c>
      <c r="AF145">
        <v>9</v>
      </c>
      <c r="AG145" t="s">
        <v>158</v>
      </c>
      <c r="AH145">
        <v>0</v>
      </c>
      <c r="AI145">
        <v>3</v>
      </c>
      <c r="AJ145">
        <v>1</v>
      </c>
      <c r="AK145">
        <v>0</v>
      </c>
      <c r="AL145" t="s">
        <v>379</v>
      </c>
      <c r="AM145">
        <v>47.086480000000002</v>
      </c>
      <c r="AN145" t="s">
        <v>380</v>
      </c>
      <c r="AO145">
        <v>-122.274957</v>
      </c>
      <c r="AP145">
        <v>100</v>
      </c>
      <c r="AQ145">
        <v>2100</v>
      </c>
      <c r="AR145" t="s">
        <v>118</v>
      </c>
      <c r="AS145">
        <v>-17</v>
      </c>
      <c r="AT145">
        <v>-83</v>
      </c>
      <c r="AU145">
        <v>-192</v>
      </c>
      <c r="BC145">
        <v>1200</v>
      </c>
      <c r="BD145">
        <v>1</v>
      </c>
      <c r="BE145" t="str">
        <f t="shared" si="8"/>
        <v xml:space="preserve">N215T   </v>
      </c>
      <c r="BF145">
        <v>1</v>
      </c>
      <c r="BH145">
        <v>0</v>
      </c>
      <c r="BI145">
        <v>0</v>
      </c>
      <c r="BJ145">
        <v>0</v>
      </c>
      <c r="BK145">
        <v>2475</v>
      </c>
      <c r="BL145">
        <v>375</v>
      </c>
      <c r="BM145" t="s">
        <v>119</v>
      </c>
      <c r="BN145">
        <v>1</v>
      </c>
      <c r="BO145">
        <v>1</v>
      </c>
      <c r="BP145">
        <v>1</v>
      </c>
      <c r="BQ145">
        <v>0</v>
      </c>
      <c r="BT145">
        <v>0</v>
      </c>
      <c r="BU145">
        <v>0</v>
      </c>
      <c r="BV145">
        <v>0</v>
      </c>
      <c r="CC145" t="str">
        <f>"18:36:48.859"</f>
        <v>18:36:48.859</v>
      </c>
      <c r="CD145" t="str">
        <f>"856043087"</f>
        <v>856043087</v>
      </c>
      <c r="CQ145">
        <v>0</v>
      </c>
      <c r="CR145">
        <v>2</v>
      </c>
      <c r="CS145">
        <v>0</v>
      </c>
      <c r="CT145">
        <v>2</v>
      </c>
      <c r="CU145">
        <v>0</v>
      </c>
      <c r="CV145">
        <v>5</v>
      </c>
      <c r="CW145" t="s">
        <v>120</v>
      </c>
      <c r="CX145">
        <v>259</v>
      </c>
      <c r="CY145">
        <v>1</v>
      </c>
      <c r="CZ145" t="s">
        <v>197</v>
      </c>
      <c r="DA145" t="s">
        <v>198</v>
      </c>
      <c r="DD145">
        <v>14716183</v>
      </c>
      <c r="DE145" t="s">
        <v>123</v>
      </c>
    </row>
    <row r="146" spans="1:109" x14ac:dyDescent="0.3">
      <c r="A146" t="str">
        <f>"18:36:50.164"</f>
        <v>18:36:50.164</v>
      </c>
      <c r="B146" t="s">
        <v>110</v>
      </c>
      <c r="C146" t="str">
        <f t="shared" si="6"/>
        <v>ffdfd3c0</v>
      </c>
      <c r="D146" t="s">
        <v>111</v>
      </c>
      <c r="E146">
        <v>18</v>
      </c>
      <c r="F146">
        <v>1018</v>
      </c>
      <c r="G146" t="s">
        <v>112</v>
      </c>
      <c r="J146" t="s">
        <v>113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R146" t="s">
        <v>114</v>
      </c>
      <c r="S146" t="str">
        <f>"18:36:49.898"</f>
        <v>18:36:49.898</v>
      </c>
      <c r="T146" t="str">
        <f>"18:36:48.797"</f>
        <v>18:36:48.797</v>
      </c>
      <c r="U146" t="str">
        <f t="shared" si="7"/>
        <v>a1cdbe</v>
      </c>
      <c r="V146">
        <v>0</v>
      </c>
      <c r="W146">
        <v>0</v>
      </c>
      <c r="X146">
        <v>1</v>
      </c>
      <c r="Y146">
        <v>0</v>
      </c>
      <c r="Z146">
        <v>0</v>
      </c>
      <c r="AB146">
        <v>0</v>
      </c>
      <c r="AC146">
        <v>9</v>
      </c>
      <c r="AD146">
        <v>3</v>
      </c>
      <c r="AE146">
        <v>0</v>
      </c>
      <c r="AF146">
        <v>9</v>
      </c>
      <c r="AG146" t="s">
        <v>158</v>
      </c>
      <c r="AH146">
        <v>0</v>
      </c>
      <c r="AI146">
        <v>3</v>
      </c>
      <c r="AJ146">
        <v>1</v>
      </c>
      <c r="AK146">
        <v>0</v>
      </c>
      <c r="AL146" t="s">
        <v>381</v>
      </c>
      <c r="AM146">
        <v>47.086092999999998</v>
      </c>
      <c r="AN146" t="s">
        <v>382</v>
      </c>
      <c r="AO146">
        <v>-122.275021</v>
      </c>
      <c r="AP146">
        <v>100</v>
      </c>
      <c r="AQ146">
        <v>2100</v>
      </c>
      <c r="AR146" t="s">
        <v>118</v>
      </c>
      <c r="AS146">
        <v>-17</v>
      </c>
      <c r="AT146">
        <v>-83</v>
      </c>
      <c r="AU146">
        <v>-192</v>
      </c>
      <c r="BC146">
        <v>1200</v>
      </c>
      <c r="BD146">
        <v>1</v>
      </c>
      <c r="BE146" t="str">
        <f t="shared" si="8"/>
        <v xml:space="preserve">N215T   </v>
      </c>
      <c r="BF146">
        <v>1</v>
      </c>
      <c r="BH146">
        <v>0</v>
      </c>
      <c r="BI146">
        <v>0</v>
      </c>
      <c r="BJ146">
        <v>0</v>
      </c>
      <c r="BK146">
        <v>2475</v>
      </c>
      <c r="BL146">
        <v>375</v>
      </c>
      <c r="BM146" t="s">
        <v>119</v>
      </c>
      <c r="BN146">
        <v>1</v>
      </c>
      <c r="BO146">
        <v>1</v>
      </c>
      <c r="BP146">
        <v>1</v>
      </c>
      <c r="BQ146">
        <v>0</v>
      </c>
      <c r="BT146">
        <v>0</v>
      </c>
      <c r="BU146">
        <v>0</v>
      </c>
      <c r="BV146">
        <v>0</v>
      </c>
      <c r="CC146" t="str">
        <f>"18:36:49.906"</f>
        <v>18:36:49.906</v>
      </c>
      <c r="CD146" t="str">
        <f>"905833888"</f>
        <v>905833888</v>
      </c>
      <c r="CQ146">
        <v>0</v>
      </c>
      <c r="CR146">
        <v>2</v>
      </c>
      <c r="CS146">
        <v>0</v>
      </c>
      <c r="CT146">
        <v>2</v>
      </c>
      <c r="CU146">
        <v>0</v>
      </c>
      <c r="CV146">
        <v>5</v>
      </c>
      <c r="CW146" t="s">
        <v>120</v>
      </c>
      <c r="CX146">
        <v>261</v>
      </c>
      <c r="CY146">
        <v>2</v>
      </c>
      <c r="CZ146" t="s">
        <v>121</v>
      </c>
      <c r="DA146" t="s">
        <v>122</v>
      </c>
      <c r="DD146">
        <v>14320637</v>
      </c>
      <c r="DE146" t="s">
        <v>123</v>
      </c>
    </row>
    <row r="147" spans="1:109" x14ac:dyDescent="0.3">
      <c r="A147" t="str">
        <f>"18:36:51.219"</f>
        <v>18:36:51.219</v>
      </c>
      <c r="B147" t="s">
        <v>110</v>
      </c>
      <c r="C147" t="str">
        <f t="shared" si="6"/>
        <v>ffdfd3c0</v>
      </c>
      <c r="D147" t="s">
        <v>111</v>
      </c>
      <c r="E147">
        <v>18</v>
      </c>
      <c r="F147">
        <v>1018</v>
      </c>
      <c r="G147" t="s">
        <v>112</v>
      </c>
      <c r="J147" t="s">
        <v>113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R147" t="s">
        <v>114</v>
      </c>
      <c r="S147" t="str">
        <f>"18:36:50.969"</f>
        <v>18:36:50.969</v>
      </c>
      <c r="T147" t="str">
        <f>"18:36:50.570"</f>
        <v>18:36:50.570</v>
      </c>
      <c r="U147" t="str">
        <f t="shared" si="7"/>
        <v>a1cdbe</v>
      </c>
      <c r="V147">
        <v>0</v>
      </c>
      <c r="W147">
        <v>0</v>
      </c>
      <c r="X147">
        <v>1</v>
      </c>
      <c r="Y147">
        <v>0</v>
      </c>
      <c r="Z147">
        <v>0</v>
      </c>
      <c r="AB147">
        <v>0</v>
      </c>
      <c r="AC147">
        <v>9</v>
      </c>
      <c r="AD147">
        <v>3</v>
      </c>
      <c r="AE147">
        <v>0</v>
      </c>
      <c r="AF147">
        <v>9</v>
      </c>
      <c r="AG147" t="s">
        <v>158</v>
      </c>
      <c r="AH147">
        <v>0</v>
      </c>
      <c r="AI147">
        <v>3</v>
      </c>
      <c r="AJ147">
        <v>1</v>
      </c>
      <c r="AK147">
        <v>0</v>
      </c>
      <c r="AL147" t="s">
        <v>383</v>
      </c>
      <c r="AM147">
        <v>47.085686000000003</v>
      </c>
      <c r="AN147" t="s">
        <v>384</v>
      </c>
      <c r="AO147">
        <v>-122.27515</v>
      </c>
      <c r="AP147">
        <v>100</v>
      </c>
      <c r="AQ147">
        <v>2100</v>
      </c>
      <c r="AR147" t="s">
        <v>118</v>
      </c>
      <c r="AS147">
        <v>-16</v>
      </c>
      <c r="AT147">
        <v>-84</v>
      </c>
      <c r="AU147">
        <v>-128</v>
      </c>
      <c r="BC147">
        <v>1200</v>
      </c>
      <c r="BD147">
        <v>1</v>
      </c>
      <c r="BE147" t="str">
        <f t="shared" si="8"/>
        <v xml:space="preserve">N215T   </v>
      </c>
      <c r="BF147">
        <v>1</v>
      </c>
      <c r="BH147">
        <v>0</v>
      </c>
      <c r="BI147">
        <v>0</v>
      </c>
      <c r="BJ147">
        <v>0</v>
      </c>
      <c r="BK147">
        <v>2475</v>
      </c>
      <c r="BL147">
        <v>375</v>
      </c>
      <c r="BM147" t="s">
        <v>119</v>
      </c>
      <c r="BN147">
        <v>1</v>
      </c>
      <c r="BO147">
        <v>1</v>
      </c>
      <c r="BP147">
        <v>1</v>
      </c>
      <c r="BQ147">
        <v>0</v>
      </c>
      <c r="BT147">
        <v>0</v>
      </c>
      <c r="BU147">
        <v>0</v>
      </c>
      <c r="BV147">
        <v>0</v>
      </c>
      <c r="CC147" t="str">
        <f>"18:36:50.969"</f>
        <v>18:36:50.969</v>
      </c>
      <c r="CD147" t="str">
        <f>"970729146"</f>
        <v>970729146</v>
      </c>
      <c r="CQ147">
        <v>0</v>
      </c>
      <c r="CR147">
        <v>2</v>
      </c>
      <c r="CS147">
        <v>0</v>
      </c>
      <c r="CT147">
        <v>2</v>
      </c>
      <c r="CU147">
        <v>0</v>
      </c>
      <c r="CV147">
        <v>5</v>
      </c>
      <c r="CW147" t="s">
        <v>120</v>
      </c>
      <c r="CX147">
        <v>261</v>
      </c>
      <c r="CY147">
        <v>2</v>
      </c>
      <c r="CZ147" t="s">
        <v>121</v>
      </c>
      <c r="DA147" t="s">
        <v>122</v>
      </c>
      <c r="DD147">
        <v>14321186</v>
      </c>
      <c r="DE147" t="s">
        <v>123</v>
      </c>
    </row>
    <row r="148" spans="1:109" x14ac:dyDescent="0.3">
      <c r="A148" t="str">
        <f>"18:36:52.227"</f>
        <v>18:36:52.227</v>
      </c>
      <c r="B148" t="s">
        <v>110</v>
      </c>
      <c r="C148" t="str">
        <f t="shared" si="6"/>
        <v>ffdfd3c0</v>
      </c>
      <c r="D148" t="s">
        <v>111</v>
      </c>
      <c r="E148">
        <v>18</v>
      </c>
      <c r="F148">
        <v>1018</v>
      </c>
      <c r="G148" t="s">
        <v>112</v>
      </c>
      <c r="J148" t="s">
        <v>113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R148" t="s">
        <v>114</v>
      </c>
      <c r="S148" t="str">
        <f>"18:36:52.000"</f>
        <v>18:36:52.000</v>
      </c>
      <c r="T148" t="str">
        <f>"18:36:51.602"</f>
        <v>18:36:51.602</v>
      </c>
      <c r="U148" t="str">
        <f t="shared" si="7"/>
        <v>a1cdbe</v>
      </c>
      <c r="V148">
        <v>0</v>
      </c>
      <c r="W148">
        <v>0</v>
      </c>
      <c r="X148">
        <v>1</v>
      </c>
      <c r="Y148">
        <v>0</v>
      </c>
      <c r="Z148">
        <v>0</v>
      </c>
      <c r="AB148">
        <v>0</v>
      </c>
      <c r="AC148">
        <v>9</v>
      </c>
      <c r="AD148">
        <v>3</v>
      </c>
      <c r="AE148">
        <v>0</v>
      </c>
      <c r="AF148">
        <v>9</v>
      </c>
      <c r="AG148" t="s">
        <v>158</v>
      </c>
      <c r="AH148">
        <v>0</v>
      </c>
      <c r="AI148">
        <v>3</v>
      </c>
      <c r="AJ148">
        <v>1</v>
      </c>
      <c r="AK148">
        <v>0</v>
      </c>
      <c r="AL148" t="s">
        <v>385</v>
      </c>
      <c r="AM148">
        <v>47.085298999999999</v>
      </c>
      <c r="AN148" t="s">
        <v>386</v>
      </c>
      <c r="AO148">
        <v>-122.2753</v>
      </c>
      <c r="AP148">
        <v>100</v>
      </c>
      <c r="AQ148">
        <v>2100</v>
      </c>
      <c r="AR148" t="s">
        <v>118</v>
      </c>
      <c r="AS148">
        <v>-15</v>
      </c>
      <c r="AT148">
        <v>-84</v>
      </c>
      <c r="AU148">
        <v>-64</v>
      </c>
      <c r="BC148">
        <v>1200</v>
      </c>
      <c r="BD148">
        <v>1</v>
      </c>
      <c r="BE148" t="str">
        <f t="shared" si="8"/>
        <v xml:space="preserve">N215T   </v>
      </c>
      <c r="BF148">
        <v>1</v>
      </c>
      <c r="BH148">
        <v>0</v>
      </c>
      <c r="BI148">
        <v>0</v>
      </c>
      <c r="BJ148">
        <v>0</v>
      </c>
      <c r="BK148">
        <v>2475</v>
      </c>
      <c r="BL148">
        <v>375</v>
      </c>
      <c r="BM148" t="s">
        <v>119</v>
      </c>
      <c r="BN148">
        <v>1</v>
      </c>
      <c r="BO148">
        <v>1</v>
      </c>
      <c r="BP148">
        <v>1</v>
      </c>
      <c r="BQ148">
        <v>0</v>
      </c>
      <c r="BT148">
        <v>0</v>
      </c>
      <c r="BU148">
        <v>0</v>
      </c>
      <c r="BV148">
        <v>0</v>
      </c>
      <c r="CC148" t="str">
        <f>"18:36:52.008"</f>
        <v>18:36:52.008</v>
      </c>
      <c r="CD148" t="str">
        <f>"005733495"</f>
        <v>005733495</v>
      </c>
      <c r="CQ148">
        <v>0</v>
      </c>
      <c r="CR148">
        <v>2</v>
      </c>
      <c r="CS148">
        <v>0</v>
      </c>
      <c r="CT148">
        <v>2</v>
      </c>
      <c r="CU148">
        <v>0</v>
      </c>
      <c r="CV148">
        <v>5</v>
      </c>
      <c r="CW148" t="s">
        <v>120</v>
      </c>
      <c r="CX148">
        <v>259</v>
      </c>
      <c r="CY148">
        <v>1</v>
      </c>
      <c r="CZ148" t="s">
        <v>197</v>
      </c>
      <c r="DA148" t="s">
        <v>198</v>
      </c>
      <c r="DD148">
        <v>14718292</v>
      </c>
      <c r="DE148" t="s">
        <v>123</v>
      </c>
    </row>
    <row r="149" spans="1:109" x14ac:dyDescent="0.3">
      <c r="A149" t="str">
        <f>"18:36:53.234"</f>
        <v>18:36:53.234</v>
      </c>
      <c r="B149" t="s">
        <v>110</v>
      </c>
      <c r="C149" t="str">
        <f t="shared" si="6"/>
        <v>ffdfd3c0</v>
      </c>
      <c r="D149" t="s">
        <v>111</v>
      </c>
      <c r="E149">
        <v>18</v>
      </c>
      <c r="F149">
        <v>1018</v>
      </c>
      <c r="G149" t="s">
        <v>112</v>
      </c>
      <c r="J149" t="s">
        <v>113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R149" t="s">
        <v>114</v>
      </c>
      <c r="S149" t="str">
        <f>"18:36:53.039"</f>
        <v>18:36:53.039</v>
      </c>
      <c r="T149" t="str">
        <f>"18:36:52.641"</f>
        <v>18:36:52.641</v>
      </c>
      <c r="U149" t="str">
        <f t="shared" si="7"/>
        <v>a1cdbe</v>
      </c>
      <c r="V149">
        <v>0</v>
      </c>
      <c r="W149">
        <v>0</v>
      </c>
      <c r="X149">
        <v>1</v>
      </c>
      <c r="Y149">
        <v>0</v>
      </c>
      <c r="Z149">
        <v>0</v>
      </c>
      <c r="AB149">
        <v>0</v>
      </c>
      <c r="AC149">
        <v>9</v>
      </c>
      <c r="AD149">
        <v>3</v>
      </c>
      <c r="AE149">
        <v>0</v>
      </c>
      <c r="AF149">
        <v>9</v>
      </c>
      <c r="AG149" t="s">
        <v>158</v>
      </c>
      <c r="AH149">
        <v>0</v>
      </c>
      <c r="AI149">
        <v>3</v>
      </c>
      <c r="AJ149">
        <v>1</v>
      </c>
      <c r="AK149">
        <v>0</v>
      </c>
      <c r="AL149" t="s">
        <v>387</v>
      </c>
      <c r="AM149">
        <v>47.084848999999998</v>
      </c>
      <c r="AN149" t="s">
        <v>388</v>
      </c>
      <c r="AO149">
        <v>-122.275364</v>
      </c>
      <c r="AP149">
        <v>100</v>
      </c>
      <c r="AQ149">
        <v>2100</v>
      </c>
      <c r="AR149" t="s">
        <v>118</v>
      </c>
      <c r="AS149">
        <v>-14</v>
      </c>
      <c r="AT149">
        <v>-84</v>
      </c>
      <c r="AU149">
        <v>-128</v>
      </c>
      <c r="BC149">
        <v>1200</v>
      </c>
      <c r="BD149">
        <v>1</v>
      </c>
      <c r="BE149" t="str">
        <f t="shared" si="8"/>
        <v xml:space="preserve">N215T   </v>
      </c>
      <c r="BF149">
        <v>1</v>
      </c>
      <c r="BH149">
        <v>0</v>
      </c>
      <c r="BI149">
        <v>0</v>
      </c>
      <c r="BJ149">
        <v>0</v>
      </c>
      <c r="BK149">
        <v>2475</v>
      </c>
      <c r="BL149">
        <v>375</v>
      </c>
      <c r="BM149" t="s">
        <v>119</v>
      </c>
      <c r="BN149">
        <v>1</v>
      </c>
      <c r="BO149">
        <v>1</v>
      </c>
      <c r="BP149">
        <v>1</v>
      </c>
      <c r="BQ149">
        <v>0</v>
      </c>
      <c r="BT149">
        <v>0</v>
      </c>
      <c r="BU149">
        <v>0</v>
      </c>
      <c r="BV149">
        <v>0</v>
      </c>
      <c r="CC149" t="str">
        <f>"18:36:53.039"</f>
        <v>18:36:53.039</v>
      </c>
      <c r="CD149" t="str">
        <f>"040631769"</f>
        <v>040631769</v>
      </c>
      <c r="CQ149">
        <v>0</v>
      </c>
      <c r="CR149">
        <v>2</v>
      </c>
      <c r="CS149">
        <v>0</v>
      </c>
      <c r="CT149">
        <v>2</v>
      </c>
      <c r="CU149">
        <v>0</v>
      </c>
      <c r="CV149">
        <v>5</v>
      </c>
      <c r="CW149" t="s">
        <v>120</v>
      </c>
      <c r="CX149">
        <v>259</v>
      </c>
      <c r="CY149">
        <v>1</v>
      </c>
      <c r="CZ149" t="s">
        <v>197</v>
      </c>
      <c r="DA149" t="s">
        <v>198</v>
      </c>
      <c r="DD149">
        <v>14718990</v>
      </c>
      <c r="DE149" t="s">
        <v>123</v>
      </c>
    </row>
    <row r="150" spans="1:109" x14ac:dyDescent="0.3">
      <c r="A150" t="str">
        <f>"18:36:54.141"</f>
        <v>18:36:54.141</v>
      </c>
      <c r="B150" t="s">
        <v>110</v>
      </c>
      <c r="C150" t="str">
        <f t="shared" si="6"/>
        <v>ffdfd3c0</v>
      </c>
      <c r="D150" t="s">
        <v>111</v>
      </c>
      <c r="E150">
        <v>18</v>
      </c>
      <c r="F150">
        <v>1018</v>
      </c>
      <c r="G150" t="s">
        <v>112</v>
      </c>
      <c r="J150" t="s">
        <v>113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R150" t="s">
        <v>114</v>
      </c>
      <c r="S150" t="str">
        <f>"18:36:53.922"</f>
        <v>18:36:53.922</v>
      </c>
      <c r="T150" t="str">
        <f>"18:36:53.625"</f>
        <v>18:36:53.625</v>
      </c>
      <c r="U150" t="str">
        <f t="shared" si="7"/>
        <v>a1cdbe</v>
      </c>
      <c r="V150">
        <v>0</v>
      </c>
      <c r="W150">
        <v>0</v>
      </c>
      <c r="X150">
        <v>1</v>
      </c>
      <c r="Y150">
        <v>0</v>
      </c>
      <c r="Z150">
        <v>0</v>
      </c>
      <c r="AB150">
        <v>0</v>
      </c>
      <c r="AC150">
        <v>9</v>
      </c>
      <c r="AD150">
        <v>3</v>
      </c>
      <c r="AE150">
        <v>0</v>
      </c>
      <c r="AF150">
        <v>9</v>
      </c>
      <c r="AG150" t="s">
        <v>158</v>
      </c>
      <c r="AH150">
        <v>0</v>
      </c>
      <c r="AI150">
        <v>3</v>
      </c>
      <c r="AJ150">
        <v>1</v>
      </c>
      <c r="AK150">
        <v>0</v>
      </c>
      <c r="AL150" t="s">
        <v>389</v>
      </c>
      <c r="AM150">
        <v>47.084505999999998</v>
      </c>
      <c r="AN150" t="s">
        <v>236</v>
      </c>
      <c r="AO150">
        <v>-122.275515</v>
      </c>
      <c r="AP150">
        <v>100</v>
      </c>
      <c r="AQ150">
        <v>2100</v>
      </c>
      <c r="AR150" t="s">
        <v>118</v>
      </c>
      <c r="AS150">
        <v>-13</v>
      </c>
      <c r="AT150">
        <v>-84</v>
      </c>
      <c r="AU150">
        <v>-128</v>
      </c>
      <c r="BC150">
        <v>1200</v>
      </c>
      <c r="BD150">
        <v>1</v>
      </c>
      <c r="BE150" t="str">
        <f t="shared" si="8"/>
        <v xml:space="preserve">N215T   </v>
      </c>
      <c r="BF150">
        <v>1</v>
      </c>
      <c r="BH150">
        <v>0</v>
      </c>
      <c r="BI150">
        <v>0</v>
      </c>
      <c r="BJ150">
        <v>0</v>
      </c>
      <c r="BK150">
        <v>2475</v>
      </c>
      <c r="BL150">
        <v>375</v>
      </c>
      <c r="BM150" t="s">
        <v>119</v>
      </c>
      <c r="BN150">
        <v>1</v>
      </c>
      <c r="BO150">
        <v>1</v>
      </c>
      <c r="BP150">
        <v>1</v>
      </c>
      <c r="BQ150">
        <v>0</v>
      </c>
      <c r="BT150">
        <v>0</v>
      </c>
      <c r="BU150">
        <v>0</v>
      </c>
      <c r="BV150">
        <v>0</v>
      </c>
      <c r="CC150" t="str">
        <f>"18:36:53.922"</f>
        <v>18:36:53.922</v>
      </c>
      <c r="CD150" t="str">
        <f>"925544790"</f>
        <v>925544790</v>
      </c>
      <c r="CQ150">
        <v>0</v>
      </c>
      <c r="CR150">
        <v>2</v>
      </c>
      <c r="CS150">
        <v>0</v>
      </c>
      <c r="CT150">
        <v>2</v>
      </c>
      <c r="CU150">
        <v>0</v>
      </c>
      <c r="CV150">
        <v>5</v>
      </c>
      <c r="CW150" t="s">
        <v>120</v>
      </c>
      <c r="CX150">
        <v>259</v>
      </c>
      <c r="CY150">
        <v>1</v>
      </c>
      <c r="CZ150" t="s">
        <v>197</v>
      </c>
      <c r="DA150" t="s">
        <v>198</v>
      </c>
      <c r="DD150">
        <v>14719548</v>
      </c>
      <c r="DE150" t="s">
        <v>123</v>
      </c>
    </row>
    <row r="151" spans="1:109" x14ac:dyDescent="0.3">
      <c r="A151" t="str">
        <f>"18:36:55.242"</f>
        <v>18:36:55.242</v>
      </c>
      <c r="B151" t="s">
        <v>110</v>
      </c>
      <c r="C151" t="str">
        <f t="shared" si="6"/>
        <v>ffdfd3c0</v>
      </c>
      <c r="D151" t="s">
        <v>111</v>
      </c>
      <c r="E151">
        <v>18</v>
      </c>
      <c r="F151">
        <v>1018</v>
      </c>
      <c r="G151" t="s">
        <v>112</v>
      </c>
      <c r="J151" t="s">
        <v>113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R151" t="s">
        <v>114</v>
      </c>
      <c r="S151" t="str">
        <f>"18:36:55.016"</f>
        <v>18:36:55.016</v>
      </c>
      <c r="T151" t="str">
        <f>"18:36:54.719"</f>
        <v>18:36:54.719</v>
      </c>
      <c r="U151" t="str">
        <f t="shared" si="7"/>
        <v>a1cdbe</v>
      </c>
      <c r="V151">
        <v>0</v>
      </c>
      <c r="W151">
        <v>0</v>
      </c>
      <c r="X151">
        <v>1</v>
      </c>
      <c r="Y151">
        <v>0</v>
      </c>
      <c r="Z151">
        <v>0</v>
      </c>
      <c r="AB151">
        <v>0</v>
      </c>
      <c r="AC151">
        <v>9</v>
      </c>
      <c r="AD151">
        <v>3</v>
      </c>
      <c r="AE151">
        <v>0</v>
      </c>
      <c r="AF151">
        <v>9</v>
      </c>
      <c r="AG151" t="s">
        <v>158</v>
      </c>
      <c r="AH151">
        <v>0</v>
      </c>
      <c r="AI151">
        <v>3</v>
      </c>
      <c r="AJ151">
        <v>1</v>
      </c>
      <c r="AK151">
        <v>0</v>
      </c>
      <c r="AL151" t="s">
        <v>390</v>
      </c>
      <c r="AM151">
        <v>47.084097999999997</v>
      </c>
      <c r="AN151" t="s">
        <v>236</v>
      </c>
      <c r="AO151">
        <v>-122.275515</v>
      </c>
      <c r="AP151">
        <v>100</v>
      </c>
      <c r="AQ151">
        <v>2100</v>
      </c>
      <c r="AR151" t="s">
        <v>118</v>
      </c>
      <c r="AS151">
        <v>-13</v>
      </c>
      <c r="AT151">
        <v>-84</v>
      </c>
      <c r="AU151">
        <v>-128</v>
      </c>
      <c r="BC151">
        <v>1200</v>
      </c>
      <c r="BD151">
        <v>1</v>
      </c>
      <c r="BE151" t="str">
        <f t="shared" si="8"/>
        <v xml:space="preserve">N215T   </v>
      </c>
      <c r="BF151">
        <v>1</v>
      </c>
      <c r="BH151">
        <v>0</v>
      </c>
      <c r="BI151">
        <v>0</v>
      </c>
      <c r="BJ151">
        <v>0</v>
      </c>
      <c r="BK151">
        <v>2475</v>
      </c>
      <c r="BL151">
        <v>375</v>
      </c>
      <c r="BM151" t="s">
        <v>119</v>
      </c>
      <c r="BN151">
        <v>1</v>
      </c>
      <c r="BO151">
        <v>1</v>
      </c>
      <c r="BP151">
        <v>1</v>
      </c>
      <c r="BQ151">
        <v>0</v>
      </c>
      <c r="BT151">
        <v>0</v>
      </c>
      <c r="BU151">
        <v>0</v>
      </c>
      <c r="BV151">
        <v>0</v>
      </c>
      <c r="CC151" t="str">
        <f>"18:36:55.023"</f>
        <v>18:36:55.023</v>
      </c>
      <c r="CD151" t="str">
        <f>"020437174"</f>
        <v>020437174</v>
      </c>
      <c r="CQ151">
        <v>0</v>
      </c>
      <c r="CR151">
        <v>2</v>
      </c>
      <c r="CS151">
        <v>0</v>
      </c>
      <c r="CT151">
        <v>2</v>
      </c>
      <c r="CU151">
        <v>0</v>
      </c>
      <c r="CV151">
        <v>5</v>
      </c>
      <c r="CW151" t="s">
        <v>120</v>
      </c>
      <c r="CX151">
        <v>259</v>
      </c>
      <c r="CY151">
        <v>1</v>
      </c>
      <c r="CZ151" t="s">
        <v>197</v>
      </c>
      <c r="DA151" t="s">
        <v>198</v>
      </c>
      <c r="DD151">
        <v>14720289</v>
      </c>
      <c r="DE151" t="s">
        <v>123</v>
      </c>
    </row>
    <row r="152" spans="1:109" x14ac:dyDescent="0.3">
      <c r="A152" t="str">
        <f>"18:36:56.047"</f>
        <v>18:36:56.047</v>
      </c>
      <c r="B152" t="s">
        <v>110</v>
      </c>
      <c r="C152" t="str">
        <f t="shared" si="6"/>
        <v>ffdfd3c0</v>
      </c>
      <c r="D152" t="s">
        <v>111</v>
      </c>
      <c r="E152">
        <v>18</v>
      </c>
      <c r="F152">
        <v>1018</v>
      </c>
      <c r="G152" t="s">
        <v>112</v>
      </c>
      <c r="J152" t="s">
        <v>113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R152" t="s">
        <v>114</v>
      </c>
      <c r="S152" t="str">
        <f>"18:36:55.844"</f>
        <v>18:36:55.844</v>
      </c>
      <c r="T152" t="str">
        <f>"18:36:55.547"</f>
        <v>18:36:55.547</v>
      </c>
      <c r="U152" t="str">
        <f t="shared" si="7"/>
        <v>a1cdbe</v>
      </c>
      <c r="V152">
        <v>0</v>
      </c>
      <c r="W152">
        <v>0</v>
      </c>
      <c r="X152">
        <v>1</v>
      </c>
      <c r="Y152">
        <v>0</v>
      </c>
      <c r="Z152">
        <v>0</v>
      </c>
      <c r="AB152">
        <v>0</v>
      </c>
      <c r="AC152">
        <v>9</v>
      </c>
      <c r="AD152">
        <v>3</v>
      </c>
      <c r="AE152">
        <v>0</v>
      </c>
      <c r="AF152">
        <v>9</v>
      </c>
      <c r="AG152" t="s">
        <v>158</v>
      </c>
      <c r="AH152">
        <v>0</v>
      </c>
      <c r="AI152">
        <v>3</v>
      </c>
      <c r="AJ152">
        <v>1</v>
      </c>
      <c r="AK152">
        <v>0</v>
      </c>
      <c r="AL152" t="s">
        <v>391</v>
      </c>
      <c r="AM152">
        <v>47.083776</v>
      </c>
      <c r="AN152" t="s">
        <v>392</v>
      </c>
      <c r="AO152">
        <v>-122.275643</v>
      </c>
      <c r="AP152">
        <v>100</v>
      </c>
      <c r="AQ152">
        <v>2100</v>
      </c>
      <c r="AR152" t="s">
        <v>118</v>
      </c>
      <c r="AS152">
        <v>-13</v>
      </c>
      <c r="AT152">
        <v>-84</v>
      </c>
      <c r="AU152">
        <v>-64</v>
      </c>
      <c r="BC152">
        <v>1200</v>
      </c>
      <c r="BD152">
        <v>1</v>
      </c>
      <c r="BE152" t="str">
        <f t="shared" si="8"/>
        <v xml:space="preserve">N215T   </v>
      </c>
      <c r="BF152">
        <v>1</v>
      </c>
      <c r="BH152">
        <v>0</v>
      </c>
      <c r="BI152">
        <v>0</v>
      </c>
      <c r="BJ152">
        <v>0</v>
      </c>
      <c r="BK152">
        <v>2475</v>
      </c>
      <c r="BL152">
        <v>375</v>
      </c>
      <c r="BM152" t="s">
        <v>119</v>
      </c>
      <c r="BN152">
        <v>1</v>
      </c>
      <c r="BO152">
        <v>1</v>
      </c>
      <c r="BP152">
        <v>1</v>
      </c>
      <c r="BQ152">
        <v>0</v>
      </c>
      <c r="BT152">
        <v>0</v>
      </c>
      <c r="BU152">
        <v>0</v>
      </c>
      <c r="BV152">
        <v>0</v>
      </c>
      <c r="CC152" t="str">
        <f>"18:36:55.844"</f>
        <v>18:36:55.844</v>
      </c>
      <c r="CD152" t="str">
        <f>"845356071"</f>
        <v>845356071</v>
      </c>
      <c r="CQ152">
        <v>0</v>
      </c>
      <c r="CR152">
        <v>2</v>
      </c>
      <c r="CS152">
        <v>0</v>
      </c>
      <c r="CT152">
        <v>2</v>
      </c>
      <c r="CU152">
        <v>0</v>
      </c>
      <c r="CV152">
        <v>5</v>
      </c>
      <c r="CW152" t="s">
        <v>120</v>
      </c>
      <c r="CX152">
        <v>259</v>
      </c>
      <c r="CY152">
        <v>1</v>
      </c>
      <c r="CZ152" t="s">
        <v>197</v>
      </c>
      <c r="DA152" t="s">
        <v>198</v>
      </c>
      <c r="DD152">
        <v>14720834</v>
      </c>
      <c r="DE152" t="s">
        <v>123</v>
      </c>
    </row>
    <row r="153" spans="1:109" x14ac:dyDescent="0.3">
      <c r="A153" t="str">
        <f>"18:36:57.156"</f>
        <v>18:36:57.156</v>
      </c>
      <c r="B153" t="s">
        <v>110</v>
      </c>
      <c r="C153" t="str">
        <f t="shared" si="6"/>
        <v>ffdfd3c0</v>
      </c>
      <c r="D153" t="s">
        <v>111</v>
      </c>
      <c r="E153">
        <v>18</v>
      </c>
      <c r="F153">
        <v>1018</v>
      </c>
      <c r="G153" t="s">
        <v>112</v>
      </c>
      <c r="J153" t="s">
        <v>113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R153" t="s">
        <v>114</v>
      </c>
      <c r="S153" t="str">
        <f>"18:36:56.906"</f>
        <v>18:36:56.906</v>
      </c>
      <c r="T153" t="str">
        <f>"18:36:56.508"</f>
        <v>18:36:56.508</v>
      </c>
      <c r="U153" t="str">
        <f t="shared" si="7"/>
        <v>a1cdbe</v>
      </c>
      <c r="V153">
        <v>0</v>
      </c>
      <c r="W153">
        <v>0</v>
      </c>
      <c r="X153">
        <v>1</v>
      </c>
      <c r="Y153">
        <v>0</v>
      </c>
      <c r="Z153">
        <v>0</v>
      </c>
      <c r="AB153">
        <v>0</v>
      </c>
      <c r="AC153">
        <v>9</v>
      </c>
      <c r="AD153">
        <v>3</v>
      </c>
      <c r="AE153">
        <v>0</v>
      </c>
      <c r="AF153">
        <v>9</v>
      </c>
      <c r="AG153" t="s">
        <v>158</v>
      </c>
      <c r="AH153">
        <v>0</v>
      </c>
      <c r="AI153">
        <v>3</v>
      </c>
      <c r="AJ153">
        <v>1</v>
      </c>
      <c r="AK153">
        <v>0</v>
      </c>
      <c r="AL153" t="s">
        <v>393</v>
      </c>
      <c r="AM153">
        <v>47.083368</v>
      </c>
      <c r="AN153" t="s">
        <v>394</v>
      </c>
      <c r="AO153">
        <v>-122.27570799999999</v>
      </c>
      <c r="AP153">
        <v>100</v>
      </c>
      <c r="AQ153">
        <v>2100</v>
      </c>
      <c r="AR153" t="s">
        <v>118</v>
      </c>
      <c r="AS153">
        <v>-13</v>
      </c>
      <c r="AT153">
        <v>-84</v>
      </c>
      <c r="AU153">
        <v>-192</v>
      </c>
      <c r="BC153">
        <v>1200</v>
      </c>
      <c r="BD153">
        <v>1</v>
      </c>
      <c r="BE153" t="str">
        <f t="shared" si="8"/>
        <v xml:space="preserve">N215T   </v>
      </c>
      <c r="BF153">
        <v>1</v>
      </c>
      <c r="BH153">
        <v>0</v>
      </c>
      <c r="BI153">
        <v>0</v>
      </c>
      <c r="BJ153">
        <v>0</v>
      </c>
      <c r="BK153">
        <v>2475</v>
      </c>
      <c r="BL153">
        <v>375</v>
      </c>
      <c r="BM153" t="s">
        <v>119</v>
      </c>
      <c r="BN153">
        <v>1</v>
      </c>
      <c r="BO153">
        <v>1</v>
      </c>
      <c r="BP153">
        <v>1</v>
      </c>
      <c r="BQ153">
        <v>0</v>
      </c>
      <c r="BT153">
        <v>0</v>
      </c>
      <c r="BU153">
        <v>0</v>
      </c>
      <c r="BV153">
        <v>0</v>
      </c>
      <c r="CC153" t="str">
        <f>"18:36:56.906"</f>
        <v>18:36:56.906</v>
      </c>
      <c r="CD153" t="str">
        <f>"910145060"</f>
        <v>910145060</v>
      </c>
      <c r="CQ153">
        <v>0</v>
      </c>
      <c r="CR153">
        <v>2</v>
      </c>
      <c r="CS153">
        <v>0</v>
      </c>
      <c r="CT153">
        <v>2</v>
      </c>
      <c r="CU153">
        <v>0</v>
      </c>
      <c r="CV153">
        <v>5</v>
      </c>
      <c r="CW153" t="s">
        <v>120</v>
      </c>
      <c r="CX153">
        <v>261</v>
      </c>
      <c r="CY153">
        <v>1</v>
      </c>
      <c r="CZ153" t="s">
        <v>121</v>
      </c>
      <c r="DA153" t="s">
        <v>122</v>
      </c>
      <c r="DD153">
        <v>3179661</v>
      </c>
      <c r="DE153" t="s">
        <v>123</v>
      </c>
    </row>
    <row r="154" spans="1:109" x14ac:dyDescent="0.3">
      <c r="A154" t="str">
        <f>"18:36:58.211"</f>
        <v>18:36:58.211</v>
      </c>
      <c r="B154" t="s">
        <v>110</v>
      </c>
      <c r="C154" t="str">
        <f t="shared" si="6"/>
        <v>ffdfd3c0</v>
      </c>
      <c r="D154" t="s">
        <v>111</v>
      </c>
      <c r="E154">
        <v>18</v>
      </c>
      <c r="F154">
        <v>1018</v>
      </c>
      <c r="G154" t="s">
        <v>112</v>
      </c>
      <c r="J154" t="s">
        <v>113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R154" t="s">
        <v>114</v>
      </c>
      <c r="S154" t="str">
        <f>"18:36:58.000"</f>
        <v>18:36:58.000</v>
      </c>
      <c r="T154" t="str">
        <f>"18:36:57.500"</f>
        <v>18:36:57.500</v>
      </c>
      <c r="U154" t="str">
        <f t="shared" si="7"/>
        <v>a1cdbe</v>
      </c>
      <c r="V154">
        <v>0</v>
      </c>
      <c r="W154">
        <v>0</v>
      </c>
      <c r="X154">
        <v>1</v>
      </c>
      <c r="Y154">
        <v>0</v>
      </c>
      <c r="Z154">
        <v>0</v>
      </c>
      <c r="AB154">
        <v>0</v>
      </c>
      <c r="AC154">
        <v>9</v>
      </c>
      <c r="AD154">
        <v>3</v>
      </c>
      <c r="AE154">
        <v>0</v>
      </c>
      <c r="AF154">
        <v>9</v>
      </c>
      <c r="AG154" t="s">
        <v>158</v>
      </c>
      <c r="AH154">
        <v>0</v>
      </c>
      <c r="AI154">
        <v>3</v>
      </c>
      <c r="AJ154">
        <v>1</v>
      </c>
      <c r="AK154">
        <v>0</v>
      </c>
      <c r="AL154" t="s">
        <v>395</v>
      </c>
      <c r="AM154">
        <v>47.082917999999999</v>
      </c>
      <c r="AN154" t="s">
        <v>396</v>
      </c>
      <c r="AO154">
        <v>-122.275836</v>
      </c>
      <c r="AP154">
        <v>100</v>
      </c>
      <c r="AQ154">
        <v>2100</v>
      </c>
      <c r="AR154" t="s">
        <v>118</v>
      </c>
      <c r="AS154">
        <v>-13</v>
      </c>
      <c r="AT154">
        <v>-84</v>
      </c>
      <c r="AU154">
        <v>-128</v>
      </c>
      <c r="BC154">
        <v>1200</v>
      </c>
      <c r="BD154">
        <v>1</v>
      </c>
      <c r="BE154" t="str">
        <f t="shared" si="8"/>
        <v xml:space="preserve">N215T   </v>
      </c>
      <c r="BF154">
        <v>1</v>
      </c>
      <c r="BH154">
        <v>0</v>
      </c>
      <c r="BI154">
        <v>0</v>
      </c>
      <c r="BJ154">
        <v>0</v>
      </c>
      <c r="BK154">
        <v>2475</v>
      </c>
      <c r="BL154">
        <v>375</v>
      </c>
      <c r="BM154" t="s">
        <v>119</v>
      </c>
      <c r="BN154">
        <v>1</v>
      </c>
      <c r="BO154">
        <v>1</v>
      </c>
      <c r="BP154">
        <v>1</v>
      </c>
      <c r="BQ154">
        <v>0</v>
      </c>
      <c r="BT154">
        <v>0</v>
      </c>
      <c r="BU154">
        <v>0</v>
      </c>
      <c r="BV154">
        <v>0</v>
      </c>
      <c r="CC154" t="str">
        <f>"18:36:58.008"</f>
        <v>18:36:58.008</v>
      </c>
      <c r="CD154" t="str">
        <f>"005143784"</f>
        <v>005143784</v>
      </c>
      <c r="CQ154">
        <v>0</v>
      </c>
      <c r="CR154">
        <v>2</v>
      </c>
      <c r="CS154">
        <v>0</v>
      </c>
      <c r="CT154">
        <v>2</v>
      </c>
      <c r="CU154">
        <v>0</v>
      </c>
      <c r="CV154">
        <v>5</v>
      </c>
      <c r="CW154" t="s">
        <v>120</v>
      </c>
      <c r="CX154">
        <v>259</v>
      </c>
      <c r="CY154">
        <v>1</v>
      </c>
      <c r="CZ154" t="s">
        <v>197</v>
      </c>
      <c r="DA154" t="s">
        <v>198</v>
      </c>
      <c r="DD154">
        <v>14722296</v>
      </c>
      <c r="DE154" t="s">
        <v>123</v>
      </c>
    </row>
    <row r="155" spans="1:109" x14ac:dyDescent="0.3">
      <c r="A155" t="str">
        <f>"18:36:59.320"</f>
        <v>18:36:59.320</v>
      </c>
      <c r="B155" t="s">
        <v>110</v>
      </c>
      <c r="C155" t="str">
        <f t="shared" si="6"/>
        <v>ffdfd3c0</v>
      </c>
      <c r="D155" t="s">
        <v>111</v>
      </c>
      <c r="E155">
        <v>18</v>
      </c>
      <c r="F155">
        <v>1018</v>
      </c>
      <c r="G155" t="s">
        <v>112</v>
      </c>
      <c r="J155" t="s">
        <v>113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R155" t="s">
        <v>114</v>
      </c>
      <c r="S155" t="str">
        <f>"18:36:59.063"</f>
        <v>18:36:59.063</v>
      </c>
      <c r="T155" t="str">
        <f>"18:36:58.461"</f>
        <v>18:36:58.461</v>
      </c>
      <c r="U155" t="str">
        <f t="shared" si="7"/>
        <v>a1cdbe</v>
      </c>
      <c r="V155">
        <v>0</v>
      </c>
      <c r="W155">
        <v>0</v>
      </c>
      <c r="X155">
        <v>1</v>
      </c>
      <c r="Y155">
        <v>0</v>
      </c>
      <c r="Z155">
        <v>0</v>
      </c>
      <c r="AB155">
        <v>0</v>
      </c>
      <c r="AC155">
        <v>9</v>
      </c>
      <c r="AD155">
        <v>3</v>
      </c>
      <c r="AE155">
        <v>0</v>
      </c>
      <c r="AF155">
        <v>9</v>
      </c>
      <c r="AG155" t="s">
        <v>158</v>
      </c>
      <c r="AH155">
        <v>0</v>
      </c>
      <c r="AI155">
        <v>3</v>
      </c>
      <c r="AJ155">
        <v>1</v>
      </c>
      <c r="AK155">
        <v>0</v>
      </c>
      <c r="AL155" t="s">
        <v>397</v>
      </c>
      <c r="AM155">
        <v>47.082509999999999</v>
      </c>
      <c r="AN155" t="s">
        <v>398</v>
      </c>
      <c r="AO155">
        <v>-122.27592199999999</v>
      </c>
      <c r="AP155">
        <v>100</v>
      </c>
      <c r="AQ155">
        <v>2100</v>
      </c>
      <c r="AR155" t="s">
        <v>118</v>
      </c>
      <c r="AS155">
        <v>-13</v>
      </c>
      <c r="AT155">
        <v>-83</v>
      </c>
      <c r="AU155">
        <v>-64</v>
      </c>
      <c r="BC155">
        <v>1200</v>
      </c>
      <c r="BD155">
        <v>1</v>
      </c>
      <c r="BE155" t="str">
        <f t="shared" si="8"/>
        <v xml:space="preserve">N215T   </v>
      </c>
      <c r="BF155">
        <v>1</v>
      </c>
      <c r="BH155">
        <v>0</v>
      </c>
      <c r="BI155">
        <v>0</v>
      </c>
      <c r="BJ155">
        <v>0</v>
      </c>
      <c r="BK155">
        <v>2450</v>
      </c>
      <c r="BL155">
        <v>350</v>
      </c>
      <c r="BM155" t="s">
        <v>119</v>
      </c>
      <c r="BN155">
        <v>1</v>
      </c>
      <c r="BO155">
        <v>1</v>
      </c>
      <c r="BP155">
        <v>1</v>
      </c>
      <c r="BQ155">
        <v>0</v>
      </c>
      <c r="BT155">
        <v>0</v>
      </c>
      <c r="BU155">
        <v>0</v>
      </c>
      <c r="BV155">
        <v>0</v>
      </c>
      <c r="CC155" t="str">
        <f>"18:36:59.070"</f>
        <v>18:36:59.070</v>
      </c>
      <c r="CD155" t="str">
        <f>"070039096"</f>
        <v>070039096</v>
      </c>
      <c r="CQ155">
        <v>0</v>
      </c>
      <c r="CR155">
        <v>2</v>
      </c>
      <c r="CS155">
        <v>0</v>
      </c>
      <c r="CT155">
        <v>2</v>
      </c>
      <c r="CU155">
        <v>0</v>
      </c>
      <c r="CV155">
        <v>5</v>
      </c>
      <c r="CW155" t="s">
        <v>120</v>
      </c>
      <c r="CX155">
        <v>259</v>
      </c>
      <c r="CY155">
        <v>1</v>
      </c>
      <c r="CZ155" t="s">
        <v>197</v>
      </c>
      <c r="DA155" t="s">
        <v>198</v>
      </c>
      <c r="DD155">
        <v>14722961</v>
      </c>
      <c r="DE155" t="s">
        <v>123</v>
      </c>
    </row>
    <row r="156" spans="1:109" x14ac:dyDescent="0.3">
      <c r="A156" t="str">
        <f>"18:37:00.320"</f>
        <v>18:37:00.320</v>
      </c>
      <c r="B156" t="s">
        <v>110</v>
      </c>
      <c r="C156" t="str">
        <f t="shared" si="6"/>
        <v>ffdfd3c0</v>
      </c>
      <c r="D156" t="s">
        <v>111</v>
      </c>
      <c r="E156">
        <v>18</v>
      </c>
      <c r="F156">
        <v>1018</v>
      </c>
      <c r="G156" t="s">
        <v>112</v>
      </c>
      <c r="J156" t="s">
        <v>113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R156" t="s">
        <v>114</v>
      </c>
      <c r="S156" t="str">
        <f>"18:37:00.086"</f>
        <v>18:37:00.086</v>
      </c>
      <c r="T156" t="str">
        <f>"18:36:59.883"</f>
        <v>18:36:59.883</v>
      </c>
      <c r="U156" t="str">
        <f t="shared" si="7"/>
        <v>a1cdbe</v>
      </c>
      <c r="V156">
        <v>0</v>
      </c>
      <c r="W156">
        <v>0</v>
      </c>
      <c r="X156">
        <v>1</v>
      </c>
      <c r="Y156">
        <v>0</v>
      </c>
      <c r="Z156">
        <v>0</v>
      </c>
      <c r="AB156">
        <v>0</v>
      </c>
      <c r="AC156">
        <v>9</v>
      </c>
      <c r="AD156">
        <v>3</v>
      </c>
      <c r="AE156">
        <v>0</v>
      </c>
      <c r="AF156">
        <v>9</v>
      </c>
      <c r="AG156" t="s">
        <v>158</v>
      </c>
      <c r="AH156">
        <v>0</v>
      </c>
      <c r="AI156">
        <v>3</v>
      </c>
      <c r="AJ156">
        <v>1</v>
      </c>
      <c r="AK156">
        <v>0</v>
      </c>
      <c r="AL156" t="s">
        <v>399</v>
      </c>
      <c r="AM156">
        <v>47.082144999999997</v>
      </c>
      <c r="AN156" t="s">
        <v>400</v>
      </c>
      <c r="AO156">
        <v>-122.275987</v>
      </c>
      <c r="AP156">
        <v>100</v>
      </c>
      <c r="AQ156">
        <v>2100</v>
      </c>
      <c r="AR156" t="s">
        <v>118</v>
      </c>
      <c r="AS156">
        <v>-13</v>
      </c>
      <c r="AT156">
        <v>-83</v>
      </c>
      <c r="AU156">
        <v>-64</v>
      </c>
      <c r="BC156">
        <v>1200</v>
      </c>
      <c r="BD156">
        <v>1</v>
      </c>
      <c r="BE156" t="str">
        <f t="shared" si="8"/>
        <v xml:space="preserve">N215T   </v>
      </c>
      <c r="BF156">
        <v>1</v>
      </c>
      <c r="BH156">
        <v>0</v>
      </c>
      <c r="BI156">
        <v>0</v>
      </c>
      <c r="BJ156">
        <v>0</v>
      </c>
      <c r="BK156">
        <v>2450</v>
      </c>
      <c r="BL156">
        <v>350</v>
      </c>
      <c r="BM156" t="s">
        <v>119</v>
      </c>
      <c r="BN156">
        <v>1</v>
      </c>
      <c r="BO156">
        <v>1</v>
      </c>
      <c r="BP156">
        <v>1</v>
      </c>
      <c r="BQ156">
        <v>0</v>
      </c>
      <c r="BT156">
        <v>0</v>
      </c>
      <c r="BU156">
        <v>0</v>
      </c>
      <c r="BV156">
        <v>0</v>
      </c>
      <c r="CC156" t="str">
        <f>"18:37:00.086"</f>
        <v>18:37:00.086</v>
      </c>
      <c r="CD156" t="str">
        <f>"089832372"</f>
        <v>089832372</v>
      </c>
      <c r="CQ156">
        <v>0</v>
      </c>
      <c r="CR156">
        <v>2</v>
      </c>
      <c r="CS156">
        <v>0</v>
      </c>
      <c r="CT156">
        <v>2</v>
      </c>
      <c r="CU156">
        <v>0</v>
      </c>
      <c r="CV156">
        <v>5</v>
      </c>
      <c r="CW156" t="s">
        <v>120</v>
      </c>
      <c r="CX156">
        <v>261</v>
      </c>
      <c r="CY156">
        <v>1</v>
      </c>
      <c r="CZ156" t="s">
        <v>121</v>
      </c>
      <c r="DA156" t="s">
        <v>122</v>
      </c>
      <c r="DD156">
        <v>3181512</v>
      </c>
      <c r="DE156" t="s">
        <v>123</v>
      </c>
    </row>
    <row r="157" spans="1:109" x14ac:dyDescent="0.3">
      <c r="A157" t="str">
        <f>"18:37:01.281"</f>
        <v>18:37:01.281</v>
      </c>
      <c r="B157" t="s">
        <v>110</v>
      </c>
      <c r="C157" t="str">
        <f t="shared" si="6"/>
        <v>ffdfd3c0</v>
      </c>
      <c r="D157" t="s">
        <v>111</v>
      </c>
      <c r="E157">
        <v>18</v>
      </c>
      <c r="F157">
        <v>1018</v>
      </c>
      <c r="G157" t="s">
        <v>112</v>
      </c>
      <c r="J157" t="s">
        <v>113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R157" t="s">
        <v>114</v>
      </c>
      <c r="S157" t="str">
        <f>"18:37:01.031"</f>
        <v>18:37:01.031</v>
      </c>
      <c r="T157" t="str">
        <f>"18:37:00.930"</f>
        <v>18:37:00.930</v>
      </c>
      <c r="U157" t="str">
        <f t="shared" si="7"/>
        <v>a1cdbe</v>
      </c>
      <c r="V157">
        <v>0</v>
      </c>
      <c r="W157">
        <v>0</v>
      </c>
      <c r="X157">
        <v>1</v>
      </c>
      <c r="Y157">
        <v>0</v>
      </c>
      <c r="Z157">
        <v>0</v>
      </c>
      <c r="AB157">
        <v>0</v>
      </c>
      <c r="AC157">
        <v>9</v>
      </c>
      <c r="AD157">
        <v>3</v>
      </c>
      <c r="AE157">
        <v>0</v>
      </c>
      <c r="AF157">
        <v>9</v>
      </c>
      <c r="AG157" t="s">
        <v>158</v>
      </c>
      <c r="AH157">
        <v>0</v>
      </c>
      <c r="AI157">
        <v>3</v>
      </c>
      <c r="AJ157">
        <v>1</v>
      </c>
      <c r="AK157">
        <v>0</v>
      </c>
      <c r="AL157" t="s">
        <v>401</v>
      </c>
      <c r="AM157">
        <v>47.081758999999998</v>
      </c>
      <c r="AN157" t="s">
        <v>402</v>
      </c>
      <c r="AO157">
        <v>-122.276073</v>
      </c>
      <c r="AP157">
        <v>100</v>
      </c>
      <c r="AQ157">
        <v>2100</v>
      </c>
      <c r="AR157" t="s">
        <v>118</v>
      </c>
      <c r="AS157">
        <v>-13</v>
      </c>
      <c r="AT157">
        <v>-83</v>
      </c>
      <c r="AU157">
        <v>0</v>
      </c>
      <c r="BC157">
        <v>1200</v>
      </c>
      <c r="BD157">
        <v>1</v>
      </c>
      <c r="BE157" t="str">
        <f t="shared" si="8"/>
        <v xml:space="preserve">N215T   </v>
      </c>
      <c r="BF157">
        <v>1</v>
      </c>
      <c r="BH157">
        <v>0</v>
      </c>
      <c r="BI157">
        <v>0</v>
      </c>
      <c r="BJ157">
        <v>0</v>
      </c>
      <c r="BK157">
        <v>2450</v>
      </c>
      <c r="BL157">
        <v>350</v>
      </c>
      <c r="BM157" t="s">
        <v>119</v>
      </c>
      <c r="BN157">
        <v>1</v>
      </c>
      <c r="BO157">
        <v>1</v>
      </c>
      <c r="BP157">
        <v>1</v>
      </c>
      <c r="BQ157">
        <v>0</v>
      </c>
      <c r="BT157">
        <v>0</v>
      </c>
      <c r="BU157">
        <v>0</v>
      </c>
      <c r="BV157">
        <v>0</v>
      </c>
      <c r="CC157" t="str">
        <f>"18:37:01.031"</f>
        <v>18:37:01.031</v>
      </c>
      <c r="CD157" t="str">
        <f>"034845972"</f>
        <v>034845972</v>
      </c>
      <c r="CQ157">
        <v>0</v>
      </c>
      <c r="CR157">
        <v>2</v>
      </c>
      <c r="CS157">
        <v>0</v>
      </c>
      <c r="CT157">
        <v>2</v>
      </c>
      <c r="CU157">
        <v>0</v>
      </c>
      <c r="CV157">
        <v>5</v>
      </c>
      <c r="CW157" t="s">
        <v>120</v>
      </c>
      <c r="CX157">
        <v>259</v>
      </c>
      <c r="CY157">
        <v>1</v>
      </c>
      <c r="CZ157" t="s">
        <v>197</v>
      </c>
      <c r="DA157" t="s">
        <v>198</v>
      </c>
      <c r="DD157">
        <v>14724288</v>
      </c>
      <c r="DE157" t="s">
        <v>123</v>
      </c>
    </row>
    <row r="158" spans="1:109" x14ac:dyDescent="0.3">
      <c r="A158" t="str">
        <f>"18:37:02.281"</f>
        <v>18:37:02.281</v>
      </c>
      <c r="B158" t="s">
        <v>110</v>
      </c>
      <c r="C158" t="str">
        <f t="shared" si="6"/>
        <v>ffdfd3c0</v>
      </c>
      <c r="D158" t="s">
        <v>111</v>
      </c>
      <c r="E158">
        <v>18</v>
      </c>
      <c r="F158">
        <v>1018</v>
      </c>
      <c r="G158" t="s">
        <v>112</v>
      </c>
      <c r="J158" t="s">
        <v>113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R158" t="s">
        <v>114</v>
      </c>
      <c r="S158" t="str">
        <f>"18:37:02.063"</f>
        <v>18:37:02.063</v>
      </c>
      <c r="T158" t="str">
        <f>"18:37:01.859"</f>
        <v>18:37:01.859</v>
      </c>
      <c r="U158" t="str">
        <f t="shared" si="7"/>
        <v>a1cdbe</v>
      </c>
      <c r="V158">
        <v>0</v>
      </c>
      <c r="W158">
        <v>0</v>
      </c>
      <c r="X158">
        <v>1</v>
      </c>
      <c r="Y158">
        <v>0</v>
      </c>
      <c r="Z158">
        <v>0</v>
      </c>
      <c r="AB158">
        <v>0</v>
      </c>
      <c r="AC158">
        <v>9</v>
      </c>
      <c r="AD158">
        <v>3</v>
      </c>
      <c r="AE158">
        <v>0</v>
      </c>
      <c r="AF158">
        <v>9</v>
      </c>
      <c r="AG158" t="s">
        <v>158</v>
      </c>
      <c r="AH158">
        <v>0</v>
      </c>
      <c r="AI158">
        <v>3</v>
      </c>
      <c r="AJ158">
        <v>1</v>
      </c>
      <c r="AK158">
        <v>0</v>
      </c>
      <c r="AL158" t="s">
        <v>403</v>
      </c>
      <c r="AM158">
        <v>47.081350999999998</v>
      </c>
      <c r="AN158" t="s">
        <v>404</v>
      </c>
      <c r="AO158">
        <v>-122.27618</v>
      </c>
      <c r="AP158">
        <v>100</v>
      </c>
      <c r="AQ158">
        <v>2100</v>
      </c>
      <c r="AR158" t="s">
        <v>118</v>
      </c>
      <c r="AS158">
        <v>-14</v>
      </c>
      <c r="AT158">
        <v>-82</v>
      </c>
      <c r="AU158">
        <v>-128</v>
      </c>
      <c r="BC158">
        <v>1200</v>
      </c>
      <c r="BD158">
        <v>1</v>
      </c>
      <c r="BE158" t="str">
        <f t="shared" si="8"/>
        <v xml:space="preserve">N215T   </v>
      </c>
      <c r="BF158">
        <v>1</v>
      </c>
      <c r="BH158">
        <v>0</v>
      </c>
      <c r="BI158">
        <v>0</v>
      </c>
      <c r="BJ158">
        <v>0</v>
      </c>
      <c r="BK158">
        <v>2450</v>
      </c>
      <c r="BL158">
        <v>350</v>
      </c>
      <c r="BM158" t="s">
        <v>119</v>
      </c>
      <c r="BN158">
        <v>1</v>
      </c>
      <c r="BO158">
        <v>1</v>
      </c>
      <c r="BP158">
        <v>1</v>
      </c>
      <c r="BQ158">
        <v>0</v>
      </c>
      <c r="BT158">
        <v>0</v>
      </c>
      <c r="BU158">
        <v>0</v>
      </c>
      <c r="BV158">
        <v>0</v>
      </c>
      <c r="CC158" t="str">
        <f>"18:37:02.070"</f>
        <v>18:37:02.070</v>
      </c>
      <c r="CD158" t="str">
        <f>"069744244"</f>
        <v>069744244</v>
      </c>
      <c r="CQ158">
        <v>0</v>
      </c>
      <c r="CR158">
        <v>2</v>
      </c>
      <c r="CS158">
        <v>0</v>
      </c>
      <c r="CT158">
        <v>2</v>
      </c>
      <c r="CU158">
        <v>0</v>
      </c>
      <c r="CV158">
        <v>5</v>
      </c>
      <c r="CW158" t="s">
        <v>120</v>
      </c>
      <c r="CX158">
        <v>259</v>
      </c>
      <c r="CY158">
        <v>1</v>
      </c>
      <c r="CZ158" t="s">
        <v>197</v>
      </c>
      <c r="DA158" t="s">
        <v>198</v>
      </c>
      <c r="DD158">
        <v>14724984</v>
      </c>
      <c r="DE158" t="s">
        <v>123</v>
      </c>
    </row>
    <row r="159" spans="1:109" x14ac:dyDescent="0.3">
      <c r="A159" t="str">
        <f>"18:37:03.289"</f>
        <v>18:37:03.289</v>
      </c>
      <c r="B159" t="s">
        <v>110</v>
      </c>
      <c r="C159" t="str">
        <f t="shared" si="6"/>
        <v>ffdfd3c0</v>
      </c>
      <c r="D159" t="s">
        <v>111</v>
      </c>
      <c r="E159">
        <v>18</v>
      </c>
      <c r="F159">
        <v>1018</v>
      </c>
      <c r="G159" t="s">
        <v>112</v>
      </c>
      <c r="J159" t="s">
        <v>113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R159" t="s">
        <v>114</v>
      </c>
      <c r="S159" t="str">
        <f>"18:37:03.070"</f>
        <v>18:37:03.070</v>
      </c>
      <c r="T159" t="str">
        <f>"18:37:02.867"</f>
        <v>18:37:02.867</v>
      </c>
      <c r="U159" t="str">
        <f t="shared" si="7"/>
        <v>a1cdbe</v>
      </c>
      <c r="V159">
        <v>0</v>
      </c>
      <c r="W159">
        <v>0</v>
      </c>
      <c r="X159">
        <v>1</v>
      </c>
      <c r="Y159">
        <v>0</v>
      </c>
      <c r="Z159">
        <v>0</v>
      </c>
      <c r="AB159">
        <v>0</v>
      </c>
      <c r="AC159">
        <v>9</v>
      </c>
      <c r="AD159">
        <v>3</v>
      </c>
      <c r="AE159">
        <v>0</v>
      </c>
      <c r="AF159">
        <v>9</v>
      </c>
      <c r="AG159" t="s">
        <v>158</v>
      </c>
      <c r="AH159">
        <v>0</v>
      </c>
      <c r="AI159">
        <v>3</v>
      </c>
      <c r="AJ159">
        <v>1</v>
      </c>
      <c r="AK159">
        <v>0</v>
      </c>
      <c r="AL159" t="s">
        <v>405</v>
      </c>
      <c r="AM159">
        <v>47.080986000000003</v>
      </c>
      <c r="AN159" t="s">
        <v>406</v>
      </c>
      <c r="AO159">
        <v>-122.276287</v>
      </c>
      <c r="AP159">
        <v>100</v>
      </c>
      <c r="AQ159">
        <v>2100</v>
      </c>
      <c r="AR159" t="s">
        <v>118</v>
      </c>
      <c r="AS159">
        <v>-14</v>
      </c>
      <c r="AT159">
        <v>-82</v>
      </c>
      <c r="AU159">
        <v>64</v>
      </c>
      <c r="BC159">
        <v>1200</v>
      </c>
      <c r="BD159">
        <v>1</v>
      </c>
      <c r="BE159" t="str">
        <f t="shared" si="8"/>
        <v xml:space="preserve">N215T   </v>
      </c>
      <c r="BF159">
        <v>1</v>
      </c>
      <c r="BH159">
        <v>0</v>
      </c>
      <c r="BI159">
        <v>0</v>
      </c>
      <c r="BJ159">
        <v>0</v>
      </c>
      <c r="BK159">
        <v>2450</v>
      </c>
      <c r="BL159">
        <v>350</v>
      </c>
      <c r="BM159" t="s">
        <v>119</v>
      </c>
      <c r="BN159">
        <v>1</v>
      </c>
      <c r="BO159">
        <v>1</v>
      </c>
      <c r="BP159">
        <v>1</v>
      </c>
      <c r="BQ159">
        <v>0</v>
      </c>
      <c r="BT159">
        <v>0</v>
      </c>
      <c r="BU159">
        <v>0</v>
      </c>
      <c r="BV159">
        <v>0</v>
      </c>
      <c r="CC159" t="str">
        <f>"18:37:03.078"</f>
        <v>18:37:03.078</v>
      </c>
      <c r="CD159" t="str">
        <f>"074538829"</f>
        <v>074538829</v>
      </c>
      <c r="CQ159">
        <v>0</v>
      </c>
      <c r="CR159">
        <v>2</v>
      </c>
      <c r="CS159">
        <v>0</v>
      </c>
      <c r="CT159">
        <v>2</v>
      </c>
      <c r="CU159">
        <v>0</v>
      </c>
      <c r="CV159">
        <v>5</v>
      </c>
      <c r="CW159" t="s">
        <v>120</v>
      </c>
      <c r="CX159">
        <v>261</v>
      </c>
      <c r="CY159">
        <v>1</v>
      </c>
      <c r="CZ159" t="s">
        <v>121</v>
      </c>
      <c r="DA159" t="s">
        <v>122</v>
      </c>
      <c r="DD159">
        <v>3183243</v>
      </c>
      <c r="DE159" t="s">
        <v>123</v>
      </c>
    </row>
    <row r="160" spans="1:109" x14ac:dyDescent="0.3">
      <c r="A160" t="str">
        <f>"18:37:04.242"</f>
        <v>18:37:04.242</v>
      </c>
      <c r="B160" t="s">
        <v>110</v>
      </c>
      <c r="C160" t="str">
        <f t="shared" si="6"/>
        <v>ffdfd3c0</v>
      </c>
      <c r="D160" t="s">
        <v>111</v>
      </c>
      <c r="E160">
        <v>18</v>
      </c>
      <c r="F160">
        <v>1018</v>
      </c>
      <c r="G160" t="s">
        <v>112</v>
      </c>
      <c r="J160" t="s">
        <v>113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R160" t="s">
        <v>114</v>
      </c>
      <c r="S160" t="str">
        <f>"18:37:04.016"</f>
        <v>18:37:04.016</v>
      </c>
      <c r="T160" t="str">
        <f>"18:37:04.016"</f>
        <v>18:37:04.016</v>
      </c>
      <c r="U160" t="str">
        <f t="shared" si="7"/>
        <v>a1cdbe</v>
      </c>
      <c r="V160">
        <v>0</v>
      </c>
      <c r="W160">
        <v>0</v>
      </c>
      <c r="X160">
        <v>1</v>
      </c>
      <c r="Y160">
        <v>0</v>
      </c>
      <c r="Z160">
        <v>0</v>
      </c>
      <c r="AB160">
        <v>0</v>
      </c>
      <c r="AC160">
        <v>9</v>
      </c>
      <c r="AD160">
        <v>3</v>
      </c>
      <c r="AE160">
        <v>0</v>
      </c>
      <c r="AF160">
        <v>9</v>
      </c>
      <c r="AG160" t="s">
        <v>158</v>
      </c>
      <c r="AH160">
        <v>0</v>
      </c>
      <c r="AI160">
        <v>3</v>
      </c>
      <c r="AJ160">
        <v>1</v>
      </c>
      <c r="AK160">
        <v>0</v>
      </c>
      <c r="AL160" t="s">
        <v>407</v>
      </c>
      <c r="AM160">
        <v>47.080621999999998</v>
      </c>
      <c r="AN160" t="s">
        <v>408</v>
      </c>
      <c r="AO160">
        <v>-122.276394</v>
      </c>
      <c r="AP160">
        <v>100</v>
      </c>
      <c r="AQ160">
        <v>2100</v>
      </c>
      <c r="AR160" t="s">
        <v>118</v>
      </c>
      <c r="AS160">
        <v>-15</v>
      </c>
      <c r="AT160">
        <v>-82</v>
      </c>
      <c r="AU160">
        <v>0</v>
      </c>
      <c r="BC160">
        <v>1200</v>
      </c>
      <c r="BD160">
        <v>1</v>
      </c>
      <c r="BE160" t="str">
        <f t="shared" si="8"/>
        <v xml:space="preserve">N215T   </v>
      </c>
      <c r="BF160">
        <v>1</v>
      </c>
      <c r="BH160">
        <v>0</v>
      </c>
      <c r="BI160">
        <v>0</v>
      </c>
      <c r="BJ160">
        <v>0</v>
      </c>
      <c r="BK160">
        <v>2450</v>
      </c>
      <c r="BL160">
        <v>350</v>
      </c>
      <c r="BM160" t="s">
        <v>119</v>
      </c>
      <c r="BN160">
        <v>1</v>
      </c>
      <c r="BO160">
        <v>1</v>
      </c>
      <c r="BP160">
        <v>1</v>
      </c>
      <c r="BQ160">
        <v>0</v>
      </c>
      <c r="BT160">
        <v>0</v>
      </c>
      <c r="BU160">
        <v>0</v>
      </c>
      <c r="BV160">
        <v>0</v>
      </c>
      <c r="CC160" t="str">
        <f>"18:37:04.016"</f>
        <v>18:37:04.016</v>
      </c>
      <c r="CD160" t="str">
        <f>"019445906"</f>
        <v>019445906</v>
      </c>
      <c r="CQ160">
        <v>0</v>
      </c>
      <c r="CR160">
        <v>2</v>
      </c>
      <c r="CS160">
        <v>0</v>
      </c>
      <c r="CT160">
        <v>2</v>
      </c>
      <c r="CU160">
        <v>0</v>
      </c>
      <c r="CV160">
        <v>5</v>
      </c>
      <c r="CW160" t="s">
        <v>120</v>
      </c>
      <c r="CX160">
        <v>261</v>
      </c>
      <c r="CY160">
        <v>1</v>
      </c>
      <c r="CZ160" t="s">
        <v>121</v>
      </c>
      <c r="DA160" t="s">
        <v>122</v>
      </c>
      <c r="DD160">
        <v>3183753</v>
      </c>
      <c r="DE160" t="s">
        <v>123</v>
      </c>
    </row>
    <row r="161" spans="1:109" x14ac:dyDescent="0.3">
      <c r="A161" t="str">
        <f>"18:37:05.250"</f>
        <v>18:37:05.250</v>
      </c>
      <c r="B161" t="s">
        <v>110</v>
      </c>
      <c r="C161" t="str">
        <f t="shared" si="6"/>
        <v>ffdfd3c0</v>
      </c>
      <c r="D161" t="s">
        <v>111</v>
      </c>
      <c r="E161">
        <v>18</v>
      </c>
      <c r="F161">
        <v>1018</v>
      </c>
      <c r="G161" t="s">
        <v>112</v>
      </c>
      <c r="J161" t="s">
        <v>113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R161" t="s">
        <v>114</v>
      </c>
      <c r="S161" t="str">
        <f>"18:37:05.039"</f>
        <v>18:37:05.039</v>
      </c>
      <c r="T161" t="str">
        <f>"18:37:04.539"</f>
        <v>18:37:04.539</v>
      </c>
      <c r="U161" t="str">
        <f t="shared" si="7"/>
        <v>a1cdbe</v>
      </c>
      <c r="V161">
        <v>0</v>
      </c>
      <c r="W161">
        <v>0</v>
      </c>
      <c r="X161">
        <v>1</v>
      </c>
      <c r="Y161">
        <v>0</v>
      </c>
      <c r="Z161">
        <v>0</v>
      </c>
      <c r="AB161">
        <v>0</v>
      </c>
      <c r="AC161">
        <v>9</v>
      </c>
      <c r="AD161">
        <v>3</v>
      </c>
      <c r="AE161">
        <v>0</v>
      </c>
      <c r="AF161">
        <v>9</v>
      </c>
      <c r="AG161" t="s">
        <v>158</v>
      </c>
      <c r="AH161">
        <v>0</v>
      </c>
      <c r="AI161">
        <v>3</v>
      </c>
      <c r="AJ161">
        <v>1</v>
      </c>
      <c r="AK161">
        <v>0</v>
      </c>
      <c r="AL161" t="s">
        <v>409</v>
      </c>
      <c r="AM161">
        <v>47.080235000000002</v>
      </c>
      <c r="AN161" t="s">
        <v>410</v>
      </c>
      <c r="AO161">
        <v>-122.27650199999999</v>
      </c>
      <c r="AP161">
        <v>100</v>
      </c>
      <c r="AQ161">
        <v>2100</v>
      </c>
      <c r="AR161" t="s">
        <v>118</v>
      </c>
      <c r="AS161">
        <v>-15</v>
      </c>
      <c r="AT161">
        <v>-82</v>
      </c>
      <c r="AU161">
        <v>0</v>
      </c>
      <c r="BC161">
        <v>1200</v>
      </c>
      <c r="BD161">
        <v>1</v>
      </c>
      <c r="BE161" t="str">
        <f t="shared" si="8"/>
        <v xml:space="preserve">N215T   </v>
      </c>
      <c r="BF161">
        <v>1</v>
      </c>
      <c r="BH161">
        <v>0</v>
      </c>
      <c r="BI161">
        <v>0</v>
      </c>
      <c r="BJ161">
        <v>0</v>
      </c>
      <c r="BK161">
        <v>2450</v>
      </c>
      <c r="BL161">
        <v>350</v>
      </c>
      <c r="BM161" t="s">
        <v>119</v>
      </c>
      <c r="BN161">
        <v>1</v>
      </c>
      <c r="BO161">
        <v>1</v>
      </c>
      <c r="BP161">
        <v>1</v>
      </c>
      <c r="BQ161">
        <v>0</v>
      </c>
      <c r="BT161">
        <v>0</v>
      </c>
      <c r="BU161">
        <v>0</v>
      </c>
      <c r="BV161">
        <v>0</v>
      </c>
      <c r="CC161" t="str">
        <f>"18:37:05.039"</f>
        <v>18:37:05.039</v>
      </c>
      <c r="CD161" t="str">
        <f>"039452310"</f>
        <v>039452310</v>
      </c>
      <c r="CQ161">
        <v>0</v>
      </c>
      <c r="CR161">
        <v>2</v>
      </c>
      <c r="CS161">
        <v>0</v>
      </c>
      <c r="CT161">
        <v>2</v>
      </c>
      <c r="CU161">
        <v>0</v>
      </c>
      <c r="CV161">
        <v>5</v>
      </c>
      <c r="CW161" t="s">
        <v>120</v>
      </c>
      <c r="CX161">
        <v>259</v>
      </c>
      <c r="CY161">
        <v>1</v>
      </c>
      <c r="CZ161" t="s">
        <v>197</v>
      </c>
      <c r="DA161" t="s">
        <v>198</v>
      </c>
      <c r="DD161">
        <v>14727014</v>
      </c>
      <c r="DE161" t="s">
        <v>123</v>
      </c>
    </row>
    <row r="162" spans="1:109" x14ac:dyDescent="0.3">
      <c r="A162" t="str">
        <f>"18:37:06.203"</f>
        <v>18:37:06.203</v>
      </c>
      <c r="B162" t="s">
        <v>110</v>
      </c>
      <c r="C162" t="str">
        <f t="shared" si="6"/>
        <v>ffdfd3c0</v>
      </c>
      <c r="D162" t="s">
        <v>111</v>
      </c>
      <c r="E162">
        <v>18</v>
      </c>
      <c r="F162">
        <v>1018</v>
      </c>
      <c r="G162" t="s">
        <v>112</v>
      </c>
      <c r="J162" t="s">
        <v>113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R162" t="s">
        <v>114</v>
      </c>
      <c r="S162" t="str">
        <f>"18:37:05.969"</f>
        <v>18:37:05.969</v>
      </c>
      <c r="T162" t="str">
        <f>"18:37:05.969"</f>
        <v>18:37:05.969</v>
      </c>
      <c r="U162" t="str">
        <f t="shared" si="7"/>
        <v>a1cdbe</v>
      </c>
      <c r="V162">
        <v>0</v>
      </c>
      <c r="W162">
        <v>0</v>
      </c>
      <c r="X162">
        <v>1</v>
      </c>
      <c r="Y162">
        <v>0</v>
      </c>
      <c r="Z162">
        <v>0</v>
      </c>
      <c r="AB162">
        <v>0</v>
      </c>
      <c r="AC162">
        <v>9</v>
      </c>
      <c r="AD162">
        <v>3</v>
      </c>
      <c r="AE162">
        <v>0</v>
      </c>
      <c r="AF162">
        <v>9</v>
      </c>
      <c r="AG162" t="s">
        <v>158</v>
      </c>
      <c r="AH162">
        <v>0</v>
      </c>
      <c r="AI162">
        <v>3</v>
      </c>
      <c r="AJ162">
        <v>1</v>
      </c>
      <c r="AK162">
        <v>0</v>
      </c>
      <c r="AL162" t="s">
        <v>411</v>
      </c>
      <c r="AM162">
        <v>47.079892000000001</v>
      </c>
      <c r="AN162" t="s">
        <v>412</v>
      </c>
      <c r="AO162">
        <v>-122.27658700000001</v>
      </c>
      <c r="AP162">
        <v>100</v>
      </c>
      <c r="AQ162">
        <v>2100</v>
      </c>
      <c r="AR162" t="s">
        <v>118</v>
      </c>
      <c r="AS162">
        <v>-16</v>
      </c>
      <c r="AT162">
        <v>-82</v>
      </c>
      <c r="AU162">
        <v>64</v>
      </c>
      <c r="BC162">
        <v>1200</v>
      </c>
      <c r="BD162">
        <v>1</v>
      </c>
      <c r="BE162" t="str">
        <f t="shared" si="8"/>
        <v xml:space="preserve">N215T   </v>
      </c>
      <c r="BF162">
        <v>1</v>
      </c>
      <c r="BH162">
        <v>0</v>
      </c>
      <c r="BI162">
        <v>0</v>
      </c>
      <c r="BJ162">
        <v>0</v>
      </c>
      <c r="BK162">
        <v>2475</v>
      </c>
      <c r="BL162">
        <v>375</v>
      </c>
      <c r="BM162" t="s">
        <v>119</v>
      </c>
      <c r="BN162">
        <v>1</v>
      </c>
      <c r="BO162">
        <v>1</v>
      </c>
      <c r="BP162">
        <v>1</v>
      </c>
      <c r="BQ162">
        <v>0</v>
      </c>
      <c r="BT162">
        <v>0</v>
      </c>
      <c r="BU162">
        <v>0</v>
      </c>
      <c r="BV162">
        <v>0</v>
      </c>
      <c r="CC162" t="str">
        <f>"18:37:05.969"</f>
        <v>18:37:05.969</v>
      </c>
      <c r="CD162" t="str">
        <f>"969360889"</f>
        <v>969360889</v>
      </c>
      <c r="CQ162">
        <v>0</v>
      </c>
      <c r="CR162">
        <v>2</v>
      </c>
      <c r="CS162">
        <v>0</v>
      </c>
      <c r="CT162">
        <v>2</v>
      </c>
      <c r="CU162">
        <v>0</v>
      </c>
      <c r="CV162">
        <v>5</v>
      </c>
      <c r="CW162" t="s">
        <v>120</v>
      </c>
      <c r="CX162">
        <v>259</v>
      </c>
      <c r="CY162">
        <v>1</v>
      </c>
      <c r="CZ162" t="s">
        <v>197</v>
      </c>
      <c r="DA162" t="s">
        <v>198</v>
      </c>
      <c r="DD162">
        <v>14727636</v>
      </c>
      <c r="DE162" t="s">
        <v>123</v>
      </c>
    </row>
    <row r="163" spans="1:109" x14ac:dyDescent="0.3">
      <c r="A163" t="str">
        <f>"18:37:07.063"</f>
        <v>18:37:07.063</v>
      </c>
      <c r="B163" t="s">
        <v>110</v>
      </c>
      <c r="C163" t="str">
        <f t="shared" si="6"/>
        <v>ffdfd3c0</v>
      </c>
      <c r="D163" t="s">
        <v>111</v>
      </c>
      <c r="E163">
        <v>18</v>
      </c>
      <c r="F163">
        <v>1018</v>
      </c>
      <c r="G163" t="s">
        <v>112</v>
      </c>
      <c r="J163" t="s">
        <v>113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R163" t="s">
        <v>114</v>
      </c>
      <c r="S163" t="str">
        <f>"18:37:06.820"</f>
        <v>18:37:06.820</v>
      </c>
      <c r="T163" t="str">
        <f>"18:37:06.523"</f>
        <v>18:37:06.523</v>
      </c>
      <c r="U163" t="str">
        <f t="shared" si="7"/>
        <v>a1cdbe</v>
      </c>
      <c r="V163">
        <v>0</v>
      </c>
      <c r="W163">
        <v>0</v>
      </c>
      <c r="X163">
        <v>1</v>
      </c>
      <c r="Y163">
        <v>0</v>
      </c>
      <c r="Z163">
        <v>0</v>
      </c>
      <c r="AB163">
        <v>0</v>
      </c>
      <c r="AC163">
        <v>9</v>
      </c>
      <c r="AD163">
        <v>3</v>
      </c>
      <c r="AE163">
        <v>0</v>
      </c>
      <c r="AF163">
        <v>9</v>
      </c>
      <c r="AG163" t="s">
        <v>158</v>
      </c>
      <c r="AH163">
        <v>0</v>
      </c>
      <c r="AI163">
        <v>3</v>
      </c>
      <c r="AJ163">
        <v>1</v>
      </c>
      <c r="AK163">
        <v>0</v>
      </c>
      <c r="AL163" t="s">
        <v>413</v>
      </c>
      <c r="AM163">
        <v>47.079569999999997</v>
      </c>
      <c r="AN163" t="s">
        <v>414</v>
      </c>
      <c r="AO163">
        <v>-122.276673</v>
      </c>
      <c r="AP163">
        <v>100</v>
      </c>
      <c r="AQ163">
        <v>2100</v>
      </c>
      <c r="AR163" t="s">
        <v>118</v>
      </c>
      <c r="AS163">
        <v>-16</v>
      </c>
      <c r="AT163">
        <v>-82</v>
      </c>
      <c r="AU163">
        <v>128</v>
      </c>
      <c r="BC163">
        <v>1200</v>
      </c>
      <c r="BD163">
        <v>1</v>
      </c>
      <c r="BE163" t="str">
        <f t="shared" si="8"/>
        <v xml:space="preserve">N215T   </v>
      </c>
      <c r="BF163">
        <v>1</v>
      </c>
      <c r="BH163">
        <v>0</v>
      </c>
      <c r="BI163">
        <v>0</v>
      </c>
      <c r="BJ163">
        <v>0</v>
      </c>
      <c r="BK163">
        <v>2475</v>
      </c>
      <c r="BL163">
        <v>375</v>
      </c>
      <c r="BM163" t="s">
        <v>119</v>
      </c>
      <c r="BN163">
        <v>1</v>
      </c>
      <c r="BO163">
        <v>1</v>
      </c>
      <c r="BP163">
        <v>1</v>
      </c>
      <c r="BQ163">
        <v>0</v>
      </c>
      <c r="BT163">
        <v>0</v>
      </c>
      <c r="BU163">
        <v>0</v>
      </c>
      <c r="BV163">
        <v>0</v>
      </c>
      <c r="CC163" t="str">
        <f>"18:37:06.820"</f>
        <v>18:37:06.820</v>
      </c>
      <c r="CD163" t="str">
        <f>"824170049"</f>
        <v>824170049</v>
      </c>
      <c r="CQ163">
        <v>0</v>
      </c>
      <c r="CR163">
        <v>2</v>
      </c>
      <c r="CS163">
        <v>0</v>
      </c>
      <c r="CT163">
        <v>2</v>
      </c>
      <c r="CU163">
        <v>0</v>
      </c>
      <c r="CV163">
        <v>4</v>
      </c>
      <c r="CW163" t="s">
        <v>120</v>
      </c>
      <c r="CX163">
        <v>261</v>
      </c>
      <c r="CY163">
        <v>1</v>
      </c>
      <c r="CZ163" t="s">
        <v>121</v>
      </c>
      <c r="DA163" t="s">
        <v>122</v>
      </c>
      <c r="DD163">
        <v>3185431</v>
      </c>
      <c r="DE163" t="s">
        <v>123</v>
      </c>
    </row>
    <row r="164" spans="1:109" x14ac:dyDescent="0.3">
      <c r="A164" t="str">
        <f>"18:37:08.063"</f>
        <v>18:37:08.063</v>
      </c>
      <c r="B164" t="s">
        <v>110</v>
      </c>
      <c r="C164" t="str">
        <f t="shared" si="6"/>
        <v>ffdfd3c0</v>
      </c>
      <c r="D164" t="s">
        <v>111</v>
      </c>
      <c r="E164">
        <v>18</v>
      </c>
      <c r="F164">
        <v>1018</v>
      </c>
      <c r="G164" t="s">
        <v>112</v>
      </c>
      <c r="J164" t="s">
        <v>113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R164" t="s">
        <v>114</v>
      </c>
      <c r="S164" t="str">
        <f>"18:37:07.852"</f>
        <v>18:37:07.852</v>
      </c>
      <c r="T164" t="str">
        <f>"18:37:07.852"</f>
        <v>18:37:07.852</v>
      </c>
      <c r="U164" t="str">
        <f t="shared" si="7"/>
        <v>a1cdbe</v>
      </c>
      <c r="V164">
        <v>0</v>
      </c>
      <c r="W164">
        <v>0</v>
      </c>
      <c r="X164">
        <v>1</v>
      </c>
      <c r="Y164">
        <v>0</v>
      </c>
      <c r="Z164">
        <v>0</v>
      </c>
      <c r="AB164">
        <v>0</v>
      </c>
      <c r="AC164">
        <v>9</v>
      </c>
      <c r="AD164">
        <v>3</v>
      </c>
      <c r="AE164">
        <v>0</v>
      </c>
      <c r="AF164">
        <v>9</v>
      </c>
      <c r="AG164" t="s">
        <v>158</v>
      </c>
      <c r="AH164">
        <v>0</v>
      </c>
      <c r="AI164">
        <v>3</v>
      </c>
      <c r="AJ164">
        <v>1</v>
      </c>
      <c r="AK164">
        <v>0</v>
      </c>
      <c r="AL164" t="s">
        <v>415</v>
      </c>
      <c r="AM164">
        <v>47.079163000000001</v>
      </c>
      <c r="AN164" t="s">
        <v>416</v>
      </c>
      <c r="AO164">
        <v>-122.276781</v>
      </c>
      <c r="AP164">
        <v>100</v>
      </c>
      <c r="AQ164">
        <v>2100</v>
      </c>
      <c r="AR164" t="s">
        <v>118</v>
      </c>
      <c r="AS164">
        <v>-17</v>
      </c>
      <c r="AT164">
        <v>-82</v>
      </c>
      <c r="AU164">
        <v>0</v>
      </c>
      <c r="BC164">
        <v>1200</v>
      </c>
      <c r="BD164">
        <v>1</v>
      </c>
      <c r="BE164" t="str">
        <f t="shared" si="8"/>
        <v xml:space="preserve">N215T   </v>
      </c>
      <c r="BF164">
        <v>1</v>
      </c>
      <c r="BH164">
        <v>0</v>
      </c>
      <c r="BI164">
        <v>0</v>
      </c>
      <c r="BJ164">
        <v>0</v>
      </c>
      <c r="BK164">
        <v>2450</v>
      </c>
      <c r="BL164">
        <v>350</v>
      </c>
      <c r="BM164" t="s">
        <v>119</v>
      </c>
      <c r="BN164">
        <v>1</v>
      </c>
      <c r="BO164">
        <v>1</v>
      </c>
      <c r="BP164">
        <v>1</v>
      </c>
      <c r="BQ164">
        <v>0</v>
      </c>
      <c r="BT164">
        <v>0</v>
      </c>
      <c r="BU164">
        <v>0</v>
      </c>
      <c r="BV164">
        <v>0</v>
      </c>
      <c r="CC164" t="str">
        <f>"18:37:07.859"</f>
        <v>18:37:07.859</v>
      </c>
      <c r="CD164" t="str">
        <f>"859068273"</f>
        <v>859068273</v>
      </c>
      <c r="CQ164">
        <v>0</v>
      </c>
      <c r="CR164">
        <v>2</v>
      </c>
      <c r="CS164">
        <v>0</v>
      </c>
      <c r="CT164">
        <v>2</v>
      </c>
      <c r="CU164">
        <v>0</v>
      </c>
      <c r="CV164">
        <v>5</v>
      </c>
      <c r="CW164" t="s">
        <v>120</v>
      </c>
      <c r="CX164">
        <v>261</v>
      </c>
      <c r="CY164">
        <v>2</v>
      </c>
      <c r="CZ164" t="s">
        <v>121</v>
      </c>
      <c r="DA164" t="s">
        <v>122</v>
      </c>
      <c r="DD164">
        <v>14329875</v>
      </c>
      <c r="DE164" t="s">
        <v>123</v>
      </c>
    </row>
    <row r="165" spans="1:109" x14ac:dyDescent="0.3">
      <c r="A165" t="str">
        <f>"18:37:09.023"</f>
        <v>18:37:09.023</v>
      </c>
      <c r="B165" t="s">
        <v>110</v>
      </c>
      <c r="C165" t="str">
        <f t="shared" si="6"/>
        <v>ffdfd3c0</v>
      </c>
      <c r="D165" t="s">
        <v>111</v>
      </c>
      <c r="E165">
        <v>18</v>
      </c>
      <c r="F165">
        <v>1018</v>
      </c>
      <c r="G165" t="s">
        <v>112</v>
      </c>
      <c r="J165" t="s">
        <v>113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R165" t="s">
        <v>114</v>
      </c>
      <c r="S165" t="str">
        <f>"18:37:08.797"</f>
        <v>18:37:08.797</v>
      </c>
      <c r="T165" t="str">
        <f>"18:37:08.797"</f>
        <v>18:37:08.797</v>
      </c>
      <c r="U165" t="str">
        <f t="shared" si="7"/>
        <v>a1cdbe</v>
      </c>
      <c r="V165">
        <v>0</v>
      </c>
      <c r="W165">
        <v>0</v>
      </c>
      <c r="X165">
        <v>1</v>
      </c>
      <c r="Y165">
        <v>0</v>
      </c>
      <c r="Z165">
        <v>0</v>
      </c>
      <c r="AB165">
        <v>0</v>
      </c>
      <c r="AC165">
        <v>9</v>
      </c>
      <c r="AD165">
        <v>3</v>
      </c>
      <c r="AE165">
        <v>0</v>
      </c>
      <c r="AF165">
        <v>9</v>
      </c>
      <c r="AG165" t="s">
        <v>158</v>
      </c>
      <c r="AH165">
        <v>0</v>
      </c>
      <c r="AI165">
        <v>3</v>
      </c>
      <c r="AJ165">
        <v>1</v>
      </c>
      <c r="AK165">
        <v>0</v>
      </c>
      <c r="AL165" t="s">
        <v>417</v>
      </c>
      <c r="AM165">
        <v>47.078797999999999</v>
      </c>
      <c r="AN165" t="s">
        <v>418</v>
      </c>
      <c r="AO165">
        <v>-122.276866</v>
      </c>
      <c r="AP165">
        <v>100</v>
      </c>
      <c r="AQ165">
        <v>2100</v>
      </c>
      <c r="AR165" t="s">
        <v>118</v>
      </c>
      <c r="AS165">
        <v>-17</v>
      </c>
      <c r="AT165">
        <v>-82</v>
      </c>
      <c r="AU165">
        <v>-64</v>
      </c>
      <c r="BC165">
        <v>1200</v>
      </c>
      <c r="BD165">
        <v>1</v>
      </c>
      <c r="BE165" t="str">
        <f t="shared" si="8"/>
        <v xml:space="preserve">N215T   </v>
      </c>
      <c r="BF165">
        <v>1</v>
      </c>
      <c r="BH165">
        <v>0</v>
      </c>
      <c r="BI165">
        <v>0</v>
      </c>
      <c r="BJ165">
        <v>0</v>
      </c>
      <c r="BK165">
        <v>2475</v>
      </c>
      <c r="BL165">
        <v>375</v>
      </c>
      <c r="BM165" t="s">
        <v>119</v>
      </c>
      <c r="BN165">
        <v>1</v>
      </c>
      <c r="BO165">
        <v>1</v>
      </c>
      <c r="BP165">
        <v>1</v>
      </c>
      <c r="BQ165">
        <v>0</v>
      </c>
      <c r="BT165">
        <v>0</v>
      </c>
      <c r="BU165">
        <v>0</v>
      </c>
      <c r="BV165">
        <v>0</v>
      </c>
      <c r="CC165" t="str">
        <f>"18:37:08.805"</f>
        <v>18:37:08.805</v>
      </c>
      <c r="CD165" t="str">
        <f>"803975314"</f>
        <v>803975314</v>
      </c>
      <c r="CQ165">
        <v>0</v>
      </c>
      <c r="CR165">
        <v>2</v>
      </c>
      <c r="CS165">
        <v>0</v>
      </c>
      <c r="CT165">
        <v>2</v>
      </c>
      <c r="CU165">
        <v>0</v>
      </c>
      <c r="CV165">
        <v>5</v>
      </c>
      <c r="CW165" t="s">
        <v>120</v>
      </c>
      <c r="CX165">
        <v>261</v>
      </c>
      <c r="CY165">
        <v>2</v>
      </c>
      <c r="CZ165" t="s">
        <v>121</v>
      </c>
      <c r="DA165" t="s">
        <v>122</v>
      </c>
      <c r="DD165">
        <v>14330372</v>
      </c>
      <c r="DE165" t="s">
        <v>123</v>
      </c>
    </row>
    <row r="166" spans="1:109" x14ac:dyDescent="0.3">
      <c r="A166" t="str">
        <f>"18:37:10.023"</f>
        <v>18:37:10.023</v>
      </c>
      <c r="B166" t="s">
        <v>110</v>
      </c>
      <c r="C166" t="str">
        <f t="shared" si="6"/>
        <v>ffdfd3c0</v>
      </c>
      <c r="D166" t="s">
        <v>111</v>
      </c>
      <c r="E166">
        <v>18</v>
      </c>
      <c r="F166">
        <v>1018</v>
      </c>
      <c r="G166" t="s">
        <v>112</v>
      </c>
      <c r="J166" t="s">
        <v>113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R166" t="s">
        <v>114</v>
      </c>
      <c r="S166" t="str">
        <f>"18:37:09.820"</f>
        <v>18:37:09.820</v>
      </c>
      <c r="T166" t="str">
        <f>"18:37:09.422"</f>
        <v>18:37:09.422</v>
      </c>
      <c r="U166" t="str">
        <f t="shared" si="7"/>
        <v>a1cdbe</v>
      </c>
      <c r="V166">
        <v>0</v>
      </c>
      <c r="W166">
        <v>0</v>
      </c>
      <c r="X166">
        <v>1</v>
      </c>
      <c r="Y166">
        <v>0</v>
      </c>
      <c r="Z166">
        <v>0</v>
      </c>
      <c r="AB166">
        <v>0</v>
      </c>
      <c r="AC166">
        <v>9</v>
      </c>
      <c r="AD166">
        <v>3</v>
      </c>
      <c r="AE166">
        <v>0</v>
      </c>
      <c r="AF166">
        <v>9</v>
      </c>
      <c r="AG166" t="s">
        <v>158</v>
      </c>
      <c r="AH166">
        <v>0</v>
      </c>
      <c r="AI166">
        <v>3</v>
      </c>
      <c r="AJ166">
        <v>1</v>
      </c>
      <c r="AK166">
        <v>0</v>
      </c>
      <c r="AL166" t="s">
        <v>419</v>
      </c>
      <c r="AM166">
        <v>47.078454000000001</v>
      </c>
      <c r="AN166" t="s">
        <v>420</v>
      </c>
      <c r="AO166">
        <v>-122.276995</v>
      </c>
      <c r="AP166">
        <v>100</v>
      </c>
      <c r="AQ166">
        <v>2100</v>
      </c>
      <c r="AR166" t="s">
        <v>118</v>
      </c>
      <c r="AS166">
        <v>-18</v>
      </c>
      <c r="AT166">
        <v>-82</v>
      </c>
      <c r="AU166">
        <v>-128</v>
      </c>
      <c r="BC166">
        <v>1200</v>
      </c>
      <c r="BD166">
        <v>1</v>
      </c>
      <c r="BE166" t="str">
        <f t="shared" si="8"/>
        <v xml:space="preserve">N215T   </v>
      </c>
      <c r="BF166">
        <v>1</v>
      </c>
      <c r="BH166">
        <v>0</v>
      </c>
      <c r="BI166">
        <v>0</v>
      </c>
      <c r="BJ166">
        <v>0</v>
      </c>
      <c r="BK166">
        <v>2475</v>
      </c>
      <c r="BL166">
        <v>375</v>
      </c>
      <c r="BM166" t="s">
        <v>119</v>
      </c>
      <c r="BN166">
        <v>1</v>
      </c>
      <c r="BO166">
        <v>1</v>
      </c>
      <c r="BP166">
        <v>1</v>
      </c>
      <c r="BQ166">
        <v>0</v>
      </c>
      <c r="BT166">
        <v>0</v>
      </c>
      <c r="BU166">
        <v>0</v>
      </c>
      <c r="BV166">
        <v>0</v>
      </c>
      <c r="CC166" t="str">
        <f>"18:37:09.820"</f>
        <v>18:37:09.820</v>
      </c>
      <c r="CD166" t="str">
        <f>"823875020"</f>
        <v>823875020</v>
      </c>
      <c r="CQ166">
        <v>0</v>
      </c>
      <c r="CR166">
        <v>2</v>
      </c>
      <c r="CS166">
        <v>0</v>
      </c>
      <c r="CT166">
        <v>2</v>
      </c>
      <c r="CU166">
        <v>0</v>
      </c>
      <c r="CV166">
        <v>5</v>
      </c>
      <c r="CW166" t="s">
        <v>120</v>
      </c>
      <c r="CX166">
        <v>261</v>
      </c>
      <c r="CY166">
        <v>2</v>
      </c>
      <c r="CZ166" t="s">
        <v>121</v>
      </c>
      <c r="DA166" t="s">
        <v>122</v>
      </c>
      <c r="DD166">
        <v>14330917</v>
      </c>
      <c r="DE166" t="s">
        <v>123</v>
      </c>
    </row>
    <row r="167" spans="1:109" x14ac:dyDescent="0.3">
      <c r="A167" t="str">
        <f>"18:37:11.133"</f>
        <v>18:37:11.133</v>
      </c>
      <c r="B167" t="s">
        <v>110</v>
      </c>
      <c r="C167" t="str">
        <f t="shared" si="6"/>
        <v>ffdfd3c0</v>
      </c>
      <c r="D167" t="s">
        <v>111</v>
      </c>
      <c r="E167">
        <v>18</v>
      </c>
      <c r="F167">
        <v>1018</v>
      </c>
      <c r="G167" t="s">
        <v>112</v>
      </c>
      <c r="J167" t="s">
        <v>113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R167" t="s">
        <v>114</v>
      </c>
      <c r="S167" t="str">
        <f>"18:37:10.883"</f>
        <v>18:37:10.883</v>
      </c>
      <c r="T167" t="str">
        <f>"18:37:10.383"</f>
        <v>18:37:10.383</v>
      </c>
      <c r="U167" t="str">
        <f t="shared" si="7"/>
        <v>a1cdbe</v>
      </c>
      <c r="V167">
        <v>0</v>
      </c>
      <c r="W167">
        <v>0</v>
      </c>
      <c r="X167">
        <v>1</v>
      </c>
      <c r="Y167">
        <v>0</v>
      </c>
      <c r="Z167">
        <v>0</v>
      </c>
      <c r="AB167">
        <v>0</v>
      </c>
      <c r="AC167">
        <v>9</v>
      </c>
      <c r="AD167">
        <v>3</v>
      </c>
      <c r="AE167">
        <v>0</v>
      </c>
      <c r="AF167">
        <v>9</v>
      </c>
      <c r="AG167" t="s">
        <v>158</v>
      </c>
      <c r="AH167">
        <v>0</v>
      </c>
      <c r="AI167">
        <v>3</v>
      </c>
      <c r="AJ167">
        <v>1</v>
      </c>
      <c r="AK167">
        <v>0</v>
      </c>
      <c r="AL167" t="s">
        <v>421</v>
      </c>
      <c r="AM167">
        <v>47.078068000000002</v>
      </c>
      <c r="AN167" t="s">
        <v>229</v>
      </c>
      <c r="AO167">
        <v>-122.277145</v>
      </c>
      <c r="AP167">
        <v>100</v>
      </c>
      <c r="AQ167">
        <v>2100</v>
      </c>
      <c r="AR167" t="s">
        <v>118</v>
      </c>
      <c r="AS167">
        <v>-18</v>
      </c>
      <c r="AT167">
        <v>-81</v>
      </c>
      <c r="AU167">
        <v>-64</v>
      </c>
      <c r="BC167">
        <v>1200</v>
      </c>
      <c r="BD167">
        <v>1</v>
      </c>
      <c r="BE167" t="str">
        <f t="shared" si="8"/>
        <v xml:space="preserve">N215T   </v>
      </c>
      <c r="BF167">
        <v>1</v>
      </c>
      <c r="BH167">
        <v>0</v>
      </c>
      <c r="BI167">
        <v>0</v>
      </c>
      <c r="BJ167">
        <v>0</v>
      </c>
      <c r="BK167">
        <v>2450</v>
      </c>
      <c r="BL167">
        <v>350</v>
      </c>
      <c r="BM167" t="s">
        <v>119</v>
      </c>
      <c r="BN167">
        <v>1</v>
      </c>
      <c r="BO167">
        <v>1</v>
      </c>
      <c r="BP167">
        <v>1</v>
      </c>
      <c r="BQ167">
        <v>0</v>
      </c>
      <c r="BT167">
        <v>0</v>
      </c>
      <c r="BU167">
        <v>0</v>
      </c>
      <c r="BV167">
        <v>0</v>
      </c>
      <c r="CC167" t="str">
        <f>"18:37:10.891"</f>
        <v>18:37:10.891</v>
      </c>
      <c r="CD167" t="str">
        <f>"888877311"</f>
        <v>888877311</v>
      </c>
      <c r="CQ167">
        <v>0</v>
      </c>
      <c r="CR167">
        <v>2</v>
      </c>
      <c r="CS167">
        <v>0</v>
      </c>
      <c r="CT167">
        <v>2</v>
      </c>
      <c r="CU167">
        <v>0</v>
      </c>
      <c r="CV167">
        <v>5</v>
      </c>
      <c r="CW167" t="s">
        <v>120</v>
      </c>
      <c r="CX167">
        <v>259</v>
      </c>
      <c r="CY167">
        <v>1</v>
      </c>
      <c r="CZ167" t="s">
        <v>197</v>
      </c>
      <c r="DA167" t="s">
        <v>198</v>
      </c>
      <c r="DD167">
        <v>14730933</v>
      </c>
      <c r="DE167" t="s">
        <v>123</v>
      </c>
    </row>
    <row r="168" spans="1:109" x14ac:dyDescent="0.3">
      <c r="A168" t="str">
        <f>"18:37:12.289"</f>
        <v>18:37:12.289</v>
      </c>
      <c r="B168" t="s">
        <v>110</v>
      </c>
      <c r="C168" t="str">
        <f t="shared" si="6"/>
        <v>ffdfd3c0</v>
      </c>
      <c r="D168" t="s">
        <v>111</v>
      </c>
      <c r="E168">
        <v>18</v>
      </c>
      <c r="F168">
        <v>1018</v>
      </c>
      <c r="G168" t="s">
        <v>112</v>
      </c>
      <c r="J168" t="s">
        <v>113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R168" t="s">
        <v>114</v>
      </c>
      <c r="S168" t="str">
        <f>"18:37:12.070"</f>
        <v>18:37:12.070</v>
      </c>
      <c r="T168" t="str">
        <f>"18:37:11.570"</f>
        <v>18:37:11.570</v>
      </c>
      <c r="U168" t="str">
        <f t="shared" si="7"/>
        <v>a1cdbe</v>
      </c>
      <c r="V168">
        <v>0</v>
      </c>
      <c r="W168">
        <v>0</v>
      </c>
      <c r="X168">
        <v>1</v>
      </c>
      <c r="Y168">
        <v>0</v>
      </c>
      <c r="Z168">
        <v>0</v>
      </c>
      <c r="AB168">
        <v>0</v>
      </c>
      <c r="AC168">
        <v>9</v>
      </c>
      <c r="AD168">
        <v>3</v>
      </c>
      <c r="AE168">
        <v>0</v>
      </c>
      <c r="AF168">
        <v>9</v>
      </c>
      <c r="AG168" t="s">
        <v>158</v>
      </c>
      <c r="AH168">
        <v>0</v>
      </c>
      <c r="AI168">
        <v>3</v>
      </c>
      <c r="AJ168">
        <v>1</v>
      </c>
      <c r="AK168">
        <v>0</v>
      </c>
      <c r="AL168" t="s">
        <v>422</v>
      </c>
      <c r="AM168">
        <v>47.077596</v>
      </c>
      <c r="AN168" t="s">
        <v>423</v>
      </c>
      <c r="AO168">
        <v>-122.27727400000001</v>
      </c>
      <c r="AP168">
        <v>100</v>
      </c>
      <c r="AQ168">
        <v>2100</v>
      </c>
      <c r="AR168" t="s">
        <v>118</v>
      </c>
      <c r="AS168">
        <v>-18</v>
      </c>
      <c r="AT168">
        <v>-81</v>
      </c>
      <c r="AU168">
        <v>0</v>
      </c>
      <c r="BC168">
        <v>1200</v>
      </c>
      <c r="BD168">
        <v>1</v>
      </c>
      <c r="BE168" t="str">
        <f t="shared" si="8"/>
        <v xml:space="preserve">N215T   </v>
      </c>
      <c r="BF168">
        <v>1</v>
      </c>
      <c r="BH168">
        <v>0</v>
      </c>
      <c r="BI168">
        <v>0</v>
      </c>
      <c r="BJ168">
        <v>0</v>
      </c>
      <c r="BK168">
        <v>2450</v>
      </c>
      <c r="BL168">
        <v>350</v>
      </c>
      <c r="BM168" t="s">
        <v>119</v>
      </c>
      <c r="BN168">
        <v>1</v>
      </c>
      <c r="BO168">
        <v>1</v>
      </c>
      <c r="BP168">
        <v>1</v>
      </c>
      <c r="BQ168">
        <v>0</v>
      </c>
      <c r="BT168">
        <v>0</v>
      </c>
      <c r="BU168">
        <v>0</v>
      </c>
      <c r="BV168">
        <v>0</v>
      </c>
      <c r="CC168" t="str">
        <f>"18:37:12.070"</f>
        <v>18:37:12.070</v>
      </c>
      <c r="CD168" t="str">
        <f>"073760826"</f>
        <v>073760826</v>
      </c>
      <c r="CQ168">
        <v>0</v>
      </c>
      <c r="CR168">
        <v>2</v>
      </c>
      <c r="CS168">
        <v>0</v>
      </c>
      <c r="CT168">
        <v>2</v>
      </c>
      <c r="CU168">
        <v>0</v>
      </c>
      <c r="CV168">
        <v>5</v>
      </c>
      <c r="CW168" t="s">
        <v>120</v>
      </c>
      <c r="CX168">
        <v>259</v>
      </c>
      <c r="CY168">
        <v>1</v>
      </c>
      <c r="CZ168" t="s">
        <v>197</v>
      </c>
      <c r="DA168" t="s">
        <v>198</v>
      </c>
      <c r="DD168">
        <v>14731710</v>
      </c>
      <c r="DE168" t="s">
        <v>123</v>
      </c>
    </row>
    <row r="169" spans="1:109" x14ac:dyDescent="0.3">
      <c r="A169" t="str">
        <f>"18:37:13.297"</f>
        <v>18:37:13.297</v>
      </c>
      <c r="B169" t="s">
        <v>110</v>
      </c>
      <c r="C169" t="str">
        <f t="shared" si="6"/>
        <v>ffdfd3c0</v>
      </c>
      <c r="D169" t="s">
        <v>111</v>
      </c>
      <c r="E169">
        <v>18</v>
      </c>
      <c r="F169">
        <v>1018</v>
      </c>
      <c r="G169" t="s">
        <v>112</v>
      </c>
      <c r="J169" t="s">
        <v>113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R169" t="s">
        <v>114</v>
      </c>
      <c r="S169" t="str">
        <f>"18:37:13.047"</f>
        <v>18:37:13.047</v>
      </c>
      <c r="T169" t="str">
        <f>"18:37:12.547"</f>
        <v>18:37:12.547</v>
      </c>
      <c r="U169" t="str">
        <f t="shared" si="7"/>
        <v>a1cdbe</v>
      </c>
      <c r="V169">
        <v>0</v>
      </c>
      <c r="W169">
        <v>0</v>
      </c>
      <c r="X169">
        <v>1</v>
      </c>
      <c r="Y169">
        <v>0</v>
      </c>
      <c r="Z169">
        <v>0</v>
      </c>
      <c r="AB169">
        <v>0</v>
      </c>
      <c r="AC169">
        <v>9</v>
      </c>
      <c r="AD169">
        <v>3</v>
      </c>
      <c r="AE169">
        <v>0</v>
      </c>
      <c r="AF169">
        <v>9</v>
      </c>
      <c r="AG169" t="s">
        <v>158</v>
      </c>
      <c r="AH169">
        <v>0</v>
      </c>
      <c r="AI169">
        <v>3</v>
      </c>
      <c r="AJ169">
        <v>1</v>
      </c>
      <c r="AK169">
        <v>0</v>
      </c>
      <c r="AL169" t="s">
        <v>424</v>
      </c>
      <c r="AM169">
        <v>47.077252999999999</v>
      </c>
      <c r="AN169" t="s">
        <v>425</v>
      </c>
      <c r="AO169">
        <v>-122.27740300000001</v>
      </c>
      <c r="AP169">
        <v>100</v>
      </c>
      <c r="AQ169">
        <v>2100</v>
      </c>
      <c r="AR169" t="s">
        <v>118</v>
      </c>
      <c r="AS169">
        <v>-18</v>
      </c>
      <c r="AT169">
        <v>-81</v>
      </c>
      <c r="AU169">
        <v>0</v>
      </c>
      <c r="BC169">
        <v>1200</v>
      </c>
      <c r="BD169">
        <v>1</v>
      </c>
      <c r="BE169" t="str">
        <f t="shared" si="8"/>
        <v xml:space="preserve">N215T   </v>
      </c>
      <c r="BF169">
        <v>1</v>
      </c>
      <c r="BH169">
        <v>0</v>
      </c>
      <c r="BI169">
        <v>0</v>
      </c>
      <c r="BJ169">
        <v>0</v>
      </c>
      <c r="BK169">
        <v>2475</v>
      </c>
      <c r="BL169">
        <v>375</v>
      </c>
      <c r="BM169" t="s">
        <v>119</v>
      </c>
      <c r="BN169">
        <v>1</v>
      </c>
      <c r="BO169">
        <v>1</v>
      </c>
      <c r="BP169">
        <v>1</v>
      </c>
      <c r="BQ169">
        <v>0</v>
      </c>
      <c r="BT169">
        <v>0</v>
      </c>
      <c r="BU169">
        <v>0</v>
      </c>
      <c r="BV169">
        <v>0</v>
      </c>
      <c r="CC169" t="str">
        <f>"18:37:13.047"</f>
        <v>18:37:13.047</v>
      </c>
      <c r="CD169" t="str">
        <f>"048557872"</f>
        <v>048557872</v>
      </c>
      <c r="CQ169">
        <v>0</v>
      </c>
      <c r="CR169">
        <v>2</v>
      </c>
      <c r="CS169">
        <v>0</v>
      </c>
      <c r="CT169">
        <v>2</v>
      </c>
      <c r="CU169">
        <v>0</v>
      </c>
      <c r="CV169">
        <v>5</v>
      </c>
      <c r="CW169" t="s">
        <v>120</v>
      </c>
      <c r="CX169">
        <v>261</v>
      </c>
      <c r="CY169">
        <v>2</v>
      </c>
      <c r="CZ169" t="s">
        <v>121</v>
      </c>
      <c r="DA169" t="s">
        <v>122</v>
      </c>
      <c r="DD169">
        <v>14332614</v>
      </c>
      <c r="DE169" t="s">
        <v>123</v>
      </c>
    </row>
    <row r="170" spans="1:109" x14ac:dyDescent="0.3">
      <c r="A170" t="str">
        <f>"18:37:14.250"</f>
        <v>18:37:14.250</v>
      </c>
      <c r="B170" t="s">
        <v>110</v>
      </c>
      <c r="C170" t="str">
        <f t="shared" si="6"/>
        <v>ffdfd3c0</v>
      </c>
      <c r="D170" t="s">
        <v>111</v>
      </c>
      <c r="E170">
        <v>18</v>
      </c>
      <c r="F170">
        <v>1018</v>
      </c>
      <c r="G170" t="s">
        <v>112</v>
      </c>
      <c r="J170" t="s">
        <v>113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R170" t="s">
        <v>114</v>
      </c>
      <c r="S170" t="str">
        <f>"18:37:14.023"</f>
        <v>18:37:14.023</v>
      </c>
      <c r="T170" t="str">
        <f>"18:37:13.625"</f>
        <v>18:37:13.625</v>
      </c>
      <c r="U170" t="str">
        <f t="shared" si="7"/>
        <v>a1cdbe</v>
      </c>
      <c r="V170">
        <v>0</v>
      </c>
      <c r="W170">
        <v>0</v>
      </c>
      <c r="X170">
        <v>1</v>
      </c>
      <c r="Y170">
        <v>0</v>
      </c>
      <c r="Z170">
        <v>0</v>
      </c>
      <c r="AB170">
        <v>0</v>
      </c>
      <c r="AC170">
        <v>9</v>
      </c>
      <c r="AD170">
        <v>3</v>
      </c>
      <c r="AE170">
        <v>0</v>
      </c>
      <c r="AF170">
        <v>9</v>
      </c>
      <c r="AG170" t="s">
        <v>158</v>
      </c>
      <c r="AH170">
        <v>0</v>
      </c>
      <c r="AI170">
        <v>3</v>
      </c>
      <c r="AJ170">
        <v>1</v>
      </c>
      <c r="AK170">
        <v>0</v>
      </c>
      <c r="AL170" t="s">
        <v>426</v>
      </c>
      <c r="AM170">
        <v>47.076867</v>
      </c>
      <c r="AN170" t="s">
        <v>427</v>
      </c>
      <c r="AO170">
        <v>-122.277553</v>
      </c>
      <c r="AP170">
        <v>100</v>
      </c>
      <c r="AQ170">
        <v>2100</v>
      </c>
      <c r="AR170" t="s">
        <v>118</v>
      </c>
      <c r="AS170">
        <v>-17</v>
      </c>
      <c r="AT170">
        <v>-81</v>
      </c>
      <c r="AU170">
        <v>0</v>
      </c>
      <c r="BC170">
        <v>1200</v>
      </c>
      <c r="BD170">
        <v>1</v>
      </c>
      <c r="BE170" t="str">
        <f t="shared" si="8"/>
        <v xml:space="preserve">N215T   </v>
      </c>
      <c r="BF170">
        <v>1</v>
      </c>
      <c r="BH170">
        <v>0</v>
      </c>
      <c r="BI170">
        <v>0</v>
      </c>
      <c r="BJ170">
        <v>0</v>
      </c>
      <c r="BK170">
        <v>2475</v>
      </c>
      <c r="BL170">
        <v>375</v>
      </c>
      <c r="BM170" t="s">
        <v>119</v>
      </c>
      <c r="BN170">
        <v>1</v>
      </c>
      <c r="BO170">
        <v>1</v>
      </c>
      <c r="BP170">
        <v>1</v>
      </c>
      <c r="BQ170">
        <v>0</v>
      </c>
      <c r="BT170">
        <v>0</v>
      </c>
      <c r="BU170">
        <v>0</v>
      </c>
      <c r="BV170">
        <v>0</v>
      </c>
      <c r="CC170" t="str">
        <f>"18:37:14.023"</f>
        <v>18:37:14.023</v>
      </c>
      <c r="CD170" t="str">
        <f>"023569152"</f>
        <v>023569152</v>
      </c>
      <c r="CQ170">
        <v>0</v>
      </c>
      <c r="CR170">
        <v>2</v>
      </c>
      <c r="CS170">
        <v>0</v>
      </c>
      <c r="CT170">
        <v>2</v>
      </c>
      <c r="CU170">
        <v>0</v>
      </c>
      <c r="CV170">
        <v>5</v>
      </c>
      <c r="CW170" t="s">
        <v>120</v>
      </c>
      <c r="CX170">
        <v>259</v>
      </c>
      <c r="CY170">
        <v>1</v>
      </c>
      <c r="CZ170" t="s">
        <v>197</v>
      </c>
      <c r="DA170" t="s">
        <v>198</v>
      </c>
      <c r="DD170">
        <v>14733081</v>
      </c>
      <c r="DE170" t="s">
        <v>123</v>
      </c>
    </row>
    <row r="171" spans="1:109" x14ac:dyDescent="0.3">
      <c r="A171" t="str">
        <f>"18:37:15.203"</f>
        <v>18:37:15.203</v>
      </c>
      <c r="B171" t="s">
        <v>110</v>
      </c>
      <c r="C171" t="str">
        <f t="shared" si="6"/>
        <v>ffdfd3c0</v>
      </c>
      <c r="D171" t="s">
        <v>111</v>
      </c>
      <c r="E171">
        <v>18</v>
      </c>
      <c r="F171">
        <v>1018</v>
      </c>
      <c r="G171" t="s">
        <v>112</v>
      </c>
      <c r="J171" t="s">
        <v>113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R171" t="s">
        <v>114</v>
      </c>
      <c r="S171" t="str">
        <f>"18:37:14.977"</f>
        <v>18:37:14.977</v>
      </c>
      <c r="T171" t="str">
        <f>"18:37:14.578"</f>
        <v>18:37:14.578</v>
      </c>
      <c r="U171" t="str">
        <f t="shared" si="7"/>
        <v>a1cdbe</v>
      </c>
      <c r="V171">
        <v>0</v>
      </c>
      <c r="W171">
        <v>0</v>
      </c>
      <c r="X171">
        <v>1</v>
      </c>
      <c r="Y171">
        <v>0</v>
      </c>
      <c r="Z171">
        <v>0</v>
      </c>
      <c r="AB171">
        <v>0</v>
      </c>
      <c r="AC171">
        <v>9</v>
      </c>
      <c r="AD171">
        <v>3</v>
      </c>
      <c r="AE171">
        <v>0</v>
      </c>
      <c r="AF171">
        <v>9</v>
      </c>
      <c r="AG171" t="s">
        <v>158</v>
      </c>
      <c r="AH171">
        <v>0</v>
      </c>
      <c r="AI171">
        <v>3</v>
      </c>
      <c r="AJ171">
        <v>1</v>
      </c>
      <c r="AK171">
        <v>0</v>
      </c>
      <c r="AL171" t="s">
        <v>428</v>
      </c>
      <c r="AM171">
        <v>47.076501999999998</v>
      </c>
      <c r="AN171" t="s">
        <v>429</v>
      </c>
      <c r="AO171">
        <v>-122.27761700000001</v>
      </c>
      <c r="AP171">
        <v>100</v>
      </c>
      <c r="AQ171">
        <v>2100</v>
      </c>
      <c r="AR171" t="s">
        <v>118</v>
      </c>
      <c r="AS171">
        <v>-17</v>
      </c>
      <c r="AT171">
        <v>-80</v>
      </c>
      <c r="AU171">
        <v>-128</v>
      </c>
      <c r="BC171">
        <v>1200</v>
      </c>
      <c r="BD171">
        <v>1</v>
      </c>
      <c r="BE171" t="str">
        <f t="shared" si="8"/>
        <v xml:space="preserve">N215T   </v>
      </c>
      <c r="BF171">
        <v>1</v>
      </c>
      <c r="BH171">
        <v>0</v>
      </c>
      <c r="BI171">
        <v>0</v>
      </c>
      <c r="BJ171">
        <v>0</v>
      </c>
      <c r="BK171">
        <v>2450</v>
      </c>
      <c r="BL171">
        <v>350</v>
      </c>
      <c r="BM171" t="s">
        <v>119</v>
      </c>
      <c r="BN171">
        <v>1</v>
      </c>
      <c r="BO171">
        <v>1</v>
      </c>
      <c r="BP171">
        <v>1</v>
      </c>
      <c r="BQ171">
        <v>0</v>
      </c>
      <c r="BT171">
        <v>0</v>
      </c>
      <c r="BU171">
        <v>0</v>
      </c>
      <c r="BV171">
        <v>0</v>
      </c>
      <c r="CC171" t="str">
        <f>"18:37:14.984"</f>
        <v>18:37:14.984</v>
      </c>
      <c r="CD171" t="str">
        <f>"983367605"</f>
        <v>983367605</v>
      </c>
      <c r="CQ171">
        <v>0</v>
      </c>
      <c r="CR171">
        <v>2</v>
      </c>
      <c r="CS171">
        <v>0</v>
      </c>
      <c r="CT171">
        <v>2</v>
      </c>
      <c r="CU171">
        <v>0</v>
      </c>
      <c r="CV171">
        <v>5</v>
      </c>
      <c r="CW171" t="s">
        <v>120</v>
      </c>
      <c r="CX171">
        <v>261</v>
      </c>
      <c r="CY171">
        <v>2</v>
      </c>
      <c r="CZ171" t="s">
        <v>121</v>
      </c>
      <c r="DA171" t="s">
        <v>122</v>
      </c>
      <c r="DD171">
        <v>14333646</v>
      </c>
      <c r="DE171" t="s">
        <v>123</v>
      </c>
    </row>
    <row r="172" spans="1:109" x14ac:dyDescent="0.3">
      <c r="A172" t="str">
        <f>"18:37:16.008"</f>
        <v>18:37:16.008</v>
      </c>
      <c r="B172" t="s">
        <v>110</v>
      </c>
      <c r="C172" t="str">
        <f t="shared" si="6"/>
        <v>ffdfd3c0</v>
      </c>
      <c r="D172" t="s">
        <v>111</v>
      </c>
      <c r="E172">
        <v>18</v>
      </c>
      <c r="F172">
        <v>1018</v>
      </c>
      <c r="G172" t="s">
        <v>112</v>
      </c>
      <c r="J172" t="s">
        <v>113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R172" t="s">
        <v>114</v>
      </c>
      <c r="S172" t="str">
        <f>"18:37:15.805"</f>
        <v>18:37:15.805</v>
      </c>
      <c r="T172" t="str">
        <f>"18:37:15.602"</f>
        <v>18:37:15.602</v>
      </c>
      <c r="U172" t="str">
        <f t="shared" si="7"/>
        <v>a1cdbe</v>
      </c>
      <c r="V172">
        <v>0</v>
      </c>
      <c r="W172">
        <v>0</v>
      </c>
      <c r="X172">
        <v>1</v>
      </c>
      <c r="Y172">
        <v>0</v>
      </c>
      <c r="Z172">
        <v>0</v>
      </c>
      <c r="AB172">
        <v>0</v>
      </c>
      <c r="AC172">
        <v>9</v>
      </c>
      <c r="AD172">
        <v>3</v>
      </c>
      <c r="AE172">
        <v>0</v>
      </c>
      <c r="AF172">
        <v>9</v>
      </c>
      <c r="AG172" t="s">
        <v>158</v>
      </c>
      <c r="AH172">
        <v>0</v>
      </c>
      <c r="AI172">
        <v>3</v>
      </c>
      <c r="AJ172">
        <v>1</v>
      </c>
      <c r="AK172">
        <v>0</v>
      </c>
      <c r="AL172" t="s">
        <v>430</v>
      </c>
      <c r="AM172">
        <v>47.076180000000001</v>
      </c>
      <c r="AN172" t="s">
        <v>431</v>
      </c>
      <c r="AO172">
        <v>-122.27776799999999</v>
      </c>
      <c r="AP172">
        <v>100</v>
      </c>
      <c r="AQ172">
        <v>2100</v>
      </c>
      <c r="AR172" t="s">
        <v>118</v>
      </c>
      <c r="AS172">
        <v>-16</v>
      </c>
      <c r="AT172">
        <v>-81</v>
      </c>
      <c r="AU172">
        <v>-64</v>
      </c>
      <c r="BC172">
        <v>1200</v>
      </c>
      <c r="BD172">
        <v>1</v>
      </c>
      <c r="BE172" t="str">
        <f t="shared" si="8"/>
        <v xml:space="preserve">N215T   </v>
      </c>
      <c r="BF172">
        <v>1</v>
      </c>
      <c r="BH172">
        <v>0</v>
      </c>
      <c r="BI172">
        <v>0</v>
      </c>
      <c r="BJ172">
        <v>0</v>
      </c>
      <c r="BK172">
        <v>2450</v>
      </c>
      <c r="BL172">
        <v>350</v>
      </c>
      <c r="BM172" t="s">
        <v>119</v>
      </c>
      <c r="BN172">
        <v>1</v>
      </c>
      <c r="BO172">
        <v>1</v>
      </c>
      <c r="BP172">
        <v>1</v>
      </c>
      <c r="BQ172">
        <v>0</v>
      </c>
      <c r="BT172">
        <v>0</v>
      </c>
      <c r="BU172">
        <v>0</v>
      </c>
      <c r="BV172">
        <v>0</v>
      </c>
      <c r="CC172" t="str">
        <f>"18:37:15.805"</f>
        <v>18:37:15.805</v>
      </c>
      <c r="CD172" t="str">
        <f>"808286516"</f>
        <v>808286516</v>
      </c>
      <c r="CQ172">
        <v>0</v>
      </c>
      <c r="CR172">
        <v>2</v>
      </c>
      <c r="CS172">
        <v>0</v>
      </c>
      <c r="CT172">
        <v>2</v>
      </c>
      <c r="CU172">
        <v>0</v>
      </c>
      <c r="CV172">
        <v>5</v>
      </c>
      <c r="CW172" t="s">
        <v>120</v>
      </c>
      <c r="CX172">
        <v>261</v>
      </c>
      <c r="CY172">
        <v>1</v>
      </c>
      <c r="CZ172" t="s">
        <v>121</v>
      </c>
      <c r="DA172" t="s">
        <v>122</v>
      </c>
      <c r="DD172">
        <v>3190916</v>
      </c>
      <c r="DE172" t="s">
        <v>123</v>
      </c>
    </row>
    <row r="173" spans="1:109" x14ac:dyDescent="0.3">
      <c r="A173" t="str">
        <f>"18:37:17.063"</f>
        <v>18:37:17.063</v>
      </c>
      <c r="B173" t="s">
        <v>110</v>
      </c>
      <c r="C173" t="str">
        <f t="shared" si="6"/>
        <v>ffdfd3c0</v>
      </c>
      <c r="D173" t="s">
        <v>111</v>
      </c>
      <c r="E173">
        <v>18</v>
      </c>
      <c r="F173">
        <v>1018</v>
      </c>
      <c r="G173" t="s">
        <v>112</v>
      </c>
      <c r="J173" t="s">
        <v>113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R173" t="s">
        <v>114</v>
      </c>
      <c r="S173" t="str">
        <f>"18:37:16.836"</f>
        <v>18:37:16.836</v>
      </c>
      <c r="T173" t="str">
        <f>"18:37:16.734"</f>
        <v>18:37:16.734</v>
      </c>
      <c r="U173" t="str">
        <f t="shared" si="7"/>
        <v>a1cdbe</v>
      </c>
      <c r="V173">
        <v>0</v>
      </c>
      <c r="W173">
        <v>0</v>
      </c>
      <c r="X173">
        <v>1</v>
      </c>
      <c r="Y173">
        <v>0</v>
      </c>
      <c r="Z173">
        <v>0</v>
      </c>
      <c r="AB173">
        <v>0</v>
      </c>
      <c r="AC173">
        <v>9</v>
      </c>
      <c r="AD173">
        <v>3</v>
      </c>
      <c r="AE173">
        <v>0</v>
      </c>
      <c r="AF173">
        <v>9</v>
      </c>
      <c r="AG173" t="s">
        <v>158</v>
      </c>
      <c r="AH173">
        <v>0</v>
      </c>
      <c r="AI173">
        <v>3</v>
      </c>
      <c r="AJ173">
        <v>1</v>
      </c>
      <c r="AK173">
        <v>0</v>
      </c>
      <c r="AL173" t="s">
        <v>432</v>
      </c>
      <c r="AM173">
        <v>47.075814999999999</v>
      </c>
      <c r="AN173" t="s">
        <v>433</v>
      </c>
      <c r="AO173">
        <v>-122.277832</v>
      </c>
      <c r="AP173">
        <v>100</v>
      </c>
      <c r="AQ173">
        <v>2100</v>
      </c>
      <c r="AR173" t="s">
        <v>118</v>
      </c>
      <c r="AS173">
        <v>-16</v>
      </c>
      <c r="AT173">
        <v>-81</v>
      </c>
      <c r="AU173">
        <v>-128</v>
      </c>
      <c r="BC173">
        <v>1200</v>
      </c>
      <c r="BD173">
        <v>1</v>
      </c>
      <c r="BE173" t="str">
        <f t="shared" si="8"/>
        <v xml:space="preserve">N215T   </v>
      </c>
      <c r="BF173">
        <v>1</v>
      </c>
      <c r="BH173">
        <v>0</v>
      </c>
      <c r="BI173">
        <v>0</v>
      </c>
      <c r="BJ173">
        <v>0</v>
      </c>
      <c r="BK173">
        <v>2450</v>
      </c>
      <c r="BL173">
        <v>350</v>
      </c>
      <c r="BM173" t="s">
        <v>119</v>
      </c>
      <c r="BN173">
        <v>1</v>
      </c>
      <c r="BO173">
        <v>1</v>
      </c>
      <c r="BP173">
        <v>1</v>
      </c>
      <c r="BQ173">
        <v>0</v>
      </c>
      <c r="BT173">
        <v>0</v>
      </c>
      <c r="BU173">
        <v>0</v>
      </c>
      <c r="BV173">
        <v>0</v>
      </c>
      <c r="CC173" t="str">
        <f>"18:37:16.844"</f>
        <v>18:37:16.844</v>
      </c>
      <c r="CD173" t="str">
        <f>"843184752"</f>
        <v>843184752</v>
      </c>
      <c r="CQ173">
        <v>0</v>
      </c>
      <c r="CR173">
        <v>2</v>
      </c>
      <c r="CS173">
        <v>0</v>
      </c>
      <c r="CT173">
        <v>2</v>
      </c>
      <c r="CU173">
        <v>0</v>
      </c>
      <c r="CV173">
        <v>5</v>
      </c>
      <c r="CW173" t="s">
        <v>120</v>
      </c>
      <c r="CX173">
        <v>261</v>
      </c>
      <c r="CY173">
        <v>1</v>
      </c>
      <c r="CZ173" t="s">
        <v>121</v>
      </c>
      <c r="DA173" t="s">
        <v>122</v>
      </c>
      <c r="DD173">
        <v>3191549</v>
      </c>
      <c r="DE173" t="s">
        <v>123</v>
      </c>
    </row>
    <row r="174" spans="1:109" x14ac:dyDescent="0.3">
      <c r="A174" t="str">
        <f>"18:37:18.219"</f>
        <v>18:37:18.219</v>
      </c>
      <c r="B174" t="s">
        <v>110</v>
      </c>
      <c r="C174" t="str">
        <f t="shared" si="6"/>
        <v>ffdfd3c0</v>
      </c>
      <c r="D174" t="s">
        <v>111</v>
      </c>
      <c r="E174">
        <v>18</v>
      </c>
      <c r="F174">
        <v>1018</v>
      </c>
      <c r="G174" t="s">
        <v>112</v>
      </c>
      <c r="J174" t="s">
        <v>113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R174" t="s">
        <v>114</v>
      </c>
      <c r="S174" t="str">
        <f>"18:37:18.008"</f>
        <v>18:37:18.008</v>
      </c>
      <c r="T174" t="str">
        <f>"18:37:17.805"</f>
        <v>18:37:17.805</v>
      </c>
      <c r="U174" t="str">
        <f t="shared" si="7"/>
        <v>a1cdbe</v>
      </c>
      <c r="V174">
        <v>0</v>
      </c>
      <c r="W174">
        <v>0</v>
      </c>
      <c r="X174">
        <v>1</v>
      </c>
      <c r="Y174">
        <v>0</v>
      </c>
      <c r="Z174">
        <v>0</v>
      </c>
      <c r="AB174">
        <v>0</v>
      </c>
      <c r="AC174">
        <v>9</v>
      </c>
      <c r="AD174">
        <v>3</v>
      </c>
      <c r="AE174">
        <v>0</v>
      </c>
      <c r="AF174">
        <v>9</v>
      </c>
      <c r="AG174" t="s">
        <v>158</v>
      </c>
      <c r="AH174">
        <v>0</v>
      </c>
      <c r="AI174">
        <v>3</v>
      </c>
      <c r="AJ174">
        <v>1</v>
      </c>
      <c r="AK174">
        <v>0</v>
      </c>
      <c r="AL174" t="s">
        <v>434</v>
      </c>
      <c r="AM174">
        <v>47.075408000000003</v>
      </c>
      <c r="AN174" t="s">
        <v>435</v>
      </c>
      <c r="AO174">
        <v>-122.277961</v>
      </c>
      <c r="AP174">
        <v>100</v>
      </c>
      <c r="AQ174">
        <v>2100</v>
      </c>
      <c r="AR174" t="s">
        <v>118</v>
      </c>
      <c r="AS174">
        <v>-16</v>
      </c>
      <c r="AT174">
        <v>-80</v>
      </c>
      <c r="AU174">
        <v>-128</v>
      </c>
      <c r="BC174">
        <v>1200</v>
      </c>
      <c r="BD174">
        <v>1</v>
      </c>
      <c r="BE174" t="str">
        <f t="shared" si="8"/>
        <v xml:space="preserve">N215T   </v>
      </c>
      <c r="BF174">
        <v>1</v>
      </c>
      <c r="BH174">
        <v>0</v>
      </c>
      <c r="BI174">
        <v>0</v>
      </c>
      <c r="BJ174">
        <v>0</v>
      </c>
      <c r="BK174">
        <v>2450</v>
      </c>
      <c r="BL174">
        <v>350</v>
      </c>
      <c r="BM174" t="s">
        <v>119</v>
      </c>
      <c r="BN174">
        <v>1</v>
      </c>
      <c r="BO174">
        <v>1</v>
      </c>
      <c r="BP174">
        <v>1</v>
      </c>
      <c r="BQ174">
        <v>0</v>
      </c>
      <c r="BT174">
        <v>0</v>
      </c>
      <c r="BU174">
        <v>0</v>
      </c>
      <c r="BV174">
        <v>0</v>
      </c>
      <c r="CC174" t="str">
        <f>"18:37:18.016"</f>
        <v>18:37:18.016</v>
      </c>
      <c r="CD174" t="str">
        <f>"013176970"</f>
        <v>013176970</v>
      </c>
      <c r="CQ174">
        <v>0</v>
      </c>
      <c r="CR174">
        <v>2</v>
      </c>
      <c r="CS174">
        <v>0</v>
      </c>
      <c r="CT174">
        <v>2</v>
      </c>
      <c r="CU174">
        <v>0</v>
      </c>
      <c r="CV174">
        <v>5</v>
      </c>
      <c r="CW174" t="s">
        <v>120</v>
      </c>
      <c r="CX174">
        <v>259</v>
      </c>
      <c r="CY174">
        <v>1</v>
      </c>
      <c r="CZ174" t="s">
        <v>197</v>
      </c>
      <c r="DA174" t="s">
        <v>198</v>
      </c>
      <c r="DD174">
        <v>14735796</v>
      </c>
      <c r="DE174" t="s">
        <v>123</v>
      </c>
    </row>
    <row r="175" spans="1:109" x14ac:dyDescent="0.3">
      <c r="A175" t="str">
        <f>"18:37:19.328"</f>
        <v>18:37:19.328</v>
      </c>
      <c r="B175" t="s">
        <v>110</v>
      </c>
      <c r="C175" t="str">
        <f t="shared" si="6"/>
        <v>ffdfd3c0</v>
      </c>
      <c r="D175" t="s">
        <v>111</v>
      </c>
      <c r="E175">
        <v>18</v>
      </c>
      <c r="F175">
        <v>1018</v>
      </c>
      <c r="G175" t="s">
        <v>112</v>
      </c>
      <c r="J175" t="s">
        <v>113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R175" t="s">
        <v>114</v>
      </c>
      <c r="S175" t="str">
        <f>"18:37:19.102"</f>
        <v>18:37:19.102</v>
      </c>
      <c r="T175" t="str">
        <f>"18:37:18.703"</f>
        <v>18:37:18.703</v>
      </c>
      <c r="U175" t="str">
        <f t="shared" si="7"/>
        <v>a1cdbe</v>
      </c>
      <c r="V175">
        <v>0</v>
      </c>
      <c r="W175">
        <v>0</v>
      </c>
      <c r="X175">
        <v>1</v>
      </c>
      <c r="Y175">
        <v>0</v>
      </c>
      <c r="Z175">
        <v>0</v>
      </c>
      <c r="AB175">
        <v>0</v>
      </c>
      <c r="AC175">
        <v>9</v>
      </c>
      <c r="AD175">
        <v>3</v>
      </c>
      <c r="AE175">
        <v>0</v>
      </c>
      <c r="AF175">
        <v>9</v>
      </c>
      <c r="AG175" t="s">
        <v>158</v>
      </c>
      <c r="AH175">
        <v>0</v>
      </c>
      <c r="AI175">
        <v>3</v>
      </c>
      <c r="AJ175">
        <v>1</v>
      </c>
      <c r="AK175">
        <v>0</v>
      </c>
      <c r="AL175" t="s">
        <v>436</v>
      </c>
      <c r="AM175">
        <v>47.074978000000002</v>
      </c>
      <c r="AN175" t="s">
        <v>437</v>
      </c>
      <c r="AO175">
        <v>-122.278047</v>
      </c>
      <c r="AP175">
        <v>100</v>
      </c>
      <c r="AQ175">
        <v>2100</v>
      </c>
      <c r="AR175" t="s">
        <v>118</v>
      </c>
      <c r="AS175">
        <v>-15</v>
      </c>
      <c r="AT175">
        <v>-81</v>
      </c>
      <c r="AU175">
        <v>-128</v>
      </c>
      <c r="BC175">
        <v>1200</v>
      </c>
      <c r="BD175">
        <v>1</v>
      </c>
      <c r="BE175" t="str">
        <f t="shared" si="8"/>
        <v xml:space="preserve">N215T   </v>
      </c>
      <c r="BF175">
        <v>1</v>
      </c>
      <c r="BH175">
        <v>0</v>
      </c>
      <c r="BI175">
        <v>0</v>
      </c>
      <c r="BJ175">
        <v>0</v>
      </c>
      <c r="BK175">
        <v>2450</v>
      </c>
      <c r="BL175">
        <v>350</v>
      </c>
      <c r="BM175" t="s">
        <v>119</v>
      </c>
      <c r="BN175">
        <v>1</v>
      </c>
      <c r="BO175">
        <v>1</v>
      </c>
      <c r="BP175">
        <v>1</v>
      </c>
      <c r="BQ175">
        <v>0</v>
      </c>
      <c r="BT175">
        <v>0</v>
      </c>
      <c r="BU175">
        <v>0</v>
      </c>
      <c r="BV175">
        <v>0</v>
      </c>
      <c r="CC175" t="str">
        <f>"18:37:19.109"</f>
        <v>18:37:19.109</v>
      </c>
      <c r="CD175" t="str">
        <f>"107962040"</f>
        <v>107962040</v>
      </c>
      <c r="CQ175">
        <v>0</v>
      </c>
      <c r="CR175">
        <v>2</v>
      </c>
      <c r="CS175">
        <v>0</v>
      </c>
      <c r="CT175">
        <v>2</v>
      </c>
      <c r="CU175">
        <v>0</v>
      </c>
      <c r="CV175">
        <v>5</v>
      </c>
      <c r="CW175" t="s">
        <v>120</v>
      </c>
      <c r="CX175">
        <v>261</v>
      </c>
      <c r="CY175">
        <v>1</v>
      </c>
      <c r="CZ175" t="s">
        <v>121</v>
      </c>
      <c r="DA175" t="s">
        <v>122</v>
      </c>
      <c r="DD175">
        <v>3192892</v>
      </c>
      <c r="DE175" t="s">
        <v>123</v>
      </c>
    </row>
    <row r="176" spans="1:109" x14ac:dyDescent="0.3">
      <c r="A176" t="str">
        <f>"18:37:20.383"</f>
        <v>18:37:20.383</v>
      </c>
      <c r="B176" t="s">
        <v>110</v>
      </c>
      <c r="C176" t="str">
        <f t="shared" si="6"/>
        <v>ffdfd3c0</v>
      </c>
      <c r="D176" t="s">
        <v>111</v>
      </c>
      <c r="E176">
        <v>18</v>
      </c>
      <c r="F176">
        <v>1018</v>
      </c>
      <c r="G176" t="s">
        <v>112</v>
      </c>
      <c r="J176" t="s">
        <v>113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R176" t="s">
        <v>114</v>
      </c>
      <c r="S176" t="str">
        <f>"18:37:20.125"</f>
        <v>18:37:20.125</v>
      </c>
      <c r="T176" t="str">
        <f>"18:37:19.727"</f>
        <v>18:37:19.727</v>
      </c>
      <c r="U176" t="str">
        <f t="shared" si="7"/>
        <v>a1cdbe</v>
      </c>
      <c r="V176">
        <v>0</v>
      </c>
      <c r="W176">
        <v>0</v>
      </c>
      <c r="X176">
        <v>1</v>
      </c>
      <c r="Y176">
        <v>0</v>
      </c>
      <c r="Z176">
        <v>0</v>
      </c>
      <c r="AB176">
        <v>0</v>
      </c>
      <c r="AC176">
        <v>9</v>
      </c>
      <c r="AD176">
        <v>3</v>
      </c>
      <c r="AE176">
        <v>0</v>
      </c>
      <c r="AF176">
        <v>9</v>
      </c>
      <c r="AG176" t="s">
        <v>158</v>
      </c>
      <c r="AH176">
        <v>0</v>
      </c>
      <c r="AI176">
        <v>3</v>
      </c>
      <c r="AJ176">
        <v>1</v>
      </c>
      <c r="AK176">
        <v>0</v>
      </c>
      <c r="AL176" t="s">
        <v>438</v>
      </c>
      <c r="AM176">
        <v>47.074592000000003</v>
      </c>
      <c r="AN176" t="s">
        <v>227</v>
      </c>
      <c r="AO176">
        <v>-122.278175</v>
      </c>
      <c r="AP176">
        <v>100</v>
      </c>
      <c r="AQ176">
        <v>2100</v>
      </c>
      <c r="AR176" t="s">
        <v>118</v>
      </c>
      <c r="AS176">
        <v>-16</v>
      </c>
      <c r="AT176">
        <v>-81</v>
      </c>
      <c r="AU176">
        <v>-128</v>
      </c>
      <c r="BC176">
        <v>1200</v>
      </c>
      <c r="BD176">
        <v>1</v>
      </c>
      <c r="BE176" t="str">
        <f t="shared" si="8"/>
        <v xml:space="preserve">N215T   </v>
      </c>
      <c r="BF176">
        <v>1</v>
      </c>
      <c r="BH176">
        <v>0</v>
      </c>
      <c r="BI176">
        <v>0</v>
      </c>
      <c r="BJ176">
        <v>0</v>
      </c>
      <c r="BK176">
        <v>2450</v>
      </c>
      <c r="BL176">
        <v>350</v>
      </c>
      <c r="BM176" t="s">
        <v>119</v>
      </c>
      <c r="BN176">
        <v>1</v>
      </c>
      <c r="BO176">
        <v>1</v>
      </c>
      <c r="BP176">
        <v>1</v>
      </c>
      <c r="BQ176">
        <v>0</v>
      </c>
      <c r="BT176">
        <v>0</v>
      </c>
      <c r="BU176">
        <v>0</v>
      </c>
      <c r="BV176">
        <v>0</v>
      </c>
      <c r="CC176" t="str">
        <f>"18:37:20.125"</f>
        <v>18:37:20.125</v>
      </c>
      <c r="CD176" t="str">
        <f>"127969088"</f>
        <v>127969088</v>
      </c>
      <c r="CQ176">
        <v>0</v>
      </c>
      <c r="CR176">
        <v>2</v>
      </c>
      <c r="CS176">
        <v>0</v>
      </c>
      <c r="CT176">
        <v>2</v>
      </c>
      <c r="CU176">
        <v>0</v>
      </c>
      <c r="CV176">
        <v>5</v>
      </c>
      <c r="CW176" t="s">
        <v>120</v>
      </c>
      <c r="CX176">
        <v>259</v>
      </c>
      <c r="CY176">
        <v>1</v>
      </c>
      <c r="CZ176" t="s">
        <v>197</v>
      </c>
      <c r="DA176" t="s">
        <v>198</v>
      </c>
      <c r="DD176">
        <v>14737213</v>
      </c>
      <c r="DE176" t="s">
        <v>123</v>
      </c>
    </row>
    <row r="177" spans="1:109" x14ac:dyDescent="0.3">
      <c r="A177" t="str">
        <f>"18:37:21.391"</f>
        <v>18:37:21.391</v>
      </c>
      <c r="B177" t="s">
        <v>110</v>
      </c>
      <c r="C177" t="str">
        <f t="shared" si="6"/>
        <v>ffdfd3c0</v>
      </c>
      <c r="D177" t="s">
        <v>111</v>
      </c>
      <c r="E177">
        <v>18</v>
      </c>
      <c r="F177">
        <v>1018</v>
      </c>
      <c r="G177" t="s">
        <v>112</v>
      </c>
      <c r="J177" t="s">
        <v>113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R177" t="s">
        <v>114</v>
      </c>
      <c r="S177" t="str">
        <f>"18:37:21.141"</f>
        <v>18:37:21.141</v>
      </c>
      <c r="T177" t="str">
        <f>"18:37:20.641"</f>
        <v>18:37:20.641</v>
      </c>
      <c r="U177" t="str">
        <f t="shared" si="7"/>
        <v>a1cdbe</v>
      </c>
      <c r="V177">
        <v>0</v>
      </c>
      <c r="W177">
        <v>0</v>
      </c>
      <c r="X177">
        <v>1</v>
      </c>
      <c r="Y177">
        <v>0</v>
      </c>
      <c r="Z177">
        <v>0</v>
      </c>
      <c r="AB177">
        <v>0</v>
      </c>
      <c r="AC177">
        <v>9</v>
      </c>
      <c r="AD177">
        <v>3</v>
      </c>
      <c r="AE177">
        <v>0</v>
      </c>
      <c r="AF177">
        <v>9</v>
      </c>
      <c r="AG177" t="s">
        <v>158</v>
      </c>
      <c r="AH177">
        <v>0</v>
      </c>
      <c r="AI177">
        <v>3</v>
      </c>
      <c r="AJ177">
        <v>1</v>
      </c>
      <c r="AK177">
        <v>0</v>
      </c>
      <c r="AL177" t="s">
        <v>439</v>
      </c>
      <c r="AM177">
        <v>47.074227</v>
      </c>
      <c r="AN177" t="s">
        <v>440</v>
      </c>
      <c r="AO177">
        <v>-122.27830400000001</v>
      </c>
      <c r="AP177">
        <v>100</v>
      </c>
      <c r="AQ177">
        <v>2100</v>
      </c>
      <c r="AR177" t="s">
        <v>118</v>
      </c>
      <c r="AS177">
        <v>-15</v>
      </c>
      <c r="AT177">
        <v>-81</v>
      </c>
      <c r="AU177">
        <v>0</v>
      </c>
      <c r="BC177">
        <v>1200</v>
      </c>
      <c r="BD177">
        <v>1</v>
      </c>
      <c r="BE177" t="str">
        <f t="shared" si="8"/>
        <v xml:space="preserve">N215T   </v>
      </c>
      <c r="BF177">
        <v>1</v>
      </c>
      <c r="BH177">
        <v>0</v>
      </c>
      <c r="BI177">
        <v>0</v>
      </c>
      <c r="BJ177">
        <v>0</v>
      </c>
      <c r="BK177">
        <v>2450</v>
      </c>
      <c r="BL177">
        <v>350</v>
      </c>
      <c r="BM177" t="s">
        <v>119</v>
      </c>
      <c r="BN177">
        <v>1</v>
      </c>
      <c r="BO177">
        <v>1</v>
      </c>
      <c r="BP177">
        <v>1</v>
      </c>
      <c r="BQ177">
        <v>0</v>
      </c>
      <c r="BT177">
        <v>0</v>
      </c>
      <c r="BU177">
        <v>0</v>
      </c>
      <c r="BV177">
        <v>0</v>
      </c>
      <c r="CC177" t="str">
        <f>"18:37:21.148"</f>
        <v>18:37:21.148</v>
      </c>
      <c r="CD177" t="str">
        <f>"147868830"</f>
        <v>147868830</v>
      </c>
      <c r="CQ177">
        <v>0</v>
      </c>
      <c r="CR177">
        <v>2</v>
      </c>
      <c r="CS177">
        <v>0</v>
      </c>
      <c r="CT177">
        <v>2</v>
      </c>
      <c r="CU177">
        <v>0</v>
      </c>
      <c r="CV177">
        <v>5</v>
      </c>
      <c r="CW177" t="s">
        <v>120</v>
      </c>
      <c r="CX177">
        <v>259</v>
      </c>
      <c r="CY177">
        <v>1</v>
      </c>
      <c r="CZ177" t="s">
        <v>197</v>
      </c>
      <c r="DA177" t="s">
        <v>198</v>
      </c>
      <c r="DD177">
        <v>14737848</v>
      </c>
      <c r="DE177" t="s">
        <v>123</v>
      </c>
    </row>
    <row r="178" spans="1:109" x14ac:dyDescent="0.3">
      <c r="A178" t="str">
        <f>"18:37:22.398"</f>
        <v>18:37:22.398</v>
      </c>
      <c r="B178" t="s">
        <v>110</v>
      </c>
      <c r="C178" t="str">
        <f t="shared" si="6"/>
        <v>ffdfd3c0</v>
      </c>
      <c r="D178" t="s">
        <v>111</v>
      </c>
      <c r="E178">
        <v>18</v>
      </c>
      <c r="F178">
        <v>1018</v>
      </c>
      <c r="G178" t="s">
        <v>112</v>
      </c>
      <c r="J178" t="s">
        <v>113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R178" t="s">
        <v>114</v>
      </c>
      <c r="S178" t="str">
        <f>"18:37:22.164"</f>
        <v>18:37:22.164</v>
      </c>
      <c r="T178" t="str">
        <f>"18:37:22.164"</f>
        <v>18:37:22.164</v>
      </c>
      <c r="U178" t="str">
        <f t="shared" si="7"/>
        <v>a1cdbe</v>
      </c>
      <c r="V178">
        <v>0</v>
      </c>
      <c r="W178">
        <v>0</v>
      </c>
      <c r="X178">
        <v>1</v>
      </c>
      <c r="Y178">
        <v>0</v>
      </c>
      <c r="Z178">
        <v>0</v>
      </c>
      <c r="AB178">
        <v>0</v>
      </c>
      <c r="AC178">
        <v>9</v>
      </c>
      <c r="AD178">
        <v>3</v>
      </c>
      <c r="AE178">
        <v>0</v>
      </c>
      <c r="AF178">
        <v>9</v>
      </c>
      <c r="AG178" t="s">
        <v>158</v>
      </c>
      <c r="AH178">
        <v>0</v>
      </c>
      <c r="AI178">
        <v>3</v>
      </c>
      <c r="AJ178">
        <v>1</v>
      </c>
      <c r="AK178">
        <v>0</v>
      </c>
      <c r="AL178" t="s">
        <v>441</v>
      </c>
      <c r="AM178">
        <v>47.073819999999998</v>
      </c>
      <c r="AN178" t="s">
        <v>442</v>
      </c>
      <c r="AO178">
        <v>-122.27839</v>
      </c>
      <c r="AP178">
        <v>100</v>
      </c>
      <c r="AQ178">
        <v>2100</v>
      </c>
      <c r="AR178" t="s">
        <v>118</v>
      </c>
      <c r="AS178">
        <v>-15</v>
      </c>
      <c r="AT178">
        <v>-81</v>
      </c>
      <c r="AU178">
        <v>64</v>
      </c>
      <c r="BC178">
        <v>1200</v>
      </c>
      <c r="BD178">
        <v>1</v>
      </c>
      <c r="BE178" t="str">
        <f t="shared" si="8"/>
        <v xml:space="preserve">N215T   </v>
      </c>
      <c r="BF178">
        <v>1</v>
      </c>
      <c r="BH178">
        <v>0</v>
      </c>
      <c r="BI178">
        <v>0</v>
      </c>
      <c r="BJ178">
        <v>0</v>
      </c>
      <c r="BK178">
        <v>2450</v>
      </c>
      <c r="BL178">
        <v>350</v>
      </c>
      <c r="BM178" t="s">
        <v>119</v>
      </c>
      <c r="BN178">
        <v>1</v>
      </c>
      <c r="BO178">
        <v>1</v>
      </c>
      <c r="BP178">
        <v>1</v>
      </c>
      <c r="BQ178">
        <v>0</v>
      </c>
      <c r="BT178">
        <v>0</v>
      </c>
      <c r="BU178">
        <v>0</v>
      </c>
      <c r="BV178">
        <v>0</v>
      </c>
      <c r="CC178" t="str">
        <f>"18:37:22.164"</f>
        <v>18:37:22.164</v>
      </c>
      <c r="CD178" t="str">
        <f>"167768567"</f>
        <v>167768567</v>
      </c>
      <c r="CQ178">
        <v>0</v>
      </c>
      <c r="CR178">
        <v>2</v>
      </c>
      <c r="CS178">
        <v>0</v>
      </c>
      <c r="CT178">
        <v>2</v>
      </c>
      <c r="CU178">
        <v>0</v>
      </c>
      <c r="CV178">
        <v>5</v>
      </c>
      <c r="CW178" t="s">
        <v>120</v>
      </c>
      <c r="CX178">
        <v>259</v>
      </c>
      <c r="CY178">
        <v>1</v>
      </c>
      <c r="CZ178" t="s">
        <v>197</v>
      </c>
      <c r="DA178" t="s">
        <v>198</v>
      </c>
      <c r="DD178">
        <v>14738510</v>
      </c>
      <c r="DE178" t="s">
        <v>123</v>
      </c>
    </row>
    <row r="179" spans="1:109" x14ac:dyDescent="0.3">
      <c r="A179" t="str">
        <f>"18:37:23.398"</f>
        <v>18:37:23.398</v>
      </c>
      <c r="B179" t="s">
        <v>110</v>
      </c>
      <c r="C179" t="str">
        <f t="shared" si="6"/>
        <v>ffdfd3c0</v>
      </c>
      <c r="D179" t="s">
        <v>111</v>
      </c>
      <c r="E179">
        <v>18</v>
      </c>
      <c r="F179">
        <v>1018</v>
      </c>
      <c r="G179" t="s">
        <v>112</v>
      </c>
      <c r="J179" t="s">
        <v>113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R179" t="s">
        <v>114</v>
      </c>
      <c r="S179" t="str">
        <f>"18:37:23.188"</f>
        <v>18:37:23.188</v>
      </c>
      <c r="T179" t="str">
        <f>"18:37:22.984"</f>
        <v>18:37:22.984</v>
      </c>
      <c r="U179" t="str">
        <f t="shared" si="7"/>
        <v>a1cdbe</v>
      </c>
      <c r="V179">
        <v>0</v>
      </c>
      <c r="W179">
        <v>0</v>
      </c>
      <c r="X179">
        <v>1</v>
      </c>
      <c r="Y179">
        <v>0</v>
      </c>
      <c r="Z179">
        <v>0</v>
      </c>
      <c r="AB179">
        <v>0</v>
      </c>
      <c r="AC179">
        <v>9</v>
      </c>
      <c r="AD179">
        <v>3</v>
      </c>
      <c r="AE179">
        <v>0</v>
      </c>
      <c r="AF179">
        <v>9</v>
      </c>
      <c r="AG179" t="s">
        <v>158</v>
      </c>
      <c r="AH179">
        <v>0</v>
      </c>
      <c r="AI179">
        <v>3</v>
      </c>
      <c r="AJ179">
        <v>1</v>
      </c>
      <c r="AK179">
        <v>0</v>
      </c>
      <c r="AL179" t="s">
        <v>443</v>
      </c>
      <c r="AM179">
        <v>47.073433000000001</v>
      </c>
      <c r="AN179" t="s">
        <v>444</v>
      </c>
      <c r="AO179">
        <v>-122.278519</v>
      </c>
      <c r="AP179">
        <v>100</v>
      </c>
      <c r="AQ179">
        <v>2100</v>
      </c>
      <c r="AR179" t="s">
        <v>118</v>
      </c>
      <c r="AS179">
        <v>-15</v>
      </c>
      <c r="AT179">
        <v>-81</v>
      </c>
      <c r="AU179">
        <v>0</v>
      </c>
      <c r="BC179">
        <v>1200</v>
      </c>
      <c r="BD179">
        <v>1</v>
      </c>
      <c r="BE179" t="str">
        <f t="shared" si="8"/>
        <v xml:space="preserve">N215T   </v>
      </c>
      <c r="BF179">
        <v>1</v>
      </c>
      <c r="BH179">
        <v>0</v>
      </c>
      <c r="BI179">
        <v>0</v>
      </c>
      <c r="BJ179">
        <v>0</v>
      </c>
      <c r="BK179">
        <v>2450</v>
      </c>
      <c r="BL179">
        <v>350</v>
      </c>
      <c r="BM179" t="s">
        <v>119</v>
      </c>
      <c r="BN179">
        <v>1</v>
      </c>
      <c r="BO179">
        <v>1</v>
      </c>
      <c r="BP179">
        <v>1</v>
      </c>
      <c r="BQ179">
        <v>0</v>
      </c>
      <c r="BT179">
        <v>0</v>
      </c>
      <c r="BU179">
        <v>0</v>
      </c>
      <c r="BV179">
        <v>0</v>
      </c>
      <c r="CC179" t="str">
        <f>"18:37:23.188"</f>
        <v>18:37:23.188</v>
      </c>
      <c r="CD179" t="str">
        <f>"187668323"</f>
        <v>187668323</v>
      </c>
      <c r="CQ179">
        <v>0</v>
      </c>
      <c r="CR179">
        <v>2</v>
      </c>
      <c r="CS179">
        <v>0</v>
      </c>
      <c r="CT179">
        <v>2</v>
      </c>
      <c r="CU179">
        <v>0</v>
      </c>
      <c r="CV179">
        <v>5</v>
      </c>
      <c r="CW179" t="s">
        <v>120</v>
      </c>
      <c r="CX179">
        <v>259</v>
      </c>
      <c r="CY179">
        <v>1</v>
      </c>
      <c r="CZ179" t="s">
        <v>197</v>
      </c>
      <c r="DA179" t="s">
        <v>198</v>
      </c>
      <c r="DD179">
        <v>14739182</v>
      </c>
      <c r="DE179" t="s">
        <v>123</v>
      </c>
    </row>
    <row r="180" spans="1:109" x14ac:dyDescent="0.3">
      <c r="A180" t="str">
        <f>"18:37:24.508"</f>
        <v>18:37:24.508</v>
      </c>
      <c r="B180" t="s">
        <v>110</v>
      </c>
      <c r="C180" t="str">
        <f t="shared" si="6"/>
        <v>ffdfd3c0</v>
      </c>
      <c r="D180" t="s">
        <v>111</v>
      </c>
      <c r="E180">
        <v>18</v>
      </c>
      <c r="F180">
        <v>1018</v>
      </c>
      <c r="G180" t="s">
        <v>112</v>
      </c>
      <c r="J180" t="s">
        <v>113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R180" t="s">
        <v>114</v>
      </c>
      <c r="S180" t="str">
        <f>"18:37:24.313"</f>
        <v>18:37:24.313</v>
      </c>
      <c r="T180" t="str">
        <f>"18:37:23.414"</f>
        <v>18:37:23.414</v>
      </c>
      <c r="U180" t="str">
        <f t="shared" si="7"/>
        <v>a1cdbe</v>
      </c>
      <c r="V180">
        <v>0</v>
      </c>
      <c r="W180">
        <v>0</v>
      </c>
      <c r="X180">
        <v>1</v>
      </c>
      <c r="Y180">
        <v>0</v>
      </c>
      <c r="Z180">
        <v>0</v>
      </c>
      <c r="AB180">
        <v>0</v>
      </c>
      <c r="AC180">
        <v>9</v>
      </c>
      <c r="AD180">
        <v>3</v>
      </c>
      <c r="AE180">
        <v>0</v>
      </c>
      <c r="AF180">
        <v>9</v>
      </c>
      <c r="AG180" t="s">
        <v>158</v>
      </c>
      <c r="AH180">
        <v>0</v>
      </c>
      <c r="AI180">
        <v>3</v>
      </c>
      <c r="AJ180">
        <v>1</v>
      </c>
      <c r="AK180">
        <v>0</v>
      </c>
      <c r="AL180" t="s">
        <v>445</v>
      </c>
      <c r="AM180">
        <v>47.073025999999999</v>
      </c>
      <c r="AN180" t="s">
        <v>446</v>
      </c>
      <c r="AO180">
        <v>-122.278605</v>
      </c>
      <c r="AP180">
        <v>100</v>
      </c>
      <c r="AQ180">
        <v>2100</v>
      </c>
      <c r="AR180" t="s">
        <v>118</v>
      </c>
      <c r="AS180">
        <v>-15</v>
      </c>
      <c r="AT180">
        <v>-81</v>
      </c>
      <c r="AU180">
        <v>-128</v>
      </c>
      <c r="BC180">
        <v>1200</v>
      </c>
      <c r="BD180">
        <v>1</v>
      </c>
      <c r="BE180" t="str">
        <f t="shared" si="8"/>
        <v xml:space="preserve">N215T   </v>
      </c>
      <c r="BF180">
        <v>1</v>
      </c>
      <c r="BH180">
        <v>0</v>
      </c>
      <c r="BI180">
        <v>0</v>
      </c>
      <c r="BJ180">
        <v>0</v>
      </c>
      <c r="BK180">
        <v>2450</v>
      </c>
      <c r="BL180">
        <v>350</v>
      </c>
      <c r="BM180" t="s">
        <v>119</v>
      </c>
      <c r="BN180">
        <v>1</v>
      </c>
      <c r="BO180">
        <v>1</v>
      </c>
      <c r="BP180">
        <v>1</v>
      </c>
      <c r="BQ180">
        <v>0</v>
      </c>
      <c r="BT180">
        <v>0</v>
      </c>
      <c r="BU180">
        <v>0</v>
      </c>
      <c r="BV180">
        <v>0</v>
      </c>
      <c r="CC180" t="str">
        <f>"18:37:24.313"</f>
        <v>18:37:24.313</v>
      </c>
      <c r="CD180" t="str">
        <f>"312557750"</f>
        <v>312557750</v>
      </c>
      <c r="CQ180">
        <v>0</v>
      </c>
      <c r="CR180">
        <v>2</v>
      </c>
      <c r="CS180">
        <v>0</v>
      </c>
      <c r="CT180">
        <v>2</v>
      </c>
      <c r="CU180">
        <v>0</v>
      </c>
      <c r="CV180">
        <v>5</v>
      </c>
      <c r="CW180" t="s">
        <v>120</v>
      </c>
      <c r="CX180">
        <v>259</v>
      </c>
      <c r="CY180">
        <v>1</v>
      </c>
      <c r="CZ180" t="s">
        <v>197</v>
      </c>
      <c r="DA180" t="s">
        <v>198</v>
      </c>
      <c r="DD180">
        <v>14739978</v>
      </c>
      <c r="DE180" t="s">
        <v>123</v>
      </c>
    </row>
    <row r="181" spans="1:109" x14ac:dyDescent="0.3">
      <c r="A181" t="str">
        <f>"18:37:25.563"</f>
        <v>18:37:25.563</v>
      </c>
      <c r="B181" t="s">
        <v>110</v>
      </c>
      <c r="C181" t="str">
        <f t="shared" si="6"/>
        <v>ffdfd3c0</v>
      </c>
      <c r="D181" t="s">
        <v>111</v>
      </c>
      <c r="E181">
        <v>18</v>
      </c>
      <c r="F181">
        <v>1018</v>
      </c>
      <c r="G181" t="s">
        <v>112</v>
      </c>
      <c r="J181" t="s">
        <v>113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R181" t="s">
        <v>114</v>
      </c>
      <c r="S181" t="str">
        <f>"18:37:25.313"</f>
        <v>18:37:25.313</v>
      </c>
      <c r="T181" t="str">
        <f>"18:37:25.109"</f>
        <v>18:37:25.109</v>
      </c>
      <c r="U181" t="str">
        <f t="shared" si="7"/>
        <v>a1cdbe</v>
      </c>
      <c r="V181">
        <v>0</v>
      </c>
      <c r="W181">
        <v>0</v>
      </c>
      <c r="X181">
        <v>1</v>
      </c>
      <c r="Y181">
        <v>0</v>
      </c>
      <c r="Z181">
        <v>0</v>
      </c>
      <c r="AB181">
        <v>0</v>
      </c>
      <c r="AC181">
        <v>9</v>
      </c>
      <c r="AD181">
        <v>3</v>
      </c>
      <c r="AE181">
        <v>0</v>
      </c>
      <c r="AF181">
        <v>9</v>
      </c>
      <c r="AG181" t="s">
        <v>158</v>
      </c>
      <c r="AH181">
        <v>0</v>
      </c>
      <c r="AI181">
        <v>3</v>
      </c>
      <c r="AJ181">
        <v>1</v>
      </c>
      <c r="AK181">
        <v>0</v>
      </c>
      <c r="AL181" t="s">
        <v>447</v>
      </c>
      <c r="AM181">
        <v>47.072660999999997</v>
      </c>
      <c r="AN181" t="s">
        <v>448</v>
      </c>
      <c r="AO181">
        <v>-122.278733</v>
      </c>
      <c r="AP181">
        <v>100</v>
      </c>
      <c r="AQ181">
        <v>2100</v>
      </c>
      <c r="AR181" t="s">
        <v>118</v>
      </c>
      <c r="AS181">
        <v>-14</v>
      </c>
      <c r="AT181">
        <v>-82</v>
      </c>
      <c r="AU181">
        <v>-128</v>
      </c>
      <c r="BC181">
        <v>1200</v>
      </c>
      <c r="BD181">
        <v>1</v>
      </c>
      <c r="BE181" t="str">
        <f t="shared" si="8"/>
        <v xml:space="preserve">N215T   </v>
      </c>
      <c r="BF181">
        <v>1</v>
      </c>
      <c r="BH181">
        <v>0</v>
      </c>
      <c r="BI181">
        <v>0</v>
      </c>
      <c r="BJ181">
        <v>0</v>
      </c>
      <c r="BK181">
        <v>2450</v>
      </c>
      <c r="BL181">
        <v>350</v>
      </c>
      <c r="BM181" t="s">
        <v>119</v>
      </c>
      <c r="BN181">
        <v>1</v>
      </c>
      <c r="BO181">
        <v>1</v>
      </c>
      <c r="BP181">
        <v>1</v>
      </c>
      <c r="BQ181">
        <v>0</v>
      </c>
      <c r="BT181">
        <v>0</v>
      </c>
      <c r="BU181">
        <v>0</v>
      </c>
      <c r="BV181">
        <v>0</v>
      </c>
      <c r="CC181" t="str">
        <f>"18:37:25.320"</f>
        <v>18:37:25.320</v>
      </c>
      <c r="CD181" t="str">
        <f>"317351259"</f>
        <v>317351259</v>
      </c>
      <c r="CQ181">
        <v>0</v>
      </c>
      <c r="CR181">
        <v>2</v>
      </c>
      <c r="CS181">
        <v>0</v>
      </c>
      <c r="CT181">
        <v>2</v>
      </c>
      <c r="CU181">
        <v>0</v>
      </c>
      <c r="CV181">
        <v>5</v>
      </c>
      <c r="CW181" t="s">
        <v>120</v>
      </c>
      <c r="CX181">
        <v>261</v>
      </c>
      <c r="CY181">
        <v>2</v>
      </c>
      <c r="CZ181" t="s">
        <v>121</v>
      </c>
      <c r="DA181" t="s">
        <v>122</v>
      </c>
      <c r="DD181">
        <v>14339136</v>
      </c>
      <c r="DE181" t="s">
        <v>123</v>
      </c>
    </row>
    <row r="182" spans="1:109" x14ac:dyDescent="0.3">
      <c r="A182" t="str">
        <f>"18:37:26.867"</f>
        <v>18:37:26.867</v>
      </c>
      <c r="B182" t="s">
        <v>110</v>
      </c>
      <c r="C182" t="str">
        <f t="shared" si="6"/>
        <v>ffdfd3c0</v>
      </c>
      <c r="D182" t="s">
        <v>111</v>
      </c>
      <c r="E182">
        <v>18</v>
      </c>
      <c r="F182">
        <v>1018</v>
      </c>
      <c r="G182" t="s">
        <v>112</v>
      </c>
      <c r="J182" t="s">
        <v>113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R182" t="s">
        <v>114</v>
      </c>
      <c r="S182" t="str">
        <f>"18:37:26.617"</f>
        <v>18:37:26.617</v>
      </c>
      <c r="T182" t="str">
        <f>"18:37:26.219"</f>
        <v>18:37:26.219</v>
      </c>
      <c r="U182" t="str">
        <f t="shared" si="7"/>
        <v>a1cdbe</v>
      </c>
      <c r="V182">
        <v>0</v>
      </c>
      <c r="W182">
        <v>0</v>
      </c>
      <c r="X182">
        <v>1</v>
      </c>
      <c r="Y182">
        <v>0</v>
      </c>
      <c r="Z182">
        <v>0</v>
      </c>
      <c r="AB182">
        <v>0</v>
      </c>
      <c r="AC182">
        <v>9</v>
      </c>
      <c r="AD182">
        <v>3</v>
      </c>
      <c r="AE182">
        <v>0</v>
      </c>
      <c r="AF182">
        <v>9</v>
      </c>
      <c r="AG182" t="s">
        <v>158</v>
      </c>
      <c r="AH182">
        <v>0</v>
      </c>
      <c r="AI182">
        <v>3</v>
      </c>
      <c r="AJ182">
        <v>1</v>
      </c>
      <c r="AK182">
        <v>0</v>
      </c>
      <c r="AL182" t="s">
        <v>449</v>
      </c>
      <c r="AM182">
        <v>47.072124000000002</v>
      </c>
      <c r="AN182" t="s">
        <v>450</v>
      </c>
      <c r="AO182">
        <v>-122.278819</v>
      </c>
      <c r="AP182">
        <v>100</v>
      </c>
      <c r="AQ182">
        <v>2100</v>
      </c>
      <c r="AR182" t="s">
        <v>118</v>
      </c>
      <c r="AS182">
        <v>-15</v>
      </c>
      <c r="AT182">
        <v>-82</v>
      </c>
      <c r="AU182">
        <v>-128</v>
      </c>
      <c r="BC182">
        <v>1200</v>
      </c>
      <c r="BD182">
        <v>1</v>
      </c>
      <c r="BE182" t="str">
        <f t="shared" si="8"/>
        <v xml:space="preserve">N215T   </v>
      </c>
      <c r="BF182">
        <v>1</v>
      </c>
      <c r="BH182">
        <v>0</v>
      </c>
      <c r="BI182">
        <v>0</v>
      </c>
      <c r="BJ182">
        <v>0</v>
      </c>
      <c r="BK182">
        <v>2450</v>
      </c>
      <c r="BL182">
        <v>350</v>
      </c>
      <c r="BM182" t="s">
        <v>119</v>
      </c>
      <c r="BN182">
        <v>1</v>
      </c>
      <c r="BO182">
        <v>1</v>
      </c>
      <c r="BP182">
        <v>1</v>
      </c>
      <c r="BQ182">
        <v>0</v>
      </c>
      <c r="BT182">
        <v>0</v>
      </c>
      <c r="BU182">
        <v>0</v>
      </c>
      <c r="BV182">
        <v>0</v>
      </c>
      <c r="CC182" t="str">
        <f>"18:37:26.625"</f>
        <v>18:37:26.625</v>
      </c>
      <c r="CD182" t="str">
        <f>"622222950"</f>
        <v>622222950</v>
      </c>
      <c r="CQ182">
        <v>0</v>
      </c>
      <c r="CR182">
        <v>2</v>
      </c>
      <c r="CS182">
        <v>0</v>
      </c>
      <c r="CT182">
        <v>2</v>
      </c>
      <c r="CU182">
        <v>0</v>
      </c>
      <c r="CV182">
        <v>5</v>
      </c>
      <c r="CW182" t="s">
        <v>120</v>
      </c>
      <c r="CX182">
        <v>261</v>
      </c>
      <c r="CY182">
        <v>2</v>
      </c>
      <c r="CZ182" t="s">
        <v>121</v>
      </c>
      <c r="DA182" t="s">
        <v>122</v>
      </c>
      <c r="DD182">
        <v>14339818</v>
      </c>
      <c r="DE182" t="s">
        <v>123</v>
      </c>
    </row>
    <row r="183" spans="1:109" x14ac:dyDescent="0.3">
      <c r="A183" t="str">
        <f>"18:37:28.023"</f>
        <v>18:37:28.023</v>
      </c>
      <c r="B183" t="s">
        <v>110</v>
      </c>
      <c r="C183" t="str">
        <f t="shared" si="6"/>
        <v>ffdfd3c0</v>
      </c>
      <c r="D183" t="s">
        <v>111</v>
      </c>
      <c r="E183">
        <v>18</v>
      </c>
      <c r="F183">
        <v>1018</v>
      </c>
      <c r="G183" t="s">
        <v>112</v>
      </c>
      <c r="J183" t="s">
        <v>113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R183" t="s">
        <v>114</v>
      </c>
      <c r="S183" t="str">
        <f>"18:37:27.805"</f>
        <v>18:37:27.805</v>
      </c>
      <c r="T183" t="str">
        <f>"18:37:27.805"</f>
        <v>18:37:27.805</v>
      </c>
      <c r="U183" t="str">
        <f t="shared" si="7"/>
        <v>a1cdbe</v>
      </c>
      <c r="V183">
        <v>0</v>
      </c>
      <c r="W183">
        <v>0</v>
      </c>
      <c r="X183">
        <v>1</v>
      </c>
      <c r="Y183">
        <v>0</v>
      </c>
      <c r="Z183">
        <v>0</v>
      </c>
      <c r="AB183">
        <v>0</v>
      </c>
      <c r="AC183">
        <v>9</v>
      </c>
      <c r="AD183">
        <v>3</v>
      </c>
      <c r="AE183">
        <v>0</v>
      </c>
      <c r="AF183">
        <v>9</v>
      </c>
      <c r="AG183" t="s">
        <v>158</v>
      </c>
      <c r="AH183">
        <v>0</v>
      </c>
      <c r="AI183">
        <v>3</v>
      </c>
      <c r="AJ183">
        <v>1</v>
      </c>
      <c r="AK183">
        <v>0</v>
      </c>
      <c r="AL183" t="s">
        <v>451</v>
      </c>
      <c r="AM183">
        <v>47.071717</v>
      </c>
      <c r="AN183" t="s">
        <v>452</v>
      </c>
      <c r="AO183">
        <v>-122.278969</v>
      </c>
      <c r="AP183">
        <v>100</v>
      </c>
      <c r="AQ183">
        <v>2100</v>
      </c>
      <c r="AR183" t="s">
        <v>118</v>
      </c>
      <c r="AS183">
        <v>-15</v>
      </c>
      <c r="AT183">
        <v>-82</v>
      </c>
      <c r="AU183">
        <v>-192</v>
      </c>
      <c r="BC183">
        <v>1200</v>
      </c>
      <c r="BD183">
        <v>1</v>
      </c>
      <c r="BE183" t="str">
        <f t="shared" si="8"/>
        <v xml:space="preserve">N215T   </v>
      </c>
      <c r="BF183">
        <v>1</v>
      </c>
      <c r="BH183">
        <v>0</v>
      </c>
      <c r="BI183">
        <v>0</v>
      </c>
      <c r="BJ183">
        <v>0</v>
      </c>
      <c r="BK183">
        <v>2450</v>
      </c>
      <c r="BL183">
        <v>350</v>
      </c>
      <c r="BM183" t="s">
        <v>119</v>
      </c>
      <c r="BN183">
        <v>1</v>
      </c>
      <c r="BO183">
        <v>1</v>
      </c>
      <c r="BP183">
        <v>1</v>
      </c>
      <c r="BQ183">
        <v>0</v>
      </c>
      <c r="BT183">
        <v>0</v>
      </c>
      <c r="BU183">
        <v>0</v>
      </c>
      <c r="BV183">
        <v>0</v>
      </c>
      <c r="CC183" t="str">
        <f>"18:37:27.805"</f>
        <v>18:37:27.805</v>
      </c>
      <c r="CD183" t="str">
        <f>"807214265"</f>
        <v>807214265</v>
      </c>
      <c r="CQ183">
        <v>0</v>
      </c>
      <c r="CR183">
        <v>2</v>
      </c>
      <c r="CS183">
        <v>0</v>
      </c>
      <c r="CT183">
        <v>2</v>
      </c>
      <c r="CU183">
        <v>0</v>
      </c>
      <c r="CV183">
        <v>5</v>
      </c>
      <c r="CW183" t="s">
        <v>120</v>
      </c>
      <c r="CX183">
        <v>259</v>
      </c>
      <c r="CY183">
        <v>1</v>
      </c>
      <c r="CZ183" t="s">
        <v>197</v>
      </c>
      <c r="DA183" t="s">
        <v>198</v>
      </c>
      <c r="DD183">
        <v>14742375</v>
      </c>
      <c r="DE183" t="s">
        <v>123</v>
      </c>
    </row>
    <row r="184" spans="1:109" x14ac:dyDescent="0.3">
      <c r="A184" t="str">
        <f>"18:37:29.031"</f>
        <v>18:37:29.031</v>
      </c>
      <c r="B184" t="s">
        <v>110</v>
      </c>
      <c r="C184" t="str">
        <f t="shared" si="6"/>
        <v>ffdfd3c0</v>
      </c>
      <c r="D184" t="s">
        <v>111</v>
      </c>
      <c r="E184">
        <v>18</v>
      </c>
      <c r="F184">
        <v>1018</v>
      </c>
      <c r="G184" t="s">
        <v>112</v>
      </c>
      <c r="J184" t="s">
        <v>113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R184" t="s">
        <v>114</v>
      </c>
      <c r="S184" t="str">
        <f>"18:37:28.805"</f>
        <v>18:37:28.805</v>
      </c>
      <c r="T184" t="str">
        <f>"18:37:28.602"</f>
        <v>18:37:28.602</v>
      </c>
      <c r="U184" t="str">
        <f t="shared" si="7"/>
        <v>a1cdbe</v>
      </c>
      <c r="V184">
        <v>0</v>
      </c>
      <c r="W184">
        <v>0</v>
      </c>
      <c r="X184">
        <v>1</v>
      </c>
      <c r="Y184">
        <v>0</v>
      </c>
      <c r="Z184">
        <v>0</v>
      </c>
      <c r="AB184">
        <v>0</v>
      </c>
      <c r="AC184">
        <v>9</v>
      </c>
      <c r="AD184">
        <v>3</v>
      </c>
      <c r="AE184">
        <v>0</v>
      </c>
      <c r="AF184">
        <v>9</v>
      </c>
      <c r="AG184" t="s">
        <v>158</v>
      </c>
      <c r="AH184">
        <v>0</v>
      </c>
      <c r="AI184">
        <v>3</v>
      </c>
      <c r="AJ184">
        <v>1</v>
      </c>
      <c r="AK184">
        <v>0</v>
      </c>
      <c r="AL184" t="s">
        <v>453</v>
      </c>
      <c r="AM184">
        <v>47.071331000000001</v>
      </c>
      <c r="AN184" t="s">
        <v>224</v>
      </c>
      <c r="AO184">
        <v>-122.279077</v>
      </c>
      <c r="AP184">
        <v>100</v>
      </c>
      <c r="AQ184">
        <v>2100</v>
      </c>
      <c r="AR184" t="s">
        <v>118</v>
      </c>
      <c r="AS184">
        <v>-15</v>
      </c>
      <c r="AT184">
        <v>-83</v>
      </c>
      <c r="AU184">
        <v>-192</v>
      </c>
      <c r="BC184">
        <v>1200</v>
      </c>
      <c r="BD184">
        <v>1</v>
      </c>
      <c r="BE184" t="str">
        <f t="shared" si="8"/>
        <v xml:space="preserve">N215T   </v>
      </c>
      <c r="BF184">
        <v>1</v>
      </c>
      <c r="BH184">
        <v>0</v>
      </c>
      <c r="BI184">
        <v>0</v>
      </c>
      <c r="BJ184">
        <v>0</v>
      </c>
      <c r="BK184">
        <v>2425</v>
      </c>
      <c r="BL184">
        <v>325</v>
      </c>
      <c r="BM184" t="s">
        <v>119</v>
      </c>
      <c r="BN184">
        <v>1</v>
      </c>
      <c r="BO184">
        <v>1</v>
      </c>
      <c r="BP184">
        <v>1</v>
      </c>
      <c r="BQ184">
        <v>0</v>
      </c>
      <c r="BT184">
        <v>0</v>
      </c>
      <c r="BU184">
        <v>0</v>
      </c>
      <c r="BV184">
        <v>0</v>
      </c>
      <c r="CC184" t="str">
        <f>"18:37:28.813"</f>
        <v>18:37:28.813</v>
      </c>
      <c r="CD184" t="str">
        <f>"812007567"</f>
        <v>812007567</v>
      </c>
      <c r="CQ184">
        <v>0</v>
      </c>
      <c r="CR184">
        <v>2</v>
      </c>
      <c r="CS184">
        <v>0</v>
      </c>
      <c r="CT184">
        <v>2</v>
      </c>
      <c r="CU184">
        <v>0</v>
      </c>
      <c r="CV184">
        <v>5</v>
      </c>
      <c r="CW184" t="s">
        <v>120</v>
      </c>
      <c r="CX184">
        <v>261</v>
      </c>
      <c r="CY184">
        <v>2</v>
      </c>
      <c r="CZ184" t="s">
        <v>121</v>
      </c>
      <c r="DA184" t="s">
        <v>122</v>
      </c>
      <c r="DD184">
        <v>14340980</v>
      </c>
      <c r="DE184" t="s">
        <v>123</v>
      </c>
    </row>
    <row r="185" spans="1:109" x14ac:dyDescent="0.3">
      <c r="A185" t="str">
        <f>"18:37:29.883"</f>
        <v>18:37:29.883</v>
      </c>
      <c r="B185" t="s">
        <v>110</v>
      </c>
      <c r="C185" t="str">
        <f t="shared" si="6"/>
        <v>ffdfd3c0</v>
      </c>
      <c r="D185" t="s">
        <v>111</v>
      </c>
      <c r="E185">
        <v>18</v>
      </c>
      <c r="F185">
        <v>1018</v>
      </c>
      <c r="G185" t="s">
        <v>112</v>
      </c>
      <c r="J185" t="s">
        <v>113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R185" t="s">
        <v>114</v>
      </c>
      <c r="S185" t="str">
        <f>"18:37:29.633"</f>
        <v>18:37:29.633</v>
      </c>
      <c r="T185" t="str">
        <f>"18:37:29.531"</f>
        <v>18:37:29.531</v>
      </c>
      <c r="U185" t="str">
        <f t="shared" si="7"/>
        <v>a1cdbe</v>
      </c>
      <c r="V185">
        <v>0</v>
      </c>
      <c r="W185">
        <v>0</v>
      </c>
      <c r="X185">
        <v>1</v>
      </c>
      <c r="Y185">
        <v>0</v>
      </c>
      <c r="Z185">
        <v>0</v>
      </c>
      <c r="AB185">
        <v>0</v>
      </c>
      <c r="AC185">
        <v>9</v>
      </c>
      <c r="AD185">
        <v>3</v>
      </c>
      <c r="AE185">
        <v>0</v>
      </c>
      <c r="AF185">
        <v>9</v>
      </c>
      <c r="AG185" t="s">
        <v>158</v>
      </c>
      <c r="AH185">
        <v>0</v>
      </c>
      <c r="AI185">
        <v>3</v>
      </c>
      <c r="AJ185">
        <v>1</v>
      </c>
      <c r="AK185">
        <v>0</v>
      </c>
      <c r="AL185" t="s">
        <v>454</v>
      </c>
      <c r="AM185">
        <v>47.071008999999997</v>
      </c>
      <c r="AN185" t="s">
        <v>455</v>
      </c>
      <c r="AO185">
        <v>-122.279141</v>
      </c>
      <c r="AP185">
        <v>100</v>
      </c>
      <c r="AQ185">
        <v>2100</v>
      </c>
      <c r="AR185" t="s">
        <v>118</v>
      </c>
      <c r="AS185">
        <v>-15</v>
      </c>
      <c r="AT185">
        <v>-83</v>
      </c>
      <c r="AU185">
        <v>-320</v>
      </c>
      <c r="BC185">
        <v>1200</v>
      </c>
      <c r="BD185">
        <v>1</v>
      </c>
      <c r="BE185" t="str">
        <f t="shared" si="8"/>
        <v xml:space="preserve">N215T   </v>
      </c>
      <c r="BF185">
        <v>1</v>
      </c>
      <c r="BH185">
        <v>0</v>
      </c>
      <c r="BI185">
        <v>0</v>
      </c>
      <c r="BJ185">
        <v>0</v>
      </c>
      <c r="BK185">
        <v>2425</v>
      </c>
      <c r="BL185">
        <v>325</v>
      </c>
      <c r="BM185" t="s">
        <v>119</v>
      </c>
      <c r="BN185">
        <v>1</v>
      </c>
      <c r="BO185">
        <v>1</v>
      </c>
      <c r="BP185">
        <v>1</v>
      </c>
      <c r="BQ185">
        <v>0</v>
      </c>
      <c r="BT185">
        <v>0</v>
      </c>
      <c r="BU185">
        <v>0</v>
      </c>
      <c r="BV185">
        <v>0</v>
      </c>
      <c r="CC185" t="str">
        <f>"18:37:29.641"</f>
        <v>18:37:29.641</v>
      </c>
      <c r="CD185" t="str">
        <f>"637034352"</f>
        <v>637034352</v>
      </c>
      <c r="CQ185">
        <v>0</v>
      </c>
      <c r="CR185">
        <v>2</v>
      </c>
      <c r="CS185">
        <v>0</v>
      </c>
      <c r="CT185">
        <v>2</v>
      </c>
      <c r="CU185">
        <v>0</v>
      </c>
      <c r="CV185">
        <v>5</v>
      </c>
      <c r="CW185" t="s">
        <v>120</v>
      </c>
      <c r="CX185">
        <v>259</v>
      </c>
      <c r="CY185">
        <v>1</v>
      </c>
      <c r="CZ185" t="s">
        <v>197</v>
      </c>
      <c r="DA185" t="s">
        <v>198</v>
      </c>
      <c r="DD185">
        <v>14743669</v>
      </c>
      <c r="DE185" t="s">
        <v>123</v>
      </c>
    </row>
    <row r="186" spans="1:109" x14ac:dyDescent="0.3">
      <c r="A186" t="str">
        <f>"18:37:30.891"</f>
        <v>18:37:30.891</v>
      </c>
      <c r="B186" t="s">
        <v>110</v>
      </c>
      <c r="C186" t="str">
        <f t="shared" si="6"/>
        <v>ffdfd3c0</v>
      </c>
      <c r="D186" t="s">
        <v>111</v>
      </c>
      <c r="E186">
        <v>18</v>
      </c>
      <c r="F186">
        <v>1018</v>
      </c>
      <c r="G186" t="s">
        <v>112</v>
      </c>
      <c r="J186" t="s">
        <v>113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R186" t="s">
        <v>114</v>
      </c>
      <c r="S186" t="str">
        <f>"18:37:30.656"</f>
        <v>18:37:30.656</v>
      </c>
      <c r="T186" t="str">
        <f>"18:37:30.055"</f>
        <v>18:37:30.055</v>
      </c>
      <c r="U186" t="str">
        <f t="shared" si="7"/>
        <v>a1cdbe</v>
      </c>
      <c r="V186">
        <v>0</v>
      </c>
      <c r="W186">
        <v>0</v>
      </c>
      <c r="X186">
        <v>1</v>
      </c>
      <c r="Y186">
        <v>0</v>
      </c>
      <c r="Z186">
        <v>0</v>
      </c>
      <c r="AB186">
        <v>0</v>
      </c>
      <c r="AC186">
        <v>9</v>
      </c>
      <c r="AD186">
        <v>3</v>
      </c>
      <c r="AE186">
        <v>0</v>
      </c>
      <c r="AF186">
        <v>9</v>
      </c>
      <c r="AG186" t="s">
        <v>158</v>
      </c>
      <c r="AH186">
        <v>0</v>
      </c>
      <c r="AI186">
        <v>3</v>
      </c>
      <c r="AJ186">
        <v>1</v>
      </c>
      <c r="AK186">
        <v>0</v>
      </c>
      <c r="AL186" t="s">
        <v>456</v>
      </c>
      <c r="AM186">
        <v>47.070601000000003</v>
      </c>
      <c r="AN186" t="s">
        <v>457</v>
      </c>
      <c r="AO186">
        <v>-122.279248</v>
      </c>
      <c r="AP186">
        <v>100</v>
      </c>
      <c r="AQ186">
        <v>2100</v>
      </c>
      <c r="AR186" t="s">
        <v>118</v>
      </c>
      <c r="AS186">
        <v>-15</v>
      </c>
      <c r="AT186">
        <v>-83</v>
      </c>
      <c r="AU186">
        <v>-320</v>
      </c>
      <c r="BC186">
        <v>1200</v>
      </c>
      <c r="BD186">
        <v>1</v>
      </c>
      <c r="BE186" t="str">
        <f t="shared" si="8"/>
        <v xml:space="preserve">N215T   </v>
      </c>
      <c r="BF186">
        <v>1</v>
      </c>
      <c r="BH186">
        <v>0</v>
      </c>
      <c r="BI186">
        <v>0</v>
      </c>
      <c r="BJ186">
        <v>0</v>
      </c>
      <c r="BK186">
        <v>2425</v>
      </c>
      <c r="BL186">
        <v>325</v>
      </c>
      <c r="BM186" t="s">
        <v>119</v>
      </c>
      <c r="BN186">
        <v>1</v>
      </c>
      <c r="BO186">
        <v>1</v>
      </c>
      <c r="BP186">
        <v>1</v>
      </c>
      <c r="BQ186">
        <v>0</v>
      </c>
      <c r="BT186">
        <v>0</v>
      </c>
      <c r="BU186">
        <v>0</v>
      </c>
      <c r="BV186">
        <v>0</v>
      </c>
      <c r="CC186" t="str">
        <f>"18:37:30.656"</f>
        <v>18:37:30.656</v>
      </c>
      <c r="CD186" t="str">
        <f>"656826179"</f>
        <v>656826179</v>
      </c>
      <c r="CQ186">
        <v>0</v>
      </c>
      <c r="CR186">
        <v>2</v>
      </c>
      <c r="CS186">
        <v>0</v>
      </c>
      <c r="CT186">
        <v>2</v>
      </c>
      <c r="CU186">
        <v>0</v>
      </c>
      <c r="CV186">
        <v>5</v>
      </c>
      <c r="CW186" t="s">
        <v>120</v>
      </c>
      <c r="CX186">
        <v>261</v>
      </c>
      <c r="CY186">
        <v>1</v>
      </c>
      <c r="CZ186" t="s">
        <v>121</v>
      </c>
      <c r="DA186" t="s">
        <v>122</v>
      </c>
      <c r="DD186">
        <v>3200028</v>
      </c>
      <c r="DE186" t="s">
        <v>123</v>
      </c>
    </row>
    <row r="187" spans="1:109" x14ac:dyDescent="0.3">
      <c r="A187" t="str">
        <f>"18:37:32.000"</f>
        <v>18:37:32.000</v>
      </c>
      <c r="B187" t="s">
        <v>110</v>
      </c>
      <c r="C187" t="str">
        <f t="shared" si="6"/>
        <v>ffdfd3c0</v>
      </c>
      <c r="D187" t="s">
        <v>111</v>
      </c>
      <c r="E187">
        <v>18</v>
      </c>
      <c r="F187">
        <v>1018</v>
      </c>
      <c r="G187" t="s">
        <v>112</v>
      </c>
      <c r="J187" t="s">
        <v>113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R187" t="s">
        <v>114</v>
      </c>
      <c r="S187" t="str">
        <f>"18:37:31.781"</f>
        <v>18:37:31.781</v>
      </c>
      <c r="T187" t="str">
        <f>"18:37:31.578"</f>
        <v>18:37:31.578</v>
      </c>
      <c r="U187" t="str">
        <f t="shared" si="7"/>
        <v>a1cdbe</v>
      </c>
      <c r="V187">
        <v>0</v>
      </c>
      <c r="W187">
        <v>0</v>
      </c>
      <c r="X187">
        <v>1</v>
      </c>
      <c r="Y187">
        <v>0</v>
      </c>
      <c r="Z187">
        <v>0</v>
      </c>
      <c r="AB187">
        <v>0</v>
      </c>
      <c r="AC187">
        <v>9</v>
      </c>
      <c r="AD187">
        <v>3</v>
      </c>
      <c r="AE187">
        <v>0</v>
      </c>
      <c r="AF187">
        <v>9</v>
      </c>
      <c r="AG187" t="s">
        <v>158</v>
      </c>
      <c r="AH187">
        <v>0</v>
      </c>
      <c r="AI187">
        <v>3</v>
      </c>
      <c r="AJ187">
        <v>1</v>
      </c>
      <c r="AK187">
        <v>0</v>
      </c>
      <c r="AL187" t="s">
        <v>458</v>
      </c>
      <c r="AM187">
        <v>47.070171999999999</v>
      </c>
      <c r="AN187" t="s">
        <v>459</v>
      </c>
      <c r="AO187">
        <v>-122.279377</v>
      </c>
      <c r="AP187">
        <v>100</v>
      </c>
      <c r="AQ187">
        <v>2000</v>
      </c>
      <c r="AR187" t="s">
        <v>118</v>
      </c>
      <c r="AS187">
        <v>-15</v>
      </c>
      <c r="AT187">
        <v>-83</v>
      </c>
      <c r="AU187">
        <v>-320</v>
      </c>
      <c r="BC187">
        <v>1200</v>
      </c>
      <c r="BD187">
        <v>1</v>
      </c>
      <c r="BE187" t="str">
        <f t="shared" si="8"/>
        <v xml:space="preserve">N215T   </v>
      </c>
      <c r="BF187">
        <v>1</v>
      </c>
      <c r="BH187">
        <v>0</v>
      </c>
      <c r="BI187">
        <v>0</v>
      </c>
      <c r="BJ187">
        <v>0</v>
      </c>
      <c r="BK187">
        <v>2525</v>
      </c>
      <c r="BL187">
        <v>525</v>
      </c>
      <c r="BM187" t="s">
        <v>119</v>
      </c>
      <c r="BN187">
        <v>1</v>
      </c>
      <c r="BO187">
        <v>1</v>
      </c>
      <c r="BP187">
        <v>1</v>
      </c>
      <c r="BQ187">
        <v>0</v>
      </c>
      <c r="BT187">
        <v>0</v>
      </c>
      <c r="BU187">
        <v>0</v>
      </c>
      <c r="BV187">
        <v>0</v>
      </c>
      <c r="CC187" t="str">
        <f>"18:37:31.781"</f>
        <v>18:37:31.781</v>
      </c>
      <c r="CD187" t="str">
        <f>"781715538"</f>
        <v>781715538</v>
      </c>
      <c r="CQ187">
        <v>0</v>
      </c>
      <c r="CR187">
        <v>2</v>
      </c>
      <c r="CS187">
        <v>0</v>
      </c>
      <c r="CT187">
        <v>2</v>
      </c>
      <c r="CU187">
        <v>0</v>
      </c>
      <c r="CV187">
        <v>5</v>
      </c>
      <c r="CW187" t="s">
        <v>120</v>
      </c>
      <c r="CX187">
        <v>261</v>
      </c>
      <c r="CY187">
        <v>1</v>
      </c>
      <c r="CZ187" t="s">
        <v>121</v>
      </c>
      <c r="DA187" t="s">
        <v>122</v>
      </c>
      <c r="DD187">
        <v>3200728</v>
      </c>
      <c r="DE187" t="s">
        <v>123</v>
      </c>
    </row>
    <row r="188" spans="1:109" x14ac:dyDescent="0.3">
      <c r="A188" t="str">
        <f>"18:37:32.953"</f>
        <v>18:37:32.953</v>
      </c>
      <c r="B188" t="s">
        <v>110</v>
      </c>
      <c r="C188" t="str">
        <f t="shared" si="6"/>
        <v>ffdfd3c0</v>
      </c>
      <c r="D188" t="s">
        <v>111</v>
      </c>
      <c r="E188">
        <v>18</v>
      </c>
      <c r="F188">
        <v>1018</v>
      </c>
      <c r="G188" t="s">
        <v>112</v>
      </c>
      <c r="J188" t="s">
        <v>113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R188" t="s">
        <v>114</v>
      </c>
      <c r="S188" t="str">
        <f>"18:37:32.734"</f>
        <v>18:37:32.734</v>
      </c>
      <c r="T188" t="str">
        <f>"18:37:32.633"</f>
        <v>18:37:32.633</v>
      </c>
      <c r="U188" t="str">
        <f t="shared" si="7"/>
        <v>a1cdbe</v>
      </c>
      <c r="V188">
        <v>0</v>
      </c>
      <c r="W188">
        <v>0</v>
      </c>
      <c r="X188">
        <v>1</v>
      </c>
      <c r="Y188">
        <v>0</v>
      </c>
      <c r="Z188">
        <v>0</v>
      </c>
      <c r="AB188">
        <v>0</v>
      </c>
      <c r="AC188">
        <v>9</v>
      </c>
      <c r="AD188">
        <v>3</v>
      </c>
      <c r="AE188">
        <v>0</v>
      </c>
      <c r="AF188">
        <v>9</v>
      </c>
      <c r="AG188" t="s">
        <v>158</v>
      </c>
      <c r="AH188">
        <v>0</v>
      </c>
      <c r="AI188">
        <v>3</v>
      </c>
      <c r="AJ188">
        <v>1</v>
      </c>
      <c r="AK188">
        <v>0</v>
      </c>
      <c r="AL188" t="s">
        <v>460</v>
      </c>
      <c r="AM188">
        <v>47.069806999999997</v>
      </c>
      <c r="AN188" t="s">
        <v>461</v>
      </c>
      <c r="AO188">
        <v>-122.27944100000001</v>
      </c>
      <c r="AP188">
        <v>100</v>
      </c>
      <c r="AQ188">
        <v>2000</v>
      </c>
      <c r="AR188" t="s">
        <v>118</v>
      </c>
      <c r="AS188">
        <v>-15</v>
      </c>
      <c r="AT188">
        <v>-84</v>
      </c>
      <c r="AU188">
        <v>-256</v>
      </c>
      <c r="BC188">
        <v>1200</v>
      </c>
      <c r="BD188">
        <v>1</v>
      </c>
      <c r="BE188" t="str">
        <f t="shared" si="8"/>
        <v xml:space="preserve">N215T   </v>
      </c>
      <c r="BF188">
        <v>1</v>
      </c>
      <c r="BH188">
        <v>0</v>
      </c>
      <c r="BI188">
        <v>0</v>
      </c>
      <c r="BJ188">
        <v>0</v>
      </c>
      <c r="BK188">
        <v>2425</v>
      </c>
      <c r="BL188">
        <v>425</v>
      </c>
      <c r="BM188" t="s">
        <v>119</v>
      </c>
      <c r="BN188">
        <v>1</v>
      </c>
      <c r="BO188">
        <v>1</v>
      </c>
      <c r="BP188">
        <v>1</v>
      </c>
      <c r="BQ188">
        <v>0</v>
      </c>
      <c r="BT188">
        <v>0</v>
      </c>
      <c r="BU188">
        <v>0</v>
      </c>
      <c r="BV188">
        <v>0</v>
      </c>
      <c r="CC188" t="str">
        <f>"18:37:32.742"</f>
        <v>18:37:32.742</v>
      </c>
      <c r="CD188" t="str">
        <f>"741729168"</f>
        <v>741729168</v>
      </c>
      <c r="CQ188">
        <v>0</v>
      </c>
      <c r="CR188">
        <v>2</v>
      </c>
      <c r="CS188">
        <v>0</v>
      </c>
      <c r="CT188">
        <v>2</v>
      </c>
      <c r="CU188">
        <v>0</v>
      </c>
      <c r="CV188">
        <v>5</v>
      </c>
      <c r="CW188" t="s">
        <v>120</v>
      </c>
      <c r="CX188">
        <v>259</v>
      </c>
      <c r="CY188">
        <v>1</v>
      </c>
      <c r="CZ188" t="s">
        <v>197</v>
      </c>
      <c r="DA188" t="s">
        <v>198</v>
      </c>
      <c r="DD188">
        <v>14745700</v>
      </c>
      <c r="DE188" t="s">
        <v>123</v>
      </c>
    </row>
    <row r="189" spans="1:109" x14ac:dyDescent="0.3">
      <c r="A189" t="str">
        <f>"18:37:33.859"</f>
        <v>18:37:33.859</v>
      </c>
      <c r="B189" t="s">
        <v>110</v>
      </c>
      <c r="C189" t="str">
        <f t="shared" si="6"/>
        <v>ffdfd3c0</v>
      </c>
      <c r="D189" t="s">
        <v>111</v>
      </c>
      <c r="E189">
        <v>18</v>
      </c>
      <c r="F189">
        <v>1018</v>
      </c>
      <c r="G189" t="s">
        <v>112</v>
      </c>
      <c r="J189" t="s">
        <v>113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R189" t="s">
        <v>114</v>
      </c>
      <c r="S189" t="str">
        <f>"18:37:33.641"</f>
        <v>18:37:33.641</v>
      </c>
      <c r="T189" t="str">
        <f>"18:37:33.242"</f>
        <v>18:37:33.242</v>
      </c>
      <c r="U189" t="str">
        <f t="shared" si="7"/>
        <v>a1cdbe</v>
      </c>
      <c r="V189">
        <v>0</v>
      </c>
      <c r="W189">
        <v>0</v>
      </c>
      <c r="X189">
        <v>1</v>
      </c>
      <c r="Y189">
        <v>0</v>
      </c>
      <c r="Z189">
        <v>0</v>
      </c>
      <c r="AB189">
        <v>0</v>
      </c>
      <c r="AC189">
        <v>9</v>
      </c>
      <c r="AD189">
        <v>3</v>
      </c>
      <c r="AE189">
        <v>0</v>
      </c>
      <c r="AF189">
        <v>9</v>
      </c>
      <c r="AG189" t="s">
        <v>158</v>
      </c>
      <c r="AH189">
        <v>0</v>
      </c>
      <c r="AI189">
        <v>3</v>
      </c>
      <c r="AJ189">
        <v>1</v>
      </c>
      <c r="AK189">
        <v>0</v>
      </c>
      <c r="AL189" t="s">
        <v>462</v>
      </c>
      <c r="AM189">
        <v>47.069464000000004</v>
      </c>
      <c r="AN189" t="s">
        <v>222</v>
      </c>
      <c r="AO189">
        <v>-122.279549</v>
      </c>
      <c r="AP189">
        <v>100</v>
      </c>
      <c r="AQ189">
        <v>2000</v>
      </c>
      <c r="AR189" t="s">
        <v>118</v>
      </c>
      <c r="AS189">
        <v>-14</v>
      </c>
      <c r="AT189">
        <v>-84</v>
      </c>
      <c r="AU189">
        <v>-192</v>
      </c>
      <c r="BC189">
        <v>1200</v>
      </c>
      <c r="BD189">
        <v>1</v>
      </c>
      <c r="BE189" t="str">
        <f t="shared" si="8"/>
        <v xml:space="preserve">N215T   </v>
      </c>
      <c r="BF189">
        <v>1</v>
      </c>
      <c r="BH189">
        <v>0</v>
      </c>
      <c r="BI189">
        <v>0</v>
      </c>
      <c r="BJ189">
        <v>0</v>
      </c>
      <c r="BK189">
        <v>2425</v>
      </c>
      <c r="BL189">
        <v>425</v>
      </c>
      <c r="BM189" t="s">
        <v>119</v>
      </c>
      <c r="BN189">
        <v>1</v>
      </c>
      <c r="BO189">
        <v>1</v>
      </c>
      <c r="BP189">
        <v>1</v>
      </c>
      <c r="BQ189">
        <v>0</v>
      </c>
      <c r="BT189">
        <v>0</v>
      </c>
      <c r="BU189">
        <v>0</v>
      </c>
      <c r="BV189">
        <v>0</v>
      </c>
      <c r="CC189" t="str">
        <f>"18:37:33.641"</f>
        <v>18:37:33.641</v>
      </c>
      <c r="CD189" t="str">
        <f>"641532618"</f>
        <v>641532618</v>
      </c>
      <c r="CQ189">
        <v>0</v>
      </c>
      <c r="CR189">
        <v>2</v>
      </c>
      <c r="CS189">
        <v>0</v>
      </c>
      <c r="CT189">
        <v>2</v>
      </c>
      <c r="CU189">
        <v>0</v>
      </c>
      <c r="CV189">
        <v>5</v>
      </c>
      <c r="CW189" t="s">
        <v>120</v>
      </c>
      <c r="CX189">
        <v>261</v>
      </c>
      <c r="CY189">
        <v>2</v>
      </c>
      <c r="CZ189" t="s">
        <v>121</v>
      </c>
      <c r="DA189" t="s">
        <v>122</v>
      </c>
      <c r="DD189">
        <v>14343620</v>
      </c>
      <c r="DE189" t="s">
        <v>123</v>
      </c>
    </row>
    <row r="190" spans="1:109" x14ac:dyDescent="0.3">
      <c r="A190" t="str">
        <f>"18:37:34.813"</f>
        <v>18:37:34.813</v>
      </c>
      <c r="B190" t="s">
        <v>110</v>
      </c>
      <c r="C190" t="str">
        <f t="shared" si="6"/>
        <v>ffdfd3c0</v>
      </c>
      <c r="D190" t="s">
        <v>111</v>
      </c>
      <c r="E190">
        <v>18</v>
      </c>
      <c r="F190">
        <v>1018</v>
      </c>
      <c r="G190" t="s">
        <v>112</v>
      </c>
      <c r="J190" t="s">
        <v>113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R190" t="s">
        <v>114</v>
      </c>
      <c r="S190" t="str">
        <f>"18:37:34.609"</f>
        <v>18:37:34.609</v>
      </c>
      <c r="T190" t="str">
        <f>"18:37:34.109"</f>
        <v>18:37:34.109</v>
      </c>
      <c r="U190" t="str">
        <f t="shared" si="7"/>
        <v>a1cdbe</v>
      </c>
      <c r="V190">
        <v>0</v>
      </c>
      <c r="W190">
        <v>0</v>
      </c>
      <c r="X190">
        <v>1</v>
      </c>
      <c r="Y190">
        <v>0</v>
      </c>
      <c r="Z190">
        <v>0</v>
      </c>
      <c r="AB190">
        <v>0</v>
      </c>
      <c r="AC190">
        <v>9</v>
      </c>
      <c r="AD190">
        <v>3</v>
      </c>
      <c r="AE190">
        <v>0</v>
      </c>
      <c r="AF190">
        <v>9</v>
      </c>
      <c r="AG190" t="s">
        <v>158</v>
      </c>
      <c r="AH190">
        <v>0</v>
      </c>
      <c r="AI190">
        <v>3</v>
      </c>
      <c r="AJ190">
        <v>1</v>
      </c>
      <c r="AK190">
        <v>0</v>
      </c>
      <c r="AL190" t="s">
        <v>463</v>
      </c>
      <c r="AM190">
        <v>47.069056000000003</v>
      </c>
      <c r="AN190" t="s">
        <v>464</v>
      </c>
      <c r="AO190">
        <v>-122.279656</v>
      </c>
      <c r="AP190">
        <v>100</v>
      </c>
      <c r="AQ190">
        <v>2000</v>
      </c>
      <c r="AR190" t="s">
        <v>118</v>
      </c>
      <c r="AS190">
        <v>-14</v>
      </c>
      <c r="AT190">
        <v>-84</v>
      </c>
      <c r="AU190">
        <v>-192</v>
      </c>
      <c r="BC190">
        <v>1200</v>
      </c>
      <c r="BD190">
        <v>1</v>
      </c>
      <c r="BE190" t="str">
        <f t="shared" si="8"/>
        <v xml:space="preserve">N215T   </v>
      </c>
      <c r="BF190">
        <v>1</v>
      </c>
      <c r="BH190">
        <v>0</v>
      </c>
      <c r="BI190">
        <v>0</v>
      </c>
      <c r="BJ190">
        <v>0</v>
      </c>
      <c r="BK190">
        <v>2425</v>
      </c>
      <c r="BL190">
        <v>425</v>
      </c>
      <c r="BM190" t="s">
        <v>119</v>
      </c>
      <c r="BN190">
        <v>1</v>
      </c>
      <c r="BO190">
        <v>1</v>
      </c>
      <c r="BP190">
        <v>1</v>
      </c>
      <c r="BQ190">
        <v>0</v>
      </c>
      <c r="BT190">
        <v>0</v>
      </c>
      <c r="BU190">
        <v>0</v>
      </c>
      <c r="BV190">
        <v>0</v>
      </c>
      <c r="CC190" t="str">
        <f>"18:37:34.617"</f>
        <v>18:37:34.617</v>
      </c>
      <c r="CD190" t="str">
        <f>"616436753"</f>
        <v>616436753</v>
      </c>
      <c r="CQ190">
        <v>0</v>
      </c>
      <c r="CR190">
        <v>2</v>
      </c>
      <c r="CS190">
        <v>0</v>
      </c>
      <c r="CT190">
        <v>2</v>
      </c>
      <c r="CU190">
        <v>0</v>
      </c>
      <c r="CV190">
        <v>5</v>
      </c>
      <c r="CW190" t="s">
        <v>120</v>
      </c>
      <c r="CX190">
        <v>261</v>
      </c>
      <c r="CY190">
        <v>1</v>
      </c>
      <c r="CZ190" t="s">
        <v>121</v>
      </c>
      <c r="DA190" t="s">
        <v>122</v>
      </c>
      <c r="DD190">
        <v>3202499</v>
      </c>
      <c r="DE190" t="s">
        <v>123</v>
      </c>
    </row>
    <row r="191" spans="1:109" x14ac:dyDescent="0.3">
      <c r="A191" t="str">
        <f>"18:37:35.867"</f>
        <v>18:37:35.867</v>
      </c>
      <c r="B191" t="s">
        <v>110</v>
      </c>
      <c r="C191" t="str">
        <f t="shared" si="6"/>
        <v>ffdfd3c0</v>
      </c>
      <c r="D191" t="s">
        <v>111</v>
      </c>
      <c r="E191">
        <v>18</v>
      </c>
      <c r="F191">
        <v>1018</v>
      </c>
      <c r="G191" t="s">
        <v>112</v>
      </c>
      <c r="J191" t="s">
        <v>113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R191" t="s">
        <v>114</v>
      </c>
      <c r="S191" t="str">
        <f>"18:37:35.648"</f>
        <v>18:37:35.648</v>
      </c>
      <c r="T191" t="str">
        <f>"18:37:35.352"</f>
        <v>18:37:35.352</v>
      </c>
      <c r="U191" t="str">
        <f t="shared" si="7"/>
        <v>a1cdbe</v>
      </c>
      <c r="V191">
        <v>0</v>
      </c>
      <c r="W191">
        <v>0</v>
      </c>
      <c r="X191">
        <v>1</v>
      </c>
      <c r="Y191">
        <v>0</v>
      </c>
      <c r="Z191">
        <v>0</v>
      </c>
      <c r="AB191">
        <v>0</v>
      </c>
      <c r="AC191">
        <v>9</v>
      </c>
      <c r="AD191">
        <v>3</v>
      </c>
      <c r="AE191">
        <v>0</v>
      </c>
      <c r="AF191">
        <v>9</v>
      </c>
      <c r="AG191" t="s">
        <v>158</v>
      </c>
      <c r="AH191">
        <v>0</v>
      </c>
      <c r="AI191">
        <v>3</v>
      </c>
      <c r="AJ191">
        <v>1</v>
      </c>
      <c r="AK191">
        <v>0</v>
      </c>
      <c r="AL191" t="s">
        <v>465</v>
      </c>
      <c r="AM191">
        <v>47.068669999999997</v>
      </c>
      <c r="AN191" t="s">
        <v>466</v>
      </c>
      <c r="AO191">
        <v>-122.279763</v>
      </c>
      <c r="AP191">
        <v>100</v>
      </c>
      <c r="AQ191">
        <v>2000</v>
      </c>
      <c r="AR191" t="s">
        <v>118</v>
      </c>
      <c r="AS191">
        <v>-14</v>
      </c>
      <c r="AT191">
        <v>-85</v>
      </c>
      <c r="AU191">
        <v>-128</v>
      </c>
      <c r="BC191">
        <v>1200</v>
      </c>
      <c r="BD191">
        <v>1</v>
      </c>
      <c r="BE191" t="str">
        <f t="shared" si="8"/>
        <v xml:space="preserve">N215T   </v>
      </c>
      <c r="BF191">
        <v>1</v>
      </c>
      <c r="BH191">
        <v>0</v>
      </c>
      <c r="BI191">
        <v>0</v>
      </c>
      <c r="BJ191">
        <v>0</v>
      </c>
      <c r="BK191">
        <v>2400</v>
      </c>
      <c r="BL191">
        <v>400</v>
      </c>
      <c r="BM191" t="s">
        <v>119</v>
      </c>
      <c r="BN191">
        <v>1</v>
      </c>
      <c r="BO191">
        <v>1</v>
      </c>
      <c r="BP191">
        <v>1</v>
      </c>
      <c r="BQ191">
        <v>0</v>
      </c>
      <c r="BT191">
        <v>0</v>
      </c>
      <c r="BU191">
        <v>0</v>
      </c>
      <c r="BV191">
        <v>0</v>
      </c>
      <c r="CC191" t="str">
        <f>"18:37:35.648"</f>
        <v>18:37:35.648</v>
      </c>
      <c r="CD191" t="str">
        <f>"651334976"</f>
        <v>651334976</v>
      </c>
      <c r="CQ191">
        <v>0</v>
      </c>
      <c r="CR191">
        <v>2</v>
      </c>
      <c r="CS191">
        <v>0</v>
      </c>
      <c r="CT191">
        <v>2</v>
      </c>
      <c r="CU191">
        <v>0</v>
      </c>
      <c r="CV191">
        <v>5</v>
      </c>
      <c r="CW191" t="s">
        <v>120</v>
      </c>
      <c r="CX191">
        <v>261</v>
      </c>
      <c r="CY191">
        <v>1</v>
      </c>
      <c r="CZ191" t="s">
        <v>121</v>
      </c>
      <c r="DA191" t="s">
        <v>122</v>
      </c>
      <c r="DD191">
        <v>3203168</v>
      </c>
      <c r="DE191" t="s">
        <v>123</v>
      </c>
    </row>
    <row r="192" spans="1:109" x14ac:dyDescent="0.3">
      <c r="A192" t="str">
        <f>"18:37:36.875"</f>
        <v>18:37:36.875</v>
      </c>
      <c r="B192" t="s">
        <v>110</v>
      </c>
      <c r="C192" t="str">
        <f t="shared" si="6"/>
        <v>ffdfd3c0</v>
      </c>
      <c r="D192" t="s">
        <v>111</v>
      </c>
      <c r="E192">
        <v>18</v>
      </c>
      <c r="F192">
        <v>1018</v>
      </c>
      <c r="G192" t="s">
        <v>112</v>
      </c>
      <c r="J192" t="s">
        <v>113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R192" t="s">
        <v>114</v>
      </c>
      <c r="S192" t="str">
        <f>"18:37:36.656"</f>
        <v>18:37:36.656</v>
      </c>
      <c r="T192" t="str">
        <f>"18:37:36.258"</f>
        <v>18:37:36.258</v>
      </c>
      <c r="U192" t="str">
        <f t="shared" si="7"/>
        <v>a1cdbe</v>
      </c>
      <c r="V192">
        <v>0</v>
      </c>
      <c r="W192">
        <v>0</v>
      </c>
      <c r="X192">
        <v>1</v>
      </c>
      <c r="Y192">
        <v>0</v>
      </c>
      <c r="Z192">
        <v>0</v>
      </c>
      <c r="AB192">
        <v>0</v>
      </c>
      <c r="AC192">
        <v>9</v>
      </c>
      <c r="AD192">
        <v>3</v>
      </c>
      <c r="AE192">
        <v>0</v>
      </c>
      <c r="AF192">
        <v>9</v>
      </c>
      <c r="AG192" t="s">
        <v>158</v>
      </c>
      <c r="AH192">
        <v>0</v>
      </c>
      <c r="AI192">
        <v>3</v>
      </c>
      <c r="AJ192">
        <v>1</v>
      </c>
      <c r="AK192">
        <v>0</v>
      </c>
      <c r="AL192" t="s">
        <v>467</v>
      </c>
      <c r="AM192">
        <v>47.068261999999997</v>
      </c>
      <c r="AN192" t="s">
        <v>468</v>
      </c>
      <c r="AO192">
        <v>-122.279871</v>
      </c>
      <c r="AP192">
        <v>100</v>
      </c>
      <c r="AQ192">
        <v>2000</v>
      </c>
      <c r="AR192" t="s">
        <v>118</v>
      </c>
      <c r="AS192">
        <v>-13</v>
      </c>
      <c r="AT192">
        <v>-85</v>
      </c>
      <c r="AU192">
        <v>-128</v>
      </c>
      <c r="BC192">
        <v>1200</v>
      </c>
      <c r="BD192">
        <v>1</v>
      </c>
      <c r="BE192" t="str">
        <f t="shared" si="8"/>
        <v xml:space="preserve">N215T   </v>
      </c>
      <c r="BF192">
        <v>1</v>
      </c>
      <c r="BH192">
        <v>0</v>
      </c>
      <c r="BI192">
        <v>0</v>
      </c>
      <c r="BJ192">
        <v>0</v>
      </c>
      <c r="BK192">
        <v>2400</v>
      </c>
      <c r="BL192">
        <v>400</v>
      </c>
      <c r="BM192" t="s">
        <v>119</v>
      </c>
      <c r="BN192">
        <v>1</v>
      </c>
      <c r="BO192">
        <v>1</v>
      </c>
      <c r="BP192">
        <v>1</v>
      </c>
      <c r="BQ192">
        <v>0</v>
      </c>
      <c r="BT192">
        <v>0</v>
      </c>
      <c r="BU192">
        <v>0</v>
      </c>
      <c r="BV192">
        <v>0</v>
      </c>
      <c r="CC192" t="str">
        <f>"18:37:36.656"</f>
        <v>18:37:36.656</v>
      </c>
      <c r="CD192" t="str">
        <f>"656344384"</f>
        <v>656344384</v>
      </c>
      <c r="CQ192">
        <v>0</v>
      </c>
      <c r="CR192">
        <v>2</v>
      </c>
      <c r="CS192">
        <v>0</v>
      </c>
      <c r="CT192">
        <v>2</v>
      </c>
      <c r="CU192">
        <v>0</v>
      </c>
      <c r="CV192">
        <v>5</v>
      </c>
      <c r="CW192" t="s">
        <v>120</v>
      </c>
      <c r="CX192">
        <v>259</v>
      </c>
      <c r="CY192">
        <v>1</v>
      </c>
      <c r="CZ192" t="s">
        <v>197</v>
      </c>
      <c r="DA192" t="s">
        <v>198</v>
      </c>
      <c r="DD192">
        <v>14748282</v>
      </c>
      <c r="DE192" t="s">
        <v>123</v>
      </c>
    </row>
    <row r="193" spans="1:109" x14ac:dyDescent="0.3">
      <c r="A193" t="str">
        <f>"18:37:37.828"</f>
        <v>18:37:37.828</v>
      </c>
      <c r="B193" t="s">
        <v>110</v>
      </c>
      <c r="C193" t="str">
        <f t="shared" si="6"/>
        <v>ffdfd3c0</v>
      </c>
      <c r="D193" t="s">
        <v>111</v>
      </c>
      <c r="E193">
        <v>18</v>
      </c>
      <c r="F193">
        <v>1018</v>
      </c>
      <c r="G193" t="s">
        <v>112</v>
      </c>
      <c r="J193" t="s">
        <v>113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R193" t="s">
        <v>114</v>
      </c>
      <c r="S193" t="str">
        <f>"18:37:37.594"</f>
        <v>18:37:37.594</v>
      </c>
      <c r="T193" t="str">
        <f>"18:37:37.195"</f>
        <v>18:37:37.195</v>
      </c>
      <c r="U193" t="str">
        <f t="shared" si="7"/>
        <v>a1cdbe</v>
      </c>
      <c r="V193">
        <v>0</v>
      </c>
      <c r="W193">
        <v>0</v>
      </c>
      <c r="X193">
        <v>1</v>
      </c>
      <c r="Y193">
        <v>0</v>
      </c>
      <c r="Z193">
        <v>0</v>
      </c>
      <c r="AB193">
        <v>0</v>
      </c>
      <c r="AC193">
        <v>9</v>
      </c>
      <c r="AD193">
        <v>3</v>
      </c>
      <c r="AE193">
        <v>0</v>
      </c>
      <c r="AF193">
        <v>9</v>
      </c>
      <c r="AG193" t="s">
        <v>158</v>
      </c>
      <c r="AH193">
        <v>0</v>
      </c>
      <c r="AI193">
        <v>3</v>
      </c>
      <c r="AJ193">
        <v>1</v>
      </c>
      <c r="AK193">
        <v>0</v>
      </c>
      <c r="AL193" t="s">
        <v>469</v>
      </c>
      <c r="AM193">
        <v>47.067897000000002</v>
      </c>
      <c r="AN193" t="s">
        <v>470</v>
      </c>
      <c r="AO193">
        <v>-122.279892</v>
      </c>
      <c r="AP193">
        <v>100</v>
      </c>
      <c r="AQ193">
        <v>2000</v>
      </c>
      <c r="AR193" t="s">
        <v>118</v>
      </c>
      <c r="AS193">
        <v>-13</v>
      </c>
      <c r="AT193">
        <v>-85</v>
      </c>
      <c r="AU193">
        <v>-64</v>
      </c>
      <c r="BC193">
        <v>1200</v>
      </c>
      <c r="BD193">
        <v>1</v>
      </c>
      <c r="BE193" t="str">
        <f t="shared" si="8"/>
        <v xml:space="preserve">N215T   </v>
      </c>
      <c r="BF193">
        <v>1</v>
      </c>
      <c r="BH193">
        <v>0</v>
      </c>
      <c r="BI193">
        <v>0</v>
      </c>
      <c r="BJ193">
        <v>0</v>
      </c>
      <c r="BK193">
        <v>2400</v>
      </c>
      <c r="BL193">
        <v>400</v>
      </c>
      <c r="BM193" t="s">
        <v>119</v>
      </c>
      <c r="BN193">
        <v>1</v>
      </c>
      <c r="BO193">
        <v>1</v>
      </c>
      <c r="BP193">
        <v>1</v>
      </c>
      <c r="BQ193">
        <v>0</v>
      </c>
      <c r="BT193">
        <v>0</v>
      </c>
      <c r="BU193">
        <v>0</v>
      </c>
      <c r="BV193">
        <v>0</v>
      </c>
      <c r="CC193" t="str">
        <f>"18:37:37.602"</f>
        <v>18:37:37.602</v>
      </c>
      <c r="CD193" t="str">
        <f>"601251495"</f>
        <v>601251495</v>
      </c>
      <c r="CQ193">
        <v>0</v>
      </c>
      <c r="CR193">
        <v>2</v>
      </c>
      <c r="CS193">
        <v>0</v>
      </c>
      <c r="CT193">
        <v>2</v>
      </c>
      <c r="CU193">
        <v>0</v>
      </c>
      <c r="CV193">
        <v>5</v>
      </c>
      <c r="CW193" t="s">
        <v>120</v>
      </c>
      <c r="CX193">
        <v>259</v>
      </c>
      <c r="CY193">
        <v>1</v>
      </c>
      <c r="CZ193" t="s">
        <v>197</v>
      </c>
      <c r="DA193" t="s">
        <v>198</v>
      </c>
      <c r="DD193">
        <v>14748901</v>
      </c>
      <c r="DE193" t="s">
        <v>123</v>
      </c>
    </row>
    <row r="194" spans="1:109" x14ac:dyDescent="0.3">
      <c r="A194" t="str">
        <f>"18:37:38.883"</f>
        <v>18:37:38.883</v>
      </c>
      <c r="B194" t="s">
        <v>110</v>
      </c>
      <c r="C194" t="str">
        <f t="shared" ref="C194:C257" si="9">"ffdfd3c0"</f>
        <v>ffdfd3c0</v>
      </c>
      <c r="D194" t="s">
        <v>111</v>
      </c>
      <c r="E194">
        <v>18</v>
      </c>
      <c r="F194">
        <v>1018</v>
      </c>
      <c r="G194" t="s">
        <v>112</v>
      </c>
      <c r="J194" t="s">
        <v>113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R194" t="s">
        <v>114</v>
      </c>
      <c r="S194" t="str">
        <f>"18:37:38.680"</f>
        <v>18:37:38.680</v>
      </c>
      <c r="T194" t="str">
        <f>"18:37:38.578"</f>
        <v>18:37:38.578</v>
      </c>
      <c r="U194" t="str">
        <f t="shared" ref="U194:U257" si="10">"a1cdbe"</f>
        <v>a1cdbe</v>
      </c>
      <c r="V194">
        <v>0</v>
      </c>
      <c r="W194">
        <v>0</v>
      </c>
      <c r="X194">
        <v>1</v>
      </c>
      <c r="Y194">
        <v>0</v>
      </c>
      <c r="Z194">
        <v>0</v>
      </c>
      <c r="AB194">
        <v>0</v>
      </c>
      <c r="AC194">
        <v>9</v>
      </c>
      <c r="AD194">
        <v>3</v>
      </c>
      <c r="AE194">
        <v>0</v>
      </c>
      <c r="AF194">
        <v>9</v>
      </c>
      <c r="AG194" t="s">
        <v>158</v>
      </c>
      <c r="AH194">
        <v>0</v>
      </c>
      <c r="AI194">
        <v>3</v>
      </c>
      <c r="AJ194">
        <v>1</v>
      </c>
      <c r="AK194">
        <v>0</v>
      </c>
      <c r="AL194" t="s">
        <v>471</v>
      </c>
      <c r="AM194">
        <v>47.067467999999998</v>
      </c>
      <c r="AN194" t="s">
        <v>472</v>
      </c>
      <c r="AO194">
        <v>-122.280021</v>
      </c>
      <c r="AP194">
        <v>100</v>
      </c>
      <c r="AQ194">
        <v>2000</v>
      </c>
      <c r="AR194" t="s">
        <v>118</v>
      </c>
      <c r="AS194">
        <v>-13</v>
      </c>
      <c r="AT194">
        <v>-85</v>
      </c>
      <c r="AU194">
        <v>-128</v>
      </c>
      <c r="BC194">
        <v>1200</v>
      </c>
      <c r="BD194">
        <v>1</v>
      </c>
      <c r="BE194" t="str">
        <f t="shared" ref="BE194:BE257" si="11">"N215T   "</f>
        <v xml:space="preserve">N215T   </v>
      </c>
      <c r="BF194">
        <v>1</v>
      </c>
      <c r="BH194">
        <v>0</v>
      </c>
      <c r="BI194">
        <v>0</v>
      </c>
      <c r="BJ194">
        <v>0</v>
      </c>
      <c r="BK194">
        <v>2400</v>
      </c>
      <c r="BL194">
        <v>400</v>
      </c>
      <c r="BM194" t="s">
        <v>119</v>
      </c>
      <c r="BN194">
        <v>1</v>
      </c>
      <c r="BO194">
        <v>1</v>
      </c>
      <c r="BP194">
        <v>1</v>
      </c>
      <c r="BQ194">
        <v>0</v>
      </c>
      <c r="BT194">
        <v>0</v>
      </c>
      <c r="BU194">
        <v>0</v>
      </c>
      <c r="BV194">
        <v>0</v>
      </c>
      <c r="CC194" t="str">
        <f>"18:37:38.680"</f>
        <v>18:37:38.680</v>
      </c>
      <c r="CD194" t="str">
        <f>"681145357"</f>
        <v>681145357</v>
      </c>
      <c r="CQ194">
        <v>0</v>
      </c>
      <c r="CR194">
        <v>2</v>
      </c>
      <c r="CS194">
        <v>0</v>
      </c>
      <c r="CT194">
        <v>2</v>
      </c>
      <c r="CU194">
        <v>0</v>
      </c>
      <c r="CV194">
        <v>5</v>
      </c>
      <c r="CW194" t="s">
        <v>120</v>
      </c>
      <c r="CX194">
        <v>259</v>
      </c>
      <c r="CY194">
        <v>1</v>
      </c>
      <c r="CZ194" t="s">
        <v>197</v>
      </c>
      <c r="DA194" t="s">
        <v>198</v>
      </c>
      <c r="DD194">
        <v>14749609</v>
      </c>
      <c r="DE194" t="s">
        <v>123</v>
      </c>
    </row>
    <row r="195" spans="1:109" x14ac:dyDescent="0.3">
      <c r="A195" t="str">
        <f>"18:37:39.891"</f>
        <v>18:37:39.891</v>
      </c>
      <c r="B195" t="s">
        <v>110</v>
      </c>
      <c r="C195" t="str">
        <f t="shared" si="9"/>
        <v>ffdfd3c0</v>
      </c>
      <c r="D195" t="s">
        <v>111</v>
      </c>
      <c r="E195">
        <v>18</v>
      </c>
      <c r="F195">
        <v>1018</v>
      </c>
      <c r="G195" t="s">
        <v>112</v>
      </c>
      <c r="J195" t="s">
        <v>113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R195" t="s">
        <v>114</v>
      </c>
      <c r="S195" t="str">
        <f>"18:37:39.648"</f>
        <v>18:37:39.648</v>
      </c>
      <c r="T195" t="str">
        <f>"18:37:39.648"</f>
        <v>18:37:39.648</v>
      </c>
      <c r="U195" t="str">
        <f t="shared" si="10"/>
        <v>a1cdbe</v>
      </c>
      <c r="V195">
        <v>0</v>
      </c>
      <c r="W195">
        <v>0</v>
      </c>
      <c r="X195">
        <v>1</v>
      </c>
      <c r="Y195">
        <v>0</v>
      </c>
      <c r="Z195">
        <v>0</v>
      </c>
      <c r="AB195">
        <v>0</v>
      </c>
      <c r="AC195">
        <v>9</v>
      </c>
      <c r="AD195">
        <v>3</v>
      </c>
      <c r="AE195">
        <v>0</v>
      </c>
      <c r="AF195">
        <v>9</v>
      </c>
      <c r="AG195" t="s">
        <v>158</v>
      </c>
      <c r="AH195">
        <v>0</v>
      </c>
      <c r="AI195">
        <v>3</v>
      </c>
      <c r="AJ195">
        <v>1</v>
      </c>
      <c r="AK195">
        <v>0</v>
      </c>
      <c r="AL195" t="s">
        <v>473</v>
      </c>
      <c r="AM195">
        <v>47.067081999999999</v>
      </c>
      <c r="AN195" t="s">
        <v>474</v>
      </c>
      <c r="AO195">
        <v>-122.280107</v>
      </c>
      <c r="AP195">
        <v>100</v>
      </c>
      <c r="AQ195">
        <v>2000</v>
      </c>
      <c r="AR195" t="s">
        <v>118</v>
      </c>
      <c r="AS195">
        <v>-14</v>
      </c>
      <c r="AT195">
        <v>-85</v>
      </c>
      <c r="AU195">
        <v>-128</v>
      </c>
      <c r="BC195">
        <v>1200</v>
      </c>
      <c r="BD195">
        <v>1</v>
      </c>
      <c r="BE195" t="str">
        <f t="shared" si="11"/>
        <v xml:space="preserve">N215T   </v>
      </c>
      <c r="BF195">
        <v>1</v>
      </c>
      <c r="BH195">
        <v>0</v>
      </c>
      <c r="BI195">
        <v>0</v>
      </c>
      <c r="BJ195">
        <v>0</v>
      </c>
      <c r="BK195">
        <v>2400</v>
      </c>
      <c r="BL195">
        <v>400</v>
      </c>
      <c r="BM195" t="s">
        <v>119</v>
      </c>
      <c r="BN195">
        <v>1</v>
      </c>
      <c r="BO195">
        <v>1</v>
      </c>
      <c r="BP195">
        <v>1</v>
      </c>
      <c r="BQ195">
        <v>0</v>
      </c>
      <c r="BT195">
        <v>0</v>
      </c>
      <c r="BU195">
        <v>0</v>
      </c>
      <c r="BV195">
        <v>0</v>
      </c>
      <c r="CC195" t="str">
        <f>"18:37:39.656"</f>
        <v>18:37:39.656</v>
      </c>
      <c r="CD195" t="str">
        <f>"655941155"</f>
        <v>655941155</v>
      </c>
      <c r="CQ195">
        <v>0</v>
      </c>
      <c r="CR195">
        <v>2</v>
      </c>
      <c r="CS195">
        <v>0</v>
      </c>
      <c r="CT195">
        <v>2</v>
      </c>
      <c r="CU195">
        <v>0</v>
      </c>
      <c r="CV195">
        <v>5</v>
      </c>
      <c r="CW195" t="s">
        <v>120</v>
      </c>
      <c r="CX195">
        <v>261</v>
      </c>
      <c r="CY195">
        <v>1</v>
      </c>
      <c r="CZ195" t="s">
        <v>121</v>
      </c>
      <c r="DA195" t="s">
        <v>122</v>
      </c>
      <c r="DD195">
        <v>3205696</v>
      </c>
      <c r="DE195" t="s">
        <v>123</v>
      </c>
    </row>
    <row r="196" spans="1:109" x14ac:dyDescent="0.3">
      <c r="A196" t="str">
        <f>"18:37:40.844"</f>
        <v>18:37:40.844</v>
      </c>
      <c r="B196" t="s">
        <v>110</v>
      </c>
      <c r="C196" t="str">
        <f t="shared" si="9"/>
        <v>ffdfd3c0</v>
      </c>
      <c r="D196" t="s">
        <v>111</v>
      </c>
      <c r="E196">
        <v>18</v>
      </c>
      <c r="F196">
        <v>1018</v>
      </c>
      <c r="G196" t="s">
        <v>112</v>
      </c>
      <c r="J196" t="s">
        <v>113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R196" t="s">
        <v>114</v>
      </c>
      <c r="S196" t="str">
        <f>"18:37:40.609"</f>
        <v>18:37:40.609</v>
      </c>
      <c r="T196" t="str">
        <f>"18:37:39.711"</f>
        <v>18:37:39.711</v>
      </c>
      <c r="U196" t="str">
        <f t="shared" si="10"/>
        <v>a1cdbe</v>
      </c>
      <c r="V196">
        <v>0</v>
      </c>
      <c r="W196">
        <v>0</v>
      </c>
      <c r="X196">
        <v>1</v>
      </c>
      <c r="Y196">
        <v>0</v>
      </c>
      <c r="Z196">
        <v>0</v>
      </c>
      <c r="AB196">
        <v>0</v>
      </c>
      <c r="AC196">
        <v>9</v>
      </c>
      <c r="AD196">
        <v>3</v>
      </c>
      <c r="AE196">
        <v>0</v>
      </c>
      <c r="AF196">
        <v>9</v>
      </c>
      <c r="AG196" t="s">
        <v>158</v>
      </c>
      <c r="AH196">
        <v>0</v>
      </c>
      <c r="AI196">
        <v>3</v>
      </c>
      <c r="AJ196">
        <v>1</v>
      </c>
      <c r="AK196">
        <v>0</v>
      </c>
      <c r="AL196" t="s">
        <v>475</v>
      </c>
      <c r="AM196">
        <v>47.066738999999998</v>
      </c>
      <c r="AN196" t="s">
        <v>476</v>
      </c>
      <c r="AO196">
        <v>-122.28014899999999</v>
      </c>
      <c r="AP196">
        <v>100</v>
      </c>
      <c r="AQ196">
        <v>2000</v>
      </c>
      <c r="AR196" t="s">
        <v>118</v>
      </c>
      <c r="AS196">
        <v>-14</v>
      </c>
      <c r="AT196">
        <v>-85</v>
      </c>
      <c r="AU196">
        <v>-128</v>
      </c>
      <c r="BC196">
        <v>1200</v>
      </c>
      <c r="BD196">
        <v>1</v>
      </c>
      <c r="BE196" t="str">
        <f t="shared" si="11"/>
        <v xml:space="preserve">N215T   </v>
      </c>
      <c r="BF196">
        <v>1</v>
      </c>
      <c r="BH196">
        <v>0</v>
      </c>
      <c r="BI196">
        <v>0</v>
      </c>
      <c r="BJ196">
        <v>0</v>
      </c>
      <c r="BK196">
        <v>2400</v>
      </c>
      <c r="BL196">
        <v>400</v>
      </c>
      <c r="BM196" t="s">
        <v>119</v>
      </c>
      <c r="BN196">
        <v>1</v>
      </c>
      <c r="BO196">
        <v>1</v>
      </c>
      <c r="BP196">
        <v>1</v>
      </c>
      <c r="BQ196">
        <v>0</v>
      </c>
      <c r="BT196">
        <v>0</v>
      </c>
      <c r="BU196">
        <v>0</v>
      </c>
      <c r="BV196">
        <v>0</v>
      </c>
      <c r="CC196" t="str">
        <f>"18:37:40.617"</f>
        <v>18:37:40.617</v>
      </c>
      <c r="CD196" t="str">
        <f>"615846770"</f>
        <v>615846770</v>
      </c>
      <c r="CQ196">
        <v>0</v>
      </c>
      <c r="CR196">
        <v>2</v>
      </c>
      <c r="CS196">
        <v>0</v>
      </c>
      <c r="CT196">
        <v>2</v>
      </c>
      <c r="CU196">
        <v>0</v>
      </c>
      <c r="CV196">
        <v>5</v>
      </c>
      <c r="CW196" t="s">
        <v>120</v>
      </c>
      <c r="CX196">
        <v>261</v>
      </c>
      <c r="CY196">
        <v>2</v>
      </c>
      <c r="CZ196" t="s">
        <v>121</v>
      </c>
      <c r="DA196" t="s">
        <v>122</v>
      </c>
      <c r="DD196">
        <v>14347387</v>
      </c>
      <c r="DE196" t="s">
        <v>123</v>
      </c>
    </row>
    <row r="197" spans="1:109" x14ac:dyDescent="0.3">
      <c r="A197" t="str">
        <f>"18:37:41.906"</f>
        <v>18:37:41.906</v>
      </c>
      <c r="B197" t="s">
        <v>110</v>
      </c>
      <c r="C197" t="str">
        <f t="shared" si="9"/>
        <v>ffdfd3c0</v>
      </c>
      <c r="D197" t="s">
        <v>111</v>
      </c>
      <c r="E197">
        <v>18</v>
      </c>
      <c r="F197">
        <v>1018</v>
      </c>
      <c r="G197" t="s">
        <v>112</v>
      </c>
      <c r="J197" t="s">
        <v>113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R197" t="s">
        <v>114</v>
      </c>
      <c r="S197" t="str">
        <f>"18:37:41.680"</f>
        <v>18:37:41.680</v>
      </c>
      <c r="T197" t="str">
        <f>"18:37:41.180"</f>
        <v>18:37:41.180</v>
      </c>
      <c r="U197" t="str">
        <f t="shared" si="10"/>
        <v>a1cdbe</v>
      </c>
      <c r="V197">
        <v>0</v>
      </c>
      <c r="W197">
        <v>0</v>
      </c>
      <c r="X197">
        <v>1</v>
      </c>
      <c r="Y197">
        <v>0</v>
      </c>
      <c r="Z197">
        <v>0</v>
      </c>
      <c r="AB197">
        <v>0</v>
      </c>
      <c r="AC197">
        <v>9</v>
      </c>
      <c r="AD197">
        <v>3</v>
      </c>
      <c r="AE197">
        <v>0</v>
      </c>
      <c r="AF197">
        <v>9</v>
      </c>
      <c r="AG197" t="s">
        <v>158</v>
      </c>
      <c r="AH197">
        <v>0</v>
      </c>
      <c r="AI197">
        <v>3</v>
      </c>
      <c r="AJ197">
        <v>1</v>
      </c>
      <c r="AK197">
        <v>0</v>
      </c>
      <c r="AL197" t="s">
        <v>477</v>
      </c>
      <c r="AM197">
        <v>47.066308999999997</v>
      </c>
      <c r="AN197" t="s">
        <v>478</v>
      </c>
      <c r="AO197">
        <v>-122.2803</v>
      </c>
      <c r="AP197">
        <v>100</v>
      </c>
      <c r="AQ197">
        <v>2000</v>
      </c>
      <c r="AR197" t="s">
        <v>118</v>
      </c>
      <c r="AS197">
        <v>-14</v>
      </c>
      <c r="AT197">
        <v>-84</v>
      </c>
      <c r="AU197">
        <v>-64</v>
      </c>
      <c r="BC197">
        <v>1200</v>
      </c>
      <c r="BD197">
        <v>1</v>
      </c>
      <c r="BE197" t="str">
        <f t="shared" si="11"/>
        <v xml:space="preserve">N215T   </v>
      </c>
      <c r="BF197">
        <v>1</v>
      </c>
      <c r="BH197">
        <v>0</v>
      </c>
      <c r="BI197">
        <v>0</v>
      </c>
      <c r="BJ197">
        <v>0</v>
      </c>
      <c r="BK197">
        <v>2400</v>
      </c>
      <c r="BL197">
        <v>400</v>
      </c>
      <c r="BM197" t="s">
        <v>119</v>
      </c>
      <c r="BN197">
        <v>1</v>
      </c>
      <c r="BO197">
        <v>1</v>
      </c>
      <c r="BP197">
        <v>1</v>
      </c>
      <c r="BQ197">
        <v>0</v>
      </c>
      <c r="BT197">
        <v>0</v>
      </c>
      <c r="BU197">
        <v>0</v>
      </c>
      <c r="BV197">
        <v>0</v>
      </c>
      <c r="CC197" t="str">
        <f>"18:37:41.680"</f>
        <v>18:37:41.680</v>
      </c>
      <c r="CD197" t="str">
        <f>"680850501"</f>
        <v>680850501</v>
      </c>
      <c r="CQ197">
        <v>0</v>
      </c>
      <c r="CR197">
        <v>2</v>
      </c>
      <c r="CS197">
        <v>0</v>
      </c>
      <c r="CT197">
        <v>2</v>
      </c>
      <c r="CU197">
        <v>0</v>
      </c>
      <c r="CV197">
        <v>4</v>
      </c>
      <c r="CW197" t="s">
        <v>120</v>
      </c>
      <c r="CX197">
        <v>259</v>
      </c>
      <c r="CY197">
        <v>1</v>
      </c>
      <c r="CZ197" t="s">
        <v>197</v>
      </c>
      <c r="DA197" t="s">
        <v>198</v>
      </c>
      <c r="DD197">
        <v>14751588</v>
      </c>
      <c r="DE197" t="s">
        <v>123</v>
      </c>
    </row>
    <row r="198" spans="1:109" x14ac:dyDescent="0.3">
      <c r="A198" t="str">
        <f>"18:37:42.906"</f>
        <v>18:37:42.906</v>
      </c>
      <c r="B198" t="s">
        <v>110</v>
      </c>
      <c r="C198" t="str">
        <f t="shared" si="9"/>
        <v>ffdfd3c0</v>
      </c>
      <c r="D198" t="s">
        <v>111</v>
      </c>
      <c r="E198">
        <v>18</v>
      </c>
      <c r="F198">
        <v>1018</v>
      </c>
      <c r="G198" t="s">
        <v>112</v>
      </c>
      <c r="J198" t="s">
        <v>113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R198" t="s">
        <v>114</v>
      </c>
      <c r="S198" t="str">
        <f>"18:37:42.711"</f>
        <v>18:37:42.711</v>
      </c>
      <c r="T198" t="str">
        <f>"18:37:42.313"</f>
        <v>18:37:42.313</v>
      </c>
      <c r="U198" t="str">
        <f t="shared" si="10"/>
        <v>a1cdbe</v>
      </c>
      <c r="V198">
        <v>0</v>
      </c>
      <c r="W198">
        <v>0</v>
      </c>
      <c r="X198">
        <v>1</v>
      </c>
      <c r="Y198">
        <v>0</v>
      </c>
      <c r="Z198">
        <v>0</v>
      </c>
      <c r="AB198">
        <v>0</v>
      </c>
      <c r="AC198">
        <v>9</v>
      </c>
      <c r="AD198">
        <v>3</v>
      </c>
      <c r="AE198">
        <v>0</v>
      </c>
      <c r="AF198">
        <v>9</v>
      </c>
      <c r="AG198" t="s">
        <v>158</v>
      </c>
      <c r="AH198">
        <v>0</v>
      </c>
      <c r="AI198">
        <v>3</v>
      </c>
      <c r="AJ198">
        <v>1</v>
      </c>
      <c r="AK198">
        <v>0</v>
      </c>
      <c r="AL198" t="s">
        <v>479</v>
      </c>
      <c r="AM198">
        <v>47.065902000000001</v>
      </c>
      <c r="AN198" t="s">
        <v>216</v>
      </c>
      <c r="AO198">
        <v>-122.28036400000001</v>
      </c>
      <c r="AP198">
        <v>100</v>
      </c>
      <c r="AQ198">
        <v>2000</v>
      </c>
      <c r="AR198" t="s">
        <v>118</v>
      </c>
      <c r="AS198">
        <v>-15</v>
      </c>
      <c r="AT198">
        <v>-84</v>
      </c>
      <c r="AU198">
        <v>0</v>
      </c>
      <c r="BC198">
        <v>1200</v>
      </c>
      <c r="BD198">
        <v>1</v>
      </c>
      <c r="BE198" t="str">
        <f t="shared" si="11"/>
        <v xml:space="preserve">N215T   </v>
      </c>
      <c r="BF198">
        <v>1</v>
      </c>
      <c r="BH198">
        <v>0</v>
      </c>
      <c r="BI198">
        <v>0</v>
      </c>
      <c r="BJ198">
        <v>0</v>
      </c>
      <c r="BK198">
        <v>2400</v>
      </c>
      <c r="BL198">
        <v>400</v>
      </c>
      <c r="BM198" t="s">
        <v>119</v>
      </c>
      <c r="BN198">
        <v>1</v>
      </c>
      <c r="BO198">
        <v>1</v>
      </c>
      <c r="BP198">
        <v>1</v>
      </c>
      <c r="BQ198">
        <v>0</v>
      </c>
      <c r="BT198">
        <v>0</v>
      </c>
      <c r="BU198">
        <v>0</v>
      </c>
      <c r="BV198">
        <v>0</v>
      </c>
      <c r="CC198" t="str">
        <f>"18:37:42.719"</f>
        <v>18:37:42.719</v>
      </c>
      <c r="CD198" t="str">
        <f>"715640252"</f>
        <v>715640252</v>
      </c>
      <c r="CQ198">
        <v>0</v>
      </c>
      <c r="CR198">
        <v>2</v>
      </c>
      <c r="CS198">
        <v>0</v>
      </c>
      <c r="CT198">
        <v>2</v>
      </c>
      <c r="CU198">
        <v>0</v>
      </c>
      <c r="CV198">
        <v>5</v>
      </c>
      <c r="CW198" t="s">
        <v>120</v>
      </c>
      <c r="CX198">
        <v>261</v>
      </c>
      <c r="CY198">
        <v>2</v>
      </c>
      <c r="CZ198" t="s">
        <v>121</v>
      </c>
      <c r="DA198" t="s">
        <v>122</v>
      </c>
      <c r="DD198">
        <v>14348541</v>
      </c>
      <c r="DE198" t="s">
        <v>123</v>
      </c>
    </row>
    <row r="199" spans="1:109" x14ac:dyDescent="0.3">
      <c r="A199" t="str">
        <f>"18:37:44.063"</f>
        <v>18:37:44.063</v>
      </c>
      <c r="B199" t="s">
        <v>110</v>
      </c>
      <c r="C199" t="str">
        <f t="shared" si="9"/>
        <v>ffdfd3c0</v>
      </c>
      <c r="D199" t="s">
        <v>111</v>
      </c>
      <c r="E199">
        <v>18</v>
      </c>
      <c r="F199">
        <v>1018</v>
      </c>
      <c r="G199" t="s">
        <v>112</v>
      </c>
      <c r="J199" t="s">
        <v>113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R199" t="s">
        <v>114</v>
      </c>
      <c r="S199" t="str">
        <f>"18:37:43.836"</f>
        <v>18:37:43.836</v>
      </c>
      <c r="T199" t="str">
        <f>"18:37:43.633"</f>
        <v>18:37:43.633</v>
      </c>
      <c r="U199" t="str">
        <f t="shared" si="10"/>
        <v>a1cdbe</v>
      </c>
      <c r="V199">
        <v>0</v>
      </c>
      <c r="W199">
        <v>0</v>
      </c>
      <c r="X199">
        <v>1</v>
      </c>
      <c r="Y199">
        <v>0</v>
      </c>
      <c r="Z199">
        <v>0</v>
      </c>
      <c r="AB199">
        <v>0</v>
      </c>
      <c r="AC199">
        <v>9</v>
      </c>
      <c r="AD199">
        <v>3</v>
      </c>
      <c r="AE199">
        <v>0</v>
      </c>
      <c r="AF199">
        <v>9</v>
      </c>
      <c r="AG199" t="s">
        <v>158</v>
      </c>
      <c r="AH199">
        <v>0</v>
      </c>
      <c r="AI199">
        <v>3</v>
      </c>
      <c r="AJ199">
        <v>1</v>
      </c>
      <c r="AK199">
        <v>0</v>
      </c>
      <c r="AL199" t="s">
        <v>480</v>
      </c>
      <c r="AM199">
        <v>47.065472999999997</v>
      </c>
      <c r="AN199" t="s">
        <v>481</v>
      </c>
      <c r="AO199">
        <v>-122.280514</v>
      </c>
      <c r="AP199">
        <v>100</v>
      </c>
      <c r="AQ199">
        <v>2000</v>
      </c>
      <c r="AR199" t="s">
        <v>118</v>
      </c>
      <c r="AS199">
        <v>-17</v>
      </c>
      <c r="AT199">
        <v>-83</v>
      </c>
      <c r="AU199">
        <v>128</v>
      </c>
      <c r="BC199">
        <v>1200</v>
      </c>
      <c r="BD199">
        <v>1</v>
      </c>
      <c r="BE199" t="str">
        <f t="shared" si="11"/>
        <v xml:space="preserve">N215T   </v>
      </c>
      <c r="BF199">
        <v>1</v>
      </c>
      <c r="BH199">
        <v>0</v>
      </c>
      <c r="BI199">
        <v>0</v>
      </c>
      <c r="BJ199">
        <v>0</v>
      </c>
      <c r="BK199">
        <v>2400</v>
      </c>
      <c r="BL199">
        <v>400</v>
      </c>
      <c r="BM199" t="s">
        <v>119</v>
      </c>
      <c r="BN199">
        <v>1</v>
      </c>
      <c r="BO199">
        <v>1</v>
      </c>
      <c r="BP199">
        <v>1</v>
      </c>
      <c r="BQ199">
        <v>0</v>
      </c>
      <c r="BT199">
        <v>0</v>
      </c>
      <c r="BU199">
        <v>0</v>
      </c>
      <c r="BV199">
        <v>0</v>
      </c>
      <c r="CC199" t="str">
        <f>"18:37:43.844"</f>
        <v>18:37:43.844</v>
      </c>
      <c r="CD199" t="str">
        <f>"840529619"</f>
        <v>840529619</v>
      </c>
      <c r="CQ199">
        <v>0</v>
      </c>
      <c r="CR199">
        <v>2</v>
      </c>
      <c r="CS199">
        <v>0</v>
      </c>
      <c r="CT199">
        <v>2</v>
      </c>
      <c r="CU199">
        <v>0</v>
      </c>
      <c r="CV199">
        <v>5</v>
      </c>
      <c r="CW199" t="s">
        <v>120</v>
      </c>
      <c r="CX199">
        <v>261</v>
      </c>
      <c r="CY199">
        <v>2</v>
      </c>
      <c r="CZ199" t="s">
        <v>121</v>
      </c>
      <c r="DA199" t="s">
        <v>122</v>
      </c>
      <c r="DD199">
        <v>14349195</v>
      </c>
      <c r="DE199" t="s">
        <v>123</v>
      </c>
    </row>
    <row r="200" spans="1:109" x14ac:dyDescent="0.3">
      <c r="A200" t="str">
        <f>"18:37:45.023"</f>
        <v>18:37:45.023</v>
      </c>
      <c r="B200" t="s">
        <v>110</v>
      </c>
      <c r="C200" t="str">
        <f t="shared" si="9"/>
        <v>ffdfd3c0</v>
      </c>
      <c r="D200" t="s">
        <v>111</v>
      </c>
      <c r="E200">
        <v>18</v>
      </c>
      <c r="F200">
        <v>1018</v>
      </c>
      <c r="G200" t="s">
        <v>112</v>
      </c>
      <c r="J200" t="s">
        <v>113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R200" t="s">
        <v>114</v>
      </c>
      <c r="S200" t="str">
        <f>"18:37:44.828"</f>
        <v>18:37:44.828</v>
      </c>
      <c r="T200" t="str">
        <f>"18:37:44.531"</f>
        <v>18:37:44.531</v>
      </c>
      <c r="U200" t="str">
        <f t="shared" si="10"/>
        <v>a1cdbe</v>
      </c>
      <c r="V200">
        <v>0</v>
      </c>
      <c r="W200">
        <v>0</v>
      </c>
      <c r="X200">
        <v>1</v>
      </c>
      <c r="Y200">
        <v>0</v>
      </c>
      <c r="Z200">
        <v>0</v>
      </c>
      <c r="AB200">
        <v>0</v>
      </c>
      <c r="AC200">
        <v>9</v>
      </c>
      <c r="AD200">
        <v>3</v>
      </c>
      <c r="AE200">
        <v>0</v>
      </c>
      <c r="AF200">
        <v>9</v>
      </c>
      <c r="AG200" t="s">
        <v>158</v>
      </c>
      <c r="AH200">
        <v>0</v>
      </c>
      <c r="AI200">
        <v>3</v>
      </c>
      <c r="AJ200">
        <v>1</v>
      </c>
      <c r="AK200">
        <v>0</v>
      </c>
      <c r="AL200" t="s">
        <v>482</v>
      </c>
      <c r="AM200">
        <v>47.065108000000002</v>
      </c>
      <c r="AN200" t="s">
        <v>483</v>
      </c>
      <c r="AO200">
        <v>-122.280643</v>
      </c>
      <c r="AP200">
        <v>100</v>
      </c>
      <c r="AQ200">
        <v>2000</v>
      </c>
      <c r="AR200" t="s">
        <v>118</v>
      </c>
      <c r="AS200">
        <v>-18</v>
      </c>
      <c r="AT200">
        <v>-83</v>
      </c>
      <c r="AU200">
        <v>64</v>
      </c>
      <c r="BC200">
        <v>1200</v>
      </c>
      <c r="BD200">
        <v>1</v>
      </c>
      <c r="BE200" t="str">
        <f t="shared" si="11"/>
        <v xml:space="preserve">N215T   </v>
      </c>
      <c r="BF200">
        <v>1</v>
      </c>
      <c r="BH200">
        <v>0</v>
      </c>
      <c r="BI200">
        <v>0</v>
      </c>
      <c r="BJ200">
        <v>0</v>
      </c>
      <c r="BK200">
        <v>2400</v>
      </c>
      <c r="BL200">
        <v>400</v>
      </c>
      <c r="BM200" t="s">
        <v>119</v>
      </c>
      <c r="BN200">
        <v>1</v>
      </c>
      <c r="BO200">
        <v>1</v>
      </c>
      <c r="BP200">
        <v>1</v>
      </c>
      <c r="BQ200">
        <v>0</v>
      </c>
      <c r="BT200">
        <v>0</v>
      </c>
      <c r="BU200">
        <v>0</v>
      </c>
      <c r="BV200">
        <v>0</v>
      </c>
      <c r="CC200" t="str">
        <f>"18:37:44.828"</f>
        <v>18:37:44.828</v>
      </c>
      <c r="CD200" t="str">
        <f>"830432268"</f>
        <v>830432268</v>
      </c>
      <c r="CQ200">
        <v>0</v>
      </c>
      <c r="CR200">
        <v>2</v>
      </c>
      <c r="CS200">
        <v>0</v>
      </c>
      <c r="CT200">
        <v>2</v>
      </c>
      <c r="CU200">
        <v>0</v>
      </c>
      <c r="CV200">
        <v>5</v>
      </c>
      <c r="CW200" t="s">
        <v>120</v>
      </c>
      <c r="CX200">
        <v>261</v>
      </c>
      <c r="CY200">
        <v>2</v>
      </c>
      <c r="CZ200" t="s">
        <v>121</v>
      </c>
      <c r="DA200" t="s">
        <v>122</v>
      </c>
      <c r="DD200">
        <v>14349733</v>
      </c>
      <c r="DE200" t="s">
        <v>123</v>
      </c>
    </row>
    <row r="201" spans="1:109" x14ac:dyDescent="0.3">
      <c r="A201" t="str">
        <f>"18:37:46.578"</f>
        <v>18:37:46.578</v>
      </c>
      <c r="B201" t="s">
        <v>110</v>
      </c>
      <c r="C201" t="str">
        <f t="shared" si="9"/>
        <v>ffdfd3c0</v>
      </c>
      <c r="D201" t="s">
        <v>111</v>
      </c>
      <c r="E201">
        <v>18</v>
      </c>
      <c r="F201">
        <v>1018</v>
      </c>
      <c r="G201" t="s">
        <v>112</v>
      </c>
      <c r="J201" t="s">
        <v>113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R201" t="s">
        <v>114</v>
      </c>
      <c r="S201" t="str">
        <f>"18:37:46.375"</f>
        <v>18:37:46.375</v>
      </c>
      <c r="T201" t="str">
        <f>"18:37:46.172"</f>
        <v>18:37:46.172</v>
      </c>
      <c r="U201" t="str">
        <f t="shared" si="10"/>
        <v>a1cdbe</v>
      </c>
      <c r="V201">
        <v>0</v>
      </c>
      <c r="W201">
        <v>0</v>
      </c>
      <c r="X201">
        <v>1</v>
      </c>
      <c r="Y201">
        <v>0</v>
      </c>
      <c r="Z201">
        <v>0</v>
      </c>
      <c r="AB201">
        <v>0</v>
      </c>
      <c r="AC201">
        <v>9</v>
      </c>
      <c r="AD201">
        <v>3</v>
      </c>
      <c r="AE201">
        <v>0</v>
      </c>
      <c r="AF201">
        <v>9</v>
      </c>
      <c r="AG201" t="s">
        <v>158</v>
      </c>
      <c r="AH201">
        <v>0</v>
      </c>
      <c r="AI201">
        <v>3</v>
      </c>
      <c r="AJ201">
        <v>1</v>
      </c>
      <c r="AK201">
        <v>0</v>
      </c>
      <c r="AL201" t="s">
        <v>484</v>
      </c>
      <c r="AM201">
        <v>47.064506999999999</v>
      </c>
      <c r="AN201" t="s">
        <v>485</v>
      </c>
      <c r="AO201">
        <v>-122.28085799999999</v>
      </c>
      <c r="AP201">
        <v>100</v>
      </c>
      <c r="AQ201">
        <v>2000</v>
      </c>
      <c r="AR201" t="s">
        <v>118</v>
      </c>
      <c r="AS201">
        <v>-20</v>
      </c>
      <c r="AT201">
        <v>-81</v>
      </c>
      <c r="AU201">
        <v>64</v>
      </c>
      <c r="BC201">
        <v>1200</v>
      </c>
      <c r="BD201">
        <v>1</v>
      </c>
      <c r="BE201" t="str">
        <f t="shared" si="11"/>
        <v xml:space="preserve">N215T   </v>
      </c>
      <c r="BF201">
        <v>1</v>
      </c>
      <c r="BH201">
        <v>0</v>
      </c>
      <c r="BI201">
        <v>0</v>
      </c>
      <c r="BJ201">
        <v>0</v>
      </c>
      <c r="BK201">
        <v>2400</v>
      </c>
      <c r="BL201">
        <v>400</v>
      </c>
      <c r="BM201" t="s">
        <v>119</v>
      </c>
      <c r="BN201">
        <v>1</v>
      </c>
      <c r="BO201">
        <v>1</v>
      </c>
      <c r="BP201">
        <v>1</v>
      </c>
      <c r="BQ201">
        <v>0</v>
      </c>
      <c r="BT201">
        <v>0</v>
      </c>
      <c r="BU201">
        <v>0</v>
      </c>
      <c r="BV201">
        <v>0</v>
      </c>
      <c r="CC201" t="str">
        <f>"18:37:46.375"</f>
        <v>18:37:46.375</v>
      </c>
      <c r="CD201" t="str">
        <f>"375280330"</f>
        <v>375280330</v>
      </c>
      <c r="CQ201">
        <v>0</v>
      </c>
      <c r="CR201">
        <v>2</v>
      </c>
      <c r="CS201">
        <v>0</v>
      </c>
      <c r="CT201">
        <v>2</v>
      </c>
      <c r="CU201">
        <v>0</v>
      </c>
      <c r="CV201">
        <v>5</v>
      </c>
      <c r="CW201" t="s">
        <v>120</v>
      </c>
      <c r="CX201">
        <v>261</v>
      </c>
      <c r="CY201">
        <v>1</v>
      </c>
      <c r="CZ201" t="s">
        <v>121</v>
      </c>
      <c r="DA201" t="s">
        <v>122</v>
      </c>
      <c r="DD201">
        <v>3209904</v>
      </c>
      <c r="DE201" t="s">
        <v>123</v>
      </c>
    </row>
    <row r="202" spans="1:109" x14ac:dyDescent="0.3">
      <c r="A202" t="str">
        <f>"18:37:47.484"</f>
        <v>18:37:47.484</v>
      </c>
      <c r="B202" t="s">
        <v>110</v>
      </c>
      <c r="C202" t="str">
        <f t="shared" si="9"/>
        <v>ffdfd3c0</v>
      </c>
      <c r="D202" t="s">
        <v>111</v>
      </c>
      <c r="E202">
        <v>18</v>
      </c>
      <c r="F202">
        <v>1018</v>
      </c>
      <c r="G202" t="s">
        <v>112</v>
      </c>
      <c r="J202" t="s">
        <v>113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R202" t="s">
        <v>114</v>
      </c>
      <c r="S202" t="str">
        <f>"18:37:47.242"</f>
        <v>18:37:47.242</v>
      </c>
      <c r="T202" t="str">
        <f>"18:37:46.742"</f>
        <v>18:37:46.742</v>
      </c>
      <c r="U202" t="str">
        <f t="shared" si="10"/>
        <v>a1cdbe</v>
      </c>
      <c r="V202">
        <v>0</v>
      </c>
      <c r="W202">
        <v>0</v>
      </c>
      <c r="X202">
        <v>1</v>
      </c>
      <c r="Y202">
        <v>0</v>
      </c>
      <c r="Z202">
        <v>0</v>
      </c>
      <c r="AB202">
        <v>0</v>
      </c>
      <c r="AC202">
        <v>9</v>
      </c>
      <c r="AD202">
        <v>3</v>
      </c>
      <c r="AE202">
        <v>0</v>
      </c>
      <c r="AF202">
        <v>9</v>
      </c>
      <c r="AG202" t="s">
        <v>158</v>
      </c>
      <c r="AH202">
        <v>0</v>
      </c>
      <c r="AI202">
        <v>3</v>
      </c>
      <c r="AJ202">
        <v>1</v>
      </c>
      <c r="AK202">
        <v>0</v>
      </c>
      <c r="AL202" t="s">
        <v>486</v>
      </c>
      <c r="AM202">
        <v>47.064185000000002</v>
      </c>
      <c r="AN202" t="s">
        <v>487</v>
      </c>
      <c r="AO202">
        <v>-122.280986</v>
      </c>
      <c r="AP202">
        <v>100</v>
      </c>
      <c r="AQ202">
        <v>2000</v>
      </c>
      <c r="AR202" t="s">
        <v>118</v>
      </c>
      <c r="AS202">
        <v>-20</v>
      </c>
      <c r="AT202">
        <v>-81</v>
      </c>
      <c r="AU202">
        <v>128</v>
      </c>
      <c r="BC202">
        <v>1200</v>
      </c>
      <c r="BD202">
        <v>1</v>
      </c>
      <c r="BE202" t="str">
        <f t="shared" si="11"/>
        <v xml:space="preserve">N215T   </v>
      </c>
      <c r="BF202">
        <v>1</v>
      </c>
      <c r="BH202">
        <v>0</v>
      </c>
      <c r="BI202">
        <v>0</v>
      </c>
      <c r="BJ202">
        <v>0</v>
      </c>
      <c r="BK202">
        <v>2400</v>
      </c>
      <c r="BL202">
        <v>400</v>
      </c>
      <c r="BM202" t="s">
        <v>119</v>
      </c>
      <c r="BN202">
        <v>1</v>
      </c>
      <c r="BO202">
        <v>1</v>
      </c>
      <c r="BP202">
        <v>1</v>
      </c>
      <c r="BQ202">
        <v>0</v>
      </c>
      <c r="BT202">
        <v>0</v>
      </c>
      <c r="BU202">
        <v>0</v>
      </c>
      <c r="BV202">
        <v>0</v>
      </c>
      <c r="CC202" t="str">
        <f>"18:37:47.242"</f>
        <v>18:37:47.242</v>
      </c>
      <c r="CD202" t="str">
        <f>"245194770"</f>
        <v>245194770</v>
      </c>
      <c r="CQ202">
        <v>0</v>
      </c>
      <c r="CR202">
        <v>2</v>
      </c>
      <c r="CS202">
        <v>0</v>
      </c>
      <c r="CT202">
        <v>2</v>
      </c>
      <c r="CU202">
        <v>0</v>
      </c>
      <c r="CV202">
        <v>5</v>
      </c>
      <c r="CW202" t="s">
        <v>120</v>
      </c>
      <c r="CX202">
        <v>261</v>
      </c>
      <c r="CY202">
        <v>2</v>
      </c>
      <c r="CZ202" t="s">
        <v>121</v>
      </c>
      <c r="DA202" t="s">
        <v>122</v>
      </c>
      <c r="DD202">
        <v>14350974</v>
      </c>
      <c r="DE202" t="s">
        <v>123</v>
      </c>
    </row>
    <row r="203" spans="1:109" x14ac:dyDescent="0.3">
      <c r="A203" t="str">
        <f>"18:37:48.336"</f>
        <v>18:37:48.336</v>
      </c>
      <c r="B203" t="s">
        <v>110</v>
      </c>
      <c r="C203" t="str">
        <f t="shared" si="9"/>
        <v>ffdfd3c0</v>
      </c>
      <c r="D203" t="s">
        <v>111</v>
      </c>
      <c r="E203">
        <v>18</v>
      </c>
      <c r="F203">
        <v>1018</v>
      </c>
      <c r="G203" t="s">
        <v>112</v>
      </c>
      <c r="J203" t="s">
        <v>113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R203" t="s">
        <v>114</v>
      </c>
      <c r="S203" t="str">
        <f>"18:37:48.141"</f>
        <v>18:37:48.141</v>
      </c>
      <c r="T203" t="str">
        <f>"18:37:47.742"</f>
        <v>18:37:47.742</v>
      </c>
      <c r="U203" t="str">
        <f t="shared" si="10"/>
        <v>a1cdbe</v>
      </c>
      <c r="V203">
        <v>0</v>
      </c>
      <c r="W203">
        <v>0</v>
      </c>
      <c r="X203">
        <v>1</v>
      </c>
      <c r="Y203">
        <v>0</v>
      </c>
      <c r="Z203">
        <v>0</v>
      </c>
      <c r="AB203">
        <v>0</v>
      </c>
      <c r="AC203">
        <v>9</v>
      </c>
      <c r="AD203">
        <v>3</v>
      </c>
      <c r="AE203">
        <v>0</v>
      </c>
      <c r="AF203">
        <v>9</v>
      </c>
      <c r="AG203" t="s">
        <v>158</v>
      </c>
      <c r="AH203">
        <v>0</v>
      </c>
      <c r="AI203">
        <v>3</v>
      </c>
      <c r="AJ203">
        <v>1</v>
      </c>
      <c r="AK203">
        <v>0</v>
      </c>
      <c r="AL203" t="s">
        <v>488</v>
      </c>
      <c r="AM203">
        <v>47.063862999999998</v>
      </c>
      <c r="AN203" t="s">
        <v>489</v>
      </c>
      <c r="AO203">
        <v>-122.281137</v>
      </c>
      <c r="AP203">
        <v>100</v>
      </c>
      <c r="AQ203">
        <v>2000</v>
      </c>
      <c r="AR203" t="s">
        <v>118</v>
      </c>
      <c r="AS203">
        <v>-21</v>
      </c>
      <c r="AT203">
        <v>-80</v>
      </c>
      <c r="AU203">
        <v>128</v>
      </c>
      <c r="BC203">
        <v>1200</v>
      </c>
      <c r="BD203">
        <v>1</v>
      </c>
      <c r="BE203" t="str">
        <f t="shared" si="11"/>
        <v xml:space="preserve">N215T   </v>
      </c>
      <c r="BF203">
        <v>1</v>
      </c>
      <c r="BH203">
        <v>0</v>
      </c>
      <c r="BI203">
        <v>0</v>
      </c>
      <c r="BJ203">
        <v>0</v>
      </c>
      <c r="BK203">
        <v>2400</v>
      </c>
      <c r="BL203">
        <v>400</v>
      </c>
      <c r="BM203" t="s">
        <v>119</v>
      </c>
      <c r="BN203">
        <v>1</v>
      </c>
      <c r="BO203">
        <v>1</v>
      </c>
      <c r="BP203">
        <v>1</v>
      </c>
      <c r="BQ203">
        <v>0</v>
      </c>
      <c r="BT203">
        <v>0</v>
      </c>
      <c r="BU203">
        <v>0</v>
      </c>
      <c r="BV203">
        <v>0</v>
      </c>
      <c r="CC203" t="str">
        <f>"18:37:48.148"</f>
        <v>18:37:48.148</v>
      </c>
      <c r="CD203" t="str">
        <f>"145106256"</f>
        <v>145106256</v>
      </c>
      <c r="CQ203">
        <v>0</v>
      </c>
      <c r="CR203">
        <v>2</v>
      </c>
      <c r="CS203">
        <v>0</v>
      </c>
      <c r="CT203">
        <v>2</v>
      </c>
      <c r="CU203">
        <v>0</v>
      </c>
      <c r="CV203">
        <v>5</v>
      </c>
      <c r="CW203" t="s">
        <v>120</v>
      </c>
      <c r="CX203">
        <v>261</v>
      </c>
      <c r="CY203">
        <v>1</v>
      </c>
      <c r="CZ203" t="s">
        <v>121</v>
      </c>
      <c r="DA203" t="s">
        <v>122</v>
      </c>
      <c r="DD203">
        <v>3210989</v>
      </c>
      <c r="DE203" t="s">
        <v>123</v>
      </c>
    </row>
    <row r="204" spans="1:109" x14ac:dyDescent="0.3">
      <c r="A204" t="str">
        <f>"18:37:49.398"</f>
        <v>18:37:49.398</v>
      </c>
      <c r="B204" t="s">
        <v>110</v>
      </c>
      <c r="C204" t="str">
        <f t="shared" si="9"/>
        <v>ffdfd3c0</v>
      </c>
      <c r="D204" t="s">
        <v>111</v>
      </c>
      <c r="E204">
        <v>18</v>
      </c>
      <c r="F204">
        <v>1018</v>
      </c>
      <c r="G204" t="s">
        <v>112</v>
      </c>
      <c r="J204" t="s">
        <v>113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R204" t="s">
        <v>114</v>
      </c>
      <c r="S204" t="str">
        <f>"18:37:49.133"</f>
        <v>18:37:49.133</v>
      </c>
      <c r="T204" t="str">
        <f>"18:37:49.031"</f>
        <v>18:37:49.031</v>
      </c>
      <c r="U204" t="str">
        <f t="shared" si="10"/>
        <v>a1cdbe</v>
      </c>
      <c r="V204">
        <v>0</v>
      </c>
      <c r="W204">
        <v>0</v>
      </c>
      <c r="X204">
        <v>1</v>
      </c>
      <c r="Y204">
        <v>0</v>
      </c>
      <c r="Z204">
        <v>0</v>
      </c>
      <c r="AB204">
        <v>0</v>
      </c>
      <c r="AC204">
        <v>9</v>
      </c>
      <c r="AD204">
        <v>3</v>
      </c>
      <c r="AE204">
        <v>0</v>
      </c>
      <c r="AF204">
        <v>9</v>
      </c>
      <c r="AG204" t="s">
        <v>158</v>
      </c>
      <c r="AH204">
        <v>0</v>
      </c>
      <c r="AI204">
        <v>3</v>
      </c>
      <c r="AJ204">
        <v>1</v>
      </c>
      <c r="AK204">
        <v>0</v>
      </c>
      <c r="AL204" t="s">
        <v>490</v>
      </c>
      <c r="AM204">
        <v>47.063476999999999</v>
      </c>
      <c r="AN204" t="s">
        <v>491</v>
      </c>
      <c r="AO204">
        <v>-122.281222</v>
      </c>
      <c r="AP204">
        <v>100</v>
      </c>
      <c r="AQ204">
        <v>2000</v>
      </c>
      <c r="AR204" t="s">
        <v>118</v>
      </c>
      <c r="AS204">
        <v>-22</v>
      </c>
      <c r="AT204">
        <v>-79</v>
      </c>
      <c r="AU204">
        <v>64</v>
      </c>
      <c r="BC204">
        <v>1200</v>
      </c>
      <c r="BD204">
        <v>1</v>
      </c>
      <c r="BE204" t="str">
        <f t="shared" si="11"/>
        <v xml:space="preserve">N215T   </v>
      </c>
      <c r="BF204">
        <v>1</v>
      </c>
      <c r="BH204">
        <v>0</v>
      </c>
      <c r="BI204">
        <v>0</v>
      </c>
      <c r="BJ204">
        <v>0</v>
      </c>
      <c r="BK204">
        <v>2425</v>
      </c>
      <c r="BL204">
        <v>425</v>
      </c>
      <c r="BM204" t="s">
        <v>119</v>
      </c>
      <c r="BN204">
        <v>1</v>
      </c>
      <c r="BO204">
        <v>1</v>
      </c>
      <c r="BP204">
        <v>1</v>
      </c>
      <c r="BQ204">
        <v>0</v>
      </c>
      <c r="BT204">
        <v>0</v>
      </c>
      <c r="BU204">
        <v>0</v>
      </c>
      <c r="BV204">
        <v>0</v>
      </c>
      <c r="CC204" t="str">
        <f>"18:37:49.133"</f>
        <v>18:37:49.133</v>
      </c>
      <c r="CD204" t="str">
        <f>"135008899"</f>
        <v>135008899</v>
      </c>
      <c r="CQ204">
        <v>0</v>
      </c>
      <c r="CR204">
        <v>2</v>
      </c>
      <c r="CS204">
        <v>0</v>
      </c>
      <c r="CT204">
        <v>2</v>
      </c>
      <c r="CU204">
        <v>0</v>
      </c>
      <c r="CV204">
        <v>5</v>
      </c>
      <c r="CW204" t="s">
        <v>120</v>
      </c>
      <c r="CX204">
        <v>261</v>
      </c>
      <c r="CY204">
        <v>2</v>
      </c>
      <c r="CZ204" t="s">
        <v>121</v>
      </c>
      <c r="DA204" t="s">
        <v>122</v>
      </c>
      <c r="DD204">
        <v>14352019</v>
      </c>
      <c r="DE204" t="s">
        <v>123</v>
      </c>
    </row>
    <row r="205" spans="1:109" x14ac:dyDescent="0.3">
      <c r="A205" t="str">
        <f>"18:37:50.500"</f>
        <v>18:37:50.500</v>
      </c>
      <c r="B205" t="s">
        <v>110</v>
      </c>
      <c r="C205" t="str">
        <f t="shared" si="9"/>
        <v>ffdfd3c0</v>
      </c>
      <c r="D205" t="s">
        <v>111</v>
      </c>
      <c r="E205">
        <v>18</v>
      </c>
      <c r="F205">
        <v>1018</v>
      </c>
      <c r="G205" t="s">
        <v>112</v>
      </c>
      <c r="J205" t="s">
        <v>113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R205" t="s">
        <v>114</v>
      </c>
      <c r="S205" t="str">
        <f>"18:37:50.258"</f>
        <v>18:37:50.258</v>
      </c>
      <c r="T205" t="str">
        <f>"18:37:50.055"</f>
        <v>18:37:50.055</v>
      </c>
      <c r="U205" t="str">
        <f t="shared" si="10"/>
        <v>a1cdbe</v>
      </c>
      <c r="V205">
        <v>0</v>
      </c>
      <c r="W205">
        <v>0</v>
      </c>
      <c r="X205">
        <v>1</v>
      </c>
      <c r="Y205">
        <v>0</v>
      </c>
      <c r="Z205">
        <v>0</v>
      </c>
      <c r="AB205">
        <v>0</v>
      </c>
      <c r="AC205">
        <v>9</v>
      </c>
      <c r="AD205">
        <v>3</v>
      </c>
      <c r="AE205">
        <v>0</v>
      </c>
      <c r="AF205">
        <v>9</v>
      </c>
      <c r="AG205" t="s">
        <v>158</v>
      </c>
      <c r="AH205">
        <v>0</v>
      </c>
      <c r="AI205">
        <v>3</v>
      </c>
      <c r="AJ205">
        <v>1</v>
      </c>
      <c r="AK205">
        <v>0</v>
      </c>
      <c r="AL205" t="s">
        <v>492</v>
      </c>
      <c r="AM205">
        <v>47.063048000000002</v>
      </c>
      <c r="AN205" t="s">
        <v>493</v>
      </c>
      <c r="AO205">
        <v>-122.281415</v>
      </c>
      <c r="AP205">
        <v>100</v>
      </c>
      <c r="AQ205">
        <v>2000</v>
      </c>
      <c r="AR205" t="s">
        <v>118</v>
      </c>
      <c r="AS205">
        <v>-23</v>
      </c>
      <c r="AT205">
        <v>-78</v>
      </c>
      <c r="AU205">
        <v>0</v>
      </c>
      <c r="BC205">
        <v>1200</v>
      </c>
      <c r="BD205">
        <v>1</v>
      </c>
      <c r="BE205" t="str">
        <f t="shared" si="11"/>
        <v xml:space="preserve">N215T   </v>
      </c>
      <c r="BF205">
        <v>1</v>
      </c>
      <c r="BH205">
        <v>0</v>
      </c>
      <c r="BI205">
        <v>0</v>
      </c>
      <c r="BJ205">
        <v>0</v>
      </c>
      <c r="BK205">
        <v>2425</v>
      </c>
      <c r="BL205">
        <v>425</v>
      </c>
      <c r="BM205" t="s">
        <v>119</v>
      </c>
      <c r="BN205">
        <v>1</v>
      </c>
      <c r="BO205">
        <v>1</v>
      </c>
      <c r="BP205">
        <v>1</v>
      </c>
      <c r="BQ205">
        <v>0</v>
      </c>
      <c r="BT205">
        <v>0</v>
      </c>
      <c r="BU205">
        <v>0</v>
      </c>
      <c r="BV205">
        <v>0</v>
      </c>
      <c r="CC205" t="str">
        <f>"18:37:50.258"</f>
        <v>18:37:50.258</v>
      </c>
      <c r="CD205" t="str">
        <f>"259898238"</f>
        <v>259898238</v>
      </c>
      <c r="CQ205">
        <v>0</v>
      </c>
      <c r="CR205">
        <v>2</v>
      </c>
      <c r="CS205">
        <v>0</v>
      </c>
      <c r="CT205">
        <v>2</v>
      </c>
      <c r="CU205">
        <v>0</v>
      </c>
      <c r="CV205">
        <v>5</v>
      </c>
      <c r="CW205" t="s">
        <v>120</v>
      </c>
      <c r="CX205">
        <v>261</v>
      </c>
      <c r="CY205">
        <v>1</v>
      </c>
      <c r="CZ205" t="s">
        <v>121</v>
      </c>
      <c r="DA205" t="s">
        <v>122</v>
      </c>
      <c r="DD205">
        <v>3212272</v>
      </c>
      <c r="DE205" t="s">
        <v>123</v>
      </c>
    </row>
    <row r="206" spans="1:109" x14ac:dyDescent="0.3">
      <c r="A206" t="str">
        <f>"18:37:51.508"</f>
        <v>18:37:51.508</v>
      </c>
      <c r="B206" t="s">
        <v>110</v>
      </c>
      <c r="C206" t="str">
        <f t="shared" si="9"/>
        <v>ffdfd3c0</v>
      </c>
      <c r="D206" t="s">
        <v>111</v>
      </c>
      <c r="E206">
        <v>18</v>
      </c>
      <c r="F206">
        <v>1018</v>
      </c>
      <c r="G206" t="s">
        <v>112</v>
      </c>
      <c r="J206" t="s">
        <v>113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R206" t="s">
        <v>114</v>
      </c>
      <c r="S206" t="str">
        <f>"18:37:51.219"</f>
        <v>18:37:51.219</v>
      </c>
      <c r="T206" t="str">
        <f>"18:37:51.117"</f>
        <v>18:37:51.117</v>
      </c>
      <c r="U206" t="str">
        <f t="shared" si="10"/>
        <v>a1cdbe</v>
      </c>
      <c r="V206">
        <v>0</v>
      </c>
      <c r="W206">
        <v>0</v>
      </c>
      <c r="X206">
        <v>1</v>
      </c>
      <c r="Y206">
        <v>0</v>
      </c>
      <c r="Z206">
        <v>0</v>
      </c>
      <c r="AB206">
        <v>0</v>
      </c>
      <c r="AC206">
        <v>9</v>
      </c>
      <c r="AD206">
        <v>3</v>
      </c>
      <c r="AE206">
        <v>0</v>
      </c>
      <c r="AF206">
        <v>9</v>
      </c>
      <c r="AG206" t="s">
        <v>158</v>
      </c>
      <c r="AH206">
        <v>0</v>
      </c>
      <c r="AI206">
        <v>3</v>
      </c>
      <c r="AJ206">
        <v>1</v>
      </c>
      <c r="AK206">
        <v>0</v>
      </c>
      <c r="AL206" t="s">
        <v>494</v>
      </c>
      <c r="AM206">
        <v>47.062725999999998</v>
      </c>
      <c r="AN206" t="s">
        <v>495</v>
      </c>
      <c r="AO206">
        <v>-122.281609</v>
      </c>
      <c r="AP206">
        <v>100</v>
      </c>
      <c r="AQ206">
        <v>2000</v>
      </c>
      <c r="AR206" t="s">
        <v>118</v>
      </c>
      <c r="AS206">
        <v>-24</v>
      </c>
      <c r="AT206">
        <v>-77</v>
      </c>
      <c r="AU206">
        <v>128</v>
      </c>
      <c r="BC206">
        <v>1200</v>
      </c>
      <c r="BD206">
        <v>1</v>
      </c>
      <c r="BE206" t="str">
        <f t="shared" si="11"/>
        <v xml:space="preserve">N215T   </v>
      </c>
      <c r="BF206">
        <v>1</v>
      </c>
      <c r="BH206">
        <v>0</v>
      </c>
      <c r="BI206">
        <v>0</v>
      </c>
      <c r="BJ206">
        <v>0</v>
      </c>
      <c r="BK206">
        <v>2425</v>
      </c>
      <c r="BL206">
        <v>425</v>
      </c>
      <c r="BM206" t="s">
        <v>119</v>
      </c>
      <c r="BN206">
        <v>1</v>
      </c>
      <c r="BO206">
        <v>1</v>
      </c>
      <c r="BP206">
        <v>1</v>
      </c>
      <c r="BQ206">
        <v>0</v>
      </c>
      <c r="BT206">
        <v>0</v>
      </c>
      <c r="BU206">
        <v>0</v>
      </c>
      <c r="BV206">
        <v>0</v>
      </c>
      <c r="CC206" t="str">
        <f>"18:37:51.219"</f>
        <v>18:37:51.219</v>
      </c>
      <c r="CD206" t="str">
        <f>"219803851"</f>
        <v>219803851</v>
      </c>
      <c r="CQ206">
        <v>0</v>
      </c>
      <c r="CR206">
        <v>2</v>
      </c>
      <c r="CS206">
        <v>0</v>
      </c>
      <c r="CT206">
        <v>2</v>
      </c>
      <c r="CU206">
        <v>0</v>
      </c>
      <c r="CV206">
        <v>5</v>
      </c>
      <c r="CW206" t="s">
        <v>120</v>
      </c>
      <c r="CX206">
        <v>261</v>
      </c>
      <c r="CY206">
        <v>2</v>
      </c>
      <c r="CZ206" t="s">
        <v>121</v>
      </c>
      <c r="DA206" t="s">
        <v>122</v>
      </c>
      <c r="DD206">
        <v>14353110</v>
      </c>
      <c r="DE206" t="s">
        <v>123</v>
      </c>
    </row>
    <row r="207" spans="1:109" x14ac:dyDescent="0.3">
      <c r="A207" t="str">
        <f>"18:37:52.359"</f>
        <v>18:37:52.359</v>
      </c>
      <c r="B207" t="s">
        <v>110</v>
      </c>
      <c r="C207" t="str">
        <f t="shared" si="9"/>
        <v>ffdfd3c0</v>
      </c>
      <c r="D207" t="s">
        <v>111</v>
      </c>
      <c r="E207">
        <v>18</v>
      </c>
      <c r="F207">
        <v>1018</v>
      </c>
      <c r="G207" t="s">
        <v>112</v>
      </c>
      <c r="J207" t="s">
        <v>113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R207" t="s">
        <v>114</v>
      </c>
      <c r="S207" t="str">
        <f>"18:37:52.133"</f>
        <v>18:37:52.133</v>
      </c>
      <c r="T207" t="str">
        <f>"18:37:51.734"</f>
        <v>18:37:51.734</v>
      </c>
      <c r="U207" t="str">
        <f t="shared" si="10"/>
        <v>a1cdbe</v>
      </c>
      <c r="V207">
        <v>0</v>
      </c>
      <c r="W207">
        <v>0</v>
      </c>
      <c r="X207">
        <v>1</v>
      </c>
      <c r="Y207">
        <v>0</v>
      </c>
      <c r="Z207">
        <v>0</v>
      </c>
      <c r="AB207">
        <v>0</v>
      </c>
      <c r="AC207">
        <v>9</v>
      </c>
      <c r="AD207">
        <v>3</v>
      </c>
      <c r="AE207">
        <v>0</v>
      </c>
      <c r="AF207">
        <v>9</v>
      </c>
      <c r="AG207" t="s">
        <v>158</v>
      </c>
      <c r="AH207">
        <v>0</v>
      </c>
      <c r="AI207">
        <v>3</v>
      </c>
      <c r="AJ207">
        <v>1</v>
      </c>
      <c r="AK207">
        <v>0</v>
      </c>
      <c r="AL207" t="s">
        <v>496</v>
      </c>
      <c r="AM207">
        <v>47.062404000000001</v>
      </c>
      <c r="AN207" t="s">
        <v>497</v>
      </c>
      <c r="AO207">
        <v>-122.28173700000001</v>
      </c>
      <c r="AP207">
        <v>100</v>
      </c>
      <c r="AQ207">
        <v>2000</v>
      </c>
      <c r="AR207" t="s">
        <v>118</v>
      </c>
      <c r="AS207">
        <v>-24</v>
      </c>
      <c r="AT207">
        <v>-77</v>
      </c>
      <c r="AU207">
        <v>192</v>
      </c>
      <c r="BC207">
        <v>1200</v>
      </c>
      <c r="BD207">
        <v>1</v>
      </c>
      <c r="BE207" t="str">
        <f t="shared" si="11"/>
        <v xml:space="preserve">N215T   </v>
      </c>
      <c r="BF207">
        <v>1</v>
      </c>
      <c r="BH207">
        <v>0</v>
      </c>
      <c r="BI207">
        <v>0</v>
      </c>
      <c r="BJ207">
        <v>0</v>
      </c>
      <c r="BK207">
        <v>2400</v>
      </c>
      <c r="BL207">
        <v>400</v>
      </c>
      <c r="BM207" t="s">
        <v>119</v>
      </c>
      <c r="BN207">
        <v>1</v>
      </c>
      <c r="BO207">
        <v>1</v>
      </c>
      <c r="BP207">
        <v>1</v>
      </c>
      <c r="BQ207">
        <v>0</v>
      </c>
      <c r="BT207">
        <v>0</v>
      </c>
      <c r="BU207">
        <v>0</v>
      </c>
      <c r="BV207">
        <v>0</v>
      </c>
      <c r="CC207" t="str">
        <f>"18:37:52.133"</f>
        <v>18:37:52.133</v>
      </c>
      <c r="CD207" t="str">
        <f>"134713834"</f>
        <v>134713834</v>
      </c>
      <c r="CQ207">
        <v>0</v>
      </c>
      <c r="CR207">
        <v>2</v>
      </c>
      <c r="CS207">
        <v>0</v>
      </c>
      <c r="CT207">
        <v>2</v>
      </c>
      <c r="CU207">
        <v>0</v>
      </c>
      <c r="CV207">
        <v>5</v>
      </c>
      <c r="CW207" t="s">
        <v>120</v>
      </c>
      <c r="CX207">
        <v>261</v>
      </c>
      <c r="CY207">
        <v>1</v>
      </c>
      <c r="CZ207" t="s">
        <v>121</v>
      </c>
      <c r="DA207" t="s">
        <v>122</v>
      </c>
      <c r="DD207">
        <v>3213375</v>
      </c>
      <c r="DE207" t="s">
        <v>123</v>
      </c>
    </row>
    <row r="208" spans="1:109" x14ac:dyDescent="0.3">
      <c r="A208" t="str">
        <f>"18:37:53.469"</f>
        <v>18:37:53.469</v>
      </c>
      <c r="B208" t="s">
        <v>110</v>
      </c>
      <c r="C208" t="str">
        <f t="shared" si="9"/>
        <v>ffdfd3c0</v>
      </c>
      <c r="D208" t="s">
        <v>111</v>
      </c>
      <c r="E208">
        <v>18</v>
      </c>
      <c r="F208">
        <v>1018</v>
      </c>
      <c r="G208" t="s">
        <v>112</v>
      </c>
      <c r="J208" t="s">
        <v>113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R208" t="s">
        <v>114</v>
      </c>
      <c r="S208" t="str">
        <f>"18:37:53.180"</f>
        <v>18:37:53.180</v>
      </c>
      <c r="T208" t="str">
        <f>"18:37:52.781"</f>
        <v>18:37:52.781</v>
      </c>
      <c r="U208" t="str">
        <f t="shared" si="10"/>
        <v>a1cdbe</v>
      </c>
      <c r="V208">
        <v>0</v>
      </c>
      <c r="W208">
        <v>0</v>
      </c>
      <c r="X208">
        <v>1</v>
      </c>
      <c r="Y208">
        <v>0</v>
      </c>
      <c r="Z208">
        <v>0</v>
      </c>
      <c r="AB208">
        <v>0</v>
      </c>
      <c r="AC208">
        <v>9</v>
      </c>
      <c r="AD208">
        <v>3</v>
      </c>
      <c r="AE208">
        <v>0</v>
      </c>
      <c r="AF208">
        <v>9</v>
      </c>
      <c r="AG208" t="s">
        <v>158</v>
      </c>
      <c r="AH208">
        <v>0</v>
      </c>
      <c r="AI208">
        <v>3</v>
      </c>
      <c r="AJ208">
        <v>1</v>
      </c>
      <c r="AK208">
        <v>0</v>
      </c>
      <c r="AL208" t="s">
        <v>498</v>
      </c>
      <c r="AM208">
        <v>47.062038999999999</v>
      </c>
      <c r="AN208" t="s">
        <v>499</v>
      </c>
      <c r="AO208">
        <v>-122.281952</v>
      </c>
      <c r="AP208">
        <v>100</v>
      </c>
      <c r="AQ208">
        <v>2000</v>
      </c>
      <c r="AR208" t="s">
        <v>118</v>
      </c>
      <c r="AS208">
        <v>-25</v>
      </c>
      <c r="AT208">
        <v>-76</v>
      </c>
      <c r="AU208">
        <v>256</v>
      </c>
      <c r="BC208">
        <v>1200</v>
      </c>
      <c r="BD208">
        <v>1</v>
      </c>
      <c r="BE208" t="str">
        <f t="shared" si="11"/>
        <v xml:space="preserve">N215T   </v>
      </c>
      <c r="BF208">
        <v>1</v>
      </c>
      <c r="BH208">
        <v>0</v>
      </c>
      <c r="BI208">
        <v>0</v>
      </c>
      <c r="BJ208">
        <v>0</v>
      </c>
      <c r="BK208">
        <v>2425</v>
      </c>
      <c r="BL208">
        <v>425</v>
      </c>
      <c r="BM208" t="s">
        <v>119</v>
      </c>
      <c r="BN208">
        <v>1</v>
      </c>
      <c r="BO208">
        <v>1</v>
      </c>
      <c r="BP208">
        <v>1</v>
      </c>
      <c r="BQ208">
        <v>0</v>
      </c>
      <c r="BT208">
        <v>0</v>
      </c>
      <c r="BU208">
        <v>0</v>
      </c>
      <c r="BV208">
        <v>0</v>
      </c>
      <c r="CC208" t="str">
        <f>"18:37:53.188"</f>
        <v>18:37:53.188</v>
      </c>
      <c r="CD208" t="str">
        <f>"184610597"</f>
        <v>184610597</v>
      </c>
      <c r="CQ208">
        <v>0</v>
      </c>
      <c r="CR208">
        <v>2</v>
      </c>
      <c r="CS208">
        <v>0</v>
      </c>
      <c r="CT208">
        <v>2</v>
      </c>
      <c r="CU208">
        <v>0</v>
      </c>
      <c r="CV208">
        <v>5</v>
      </c>
      <c r="CW208" t="s">
        <v>120</v>
      </c>
      <c r="CX208">
        <v>261</v>
      </c>
      <c r="CY208">
        <v>2</v>
      </c>
      <c r="CZ208" t="s">
        <v>121</v>
      </c>
      <c r="DA208" t="s">
        <v>122</v>
      </c>
      <c r="DD208">
        <v>14354194</v>
      </c>
      <c r="DE208" t="s">
        <v>123</v>
      </c>
    </row>
    <row r="209" spans="1:109" x14ac:dyDescent="0.3">
      <c r="A209" t="str">
        <f>"18:37:54.477"</f>
        <v>18:37:54.477</v>
      </c>
      <c r="B209" t="s">
        <v>110</v>
      </c>
      <c r="C209" t="str">
        <f t="shared" si="9"/>
        <v>ffdfd3c0</v>
      </c>
      <c r="D209" t="s">
        <v>111</v>
      </c>
      <c r="E209">
        <v>18</v>
      </c>
      <c r="F209">
        <v>1018</v>
      </c>
      <c r="G209" t="s">
        <v>112</v>
      </c>
      <c r="J209" t="s">
        <v>113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R209" t="s">
        <v>114</v>
      </c>
      <c r="S209" t="str">
        <f>"18:37:54.273"</f>
        <v>18:37:54.273</v>
      </c>
      <c r="T209" t="str">
        <f>"18:37:53.875"</f>
        <v>18:37:53.875</v>
      </c>
      <c r="U209" t="str">
        <f t="shared" si="10"/>
        <v>a1cdbe</v>
      </c>
      <c r="V209">
        <v>0</v>
      </c>
      <c r="W209">
        <v>0</v>
      </c>
      <c r="X209">
        <v>1</v>
      </c>
      <c r="Y209">
        <v>0</v>
      </c>
      <c r="Z209">
        <v>0</v>
      </c>
      <c r="AB209">
        <v>0</v>
      </c>
      <c r="AC209">
        <v>9</v>
      </c>
      <c r="AD209">
        <v>3</v>
      </c>
      <c r="AE209">
        <v>0</v>
      </c>
      <c r="AF209">
        <v>9</v>
      </c>
      <c r="AG209" t="s">
        <v>158</v>
      </c>
      <c r="AH209">
        <v>0</v>
      </c>
      <c r="AI209">
        <v>3</v>
      </c>
      <c r="AJ209">
        <v>1</v>
      </c>
      <c r="AK209">
        <v>0</v>
      </c>
      <c r="AL209" t="s">
        <v>500</v>
      </c>
      <c r="AM209">
        <v>47.061653</v>
      </c>
      <c r="AN209" t="s">
        <v>501</v>
      </c>
      <c r="AO209">
        <v>-122.282124</v>
      </c>
      <c r="AP209">
        <v>100</v>
      </c>
      <c r="AQ209">
        <v>2000</v>
      </c>
      <c r="AR209" t="s">
        <v>118</v>
      </c>
      <c r="AS209">
        <v>-25</v>
      </c>
      <c r="AT209">
        <v>-75</v>
      </c>
      <c r="AU209">
        <v>192</v>
      </c>
      <c r="BC209">
        <v>1200</v>
      </c>
      <c r="BD209">
        <v>1</v>
      </c>
      <c r="BE209" t="str">
        <f t="shared" si="11"/>
        <v xml:space="preserve">N215T   </v>
      </c>
      <c r="BF209">
        <v>1</v>
      </c>
      <c r="BH209">
        <v>0</v>
      </c>
      <c r="BI209">
        <v>0</v>
      </c>
      <c r="BJ209">
        <v>0</v>
      </c>
      <c r="BK209">
        <v>2425</v>
      </c>
      <c r="BL209">
        <v>425</v>
      </c>
      <c r="BM209" t="s">
        <v>119</v>
      </c>
      <c r="BN209">
        <v>1</v>
      </c>
      <c r="BO209">
        <v>1</v>
      </c>
      <c r="BP209">
        <v>1</v>
      </c>
      <c r="BQ209">
        <v>0</v>
      </c>
      <c r="BT209">
        <v>0</v>
      </c>
      <c r="BU209">
        <v>0</v>
      </c>
      <c r="BV209">
        <v>0</v>
      </c>
      <c r="CC209" t="str">
        <f>"18:37:54.281"</f>
        <v>18:37:54.281</v>
      </c>
      <c r="CD209" t="str">
        <f>"279611982"</f>
        <v>279611982</v>
      </c>
      <c r="CQ209">
        <v>0</v>
      </c>
      <c r="CR209">
        <v>2</v>
      </c>
      <c r="CS209">
        <v>0</v>
      </c>
      <c r="CT209">
        <v>2</v>
      </c>
      <c r="CU209">
        <v>0</v>
      </c>
      <c r="CV209">
        <v>5</v>
      </c>
      <c r="CW209" t="s">
        <v>120</v>
      </c>
      <c r="CX209">
        <v>259</v>
      </c>
      <c r="CY209">
        <v>1</v>
      </c>
      <c r="CZ209" t="s">
        <v>197</v>
      </c>
      <c r="DA209" t="s">
        <v>198</v>
      </c>
      <c r="DD209">
        <v>14759862</v>
      </c>
      <c r="DE209" t="s">
        <v>123</v>
      </c>
    </row>
    <row r="210" spans="1:109" x14ac:dyDescent="0.3">
      <c r="A210" t="str">
        <f>"18:37:55.531"</f>
        <v>18:37:55.531</v>
      </c>
      <c r="B210" t="s">
        <v>110</v>
      </c>
      <c r="C210" t="str">
        <f t="shared" si="9"/>
        <v>ffdfd3c0</v>
      </c>
      <c r="D210" t="s">
        <v>111</v>
      </c>
      <c r="E210">
        <v>18</v>
      </c>
      <c r="F210">
        <v>1018</v>
      </c>
      <c r="G210" t="s">
        <v>112</v>
      </c>
      <c r="J210" t="s">
        <v>113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R210" t="s">
        <v>114</v>
      </c>
      <c r="S210" t="str">
        <f>"18:37:55.297"</f>
        <v>18:37:55.297</v>
      </c>
      <c r="T210" t="str">
        <f>"18:37:55.297"</f>
        <v>18:37:55.297</v>
      </c>
      <c r="U210" t="str">
        <f t="shared" si="10"/>
        <v>a1cdbe</v>
      </c>
      <c r="V210">
        <v>0</v>
      </c>
      <c r="W210">
        <v>0</v>
      </c>
      <c r="X210">
        <v>1</v>
      </c>
      <c r="Y210">
        <v>0</v>
      </c>
      <c r="Z210">
        <v>0</v>
      </c>
      <c r="AB210">
        <v>0</v>
      </c>
      <c r="AC210">
        <v>9</v>
      </c>
      <c r="AD210">
        <v>3</v>
      </c>
      <c r="AE210">
        <v>0</v>
      </c>
      <c r="AF210">
        <v>9</v>
      </c>
      <c r="AG210" t="s">
        <v>158</v>
      </c>
      <c r="AH210">
        <v>0</v>
      </c>
      <c r="AI210">
        <v>3</v>
      </c>
      <c r="AJ210">
        <v>1</v>
      </c>
      <c r="AK210">
        <v>0</v>
      </c>
      <c r="AL210" t="s">
        <v>502</v>
      </c>
      <c r="AM210">
        <v>47.061309999999999</v>
      </c>
      <c r="AN210" t="s">
        <v>503</v>
      </c>
      <c r="AO210">
        <v>-122.282231</v>
      </c>
      <c r="AP210">
        <v>100</v>
      </c>
      <c r="AQ210">
        <v>2000</v>
      </c>
      <c r="AR210" t="s">
        <v>118</v>
      </c>
      <c r="AS210">
        <v>-25</v>
      </c>
      <c r="AT210">
        <v>-75</v>
      </c>
      <c r="AU210">
        <v>256</v>
      </c>
      <c r="BC210">
        <v>1200</v>
      </c>
      <c r="BD210">
        <v>1</v>
      </c>
      <c r="BE210" t="str">
        <f t="shared" si="11"/>
        <v xml:space="preserve">N215T   </v>
      </c>
      <c r="BF210">
        <v>1</v>
      </c>
      <c r="BH210">
        <v>0</v>
      </c>
      <c r="BI210">
        <v>0</v>
      </c>
      <c r="BJ210">
        <v>0</v>
      </c>
      <c r="BK210">
        <v>2325</v>
      </c>
      <c r="BL210">
        <v>325</v>
      </c>
      <c r="BM210" t="s">
        <v>119</v>
      </c>
      <c r="BN210">
        <v>1</v>
      </c>
      <c r="BO210">
        <v>1</v>
      </c>
      <c r="BP210">
        <v>1</v>
      </c>
      <c r="BQ210">
        <v>0</v>
      </c>
      <c r="BT210">
        <v>0</v>
      </c>
      <c r="BU210">
        <v>0</v>
      </c>
      <c r="BV210">
        <v>0</v>
      </c>
      <c r="CC210" t="str">
        <f>"18:37:55.297"</f>
        <v>18:37:55.297</v>
      </c>
      <c r="CD210" t="str">
        <f>"299402552"</f>
        <v>299402552</v>
      </c>
      <c r="CQ210">
        <v>0</v>
      </c>
      <c r="CR210">
        <v>2</v>
      </c>
      <c r="CS210">
        <v>0</v>
      </c>
      <c r="CT210">
        <v>2</v>
      </c>
      <c r="CU210">
        <v>0</v>
      </c>
      <c r="CV210">
        <v>5</v>
      </c>
      <c r="CW210" t="s">
        <v>120</v>
      </c>
      <c r="CX210">
        <v>261</v>
      </c>
      <c r="CY210">
        <v>2</v>
      </c>
      <c r="CZ210" t="s">
        <v>121</v>
      </c>
      <c r="DA210" t="s">
        <v>122</v>
      </c>
      <c r="DD210">
        <v>14355305</v>
      </c>
      <c r="DE210" t="s">
        <v>123</v>
      </c>
    </row>
    <row r="211" spans="1:109" x14ac:dyDescent="0.3">
      <c r="A211" t="str">
        <f>"18:37:56.586"</f>
        <v>18:37:56.586</v>
      </c>
      <c r="B211" t="s">
        <v>110</v>
      </c>
      <c r="C211" t="str">
        <f t="shared" si="9"/>
        <v>ffdfd3c0</v>
      </c>
      <c r="D211" t="s">
        <v>111</v>
      </c>
      <c r="E211">
        <v>18</v>
      </c>
      <c r="F211">
        <v>1018</v>
      </c>
      <c r="G211" t="s">
        <v>112</v>
      </c>
      <c r="J211" t="s">
        <v>113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R211" t="s">
        <v>114</v>
      </c>
      <c r="S211" t="str">
        <f>"18:37:56.328"</f>
        <v>18:37:56.328</v>
      </c>
      <c r="T211" t="str">
        <f>"18:37:56.125"</f>
        <v>18:37:56.125</v>
      </c>
      <c r="U211" t="str">
        <f t="shared" si="10"/>
        <v>a1cdbe</v>
      </c>
      <c r="V211">
        <v>0</v>
      </c>
      <c r="W211">
        <v>0</v>
      </c>
      <c r="X211">
        <v>1</v>
      </c>
      <c r="Y211">
        <v>0</v>
      </c>
      <c r="Z211">
        <v>0</v>
      </c>
      <c r="AB211">
        <v>0</v>
      </c>
      <c r="AC211">
        <v>9</v>
      </c>
      <c r="AD211">
        <v>3</v>
      </c>
      <c r="AE211">
        <v>0</v>
      </c>
      <c r="AF211">
        <v>9</v>
      </c>
      <c r="AG211" t="s">
        <v>158</v>
      </c>
      <c r="AH211">
        <v>0</v>
      </c>
      <c r="AI211">
        <v>3</v>
      </c>
      <c r="AJ211">
        <v>1</v>
      </c>
      <c r="AK211">
        <v>0</v>
      </c>
      <c r="AL211" t="s">
        <v>504</v>
      </c>
      <c r="AM211">
        <v>47.060966000000001</v>
      </c>
      <c r="AN211" t="s">
        <v>505</v>
      </c>
      <c r="AO211">
        <v>-122.282403</v>
      </c>
      <c r="AP211">
        <v>100</v>
      </c>
      <c r="AQ211">
        <v>2100</v>
      </c>
      <c r="AR211" t="s">
        <v>118</v>
      </c>
      <c r="AS211">
        <v>-24</v>
      </c>
      <c r="AT211">
        <v>-76</v>
      </c>
      <c r="AU211">
        <v>256</v>
      </c>
      <c r="BC211">
        <v>1200</v>
      </c>
      <c r="BD211">
        <v>1</v>
      </c>
      <c r="BE211" t="str">
        <f t="shared" si="11"/>
        <v xml:space="preserve">N215T   </v>
      </c>
      <c r="BF211">
        <v>1</v>
      </c>
      <c r="BH211">
        <v>0</v>
      </c>
      <c r="BI211">
        <v>0</v>
      </c>
      <c r="BJ211">
        <v>0</v>
      </c>
      <c r="BK211">
        <v>2425</v>
      </c>
      <c r="BL211">
        <v>325</v>
      </c>
      <c r="BM211" t="s">
        <v>119</v>
      </c>
      <c r="BN211">
        <v>1</v>
      </c>
      <c r="BO211">
        <v>1</v>
      </c>
      <c r="BP211">
        <v>1</v>
      </c>
      <c r="BQ211">
        <v>0</v>
      </c>
      <c r="BT211">
        <v>0</v>
      </c>
      <c r="BU211">
        <v>0</v>
      </c>
      <c r="BV211">
        <v>0</v>
      </c>
      <c r="CC211" t="str">
        <f>"18:37:56.336"</f>
        <v>18:37:56.336</v>
      </c>
      <c r="CD211" t="str">
        <f>"334300788"</f>
        <v>334300788</v>
      </c>
      <c r="CQ211">
        <v>0</v>
      </c>
      <c r="CR211">
        <v>2</v>
      </c>
      <c r="CS211">
        <v>0</v>
      </c>
      <c r="CT211">
        <v>2</v>
      </c>
      <c r="CU211">
        <v>0</v>
      </c>
      <c r="CV211">
        <v>5</v>
      </c>
      <c r="CW211" t="s">
        <v>120</v>
      </c>
      <c r="CX211">
        <v>261</v>
      </c>
      <c r="CY211">
        <v>1</v>
      </c>
      <c r="CZ211" t="s">
        <v>121</v>
      </c>
      <c r="DA211" t="s">
        <v>122</v>
      </c>
      <c r="DD211">
        <v>3215959</v>
      </c>
      <c r="DE211" t="s">
        <v>123</v>
      </c>
    </row>
    <row r="212" spans="1:109" x14ac:dyDescent="0.3">
      <c r="A212" t="str">
        <f>"18:37:57.391"</f>
        <v>18:37:57.391</v>
      </c>
      <c r="B212" t="s">
        <v>110</v>
      </c>
      <c r="C212" t="str">
        <f t="shared" si="9"/>
        <v>ffdfd3c0</v>
      </c>
      <c r="D212" t="s">
        <v>111</v>
      </c>
      <c r="E212">
        <v>18</v>
      </c>
      <c r="F212">
        <v>1018</v>
      </c>
      <c r="G212" t="s">
        <v>112</v>
      </c>
      <c r="J212" t="s">
        <v>113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R212" t="s">
        <v>114</v>
      </c>
      <c r="S212" t="str">
        <f>"18:37:57.172"</f>
        <v>18:37:57.172</v>
      </c>
      <c r="T212" t="str">
        <f>"18:37:57.172"</f>
        <v>18:37:57.172</v>
      </c>
      <c r="U212" t="str">
        <f t="shared" si="10"/>
        <v>a1cdbe</v>
      </c>
      <c r="V212">
        <v>0</v>
      </c>
      <c r="W212">
        <v>0</v>
      </c>
      <c r="X212">
        <v>1</v>
      </c>
      <c r="Y212">
        <v>0</v>
      </c>
      <c r="Z212">
        <v>0</v>
      </c>
      <c r="AB212">
        <v>0</v>
      </c>
      <c r="AC212">
        <v>9</v>
      </c>
      <c r="AD212">
        <v>3</v>
      </c>
      <c r="AE212">
        <v>0</v>
      </c>
      <c r="AF212">
        <v>9</v>
      </c>
      <c r="AG212" t="s">
        <v>158</v>
      </c>
      <c r="AH212">
        <v>0</v>
      </c>
      <c r="AI212">
        <v>3</v>
      </c>
      <c r="AJ212">
        <v>1</v>
      </c>
      <c r="AK212">
        <v>0</v>
      </c>
      <c r="AL212" t="s">
        <v>506</v>
      </c>
      <c r="AM212">
        <v>47.060665999999998</v>
      </c>
      <c r="AN212" t="s">
        <v>507</v>
      </c>
      <c r="AO212">
        <v>-122.282574</v>
      </c>
      <c r="AP212">
        <v>100</v>
      </c>
      <c r="AQ212">
        <v>2100</v>
      </c>
      <c r="AR212" t="s">
        <v>118</v>
      </c>
      <c r="AS212">
        <v>-24</v>
      </c>
      <c r="AT212">
        <v>-76</v>
      </c>
      <c r="AU212">
        <v>192</v>
      </c>
      <c r="BC212">
        <v>1200</v>
      </c>
      <c r="BD212">
        <v>1</v>
      </c>
      <c r="BE212" t="str">
        <f t="shared" si="11"/>
        <v xml:space="preserve">N215T   </v>
      </c>
      <c r="BF212">
        <v>1</v>
      </c>
      <c r="BH212">
        <v>0</v>
      </c>
      <c r="BI212">
        <v>0</v>
      </c>
      <c r="BJ212">
        <v>0</v>
      </c>
      <c r="BK212">
        <v>2425</v>
      </c>
      <c r="BL212">
        <v>325</v>
      </c>
      <c r="BM212" t="s">
        <v>119</v>
      </c>
      <c r="BN212">
        <v>1</v>
      </c>
      <c r="BO212">
        <v>1</v>
      </c>
      <c r="BP212">
        <v>1</v>
      </c>
      <c r="BQ212">
        <v>0</v>
      </c>
      <c r="BT212">
        <v>0</v>
      </c>
      <c r="BU212">
        <v>0</v>
      </c>
      <c r="BV212">
        <v>0</v>
      </c>
      <c r="CC212" t="str">
        <f>"18:37:57.172"</f>
        <v>18:37:57.172</v>
      </c>
      <c r="CD212" t="str">
        <f>"174156543"</f>
        <v>174156543</v>
      </c>
      <c r="CQ212">
        <v>0</v>
      </c>
      <c r="CR212">
        <v>2</v>
      </c>
      <c r="CS212">
        <v>0</v>
      </c>
      <c r="CT212">
        <v>2</v>
      </c>
      <c r="CU212">
        <v>0</v>
      </c>
      <c r="CV212">
        <v>1</v>
      </c>
      <c r="CW212" t="s">
        <v>172</v>
      </c>
      <c r="CX212">
        <v>325</v>
      </c>
      <c r="CY212">
        <v>0</v>
      </c>
      <c r="CZ212" t="s">
        <v>219</v>
      </c>
      <c r="DA212" t="s">
        <v>220</v>
      </c>
      <c r="DD212">
        <v>4486368</v>
      </c>
      <c r="DE212" t="s">
        <v>123</v>
      </c>
    </row>
    <row r="213" spans="1:109" x14ac:dyDescent="0.3">
      <c r="A213" t="str">
        <f>"18:37:58.297"</f>
        <v>18:37:58.297</v>
      </c>
      <c r="B213" t="s">
        <v>110</v>
      </c>
      <c r="C213" t="str">
        <f t="shared" si="9"/>
        <v>ffdfd3c0</v>
      </c>
      <c r="D213" t="s">
        <v>111</v>
      </c>
      <c r="E213">
        <v>18</v>
      </c>
      <c r="F213">
        <v>1018</v>
      </c>
      <c r="G213" t="s">
        <v>112</v>
      </c>
      <c r="J213" t="s">
        <v>113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R213" t="s">
        <v>114</v>
      </c>
      <c r="S213" t="str">
        <f>"18:37:58.102"</f>
        <v>18:37:58.102</v>
      </c>
      <c r="T213" t="str">
        <f>"18:37:57.703"</f>
        <v>18:37:57.703</v>
      </c>
      <c r="U213" t="str">
        <f t="shared" si="10"/>
        <v>a1cdbe</v>
      </c>
      <c r="V213">
        <v>0</v>
      </c>
      <c r="W213">
        <v>0</v>
      </c>
      <c r="X213">
        <v>1</v>
      </c>
      <c r="Y213">
        <v>0</v>
      </c>
      <c r="Z213">
        <v>0</v>
      </c>
      <c r="AB213">
        <v>0</v>
      </c>
      <c r="AC213">
        <v>9</v>
      </c>
      <c r="AD213">
        <v>3</v>
      </c>
      <c r="AE213">
        <v>0</v>
      </c>
      <c r="AF213">
        <v>9</v>
      </c>
      <c r="AG213" t="s">
        <v>158</v>
      </c>
      <c r="AH213">
        <v>0</v>
      </c>
      <c r="AI213">
        <v>3</v>
      </c>
      <c r="AJ213">
        <v>1</v>
      </c>
      <c r="AK213">
        <v>0</v>
      </c>
      <c r="AL213" t="s">
        <v>508</v>
      </c>
      <c r="AM213">
        <v>47.060344000000001</v>
      </c>
      <c r="AN213" t="s">
        <v>509</v>
      </c>
      <c r="AO213">
        <v>-122.282703</v>
      </c>
      <c r="AP213">
        <v>100</v>
      </c>
      <c r="AQ213">
        <v>2100</v>
      </c>
      <c r="AR213" t="s">
        <v>118</v>
      </c>
      <c r="AS213">
        <v>-25</v>
      </c>
      <c r="AT213">
        <v>-76</v>
      </c>
      <c r="AU213">
        <v>128</v>
      </c>
      <c r="BC213">
        <v>1200</v>
      </c>
      <c r="BD213">
        <v>1</v>
      </c>
      <c r="BE213" t="str">
        <f t="shared" si="11"/>
        <v xml:space="preserve">N215T   </v>
      </c>
      <c r="BF213">
        <v>1</v>
      </c>
      <c r="BH213">
        <v>0</v>
      </c>
      <c r="BI213">
        <v>0</v>
      </c>
      <c r="BJ213">
        <v>0</v>
      </c>
      <c r="BK213">
        <v>2425</v>
      </c>
      <c r="BL213">
        <v>325</v>
      </c>
      <c r="BM213" t="s">
        <v>119</v>
      </c>
      <c r="BN213">
        <v>1</v>
      </c>
      <c r="BO213">
        <v>1</v>
      </c>
      <c r="BP213">
        <v>1</v>
      </c>
      <c r="BQ213">
        <v>0</v>
      </c>
      <c r="BT213">
        <v>0</v>
      </c>
      <c r="BU213">
        <v>0</v>
      </c>
      <c r="BV213">
        <v>0</v>
      </c>
      <c r="CC213" t="str">
        <f>"18:37:58.102"</f>
        <v>18:37:58.102</v>
      </c>
      <c r="CD213" t="str">
        <f>"104126683"</f>
        <v>104126683</v>
      </c>
      <c r="CQ213">
        <v>0</v>
      </c>
      <c r="CR213">
        <v>2</v>
      </c>
      <c r="CS213">
        <v>0</v>
      </c>
      <c r="CT213">
        <v>2</v>
      </c>
      <c r="CU213">
        <v>0</v>
      </c>
      <c r="CV213">
        <v>5</v>
      </c>
      <c r="CW213" t="s">
        <v>120</v>
      </c>
      <c r="CX213">
        <v>261</v>
      </c>
      <c r="CY213">
        <v>2</v>
      </c>
      <c r="CZ213" t="s">
        <v>121</v>
      </c>
      <c r="DA213" t="s">
        <v>122</v>
      </c>
      <c r="DD213">
        <v>14356807</v>
      </c>
      <c r="DE213" t="s">
        <v>123</v>
      </c>
    </row>
    <row r="214" spans="1:109" x14ac:dyDescent="0.3">
      <c r="A214" t="str">
        <f>"18:37:59.352"</f>
        <v>18:37:59.352</v>
      </c>
      <c r="B214" t="s">
        <v>110</v>
      </c>
      <c r="C214" t="str">
        <f t="shared" si="9"/>
        <v>ffdfd3c0</v>
      </c>
      <c r="D214" t="s">
        <v>111</v>
      </c>
      <c r="E214">
        <v>18</v>
      </c>
      <c r="F214">
        <v>1018</v>
      </c>
      <c r="G214" t="s">
        <v>112</v>
      </c>
      <c r="J214" t="s">
        <v>113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R214" t="s">
        <v>114</v>
      </c>
      <c r="S214" t="str">
        <f>"18:37:59.102"</f>
        <v>18:37:59.102</v>
      </c>
      <c r="T214" t="str">
        <f>"18:37:58.805"</f>
        <v>18:37:58.805</v>
      </c>
      <c r="U214" t="str">
        <f t="shared" si="10"/>
        <v>a1cdbe</v>
      </c>
      <c r="V214">
        <v>0</v>
      </c>
      <c r="W214">
        <v>0</v>
      </c>
      <c r="X214">
        <v>1</v>
      </c>
      <c r="Y214">
        <v>0</v>
      </c>
      <c r="Z214">
        <v>0</v>
      </c>
      <c r="AB214">
        <v>0</v>
      </c>
      <c r="AC214">
        <v>9</v>
      </c>
      <c r="AD214">
        <v>3</v>
      </c>
      <c r="AE214">
        <v>0</v>
      </c>
      <c r="AF214">
        <v>9</v>
      </c>
      <c r="AG214" t="s">
        <v>158</v>
      </c>
      <c r="AH214">
        <v>0</v>
      </c>
      <c r="AI214">
        <v>3</v>
      </c>
      <c r="AJ214">
        <v>1</v>
      </c>
      <c r="AK214">
        <v>0</v>
      </c>
      <c r="AL214" t="s">
        <v>510</v>
      </c>
      <c r="AM214">
        <v>47.059978999999998</v>
      </c>
      <c r="AN214" t="s">
        <v>511</v>
      </c>
      <c r="AO214">
        <v>-122.28289599999999</v>
      </c>
      <c r="AP214">
        <v>100</v>
      </c>
      <c r="AQ214">
        <v>2100</v>
      </c>
      <c r="AR214" t="s">
        <v>118</v>
      </c>
      <c r="AS214">
        <v>-25</v>
      </c>
      <c r="AT214">
        <v>-76</v>
      </c>
      <c r="AU214">
        <v>0</v>
      </c>
      <c r="BC214">
        <v>1200</v>
      </c>
      <c r="BD214">
        <v>1</v>
      </c>
      <c r="BE214" t="str">
        <f t="shared" si="11"/>
        <v xml:space="preserve">N215T   </v>
      </c>
      <c r="BF214">
        <v>1</v>
      </c>
      <c r="BH214">
        <v>0</v>
      </c>
      <c r="BI214">
        <v>0</v>
      </c>
      <c r="BJ214">
        <v>0</v>
      </c>
      <c r="BK214">
        <v>2425</v>
      </c>
      <c r="BL214">
        <v>325</v>
      </c>
      <c r="BM214" t="s">
        <v>119</v>
      </c>
      <c r="BN214">
        <v>1</v>
      </c>
      <c r="BO214">
        <v>1</v>
      </c>
      <c r="BP214">
        <v>1</v>
      </c>
      <c r="BQ214">
        <v>0</v>
      </c>
      <c r="BT214">
        <v>0</v>
      </c>
      <c r="BU214">
        <v>0</v>
      </c>
      <c r="BV214">
        <v>0</v>
      </c>
      <c r="CC214" t="str">
        <f>"18:37:59.109"</f>
        <v>18:37:59.109</v>
      </c>
      <c r="CD214" t="str">
        <f>"109027836"</f>
        <v>109027836</v>
      </c>
      <c r="CQ214">
        <v>0</v>
      </c>
      <c r="CR214">
        <v>2</v>
      </c>
      <c r="CS214">
        <v>0</v>
      </c>
      <c r="CT214">
        <v>2</v>
      </c>
      <c r="CU214">
        <v>0</v>
      </c>
      <c r="CV214">
        <v>5</v>
      </c>
      <c r="CW214" t="s">
        <v>120</v>
      </c>
      <c r="CX214">
        <v>261</v>
      </c>
      <c r="CY214">
        <v>1</v>
      </c>
      <c r="CZ214" t="s">
        <v>121</v>
      </c>
      <c r="DA214" t="s">
        <v>122</v>
      </c>
      <c r="DD214">
        <v>3217591</v>
      </c>
      <c r="DE214" t="s">
        <v>123</v>
      </c>
    </row>
    <row r="215" spans="1:109" x14ac:dyDescent="0.3">
      <c r="A215" t="str">
        <f>"18:38:00.453"</f>
        <v>18:38:00.453</v>
      </c>
      <c r="B215" t="s">
        <v>110</v>
      </c>
      <c r="C215" t="str">
        <f t="shared" si="9"/>
        <v>ffdfd3c0</v>
      </c>
      <c r="D215" t="s">
        <v>111</v>
      </c>
      <c r="E215">
        <v>18</v>
      </c>
      <c r="F215">
        <v>1018</v>
      </c>
      <c r="G215" t="s">
        <v>112</v>
      </c>
      <c r="J215" t="s">
        <v>113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R215" t="s">
        <v>114</v>
      </c>
      <c r="S215" t="str">
        <f>"18:38:00.188"</f>
        <v>18:38:00.188</v>
      </c>
      <c r="T215" t="str">
        <f>"18:37:59.891"</f>
        <v>18:37:59.891</v>
      </c>
      <c r="U215" t="str">
        <f t="shared" si="10"/>
        <v>a1cdbe</v>
      </c>
      <c r="V215">
        <v>0</v>
      </c>
      <c r="W215">
        <v>0</v>
      </c>
      <c r="X215">
        <v>1</v>
      </c>
      <c r="Y215">
        <v>0</v>
      </c>
      <c r="Z215">
        <v>0</v>
      </c>
      <c r="AB215">
        <v>0</v>
      </c>
      <c r="AC215">
        <v>9</v>
      </c>
      <c r="AD215">
        <v>3</v>
      </c>
      <c r="AE215">
        <v>0</v>
      </c>
      <c r="AF215">
        <v>9</v>
      </c>
      <c r="AG215" t="s">
        <v>158</v>
      </c>
      <c r="AH215">
        <v>0</v>
      </c>
      <c r="AI215">
        <v>3</v>
      </c>
      <c r="AJ215">
        <v>1</v>
      </c>
      <c r="AK215">
        <v>0</v>
      </c>
      <c r="AL215" t="s">
        <v>512</v>
      </c>
      <c r="AM215">
        <v>47.059615000000001</v>
      </c>
      <c r="AN215" t="s">
        <v>513</v>
      </c>
      <c r="AO215">
        <v>-122.283046</v>
      </c>
      <c r="AP215">
        <v>100</v>
      </c>
      <c r="AQ215">
        <v>2100</v>
      </c>
      <c r="AR215" t="s">
        <v>118</v>
      </c>
      <c r="AS215">
        <v>-25</v>
      </c>
      <c r="AT215">
        <v>-76</v>
      </c>
      <c r="AU215">
        <v>0</v>
      </c>
      <c r="BC215">
        <v>1200</v>
      </c>
      <c r="BD215">
        <v>1</v>
      </c>
      <c r="BE215" t="str">
        <f t="shared" si="11"/>
        <v xml:space="preserve">N215T   </v>
      </c>
      <c r="BF215">
        <v>1</v>
      </c>
      <c r="BH215">
        <v>0</v>
      </c>
      <c r="BI215">
        <v>0</v>
      </c>
      <c r="BJ215">
        <v>0</v>
      </c>
      <c r="BK215">
        <v>2425</v>
      </c>
      <c r="BL215">
        <v>325</v>
      </c>
      <c r="BM215" t="s">
        <v>119</v>
      </c>
      <c r="BN215">
        <v>1</v>
      </c>
      <c r="BO215">
        <v>1</v>
      </c>
      <c r="BP215">
        <v>1</v>
      </c>
      <c r="BQ215">
        <v>0</v>
      </c>
      <c r="BT215">
        <v>0</v>
      </c>
      <c r="BU215">
        <v>0</v>
      </c>
      <c r="BV215">
        <v>0</v>
      </c>
      <c r="CC215" t="str">
        <f>"18:38:00.188"</f>
        <v>18:38:00.188</v>
      </c>
      <c r="CD215" t="str">
        <f>"188921640"</f>
        <v>188921640</v>
      </c>
      <c r="CQ215">
        <v>0</v>
      </c>
      <c r="CR215">
        <v>2</v>
      </c>
      <c r="CS215">
        <v>0</v>
      </c>
      <c r="CT215">
        <v>2</v>
      </c>
      <c r="CU215">
        <v>0</v>
      </c>
      <c r="CV215">
        <v>5</v>
      </c>
      <c r="CW215" t="s">
        <v>120</v>
      </c>
      <c r="CX215">
        <v>261</v>
      </c>
      <c r="CY215">
        <v>1</v>
      </c>
      <c r="CZ215" t="s">
        <v>121</v>
      </c>
      <c r="DA215" t="s">
        <v>122</v>
      </c>
      <c r="DD215">
        <v>3218306</v>
      </c>
      <c r="DE215" t="s">
        <v>123</v>
      </c>
    </row>
    <row r="216" spans="1:109" x14ac:dyDescent="0.3">
      <c r="A216" t="str">
        <f>"18:38:01.563"</f>
        <v>18:38:01.563</v>
      </c>
      <c r="B216" t="s">
        <v>110</v>
      </c>
      <c r="C216" t="str">
        <f t="shared" si="9"/>
        <v>ffdfd3c0</v>
      </c>
      <c r="D216" t="s">
        <v>111</v>
      </c>
      <c r="E216">
        <v>18</v>
      </c>
      <c r="F216">
        <v>1018</v>
      </c>
      <c r="G216" t="s">
        <v>112</v>
      </c>
      <c r="J216" t="s">
        <v>113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R216" t="s">
        <v>114</v>
      </c>
      <c r="S216" t="str">
        <f>"18:38:01.313"</f>
        <v>18:38:01.313</v>
      </c>
      <c r="T216" t="str">
        <f>"18:38:00.914"</f>
        <v>18:38:00.914</v>
      </c>
      <c r="U216" t="str">
        <f t="shared" si="10"/>
        <v>a1cdbe</v>
      </c>
      <c r="V216">
        <v>0</v>
      </c>
      <c r="W216">
        <v>0</v>
      </c>
      <c r="X216">
        <v>1</v>
      </c>
      <c r="Y216">
        <v>0</v>
      </c>
      <c r="Z216">
        <v>0</v>
      </c>
      <c r="AB216">
        <v>0</v>
      </c>
      <c r="AC216">
        <v>9</v>
      </c>
      <c r="AD216">
        <v>3</v>
      </c>
      <c r="AE216">
        <v>0</v>
      </c>
      <c r="AF216">
        <v>9</v>
      </c>
      <c r="AG216" t="s">
        <v>158</v>
      </c>
      <c r="AH216">
        <v>0</v>
      </c>
      <c r="AI216">
        <v>3</v>
      </c>
      <c r="AJ216">
        <v>1</v>
      </c>
      <c r="AK216">
        <v>0</v>
      </c>
      <c r="AL216" t="s">
        <v>514</v>
      </c>
      <c r="AM216">
        <v>47.059207000000001</v>
      </c>
      <c r="AN216" t="s">
        <v>515</v>
      </c>
      <c r="AO216">
        <v>-122.283261</v>
      </c>
      <c r="AP216">
        <v>100</v>
      </c>
      <c r="AQ216">
        <v>2100</v>
      </c>
      <c r="AR216" t="s">
        <v>118</v>
      </c>
      <c r="AS216">
        <v>-24</v>
      </c>
      <c r="AT216">
        <v>-76</v>
      </c>
      <c r="AU216">
        <v>64</v>
      </c>
      <c r="BC216">
        <v>1200</v>
      </c>
      <c r="BD216">
        <v>1</v>
      </c>
      <c r="BE216" t="str">
        <f t="shared" si="11"/>
        <v xml:space="preserve">N215T   </v>
      </c>
      <c r="BF216">
        <v>1</v>
      </c>
      <c r="BH216">
        <v>0</v>
      </c>
      <c r="BI216">
        <v>0</v>
      </c>
      <c r="BJ216">
        <v>0</v>
      </c>
      <c r="BK216">
        <v>2450</v>
      </c>
      <c r="BL216">
        <v>350</v>
      </c>
      <c r="BM216" t="s">
        <v>119</v>
      </c>
      <c r="BN216">
        <v>1</v>
      </c>
      <c r="BO216">
        <v>1</v>
      </c>
      <c r="BP216">
        <v>1</v>
      </c>
      <c r="BQ216">
        <v>0</v>
      </c>
      <c r="BT216">
        <v>0</v>
      </c>
      <c r="BU216">
        <v>0</v>
      </c>
      <c r="BV216">
        <v>0</v>
      </c>
      <c r="CC216" t="str">
        <f>"18:38:01.313"</f>
        <v>18:38:01.313</v>
      </c>
      <c r="CD216" t="str">
        <f>"313810987"</f>
        <v>313810987</v>
      </c>
      <c r="CQ216">
        <v>0</v>
      </c>
      <c r="CR216">
        <v>2</v>
      </c>
      <c r="CS216">
        <v>0</v>
      </c>
      <c r="CT216">
        <v>2</v>
      </c>
      <c r="CU216">
        <v>0</v>
      </c>
      <c r="CV216">
        <v>5</v>
      </c>
      <c r="CW216" t="s">
        <v>120</v>
      </c>
      <c r="CX216">
        <v>261</v>
      </c>
      <c r="CY216">
        <v>1</v>
      </c>
      <c r="CZ216" t="s">
        <v>121</v>
      </c>
      <c r="DA216" t="s">
        <v>122</v>
      </c>
      <c r="DD216">
        <v>3218988</v>
      </c>
      <c r="DE216" t="s">
        <v>123</v>
      </c>
    </row>
    <row r="217" spans="1:109" x14ac:dyDescent="0.3">
      <c r="A217" t="str">
        <f>"18:38:02.469"</f>
        <v>18:38:02.469</v>
      </c>
      <c r="B217" t="s">
        <v>110</v>
      </c>
      <c r="C217" t="str">
        <f t="shared" si="9"/>
        <v>ffdfd3c0</v>
      </c>
      <c r="D217" t="s">
        <v>111</v>
      </c>
      <c r="E217">
        <v>18</v>
      </c>
      <c r="F217">
        <v>1018</v>
      </c>
      <c r="G217" t="s">
        <v>112</v>
      </c>
      <c r="J217" t="s">
        <v>113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R217" t="s">
        <v>114</v>
      </c>
      <c r="S217" t="str">
        <f>"18:38:02.258"</f>
        <v>18:38:02.258</v>
      </c>
      <c r="T217" t="str">
        <f>"18:38:01.961"</f>
        <v>18:38:01.961</v>
      </c>
      <c r="U217" t="str">
        <f t="shared" si="10"/>
        <v>a1cdbe</v>
      </c>
      <c r="V217">
        <v>0</v>
      </c>
      <c r="W217">
        <v>0</v>
      </c>
      <c r="X217">
        <v>1</v>
      </c>
      <c r="Y217">
        <v>0</v>
      </c>
      <c r="Z217">
        <v>0</v>
      </c>
      <c r="AB217">
        <v>0</v>
      </c>
      <c r="AC217">
        <v>9</v>
      </c>
      <c r="AD217">
        <v>3</v>
      </c>
      <c r="AE217">
        <v>0</v>
      </c>
      <c r="AF217">
        <v>9</v>
      </c>
      <c r="AG217" t="s">
        <v>158</v>
      </c>
      <c r="AH217">
        <v>0</v>
      </c>
      <c r="AI217">
        <v>3</v>
      </c>
      <c r="AJ217">
        <v>1</v>
      </c>
      <c r="AK217">
        <v>0</v>
      </c>
      <c r="AL217" t="s">
        <v>516</v>
      </c>
      <c r="AM217">
        <v>47.058864</v>
      </c>
      <c r="AN217" t="s">
        <v>517</v>
      </c>
      <c r="AO217">
        <v>-122.28339</v>
      </c>
      <c r="AP217">
        <v>100</v>
      </c>
      <c r="AQ217">
        <v>2100</v>
      </c>
      <c r="AR217" t="s">
        <v>118</v>
      </c>
      <c r="AS217">
        <v>-22</v>
      </c>
      <c r="AT217">
        <v>-77</v>
      </c>
      <c r="AU217">
        <v>64</v>
      </c>
      <c r="BC217">
        <v>1200</v>
      </c>
      <c r="BD217">
        <v>1</v>
      </c>
      <c r="BE217" t="str">
        <f t="shared" si="11"/>
        <v xml:space="preserve">N215T   </v>
      </c>
      <c r="BF217">
        <v>1</v>
      </c>
      <c r="BH217">
        <v>0</v>
      </c>
      <c r="BI217">
        <v>0</v>
      </c>
      <c r="BJ217">
        <v>0</v>
      </c>
      <c r="BK217">
        <v>2450</v>
      </c>
      <c r="BL217">
        <v>350</v>
      </c>
      <c r="BM217" t="s">
        <v>119</v>
      </c>
      <c r="BN217">
        <v>1</v>
      </c>
      <c r="BO217">
        <v>1</v>
      </c>
      <c r="BP217">
        <v>1</v>
      </c>
      <c r="BQ217">
        <v>0</v>
      </c>
      <c r="BT217">
        <v>0</v>
      </c>
      <c r="BU217">
        <v>0</v>
      </c>
      <c r="BV217">
        <v>0</v>
      </c>
      <c r="CC217" t="str">
        <f>"18:38:02.258"</f>
        <v>18:38:02.258</v>
      </c>
      <c r="CD217" t="str">
        <f>"258718027"</f>
        <v>258718027</v>
      </c>
      <c r="CQ217">
        <v>0</v>
      </c>
      <c r="CR217">
        <v>2</v>
      </c>
      <c r="CS217">
        <v>0</v>
      </c>
      <c r="CT217">
        <v>2</v>
      </c>
      <c r="CU217">
        <v>0</v>
      </c>
      <c r="CV217">
        <v>5</v>
      </c>
      <c r="CW217" t="s">
        <v>120</v>
      </c>
      <c r="CX217">
        <v>261</v>
      </c>
      <c r="CY217">
        <v>1</v>
      </c>
      <c r="CZ217" t="s">
        <v>121</v>
      </c>
      <c r="DA217" t="s">
        <v>122</v>
      </c>
      <c r="DD217">
        <v>3219579</v>
      </c>
      <c r="DE217" t="s">
        <v>123</v>
      </c>
    </row>
    <row r="218" spans="1:109" x14ac:dyDescent="0.3">
      <c r="A218" t="str">
        <f>"18:38:03.523"</f>
        <v>18:38:03.523</v>
      </c>
      <c r="B218" t="s">
        <v>110</v>
      </c>
      <c r="C218" t="str">
        <f t="shared" si="9"/>
        <v>ffdfd3c0</v>
      </c>
      <c r="D218" t="s">
        <v>111</v>
      </c>
      <c r="E218">
        <v>18</v>
      </c>
      <c r="F218">
        <v>1018</v>
      </c>
      <c r="G218" t="s">
        <v>112</v>
      </c>
      <c r="J218" t="s">
        <v>113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R218" t="s">
        <v>114</v>
      </c>
      <c r="S218" t="str">
        <f>"18:38:03.289"</f>
        <v>18:38:03.289</v>
      </c>
      <c r="T218" t="str">
        <f>"18:38:03.289"</f>
        <v>18:38:03.289</v>
      </c>
      <c r="U218" t="str">
        <f t="shared" si="10"/>
        <v>a1cdbe</v>
      </c>
      <c r="V218">
        <v>0</v>
      </c>
      <c r="W218">
        <v>0</v>
      </c>
      <c r="X218">
        <v>1</v>
      </c>
      <c r="Y218">
        <v>0</v>
      </c>
      <c r="Z218">
        <v>0</v>
      </c>
      <c r="AB218">
        <v>0</v>
      </c>
      <c r="AC218">
        <v>9</v>
      </c>
      <c r="AD218">
        <v>3</v>
      </c>
      <c r="AE218">
        <v>0</v>
      </c>
      <c r="AF218">
        <v>9</v>
      </c>
      <c r="AG218" t="s">
        <v>158</v>
      </c>
      <c r="AH218">
        <v>0</v>
      </c>
      <c r="AI218">
        <v>3</v>
      </c>
      <c r="AJ218">
        <v>1</v>
      </c>
      <c r="AK218">
        <v>0</v>
      </c>
      <c r="AL218" t="s">
        <v>518</v>
      </c>
      <c r="AM218">
        <v>47.058520000000001</v>
      </c>
      <c r="AN218" t="s">
        <v>519</v>
      </c>
      <c r="AO218">
        <v>-122.28354</v>
      </c>
      <c r="AP218">
        <v>100</v>
      </c>
      <c r="AQ218">
        <v>2100</v>
      </c>
      <c r="AR218" t="s">
        <v>118</v>
      </c>
      <c r="AS218">
        <v>-20</v>
      </c>
      <c r="AT218">
        <v>-78</v>
      </c>
      <c r="AU218">
        <v>64</v>
      </c>
      <c r="BC218">
        <v>1200</v>
      </c>
      <c r="BD218">
        <v>1</v>
      </c>
      <c r="BE218" t="str">
        <f t="shared" si="11"/>
        <v xml:space="preserve">N215T   </v>
      </c>
      <c r="BF218">
        <v>1</v>
      </c>
      <c r="BH218">
        <v>0</v>
      </c>
      <c r="BI218">
        <v>0</v>
      </c>
      <c r="BJ218">
        <v>0</v>
      </c>
      <c r="BK218">
        <v>2450</v>
      </c>
      <c r="BL218">
        <v>350</v>
      </c>
      <c r="BM218" t="s">
        <v>119</v>
      </c>
      <c r="BN218">
        <v>1</v>
      </c>
      <c r="BO218">
        <v>1</v>
      </c>
      <c r="BP218">
        <v>1</v>
      </c>
      <c r="BQ218">
        <v>0</v>
      </c>
      <c r="BT218">
        <v>0</v>
      </c>
      <c r="BU218">
        <v>0</v>
      </c>
      <c r="BV218">
        <v>0</v>
      </c>
      <c r="CC218" t="str">
        <f>"18:38:03.297"</f>
        <v>18:38:03.297</v>
      </c>
      <c r="CD218" t="str">
        <f>"293725798"</f>
        <v>293725798</v>
      </c>
      <c r="CQ218">
        <v>0</v>
      </c>
      <c r="CR218">
        <v>2</v>
      </c>
      <c r="CS218">
        <v>0</v>
      </c>
      <c r="CT218">
        <v>2</v>
      </c>
      <c r="CU218">
        <v>0</v>
      </c>
      <c r="CV218">
        <v>5</v>
      </c>
      <c r="CW218" t="s">
        <v>120</v>
      </c>
      <c r="CX218">
        <v>259</v>
      </c>
      <c r="CY218">
        <v>1</v>
      </c>
      <c r="CZ218" t="s">
        <v>197</v>
      </c>
      <c r="DA218" t="s">
        <v>198</v>
      </c>
      <c r="DD218">
        <v>14765844</v>
      </c>
      <c r="DE218" t="s">
        <v>123</v>
      </c>
    </row>
    <row r="219" spans="1:109" x14ac:dyDescent="0.3">
      <c r="A219" t="str">
        <f>"18:38:04.578"</f>
        <v>18:38:04.578</v>
      </c>
      <c r="B219" t="s">
        <v>110</v>
      </c>
      <c r="C219" t="str">
        <f t="shared" si="9"/>
        <v>ffdfd3c0</v>
      </c>
      <c r="D219" t="s">
        <v>111</v>
      </c>
      <c r="E219">
        <v>18</v>
      </c>
      <c r="F219">
        <v>1018</v>
      </c>
      <c r="G219" t="s">
        <v>112</v>
      </c>
      <c r="J219" t="s">
        <v>113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R219" t="s">
        <v>114</v>
      </c>
      <c r="S219" t="str">
        <f>"18:38:04.328"</f>
        <v>18:38:04.328</v>
      </c>
      <c r="T219" t="str">
        <f>"18:38:04.227"</f>
        <v>18:38:04.227</v>
      </c>
      <c r="U219" t="str">
        <f t="shared" si="10"/>
        <v>a1cdbe</v>
      </c>
      <c r="V219">
        <v>0</v>
      </c>
      <c r="W219">
        <v>0</v>
      </c>
      <c r="X219">
        <v>1</v>
      </c>
      <c r="Y219">
        <v>0</v>
      </c>
      <c r="Z219">
        <v>0</v>
      </c>
      <c r="AB219">
        <v>0</v>
      </c>
      <c r="AC219">
        <v>9</v>
      </c>
      <c r="AD219">
        <v>3</v>
      </c>
      <c r="AE219">
        <v>0</v>
      </c>
      <c r="AF219">
        <v>9</v>
      </c>
      <c r="AG219" t="s">
        <v>158</v>
      </c>
      <c r="AH219">
        <v>0</v>
      </c>
      <c r="AI219">
        <v>3</v>
      </c>
      <c r="AJ219">
        <v>1</v>
      </c>
      <c r="AK219">
        <v>0</v>
      </c>
      <c r="AL219" t="s">
        <v>520</v>
      </c>
      <c r="AM219">
        <v>47.058112999999999</v>
      </c>
      <c r="AN219" t="s">
        <v>200</v>
      </c>
      <c r="AO219">
        <v>-122.283669</v>
      </c>
      <c r="AP219">
        <v>100</v>
      </c>
      <c r="AQ219">
        <v>2100</v>
      </c>
      <c r="AR219" t="s">
        <v>118</v>
      </c>
      <c r="AS219">
        <v>-20</v>
      </c>
      <c r="AT219">
        <v>-78</v>
      </c>
      <c r="AU219">
        <v>-64</v>
      </c>
      <c r="BC219">
        <v>1200</v>
      </c>
      <c r="BD219">
        <v>1</v>
      </c>
      <c r="BE219" t="str">
        <f t="shared" si="11"/>
        <v xml:space="preserve">N215T   </v>
      </c>
      <c r="BF219">
        <v>1</v>
      </c>
      <c r="BH219">
        <v>0</v>
      </c>
      <c r="BI219">
        <v>0</v>
      </c>
      <c r="BJ219">
        <v>0</v>
      </c>
      <c r="BK219">
        <v>2450</v>
      </c>
      <c r="BL219">
        <v>350</v>
      </c>
      <c r="BM219" t="s">
        <v>119</v>
      </c>
      <c r="BN219">
        <v>1</v>
      </c>
      <c r="BO219">
        <v>1</v>
      </c>
      <c r="BP219">
        <v>1</v>
      </c>
      <c r="BQ219">
        <v>0</v>
      </c>
      <c r="BT219">
        <v>0</v>
      </c>
      <c r="BU219">
        <v>0</v>
      </c>
      <c r="BV219">
        <v>0</v>
      </c>
      <c r="CC219" t="str">
        <f>"18:38:04.328"</f>
        <v>18:38:04.328</v>
      </c>
      <c r="CD219" t="str">
        <f>"328624054"</f>
        <v>328624054</v>
      </c>
      <c r="CQ219">
        <v>0</v>
      </c>
      <c r="CR219">
        <v>2</v>
      </c>
      <c r="CS219">
        <v>0</v>
      </c>
      <c r="CT219">
        <v>2</v>
      </c>
      <c r="CU219">
        <v>0</v>
      </c>
      <c r="CV219">
        <v>5</v>
      </c>
      <c r="CW219" t="s">
        <v>120</v>
      </c>
      <c r="CX219">
        <v>259</v>
      </c>
      <c r="CY219">
        <v>1</v>
      </c>
      <c r="CZ219" t="s">
        <v>197</v>
      </c>
      <c r="DA219" t="s">
        <v>198</v>
      </c>
      <c r="DD219">
        <v>14766535</v>
      </c>
      <c r="DE219" t="s">
        <v>123</v>
      </c>
    </row>
    <row r="220" spans="1:109" x14ac:dyDescent="0.3">
      <c r="A220" t="str">
        <f>"18:38:05.586"</f>
        <v>18:38:05.586</v>
      </c>
      <c r="B220" t="s">
        <v>110</v>
      </c>
      <c r="C220" t="str">
        <f t="shared" si="9"/>
        <v>ffdfd3c0</v>
      </c>
      <c r="D220" t="s">
        <v>111</v>
      </c>
      <c r="E220">
        <v>18</v>
      </c>
      <c r="F220">
        <v>1018</v>
      </c>
      <c r="G220" t="s">
        <v>112</v>
      </c>
      <c r="J220" t="s">
        <v>113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R220" t="s">
        <v>114</v>
      </c>
      <c r="S220" t="str">
        <f>"18:38:05.359"</f>
        <v>18:38:05.359</v>
      </c>
      <c r="T220" t="str">
        <f>"18:38:05.156"</f>
        <v>18:38:05.156</v>
      </c>
      <c r="U220" t="str">
        <f t="shared" si="10"/>
        <v>a1cdbe</v>
      </c>
      <c r="V220">
        <v>0</v>
      </c>
      <c r="W220">
        <v>0</v>
      </c>
      <c r="X220">
        <v>1</v>
      </c>
      <c r="Y220">
        <v>0</v>
      </c>
      <c r="Z220">
        <v>0</v>
      </c>
      <c r="AB220">
        <v>0</v>
      </c>
      <c r="AC220">
        <v>9</v>
      </c>
      <c r="AD220">
        <v>3</v>
      </c>
      <c r="AE220">
        <v>0</v>
      </c>
      <c r="AF220">
        <v>9</v>
      </c>
      <c r="AG220" t="s">
        <v>158</v>
      </c>
      <c r="AH220">
        <v>0</v>
      </c>
      <c r="AI220">
        <v>3</v>
      </c>
      <c r="AJ220">
        <v>1</v>
      </c>
      <c r="AK220">
        <v>0</v>
      </c>
      <c r="AL220" t="s">
        <v>521</v>
      </c>
      <c r="AM220">
        <v>47.057747999999997</v>
      </c>
      <c r="AN220" t="s">
        <v>522</v>
      </c>
      <c r="AO220">
        <v>-122.28381899999999</v>
      </c>
      <c r="AP220">
        <v>100</v>
      </c>
      <c r="AQ220">
        <v>2100</v>
      </c>
      <c r="AR220" t="s">
        <v>118</v>
      </c>
      <c r="AS220">
        <v>-20</v>
      </c>
      <c r="AT220">
        <v>-78</v>
      </c>
      <c r="AU220">
        <v>-128</v>
      </c>
      <c r="BC220">
        <v>1200</v>
      </c>
      <c r="BD220">
        <v>1</v>
      </c>
      <c r="BE220" t="str">
        <f t="shared" si="11"/>
        <v xml:space="preserve">N215T   </v>
      </c>
      <c r="BF220">
        <v>1</v>
      </c>
      <c r="BH220">
        <v>0</v>
      </c>
      <c r="BI220">
        <v>0</v>
      </c>
      <c r="BJ220">
        <v>0</v>
      </c>
      <c r="BK220">
        <v>2450</v>
      </c>
      <c r="BL220">
        <v>350</v>
      </c>
      <c r="BM220" t="s">
        <v>119</v>
      </c>
      <c r="BN220">
        <v>1</v>
      </c>
      <c r="BO220">
        <v>1</v>
      </c>
      <c r="BP220">
        <v>1</v>
      </c>
      <c r="BQ220">
        <v>0</v>
      </c>
      <c r="BT220">
        <v>0</v>
      </c>
      <c r="BU220">
        <v>0</v>
      </c>
      <c r="BV220">
        <v>0</v>
      </c>
      <c r="CC220" t="str">
        <f>"18:38:05.367"</f>
        <v>18:38:05.367</v>
      </c>
      <c r="CD220" t="str">
        <f>"363522316"</f>
        <v>363522316</v>
      </c>
      <c r="CQ220">
        <v>0</v>
      </c>
      <c r="CR220">
        <v>2</v>
      </c>
      <c r="CS220">
        <v>0</v>
      </c>
      <c r="CT220">
        <v>2</v>
      </c>
      <c r="CU220">
        <v>0</v>
      </c>
      <c r="CV220">
        <v>5</v>
      </c>
      <c r="CW220" t="s">
        <v>120</v>
      </c>
      <c r="CX220">
        <v>259</v>
      </c>
      <c r="CY220">
        <v>1</v>
      </c>
      <c r="CZ220" t="s">
        <v>197</v>
      </c>
      <c r="DA220" t="s">
        <v>198</v>
      </c>
      <c r="DD220">
        <v>14767263</v>
      </c>
      <c r="DE220" t="s">
        <v>123</v>
      </c>
    </row>
    <row r="221" spans="1:109" x14ac:dyDescent="0.3">
      <c r="A221" t="str">
        <f>"18:38:06.438"</f>
        <v>18:38:06.438</v>
      </c>
      <c r="B221" t="s">
        <v>110</v>
      </c>
      <c r="C221" t="str">
        <f t="shared" si="9"/>
        <v>ffdfd3c0</v>
      </c>
      <c r="D221" t="s">
        <v>111</v>
      </c>
      <c r="E221">
        <v>18</v>
      </c>
      <c r="F221">
        <v>1018</v>
      </c>
      <c r="G221" t="s">
        <v>112</v>
      </c>
      <c r="J221" t="s">
        <v>113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R221" t="s">
        <v>114</v>
      </c>
      <c r="S221" t="str">
        <f>"18:38:06.203"</f>
        <v>18:38:06.203</v>
      </c>
      <c r="T221" t="str">
        <f>"18:38:06.203"</f>
        <v>18:38:06.203</v>
      </c>
      <c r="U221" t="str">
        <f t="shared" si="10"/>
        <v>a1cdbe</v>
      </c>
      <c r="V221">
        <v>0</v>
      </c>
      <c r="W221">
        <v>0</v>
      </c>
      <c r="X221">
        <v>1</v>
      </c>
      <c r="Y221">
        <v>0</v>
      </c>
      <c r="Z221">
        <v>0</v>
      </c>
      <c r="AB221">
        <v>0</v>
      </c>
      <c r="AC221">
        <v>9</v>
      </c>
      <c r="AD221">
        <v>3</v>
      </c>
      <c r="AE221">
        <v>0</v>
      </c>
      <c r="AF221">
        <v>9</v>
      </c>
      <c r="AG221" t="s">
        <v>158</v>
      </c>
      <c r="AH221">
        <v>0</v>
      </c>
      <c r="AI221">
        <v>3</v>
      </c>
      <c r="AJ221">
        <v>1</v>
      </c>
      <c r="AK221">
        <v>0</v>
      </c>
      <c r="AL221" t="s">
        <v>523</v>
      </c>
      <c r="AM221">
        <v>47.057426</v>
      </c>
      <c r="AN221" t="s">
        <v>524</v>
      </c>
      <c r="AO221">
        <v>-122.283969</v>
      </c>
      <c r="AP221">
        <v>100</v>
      </c>
      <c r="AQ221">
        <v>2100</v>
      </c>
      <c r="AR221" t="s">
        <v>118</v>
      </c>
      <c r="AS221">
        <v>-20</v>
      </c>
      <c r="AT221">
        <v>-78</v>
      </c>
      <c r="AU221">
        <v>0</v>
      </c>
      <c r="BC221">
        <v>1200</v>
      </c>
      <c r="BD221">
        <v>1</v>
      </c>
      <c r="BE221" t="str">
        <f t="shared" si="11"/>
        <v xml:space="preserve">N215T   </v>
      </c>
      <c r="BF221">
        <v>1</v>
      </c>
      <c r="BH221">
        <v>0</v>
      </c>
      <c r="BI221">
        <v>0</v>
      </c>
      <c r="BJ221">
        <v>0</v>
      </c>
      <c r="BK221">
        <v>2450</v>
      </c>
      <c r="BL221">
        <v>350</v>
      </c>
      <c r="BM221" t="s">
        <v>119</v>
      </c>
      <c r="BN221">
        <v>1</v>
      </c>
      <c r="BO221">
        <v>1</v>
      </c>
      <c r="BP221">
        <v>1</v>
      </c>
      <c r="BQ221">
        <v>0</v>
      </c>
      <c r="BT221">
        <v>0</v>
      </c>
      <c r="BU221">
        <v>0</v>
      </c>
      <c r="BV221">
        <v>0</v>
      </c>
      <c r="CC221" t="str">
        <f>"18:38:06.203"</f>
        <v>18:38:06.203</v>
      </c>
      <c r="CD221" t="str">
        <f>"203439749"</f>
        <v>203439749</v>
      </c>
      <c r="CQ221">
        <v>0</v>
      </c>
      <c r="CR221">
        <v>2</v>
      </c>
      <c r="CS221">
        <v>0</v>
      </c>
      <c r="CT221">
        <v>2</v>
      </c>
      <c r="CU221">
        <v>0</v>
      </c>
      <c r="CV221">
        <v>5</v>
      </c>
      <c r="CW221" t="s">
        <v>120</v>
      </c>
      <c r="CX221">
        <v>259</v>
      </c>
      <c r="CY221">
        <v>1</v>
      </c>
      <c r="CZ221" t="s">
        <v>197</v>
      </c>
      <c r="DA221" t="s">
        <v>198</v>
      </c>
      <c r="DD221">
        <v>14767800</v>
      </c>
      <c r="DE221" t="s">
        <v>123</v>
      </c>
    </row>
    <row r="222" spans="1:109" x14ac:dyDescent="0.3">
      <c r="A222" t="str">
        <f>"18:38:07.547"</f>
        <v>18:38:07.547</v>
      </c>
      <c r="B222" t="s">
        <v>110</v>
      </c>
      <c r="C222" t="str">
        <f t="shared" si="9"/>
        <v>ffdfd3c0</v>
      </c>
      <c r="D222" t="s">
        <v>111</v>
      </c>
      <c r="E222">
        <v>18</v>
      </c>
      <c r="F222">
        <v>1018</v>
      </c>
      <c r="G222" t="s">
        <v>112</v>
      </c>
      <c r="J222" t="s">
        <v>113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R222" t="s">
        <v>114</v>
      </c>
      <c r="S222" t="str">
        <f>"18:38:07.313"</f>
        <v>18:38:07.313</v>
      </c>
      <c r="T222" t="str">
        <f>"18:38:06.813"</f>
        <v>18:38:06.813</v>
      </c>
      <c r="U222" t="str">
        <f t="shared" si="10"/>
        <v>a1cdbe</v>
      </c>
      <c r="V222">
        <v>0</v>
      </c>
      <c r="W222">
        <v>0</v>
      </c>
      <c r="X222">
        <v>1</v>
      </c>
      <c r="Y222">
        <v>0</v>
      </c>
      <c r="Z222">
        <v>0</v>
      </c>
      <c r="AB222">
        <v>0</v>
      </c>
      <c r="AC222">
        <v>9</v>
      </c>
      <c r="AD222">
        <v>3</v>
      </c>
      <c r="AE222">
        <v>0</v>
      </c>
      <c r="AF222">
        <v>9</v>
      </c>
      <c r="AG222" t="s">
        <v>158</v>
      </c>
      <c r="AH222">
        <v>0</v>
      </c>
      <c r="AI222">
        <v>3</v>
      </c>
      <c r="AJ222">
        <v>1</v>
      </c>
      <c r="AK222">
        <v>0</v>
      </c>
      <c r="AL222" t="s">
        <v>525</v>
      </c>
      <c r="AM222">
        <v>47.057060999999997</v>
      </c>
      <c r="AN222" t="s">
        <v>526</v>
      </c>
      <c r="AO222">
        <v>-122.284076</v>
      </c>
      <c r="AP222">
        <v>100</v>
      </c>
      <c r="AQ222">
        <v>2100</v>
      </c>
      <c r="AR222" t="s">
        <v>118</v>
      </c>
      <c r="AS222">
        <v>-19</v>
      </c>
      <c r="AT222">
        <v>-78</v>
      </c>
      <c r="AU222">
        <v>-64</v>
      </c>
      <c r="BC222">
        <v>1200</v>
      </c>
      <c r="BD222">
        <v>1</v>
      </c>
      <c r="BE222" t="str">
        <f t="shared" si="11"/>
        <v xml:space="preserve">N215T   </v>
      </c>
      <c r="BF222">
        <v>1</v>
      </c>
      <c r="BH222">
        <v>0</v>
      </c>
      <c r="BI222">
        <v>0</v>
      </c>
      <c r="BJ222">
        <v>0</v>
      </c>
      <c r="BK222">
        <v>2450</v>
      </c>
      <c r="BL222">
        <v>350</v>
      </c>
      <c r="BM222" t="s">
        <v>119</v>
      </c>
      <c r="BN222">
        <v>1</v>
      </c>
      <c r="BO222">
        <v>1</v>
      </c>
      <c r="BP222">
        <v>1</v>
      </c>
      <c r="BQ222">
        <v>0</v>
      </c>
      <c r="BT222">
        <v>0</v>
      </c>
      <c r="BU222">
        <v>0</v>
      </c>
      <c r="BV222">
        <v>0</v>
      </c>
      <c r="CC222" t="str">
        <f>"18:38:07.313"</f>
        <v>18:38:07.313</v>
      </c>
      <c r="CD222" t="str">
        <f>"313330640"</f>
        <v>313330640</v>
      </c>
      <c r="CQ222">
        <v>0</v>
      </c>
      <c r="CR222">
        <v>2</v>
      </c>
      <c r="CS222">
        <v>0</v>
      </c>
      <c r="CT222">
        <v>2</v>
      </c>
      <c r="CU222">
        <v>0</v>
      </c>
      <c r="CV222">
        <v>5</v>
      </c>
      <c r="CW222" t="s">
        <v>120</v>
      </c>
      <c r="CX222">
        <v>259</v>
      </c>
      <c r="CY222">
        <v>1</v>
      </c>
      <c r="CZ222" t="s">
        <v>197</v>
      </c>
      <c r="DA222" t="s">
        <v>198</v>
      </c>
      <c r="DD222">
        <v>14768521</v>
      </c>
      <c r="DE222" t="s">
        <v>123</v>
      </c>
    </row>
    <row r="223" spans="1:109" x14ac:dyDescent="0.3">
      <c r="A223" t="str">
        <f>"18:38:08.555"</f>
        <v>18:38:08.555</v>
      </c>
      <c r="B223" t="s">
        <v>110</v>
      </c>
      <c r="C223" t="str">
        <f t="shared" si="9"/>
        <v>ffdfd3c0</v>
      </c>
      <c r="D223" t="s">
        <v>111</v>
      </c>
      <c r="E223">
        <v>18</v>
      </c>
      <c r="F223">
        <v>1018</v>
      </c>
      <c r="G223" t="s">
        <v>112</v>
      </c>
      <c r="J223" t="s">
        <v>113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R223" t="s">
        <v>114</v>
      </c>
      <c r="S223" t="str">
        <f>"18:38:08.344"</f>
        <v>18:38:08.344</v>
      </c>
      <c r="T223" t="str">
        <f>"18:38:07.844"</f>
        <v>18:38:07.844</v>
      </c>
      <c r="U223" t="str">
        <f t="shared" si="10"/>
        <v>a1cdbe</v>
      </c>
      <c r="V223">
        <v>0</v>
      </c>
      <c r="W223">
        <v>0</v>
      </c>
      <c r="X223">
        <v>1</v>
      </c>
      <c r="Y223">
        <v>0</v>
      </c>
      <c r="Z223">
        <v>0</v>
      </c>
      <c r="AB223">
        <v>0</v>
      </c>
      <c r="AC223">
        <v>9</v>
      </c>
      <c r="AD223">
        <v>3</v>
      </c>
      <c r="AE223">
        <v>0</v>
      </c>
      <c r="AF223">
        <v>9</v>
      </c>
      <c r="AG223" t="s">
        <v>158</v>
      </c>
      <c r="AH223">
        <v>0</v>
      </c>
      <c r="AI223">
        <v>3</v>
      </c>
      <c r="AJ223">
        <v>1</v>
      </c>
      <c r="AK223">
        <v>0</v>
      </c>
      <c r="AL223" t="s">
        <v>527</v>
      </c>
      <c r="AM223">
        <v>47.056696000000002</v>
      </c>
      <c r="AN223" t="s">
        <v>528</v>
      </c>
      <c r="AO223">
        <v>-122.284226</v>
      </c>
      <c r="AP223">
        <v>100</v>
      </c>
      <c r="AQ223">
        <v>2100</v>
      </c>
      <c r="AR223" t="s">
        <v>118</v>
      </c>
      <c r="AS223">
        <v>-18</v>
      </c>
      <c r="AT223">
        <v>-78</v>
      </c>
      <c r="AU223">
        <v>-128</v>
      </c>
      <c r="BC223">
        <v>1200</v>
      </c>
      <c r="BD223">
        <v>1</v>
      </c>
      <c r="BE223" t="str">
        <f t="shared" si="11"/>
        <v xml:space="preserve">N215T   </v>
      </c>
      <c r="BF223">
        <v>1</v>
      </c>
      <c r="BH223">
        <v>0</v>
      </c>
      <c r="BI223">
        <v>0</v>
      </c>
      <c r="BJ223">
        <v>0</v>
      </c>
      <c r="BK223">
        <v>2425</v>
      </c>
      <c r="BL223">
        <v>325</v>
      </c>
      <c r="BM223" t="s">
        <v>119</v>
      </c>
      <c r="BN223">
        <v>1</v>
      </c>
      <c r="BO223">
        <v>1</v>
      </c>
      <c r="BP223">
        <v>1</v>
      </c>
      <c r="BQ223">
        <v>0</v>
      </c>
      <c r="BT223">
        <v>0</v>
      </c>
      <c r="BU223">
        <v>0</v>
      </c>
      <c r="BV223">
        <v>0</v>
      </c>
      <c r="CC223" t="str">
        <f>"18:38:08.352"</f>
        <v>18:38:08.352</v>
      </c>
      <c r="CD223" t="str">
        <f>"348119129"</f>
        <v>348119129</v>
      </c>
      <c r="CQ223">
        <v>0</v>
      </c>
      <c r="CR223">
        <v>2</v>
      </c>
      <c r="CS223">
        <v>0</v>
      </c>
      <c r="CT223">
        <v>2</v>
      </c>
      <c r="CU223">
        <v>0</v>
      </c>
      <c r="CV223">
        <v>5</v>
      </c>
      <c r="CW223" t="s">
        <v>120</v>
      </c>
      <c r="CX223">
        <v>261</v>
      </c>
      <c r="CY223">
        <v>1</v>
      </c>
      <c r="CZ223" t="s">
        <v>121</v>
      </c>
      <c r="DA223" t="s">
        <v>122</v>
      </c>
      <c r="DD223">
        <v>3223293</v>
      </c>
      <c r="DE223" t="s">
        <v>123</v>
      </c>
    </row>
    <row r="224" spans="1:109" x14ac:dyDescent="0.3">
      <c r="A224" t="str">
        <f>"18:38:09.609"</f>
        <v>18:38:09.609</v>
      </c>
      <c r="B224" t="s">
        <v>110</v>
      </c>
      <c r="C224" t="str">
        <f t="shared" si="9"/>
        <v>ffdfd3c0</v>
      </c>
      <c r="D224" t="s">
        <v>111</v>
      </c>
      <c r="E224">
        <v>18</v>
      </c>
      <c r="F224">
        <v>1018</v>
      </c>
      <c r="G224" t="s">
        <v>112</v>
      </c>
      <c r="J224" t="s">
        <v>113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R224" t="s">
        <v>114</v>
      </c>
      <c r="S224" t="str">
        <f>"18:38:09.383"</f>
        <v>18:38:09.383</v>
      </c>
      <c r="T224" t="str">
        <f>"18:38:09.281"</f>
        <v>18:38:09.281</v>
      </c>
      <c r="U224" t="str">
        <f t="shared" si="10"/>
        <v>a1cdbe</v>
      </c>
      <c r="V224">
        <v>0</v>
      </c>
      <c r="W224">
        <v>0</v>
      </c>
      <c r="X224">
        <v>1</v>
      </c>
      <c r="Y224">
        <v>0</v>
      </c>
      <c r="Z224">
        <v>0</v>
      </c>
      <c r="AB224">
        <v>0</v>
      </c>
      <c r="AC224">
        <v>9</v>
      </c>
      <c r="AD224">
        <v>3</v>
      </c>
      <c r="AE224">
        <v>0</v>
      </c>
      <c r="AF224">
        <v>9</v>
      </c>
      <c r="AG224" t="s">
        <v>158</v>
      </c>
      <c r="AH224">
        <v>0</v>
      </c>
      <c r="AI224">
        <v>3</v>
      </c>
      <c r="AJ224">
        <v>1</v>
      </c>
      <c r="AK224">
        <v>0</v>
      </c>
      <c r="AL224" t="s">
        <v>529</v>
      </c>
      <c r="AM224">
        <v>47.056310000000003</v>
      </c>
      <c r="AN224" t="s">
        <v>530</v>
      </c>
      <c r="AO224">
        <v>-122.284312</v>
      </c>
      <c r="AP224">
        <v>100</v>
      </c>
      <c r="AQ224">
        <v>2100</v>
      </c>
      <c r="AR224" t="s">
        <v>118</v>
      </c>
      <c r="AS224">
        <v>-17</v>
      </c>
      <c r="AT224">
        <v>-78</v>
      </c>
      <c r="AU224">
        <v>128</v>
      </c>
      <c r="BC224">
        <v>1200</v>
      </c>
      <c r="BD224">
        <v>1</v>
      </c>
      <c r="BE224" t="str">
        <f t="shared" si="11"/>
        <v xml:space="preserve">N215T   </v>
      </c>
      <c r="BF224">
        <v>1</v>
      </c>
      <c r="BH224">
        <v>0</v>
      </c>
      <c r="BI224">
        <v>0</v>
      </c>
      <c r="BJ224">
        <v>0</v>
      </c>
      <c r="BK224">
        <v>2425</v>
      </c>
      <c r="BL224">
        <v>325</v>
      </c>
      <c r="BM224" t="s">
        <v>119</v>
      </c>
      <c r="BN224">
        <v>1</v>
      </c>
      <c r="BO224">
        <v>1</v>
      </c>
      <c r="BP224">
        <v>1</v>
      </c>
      <c r="BQ224">
        <v>0</v>
      </c>
      <c r="BT224">
        <v>0</v>
      </c>
      <c r="BU224">
        <v>0</v>
      </c>
      <c r="BV224">
        <v>0</v>
      </c>
      <c r="CC224" t="str">
        <f>"18:38:09.383"</f>
        <v>18:38:09.383</v>
      </c>
      <c r="CD224" t="str">
        <f>"383017345"</f>
        <v>383017345</v>
      </c>
      <c r="CQ224">
        <v>0</v>
      </c>
      <c r="CR224">
        <v>2</v>
      </c>
      <c r="CS224">
        <v>0</v>
      </c>
      <c r="CT224">
        <v>2</v>
      </c>
      <c r="CU224">
        <v>0</v>
      </c>
      <c r="CV224">
        <v>5</v>
      </c>
      <c r="CW224" t="s">
        <v>120</v>
      </c>
      <c r="CX224">
        <v>261</v>
      </c>
      <c r="CY224">
        <v>1</v>
      </c>
      <c r="CZ224" t="s">
        <v>121</v>
      </c>
      <c r="DA224" t="s">
        <v>122</v>
      </c>
      <c r="DD224">
        <v>3223944</v>
      </c>
      <c r="DE224" t="s">
        <v>123</v>
      </c>
    </row>
    <row r="225" spans="1:109" x14ac:dyDescent="0.3">
      <c r="A225" t="str">
        <f>"18:38:10.563"</f>
        <v>18:38:10.563</v>
      </c>
      <c r="B225" t="s">
        <v>110</v>
      </c>
      <c r="C225" t="str">
        <f t="shared" si="9"/>
        <v>ffdfd3c0</v>
      </c>
      <c r="D225" t="s">
        <v>111</v>
      </c>
      <c r="E225">
        <v>18</v>
      </c>
      <c r="F225">
        <v>1018</v>
      </c>
      <c r="G225" t="s">
        <v>112</v>
      </c>
      <c r="J225" t="s">
        <v>113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R225" t="s">
        <v>114</v>
      </c>
      <c r="S225" t="str">
        <f>"18:38:10.352"</f>
        <v>18:38:10.352</v>
      </c>
      <c r="T225" t="str">
        <f>"18:38:09.852"</f>
        <v>18:38:09.852</v>
      </c>
      <c r="U225" t="str">
        <f t="shared" si="10"/>
        <v>a1cdbe</v>
      </c>
      <c r="V225">
        <v>0</v>
      </c>
      <c r="W225">
        <v>0</v>
      </c>
      <c r="X225">
        <v>1</v>
      </c>
      <c r="Y225">
        <v>0</v>
      </c>
      <c r="Z225">
        <v>0</v>
      </c>
      <c r="AB225">
        <v>0</v>
      </c>
      <c r="AC225">
        <v>9</v>
      </c>
      <c r="AD225">
        <v>3</v>
      </c>
      <c r="AE225">
        <v>0</v>
      </c>
      <c r="AF225">
        <v>9</v>
      </c>
      <c r="AG225" t="s">
        <v>158</v>
      </c>
      <c r="AH225">
        <v>0</v>
      </c>
      <c r="AI225">
        <v>3</v>
      </c>
      <c r="AJ225">
        <v>1</v>
      </c>
      <c r="AK225">
        <v>0</v>
      </c>
      <c r="AL225" t="s">
        <v>531</v>
      </c>
      <c r="AM225">
        <v>47.055945000000001</v>
      </c>
      <c r="AN225" t="s">
        <v>532</v>
      </c>
      <c r="AO225">
        <v>-122.28442</v>
      </c>
      <c r="AP225">
        <v>100</v>
      </c>
      <c r="AQ225">
        <v>2100</v>
      </c>
      <c r="AR225" t="s">
        <v>118</v>
      </c>
      <c r="AS225">
        <v>-16</v>
      </c>
      <c r="AT225">
        <v>-78</v>
      </c>
      <c r="AU225">
        <v>64</v>
      </c>
      <c r="BC225">
        <v>1200</v>
      </c>
      <c r="BD225">
        <v>1</v>
      </c>
      <c r="BE225" t="str">
        <f t="shared" si="11"/>
        <v xml:space="preserve">N215T   </v>
      </c>
      <c r="BF225">
        <v>1</v>
      </c>
      <c r="BH225">
        <v>0</v>
      </c>
      <c r="BI225">
        <v>0</v>
      </c>
      <c r="BJ225">
        <v>0</v>
      </c>
      <c r="BK225">
        <v>2425</v>
      </c>
      <c r="BL225">
        <v>325</v>
      </c>
      <c r="BM225" t="s">
        <v>119</v>
      </c>
      <c r="BN225">
        <v>1</v>
      </c>
      <c r="BO225">
        <v>1</v>
      </c>
      <c r="BP225">
        <v>1</v>
      </c>
      <c r="BQ225">
        <v>0</v>
      </c>
      <c r="BT225">
        <v>0</v>
      </c>
      <c r="BU225">
        <v>0</v>
      </c>
      <c r="BV225">
        <v>0</v>
      </c>
      <c r="CC225" t="str">
        <f>"18:38:10.359"</f>
        <v>18:38:10.359</v>
      </c>
      <c r="CD225" t="str">
        <f>"358031325"</f>
        <v>358031325</v>
      </c>
      <c r="CQ225">
        <v>0</v>
      </c>
      <c r="CR225">
        <v>2</v>
      </c>
      <c r="CS225">
        <v>0</v>
      </c>
      <c r="CT225">
        <v>2</v>
      </c>
      <c r="CU225">
        <v>0</v>
      </c>
      <c r="CV225">
        <v>5</v>
      </c>
      <c r="CW225" t="s">
        <v>120</v>
      </c>
      <c r="CX225">
        <v>259</v>
      </c>
      <c r="CY225">
        <v>1</v>
      </c>
      <c r="CZ225" t="s">
        <v>197</v>
      </c>
      <c r="DA225" t="s">
        <v>198</v>
      </c>
      <c r="DD225">
        <v>14770499</v>
      </c>
      <c r="DE225" t="s">
        <v>123</v>
      </c>
    </row>
    <row r="226" spans="1:109" x14ac:dyDescent="0.3">
      <c r="A226" t="str">
        <f>"18:38:11.617"</f>
        <v>18:38:11.617</v>
      </c>
      <c r="B226" t="s">
        <v>110</v>
      </c>
      <c r="C226" t="str">
        <f t="shared" si="9"/>
        <v>ffdfd3c0</v>
      </c>
      <c r="D226" t="s">
        <v>111</v>
      </c>
      <c r="E226">
        <v>18</v>
      </c>
      <c r="F226">
        <v>1018</v>
      </c>
      <c r="G226" t="s">
        <v>112</v>
      </c>
      <c r="J226" t="s">
        <v>113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R226" t="s">
        <v>114</v>
      </c>
      <c r="S226" t="str">
        <f>"18:38:11.406"</f>
        <v>18:38:11.406</v>
      </c>
      <c r="T226" t="str">
        <f>"18:38:11.406"</f>
        <v>18:38:11.406</v>
      </c>
      <c r="U226" t="str">
        <f t="shared" si="10"/>
        <v>a1cdbe</v>
      </c>
      <c r="V226">
        <v>0</v>
      </c>
      <c r="W226">
        <v>0</v>
      </c>
      <c r="X226">
        <v>1</v>
      </c>
      <c r="Y226">
        <v>0</v>
      </c>
      <c r="Z226">
        <v>0</v>
      </c>
      <c r="AB226">
        <v>0</v>
      </c>
      <c r="AC226">
        <v>9</v>
      </c>
      <c r="AD226">
        <v>3</v>
      </c>
      <c r="AE226">
        <v>0</v>
      </c>
      <c r="AF226">
        <v>9</v>
      </c>
      <c r="AG226" t="s">
        <v>158</v>
      </c>
      <c r="AH226">
        <v>0</v>
      </c>
      <c r="AI226">
        <v>3</v>
      </c>
      <c r="AJ226">
        <v>1</v>
      </c>
      <c r="AK226">
        <v>0</v>
      </c>
      <c r="AL226" t="s">
        <v>533</v>
      </c>
      <c r="AM226">
        <v>47.055559000000002</v>
      </c>
      <c r="AN226" t="s">
        <v>194</v>
      </c>
      <c r="AO226">
        <v>-122.284527</v>
      </c>
      <c r="AP226">
        <v>100</v>
      </c>
      <c r="AQ226">
        <v>2100</v>
      </c>
      <c r="AR226" t="s">
        <v>118</v>
      </c>
      <c r="AS226">
        <v>-15</v>
      </c>
      <c r="AT226">
        <v>-78</v>
      </c>
      <c r="AU226">
        <v>128</v>
      </c>
      <c r="BC226">
        <v>1200</v>
      </c>
      <c r="BD226">
        <v>1</v>
      </c>
      <c r="BE226" t="str">
        <f t="shared" si="11"/>
        <v xml:space="preserve">N215T   </v>
      </c>
      <c r="BF226">
        <v>1</v>
      </c>
      <c r="BH226">
        <v>0</v>
      </c>
      <c r="BI226">
        <v>0</v>
      </c>
      <c r="BJ226">
        <v>0</v>
      </c>
      <c r="BK226">
        <v>2450</v>
      </c>
      <c r="BL226">
        <v>350</v>
      </c>
      <c r="BM226" t="s">
        <v>119</v>
      </c>
      <c r="BN226">
        <v>1</v>
      </c>
      <c r="BO226">
        <v>1</v>
      </c>
      <c r="BP226">
        <v>1</v>
      </c>
      <c r="BQ226">
        <v>0</v>
      </c>
      <c r="BT226">
        <v>0</v>
      </c>
      <c r="BU226">
        <v>0</v>
      </c>
      <c r="BV226">
        <v>0</v>
      </c>
      <c r="CC226" t="str">
        <f>"18:38:11.406"</f>
        <v>18:38:11.406</v>
      </c>
      <c r="CD226" t="str">
        <f>"407928121"</f>
        <v>407928121</v>
      </c>
      <c r="CQ226">
        <v>0</v>
      </c>
      <c r="CR226">
        <v>2</v>
      </c>
      <c r="CS226">
        <v>0</v>
      </c>
      <c r="CT226">
        <v>2</v>
      </c>
      <c r="CU226">
        <v>0</v>
      </c>
      <c r="CV226">
        <v>4</v>
      </c>
      <c r="CW226" t="s">
        <v>120</v>
      </c>
      <c r="CX226">
        <v>259</v>
      </c>
      <c r="CY226">
        <v>1</v>
      </c>
      <c r="CZ226" t="s">
        <v>197</v>
      </c>
      <c r="DA226" t="s">
        <v>198</v>
      </c>
      <c r="DD226">
        <v>14771215</v>
      </c>
      <c r="DE226" t="s">
        <v>123</v>
      </c>
    </row>
    <row r="227" spans="1:109" x14ac:dyDescent="0.3">
      <c r="A227" t="str">
        <f>"18:38:12.625"</f>
        <v>18:38:12.625</v>
      </c>
      <c r="B227" t="s">
        <v>110</v>
      </c>
      <c r="C227" t="str">
        <f t="shared" si="9"/>
        <v>ffdfd3c0</v>
      </c>
      <c r="D227" t="s">
        <v>111</v>
      </c>
      <c r="E227">
        <v>18</v>
      </c>
      <c r="F227">
        <v>1018</v>
      </c>
      <c r="G227" t="s">
        <v>112</v>
      </c>
      <c r="J227" t="s">
        <v>113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R227" t="s">
        <v>114</v>
      </c>
      <c r="S227" t="str">
        <f>"18:38:12.406"</f>
        <v>18:38:12.406</v>
      </c>
      <c r="T227" t="str">
        <f>"18:38:12.305"</f>
        <v>18:38:12.305</v>
      </c>
      <c r="U227" t="str">
        <f t="shared" si="10"/>
        <v>a1cdbe</v>
      </c>
      <c r="V227">
        <v>0</v>
      </c>
      <c r="W227">
        <v>0</v>
      </c>
      <c r="X227">
        <v>1</v>
      </c>
      <c r="Y227">
        <v>0</v>
      </c>
      <c r="Z227">
        <v>0</v>
      </c>
      <c r="AB227">
        <v>0</v>
      </c>
      <c r="AC227">
        <v>9</v>
      </c>
      <c r="AD227">
        <v>3</v>
      </c>
      <c r="AE227">
        <v>0</v>
      </c>
      <c r="AF227">
        <v>9</v>
      </c>
      <c r="AG227" t="s">
        <v>158</v>
      </c>
      <c r="AH227">
        <v>0</v>
      </c>
      <c r="AI227">
        <v>3</v>
      </c>
      <c r="AJ227">
        <v>1</v>
      </c>
      <c r="AK227">
        <v>0</v>
      </c>
      <c r="AL227" t="s">
        <v>534</v>
      </c>
      <c r="AM227">
        <v>47.055216000000001</v>
      </c>
      <c r="AN227" t="s">
        <v>535</v>
      </c>
      <c r="AO227">
        <v>-122.284634</v>
      </c>
      <c r="AP227">
        <v>100</v>
      </c>
      <c r="AQ227">
        <v>2100</v>
      </c>
      <c r="AR227" t="s">
        <v>118</v>
      </c>
      <c r="AS227">
        <v>-14</v>
      </c>
      <c r="AT227">
        <v>-78</v>
      </c>
      <c r="AU227">
        <v>64</v>
      </c>
      <c r="BC227">
        <v>1200</v>
      </c>
      <c r="BD227">
        <v>1</v>
      </c>
      <c r="BE227" t="str">
        <f t="shared" si="11"/>
        <v xml:space="preserve">N215T   </v>
      </c>
      <c r="BF227">
        <v>1</v>
      </c>
      <c r="BH227">
        <v>0</v>
      </c>
      <c r="BI227">
        <v>0</v>
      </c>
      <c r="BJ227">
        <v>0</v>
      </c>
      <c r="BK227">
        <v>2450</v>
      </c>
      <c r="BL227">
        <v>350</v>
      </c>
      <c r="BM227" t="s">
        <v>119</v>
      </c>
      <c r="BN227">
        <v>1</v>
      </c>
      <c r="BO227">
        <v>1</v>
      </c>
      <c r="BP227">
        <v>1</v>
      </c>
      <c r="BQ227">
        <v>0</v>
      </c>
      <c r="BT227">
        <v>0</v>
      </c>
      <c r="BU227">
        <v>0</v>
      </c>
      <c r="BV227">
        <v>0</v>
      </c>
      <c r="CC227" t="str">
        <f>"18:38:12.414"</f>
        <v>18:38:12.414</v>
      </c>
      <c r="CD227" t="str">
        <f>"412719374"</f>
        <v>412719374</v>
      </c>
      <c r="CQ227">
        <v>0</v>
      </c>
      <c r="CR227">
        <v>2</v>
      </c>
      <c r="CS227">
        <v>0</v>
      </c>
      <c r="CT227">
        <v>2</v>
      </c>
      <c r="CU227">
        <v>0</v>
      </c>
      <c r="CV227">
        <v>5</v>
      </c>
      <c r="CW227" t="s">
        <v>120</v>
      </c>
      <c r="CX227">
        <v>261</v>
      </c>
      <c r="CY227">
        <v>1</v>
      </c>
      <c r="CZ227" t="s">
        <v>121</v>
      </c>
      <c r="DA227" t="s">
        <v>122</v>
      </c>
      <c r="DD227">
        <v>3225885</v>
      </c>
      <c r="DE227" t="s">
        <v>123</v>
      </c>
    </row>
    <row r="228" spans="1:109" x14ac:dyDescent="0.3">
      <c r="A228" t="str">
        <f>"18:38:13.680"</f>
        <v>18:38:13.680</v>
      </c>
      <c r="B228" t="s">
        <v>110</v>
      </c>
      <c r="C228" t="str">
        <f t="shared" si="9"/>
        <v>ffdfd3c0</v>
      </c>
      <c r="D228" t="s">
        <v>111</v>
      </c>
      <c r="E228">
        <v>18</v>
      </c>
      <c r="F228">
        <v>1018</v>
      </c>
      <c r="G228" t="s">
        <v>112</v>
      </c>
      <c r="J228" t="s">
        <v>113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R228" t="s">
        <v>114</v>
      </c>
      <c r="S228" t="str">
        <f>"18:38:13.430"</f>
        <v>18:38:13.430</v>
      </c>
      <c r="T228" t="str">
        <f>"18:38:13.328"</f>
        <v>18:38:13.328</v>
      </c>
      <c r="U228" t="str">
        <f t="shared" si="10"/>
        <v>a1cdbe</v>
      </c>
      <c r="V228">
        <v>0</v>
      </c>
      <c r="W228">
        <v>0</v>
      </c>
      <c r="X228">
        <v>1</v>
      </c>
      <c r="Y228">
        <v>0</v>
      </c>
      <c r="Z228">
        <v>0</v>
      </c>
      <c r="AB228">
        <v>0</v>
      </c>
      <c r="AC228">
        <v>9</v>
      </c>
      <c r="AD228">
        <v>3</v>
      </c>
      <c r="AE228">
        <v>0</v>
      </c>
      <c r="AF228">
        <v>9</v>
      </c>
      <c r="AG228" t="s">
        <v>158</v>
      </c>
      <c r="AH228">
        <v>0</v>
      </c>
      <c r="AI228">
        <v>3</v>
      </c>
      <c r="AJ228">
        <v>1</v>
      </c>
      <c r="AK228">
        <v>0</v>
      </c>
      <c r="AL228" t="s">
        <v>536</v>
      </c>
      <c r="AM228">
        <v>47.054873000000001</v>
      </c>
      <c r="AN228" t="s">
        <v>192</v>
      </c>
      <c r="AO228">
        <v>-122.284741</v>
      </c>
      <c r="AP228">
        <v>100</v>
      </c>
      <c r="AQ228">
        <v>2100</v>
      </c>
      <c r="AR228" t="s">
        <v>118</v>
      </c>
      <c r="AS228">
        <v>-13</v>
      </c>
      <c r="AT228">
        <v>-77</v>
      </c>
      <c r="AU228">
        <v>-64</v>
      </c>
      <c r="BC228">
        <v>1200</v>
      </c>
      <c r="BD228">
        <v>1</v>
      </c>
      <c r="BE228" t="str">
        <f t="shared" si="11"/>
        <v xml:space="preserve">N215T   </v>
      </c>
      <c r="BF228">
        <v>1</v>
      </c>
      <c r="BH228">
        <v>0</v>
      </c>
      <c r="BI228">
        <v>0</v>
      </c>
      <c r="BJ228">
        <v>0</v>
      </c>
      <c r="BK228">
        <v>2450</v>
      </c>
      <c r="BL228">
        <v>350</v>
      </c>
      <c r="BM228" t="s">
        <v>119</v>
      </c>
      <c r="BN228">
        <v>1</v>
      </c>
      <c r="BO228">
        <v>1</v>
      </c>
      <c r="BP228">
        <v>1</v>
      </c>
      <c r="BQ228">
        <v>0</v>
      </c>
      <c r="BT228">
        <v>0</v>
      </c>
      <c r="BU228">
        <v>0</v>
      </c>
      <c r="BV228">
        <v>0</v>
      </c>
      <c r="CC228" t="str">
        <f>"18:38:13.430"</f>
        <v>18:38:13.430</v>
      </c>
      <c r="CD228" t="str">
        <f>"432619069"</f>
        <v>432619069</v>
      </c>
      <c r="CQ228">
        <v>0</v>
      </c>
      <c r="CR228">
        <v>2</v>
      </c>
      <c r="CS228">
        <v>0</v>
      </c>
      <c r="CT228">
        <v>2</v>
      </c>
      <c r="CU228">
        <v>0</v>
      </c>
      <c r="CV228">
        <v>5</v>
      </c>
      <c r="CW228" t="s">
        <v>120</v>
      </c>
      <c r="CX228">
        <v>261</v>
      </c>
      <c r="CY228">
        <v>1</v>
      </c>
      <c r="CZ228" t="s">
        <v>121</v>
      </c>
      <c r="DA228" t="s">
        <v>122</v>
      </c>
      <c r="DD228">
        <v>3226549</v>
      </c>
      <c r="DE228" t="s">
        <v>123</v>
      </c>
    </row>
    <row r="229" spans="1:109" x14ac:dyDescent="0.3">
      <c r="A229" t="str">
        <f>"18:38:14.734"</f>
        <v>18:38:14.734</v>
      </c>
      <c r="B229" t="s">
        <v>110</v>
      </c>
      <c r="C229" t="str">
        <f t="shared" si="9"/>
        <v>ffdfd3c0</v>
      </c>
      <c r="D229" t="s">
        <v>111</v>
      </c>
      <c r="E229">
        <v>18</v>
      </c>
      <c r="F229">
        <v>1018</v>
      </c>
      <c r="G229" t="s">
        <v>112</v>
      </c>
      <c r="J229" t="s">
        <v>113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R229" t="s">
        <v>114</v>
      </c>
      <c r="S229" t="str">
        <f>"18:38:14.461"</f>
        <v>18:38:14.461</v>
      </c>
      <c r="T229" t="str">
        <f>"18:38:13.961"</f>
        <v>18:38:13.961</v>
      </c>
      <c r="U229" t="str">
        <f t="shared" si="10"/>
        <v>a1cdbe</v>
      </c>
      <c r="V229">
        <v>0</v>
      </c>
      <c r="W229">
        <v>0</v>
      </c>
      <c r="X229">
        <v>1</v>
      </c>
      <c r="Y229">
        <v>0</v>
      </c>
      <c r="Z229">
        <v>0</v>
      </c>
      <c r="AB229">
        <v>0</v>
      </c>
      <c r="AC229">
        <v>9</v>
      </c>
      <c r="AD229">
        <v>3</v>
      </c>
      <c r="AE229">
        <v>0</v>
      </c>
      <c r="AF229">
        <v>9</v>
      </c>
      <c r="AG229" t="s">
        <v>158</v>
      </c>
      <c r="AH229">
        <v>0</v>
      </c>
      <c r="AI229">
        <v>3</v>
      </c>
      <c r="AJ229">
        <v>1</v>
      </c>
      <c r="AK229">
        <v>0</v>
      </c>
      <c r="AL229" t="s">
        <v>537</v>
      </c>
      <c r="AM229">
        <v>47.054485999999997</v>
      </c>
      <c r="AN229" t="s">
        <v>538</v>
      </c>
      <c r="AO229">
        <v>-122.28482700000001</v>
      </c>
      <c r="AP229">
        <v>100</v>
      </c>
      <c r="AQ229">
        <v>2100</v>
      </c>
      <c r="AR229" t="s">
        <v>118</v>
      </c>
      <c r="AS229">
        <v>-13</v>
      </c>
      <c r="AT229">
        <v>-77</v>
      </c>
      <c r="AU229">
        <v>-64</v>
      </c>
      <c r="BC229">
        <v>1200</v>
      </c>
      <c r="BD229">
        <v>1</v>
      </c>
      <c r="BE229" t="str">
        <f t="shared" si="11"/>
        <v xml:space="preserve">N215T   </v>
      </c>
      <c r="BF229">
        <v>1</v>
      </c>
      <c r="BH229">
        <v>0</v>
      </c>
      <c r="BI229">
        <v>0</v>
      </c>
      <c r="BJ229">
        <v>0</v>
      </c>
      <c r="BK229">
        <v>2450</v>
      </c>
      <c r="BL229">
        <v>350</v>
      </c>
      <c r="BM229" t="s">
        <v>119</v>
      </c>
      <c r="BN229">
        <v>1</v>
      </c>
      <c r="BO229">
        <v>1</v>
      </c>
      <c r="BP229">
        <v>1</v>
      </c>
      <c r="BQ229">
        <v>0</v>
      </c>
      <c r="BT229">
        <v>0</v>
      </c>
      <c r="BU229">
        <v>0</v>
      </c>
      <c r="BV229">
        <v>0</v>
      </c>
      <c r="CC229" t="str">
        <f>"18:38:14.469"</f>
        <v>18:38:14.469</v>
      </c>
      <c r="CD229" t="str">
        <f>"467517278"</f>
        <v>467517278</v>
      </c>
      <c r="CQ229">
        <v>0</v>
      </c>
      <c r="CR229">
        <v>2</v>
      </c>
      <c r="CS229">
        <v>0</v>
      </c>
      <c r="CT229">
        <v>2</v>
      </c>
      <c r="CU229">
        <v>0</v>
      </c>
      <c r="CV229">
        <v>4</v>
      </c>
      <c r="CW229" t="s">
        <v>120</v>
      </c>
      <c r="CX229">
        <v>261</v>
      </c>
      <c r="CY229">
        <v>2</v>
      </c>
      <c r="CZ229" t="s">
        <v>121</v>
      </c>
      <c r="DA229" t="s">
        <v>122</v>
      </c>
      <c r="DD229">
        <v>14365802</v>
      </c>
      <c r="DE229" t="s">
        <v>123</v>
      </c>
    </row>
    <row r="230" spans="1:109" x14ac:dyDescent="0.3">
      <c r="A230" t="str">
        <f>"18:38:15.641"</f>
        <v>18:38:15.641</v>
      </c>
      <c r="B230" t="s">
        <v>110</v>
      </c>
      <c r="C230" t="str">
        <f t="shared" si="9"/>
        <v>ffdfd3c0</v>
      </c>
      <c r="D230" t="s">
        <v>111</v>
      </c>
      <c r="E230">
        <v>18</v>
      </c>
      <c r="F230">
        <v>1018</v>
      </c>
      <c r="G230" t="s">
        <v>112</v>
      </c>
      <c r="J230" t="s">
        <v>113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R230" t="s">
        <v>114</v>
      </c>
      <c r="S230" t="str">
        <f>"18:38:15.375"</f>
        <v>18:38:15.375</v>
      </c>
      <c r="T230" t="str">
        <f>"18:38:14.977"</f>
        <v>18:38:14.977</v>
      </c>
      <c r="U230" t="str">
        <f t="shared" si="10"/>
        <v>a1cdbe</v>
      </c>
      <c r="V230">
        <v>0</v>
      </c>
      <c r="W230">
        <v>0</v>
      </c>
      <c r="X230">
        <v>1</v>
      </c>
      <c r="Y230">
        <v>0</v>
      </c>
      <c r="Z230">
        <v>0</v>
      </c>
      <c r="AB230">
        <v>0</v>
      </c>
      <c r="AC230">
        <v>9</v>
      </c>
      <c r="AD230">
        <v>3</v>
      </c>
      <c r="AE230">
        <v>0</v>
      </c>
      <c r="AF230">
        <v>9</v>
      </c>
      <c r="AG230" t="s">
        <v>158</v>
      </c>
      <c r="AH230">
        <v>0</v>
      </c>
      <c r="AI230">
        <v>3</v>
      </c>
      <c r="AJ230">
        <v>1</v>
      </c>
      <c r="AK230">
        <v>0</v>
      </c>
      <c r="AL230" t="s">
        <v>539</v>
      </c>
      <c r="AM230">
        <v>47.054164</v>
      </c>
      <c r="AN230" t="s">
        <v>540</v>
      </c>
      <c r="AO230">
        <v>-122.28487</v>
      </c>
      <c r="AP230">
        <v>100</v>
      </c>
      <c r="AQ230">
        <v>2100</v>
      </c>
      <c r="AR230" t="s">
        <v>118</v>
      </c>
      <c r="AS230">
        <v>-12</v>
      </c>
      <c r="AT230">
        <v>-78</v>
      </c>
      <c r="AU230">
        <v>-192</v>
      </c>
      <c r="BC230">
        <v>1200</v>
      </c>
      <c r="BD230">
        <v>1</v>
      </c>
      <c r="BE230" t="str">
        <f t="shared" si="11"/>
        <v xml:space="preserve">N215T   </v>
      </c>
      <c r="BF230">
        <v>1</v>
      </c>
      <c r="BH230">
        <v>0</v>
      </c>
      <c r="BI230">
        <v>0</v>
      </c>
      <c r="BJ230">
        <v>0</v>
      </c>
      <c r="BK230">
        <v>2425</v>
      </c>
      <c r="BL230">
        <v>325</v>
      </c>
      <c r="BM230" t="s">
        <v>119</v>
      </c>
      <c r="BN230">
        <v>1</v>
      </c>
      <c r="BO230">
        <v>1</v>
      </c>
      <c r="BP230">
        <v>1</v>
      </c>
      <c r="BQ230">
        <v>0</v>
      </c>
      <c r="BT230">
        <v>0</v>
      </c>
      <c r="BU230">
        <v>0</v>
      </c>
      <c r="BV230">
        <v>0</v>
      </c>
      <c r="CC230" t="str">
        <f>"18:38:15.383"</f>
        <v>18:38:15.383</v>
      </c>
      <c r="CD230" t="str">
        <f>"382537360"</f>
        <v>382537360</v>
      </c>
      <c r="CQ230">
        <v>0</v>
      </c>
      <c r="CR230">
        <v>2</v>
      </c>
      <c r="CS230">
        <v>0</v>
      </c>
      <c r="CT230">
        <v>2</v>
      </c>
      <c r="CU230">
        <v>0</v>
      </c>
      <c r="CV230">
        <v>5</v>
      </c>
      <c r="CW230" t="s">
        <v>120</v>
      </c>
      <c r="CX230">
        <v>259</v>
      </c>
      <c r="CY230">
        <v>1</v>
      </c>
      <c r="CZ230" t="s">
        <v>197</v>
      </c>
      <c r="DA230" t="s">
        <v>198</v>
      </c>
      <c r="DD230">
        <v>14773981</v>
      </c>
      <c r="DE230" t="s">
        <v>123</v>
      </c>
    </row>
    <row r="231" spans="1:109" x14ac:dyDescent="0.3">
      <c r="A231" t="str">
        <f>"18:38:16.648"</f>
        <v>18:38:16.648</v>
      </c>
      <c r="B231" t="s">
        <v>110</v>
      </c>
      <c r="C231" t="str">
        <f t="shared" si="9"/>
        <v>ffdfd3c0</v>
      </c>
      <c r="D231" t="s">
        <v>111</v>
      </c>
      <c r="E231">
        <v>18</v>
      </c>
      <c r="F231">
        <v>1018</v>
      </c>
      <c r="G231" t="s">
        <v>112</v>
      </c>
      <c r="J231" t="s">
        <v>113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R231" t="s">
        <v>114</v>
      </c>
      <c r="S231" t="str">
        <f>"18:38:16.414"</f>
        <v>18:38:16.414</v>
      </c>
      <c r="T231" t="str">
        <f>"18:38:16.414"</f>
        <v>18:38:16.414</v>
      </c>
      <c r="U231" t="str">
        <f t="shared" si="10"/>
        <v>a1cdbe</v>
      </c>
      <c r="V231">
        <v>0</v>
      </c>
      <c r="W231">
        <v>0</v>
      </c>
      <c r="X231">
        <v>1</v>
      </c>
      <c r="Y231">
        <v>0</v>
      </c>
      <c r="Z231">
        <v>0</v>
      </c>
      <c r="AB231">
        <v>0</v>
      </c>
      <c r="AC231">
        <v>9</v>
      </c>
      <c r="AD231">
        <v>3</v>
      </c>
      <c r="AE231">
        <v>0</v>
      </c>
      <c r="AF231">
        <v>9</v>
      </c>
      <c r="AG231" t="s">
        <v>158</v>
      </c>
      <c r="AH231">
        <v>0</v>
      </c>
      <c r="AI231">
        <v>3</v>
      </c>
      <c r="AJ231">
        <v>1</v>
      </c>
      <c r="AK231">
        <v>0</v>
      </c>
      <c r="AL231" t="s">
        <v>541</v>
      </c>
      <c r="AM231">
        <v>47.053756999999997</v>
      </c>
      <c r="AN231" t="s">
        <v>542</v>
      </c>
      <c r="AO231">
        <v>-122.284977</v>
      </c>
      <c r="AP231">
        <v>100</v>
      </c>
      <c r="AQ231">
        <v>2100</v>
      </c>
      <c r="AR231" t="s">
        <v>118</v>
      </c>
      <c r="AS231">
        <v>-12</v>
      </c>
      <c r="AT231">
        <v>-78</v>
      </c>
      <c r="AU231">
        <v>-192</v>
      </c>
      <c r="BC231">
        <v>1200</v>
      </c>
      <c r="BD231">
        <v>1</v>
      </c>
      <c r="BE231" t="str">
        <f t="shared" si="11"/>
        <v xml:space="preserve">N215T   </v>
      </c>
      <c r="BF231">
        <v>1</v>
      </c>
      <c r="BH231">
        <v>0</v>
      </c>
      <c r="BI231">
        <v>0</v>
      </c>
      <c r="BJ231">
        <v>0</v>
      </c>
      <c r="BK231">
        <v>2425</v>
      </c>
      <c r="BL231">
        <v>325</v>
      </c>
      <c r="BM231" t="s">
        <v>119</v>
      </c>
      <c r="BN231">
        <v>1</v>
      </c>
      <c r="BO231">
        <v>1</v>
      </c>
      <c r="BP231">
        <v>1</v>
      </c>
      <c r="BQ231">
        <v>0</v>
      </c>
      <c r="BT231">
        <v>0</v>
      </c>
      <c r="BU231">
        <v>0</v>
      </c>
      <c r="BV231">
        <v>0</v>
      </c>
      <c r="CC231" t="str">
        <f>"18:38:16.414"</f>
        <v>18:38:16.414</v>
      </c>
      <c r="CD231" t="str">
        <f>"417435635"</f>
        <v>417435635</v>
      </c>
      <c r="CQ231">
        <v>0</v>
      </c>
      <c r="CR231">
        <v>2</v>
      </c>
      <c r="CS231">
        <v>0</v>
      </c>
      <c r="CT231">
        <v>2</v>
      </c>
      <c r="CU231">
        <v>0</v>
      </c>
      <c r="CV231">
        <v>5</v>
      </c>
      <c r="CW231" t="s">
        <v>120</v>
      </c>
      <c r="CX231">
        <v>259</v>
      </c>
      <c r="CY231">
        <v>1</v>
      </c>
      <c r="CZ231" t="s">
        <v>197</v>
      </c>
      <c r="DA231" t="s">
        <v>198</v>
      </c>
      <c r="DD231">
        <v>14774689</v>
      </c>
      <c r="DE231" t="s">
        <v>123</v>
      </c>
    </row>
    <row r="232" spans="1:109" x14ac:dyDescent="0.3">
      <c r="A232" t="str">
        <f>"18:38:17.555"</f>
        <v>18:38:17.555</v>
      </c>
      <c r="B232" t="s">
        <v>110</v>
      </c>
      <c r="C232" t="str">
        <f t="shared" si="9"/>
        <v>ffdfd3c0</v>
      </c>
      <c r="D232" t="s">
        <v>111</v>
      </c>
      <c r="E232">
        <v>18</v>
      </c>
      <c r="F232">
        <v>1018</v>
      </c>
      <c r="G232" t="s">
        <v>112</v>
      </c>
      <c r="J232" t="s">
        <v>113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R232" t="s">
        <v>114</v>
      </c>
      <c r="S232" t="str">
        <f>"18:38:17.344"</f>
        <v>18:38:17.344</v>
      </c>
      <c r="T232" t="str">
        <f>"18:38:17.344"</f>
        <v>18:38:17.344</v>
      </c>
      <c r="U232" t="str">
        <f t="shared" si="10"/>
        <v>a1cdbe</v>
      </c>
      <c r="V232">
        <v>0</v>
      </c>
      <c r="W232">
        <v>0</v>
      </c>
      <c r="X232">
        <v>1</v>
      </c>
      <c r="Y232">
        <v>0</v>
      </c>
      <c r="Z232">
        <v>0</v>
      </c>
      <c r="AB232">
        <v>0</v>
      </c>
      <c r="AC232">
        <v>9</v>
      </c>
      <c r="AD232">
        <v>3</v>
      </c>
      <c r="AE232">
        <v>0</v>
      </c>
      <c r="AF232">
        <v>9</v>
      </c>
      <c r="AG232" t="s">
        <v>158</v>
      </c>
      <c r="AH232">
        <v>0</v>
      </c>
      <c r="AI232">
        <v>3</v>
      </c>
      <c r="AJ232">
        <v>1</v>
      </c>
      <c r="AK232">
        <v>0</v>
      </c>
      <c r="AL232" t="s">
        <v>543</v>
      </c>
      <c r="AM232">
        <v>47.053435</v>
      </c>
      <c r="AN232" t="s">
        <v>544</v>
      </c>
      <c r="AO232">
        <v>-122.285042</v>
      </c>
      <c r="AP232">
        <v>100</v>
      </c>
      <c r="AQ232">
        <v>2000</v>
      </c>
      <c r="AR232" t="s">
        <v>118</v>
      </c>
      <c r="AS232">
        <v>-12</v>
      </c>
      <c r="AT232">
        <v>-79</v>
      </c>
      <c r="AU232">
        <v>-256</v>
      </c>
      <c r="BC232">
        <v>1200</v>
      </c>
      <c r="BD232">
        <v>1</v>
      </c>
      <c r="BE232" t="str">
        <f t="shared" si="11"/>
        <v xml:space="preserve">N215T   </v>
      </c>
      <c r="BF232">
        <v>1</v>
      </c>
      <c r="BH232">
        <v>0</v>
      </c>
      <c r="BI232">
        <v>0</v>
      </c>
      <c r="BJ232">
        <v>0</v>
      </c>
      <c r="BK232">
        <v>2425</v>
      </c>
      <c r="BL232">
        <v>425</v>
      </c>
      <c r="BM232" t="s">
        <v>119</v>
      </c>
      <c r="BN232">
        <v>1</v>
      </c>
      <c r="BO232">
        <v>1</v>
      </c>
      <c r="BP232">
        <v>1</v>
      </c>
      <c r="BQ232">
        <v>0</v>
      </c>
      <c r="BT232">
        <v>0</v>
      </c>
      <c r="BU232">
        <v>0</v>
      </c>
      <c r="BV232">
        <v>0</v>
      </c>
      <c r="CC232" t="str">
        <f>"18:38:17.344"</f>
        <v>18:38:17.344</v>
      </c>
      <c r="CD232" t="str">
        <f>"347344222"</f>
        <v>347344222</v>
      </c>
      <c r="CQ232">
        <v>0</v>
      </c>
      <c r="CR232">
        <v>2</v>
      </c>
      <c r="CS232">
        <v>0</v>
      </c>
      <c r="CT232">
        <v>2</v>
      </c>
      <c r="CU232">
        <v>0</v>
      </c>
      <c r="CV232">
        <v>5</v>
      </c>
      <c r="CW232" t="s">
        <v>120</v>
      </c>
      <c r="CX232">
        <v>259</v>
      </c>
      <c r="CY232">
        <v>1</v>
      </c>
      <c r="CZ232" t="s">
        <v>197</v>
      </c>
      <c r="DA232" t="s">
        <v>198</v>
      </c>
      <c r="DD232">
        <v>14775312</v>
      </c>
      <c r="DE232" t="s">
        <v>123</v>
      </c>
    </row>
    <row r="233" spans="1:109" x14ac:dyDescent="0.3">
      <c r="A233" t="str">
        <f>"18:38:18.453"</f>
        <v>18:38:18.453</v>
      </c>
      <c r="B233" t="s">
        <v>110</v>
      </c>
      <c r="C233" t="str">
        <f t="shared" si="9"/>
        <v>ffdfd3c0</v>
      </c>
      <c r="D233" t="s">
        <v>111</v>
      </c>
      <c r="E233">
        <v>18</v>
      </c>
      <c r="F233">
        <v>1018</v>
      </c>
      <c r="G233" t="s">
        <v>112</v>
      </c>
      <c r="J233" t="s">
        <v>113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R233" t="s">
        <v>114</v>
      </c>
      <c r="S233" t="str">
        <f>"18:38:18.242"</f>
        <v>18:38:18.242</v>
      </c>
      <c r="T233" t="str">
        <f>"18:38:17.844"</f>
        <v>18:38:17.844</v>
      </c>
      <c r="U233" t="str">
        <f t="shared" si="10"/>
        <v>a1cdbe</v>
      </c>
      <c r="V233">
        <v>0</v>
      </c>
      <c r="W233">
        <v>0</v>
      </c>
      <c r="X233">
        <v>1</v>
      </c>
      <c r="Y233">
        <v>0</v>
      </c>
      <c r="Z233">
        <v>0</v>
      </c>
      <c r="AB233">
        <v>0</v>
      </c>
      <c r="AC233">
        <v>9</v>
      </c>
      <c r="AD233">
        <v>3</v>
      </c>
      <c r="AE233">
        <v>0</v>
      </c>
      <c r="AF233">
        <v>9</v>
      </c>
      <c r="AG233" t="s">
        <v>158</v>
      </c>
      <c r="AH233">
        <v>0</v>
      </c>
      <c r="AI233">
        <v>3</v>
      </c>
      <c r="AJ233">
        <v>1</v>
      </c>
      <c r="AK233">
        <v>0</v>
      </c>
      <c r="AL233" t="s">
        <v>545</v>
      </c>
      <c r="AM233">
        <v>47.053091999999999</v>
      </c>
      <c r="AN233" t="s">
        <v>546</v>
      </c>
      <c r="AO233">
        <v>-122.285085</v>
      </c>
      <c r="AP233">
        <v>100</v>
      </c>
      <c r="AQ233">
        <v>2000</v>
      </c>
      <c r="AR233" t="s">
        <v>118</v>
      </c>
      <c r="AS233">
        <v>-12</v>
      </c>
      <c r="AT233">
        <v>-79</v>
      </c>
      <c r="AU233">
        <v>-320</v>
      </c>
      <c r="BC233">
        <v>1200</v>
      </c>
      <c r="BD233">
        <v>1</v>
      </c>
      <c r="BE233" t="str">
        <f t="shared" si="11"/>
        <v xml:space="preserve">N215T   </v>
      </c>
      <c r="BF233">
        <v>1</v>
      </c>
      <c r="BH233">
        <v>0</v>
      </c>
      <c r="BI233">
        <v>0</v>
      </c>
      <c r="BJ233">
        <v>0</v>
      </c>
      <c r="BK233">
        <v>2425</v>
      </c>
      <c r="BL233">
        <v>425</v>
      </c>
      <c r="BM233" t="s">
        <v>119</v>
      </c>
      <c r="BN233">
        <v>1</v>
      </c>
      <c r="BO233">
        <v>1</v>
      </c>
      <c r="BP233">
        <v>1</v>
      </c>
      <c r="BQ233">
        <v>0</v>
      </c>
      <c r="BT233">
        <v>0</v>
      </c>
      <c r="BU233">
        <v>0</v>
      </c>
      <c r="BV233">
        <v>0</v>
      </c>
      <c r="CC233" t="str">
        <f>"18:38:18.250"</f>
        <v>18:38:18.250</v>
      </c>
      <c r="CD233" t="str">
        <f>"247255747"</f>
        <v>247255747</v>
      </c>
      <c r="CQ233">
        <v>0</v>
      </c>
      <c r="CR233">
        <v>2</v>
      </c>
      <c r="CS233">
        <v>0</v>
      </c>
      <c r="CT233">
        <v>2</v>
      </c>
      <c r="CU233">
        <v>0</v>
      </c>
      <c r="CV233">
        <v>5</v>
      </c>
      <c r="CW233" t="s">
        <v>120</v>
      </c>
      <c r="CX233">
        <v>259</v>
      </c>
      <c r="CY233">
        <v>1</v>
      </c>
      <c r="CZ233" t="s">
        <v>197</v>
      </c>
      <c r="DA233" t="s">
        <v>198</v>
      </c>
      <c r="DD233">
        <v>14775916</v>
      </c>
      <c r="DE233" t="s">
        <v>123</v>
      </c>
    </row>
    <row r="234" spans="1:109" x14ac:dyDescent="0.3">
      <c r="A234" t="str">
        <f>"18:38:19.563"</f>
        <v>18:38:19.563</v>
      </c>
      <c r="B234" t="s">
        <v>110</v>
      </c>
      <c r="C234" t="str">
        <f t="shared" si="9"/>
        <v>ffdfd3c0</v>
      </c>
      <c r="D234" t="s">
        <v>111</v>
      </c>
      <c r="E234">
        <v>18</v>
      </c>
      <c r="F234">
        <v>1018</v>
      </c>
      <c r="G234" t="s">
        <v>112</v>
      </c>
      <c r="J234" t="s">
        <v>113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R234" t="s">
        <v>114</v>
      </c>
      <c r="S234" t="str">
        <f>"18:38:19.320"</f>
        <v>18:38:19.320</v>
      </c>
      <c r="T234" t="str">
        <f>"18:38:18.922"</f>
        <v>18:38:18.922</v>
      </c>
      <c r="U234" t="str">
        <f t="shared" si="10"/>
        <v>a1cdbe</v>
      </c>
      <c r="V234">
        <v>0</v>
      </c>
      <c r="W234">
        <v>0</v>
      </c>
      <c r="X234">
        <v>1</v>
      </c>
      <c r="Y234">
        <v>0</v>
      </c>
      <c r="Z234">
        <v>0</v>
      </c>
      <c r="AB234">
        <v>0</v>
      </c>
      <c r="AC234">
        <v>9</v>
      </c>
      <c r="AD234">
        <v>3</v>
      </c>
      <c r="AE234">
        <v>0</v>
      </c>
      <c r="AF234">
        <v>9</v>
      </c>
      <c r="AG234" t="s">
        <v>158</v>
      </c>
      <c r="AH234">
        <v>0</v>
      </c>
      <c r="AI234">
        <v>3</v>
      </c>
      <c r="AJ234">
        <v>1</v>
      </c>
      <c r="AK234">
        <v>0</v>
      </c>
      <c r="AL234" t="s">
        <v>547</v>
      </c>
      <c r="AM234">
        <v>47.052705000000003</v>
      </c>
      <c r="AN234" t="s">
        <v>548</v>
      </c>
      <c r="AO234">
        <v>-122.28517100000001</v>
      </c>
      <c r="AP234">
        <v>100</v>
      </c>
      <c r="AQ234">
        <v>2000</v>
      </c>
      <c r="AR234" t="s">
        <v>118</v>
      </c>
      <c r="AS234">
        <v>-12</v>
      </c>
      <c r="AT234">
        <v>-80</v>
      </c>
      <c r="AU234">
        <v>-256</v>
      </c>
      <c r="BC234">
        <v>1200</v>
      </c>
      <c r="BD234">
        <v>1</v>
      </c>
      <c r="BE234" t="str">
        <f t="shared" si="11"/>
        <v xml:space="preserve">N215T   </v>
      </c>
      <c r="BF234">
        <v>1</v>
      </c>
      <c r="BH234">
        <v>0</v>
      </c>
      <c r="BI234">
        <v>0</v>
      </c>
      <c r="BJ234">
        <v>0</v>
      </c>
      <c r="BK234">
        <v>2425</v>
      </c>
      <c r="BL234">
        <v>425</v>
      </c>
      <c r="BM234" t="s">
        <v>119</v>
      </c>
      <c r="BN234">
        <v>1</v>
      </c>
      <c r="BO234">
        <v>1</v>
      </c>
      <c r="BP234">
        <v>1</v>
      </c>
      <c r="BQ234">
        <v>0</v>
      </c>
      <c r="BT234">
        <v>0</v>
      </c>
      <c r="BU234">
        <v>0</v>
      </c>
      <c r="BV234">
        <v>0</v>
      </c>
      <c r="CC234" t="str">
        <f>"18:38:19.328"</f>
        <v>18:38:19.328</v>
      </c>
      <c r="CD234" t="str">
        <f>"327149620"</f>
        <v>327149620</v>
      </c>
      <c r="CQ234">
        <v>0</v>
      </c>
      <c r="CR234">
        <v>2</v>
      </c>
      <c r="CS234">
        <v>0</v>
      </c>
      <c r="CT234">
        <v>2</v>
      </c>
      <c r="CU234">
        <v>0</v>
      </c>
      <c r="CV234">
        <v>5</v>
      </c>
      <c r="CW234" t="s">
        <v>120</v>
      </c>
      <c r="CX234">
        <v>259</v>
      </c>
      <c r="CY234">
        <v>1</v>
      </c>
      <c r="CZ234" t="s">
        <v>197</v>
      </c>
      <c r="DA234" t="s">
        <v>198</v>
      </c>
      <c r="DD234">
        <v>14776674</v>
      </c>
      <c r="DE234" t="s">
        <v>123</v>
      </c>
    </row>
    <row r="235" spans="1:109" x14ac:dyDescent="0.3">
      <c r="A235" t="str">
        <f>"18:38:20.516"</f>
        <v>18:38:20.516</v>
      </c>
      <c r="B235" t="s">
        <v>110</v>
      </c>
      <c r="C235" t="str">
        <f t="shared" si="9"/>
        <v>ffdfd3c0</v>
      </c>
      <c r="D235" t="s">
        <v>111</v>
      </c>
      <c r="E235">
        <v>18</v>
      </c>
      <c r="F235">
        <v>1018</v>
      </c>
      <c r="G235" t="s">
        <v>112</v>
      </c>
      <c r="J235" t="s">
        <v>113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R235" t="s">
        <v>114</v>
      </c>
      <c r="S235" t="str">
        <f>"18:38:20.313"</f>
        <v>18:38:20.313</v>
      </c>
      <c r="T235" t="str">
        <f>"18:38:20.016"</f>
        <v>18:38:20.016</v>
      </c>
      <c r="U235" t="str">
        <f t="shared" si="10"/>
        <v>a1cdbe</v>
      </c>
      <c r="V235">
        <v>0</v>
      </c>
      <c r="W235">
        <v>0</v>
      </c>
      <c r="X235">
        <v>1</v>
      </c>
      <c r="Y235">
        <v>0</v>
      </c>
      <c r="Z235">
        <v>0</v>
      </c>
      <c r="AB235">
        <v>0</v>
      </c>
      <c r="AC235">
        <v>9</v>
      </c>
      <c r="AD235">
        <v>3</v>
      </c>
      <c r="AE235">
        <v>0</v>
      </c>
      <c r="AF235">
        <v>9</v>
      </c>
      <c r="AG235" t="s">
        <v>158</v>
      </c>
      <c r="AH235">
        <v>0</v>
      </c>
      <c r="AI235">
        <v>3</v>
      </c>
      <c r="AJ235">
        <v>1</v>
      </c>
      <c r="AK235">
        <v>0</v>
      </c>
      <c r="AL235" t="s">
        <v>549</v>
      </c>
      <c r="AM235">
        <v>47.052340999999998</v>
      </c>
      <c r="AN235" t="s">
        <v>550</v>
      </c>
      <c r="AO235">
        <v>-122.28529899999999</v>
      </c>
      <c r="AP235">
        <v>100</v>
      </c>
      <c r="AQ235">
        <v>2000</v>
      </c>
      <c r="AR235" t="s">
        <v>118</v>
      </c>
      <c r="AS235">
        <v>-12</v>
      </c>
      <c r="AT235">
        <v>-81</v>
      </c>
      <c r="AU235">
        <v>-448</v>
      </c>
      <c r="BC235">
        <v>1200</v>
      </c>
      <c r="BD235">
        <v>1</v>
      </c>
      <c r="BE235" t="str">
        <f t="shared" si="11"/>
        <v xml:space="preserve">N215T   </v>
      </c>
      <c r="BF235">
        <v>1</v>
      </c>
      <c r="BH235">
        <v>0</v>
      </c>
      <c r="BI235">
        <v>0</v>
      </c>
      <c r="BJ235">
        <v>0</v>
      </c>
      <c r="BK235">
        <v>2425</v>
      </c>
      <c r="BL235">
        <v>425</v>
      </c>
      <c r="BM235" t="s">
        <v>119</v>
      </c>
      <c r="BN235">
        <v>1</v>
      </c>
      <c r="BO235">
        <v>1</v>
      </c>
      <c r="BP235">
        <v>1</v>
      </c>
      <c r="BQ235">
        <v>0</v>
      </c>
      <c r="BT235">
        <v>0</v>
      </c>
      <c r="BU235">
        <v>0</v>
      </c>
      <c r="BV235">
        <v>0</v>
      </c>
      <c r="CC235" t="str">
        <f>"18:38:20.320"</f>
        <v>18:38:20.320</v>
      </c>
      <c r="CD235" t="str">
        <f>"317052281"</f>
        <v>317052281</v>
      </c>
      <c r="CQ235">
        <v>0</v>
      </c>
      <c r="CR235">
        <v>2</v>
      </c>
      <c r="CS235">
        <v>0</v>
      </c>
      <c r="CT235">
        <v>2</v>
      </c>
      <c r="CU235">
        <v>0</v>
      </c>
      <c r="CV235">
        <v>5</v>
      </c>
      <c r="CW235" t="s">
        <v>120</v>
      </c>
      <c r="CX235">
        <v>259</v>
      </c>
      <c r="CY235">
        <v>1</v>
      </c>
      <c r="CZ235" t="s">
        <v>197</v>
      </c>
      <c r="DA235" t="s">
        <v>198</v>
      </c>
      <c r="DD235">
        <v>14777352</v>
      </c>
      <c r="DE235" t="s">
        <v>123</v>
      </c>
    </row>
    <row r="236" spans="1:109" x14ac:dyDescent="0.3">
      <c r="A236" t="str">
        <f>"18:38:21.625"</f>
        <v>18:38:21.625</v>
      </c>
      <c r="B236" t="s">
        <v>110</v>
      </c>
      <c r="C236" t="str">
        <f t="shared" si="9"/>
        <v>ffdfd3c0</v>
      </c>
      <c r="D236" t="s">
        <v>111</v>
      </c>
      <c r="E236">
        <v>18</v>
      </c>
      <c r="F236">
        <v>1018</v>
      </c>
      <c r="G236" t="s">
        <v>112</v>
      </c>
      <c r="J236" t="s">
        <v>113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R236" t="s">
        <v>114</v>
      </c>
      <c r="S236" t="str">
        <f>"18:38:21.375"</f>
        <v>18:38:21.375</v>
      </c>
      <c r="T236" t="str">
        <f>"18:38:20.875"</f>
        <v>18:38:20.875</v>
      </c>
      <c r="U236" t="str">
        <f t="shared" si="10"/>
        <v>a1cdbe</v>
      </c>
      <c r="V236">
        <v>0</v>
      </c>
      <c r="W236">
        <v>0</v>
      </c>
      <c r="X236">
        <v>1</v>
      </c>
      <c r="Y236">
        <v>0</v>
      </c>
      <c r="Z236">
        <v>0</v>
      </c>
      <c r="AB236">
        <v>0</v>
      </c>
      <c r="AC236">
        <v>9</v>
      </c>
      <c r="AD236">
        <v>3</v>
      </c>
      <c r="AE236">
        <v>0</v>
      </c>
      <c r="AF236">
        <v>9</v>
      </c>
      <c r="AG236" t="s">
        <v>158</v>
      </c>
      <c r="AH236">
        <v>0</v>
      </c>
      <c r="AI236">
        <v>3</v>
      </c>
      <c r="AJ236">
        <v>1</v>
      </c>
      <c r="AK236">
        <v>0</v>
      </c>
      <c r="AL236" t="s">
        <v>551</v>
      </c>
      <c r="AM236">
        <v>47.051932999999998</v>
      </c>
      <c r="AN236" t="s">
        <v>552</v>
      </c>
      <c r="AO236">
        <v>-122.285364</v>
      </c>
      <c r="AP236">
        <v>100</v>
      </c>
      <c r="AQ236">
        <v>2000</v>
      </c>
      <c r="AR236" t="s">
        <v>118</v>
      </c>
      <c r="AS236">
        <v>-12</v>
      </c>
      <c r="AT236">
        <v>-82</v>
      </c>
      <c r="AU236">
        <v>-384</v>
      </c>
      <c r="BC236">
        <v>1200</v>
      </c>
      <c r="BD236">
        <v>1</v>
      </c>
      <c r="BE236" t="str">
        <f t="shared" si="11"/>
        <v xml:space="preserve">N215T   </v>
      </c>
      <c r="BF236">
        <v>1</v>
      </c>
      <c r="BH236">
        <v>0</v>
      </c>
      <c r="BI236">
        <v>0</v>
      </c>
      <c r="BJ236">
        <v>0</v>
      </c>
      <c r="BK236">
        <v>2400</v>
      </c>
      <c r="BL236">
        <v>400</v>
      </c>
      <c r="BM236" t="s">
        <v>119</v>
      </c>
      <c r="BN236">
        <v>1</v>
      </c>
      <c r="BO236">
        <v>1</v>
      </c>
      <c r="BP236">
        <v>1</v>
      </c>
      <c r="BQ236">
        <v>0</v>
      </c>
      <c r="BT236">
        <v>0</v>
      </c>
      <c r="BU236">
        <v>0</v>
      </c>
      <c r="BV236">
        <v>0</v>
      </c>
      <c r="CC236" t="str">
        <f>"18:38:21.383"</f>
        <v>18:38:21.383</v>
      </c>
      <c r="CD236" t="str">
        <f>"381837292"</f>
        <v>381837292</v>
      </c>
      <c r="CQ236">
        <v>0</v>
      </c>
      <c r="CR236">
        <v>2</v>
      </c>
      <c r="CS236">
        <v>0</v>
      </c>
      <c r="CT236">
        <v>2</v>
      </c>
      <c r="CU236">
        <v>0</v>
      </c>
      <c r="CV236">
        <v>5</v>
      </c>
      <c r="CW236" t="s">
        <v>120</v>
      </c>
      <c r="CX236">
        <v>261</v>
      </c>
      <c r="CY236">
        <v>2</v>
      </c>
      <c r="CZ236" t="s">
        <v>121</v>
      </c>
      <c r="DA236" t="s">
        <v>122</v>
      </c>
      <c r="DD236">
        <v>14369688</v>
      </c>
      <c r="DE236" t="s">
        <v>123</v>
      </c>
    </row>
    <row r="237" spans="1:109" x14ac:dyDescent="0.3">
      <c r="A237" t="str">
        <f>"18:38:22.633"</f>
        <v>18:38:22.633</v>
      </c>
      <c r="B237" t="s">
        <v>110</v>
      </c>
      <c r="C237" t="str">
        <f t="shared" si="9"/>
        <v>ffdfd3c0</v>
      </c>
      <c r="D237" t="s">
        <v>111</v>
      </c>
      <c r="E237">
        <v>18</v>
      </c>
      <c r="F237">
        <v>1018</v>
      </c>
      <c r="G237" t="s">
        <v>112</v>
      </c>
      <c r="J237" t="s">
        <v>113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R237" t="s">
        <v>114</v>
      </c>
      <c r="S237" t="str">
        <f>"18:38:22.414"</f>
        <v>18:38:22.414</v>
      </c>
      <c r="T237" t="str">
        <f>"18:38:22.016"</f>
        <v>18:38:22.016</v>
      </c>
      <c r="U237" t="str">
        <f t="shared" si="10"/>
        <v>a1cdbe</v>
      </c>
      <c r="V237">
        <v>0</v>
      </c>
      <c r="W237">
        <v>0</v>
      </c>
      <c r="X237">
        <v>1</v>
      </c>
      <c r="Y237">
        <v>0</v>
      </c>
      <c r="Z237">
        <v>0</v>
      </c>
      <c r="AB237">
        <v>0</v>
      </c>
      <c r="AC237">
        <v>9</v>
      </c>
      <c r="AD237">
        <v>3</v>
      </c>
      <c r="AE237">
        <v>0</v>
      </c>
      <c r="AF237">
        <v>9</v>
      </c>
      <c r="AG237" t="s">
        <v>158</v>
      </c>
      <c r="AH237">
        <v>0</v>
      </c>
      <c r="AI237">
        <v>3</v>
      </c>
      <c r="AJ237">
        <v>1</v>
      </c>
      <c r="AK237">
        <v>0</v>
      </c>
      <c r="AL237" t="s">
        <v>553</v>
      </c>
      <c r="AM237">
        <v>47.051504000000001</v>
      </c>
      <c r="AN237" t="s">
        <v>554</v>
      </c>
      <c r="AO237">
        <v>-122.28545</v>
      </c>
      <c r="AP237">
        <v>100</v>
      </c>
      <c r="AQ237">
        <v>2000</v>
      </c>
      <c r="AR237" t="s">
        <v>118</v>
      </c>
      <c r="AS237">
        <v>-12</v>
      </c>
      <c r="AT237">
        <v>-83</v>
      </c>
      <c r="AU237">
        <v>-320</v>
      </c>
      <c r="BC237">
        <v>1200</v>
      </c>
      <c r="BD237">
        <v>1</v>
      </c>
      <c r="BE237" t="str">
        <f t="shared" si="11"/>
        <v xml:space="preserve">N215T   </v>
      </c>
      <c r="BF237">
        <v>1</v>
      </c>
      <c r="BH237">
        <v>0</v>
      </c>
      <c r="BI237">
        <v>0</v>
      </c>
      <c r="BJ237">
        <v>0</v>
      </c>
      <c r="BK237">
        <v>2400</v>
      </c>
      <c r="BL237">
        <v>400</v>
      </c>
      <c r="BM237" t="s">
        <v>119</v>
      </c>
      <c r="BN237">
        <v>1</v>
      </c>
      <c r="BO237">
        <v>1</v>
      </c>
      <c r="BP237">
        <v>1</v>
      </c>
      <c r="BQ237">
        <v>0</v>
      </c>
      <c r="BT237">
        <v>0</v>
      </c>
      <c r="BU237">
        <v>0</v>
      </c>
      <c r="BV237">
        <v>0</v>
      </c>
      <c r="CC237" t="str">
        <f>"18:38:22.414"</f>
        <v>18:38:22.414</v>
      </c>
      <c r="CD237" t="str">
        <f>"416735832"</f>
        <v>416735832</v>
      </c>
      <c r="CQ237">
        <v>0</v>
      </c>
      <c r="CR237">
        <v>2</v>
      </c>
      <c r="CS237">
        <v>0</v>
      </c>
      <c r="CT237">
        <v>2</v>
      </c>
      <c r="CU237">
        <v>0</v>
      </c>
      <c r="CV237">
        <v>5</v>
      </c>
      <c r="CW237" t="s">
        <v>120</v>
      </c>
      <c r="CX237">
        <v>261</v>
      </c>
      <c r="CY237">
        <v>1</v>
      </c>
      <c r="CZ237" t="s">
        <v>121</v>
      </c>
      <c r="DA237" t="s">
        <v>122</v>
      </c>
      <c r="DD237">
        <v>3232319</v>
      </c>
      <c r="DE237" t="s">
        <v>123</v>
      </c>
    </row>
    <row r="238" spans="1:109" x14ac:dyDescent="0.3">
      <c r="A238" t="str">
        <f>"18:38:23.586"</f>
        <v>18:38:23.586</v>
      </c>
      <c r="B238" t="s">
        <v>110</v>
      </c>
      <c r="C238" t="str">
        <f t="shared" si="9"/>
        <v>ffdfd3c0</v>
      </c>
      <c r="D238" t="s">
        <v>111</v>
      </c>
      <c r="E238">
        <v>18</v>
      </c>
      <c r="F238">
        <v>1018</v>
      </c>
      <c r="G238" t="s">
        <v>112</v>
      </c>
      <c r="J238" t="s">
        <v>113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R238" t="s">
        <v>114</v>
      </c>
      <c r="S238" t="str">
        <f>"18:38:23.375"</f>
        <v>18:38:23.375</v>
      </c>
      <c r="T238" t="str">
        <f>"18:38:22.977"</f>
        <v>18:38:22.977</v>
      </c>
      <c r="U238" t="str">
        <f t="shared" si="10"/>
        <v>a1cdbe</v>
      </c>
      <c r="V238">
        <v>0</v>
      </c>
      <c r="W238">
        <v>0</v>
      </c>
      <c r="X238">
        <v>1</v>
      </c>
      <c r="Y238">
        <v>0</v>
      </c>
      <c r="Z238">
        <v>0</v>
      </c>
      <c r="AB238">
        <v>0</v>
      </c>
      <c r="AC238">
        <v>9</v>
      </c>
      <c r="AD238">
        <v>3</v>
      </c>
      <c r="AE238">
        <v>0</v>
      </c>
      <c r="AF238">
        <v>9</v>
      </c>
      <c r="AG238" t="s">
        <v>158</v>
      </c>
      <c r="AH238">
        <v>0</v>
      </c>
      <c r="AI238">
        <v>3</v>
      </c>
      <c r="AJ238">
        <v>1</v>
      </c>
      <c r="AK238">
        <v>0</v>
      </c>
      <c r="AL238" t="s">
        <v>555</v>
      </c>
      <c r="AM238">
        <v>47.051138999999999</v>
      </c>
      <c r="AN238" t="s">
        <v>556</v>
      </c>
      <c r="AO238">
        <v>-122.28551400000001</v>
      </c>
      <c r="AP238">
        <v>100</v>
      </c>
      <c r="AQ238">
        <v>2000</v>
      </c>
      <c r="AR238" t="s">
        <v>118</v>
      </c>
      <c r="AS238">
        <v>-12</v>
      </c>
      <c r="AT238">
        <v>-83</v>
      </c>
      <c r="AU238">
        <v>-384</v>
      </c>
      <c r="BC238">
        <v>1200</v>
      </c>
      <c r="BD238">
        <v>1</v>
      </c>
      <c r="BE238" t="str">
        <f t="shared" si="11"/>
        <v xml:space="preserve">N215T   </v>
      </c>
      <c r="BF238">
        <v>1</v>
      </c>
      <c r="BH238">
        <v>0</v>
      </c>
      <c r="BI238">
        <v>0</v>
      </c>
      <c r="BJ238">
        <v>0</v>
      </c>
      <c r="BK238">
        <v>2400</v>
      </c>
      <c r="BL238">
        <v>400</v>
      </c>
      <c r="BM238" t="s">
        <v>119</v>
      </c>
      <c r="BN238">
        <v>1</v>
      </c>
      <c r="BO238">
        <v>1</v>
      </c>
      <c r="BP238">
        <v>1</v>
      </c>
      <c r="BQ238">
        <v>0</v>
      </c>
      <c r="BT238">
        <v>0</v>
      </c>
      <c r="BU238">
        <v>0</v>
      </c>
      <c r="BV238">
        <v>0</v>
      </c>
      <c r="CC238" t="str">
        <f>"18:38:23.375"</f>
        <v>18:38:23.375</v>
      </c>
      <c r="CD238" t="str">
        <f>"376641141"</f>
        <v>376641141</v>
      </c>
      <c r="CQ238">
        <v>0</v>
      </c>
      <c r="CR238">
        <v>2</v>
      </c>
      <c r="CS238">
        <v>0</v>
      </c>
      <c r="CT238">
        <v>2</v>
      </c>
      <c r="CU238">
        <v>0</v>
      </c>
      <c r="CV238">
        <v>5</v>
      </c>
      <c r="CW238" t="s">
        <v>120</v>
      </c>
      <c r="CX238">
        <v>261</v>
      </c>
      <c r="CY238">
        <v>1</v>
      </c>
      <c r="CZ238" t="s">
        <v>121</v>
      </c>
      <c r="DA238" t="s">
        <v>122</v>
      </c>
      <c r="DD238">
        <v>3232952</v>
      </c>
      <c r="DE238" t="s">
        <v>123</v>
      </c>
    </row>
    <row r="239" spans="1:109" x14ac:dyDescent="0.3">
      <c r="A239" t="str">
        <f>"18:38:24.594"</f>
        <v>18:38:24.594</v>
      </c>
      <c r="B239" t="s">
        <v>110</v>
      </c>
      <c r="C239" t="str">
        <f t="shared" si="9"/>
        <v>ffdfd3c0</v>
      </c>
      <c r="D239" t="s">
        <v>111</v>
      </c>
      <c r="E239">
        <v>18</v>
      </c>
      <c r="F239">
        <v>1018</v>
      </c>
      <c r="G239" t="s">
        <v>112</v>
      </c>
      <c r="J239" t="s">
        <v>113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R239" t="s">
        <v>114</v>
      </c>
      <c r="S239" t="str">
        <f>"18:38:24.359"</f>
        <v>18:38:24.359</v>
      </c>
      <c r="T239" t="str">
        <f>"18:38:24.063"</f>
        <v>18:38:24.063</v>
      </c>
      <c r="U239" t="str">
        <f t="shared" si="10"/>
        <v>a1cdbe</v>
      </c>
      <c r="V239">
        <v>0</v>
      </c>
      <c r="W239">
        <v>0</v>
      </c>
      <c r="X239">
        <v>1</v>
      </c>
      <c r="Y239">
        <v>0</v>
      </c>
      <c r="Z239">
        <v>0</v>
      </c>
      <c r="AB239">
        <v>0</v>
      </c>
      <c r="AC239">
        <v>9</v>
      </c>
      <c r="AD239">
        <v>3</v>
      </c>
      <c r="AE239">
        <v>0</v>
      </c>
      <c r="AF239">
        <v>9</v>
      </c>
      <c r="AG239" t="s">
        <v>158</v>
      </c>
      <c r="AH239">
        <v>0</v>
      </c>
      <c r="AI239">
        <v>3</v>
      </c>
      <c r="AJ239">
        <v>1</v>
      </c>
      <c r="AK239">
        <v>0</v>
      </c>
      <c r="AL239" t="s">
        <v>557</v>
      </c>
      <c r="AM239">
        <v>47.050773999999997</v>
      </c>
      <c r="AN239" t="s">
        <v>558</v>
      </c>
      <c r="AO239">
        <v>-122.2856</v>
      </c>
      <c r="AP239">
        <v>100</v>
      </c>
      <c r="AQ239">
        <v>2000</v>
      </c>
      <c r="AR239" t="s">
        <v>118</v>
      </c>
      <c r="AS239">
        <v>-13</v>
      </c>
      <c r="AT239">
        <v>-84</v>
      </c>
      <c r="AU239">
        <v>-256</v>
      </c>
      <c r="BC239">
        <v>1200</v>
      </c>
      <c r="BD239">
        <v>1</v>
      </c>
      <c r="BE239" t="str">
        <f t="shared" si="11"/>
        <v xml:space="preserve">N215T   </v>
      </c>
      <c r="BF239">
        <v>1</v>
      </c>
      <c r="BH239">
        <v>0</v>
      </c>
      <c r="BI239">
        <v>0</v>
      </c>
      <c r="BJ239">
        <v>0</v>
      </c>
      <c r="BK239">
        <v>2375</v>
      </c>
      <c r="BL239">
        <v>375</v>
      </c>
      <c r="BM239" t="s">
        <v>119</v>
      </c>
      <c r="BN239">
        <v>1</v>
      </c>
      <c r="BO239">
        <v>1</v>
      </c>
      <c r="BP239">
        <v>1</v>
      </c>
      <c r="BQ239">
        <v>0</v>
      </c>
      <c r="BT239">
        <v>0</v>
      </c>
      <c r="BU239">
        <v>0</v>
      </c>
      <c r="BV239">
        <v>0</v>
      </c>
      <c r="CC239" t="str">
        <f>"18:38:24.367"</f>
        <v>18:38:24.367</v>
      </c>
      <c r="CD239" t="str">
        <f>"366654225"</f>
        <v>366654225</v>
      </c>
      <c r="CQ239">
        <v>0</v>
      </c>
      <c r="CR239">
        <v>2</v>
      </c>
      <c r="CS239">
        <v>0</v>
      </c>
      <c r="CT239">
        <v>2</v>
      </c>
      <c r="CU239">
        <v>0</v>
      </c>
      <c r="CV239">
        <v>5</v>
      </c>
      <c r="CW239" t="s">
        <v>120</v>
      </c>
      <c r="CX239">
        <v>259</v>
      </c>
      <c r="CY239">
        <v>1</v>
      </c>
      <c r="CZ239" t="s">
        <v>197</v>
      </c>
      <c r="DA239" t="s">
        <v>198</v>
      </c>
      <c r="DD239">
        <v>14780159</v>
      </c>
      <c r="DE239" t="s">
        <v>123</v>
      </c>
    </row>
    <row r="240" spans="1:109" x14ac:dyDescent="0.3">
      <c r="A240" t="str">
        <f>"18:38:25.648"</f>
        <v>18:38:25.648</v>
      </c>
      <c r="B240" t="s">
        <v>110</v>
      </c>
      <c r="C240" t="str">
        <f t="shared" si="9"/>
        <v>ffdfd3c0</v>
      </c>
      <c r="D240" t="s">
        <v>111</v>
      </c>
      <c r="E240">
        <v>18</v>
      </c>
      <c r="F240">
        <v>1018</v>
      </c>
      <c r="G240" t="s">
        <v>112</v>
      </c>
      <c r="J240" t="s">
        <v>113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R240" t="s">
        <v>114</v>
      </c>
      <c r="S240" t="str">
        <f>"18:38:25.398"</f>
        <v>18:38:25.398</v>
      </c>
      <c r="T240" t="str">
        <f>"18:38:25.195"</f>
        <v>18:38:25.195</v>
      </c>
      <c r="U240" t="str">
        <f t="shared" si="10"/>
        <v>a1cdbe</v>
      </c>
      <c r="V240">
        <v>0</v>
      </c>
      <c r="W240">
        <v>0</v>
      </c>
      <c r="X240">
        <v>1</v>
      </c>
      <c r="Y240">
        <v>0</v>
      </c>
      <c r="Z240">
        <v>0</v>
      </c>
      <c r="AB240">
        <v>0</v>
      </c>
      <c r="AC240">
        <v>9</v>
      </c>
      <c r="AD240">
        <v>3</v>
      </c>
      <c r="AE240">
        <v>0</v>
      </c>
      <c r="AF240">
        <v>9</v>
      </c>
      <c r="AG240" t="s">
        <v>158</v>
      </c>
      <c r="AH240">
        <v>0</v>
      </c>
      <c r="AI240">
        <v>3</v>
      </c>
      <c r="AJ240">
        <v>1</v>
      </c>
      <c r="AK240">
        <v>0</v>
      </c>
      <c r="AL240" t="s">
        <v>559</v>
      </c>
      <c r="AM240">
        <v>47.050387999999998</v>
      </c>
      <c r="AN240" t="s">
        <v>560</v>
      </c>
      <c r="AO240">
        <v>-122.28572800000001</v>
      </c>
      <c r="AP240">
        <v>100</v>
      </c>
      <c r="AQ240">
        <v>2000</v>
      </c>
      <c r="AR240" t="s">
        <v>118</v>
      </c>
      <c r="AS240">
        <v>-14</v>
      </c>
      <c r="AT240">
        <v>-83</v>
      </c>
      <c r="AU240">
        <v>-128</v>
      </c>
      <c r="BC240">
        <v>1200</v>
      </c>
      <c r="BD240">
        <v>1</v>
      </c>
      <c r="BE240" t="str">
        <f t="shared" si="11"/>
        <v xml:space="preserve">N215T   </v>
      </c>
      <c r="BF240">
        <v>1</v>
      </c>
      <c r="BH240">
        <v>0</v>
      </c>
      <c r="BI240">
        <v>0</v>
      </c>
      <c r="BJ240">
        <v>0</v>
      </c>
      <c r="BK240">
        <v>2375</v>
      </c>
      <c r="BL240">
        <v>375</v>
      </c>
      <c r="BM240" t="s">
        <v>119</v>
      </c>
      <c r="BN240">
        <v>1</v>
      </c>
      <c r="BO240">
        <v>1</v>
      </c>
      <c r="BP240">
        <v>1</v>
      </c>
      <c r="BQ240">
        <v>0</v>
      </c>
      <c r="BT240">
        <v>0</v>
      </c>
      <c r="BU240">
        <v>0</v>
      </c>
      <c r="BV240">
        <v>0</v>
      </c>
      <c r="CC240" t="str">
        <f>"18:38:25.398"</f>
        <v>18:38:25.398</v>
      </c>
      <c r="CD240" t="str">
        <f>"401442016"</f>
        <v>401442016</v>
      </c>
      <c r="CQ240">
        <v>0</v>
      </c>
      <c r="CR240">
        <v>2</v>
      </c>
      <c r="CS240">
        <v>0</v>
      </c>
      <c r="CT240">
        <v>2</v>
      </c>
      <c r="CU240">
        <v>0</v>
      </c>
      <c r="CV240">
        <v>4</v>
      </c>
      <c r="CW240" t="s">
        <v>120</v>
      </c>
      <c r="CX240">
        <v>261</v>
      </c>
      <c r="CY240">
        <v>1</v>
      </c>
      <c r="CZ240" t="s">
        <v>121</v>
      </c>
      <c r="DA240" t="s">
        <v>122</v>
      </c>
      <c r="DD240">
        <v>3234236</v>
      </c>
      <c r="DE240" t="s">
        <v>123</v>
      </c>
    </row>
    <row r="241" spans="1:109" x14ac:dyDescent="0.3">
      <c r="A241" t="str">
        <f>"18:38:26.805"</f>
        <v>18:38:26.805</v>
      </c>
      <c r="B241" t="s">
        <v>110</v>
      </c>
      <c r="C241" t="str">
        <f t="shared" si="9"/>
        <v>ffdfd3c0</v>
      </c>
      <c r="D241" t="s">
        <v>111</v>
      </c>
      <c r="E241">
        <v>18</v>
      </c>
      <c r="F241">
        <v>1018</v>
      </c>
      <c r="G241" t="s">
        <v>112</v>
      </c>
      <c r="J241" t="s">
        <v>113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R241" t="s">
        <v>114</v>
      </c>
      <c r="S241" t="str">
        <f>"18:38:26.555"</f>
        <v>18:38:26.555</v>
      </c>
      <c r="T241" t="str">
        <f>"18:38:26.453"</f>
        <v>18:38:26.453</v>
      </c>
      <c r="U241" t="str">
        <f t="shared" si="10"/>
        <v>a1cdbe</v>
      </c>
      <c r="V241">
        <v>0</v>
      </c>
      <c r="W241">
        <v>0</v>
      </c>
      <c r="X241">
        <v>1</v>
      </c>
      <c r="Y241">
        <v>0</v>
      </c>
      <c r="Z241">
        <v>0</v>
      </c>
      <c r="AB241">
        <v>0</v>
      </c>
      <c r="AC241">
        <v>9</v>
      </c>
      <c r="AD241">
        <v>3</v>
      </c>
      <c r="AE241">
        <v>0</v>
      </c>
      <c r="AF241">
        <v>9</v>
      </c>
      <c r="AG241" t="s">
        <v>158</v>
      </c>
      <c r="AH241">
        <v>0</v>
      </c>
      <c r="AI241">
        <v>3</v>
      </c>
      <c r="AJ241">
        <v>1</v>
      </c>
      <c r="AK241">
        <v>0</v>
      </c>
      <c r="AL241" t="s">
        <v>561</v>
      </c>
      <c r="AM241">
        <v>47.049937</v>
      </c>
      <c r="AN241" t="s">
        <v>184</v>
      </c>
      <c r="AO241">
        <v>-122.285793</v>
      </c>
      <c r="AP241">
        <v>100</v>
      </c>
      <c r="AQ241">
        <v>2000</v>
      </c>
      <c r="AR241" t="s">
        <v>118</v>
      </c>
      <c r="AS241">
        <v>-16</v>
      </c>
      <c r="AT241">
        <v>-83</v>
      </c>
      <c r="AU241">
        <v>0</v>
      </c>
      <c r="BC241">
        <v>1200</v>
      </c>
      <c r="BD241">
        <v>1</v>
      </c>
      <c r="BE241" t="str">
        <f t="shared" si="11"/>
        <v xml:space="preserve">N215T   </v>
      </c>
      <c r="BF241">
        <v>1</v>
      </c>
      <c r="BH241">
        <v>0</v>
      </c>
      <c r="BI241">
        <v>0</v>
      </c>
      <c r="BJ241">
        <v>0</v>
      </c>
      <c r="BK241">
        <v>2375</v>
      </c>
      <c r="BL241">
        <v>375</v>
      </c>
      <c r="BM241" t="s">
        <v>119</v>
      </c>
      <c r="BN241">
        <v>1</v>
      </c>
      <c r="BO241">
        <v>1</v>
      </c>
      <c r="BP241">
        <v>1</v>
      </c>
      <c r="BQ241">
        <v>0</v>
      </c>
      <c r="BT241">
        <v>0</v>
      </c>
      <c r="BU241">
        <v>0</v>
      </c>
      <c r="BV241">
        <v>0</v>
      </c>
      <c r="CC241" t="str">
        <f>"18:38:26.555"</f>
        <v>18:38:26.555</v>
      </c>
      <c r="CD241" t="str">
        <f>"556438950"</f>
        <v>556438950</v>
      </c>
      <c r="CQ241">
        <v>0</v>
      </c>
      <c r="CR241">
        <v>2</v>
      </c>
      <c r="CS241">
        <v>0</v>
      </c>
      <c r="CT241">
        <v>2</v>
      </c>
      <c r="CU241">
        <v>0</v>
      </c>
      <c r="CV241">
        <v>5</v>
      </c>
      <c r="CW241" t="s">
        <v>120</v>
      </c>
      <c r="CX241">
        <v>259</v>
      </c>
      <c r="CY241">
        <v>1</v>
      </c>
      <c r="CZ241" t="s">
        <v>197</v>
      </c>
      <c r="DA241" t="s">
        <v>198</v>
      </c>
      <c r="DD241">
        <v>14781697</v>
      </c>
      <c r="DE241" t="s">
        <v>123</v>
      </c>
    </row>
    <row r="242" spans="1:109" x14ac:dyDescent="0.3">
      <c r="A242" t="str">
        <f>"18:38:27.609"</f>
        <v>18:38:27.609</v>
      </c>
      <c r="B242" t="s">
        <v>110</v>
      </c>
      <c r="C242" t="str">
        <f t="shared" si="9"/>
        <v>ffdfd3c0</v>
      </c>
      <c r="D242" t="s">
        <v>111</v>
      </c>
      <c r="E242">
        <v>18</v>
      </c>
      <c r="F242">
        <v>1018</v>
      </c>
      <c r="G242" t="s">
        <v>112</v>
      </c>
      <c r="J242" t="s">
        <v>113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R242" t="s">
        <v>114</v>
      </c>
      <c r="S242" t="str">
        <f>"18:38:27.406"</f>
        <v>18:38:27.406</v>
      </c>
      <c r="T242" t="str">
        <f>"18:38:27.406"</f>
        <v>18:38:27.406</v>
      </c>
      <c r="U242" t="str">
        <f t="shared" si="10"/>
        <v>a1cdbe</v>
      </c>
      <c r="V242">
        <v>0</v>
      </c>
      <c r="W242">
        <v>0</v>
      </c>
      <c r="X242">
        <v>1</v>
      </c>
      <c r="Y242">
        <v>0</v>
      </c>
      <c r="Z242">
        <v>0</v>
      </c>
      <c r="AB242">
        <v>0</v>
      </c>
      <c r="AC242">
        <v>9</v>
      </c>
      <c r="AD242">
        <v>3</v>
      </c>
      <c r="AE242">
        <v>0</v>
      </c>
      <c r="AF242">
        <v>9</v>
      </c>
      <c r="AG242" t="s">
        <v>158</v>
      </c>
      <c r="AH242">
        <v>0</v>
      </c>
      <c r="AI242">
        <v>3</v>
      </c>
      <c r="AJ242">
        <v>1</v>
      </c>
      <c r="AK242">
        <v>0</v>
      </c>
      <c r="AL242" t="s">
        <v>562</v>
      </c>
      <c r="AM242">
        <v>47.049593999999999</v>
      </c>
      <c r="AN242" t="s">
        <v>182</v>
      </c>
      <c r="AO242">
        <v>-122.285922</v>
      </c>
      <c r="AP242">
        <v>100</v>
      </c>
      <c r="AQ242">
        <v>2000</v>
      </c>
      <c r="AR242" t="s">
        <v>118</v>
      </c>
      <c r="AS242">
        <v>-17</v>
      </c>
      <c r="AT242">
        <v>-83</v>
      </c>
      <c r="AU242">
        <v>0</v>
      </c>
      <c r="BC242">
        <v>1200</v>
      </c>
      <c r="BD242">
        <v>1</v>
      </c>
      <c r="BE242" t="str">
        <f t="shared" si="11"/>
        <v xml:space="preserve">N215T   </v>
      </c>
      <c r="BF242">
        <v>1</v>
      </c>
      <c r="BH242">
        <v>0</v>
      </c>
      <c r="BI242">
        <v>0</v>
      </c>
      <c r="BJ242">
        <v>0</v>
      </c>
      <c r="BK242">
        <v>2375</v>
      </c>
      <c r="BL242">
        <v>375</v>
      </c>
      <c r="BM242" t="s">
        <v>119</v>
      </c>
      <c r="BN242">
        <v>1</v>
      </c>
      <c r="BO242">
        <v>1</v>
      </c>
      <c r="BP242">
        <v>1</v>
      </c>
      <c r="BQ242">
        <v>0</v>
      </c>
      <c r="BT242">
        <v>0</v>
      </c>
      <c r="BU242">
        <v>0</v>
      </c>
      <c r="BV242">
        <v>0</v>
      </c>
      <c r="CC242" t="str">
        <f>"18:38:27.414"</f>
        <v>18:38:27.414</v>
      </c>
      <c r="CD242" t="str">
        <f>"411244379"</f>
        <v>411244379</v>
      </c>
      <c r="CQ242">
        <v>0</v>
      </c>
      <c r="CR242">
        <v>2</v>
      </c>
      <c r="CS242">
        <v>0</v>
      </c>
      <c r="CT242">
        <v>2</v>
      </c>
      <c r="CU242">
        <v>0</v>
      </c>
      <c r="CV242">
        <v>5</v>
      </c>
      <c r="CW242" t="s">
        <v>120</v>
      </c>
      <c r="CX242">
        <v>261</v>
      </c>
      <c r="CY242">
        <v>1</v>
      </c>
      <c r="CZ242" t="s">
        <v>121</v>
      </c>
      <c r="DA242" t="s">
        <v>122</v>
      </c>
      <c r="DD242">
        <v>3235477</v>
      </c>
      <c r="DE242" t="s">
        <v>123</v>
      </c>
    </row>
    <row r="243" spans="1:109" x14ac:dyDescent="0.3">
      <c r="A243" t="str">
        <f>"18:38:28.766"</f>
        <v>18:38:28.766</v>
      </c>
      <c r="B243" t="s">
        <v>110</v>
      </c>
      <c r="C243" t="str">
        <f t="shared" si="9"/>
        <v>ffdfd3c0</v>
      </c>
      <c r="D243" t="s">
        <v>111</v>
      </c>
      <c r="E243">
        <v>18</v>
      </c>
      <c r="F243">
        <v>1018</v>
      </c>
      <c r="G243" t="s">
        <v>112</v>
      </c>
      <c r="J243" t="s">
        <v>113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R243" t="s">
        <v>114</v>
      </c>
      <c r="S243" t="str">
        <f>"18:38:28.500"</f>
        <v>18:38:28.500</v>
      </c>
      <c r="T243" t="str">
        <f>"18:38:28.398"</f>
        <v>18:38:28.398</v>
      </c>
      <c r="U243" t="str">
        <f t="shared" si="10"/>
        <v>a1cdbe</v>
      </c>
      <c r="V243">
        <v>0</v>
      </c>
      <c r="W243">
        <v>0</v>
      </c>
      <c r="X243">
        <v>1</v>
      </c>
      <c r="Y243">
        <v>0</v>
      </c>
      <c r="Z243">
        <v>0</v>
      </c>
      <c r="AB243">
        <v>0</v>
      </c>
      <c r="AC243">
        <v>9</v>
      </c>
      <c r="AD243">
        <v>3</v>
      </c>
      <c r="AE243">
        <v>0</v>
      </c>
      <c r="AF243">
        <v>9</v>
      </c>
      <c r="AG243" t="s">
        <v>158</v>
      </c>
      <c r="AH243">
        <v>0</v>
      </c>
      <c r="AI243">
        <v>3</v>
      </c>
      <c r="AJ243">
        <v>1</v>
      </c>
      <c r="AK243">
        <v>0</v>
      </c>
      <c r="AL243" t="s">
        <v>563</v>
      </c>
      <c r="AM243">
        <v>47.049185999999999</v>
      </c>
      <c r="AN243" t="s">
        <v>177</v>
      </c>
      <c r="AO243">
        <v>-122.286072</v>
      </c>
      <c r="AP243">
        <v>100</v>
      </c>
      <c r="AQ243">
        <v>2000</v>
      </c>
      <c r="AR243" t="s">
        <v>118</v>
      </c>
      <c r="AS243">
        <v>-18</v>
      </c>
      <c r="AT243">
        <v>-82</v>
      </c>
      <c r="AU243">
        <v>64</v>
      </c>
      <c r="BC243">
        <v>1200</v>
      </c>
      <c r="BD243">
        <v>1</v>
      </c>
      <c r="BE243" t="str">
        <f t="shared" si="11"/>
        <v xml:space="preserve">N215T   </v>
      </c>
      <c r="BF243">
        <v>1</v>
      </c>
      <c r="BH243">
        <v>0</v>
      </c>
      <c r="BI243">
        <v>0</v>
      </c>
      <c r="BJ243">
        <v>0</v>
      </c>
      <c r="BK243">
        <v>2375</v>
      </c>
      <c r="BL243">
        <v>375</v>
      </c>
      <c r="BM243" t="s">
        <v>119</v>
      </c>
      <c r="BN243">
        <v>1</v>
      </c>
      <c r="BO243">
        <v>1</v>
      </c>
      <c r="BP243">
        <v>1</v>
      </c>
      <c r="BQ243">
        <v>0</v>
      </c>
      <c r="BT243">
        <v>0</v>
      </c>
      <c r="BU243">
        <v>0</v>
      </c>
      <c r="BV243">
        <v>0</v>
      </c>
      <c r="CC243" t="str">
        <f>"18:38:28.508"</f>
        <v>18:38:28.508</v>
      </c>
      <c r="CD243" t="str">
        <f>"506247294"</f>
        <v>506247294</v>
      </c>
      <c r="CQ243">
        <v>0</v>
      </c>
      <c r="CR243">
        <v>2</v>
      </c>
      <c r="CS243">
        <v>0</v>
      </c>
      <c r="CT243">
        <v>2</v>
      </c>
      <c r="CU243">
        <v>0</v>
      </c>
      <c r="CV243">
        <v>4</v>
      </c>
      <c r="CW243" t="s">
        <v>120</v>
      </c>
      <c r="CX243">
        <v>259</v>
      </c>
      <c r="CY243">
        <v>1</v>
      </c>
      <c r="CZ243" t="s">
        <v>197</v>
      </c>
      <c r="DA243" t="s">
        <v>198</v>
      </c>
      <c r="DD243">
        <v>14783056</v>
      </c>
      <c r="DE243" t="s">
        <v>123</v>
      </c>
    </row>
    <row r="244" spans="1:109" x14ac:dyDescent="0.3">
      <c r="A244" t="str">
        <f>"18:38:29.672"</f>
        <v>18:38:29.672</v>
      </c>
      <c r="B244" t="s">
        <v>110</v>
      </c>
      <c r="C244" t="str">
        <f t="shared" si="9"/>
        <v>ffdfd3c0</v>
      </c>
      <c r="D244" t="s">
        <v>111</v>
      </c>
      <c r="E244">
        <v>18</v>
      </c>
      <c r="F244">
        <v>1018</v>
      </c>
      <c r="G244" t="s">
        <v>112</v>
      </c>
      <c r="J244" t="s">
        <v>113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R244" t="s">
        <v>114</v>
      </c>
      <c r="S244" t="str">
        <f>"18:38:29.445"</f>
        <v>18:38:29.445</v>
      </c>
      <c r="T244" t="str">
        <f>"18:38:28.945"</f>
        <v>18:38:28.945</v>
      </c>
      <c r="U244" t="str">
        <f t="shared" si="10"/>
        <v>a1cdbe</v>
      </c>
      <c r="V244">
        <v>0</v>
      </c>
      <c r="W244">
        <v>0</v>
      </c>
      <c r="X244">
        <v>1</v>
      </c>
      <c r="Y244">
        <v>0</v>
      </c>
      <c r="Z244">
        <v>0</v>
      </c>
      <c r="AB244">
        <v>0</v>
      </c>
      <c r="AC244">
        <v>9</v>
      </c>
      <c r="AD244">
        <v>3</v>
      </c>
      <c r="AE244">
        <v>0</v>
      </c>
      <c r="AF244">
        <v>9</v>
      </c>
      <c r="AG244" t="s">
        <v>158</v>
      </c>
      <c r="AH244">
        <v>0</v>
      </c>
      <c r="AI244">
        <v>3</v>
      </c>
      <c r="AJ244">
        <v>1</v>
      </c>
      <c r="AK244">
        <v>0</v>
      </c>
      <c r="AL244" t="s">
        <v>564</v>
      </c>
      <c r="AM244">
        <v>47.0488</v>
      </c>
      <c r="AN244" t="s">
        <v>170</v>
      </c>
      <c r="AO244">
        <v>-122.286136</v>
      </c>
      <c r="AP244">
        <v>100</v>
      </c>
      <c r="AQ244">
        <v>2000</v>
      </c>
      <c r="AR244" t="s">
        <v>118</v>
      </c>
      <c r="AS244">
        <v>-18</v>
      </c>
      <c r="AT244">
        <v>-82</v>
      </c>
      <c r="AU244">
        <v>-64</v>
      </c>
      <c r="BC244">
        <v>1200</v>
      </c>
      <c r="BD244">
        <v>1</v>
      </c>
      <c r="BE244" t="str">
        <f t="shared" si="11"/>
        <v xml:space="preserve">N215T   </v>
      </c>
      <c r="BF244">
        <v>1</v>
      </c>
      <c r="BH244">
        <v>0</v>
      </c>
      <c r="BI244">
        <v>0</v>
      </c>
      <c r="BJ244">
        <v>0</v>
      </c>
      <c r="BK244">
        <v>2375</v>
      </c>
      <c r="BL244">
        <v>375</v>
      </c>
      <c r="BM244" t="s">
        <v>119</v>
      </c>
      <c r="BN244">
        <v>1</v>
      </c>
      <c r="BO244">
        <v>1</v>
      </c>
      <c r="BP244">
        <v>1</v>
      </c>
      <c r="BQ244">
        <v>0</v>
      </c>
      <c r="BT244">
        <v>0</v>
      </c>
      <c r="BU244">
        <v>0</v>
      </c>
      <c r="BV244">
        <v>0</v>
      </c>
      <c r="CC244" t="str">
        <f>"18:38:29.453"</f>
        <v>18:38:29.453</v>
      </c>
      <c r="CD244" t="str">
        <f>"451154415"</f>
        <v>451154415</v>
      </c>
      <c r="CQ244">
        <v>0</v>
      </c>
      <c r="CR244">
        <v>2</v>
      </c>
      <c r="CS244">
        <v>0</v>
      </c>
      <c r="CT244">
        <v>2</v>
      </c>
      <c r="CU244">
        <v>0</v>
      </c>
      <c r="CV244">
        <v>5</v>
      </c>
      <c r="CW244" t="s">
        <v>120</v>
      </c>
      <c r="CX244">
        <v>259</v>
      </c>
      <c r="CY244">
        <v>1</v>
      </c>
      <c r="CZ244" t="s">
        <v>197</v>
      </c>
      <c r="DA244" t="s">
        <v>198</v>
      </c>
      <c r="DD244">
        <v>14783701</v>
      </c>
      <c r="DE244" t="s">
        <v>123</v>
      </c>
    </row>
    <row r="245" spans="1:109" x14ac:dyDescent="0.3">
      <c r="A245" t="str">
        <f>"18:38:30.672"</f>
        <v>18:38:30.672</v>
      </c>
      <c r="B245" t="s">
        <v>110</v>
      </c>
      <c r="C245" t="str">
        <f t="shared" si="9"/>
        <v>ffdfd3c0</v>
      </c>
      <c r="D245" t="s">
        <v>111</v>
      </c>
      <c r="E245">
        <v>18</v>
      </c>
      <c r="F245">
        <v>1018</v>
      </c>
      <c r="G245" t="s">
        <v>112</v>
      </c>
      <c r="J245" t="s">
        <v>113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R245" t="s">
        <v>114</v>
      </c>
      <c r="S245" t="str">
        <f>"18:38:30.406"</f>
        <v>18:38:30.406</v>
      </c>
      <c r="T245" t="str">
        <f>"18:38:30.008"</f>
        <v>18:38:30.008</v>
      </c>
      <c r="U245" t="str">
        <f t="shared" si="10"/>
        <v>a1cdbe</v>
      </c>
      <c r="V245">
        <v>0</v>
      </c>
      <c r="W245">
        <v>0</v>
      </c>
      <c r="X245">
        <v>1</v>
      </c>
      <c r="Y245">
        <v>0</v>
      </c>
      <c r="Z245">
        <v>0</v>
      </c>
      <c r="AB245">
        <v>0</v>
      </c>
      <c r="AC245">
        <v>9</v>
      </c>
      <c r="AD245">
        <v>3</v>
      </c>
      <c r="AE245">
        <v>0</v>
      </c>
      <c r="AF245">
        <v>9</v>
      </c>
      <c r="AG245" t="s">
        <v>158</v>
      </c>
      <c r="AH245">
        <v>0</v>
      </c>
      <c r="AI245">
        <v>3</v>
      </c>
      <c r="AJ245">
        <v>1</v>
      </c>
      <c r="AK245">
        <v>0</v>
      </c>
      <c r="AL245" t="s">
        <v>565</v>
      </c>
      <c r="AM245">
        <v>47.048499999999997</v>
      </c>
      <c r="AN245" t="s">
        <v>163</v>
      </c>
      <c r="AO245">
        <v>-122.286286</v>
      </c>
      <c r="AP245">
        <v>100</v>
      </c>
      <c r="AQ245">
        <v>2000</v>
      </c>
      <c r="AR245" t="s">
        <v>118</v>
      </c>
      <c r="AS245">
        <v>-18</v>
      </c>
      <c r="AT245">
        <v>-82</v>
      </c>
      <c r="AU245">
        <v>64</v>
      </c>
      <c r="BC245">
        <v>1200</v>
      </c>
      <c r="BD245">
        <v>1</v>
      </c>
      <c r="BE245" t="str">
        <f t="shared" si="11"/>
        <v xml:space="preserve">N215T   </v>
      </c>
      <c r="BF245">
        <v>1</v>
      </c>
      <c r="BH245">
        <v>0</v>
      </c>
      <c r="BI245">
        <v>0</v>
      </c>
      <c r="BJ245">
        <v>0</v>
      </c>
      <c r="BK245">
        <v>2375</v>
      </c>
      <c r="BL245">
        <v>375</v>
      </c>
      <c r="BM245" t="s">
        <v>119</v>
      </c>
      <c r="BN245">
        <v>1</v>
      </c>
      <c r="BO245">
        <v>1</v>
      </c>
      <c r="BP245">
        <v>1</v>
      </c>
      <c r="BQ245">
        <v>0</v>
      </c>
      <c r="BT245">
        <v>0</v>
      </c>
      <c r="BU245">
        <v>0</v>
      </c>
      <c r="BV245">
        <v>0</v>
      </c>
      <c r="CC245" t="str">
        <f>"18:38:30.414"</f>
        <v>18:38:30.414</v>
      </c>
      <c r="CD245" t="str">
        <f>"411060057"</f>
        <v>411060057</v>
      </c>
      <c r="CQ245">
        <v>0</v>
      </c>
      <c r="CR245">
        <v>2</v>
      </c>
      <c r="CS245">
        <v>0</v>
      </c>
      <c r="CT245">
        <v>2</v>
      </c>
      <c r="CU245">
        <v>0</v>
      </c>
      <c r="CV245">
        <v>5</v>
      </c>
      <c r="CW245" t="s">
        <v>120</v>
      </c>
      <c r="CX245">
        <v>259</v>
      </c>
      <c r="CY245">
        <v>1</v>
      </c>
      <c r="CZ245" t="s">
        <v>197</v>
      </c>
      <c r="DA245" t="s">
        <v>198</v>
      </c>
      <c r="DD245">
        <v>14784384</v>
      </c>
      <c r="DE245" t="s">
        <v>123</v>
      </c>
    </row>
    <row r="246" spans="1:109" x14ac:dyDescent="0.3">
      <c r="A246" t="str">
        <f>"18:38:31.633"</f>
        <v>18:38:31.633</v>
      </c>
      <c r="B246" t="s">
        <v>110</v>
      </c>
      <c r="C246" t="str">
        <f t="shared" si="9"/>
        <v>ffdfd3c0</v>
      </c>
      <c r="D246" t="s">
        <v>111</v>
      </c>
      <c r="E246">
        <v>18</v>
      </c>
      <c r="F246">
        <v>1018</v>
      </c>
      <c r="G246" t="s">
        <v>112</v>
      </c>
      <c r="J246" t="s">
        <v>113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R246" t="s">
        <v>114</v>
      </c>
      <c r="S246" t="str">
        <f>"18:38:31.430"</f>
        <v>18:38:31.430</v>
      </c>
      <c r="T246" t="str">
        <f>"18:38:31.430"</f>
        <v>18:38:31.430</v>
      </c>
      <c r="U246" t="str">
        <f t="shared" si="10"/>
        <v>a1cdbe</v>
      </c>
      <c r="V246">
        <v>0</v>
      </c>
      <c r="W246">
        <v>0</v>
      </c>
      <c r="X246">
        <v>1</v>
      </c>
      <c r="Y246">
        <v>0</v>
      </c>
      <c r="Z246">
        <v>0</v>
      </c>
      <c r="AB246">
        <v>0</v>
      </c>
      <c r="AC246">
        <v>9</v>
      </c>
      <c r="AD246">
        <v>3</v>
      </c>
      <c r="AE246">
        <v>0</v>
      </c>
      <c r="AF246">
        <v>9</v>
      </c>
      <c r="AG246" t="s">
        <v>158</v>
      </c>
      <c r="AH246">
        <v>0</v>
      </c>
      <c r="AI246">
        <v>3</v>
      </c>
      <c r="AJ246">
        <v>1</v>
      </c>
      <c r="AK246">
        <v>0</v>
      </c>
      <c r="AL246" t="s">
        <v>566</v>
      </c>
      <c r="AM246">
        <v>47.048070000000003</v>
      </c>
      <c r="AN246" t="s">
        <v>157</v>
      </c>
      <c r="AO246">
        <v>-122.28641500000001</v>
      </c>
      <c r="AP246">
        <v>100</v>
      </c>
      <c r="AQ246">
        <v>2000</v>
      </c>
      <c r="AR246" t="s">
        <v>118</v>
      </c>
      <c r="AS246">
        <v>-17</v>
      </c>
      <c r="AT246">
        <v>-81</v>
      </c>
      <c r="AU246">
        <v>256</v>
      </c>
      <c r="BC246">
        <v>1200</v>
      </c>
      <c r="BD246">
        <v>1</v>
      </c>
      <c r="BE246" t="str">
        <f t="shared" si="11"/>
        <v xml:space="preserve">N215T   </v>
      </c>
      <c r="BF246">
        <v>1</v>
      </c>
      <c r="BH246">
        <v>0</v>
      </c>
      <c r="BI246">
        <v>0</v>
      </c>
      <c r="BJ246">
        <v>0</v>
      </c>
      <c r="BK246">
        <v>2400</v>
      </c>
      <c r="BL246">
        <v>400</v>
      </c>
      <c r="BM246" t="s">
        <v>119</v>
      </c>
      <c r="BN246">
        <v>1</v>
      </c>
      <c r="BO246">
        <v>1</v>
      </c>
      <c r="BP246">
        <v>1</v>
      </c>
      <c r="BQ246">
        <v>0</v>
      </c>
      <c r="BT246">
        <v>0</v>
      </c>
      <c r="BU246">
        <v>0</v>
      </c>
      <c r="BV246">
        <v>0</v>
      </c>
      <c r="CC246" t="str">
        <f>"18:38:31.430"</f>
        <v>18:38:31.430</v>
      </c>
      <c r="CD246" t="str">
        <f>"430849018"</f>
        <v>430849018</v>
      </c>
      <c r="CQ246">
        <v>0</v>
      </c>
      <c r="CR246">
        <v>2</v>
      </c>
      <c r="CS246">
        <v>0</v>
      </c>
      <c r="CT246">
        <v>2</v>
      </c>
      <c r="CU246">
        <v>0</v>
      </c>
      <c r="CV246">
        <v>4</v>
      </c>
      <c r="CW246" t="s">
        <v>120</v>
      </c>
      <c r="CX246">
        <v>261</v>
      </c>
      <c r="CY246">
        <v>2</v>
      </c>
      <c r="CZ246" t="s">
        <v>121</v>
      </c>
      <c r="DA246" t="s">
        <v>122</v>
      </c>
      <c r="DD246">
        <v>14375213</v>
      </c>
      <c r="DE246" t="s">
        <v>123</v>
      </c>
    </row>
    <row r="247" spans="1:109" x14ac:dyDescent="0.3">
      <c r="A247" t="str">
        <f>"18:38:32.734"</f>
        <v>18:38:32.734</v>
      </c>
      <c r="B247" t="s">
        <v>110</v>
      </c>
      <c r="C247" t="str">
        <f t="shared" si="9"/>
        <v>ffdfd3c0</v>
      </c>
      <c r="D247" t="s">
        <v>111</v>
      </c>
      <c r="E247">
        <v>18</v>
      </c>
      <c r="F247">
        <v>1018</v>
      </c>
      <c r="G247" t="s">
        <v>112</v>
      </c>
      <c r="J247" t="s">
        <v>113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R247" t="s">
        <v>114</v>
      </c>
      <c r="S247" t="str">
        <f>"18:38:32.477"</f>
        <v>18:38:32.477</v>
      </c>
      <c r="T247" t="str">
        <f>"18:38:32.477"</f>
        <v>18:38:32.477</v>
      </c>
      <c r="U247" t="str">
        <f t="shared" si="10"/>
        <v>a1cdbe</v>
      </c>
      <c r="V247">
        <v>0</v>
      </c>
      <c r="W247">
        <v>0</v>
      </c>
      <c r="X247">
        <v>1</v>
      </c>
      <c r="Y247">
        <v>0</v>
      </c>
      <c r="Z247">
        <v>0</v>
      </c>
      <c r="AB247">
        <v>0</v>
      </c>
      <c r="AC247">
        <v>9</v>
      </c>
      <c r="AD247">
        <v>3</v>
      </c>
      <c r="AE247">
        <v>0</v>
      </c>
      <c r="AF247">
        <v>9</v>
      </c>
      <c r="AG247" t="s">
        <v>158</v>
      </c>
      <c r="AH247">
        <v>0</v>
      </c>
      <c r="AI247">
        <v>3</v>
      </c>
      <c r="AJ247">
        <v>1</v>
      </c>
      <c r="AK247">
        <v>0</v>
      </c>
      <c r="AL247" t="s">
        <v>567</v>
      </c>
      <c r="AM247">
        <v>47.047705999999998</v>
      </c>
      <c r="AN247" t="s">
        <v>150</v>
      </c>
      <c r="AO247">
        <v>-122.28654400000001</v>
      </c>
      <c r="AP247">
        <v>100</v>
      </c>
      <c r="AQ247">
        <v>2000</v>
      </c>
      <c r="AR247" t="s">
        <v>118</v>
      </c>
      <c r="AS247">
        <v>-16</v>
      </c>
      <c r="AT247">
        <v>-81</v>
      </c>
      <c r="AU247">
        <v>192</v>
      </c>
      <c r="BC247">
        <v>1200</v>
      </c>
      <c r="BD247">
        <v>1</v>
      </c>
      <c r="BE247" t="str">
        <f t="shared" si="11"/>
        <v xml:space="preserve">N215T   </v>
      </c>
      <c r="BF247">
        <v>1</v>
      </c>
      <c r="BH247">
        <v>0</v>
      </c>
      <c r="BI247">
        <v>0</v>
      </c>
      <c r="BJ247">
        <v>0</v>
      </c>
      <c r="BK247">
        <v>2400</v>
      </c>
      <c r="BL247">
        <v>400</v>
      </c>
      <c r="BM247" t="s">
        <v>119</v>
      </c>
      <c r="BN247">
        <v>1</v>
      </c>
      <c r="BO247">
        <v>1</v>
      </c>
      <c r="BP247">
        <v>1</v>
      </c>
      <c r="BQ247">
        <v>0</v>
      </c>
      <c r="BT247">
        <v>0</v>
      </c>
      <c r="BU247">
        <v>0</v>
      </c>
      <c r="BV247">
        <v>0</v>
      </c>
      <c r="CC247" t="str">
        <f>"18:38:32.484"</f>
        <v>18:38:32.484</v>
      </c>
      <c r="CD247" t="str">
        <f>"480856581"</f>
        <v>480856581</v>
      </c>
      <c r="CQ247">
        <v>0</v>
      </c>
      <c r="CR247">
        <v>2</v>
      </c>
      <c r="CS247">
        <v>0</v>
      </c>
      <c r="CT247">
        <v>2</v>
      </c>
      <c r="CU247">
        <v>0</v>
      </c>
      <c r="CV247">
        <v>5</v>
      </c>
      <c r="CW247" t="s">
        <v>120</v>
      </c>
      <c r="CX247">
        <v>259</v>
      </c>
      <c r="CY247">
        <v>1</v>
      </c>
      <c r="CZ247" t="s">
        <v>197</v>
      </c>
      <c r="DA247" t="s">
        <v>198</v>
      </c>
      <c r="DD247">
        <v>14785833</v>
      </c>
      <c r="DE247" t="s">
        <v>123</v>
      </c>
    </row>
    <row r="248" spans="1:109" x14ac:dyDescent="0.3">
      <c r="A248" t="str">
        <f>"18:38:33.641"</f>
        <v>18:38:33.641</v>
      </c>
      <c r="B248" t="s">
        <v>110</v>
      </c>
      <c r="C248" t="str">
        <f t="shared" si="9"/>
        <v>ffdfd3c0</v>
      </c>
      <c r="D248" t="s">
        <v>111</v>
      </c>
      <c r="E248">
        <v>18</v>
      </c>
      <c r="F248">
        <v>1018</v>
      </c>
      <c r="G248" t="s">
        <v>112</v>
      </c>
      <c r="J248" t="s">
        <v>113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R248" t="s">
        <v>114</v>
      </c>
      <c r="S248" t="str">
        <f>"18:38:33.391"</f>
        <v>18:38:33.391</v>
      </c>
      <c r="T248" t="str">
        <f>"18:38:32.891"</f>
        <v>18:38:32.891</v>
      </c>
      <c r="U248" t="str">
        <f t="shared" si="10"/>
        <v>a1cdbe</v>
      </c>
      <c r="V248">
        <v>0</v>
      </c>
      <c r="W248">
        <v>0</v>
      </c>
      <c r="X248">
        <v>1</v>
      </c>
      <c r="Y248">
        <v>0</v>
      </c>
      <c r="Z248">
        <v>0</v>
      </c>
      <c r="AB248">
        <v>0</v>
      </c>
      <c r="AC248">
        <v>9</v>
      </c>
      <c r="AD248">
        <v>3</v>
      </c>
      <c r="AE248">
        <v>0</v>
      </c>
      <c r="AF248">
        <v>9</v>
      </c>
      <c r="AG248" t="s">
        <v>158</v>
      </c>
      <c r="AH248">
        <v>0</v>
      </c>
      <c r="AI248">
        <v>3</v>
      </c>
      <c r="AJ248">
        <v>1</v>
      </c>
      <c r="AK248">
        <v>0</v>
      </c>
      <c r="AL248" t="s">
        <v>568</v>
      </c>
      <c r="AM248">
        <v>47.047319000000002</v>
      </c>
      <c r="AN248" t="s">
        <v>145</v>
      </c>
      <c r="AO248">
        <v>-122.28663</v>
      </c>
      <c r="AP248">
        <v>100</v>
      </c>
      <c r="AQ248">
        <v>2000</v>
      </c>
      <c r="AR248" t="s">
        <v>118</v>
      </c>
      <c r="AS248">
        <v>-16</v>
      </c>
      <c r="AT248">
        <v>-81</v>
      </c>
      <c r="AU248">
        <v>192</v>
      </c>
      <c r="BC248">
        <v>1200</v>
      </c>
      <c r="BD248">
        <v>1</v>
      </c>
      <c r="BE248" t="str">
        <f t="shared" si="11"/>
        <v xml:space="preserve">N215T   </v>
      </c>
      <c r="BF248">
        <v>1</v>
      </c>
      <c r="BH248">
        <v>0</v>
      </c>
      <c r="BI248">
        <v>0</v>
      </c>
      <c r="BJ248">
        <v>0</v>
      </c>
      <c r="BK248">
        <v>2400</v>
      </c>
      <c r="BL248">
        <v>400</v>
      </c>
      <c r="BM248" t="s">
        <v>119</v>
      </c>
      <c r="BN248">
        <v>1</v>
      </c>
      <c r="BO248">
        <v>1</v>
      </c>
      <c r="BP248">
        <v>1</v>
      </c>
      <c r="BQ248">
        <v>0</v>
      </c>
      <c r="BT248">
        <v>0</v>
      </c>
      <c r="BU248">
        <v>0</v>
      </c>
      <c r="BV248">
        <v>0</v>
      </c>
      <c r="CC248" t="str">
        <f>"18:38:33.398"</f>
        <v>18:38:33.398</v>
      </c>
      <c r="CD248" t="str">
        <f>"395766647"</f>
        <v>395766647</v>
      </c>
      <c r="CQ248">
        <v>0</v>
      </c>
      <c r="CR248">
        <v>2</v>
      </c>
      <c r="CS248">
        <v>0</v>
      </c>
      <c r="CT248">
        <v>2</v>
      </c>
      <c r="CU248">
        <v>0</v>
      </c>
      <c r="CV248">
        <v>5</v>
      </c>
      <c r="CW248" t="s">
        <v>120</v>
      </c>
      <c r="CX248">
        <v>259</v>
      </c>
      <c r="CY248">
        <v>1</v>
      </c>
      <c r="CZ248" t="s">
        <v>197</v>
      </c>
      <c r="DA248" t="s">
        <v>198</v>
      </c>
      <c r="DD248">
        <v>14786477</v>
      </c>
      <c r="DE248" t="s">
        <v>123</v>
      </c>
    </row>
    <row r="249" spans="1:109" x14ac:dyDescent="0.3">
      <c r="A249" t="str">
        <f>"18:38:34.547"</f>
        <v>18:38:34.547</v>
      </c>
      <c r="B249" t="s">
        <v>110</v>
      </c>
      <c r="C249" t="str">
        <f t="shared" si="9"/>
        <v>ffdfd3c0</v>
      </c>
      <c r="D249" t="s">
        <v>111</v>
      </c>
      <c r="E249">
        <v>18</v>
      </c>
      <c r="F249">
        <v>1018</v>
      </c>
      <c r="G249" t="s">
        <v>112</v>
      </c>
      <c r="J249" t="s">
        <v>113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R249" t="s">
        <v>114</v>
      </c>
      <c r="S249" t="str">
        <f>"18:38:34.305"</f>
        <v>18:38:34.305</v>
      </c>
      <c r="T249" t="str">
        <f>"18:38:34.008"</f>
        <v>18:38:34.008</v>
      </c>
      <c r="U249" t="str">
        <f t="shared" si="10"/>
        <v>a1cdbe</v>
      </c>
      <c r="V249">
        <v>0</v>
      </c>
      <c r="W249">
        <v>0</v>
      </c>
      <c r="X249">
        <v>1</v>
      </c>
      <c r="Y249">
        <v>0</v>
      </c>
      <c r="Z249">
        <v>0</v>
      </c>
      <c r="AB249">
        <v>0</v>
      </c>
      <c r="AC249">
        <v>9</v>
      </c>
      <c r="AD249">
        <v>3</v>
      </c>
      <c r="AE249">
        <v>0</v>
      </c>
      <c r="AF249">
        <v>9</v>
      </c>
      <c r="AG249" t="s">
        <v>158</v>
      </c>
      <c r="AH249">
        <v>0</v>
      </c>
      <c r="AI249">
        <v>3</v>
      </c>
      <c r="AJ249">
        <v>1</v>
      </c>
      <c r="AK249">
        <v>0</v>
      </c>
      <c r="AL249" t="s">
        <v>569</v>
      </c>
      <c r="AM249">
        <v>47.046998000000002</v>
      </c>
      <c r="AN249" t="s">
        <v>143</v>
      </c>
      <c r="AO249">
        <v>-122.286716</v>
      </c>
      <c r="AP249">
        <v>100</v>
      </c>
      <c r="AQ249">
        <v>2000</v>
      </c>
      <c r="AR249" t="s">
        <v>118</v>
      </c>
      <c r="AS249">
        <v>-16</v>
      </c>
      <c r="AT249">
        <v>-81</v>
      </c>
      <c r="AU249">
        <v>128</v>
      </c>
      <c r="BC249">
        <v>1200</v>
      </c>
      <c r="BD249">
        <v>1</v>
      </c>
      <c r="BE249" t="str">
        <f t="shared" si="11"/>
        <v xml:space="preserve">N215T   </v>
      </c>
      <c r="BF249">
        <v>1</v>
      </c>
      <c r="BH249">
        <v>0</v>
      </c>
      <c r="BI249">
        <v>0</v>
      </c>
      <c r="BJ249">
        <v>0</v>
      </c>
      <c r="BK249">
        <v>2400</v>
      </c>
      <c r="BL249">
        <v>400</v>
      </c>
      <c r="BM249" t="s">
        <v>119</v>
      </c>
      <c r="BN249">
        <v>1</v>
      </c>
      <c r="BO249">
        <v>1</v>
      </c>
      <c r="BP249">
        <v>1</v>
      </c>
      <c r="BQ249">
        <v>0</v>
      </c>
      <c r="BT249">
        <v>0</v>
      </c>
      <c r="BU249">
        <v>0</v>
      </c>
      <c r="BV249">
        <v>0</v>
      </c>
      <c r="CC249" t="str">
        <f>"18:38:34.313"</f>
        <v>18:38:34.313</v>
      </c>
      <c r="CD249" t="str">
        <f>"310565788"</f>
        <v>310565788</v>
      </c>
      <c r="CQ249">
        <v>0</v>
      </c>
      <c r="CR249">
        <v>2</v>
      </c>
      <c r="CS249">
        <v>0</v>
      </c>
      <c r="CT249">
        <v>2</v>
      </c>
      <c r="CU249">
        <v>0</v>
      </c>
      <c r="CV249">
        <v>4</v>
      </c>
      <c r="CW249" t="s">
        <v>120</v>
      </c>
      <c r="CX249">
        <v>261</v>
      </c>
      <c r="CY249">
        <v>2</v>
      </c>
      <c r="CZ249" t="s">
        <v>121</v>
      </c>
      <c r="DA249" t="s">
        <v>122</v>
      </c>
      <c r="DD249">
        <v>14376791</v>
      </c>
      <c r="DE249" t="s">
        <v>123</v>
      </c>
    </row>
    <row r="250" spans="1:109" x14ac:dyDescent="0.3">
      <c r="A250" t="str">
        <f>"18:38:35.703"</f>
        <v>18:38:35.703</v>
      </c>
      <c r="B250" t="s">
        <v>110</v>
      </c>
      <c r="C250" t="str">
        <f t="shared" si="9"/>
        <v>ffdfd3c0</v>
      </c>
      <c r="D250" t="s">
        <v>111</v>
      </c>
      <c r="E250">
        <v>18</v>
      </c>
      <c r="F250">
        <v>1018</v>
      </c>
      <c r="G250" t="s">
        <v>112</v>
      </c>
      <c r="J250" t="s">
        <v>113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R250" t="s">
        <v>114</v>
      </c>
      <c r="S250" t="str">
        <f>"18:38:35.461"</f>
        <v>18:38:35.461</v>
      </c>
      <c r="T250" t="str">
        <f>"18:38:35.063"</f>
        <v>18:38:35.063</v>
      </c>
      <c r="U250" t="str">
        <f t="shared" si="10"/>
        <v>a1cdbe</v>
      </c>
      <c r="V250">
        <v>0</v>
      </c>
      <c r="W250">
        <v>0</v>
      </c>
      <c r="X250">
        <v>1</v>
      </c>
      <c r="Y250">
        <v>0</v>
      </c>
      <c r="Z250">
        <v>0</v>
      </c>
      <c r="AB250">
        <v>0</v>
      </c>
      <c r="AC250">
        <v>9</v>
      </c>
      <c r="AD250">
        <v>3</v>
      </c>
      <c r="AE250">
        <v>0</v>
      </c>
      <c r="AF250">
        <v>9</v>
      </c>
      <c r="AG250" t="s">
        <v>158</v>
      </c>
      <c r="AH250">
        <v>0</v>
      </c>
      <c r="AI250">
        <v>3</v>
      </c>
      <c r="AJ250">
        <v>1</v>
      </c>
      <c r="AK250">
        <v>0</v>
      </c>
      <c r="AL250" t="s">
        <v>570</v>
      </c>
      <c r="AM250">
        <v>47.046568000000001</v>
      </c>
      <c r="AN250" t="s">
        <v>134</v>
      </c>
      <c r="AO250">
        <v>-122.286844</v>
      </c>
      <c r="AP250">
        <v>100</v>
      </c>
      <c r="AQ250">
        <v>2000</v>
      </c>
      <c r="AR250" t="s">
        <v>118</v>
      </c>
      <c r="AS250">
        <v>-16</v>
      </c>
      <c r="AT250">
        <v>-81</v>
      </c>
      <c r="AU250">
        <v>128</v>
      </c>
      <c r="BC250">
        <v>1200</v>
      </c>
      <c r="BD250">
        <v>1</v>
      </c>
      <c r="BE250" t="str">
        <f t="shared" si="11"/>
        <v xml:space="preserve">N215T   </v>
      </c>
      <c r="BF250">
        <v>1</v>
      </c>
      <c r="BH250">
        <v>0</v>
      </c>
      <c r="BI250">
        <v>0</v>
      </c>
      <c r="BJ250">
        <v>0</v>
      </c>
      <c r="BK250">
        <v>2400</v>
      </c>
      <c r="BL250">
        <v>400</v>
      </c>
      <c r="BM250" t="s">
        <v>119</v>
      </c>
      <c r="BN250">
        <v>1</v>
      </c>
      <c r="BO250">
        <v>1</v>
      </c>
      <c r="BP250">
        <v>1</v>
      </c>
      <c r="BQ250">
        <v>0</v>
      </c>
      <c r="BT250">
        <v>0</v>
      </c>
      <c r="BU250">
        <v>0</v>
      </c>
      <c r="BV250">
        <v>0</v>
      </c>
      <c r="CC250" t="str">
        <f>"18:38:35.469"</f>
        <v>18:38:35.469</v>
      </c>
      <c r="CD250" t="str">
        <f>"465563170"</f>
        <v>465563170</v>
      </c>
      <c r="CQ250">
        <v>0</v>
      </c>
      <c r="CR250">
        <v>2</v>
      </c>
      <c r="CS250">
        <v>0</v>
      </c>
      <c r="CT250">
        <v>2</v>
      </c>
      <c r="CU250">
        <v>0</v>
      </c>
      <c r="CV250">
        <v>5</v>
      </c>
      <c r="CW250" t="s">
        <v>120</v>
      </c>
      <c r="CX250">
        <v>259</v>
      </c>
      <c r="CY250">
        <v>1</v>
      </c>
      <c r="CZ250" t="s">
        <v>197</v>
      </c>
      <c r="DA250" t="s">
        <v>198</v>
      </c>
      <c r="DD250">
        <v>14787888</v>
      </c>
      <c r="DE250" t="s">
        <v>123</v>
      </c>
    </row>
    <row r="251" spans="1:109" x14ac:dyDescent="0.3">
      <c r="A251" t="str">
        <f>"18:38:36.711"</f>
        <v>18:38:36.711</v>
      </c>
      <c r="B251" t="s">
        <v>110</v>
      </c>
      <c r="C251" t="str">
        <f t="shared" si="9"/>
        <v>ffdfd3c0</v>
      </c>
      <c r="D251" t="s">
        <v>111</v>
      </c>
      <c r="E251">
        <v>18</v>
      </c>
      <c r="F251">
        <v>1018</v>
      </c>
      <c r="G251" t="s">
        <v>112</v>
      </c>
      <c r="J251" t="s">
        <v>113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R251" t="s">
        <v>114</v>
      </c>
      <c r="S251" t="str">
        <f>"18:38:36.484"</f>
        <v>18:38:36.484</v>
      </c>
      <c r="T251" t="str">
        <f>"18:38:36.086"</f>
        <v>18:38:36.086</v>
      </c>
      <c r="U251" t="str">
        <f t="shared" si="10"/>
        <v>a1cdbe</v>
      </c>
      <c r="V251">
        <v>0</v>
      </c>
      <c r="W251">
        <v>0</v>
      </c>
      <c r="X251">
        <v>1</v>
      </c>
      <c r="Y251">
        <v>0</v>
      </c>
      <c r="Z251">
        <v>0</v>
      </c>
      <c r="AB251">
        <v>0</v>
      </c>
      <c r="AC251">
        <v>9</v>
      </c>
      <c r="AD251">
        <v>3</v>
      </c>
      <c r="AE251">
        <v>0</v>
      </c>
      <c r="AF251">
        <v>9</v>
      </c>
      <c r="AG251" t="s">
        <v>158</v>
      </c>
      <c r="AH251">
        <v>0</v>
      </c>
      <c r="AI251">
        <v>3</v>
      </c>
      <c r="AJ251">
        <v>1</v>
      </c>
      <c r="AK251">
        <v>0</v>
      </c>
      <c r="AL251" t="s">
        <v>571</v>
      </c>
      <c r="AM251">
        <v>47.046204000000003</v>
      </c>
      <c r="AN251" t="s">
        <v>130</v>
      </c>
      <c r="AO251">
        <v>-122.286973</v>
      </c>
      <c r="AP251">
        <v>100</v>
      </c>
      <c r="AQ251">
        <v>2000</v>
      </c>
      <c r="AR251" t="s">
        <v>118</v>
      </c>
      <c r="AS251">
        <v>-16</v>
      </c>
      <c r="AT251">
        <v>-81</v>
      </c>
      <c r="AU251">
        <v>0</v>
      </c>
      <c r="BC251">
        <v>1200</v>
      </c>
      <c r="BD251">
        <v>1</v>
      </c>
      <c r="BE251" t="str">
        <f t="shared" si="11"/>
        <v xml:space="preserve">N215T   </v>
      </c>
      <c r="BF251">
        <v>1</v>
      </c>
      <c r="BH251">
        <v>0</v>
      </c>
      <c r="BI251">
        <v>0</v>
      </c>
      <c r="BJ251">
        <v>0</v>
      </c>
      <c r="BK251">
        <v>2400</v>
      </c>
      <c r="BL251">
        <v>400</v>
      </c>
      <c r="BM251" t="s">
        <v>119</v>
      </c>
      <c r="BN251">
        <v>1</v>
      </c>
      <c r="BO251">
        <v>1</v>
      </c>
      <c r="BP251">
        <v>1</v>
      </c>
      <c r="BQ251">
        <v>0</v>
      </c>
      <c r="BT251">
        <v>0</v>
      </c>
      <c r="BU251">
        <v>0</v>
      </c>
      <c r="BV251">
        <v>0</v>
      </c>
      <c r="CC251" t="str">
        <f>"18:38:36.484"</f>
        <v>18:38:36.484</v>
      </c>
      <c r="CD251" t="str">
        <f>"485462911"</f>
        <v>485462911</v>
      </c>
      <c r="CQ251">
        <v>0</v>
      </c>
      <c r="CR251">
        <v>2</v>
      </c>
      <c r="CS251">
        <v>0</v>
      </c>
      <c r="CT251">
        <v>2</v>
      </c>
      <c r="CU251">
        <v>0</v>
      </c>
      <c r="CV251">
        <v>4</v>
      </c>
      <c r="CW251" t="s">
        <v>120</v>
      </c>
      <c r="CX251">
        <v>259</v>
      </c>
      <c r="CY251">
        <v>1</v>
      </c>
      <c r="CZ251" t="s">
        <v>197</v>
      </c>
      <c r="DA251" t="s">
        <v>198</v>
      </c>
      <c r="DD251">
        <v>14788571</v>
      </c>
      <c r="DE251" t="s">
        <v>123</v>
      </c>
    </row>
    <row r="252" spans="1:109" x14ac:dyDescent="0.3">
      <c r="A252" t="str">
        <f>"18:38:38.117"</f>
        <v>18:38:38.117</v>
      </c>
      <c r="B252" t="s">
        <v>110</v>
      </c>
      <c r="C252" t="str">
        <f t="shared" si="9"/>
        <v>ffdfd3c0</v>
      </c>
      <c r="D252" t="s">
        <v>111</v>
      </c>
      <c r="E252">
        <v>18</v>
      </c>
      <c r="F252">
        <v>1018</v>
      </c>
      <c r="G252" t="s">
        <v>112</v>
      </c>
      <c r="J252" t="s">
        <v>113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R252" t="s">
        <v>114</v>
      </c>
      <c r="S252" t="str">
        <f>"18:38:37.875"</f>
        <v>18:38:37.875</v>
      </c>
      <c r="T252" t="str">
        <f>"18:38:37.875"</f>
        <v>18:38:37.875</v>
      </c>
      <c r="U252" t="str">
        <f t="shared" si="10"/>
        <v>a1cdbe</v>
      </c>
      <c r="V252">
        <v>0</v>
      </c>
      <c r="W252">
        <v>0</v>
      </c>
      <c r="X252">
        <v>1</v>
      </c>
      <c r="Y252">
        <v>0</v>
      </c>
      <c r="Z252">
        <v>0</v>
      </c>
      <c r="AB252">
        <v>0</v>
      </c>
      <c r="AC252">
        <v>9</v>
      </c>
      <c r="AD252">
        <v>3</v>
      </c>
      <c r="AE252">
        <v>0</v>
      </c>
      <c r="AF252">
        <v>9</v>
      </c>
      <c r="AG252" t="s">
        <v>158</v>
      </c>
      <c r="AH252">
        <v>0</v>
      </c>
      <c r="AI252">
        <v>3</v>
      </c>
      <c r="AJ252">
        <v>1</v>
      </c>
      <c r="AK252">
        <v>0</v>
      </c>
      <c r="AL252" t="s">
        <v>572</v>
      </c>
      <c r="AM252">
        <v>47.045645999999998</v>
      </c>
      <c r="AN252" t="s">
        <v>573</v>
      </c>
      <c r="AO252">
        <v>-122.28712299999999</v>
      </c>
      <c r="AP252">
        <v>100</v>
      </c>
      <c r="AQ252">
        <v>2000</v>
      </c>
      <c r="AR252" t="s">
        <v>118</v>
      </c>
      <c r="AS252">
        <v>-16</v>
      </c>
      <c r="AT252">
        <v>-81</v>
      </c>
      <c r="AU252">
        <v>-192</v>
      </c>
      <c r="BC252">
        <v>1200</v>
      </c>
      <c r="BD252">
        <v>1</v>
      </c>
      <c r="BE252" t="str">
        <f t="shared" si="11"/>
        <v xml:space="preserve">N215T   </v>
      </c>
      <c r="BF252">
        <v>1</v>
      </c>
      <c r="BH252">
        <v>0</v>
      </c>
      <c r="BI252">
        <v>0</v>
      </c>
      <c r="BJ252">
        <v>0</v>
      </c>
      <c r="BK252">
        <v>2400</v>
      </c>
      <c r="BL252">
        <v>400</v>
      </c>
      <c r="BM252" t="s">
        <v>119</v>
      </c>
      <c r="BN252">
        <v>1</v>
      </c>
      <c r="BO252">
        <v>1</v>
      </c>
      <c r="BP252">
        <v>1</v>
      </c>
      <c r="BQ252">
        <v>0</v>
      </c>
      <c r="BT252">
        <v>0</v>
      </c>
      <c r="BU252">
        <v>0</v>
      </c>
      <c r="BV252">
        <v>0</v>
      </c>
      <c r="CC252" t="str">
        <f>"18:38:37.883"</f>
        <v>18:38:37.883</v>
      </c>
      <c r="CD252" t="str">
        <f>"880214693"</f>
        <v>880214693</v>
      </c>
      <c r="CQ252">
        <v>0</v>
      </c>
      <c r="CR252">
        <v>2</v>
      </c>
      <c r="CS252">
        <v>0</v>
      </c>
      <c r="CT252">
        <v>2</v>
      </c>
      <c r="CU252">
        <v>0</v>
      </c>
      <c r="CV252">
        <v>4</v>
      </c>
      <c r="CW252" t="s">
        <v>120</v>
      </c>
      <c r="CX252">
        <v>261</v>
      </c>
      <c r="CY252">
        <v>1</v>
      </c>
      <c r="CZ252" t="s">
        <v>121</v>
      </c>
      <c r="DA252" t="s">
        <v>122</v>
      </c>
      <c r="DD252">
        <v>3242134</v>
      </c>
      <c r="DE252" t="s">
        <v>123</v>
      </c>
    </row>
    <row r="253" spans="1:109" x14ac:dyDescent="0.3">
      <c r="A253" t="str">
        <f>"18:38:39.672"</f>
        <v>18:38:39.672</v>
      </c>
      <c r="B253" t="s">
        <v>110</v>
      </c>
      <c r="C253" t="str">
        <f t="shared" si="9"/>
        <v>ffdfd3c0</v>
      </c>
      <c r="D253" t="s">
        <v>111</v>
      </c>
      <c r="E253">
        <v>18</v>
      </c>
      <c r="F253">
        <v>1018</v>
      </c>
      <c r="G253" t="s">
        <v>112</v>
      </c>
      <c r="J253" t="s">
        <v>113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R253" t="s">
        <v>114</v>
      </c>
      <c r="S253" t="str">
        <f>"18:38:39.453"</f>
        <v>18:38:39.453</v>
      </c>
      <c r="T253" t="str">
        <f>"18:38:39.453"</f>
        <v>18:38:39.453</v>
      </c>
      <c r="U253" t="str">
        <f t="shared" si="10"/>
        <v>a1cdbe</v>
      </c>
      <c r="V253">
        <v>0</v>
      </c>
      <c r="W253">
        <v>0</v>
      </c>
      <c r="X253">
        <v>1</v>
      </c>
      <c r="Y253">
        <v>0</v>
      </c>
      <c r="Z253">
        <v>0</v>
      </c>
      <c r="AB253">
        <v>0</v>
      </c>
      <c r="AC253">
        <v>9</v>
      </c>
      <c r="AD253">
        <v>3</v>
      </c>
      <c r="AE253">
        <v>0</v>
      </c>
      <c r="AF253">
        <v>9</v>
      </c>
      <c r="AG253" t="s">
        <v>158</v>
      </c>
      <c r="AH253">
        <v>0</v>
      </c>
      <c r="AI253">
        <v>3</v>
      </c>
      <c r="AJ253">
        <v>1</v>
      </c>
      <c r="AK253">
        <v>0</v>
      </c>
      <c r="AL253" t="s">
        <v>574</v>
      </c>
      <c r="AM253">
        <v>47.045088</v>
      </c>
      <c r="AN253" t="s">
        <v>575</v>
      </c>
      <c r="AO253">
        <v>-122.28733800000001</v>
      </c>
      <c r="AP253">
        <v>100</v>
      </c>
      <c r="AQ253">
        <v>2000</v>
      </c>
      <c r="AR253" t="s">
        <v>118</v>
      </c>
      <c r="AS253">
        <v>-17</v>
      </c>
      <c r="AT253">
        <v>-81</v>
      </c>
      <c r="AU253">
        <v>-192</v>
      </c>
      <c r="BC253">
        <v>1200</v>
      </c>
      <c r="BD253">
        <v>1</v>
      </c>
      <c r="BE253" t="str">
        <f t="shared" si="11"/>
        <v xml:space="preserve">N215T   </v>
      </c>
      <c r="BF253">
        <v>1</v>
      </c>
      <c r="BH253">
        <v>0</v>
      </c>
      <c r="BI253">
        <v>0</v>
      </c>
      <c r="BJ253">
        <v>0</v>
      </c>
      <c r="BK253">
        <v>2400</v>
      </c>
      <c r="BL253">
        <v>400</v>
      </c>
      <c r="BM253" t="s">
        <v>119</v>
      </c>
      <c r="BN253">
        <v>1</v>
      </c>
      <c r="BO253">
        <v>1</v>
      </c>
      <c r="BP253">
        <v>1</v>
      </c>
      <c r="BQ253">
        <v>0</v>
      </c>
      <c r="BT253">
        <v>0</v>
      </c>
      <c r="BU253">
        <v>0</v>
      </c>
      <c r="BV253">
        <v>0</v>
      </c>
      <c r="CC253" t="str">
        <f>"18:38:39.453"</f>
        <v>18:38:39.453</v>
      </c>
      <c r="CD253" t="str">
        <f>"455059826"</f>
        <v>455059826</v>
      </c>
      <c r="CQ253">
        <v>0</v>
      </c>
      <c r="CR253">
        <v>2</v>
      </c>
      <c r="CS253">
        <v>0</v>
      </c>
      <c r="CT253">
        <v>2</v>
      </c>
      <c r="CU253">
        <v>0</v>
      </c>
      <c r="CV253">
        <v>4</v>
      </c>
      <c r="CW253" t="s">
        <v>120</v>
      </c>
      <c r="CX253">
        <v>261</v>
      </c>
      <c r="CY253">
        <v>2</v>
      </c>
      <c r="CZ253" t="s">
        <v>121</v>
      </c>
      <c r="DA253" t="s">
        <v>122</v>
      </c>
      <c r="DD253">
        <v>14379670</v>
      </c>
      <c r="DE253" t="s">
        <v>123</v>
      </c>
    </row>
    <row r="254" spans="1:109" x14ac:dyDescent="0.3">
      <c r="A254" t="str">
        <f>"18:38:40.781"</f>
        <v>18:38:40.781</v>
      </c>
      <c r="B254" t="s">
        <v>110</v>
      </c>
      <c r="C254" t="str">
        <f t="shared" si="9"/>
        <v>ffdfd3c0</v>
      </c>
      <c r="D254" t="s">
        <v>111</v>
      </c>
      <c r="E254">
        <v>18</v>
      </c>
      <c r="F254">
        <v>1018</v>
      </c>
      <c r="G254" t="s">
        <v>112</v>
      </c>
      <c r="J254" t="s">
        <v>113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R254" t="s">
        <v>114</v>
      </c>
      <c r="S254" t="str">
        <f>"18:38:40.547"</f>
        <v>18:38:40.547</v>
      </c>
      <c r="T254" t="str">
        <f>"18:38:40.344"</f>
        <v>18:38:40.344</v>
      </c>
      <c r="U254" t="str">
        <f t="shared" si="10"/>
        <v>a1cdbe</v>
      </c>
      <c r="V254">
        <v>0</v>
      </c>
      <c r="W254">
        <v>0</v>
      </c>
      <c r="X254">
        <v>1</v>
      </c>
      <c r="Y254">
        <v>0</v>
      </c>
      <c r="Z254">
        <v>0</v>
      </c>
      <c r="AB254">
        <v>0</v>
      </c>
      <c r="AC254">
        <v>9</v>
      </c>
      <c r="AD254">
        <v>3</v>
      </c>
      <c r="AE254">
        <v>0</v>
      </c>
      <c r="AF254">
        <v>9</v>
      </c>
      <c r="AG254" t="s">
        <v>158</v>
      </c>
      <c r="AH254">
        <v>0</v>
      </c>
      <c r="AI254">
        <v>3</v>
      </c>
      <c r="AJ254">
        <v>1</v>
      </c>
      <c r="AK254">
        <v>0</v>
      </c>
      <c r="AL254" t="s">
        <v>576</v>
      </c>
      <c r="AM254">
        <v>47.044637000000002</v>
      </c>
      <c r="AN254" t="s">
        <v>577</v>
      </c>
      <c r="AO254">
        <v>-122.28744500000001</v>
      </c>
      <c r="AP254">
        <v>100</v>
      </c>
      <c r="AQ254">
        <v>2000</v>
      </c>
      <c r="AR254" t="s">
        <v>118</v>
      </c>
      <c r="AS254">
        <v>-16</v>
      </c>
      <c r="AT254">
        <v>-81</v>
      </c>
      <c r="AU254">
        <v>-256</v>
      </c>
      <c r="BC254">
        <v>1200</v>
      </c>
      <c r="BD254">
        <v>1</v>
      </c>
      <c r="BE254" t="str">
        <f t="shared" si="11"/>
        <v xml:space="preserve">N215T   </v>
      </c>
      <c r="BF254">
        <v>1</v>
      </c>
      <c r="BH254">
        <v>0</v>
      </c>
      <c r="BI254">
        <v>0</v>
      </c>
      <c r="BJ254">
        <v>0</v>
      </c>
      <c r="BK254">
        <v>2375</v>
      </c>
      <c r="BL254">
        <v>375</v>
      </c>
      <c r="BM254" t="s">
        <v>119</v>
      </c>
      <c r="BN254">
        <v>1</v>
      </c>
      <c r="BO254">
        <v>1</v>
      </c>
      <c r="BP254">
        <v>1</v>
      </c>
      <c r="BQ254">
        <v>0</v>
      </c>
      <c r="BT254">
        <v>0</v>
      </c>
      <c r="BU254">
        <v>0</v>
      </c>
      <c r="BV254">
        <v>0</v>
      </c>
      <c r="CC254" t="str">
        <f>"18:38:40.547"</f>
        <v>18:38:40.547</v>
      </c>
      <c r="CD254" t="str">
        <f>"549952192"</f>
        <v>549952192</v>
      </c>
      <c r="CQ254">
        <v>0</v>
      </c>
      <c r="CR254">
        <v>2</v>
      </c>
      <c r="CS254">
        <v>0</v>
      </c>
      <c r="CT254">
        <v>2</v>
      </c>
      <c r="CU254">
        <v>0</v>
      </c>
      <c r="CV254">
        <v>4</v>
      </c>
      <c r="CW254" t="s">
        <v>120</v>
      </c>
      <c r="CX254">
        <v>261</v>
      </c>
      <c r="CY254">
        <v>1</v>
      </c>
      <c r="CZ254" t="s">
        <v>121</v>
      </c>
      <c r="DA254" t="s">
        <v>122</v>
      </c>
      <c r="DD254">
        <v>3243794</v>
      </c>
      <c r="DE254" t="s">
        <v>123</v>
      </c>
    </row>
    <row r="255" spans="1:109" x14ac:dyDescent="0.3">
      <c r="A255" t="str">
        <f>"18:38:41.789"</f>
        <v>18:38:41.789</v>
      </c>
      <c r="B255" t="s">
        <v>110</v>
      </c>
      <c r="C255" t="str">
        <f t="shared" si="9"/>
        <v>ffdfd3c0</v>
      </c>
      <c r="D255" t="s">
        <v>111</v>
      </c>
      <c r="E255">
        <v>18</v>
      </c>
      <c r="F255">
        <v>1018</v>
      </c>
      <c r="G255" t="s">
        <v>112</v>
      </c>
      <c r="J255" t="s">
        <v>113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R255" t="s">
        <v>114</v>
      </c>
      <c r="S255" t="str">
        <f>"18:38:41.539"</f>
        <v>18:38:41.539</v>
      </c>
      <c r="T255" t="str">
        <f>"18:38:41.336"</f>
        <v>18:38:41.336</v>
      </c>
      <c r="U255" t="str">
        <f t="shared" si="10"/>
        <v>a1cdbe</v>
      </c>
      <c r="V255">
        <v>0</v>
      </c>
      <c r="W255">
        <v>0</v>
      </c>
      <c r="X255">
        <v>1</v>
      </c>
      <c r="Y255">
        <v>0</v>
      </c>
      <c r="Z255">
        <v>0</v>
      </c>
      <c r="AB255">
        <v>0</v>
      </c>
      <c r="AC255">
        <v>9</v>
      </c>
      <c r="AD255">
        <v>3</v>
      </c>
      <c r="AE255">
        <v>0</v>
      </c>
      <c r="AF255">
        <v>9</v>
      </c>
      <c r="AG255" t="s">
        <v>158</v>
      </c>
      <c r="AH255">
        <v>0</v>
      </c>
      <c r="AI255">
        <v>3</v>
      </c>
      <c r="AJ255">
        <v>1</v>
      </c>
      <c r="AK255">
        <v>0</v>
      </c>
      <c r="AL255" t="s">
        <v>578</v>
      </c>
      <c r="AM255">
        <v>47.044294000000001</v>
      </c>
      <c r="AN255" t="s">
        <v>579</v>
      </c>
      <c r="AO255">
        <v>-122.28755200000001</v>
      </c>
      <c r="AP255">
        <v>100</v>
      </c>
      <c r="AQ255">
        <v>2000</v>
      </c>
      <c r="AR255" t="s">
        <v>118</v>
      </c>
      <c r="AS255">
        <v>-16</v>
      </c>
      <c r="AT255">
        <v>-82</v>
      </c>
      <c r="AU255">
        <v>-192</v>
      </c>
      <c r="BC255">
        <v>1200</v>
      </c>
      <c r="BD255">
        <v>1</v>
      </c>
      <c r="BE255" t="str">
        <f t="shared" si="11"/>
        <v xml:space="preserve">N215T   </v>
      </c>
      <c r="BF255">
        <v>1</v>
      </c>
      <c r="BH255">
        <v>0</v>
      </c>
      <c r="BI255">
        <v>0</v>
      </c>
      <c r="BJ255">
        <v>0</v>
      </c>
      <c r="BK255">
        <v>2375</v>
      </c>
      <c r="BL255">
        <v>375</v>
      </c>
      <c r="BM255" t="s">
        <v>119</v>
      </c>
      <c r="BN255">
        <v>1</v>
      </c>
      <c r="BO255">
        <v>1</v>
      </c>
      <c r="BP255">
        <v>1</v>
      </c>
      <c r="BQ255">
        <v>0</v>
      </c>
      <c r="BT255">
        <v>0</v>
      </c>
      <c r="BU255">
        <v>0</v>
      </c>
      <c r="BV255">
        <v>0</v>
      </c>
      <c r="CC255" t="str">
        <f>"18:38:41.539"</f>
        <v>18:38:41.539</v>
      </c>
      <c r="CD255" t="str">
        <f>"539854805"</f>
        <v>539854805</v>
      </c>
      <c r="CQ255">
        <v>0</v>
      </c>
      <c r="CR255">
        <v>2</v>
      </c>
      <c r="CS255">
        <v>0</v>
      </c>
      <c r="CT255">
        <v>2</v>
      </c>
      <c r="CU255">
        <v>0</v>
      </c>
      <c r="CV255">
        <v>4</v>
      </c>
      <c r="CW255" t="s">
        <v>120</v>
      </c>
      <c r="CX255">
        <v>261</v>
      </c>
      <c r="CY255">
        <v>1</v>
      </c>
      <c r="CZ255" t="s">
        <v>121</v>
      </c>
      <c r="DA255" t="s">
        <v>122</v>
      </c>
      <c r="DD255">
        <v>3244434</v>
      </c>
      <c r="DE255" t="s">
        <v>123</v>
      </c>
    </row>
    <row r="256" spans="1:109" x14ac:dyDescent="0.3">
      <c r="A256" t="str">
        <f>"18:38:42.742"</f>
        <v>18:38:42.742</v>
      </c>
      <c r="B256" t="s">
        <v>110</v>
      </c>
      <c r="C256" t="str">
        <f t="shared" si="9"/>
        <v>ffdfd3c0</v>
      </c>
      <c r="D256" t="s">
        <v>111</v>
      </c>
      <c r="E256">
        <v>18</v>
      </c>
      <c r="F256">
        <v>1018</v>
      </c>
      <c r="G256" t="s">
        <v>112</v>
      </c>
      <c r="J256" t="s">
        <v>113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R256" t="s">
        <v>114</v>
      </c>
      <c r="S256" t="str">
        <f>"18:38:42.508"</f>
        <v>18:38:42.508</v>
      </c>
      <c r="T256" t="str">
        <f>"18:38:42.406"</f>
        <v>18:38:42.406</v>
      </c>
      <c r="U256" t="str">
        <f t="shared" si="10"/>
        <v>a1cdbe</v>
      </c>
      <c r="V256">
        <v>0</v>
      </c>
      <c r="W256">
        <v>0</v>
      </c>
      <c r="X256">
        <v>1</v>
      </c>
      <c r="Y256">
        <v>0</v>
      </c>
      <c r="Z256">
        <v>0</v>
      </c>
      <c r="AB256">
        <v>0</v>
      </c>
      <c r="AC256">
        <v>9</v>
      </c>
      <c r="AD256">
        <v>3</v>
      </c>
      <c r="AE256">
        <v>0</v>
      </c>
      <c r="AF256">
        <v>9</v>
      </c>
      <c r="AG256" t="s">
        <v>158</v>
      </c>
      <c r="AH256">
        <v>0</v>
      </c>
      <c r="AI256">
        <v>3</v>
      </c>
      <c r="AJ256">
        <v>1</v>
      </c>
      <c r="AK256">
        <v>0</v>
      </c>
      <c r="AL256" t="s">
        <v>580</v>
      </c>
      <c r="AM256">
        <v>47.043908000000002</v>
      </c>
      <c r="AN256" t="s">
        <v>581</v>
      </c>
      <c r="AO256">
        <v>-122.28766</v>
      </c>
      <c r="AP256">
        <v>100</v>
      </c>
      <c r="AQ256">
        <v>2000</v>
      </c>
      <c r="AR256" t="s">
        <v>118</v>
      </c>
      <c r="AS256">
        <v>-16</v>
      </c>
      <c r="AT256">
        <v>-82</v>
      </c>
      <c r="AU256">
        <v>-256</v>
      </c>
      <c r="BC256">
        <v>1200</v>
      </c>
      <c r="BD256">
        <v>1</v>
      </c>
      <c r="BE256" t="str">
        <f t="shared" si="11"/>
        <v xml:space="preserve">N215T   </v>
      </c>
      <c r="BF256">
        <v>1</v>
      </c>
      <c r="BH256">
        <v>0</v>
      </c>
      <c r="BI256">
        <v>0</v>
      </c>
      <c r="BJ256">
        <v>0</v>
      </c>
      <c r="BK256">
        <v>2375</v>
      </c>
      <c r="BL256">
        <v>375</v>
      </c>
      <c r="BM256" t="s">
        <v>119</v>
      </c>
      <c r="BN256">
        <v>1</v>
      </c>
      <c r="BO256">
        <v>1</v>
      </c>
      <c r="BP256">
        <v>1</v>
      </c>
      <c r="BQ256">
        <v>0</v>
      </c>
      <c r="BT256">
        <v>0</v>
      </c>
      <c r="BU256">
        <v>0</v>
      </c>
      <c r="BV256">
        <v>0</v>
      </c>
      <c r="CC256" t="str">
        <f>"18:38:42.516"</f>
        <v>18:38:42.516</v>
      </c>
      <c r="CD256" t="str">
        <f>"514758933"</f>
        <v>514758933</v>
      </c>
      <c r="CQ256">
        <v>0</v>
      </c>
      <c r="CR256">
        <v>2</v>
      </c>
      <c r="CS256">
        <v>0</v>
      </c>
      <c r="CT256">
        <v>2</v>
      </c>
      <c r="CU256">
        <v>0</v>
      </c>
      <c r="CV256">
        <v>4</v>
      </c>
      <c r="CW256" t="s">
        <v>120</v>
      </c>
      <c r="CX256">
        <v>261</v>
      </c>
      <c r="CY256">
        <v>1</v>
      </c>
      <c r="CZ256" t="s">
        <v>121</v>
      </c>
      <c r="DA256" t="s">
        <v>122</v>
      </c>
      <c r="DD256">
        <v>3245063</v>
      </c>
      <c r="DE256" t="s">
        <v>123</v>
      </c>
    </row>
    <row r="257" spans="1:109" x14ac:dyDescent="0.3">
      <c r="A257" t="str">
        <f>"18:38:43.750"</f>
        <v>18:38:43.750</v>
      </c>
      <c r="B257" t="s">
        <v>110</v>
      </c>
      <c r="C257" t="str">
        <f t="shared" si="9"/>
        <v>ffdfd3c0</v>
      </c>
      <c r="D257" t="s">
        <v>111</v>
      </c>
      <c r="E257">
        <v>18</v>
      </c>
      <c r="F257">
        <v>1018</v>
      </c>
      <c r="G257" t="s">
        <v>112</v>
      </c>
      <c r="J257" t="s">
        <v>113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R257" t="s">
        <v>114</v>
      </c>
      <c r="S257" t="str">
        <f>"18:38:43.516"</f>
        <v>18:38:43.516</v>
      </c>
      <c r="T257" t="str">
        <f>"18:38:43.016"</f>
        <v>18:38:43.016</v>
      </c>
      <c r="U257" t="str">
        <f t="shared" si="10"/>
        <v>a1cdbe</v>
      </c>
      <c r="V257">
        <v>0</v>
      </c>
      <c r="W257">
        <v>0</v>
      </c>
      <c r="X257">
        <v>1</v>
      </c>
      <c r="Y257">
        <v>0</v>
      </c>
      <c r="Z257">
        <v>0</v>
      </c>
      <c r="AB257">
        <v>0</v>
      </c>
      <c r="AC257">
        <v>9</v>
      </c>
      <c r="AD257">
        <v>3</v>
      </c>
      <c r="AE257">
        <v>0</v>
      </c>
      <c r="AF257">
        <v>9</v>
      </c>
      <c r="AG257" t="s">
        <v>158</v>
      </c>
      <c r="AH257">
        <v>0</v>
      </c>
      <c r="AI257">
        <v>3</v>
      </c>
      <c r="AJ257">
        <v>1</v>
      </c>
      <c r="AK257">
        <v>0</v>
      </c>
      <c r="AL257" t="s">
        <v>582</v>
      </c>
      <c r="AM257">
        <v>47.043543</v>
      </c>
      <c r="AN257" t="s">
        <v>583</v>
      </c>
      <c r="AO257">
        <v>-122.287767</v>
      </c>
      <c r="AP257">
        <v>100</v>
      </c>
      <c r="AQ257">
        <v>2000</v>
      </c>
      <c r="AR257" t="s">
        <v>118</v>
      </c>
      <c r="AS257">
        <v>-15</v>
      </c>
      <c r="AT257">
        <v>-82</v>
      </c>
      <c r="AU257">
        <v>-256</v>
      </c>
      <c r="BC257">
        <v>1200</v>
      </c>
      <c r="BD257">
        <v>1</v>
      </c>
      <c r="BE257" t="str">
        <f t="shared" si="11"/>
        <v xml:space="preserve">N215T   </v>
      </c>
      <c r="BF257">
        <v>1</v>
      </c>
      <c r="BH257">
        <v>0</v>
      </c>
      <c r="BI257">
        <v>0</v>
      </c>
      <c r="BJ257">
        <v>0</v>
      </c>
      <c r="BK257">
        <v>2375</v>
      </c>
      <c r="BL257">
        <v>375</v>
      </c>
      <c r="BM257" t="s">
        <v>119</v>
      </c>
      <c r="BN257">
        <v>1</v>
      </c>
      <c r="BO257">
        <v>1</v>
      </c>
      <c r="BP257">
        <v>1</v>
      </c>
      <c r="BQ257">
        <v>0</v>
      </c>
      <c r="BT257">
        <v>0</v>
      </c>
      <c r="BU257">
        <v>0</v>
      </c>
      <c r="BV257">
        <v>0</v>
      </c>
      <c r="CC257" t="str">
        <f>"18:38:43.523"</f>
        <v>18:38:43.523</v>
      </c>
      <c r="CD257" t="str">
        <f>"519771448"</f>
        <v>519771448</v>
      </c>
      <c r="CQ257">
        <v>0</v>
      </c>
      <c r="CR257">
        <v>2</v>
      </c>
      <c r="CS257">
        <v>0</v>
      </c>
      <c r="CT257">
        <v>2</v>
      </c>
      <c r="CU257">
        <v>0</v>
      </c>
      <c r="CV257">
        <v>5</v>
      </c>
      <c r="CW257" t="s">
        <v>120</v>
      </c>
      <c r="CX257">
        <v>259</v>
      </c>
      <c r="CY257">
        <v>1</v>
      </c>
      <c r="CZ257" t="s">
        <v>197</v>
      </c>
      <c r="DA257" t="s">
        <v>198</v>
      </c>
      <c r="DD257">
        <v>14793575</v>
      </c>
      <c r="DE257" t="s">
        <v>123</v>
      </c>
    </row>
    <row r="258" spans="1:109" x14ac:dyDescent="0.3">
      <c r="A258" t="str">
        <f>"18:38:44.750"</f>
        <v>18:38:44.750</v>
      </c>
      <c r="B258" t="s">
        <v>110</v>
      </c>
      <c r="C258" t="str">
        <f t="shared" ref="C258:C321" si="12">"ffdfd3c0"</f>
        <v>ffdfd3c0</v>
      </c>
      <c r="D258" t="s">
        <v>111</v>
      </c>
      <c r="E258">
        <v>18</v>
      </c>
      <c r="F258">
        <v>1018</v>
      </c>
      <c r="G258" t="s">
        <v>112</v>
      </c>
      <c r="J258" t="s">
        <v>113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R258" t="s">
        <v>114</v>
      </c>
      <c r="S258" t="str">
        <f>"18:38:44.547"</f>
        <v>18:38:44.547</v>
      </c>
      <c r="T258" t="str">
        <f>"18:38:44.547"</f>
        <v>18:38:44.547</v>
      </c>
      <c r="U258" t="str">
        <f t="shared" ref="U258:U321" si="13">"a1cdbe"</f>
        <v>a1cdbe</v>
      </c>
      <c r="V258">
        <v>0</v>
      </c>
      <c r="W258">
        <v>0</v>
      </c>
      <c r="X258">
        <v>1</v>
      </c>
      <c r="Y258">
        <v>0</v>
      </c>
      <c r="Z258">
        <v>0</v>
      </c>
      <c r="AB258">
        <v>0</v>
      </c>
      <c r="AC258">
        <v>9</v>
      </c>
      <c r="AD258">
        <v>3</v>
      </c>
      <c r="AE258">
        <v>0</v>
      </c>
      <c r="AF258">
        <v>9</v>
      </c>
      <c r="AG258" t="s">
        <v>158</v>
      </c>
      <c r="AH258">
        <v>0</v>
      </c>
      <c r="AI258">
        <v>3</v>
      </c>
      <c r="AJ258">
        <v>1</v>
      </c>
      <c r="AK258">
        <v>0</v>
      </c>
      <c r="AL258" t="s">
        <v>584</v>
      </c>
      <c r="AM258">
        <v>47.043134999999999</v>
      </c>
      <c r="AN258" t="s">
        <v>585</v>
      </c>
      <c r="AO258">
        <v>-122.287831</v>
      </c>
      <c r="AP258">
        <v>100</v>
      </c>
      <c r="AQ258">
        <v>2000</v>
      </c>
      <c r="AR258" t="s">
        <v>118</v>
      </c>
      <c r="AS258">
        <v>-14</v>
      </c>
      <c r="AT258">
        <v>-83</v>
      </c>
      <c r="AU258">
        <v>-256</v>
      </c>
      <c r="BC258">
        <v>1200</v>
      </c>
      <c r="BD258">
        <v>1</v>
      </c>
      <c r="BE258" t="str">
        <f t="shared" ref="BE258:BE321" si="14">"N215T   "</f>
        <v xml:space="preserve">N215T   </v>
      </c>
      <c r="BF258">
        <v>1</v>
      </c>
      <c r="BH258">
        <v>0</v>
      </c>
      <c r="BI258">
        <v>0</v>
      </c>
      <c r="BJ258">
        <v>0</v>
      </c>
      <c r="BK258">
        <v>2375</v>
      </c>
      <c r="BL258">
        <v>375</v>
      </c>
      <c r="BM258" t="s">
        <v>119</v>
      </c>
      <c r="BN258">
        <v>1</v>
      </c>
      <c r="BO258">
        <v>1</v>
      </c>
      <c r="BP258">
        <v>1</v>
      </c>
      <c r="BQ258">
        <v>0</v>
      </c>
      <c r="BT258">
        <v>0</v>
      </c>
      <c r="BU258">
        <v>0</v>
      </c>
      <c r="BV258">
        <v>0</v>
      </c>
      <c r="CC258" t="str">
        <f>"18:38:44.555"</f>
        <v>18:38:44.555</v>
      </c>
      <c r="CD258" t="str">
        <f>"554669706"</f>
        <v>554669706</v>
      </c>
      <c r="CQ258">
        <v>0</v>
      </c>
      <c r="CR258">
        <v>2</v>
      </c>
      <c r="CS258">
        <v>0</v>
      </c>
      <c r="CT258">
        <v>2</v>
      </c>
      <c r="CU258">
        <v>0</v>
      </c>
      <c r="CV258">
        <v>5</v>
      </c>
      <c r="CW258" t="s">
        <v>120</v>
      </c>
      <c r="CX258">
        <v>259</v>
      </c>
      <c r="CY258">
        <v>1</v>
      </c>
      <c r="CZ258" t="s">
        <v>197</v>
      </c>
      <c r="DA258" t="s">
        <v>198</v>
      </c>
      <c r="DD258">
        <v>14794310</v>
      </c>
      <c r="DE258" t="s">
        <v>123</v>
      </c>
    </row>
    <row r="259" spans="1:109" x14ac:dyDescent="0.3">
      <c r="A259" t="str">
        <f>"18:38:45.711"</f>
        <v>18:38:45.711</v>
      </c>
      <c r="B259" t="s">
        <v>110</v>
      </c>
      <c r="C259" t="str">
        <f t="shared" si="12"/>
        <v>ffdfd3c0</v>
      </c>
      <c r="D259" t="s">
        <v>111</v>
      </c>
      <c r="E259">
        <v>18</v>
      </c>
      <c r="F259">
        <v>1018</v>
      </c>
      <c r="G259" t="s">
        <v>112</v>
      </c>
      <c r="J259" t="s">
        <v>113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R259" t="s">
        <v>114</v>
      </c>
      <c r="S259" t="str">
        <f>"18:38:45.492"</f>
        <v>18:38:45.492</v>
      </c>
      <c r="T259" t="str">
        <f>"18:38:45.094"</f>
        <v>18:38:45.094</v>
      </c>
      <c r="U259" t="str">
        <f t="shared" si="13"/>
        <v>a1cdbe</v>
      </c>
      <c r="V259">
        <v>0</v>
      </c>
      <c r="W259">
        <v>0</v>
      </c>
      <c r="X259">
        <v>1</v>
      </c>
      <c r="Y259">
        <v>0</v>
      </c>
      <c r="Z259">
        <v>0</v>
      </c>
      <c r="AB259">
        <v>0</v>
      </c>
      <c r="AC259">
        <v>9</v>
      </c>
      <c r="AD259">
        <v>3</v>
      </c>
      <c r="AE259">
        <v>0</v>
      </c>
      <c r="AF259">
        <v>9</v>
      </c>
      <c r="AG259" t="s">
        <v>158</v>
      </c>
      <c r="AH259">
        <v>0</v>
      </c>
      <c r="AI259">
        <v>3</v>
      </c>
      <c r="AJ259">
        <v>1</v>
      </c>
      <c r="AK259">
        <v>0</v>
      </c>
      <c r="AL259" t="s">
        <v>586</v>
      </c>
      <c r="AM259">
        <v>47.042749000000001</v>
      </c>
      <c r="AN259" t="s">
        <v>587</v>
      </c>
      <c r="AO259">
        <v>-122.287896</v>
      </c>
      <c r="AP259">
        <v>100</v>
      </c>
      <c r="AQ259">
        <v>2000</v>
      </c>
      <c r="AR259" t="s">
        <v>118</v>
      </c>
      <c r="AS259">
        <v>-14</v>
      </c>
      <c r="AT259">
        <v>-83</v>
      </c>
      <c r="AU259">
        <v>-256</v>
      </c>
      <c r="BC259">
        <v>1200</v>
      </c>
      <c r="BD259">
        <v>1</v>
      </c>
      <c r="BE259" t="str">
        <f t="shared" si="14"/>
        <v xml:space="preserve">N215T   </v>
      </c>
      <c r="BF259">
        <v>1</v>
      </c>
      <c r="BH259">
        <v>0</v>
      </c>
      <c r="BI259">
        <v>0</v>
      </c>
      <c r="BJ259">
        <v>0</v>
      </c>
      <c r="BK259">
        <v>2375</v>
      </c>
      <c r="BL259">
        <v>375</v>
      </c>
      <c r="BM259" t="s">
        <v>119</v>
      </c>
      <c r="BN259">
        <v>1</v>
      </c>
      <c r="BO259">
        <v>1</v>
      </c>
      <c r="BP259">
        <v>1</v>
      </c>
      <c r="BQ259">
        <v>0</v>
      </c>
      <c r="BT259">
        <v>0</v>
      </c>
      <c r="BU259">
        <v>0</v>
      </c>
      <c r="BV259">
        <v>0</v>
      </c>
      <c r="CC259" t="str">
        <f>"18:38:45.500"</f>
        <v>18:38:45.500</v>
      </c>
      <c r="CD259" t="str">
        <f>"499408012"</f>
        <v>499408012</v>
      </c>
      <c r="CQ259">
        <v>0</v>
      </c>
      <c r="CR259">
        <v>2</v>
      </c>
      <c r="CS259">
        <v>0</v>
      </c>
      <c r="CT259">
        <v>2</v>
      </c>
      <c r="CU259">
        <v>0</v>
      </c>
      <c r="CV259">
        <v>2</v>
      </c>
      <c r="CW259" t="s">
        <v>172</v>
      </c>
      <c r="CX259">
        <v>326</v>
      </c>
      <c r="CY259">
        <v>0</v>
      </c>
      <c r="CZ259" t="s">
        <v>173</v>
      </c>
      <c r="DA259" t="s">
        <v>174</v>
      </c>
      <c r="DD259">
        <v>5717136</v>
      </c>
      <c r="DE259" t="s">
        <v>123</v>
      </c>
    </row>
    <row r="260" spans="1:109" x14ac:dyDescent="0.3">
      <c r="A260" t="str">
        <f>"18:38:46.719"</f>
        <v>18:38:46.719</v>
      </c>
      <c r="B260" t="s">
        <v>110</v>
      </c>
      <c r="C260" t="str">
        <f t="shared" si="12"/>
        <v>ffdfd3c0</v>
      </c>
      <c r="D260" t="s">
        <v>111</v>
      </c>
      <c r="E260">
        <v>18</v>
      </c>
      <c r="F260">
        <v>1018</v>
      </c>
      <c r="G260" t="s">
        <v>112</v>
      </c>
      <c r="J260" t="s">
        <v>113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R260" t="s">
        <v>114</v>
      </c>
      <c r="S260" t="str">
        <f>"18:38:46.453"</f>
        <v>18:38:46.453</v>
      </c>
      <c r="T260" t="str">
        <f>"18:38:46.055"</f>
        <v>18:38:46.055</v>
      </c>
      <c r="U260" t="str">
        <f t="shared" si="13"/>
        <v>a1cdbe</v>
      </c>
      <c r="V260">
        <v>0</v>
      </c>
      <c r="W260">
        <v>0</v>
      </c>
      <c r="X260">
        <v>1</v>
      </c>
      <c r="Y260">
        <v>0</v>
      </c>
      <c r="Z260">
        <v>0</v>
      </c>
      <c r="AB260">
        <v>0</v>
      </c>
      <c r="AC260">
        <v>9</v>
      </c>
      <c r="AD260">
        <v>3</v>
      </c>
      <c r="AE260">
        <v>0</v>
      </c>
      <c r="AF260">
        <v>9</v>
      </c>
      <c r="AG260" t="s">
        <v>158</v>
      </c>
      <c r="AH260">
        <v>0</v>
      </c>
      <c r="AI260">
        <v>3</v>
      </c>
      <c r="AJ260">
        <v>1</v>
      </c>
      <c r="AK260">
        <v>0</v>
      </c>
      <c r="AL260" t="s">
        <v>588</v>
      </c>
      <c r="AM260">
        <v>47.042406</v>
      </c>
      <c r="AN260" t="s">
        <v>589</v>
      </c>
      <c r="AO260">
        <v>-122.288003</v>
      </c>
      <c r="AP260">
        <v>100</v>
      </c>
      <c r="AQ260">
        <v>2000</v>
      </c>
      <c r="AR260" t="s">
        <v>118</v>
      </c>
      <c r="AS260">
        <v>-14</v>
      </c>
      <c r="AT260">
        <v>-84</v>
      </c>
      <c r="AU260">
        <v>-256</v>
      </c>
      <c r="BC260">
        <v>1200</v>
      </c>
      <c r="BD260">
        <v>1</v>
      </c>
      <c r="BE260" t="str">
        <f t="shared" si="14"/>
        <v xml:space="preserve">N215T   </v>
      </c>
      <c r="BF260">
        <v>1</v>
      </c>
      <c r="BH260">
        <v>0</v>
      </c>
      <c r="BI260">
        <v>0</v>
      </c>
      <c r="BJ260">
        <v>0</v>
      </c>
      <c r="BK260">
        <v>2350</v>
      </c>
      <c r="BL260">
        <v>350</v>
      </c>
      <c r="BM260" t="s">
        <v>119</v>
      </c>
      <c r="BN260">
        <v>1</v>
      </c>
      <c r="BO260">
        <v>1</v>
      </c>
      <c r="BP260">
        <v>1</v>
      </c>
      <c r="BQ260">
        <v>0</v>
      </c>
      <c r="BT260">
        <v>0</v>
      </c>
      <c r="BU260">
        <v>0</v>
      </c>
      <c r="BV260">
        <v>0</v>
      </c>
      <c r="CC260" t="str">
        <f>"18:38:46.461"</f>
        <v>18:38:46.461</v>
      </c>
      <c r="CD260" t="str">
        <f>"459370994"</f>
        <v>459370994</v>
      </c>
      <c r="CQ260">
        <v>0</v>
      </c>
      <c r="CR260">
        <v>2</v>
      </c>
      <c r="CS260">
        <v>0</v>
      </c>
      <c r="CT260">
        <v>2</v>
      </c>
      <c r="CU260">
        <v>0</v>
      </c>
      <c r="CV260">
        <v>4</v>
      </c>
      <c r="CW260" t="s">
        <v>120</v>
      </c>
      <c r="CX260">
        <v>261</v>
      </c>
      <c r="CY260">
        <v>1</v>
      </c>
      <c r="CZ260" t="s">
        <v>121</v>
      </c>
      <c r="DA260" t="s">
        <v>122</v>
      </c>
      <c r="DD260">
        <v>3247600</v>
      </c>
      <c r="DE260" t="s">
        <v>123</v>
      </c>
    </row>
    <row r="261" spans="1:109" x14ac:dyDescent="0.3">
      <c r="A261" t="str">
        <f>"18:38:47.820"</f>
        <v>18:38:47.820</v>
      </c>
      <c r="B261" t="s">
        <v>110</v>
      </c>
      <c r="C261" t="str">
        <f t="shared" si="12"/>
        <v>ffdfd3c0</v>
      </c>
      <c r="D261" t="s">
        <v>111</v>
      </c>
      <c r="E261">
        <v>18</v>
      </c>
      <c r="F261">
        <v>1018</v>
      </c>
      <c r="G261" t="s">
        <v>112</v>
      </c>
      <c r="J261" t="s">
        <v>113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R261" t="s">
        <v>114</v>
      </c>
      <c r="S261" t="str">
        <f>"18:38:47.594"</f>
        <v>18:38:47.594</v>
      </c>
      <c r="T261" t="str">
        <f>"18:38:47.594"</f>
        <v>18:38:47.594</v>
      </c>
      <c r="U261" t="str">
        <f t="shared" si="13"/>
        <v>a1cdbe</v>
      </c>
      <c r="V261">
        <v>0</v>
      </c>
      <c r="W261">
        <v>0</v>
      </c>
      <c r="X261">
        <v>1</v>
      </c>
      <c r="Y261">
        <v>0</v>
      </c>
      <c r="Z261">
        <v>0</v>
      </c>
      <c r="AB261">
        <v>0</v>
      </c>
      <c r="AC261">
        <v>9</v>
      </c>
      <c r="AD261">
        <v>3</v>
      </c>
      <c r="AE261">
        <v>0</v>
      </c>
      <c r="AF261">
        <v>9</v>
      </c>
      <c r="AG261" t="s">
        <v>158</v>
      </c>
      <c r="AH261">
        <v>0</v>
      </c>
      <c r="AI261">
        <v>3</v>
      </c>
      <c r="AJ261">
        <v>1</v>
      </c>
      <c r="AK261">
        <v>0</v>
      </c>
      <c r="AL261" t="s">
        <v>590</v>
      </c>
      <c r="AM261">
        <v>47.041955000000002</v>
      </c>
      <c r="AN261" t="s">
        <v>591</v>
      </c>
      <c r="AO261">
        <v>-122.288132</v>
      </c>
      <c r="AP261">
        <v>100</v>
      </c>
      <c r="AQ261">
        <v>2000</v>
      </c>
      <c r="AR261" t="s">
        <v>118</v>
      </c>
      <c r="AS261">
        <v>-14</v>
      </c>
      <c r="AT261">
        <v>-84</v>
      </c>
      <c r="AU261">
        <v>-192</v>
      </c>
      <c r="BC261">
        <v>1200</v>
      </c>
      <c r="BD261">
        <v>1</v>
      </c>
      <c r="BE261" t="str">
        <f t="shared" si="14"/>
        <v xml:space="preserve">N215T   </v>
      </c>
      <c r="BF261">
        <v>1</v>
      </c>
      <c r="BH261">
        <v>0</v>
      </c>
      <c r="BI261">
        <v>0</v>
      </c>
      <c r="BJ261">
        <v>0</v>
      </c>
      <c r="BK261">
        <v>2350</v>
      </c>
      <c r="BL261">
        <v>350</v>
      </c>
      <c r="BM261" t="s">
        <v>119</v>
      </c>
      <c r="BN261">
        <v>1</v>
      </c>
      <c r="BO261">
        <v>1</v>
      </c>
      <c r="BP261">
        <v>1</v>
      </c>
      <c r="BQ261">
        <v>0</v>
      </c>
      <c r="BT261">
        <v>0</v>
      </c>
      <c r="BU261">
        <v>0</v>
      </c>
      <c r="BV261">
        <v>0</v>
      </c>
      <c r="CC261" t="str">
        <f>"18:38:47.602"</f>
        <v>18:38:47.602</v>
      </c>
      <c r="CD261" t="str">
        <f>"599370401"</f>
        <v>599370401</v>
      </c>
      <c r="CQ261">
        <v>0</v>
      </c>
      <c r="CR261">
        <v>2</v>
      </c>
      <c r="CS261">
        <v>0</v>
      </c>
      <c r="CT261">
        <v>2</v>
      </c>
      <c r="CU261">
        <v>0</v>
      </c>
      <c r="CV261">
        <v>4</v>
      </c>
      <c r="CW261" t="s">
        <v>120</v>
      </c>
      <c r="CX261">
        <v>259</v>
      </c>
      <c r="CY261">
        <v>1</v>
      </c>
      <c r="CZ261" t="s">
        <v>197</v>
      </c>
      <c r="DA261" t="s">
        <v>198</v>
      </c>
      <c r="DD261">
        <v>14796419</v>
      </c>
      <c r="DE261" t="s">
        <v>123</v>
      </c>
    </row>
    <row r="262" spans="1:109" x14ac:dyDescent="0.3">
      <c r="A262" t="str">
        <f>"18:38:48.930"</f>
        <v>18:38:48.930</v>
      </c>
      <c r="B262" t="s">
        <v>110</v>
      </c>
      <c r="C262" t="str">
        <f t="shared" si="12"/>
        <v>ffdfd3c0</v>
      </c>
      <c r="D262" t="s">
        <v>111</v>
      </c>
      <c r="E262">
        <v>18</v>
      </c>
      <c r="F262">
        <v>1018</v>
      </c>
      <c r="G262" t="s">
        <v>112</v>
      </c>
      <c r="J262" t="s">
        <v>113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R262" t="s">
        <v>114</v>
      </c>
      <c r="S262" t="str">
        <f>"18:38:48.672"</f>
        <v>18:38:48.672</v>
      </c>
      <c r="T262" t="str">
        <f>"18:38:48.172"</f>
        <v>18:38:48.172</v>
      </c>
      <c r="U262" t="str">
        <f t="shared" si="13"/>
        <v>a1cdbe</v>
      </c>
      <c r="V262">
        <v>0</v>
      </c>
      <c r="W262">
        <v>0</v>
      </c>
      <c r="X262">
        <v>1</v>
      </c>
      <c r="Y262">
        <v>0</v>
      </c>
      <c r="Z262">
        <v>0</v>
      </c>
      <c r="AB262">
        <v>0</v>
      </c>
      <c r="AC262">
        <v>9</v>
      </c>
      <c r="AD262">
        <v>3</v>
      </c>
      <c r="AE262">
        <v>0</v>
      </c>
      <c r="AF262">
        <v>9</v>
      </c>
      <c r="AG262" t="s">
        <v>158</v>
      </c>
      <c r="AH262">
        <v>0</v>
      </c>
      <c r="AI262">
        <v>3</v>
      </c>
      <c r="AJ262">
        <v>1</v>
      </c>
      <c r="AK262">
        <v>0</v>
      </c>
      <c r="AL262" t="s">
        <v>592</v>
      </c>
      <c r="AM262">
        <v>47.041547000000001</v>
      </c>
      <c r="AN262" t="s">
        <v>593</v>
      </c>
      <c r="AO262">
        <v>-122.28825999999999</v>
      </c>
      <c r="AP262">
        <v>100</v>
      </c>
      <c r="AQ262">
        <v>2000</v>
      </c>
      <c r="AR262" t="s">
        <v>118</v>
      </c>
      <c r="AS262">
        <v>-15</v>
      </c>
      <c r="AT262">
        <v>-84</v>
      </c>
      <c r="AU262">
        <v>-128</v>
      </c>
      <c r="BC262">
        <v>1200</v>
      </c>
      <c r="BD262">
        <v>1</v>
      </c>
      <c r="BE262" t="str">
        <f t="shared" si="14"/>
        <v xml:space="preserve">N215T   </v>
      </c>
      <c r="BF262">
        <v>1</v>
      </c>
      <c r="BH262">
        <v>0</v>
      </c>
      <c r="BI262">
        <v>0</v>
      </c>
      <c r="BJ262">
        <v>0</v>
      </c>
      <c r="BK262">
        <v>2350</v>
      </c>
      <c r="BL262">
        <v>350</v>
      </c>
      <c r="BM262" t="s">
        <v>119</v>
      </c>
      <c r="BN262">
        <v>1</v>
      </c>
      <c r="BO262">
        <v>1</v>
      </c>
      <c r="BP262">
        <v>1</v>
      </c>
      <c r="BQ262">
        <v>0</v>
      </c>
      <c r="BT262">
        <v>0</v>
      </c>
      <c r="BU262">
        <v>0</v>
      </c>
      <c r="BV262">
        <v>0</v>
      </c>
      <c r="CC262" t="str">
        <f>"18:38:48.680"</f>
        <v>18:38:48.680</v>
      </c>
      <c r="CD262" t="str">
        <f>"679152712"</f>
        <v>679152712</v>
      </c>
      <c r="CQ262">
        <v>0</v>
      </c>
      <c r="CR262">
        <v>2</v>
      </c>
      <c r="CS262">
        <v>0</v>
      </c>
      <c r="CT262">
        <v>2</v>
      </c>
      <c r="CU262">
        <v>0</v>
      </c>
      <c r="CV262">
        <v>5</v>
      </c>
      <c r="CW262" t="s">
        <v>120</v>
      </c>
      <c r="CX262">
        <v>261</v>
      </c>
      <c r="CY262">
        <v>2</v>
      </c>
      <c r="CZ262" t="s">
        <v>121</v>
      </c>
      <c r="DA262" t="s">
        <v>122</v>
      </c>
      <c r="DD262">
        <v>14384907</v>
      </c>
      <c r="DE262" t="s">
        <v>123</v>
      </c>
    </row>
    <row r="263" spans="1:109" x14ac:dyDescent="0.3">
      <c r="A263" t="str">
        <f>"18:38:50.383"</f>
        <v>18:38:50.383</v>
      </c>
      <c r="B263" t="s">
        <v>110</v>
      </c>
      <c r="C263" t="str">
        <f t="shared" si="12"/>
        <v>ffdfd3c0</v>
      </c>
      <c r="D263" t="s">
        <v>111</v>
      </c>
      <c r="E263">
        <v>18</v>
      </c>
      <c r="F263">
        <v>1018</v>
      </c>
      <c r="G263" t="s">
        <v>112</v>
      </c>
      <c r="J263" t="s">
        <v>113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R263" t="s">
        <v>114</v>
      </c>
      <c r="S263" t="str">
        <f>"18:38:50.148"</f>
        <v>18:38:50.148</v>
      </c>
      <c r="T263" t="str">
        <f>"18:38:49.648"</f>
        <v>18:38:49.648</v>
      </c>
      <c r="U263" t="str">
        <f t="shared" si="13"/>
        <v>a1cdbe</v>
      </c>
      <c r="V263">
        <v>0</v>
      </c>
      <c r="W263">
        <v>0</v>
      </c>
      <c r="X263">
        <v>1</v>
      </c>
      <c r="Y263">
        <v>0</v>
      </c>
      <c r="Z263">
        <v>0</v>
      </c>
      <c r="AB263">
        <v>0</v>
      </c>
      <c r="AC263">
        <v>9</v>
      </c>
      <c r="AD263">
        <v>3</v>
      </c>
      <c r="AE263">
        <v>0</v>
      </c>
      <c r="AF263">
        <v>9</v>
      </c>
      <c r="AG263" t="s">
        <v>158</v>
      </c>
      <c r="AH263">
        <v>0</v>
      </c>
      <c r="AI263">
        <v>3</v>
      </c>
      <c r="AJ263">
        <v>1</v>
      </c>
      <c r="AK263">
        <v>0</v>
      </c>
      <c r="AL263" t="s">
        <v>594</v>
      </c>
      <c r="AM263">
        <v>47.040989000000003</v>
      </c>
      <c r="AN263" t="s">
        <v>595</v>
      </c>
      <c r="AO263">
        <v>-122.288411</v>
      </c>
      <c r="AP263">
        <v>100</v>
      </c>
      <c r="AQ263">
        <v>2000</v>
      </c>
      <c r="AR263" t="s">
        <v>118</v>
      </c>
      <c r="AS263">
        <v>-15</v>
      </c>
      <c r="AT263">
        <v>-83</v>
      </c>
      <c r="AU263">
        <v>-64</v>
      </c>
      <c r="BC263">
        <v>1200</v>
      </c>
      <c r="BD263">
        <v>1</v>
      </c>
      <c r="BE263" t="str">
        <f t="shared" si="14"/>
        <v xml:space="preserve">N215T   </v>
      </c>
      <c r="BF263">
        <v>1</v>
      </c>
      <c r="BH263">
        <v>0</v>
      </c>
      <c r="BI263">
        <v>0</v>
      </c>
      <c r="BJ263">
        <v>0</v>
      </c>
      <c r="BK263">
        <v>2350</v>
      </c>
      <c r="BL263">
        <v>350</v>
      </c>
      <c r="BM263" t="s">
        <v>119</v>
      </c>
      <c r="BN263">
        <v>1</v>
      </c>
      <c r="BO263">
        <v>1</v>
      </c>
      <c r="BP263">
        <v>1</v>
      </c>
      <c r="BQ263">
        <v>0</v>
      </c>
      <c r="BT263">
        <v>0</v>
      </c>
      <c r="BU263">
        <v>0</v>
      </c>
      <c r="BV263">
        <v>0</v>
      </c>
      <c r="CC263" t="str">
        <f>"18:38:50.148"</f>
        <v>18:38:50.148</v>
      </c>
      <c r="CD263" t="str">
        <f>"149008155"</f>
        <v>149008155</v>
      </c>
      <c r="CQ263">
        <v>0</v>
      </c>
      <c r="CR263">
        <v>2</v>
      </c>
      <c r="CS263">
        <v>0</v>
      </c>
      <c r="CT263">
        <v>2</v>
      </c>
      <c r="CU263">
        <v>0</v>
      </c>
      <c r="CV263">
        <v>4</v>
      </c>
      <c r="CW263" t="s">
        <v>120</v>
      </c>
      <c r="CX263">
        <v>261</v>
      </c>
      <c r="CY263">
        <v>2</v>
      </c>
      <c r="CZ263" t="s">
        <v>121</v>
      </c>
      <c r="DA263" t="s">
        <v>122</v>
      </c>
      <c r="DD263">
        <v>14385685</v>
      </c>
      <c r="DE263" t="s">
        <v>123</v>
      </c>
    </row>
    <row r="264" spans="1:109" x14ac:dyDescent="0.3">
      <c r="A264" t="str">
        <f>"18:38:51.344"</f>
        <v>18:38:51.344</v>
      </c>
      <c r="B264" t="s">
        <v>110</v>
      </c>
      <c r="C264" t="str">
        <f t="shared" si="12"/>
        <v>ffdfd3c0</v>
      </c>
      <c r="D264" t="s">
        <v>111</v>
      </c>
      <c r="E264">
        <v>18</v>
      </c>
      <c r="F264">
        <v>1018</v>
      </c>
      <c r="G264" t="s">
        <v>112</v>
      </c>
      <c r="J264" t="s">
        <v>113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R264" t="s">
        <v>114</v>
      </c>
      <c r="S264" t="str">
        <f>"18:38:51.102"</f>
        <v>18:38:51.102</v>
      </c>
      <c r="T264" t="str">
        <f>"18:38:51.102"</f>
        <v>18:38:51.102</v>
      </c>
      <c r="U264" t="str">
        <f t="shared" si="13"/>
        <v>a1cdbe</v>
      </c>
      <c r="V264">
        <v>0</v>
      </c>
      <c r="W264">
        <v>0</v>
      </c>
      <c r="X264">
        <v>1</v>
      </c>
      <c r="Y264">
        <v>0</v>
      </c>
      <c r="Z264">
        <v>0</v>
      </c>
      <c r="AB264">
        <v>0</v>
      </c>
      <c r="AC264">
        <v>9</v>
      </c>
      <c r="AD264">
        <v>3</v>
      </c>
      <c r="AE264">
        <v>0</v>
      </c>
      <c r="AF264">
        <v>9</v>
      </c>
      <c r="AG264" t="s">
        <v>158</v>
      </c>
      <c r="AH264">
        <v>0</v>
      </c>
      <c r="AI264">
        <v>3</v>
      </c>
      <c r="AJ264">
        <v>1</v>
      </c>
      <c r="AK264">
        <v>0</v>
      </c>
      <c r="AL264" t="s">
        <v>596</v>
      </c>
      <c r="AM264">
        <v>47.040624999999999</v>
      </c>
      <c r="AN264" t="s">
        <v>597</v>
      </c>
      <c r="AO264">
        <v>-122.288539</v>
      </c>
      <c r="AP264">
        <v>100</v>
      </c>
      <c r="AQ264">
        <v>2000</v>
      </c>
      <c r="AR264" t="s">
        <v>118</v>
      </c>
      <c r="AS264">
        <v>-16</v>
      </c>
      <c r="AT264">
        <v>-83</v>
      </c>
      <c r="AU264">
        <v>0</v>
      </c>
      <c r="BC264">
        <v>1200</v>
      </c>
      <c r="BD264">
        <v>1</v>
      </c>
      <c r="BE264" t="str">
        <f t="shared" si="14"/>
        <v xml:space="preserve">N215T   </v>
      </c>
      <c r="BF264">
        <v>1</v>
      </c>
      <c r="BH264">
        <v>0</v>
      </c>
      <c r="BI264">
        <v>0</v>
      </c>
      <c r="BJ264">
        <v>0</v>
      </c>
      <c r="BK264">
        <v>2350</v>
      </c>
      <c r="BL264">
        <v>350</v>
      </c>
      <c r="BM264" t="s">
        <v>119</v>
      </c>
      <c r="BN264">
        <v>1</v>
      </c>
      <c r="BO264">
        <v>1</v>
      </c>
      <c r="BP264">
        <v>1</v>
      </c>
      <c r="BQ264">
        <v>0</v>
      </c>
      <c r="BT264">
        <v>0</v>
      </c>
      <c r="BU264">
        <v>0</v>
      </c>
      <c r="BV264">
        <v>0</v>
      </c>
      <c r="CC264" t="str">
        <f>"18:38:51.109"</f>
        <v>18:38:51.109</v>
      </c>
      <c r="CD264" t="str">
        <f>"109025408"</f>
        <v>109025408</v>
      </c>
      <c r="CQ264">
        <v>0</v>
      </c>
      <c r="CR264">
        <v>2</v>
      </c>
      <c r="CS264">
        <v>0</v>
      </c>
      <c r="CT264">
        <v>2</v>
      </c>
      <c r="CU264">
        <v>0</v>
      </c>
      <c r="CV264">
        <v>4</v>
      </c>
      <c r="CW264" t="s">
        <v>120</v>
      </c>
      <c r="CX264">
        <v>259</v>
      </c>
      <c r="CY264">
        <v>1</v>
      </c>
      <c r="CZ264" t="s">
        <v>197</v>
      </c>
      <c r="DA264" t="s">
        <v>198</v>
      </c>
      <c r="DD264">
        <v>14798949</v>
      </c>
      <c r="DE264" t="s">
        <v>123</v>
      </c>
    </row>
    <row r="265" spans="1:109" x14ac:dyDescent="0.3">
      <c r="A265" t="str">
        <f>"18:38:52.195"</f>
        <v>18:38:52.195</v>
      </c>
      <c r="B265" t="s">
        <v>110</v>
      </c>
      <c r="C265" t="str">
        <f t="shared" si="12"/>
        <v>ffdfd3c0</v>
      </c>
      <c r="D265" t="s">
        <v>111</v>
      </c>
      <c r="E265">
        <v>18</v>
      </c>
      <c r="F265">
        <v>1018</v>
      </c>
      <c r="G265" t="s">
        <v>112</v>
      </c>
      <c r="J265" t="s">
        <v>113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R265" t="s">
        <v>114</v>
      </c>
      <c r="S265" t="str">
        <f>"18:38:51.961"</f>
        <v>18:38:51.961</v>
      </c>
      <c r="T265" t="str">
        <f>"18:38:51.563"</f>
        <v>18:38:51.563</v>
      </c>
      <c r="U265" t="str">
        <f t="shared" si="13"/>
        <v>a1cdbe</v>
      </c>
      <c r="V265">
        <v>0</v>
      </c>
      <c r="W265">
        <v>0</v>
      </c>
      <c r="X265">
        <v>1</v>
      </c>
      <c r="Y265">
        <v>0</v>
      </c>
      <c r="Z265">
        <v>0</v>
      </c>
      <c r="AB265">
        <v>0</v>
      </c>
      <c r="AC265">
        <v>9</v>
      </c>
      <c r="AD265">
        <v>3</v>
      </c>
      <c r="AE265">
        <v>0</v>
      </c>
      <c r="AF265">
        <v>9</v>
      </c>
      <c r="AG265" t="s">
        <v>158</v>
      </c>
      <c r="AH265">
        <v>0</v>
      </c>
      <c r="AI265">
        <v>3</v>
      </c>
      <c r="AJ265">
        <v>1</v>
      </c>
      <c r="AK265">
        <v>0</v>
      </c>
      <c r="AL265" t="s">
        <v>598</v>
      </c>
      <c r="AM265">
        <v>47.040303000000002</v>
      </c>
      <c r="AN265" t="s">
        <v>597</v>
      </c>
      <c r="AO265">
        <v>-122.288539</v>
      </c>
      <c r="AP265">
        <v>100</v>
      </c>
      <c r="AQ265">
        <v>2000</v>
      </c>
      <c r="AR265" t="s">
        <v>118</v>
      </c>
      <c r="AS265">
        <v>-16</v>
      </c>
      <c r="AT265">
        <v>-83</v>
      </c>
      <c r="AU265">
        <v>0</v>
      </c>
      <c r="BC265">
        <v>1200</v>
      </c>
      <c r="BD265">
        <v>1</v>
      </c>
      <c r="BE265" t="str">
        <f t="shared" si="14"/>
        <v xml:space="preserve">N215T   </v>
      </c>
      <c r="BF265">
        <v>1</v>
      </c>
      <c r="BH265">
        <v>0</v>
      </c>
      <c r="BI265">
        <v>0</v>
      </c>
      <c r="BJ265">
        <v>0</v>
      </c>
      <c r="BK265">
        <v>2350</v>
      </c>
      <c r="BL265">
        <v>350</v>
      </c>
      <c r="BM265" t="s">
        <v>119</v>
      </c>
      <c r="BN265">
        <v>1</v>
      </c>
      <c r="BO265">
        <v>1</v>
      </c>
      <c r="BP265">
        <v>1</v>
      </c>
      <c r="BQ265">
        <v>0</v>
      </c>
      <c r="BT265">
        <v>0</v>
      </c>
      <c r="BU265">
        <v>0</v>
      </c>
      <c r="BV265">
        <v>0</v>
      </c>
      <c r="CC265" t="str">
        <f>"18:38:51.961"</f>
        <v>18:38:51.961</v>
      </c>
      <c r="CD265" t="str">
        <f>"963829686"</f>
        <v>963829686</v>
      </c>
      <c r="CQ265">
        <v>0</v>
      </c>
      <c r="CR265">
        <v>2</v>
      </c>
      <c r="CS265">
        <v>0</v>
      </c>
      <c r="CT265">
        <v>2</v>
      </c>
      <c r="CU265">
        <v>0</v>
      </c>
      <c r="CV265">
        <v>4</v>
      </c>
      <c r="CW265" t="s">
        <v>120</v>
      </c>
      <c r="CX265">
        <v>261</v>
      </c>
      <c r="CY265">
        <v>1</v>
      </c>
      <c r="CZ265" t="s">
        <v>121</v>
      </c>
      <c r="DA265" t="s">
        <v>122</v>
      </c>
      <c r="DD265">
        <v>3251211</v>
      </c>
      <c r="DE265" t="s">
        <v>123</v>
      </c>
    </row>
    <row r="266" spans="1:109" x14ac:dyDescent="0.3">
      <c r="A266" t="str">
        <f>"18:38:53.148"</f>
        <v>18:38:53.148</v>
      </c>
      <c r="B266" t="s">
        <v>110</v>
      </c>
      <c r="C266" t="str">
        <f t="shared" si="12"/>
        <v>ffdfd3c0</v>
      </c>
      <c r="D266" t="s">
        <v>111</v>
      </c>
      <c r="E266">
        <v>18</v>
      </c>
      <c r="F266">
        <v>1018</v>
      </c>
      <c r="G266" t="s">
        <v>112</v>
      </c>
      <c r="J266" t="s">
        <v>113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R266" t="s">
        <v>114</v>
      </c>
      <c r="S266" t="str">
        <f>"18:38:52.922"</f>
        <v>18:38:52.922</v>
      </c>
      <c r="T266" t="str">
        <f>"18:38:52.625"</f>
        <v>18:38:52.625</v>
      </c>
      <c r="U266" t="str">
        <f t="shared" si="13"/>
        <v>a1cdbe</v>
      </c>
      <c r="V266">
        <v>0</v>
      </c>
      <c r="W266">
        <v>0</v>
      </c>
      <c r="X266">
        <v>1</v>
      </c>
      <c r="Y266">
        <v>0</v>
      </c>
      <c r="Z266">
        <v>0</v>
      </c>
      <c r="AB266">
        <v>0</v>
      </c>
      <c r="AC266">
        <v>9</v>
      </c>
      <c r="AD266">
        <v>3</v>
      </c>
      <c r="AE266">
        <v>0</v>
      </c>
      <c r="AF266">
        <v>9</v>
      </c>
      <c r="AG266" t="s">
        <v>158</v>
      </c>
      <c r="AH266">
        <v>0</v>
      </c>
      <c r="AI266">
        <v>3</v>
      </c>
      <c r="AJ266">
        <v>1</v>
      </c>
      <c r="AK266">
        <v>0</v>
      </c>
      <c r="AL266" t="s">
        <v>599</v>
      </c>
      <c r="AM266">
        <v>47.039895000000001</v>
      </c>
      <c r="AN266" t="s">
        <v>600</v>
      </c>
      <c r="AO266">
        <v>-122.28869</v>
      </c>
      <c r="AP266">
        <v>100</v>
      </c>
      <c r="AQ266">
        <v>2000</v>
      </c>
      <c r="AR266" t="s">
        <v>118</v>
      </c>
      <c r="AS266">
        <v>-16</v>
      </c>
      <c r="AT266">
        <v>-83</v>
      </c>
      <c r="AU266">
        <v>0</v>
      </c>
      <c r="BC266">
        <v>1200</v>
      </c>
      <c r="BD266">
        <v>1</v>
      </c>
      <c r="BE266" t="str">
        <f t="shared" si="14"/>
        <v xml:space="preserve">N215T   </v>
      </c>
      <c r="BF266">
        <v>1</v>
      </c>
      <c r="BH266">
        <v>0</v>
      </c>
      <c r="BI266">
        <v>0</v>
      </c>
      <c r="BJ266">
        <v>0</v>
      </c>
      <c r="BK266">
        <v>2350</v>
      </c>
      <c r="BL266">
        <v>350</v>
      </c>
      <c r="BM266" t="s">
        <v>119</v>
      </c>
      <c r="BN266">
        <v>1</v>
      </c>
      <c r="BO266">
        <v>1</v>
      </c>
      <c r="BP266">
        <v>1</v>
      </c>
      <c r="BQ266">
        <v>0</v>
      </c>
      <c r="BT266">
        <v>0</v>
      </c>
      <c r="BU266">
        <v>0</v>
      </c>
      <c r="BV266">
        <v>0</v>
      </c>
      <c r="CC266" t="str">
        <f>"18:38:52.922"</f>
        <v>18:38:52.922</v>
      </c>
      <c r="CD266" t="str">
        <f>"923735281"</f>
        <v>923735281</v>
      </c>
      <c r="CQ266">
        <v>0</v>
      </c>
      <c r="CR266">
        <v>2</v>
      </c>
      <c r="CS266">
        <v>0</v>
      </c>
      <c r="CT266">
        <v>2</v>
      </c>
      <c r="CU266">
        <v>0</v>
      </c>
      <c r="CV266">
        <v>3</v>
      </c>
      <c r="CW266" t="s">
        <v>120</v>
      </c>
      <c r="CX266">
        <v>261</v>
      </c>
      <c r="CY266">
        <v>2</v>
      </c>
      <c r="CZ266" t="s">
        <v>121</v>
      </c>
      <c r="DA266" t="s">
        <v>122</v>
      </c>
      <c r="DD266">
        <v>14387200</v>
      </c>
      <c r="DE266" t="s">
        <v>123</v>
      </c>
    </row>
    <row r="267" spans="1:109" x14ac:dyDescent="0.3">
      <c r="A267" t="str">
        <f>"18:38:54.156"</f>
        <v>18:38:54.156</v>
      </c>
      <c r="B267" t="s">
        <v>110</v>
      </c>
      <c r="C267" t="str">
        <f t="shared" si="12"/>
        <v>ffdfd3c0</v>
      </c>
      <c r="D267" t="s">
        <v>111</v>
      </c>
      <c r="E267">
        <v>18</v>
      </c>
      <c r="F267">
        <v>1018</v>
      </c>
      <c r="G267" t="s">
        <v>112</v>
      </c>
      <c r="J267" t="s">
        <v>113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R267" t="s">
        <v>114</v>
      </c>
      <c r="S267" t="str">
        <f>"18:38:53.883"</f>
        <v>18:38:53.883</v>
      </c>
      <c r="T267" t="str">
        <f>"18:38:53.086"</f>
        <v>18:38:53.086</v>
      </c>
      <c r="U267" t="str">
        <f t="shared" si="13"/>
        <v>a1cdbe</v>
      </c>
      <c r="V267">
        <v>0</v>
      </c>
      <c r="W267">
        <v>0</v>
      </c>
      <c r="X267">
        <v>1</v>
      </c>
      <c r="Y267">
        <v>0</v>
      </c>
      <c r="Z267">
        <v>0</v>
      </c>
      <c r="AB267">
        <v>0</v>
      </c>
      <c r="AC267">
        <v>9</v>
      </c>
      <c r="AD267">
        <v>3</v>
      </c>
      <c r="AE267">
        <v>0</v>
      </c>
      <c r="AF267">
        <v>9</v>
      </c>
      <c r="AG267" t="s">
        <v>158</v>
      </c>
      <c r="AH267">
        <v>0</v>
      </c>
      <c r="AI267">
        <v>3</v>
      </c>
      <c r="AJ267">
        <v>1</v>
      </c>
      <c r="AK267">
        <v>0</v>
      </c>
      <c r="AL267" t="s">
        <v>601</v>
      </c>
      <c r="AM267">
        <v>47.039552</v>
      </c>
      <c r="AN267" t="s">
        <v>602</v>
      </c>
      <c r="AO267">
        <v>-122.288754</v>
      </c>
      <c r="AP267">
        <v>100</v>
      </c>
      <c r="AQ267">
        <v>2000</v>
      </c>
      <c r="AR267" t="s">
        <v>118</v>
      </c>
      <c r="AS267">
        <v>-16</v>
      </c>
      <c r="AT267">
        <v>-82</v>
      </c>
      <c r="AU267">
        <v>0</v>
      </c>
      <c r="BC267">
        <v>1200</v>
      </c>
      <c r="BD267">
        <v>1</v>
      </c>
      <c r="BE267" t="str">
        <f t="shared" si="14"/>
        <v xml:space="preserve">N215T   </v>
      </c>
      <c r="BF267">
        <v>1</v>
      </c>
      <c r="BH267">
        <v>0</v>
      </c>
      <c r="BI267">
        <v>0</v>
      </c>
      <c r="BJ267">
        <v>0</v>
      </c>
      <c r="BK267">
        <v>2350</v>
      </c>
      <c r="BL267">
        <v>350</v>
      </c>
      <c r="BM267" t="s">
        <v>119</v>
      </c>
      <c r="BN267">
        <v>1</v>
      </c>
      <c r="BO267">
        <v>1</v>
      </c>
      <c r="BP267">
        <v>1</v>
      </c>
      <c r="BQ267">
        <v>0</v>
      </c>
      <c r="BT267">
        <v>0</v>
      </c>
      <c r="BU267">
        <v>0</v>
      </c>
      <c r="BV267">
        <v>0</v>
      </c>
      <c r="CC267" t="str">
        <f>"18:38:53.883"</f>
        <v>18:38:53.883</v>
      </c>
      <c r="CD267" t="str">
        <f>"883752499"</f>
        <v>883752499</v>
      </c>
      <c r="CQ267">
        <v>0</v>
      </c>
      <c r="CR267">
        <v>2</v>
      </c>
      <c r="CS267">
        <v>0</v>
      </c>
      <c r="CT267">
        <v>2</v>
      </c>
      <c r="CU267">
        <v>0</v>
      </c>
      <c r="CV267">
        <v>5</v>
      </c>
      <c r="CW267" t="s">
        <v>120</v>
      </c>
      <c r="CX267">
        <v>259</v>
      </c>
      <c r="CY267">
        <v>1</v>
      </c>
      <c r="CZ267" t="s">
        <v>197</v>
      </c>
      <c r="DA267" t="s">
        <v>198</v>
      </c>
      <c r="DD267">
        <v>14800952</v>
      </c>
      <c r="DE267" t="s">
        <v>123</v>
      </c>
    </row>
    <row r="268" spans="1:109" x14ac:dyDescent="0.3">
      <c r="A268" t="str">
        <f>"18:38:55.211"</f>
        <v>18:38:55.211</v>
      </c>
      <c r="B268" t="s">
        <v>110</v>
      </c>
      <c r="C268" t="str">
        <f t="shared" si="12"/>
        <v>ffdfd3c0</v>
      </c>
      <c r="D268" t="s">
        <v>111</v>
      </c>
      <c r="E268">
        <v>18</v>
      </c>
      <c r="F268">
        <v>1018</v>
      </c>
      <c r="G268" t="s">
        <v>112</v>
      </c>
      <c r="J268" t="s">
        <v>113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R268" t="s">
        <v>114</v>
      </c>
      <c r="S268" t="str">
        <f>"18:38:54.977"</f>
        <v>18:38:54.977</v>
      </c>
      <c r="T268" t="str">
        <f>"18:38:54.578"</f>
        <v>18:38:54.578</v>
      </c>
      <c r="U268" t="str">
        <f t="shared" si="13"/>
        <v>a1cdbe</v>
      </c>
      <c r="V268">
        <v>0</v>
      </c>
      <c r="W268">
        <v>0</v>
      </c>
      <c r="X268">
        <v>1</v>
      </c>
      <c r="Y268">
        <v>0</v>
      </c>
      <c r="Z268">
        <v>0</v>
      </c>
      <c r="AB268">
        <v>0</v>
      </c>
      <c r="AC268">
        <v>9</v>
      </c>
      <c r="AD268">
        <v>3</v>
      </c>
      <c r="AE268">
        <v>0</v>
      </c>
      <c r="AF268">
        <v>9</v>
      </c>
      <c r="AG268" t="s">
        <v>158</v>
      </c>
      <c r="AH268">
        <v>0</v>
      </c>
      <c r="AI268">
        <v>3</v>
      </c>
      <c r="AJ268">
        <v>1</v>
      </c>
      <c r="AK268">
        <v>0</v>
      </c>
      <c r="AL268" t="s">
        <v>603</v>
      </c>
      <c r="AM268">
        <v>47.039122999999996</v>
      </c>
      <c r="AN268" t="s">
        <v>604</v>
      </c>
      <c r="AO268">
        <v>-122.28896899999999</v>
      </c>
      <c r="AP268">
        <v>100</v>
      </c>
      <c r="AQ268">
        <v>2000</v>
      </c>
      <c r="AR268" t="s">
        <v>118</v>
      </c>
      <c r="AS268">
        <v>-17</v>
      </c>
      <c r="AT268">
        <v>-82</v>
      </c>
      <c r="AU268">
        <v>0</v>
      </c>
      <c r="BC268">
        <v>1200</v>
      </c>
      <c r="BD268">
        <v>1</v>
      </c>
      <c r="BE268" t="str">
        <f t="shared" si="14"/>
        <v xml:space="preserve">N215T   </v>
      </c>
      <c r="BF268">
        <v>1</v>
      </c>
      <c r="BH268">
        <v>0</v>
      </c>
      <c r="BI268">
        <v>0</v>
      </c>
      <c r="BJ268">
        <v>0</v>
      </c>
      <c r="BK268">
        <v>2350</v>
      </c>
      <c r="BL268">
        <v>350</v>
      </c>
      <c r="BM268" t="s">
        <v>119</v>
      </c>
      <c r="BN268">
        <v>1</v>
      </c>
      <c r="BO268">
        <v>1</v>
      </c>
      <c r="BP268">
        <v>1</v>
      </c>
      <c r="BQ268">
        <v>0</v>
      </c>
      <c r="BT268">
        <v>0</v>
      </c>
      <c r="BU268">
        <v>0</v>
      </c>
      <c r="BV268">
        <v>0</v>
      </c>
      <c r="CC268" t="str">
        <f>"18:38:54.977"</f>
        <v>18:38:54.977</v>
      </c>
      <c r="CD268" t="str">
        <f>"978645043"</f>
        <v>978645043</v>
      </c>
      <c r="CQ268">
        <v>0</v>
      </c>
      <c r="CR268">
        <v>2</v>
      </c>
      <c r="CS268">
        <v>0</v>
      </c>
      <c r="CT268">
        <v>2</v>
      </c>
      <c r="CU268">
        <v>0</v>
      </c>
      <c r="CV268">
        <v>4</v>
      </c>
      <c r="CW268" t="s">
        <v>120</v>
      </c>
      <c r="CX268">
        <v>259</v>
      </c>
      <c r="CY268">
        <v>1</v>
      </c>
      <c r="CZ268" t="s">
        <v>197</v>
      </c>
      <c r="DA268" t="s">
        <v>198</v>
      </c>
      <c r="DD268">
        <v>14801757</v>
      </c>
      <c r="DE268" t="s">
        <v>123</v>
      </c>
    </row>
    <row r="269" spans="1:109" x14ac:dyDescent="0.3">
      <c r="A269" t="str">
        <f>"18:38:56.219"</f>
        <v>18:38:56.219</v>
      </c>
      <c r="B269" t="s">
        <v>110</v>
      </c>
      <c r="C269" t="str">
        <f t="shared" si="12"/>
        <v>ffdfd3c0</v>
      </c>
      <c r="D269" t="s">
        <v>111</v>
      </c>
      <c r="E269">
        <v>18</v>
      </c>
      <c r="F269">
        <v>1018</v>
      </c>
      <c r="G269" t="s">
        <v>112</v>
      </c>
      <c r="J269" t="s">
        <v>113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R269" t="s">
        <v>114</v>
      </c>
      <c r="S269" t="str">
        <f>"18:38:55.992"</f>
        <v>18:38:55.992</v>
      </c>
      <c r="T269" t="str">
        <f>"18:38:55.594"</f>
        <v>18:38:55.594</v>
      </c>
      <c r="U269" t="str">
        <f t="shared" si="13"/>
        <v>a1cdbe</v>
      </c>
      <c r="V269">
        <v>0</v>
      </c>
      <c r="W269">
        <v>0</v>
      </c>
      <c r="X269">
        <v>1</v>
      </c>
      <c r="Y269">
        <v>0</v>
      </c>
      <c r="Z269">
        <v>0</v>
      </c>
      <c r="AB269">
        <v>0</v>
      </c>
      <c r="AC269">
        <v>9</v>
      </c>
      <c r="AD269">
        <v>3</v>
      </c>
      <c r="AE269">
        <v>0</v>
      </c>
      <c r="AF269">
        <v>9</v>
      </c>
      <c r="AG269" t="s">
        <v>158</v>
      </c>
      <c r="AH269">
        <v>0</v>
      </c>
      <c r="AI269">
        <v>3</v>
      </c>
      <c r="AJ269">
        <v>1</v>
      </c>
      <c r="AK269">
        <v>0</v>
      </c>
      <c r="AL269" t="s">
        <v>605</v>
      </c>
      <c r="AM269">
        <v>47.038736</v>
      </c>
      <c r="AN269" t="s">
        <v>606</v>
      </c>
      <c r="AO269">
        <v>-122.289033</v>
      </c>
      <c r="AP269">
        <v>100</v>
      </c>
      <c r="AQ269">
        <v>2000</v>
      </c>
      <c r="AR269" t="s">
        <v>118</v>
      </c>
      <c r="AS269">
        <v>-18</v>
      </c>
      <c r="AT269">
        <v>-82</v>
      </c>
      <c r="AU269">
        <v>0</v>
      </c>
      <c r="BC269">
        <v>1200</v>
      </c>
      <c r="BD269">
        <v>1</v>
      </c>
      <c r="BE269" t="str">
        <f t="shared" si="14"/>
        <v xml:space="preserve">N215T   </v>
      </c>
      <c r="BF269">
        <v>1</v>
      </c>
      <c r="BH269">
        <v>0</v>
      </c>
      <c r="BI269">
        <v>0</v>
      </c>
      <c r="BJ269">
        <v>0</v>
      </c>
      <c r="BK269">
        <v>2350</v>
      </c>
      <c r="BL269">
        <v>350</v>
      </c>
      <c r="BM269" t="s">
        <v>119</v>
      </c>
      <c r="BN269">
        <v>1</v>
      </c>
      <c r="BO269">
        <v>1</v>
      </c>
      <c r="BP269">
        <v>1</v>
      </c>
      <c r="BQ269">
        <v>0</v>
      </c>
      <c r="BT269">
        <v>0</v>
      </c>
      <c r="BU269">
        <v>0</v>
      </c>
      <c r="BV269">
        <v>0</v>
      </c>
      <c r="CC269" t="str">
        <f>"18:38:56.000"</f>
        <v>18:38:56.000</v>
      </c>
      <c r="CD269" t="str">
        <f>"998432889"</f>
        <v>998432889</v>
      </c>
      <c r="CQ269">
        <v>0</v>
      </c>
      <c r="CR269">
        <v>2</v>
      </c>
      <c r="CS269">
        <v>0</v>
      </c>
      <c r="CT269">
        <v>2</v>
      </c>
      <c r="CU269">
        <v>0</v>
      </c>
      <c r="CV269">
        <v>4</v>
      </c>
      <c r="CW269" t="s">
        <v>120</v>
      </c>
      <c r="CX269">
        <v>261</v>
      </c>
      <c r="CY269">
        <v>2</v>
      </c>
      <c r="CZ269" t="s">
        <v>121</v>
      </c>
      <c r="DA269" t="s">
        <v>122</v>
      </c>
      <c r="DD269">
        <v>14388912</v>
      </c>
      <c r="DE269" t="s">
        <v>123</v>
      </c>
    </row>
    <row r="270" spans="1:109" x14ac:dyDescent="0.3">
      <c r="A270" t="str">
        <f>"18:38:57.227"</f>
        <v>18:38:57.227</v>
      </c>
      <c r="B270" t="s">
        <v>110</v>
      </c>
      <c r="C270" t="str">
        <f t="shared" si="12"/>
        <v>ffdfd3c0</v>
      </c>
      <c r="D270" t="s">
        <v>111</v>
      </c>
      <c r="E270">
        <v>18</v>
      </c>
      <c r="F270">
        <v>1018</v>
      </c>
      <c r="G270" t="s">
        <v>112</v>
      </c>
      <c r="J270" t="s">
        <v>113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R270" t="s">
        <v>114</v>
      </c>
      <c r="S270" t="str">
        <f>"18:38:57.000"</f>
        <v>18:38:57.000</v>
      </c>
      <c r="T270" t="str">
        <f>"18:38:56.602"</f>
        <v>18:38:56.602</v>
      </c>
      <c r="U270" t="str">
        <f t="shared" si="13"/>
        <v>a1cdbe</v>
      </c>
      <c r="V270">
        <v>0</v>
      </c>
      <c r="W270">
        <v>0</v>
      </c>
      <c r="X270">
        <v>1</v>
      </c>
      <c r="Y270">
        <v>0</v>
      </c>
      <c r="Z270">
        <v>0</v>
      </c>
      <c r="AB270">
        <v>0</v>
      </c>
      <c r="AC270">
        <v>9</v>
      </c>
      <c r="AD270">
        <v>3</v>
      </c>
      <c r="AE270">
        <v>0</v>
      </c>
      <c r="AF270">
        <v>9</v>
      </c>
      <c r="AG270" t="s">
        <v>158</v>
      </c>
      <c r="AH270">
        <v>0</v>
      </c>
      <c r="AI270">
        <v>3</v>
      </c>
      <c r="AJ270">
        <v>1</v>
      </c>
      <c r="AK270">
        <v>0</v>
      </c>
      <c r="AL270" t="s">
        <v>607</v>
      </c>
      <c r="AM270">
        <v>47.038392999999999</v>
      </c>
      <c r="AN270" t="s">
        <v>608</v>
      </c>
      <c r="AO270">
        <v>-122.289162</v>
      </c>
      <c r="AP270">
        <v>100</v>
      </c>
      <c r="AQ270">
        <v>2000</v>
      </c>
      <c r="AR270" t="s">
        <v>118</v>
      </c>
      <c r="AS270">
        <v>-18</v>
      </c>
      <c r="AT270">
        <v>-81</v>
      </c>
      <c r="AU270">
        <v>64</v>
      </c>
      <c r="BC270">
        <v>1200</v>
      </c>
      <c r="BD270">
        <v>1</v>
      </c>
      <c r="BE270" t="str">
        <f t="shared" si="14"/>
        <v xml:space="preserve">N215T   </v>
      </c>
      <c r="BF270">
        <v>1</v>
      </c>
      <c r="BH270">
        <v>0</v>
      </c>
      <c r="BI270">
        <v>0</v>
      </c>
      <c r="BJ270">
        <v>0</v>
      </c>
      <c r="BK270">
        <v>2350</v>
      </c>
      <c r="BL270">
        <v>350</v>
      </c>
      <c r="BM270" t="s">
        <v>119</v>
      </c>
      <c r="BN270">
        <v>1</v>
      </c>
      <c r="BO270">
        <v>1</v>
      </c>
      <c r="BP270">
        <v>1</v>
      </c>
      <c r="BQ270">
        <v>0</v>
      </c>
      <c r="BT270">
        <v>0</v>
      </c>
      <c r="BU270">
        <v>0</v>
      </c>
      <c r="BV270">
        <v>0</v>
      </c>
      <c r="CC270" t="str">
        <f>"18:38:57.000"</f>
        <v>18:38:57.000</v>
      </c>
      <c r="CD270" t="str">
        <f>"003445949"</f>
        <v>003445949</v>
      </c>
      <c r="CQ270">
        <v>0</v>
      </c>
      <c r="CR270">
        <v>2</v>
      </c>
      <c r="CS270">
        <v>0</v>
      </c>
      <c r="CT270">
        <v>2</v>
      </c>
      <c r="CU270">
        <v>0</v>
      </c>
      <c r="CV270">
        <v>4</v>
      </c>
      <c r="CW270" t="s">
        <v>120</v>
      </c>
      <c r="CX270">
        <v>259</v>
      </c>
      <c r="CY270">
        <v>1</v>
      </c>
      <c r="CZ270" t="s">
        <v>197</v>
      </c>
      <c r="DA270" t="s">
        <v>198</v>
      </c>
      <c r="DD270">
        <v>14803137</v>
      </c>
      <c r="DE270" t="s">
        <v>123</v>
      </c>
    </row>
    <row r="271" spans="1:109" x14ac:dyDescent="0.3">
      <c r="A271" t="str">
        <f>"18:38:58.383"</f>
        <v>18:38:58.383</v>
      </c>
      <c r="B271" t="s">
        <v>110</v>
      </c>
      <c r="C271" t="str">
        <f t="shared" si="12"/>
        <v>ffdfd3c0</v>
      </c>
      <c r="D271" t="s">
        <v>111</v>
      </c>
      <c r="E271">
        <v>18</v>
      </c>
      <c r="F271">
        <v>1018</v>
      </c>
      <c r="G271" t="s">
        <v>112</v>
      </c>
      <c r="J271" t="s">
        <v>113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R271" t="s">
        <v>114</v>
      </c>
      <c r="S271" t="str">
        <f>"18:38:58.156"</f>
        <v>18:38:58.156</v>
      </c>
      <c r="T271" t="str">
        <f>"18:38:57.656"</f>
        <v>18:38:57.656</v>
      </c>
      <c r="U271" t="str">
        <f t="shared" si="13"/>
        <v>a1cdbe</v>
      </c>
      <c r="V271">
        <v>0</v>
      </c>
      <c r="W271">
        <v>0</v>
      </c>
      <c r="X271">
        <v>1</v>
      </c>
      <c r="Y271">
        <v>0</v>
      </c>
      <c r="Z271">
        <v>0</v>
      </c>
      <c r="AB271">
        <v>0</v>
      </c>
      <c r="AC271">
        <v>9</v>
      </c>
      <c r="AD271">
        <v>3</v>
      </c>
      <c r="AE271">
        <v>0</v>
      </c>
      <c r="AF271">
        <v>9</v>
      </c>
      <c r="AG271" t="s">
        <v>158</v>
      </c>
      <c r="AH271">
        <v>0</v>
      </c>
      <c r="AI271">
        <v>3</v>
      </c>
      <c r="AJ271">
        <v>1</v>
      </c>
      <c r="AK271">
        <v>0</v>
      </c>
      <c r="AL271" t="s">
        <v>609</v>
      </c>
      <c r="AM271">
        <v>47.037920999999997</v>
      </c>
      <c r="AN271" t="s">
        <v>610</v>
      </c>
      <c r="AO271">
        <v>-122.289312</v>
      </c>
      <c r="AP271">
        <v>100</v>
      </c>
      <c r="AQ271">
        <v>2000</v>
      </c>
      <c r="AR271" t="s">
        <v>118</v>
      </c>
      <c r="AS271">
        <v>-18</v>
      </c>
      <c r="AT271">
        <v>-81</v>
      </c>
      <c r="AU271">
        <v>64</v>
      </c>
      <c r="BC271">
        <v>1200</v>
      </c>
      <c r="BD271">
        <v>1</v>
      </c>
      <c r="BE271" t="str">
        <f t="shared" si="14"/>
        <v xml:space="preserve">N215T   </v>
      </c>
      <c r="BF271">
        <v>1</v>
      </c>
      <c r="BH271">
        <v>0</v>
      </c>
      <c r="BI271">
        <v>0</v>
      </c>
      <c r="BJ271">
        <v>0</v>
      </c>
      <c r="BK271">
        <v>2350</v>
      </c>
      <c r="BL271">
        <v>350</v>
      </c>
      <c r="BM271" t="s">
        <v>119</v>
      </c>
      <c r="BN271">
        <v>1</v>
      </c>
      <c r="BO271">
        <v>1</v>
      </c>
      <c r="BP271">
        <v>1</v>
      </c>
      <c r="BQ271">
        <v>0</v>
      </c>
      <c r="BT271">
        <v>0</v>
      </c>
      <c r="BU271">
        <v>0</v>
      </c>
      <c r="BV271">
        <v>0</v>
      </c>
      <c r="CC271" t="str">
        <f>"18:38:58.156"</f>
        <v>18:38:58.156</v>
      </c>
      <c r="CD271" t="str">
        <f>"158220484"</f>
        <v>158220484</v>
      </c>
      <c r="CQ271">
        <v>0</v>
      </c>
      <c r="CR271">
        <v>2</v>
      </c>
      <c r="CS271">
        <v>0</v>
      </c>
      <c r="CT271">
        <v>2</v>
      </c>
      <c r="CU271">
        <v>0</v>
      </c>
      <c r="CV271">
        <v>4</v>
      </c>
      <c r="CW271" t="s">
        <v>120</v>
      </c>
      <c r="CX271">
        <v>261</v>
      </c>
      <c r="CY271">
        <v>2</v>
      </c>
      <c r="CZ271" t="s">
        <v>121</v>
      </c>
      <c r="DA271" t="s">
        <v>122</v>
      </c>
      <c r="DD271">
        <v>14390092</v>
      </c>
      <c r="DE271" t="s">
        <v>123</v>
      </c>
    </row>
    <row r="272" spans="1:109" x14ac:dyDescent="0.3">
      <c r="A272" t="str">
        <f>"18:38:59.234"</f>
        <v>18:38:59.234</v>
      </c>
      <c r="B272" t="s">
        <v>110</v>
      </c>
      <c r="C272" t="str">
        <f t="shared" si="12"/>
        <v>ffdfd3c0</v>
      </c>
      <c r="D272" t="s">
        <v>111</v>
      </c>
      <c r="E272">
        <v>18</v>
      </c>
      <c r="F272">
        <v>1018</v>
      </c>
      <c r="G272" t="s">
        <v>112</v>
      </c>
      <c r="J272" t="s">
        <v>113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R272" t="s">
        <v>114</v>
      </c>
      <c r="S272" t="str">
        <f>"18:38:59.023"</f>
        <v>18:38:59.023</v>
      </c>
      <c r="T272" t="str">
        <f>"18:38:58.820"</f>
        <v>18:38:58.820</v>
      </c>
      <c r="U272" t="str">
        <f t="shared" si="13"/>
        <v>a1cdbe</v>
      </c>
      <c r="V272">
        <v>0</v>
      </c>
      <c r="W272">
        <v>0</v>
      </c>
      <c r="X272">
        <v>1</v>
      </c>
      <c r="Y272">
        <v>0</v>
      </c>
      <c r="Z272">
        <v>0</v>
      </c>
      <c r="AB272">
        <v>0</v>
      </c>
      <c r="AC272">
        <v>9</v>
      </c>
      <c r="AD272">
        <v>3</v>
      </c>
      <c r="AE272">
        <v>0</v>
      </c>
      <c r="AF272">
        <v>9</v>
      </c>
      <c r="AG272" t="s">
        <v>158</v>
      </c>
      <c r="AH272">
        <v>0</v>
      </c>
      <c r="AI272">
        <v>3</v>
      </c>
      <c r="AJ272">
        <v>1</v>
      </c>
      <c r="AK272">
        <v>0</v>
      </c>
      <c r="AL272" t="s">
        <v>611</v>
      </c>
      <c r="AM272">
        <v>47.037599</v>
      </c>
      <c r="AN272" t="s">
        <v>612</v>
      </c>
      <c r="AO272">
        <v>-122.289462</v>
      </c>
      <c r="AP272">
        <v>100</v>
      </c>
      <c r="AQ272">
        <v>2000</v>
      </c>
      <c r="AR272" t="s">
        <v>118</v>
      </c>
      <c r="AS272">
        <v>-19</v>
      </c>
      <c r="AT272">
        <v>-81</v>
      </c>
      <c r="AU272">
        <v>0</v>
      </c>
      <c r="BC272">
        <v>1200</v>
      </c>
      <c r="BD272">
        <v>1</v>
      </c>
      <c r="BE272" t="str">
        <f t="shared" si="14"/>
        <v xml:space="preserve">N215T   </v>
      </c>
      <c r="BF272">
        <v>1</v>
      </c>
      <c r="BH272">
        <v>0</v>
      </c>
      <c r="BI272">
        <v>0</v>
      </c>
      <c r="BJ272">
        <v>0</v>
      </c>
      <c r="BK272">
        <v>2350</v>
      </c>
      <c r="BL272">
        <v>350</v>
      </c>
      <c r="BM272" t="s">
        <v>119</v>
      </c>
      <c r="BN272">
        <v>1</v>
      </c>
      <c r="BO272">
        <v>1</v>
      </c>
      <c r="BP272">
        <v>1</v>
      </c>
      <c r="BQ272">
        <v>0</v>
      </c>
      <c r="BT272">
        <v>0</v>
      </c>
      <c r="BU272">
        <v>0</v>
      </c>
      <c r="BV272">
        <v>0</v>
      </c>
      <c r="CC272" t="str">
        <f>"18:38:59.031"</f>
        <v>18:38:59.031</v>
      </c>
      <c r="CD272" t="str">
        <f>"028134928"</f>
        <v>028134928</v>
      </c>
      <c r="CQ272">
        <v>0</v>
      </c>
      <c r="CR272">
        <v>2</v>
      </c>
      <c r="CS272">
        <v>0</v>
      </c>
      <c r="CT272">
        <v>2</v>
      </c>
      <c r="CU272">
        <v>0</v>
      </c>
      <c r="CV272">
        <v>3</v>
      </c>
      <c r="CW272" t="s">
        <v>120</v>
      </c>
      <c r="CX272">
        <v>261</v>
      </c>
      <c r="CY272">
        <v>1</v>
      </c>
      <c r="CZ272" t="s">
        <v>121</v>
      </c>
      <c r="DA272" t="s">
        <v>122</v>
      </c>
      <c r="DD272">
        <v>3255677</v>
      </c>
      <c r="DE272" t="s">
        <v>123</v>
      </c>
    </row>
    <row r="273" spans="1:109" x14ac:dyDescent="0.3">
      <c r="A273" t="str">
        <f>"18:39:00.242"</f>
        <v>18:39:00.242</v>
      </c>
      <c r="B273" t="s">
        <v>110</v>
      </c>
      <c r="C273" t="str">
        <f t="shared" si="12"/>
        <v>ffdfd3c0</v>
      </c>
      <c r="D273" t="s">
        <v>111</v>
      </c>
      <c r="E273">
        <v>18</v>
      </c>
      <c r="F273">
        <v>1018</v>
      </c>
      <c r="G273" t="s">
        <v>112</v>
      </c>
      <c r="J273" t="s">
        <v>113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R273" t="s">
        <v>114</v>
      </c>
      <c r="S273" t="str">
        <f>"18:39:00.031"</f>
        <v>18:39:00.031</v>
      </c>
      <c r="T273" t="str">
        <f>"18:38:59.828"</f>
        <v>18:38:59.828</v>
      </c>
      <c r="U273" t="str">
        <f t="shared" si="13"/>
        <v>a1cdbe</v>
      </c>
      <c r="V273">
        <v>0</v>
      </c>
      <c r="W273">
        <v>0</v>
      </c>
      <c r="X273">
        <v>1</v>
      </c>
      <c r="Y273">
        <v>0</v>
      </c>
      <c r="Z273">
        <v>0</v>
      </c>
      <c r="AB273">
        <v>0</v>
      </c>
      <c r="AC273">
        <v>9</v>
      </c>
      <c r="AD273">
        <v>3</v>
      </c>
      <c r="AE273">
        <v>0</v>
      </c>
      <c r="AF273">
        <v>9</v>
      </c>
      <c r="AG273" t="s">
        <v>158</v>
      </c>
      <c r="AH273">
        <v>0</v>
      </c>
      <c r="AI273">
        <v>3</v>
      </c>
      <c r="AJ273">
        <v>1</v>
      </c>
      <c r="AK273">
        <v>0</v>
      </c>
      <c r="AL273" t="s">
        <v>613</v>
      </c>
      <c r="AM273">
        <v>47.037233999999998</v>
      </c>
      <c r="AN273" t="s">
        <v>614</v>
      </c>
      <c r="AO273">
        <v>-122.289569</v>
      </c>
      <c r="AP273">
        <v>100</v>
      </c>
      <c r="AQ273">
        <v>2000</v>
      </c>
      <c r="AR273" t="s">
        <v>118</v>
      </c>
      <c r="AS273">
        <v>-20</v>
      </c>
      <c r="AT273">
        <v>-80</v>
      </c>
      <c r="AU273">
        <v>64</v>
      </c>
      <c r="BC273">
        <v>1200</v>
      </c>
      <c r="BD273">
        <v>1</v>
      </c>
      <c r="BE273" t="str">
        <f t="shared" si="14"/>
        <v xml:space="preserve">N215T   </v>
      </c>
      <c r="BF273">
        <v>1</v>
      </c>
      <c r="BH273">
        <v>0</v>
      </c>
      <c r="BI273">
        <v>0</v>
      </c>
      <c r="BJ273">
        <v>0</v>
      </c>
      <c r="BK273">
        <v>2350</v>
      </c>
      <c r="BL273">
        <v>350</v>
      </c>
      <c r="BM273" t="s">
        <v>119</v>
      </c>
      <c r="BN273">
        <v>1</v>
      </c>
      <c r="BO273">
        <v>1</v>
      </c>
      <c r="BP273">
        <v>1</v>
      </c>
      <c r="BQ273">
        <v>0</v>
      </c>
      <c r="BT273">
        <v>0</v>
      </c>
      <c r="BU273">
        <v>0</v>
      </c>
      <c r="BV273">
        <v>0</v>
      </c>
      <c r="CC273" t="str">
        <f>"18:39:00.031"</f>
        <v>18:39:00.031</v>
      </c>
      <c r="CD273" t="str">
        <f>"033276054"</f>
        <v>033276054</v>
      </c>
      <c r="CQ273">
        <v>0</v>
      </c>
      <c r="CR273">
        <v>2</v>
      </c>
      <c r="CS273">
        <v>0</v>
      </c>
      <c r="CT273">
        <v>2</v>
      </c>
      <c r="CU273">
        <v>0</v>
      </c>
      <c r="CV273">
        <v>1</v>
      </c>
      <c r="CW273" t="s">
        <v>120</v>
      </c>
      <c r="CX273">
        <v>257</v>
      </c>
      <c r="CY273">
        <v>1</v>
      </c>
      <c r="CZ273" t="s">
        <v>615</v>
      </c>
      <c r="DA273" t="s">
        <v>616</v>
      </c>
      <c r="DD273">
        <v>10638844</v>
      </c>
      <c r="DE273" t="s">
        <v>123</v>
      </c>
    </row>
    <row r="274" spans="1:109" x14ac:dyDescent="0.3">
      <c r="A274" t="str">
        <f>"18:39:01.398"</f>
        <v>18:39:01.398</v>
      </c>
      <c r="B274" t="s">
        <v>110</v>
      </c>
      <c r="C274" t="str">
        <f t="shared" si="12"/>
        <v>ffdfd3c0</v>
      </c>
      <c r="D274" t="s">
        <v>111</v>
      </c>
      <c r="E274">
        <v>18</v>
      </c>
      <c r="F274">
        <v>1018</v>
      </c>
      <c r="G274" t="s">
        <v>112</v>
      </c>
      <c r="J274" t="s">
        <v>113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R274" t="s">
        <v>114</v>
      </c>
      <c r="S274" t="str">
        <f>"18:39:01.156"</f>
        <v>18:39:01.156</v>
      </c>
      <c r="T274" t="str">
        <f>"18:39:00.758"</f>
        <v>18:39:00.758</v>
      </c>
      <c r="U274" t="str">
        <f t="shared" si="13"/>
        <v>a1cdbe</v>
      </c>
      <c r="V274">
        <v>0</v>
      </c>
      <c r="W274">
        <v>0</v>
      </c>
      <c r="X274">
        <v>1</v>
      </c>
      <c r="Y274">
        <v>0</v>
      </c>
      <c r="Z274">
        <v>0</v>
      </c>
      <c r="AB274">
        <v>0</v>
      </c>
      <c r="AC274">
        <v>9</v>
      </c>
      <c r="AD274">
        <v>3</v>
      </c>
      <c r="AE274">
        <v>0</v>
      </c>
      <c r="AF274">
        <v>9</v>
      </c>
      <c r="AG274" t="s">
        <v>158</v>
      </c>
      <c r="AH274">
        <v>0</v>
      </c>
      <c r="AI274">
        <v>3</v>
      </c>
      <c r="AJ274">
        <v>1</v>
      </c>
      <c r="AK274">
        <v>0</v>
      </c>
      <c r="AL274" t="s">
        <v>617</v>
      </c>
      <c r="AM274">
        <v>47.036805000000001</v>
      </c>
      <c r="AN274" t="s">
        <v>618</v>
      </c>
      <c r="AO274">
        <v>-122.28974100000001</v>
      </c>
      <c r="AP274">
        <v>100</v>
      </c>
      <c r="AQ274">
        <v>2000</v>
      </c>
      <c r="AR274" t="s">
        <v>118</v>
      </c>
      <c r="AS274">
        <v>-20</v>
      </c>
      <c r="AT274">
        <v>-80</v>
      </c>
      <c r="AU274">
        <v>64</v>
      </c>
      <c r="BC274">
        <v>1200</v>
      </c>
      <c r="BD274">
        <v>1</v>
      </c>
      <c r="BE274" t="str">
        <f t="shared" si="14"/>
        <v xml:space="preserve">N215T   </v>
      </c>
      <c r="BF274">
        <v>1</v>
      </c>
      <c r="BH274">
        <v>0</v>
      </c>
      <c r="BI274">
        <v>0</v>
      </c>
      <c r="BJ274">
        <v>0</v>
      </c>
      <c r="BK274">
        <v>2350</v>
      </c>
      <c r="BL274">
        <v>350</v>
      </c>
      <c r="BM274" t="s">
        <v>119</v>
      </c>
      <c r="BN274">
        <v>1</v>
      </c>
      <c r="BO274">
        <v>1</v>
      </c>
      <c r="BP274">
        <v>1</v>
      </c>
      <c r="BQ274">
        <v>0</v>
      </c>
      <c r="BT274">
        <v>0</v>
      </c>
      <c r="BU274">
        <v>0</v>
      </c>
      <c r="BV274">
        <v>0</v>
      </c>
      <c r="CC274" t="str">
        <f>"18:39:01.156"</f>
        <v>18:39:01.156</v>
      </c>
      <c r="CD274" t="str">
        <f>"158037544"</f>
        <v>158037544</v>
      </c>
      <c r="CQ274">
        <v>0</v>
      </c>
      <c r="CR274">
        <v>2</v>
      </c>
      <c r="CS274">
        <v>0</v>
      </c>
      <c r="CT274">
        <v>2</v>
      </c>
      <c r="CU274">
        <v>0</v>
      </c>
      <c r="CV274">
        <v>4</v>
      </c>
      <c r="CW274" t="s">
        <v>120</v>
      </c>
      <c r="CX274">
        <v>259</v>
      </c>
      <c r="CY274">
        <v>1</v>
      </c>
      <c r="CZ274" t="s">
        <v>197</v>
      </c>
      <c r="DA274" t="s">
        <v>198</v>
      </c>
      <c r="DD274">
        <v>14806018</v>
      </c>
      <c r="DE274" t="s">
        <v>123</v>
      </c>
    </row>
    <row r="275" spans="1:109" x14ac:dyDescent="0.3">
      <c r="A275" t="str">
        <f>"18:39:02.352"</f>
        <v>18:39:02.352</v>
      </c>
      <c r="B275" t="s">
        <v>110</v>
      </c>
      <c r="C275" t="str">
        <f t="shared" si="12"/>
        <v>ffdfd3c0</v>
      </c>
      <c r="D275" t="s">
        <v>111</v>
      </c>
      <c r="E275">
        <v>18</v>
      </c>
      <c r="F275">
        <v>1018</v>
      </c>
      <c r="G275" t="s">
        <v>112</v>
      </c>
      <c r="J275" t="s">
        <v>113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R275" t="s">
        <v>114</v>
      </c>
      <c r="S275" t="str">
        <f>"18:39:02.133"</f>
        <v>18:39:02.133</v>
      </c>
      <c r="T275" t="str">
        <f>"18:39:01.836"</f>
        <v>18:39:01.836</v>
      </c>
      <c r="U275" t="str">
        <f t="shared" si="13"/>
        <v>a1cdbe</v>
      </c>
      <c r="V275">
        <v>0</v>
      </c>
      <c r="W275">
        <v>0</v>
      </c>
      <c r="X275">
        <v>1</v>
      </c>
      <c r="Y275">
        <v>0</v>
      </c>
      <c r="Z275">
        <v>0</v>
      </c>
      <c r="AB275">
        <v>0</v>
      </c>
      <c r="AC275">
        <v>9</v>
      </c>
      <c r="AD275">
        <v>3</v>
      </c>
      <c r="AE275">
        <v>0</v>
      </c>
      <c r="AF275">
        <v>9</v>
      </c>
      <c r="AG275" t="s">
        <v>158</v>
      </c>
      <c r="AH275">
        <v>0</v>
      </c>
      <c r="AI275">
        <v>3</v>
      </c>
      <c r="AJ275">
        <v>1</v>
      </c>
      <c r="AK275">
        <v>0</v>
      </c>
      <c r="AL275" t="s">
        <v>619</v>
      </c>
      <c r="AM275">
        <v>47.036504999999998</v>
      </c>
      <c r="AN275" t="s">
        <v>620</v>
      </c>
      <c r="AO275">
        <v>-122.28984800000001</v>
      </c>
      <c r="AP275">
        <v>100</v>
      </c>
      <c r="AQ275">
        <v>2000</v>
      </c>
      <c r="AR275" t="s">
        <v>118</v>
      </c>
      <c r="AS275">
        <v>-21</v>
      </c>
      <c r="AT275">
        <v>-79</v>
      </c>
      <c r="AU275">
        <v>128</v>
      </c>
      <c r="BC275">
        <v>1200</v>
      </c>
      <c r="BD275">
        <v>1</v>
      </c>
      <c r="BE275" t="str">
        <f t="shared" si="14"/>
        <v xml:space="preserve">N215T   </v>
      </c>
      <c r="BF275">
        <v>1</v>
      </c>
      <c r="BH275">
        <v>0</v>
      </c>
      <c r="BI275">
        <v>0</v>
      </c>
      <c r="BJ275">
        <v>0</v>
      </c>
      <c r="BK275">
        <v>2350</v>
      </c>
      <c r="BL275">
        <v>350</v>
      </c>
      <c r="BM275" t="s">
        <v>119</v>
      </c>
      <c r="BN275">
        <v>1</v>
      </c>
      <c r="BO275">
        <v>1</v>
      </c>
      <c r="BP275">
        <v>1</v>
      </c>
      <c r="BQ275">
        <v>0</v>
      </c>
      <c r="BT275">
        <v>0</v>
      </c>
      <c r="BU275">
        <v>0</v>
      </c>
      <c r="BV275">
        <v>0</v>
      </c>
      <c r="CC275" t="str">
        <f>"18:39:02.133"</f>
        <v>18:39:02.133</v>
      </c>
      <c r="CD275" t="str">
        <f>"132941710"</f>
        <v>132941710</v>
      </c>
      <c r="CQ275">
        <v>0</v>
      </c>
      <c r="CR275">
        <v>2</v>
      </c>
      <c r="CS275">
        <v>0</v>
      </c>
      <c r="CT275">
        <v>2</v>
      </c>
      <c r="CU275">
        <v>0</v>
      </c>
      <c r="CV275">
        <v>3</v>
      </c>
      <c r="CW275" t="s">
        <v>120</v>
      </c>
      <c r="CX275">
        <v>259</v>
      </c>
      <c r="CY275">
        <v>1</v>
      </c>
      <c r="CZ275" t="s">
        <v>197</v>
      </c>
      <c r="DA275" t="s">
        <v>198</v>
      </c>
      <c r="DD275">
        <v>14806683</v>
      </c>
      <c r="DE275" t="s">
        <v>123</v>
      </c>
    </row>
    <row r="276" spans="1:109" x14ac:dyDescent="0.3">
      <c r="A276" t="str">
        <f>"18:39:03.359"</f>
        <v>18:39:03.359</v>
      </c>
      <c r="B276" t="s">
        <v>110</v>
      </c>
      <c r="C276" t="str">
        <f t="shared" si="12"/>
        <v>ffdfd3c0</v>
      </c>
      <c r="D276" t="s">
        <v>111</v>
      </c>
      <c r="E276">
        <v>18</v>
      </c>
      <c r="F276">
        <v>1018</v>
      </c>
      <c r="G276" t="s">
        <v>112</v>
      </c>
      <c r="J276" t="s">
        <v>113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R276" t="s">
        <v>114</v>
      </c>
      <c r="S276" t="str">
        <f>"18:39:03.164"</f>
        <v>18:39:03.164</v>
      </c>
      <c r="T276" t="str">
        <f>"18:39:03.164"</f>
        <v>18:39:03.164</v>
      </c>
      <c r="U276" t="str">
        <f t="shared" si="13"/>
        <v>a1cdbe</v>
      </c>
      <c r="V276">
        <v>0</v>
      </c>
      <c r="W276">
        <v>0</v>
      </c>
      <c r="X276">
        <v>1</v>
      </c>
      <c r="Y276">
        <v>0</v>
      </c>
      <c r="Z276">
        <v>0</v>
      </c>
      <c r="AB276">
        <v>0</v>
      </c>
      <c r="AC276">
        <v>9</v>
      </c>
      <c r="AD276">
        <v>3</v>
      </c>
      <c r="AE276">
        <v>0</v>
      </c>
      <c r="AF276">
        <v>9</v>
      </c>
      <c r="AG276" t="s">
        <v>158</v>
      </c>
      <c r="AH276">
        <v>0</v>
      </c>
      <c r="AI276">
        <v>3</v>
      </c>
      <c r="AJ276">
        <v>1</v>
      </c>
      <c r="AK276">
        <v>0</v>
      </c>
      <c r="AL276" t="s">
        <v>621</v>
      </c>
      <c r="AM276">
        <v>47.036096999999998</v>
      </c>
      <c r="AN276" t="s">
        <v>622</v>
      </c>
      <c r="AO276">
        <v>-122.28997699999999</v>
      </c>
      <c r="AP276">
        <v>100</v>
      </c>
      <c r="AQ276">
        <v>2000</v>
      </c>
      <c r="AR276" t="s">
        <v>118</v>
      </c>
      <c r="AS276">
        <v>-21</v>
      </c>
      <c r="AT276">
        <v>-79</v>
      </c>
      <c r="AU276">
        <v>128</v>
      </c>
      <c r="BC276">
        <v>1200</v>
      </c>
      <c r="BD276">
        <v>1</v>
      </c>
      <c r="BE276" t="str">
        <f t="shared" si="14"/>
        <v xml:space="preserve">N215T   </v>
      </c>
      <c r="BF276">
        <v>1</v>
      </c>
      <c r="BH276">
        <v>0</v>
      </c>
      <c r="BI276">
        <v>0</v>
      </c>
      <c r="BJ276">
        <v>0</v>
      </c>
      <c r="BK276">
        <v>2350</v>
      </c>
      <c r="BL276">
        <v>350</v>
      </c>
      <c r="BM276" t="s">
        <v>119</v>
      </c>
      <c r="BN276">
        <v>1</v>
      </c>
      <c r="BO276">
        <v>1</v>
      </c>
      <c r="BP276">
        <v>1</v>
      </c>
      <c r="BQ276">
        <v>0</v>
      </c>
      <c r="BT276">
        <v>0</v>
      </c>
      <c r="BU276">
        <v>0</v>
      </c>
      <c r="BV276">
        <v>0</v>
      </c>
      <c r="CC276" t="str">
        <f>"18:39:03.164"</f>
        <v>18:39:03.164</v>
      </c>
      <c r="CD276" t="str">
        <f>"167839996"</f>
        <v>167839996</v>
      </c>
      <c r="CQ276">
        <v>0</v>
      </c>
      <c r="CR276">
        <v>2</v>
      </c>
      <c r="CS276">
        <v>0</v>
      </c>
      <c r="CT276">
        <v>2</v>
      </c>
      <c r="CU276">
        <v>0</v>
      </c>
      <c r="CV276">
        <v>4</v>
      </c>
      <c r="CW276" t="s">
        <v>120</v>
      </c>
      <c r="CX276">
        <v>259</v>
      </c>
      <c r="CY276">
        <v>1</v>
      </c>
      <c r="CZ276" t="s">
        <v>197</v>
      </c>
      <c r="DA276" t="s">
        <v>198</v>
      </c>
      <c r="DD276">
        <v>14807403</v>
      </c>
      <c r="DE276" t="s">
        <v>123</v>
      </c>
    </row>
    <row r="277" spans="1:109" x14ac:dyDescent="0.3">
      <c r="A277" t="str">
        <f>"18:39:04.461"</f>
        <v>18:39:04.461</v>
      </c>
      <c r="B277" t="s">
        <v>110</v>
      </c>
      <c r="C277" t="str">
        <f t="shared" si="12"/>
        <v>ffdfd3c0</v>
      </c>
      <c r="D277" t="s">
        <v>111</v>
      </c>
      <c r="E277">
        <v>18</v>
      </c>
      <c r="F277">
        <v>1018</v>
      </c>
      <c r="G277" t="s">
        <v>112</v>
      </c>
      <c r="J277" t="s">
        <v>113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R277" t="s">
        <v>114</v>
      </c>
      <c r="S277" t="str">
        <f>"18:39:04.211"</f>
        <v>18:39:04.211</v>
      </c>
      <c r="T277" t="str">
        <f>"18:39:04.109"</f>
        <v>18:39:04.109</v>
      </c>
      <c r="U277" t="str">
        <f t="shared" si="13"/>
        <v>a1cdbe</v>
      </c>
      <c r="V277">
        <v>0</v>
      </c>
      <c r="W277">
        <v>0</v>
      </c>
      <c r="X277">
        <v>1</v>
      </c>
      <c r="Y277">
        <v>0</v>
      </c>
      <c r="Z277">
        <v>0</v>
      </c>
      <c r="AB277">
        <v>0</v>
      </c>
      <c r="AC277">
        <v>9</v>
      </c>
      <c r="AD277">
        <v>3</v>
      </c>
      <c r="AE277">
        <v>0</v>
      </c>
      <c r="AF277">
        <v>9</v>
      </c>
      <c r="AG277" t="s">
        <v>158</v>
      </c>
      <c r="AH277">
        <v>0</v>
      </c>
      <c r="AI277">
        <v>3</v>
      </c>
      <c r="AJ277">
        <v>1</v>
      </c>
      <c r="AK277">
        <v>0</v>
      </c>
      <c r="AL277" t="s">
        <v>623</v>
      </c>
      <c r="AM277">
        <v>47.035732000000003</v>
      </c>
      <c r="AN277" t="s">
        <v>624</v>
      </c>
      <c r="AO277">
        <v>-122.290149</v>
      </c>
      <c r="AP277">
        <v>100</v>
      </c>
      <c r="AQ277">
        <v>2000</v>
      </c>
      <c r="AR277" t="s">
        <v>118</v>
      </c>
      <c r="AS277">
        <v>-21</v>
      </c>
      <c r="AT277">
        <v>-78</v>
      </c>
      <c r="AU277">
        <v>64</v>
      </c>
      <c r="BC277">
        <v>1200</v>
      </c>
      <c r="BD277">
        <v>1</v>
      </c>
      <c r="BE277" t="str">
        <f t="shared" si="14"/>
        <v xml:space="preserve">N215T   </v>
      </c>
      <c r="BF277">
        <v>1</v>
      </c>
      <c r="BH277">
        <v>0</v>
      </c>
      <c r="BI277">
        <v>0</v>
      </c>
      <c r="BJ277">
        <v>0</v>
      </c>
      <c r="BK277">
        <v>2350</v>
      </c>
      <c r="BL277">
        <v>350</v>
      </c>
      <c r="BM277" t="s">
        <v>119</v>
      </c>
      <c r="BN277">
        <v>1</v>
      </c>
      <c r="BO277">
        <v>1</v>
      </c>
      <c r="BP277">
        <v>1</v>
      </c>
      <c r="BQ277">
        <v>0</v>
      </c>
      <c r="BT277">
        <v>0</v>
      </c>
      <c r="BU277">
        <v>0</v>
      </c>
      <c r="BV277">
        <v>0</v>
      </c>
      <c r="CC277" t="str">
        <f>"18:39:04.219"</f>
        <v>18:39:04.219</v>
      </c>
      <c r="CD277" t="str">
        <f>"217863725"</f>
        <v>217863725</v>
      </c>
      <c r="CQ277">
        <v>0</v>
      </c>
      <c r="CR277">
        <v>2</v>
      </c>
      <c r="CS277">
        <v>0</v>
      </c>
      <c r="CT277">
        <v>2</v>
      </c>
      <c r="CU277">
        <v>0</v>
      </c>
      <c r="CV277">
        <v>3</v>
      </c>
      <c r="CW277" t="s">
        <v>120</v>
      </c>
      <c r="CX277">
        <v>257</v>
      </c>
      <c r="CY277">
        <v>1</v>
      </c>
      <c r="CZ277" t="s">
        <v>615</v>
      </c>
      <c r="DA277" t="s">
        <v>616</v>
      </c>
      <c r="DD277">
        <v>10641175</v>
      </c>
      <c r="DE277" t="s">
        <v>123</v>
      </c>
    </row>
    <row r="278" spans="1:109" x14ac:dyDescent="0.3">
      <c r="A278" t="str">
        <f>"18:39:05.422"</f>
        <v>18:39:05.422</v>
      </c>
      <c r="B278" t="s">
        <v>110</v>
      </c>
      <c r="C278" t="str">
        <f t="shared" si="12"/>
        <v>ffdfd3c0</v>
      </c>
      <c r="D278" t="s">
        <v>111</v>
      </c>
      <c r="E278">
        <v>18</v>
      </c>
      <c r="F278">
        <v>1018</v>
      </c>
      <c r="G278" t="s">
        <v>112</v>
      </c>
      <c r="J278" t="s">
        <v>113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R278" t="s">
        <v>114</v>
      </c>
      <c r="S278" t="str">
        <f>"18:39:05.203"</f>
        <v>18:39:05.203</v>
      </c>
      <c r="T278" t="str">
        <f>"18:39:05.102"</f>
        <v>18:39:05.102</v>
      </c>
      <c r="U278" t="str">
        <f t="shared" si="13"/>
        <v>a1cdbe</v>
      </c>
      <c r="V278">
        <v>0</v>
      </c>
      <c r="W278">
        <v>0</v>
      </c>
      <c r="X278">
        <v>1</v>
      </c>
      <c r="Y278">
        <v>0</v>
      </c>
      <c r="Z278">
        <v>0</v>
      </c>
      <c r="AB278">
        <v>0</v>
      </c>
      <c r="AC278">
        <v>9</v>
      </c>
      <c r="AD278">
        <v>3</v>
      </c>
      <c r="AE278">
        <v>0</v>
      </c>
      <c r="AF278">
        <v>9</v>
      </c>
      <c r="AG278" t="s">
        <v>158</v>
      </c>
      <c r="AH278">
        <v>0</v>
      </c>
      <c r="AI278">
        <v>3</v>
      </c>
      <c r="AJ278">
        <v>1</v>
      </c>
      <c r="AK278">
        <v>0</v>
      </c>
      <c r="AL278" t="s">
        <v>625</v>
      </c>
      <c r="AM278">
        <v>47.035345999999997</v>
      </c>
      <c r="AN278" t="s">
        <v>626</v>
      </c>
      <c r="AO278">
        <v>-122.290256</v>
      </c>
      <c r="AP278">
        <v>100</v>
      </c>
      <c r="AQ278">
        <v>2000</v>
      </c>
      <c r="AR278" t="s">
        <v>118</v>
      </c>
      <c r="AS278">
        <v>-20</v>
      </c>
      <c r="AT278">
        <v>-78</v>
      </c>
      <c r="AU278">
        <v>64</v>
      </c>
      <c r="BC278">
        <v>1200</v>
      </c>
      <c r="BD278">
        <v>1</v>
      </c>
      <c r="BE278" t="str">
        <f t="shared" si="14"/>
        <v xml:space="preserve">N215T   </v>
      </c>
      <c r="BF278">
        <v>1</v>
      </c>
      <c r="BH278">
        <v>0</v>
      </c>
      <c r="BI278">
        <v>0</v>
      </c>
      <c r="BJ278">
        <v>0</v>
      </c>
      <c r="BK278">
        <v>2350</v>
      </c>
      <c r="BL278">
        <v>350</v>
      </c>
      <c r="BM278" t="s">
        <v>119</v>
      </c>
      <c r="BN278">
        <v>1</v>
      </c>
      <c r="BO278">
        <v>1</v>
      </c>
      <c r="BP278">
        <v>1</v>
      </c>
      <c r="BQ278">
        <v>0</v>
      </c>
      <c r="BT278">
        <v>0</v>
      </c>
      <c r="BU278">
        <v>0</v>
      </c>
      <c r="BV278">
        <v>0</v>
      </c>
      <c r="CC278" t="str">
        <f>"18:39:05.211"</f>
        <v>18:39:05.211</v>
      </c>
      <c r="CD278" t="str">
        <f>"207639395"</f>
        <v>207639395</v>
      </c>
      <c r="CQ278">
        <v>0</v>
      </c>
      <c r="CR278">
        <v>2</v>
      </c>
      <c r="CS278">
        <v>0</v>
      </c>
      <c r="CT278">
        <v>2</v>
      </c>
      <c r="CU278">
        <v>0</v>
      </c>
      <c r="CV278">
        <v>3</v>
      </c>
      <c r="CW278" t="s">
        <v>120</v>
      </c>
      <c r="CX278">
        <v>259</v>
      </c>
      <c r="CY278">
        <v>1</v>
      </c>
      <c r="CZ278" t="s">
        <v>197</v>
      </c>
      <c r="DA278" t="s">
        <v>198</v>
      </c>
      <c r="DD278">
        <v>14808814</v>
      </c>
      <c r="DE278" t="s">
        <v>123</v>
      </c>
    </row>
    <row r="279" spans="1:109" x14ac:dyDescent="0.3">
      <c r="A279" t="str">
        <f>"18:39:06.422"</f>
        <v>18:39:06.422</v>
      </c>
      <c r="B279" t="s">
        <v>110</v>
      </c>
      <c r="C279" t="str">
        <f t="shared" si="12"/>
        <v>ffdfd3c0</v>
      </c>
      <c r="D279" t="s">
        <v>111</v>
      </c>
      <c r="E279">
        <v>18</v>
      </c>
      <c r="F279">
        <v>1018</v>
      </c>
      <c r="G279" t="s">
        <v>112</v>
      </c>
      <c r="J279" t="s">
        <v>113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R279" t="s">
        <v>114</v>
      </c>
      <c r="S279" t="str">
        <f>"18:39:06.211"</f>
        <v>18:39:06.211</v>
      </c>
      <c r="T279" t="str">
        <f>"18:39:06.109"</f>
        <v>18:39:06.109</v>
      </c>
      <c r="U279" t="str">
        <f t="shared" si="13"/>
        <v>a1cdbe</v>
      </c>
      <c r="V279">
        <v>0</v>
      </c>
      <c r="W279">
        <v>0</v>
      </c>
      <c r="X279">
        <v>1</v>
      </c>
      <c r="Y279">
        <v>0</v>
      </c>
      <c r="Z279">
        <v>0</v>
      </c>
      <c r="AB279">
        <v>0</v>
      </c>
      <c r="AC279">
        <v>9</v>
      </c>
      <c r="AD279">
        <v>3</v>
      </c>
      <c r="AE279">
        <v>0</v>
      </c>
      <c r="AF279">
        <v>9</v>
      </c>
      <c r="AG279" t="s">
        <v>158</v>
      </c>
      <c r="AH279">
        <v>0</v>
      </c>
      <c r="AI279">
        <v>3</v>
      </c>
      <c r="AJ279">
        <v>1</v>
      </c>
      <c r="AK279">
        <v>0</v>
      </c>
      <c r="AL279" t="s">
        <v>627</v>
      </c>
      <c r="AM279">
        <v>47.034981000000002</v>
      </c>
      <c r="AN279" t="s">
        <v>628</v>
      </c>
      <c r="AO279">
        <v>-122.29042800000001</v>
      </c>
      <c r="AP279">
        <v>100</v>
      </c>
      <c r="AQ279">
        <v>2000</v>
      </c>
      <c r="AR279" t="s">
        <v>118</v>
      </c>
      <c r="AS279">
        <v>-20</v>
      </c>
      <c r="AT279">
        <v>-78</v>
      </c>
      <c r="AU279">
        <v>128</v>
      </c>
      <c r="BC279">
        <v>1200</v>
      </c>
      <c r="BD279">
        <v>1</v>
      </c>
      <c r="BE279" t="str">
        <f t="shared" si="14"/>
        <v xml:space="preserve">N215T   </v>
      </c>
      <c r="BF279">
        <v>1</v>
      </c>
      <c r="BH279">
        <v>0</v>
      </c>
      <c r="BI279">
        <v>0</v>
      </c>
      <c r="BJ279">
        <v>0</v>
      </c>
      <c r="BK279">
        <v>2350</v>
      </c>
      <c r="BL279">
        <v>350</v>
      </c>
      <c r="BM279" t="s">
        <v>119</v>
      </c>
      <c r="BN279">
        <v>1</v>
      </c>
      <c r="BO279">
        <v>1</v>
      </c>
      <c r="BP279">
        <v>1</v>
      </c>
      <c r="BQ279">
        <v>0</v>
      </c>
      <c r="BT279">
        <v>0</v>
      </c>
      <c r="BU279">
        <v>0</v>
      </c>
      <c r="BV279">
        <v>0</v>
      </c>
      <c r="CC279" t="str">
        <f>"18:39:06.211"</f>
        <v>18:39:06.211</v>
      </c>
      <c r="CD279" t="str">
        <f>"212540674"</f>
        <v>212540674</v>
      </c>
      <c r="CQ279">
        <v>0</v>
      </c>
      <c r="CR279">
        <v>2</v>
      </c>
      <c r="CS279">
        <v>0</v>
      </c>
      <c r="CT279">
        <v>2</v>
      </c>
      <c r="CU279">
        <v>0</v>
      </c>
      <c r="CV279">
        <v>4</v>
      </c>
      <c r="CW279" t="s">
        <v>120</v>
      </c>
      <c r="CX279">
        <v>259</v>
      </c>
      <c r="CY279">
        <v>1</v>
      </c>
      <c r="CZ279" t="s">
        <v>197</v>
      </c>
      <c r="DA279" t="s">
        <v>198</v>
      </c>
      <c r="DD279">
        <v>14809498</v>
      </c>
      <c r="DE279" t="s">
        <v>123</v>
      </c>
    </row>
    <row r="280" spans="1:109" x14ac:dyDescent="0.3">
      <c r="A280" t="str">
        <f>"18:39:07.430"</f>
        <v>18:39:07.430</v>
      </c>
      <c r="B280" t="s">
        <v>110</v>
      </c>
      <c r="C280" t="str">
        <f t="shared" si="12"/>
        <v>ffdfd3c0</v>
      </c>
      <c r="D280" t="s">
        <v>111</v>
      </c>
      <c r="E280">
        <v>18</v>
      </c>
      <c r="F280">
        <v>1018</v>
      </c>
      <c r="G280" t="s">
        <v>112</v>
      </c>
      <c r="J280" t="s">
        <v>113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R280" t="s">
        <v>114</v>
      </c>
      <c r="S280" t="str">
        <f>"18:39:07.195"</f>
        <v>18:39:07.195</v>
      </c>
      <c r="T280" t="str">
        <f>"18:39:07.195"</f>
        <v>18:39:07.195</v>
      </c>
      <c r="U280" t="str">
        <f t="shared" si="13"/>
        <v>a1cdbe</v>
      </c>
      <c r="V280">
        <v>0</v>
      </c>
      <c r="W280">
        <v>0</v>
      </c>
      <c r="X280">
        <v>1</v>
      </c>
      <c r="Y280">
        <v>0</v>
      </c>
      <c r="Z280">
        <v>0</v>
      </c>
      <c r="AB280">
        <v>0</v>
      </c>
      <c r="AC280">
        <v>9</v>
      </c>
      <c r="AD280">
        <v>3</v>
      </c>
      <c r="AE280">
        <v>0</v>
      </c>
      <c r="AF280">
        <v>9</v>
      </c>
      <c r="AG280" t="s">
        <v>158</v>
      </c>
      <c r="AH280">
        <v>0</v>
      </c>
      <c r="AI280">
        <v>3</v>
      </c>
      <c r="AJ280">
        <v>1</v>
      </c>
      <c r="AK280">
        <v>0</v>
      </c>
      <c r="AL280" t="s">
        <v>629</v>
      </c>
      <c r="AM280">
        <v>47.034658999999998</v>
      </c>
      <c r="AN280" t="s">
        <v>630</v>
      </c>
      <c r="AO280">
        <v>-122.29053500000001</v>
      </c>
      <c r="AP280">
        <v>100</v>
      </c>
      <c r="AQ280">
        <v>2000</v>
      </c>
      <c r="AR280" t="s">
        <v>118</v>
      </c>
      <c r="AS280">
        <v>-18</v>
      </c>
      <c r="AT280">
        <v>-77</v>
      </c>
      <c r="AU280">
        <v>192</v>
      </c>
      <c r="BC280">
        <v>1200</v>
      </c>
      <c r="BD280">
        <v>1</v>
      </c>
      <c r="BE280" t="str">
        <f t="shared" si="14"/>
        <v xml:space="preserve">N215T   </v>
      </c>
      <c r="BF280">
        <v>1</v>
      </c>
      <c r="BH280">
        <v>0</v>
      </c>
      <c r="BI280">
        <v>0</v>
      </c>
      <c r="BJ280">
        <v>0</v>
      </c>
      <c r="BK280">
        <v>2350</v>
      </c>
      <c r="BL280">
        <v>350</v>
      </c>
      <c r="BM280" t="s">
        <v>119</v>
      </c>
      <c r="BN280">
        <v>1</v>
      </c>
      <c r="BO280">
        <v>1</v>
      </c>
      <c r="BP280">
        <v>1</v>
      </c>
      <c r="BQ280">
        <v>0</v>
      </c>
      <c r="BT280">
        <v>0</v>
      </c>
      <c r="BU280">
        <v>0</v>
      </c>
      <c r="BV280">
        <v>0</v>
      </c>
      <c r="CC280" t="str">
        <f>"18:39:07.203"</f>
        <v>18:39:07.203</v>
      </c>
      <c r="CD280" t="str">
        <f>"202569613"</f>
        <v>202569613</v>
      </c>
      <c r="CQ280">
        <v>0</v>
      </c>
      <c r="CR280">
        <v>2</v>
      </c>
      <c r="CS280">
        <v>0</v>
      </c>
      <c r="CT280">
        <v>2</v>
      </c>
      <c r="CU280">
        <v>0</v>
      </c>
      <c r="CV280">
        <v>3</v>
      </c>
      <c r="CW280" t="s">
        <v>120</v>
      </c>
      <c r="CX280">
        <v>257</v>
      </c>
      <c r="CY280">
        <v>1</v>
      </c>
      <c r="CZ280" t="s">
        <v>615</v>
      </c>
      <c r="DA280" t="s">
        <v>616</v>
      </c>
      <c r="DD280">
        <v>10642846</v>
      </c>
      <c r="DE280" t="s">
        <v>123</v>
      </c>
    </row>
    <row r="281" spans="1:109" x14ac:dyDescent="0.3">
      <c r="A281" t="str">
        <f>"18:39:08.484"</f>
        <v>18:39:08.484</v>
      </c>
      <c r="B281" t="s">
        <v>110</v>
      </c>
      <c r="C281" t="str">
        <f t="shared" si="12"/>
        <v>ffdfd3c0</v>
      </c>
      <c r="D281" t="s">
        <v>111</v>
      </c>
      <c r="E281">
        <v>18</v>
      </c>
      <c r="F281">
        <v>1018</v>
      </c>
      <c r="G281" t="s">
        <v>112</v>
      </c>
      <c r="J281" t="s">
        <v>113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R281" t="s">
        <v>114</v>
      </c>
      <c r="S281" t="str">
        <f>"18:39:08.234"</f>
        <v>18:39:08.234</v>
      </c>
      <c r="T281" t="str">
        <f>"18:39:08.234"</f>
        <v>18:39:08.234</v>
      </c>
      <c r="U281" t="str">
        <f t="shared" si="13"/>
        <v>a1cdbe</v>
      </c>
      <c r="V281">
        <v>0</v>
      </c>
      <c r="W281">
        <v>0</v>
      </c>
      <c r="X281">
        <v>1</v>
      </c>
      <c r="Y281">
        <v>0</v>
      </c>
      <c r="Z281">
        <v>0</v>
      </c>
      <c r="AB281">
        <v>0</v>
      </c>
      <c r="AC281">
        <v>9</v>
      </c>
      <c r="AD281">
        <v>3</v>
      </c>
      <c r="AE281">
        <v>0</v>
      </c>
      <c r="AF281">
        <v>9</v>
      </c>
      <c r="AG281" t="s">
        <v>158</v>
      </c>
      <c r="AH281">
        <v>0</v>
      </c>
      <c r="AI281">
        <v>3</v>
      </c>
      <c r="AJ281">
        <v>1</v>
      </c>
      <c r="AK281">
        <v>0</v>
      </c>
      <c r="AL281" t="s">
        <v>631</v>
      </c>
      <c r="AM281">
        <v>47.034295</v>
      </c>
      <c r="AN281" t="s">
        <v>632</v>
      </c>
      <c r="AO281">
        <v>-122.29064200000001</v>
      </c>
      <c r="AP281">
        <v>100</v>
      </c>
      <c r="AQ281">
        <v>2000</v>
      </c>
      <c r="AR281" t="s">
        <v>118</v>
      </c>
      <c r="AS281">
        <v>-17</v>
      </c>
      <c r="AT281">
        <v>-77</v>
      </c>
      <c r="AU281">
        <v>128</v>
      </c>
      <c r="BC281">
        <v>1200</v>
      </c>
      <c r="BD281">
        <v>1</v>
      </c>
      <c r="BE281" t="str">
        <f t="shared" si="14"/>
        <v xml:space="preserve">N215T   </v>
      </c>
      <c r="BF281">
        <v>1</v>
      </c>
      <c r="BH281">
        <v>0</v>
      </c>
      <c r="BI281">
        <v>0</v>
      </c>
      <c r="BJ281">
        <v>0</v>
      </c>
      <c r="BK281">
        <v>2350</v>
      </c>
      <c r="BL281">
        <v>350</v>
      </c>
      <c r="BM281" t="s">
        <v>119</v>
      </c>
      <c r="BN281">
        <v>1</v>
      </c>
      <c r="BO281">
        <v>1</v>
      </c>
      <c r="BP281">
        <v>1</v>
      </c>
      <c r="BQ281">
        <v>0</v>
      </c>
      <c r="BT281">
        <v>0</v>
      </c>
      <c r="BU281">
        <v>0</v>
      </c>
      <c r="BV281">
        <v>0</v>
      </c>
      <c r="CC281" t="str">
        <f>"18:39:08.234"</f>
        <v>18:39:08.234</v>
      </c>
      <c r="CD281" t="str">
        <f>"237341578"</f>
        <v>237341578</v>
      </c>
      <c r="CQ281">
        <v>0</v>
      </c>
      <c r="CR281">
        <v>2</v>
      </c>
      <c r="CS281">
        <v>0</v>
      </c>
      <c r="CT281">
        <v>2</v>
      </c>
      <c r="CU281">
        <v>0</v>
      </c>
      <c r="CV281">
        <v>3</v>
      </c>
      <c r="CW281" t="s">
        <v>120</v>
      </c>
      <c r="CX281">
        <v>259</v>
      </c>
      <c r="CY281">
        <v>1</v>
      </c>
      <c r="CZ281" t="s">
        <v>197</v>
      </c>
      <c r="DA281" t="s">
        <v>198</v>
      </c>
      <c r="DD281">
        <v>14810899</v>
      </c>
      <c r="DE281" t="s">
        <v>123</v>
      </c>
    </row>
    <row r="282" spans="1:109" x14ac:dyDescent="0.3">
      <c r="A282" t="str">
        <f>"18:39:09.445"</f>
        <v>18:39:09.445</v>
      </c>
      <c r="B282" t="s">
        <v>110</v>
      </c>
      <c r="C282" t="str">
        <f t="shared" si="12"/>
        <v>ffdfd3c0</v>
      </c>
      <c r="D282" t="s">
        <v>111</v>
      </c>
      <c r="E282">
        <v>18</v>
      </c>
      <c r="F282">
        <v>1018</v>
      </c>
      <c r="G282" t="s">
        <v>112</v>
      </c>
      <c r="J282" t="s">
        <v>113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R282" t="s">
        <v>114</v>
      </c>
      <c r="S282" t="str">
        <f>"18:39:09.180"</f>
        <v>18:39:09.180</v>
      </c>
      <c r="T282" t="str">
        <f>"18:39:09.078"</f>
        <v>18:39:09.078</v>
      </c>
      <c r="U282" t="str">
        <f t="shared" si="13"/>
        <v>a1cdbe</v>
      </c>
      <c r="V282">
        <v>0</v>
      </c>
      <c r="W282">
        <v>0</v>
      </c>
      <c r="X282">
        <v>1</v>
      </c>
      <c r="Y282">
        <v>0</v>
      </c>
      <c r="Z282">
        <v>0</v>
      </c>
      <c r="AB282">
        <v>0</v>
      </c>
      <c r="AC282">
        <v>9</v>
      </c>
      <c r="AD282">
        <v>3</v>
      </c>
      <c r="AE282">
        <v>0</v>
      </c>
      <c r="AF282">
        <v>9</v>
      </c>
      <c r="AG282" t="s">
        <v>158</v>
      </c>
      <c r="AH282">
        <v>0</v>
      </c>
      <c r="AI282">
        <v>3</v>
      </c>
      <c r="AJ282">
        <v>1</v>
      </c>
      <c r="AK282">
        <v>0</v>
      </c>
      <c r="AL282" t="s">
        <v>633</v>
      </c>
      <c r="AM282">
        <v>47.033929999999998</v>
      </c>
      <c r="AN282" t="s">
        <v>634</v>
      </c>
      <c r="AO282">
        <v>-122.290814</v>
      </c>
      <c r="AP282">
        <v>100</v>
      </c>
      <c r="AQ282">
        <v>2000</v>
      </c>
      <c r="AR282" t="s">
        <v>118</v>
      </c>
      <c r="AS282">
        <v>-16</v>
      </c>
      <c r="AT282">
        <v>-77</v>
      </c>
      <c r="AU282">
        <v>256</v>
      </c>
      <c r="BC282">
        <v>1200</v>
      </c>
      <c r="BD282">
        <v>1</v>
      </c>
      <c r="BE282" t="str">
        <f t="shared" si="14"/>
        <v xml:space="preserve">N215T   </v>
      </c>
      <c r="BF282">
        <v>1</v>
      </c>
      <c r="BH282">
        <v>0</v>
      </c>
      <c r="BI282">
        <v>0</v>
      </c>
      <c r="BJ282">
        <v>0</v>
      </c>
      <c r="BK282">
        <v>2375</v>
      </c>
      <c r="BL282">
        <v>375</v>
      </c>
      <c r="BM282" t="s">
        <v>119</v>
      </c>
      <c r="BN282">
        <v>1</v>
      </c>
      <c r="BO282">
        <v>1</v>
      </c>
      <c r="BP282">
        <v>1</v>
      </c>
      <c r="BQ282">
        <v>0</v>
      </c>
      <c r="BT282">
        <v>0</v>
      </c>
      <c r="BU282">
        <v>0</v>
      </c>
      <c r="BV282">
        <v>0</v>
      </c>
      <c r="CC282" t="str">
        <f>"18:39:09.180"</f>
        <v>18:39:09.180</v>
      </c>
      <c r="CD282" t="str">
        <f>"182136233"</f>
        <v>182136233</v>
      </c>
      <c r="CQ282">
        <v>0</v>
      </c>
      <c r="CR282">
        <v>2</v>
      </c>
      <c r="CS282">
        <v>0</v>
      </c>
      <c r="CT282">
        <v>2</v>
      </c>
      <c r="CU282">
        <v>0</v>
      </c>
      <c r="CV282">
        <v>5</v>
      </c>
      <c r="CW282" t="s">
        <v>120</v>
      </c>
      <c r="CX282">
        <v>261</v>
      </c>
      <c r="CY282">
        <v>2</v>
      </c>
      <c r="CZ282" t="s">
        <v>121</v>
      </c>
      <c r="DA282" t="s">
        <v>122</v>
      </c>
      <c r="DD282">
        <v>14395921</v>
      </c>
      <c r="DE282" t="s">
        <v>123</v>
      </c>
    </row>
    <row r="283" spans="1:109" x14ac:dyDescent="0.3">
      <c r="A283" t="str">
        <f>"18:39:10.297"</f>
        <v>18:39:10.297</v>
      </c>
      <c r="B283" t="s">
        <v>110</v>
      </c>
      <c r="C283" t="str">
        <f t="shared" si="12"/>
        <v>ffdfd3c0</v>
      </c>
      <c r="D283" t="s">
        <v>111</v>
      </c>
      <c r="E283">
        <v>18</v>
      </c>
      <c r="F283">
        <v>1018</v>
      </c>
      <c r="G283" t="s">
        <v>112</v>
      </c>
      <c r="J283" t="s">
        <v>113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R283" t="s">
        <v>114</v>
      </c>
      <c r="S283" t="str">
        <f>"18:39:10.063"</f>
        <v>18:39:10.063</v>
      </c>
      <c r="T283" t="str">
        <f>"18:39:10.063"</f>
        <v>18:39:10.063</v>
      </c>
      <c r="U283" t="str">
        <f t="shared" si="13"/>
        <v>a1cdbe</v>
      </c>
      <c r="V283">
        <v>0</v>
      </c>
      <c r="W283">
        <v>0</v>
      </c>
      <c r="X283">
        <v>1</v>
      </c>
      <c r="Y283">
        <v>0</v>
      </c>
      <c r="Z283">
        <v>0</v>
      </c>
      <c r="AB283">
        <v>0</v>
      </c>
      <c r="AC283">
        <v>9</v>
      </c>
      <c r="AD283">
        <v>3</v>
      </c>
      <c r="AE283">
        <v>0</v>
      </c>
      <c r="AF283">
        <v>9</v>
      </c>
      <c r="AG283" t="s">
        <v>158</v>
      </c>
      <c r="AH283">
        <v>0</v>
      </c>
      <c r="AI283">
        <v>3</v>
      </c>
      <c r="AJ283">
        <v>1</v>
      </c>
      <c r="AK283">
        <v>0</v>
      </c>
      <c r="AL283" t="s">
        <v>635</v>
      </c>
      <c r="AM283">
        <v>47.033608000000001</v>
      </c>
      <c r="AN283" t="s">
        <v>636</v>
      </c>
      <c r="AO283">
        <v>-122.29087800000001</v>
      </c>
      <c r="AP283">
        <v>100</v>
      </c>
      <c r="AQ283">
        <v>2000</v>
      </c>
      <c r="AR283" t="s">
        <v>118</v>
      </c>
      <c r="AS283">
        <v>-15</v>
      </c>
      <c r="AT283">
        <v>-77</v>
      </c>
      <c r="AU283">
        <v>320</v>
      </c>
      <c r="BC283">
        <v>1200</v>
      </c>
      <c r="BD283">
        <v>1</v>
      </c>
      <c r="BE283" t="str">
        <f t="shared" si="14"/>
        <v xml:space="preserve">N215T   </v>
      </c>
      <c r="BF283">
        <v>1</v>
      </c>
      <c r="BH283">
        <v>0</v>
      </c>
      <c r="BI283">
        <v>0</v>
      </c>
      <c r="BJ283">
        <v>0</v>
      </c>
      <c r="BK283">
        <v>2375</v>
      </c>
      <c r="BL283">
        <v>375</v>
      </c>
      <c r="BM283" t="s">
        <v>119</v>
      </c>
      <c r="BN283">
        <v>1</v>
      </c>
      <c r="BO283">
        <v>1</v>
      </c>
      <c r="BP283">
        <v>1</v>
      </c>
      <c r="BQ283">
        <v>0</v>
      </c>
      <c r="BT283">
        <v>0</v>
      </c>
      <c r="BU283">
        <v>0</v>
      </c>
      <c r="BV283">
        <v>0</v>
      </c>
      <c r="CC283" t="str">
        <f>"18:39:10.070"</f>
        <v>18:39:10.070</v>
      </c>
      <c r="CD283" t="str">
        <f>"067049167"</f>
        <v>067049167</v>
      </c>
      <c r="CQ283">
        <v>0</v>
      </c>
      <c r="CR283">
        <v>2</v>
      </c>
      <c r="CS283">
        <v>0</v>
      </c>
      <c r="CT283">
        <v>2</v>
      </c>
      <c r="CU283">
        <v>0</v>
      </c>
      <c r="CV283">
        <v>5</v>
      </c>
      <c r="CW283" t="s">
        <v>120</v>
      </c>
      <c r="CX283">
        <v>261</v>
      </c>
      <c r="CY283">
        <v>2</v>
      </c>
      <c r="CZ283" t="s">
        <v>121</v>
      </c>
      <c r="DA283" t="s">
        <v>122</v>
      </c>
      <c r="DD283">
        <v>14396358</v>
      </c>
      <c r="DE283" t="s">
        <v>123</v>
      </c>
    </row>
    <row r="284" spans="1:109" x14ac:dyDescent="0.3">
      <c r="A284" t="str">
        <f>"18:39:11.352"</f>
        <v>18:39:11.352</v>
      </c>
      <c r="B284" t="s">
        <v>110</v>
      </c>
      <c r="C284" t="str">
        <f t="shared" si="12"/>
        <v>ffdfd3c0</v>
      </c>
      <c r="D284" t="s">
        <v>111</v>
      </c>
      <c r="E284">
        <v>18</v>
      </c>
      <c r="F284">
        <v>1018</v>
      </c>
      <c r="G284" t="s">
        <v>112</v>
      </c>
      <c r="J284" t="s">
        <v>113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R284" t="s">
        <v>114</v>
      </c>
      <c r="S284" t="str">
        <f>"18:39:11.109"</f>
        <v>18:39:11.109</v>
      </c>
      <c r="T284" t="str">
        <f>"18:39:10.609"</f>
        <v>18:39:10.609</v>
      </c>
      <c r="U284" t="str">
        <f t="shared" si="13"/>
        <v>a1cdbe</v>
      </c>
      <c r="V284">
        <v>0</v>
      </c>
      <c r="W284">
        <v>0</v>
      </c>
      <c r="X284">
        <v>1</v>
      </c>
      <c r="Y284">
        <v>0</v>
      </c>
      <c r="Z284">
        <v>0</v>
      </c>
      <c r="AB284">
        <v>0</v>
      </c>
      <c r="AC284">
        <v>9</v>
      </c>
      <c r="AD284">
        <v>3</v>
      </c>
      <c r="AE284">
        <v>0</v>
      </c>
      <c r="AF284">
        <v>9</v>
      </c>
      <c r="AG284" t="s">
        <v>158</v>
      </c>
      <c r="AH284">
        <v>0</v>
      </c>
      <c r="AI284">
        <v>3</v>
      </c>
      <c r="AJ284">
        <v>1</v>
      </c>
      <c r="AK284">
        <v>0</v>
      </c>
      <c r="AL284" t="s">
        <v>637</v>
      </c>
      <c r="AM284">
        <v>47.033265</v>
      </c>
      <c r="AN284" t="s">
        <v>638</v>
      </c>
      <c r="AO284">
        <v>-122.29100699999999</v>
      </c>
      <c r="AP284">
        <v>100</v>
      </c>
      <c r="AQ284">
        <v>2000</v>
      </c>
      <c r="AR284" t="s">
        <v>118</v>
      </c>
      <c r="AS284">
        <v>-15</v>
      </c>
      <c r="AT284">
        <v>-77</v>
      </c>
      <c r="AU284">
        <v>256</v>
      </c>
      <c r="BC284">
        <v>1200</v>
      </c>
      <c r="BD284">
        <v>1</v>
      </c>
      <c r="BE284" t="str">
        <f t="shared" si="14"/>
        <v xml:space="preserve">N215T   </v>
      </c>
      <c r="BF284">
        <v>1</v>
      </c>
      <c r="BH284">
        <v>0</v>
      </c>
      <c r="BI284">
        <v>0</v>
      </c>
      <c r="BJ284">
        <v>0</v>
      </c>
      <c r="BK284">
        <v>2375</v>
      </c>
      <c r="BL284">
        <v>375</v>
      </c>
      <c r="BM284" t="s">
        <v>119</v>
      </c>
      <c r="BN284">
        <v>1</v>
      </c>
      <c r="BO284">
        <v>1</v>
      </c>
      <c r="BP284">
        <v>1</v>
      </c>
      <c r="BQ284">
        <v>0</v>
      </c>
      <c r="BT284">
        <v>0</v>
      </c>
      <c r="BU284">
        <v>0</v>
      </c>
      <c r="BV284">
        <v>0</v>
      </c>
      <c r="CC284" t="str">
        <f>"18:39:11.117"</f>
        <v>18:39:11.117</v>
      </c>
      <c r="CD284" t="str">
        <f>"116945935"</f>
        <v>116945935</v>
      </c>
      <c r="CQ284">
        <v>0</v>
      </c>
      <c r="CR284">
        <v>2</v>
      </c>
      <c r="CS284">
        <v>0</v>
      </c>
      <c r="CT284">
        <v>2</v>
      </c>
      <c r="CU284">
        <v>0</v>
      </c>
      <c r="CV284">
        <v>5</v>
      </c>
      <c r="CW284" t="s">
        <v>120</v>
      </c>
      <c r="CX284">
        <v>261</v>
      </c>
      <c r="CY284">
        <v>2</v>
      </c>
      <c r="CZ284" t="s">
        <v>121</v>
      </c>
      <c r="DA284" t="s">
        <v>122</v>
      </c>
      <c r="DD284">
        <v>14396873</v>
      </c>
      <c r="DE284" t="s">
        <v>123</v>
      </c>
    </row>
    <row r="285" spans="1:109" x14ac:dyDescent="0.3">
      <c r="A285" t="str">
        <f>"18:39:12.313"</f>
        <v>18:39:12.313</v>
      </c>
      <c r="B285" t="s">
        <v>110</v>
      </c>
      <c r="C285" t="str">
        <f t="shared" si="12"/>
        <v>ffdfd3c0</v>
      </c>
      <c r="D285" t="s">
        <v>111</v>
      </c>
      <c r="E285">
        <v>18</v>
      </c>
      <c r="F285">
        <v>1018</v>
      </c>
      <c r="G285" t="s">
        <v>112</v>
      </c>
      <c r="J285" t="s">
        <v>113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R285" t="s">
        <v>114</v>
      </c>
      <c r="S285" t="str">
        <f>"18:39:12.055"</f>
        <v>18:39:12.055</v>
      </c>
      <c r="T285" t="str">
        <f>"18:39:11.656"</f>
        <v>18:39:11.656</v>
      </c>
      <c r="U285" t="str">
        <f t="shared" si="13"/>
        <v>a1cdbe</v>
      </c>
      <c r="V285">
        <v>0</v>
      </c>
      <c r="W285">
        <v>0</v>
      </c>
      <c r="X285">
        <v>1</v>
      </c>
      <c r="Y285">
        <v>0</v>
      </c>
      <c r="Z285">
        <v>0</v>
      </c>
      <c r="AB285">
        <v>0</v>
      </c>
      <c r="AC285">
        <v>9</v>
      </c>
      <c r="AD285">
        <v>3</v>
      </c>
      <c r="AE285">
        <v>0</v>
      </c>
      <c r="AF285">
        <v>9</v>
      </c>
      <c r="AG285" t="s">
        <v>158</v>
      </c>
      <c r="AH285">
        <v>0</v>
      </c>
      <c r="AI285">
        <v>3</v>
      </c>
      <c r="AJ285">
        <v>1</v>
      </c>
      <c r="AK285">
        <v>0</v>
      </c>
      <c r="AL285" t="s">
        <v>639</v>
      </c>
      <c r="AM285">
        <v>47.032921000000002</v>
      </c>
      <c r="AN285" t="s">
        <v>640</v>
      </c>
      <c r="AO285">
        <v>-122.291093</v>
      </c>
      <c r="AP285">
        <v>100</v>
      </c>
      <c r="AQ285">
        <v>2000</v>
      </c>
      <c r="AR285" t="s">
        <v>118</v>
      </c>
      <c r="AS285">
        <v>-15</v>
      </c>
      <c r="AT285">
        <v>-77</v>
      </c>
      <c r="AU285">
        <v>64</v>
      </c>
      <c r="BC285">
        <v>1200</v>
      </c>
      <c r="BD285">
        <v>1</v>
      </c>
      <c r="BE285" t="str">
        <f t="shared" si="14"/>
        <v xml:space="preserve">N215T   </v>
      </c>
      <c r="BF285">
        <v>1</v>
      </c>
      <c r="BH285">
        <v>0</v>
      </c>
      <c r="BI285">
        <v>0</v>
      </c>
      <c r="BJ285">
        <v>0</v>
      </c>
      <c r="BK285">
        <v>2375</v>
      </c>
      <c r="BL285">
        <v>375</v>
      </c>
      <c r="BM285" t="s">
        <v>119</v>
      </c>
      <c r="BN285">
        <v>1</v>
      </c>
      <c r="BO285">
        <v>1</v>
      </c>
      <c r="BP285">
        <v>1</v>
      </c>
      <c r="BQ285">
        <v>0</v>
      </c>
      <c r="BT285">
        <v>0</v>
      </c>
      <c r="BU285">
        <v>0</v>
      </c>
      <c r="BV285">
        <v>0</v>
      </c>
      <c r="CC285" t="str">
        <f>"18:39:12.063"</f>
        <v>18:39:12.063</v>
      </c>
      <c r="CD285" t="str">
        <f>"061852979"</f>
        <v>061852979</v>
      </c>
      <c r="CQ285">
        <v>0</v>
      </c>
      <c r="CR285">
        <v>2</v>
      </c>
      <c r="CS285">
        <v>0</v>
      </c>
      <c r="CT285">
        <v>2</v>
      </c>
      <c r="CU285">
        <v>0</v>
      </c>
      <c r="CV285">
        <v>5</v>
      </c>
      <c r="CW285" t="s">
        <v>120</v>
      </c>
      <c r="CX285">
        <v>261</v>
      </c>
      <c r="CY285">
        <v>2</v>
      </c>
      <c r="CZ285" t="s">
        <v>121</v>
      </c>
      <c r="DA285" t="s">
        <v>122</v>
      </c>
      <c r="DD285">
        <v>14397422</v>
      </c>
      <c r="DE285" t="s">
        <v>123</v>
      </c>
    </row>
    <row r="286" spans="1:109" x14ac:dyDescent="0.3">
      <c r="A286" t="str">
        <f>"18:39:13.266"</f>
        <v>18:39:13.266</v>
      </c>
      <c r="B286" t="s">
        <v>110</v>
      </c>
      <c r="C286" t="str">
        <f t="shared" si="12"/>
        <v>ffdfd3c0</v>
      </c>
      <c r="D286" t="s">
        <v>111</v>
      </c>
      <c r="E286">
        <v>18</v>
      </c>
      <c r="F286">
        <v>1018</v>
      </c>
      <c r="G286" t="s">
        <v>112</v>
      </c>
      <c r="J286" t="s">
        <v>113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R286" t="s">
        <v>114</v>
      </c>
      <c r="S286" t="str">
        <f>"18:39:13.047"</f>
        <v>18:39:13.047</v>
      </c>
      <c r="T286" t="str">
        <f>"18:39:13.047"</f>
        <v>18:39:13.047</v>
      </c>
      <c r="U286" t="str">
        <f t="shared" si="13"/>
        <v>a1cdbe</v>
      </c>
      <c r="V286">
        <v>0</v>
      </c>
      <c r="W286">
        <v>0</v>
      </c>
      <c r="X286">
        <v>1</v>
      </c>
      <c r="Y286">
        <v>0</v>
      </c>
      <c r="Z286">
        <v>0</v>
      </c>
      <c r="AB286">
        <v>0</v>
      </c>
      <c r="AC286">
        <v>9</v>
      </c>
      <c r="AD286">
        <v>3</v>
      </c>
      <c r="AE286">
        <v>0</v>
      </c>
      <c r="AF286">
        <v>9</v>
      </c>
      <c r="AG286" t="s">
        <v>158</v>
      </c>
      <c r="AH286">
        <v>0</v>
      </c>
      <c r="AI286">
        <v>3</v>
      </c>
      <c r="AJ286">
        <v>1</v>
      </c>
      <c r="AK286">
        <v>0</v>
      </c>
      <c r="AL286" t="s">
        <v>641</v>
      </c>
      <c r="AM286">
        <v>47.032556999999997</v>
      </c>
      <c r="AN286" t="s">
        <v>642</v>
      </c>
      <c r="AO286">
        <v>-122.29113599999999</v>
      </c>
      <c r="AP286">
        <v>100</v>
      </c>
      <c r="AQ286">
        <v>2000</v>
      </c>
      <c r="AR286" t="s">
        <v>118</v>
      </c>
      <c r="AS286">
        <v>-14</v>
      </c>
      <c r="AT286">
        <v>-77</v>
      </c>
      <c r="AU286">
        <v>64</v>
      </c>
      <c r="BC286">
        <v>1200</v>
      </c>
      <c r="BD286">
        <v>1</v>
      </c>
      <c r="BE286" t="str">
        <f t="shared" si="14"/>
        <v xml:space="preserve">N215T   </v>
      </c>
      <c r="BF286">
        <v>1</v>
      </c>
      <c r="BH286">
        <v>0</v>
      </c>
      <c r="BI286">
        <v>0</v>
      </c>
      <c r="BJ286">
        <v>0</v>
      </c>
      <c r="BK286">
        <v>2375</v>
      </c>
      <c r="BL286">
        <v>375</v>
      </c>
      <c r="BM286" t="s">
        <v>119</v>
      </c>
      <c r="BN286">
        <v>1</v>
      </c>
      <c r="BO286">
        <v>1</v>
      </c>
      <c r="BP286">
        <v>1</v>
      </c>
      <c r="BQ286">
        <v>0</v>
      </c>
      <c r="BT286">
        <v>0</v>
      </c>
      <c r="BU286">
        <v>0</v>
      </c>
      <c r="BV286">
        <v>0</v>
      </c>
      <c r="CC286" t="str">
        <f>"18:39:13.055"</f>
        <v>18:39:13.055</v>
      </c>
      <c r="CD286" t="str">
        <f>"051755621"</f>
        <v>051755621</v>
      </c>
      <c r="CQ286">
        <v>0</v>
      </c>
      <c r="CR286">
        <v>2</v>
      </c>
      <c r="CS286">
        <v>0</v>
      </c>
      <c r="CT286">
        <v>2</v>
      </c>
      <c r="CU286">
        <v>0</v>
      </c>
      <c r="CV286">
        <v>5</v>
      </c>
      <c r="CW286" t="s">
        <v>120</v>
      </c>
      <c r="CX286">
        <v>261</v>
      </c>
      <c r="CY286">
        <v>2</v>
      </c>
      <c r="CZ286" t="s">
        <v>121</v>
      </c>
      <c r="DA286" t="s">
        <v>122</v>
      </c>
      <c r="DD286">
        <v>14397934</v>
      </c>
      <c r="DE286" t="s">
        <v>123</v>
      </c>
    </row>
    <row r="287" spans="1:109" x14ac:dyDescent="0.3">
      <c r="A287" t="str">
        <f>"18:39:14.320"</f>
        <v>18:39:14.320</v>
      </c>
      <c r="B287" t="s">
        <v>110</v>
      </c>
      <c r="C287" t="str">
        <f t="shared" si="12"/>
        <v>ffdfd3c0</v>
      </c>
      <c r="D287" t="s">
        <v>111</v>
      </c>
      <c r="E287">
        <v>18</v>
      </c>
      <c r="F287">
        <v>1018</v>
      </c>
      <c r="G287" t="s">
        <v>112</v>
      </c>
      <c r="J287" t="s">
        <v>113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R287" t="s">
        <v>114</v>
      </c>
      <c r="S287" t="str">
        <f>"18:39:14.070"</f>
        <v>18:39:14.070</v>
      </c>
      <c r="T287" t="str">
        <f>"18:39:13.867"</f>
        <v>18:39:13.867</v>
      </c>
      <c r="U287" t="str">
        <f t="shared" si="13"/>
        <v>a1cdbe</v>
      </c>
      <c r="V287">
        <v>0</v>
      </c>
      <c r="W287">
        <v>0</v>
      </c>
      <c r="X287">
        <v>1</v>
      </c>
      <c r="Y287">
        <v>0</v>
      </c>
      <c r="Z287">
        <v>0</v>
      </c>
      <c r="AB287">
        <v>0</v>
      </c>
      <c r="AC287">
        <v>9</v>
      </c>
      <c r="AD287">
        <v>3</v>
      </c>
      <c r="AE287">
        <v>0</v>
      </c>
      <c r="AF287">
        <v>9</v>
      </c>
      <c r="AG287" t="s">
        <v>158</v>
      </c>
      <c r="AH287">
        <v>0</v>
      </c>
      <c r="AI287">
        <v>3</v>
      </c>
      <c r="AJ287">
        <v>1</v>
      </c>
      <c r="AK287">
        <v>0</v>
      </c>
      <c r="AL287" t="s">
        <v>643</v>
      </c>
      <c r="AM287">
        <v>47.032192000000002</v>
      </c>
      <c r="AN287" t="s">
        <v>644</v>
      </c>
      <c r="AO287">
        <v>-122.291286</v>
      </c>
      <c r="AP287">
        <v>100</v>
      </c>
      <c r="AQ287">
        <v>2000</v>
      </c>
      <c r="AR287" t="s">
        <v>118</v>
      </c>
      <c r="AS287">
        <v>-15</v>
      </c>
      <c r="AT287">
        <v>-77</v>
      </c>
      <c r="AU287">
        <v>0</v>
      </c>
      <c r="BC287">
        <v>1200</v>
      </c>
      <c r="BD287">
        <v>1</v>
      </c>
      <c r="BE287" t="str">
        <f t="shared" si="14"/>
        <v xml:space="preserve">N215T   </v>
      </c>
      <c r="BF287">
        <v>1</v>
      </c>
      <c r="BH287">
        <v>0</v>
      </c>
      <c r="BI287">
        <v>0</v>
      </c>
      <c r="BJ287">
        <v>0</v>
      </c>
      <c r="BK287">
        <v>2375</v>
      </c>
      <c r="BL287">
        <v>375</v>
      </c>
      <c r="BM287" t="s">
        <v>119</v>
      </c>
      <c r="BN287">
        <v>1</v>
      </c>
      <c r="BO287">
        <v>1</v>
      </c>
      <c r="BP287">
        <v>1</v>
      </c>
      <c r="BQ287">
        <v>0</v>
      </c>
      <c r="BT287">
        <v>0</v>
      </c>
      <c r="BU287">
        <v>0</v>
      </c>
      <c r="BV287">
        <v>0</v>
      </c>
      <c r="CC287" t="str">
        <f>"18:39:14.070"</f>
        <v>18:39:14.070</v>
      </c>
      <c r="CD287" t="str">
        <f>"071655385"</f>
        <v>071655385</v>
      </c>
      <c r="CQ287">
        <v>0</v>
      </c>
      <c r="CR287">
        <v>2</v>
      </c>
      <c r="CS287">
        <v>0</v>
      </c>
      <c r="CT287">
        <v>2</v>
      </c>
      <c r="CU287">
        <v>0</v>
      </c>
      <c r="CV287">
        <v>5</v>
      </c>
      <c r="CW287" t="s">
        <v>120</v>
      </c>
      <c r="CX287">
        <v>261</v>
      </c>
      <c r="CY287">
        <v>1</v>
      </c>
      <c r="CZ287" t="s">
        <v>121</v>
      </c>
      <c r="DA287" t="s">
        <v>122</v>
      </c>
      <c r="DD287">
        <v>3264965</v>
      </c>
      <c r="DE287" t="s">
        <v>123</v>
      </c>
    </row>
    <row r="288" spans="1:109" x14ac:dyDescent="0.3">
      <c r="A288" t="str">
        <f>"18:39:15.422"</f>
        <v>18:39:15.422</v>
      </c>
      <c r="B288" t="s">
        <v>110</v>
      </c>
      <c r="C288" t="str">
        <f t="shared" si="12"/>
        <v>ffdfd3c0</v>
      </c>
      <c r="D288" t="s">
        <v>111</v>
      </c>
      <c r="E288">
        <v>18</v>
      </c>
      <c r="F288">
        <v>1018</v>
      </c>
      <c r="G288" t="s">
        <v>112</v>
      </c>
      <c r="J288" t="s">
        <v>113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R288" t="s">
        <v>114</v>
      </c>
      <c r="S288" t="str">
        <f>"18:39:15.164"</f>
        <v>18:39:15.164</v>
      </c>
      <c r="T288" t="str">
        <f>"18:39:15.063"</f>
        <v>18:39:15.063</v>
      </c>
      <c r="U288" t="str">
        <f t="shared" si="13"/>
        <v>a1cdbe</v>
      </c>
      <c r="V288">
        <v>0</v>
      </c>
      <c r="W288">
        <v>0</v>
      </c>
      <c r="X288">
        <v>1</v>
      </c>
      <c r="Y288">
        <v>0</v>
      </c>
      <c r="Z288">
        <v>0</v>
      </c>
      <c r="AB288">
        <v>0</v>
      </c>
      <c r="AC288">
        <v>9</v>
      </c>
      <c r="AD288">
        <v>3</v>
      </c>
      <c r="AE288">
        <v>0</v>
      </c>
      <c r="AF288">
        <v>9</v>
      </c>
      <c r="AG288" t="s">
        <v>158</v>
      </c>
      <c r="AH288">
        <v>0</v>
      </c>
      <c r="AI288">
        <v>3</v>
      </c>
      <c r="AJ288">
        <v>1</v>
      </c>
      <c r="AK288">
        <v>0</v>
      </c>
      <c r="AL288" t="s">
        <v>645</v>
      </c>
      <c r="AM288">
        <v>47.031784000000002</v>
      </c>
      <c r="AN288" t="s">
        <v>646</v>
      </c>
      <c r="AO288">
        <v>-122.29134999999999</v>
      </c>
      <c r="AP288">
        <v>100</v>
      </c>
      <c r="AQ288">
        <v>2000</v>
      </c>
      <c r="AR288" t="s">
        <v>118</v>
      </c>
      <c r="AS288">
        <v>-14</v>
      </c>
      <c r="AT288">
        <v>-78</v>
      </c>
      <c r="AU288">
        <v>-64</v>
      </c>
      <c r="BC288">
        <v>1200</v>
      </c>
      <c r="BD288">
        <v>1</v>
      </c>
      <c r="BE288" t="str">
        <f t="shared" si="14"/>
        <v xml:space="preserve">N215T   </v>
      </c>
      <c r="BF288">
        <v>1</v>
      </c>
      <c r="BH288">
        <v>0</v>
      </c>
      <c r="BI288">
        <v>0</v>
      </c>
      <c r="BJ288">
        <v>0</v>
      </c>
      <c r="BK288">
        <v>2375</v>
      </c>
      <c r="BL288">
        <v>375</v>
      </c>
      <c r="BM288" t="s">
        <v>119</v>
      </c>
      <c r="BN288">
        <v>1</v>
      </c>
      <c r="BO288">
        <v>1</v>
      </c>
      <c r="BP288">
        <v>1</v>
      </c>
      <c r="BQ288">
        <v>0</v>
      </c>
      <c r="BT288">
        <v>0</v>
      </c>
      <c r="BU288">
        <v>0</v>
      </c>
      <c r="BV288">
        <v>0</v>
      </c>
      <c r="CC288" t="str">
        <f>"18:39:15.164"</f>
        <v>18:39:15.164</v>
      </c>
      <c r="CD288" t="str">
        <f>"166547644"</f>
        <v>166547644</v>
      </c>
      <c r="CQ288">
        <v>0</v>
      </c>
      <c r="CR288">
        <v>2</v>
      </c>
      <c r="CS288">
        <v>0</v>
      </c>
      <c r="CT288">
        <v>2</v>
      </c>
      <c r="CU288">
        <v>0</v>
      </c>
      <c r="CV288">
        <v>5</v>
      </c>
      <c r="CW288" t="s">
        <v>120</v>
      </c>
      <c r="CX288">
        <v>261</v>
      </c>
      <c r="CY288">
        <v>2</v>
      </c>
      <c r="CZ288" t="s">
        <v>121</v>
      </c>
      <c r="DA288" t="s">
        <v>122</v>
      </c>
      <c r="DD288">
        <v>14399024</v>
      </c>
      <c r="DE288" t="s">
        <v>123</v>
      </c>
    </row>
    <row r="289" spans="1:109" x14ac:dyDescent="0.3">
      <c r="A289" t="str">
        <f>"18:39:16.836"</f>
        <v>18:39:16.836</v>
      </c>
      <c r="B289" t="s">
        <v>110</v>
      </c>
      <c r="C289" t="str">
        <f t="shared" si="12"/>
        <v>ffdfd3c0</v>
      </c>
      <c r="D289" t="s">
        <v>111</v>
      </c>
      <c r="E289">
        <v>18</v>
      </c>
      <c r="F289">
        <v>1018</v>
      </c>
      <c r="G289" t="s">
        <v>112</v>
      </c>
      <c r="J289" t="s">
        <v>113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R289" t="s">
        <v>114</v>
      </c>
      <c r="S289" t="str">
        <f>"18:39:16.602"</f>
        <v>18:39:16.602</v>
      </c>
      <c r="T289" t="str">
        <f>"18:39:16.203"</f>
        <v>18:39:16.203</v>
      </c>
      <c r="U289" t="str">
        <f t="shared" si="13"/>
        <v>a1cdbe</v>
      </c>
      <c r="V289">
        <v>0</v>
      </c>
      <c r="W289">
        <v>0</v>
      </c>
      <c r="X289">
        <v>1</v>
      </c>
      <c r="Y289">
        <v>0</v>
      </c>
      <c r="Z289">
        <v>0</v>
      </c>
      <c r="AB289">
        <v>0</v>
      </c>
      <c r="AC289">
        <v>9</v>
      </c>
      <c r="AD289">
        <v>3</v>
      </c>
      <c r="AE289">
        <v>0</v>
      </c>
      <c r="AF289">
        <v>9</v>
      </c>
      <c r="AG289" t="s">
        <v>158</v>
      </c>
      <c r="AH289">
        <v>0</v>
      </c>
      <c r="AI289">
        <v>3</v>
      </c>
      <c r="AJ289">
        <v>1</v>
      </c>
      <c r="AK289">
        <v>0</v>
      </c>
      <c r="AL289" t="s">
        <v>647</v>
      </c>
      <c r="AM289">
        <v>47.031269000000002</v>
      </c>
      <c r="AN289" t="s">
        <v>648</v>
      </c>
      <c r="AO289">
        <v>-122.291501</v>
      </c>
      <c r="AP289">
        <v>100</v>
      </c>
      <c r="AQ289">
        <v>2000</v>
      </c>
      <c r="AR289" t="s">
        <v>118</v>
      </c>
      <c r="AS289">
        <v>-15</v>
      </c>
      <c r="AT289">
        <v>-78</v>
      </c>
      <c r="AU289">
        <v>-128</v>
      </c>
      <c r="BC289">
        <v>1200</v>
      </c>
      <c r="BD289">
        <v>1</v>
      </c>
      <c r="BE289" t="str">
        <f t="shared" si="14"/>
        <v xml:space="preserve">N215T   </v>
      </c>
      <c r="BF289">
        <v>1</v>
      </c>
      <c r="BH289">
        <v>0</v>
      </c>
      <c r="BI289">
        <v>0</v>
      </c>
      <c r="BJ289">
        <v>0</v>
      </c>
      <c r="BK289">
        <v>2375</v>
      </c>
      <c r="BL289">
        <v>375</v>
      </c>
      <c r="BM289" t="s">
        <v>119</v>
      </c>
      <c r="BN289">
        <v>1</v>
      </c>
      <c r="BO289">
        <v>1</v>
      </c>
      <c r="BP289">
        <v>1</v>
      </c>
      <c r="BQ289">
        <v>0</v>
      </c>
      <c r="BT289">
        <v>0</v>
      </c>
      <c r="BU289">
        <v>0</v>
      </c>
      <c r="BV289">
        <v>0</v>
      </c>
      <c r="CC289" t="str">
        <f>"18:39:16.609"</f>
        <v>18:39:16.609</v>
      </c>
      <c r="CD289" t="str">
        <f>"606406037"</f>
        <v>606406037</v>
      </c>
      <c r="CQ289">
        <v>0</v>
      </c>
      <c r="CR289">
        <v>2</v>
      </c>
      <c r="CS289">
        <v>0</v>
      </c>
      <c r="CT289">
        <v>2</v>
      </c>
      <c r="CU289">
        <v>0</v>
      </c>
      <c r="CV289">
        <v>5</v>
      </c>
      <c r="CW289" t="s">
        <v>120</v>
      </c>
      <c r="CX289">
        <v>261</v>
      </c>
      <c r="CY289">
        <v>2</v>
      </c>
      <c r="CZ289" t="s">
        <v>121</v>
      </c>
      <c r="DA289" t="s">
        <v>122</v>
      </c>
      <c r="DD289">
        <v>14399832</v>
      </c>
      <c r="DE289" t="s">
        <v>123</v>
      </c>
    </row>
    <row r="290" spans="1:109" x14ac:dyDescent="0.3">
      <c r="A290" t="str">
        <f>"18:39:17.836"</f>
        <v>18:39:17.836</v>
      </c>
      <c r="B290" t="s">
        <v>110</v>
      </c>
      <c r="C290" t="str">
        <f t="shared" si="12"/>
        <v>ffdfd3c0</v>
      </c>
      <c r="D290" t="s">
        <v>111</v>
      </c>
      <c r="E290">
        <v>18</v>
      </c>
      <c r="F290">
        <v>1018</v>
      </c>
      <c r="G290" t="s">
        <v>112</v>
      </c>
      <c r="J290" t="s">
        <v>113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R290" t="s">
        <v>114</v>
      </c>
      <c r="S290" t="str">
        <f>"18:39:17.625"</f>
        <v>18:39:17.625</v>
      </c>
      <c r="T290" t="str">
        <f>"18:39:17.227"</f>
        <v>18:39:17.227</v>
      </c>
      <c r="U290" t="str">
        <f t="shared" si="13"/>
        <v>a1cdbe</v>
      </c>
      <c r="V290">
        <v>0</v>
      </c>
      <c r="W290">
        <v>0</v>
      </c>
      <c r="X290">
        <v>1</v>
      </c>
      <c r="Y290">
        <v>0</v>
      </c>
      <c r="Z290">
        <v>0</v>
      </c>
      <c r="AB290">
        <v>0</v>
      </c>
      <c r="AC290">
        <v>9</v>
      </c>
      <c r="AD290">
        <v>3</v>
      </c>
      <c r="AE290">
        <v>0</v>
      </c>
      <c r="AF290">
        <v>9</v>
      </c>
      <c r="AG290" t="s">
        <v>158</v>
      </c>
      <c r="AH290">
        <v>0</v>
      </c>
      <c r="AI290">
        <v>3</v>
      </c>
      <c r="AJ290">
        <v>1</v>
      </c>
      <c r="AK290">
        <v>0</v>
      </c>
      <c r="AL290" t="s">
        <v>649</v>
      </c>
      <c r="AM290">
        <v>47.030904</v>
      </c>
      <c r="AN290" t="s">
        <v>650</v>
      </c>
      <c r="AO290">
        <v>-122.291629</v>
      </c>
      <c r="AP290">
        <v>100</v>
      </c>
      <c r="AQ290">
        <v>2000</v>
      </c>
      <c r="AR290" t="s">
        <v>118</v>
      </c>
      <c r="AS290">
        <v>-15</v>
      </c>
      <c r="AT290">
        <v>-78</v>
      </c>
      <c r="AU290">
        <v>-64</v>
      </c>
      <c r="BC290">
        <v>1200</v>
      </c>
      <c r="BD290">
        <v>1</v>
      </c>
      <c r="BE290" t="str">
        <f t="shared" si="14"/>
        <v xml:space="preserve">N215T   </v>
      </c>
      <c r="BF290">
        <v>1</v>
      </c>
      <c r="BH290">
        <v>0</v>
      </c>
      <c r="BI290">
        <v>0</v>
      </c>
      <c r="BJ290">
        <v>0</v>
      </c>
      <c r="BK290">
        <v>2375</v>
      </c>
      <c r="BL290">
        <v>375</v>
      </c>
      <c r="BM290" t="s">
        <v>119</v>
      </c>
      <c r="BN290">
        <v>1</v>
      </c>
      <c r="BO290">
        <v>1</v>
      </c>
      <c r="BP290">
        <v>1</v>
      </c>
      <c r="BQ290">
        <v>0</v>
      </c>
      <c r="BT290">
        <v>0</v>
      </c>
      <c r="BU290">
        <v>0</v>
      </c>
      <c r="BV290">
        <v>0</v>
      </c>
      <c r="CC290" t="str">
        <f>"18:39:17.625"</f>
        <v>18:39:17.625</v>
      </c>
      <c r="CD290" t="str">
        <f>"626305716"</f>
        <v>626305716</v>
      </c>
      <c r="CQ290">
        <v>0</v>
      </c>
      <c r="CR290">
        <v>2</v>
      </c>
      <c r="CS290">
        <v>0</v>
      </c>
      <c r="CT290">
        <v>2</v>
      </c>
      <c r="CU290">
        <v>0</v>
      </c>
      <c r="CV290">
        <v>4</v>
      </c>
      <c r="CW290" t="s">
        <v>120</v>
      </c>
      <c r="CX290">
        <v>261</v>
      </c>
      <c r="CY290">
        <v>2</v>
      </c>
      <c r="CZ290" t="s">
        <v>121</v>
      </c>
      <c r="DA290" t="s">
        <v>122</v>
      </c>
      <c r="DD290">
        <v>14400398</v>
      </c>
      <c r="DE290" t="s">
        <v>123</v>
      </c>
    </row>
    <row r="291" spans="1:109" x14ac:dyDescent="0.3">
      <c r="A291" t="str">
        <f>"18:39:18.898"</f>
        <v>18:39:18.898</v>
      </c>
      <c r="B291" t="s">
        <v>110</v>
      </c>
      <c r="C291" t="str">
        <f t="shared" si="12"/>
        <v>ffdfd3c0</v>
      </c>
      <c r="D291" t="s">
        <v>111</v>
      </c>
      <c r="E291">
        <v>18</v>
      </c>
      <c r="F291">
        <v>1018</v>
      </c>
      <c r="G291" t="s">
        <v>112</v>
      </c>
      <c r="J291" t="s">
        <v>113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R291" t="s">
        <v>114</v>
      </c>
      <c r="S291" t="str">
        <f>"18:39:18.688"</f>
        <v>18:39:18.688</v>
      </c>
      <c r="T291" t="str">
        <f>"18:39:18.289"</f>
        <v>18:39:18.289</v>
      </c>
      <c r="U291" t="str">
        <f t="shared" si="13"/>
        <v>a1cdbe</v>
      </c>
      <c r="V291">
        <v>0</v>
      </c>
      <c r="W291">
        <v>0</v>
      </c>
      <c r="X291">
        <v>1</v>
      </c>
      <c r="Y291">
        <v>0</v>
      </c>
      <c r="Z291">
        <v>0</v>
      </c>
      <c r="AB291">
        <v>0</v>
      </c>
      <c r="AC291">
        <v>9</v>
      </c>
      <c r="AD291">
        <v>3</v>
      </c>
      <c r="AE291">
        <v>0</v>
      </c>
      <c r="AF291">
        <v>9</v>
      </c>
      <c r="AG291" t="s">
        <v>158</v>
      </c>
      <c r="AH291">
        <v>0</v>
      </c>
      <c r="AI291">
        <v>3</v>
      </c>
      <c r="AJ291">
        <v>1</v>
      </c>
      <c r="AK291">
        <v>0</v>
      </c>
      <c r="AL291" t="s">
        <v>651</v>
      </c>
      <c r="AM291">
        <v>47.030518000000001</v>
      </c>
      <c r="AN291" t="s">
        <v>652</v>
      </c>
      <c r="AO291">
        <v>-122.291715</v>
      </c>
      <c r="AP291">
        <v>100</v>
      </c>
      <c r="AQ291">
        <v>2000</v>
      </c>
      <c r="AR291" t="s">
        <v>118</v>
      </c>
      <c r="AS291">
        <v>-16</v>
      </c>
      <c r="AT291">
        <v>-78</v>
      </c>
      <c r="AU291">
        <v>-192</v>
      </c>
      <c r="BC291">
        <v>1200</v>
      </c>
      <c r="BD291">
        <v>1</v>
      </c>
      <c r="BE291" t="str">
        <f t="shared" si="14"/>
        <v xml:space="preserve">N215T   </v>
      </c>
      <c r="BF291">
        <v>1</v>
      </c>
      <c r="BH291">
        <v>0</v>
      </c>
      <c r="BI291">
        <v>0</v>
      </c>
      <c r="BJ291">
        <v>0</v>
      </c>
      <c r="BK291">
        <v>2375</v>
      </c>
      <c r="BL291">
        <v>375</v>
      </c>
      <c r="BM291" t="s">
        <v>119</v>
      </c>
      <c r="BN291">
        <v>1</v>
      </c>
      <c r="BO291">
        <v>1</v>
      </c>
      <c r="BP291">
        <v>1</v>
      </c>
      <c r="BQ291">
        <v>0</v>
      </c>
      <c r="BT291">
        <v>0</v>
      </c>
      <c r="BU291">
        <v>0</v>
      </c>
      <c r="BV291">
        <v>0</v>
      </c>
      <c r="CC291" t="str">
        <f>"18:39:18.688"</f>
        <v>18:39:18.688</v>
      </c>
      <c r="CD291" t="str">
        <f>"691201030"</f>
        <v>691201030</v>
      </c>
      <c r="CQ291">
        <v>0</v>
      </c>
      <c r="CR291">
        <v>2</v>
      </c>
      <c r="CS291">
        <v>0</v>
      </c>
      <c r="CT291">
        <v>2</v>
      </c>
      <c r="CU291">
        <v>0</v>
      </c>
      <c r="CV291">
        <v>5</v>
      </c>
      <c r="CW291" t="s">
        <v>120</v>
      </c>
      <c r="CX291">
        <v>261</v>
      </c>
      <c r="CY291">
        <v>1</v>
      </c>
      <c r="CZ291" t="s">
        <v>121</v>
      </c>
      <c r="DA291" t="s">
        <v>122</v>
      </c>
      <c r="DD291">
        <v>3267988</v>
      </c>
      <c r="DE291" t="s">
        <v>123</v>
      </c>
    </row>
    <row r="292" spans="1:109" x14ac:dyDescent="0.3">
      <c r="A292" t="str">
        <f>"18:39:19.898"</f>
        <v>18:39:19.898</v>
      </c>
      <c r="B292" t="s">
        <v>110</v>
      </c>
      <c r="C292" t="str">
        <f t="shared" si="12"/>
        <v>ffdfd3c0</v>
      </c>
      <c r="D292" t="s">
        <v>111</v>
      </c>
      <c r="E292">
        <v>18</v>
      </c>
      <c r="F292">
        <v>1018</v>
      </c>
      <c r="G292" t="s">
        <v>112</v>
      </c>
      <c r="J292" t="s">
        <v>113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R292" t="s">
        <v>114</v>
      </c>
      <c r="S292" t="str">
        <f>"18:39:19.664"</f>
        <v>18:39:19.664</v>
      </c>
      <c r="T292" t="str">
        <f>"18:39:19.367"</f>
        <v>18:39:19.367</v>
      </c>
      <c r="U292" t="str">
        <f t="shared" si="13"/>
        <v>a1cdbe</v>
      </c>
      <c r="V292">
        <v>0</v>
      </c>
      <c r="W292">
        <v>0</v>
      </c>
      <c r="X292">
        <v>1</v>
      </c>
      <c r="Y292">
        <v>0</v>
      </c>
      <c r="Z292">
        <v>0</v>
      </c>
      <c r="AB292">
        <v>0</v>
      </c>
      <c r="AC292">
        <v>9</v>
      </c>
      <c r="AD292">
        <v>3</v>
      </c>
      <c r="AE292">
        <v>0</v>
      </c>
      <c r="AF292">
        <v>9</v>
      </c>
      <c r="AG292" t="s">
        <v>158</v>
      </c>
      <c r="AH292">
        <v>0</v>
      </c>
      <c r="AI292">
        <v>3</v>
      </c>
      <c r="AJ292">
        <v>1</v>
      </c>
      <c r="AK292">
        <v>0</v>
      </c>
      <c r="AL292" t="s">
        <v>653</v>
      </c>
      <c r="AM292">
        <v>47.030175</v>
      </c>
      <c r="AN292" t="s">
        <v>654</v>
      </c>
      <c r="AO292">
        <v>-122.291844</v>
      </c>
      <c r="AP292">
        <v>100</v>
      </c>
      <c r="AQ292">
        <v>2000</v>
      </c>
      <c r="AR292" t="s">
        <v>118</v>
      </c>
      <c r="AS292">
        <v>-16</v>
      </c>
      <c r="AT292">
        <v>-78</v>
      </c>
      <c r="AU292">
        <v>-256</v>
      </c>
      <c r="BC292">
        <v>1200</v>
      </c>
      <c r="BD292">
        <v>1</v>
      </c>
      <c r="BE292" t="str">
        <f t="shared" si="14"/>
        <v xml:space="preserve">N215T   </v>
      </c>
      <c r="BF292">
        <v>1</v>
      </c>
      <c r="BH292">
        <v>0</v>
      </c>
      <c r="BI292">
        <v>0</v>
      </c>
      <c r="BJ292">
        <v>0</v>
      </c>
      <c r="BK292">
        <v>2375</v>
      </c>
      <c r="BL292">
        <v>375</v>
      </c>
      <c r="BM292" t="s">
        <v>119</v>
      </c>
      <c r="BN292">
        <v>1</v>
      </c>
      <c r="BO292">
        <v>1</v>
      </c>
      <c r="BP292">
        <v>1</v>
      </c>
      <c r="BQ292">
        <v>0</v>
      </c>
      <c r="BT292">
        <v>0</v>
      </c>
      <c r="BU292">
        <v>0</v>
      </c>
      <c r="BV292">
        <v>0</v>
      </c>
      <c r="CC292" t="str">
        <f>"18:39:19.664"</f>
        <v>18:39:19.664</v>
      </c>
      <c r="CD292" t="str">
        <f>"666105131"</f>
        <v>666105131</v>
      </c>
      <c r="CQ292">
        <v>0</v>
      </c>
      <c r="CR292">
        <v>2</v>
      </c>
      <c r="CS292">
        <v>0</v>
      </c>
      <c r="CT292">
        <v>2</v>
      </c>
      <c r="CU292">
        <v>0</v>
      </c>
      <c r="CV292">
        <v>5</v>
      </c>
      <c r="CW292" t="s">
        <v>120</v>
      </c>
      <c r="CX292">
        <v>261</v>
      </c>
      <c r="CY292">
        <v>1</v>
      </c>
      <c r="CZ292" t="s">
        <v>121</v>
      </c>
      <c r="DA292" t="s">
        <v>122</v>
      </c>
      <c r="DD292">
        <v>3268591</v>
      </c>
      <c r="DE292" t="s">
        <v>123</v>
      </c>
    </row>
    <row r="293" spans="1:109" x14ac:dyDescent="0.3">
      <c r="A293" t="str">
        <f>"18:39:20.805"</f>
        <v>18:39:20.805</v>
      </c>
      <c r="B293" t="s">
        <v>110</v>
      </c>
      <c r="C293" t="str">
        <f t="shared" si="12"/>
        <v>ffdfd3c0</v>
      </c>
      <c r="D293" t="s">
        <v>111</v>
      </c>
      <c r="E293">
        <v>18</v>
      </c>
      <c r="F293">
        <v>1018</v>
      </c>
      <c r="G293" t="s">
        <v>112</v>
      </c>
      <c r="J293" t="s">
        <v>113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R293" t="s">
        <v>114</v>
      </c>
      <c r="S293" t="str">
        <f>"18:39:20.563"</f>
        <v>18:39:20.563</v>
      </c>
      <c r="T293" t="str">
        <f>"18:39:20.359"</f>
        <v>18:39:20.359</v>
      </c>
      <c r="U293" t="str">
        <f t="shared" si="13"/>
        <v>a1cdbe</v>
      </c>
      <c r="V293">
        <v>0</v>
      </c>
      <c r="W293">
        <v>0</v>
      </c>
      <c r="X293">
        <v>1</v>
      </c>
      <c r="Y293">
        <v>0</v>
      </c>
      <c r="Z293">
        <v>0</v>
      </c>
      <c r="AB293">
        <v>0</v>
      </c>
      <c r="AC293">
        <v>9</v>
      </c>
      <c r="AD293">
        <v>3</v>
      </c>
      <c r="AE293">
        <v>0</v>
      </c>
      <c r="AF293">
        <v>9</v>
      </c>
      <c r="AG293" t="s">
        <v>158</v>
      </c>
      <c r="AH293">
        <v>0</v>
      </c>
      <c r="AI293">
        <v>3</v>
      </c>
      <c r="AJ293">
        <v>1</v>
      </c>
      <c r="AK293">
        <v>0</v>
      </c>
      <c r="AL293" t="s">
        <v>655</v>
      </c>
      <c r="AM293">
        <v>47.029874</v>
      </c>
      <c r="AN293" t="s">
        <v>656</v>
      </c>
      <c r="AO293">
        <v>-122.29190800000001</v>
      </c>
      <c r="AP293">
        <v>100</v>
      </c>
      <c r="AQ293">
        <v>2000</v>
      </c>
      <c r="AR293" t="s">
        <v>118</v>
      </c>
      <c r="AS293">
        <v>-15</v>
      </c>
      <c r="AT293">
        <v>-78</v>
      </c>
      <c r="AU293">
        <v>-384</v>
      </c>
      <c r="BC293">
        <v>1200</v>
      </c>
      <c r="BD293">
        <v>1</v>
      </c>
      <c r="BE293" t="str">
        <f t="shared" si="14"/>
        <v xml:space="preserve">N215T   </v>
      </c>
      <c r="BF293">
        <v>1</v>
      </c>
      <c r="BH293">
        <v>0</v>
      </c>
      <c r="BI293">
        <v>0</v>
      </c>
      <c r="BJ293">
        <v>0</v>
      </c>
      <c r="BK293">
        <v>2375</v>
      </c>
      <c r="BL293">
        <v>375</v>
      </c>
      <c r="BM293" t="s">
        <v>119</v>
      </c>
      <c r="BN293">
        <v>1</v>
      </c>
      <c r="BO293">
        <v>1</v>
      </c>
      <c r="BP293">
        <v>1</v>
      </c>
      <c r="BQ293">
        <v>0</v>
      </c>
      <c r="BT293">
        <v>0</v>
      </c>
      <c r="BU293">
        <v>0</v>
      </c>
      <c r="BV293">
        <v>0</v>
      </c>
      <c r="CC293" t="str">
        <f>"18:39:20.563"</f>
        <v>18:39:20.563</v>
      </c>
      <c r="CD293" t="str">
        <f>"566016635"</f>
        <v>566016635</v>
      </c>
      <c r="CQ293">
        <v>0</v>
      </c>
      <c r="CR293">
        <v>2</v>
      </c>
      <c r="CS293">
        <v>0</v>
      </c>
      <c r="CT293">
        <v>2</v>
      </c>
      <c r="CU293">
        <v>0</v>
      </c>
      <c r="CV293">
        <v>5</v>
      </c>
      <c r="CW293" t="s">
        <v>120</v>
      </c>
      <c r="CX293">
        <v>261</v>
      </c>
      <c r="CY293">
        <v>1</v>
      </c>
      <c r="CZ293" t="s">
        <v>121</v>
      </c>
      <c r="DA293" t="s">
        <v>122</v>
      </c>
      <c r="DD293">
        <v>3269140</v>
      </c>
      <c r="DE293" t="s">
        <v>123</v>
      </c>
    </row>
    <row r="294" spans="1:109" x14ac:dyDescent="0.3">
      <c r="A294" t="str">
        <f>"18:39:21.711"</f>
        <v>18:39:21.711</v>
      </c>
      <c r="B294" t="s">
        <v>110</v>
      </c>
      <c r="C294" t="str">
        <f t="shared" si="12"/>
        <v>ffdfd3c0</v>
      </c>
      <c r="D294" t="s">
        <v>111</v>
      </c>
      <c r="E294">
        <v>18</v>
      </c>
      <c r="F294">
        <v>1018</v>
      </c>
      <c r="G294" t="s">
        <v>112</v>
      </c>
      <c r="J294" t="s">
        <v>113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R294" t="s">
        <v>114</v>
      </c>
      <c r="S294" t="str">
        <f>"18:39:21.492"</f>
        <v>18:39:21.492</v>
      </c>
      <c r="T294" t="str">
        <f>"18:39:21.289"</f>
        <v>18:39:21.289</v>
      </c>
      <c r="U294" t="str">
        <f t="shared" si="13"/>
        <v>a1cdbe</v>
      </c>
      <c r="V294">
        <v>0</v>
      </c>
      <c r="W294">
        <v>0</v>
      </c>
      <c r="X294">
        <v>1</v>
      </c>
      <c r="Y294">
        <v>0</v>
      </c>
      <c r="Z294">
        <v>0</v>
      </c>
      <c r="AB294">
        <v>0</v>
      </c>
      <c r="AC294">
        <v>9</v>
      </c>
      <c r="AD294">
        <v>3</v>
      </c>
      <c r="AE294">
        <v>0</v>
      </c>
      <c r="AF294">
        <v>9</v>
      </c>
      <c r="AG294" t="s">
        <v>158</v>
      </c>
      <c r="AH294">
        <v>0</v>
      </c>
      <c r="AI294">
        <v>3</v>
      </c>
      <c r="AJ294">
        <v>1</v>
      </c>
      <c r="AK294">
        <v>0</v>
      </c>
      <c r="AL294" t="s">
        <v>657</v>
      </c>
      <c r="AM294">
        <v>47.029488000000001</v>
      </c>
      <c r="AN294" t="s">
        <v>658</v>
      </c>
      <c r="AO294">
        <v>-122.291994</v>
      </c>
      <c r="AP294">
        <v>100</v>
      </c>
      <c r="AQ294">
        <v>2000</v>
      </c>
      <c r="AR294" t="s">
        <v>118</v>
      </c>
      <c r="AS294">
        <v>-14</v>
      </c>
      <c r="AT294">
        <v>-79</v>
      </c>
      <c r="AU294">
        <v>-192</v>
      </c>
      <c r="BC294">
        <v>1200</v>
      </c>
      <c r="BD294">
        <v>1</v>
      </c>
      <c r="BE294" t="str">
        <f t="shared" si="14"/>
        <v xml:space="preserve">N215T   </v>
      </c>
      <c r="BF294">
        <v>1</v>
      </c>
      <c r="BH294">
        <v>0</v>
      </c>
      <c r="BI294">
        <v>0</v>
      </c>
      <c r="BJ294">
        <v>0</v>
      </c>
      <c r="BK294">
        <v>2350</v>
      </c>
      <c r="BL294">
        <v>350</v>
      </c>
      <c r="BM294" t="s">
        <v>119</v>
      </c>
      <c r="BN294">
        <v>1</v>
      </c>
      <c r="BO294">
        <v>1</v>
      </c>
      <c r="BP294">
        <v>1</v>
      </c>
      <c r="BQ294">
        <v>0</v>
      </c>
      <c r="BT294">
        <v>0</v>
      </c>
      <c r="BU294">
        <v>0</v>
      </c>
      <c r="BV294">
        <v>0</v>
      </c>
      <c r="CC294" t="str">
        <f>"18:39:21.492"</f>
        <v>18:39:21.492</v>
      </c>
      <c r="CD294" t="str">
        <f>"496038124"</f>
        <v>496038124</v>
      </c>
      <c r="CQ294">
        <v>0</v>
      </c>
      <c r="CR294">
        <v>2</v>
      </c>
      <c r="CS294">
        <v>0</v>
      </c>
      <c r="CT294">
        <v>2</v>
      </c>
      <c r="CU294">
        <v>0</v>
      </c>
      <c r="CV294">
        <v>4</v>
      </c>
      <c r="CW294" t="s">
        <v>120</v>
      </c>
      <c r="CX294">
        <v>259</v>
      </c>
      <c r="CY294">
        <v>1</v>
      </c>
      <c r="CZ294" t="s">
        <v>197</v>
      </c>
      <c r="DA294" t="s">
        <v>198</v>
      </c>
      <c r="DD294">
        <v>14820028</v>
      </c>
      <c r="DE294" t="s">
        <v>123</v>
      </c>
    </row>
    <row r="295" spans="1:109" x14ac:dyDescent="0.3">
      <c r="A295" t="str">
        <f>"18:39:22.867"</f>
        <v>18:39:22.867</v>
      </c>
      <c r="B295" t="s">
        <v>110</v>
      </c>
      <c r="C295" t="str">
        <f t="shared" si="12"/>
        <v>ffdfd3c0</v>
      </c>
      <c r="D295" t="s">
        <v>111</v>
      </c>
      <c r="E295">
        <v>18</v>
      </c>
      <c r="F295">
        <v>1018</v>
      </c>
      <c r="G295" t="s">
        <v>112</v>
      </c>
      <c r="J295" t="s">
        <v>113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R295" t="s">
        <v>114</v>
      </c>
      <c r="S295" t="str">
        <f>"18:39:22.617"</f>
        <v>18:39:22.617</v>
      </c>
      <c r="T295" t="str">
        <f>"18:39:22.320"</f>
        <v>18:39:22.320</v>
      </c>
      <c r="U295" t="str">
        <f t="shared" si="13"/>
        <v>a1cdbe</v>
      </c>
      <c r="V295">
        <v>0</v>
      </c>
      <c r="W295">
        <v>0</v>
      </c>
      <c r="X295">
        <v>1</v>
      </c>
      <c r="Y295">
        <v>0</v>
      </c>
      <c r="Z295">
        <v>0</v>
      </c>
      <c r="AB295">
        <v>0</v>
      </c>
      <c r="AC295">
        <v>9</v>
      </c>
      <c r="AD295">
        <v>3</v>
      </c>
      <c r="AE295">
        <v>0</v>
      </c>
      <c r="AF295">
        <v>9</v>
      </c>
      <c r="AG295" t="s">
        <v>158</v>
      </c>
      <c r="AH295">
        <v>0</v>
      </c>
      <c r="AI295">
        <v>3</v>
      </c>
      <c r="AJ295">
        <v>1</v>
      </c>
      <c r="AK295">
        <v>0</v>
      </c>
      <c r="AL295" t="s">
        <v>659</v>
      </c>
      <c r="AM295">
        <v>47.02908</v>
      </c>
      <c r="AN295" t="s">
        <v>660</v>
      </c>
      <c r="AO295">
        <v>-122.292123</v>
      </c>
      <c r="AP295">
        <v>100</v>
      </c>
      <c r="AQ295">
        <v>2000</v>
      </c>
      <c r="AR295" t="s">
        <v>118</v>
      </c>
      <c r="AS295">
        <v>-14</v>
      </c>
      <c r="AT295">
        <v>-80</v>
      </c>
      <c r="AU295">
        <v>-192</v>
      </c>
      <c r="BC295">
        <v>1200</v>
      </c>
      <c r="BD295">
        <v>1</v>
      </c>
      <c r="BE295" t="str">
        <f t="shared" si="14"/>
        <v xml:space="preserve">N215T   </v>
      </c>
      <c r="BF295">
        <v>1</v>
      </c>
      <c r="BH295">
        <v>0</v>
      </c>
      <c r="BI295">
        <v>0</v>
      </c>
      <c r="BJ295">
        <v>0</v>
      </c>
      <c r="BK295">
        <v>2350</v>
      </c>
      <c r="BL295">
        <v>350</v>
      </c>
      <c r="BM295" t="s">
        <v>119</v>
      </c>
      <c r="BN295">
        <v>1</v>
      </c>
      <c r="BO295">
        <v>1</v>
      </c>
      <c r="BP295">
        <v>1</v>
      </c>
      <c r="BQ295">
        <v>0</v>
      </c>
      <c r="BT295">
        <v>0</v>
      </c>
      <c r="BU295">
        <v>0</v>
      </c>
      <c r="BV295">
        <v>0</v>
      </c>
      <c r="CC295" t="str">
        <f>"18:39:22.617"</f>
        <v>18:39:22.617</v>
      </c>
      <c r="CD295" t="str">
        <f>"620814546"</f>
        <v>620814546</v>
      </c>
      <c r="CQ295">
        <v>0</v>
      </c>
      <c r="CR295">
        <v>2</v>
      </c>
      <c r="CS295">
        <v>0</v>
      </c>
      <c r="CT295">
        <v>2</v>
      </c>
      <c r="CU295">
        <v>0</v>
      </c>
      <c r="CV295">
        <v>4</v>
      </c>
      <c r="CW295" t="s">
        <v>120</v>
      </c>
      <c r="CX295">
        <v>261</v>
      </c>
      <c r="CY295">
        <v>1</v>
      </c>
      <c r="CZ295" t="s">
        <v>121</v>
      </c>
      <c r="DA295" t="s">
        <v>122</v>
      </c>
      <c r="DD295">
        <v>3270382</v>
      </c>
      <c r="DE295" t="s">
        <v>123</v>
      </c>
    </row>
    <row r="296" spans="1:109" x14ac:dyDescent="0.3">
      <c r="A296" t="str">
        <f>"18:39:24.023"</f>
        <v>18:39:24.023</v>
      </c>
      <c r="B296" t="s">
        <v>110</v>
      </c>
      <c r="C296" t="str">
        <f t="shared" si="12"/>
        <v>ffdfd3c0</v>
      </c>
      <c r="D296" t="s">
        <v>111</v>
      </c>
      <c r="E296">
        <v>18</v>
      </c>
      <c r="F296">
        <v>1018</v>
      </c>
      <c r="G296" t="s">
        <v>112</v>
      </c>
      <c r="J296" t="s">
        <v>113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R296" t="s">
        <v>114</v>
      </c>
      <c r="S296" t="str">
        <f>"18:39:23.789"</f>
        <v>18:39:23.789</v>
      </c>
      <c r="T296" t="str">
        <f>"18:39:23.789"</f>
        <v>18:39:23.789</v>
      </c>
      <c r="U296" t="str">
        <f t="shared" si="13"/>
        <v>a1cdbe</v>
      </c>
      <c r="V296">
        <v>0</v>
      </c>
      <c r="W296">
        <v>0</v>
      </c>
      <c r="X296">
        <v>1</v>
      </c>
      <c r="Y296">
        <v>0</v>
      </c>
      <c r="Z296">
        <v>0</v>
      </c>
      <c r="AB296">
        <v>0</v>
      </c>
      <c r="AC296">
        <v>9</v>
      </c>
      <c r="AD296">
        <v>3</v>
      </c>
      <c r="AE296">
        <v>0</v>
      </c>
      <c r="AF296">
        <v>9</v>
      </c>
      <c r="AG296" t="s">
        <v>158</v>
      </c>
      <c r="AH296">
        <v>0</v>
      </c>
      <c r="AI296">
        <v>3</v>
      </c>
      <c r="AJ296">
        <v>1</v>
      </c>
      <c r="AK296">
        <v>0</v>
      </c>
      <c r="AL296" t="s">
        <v>661</v>
      </c>
      <c r="AM296">
        <v>47.028651000000004</v>
      </c>
      <c r="AN296" t="s">
        <v>662</v>
      </c>
      <c r="AO296">
        <v>-122.292209</v>
      </c>
      <c r="AP296">
        <v>100</v>
      </c>
      <c r="AQ296">
        <v>2000</v>
      </c>
      <c r="AR296" t="s">
        <v>118</v>
      </c>
      <c r="AS296">
        <v>-15</v>
      </c>
      <c r="AT296">
        <v>-80</v>
      </c>
      <c r="AU296">
        <v>-320</v>
      </c>
      <c r="BC296">
        <v>1200</v>
      </c>
      <c r="BD296">
        <v>1</v>
      </c>
      <c r="BE296" t="str">
        <f t="shared" si="14"/>
        <v xml:space="preserve">N215T   </v>
      </c>
      <c r="BF296">
        <v>1</v>
      </c>
      <c r="BH296">
        <v>0</v>
      </c>
      <c r="BI296">
        <v>0</v>
      </c>
      <c r="BJ296">
        <v>0</v>
      </c>
      <c r="BK296">
        <v>2350</v>
      </c>
      <c r="BL296">
        <v>350</v>
      </c>
      <c r="BM296" t="s">
        <v>119</v>
      </c>
      <c r="BN296">
        <v>1</v>
      </c>
      <c r="BO296">
        <v>1</v>
      </c>
      <c r="BP296">
        <v>1</v>
      </c>
      <c r="BQ296">
        <v>0</v>
      </c>
      <c r="BT296">
        <v>0</v>
      </c>
      <c r="BU296">
        <v>0</v>
      </c>
      <c r="BV296">
        <v>0</v>
      </c>
      <c r="CC296" t="str">
        <f>"18:39:23.789"</f>
        <v>18:39:23.789</v>
      </c>
      <c r="CD296" t="str">
        <f>"790699510"</f>
        <v>790699510</v>
      </c>
      <c r="CQ296">
        <v>0</v>
      </c>
      <c r="CR296">
        <v>2</v>
      </c>
      <c r="CS296">
        <v>0</v>
      </c>
      <c r="CT296">
        <v>2</v>
      </c>
      <c r="CU296">
        <v>0</v>
      </c>
      <c r="CV296">
        <v>4</v>
      </c>
      <c r="CW296" t="s">
        <v>120</v>
      </c>
      <c r="CX296">
        <v>261</v>
      </c>
      <c r="CY296">
        <v>2</v>
      </c>
      <c r="CZ296" t="s">
        <v>121</v>
      </c>
      <c r="DA296" t="s">
        <v>122</v>
      </c>
      <c r="DD296">
        <v>14403763</v>
      </c>
      <c r="DE296" t="s">
        <v>123</v>
      </c>
    </row>
    <row r="297" spans="1:109" x14ac:dyDescent="0.3">
      <c r="A297" t="str">
        <f>"18:39:24.930"</f>
        <v>18:39:24.930</v>
      </c>
      <c r="B297" t="s">
        <v>110</v>
      </c>
      <c r="C297" t="str">
        <f t="shared" si="12"/>
        <v>ffdfd3c0</v>
      </c>
      <c r="D297" t="s">
        <v>111</v>
      </c>
      <c r="E297">
        <v>18</v>
      </c>
      <c r="F297">
        <v>1018</v>
      </c>
      <c r="G297" t="s">
        <v>112</v>
      </c>
      <c r="J297" t="s">
        <v>113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R297" t="s">
        <v>114</v>
      </c>
      <c r="S297" t="str">
        <f>"18:39:24.719"</f>
        <v>18:39:24.719</v>
      </c>
      <c r="T297" t="str">
        <f>"18:39:24.320"</f>
        <v>18:39:24.320</v>
      </c>
      <c r="U297" t="str">
        <f t="shared" si="13"/>
        <v>a1cdbe</v>
      </c>
      <c r="V297">
        <v>0</v>
      </c>
      <c r="W297">
        <v>0</v>
      </c>
      <c r="X297">
        <v>1</v>
      </c>
      <c r="Y297">
        <v>0</v>
      </c>
      <c r="Z297">
        <v>0</v>
      </c>
      <c r="AB297">
        <v>0</v>
      </c>
      <c r="AC297">
        <v>9</v>
      </c>
      <c r="AD297">
        <v>3</v>
      </c>
      <c r="AE297">
        <v>0</v>
      </c>
      <c r="AF297">
        <v>9</v>
      </c>
      <c r="AG297" t="s">
        <v>158</v>
      </c>
      <c r="AH297">
        <v>0</v>
      </c>
      <c r="AI297">
        <v>3</v>
      </c>
      <c r="AJ297">
        <v>1</v>
      </c>
      <c r="AK297">
        <v>0</v>
      </c>
      <c r="AL297" t="s">
        <v>663</v>
      </c>
      <c r="AM297">
        <v>47.028328999999999</v>
      </c>
      <c r="AN297" t="s">
        <v>664</v>
      </c>
      <c r="AO297">
        <v>-122.292337</v>
      </c>
      <c r="AP297">
        <v>100</v>
      </c>
      <c r="AQ297">
        <v>2000</v>
      </c>
      <c r="AR297" t="s">
        <v>118</v>
      </c>
      <c r="AS297">
        <v>-16</v>
      </c>
      <c r="AT297">
        <v>-80</v>
      </c>
      <c r="AU297">
        <v>-256</v>
      </c>
      <c r="BC297">
        <v>1200</v>
      </c>
      <c r="BD297">
        <v>1</v>
      </c>
      <c r="BE297" t="str">
        <f t="shared" si="14"/>
        <v xml:space="preserve">N215T   </v>
      </c>
      <c r="BF297">
        <v>1</v>
      </c>
      <c r="BH297">
        <v>0</v>
      </c>
      <c r="BI297">
        <v>0</v>
      </c>
      <c r="BJ297">
        <v>0</v>
      </c>
      <c r="BK297">
        <v>2350</v>
      </c>
      <c r="BL297">
        <v>350</v>
      </c>
      <c r="BM297" t="s">
        <v>119</v>
      </c>
      <c r="BN297">
        <v>1</v>
      </c>
      <c r="BO297">
        <v>1</v>
      </c>
      <c r="BP297">
        <v>1</v>
      </c>
      <c r="BQ297">
        <v>0</v>
      </c>
      <c r="BT297">
        <v>0</v>
      </c>
      <c r="BU297">
        <v>0</v>
      </c>
      <c r="BV297">
        <v>0</v>
      </c>
      <c r="CC297" t="str">
        <f>"18:39:24.719"</f>
        <v>18:39:24.719</v>
      </c>
      <c r="CD297" t="str">
        <f>"720721124"</f>
        <v>720721124</v>
      </c>
      <c r="CQ297">
        <v>0</v>
      </c>
      <c r="CR297">
        <v>2</v>
      </c>
      <c r="CS297">
        <v>0</v>
      </c>
      <c r="CT297">
        <v>2</v>
      </c>
      <c r="CU297">
        <v>0</v>
      </c>
      <c r="CV297">
        <v>4</v>
      </c>
      <c r="CW297" t="s">
        <v>120</v>
      </c>
      <c r="CX297">
        <v>259</v>
      </c>
      <c r="CY297">
        <v>1</v>
      </c>
      <c r="CZ297" t="s">
        <v>197</v>
      </c>
      <c r="DA297" t="s">
        <v>198</v>
      </c>
      <c r="DD297">
        <v>14822263</v>
      </c>
      <c r="DE297" t="s">
        <v>123</v>
      </c>
    </row>
    <row r="298" spans="1:109" x14ac:dyDescent="0.3">
      <c r="A298" t="str">
        <f>"18:39:25.930"</f>
        <v>18:39:25.930</v>
      </c>
      <c r="B298" t="s">
        <v>110</v>
      </c>
      <c r="C298" t="str">
        <f t="shared" si="12"/>
        <v>ffdfd3c0</v>
      </c>
      <c r="D298" t="s">
        <v>111</v>
      </c>
      <c r="E298">
        <v>18</v>
      </c>
      <c r="F298">
        <v>1018</v>
      </c>
      <c r="G298" t="s">
        <v>112</v>
      </c>
      <c r="J298" t="s">
        <v>113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R298" t="s">
        <v>114</v>
      </c>
      <c r="S298" t="str">
        <f>"18:39:25.719"</f>
        <v>18:39:25.719</v>
      </c>
      <c r="T298" t="str">
        <f>"18:39:25.219"</f>
        <v>18:39:25.219</v>
      </c>
      <c r="U298" t="str">
        <f t="shared" si="13"/>
        <v>a1cdbe</v>
      </c>
      <c r="V298">
        <v>0</v>
      </c>
      <c r="W298">
        <v>0</v>
      </c>
      <c r="X298">
        <v>1</v>
      </c>
      <c r="Y298">
        <v>0</v>
      </c>
      <c r="Z298">
        <v>0</v>
      </c>
      <c r="AB298">
        <v>0</v>
      </c>
      <c r="AC298">
        <v>9</v>
      </c>
      <c r="AD298">
        <v>3</v>
      </c>
      <c r="AE298">
        <v>0</v>
      </c>
      <c r="AF298">
        <v>9</v>
      </c>
      <c r="AG298" t="s">
        <v>158</v>
      </c>
      <c r="AH298">
        <v>0</v>
      </c>
      <c r="AI298">
        <v>3</v>
      </c>
      <c r="AJ298">
        <v>1</v>
      </c>
      <c r="AK298">
        <v>0</v>
      </c>
      <c r="AL298" t="s">
        <v>665</v>
      </c>
      <c r="AM298">
        <v>47.027943</v>
      </c>
      <c r="AN298" t="s">
        <v>666</v>
      </c>
      <c r="AO298">
        <v>-122.292466</v>
      </c>
      <c r="AP298">
        <v>100</v>
      </c>
      <c r="AQ298">
        <v>2000</v>
      </c>
      <c r="AR298" t="s">
        <v>118</v>
      </c>
      <c r="AS298">
        <v>-17</v>
      </c>
      <c r="AT298">
        <v>-80</v>
      </c>
      <c r="AU298">
        <v>-192</v>
      </c>
      <c r="BC298">
        <v>1200</v>
      </c>
      <c r="BD298">
        <v>1</v>
      </c>
      <c r="BE298" t="str">
        <f t="shared" si="14"/>
        <v xml:space="preserve">N215T   </v>
      </c>
      <c r="BF298">
        <v>1</v>
      </c>
      <c r="BH298">
        <v>0</v>
      </c>
      <c r="BI298">
        <v>0</v>
      </c>
      <c r="BJ298">
        <v>0</v>
      </c>
      <c r="BK298">
        <v>2350</v>
      </c>
      <c r="BL298">
        <v>350</v>
      </c>
      <c r="BM298" t="s">
        <v>119</v>
      </c>
      <c r="BN298">
        <v>1</v>
      </c>
      <c r="BO298">
        <v>1</v>
      </c>
      <c r="BP298">
        <v>1</v>
      </c>
      <c r="BQ298">
        <v>0</v>
      </c>
      <c r="BT298">
        <v>0</v>
      </c>
      <c r="BU298">
        <v>0</v>
      </c>
      <c r="BV298">
        <v>0</v>
      </c>
      <c r="CC298" t="str">
        <f>"18:39:25.727"</f>
        <v>18:39:25.727</v>
      </c>
      <c r="CD298" t="str">
        <f>"725509208"</f>
        <v>725509208</v>
      </c>
      <c r="CQ298">
        <v>0</v>
      </c>
      <c r="CR298">
        <v>2</v>
      </c>
      <c r="CS298">
        <v>0</v>
      </c>
      <c r="CT298">
        <v>2</v>
      </c>
      <c r="CU298">
        <v>0</v>
      </c>
      <c r="CV298">
        <v>5</v>
      </c>
      <c r="CW298" t="s">
        <v>120</v>
      </c>
      <c r="CX298">
        <v>261</v>
      </c>
      <c r="CY298">
        <v>2</v>
      </c>
      <c r="CZ298" t="s">
        <v>121</v>
      </c>
      <c r="DA298" t="s">
        <v>122</v>
      </c>
      <c r="DD298">
        <v>14404821</v>
      </c>
      <c r="DE298" t="s">
        <v>123</v>
      </c>
    </row>
    <row r="299" spans="1:109" x14ac:dyDescent="0.3">
      <c r="A299" t="str">
        <f>"18:39:26.891"</f>
        <v>18:39:26.891</v>
      </c>
      <c r="B299" t="s">
        <v>110</v>
      </c>
      <c r="C299" t="str">
        <f t="shared" si="12"/>
        <v>ffdfd3c0</v>
      </c>
      <c r="D299" t="s">
        <v>111</v>
      </c>
      <c r="E299">
        <v>18</v>
      </c>
      <c r="F299">
        <v>1018</v>
      </c>
      <c r="G299" t="s">
        <v>112</v>
      </c>
      <c r="J299" t="s">
        <v>113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R299" t="s">
        <v>114</v>
      </c>
      <c r="S299" t="str">
        <f>"18:39:26.633"</f>
        <v>18:39:26.633</v>
      </c>
      <c r="T299" t="str">
        <f>"18:39:26.336"</f>
        <v>18:39:26.336</v>
      </c>
      <c r="U299" t="str">
        <f t="shared" si="13"/>
        <v>a1cdbe</v>
      </c>
      <c r="V299">
        <v>0</v>
      </c>
      <c r="W299">
        <v>0</v>
      </c>
      <c r="X299">
        <v>1</v>
      </c>
      <c r="Y299">
        <v>0</v>
      </c>
      <c r="Z299">
        <v>0</v>
      </c>
      <c r="AB299">
        <v>0</v>
      </c>
      <c r="AC299">
        <v>9</v>
      </c>
      <c r="AD299">
        <v>3</v>
      </c>
      <c r="AE299">
        <v>0</v>
      </c>
      <c r="AF299">
        <v>9</v>
      </c>
      <c r="AG299" t="s">
        <v>158</v>
      </c>
      <c r="AH299">
        <v>0</v>
      </c>
      <c r="AI299">
        <v>3</v>
      </c>
      <c r="AJ299">
        <v>1</v>
      </c>
      <c r="AK299">
        <v>0</v>
      </c>
      <c r="AL299" t="s">
        <v>667</v>
      </c>
      <c r="AM299">
        <v>47.027577999999998</v>
      </c>
      <c r="AN299" t="s">
        <v>668</v>
      </c>
      <c r="AO299">
        <v>-122.292552</v>
      </c>
      <c r="AP299">
        <v>100</v>
      </c>
      <c r="AQ299">
        <v>2000</v>
      </c>
      <c r="AR299" t="s">
        <v>118</v>
      </c>
      <c r="AS299">
        <v>-18</v>
      </c>
      <c r="AT299">
        <v>-80</v>
      </c>
      <c r="AU299">
        <v>-128</v>
      </c>
      <c r="BC299">
        <v>1200</v>
      </c>
      <c r="BD299">
        <v>1</v>
      </c>
      <c r="BE299" t="str">
        <f t="shared" si="14"/>
        <v xml:space="preserve">N215T   </v>
      </c>
      <c r="BF299">
        <v>1</v>
      </c>
      <c r="BH299">
        <v>0</v>
      </c>
      <c r="BI299">
        <v>0</v>
      </c>
      <c r="BJ299">
        <v>0</v>
      </c>
      <c r="BK299">
        <v>2350</v>
      </c>
      <c r="BL299">
        <v>350</v>
      </c>
      <c r="BM299" t="s">
        <v>119</v>
      </c>
      <c r="BN299">
        <v>1</v>
      </c>
      <c r="BO299">
        <v>1</v>
      </c>
      <c r="BP299">
        <v>1</v>
      </c>
      <c r="BQ299">
        <v>0</v>
      </c>
      <c r="BT299">
        <v>0</v>
      </c>
      <c r="BU299">
        <v>0</v>
      </c>
      <c r="BV299">
        <v>0</v>
      </c>
      <c r="CC299" t="str">
        <f>"18:39:26.641"</f>
        <v>18:39:26.641</v>
      </c>
      <c r="CD299" t="str">
        <f>"640419249"</f>
        <v>640419249</v>
      </c>
      <c r="CQ299">
        <v>0</v>
      </c>
      <c r="CR299">
        <v>2</v>
      </c>
      <c r="CS299">
        <v>0</v>
      </c>
      <c r="CT299">
        <v>2</v>
      </c>
      <c r="CU299">
        <v>0</v>
      </c>
      <c r="CV299">
        <v>5</v>
      </c>
      <c r="CW299" t="s">
        <v>120</v>
      </c>
      <c r="CX299">
        <v>261</v>
      </c>
      <c r="CY299">
        <v>2</v>
      </c>
      <c r="CZ299" t="s">
        <v>121</v>
      </c>
      <c r="DA299" t="s">
        <v>122</v>
      </c>
      <c r="DD299">
        <v>14405258</v>
      </c>
      <c r="DE299" t="s">
        <v>123</v>
      </c>
    </row>
    <row r="300" spans="1:109" x14ac:dyDescent="0.3">
      <c r="A300" t="str">
        <f>"18:39:27.742"</f>
        <v>18:39:27.742</v>
      </c>
      <c r="B300" t="s">
        <v>110</v>
      </c>
      <c r="C300" t="str">
        <f t="shared" si="12"/>
        <v>ffdfd3c0</v>
      </c>
      <c r="D300" t="s">
        <v>111</v>
      </c>
      <c r="E300">
        <v>18</v>
      </c>
      <c r="F300">
        <v>1018</v>
      </c>
      <c r="G300" t="s">
        <v>112</v>
      </c>
      <c r="J300" t="s">
        <v>113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R300" t="s">
        <v>114</v>
      </c>
      <c r="S300" t="str">
        <f>"18:39:27.523"</f>
        <v>18:39:27.523</v>
      </c>
      <c r="T300" t="str">
        <f>"18:39:27.227"</f>
        <v>18:39:27.227</v>
      </c>
      <c r="U300" t="str">
        <f t="shared" si="13"/>
        <v>a1cdbe</v>
      </c>
      <c r="V300">
        <v>0</v>
      </c>
      <c r="W300">
        <v>0</v>
      </c>
      <c r="X300">
        <v>1</v>
      </c>
      <c r="Y300">
        <v>0</v>
      </c>
      <c r="Z300">
        <v>0</v>
      </c>
      <c r="AB300">
        <v>0</v>
      </c>
      <c r="AC300">
        <v>9</v>
      </c>
      <c r="AD300">
        <v>3</v>
      </c>
      <c r="AE300">
        <v>0</v>
      </c>
      <c r="AF300">
        <v>9</v>
      </c>
      <c r="AG300" t="s">
        <v>158</v>
      </c>
      <c r="AH300">
        <v>0</v>
      </c>
      <c r="AI300">
        <v>3</v>
      </c>
      <c r="AJ300">
        <v>1</v>
      </c>
      <c r="AK300">
        <v>0</v>
      </c>
      <c r="AL300" t="s">
        <v>669</v>
      </c>
      <c r="AM300">
        <v>47.027256000000001</v>
      </c>
      <c r="AN300" t="s">
        <v>670</v>
      </c>
      <c r="AO300">
        <v>-122.29270200000001</v>
      </c>
      <c r="AP300">
        <v>100</v>
      </c>
      <c r="AQ300">
        <v>2000</v>
      </c>
      <c r="AR300" t="s">
        <v>118</v>
      </c>
      <c r="AS300">
        <v>-19</v>
      </c>
      <c r="AT300">
        <v>-80</v>
      </c>
      <c r="AU300">
        <v>-64</v>
      </c>
      <c r="BC300">
        <v>1200</v>
      </c>
      <c r="BD300">
        <v>1</v>
      </c>
      <c r="BE300" t="str">
        <f t="shared" si="14"/>
        <v xml:space="preserve">N215T   </v>
      </c>
      <c r="BF300">
        <v>1</v>
      </c>
      <c r="BH300">
        <v>0</v>
      </c>
      <c r="BI300">
        <v>0</v>
      </c>
      <c r="BJ300">
        <v>0</v>
      </c>
      <c r="BK300">
        <v>2350</v>
      </c>
      <c r="BL300">
        <v>350</v>
      </c>
      <c r="BM300" t="s">
        <v>119</v>
      </c>
      <c r="BN300">
        <v>1</v>
      </c>
      <c r="BO300">
        <v>1</v>
      </c>
      <c r="BP300">
        <v>1</v>
      </c>
      <c r="BQ300">
        <v>0</v>
      </c>
      <c r="BT300">
        <v>0</v>
      </c>
      <c r="BU300">
        <v>0</v>
      </c>
      <c r="BV300">
        <v>0</v>
      </c>
      <c r="CC300" t="str">
        <f>"18:39:27.523"</f>
        <v>18:39:27.523</v>
      </c>
      <c r="CD300" t="str">
        <f>"525332221"</f>
        <v>525332221</v>
      </c>
      <c r="CQ300">
        <v>0</v>
      </c>
      <c r="CR300">
        <v>2</v>
      </c>
      <c r="CS300">
        <v>0</v>
      </c>
      <c r="CT300">
        <v>2</v>
      </c>
      <c r="CU300">
        <v>0</v>
      </c>
      <c r="CV300">
        <v>4</v>
      </c>
      <c r="CW300" t="s">
        <v>120</v>
      </c>
      <c r="CX300">
        <v>261</v>
      </c>
      <c r="CY300">
        <v>2</v>
      </c>
      <c r="CZ300" t="s">
        <v>121</v>
      </c>
      <c r="DA300" t="s">
        <v>122</v>
      </c>
      <c r="DD300">
        <v>14405710</v>
      </c>
      <c r="DE300" t="s">
        <v>123</v>
      </c>
    </row>
    <row r="301" spans="1:109" x14ac:dyDescent="0.3">
      <c r="A301" t="str">
        <f>"18:39:28.750"</f>
        <v>18:39:28.750</v>
      </c>
      <c r="B301" t="s">
        <v>110</v>
      </c>
      <c r="C301" t="str">
        <f t="shared" si="12"/>
        <v>ffdfd3c0</v>
      </c>
      <c r="D301" t="s">
        <v>111</v>
      </c>
      <c r="E301">
        <v>18</v>
      </c>
      <c r="F301">
        <v>1018</v>
      </c>
      <c r="G301" t="s">
        <v>112</v>
      </c>
      <c r="J301" t="s">
        <v>113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R301" t="s">
        <v>114</v>
      </c>
      <c r="S301" t="str">
        <f>"18:39:28.523"</f>
        <v>18:39:28.523</v>
      </c>
      <c r="T301" t="str">
        <f>"18:39:28.125"</f>
        <v>18:39:28.125</v>
      </c>
      <c r="U301" t="str">
        <f t="shared" si="13"/>
        <v>a1cdbe</v>
      </c>
      <c r="V301">
        <v>0</v>
      </c>
      <c r="W301">
        <v>0</v>
      </c>
      <c r="X301">
        <v>1</v>
      </c>
      <c r="Y301">
        <v>0</v>
      </c>
      <c r="Z301">
        <v>0</v>
      </c>
      <c r="AB301">
        <v>0</v>
      </c>
      <c r="AC301">
        <v>9</v>
      </c>
      <c r="AD301">
        <v>3</v>
      </c>
      <c r="AE301">
        <v>0</v>
      </c>
      <c r="AF301">
        <v>9</v>
      </c>
      <c r="AG301" t="s">
        <v>158</v>
      </c>
      <c r="AH301">
        <v>0</v>
      </c>
      <c r="AI301">
        <v>3</v>
      </c>
      <c r="AJ301">
        <v>1</v>
      </c>
      <c r="AK301">
        <v>0</v>
      </c>
      <c r="AL301" t="s">
        <v>671</v>
      </c>
      <c r="AM301">
        <v>47.026891999999997</v>
      </c>
      <c r="AN301" t="s">
        <v>672</v>
      </c>
      <c r="AO301">
        <v>-122.292874</v>
      </c>
      <c r="AP301">
        <v>100</v>
      </c>
      <c r="AQ301">
        <v>2000</v>
      </c>
      <c r="AR301" t="s">
        <v>118</v>
      </c>
      <c r="AS301">
        <v>-20</v>
      </c>
      <c r="AT301">
        <v>-80</v>
      </c>
      <c r="AU301">
        <v>-64</v>
      </c>
      <c r="BC301">
        <v>1200</v>
      </c>
      <c r="BD301">
        <v>1</v>
      </c>
      <c r="BE301" t="str">
        <f t="shared" si="14"/>
        <v xml:space="preserve">N215T   </v>
      </c>
      <c r="BF301">
        <v>1</v>
      </c>
      <c r="BH301">
        <v>0</v>
      </c>
      <c r="BI301">
        <v>0</v>
      </c>
      <c r="BJ301">
        <v>0</v>
      </c>
      <c r="BK301">
        <v>2350</v>
      </c>
      <c r="BL301">
        <v>350</v>
      </c>
      <c r="BM301" t="s">
        <v>119</v>
      </c>
      <c r="BN301">
        <v>1</v>
      </c>
      <c r="BO301">
        <v>1</v>
      </c>
      <c r="BP301">
        <v>1</v>
      </c>
      <c r="BQ301">
        <v>0</v>
      </c>
      <c r="BT301">
        <v>0</v>
      </c>
      <c r="BU301">
        <v>0</v>
      </c>
      <c r="BV301">
        <v>0</v>
      </c>
      <c r="CC301" t="str">
        <f>"18:39:28.531"</f>
        <v>18:39:28.531</v>
      </c>
      <c r="CD301" t="str">
        <f>"530346635"</f>
        <v>530346635</v>
      </c>
      <c r="CQ301">
        <v>0</v>
      </c>
      <c r="CR301">
        <v>2</v>
      </c>
      <c r="CS301">
        <v>0</v>
      </c>
      <c r="CT301">
        <v>2</v>
      </c>
      <c r="CU301">
        <v>0</v>
      </c>
      <c r="CV301">
        <v>4</v>
      </c>
      <c r="CW301" t="s">
        <v>120</v>
      </c>
      <c r="CX301">
        <v>259</v>
      </c>
      <c r="CY301">
        <v>1</v>
      </c>
      <c r="CZ301" t="s">
        <v>197</v>
      </c>
      <c r="DA301" t="s">
        <v>198</v>
      </c>
      <c r="DD301">
        <v>14824850</v>
      </c>
      <c r="DE301" t="s">
        <v>123</v>
      </c>
    </row>
    <row r="302" spans="1:109" x14ac:dyDescent="0.3">
      <c r="A302" t="str">
        <f>"18:39:29.656"</f>
        <v>18:39:29.656</v>
      </c>
      <c r="B302" t="s">
        <v>110</v>
      </c>
      <c r="C302" t="str">
        <f t="shared" si="12"/>
        <v>ffdfd3c0</v>
      </c>
      <c r="D302" t="s">
        <v>111</v>
      </c>
      <c r="E302">
        <v>18</v>
      </c>
      <c r="F302">
        <v>1018</v>
      </c>
      <c r="G302" t="s">
        <v>112</v>
      </c>
      <c r="J302" t="s">
        <v>113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R302" t="s">
        <v>114</v>
      </c>
      <c r="S302" t="str">
        <f>"18:39:29.414"</f>
        <v>18:39:29.414</v>
      </c>
      <c r="T302" t="str">
        <f>"18:39:29.211"</f>
        <v>18:39:29.211</v>
      </c>
      <c r="U302" t="str">
        <f t="shared" si="13"/>
        <v>a1cdbe</v>
      </c>
      <c r="V302">
        <v>0</v>
      </c>
      <c r="W302">
        <v>0</v>
      </c>
      <c r="X302">
        <v>1</v>
      </c>
      <c r="Y302">
        <v>0</v>
      </c>
      <c r="Z302">
        <v>0</v>
      </c>
      <c r="AB302">
        <v>0</v>
      </c>
      <c r="AC302">
        <v>9</v>
      </c>
      <c r="AD302">
        <v>3</v>
      </c>
      <c r="AE302">
        <v>0</v>
      </c>
      <c r="AF302">
        <v>9</v>
      </c>
      <c r="AG302" t="s">
        <v>158</v>
      </c>
      <c r="AH302">
        <v>0</v>
      </c>
      <c r="AI302">
        <v>3</v>
      </c>
      <c r="AJ302">
        <v>1</v>
      </c>
      <c r="AK302">
        <v>0</v>
      </c>
      <c r="AL302" t="s">
        <v>673</v>
      </c>
      <c r="AM302">
        <v>47.026547999999998</v>
      </c>
      <c r="AN302" t="s">
        <v>674</v>
      </c>
      <c r="AO302">
        <v>-122.292981</v>
      </c>
      <c r="AP302">
        <v>100</v>
      </c>
      <c r="AQ302">
        <v>2000</v>
      </c>
      <c r="AR302" t="s">
        <v>118</v>
      </c>
      <c r="AS302">
        <v>-21</v>
      </c>
      <c r="AT302">
        <v>-80</v>
      </c>
      <c r="AU302">
        <v>-64</v>
      </c>
      <c r="BC302">
        <v>1200</v>
      </c>
      <c r="BD302">
        <v>1</v>
      </c>
      <c r="BE302" t="str">
        <f t="shared" si="14"/>
        <v xml:space="preserve">N215T   </v>
      </c>
      <c r="BF302">
        <v>1</v>
      </c>
      <c r="BH302">
        <v>0</v>
      </c>
      <c r="BI302">
        <v>0</v>
      </c>
      <c r="BJ302">
        <v>0</v>
      </c>
      <c r="BK302">
        <v>2350</v>
      </c>
      <c r="BL302">
        <v>350</v>
      </c>
      <c r="BM302" t="s">
        <v>119</v>
      </c>
      <c r="BN302">
        <v>1</v>
      </c>
      <c r="BO302">
        <v>1</v>
      </c>
      <c r="BP302">
        <v>1</v>
      </c>
      <c r="BQ302">
        <v>0</v>
      </c>
      <c r="BT302">
        <v>0</v>
      </c>
      <c r="BU302">
        <v>0</v>
      </c>
      <c r="BV302">
        <v>0</v>
      </c>
      <c r="CC302" t="str">
        <f>"18:39:29.414"</f>
        <v>18:39:29.414</v>
      </c>
      <c r="CD302" t="str">
        <f>"415380895"</f>
        <v>415380895</v>
      </c>
      <c r="CQ302">
        <v>0</v>
      </c>
      <c r="CR302">
        <v>2</v>
      </c>
      <c r="CS302">
        <v>0</v>
      </c>
      <c r="CT302">
        <v>2</v>
      </c>
      <c r="CU302">
        <v>0</v>
      </c>
      <c r="CV302">
        <v>3</v>
      </c>
      <c r="CW302" t="s">
        <v>120</v>
      </c>
      <c r="CX302">
        <v>257</v>
      </c>
      <c r="CY302">
        <v>1</v>
      </c>
      <c r="CZ302" t="s">
        <v>615</v>
      </c>
      <c r="DA302" t="s">
        <v>616</v>
      </c>
      <c r="DD302">
        <v>10655434</v>
      </c>
      <c r="DE302" t="s">
        <v>123</v>
      </c>
    </row>
    <row r="303" spans="1:109" x14ac:dyDescent="0.3">
      <c r="A303" t="str">
        <f>"18:39:30.758"</f>
        <v>18:39:30.758</v>
      </c>
      <c r="B303" t="s">
        <v>110</v>
      </c>
      <c r="C303" t="str">
        <f t="shared" si="12"/>
        <v>ffdfd3c0</v>
      </c>
      <c r="D303" t="s">
        <v>111</v>
      </c>
      <c r="E303">
        <v>18</v>
      </c>
      <c r="F303">
        <v>1018</v>
      </c>
      <c r="G303" t="s">
        <v>112</v>
      </c>
      <c r="J303" t="s">
        <v>113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R303" t="s">
        <v>114</v>
      </c>
      <c r="S303" t="str">
        <f>"18:39:30.508"</f>
        <v>18:39:30.508</v>
      </c>
      <c r="T303" t="str">
        <f>"18:39:30.211"</f>
        <v>18:39:30.211</v>
      </c>
      <c r="U303" t="str">
        <f t="shared" si="13"/>
        <v>a1cdbe</v>
      </c>
      <c r="V303">
        <v>0</v>
      </c>
      <c r="W303">
        <v>0</v>
      </c>
      <c r="X303">
        <v>1</v>
      </c>
      <c r="Y303">
        <v>0</v>
      </c>
      <c r="Z303">
        <v>0</v>
      </c>
      <c r="AB303">
        <v>0</v>
      </c>
      <c r="AC303">
        <v>9</v>
      </c>
      <c r="AD303">
        <v>3</v>
      </c>
      <c r="AE303">
        <v>0</v>
      </c>
      <c r="AF303">
        <v>9</v>
      </c>
      <c r="AG303" t="s">
        <v>158</v>
      </c>
      <c r="AH303">
        <v>0</v>
      </c>
      <c r="AI303">
        <v>3</v>
      </c>
      <c r="AJ303">
        <v>1</v>
      </c>
      <c r="AK303">
        <v>0</v>
      </c>
      <c r="AL303" t="s">
        <v>675</v>
      </c>
      <c r="AM303">
        <v>47.026161999999999</v>
      </c>
      <c r="AN303" t="s">
        <v>676</v>
      </c>
      <c r="AO303">
        <v>-122.29306699999999</v>
      </c>
      <c r="AP303">
        <v>100</v>
      </c>
      <c r="AQ303">
        <v>2000</v>
      </c>
      <c r="AR303" t="s">
        <v>118</v>
      </c>
      <c r="AS303">
        <v>-21</v>
      </c>
      <c r="AT303">
        <v>-80</v>
      </c>
      <c r="AU303">
        <v>-64</v>
      </c>
      <c r="BC303">
        <v>1200</v>
      </c>
      <c r="BD303">
        <v>1</v>
      </c>
      <c r="BE303" t="str">
        <f t="shared" si="14"/>
        <v xml:space="preserve">N215T   </v>
      </c>
      <c r="BF303">
        <v>1</v>
      </c>
      <c r="BH303">
        <v>0</v>
      </c>
      <c r="BI303">
        <v>0</v>
      </c>
      <c r="BJ303">
        <v>0</v>
      </c>
      <c r="BK303">
        <v>2350</v>
      </c>
      <c r="BL303">
        <v>350</v>
      </c>
      <c r="BM303" t="s">
        <v>119</v>
      </c>
      <c r="BN303">
        <v>1</v>
      </c>
      <c r="BO303">
        <v>1</v>
      </c>
      <c r="BP303">
        <v>1</v>
      </c>
      <c r="BQ303">
        <v>0</v>
      </c>
      <c r="BT303">
        <v>0</v>
      </c>
      <c r="BU303">
        <v>0</v>
      </c>
      <c r="BV303">
        <v>0</v>
      </c>
      <c r="CC303" t="str">
        <f>"18:39:30.508"</f>
        <v>18:39:30.508</v>
      </c>
      <c r="CD303" t="str">
        <f>"510038667"</f>
        <v>510038667</v>
      </c>
      <c r="CQ303">
        <v>0</v>
      </c>
      <c r="CR303">
        <v>2</v>
      </c>
      <c r="CS303">
        <v>0</v>
      </c>
      <c r="CT303">
        <v>2</v>
      </c>
      <c r="CU303">
        <v>0</v>
      </c>
      <c r="CV303">
        <v>3</v>
      </c>
      <c r="CW303" t="s">
        <v>120</v>
      </c>
      <c r="CX303">
        <v>261</v>
      </c>
      <c r="CY303">
        <v>2</v>
      </c>
      <c r="CZ303" t="s">
        <v>121</v>
      </c>
      <c r="DA303" t="s">
        <v>122</v>
      </c>
      <c r="DD303">
        <v>14407341</v>
      </c>
      <c r="DE303" t="s">
        <v>123</v>
      </c>
    </row>
    <row r="304" spans="1:109" x14ac:dyDescent="0.3">
      <c r="A304" t="str">
        <f>"18:39:31.914"</f>
        <v>18:39:31.914</v>
      </c>
      <c r="B304" t="s">
        <v>110</v>
      </c>
      <c r="C304" t="str">
        <f t="shared" si="12"/>
        <v>ffdfd3c0</v>
      </c>
      <c r="D304" t="s">
        <v>111</v>
      </c>
      <c r="E304">
        <v>18</v>
      </c>
      <c r="F304">
        <v>1018</v>
      </c>
      <c r="G304" t="s">
        <v>112</v>
      </c>
      <c r="J304" t="s">
        <v>113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R304" t="s">
        <v>114</v>
      </c>
      <c r="S304" t="str">
        <f>"18:39:31.680"</f>
        <v>18:39:31.680</v>
      </c>
      <c r="T304" t="str">
        <f>"18:39:31.281"</f>
        <v>18:39:31.281</v>
      </c>
      <c r="U304" t="str">
        <f t="shared" si="13"/>
        <v>a1cdbe</v>
      </c>
      <c r="V304">
        <v>0</v>
      </c>
      <c r="W304">
        <v>0</v>
      </c>
      <c r="X304">
        <v>1</v>
      </c>
      <c r="Y304">
        <v>0</v>
      </c>
      <c r="Z304">
        <v>0</v>
      </c>
      <c r="AB304">
        <v>0</v>
      </c>
      <c r="AC304">
        <v>9</v>
      </c>
      <c r="AD304">
        <v>3</v>
      </c>
      <c r="AE304">
        <v>0</v>
      </c>
      <c r="AF304">
        <v>9</v>
      </c>
      <c r="AG304" t="s">
        <v>158</v>
      </c>
      <c r="AH304">
        <v>0</v>
      </c>
      <c r="AI304">
        <v>3</v>
      </c>
      <c r="AJ304">
        <v>1</v>
      </c>
      <c r="AK304">
        <v>0</v>
      </c>
      <c r="AL304" t="s">
        <v>677</v>
      </c>
      <c r="AM304">
        <v>47.025733000000002</v>
      </c>
      <c r="AN304" t="s">
        <v>678</v>
      </c>
      <c r="AO304">
        <v>-122.293282</v>
      </c>
      <c r="AP304">
        <v>100</v>
      </c>
      <c r="AQ304">
        <v>2000</v>
      </c>
      <c r="AR304" t="s">
        <v>118</v>
      </c>
      <c r="AS304">
        <v>-22</v>
      </c>
      <c r="AT304">
        <v>-80</v>
      </c>
      <c r="AU304">
        <v>-64</v>
      </c>
      <c r="BC304">
        <v>1200</v>
      </c>
      <c r="BD304">
        <v>1</v>
      </c>
      <c r="BE304" t="str">
        <f t="shared" si="14"/>
        <v xml:space="preserve">N215T   </v>
      </c>
      <c r="BF304">
        <v>1</v>
      </c>
      <c r="BH304">
        <v>0</v>
      </c>
      <c r="BI304">
        <v>0</v>
      </c>
      <c r="BJ304">
        <v>0</v>
      </c>
      <c r="BK304">
        <v>2350</v>
      </c>
      <c r="BL304">
        <v>350</v>
      </c>
      <c r="BM304" t="s">
        <v>119</v>
      </c>
      <c r="BN304">
        <v>1</v>
      </c>
      <c r="BO304">
        <v>1</v>
      </c>
      <c r="BP304">
        <v>1</v>
      </c>
      <c r="BQ304">
        <v>0</v>
      </c>
      <c r="BT304">
        <v>0</v>
      </c>
      <c r="BU304">
        <v>0</v>
      </c>
      <c r="BV304">
        <v>0</v>
      </c>
      <c r="CC304" t="str">
        <f>"18:39:31.680"</f>
        <v>18:39:31.680</v>
      </c>
      <c r="CD304" t="str">
        <f>"680157711"</f>
        <v>680157711</v>
      </c>
      <c r="CQ304">
        <v>0</v>
      </c>
      <c r="CR304">
        <v>2</v>
      </c>
      <c r="CS304">
        <v>0</v>
      </c>
      <c r="CT304">
        <v>2</v>
      </c>
      <c r="CU304">
        <v>0</v>
      </c>
      <c r="CV304">
        <v>4</v>
      </c>
      <c r="CW304" t="s">
        <v>120</v>
      </c>
      <c r="CX304">
        <v>257</v>
      </c>
      <c r="CY304">
        <v>1</v>
      </c>
      <c r="CZ304" t="s">
        <v>615</v>
      </c>
      <c r="DA304" t="s">
        <v>616</v>
      </c>
      <c r="DD304">
        <v>10656798</v>
      </c>
      <c r="DE304" t="s">
        <v>123</v>
      </c>
    </row>
    <row r="305" spans="1:109" x14ac:dyDescent="0.3">
      <c r="A305" t="str">
        <f>"18:39:32.969"</f>
        <v>18:39:32.969</v>
      </c>
      <c r="B305" t="s">
        <v>110</v>
      </c>
      <c r="C305" t="str">
        <f t="shared" si="12"/>
        <v>ffdfd3c0</v>
      </c>
      <c r="D305" t="s">
        <v>111</v>
      </c>
      <c r="E305">
        <v>18</v>
      </c>
      <c r="F305">
        <v>1018</v>
      </c>
      <c r="G305" t="s">
        <v>112</v>
      </c>
      <c r="J305" t="s">
        <v>113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R305" t="s">
        <v>114</v>
      </c>
      <c r="S305" t="str">
        <f>"18:39:32.758"</f>
        <v>18:39:32.758</v>
      </c>
      <c r="T305" t="str">
        <f>"18:39:32.359"</f>
        <v>18:39:32.359</v>
      </c>
      <c r="U305" t="str">
        <f t="shared" si="13"/>
        <v>a1cdbe</v>
      </c>
      <c r="V305">
        <v>0</v>
      </c>
      <c r="W305">
        <v>0</v>
      </c>
      <c r="X305">
        <v>1</v>
      </c>
      <c r="Y305">
        <v>0</v>
      </c>
      <c r="Z305">
        <v>0</v>
      </c>
      <c r="AB305">
        <v>0</v>
      </c>
      <c r="AC305">
        <v>9</v>
      </c>
      <c r="AD305">
        <v>3</v>
      </c>
      <c r="AE305">
        <v>0</v>
      </c>
      <c r="AF305">
        <v>9</v>
      </c>
      <c r="AG305" t="s">
        <v>158</v>
      </c>
      <c r="AH305">
        <v>0</v>
      </c>
      <c r="AI305">
        <v>3</v>
      </c>
      <c r="AJ305">
        <v>1</v>
      </c>
      <c r="AK305">
        <v>0</v>
      </c>
      <c r="AL305" t="s">
        <v>679</v>
      </c>
      <c r="AM305">
        <v>47.025325000000002</v>
      </c>
      <c r="AN305" t="s">
        <v>680</v>
      </c>
      <c r="AO305">
        <v>-122.29340999999999</v>
      </c>
      <c r="AP305">
        <v>100</v>
      </c>
      <c r="AQ305">
        <v>2000</v>
      </c>
      <c r="AR305" t="s">
        <v>118</v>
      </c>
      <c r="AS305">
        <v>-22</v>
      </c>
      <c r="AT305">
        <v>-80</v>
      </c>
      <c r="AU305">
        <v>0</v>
      </c>
      <c r="BC305">
        <v>1200</v>
      </c>
      <c r="BD305">
        <v>1</v>
      </c>
      <c r="BE305" t="str">
        <f t="shared" si="14"/>
        <v xml:space="preserve">N215T   </v>
      </c>
      <c r="BF305">
        <v>1</v>
      </c>
      <c r="BH305">
        <v>0</v>
      </c>
      <c r="BI305">
        <v>0</v>
      </c>
      <c r="BJ305">
        <v>0</v>
      </c>
      <c r="BK305">
        <v>2350</v>
      </c>
      <c r="BL305">
        <v>350</v>
      </c>
      <c r="BM305" t="s">
        <v>119</v>
      </c>
      <c r="BN305">
        <v>1</v>
      </c>
      <c r="BO305">
        <v>1</v>
      </c>
      <c r="BP305">
        <v>1</v>
      </c>
      <c r="BQ305">
        <v>0</v>
      </c>
      <c r="BT305">
        <v>0</v>
      </c>
      <c r="BU305">
        <v>0</v>
      </c>
      <c r="BV305">
        <v>0</v>
      </c>
      <c r="CC305" t="str">
        <f>"18:39:32.758"</f>
        <v>18:39:32.758</v>
      </c>
      <c r="CD305" t="str">
        <f>"759930884"</f>
        <v>759930884</v>
      </c>
      <c r="CQ305">
        <v>0</v>
      </c>
      <c r="CR305">
        <v>2</v>
      </c>
      <c r="CS305">
        <v>0</v>
      </c>
      <c r="CT305">
        <v>2</v>
      </c>
      <c r="CU305">
        <v>0</v>
      </c>
      <c r="CV305">
        <v>3</v>
      </c>
      <c r="CW305" t="s">
        <v>120</v>
      </c>
      <c r="CX305">
        <v>259</v>
      </c>
      <c r="CY305">
        <v>1</v>
      </c>
      <c r="CZ305" t="s">
        <v>197</v>
      </c>
      <c r="DA305" t="s">
        <v>198</v>
      </c>
      <c r="DD305">
        <v>14827759</v>
      </c>
      <c r="DE305" t="s">
        <v>123</v>
      </c>
    </row>
    <row r="306" spans="1:109" x14ac:dyDescent="0.3">
      <c r="A306" t="str">
        <f>"18:39:34.031"</f>
        <v>18:39:34.031</v>
      </c>
      <c r="B306" t="s">
        <v>110</v>
      </c>
      <c r="C306" t="str">
        <f t="shared" si="12"/>
        <v>ffdfd3c0</v>
      </c>
      <c r="D306" t="s">
        <v>111</v>
      </c>
      <c r="E306">
        <v>18</v>
      </c>
      <c r="F306">
        <v>1018</v>
      </c>
      <c r="G306" t="s">
        <v>112</v>
      </c>
      <c r="J306" t="s">
        <v>113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R306" t="s">
        <v>114</v>
      </c>
      <c r="S306" t="str">
        <f>"18:39:33.789"</f>
        <v>18:39:33.789</v>
      </c>
      <c r="T306" t="str">
        <f>"18:39:33.688"</f>
        <v>18:39:33.688</v>
      </c>
      <c r="U306" t="str">
        <f t="shared" si="13"/>
        <v>a1cdbe</v>
      </c>
      <c r="V306">
        <v>0</v>
      </c>
      <c r="W306">
        <v>0</v>
      </c>
      <c r="X306">
        <v>1</v>
      </c>
      <c r="Y306">
        <v>0</v>
      </c>
      <c r="Z306">
        <v>0</v>
      </c>
      <c r="AB306">
        <v>0</v>
      </c>
      <c r="AC306">
        <v>9</v>
      </c>
      <c r="AD306">
        <v>3</v>
      </c>
      <c r="AE306">
        <v>0</v>
      </c>
      <c r="AF306">
        <v>9</v>
      </c>
      <c r="AG306" t="s">
        <v>158</v>
      </c>
      <c r="AH306">
        <v>0</v>
      </c>
      <c r="AI306">
        <v>3</v>
      </c>
      <c r="AJ306">
        <v>1</v>
      </c>
      <c r="AK306">
        <v>0</v>
      </c>
      <c r="AL306" t="s">
        <v>681</v>
      </c>
      <c r="AM306">
        <v>47.024939000000003</v>
      </c>
      <c r="AN306" t="s">
        <v>682</v>
      </c>
      <c r="AO306">
        <v>-122.293603</v>
      </c>
      <c r="AP306">
        <v>100</v>
      </c>
      <c r="AQ306">
        <v>2000</v>
      </c>
      <c r="AR306" t="s">
        <v>118</v>
      </c>
      <c r="AS306">
        <v>-22</v>
      </c>
      <c r="AT306">
        <v>-80</v>
      </c>
      <c r="AU306">
        <v>64</v>
      </c>
      <c r="BC306">
        <v>1200</v>
      </c>
      <c r="BD306">
        <v>1</v>
      </c>
      <c r="BE306" t="str">
        <f t="shared" si="14"/>
        <v xml:space="preserve">N215T   </v>
      </c>
      <c r="BF306">
        <v>1</v>
      </c>
      <c r="BH306">
        <v>0</v>
      </c>
      <c r="BI306">
        <v>0</v>
      </c>
      <c r="BJ306">
        <v>0</v>
      </c>
      <c r="BK306">
        <v>2350</v>
      </c>
      <c r="BL306">
        <v>350</v>
      </c>
      <c r="BM306" t="s">
        <v>119</v>
      </c>
      <c r="BN306">
        <v>1</v>
      </c>
      <c r="BO306">
        <v>1</v>
      </c>
      <c r="BP306">
        <v>1</v>
      </c>
      <c r="BQ306">
        <v>0</v>
      </c>
      <c r="BT306">
        <v>0</v>
      </c>
      <c r="BU306">
        <v>0</v>
      </c>
      <c r="BV306">
        <v>0</v>
      </c>
      <c r="CC306" t="str">
        <f>"18:39:33.797"</f>
        <v>18:39:33.797</v>
      </c>
      <c r="CD306" t="str">
        <f>"794829096"</f>
        <v>794829096</v>
      </c>
      <c r="CQ306">
        <v>0</v>
      </c>
      <c r="CR306">
        <v>2</v>
      </c>
      <c r="CS306">
        <v>0</v>
      </c>
      <c r="CT306">
        <v>2</v>
      </c>
      <c r="CU306">
        <v>0</v>
      </c>
      <c r="CV306">
        <v>4</v>
      </c>
      <c r="CW306" t="s">
        <v>120</v>
      </c>
      <c r="CX306">
        <v>259</v>
      </c>
      <c r="CY306">
        <v>1</v>
      </c>
      <c r="CZ306" t="s">
        <v>197</v>
      </c>
      <c r="DA306" t="s">
        <v>198</v>
      </c>
      <c r="DD306">
        <v>14828483</v>
      </c>
      <c r="DE306" t="s">
        <v>123</v>
      </c>
    </row>
    <row r="307" spans="1:109" x14ac:dyDescent="0.3">
      <c r="A307" t="str">
        <f>"18:39:34.883"</f>
        <v>18:39:34.883</v>
      </c>
      <c r="B307" t="s">
        <v>110</v>
      </c>
      <c r="C307" t="str">
        <f t="shared" si="12"/>
        <v>ffdfd3c0</v>
      </c>
      <c r="D307" t="s">
        <v>111</v>
      </c>
      <c r="E307">
        <v>18</v>
      </c>
      <c r="F307">
        <v>1018</v>
      </c>
      <c r="G307" t="s">
        <v>112</v>
      </c>
      <c r="J307" t="s">
        <v>113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R307" t="s">
        <v>114</v>
      </c>
      <c r="S307" t="str">
        <f>"18:39:34.664"</f>
        <v>18:39:34.664</v>
      </c>
      <c r="T307" t="str">
        <f>"18:39:34.164"</f>
        <v>18:39:34.164</v>
      </c>
      <c r="U307" t="str">
        <f t="shared" si="13"/>
        <v>a1cdbe</v>
      </c>
      <c r="V307">
        <v>0</v>
      </c>
      <c r="W307">
        <v>0</v>
      </c>
      <c r="X307">
        <v>1</v>
      </c>
      <c r="Y307">
        <v>0</v>
      </c>
      <c r="Z307">
        <v>0</v>
      </c>
      <c r="AB307">
        <v>0</v>
      </c>
      <c r="AC307">
        <v>9</v>
      </c>
      <c r="AD307">
        <v>3</v>
      </c>
      <c r="AE307">
        <v>0</v>
      </c>
      <c r="AF307">
        <v>9</v>
      </c>
      <c r="AG307" t="s">
        <v>158</v>
      </c>
      <c r="AH307">
        <v>0</v>
      </c>
      <c r="AI307">
        <v>3</v>
      </c>
      <c r="AJ307">
        <v>1</v>
      </c>
      <c r="AK307">
        <v>0</v>
      </c>
      <c r="AL307" t="s">
        <v>683</v>
      </c>
      <c r="AM307">
        <v>47.024659999999997</v>
      </c>
      <c r="AN307" t="s">
        <v>684</v>
      </c>
      <c r="AO307">
        <v>-122.29375400000001</v>
      </c>
      <c r="AP307">
        <v>100</v>
      </c>
      <c r="AQ307">
        <v>2000</v>
      </c>
      <c r="AR307" t="s">
        <v>118</v>
      </c>
      <c r="AS307">
        <v>-22</v>
      </c>
      <c r="AT307">
        <v>-80</v>
      </c>
      <c r="AU307">
        <v>64</v>
      </c>
      <c r="BC307">
        <v>1200</v>
      </c>
      <c r="BD307">
        <v>1</v>
      </c>
      <c r="BE307" t="str">
        <f t="shared" si="14"/>
        <v xml:space="preserve">N215T   </v>
      </c>
      <c r="BF307">
        <v>1</v>
      </c>
      <c r="BH307">
        <v>0</v>
      </c>
      <c r="BI307">
        <v>0</v>
      </c>
      <c r="BJ307">
        <v>0</v>
      </c>
      <c r="BK307">
        <v>2350</v>
      </c>
      <c r="BL307">
        <v>350</v>
      </c>
      <c r="BM307" t="s">
        <v>119</v>
      </c>
      <c r="BN307">
        <v>1</v>
      </c>
      <c r="BO307">
        <v>1</v>
      </c>
      <c r="BP307">
        <v>1</v>
      </c>
      <c r="BQ307">
        <v>0</v>
      </c>
      <c r="BT307">
        <v>0</v>
      </c>
      <c r="BU307">
        <v>0</v>
      </c>
      <c r="BV307">
        <v>0</v>
      </c>
      <c r="CC307" t="str">
        <f>"18:39:34.664"</f>
        <v>18:39:34.664</v>
      </c>
      <c r="CD307" t="str">
        <f>"664863603"</f>
        <v>664863603</v>
      </c>
      <c r="CQ307">
        <v>0</v>
      </c>
      <c r="CR307">
        <v>2</v>
      </c>
      <c r="CS307">
        <v>0</v>
      </c>
      <c r="CT307">
        <v>2</v>
      </c>
      <c r="CU307">
        <v>0</v>
      </c>
      <c r="CV307">
        <v>4</v>
      </c>
      <c r="CW307" t="s">
        <v>120</v>
      </c>
      <c r="CX307">
        <v>257</v>
      </c>
      <c r="CY307">
        <v>1</v>
      </c>
      <c r="CZ307" t="s">
        <v>615</v>
      </c>
      <c r="DA307" t="s">
        <v>616</v>
      </c>
      <c r="DD307">
        <v>10658560</v>
      </c>
      <c r="DE307" t="s">
        <v>123</v>
      </c>
    </row>
    <row r="308" spans="1:109" x14ac:dyDescent="0.3">
      <c r="A308" t="str">
        <f>"18:39:35.891"</f>
        <v>18:39:35.891</v>
      </c>
      <c r="B308" t="s">
        <v>110</v>
      </c>
      <c r="C308" t="str">
        <f t="shared" si="12"/>
        <v>ffdfd3c0</v>
      </c>
      <c r="D308" t="s">
        <v>111</v>
      </c>
      <c r="E308">
        <v>18</v>
      </c>
      <c r="F308">
        <v>1018</v>
      </c>
      <c r="G308" t="s">
        <v>112</v>
      </c>
      <c r="J308" t="s">
        <v>113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R308" t="s">
        <v>114</v>
      </c>
      <c r="S308" t="str">
        <f>"18:39:35.648"</f>
        <v>18:39:35.648</v>
      </c>
      <c r="T308" t="str">
        <f>"18:39:35.250"</f>
        <v>18:39:35.250</v>
      </c>
      <c r="U308" t="str">
        <f t="shared" si="13"/>
        <v>a1cdbe</v>
      </c>
      <c r="V308">
        <v>0</v>
      </c>
      <c r="W308">
        <v>0</v>
      </c>
      <c r="X308">
        <v>1</v>
      </c>
      <c r="Y308">
        <v>0</v>
      </c>
      <c r="Z308">
        <v>0</v>
      </c>
      <c r="AB308">
        <v>0</v>
      </c>
      <c r="AC308">
        <v>9</v>
      </c>
      <c r="AD308">
        <v>3</v>
      </c>
      <c r="AE308">
        <v>0</v>
      </c>
      <c r="AF308">
        <v>9</v>
      </c>
      <c r="AG308" t="s">
        <v>158</v>
      </c>
      <c r="AH308">
        <v>0</v>
      </c>
      <c r="AI308">
        <v>3</v>
      </c>
      <c r="AJ308">
        <v>1</v>
      </c>
      <c r="AK308">
        <v>0</v>
      </c>
      <c r="AL308" t="s">
        <v>685</v>
      </c>
      <c r="AM308">
        <v>47.024273999999998</v>
      </c>
      <c r="AN308" t="s">
        <v>686</v>
      </c>
      <c r="AO308">
        <v>-122.293904</v>
      </c>
      <c r="AP308">
        <v>100</v>
      </c>
      <c r="AQ308">
        <v>2000</v>
      </c>
      <c r="AR308" t="s">
        <v>118</v>
      </c>
      <c r="AS308">
        <v>-22</v>
      </c>
      <c r="AT308">
        <v>-80</v>
      </c>
      <c r="AU308">
        <v>128</v>
      </c>
      <c r="BC308">
        <v>1200</v>
      </c>
      <c r="BD308">
        <v>1</v>
      </c>
      <c r="BE308" t="str">
        <f t="shared" si="14"/>
        <v xml:space="preserve">N215T   </v>
      </c>
      <c r="BF308">
        <v>1</v>
      </c>
      <c r="BH308">
        <v>0</v>
      </c>
      <c r="BI308">
        <v>0</v>
      </c>
      <c r="BJ308">
        <v>0</v>
      </c>
      <c r="BK308">
        <v>2350</v>
      </c>
      <c r="BL308">
        <v>350</v>
      </c>
      <c r="BM308" t="s">
        <v>119</v>
      </c>
      <c r="BN308">
        <v>1</v>
      </c>
      <c r="BO308">
        <v>1</v>
      </c>
      <c r="BP308">
        <v>1</v>
      </c>
      <c r="BQ308">
        <v>0</v>
      </c>
      <c r="BT308">
        <v>0</v>
      </c>
      <c r="BU308">
        <v>0</v>
      </c>
      <c r="BV308">
        <v>0</v>
      </c>
      <c r="CC308" t="str">
        <f>"18:39:35.656"</f>
        <v>18:39:35.656</v>
      </c>
      <c r="CD308" t="str">
        <f>"654766058"</f>
        <v>654766058</v>
      </c>
      <c r="CQ308">
        <v>0</v>
      </c>
      <c r="CR308">
        <v>2</v>
      </c>
      <c r="CS308">
        <v>0</v>
      </c>
      <c r="CT308">
        <v>2</v>
      </c>
      <c r="CU308">
        <v>0</v>
      </c>
      <c r="CV308">
        <v>4</v>
      </c>
      <c r="CW308" t="s">
        <v>120</v>
      </c>
      <c r="CX308">
        <v>257</v>
      </c>
      <c r="CY308">
        <v>1</v>
      </c>
      <c r="CZ308" t="s">
        <v>615</v>
      </c>
      <c r="DA308" t="s">
        <v>616</v>
      </c>
      <c r="DD308">
        <v>10659170</v>
      </c>
      <c r="DE308" t="s">
        <v>123</v>
      </c>
    </row>
    <row r="309" spans="1:109" x14ac:dyDescent="0.3">
      <c r="A309" t="str">
        <f>"18:39:36.945"</f>
        <v>18:39:36.945</v>
      </c>
      <c r="B309" t="s">
        <v>110</v>
      </c>
      <c r="C309" t="str">
        <f t="shared" si="12"/>
        <v>ffdfd3c0</v>
      </c>
      <c r="D309" t="s">
        <v>111</v>
      </c>
      <c r="E309">
        <v>18</v>
      </c>
      <c r="F309">
        <v>1018</v>
      </c>
      <c r="G309" t="s">
        <v>112</v>
      </c>
      <c r="J309" t="s">
        <v>113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R309" t="s">
        <v>114</v>
      </c>
      <c r="S309" t="str">
        <f>"18:39:36.703"</f>
        <v>18:39:36.703</v>
      </c>
      <c r="T309" t="str">
        <f>"18:39:36.406"</f>
        <v>18:39:36.406</v>
      </c>
      <c r="U309" t="str">
        <f t="shared" si="13"/>
        <v>a1cdbe</v>
      </c>
      <c r="V309">
        <v>0</v>
      </c>
      <c r="W309">
        <v>0</v>
      </c>
      <c r="X309">
        <v>1</v>
      </c>
      <c r="Y309">
        <v>0</v>
      </c>
      <c r="Z309">
        <v>0</v>
      </c>
      <c r="AB309">
        <v>0</v>
      </c>
      <c r="AC309">
        <v>9</v>
      </c>
      <c r="AD309">
        <v>3</v>
      </c>
      <c r="AE309">
        <v>0</v>
      </c>
      <c r="AF309">
        <v>9</v>
      </c>
      <c r="AG309" t="s">
        <v>158</v>
      </c>
      <c r="AH309">
        <v>0</v>
      </c>
      <c r="AI309">
        <v>3</v>
      </c>
      <c r="AJ309">
        <v>1</v>
      </c>
      <c r="AK309">
        <v>0</v>
      </c>
      <c r="AL309" t="s">
        <v>687</v>
      </c>
      <c r="AM309">
        <v>47.023865999999998</v>
      </c>
      <c r="AN309" t="s">
        <v>688</v>
      </c>
      <c r="AO309">
        <v>-122.294033</v>
      </c>
      <c r="AP309">
        <v>100</v>
      </c>
      <c r="AQ309">
        <v>2000</v>
      </c>
      <c r="AR309" t="s">
        <v>118</v>
      </c>
      <c r="AS309">
        <v>-22</v>
      </c>
      <c r="AT309">
        <v>-80</v>
      </c>
      <c r="AU309">
        <v>192</v>
      </c>
      <c r="BC309">
        <v>1200</v>
      </c>
      <c r="BD309">
        <v>1</v>
      </c>
      <c r="BE309" t="str">
        <f t="shared" si="14"/>
        <v xml:space="preserve">N215T   </v>
      </c>
      <c r="BF309">
        <v>1</v>
      </c>
      <c r="BH309">
        <v>0</v>
      </c>
      <c r="BI309">
        <v>0</v>
      </c>
      <c r="BJ309">
        <v>0</v>
      </c>
      <c r="BK309">
        <v>2350</v>
      </c>
      <c r="BL309">
        <v>350</v>
      </c>
      <c r="BM309" t="s">
        <v>119</v>
      </c>
      <c r="BN309">
        <v>1</v>
      </c>
      <c r="BO309">
        <v>1</v>
      </c>
      <c r="BP309">
        <v>1</v>
      </c>
      <c r="BQ309">
        <v>0</v>
      </c>
      <c r="BT309">
        <v>0</v>
      </c>
      <c r="BU309">
        <v>0</v>
      </c>
      <c r="BV309">
        <v>0</v>
      </c>
      <c r="CC309" t="str">
        <f>"18:39:36.703"</f>
        <v>18:39:36.703</v>
      </c>
      <c r="CD309" t="str">
        <f>"704543048"</f>
        <v>704543048</v>
      </c>
      <c r="CQ309">
        <v>0</v>
      </c>
      <c r="CR309">
        <v>2</v>
      </c>
      <c r="CS309">
        <v>0</v>
      </c>
      <c r="CT309">
        <v>2</v>
      </c>
      <c r="CU309">
        <v>0</v>
      </c>
      <c r="CV309">
        <v>3</v>
      </c>
      <c r="CW309" t="s">
        <v>120</v>
      </c>
      <c r="CX309">
        <v>259</v>
      </c>
      <c r="CY309">
        <v>1</v>
      </c>
      <c r="CZ309" t="s">
        <v>197</v>
      </c>
      <c r="DA309" t="s">
        <v>198</v>
      </c>
      <c r="DD309">
        <v>14830540</v>
      </c>
      <c r="DE309" t="s">
        <v>123</v>
      </c>
    </row>
    <row r="310" spans="1:109" x14ac:dyDescent="0.3">
      <c r="A310" t="str">
        <f>"18:39:37.953"</f>
        <v>18:39:37.953</v>
      </c>
      <c r="B310" t="s">
        <v>110</v>
      </c>
      <c r="C310" t="str">
        <f t="shared" si="12"/>
        <v>ffdfd3c0</v>
      </c>
      <c r="D310" t="s">
        <v>111</v>
      </c>
      <c r="E310">
        <v>18</v>
      </c>
      <c r="F310">
        <v>1018</v>
      </c>
      <c r="G310" t="s">
        <v>112</v>
      </c>
      <c r="J310" t="s">
        <v>113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R310" t="s">
        <v>114</v>
      </c>
      <c r="S310" t="str">
        <f>"18:39:37.734"</f>
        <v>18:39:37.734</v>
      </c>
      <c r="T310" t="str">
        <f>"18:39:37.336"</f>
        <v>18:39:37.336</v>
      </c>
      <c r="U310" t="str">
        <f t="shared" si="13"/>
        <v>a1cdbe</v>
      </c>
      <c r="V310">
        <v>0</v>
      </c>
      <c r="W310">
        <v>0</v>
      </c>
      <c r="X310">
        <v>1</v>
      </c>
      <c r="Y310">
        <v>0</v>
      </c>
      <c r="Z310">
        <v>0</v>
      </c>
      <c r="AB310">
        <v>0</v>
      </c>
      <c r="AC310">
        <v>9</v>
      </c>
      <c r="AD310">
        <v>3</v>
      </c>
      <c r="AE310">
        <v>0</v>
      </c>
      <c r="AF310">
        <v>9</v>
      </c>
      <c r="AG310" t="s">
        <v>158</v>
      </c>
      <c r="AH310">
        <v>0</v>
      </c>
      <c r="AI310">
        <v>3</v>
      </c>
      <c r="AJ310">
        <v>1</v>
      </c>
      <c r="AK310">
        <v>0</v>
      </c>
      <c r="AL310" t="s">
        <v>689</v>
      </c>
      <c r="AM310">
        <v>47.023501000000003</v>
      </c>
      <c r="AN310" t="s">
        <v>690</v>
      </c>
      <c r="AO310">
        <v>-122.294183</v>
      </c>
      <c r="AP310">
        <v>100</v>
      </c>
      <c r="AQ310">
        <v>2000</v>
      </c>
      <c r="AR310" t="s">
        <v>118</v>
      </c>
      <c r="AS310">
        <v>-22</v>
      </c>
      <c r="AT310">
        <v>-79</v>
      </c>
      <c r="AU310">
        <v>192</v>
      </c>
      <c r="BC310">
        <v>1200</v>
      </c>
      <c r="BD310">
        <v>1</v>
      </c>
      <c r="BE310" t="str">
        <f t="shared" si="14"/>
        <v xml:space="preserve">N215T   </v>
      </c>
      <c r="BF310">
        <v>1</v>
      </c>
      <c r="BH310">
        <v>0</v>
      </c>
      <c r="BI310">
        <v>0</v>
      </c>
      <c r="BJ310">
        <v>0</v>
      </c>
      <c r="BK310">
        <v>2350</v>
      </c>
      <c r="BL310">
        <v>350</v>
      </c>
      <c r="BM310" t="s">
        <v>119</v>
      </c>
      <c r="BN310">
        <v>1</v>
      </c>
      <c r="BO310">
        <v>1</v>
      </c>
      <c r="BP310">
        <v>1</v>
      </c>
      <c r="BQ310">
        <v>0</v>
      </c>
      <c r="BT310">
        <v>0</v>
      </c>
      <c r="BU310">
        <v>0</v>
      </c>
      <c r="BV310">
        <v>0</v>
      </c>
      <c r="CC310" t="str">
        <f>"18:39:37.742"</f>
        <v>18:39:37.742</v>
      </c>
      <c r="CD310" t="str">
        <f>"739560619"</f>
        <v>739560619</v>
      </c>
      <c r="CQ310">
        <v>0</v>
      </c>
      <c r="CR310">
        <v>2</v>
      </c>
      <c r="CS310">
        <v>0</v>
      </c>
      <c r="CT310">
        <v>2</v>
      </c>
      <c r="CU310">
        <v>0</v>
      </c>
      <c r="CV310">
        <v>4</v>
      </c>
      <c r="CW310" t="s">
        <v>120</v>
      </c>
      <c r="CX310">
        <v>257</v>
      </c>
      <c r="CY310">
        <v>1</v>
      </c>
      <c r="CZ310" t="s">
        <v>615</v>
      </c>
      <c r="DA310" t="s">
        <v>616</v>
      </c>
      <c r="DD310">
        <v>10660463</v>
      </c>
      <c r="DE310" t="s">
        <v>123</v>
      </c>
    </row>
    <row r="311" spans="1:109" x14ac:dyDescent="0.3">
      <c r="A311" t="str">
        <f>"18:39:39.109"</f>
        <v>18:39:39.109</v>
      </c>
      <c r="B311" t="s">
        <v>110</v>
      </c>
      <c r="C311" t="str">
        <f t="shared" si="12"/>
        <v>ffdfd3c0</v>
      </c>
      <c r="D311" t="s">
        <v>111</v>
      </c>
      <c r="E311">
        <v>18</v>
      </c>
      <c r="F311">
        <v>1018</v>
      </c>
      <c r="G311" t="s">
        <v>112</v>
      </c>
      <c r="J311" t="s">
        <v>113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R311" t="s">
        <v>114</v>
      </c>
      <c r="S311" t="str">
        <f>"18:39:38.891"</f>
        <v>18:39:38.891</v>
      </c>
      <c r="T311" t="str">
        <f>"18:39:38.789"</f>
        <v>18:39:38.789</v>
      </c>
      <c r="U311" t="str">
        <f t="shared" si="13"/>
        <v>a1cdbe</v>
      </c>
      <c r="V311">
        <v>0</v>
      </c>
      <c r="W311">
        <v>0</v>
      </c>
      <c r="X311">
        <v>1</v>
      </c>
      <c r="Y311">
        <v>0</v>
      </c>
      <c r="Z311">
        <v>0</v>
      </c>
      <c r="AB311">
        <v>0</v>
      </c>
      <c r="AC311">
        <v>9</v>
      </c>
      <c r="AD311">
        <v>3</v>
      </c>
      <c r="AE311">
        <v>0</v>
      </c>
      <c r="AF311">
        <v>9</v>
      </c>
      <c r="AG311" t="s">
        <v>158</v>
      </c>
      <c r="AH311">
        <v>0</v>
      </c>
      <c r="AI311">
        <v>3</v>
      </c>
      <c r="AJ311">
        <v>1</v>
      </c>
      <c r="AK311">
        <v>0</v>
      </c>
      <c r="AL311" t="s">
        <v>691</v>
      </c>
      <c r="AM311">
        <v>47.023094</v>
      </c>
      <c r="AN311" t="s">
        <v>692</v>
      </c>
      <c r="AO311">
        <v>-122.29431200000001</v>
      </c>
      <c r="AP311">
        <v>100</v>
      </c>
      <c r="AQ311">
        <v>2000</v>
      </c>
      <c r="AR311" t="s">
        <v>118</v>
      </c>
      <c r="AS311">
        <v>-22</v>
      </c>
      <c r="AT311">
        <v>-78</v>
      </c>
      <c r="AU311">
        <v>320</v>
      </c>
      <c r="BC311">
        <v>1200</v>
      </c>
      <c r="BD311">
        <v>1</v>
      </c>
      <c r="BE311" t="str">
        <f t="shared" si="14"/>
        <v xml:space="preserve">N215T   </v>
      </c>
      <c r="BF311">
        <v>1</v>
      </c>
      <c r="BH311">
        <v>0</v>
      </c>
      <c r="BI311">
        <v>0</v>
      </c>
      <c r="BJ311">
        <v>0</v>
      </c>
      <c r="BK311">
        <v>2350</v>
      </c>
      <c r="BL311">
        <v>350</v>
      </c>
      <c r="BM311" t="s">
        <v>119</v>
      </c>
      <c r="BN311">
        <v>1</v>
      </c>
      <c r="BO311">
        <v>1</v>
      </c>
      <c r="BP311">
        <v>1</v>
      </c>
      <c r="BQ311">
        <v>0</v>
      </c>
      <c r="BT311">
        <v>0</v>
      </c>
      <c r="BU311">
        <v>0</v>
      </c>
      <c r="BV311">
        <v>0</v>
      </c>
      <c r="CC311" t="str">
        <f>"18:39:38.891"</f>
        <v>18:39:38.891</v>
      </c>
      <c r="CD311" t="str">
        <f>"894446812"</f>
        <v>894446812</v>
      </c>
      <c r="CQ311">
        <v>0</v>
      </c>
      <c r="CR311">
        <v>2</v>
      </c>
      <c r="CS311">
        <v>0</v>
      </c>
      <c r="CT311">
        <v>2</v>
      </c>
      <c r="CU311">
        <v>0</v>
      </c>
      <c r="CV311">
        <v>4</v>
      </c>
      <c r="CW311" t="s">
        <v>120</v>
      </c>
      <c r="CX311">
        <v>257</v>
      </c>
      <c r="CY311">
        <v>1</v>
      </c>
      <c r="CZ311" t="s">
        <v>615</v>
      </c>
      <c r="DA311" t="s">
        <v>616</v>
      </c>
      <c r="DD311">
        <v>10661128</v>
      </c>
      <c r="DE311" t="s">
        <v>123</v>
      </c>
    </row>
    <row r="312" spans="1:109" x14ac:dyDescent="0.3">
      <c r="A312" t="str">
        <f>"18:39:40.063"</f>
        <v>18:39:40.063</v>
      </c>
      <c r="B312" t="s">
        <v>110</v>
      </c>
      <c r="C312" t="str">
        <f t="shared" si="12"/>
        <v>ffdfd3c0</v>
      </c>
      <c r="D312" t="s">
        <v>111</v>
      </c>
      <c r="E312">
        <v>18</v>
      </c>
      <c r="F312">
        <v>1018</v>
      </c>
      <c r="G312" t="s">
        <v>112</v>
      </c>
      <c r="J312" t="s">
        <v>113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R312" t="s">
        <v>114</v>
      </c>
      <c r="S312" t="str">
        <f>"18:39:39.789"</f>
        <v>18:39:39.789</v>
      </c>
      <c r="T312" t="str">
        <f>"18:39:39.289"</f>
        <v>18:39:39.289</v>
      </c>
      <c r="U312" t="str">
        <f t="shared" si="13"/>
        <v>a1cdbe</v>
      </c>
      <c r="V312">
        <v>0</v>
      </c>
      <c r="W312">
        <v>0</v>
      </c>
      <c r="X312">
        <v>1</v>
      </c>
      <c r="Y312">
        <v>0</v>
      </c>
      <c r="Z312">
        <v>0</v>
      </c>
      <c r="AB312">
        <v>0</v>
      </c>
      <c r="AC312">
        <v>9</v>
      </c>
      <c r="AD312">
        <v>3</v>
      </c>
      <c r="AE312">
        <v>0</v>
      </c>
      <c r="AF312">
        <v>9</v>
      </c>
      <c r="AG312" t="s">
        <v>158</v>
      </c>
      <c r="AH312">
        <v>0</v>
      </c>
      <c r="AI312">
        <v>3</v>
      </c>
      <c r="AJ312">
        <v>1</v>
      </c>
      <c r="AK312">
        <v>0</v>
      </c>
      <c r="AL312" t="s">
        <v>693</v>
      </c>
      <c r="AM312">
        <v>47.022750000000002</v>
      </c>
      <c r="AN312" t="s">
        <v>694</v>
      </c>
      <c r="AO312">
        <v>-122.294526</v>
      </c>
      <c r="AP312">
        <v>100</v>
      </c>
      <c r="AQ312">
        <v>2000</v>
      </c>
      <c r="AR312" t="s">
        <v>118</v>
      </c>
      <c r="AS312">
        <v>-23</v>
      </c>
      <c r="AT312">
        <v>-78</v>
      </c>
      <c r="AU312">
        <v>384</v>
      </c>
      <c r="BC312">
        <v>1200</v>
      </c>
      <c r="BD312">
        <v>1</v>
      </c>
      <c r="BE312" t="str">
        <f t="shared" si="14"/>
        <v xml:space="preserve">N215T   </v>
      </c>
      <c r="BF312">
        <v>1</v>
      </c>
      <c r="BH312">
        <v>0</v>
      </c>
      <c r="BI312">
        <v>0</v>
      </c>
      <c r="BJ312">
        <v>0</v>
      </c>
      <c r="BK312">
        <v>2350</v>
      </c>
      <c r="BL312">
        <v>350</v>
      </c>
      <c r="BM312" t="s">
        <v>119</v>
      </c>
      <c r="BN312">
        <v>1</v>
      </c>
      <c r="BO312">
        <v>1</v>
      </c>
      <c r="BP312">
        <v>1</v>
      </c>
      <c r="BQ312">
        <v>0</v>
      </c>
      <c r="BT312">
        <v>0</v>
      </c>
      <c r="BU312">
        <v>0</v>
      </c>
      <c r="BV312">
        <v>0</v>
      </c>
      <c r="CC312" t="str">
        <f>"18:39:39.797"</f>
        <v>18:39:39.797</v>
      </c>
      <c r="CD312" t="str">
        <f>"794358118"</f>
        <v>794358118</v>
      </c>
      <c r="CQ312">
        <v>0</v>
      </c>
      <c r="CR312">
        <v>2</v>
      </c>
      <c r="CS312">
        <v>0</v>
      </c>
      <c r="CT312">
        <v>2</v>
      </c>
      <c r="CU312">
        <v>0</v>
      </c>
      <c r="CV312">
        <v>4</v>
      </c>
      <c r="CW312" t="s">
        <v>120</v>
      </c>
      <c r="CX312">
        <v>257</v>
      </c>
      <c r="CY312">
        <v>1</v>
      </c>
      <c r="CZ312" t="s">
        <v>615</v>
      </c>
      <c r="DA312" t="s">
        <v>616</v>
      </c>
      <c r="DD312">
        <v>10661711</v>
      </c>
      <c r="DE312" t="s">
        <v>123</v>
      </c>
    </row>
    <row r="313" spans="1:109" x14ac:dyDescent="0.3">
      <c r="A313" t="str">
        <f>"18:39:41.016"</f>
        <v>18:39:41.016</v>
      </c>
      <c r="B313" t="s">
        <v>110</v>
      </c>
      <c r="C313" t="str">
        <f t="shared" si="12"/>
        <v>ffdfd3c0</v>
      </c>
      <c r="D313" t="s">
        <v>111</v>
      </c>
      <c r="E313">
        <v>18</v>
      </c>
      <c r="F313">
        <v>1018</v>
      </c>
      <c r="G313" t="s">
        <v>112</v>
      </c>
      <c r="J313" t="s">
        <v>113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R313" t="s">
        <v>114</v>
      </c>
      <c r="S313" t="str">
        <f>"18:39:40.766"</f>
        <v>18:39:40.766</v>
      </c>
      <c r="T313" t="str">
        <f>"18:39:40.367"</f>
        <v>18:39:40.367</v>
      </c>
      <c r="U313" t="str">
        <f t="shared" si="13"/>
        <v>a1cdbe</v>
      </c>
      <c r="V313">
        <v>0</v>
      </c>
      <c r="W313">
        <v>0</v>
      </c>
      <c r="X313">
        <v>1</v>
      </c>
      <c r="Y313">
        <v>0</v>
      </c>
      <c r="Z313">
        <v>0</v>
      </c>
      <c r="AB313">
        <v>0</v>
      </c>
      <c r="AC313">
        <v>9</v>
      </c>
      <c r="AD313">
        <v>3</v>
      </c>
      <c r="AE313">
        <v>0</v>
      </c>
      <c r="AF313">
        <v>9</v>
      </c>
      <c r="AG313" t="s">
        <v>158</v>
      </c>
      <c r="AH313">
        <v>0</v>
      </c>
      <c r="AI313">
        <v>3</v>
      </c>
      <c r="AJ313">
        <v>1</v>
      </c>
      <c r="AK313">
        <v>0</v>
      </c>
      <c r="AL313" t="s">
        <v>695</v>
      </c>
      <c r="AM313">
        <v>47.022407000000001</v>
      </c>
      <c r="AN313" t="s">
        <v>696</v>
      </c>
      <c r="AO313">
        <v>-122.29465500000001</v>
      </c>
      <c r="AP313">
        <v>100</v>
      </c>
      <c r="AQ313">
        <v>2000</v>
      </c>
      <c r="AR313" t="s">
        <v>118</v>
      </c>
      <c r="AS313">
        <v>-23</v>
      </c>
      <c r="AT313">
        <v>-77</v>
      </c>
      <c r="AU313">
        <v>320</v>
      </c>
      <c r="BC313">
        <v>1200</v>
      </c>
      <c r="BD313">
        <v>1</v>
      </c>
      <c r="BE313" t="str">
        <f t="shared" si="14"/>
        <v xml:space="preserve">N215T   </v>
      </c>
      <c r="BF313">
        <v>1</v>
      </c>
      <c r="BH313">
        <v>0</v>
      </c>
      <c r="BI313">
        <v>0</v>
      </c>
      <c r="BJ313">
        <v>0</v>
      </c>
      <c r="BK313">
        <v>2375</v>
      </c>
      <c r="BL313">
        <v>375</v>
      </c>
      <c r="BM313" t="s">
        <v>119</v>
      </c>
      <c r="BN313">
        <v>1</v>
      </c>
      <c r="BO313">
        <v>1</v>
      </c>
      <c r="BP313">
        <v>1</v>
      </c>
      <c r="BQ313">
        <v>0</v>
      </c>
      <c r="BT313">
        <v>0</v>
      </c>
      <c r="BU313">
        <v>0</v>
      </c>
      <c r="BV313">
        <v>0</v>
      </c>
      <c r="CC313" t="str">
        <f>"18:39:40.766"</f>
        <v>18:39:40.766</v>
      </c>
      <c r="CD313" t="str">
        <f>"769262024"</f>
        <v>769262024</v>
      </c>
      <c r="CQ313">
        <v>0</v>
      </c>
      <c r="CR313">
        <v>2</v>
      </c>
      <c r="CS313">
        <v>0</v>
      </c>
      <c r="CT313">
        <v>2</v>
      </c>
      <c r="CU313">
        <v>0</v>
      </c>
      <c r="CV313">
        <v>3</v>
      </c>
      <c r="CW313" t="s">
        <v>120</v>
      </c>
      <c r="CX313">
        <v>257</v>
      </c>
      <c r="CY313">
        <v>1</v>
      </c>
      <c r="CZ313" t="s">
        <v>615</v>
      </c>
      <c r="DA313" t="s">
        <v>616</v>
      </c>
      <c r="DD313">
        <v>10662290</v>
      </c>
      <c r="DE313" t="s">
        <v>123</v>
      </c>
    </row>
    <row r="314" spans="1:109" x14ac:dyDescent="0.3">
      <c r="A314" t="str">
        <f>"18:39:41.922"</f>
        <v>18:39:41.922</v>
      </c>
      <c r="B314" t="s">
        <v>110</v>
      </c>
      <c r="C314" t="str">
        <f t="shared" si="12"/>
        <v>ffdfd3c0</v>
      </c>
      <c r="D314" t="s">
        <v>111</v>
      </c>
      <c r="E314">
        <v>18</v>
      </c>
      <c r="F314">
        <v>1018</v>
      </c>
      <c r="G314" t="s">
        <v>112</v>
      </c>
      <c r="J314" t="s">
        <v>113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R314" t="s">
        <v>114</v>
      </c>
      <c r="S314" t="str">
        <f>"18:39:41.695"</f>
        <v>18:39:41.695</v>
      </c>
      <c r="T314" t="str">
        <f>"18:39:41.695"</f>
        <v>18:39:41.695</v>
      </c>
      <c r="U314" t="str">
        <f t="shared" si="13"/>
        <v>a1cdbe</v>
      </c>
      <c r="V314">
        <v>0</v>
      </c>
      <c r="W314">
        <v>0</v>
      </c>
      <c r="X314">
        <v>1</v>
      </c>
      <c r="Y314">
        <v>0</v>
      </c>
      <c r="Z314">
        <v>0</v>
      </c>
      <c r="AB314">
        <v>0</v>
      </c>
      <c r="AC314">
        <v>9</v>
      </c>
      <c r="AD314">
        <v>3</v>
      </c>
      <c r="AE314">
        <v>0</v>
      </c>
      <c r="AF314">
        <v>9</v>
      </c>
      <c r="AG314" t="s">
        <v>158</v>
      </c>
      <c r="AH314">
        <v>0</v>
      </c>
      <c r="AI314">
        <v>3</v>
      </c>
      <c r="AJ314">
        <v>1</v>
      </c>
      <c r="AK314">
        <v>0</v>
      </c>
      <c r="AL314" t="s">
        <v>697</v>
      </c>
      <c r="AM314">
        <v>47.022084999999997</v>
      </c>
      <c r="AN314" t="s">
        <v>698</v>
      </c>
      <c r="AO314">
        <v>-122.29478400000001</v>
      </c>
      <c r="AP314">
        <v>100</v>
      </c>
      <c r="AQ314">
        <v>2000</v>
      </c>
      <c r="AR314" t="s">
        <v>118</v>
      </c>
      <c r="AS314">
        <v>-23</v>
      </c>
      <c r="AT314">
        <v>-77</v>
      </c>
      <c r="AU314">
        <v>256</v>
      </c>
      <c r="BC314">
        <v>1200</v>
      </c>
      <c r="BD314">
        <v>1</v>
      </c>
      <c r="BE314" t="str">
        <f t="shared" si="14"/>
        <v xml:space="preserve">N215T   </v>
      </c>
      <c r="BF314">
        <v>1</v>
      </c>
      <c r="BH314">
        <v>0</v>
      </c>
      <c r="BI314">
        <v>0</v>
      </c>
      <c r="BJ314">
        <v>0</v>
      </c>
      <c r="BK314">
        <v>2375</v>
      </c>
      <c r="BL314">
        <v>375</v>
      </c>
      <c r="BM314" t="s">
        <v>119</v>
      </c>
      <c r="BN314">
        <v>1</v>
      </c>
      <c r="BO314">
        <v>1</v>
      </c>
      <c r="BP314">
        <v>1</v>
      </c>
      <c r="BQ314">
        <v>0</v>
      </c>
      <c r="BT314">
        <v>0</v>
      </c>
      <c r="BU314">
        <v>0</v>
      </c>
      <c r="BV314">
        <v>0</v>
      </c>
      <c r="CC314" t="str">
        <f>"18:39:41.695"</f>
        <v>18:39:41.695</v>
      </c>
      <c r="CD314" t="str">
        <f>"699052046"</f>
        <v>699052046</v>
      </c>
      <c r="CQ314">
        <v>0</v>
      </c>
      <c r="CR314">
        <v>2</v>
      </c>
      <c r="CS314">
        <v>0</v>
      </c>
      <c r="CT314">
        <v>2</v>
      </c>
      <c r="CU314">
        <v>0</v>
      </c>
      <c r="CV314">
        <v>3</v>
      </c>
      <c r="CW314" t="s">
        <v>120</v>
      </c>
      <c r="CX314">
        <v>259</v>
      </c>
      <c r="CY314">
        <v>1</v>
      </c>
      <c r="CZ314" t="s">
        <v>197</v>
      </c>
      <c r="DA314" t="s">
        <v>198</v>
      </c>
      <c r="DD314">
        <v>14834103</v>
      </c>
      <c r="DE314" t="s">
        <v>123</v>
      </c>
    </row>
    <row r="315" spans="1:109" x14ac:dyDescent="0.3">
      <c r="A315" t="str">
        <f>"18:39:42.828"</f>
        <v>18:39:42.828</v>
      </c>
      <c r="B315" t="s">
        <v>110</v>
      </c>
      <c r="C315" t="str">
        <f t="shared" si="12"/>
        <v>ffdfd3c0</v>
      </c>
      <c r="D315" t="s">
        <v>111</v>
      </c>
      <c r="E315">
        <v>18</v>
      </c>
      <c r="F315">
        <v>1018</v>
      </c>
      <c r="G315" t="s">
        <v>112</v>
      </c>
      <c r="J315" t="s">
        <v>113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R315" t="s">
        <v>114</v>
      </c>
      <c r="S315" t="str">
        <f>"18:39:42.625"</f>
        <v>18:39:42.625</v>
      </c>
      <c r="T315" t="str">
        <f>"18:39:42.328"</f>
        <v>18:39:42.328</v>
      </c>
      <c r="U315" t="str">
        <f t="shared" si="13"/>
        <v>a1cdbe</v>
      </c>
      <c r="V315">
        <v>0</v>
      </c>
      <c r="W315">
        <v>0</v>
      </c>
      <c r="X315">
        <v>1</v>
      </c>
      <c r="Y315">
        <v>0</v>
      </c>
      <c r="Z315">
        <v>0</v>
      </c>
      <c r="AB315">
        <v>0</v>
      </c>
      <c r="AC315">
        <v>9</v>
      </c>
      <c r="AD315">
        <v>3</v>
      </c>
      <c r="AE315">
        <v>0</v>
      </c>
      <c r="AF315">
        <v>9</v>
      </c>
      <c r="AG315" t="s">
        <v>158</v>
      </c>
      <c r="AH315">
        <v>0</v>
      </c>
      <c r="AI315">
        <v>3</v>
      </c>
      <c r="AJ315">
        <v>1</v>
      </c>
      <c r="AK315">
        <v>0</v>
      </c>
      <c r="AL315" t="s">
        <v>699</v>
      </c>
      <c r="AM315">
        <v>47.021720000000002</v>
      </c>
      <c r="AN315" t="s">
        <v>700</v>
      </c>
      <c r="AO315">
        <v>-122.294955</v>
      </c>
      <c r="AP315">
        <v>100</v>
      </c>
      <c r="AQ315">
        <v>2000</v>
      </c>
      <c r="AR315" t="s">
        <v>118</v>
      </c>
      <c r="AS315">
        <v>-23</v>
      </c>
      <c r="AT315">
        <v>-77</v>
      </c>
      <c r="AU315">
        <v>320</v>
      </c>
      <c r="BC315">
        <v>1200</v>
      </c>
      <c r="BD315">
        <v>1</v>
      </c>
      <c r="BE315" t="str">
        <f t="shared" si="14"/>
        <v xml:space="preserve">N215T   </v>
      </c>
      <c r="BF315">
        <v>1</v>
      </c>
      <c r="BH315">
        <v>0</v>
      </c>
      <c r="BI315">
        <v>0</v>
      </c>
      <c r="BJ315">
        <v>0</v>
      </c>
      <c r="BK315">
        <v>2375</v>
      </c>
      <c r="BL315">
        <v>375</v>
      </c>
      <c r="BM315" t="s">
        <v>119</v>
      </c>
      <c r="BN315">
        <v>1</v>
      </c>
      <c r="BO315">
        <v>1</v>
      </c>
      <c r="BP315">
        <v>1</v>
      </c>
      <c r="BQ315">
        <v>0</v>
      </c>
      <c r="BT315">
        <v>0</v>
      </c>
      <c r="BU315">
        <v>0</v>
      </c>
      <c r="BV315">
        <v>0</v>
      </c>
      <c r="CC315" t="str">
        <f>"18:39:42.633"</f>
        <v>18:39:42.633</v>
      </c>
      <c r="CD315" t="str">
        <f>"628960621"</f>
        <v>628960621</v>
      </c>
      <c r="CQ315">
        <v>0</v>
      </c>
      <c r="CR315">
        <v>2</v>
      </c>
      <c r="CS315">
        <v>0</v>
      </c>
      <c r="CT315">
        <v>2</v>
      </c>
      <c r="CU315">
        <v>0</v>
      </c>
      <c r="CV315">
        <v>4</v>
      </c>
      <c r="CW315" t="s">
        <v>120</v>
      </c>
      <c r="CX315">
        <v>259</v>
      </c>
      <c r="CY315">
        <v>1</v>
      </c>
      <c r="CZ315" t="s">
        <v>197</v>
      </c>
      <c r="DA315" t="s">
        <v>198</v>
      </c>
      <c r="DD315">
        <v>14834776</v>
      </c>
      <c r="DE315" t="s">
        <v>123</v>
      </c>
    </row>
    <row r="316" spans="1:109" x14ac:dyDescent="0.3">
      <c r="A316" t="str">
        <f>"18:39:43.883"</f>
        <v>18:39:43.883</v>
      </c>
      <c r="B316" t="s">
        <v>110</v>
      </c>
      <c r="C316" t="str">
        <f t="shared" si="12"/>
        <v>ffdfd3c0</v>
      </c>
      <c r="D316" t="s">
        <v>111</v>
      </c>
      <c r="E316">
        <v>18</v>
      </c>
      <c r="F316">
        <v>1018</v>
      </c>
      <c r="G316" t="s">
        <v>112</v>
      </c>
      <c r="J316" t="s">
        <v>113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R316" t="s">
        <v>114</v>
      </c>
      <c r="S316" t="str">
        <f>"18:39:43.648"</f>
        <v>18:39:43.648</v>
      </c>
      <c r="T316" t="str">
        <f>"18:39:42.750"</f>
        <v>18:39:42.750</v>
      </c>
      <c r="U316" t="str">
        <f t="shared" si="13"/>
        <v>a1cdbe</v>
      </c>
      <c r="V316">
        <v>0</v>
      </c>
      <c r="W316">
        <v>0</v>
      </c>
      <c r="X316">
        <v>1</v>
      </c>
      <c r="Y316">
        <v>0</v>
      </c>
      <c r="Z316">
        <v>0</v>
      </c>
      <c r="AB316">
        <v>0</v>
      </c>
      <c r="AC316">
        <v>9</v>
      </c>
      <c r="AD316">
        <v>3</v>
      </c>
      <c r="AE316">
        <v>0</v>
      </c>
      <c r="AF316">
        <v>9</v>
      </c>
      <c r="AG316" t="s">
        <v>158</v>
      </c>
      <c r="AH316">
        <v>0</v>
      </c>
      <c r="AI316">
        <v>3</v>
      </c>
      <c r="AJ316">
        <v>1</v>
      </c>
      <c r="AK316">
        <v>0</v>
      </c>
      <c r="AL316" t="s">
        <v>701</v>
      </c>
      <c r="AM316">
        <v>47.021399000000002</v>
      </c>
      <c r="AN316" t="s">
        <v>702</v>
      </c>
      <c r="AO316">
        <v>-122.29512699999999</v>
      </c>
      <c r="AP316">
        <v>100</v>
      </c>
      <c r="AQ316">
        <v>2000</v>
      </c>
      <c r="AR316" t="s">
        <v>118</v>
      </c>
      <c r="AS316">
        <v>-23</v>
      </c>
      <c r="AT316">
        <v>-77</v>
      </c>
      <c r="AU316">
        <v>192</v>
      </c>
      <c r="BC316">
        <v>1200</v>
      </c>
      <c r="BD316">
        <v>1</v>
      </c>
      <c r="BE316" t="str">
        <f t="shared" si="14"/>
        <v xml:space="preserve">N215T   </v>
      </c>
      <c r="BF316">
        <v>1</v>
      </c>
      <c r="BH316">
        <v>0</v>
      </c>
      <c r="BI316">
        <v>0</v>
      </c>
      <c r="BJ316">
        <v>0</v>
      </c>
      <c r="BK316">
        <v>2375</v>
      </c>
      <c r="BL316">
        <v>375</v>
      </c>
      <c r="BM316" t="s">
        <v>119</v>
      </c>
      <c r="BN316">
        <v>1</v>
      </c>
      <c r="BO316">
        <v>1</v>
      </c>
      <c r="BP316">
        <v>1</v>
      </c>
      <c r="BQ316">
        <v>0</v>
      </c>
      <c r="BT316">
        <v>0</v>
      </c>
      <c r="BU316">
        <v>0</v>
      </c>
      <c r="BV316">
        <v>0</v>
      </c>
      <c r="CC316" t="str">
        <f>"18:39:43.648"</f>
        <v>18:39:43.648</v>
      </c>
      <c r="CD316" t="str">
        <f>"648746421"</f>
        <v>648746421</v>
      </c>
      <c r="CQ316">
        <v>0</v>
      </c>
      <c r="CR316">
        <v>2</v>
      </c>
      <c r="CS316">
        <v>0</v>
      </c>
      <c r="CT316">
        <v>2</v>
      </c>
      <c r="CU316">
        <v>0</v>
      </c>
      <c r="CV316">
        <v>3</v>
      </c>
      <c r="CW316" t="s">
        <v>120</v>
      </c>
      <c r="CX316">
        <v>261</v>
      </c>
      <c r="CY316">
        <v>2</v>
      </c>
      <c r="CZ316" t="s">
        <v>121</v>
      </c>
      <c r="DA316" t="s">
        <v>122</v>
      </c>
      <c r="DD316">
        <v>14414693</v>
      </c>
      <c r="DE316" t="s">
        <v>123</v>
      </c>
    </row>
    <row r="317" spans="1:109" x14ac:dyDescent="0.3">
      <c r="A317" t="str">
        <f>"18:39:44.836"</f>
        <v>18:39:44.836</v>
      </c>
      <c r="B317" t="s">
        <v>110</v>
      </c>
      <c r="C317" t="str">
        <f t="shared" si="12"/>
        <v>ffdfd3c0</v>
      </c>
      <c r="D317" t="s">
        <v>111</v>
      </c>
      <c r="E317">
        <v>18</v>
      </c>
      <c r="F317">
        <v>1018</v>
      </c>
      <c r="G317" t="s">
        <v>112</v>
      </c>
      <c r="J317" t="s">
        <v>113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R317" t="s">
        <v>114</v>
      </c>
      <c r="S317" t="str">
        <f>"18:39:44.617"</f>
        <v>18:39:44.617</v>
      </c>
      <c r="T317" t="str">
        <f>"18:39:44.320"</f>
        <v>18:39:44.320</v>
      </c>
      <c r="U317" t="str">
        <f t="shared" si="13"/>
        <v>a1cdbe</v>
      </c>
      <c r="V317">
        <v>0</v>
      </c>
      <c r="W317">
        <v>0</v>
      </c>
      <c r="X317">
        <v>1</v>
      </c>
      <c r="Y317">
        <v>0</v>
      </c>
      <c r="Z317">
        <v>0</v>
      </c>
      <c r="AB317">
        <v>0</v>
      </c>
      <c r="AC317">
        <v>9</v>
      </c>
      <c r="AD317">
        <v>3</v>
      </c>
      <c r="AE317">
        <v>0</v>
      </c>
      <c r="AF317">
        <v>9</v>
      </c>
      <c r="AG317" t="s">
        <v>158</v>
      </c>
      <c r="AH317">
        <v>0</v>
      </c>
      <c r="AI317">
        <v>3</v>
      </c>
      <c r="AJ317">
        <v>1</v>
      </c>
      <c r="AK317">
        <v>0</v>
      </c>
      <c r="AL317" t="s">
        <v>703</v>
      </c>
      <c r="AM317">
        <v>47.021011999999999</v>
      </c>
      <c r="AN317" t="s">
        <v>704</v>
      </c>
      <c r="AO317">
        <v>-122.29523399999999</v>
      </c>
      <c r="AP317">
        <v>100</v>
      </c>
      <c r="AQ317">
        <v>2000</v>
      </c>
      <c r="AR317" t="s">
        <v>118</v>
      </c>
      <c r="AS317">
        <v>-24</v>
      </c>
      <c r="AT317">
        <v>-76</v>
      </c>
      <c r="AU317">
        <v>64</v>
      </c>
      <c r="BC317">
        <v>1200</v>
      </c>
      <c r="BD317">
        <v>1</v>
      </c>
      <c r="BE317" t="str">
        <f t="shared" si="14"/>
        <v xml:space="preserve">N215T   </v>
      </c>
      <c r="BF317">
        <v>1</v>
      </c>
      <c r="BH317">
        <v>0</v>
      </c>
      <c r="BI317">
        <v>0</v>
      </c>
      <c r="BJ317">
        <v>0</v>
      </c>
      <c r="BK317">
        <v>2375</v>
      </c>
      <c r="BL317">
        <v>375</v>
      </c>
      <c r="BM317" t="s">
        <v>119</v>
      </c>
      <c r="BN317">
        <v>1</v>
      </c>
      <c r="BO317">
        <v>1</v>
      </c>
      <c r="BP317">
        <v>1</v>
      </c>
      <c r="BQ317">
        <v>0</v>
      </c>
      <c r="BT317">
        <v>0</v>
      </c>
      <c r="BU317">
        <v>0</v>
      </c>
      <c r="BV317">
        <v>0</v>
      </c>
      <c r="CC317" t="str">
        <f>"18:39:44.625"</f>
        <v>18:39:44.625</v>
      </c>
      <c r="CD317" t="str">
        <f>"623764496"</f>
        <v>623764496</v>
      </c>
      <c r="CQ317">
        <v>0</v>
      </c>
      <c r="CR317">
        <v>2</v>
      </c>
      <c r="CS317">
        <v>0</v>
      </c>
      <c r="CT317">
        <v>2</v>
      </c>
      <c r="CU317">
        <v>0</v>
      </c>
      <c r="CV317">
        <v>3</v>
      </c>
      <c r="CW317" t="s">
        <v>120</v>
      </c>
      <c r="CX317">
        <v>259</v>
      </c>
      <c r="CY317">
        <v>1</v>
      </c>
      <c r="CZ317" t="s">
        <v>197</v>
      </c>
      <c r="DA317" t="s">
        <v>198</v>
      </c>
      <c r="DD317">
        <v>14836209</v>
      </c>
      <c r="DE317" t="s">
        <v>123</v>
      </c>
    </row>
    <row r="318" spans="1:109" x14ac:dyDescent="0.3">
      <c r="A318" t="str">
        <f>"18:39:45.945"</f>
        <v>18:39:45.945</v>
      </c>
      <c r="B318" t="s">
        <v>110</v>
      </c>
      <c r="C318" t="str">
        <f t="shared" si="12"/>
        <v>ffdfd3c0</v>
      </c>
      <c r="D318" t="s">
        <v>111</v>
      </c>
      <c r="E318">
        <v>18</v>
      </c>
      <c r="F318">
        <v>1018</v>
      </c>
      <c r="G318" t="s">
        <v>112</v>
      </c>
      <c r="J318" t="s">
        <v>113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R318" t="s">
        <v>114</v>
      </c>
      <c r="S318" t="str">
        <f>"18:39:45.727"</f>
        <v>18:39:45.727</v>
      </c>
      <c r="T318" t="str">
        <f>"18:39:45.227"</f>
        <v>18:39:45.227</v>
      </c>
      <c r="U318" t="str">
        <f t="shared" si="13"/>
        <v>a1cdbe</v>
      </c>
      <c r="V318">
        <v>0</v>
      </c>
      <c r="W318">
        <v>0</v>
      </c>
      <c r="X318">
        <v>1</v>
      </c>
      <c r="Y318">
        <v>0</v>
      </c>
      <c r="Z318">
        <v>0</v>
      </c>
      <c r="AB318">
        <v>0</v>
      </c>
      <c r="AC318">
        <v>9</v>
      </c>
      <c r="AD318">
        <v>3</v>
      </c>
      <c r="AE318">
        <v>0</v>
      </c>
      <c r="AF318">
        <v>9</v>
      </c>
      <c r="AG318" t="s">
        <v>158</v>
      </c>
      <c r="AH318">
        <v>0</v>
      </c>
      <c r="AI318">
        <v>3</v>
      </c>
      <c r="AJ318">
        <v>1</v>
      </c>
      <c r="AK318">
        <v>0</v>
      </c>
      <c r="AL318" t="s">
        <v>705</v>
      </c>
      <c r="AM318">
        <v>47.020668999999998</v>
      </c>
      <c r="AN318" t="s">
        <v>706</v>
      </c>
      <c r="AO318">
        <v>-122.295406</v>
      </c>
      <c r="AP318">
        <v>100</v>
      </c>
      <c r="AQ318">
        <v>2000</v>
      </c>
      <c r="AR318" t="s">
        <v>118</v>
      </c>
      <c r="AS318">
        <v>-24</v>
      </c>
      <c r="AT318">
        <v>-75</v>
      </c>
      <c r="AU318">
        <v>0</v>
      </c>
      <c r="BC318">
        <v>1200</v>
      </c>
      <c r="BD318">
        <v>1</v>
      </c>
      <c r="BE318" t="str">
        <f t="shared" si="14"/>
        <v xml:space="preserve">N215T   </v>
      </c>
      <c r="BF318">
        <v>1</v>
      </c>
      <c r="BH318">
        <v>0</v>
      </c>
      <c r="BI318">
        <v>0</v>
      </c>
      <c r="BJ318">
        <v>0</v>
      </c>
      <c r="BK318">
        <v>2375</v>
      </c>
      <c r="BL318">
        <v>375</v>
      </c>
      <c r="BM318" t="s">
        <v>119</v>
      </c>
      <c r="BN318">
        <v>1</v>
      </c>
      <c r="BO318">
        <v>1</v>
      </c>
      <c r="BP318">
        <v>1</v>
      </c>
      <c r="BQ318">
        <v>0</v>
      </c>
      <c r="BT318">
        <v>0</v>
      </c>
      <c r="BU318">
        <v>0</v>
      </c>
      <c r="BV318">
        <v>0</v>
      </c>
      <c r="CC318" t="str">
        <f>"18:39:45.734"</f>
        <v>18:39:45.734</v>
      </c>
      <c r="CD318" t="str">
        <f>"733655386"</f>
        <v>733655386</v>
      </c>
      <c r="CQ318">
        <v>0</v>
      </c>
      <c r="CR318">
        <v>2</v>
      </c>
      <c r="CS318">
        <v>0</v>
      </c>
      <c r="CT318">
        <v>2</v>
      </c>
      <c r="CU318">
        <v>0</v>
      </c>
      <c r="CV318">
        <v>4</v>
      </c>
      <c r="CW318" t="s">
        <v>120</v>
      </c>
      <c r="CX318">
        <v>259</v>
      </c>
      <c r="CY318">
        <v>1</v>
      </c>
      <c r="CZ318" t="s">
        <v>197</v>
      </c>
      <c r="DA318" t="s">
        <v>198</v>
      </c>
      <c r="DD318">
        <v>14836968</v>
      </c>
      <c r="DE318" t="s">
        <v>123</v>
      </c>
    </row>
    <row r="319" spans="1:109" x14ac:dyDescent="0.3">
      <c r="A319" t="str">
        <f>"18:39:47.055"</f>
        <v>18:39:47.055</v>
      </c>
      <c r="B319" t="s">
        <v>110</v>
      </c>
      <c r="C319" t="str">
        <f t="shared" si="12"/>
        <v>ffdfd3c0</v>
      </c>
      <c r="D319" t="s">
        <v>111</v>
      </c>
      <c r="E319">
        <v>18</v>
      </c>
      <c r="F319">
        <v>1018</v>
      </c>
      <c r="G319" t="s">
        <v>112</v>
      </c>
      <c r="J319" t="s">
        <v>113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R319" t="s">
        <v>114</v>
      </c>
      <c r="S319" t="str">
        <f>"18:39:46.828"</f>
        <v>18:39:46.828</v>
      </c>
      <c r="T319" t="str">
        <f>"18:39:46.430"</f>
        <v>18:39:46.430</v>
      </c>
      <c r="U319" t="str">
        <f t="shared" si="13"/>
        <v>a1cdbe</v>
      </c>
      <c r="V319">
        <v>0</v>
      </c>
      <c r="W319">
        <v>0</v>
      </c>
      <c r="X319">
        <v>1</v>
      </c>
      <c r="Y319">
        <v>0</v>
      </c>
      <c r="Z319">
        <v>0</v>
      </c>
      <c r="AB319">
        <v>0</v>
      </c>
      <c r="AC319">
        <v>9</v>
      </c>
      <c r="AD319">
        <v>3</v>
      </c>
      <c r="AE319">
        <v>0</v>
      </c>
      <c r="AF319">
        <v>9</v>
      </c>
      <c r="AG319" t="s">
        <v>158</v>
      </c>
      <c r="AH319">
        <v>0</v>
      </c>
      <c r="AI319">
        <v>3</v>
      </c>
      <c r="AJ319">
        <v>1</v>
      </c>
      <c r="AK319">
        <v>0</v>
      </c>
      <c r="AL319" t="s">
        <v>707</v>
      </c>
      <c r="AM319">
        <v>47.020304000000003</v>
      </c>
      <c r="AN319" t="s">
        <v>708</v>
      </c>
      <c r="AO319">
        <v>-122.29562</v>
      </c>
      <c r="AP319">
        <v>100</v>
      </c>
      <c r="AQ319">
        <v>2000</v>
      </c>
      <c r="AR319" t="s">
        <v>118</v>
      </c>
      <c r="AS319">
        <v>-24</v>
      </c>
      <c r="AT319">
        <v>-75</v>
      </c>
      <c r="AU319">
        <v>192</v>
      </c>
      <c r="BC319">
        <v>1200</v>
      </c>
      <c r="BD319">
        <v>1</v>
      </c>
      <c r="BE319" t="str">
        <f t="shared" si="14"/>
        <v xml:space="preserve">N215T   </v>
      </c>
      <c r="BF319">
        <v>1</v>
      </c>
      <c r="BH319">
        <v>0</v>
      </c>
      <c r="BI319">
        <v>0</v>
      </c>
      <c r="BJ319">
        <v>0</v>
      </c>
      <c r="BK319">
        <v>2375</v>
      </c>
      <c r="BL319">
        <v>375</v>
      </c>
      <c r="BM319" t="s">
        <v>119</v>
      </c>
      <c r="BN319">
        <v>1</v>
      </c>
      <c r="BO319">
        <v>1</v>
      </c>
      <c r="BP319">
        <v>1</v>
      </c>
      <c r="BQ319">
        <v>0</v>
      </c>
      <c r="BT319">
        <v>0</v>
      </c>
      <c r="BU319">
        <v>0</v>
      </c>
      <c r="BV319">
        <v>0</v>
      </c>
      <c r="CC319" t="str">
        <f>"18:39:46.828"</f>
        <v>18:39:46.828</v>
      </c>
      <c r="CD319" t="str">
        <f>"828433665"</f>
        <v>828433665</v>
      </c>
      <c r="CQ319">
        <v>0</v>
      </c>
      <c r="CR319">
        <v>2</v>
      </c>
      <c r="CS319">
        <v>0</v>
      </c>
      <c r="CT319">
        <v>2</v>
      </c>
      <c r="CU319">
        <v>0</v>
      </c>
      <c r="CV319">
        <v>3</v>
      </c>
      <c r="CW319" t="s">
        <v>120</v>
      </c>
      <c r="CX319">
        <v>261</v>
      </c>
      <c r="CY319">
        <v>1</v>
      </c>
      <c r="CZ319" t="s">
        <v>121</v>
      </c>
      <c r="DA319" t="s">
        <v>122</v>
      </c>
      <c r="DD319">
        <v>3285858</v>
      </c>
      <c r="DE319" t="s">
        <v>123</v>
      </c>
    </row>
    <row r="320" spans="1:109" x14ac:dyDescent="0.3">
      <c r="A320" t="str">
        <f>"18:39:48.109"</f>
        <v>18:39:48.109</v>
      </c>
      <c r="B320" t="s">
        <v>110</v>
      </c>
      <c r="C320" t="str">
        <f t="shared" si="12"/>
        <v>ffdfd3c0</v>
      </c>
      <c r="D320" t="s">
        <v>111</v>
      </c>
      <c r="E320">
        <v>18</v>
      </c>
      <c r="F320">
        <v>1018</v>
      </c>
      <c r="G320" t="s">
        <v>112</v>
      </c>
      <c r="J320" t="s">
        <v>113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R320" t="s">
        <v>114</v>
      </c>
      <c r="S320" t="str">
        <f>"18:39:47.906"</f>
        <v>18:39:47.906</v>
      </c>
      <c r="T320" t="str">
        <f>"18:39:47.906"</f>
        <v>18:39:47.906</v>
      </c>
      <c r="U320" t="str">
        <f t="shared" si="13"/>
        <v>a1cdbe</v>
      </c>
      <c r="V320">
        <v>0</v>
      </c>
      <c r="W320">
        <v>0</v>
      </c>
      <c r="X320">
        <v>1</v>
      </c>
      <c r="Y320">
        <v>0</v>
      </c>
      <c r="Z320">
        <v>0</v>
      </c>
      <c r="AB320">
        <v>0</v>
      </c>
      <c r="AC320">
        <v>9</v>
      </c>
      <c r="AD320">
        <v>3</v>
      </c>
      <c r="AE320">
        <v>0</v>
      </c>
      <c r="AF320">
        <v>9</v>
      </c>
      <c r="AG320" t="s">
        <v>158</v>
      </c>
      <c r="AH320">
        <v>0</v>
      </c>
      <c r="AI320">
        <v>3</v>
      </c>
      <c r="AJ320">
        <v>1</v>
      </c>
      <c r="AK320">
        <v>0</v>
      </c>
      <c r="AL320" t="s">
        <v>709</v>
      </c>
      <c r="AM320">
        <v>47.019897</v>
      </c>
      <c r="AN320" t="s">
        <v>710</v>
      </c>
      <c r="AO320">
        <v>-122.29579200000001</v>
      </c>
      <c r="AP320">
        <v>100</v>
      </c>
      <c r="AQ320">
        <v>2000</v>
      </c>
      <c r="AR320" t="s">
        <v>118</v>
      </c>
      <c r="AS320">
        <v>-23</v>
      </c>
      <c r="AT320">
        <v>-76</v>
      </c>
      <c r="AU320">
        <v>192</v>
      </c>
      <c r="BC320">
        <v>1200</v>
      </c>
      <c r="BD320">
        <v>1</v>
      </c>
      <c r="BE320" t="str">
        <f t="shared" si="14"/>
        <v xml:space="preserve">N215T   </v>
      </c>
      <c r="BF320">
        <v>1</v>
      </c>
      <c r="BH320">
        <v>0</v>
      </c>
      <c r="BI320">
        <v>0</v>
      </c>
      <c r="BJ320">
        <v>0</v>
      </c>
      <c r="BK320">
        <v>2375</v>
      </c>
      <c r="BL320">
        <v>375</v>
      </c>
      <c r="BM320" t="s">
        <v>119</v>
      </c>
      <c r="BN320">
        <v>1</v>
      </c>
      <c r="BO320">
        <v>1</v>
      </c>
      <c r="BP320">
        <v>1</v>
      </c>
      <c r="BQ320">
        <v>0</v>
      </c>
      <c r="BT320">
        <v>0</v>
      </c>
      <c r="BU320">
        <v>0</v>
      </c>
      <c r="BV320">
        <v>0</v>
      </c>
      <c r="CC320" t="str">
        <f>"18:39:47.906"</f>
        <v>18:39:47.906</v>
      </c>
      <c r="CD320" t="str">
        <f>"908441560"</f>
        <v>908441560</v>
      </c>
      <c r="CQ320">
        <v>0</v>
      </c>
      <c r="CR320">
        <v>2</v>
      </c>
      <c r="CS320">
        <v>0</v>
      </c>
      <c r="CT320">
        <v>2</v>
      </c>
      <c r="CU320">
        <v>0</v>
      </c>
      <c r="CV320">
        <v>3</v>
      </c>
      <c r="CW320" t="s">
        <v>120</v>
      </c>
      <c r="CX320">
        <v>259</v>
      </c>
      <c r="CY320">
        <v>1</v>
      </c>
      <c r="CZ320" t="s">
        <v>197</v>
      </c>
      <c r="DA320" t="s">
        <v>198</v>
      </c>
      <c r="DD320">
        <v>14838536</v>
      </c>
      <c r="DE320" t="s">
        <v>123</v>
      </c>
    </row>
    <row r="321" spans="1:109" x14ac:dyDescent="0.3">
      <c r="A321" t="str">
        <f>"18:39:49.109"</f>
        <v>18:39:49.109</v>
      </c>
      <c r="B321" t="s">
        <v>110</v>
      </c>
      <c r="C321" t="str">
        <f t="shared" si="12"/>
        <v>ffdfd3c0</v>
      </c>
      <c r="D321" t="s">
        <v>111</v>
      </c>
      <c r="E321">
        <v>18</v>
      </c>
      <c r="F321">
        <v>1018</v>
      </c>
      <c r="G321" t="s">
        <v>112</v>
      </c>
      <c r="J321" t="s">
        <v>113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R321" t="s">
        <v>114</v>
      </c>
      <c r="S321" t="str">
        <f>"18:39:48.891"</f>
        <v>18:39:48.891</v>
      </c>
      <c r="T321" t="str">
        <f>"18:39:48.789"</f>
        <v>18:39:48.789</v>
      </c>
      <c r="U321" t="str">
        <f t="shared" si="13"/>
        <v>a1cdbe</v>
      </c>
      <c r="V321">
        <v>0</v>
      </c>
      <c r="W321">
        <v>0</v>
      </c>
      <c r="X321">
        <v>1</v>
      </c>
      <c r="Y321">
        <v>0</v>
      </c>
      <c r="Z321">
        <v>0</v>
      </c>
      <c r="AB321">
        <v>0</v>
      </c>
      <c r="AC321">
        <v>9</v>
      </c>
      <c r="AD321">
        <v>3</v>
      </c>
      <c r="AE321">
        <v>0</v>
      </c>
      <c r="AF321">
        <v>9</v>
      </c>
      <c r="AG321" t="s">
        <v>158</v>
      </c>
      <c r="AH321">
        <v>0</v>
      </c>
      <c r="AI321">
        <v>3</v>
      </c>
      <c r="AJ321">
        <v>1</v>
      </c>
      <c r="AK321">
        <v>0</v>
      </c>
      <c r="AL321" t="s">
        <v>711</v>
      </c>
      <c r="AM321">
        <v>47.019553000000002</v>
      </c>
      <c r="AN321" t="s">
        <v>712</v>
      </c>
      <c r="AO321">
        <v>-122.295964</v>
      </c>
      <c r="AP321">
        <v>100</v>
      </c>
      <c r="AQ321">
        <v>2000</v>
      </c>
      <c r="AR321" t="s">
        <v>118</v>
      </c>
      <c r="AS321">
        <v>-22</v>
      </c>
      <c r="AT321">
        <v>-76</v>
      </c>
      <c r="AU321">
        <v>192</v>
      </c>
      <c r="BC321">
        <v>1200</v>
      </c>
      <c r="BD321">
        <v>1</v>
      </c>
      <c r="BE321" t="str">
        <f t="shared" si="14"/>
        <v xml:space="preserve">N215T   </v>
      </c>
      <c r="BF321">
        <v>1</v>
      </c>
      <c r="BH321">
        <v>0</v>
      </c>
      <c r="BI321">
        <v>0</v>
      </c>
      <c r="BJ321">
        <v>0</v>
      </c>
      <c r="BK321">
        <v>2400</v>
      </c>
      <c r="BL321">
        <v>400</v>
      </c>
      <c r="BM321" t="s">
        <v>119</v>
      </c>
      <c r="BN321">
        <v>1</v>
      </c>
      <c r="BO321">
        <v>1</v>
      </c>
      <c r="BP321">
        <v>1</v>
      </c>
      <c r="BQ321">
        <v>0</v>
      </c>
      <c r="BT321">
        <v>0</v>
      </c>
      <c r="BU321">
        <v>0</v>
      </c>
      <c r="BV321">
        <v>0</v>
      </c>
      <c r="CC321" t="str">
        <f>"18:39:48.898"</f>
        <v>18:39:48.898</v>
      </c>
      <c r="CD321" t="str">
        <f>"898344229"</f>
        <v>898344229</v>
      </c>
      <c r="CQ321">
        <v>0</v>
      </c>
      <c r="CR321">
        <v>2</v>
      </c>
      <c r="CS321">
        <v>0</v>
      </c>
      <c r="CT321">
        <v>2</v>
      </c>
      <c r="CU321">
        <v>0</v>
      </c>
      <c r="CV321">
        <v>4</v>
      </c>
      <c r="CW321" t="s">
        <v>120</v>
      </c>
      <c r="CX321">
        <v>259</v>
      </c>
      <c r="CY321">
        <v>1</v>
      </c>
      <c r="CZ321" t="s">
        <v>197</v>
      </c>
      <c r="DA321" t="s">
        <v>198</v>
      </c>
      <c r="DD321">
        <v>14839237</v>
      </c>
      <c r="DE321" t="s">
        <v>123</v>
      </c>
    </row>
    <row r="322" spans="1:109" x14ac:dyDescent="0.3">
      <c r="A322" t="str">
        <f>"18:39:50.172"</f>
        <v>18:39:50.172</v>
      </c>
      <c r="B322" t="s">
        <v>110</v>
      </c>
      <c r="C322" t="str">
        <f t="shared" ref="C322:C385" si="15">"ffdfd3c0"</f>
        <v>ffdfd3c0</v>
      </c>
      <c r="D322" t="s">
        <v>111</v>
      </c>
      <c r="E322">
        <v>18</v>
      </c>
      <c r="F322">
        <v>1018</v>
      </c>
      <c r="G322" t="s">
        <v>112</v>
      </c>
      <c r="J322" t="s">
        <v>113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R322" t="s">
        <v>114</v>
      </c>
      <c r="S322" t="str">
        <f>"18:39:49.930"</f>
        <v>18:39:49.930</v>
      </c>
      <c r="T322" t="str">
        <f>"18:39:49.828"</f>
        <v>18:39:49.828</v>
      </c>
      <c r="U322" t="str">
        <f t="shared" ref="U322:U385" si="16">"a1cdbe"</f>
        <v>a1cdbe</v>
      </c>
      <c r="V322">
        <v>0</v>
      </c>
      <c r="W322">
        <v>0</v>
      </c>
      <c r="X322">
        <v>1</v>
      </c>
      <c r="Y322">
        <v>0</v>
      </c>
      <c r="Z322">
        <v>0</v>
      </c>
      <c r="AB322">
        <v>0</v>
      </c>
      <c r="AC322">
        <v>9</v>
      </c>
      <c r="AD322">
        <v>3</v>
      </c>
      <c r="AE322">
        <v>0</v>
      </c>
      <c r="AF322">
        <v>9</v>
      </c>
      <c r="AG322" t="s">
        <v>158</v>
      </c>
      <c r="AH322">
        <v>0</v>
      </c>
      <c r="AI322">
        <v>3</v>
      </c>
      <c r="AJ322">
        <v>1</v>
      </c>
      <c r="AK322">
        <v>0</v>
      </c>
      <c r="AL322" t="s">
        <v>713</v>
      </c>
      <c r="AM322">
        <v>47.019210000000001</v>
      </c>
      <c r="AN322" t="s">
        <v>714</v>
      </c>
      <c r="AO322">
        <v>-122.296071</v>
      </c>
      <c r="AP322">
        <v>100</v>
      </c>
      <c r="AQ322">
        <v>2000</v>
      </c>
      <c r="AR322" t="s">
        <v>118</v>
      </c>
      <c r="AS322">
        <v>-20</v>
      </c>
      <c r="AT322">
        <v>-76</v>
      </c>
      <c r="AU322">
        <v>-64</v>
      </c>
      <c r="BC322">
        <v>1200</v>
      </c>
      <c r="BD322">
        <v>1</v>
      </c>
      <c r="BE322" t="str">
        <f t="shared" ref="BE322:BE385" si="17">"N215T   "</f>
        <v xml:space="preserve">N215T   </v>
      </c>
      <c r="BF322">
        <v>1</v>
      </c>
      <c r="BH322">
        <v>0</v>
      </c>
      <c r="BI322">
        <v>0</v>
      </c>
      <c r="BJ322">
        <v>0</v>
      </c>
      <c r="BK322">
        <v>2400</v>
      </c>
      <c r="BL322">
        <v>400</v>
      </c>
      <c r="BM322" t="s">
        <v>119</v>
      </c>
      <c r="BN322">
        <v>1</v>
      </c>
      <c r="BO322">
        <v>1</v>
      </c>
      <c r="BP322">
        <v>1</v>
      </c>
      <c r="BQ322">
        <v>0</v>
      </c>
      <c r="BT322">
        <v>0</v>
      </c>
      <c r="BU322">
        <v>0</v>
      </c>
      <c r="BV322">
        <v>0</v>
      </c>
      <c r="CC322" t="str">
        <f>"18:39:49.930"</f>
        <v>18:39:49.930</v>
      </c>
      <c r="CD322" t="str">
        <f>"933358997"</f>
        <v>933358997</v>
      </c>
      <c r="CQ322">
        <v>0</v>
      </c>
      <c r="CR322">
        <v>2</v>
      </c>
      <c r="CS322">
        <v>0</v>
      </c>
      <c r="CT322">
        <v>2</v>
      </c>
      <c r="CU322">
        <v>0</v>
      </c>
      <c r="CV322">
        <v>4</v>
      </c>
      <c r="CW322" t="s">
        <v>120</v>
      </c>
      <c r="CX322">
        <v>257</v>
      </c>
      <c r="CY322">
        <v>1</v>
      </c>
      <c r="CZ322" t="s">
        <v>615</v>
      </c>
      <c r="DA322" t="s">
        <v>616</v>
      </c>
      <c r="DD322">
        <v>10667863</v>
      </c>
      <c r="DE322" t="s">
        <v>123</v>
      </c>
    </row>
    <row r="323" spans="1:109" x14ac:dyDescent="0.3">
      <c r="A323" t="str">
        <f>"18:39:51.273"</f>
        <v>18:39:51.273</v>
      </c>
      <c r="B323" t="s">
        <v>110</v>
      </c>
      <c r="C323" t="str">
        <f t="shared" si="15"/>
        <v>ffdfd3c0</v>
      </c>
      <c r="D323" t="s">
        <v>111</v>
      </c>
      <c r="E323">
        <v>18</v>
      </c>
      <c r="F323">
        <v>1018</v>
      </c>
      <c r="G323" t="s">
        <v>112</v>
      </c>
      <c r="J323" t="s">
        <v>113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R323" t="s">
        <v>114</v>
      </c>
      <c r="S323" t="str">
        <f>"18:39:51.039"</f>
        <v>18:39:51.039</v>
      </c>
      <c r="T323" t="str">
        <f>"18:39:50.742"</f>
        <v>18:39:50.742</v>
      </c>
      <c r="U323" t="str">
        <f t="shared" si="16"/>
        <v>a1cdbe</v>
      </c>
      <c r="V323">
        <v>0</v>
      </c>
      <c r="W323">
        <v>0</v>
      </c>
      <c r="X323">
        <v>1</v>
      </c>
      <c r="Y323">
        <v>0</v>
      </c>
      <c r="Z323">
        <v>0</v>
      </c>
      <c r="AB323">
        <v>0</v>
      </c>
      <c r="AC323">
        <v>9</v>
      </c>
      <c r="AD323">
        <v>3</v>
      </c>
      <c r="AE323">
        <v>0</v>
      </c>
      <c r="AF323">
        <v>9</v>
      </c>
      <c r="AG323" t="s">
        <v>158</v>
      </c>
      <c r="AH323">
        <v>0</v>
      </c>
      <c r="AI323">
        <v>3</v>
      </c>
      <c r="AJ323">
        <v>1</v>
      </c>
      <c r="AK323">
        <v>0</v>
      </c>
      <c r="AL323" t="s">
        <v>715</v>
      </c>
      <c r="AM323">
        <v>47.018780999999997</v>
      </c>
      <c r="AN323" t="s">
        <v>716</v>
      </c>
      <c r="AO323">
        <v>-122.296221</v>
      </c>
      <c r="AP323">
        <v>100</v>
      </c>
      <c r="AQ323">
        <v>2000</v>
      </c>
      <c r="AR323" t="s">
        <v>118</v>
      </c>
      <c r="AS323">
        <v>-20</v>
      </c>
      <c r="AT323">
        <v>-76</v>
      </c>
      <c r="AU323">
        <v>64</v>
      </c>
      <c r="BC323">
        <v>1200</v>
      </c>
      <c r="BD323">
        <v>1</v>
      </c>
      <c r="BE323" t="str">
        <f t="shared" si="17"/>
        <v xml:space="preserve">N215T   </v>
      </c>
      <c r="BF323">
        <v>1</v>
      </c>
      <c r="BH323">
        <v>0</v>
      </c>
      <c r="BI323">
        <v>0</v>
      </c>
      <c r="BJ323">
        <v>0</v>
      </c>
      <c r="BK323">
        <v>2400</v>
      </c>
      <c r="BL323">
        <v>400</v>
      </c>
      <c r="BM323" t="s">
        <v>119</v>
      </c>
      <c r="BN323">
        <v>1</v>
      </c>
      <c r="BO323">
        <v>1</v>
      </c>
      <c r="BP323">
        <v>1</v>
      </c>
      <c r="BQ323">
        <v>0</v>
      </c>
      <c r="BT323">
        <v>0</v>
      </c>
      <c r="BU323">
        <v>0</v>
      </c>
      <c r="BV323">
        <v>0</v>
      </c>
      <c r="CC323" t="str">
        <f>"18:39:51.047"</f>
        <v>18:39:51.047</v>
      </c>
      <c r="CD323" t="str">
        <f>"043249607"</f>
        <v>043249607</v>
      </c>
      <c r="CQ323">
        <v>0</v>
      </c>
      <c r="CR323">
        <v>2</v>
      </c>
      <c r="CS323">
        <v>0</v>
      </c>
      <c r="CT323">
        <v>2</v>
      </c>
      <c r="CU323">
        <v>0</v>
      </c>
      <c r="CV323">
        <v>5</v>
      </c>
      <c r="CW323" t="s">
        <v>120</v>
      </c>
      <c r="CX323">
        <v>257</v>
      </c>
      <c r="CY323">
        <v>1</v>
      </c>
      <c r="CZ323" t="s">
        <v>615</v>
      </c>
      <c r="DA323" t="s">
        <v>616</v>
      </c>
      <c r="DD323">
        <v>10668531</v>
      </c>
      <c r="DE323" t="s">
        <v>123</v>
      </c>
    </row>
    <row r="324" spans="1:109" x14ac:dyDescent="0.3">
      <c r="A324" t="str">
        <f>"18:39:52.133"</f>
        <v>18:39:52.133</v>
      </c>
      <c r="B324" t="s">
        <v>110</v>
      </c>
      <c r="C324" t="str">
        <f t="shared" si="15"/>
        <v>ffdfd3c0</v>
      </c>
      <c r="D324" t="s">
        <v>111</v>
      </c>
      <c r="E324">
        <v>18</v>
      </c>
      <c r="F324">
        <v>1018</v>
      </c>
      <c r="G324" t="s">
        <v>112</v>
      </c>
      <c r="J324" t="s">
        <v>113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R324" t="s">
        <v>114</v>
      </c>
      <c r="S324" t="str">
        <f>"18:39:51.906"</f>
        <v>18:39:51.906</v>
      </c>
      <c r="T324" t="str">
        <f>"18:39:51.805"</f>
        <v>18:39:51.805</v>
      </c>
      <c r="U324" t="str">
        <f t="shared" si="16"/>
        <v>a1cdbe</v>
      </c>
      <c r="V324">
        <v>0</v>
      </c>
      <c r="W324">
        <v>0</v>
      </c>
      <c r="X324">
        <v>1</v>
      </c>
      <c r="Y324">
        <v>0</v>
      </c>
      <c r="Z324">
        <v>0</v>
      </c>
      <c r="AB324">
        <v>0</v>
      </c>
      <c r="AC324">
        <v>9</v>
      </c>
      <c r="AD324">
        <v>3</v>
      </c>
      <c r="AE324">
        <v>0</v>
      </c>
      <c r="AF324">
        <v>9</v>
      </c>
      <c r="AG324" t="s">
        <v>158</v>
      </c>
      <c r="AH324">
        <v>0</v>
      </c>
      <c r="AI324">
        <v>3</v>
      </c>
      <c r="AJ324">
        <v>1</v>
      </c>
      <c r="AK324">
        <v>0</v>
      </c>
      <c r="AL324" t="s">
        <v>717</v>
      </c>
      <c r="AM324">
        <v>47.018501999999998</v>
      </c>
      <c r="AN324" t="s">
        <v>718</v>
      </c>
      <c r="AO324">
        <v>-122.29635</v>
      </c>
      <c r="AP324">
        <v>100</v>
      </c>
      <c r="AQ324">
        <v>2000</v>
      </c>
      <c r="AR324" t="s">
        <v>118</v>
      </c>
      <c r="AS324">
        <v>-20</v>
      </c>
      <c r="AT324">
        <v>-76</v>
      </c>
      <c r="AU324">
        <v>0</v>
      </c>
      <c r="BC324">
        <v>1200</v>
      </c>
      <c r="BD324">
        <v>1</v>
      </c>
      <c r="BE324" t="str">
        <f t="shared" si="17"/>
        <v xml:space="preserve">N215T   </v>
      </c>
      <c r="BF324">
        <v>1</v>
      </c>
      <c r="BH324">
        <v>0</v>
      </c>
      <c r="BI324">
        <v>0</v>
      </c>
      <c r="BJ324">
        <v>0</v>
      </c>
      <c r="BK324">
        <v>2400</v>
      </c>
      <c r="BL324">
        <v>400</v>
      </c>
      <c r="BM324" t="s">
        <v>119</v>
      </c>
      <c r="BN324">
        <v>1</v>
      </c>
      <c r="BO324">
        <v>1</v>
      </c>
      <c r="BP324">
        <v>1</v>
      </c>
      <c r="BQ324">
        <v>0</v>
      </c>
      <c r="BT324">
        <v>0</v>
      </c>
      <c r="BU324">
        <v>0</v>
      </c>
      <c r="BV324">
        <v>0</v>
      </c>
      <c r="CC324" t="str">
        <f>"18:39:51.914"</f>
        <v>18:39:51.914</v>
      </c>
      <c r="CD324" t="str">
        <f>"913163888"</f>
        <v>913163888</v>
      </c>
      <c r="CQ324">
        <v>0</v>
      </c>
      <c r="CR324">
        <v>2</v>
      </c>
      <c r="CS324">
        <v>0</v>
      </c>
      <c r="CT324">
        <v>2</v>
      </c>
      <c r="CU324">
        <v>0</v>
      </c>
      <c r="CV324">
        <v>5</v>
      </c>
      <c r="CW324" t="s">
        <v>120</v>
      </c>
      <c r="CX324">
        <v>257</v>
      </c>
      <c r="CY324">
        <v>1</v>
      </c>
      <c r="CZ324" t="s">
        <v>615</v>
      </c>
      <c r="DA324" t="s">
        <v>616</v>
      </c>
      <c r="DD324">
        <v>10669081</v>
      </c>
      <c r="DE324" t="s">
        <v>123</v>
      </c>
    </row>
    <row r="325" spans="1:109" x14ac:dyDescent="0.3">
      <c r="A325" t="str">
        <f>"18:39:53.188"</f>
        <v>18:39:53.188</v>
      </c>
      <c r="B325" t="s">
        <v>110</v>
      </c>
      <c r="C325" t="str">
        <f t="shared" si="15"/>
        <v>ffdfd3c0</v>
      </c>
      <c r="D325" t="s">
        <v>111</v>
      </c>
      <c r="E325">
        <v>18</v>
      </c>
      <c r="F325">
        <v>1018</v>
      </c>
      <c r="G325" t="s">
        <v>112</v>
      </c>
      <c r="J325" t="s">
        <v>113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R325" t="s">
        <v>114</v>
      </c>
      <c r="S325" t="str">
        <f>"18:39:52.945"</f>
        <v>18:39:52.945</v>
      </c>
      <c r="T325" t="str">
        <f>"18:39:52.844"</f>
        <v>18:39:52.844</v>
      </c>
      <c r="U325" t="str">
        <f t="shared" si="16"/>
        <v>a1cdbe</v>
      </c>
      <c r="V325">
        <v>0</v>
      </c>
      <c r="W325">
        <v>0</v>
      </c>
      <c r="X325">
        <v>1</v>
      </c>
      <c r="Y325">
        <v>0</v>
      </c>
      <c r="Z325">
        <v>0</v>
      </c>
      <c r="AB325">
        <v>0</v>
      </c>
      <c r="AC325">
        <v>9</v>
      </c>
      <c r="AD325">
        <v>3</v>
      </c>
      <c r="AE325">
        <v>0</v>
      </c>
      <c r="AF325">
        <v>9</v>
      </c>
      <c r="AG325" t="s">
        <v>158</v>
      </c>
      <c r="AH325">
        <v>0</v>
      </c>
      <c r="AI325">
        <v>3</v>
      </c>
      <c r="AJ325">
        <v>1</v>
      </c>
      <c r="AK325">
        <v>0</v>
      </c>
      <c r="AL325" t="s">
        <v>719</v>
      </c>
      <c r="AM325">
        <v>47.018137000000003</v>
      </c>
      <c r="AN325" t="s">
        <v>720</v>
      </c>
      <c r="AO325">
        <v>-122.29649999999999</v>
      </c>
      <c r="AP325">
        <v>100</v>
      </c>
      <c r="AQ325">
        <v>2000</v>
      </c>
      <c r="AR325" t="s">
        <v>118</v>
      </c>
      <c r="AS325">
        <v>-21</v>
      </c>
      <c r="AT325">
        <v>-76</v>
      </c>
      <c r="AU325">
        <v>-64</v>
      </c>
      <c r="BC325">
        <v>1200</v>
      </c>
      <c r="BD325">
        <v>1</v>
      </c>
      <c r="BE325" t="str">
        <f t="shared" si="17"/>
        <v xml:space="preserve">N215T   </v>
      </c>
      <c r="BF325">
        <v>1</v>
      </c>
      <c r="BH325">
        <v>0</v>
      </c>
      <c r="BI325">
        <v>0</v>
      </c>
      <c r="BJ325">
        <v>0</v>
      </c>
      <c r="BK325">
        <v>2400</v>
      </c>
      <c r="BL325">
        <v>400</v>
      </c>
      <c r="BM325" t="s">
        <v>119</v>
      </c>
      <c r="BN325">
        <v>1</v>
      </c>
      <c r="BO325">
        <v>1</v>
      </c>
      <c r="BP325">
        <v>1</v>
      </c>
      <c r="BQ325">
        <v>0</v>
      </c>
      <c r="BT325">
        <v>0</v>
      </c>
      <c r="BU325">
        <v>0</v>
      </c>
      <c r="BV325">
        <v>0</v>
      </c>
      <c r="CC325" t="str">
        <f>"18:39:52.945"</f>
        <v>18:39:52.945</v>
      </c>
      <c r="CD325" t="str">
        <f>"947831730"</f>
        <v>947831730</v>
      </c>
      <c r="CQ325">
        <v>0</v>
      </c>
      <c r="CR325">
        <v>2</v>
      </c>
      <c r="CS325">
        <v>0</v>
      </c>
      <c r="CT325">
        <v>2</v>
      </c>
      <c r="CU325">
        <v>0</v>
      </c>
      <c r="CV325">
        <v>4</v>
      </c>
      <c r="CW325" t="s">
        <v>120</v>
      </c>
      <c r="CX325">
        <v>261</v>
      </c>
      <c r="CY325">
        <v>2</v>
      </c>
      <c r="CZ325" t="s">
        <v>121</v>
      </c>
      <c r="DA325" t="s">
        <v>122</v>
      </c>
      <c r="DD325">
        <v>14419912</v>
      </c>
      <c r="DE325" t="s">
        <v>123</v>
      </c>
    </row>
    <row r="326" spans="1:109" x14ac:dyDescent="0.3">
      <c r="A326" t="str">
        <f>"18:39:54.094"</f>
        <v>18:39:54.094</v>
      </c>
      <c r="B326" t="s">
        <v>110</v>
      </c>
      <c r="C326" t="str">
        <f t="shared" si="15"/>
        <v>ffdfd3c0</v>
      </c>
      <c r="D326" t="s">
        <v>111</v>
      </c>
      <c r="E326">
        <v>18</v>
      </c>
      <c r="F326">
        <v>1018</v>
      </c>
      <c r="G326" t="s">
        <v>112</v>
      </c>
      <c r="J326" t="s">
        <v>113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R326" t="s">
        <v>114</v>
      </c>
      <c r="S326" t="str">
        <f>"18:39:53.859"</f>
        <v>18:39:53.859</v>
      </c>
      <c r="T326" t="str">
        <f>"18:39:53.359"</f>
        <v>18:39:53.359</v>
      </c>
      <c r="U326" t="str">
        <f t="shared" si="16"/>
        <v>a1cdbe</v>
      </c>
      <c r="V326">
        <v>0</v>
      </c>
      <c r="W326">
        <v>0</v>
      </c>
      <c r="X326">
        <v>1</v>
      </c>
      <c r="Y326">
        <v>0</v>
      </c>
      <c r="Z326">
        <v>0</v>
      </c>
      <c r="AB326">
        <v>0</v>
      </c>
      <c r="AC326">
        <v>9</v>
      </c>
      <c r="AD326">
        <v>3</v>
      </c>
      <c r="AE326">
        <v>0</v>
      </c>
      <c r="AF326">
        <v>9</v>
      </c>
      <c r="AG326" t="s">
        <v>158</v>
      </c>
      <c r="AH326">
        <v>0</v>
      </c>
      <c r="AI326">
        <v>3</v>
      </c>
      <c r="AJ326">
        <v>1</v>
      </c>
      <c r="AK326">
        <v>0</v>
      </c>
      <c r="AL326" t="s">
        <v>721</v>
      </c>
      <c r="AM326">
        <v>47.017814999999999</v>
      </c>
      <c r="AN326" t="s">
        <v>722</v>
      </c>
      <c r="AO326">
        <v>-122.296629</v>
      </c>
      <c r="AP326">
        <v>100</v>
      </c>
      <c r="AQ326">
        <v>2000</v>
      </c>
      <c r="AR326" t="s">
        <v>118</v>
      </c>
      <c r="AS326">
        <v>-21</v>
      </c>
      <c r="AT326">
        <v>-76</v>
      </c>
      <c r="AU326">
        <v>-64</v>
      </c>
      <c r="BC326">
        <v>1200</v>
      </c>
      <c r="BD326">
        <v>1</v>
      </c>
      <c r="BE326" t="str">
        <f t="shared" si="17"/>
        <v xml:space="preserve">N215T   </v>
      </c>
      <c r="BF326">
        <v>1</v>
      </c>
      <c r="BH326">
        <v>0</v>
      </c>
      <c r="BI326">
        <v>0</v>
      </c>
      <c r="BJ326">
        <v>0</v>
      </c>
      <c r="BK326">
        <v>2400</v>
      </c>
      <c r="BL326">
        <v>400</v>
      </c>
      <c r="BM326" t="s">
        <v>119</v>
      </c>
      <c r="BN326">
        <v>1</v>
      </c>
      <c r="BO326">
        <v>1</v>
      </c>
      <c r="BP326">
        <v>1</v>
      </c>
      <c r="BQ326">
        <v>0</v>
      </c>
      <c r="BT326">
        <v>0</v>
      </c>
      <c r="BU326">
        <v>0</v>
      </c>
      <c r="BV326">
        <v>0</v>
      </c>
      <c r="CC326" t="str">
        <f>"18:39:53.859"</f>
        <v>18:39:53.859</v>
      </c>
      <c r="CD326" t="str">
        <f>"862971775"</f>
        <v>862971775</v>
      </c>
      <c r="CQ326">
        <v>0</v>
      </c>
      <c r="CR326">
        <v>2</v>
      </c>
      <c r="CS326">
        <v>0</v>
      </c>
      <c r="CT326">
        <v>2</v>
      </c>
      <c r="CU326">
        <v>0</v>
      </c>
      <c r="CV326">
        <v>4</v>
      </c>
      <c r="CW326" t="s">
        <v>120</v>
      </c>
      <c r="CX326">
        <v>257</v>
      </c>
      <c r="CY326">
        <v>1</v>
      </c>
      <c r="CZ326" t="s">
        <v>615</v>
      </c>
      <c r="DA326" t="s">
        <v>616</v>
      </c>
      <c r="DD326">
        <v>10670286</v>
      </c>
      <c r="DE326" t="s">
        <v>123</v>
      </c>
    </row>
    <row r="327" spans="1:109" x14ac:dyDescent="0.3">
      <c r="A327" t="str">
        <f>"18:39:55.195"</f>
        <v>18:39:55.195</v>
      </c>
      <c r="B327" t="s">
        <v>110</v>
      </c>
      <c r="C327" t="str">
        <f t="shared" si="15"/>
        <v>ffdfd3c0</v>
      </c>
      <c r="D327" t="s">
        <v>111</v>
      </c>
      <c r="E327">
        <v>18</v>
      </c>
      <c r="F327">
        <v>1018</v>
      </c>
      <c r="G327" t="s">
        <v>112</v>
      </c>
      <c r="J327" t="s">
        <v>113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R327" t="s">
        <v>114</v>
      </c>
      <c r="S327" t="str">
        <f>"18:39:54.984"</f>
        <v>18:39:54.984</v>
      </c>
      <c r="T327" t="str">
        <f>"18:39:54.883"</f>
        <v>18:39:54.883</v>
      </c>
      <c r="U327" t="str">
        <f t="shared" si="16"/>
        <v>a1cdbe</v>
      </c>
      <c r="V327">
        <v>0</v>
      </c>
      <c r="W327">
        <v>0</v>
      </c>
      <c r="X327">
        <v>1</v>
      </c>
      <c r="Y327">
        <v>0</v>
      </c>
      <c r="Z327">
        <v>0</v>
      </c>
      <c r="AB327">
        <v>0</v>
      </c>
      <c r="AC327">
        <v>9</v>
      </c>
      <c r="AD327">
        <v>3</v>
      </c>
      <c r="AE327">
        <v>0</v>
      </c>
      <c r="AF327">
        <v>9</v>
      </c>
      <c r="AG327" t="s">
        <v>158</v>
      </c>
      <c r="AH327">
        <v>0</v>
      </c>
      <c r="AI327">
        <v>3</v>
      </c>
      <c r="AJ327">
        <v>1</v>
      </c>
      <c r="AK327">
        <v>0</v>
      </c>
      <c r="AL327" t="s">
        <v>723</v>
      </c>
      <c r="AM327">
        <v>47.017429</v>
      </c>
      <c r="AN327" t="s">
        <v>724</v>
      </c>
      <c r="AO327">
        <v>-122.296779</v>
      </c>
      <c r="AP327">
        <v>100</v>
      </c>
      <c r="AQ327">
        <v>2000</v>
      </c>
      <c r="AR327" t="s">
        <v>118</v>
      </c>
      <c r="AS327">
        <v>-23</v>
      </c>
      <c r="AT327">
        <v>-76</v>
      </c>
      <c r="AU327">
        <v>-64</v>
      </c>
      <c r="BC327">
        <v>1200</v>
      </c>
      <c r="BD327">
        <v>1</v>
      </c>
      <c r="BE327" t="str">
        <f t="shared" si="17"/>
        <v xml:space="preserve">N215T   </v>
      </c>
      <c r="BF327">
        <v>1</v>
      </c>
      <c r="BH327">
        <v>0</v>
      </c>
      <c r="BI327">
        <v>0</v>
      </c>
      <c r="BJ327">
        <v>0</v>
      </c>
      <c r="BK327">
        <v>2400</v>
      </c>
      <c r="BL327">
        <v>400</v>
      </c>
      <c r="BM327" t="s">
        <v>119</v>
      </c>
      <c r="BN327">
        <v>1</v>
      </c>
      <c r="BO327">
        <v>1</v>
      </c>
      <c r="BP327">
        <v>1</v>
      </c>
      <c r="BQ327">
        <v>0</v>
      </c>
      <c r="BT327">
        <v>0</v>
      </c>
      <c r="BU327">
        <v>0</v>
      </c>
      <c r="BV327">
        <v>0</v>
      </c>
      <c r="CC327" t="str">
        <f>"18:39:54.984"</f>
        <v>18:39:54.984</v>
      </c>
      <c r="CD327" t="str">
        <f>"987860932"</f>
        <v>987860932</v>
      </c>
      <c r="CQ327">
        <v>0</v>
      </c>
      <c r="CR327">
        <v>2</v>
      </c>
      <c r="CS327">
        <v>0</v>
      </c>
      <c r="CT327">
        <v>2</v>
      </c>
      <c r="CU327">
        <v>0</v>
      </c>
      <c r="CV327">
        <v>5</v>
      </c>
      <c r="CW327" t="s">
        <v>120</v>
      </c>
      <c r="CX327">
        <v>257</v>
      </c>
      <c r="CY327">
        <v>1</v>
      </c>
      <c r="CZ327" t="s">
        <v>615</v>
      </c>
      <c r="DA327" t="s">
        <v>616</v>
      </c>
      <c r="DD327">
        <v>10670954</v>
      </c>
      <c r="DE327" t="s">
        <v>123</v>
      </c>
    </row>
    <row r="328" spans="1:109" x14ac:dyDescent="0.3">
      <c r="A328" t="str">
        <f>"18:39:56.203"</f>
        <v>18:39:56.203</v>
      </c>
      <c r="B328" t="s">
        <v>110</v>
      </c>
      <c r="C328" t="str">
        <f t="shared" si="15"/>
        <v>ffdfd3c0</v>
      </c>
      <c r="D328" t="s">
        <v>111</v>
      </c>
      <c r="E328">
        <v>18</v>
      </c>
      <c r="F328">
        <v>1018</v>
      </c>
      <c r="G328" t="s">
        <v>112</v>
      </c>
      <c r="J328" t="s">
        <v>113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R328" t="s">
        <v>114</v>
      </c>
      <c r="S328" t="str">
        <f>"18:39:55.961"</f>
        <v>18:39:55.961</v>
      </c>
      <c r="T328" t="str">
        <f>"18:39:55.961"</f>
        <v>18:39:55.961</v>
      </c>
      <c r="U328" t="str">
        <f t="shared" si="16"/>
        <v>a1cdbe</v>
      </c>
      <c r="V328">
        <v>0</v>
      </c>
      <c r="W328">
        <v>0</v>
      </c>
      <c r="X328">
        <v>1</v>
      </c>
      <c r="Y328">
        <v>0</v>
      </c>
      <c r="Z328">
        <v>0</v>
      </c>
      <c r="AB328">
        <v>0</v>
      </c>
      <c r="AC328">
        <v>9</v>
      </c>
      <c r="AD328">
        <v>3</v>
      </c>
      <c r="AE328">
        <v>0</v>
      </c>
      <c r="AF328">
        <v>9</v>
      </c>
      <c r="AG328" t="s">
        <v>158</v>
      </c>
      <c r="AH328">
        <v>0</v>
      </c>
      <c r="AI328">
        <v>3</v>
      </c>
      <c r="AJ328">
        <v>1</v>
      </c>
      <c r="AK328">
        <v>0</v>
      </c>
      <c r="AL328" t="s">
        <v>725</v>
      </c>
      <c r="AM328">
        <v>47.017085999999999</v>
      </c>
      <c r="AN328" t="s">
        <v>726</v>
      </c>
      <c r="AO328">
        <v>-122.29692900000001</v>
      </c>
      <c r="AP328">
        <v>100</v>
      </c>
      <c r="AQ328">
        <v>2000</v>
      </c>
      <c r="AR328" t="s">
        <v>118</v>
      </c>
      <c r="AS328">
        <v>-22</v>
      </c>
      <c r="AT328">
        <v>-76</v>
      </c>
      <c r="AU328">
        <v>-128</v>
      </c>
      <c r="BC328">
        <v>1200</v>
      </c>
      <c r="BD328">
        <v>1</v>
      </c>
      <c r="BE328" t="str">
        <f t="shared" si="17"/>
        <v xml:space="preserve">N215T   </v>
      </c>
      <c r="BF328">
        <v>1</v>
      </c>
      <c r="BH328">
        <v>0</v>
      </c>
      <c r="BI328">
        <v>0</v>
      </c>
      <c r="BJ328">
        <v>0</v>
      </c>
      <c r="BK328">
        <v>2375</v>
      </c>
      <c r="BL328">
        <v>375</v>
      </c>
      <c r="BM328" t="s">
        <v>119</v>
      </c>
      <c r="BN328">
        <v>1</v>
      </c>
      <c r="BO328">
        <v>1</v>
      </c>
      <c r="BP328">
        <v>1</v>
      </c>
      <c r="BQ328">
        <v>0</v>
      </c>
      <c r="BT328">
        <v>0</v>
      </c>
      <c r="BU328">
        <v>0</v>
      </c>
      <c r="BV328">
        <v>0</v>
      </c>
      <c r="CC328" t="str">
        <f>"18:39:55.961"</f>
        <v>18:39:55.961</v>
      </c>
      <c r="CD328" t="str">
        <f>"962649696"</f>
        <v>962649696</v>
      </c>
      <c r="CQ328">
        <v>0</v>
      </c>
      <c r="CR328">
        <v>2</v>
      </c>
      <c r="CS328">
        <v>0</v>
      </c>
      <c r="CT328">
        <v>2</v>
      </c>
      <c r="CU328">
        <v>0</v>
      </c>
      <c r="CV328">
        <v>4</v>
      </c>
      <c r="CW328" t="s">
        <v>120</v>
      </c>
      <c r="CX328">
        <v>259</v>
      </c>
      <c r="CY328">
        <v>1</v>
      </c>
      <c r="CZ328" t="s">
        <v>197</v>
      </c>
      <c r="DA328" t="s">
        <v>198</v>
      </c>
      <c r="DD328">
        <v>14844214</v>
      </c>
      <c r="DE328" t="s">
        <v>123</v>
      </c>
    </row>
    <row r="329" spans="1:109" x14ac:dyDescent="0.3">
      <c r="A329" t="str">
        <f>"18:39:57.109"</f>
        <v>18:39:57.109</v>
      </c>
      <c r="B329" t="s">
        <v>110</v>
      </c>
      <c r="C329" t="str">
        <f t="shared" si="15"/>
        <v>ffdfd3c0</v>
      </c>
      <c r="D329" t="s">
        <v>111</v>
      </c>
      <c r="E329">
        <v>18</v>
      </c>
      <c r="F329">
        <v>1018</v>
      </c>
      <c r="G329" t="s">
        <v>112</v>
      </c>
      <c r="J329" t="s">
        <v>113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R329" t="s">
        <v>114</v>
      </c>
      <c r="S329" t="str">
        <f>"18:39:56.875"</f>
        <v>18:39:56.875</v>
      </c>
      <c r="T329" t="str">
        <f>"18:39:56.578"</f>
        <v>18:39:56.578</v>
      </c>
      <c r="U329" t="str">
        <f t="shared" si="16"/>
        <v>a1cdbe</v>
      </c>
      <c r="V329">
        <v>0</v>
      </c>
      <c r="W329">
        <v>0</v>
      </c>
      <c r="X329">
        <v>1</v>
      </c>
      <c r="Y329">
        <v>0</v>
      </c>
      <c r="Z329">
        <v>0</v>
      </c>
      <c r="AB329">
        <v>0</v>
      </c>
      <c r="AC329">
        <v>9</v>
      </c>
      <c r="AD329">
        <v>3</v>
      </c>
      <c r="AE329">
        <v>0</v>
      </c>
      <c r="AF329">
        <v>9</v>
      </c>
      <c r="AG329" t="s">
        <v>158</v>
      </c>
      <c r="AH329">
        <v>0</v>
      </c>
      <c r="AI329">
        <v>3</v>
      </c>
      <c r="AJ329">
        <v>1</v>
      </c>
      <c r="AK329">
        <v>0</v>
      </c>
      <c r="AL329" t="s">
        <v>727</v>
      </c>
      <c r="AM329">
        <v>47.016764000000002</v>
      </c>
      <c r="AN329" t="s">
        <v>728</v>
      </c>
      <c r="AO329">
        <v>-122.29705800000001</v>
      </c>
      <c r="AP329">
        <v>100</v>
      </c>
      <c r="AQ329">
        <v>2000</v>
      </c>
      <c r="AR329" t="s">
        <v>118</v>
      </c>
      <c r="AS329">
        <v>-22</v>
      </c>
      <c r="AT329">
        <v>-76</v>
      </c>
      <c r="AU329">
        <v>-64</v>
      </c>
      <c r="BC329">
        <v>1200</v>
      </c>
      <c r="BD329">
        <v>1</v>
      </c>
      <c r="BE329" t="str">
        <f t="shared" si="17"/>
        <v xml:space="preserve">N215T   </v>
      </c>
      <c r="BF329">
        <v>1</v>
      </c>
      <c r="BH329">
        <v>0</v>
      </c>
      <c r="BI329">
        <v>0</v>
      </c>
      <c r="BJ329">
        <v>0</v>
      </c>
      <c r="BK329">
        <v>2375</v>
      </c>
      <c r="BL329">
        <v>375</v>
      </c>
      <c r="BM329" t="s">
        <v>119</v>
      </c>
      <c r="BN329">
        <v>1</v>
      </c>
      <c r="BO329">
        <v>1</v>
      </c>
      <c r="BP329">
        <v>1</v>
      </c>
      <c r="BQ329">
        <v>0</v>
      </c>
      <c r="BT329">
        <v>0</v>
      </c>
      <c r="BU329">
        <v>0</v>
      </c>
      <c r="BV329">
        <v>0</v>
      </c>
      <c r="CC329" t="str">
        <f>"18:39:56.875"</f>
        <v>18:39:56.875</v>
      </c>
      <c r="CD329" t="str">
        <f>"877674684"</f>
        <v>877674684</v>
      </c>
      <c r="CQ329">
        <v>0</v>
      </c>
      <c r="CR329">
        <v>2</v>
      </c>
      <c r="CS329">
        <v>0</v>
      </c>
      <c r="CT329">
        <v>2</v>
      </c>
      <c r="CU329">
        <v>0</v>
      </c>
      <c r="CV329">
        <v>4</v>
      </c>
      <c r="CW329" t="s">
        <v>120</v>
      </c>
      <c r="CX329">
        <v>257</v>
      </c>
      <c r="CY329">
        <v>1</v>
      </c>
      <c r="CZ329" t="s">
        <v>615</v>
      </c>
      <c r="DA329" t="s">
        <v>616</v>
      </c>
      <c r="DD329">
        <v>10672108</v>
      </c>
      <c r="DE329" t="s">
        <v>123</v>
      </c>
    </row>
    <row r="330" spans="1:109" x14ac:dyDescent="0.3">
      <c r="A330" t="str">
        <f>"18:39:58.164"</f>
        <v>18:39:58.164</v>
      </c>
      <c r="B330" t="s">
        <v>110</v>
      </c>
      <c r="C330" t="str">
        <f t="shared" si="15"/>
        <v>ffdfd3c0</v>
      </c>
      <c r="D330" t="s">
        <v>111</v>
      </c>
      <c r="E330">
        <v>18</v>
      </c>
      <c r="F330">
        <v>1018</v>
      </c>
      <c r="G330" t="s">
        <v>112</v>
      </c>
      <c r="J330" t="s">
        <v>113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R330" t="s">
        <v>114</v>
      </c>
      <c r="S330" t="str">
        <f>"18:39:57.922"</f>
        <v>18:39:57.922</v>
      </c>
      <c r="T330" t="str">
        <f>"18:39:57.422"</f>
        <v>18:39:57.422</v>
      </c>
      <c r="U330" t="str">
        <f t="shared" si="16"/>
        <v>a1cdbe</v>
      </c>
      <c r="V330">
        <v>0</v>
      </c>
      <c r="W330">
        <v>0</v>
      </c>
      <c r="X330">
        <v>1</v>
      </c>
      <c r="Y330">
        <v>0</v>
      </c>
      <c r="Z330">
        <v>0</v>
      </c>
      <c r="AB330">
        <v>0</v>
      </c>
      <c r="AC330">
        <v>9</v>
      </c>
      <c r="AD330">
        <v>3</v>
      </c>
      <c r="AE330">
        <v>0</v>
      </c>
      <c r="AF330">
        <v>9</v>
      </c>
      <c r="AG330" t="s">
        <v>158</v>
      </c>
      <c r="AH330">
        <v>0</v>
      </c>
      <c r="AI330">
        <v>3</v>
      </c>
      <c r="AJ330">
        <v>1</v>
      </c>
      <c r="AK330">
        <v>0</v>
      </c>
      <c r="AL330" t="s">
        <v>729</v>
      </c>
      <c r="AM330">
        <v>47.016356000000002</v>
      </c>
      <c r="AN330" t="s">
        <v>730</v>
      </c>
      <c r="AO330">
        <v>-122.297273</v>
      </c>
      <c r="AP330">
        <v>100</v>
      </c>
      <c r="AQ330">
        <v>2000</v>
      </c>
      <c r="AR330" t="s">
        <v>118</v>
      </c>
      <c r="AS330">
        <v>-22</v>
      </c>
      <c r="AT330">
        <v>-76</v>
      </c>
      <c r="AU330">
        <v>-128</v>
      </c>
      <c r="BC330">
        <v>1200</v>
      </c>
      <c r="BD330">
        <v>1</v>
      </c>
      <c r="BE330" t="str">
        <f t="shared" si="17"/>
        <v xml:space="preserve">N215T   </v>
      </c>
      <c r="BF330">
        <v>1</v>
      </c>
      <c r="BH330">
        <v>0</v>
      </c>
      <c r="BI330">
        <v>0</v>
      </c>
      <c r="BJ330">
        <v>0</v>
      </c>
      <c r="BK330">
        <v>2375</v>
      </c>
      <c r="BL330">
        <v>375</v>
      </c>
      <c r="BM330" t="s">
        <v>119</v>
      </c>
      <c r="BN330">
        <v>1</v>
      </c>
      <c r="BO330">
        <v>1</v>
      </c>
      <c r="BP330">
        <v>1</v>
      </c>
      <c r="BQ330">
        <v>0</v>
      </c>
      <c r="BT330">
        <v>0</v>
      </c>
      <c r="BU330">
        <v>0</v>
      </c>
      <c r="BV330">
        <v>0</v>
      </c>
      <c r="CC330" t="str">
        <f>"18:39:57.930"</f>
        <v>18:39:57.930</v>
      </c>
      <c r="CD330" t="str">
        <f>"927571226"</f>
        <v>927571226</v>
      </c>
      <c r="CQ330">
        <v>0</v>
      </c>
      <c r="CR330">
        <v>2</v>
      </c>
      <c r="CS330">
        <v>0</v>
      </c>
      <c r="CT330">
        <v>2</v>
      </c>
      <c r="CU330">
        <v>0</v>
      </c>
      <c r="CV330">
        <v>4</v>
      </c>
      <c r="CW330" t="s">
        <v>120</v>
      </c>
      <c r="CX330">
        <v>257</v>
      </c>
      <c r="CY330">
        <v>1</v>
      </c>
      <c r="CZ330" t="s">
        <v>615</v>
      </c>
      <c r="DA330" t="s">
        <v>616</v>
      </c>
      <c r="DD330">
        <v>10672752</v>
      </c>
      <c r="DE330" t="s">
        <v>123</v>
      </c>
    </row>
    <row r="331" spans="1:109" x14ac:dyDescent="0.3">
      <c r="A331" t="str">
        <f>"18:39:59.320"</f>
        <v>18:39:59.320</v>
      </c>
      <c r="B331" t="s">
        <v>110</v>
      </c>
      <c r="C331" t="str">
        <f t="shared" si="15"/>
        <v>ffdfd3c0</v>
      </c>
      <c r="D331" t="s">
        <v>111</v>
      </c>
      <c r="E331">
        <v>18</v>
      </c>
      <c r="F331">
        <v>1018</v>
      </c>
      <c r="G331" t="s">
        <v>112</v>
      </c>
      <c r="J331" t="s">
        <v>113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R331" t="s">
        <v>114</v>
      </c>
      <c r="S331" t="str">
        <f>"18:39:59.047"</f>
        <v>18:39:59.047</v>
      </c>
      <c r="T331" t="str">
        <f>"18:39:58.945"</f>
        <v>18:39:58.945</v>
      </c>
      <c r="U331" t="str">
        <f t="shared" si="16"/>
        <v>a1cdbe</v>
      </c>
      <c r="V331">
        <v>0</v>
      </c>
      <c r="W331">
        <v>0</v>
      </c>
      <c r="X331">
        <v>1</v>
      </c>
      <c r="Y331">
        <v>0</v>
      </c>
      <c r="Z331">
        <v>0</v>
      </c>
      <c r="AB331">
        <v>0</v>
      </c>
      <c r="AC331">
        <v>9</v>
      </c>
      <c r="AD331">
        <v>3</v>
      </c>
      <c r="AE331">
        <v>0</v>
      </c>
      <c r="AF331">
        <v>9</v>
      </c>
      <c r="AG331" t="s">
        <v>158</v>
      </c>
      <c r="AH331">
        <v>0</v>
      </c>
      <c r="AI331">
        <v>3</v>
      </c>
      <c r="AJ331">
        <v>1</v>
      </c>
      <c r="AK331">
        <v>0</v>
      </c>
      <c r="AL331" t="s">
        <v>731</v>
      </c>
      <c r="AM331">
        <v>47.015991</v>
      </c>
      <c r="AN331" t="s">
        <v>732</v>
      </c>
      <c r="AO331">
        <v>-122.29740099999999</v>
      </c>
      <c r="AP331">
        <v>100</v>
      </c>
      <c r="AQ331">
        <v>2000</v>
      </c>
      <c r="AR331" t="s">
        <v>118</v>
      </c>
      <c r="AS331">
        <v>-23</v>
      </c>
      <c r="AT331">
        <v>-76</v>
      </c>
      <c r="AU331">
        <v>0</v>
      </c>
      <c r="BC331">
        <v>1200</v>
      </c>
      <c r="BD331">
        <v>1</v>
      </c>
      <c r="BE331" t="str">
        <f t="shared" si="17"/>
        <v xml:space="preserve">N215T   </v>
      </c>
      <c r="BF331">
        <v>1</v>
      </c>
      <c r="BH331">
        <v>0</v>
      </c>
      <c r="BI331">
        <v>0</v>
      </c>
      <c r="BJ331">
        <v>0</v>
      </c>
      <c r="BK331">
        <v>2375</v>
      </c>
      <c r="BL331">
        <v>375</v>
      </c>
      <c r="BM331" t="s">
        <v>119</v>
      </c>
      <c r="BN331">
        <v>1</v>
      </c>
      <c r="BO331">
        <v>1</v>
      </c>
      <c r="BP331">
        <v>1</v>
      </c>
      <c r="BQ331">
        <v>0</v>
      </c>
      <c r="BT331">
        <v>0</v>
      </c>
      <c r="BU331">
        <v>0</v>
      </c>
      <c r="BV331">
        <v>0</v>
      </c>
      <c r="CC331" t="str">
        <f>"18:39:59.055"</f>
        <v>18:39:59.055</v>
      </c>
      <c r="CD331" t="str">
        <f>"052231324"</f>
        <v>052231324</v>
      </c>
      <c r="CQ331">
        <v>0</v>
      </c>
      <c r="CR331">
        <v>2</v>
      </c>
      <c r="CS331">
        <v>0</v>
      </c>
      <c r="CT331">
        <v>2</v>
      </c>
      <c r="CU331">
        <v>0</v>
      </c>
      <c r="CV331">
        <v>4</v>
      </c>
      <c r="CW331" t="s">
        <v>120</v>
      </c>
      <c r="CX331">
        <v>261</v>
      </c>
      <c r="CY331">
        <v>2</v>
      </c>
      <c r="CZ331" t="s">
        <v>121</v>
      </c>
      <c r="DA331" t="s">
        <v>122</v>
      </c>
      <c r="DD331">
        <v>14423257</v>
      </c>
      <c r="DE331" t="s">
        <v>123</v>
      </c>
    </row>
    <row r="332" spans="1:109" x14ac:dyDescent="0.3">
      <c r="A332" t="str">
        <f>"18:40:00.172"</f>
        <v>18:40:00.172</v>
      </c>
      <c r="B332" t="s">
        <v>110</v>
      </c>
      <c r="C332" t="str">
        <f t="shared" si="15"/>
        <v>ffdfd3c0</v>
      </c>
      <c r="D332" t="s">
        <v>111</v>
      </c>
      <c r="E332">
        <v>18</v>
      </c>
      <c r="F332">
        <v>1018</v>
      </c>
      <c r="G332" t="s">
        <v>112</v>
      </c>
      <c r="J332" t="s">
        <v>113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R332" t="s">
        <v>114</v>
      </c>
      <c r="S332" t="str">
        <f>"18:39:59.961"</f>
        <v>18:39:59.961</v>
      </c>
      <c r="T332" t="str">
        <f>"18:39:59.859"</f>
        <v>18:39:59.859</v>
      </c>
      <c r="U332" t="str">
        <f t="shared" si="16"/>
        <v>a1cdbe</v>
      </c>
      <c r="V332">
        <v>0</v>
      </c>
      <c r="W332">
        <v>0</v>
      </c>
      <c r="X332">
        <v>1</v>
      </c>
      <c r="Y332">
        <v>0</v>
      </c>
      <c r="Z332">
        <v>0</v>
      </c>
      <c r="AB332">
        <v>0</v>
      </c>
      <c r="AC332">
        <v>9</v>
      </c>
      <c r="AD332">
        <v>3</v>
      </c>
      <c r="AE332">
        <v>0</v>
      </c>
      <c r="AF332">
        <v>9</v>
      </c>
      <c r="AG332" t="s">
        <v>158</v>
      </c>
      <c r="AH332">
        <v>0</v>
      </c>
      <c r="AI332">
        <v>3</v>
      </c>
      <c r="AJ332">
        <v>1</v>
      </c>
      <c r="AK332">
        <v>0</v>
      </c>
      <c r="AL332" t="s">
        <v>733</v>
      </c>
      <c r="AM332">
        <v>47.015669000000003</v>
      </c>
      <c r="AN332" t="s">
        <v>734</v>
      </c>
      <c r="AO332">
        <v>-122.29752999999999</v>
      </c>
      <c r="AP332">
        <v>100</v>
      </c>
      <c r="AQ332">
        <v>2000</v>
      </c>
      <c r="AR332" t="s">
        <v>118</v>
      </c>
      <c r="AS332">
        <v>-23</v>
      </c>
      <c r="AT332">
        <v>-77</v>
      </c>
      <c r="AU332">
        <v>128</v>
      </c>
      <c r="BC332">
        <v>1200</v>
      </c>
      <c r="BD332">
        <v>1</v>
      </c>
      <c r="BE332" t="str">
        <f t="shared" si="17"/>
        <v xml:space="preserve">N215T   </v>
      </c>
      <c r="BF332">
        <v>1</v>
      </c>
      <c r="BH332">
        <v>0</v>
      </c>
      <c r="BI332">
        <v>0</v>
      </c>
      <c r="BJ332">
        <v>0</v>
      </c>
      <c r="BK332">
        <v>2375</v>
      </c>
      <c r="BL332">
        <v>375</v>
      </c>
      <c r="BM332" t="s">
        <v>119</v>
      </c>
      <c r="BN332">
        <v>1</v>
      </c>
      <c r="BO332">
        <v>1</v>
      </c>
      <c r="BP332">
        <v>1</v>
      </c>
      <c r="BQ332">
        <v>0</v>
      </c>
      <c r="BT332">
        <v>0</v>
      </c>
      <c r="BU332">
        <v>0</v>
      </c>
      <c r="BV332">
        <v>0</v>
      </c>
      <c r="CC332" t="str">
        <f>"18:39:59.969"</f>
        <v>18:39:59.969</v>
      </c>
      <c r="CD332" t="str">
        <f>"967141364"</f>
        <v>967141364</v>
      </c>
      <c r="CQ332">
        <v>0</v>
      </c>
      <c r="CR332">
        <v>2</v>
      </c>
      <c r="CS332">
        <v>0</v>
      </c>
      <c r="CT332">
        <v>2</v>
      </c>
      <c r="CU332">
        <v>0</v>
      </c>
      <c r="CV332">
        <v>5</v>
      </c>
      <c r="CW332" t="s">
        <v>120</v>
      </c>
      <c r="CX332">
        <v>261</v>
      </c>
      <c r="CY332">
        <v>2</v>
      </c>
      <c r="CZ332" t="s">
        <v>121</v>
      </c>
      <c r="DA332" t="s">
        <v>122</v>
      </c>
      <c r="DD332">
        <v>14423793</v>
      </c>
      <c r="DE332" t="s">
        <v>123</v>
      </c>
    </row>
    <row r="333" spans="1:109" x14ac:dyDescent="0.3">
      <c r="A333" t="str">
        <f>"18:40:01.133"</f>
        <v>18:40:01.133</v>
      </c>
      <c r="B333" t="s">
        <v>110</v>
      </c>
      <c r="C333" t="str">
        <f t="shared" si="15"/>
        <v>ffdfd3c0</v>
      </c>
      <c r="D333" t="s">
        <v>111</v>
      </c>
      <c r="E333">
        <v>18</v>
      </c>
      <c r="F333">
        <v>1018</v>
      </c>
      <c r="G333" t="s">
        <v>112</v>
      </c>
      <c r="J333" t="s">
        <v>113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R333" t="s">
        <v>114</v>
      </c>
      <c r="S333" t="str">
        <f>"18:40:00.891"</f>
        <v>18:40:00.891</v>
      </c>
      <c r="T333" t="str">
        <f>"18:40:00.391"</f>
        <v>18:40:00.391</v>
      </c>
      <c r="U333" t="str">
        <f t="shared" si="16"/>
        <v>a1cdbe</v>
      </c>
      <c r="V333">
        <v>0</v>
      </c>
      <c r="W333">
        <v>0</v>
      </c>
      <c r="X333">
        <v>1</v>
      </c>
      <c r="Y333">
        <v>0</v>
      </c>
      <c r="Z333">
        <v>0</v>
      </c>
      <c r="AB333">
        <v>0</v>
      </c>
      <c r="AC333">
        <v>9</v>
      </c>
      <c r="AD333">
        <v>3</v>
      </c>
      <c r="AE333">
        <v>0</v>
      </c>
      <c r="AF333">
        <v>9</v>
      </c>
      <c r="AG333" t="s">
        <v>158</v>
      </c>
      <c r="AH333">
        <v>0</v>
      </c>
      <c r="AI333">
        <v>3</v>
      </c>
      <c r="AJ333">
        <v>1</v>
      </c>
      <c r="AK333">
        <v>0</v>
      </c>
      <c r="AL333" t="s">
        <v>735</v>
      </c>
      <c r="AM333">
        <v>47.015346999999998</v>
      </c>
      <c r="AN333" t="s">
        <v>736</v>
      </c>
      <c r="AO333">
        <v>-122.29768</v>
      </c>
      <c r="AP333">
        <v>100</v>
      </c>
      <c r="AQ333">
        <v>2000</v>
      </c>
      <c r="AR333" t="s">
        <v>118</v>
      </c>
      <c r="AS333">
        <v>-24</v>
      </c>
      <c r="AT333">
        <v>-77</v>
      </c>
      <c r="AU333">
        <v>0</v>
      </c>
      <c r="BC333">
        <v>1200</v>
      </c>
      <c r="BD333">
        <v>1</v>
      </c>
      <c r="BE333" t="str">
        <f t="shared" si="17"/>
        <v xml:space="preserve">N215T   </v>
      </c>
      <c r="BF333">
        <v>1</v>
      </c>
      <c r="BH333">
        <v>0</v>
      </c>
      <c r="BI333">
        <v>0</v>
      </c>
      <c r="BJ333">
        <v>0</v>
      </c>
      <c r="BK333">
        <v>2375</v>
      </c>
      <c r="BL333">
        <v>375</v>
      </c>
      <c r="BM333" t="s">
        <v>119</v>
      </c>
      <c r="BN333">
        <v>1</v>
      </c>
      <c r="BO333">
        <v>1</v>
      </c>
      <c r="BP333">
        <v>1</v>
      </c>
      <c r="BQ333">
        <v>0</v>
      </c>
      <c r="BT333">
        <v>0</v>
      </c>
      <c r="BU333">
        <v>0</v>
      </c>
      <c r="BV333">
        <v>0</v>
      </c>
      <c r="CC333" t="str">
        <f>"18:40:00.898"</f>
        <v>18:40:00.898</v>
      </c>
      <c r="CD333" t="str">
        <f>"897049897"</f>
        <v>897049897</v>
      </c>
      <c r="CQ333">
        <v>0</v>
      </c>
      <c r="CR333">
        <v>2</v>
      </c>
      <c r="CS333">
        <v>0</v>
      </c>
      <c r="CT333">
        <v>2</v>
      </c>
      <c r="CU333">
        <v>0</v>
      </c>
      <c r="CV333">
        <v>4</v>
      </c>
      <c r="CW333" t="s">
        <v>120</v>
      </c>
      <c r="CX333">
        <v>261</v>
      </c>
      <c r="CY333">
        <v>1</v>
      </c>
      <c r="CZ333" t="s">
        <v>121</v>
      </c>
      <c r="DA333" t="s">
        <v>122</v>
      </c>
      <c r="DD333">
        <v>3294939</v>
      </c>
      <c r="DE333" t="s">
        <v>123</v>
      </c>
    </row>
    <row r="334" spans="1:109" x14ac:dyDescent="0.3">
      <c r="A334" t="str">
        <f>"18:40:02.141"</f>
        <v>18:40:02.141</v>
      </c>
      <c r="B334" t="s">
        <v>110</v>
      </c>
      <c r="C334" t="str">
        <f t="shared" si="15"/>
        <v>ffdfd3c0</v>
      </c>
      <c r="D334" t="s">
        <v>111</v>
      </c>
      <c r="E334">
        <v>18</v>
      </c>
      <c r="F334">
        <v>1018</v>
      </c>
      <c r="G334" t="s">
        <v>112</v>
      </c>
      <c r="J334" t="s">
        <v>113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R334" t="s">
        <v>114</v>
      </c>
      <c r="S334" t="str">
        <f>"18:40:01.883"</f>
        <v>18:40:01.883</v>
      </c>
      <c r="T334" t="str">
        <f>"18:40:01.883"</f>
        <v>18:40:01.883</v>
      </c>
      <c r="U334" t="str">
        <f t="shared" si="16"/>
        <v>a1cdbe</v>
      </c>
      <c r="V334">
        <v>0</v>
      </c>
      <c r="W334">
        <v>0</v>
      </c>
      <c r="X334">
        <v>1</v>
      </c>
      <c r="Y334">
        <v>0</v>
      </c>
      <c r="Z334">
        <v>0</v>
      </c>
      <c r="AB334">
        <v>0</v>
      </c>
      <c r="AC334">
        <v>9</v>
      </c>
      <c r="AD334">
        <v>3</v>
      </c>
      <c r="AE334">
        <v>0</v>
      </c>
      <c r="AF334">
        <v>9</v>
      </c>
      <c r="AG334" t="s">
        <v>158</v>
      </c>
      <c r="AH334">
        <v>0</v>
      </c>
      <c r="AI334">
        <v>3</v>
      </c>
      <c r="AJ334">
        <v>1</v>
      </c>
      <c r="AK334">
        <v>0</v>
      </c>
      <c r="AL334" t="s">
        <v>737</v>
      </c>
      <c r="AM334">
        <v>47.014961</v>
      </c>
      <c r="AN334" t="s">
        <v>738</v>
      </c>
      <c r="AO334">
        <v>-122.297831</v>
      </c>
      <c r="AP334">
        <v>100</v>
      </c>
      <c r="AQ334">
        <v>2000</v>
      </c>
      <c r="AR334" t="s">
        <v>118</v>
      </c>
      <c r="AS334">
        <v>-25</v>
      </c>
      <c r="AT334">
        <v>-77</v>
      </c>
      <c r="AU334">
        <v>-64</v>
      </c>
      <c r="BC334">
        <v>1200</v>
      </c>
      <c r="BD334">
        <v>1</v>
      </c>
      <c r="BE334" t="str">
        <f t="shared" si="17"/>
        <v xml:space="preserve">N215T   </v>
      </c>
      <c r="BF334">
        <v>1</v>
      </c>
      <c r="BH334">
        <v>0</v>
      </c>
      <c r="BI334">
        <v>0</v>
      </c>
      <c r="BJ334">
        <v>0</v>
      </c>
      <c r="BK334">
        <v>2375</v>
      </c>
      <c r="BL334">
        <v>375</v>
      </c>
      <c r="BM334" t="s">
        <v>119</v>
      </c>
      <c r="BN334">
        <v>1</v>
      </c>
      <c r="BO334">
        <v>1</v>
      </c>
      <c r="BP334">
        <v>1</v>
      </c>
      <c r="BQ334">
        <v>0</v>
      </c>
      <c r="BT334">
        <v>0</v>
      </c>
      <c r="BU334">
        <v>0</v>
      </c>
      <c r="BV334">
        <v>0</v>
      </c>
      <c r="CC334" t="str">
        <f>"18:40:01.891"</f>
        <v>18:40:01.891</v>
      </c>
      <c r="CD334" t="str">
        <f>"886952527"</f>
        <v>886952527</v>
      </c>
      <c r="CQ334">
        <v>0</v>
      </c>
      <c r="CR334">
        <v>2</v>
      </c>
      <c r="CS334">
        <v>0</v>
      </c>
      <c r="CT334">
        <v>2</v>
      </c>
      <c r="CU334">
        <v>0</v>
      </c>
      <c r="CV334">
        <v>5</v>
      </c>
      <c r="CW334" t="s">
        <v>120</v>
      </c>
      <c r="CX334">
        <v>261</v>
      </c>
      <c r="CY334">
        <v>2</v>
      </c>
      <c r="CZ334" t="s">
        <v>121</v>
      </c>
      <c r="DA334" t="s">
        <v>122</v>
      </c>
      <c r="DD334">
        <v>14424768</v>
      </c>
      <c r="DE334" t="s">
        <v>123</v>
      </c>
    </row>
    <row r="335" spans="1:109" x14ac:dyDescent="0.3">
      <c r="A335" t="str">
        <f>"18:40:03.094"</f>
        <v>18:40:03.094</v>
      </c>
      <c r="B335" t="s">
        <v>110</v>
      </c>
      <c r="C335" t="str">
        <f t="shared" si="15"/>
        <v>ffdfd3c0</v>
      </c>
      <c r="D335" t="s">
        <v>111</v>
      </c>
      <c r="E335">
        <v>18</v>
      </c>
      <c r="F335">
        <v>1018</v>
      </c>
      <c r="G335" t="s">
        <v>112</v>
      </c>
      <c r="J335" t="s">
        <v>113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R335" t="s">
        <v>114</v>
      </c>
      <c r="S335" t="str">
        <f>"18:40:02.859"</f>
        <v>18:40:02.859</v>
      </c>
      <c r="T335" t="str">
        <f>"18:40:02.461"</f>
        <v>18:40:02.461</v>
      </c>
      <c r="U335" t="str">
        <f t="shared" si="16"/>
        <v>a1cdbe</v>
      </c>
      <c r="V335">
        <v>0</v>
      </c>
      <c r="W335">
        <v>0</v>
      </c>
      <c r="X335">
        <v>1</v>
      </c>
      <c r="Y335">
        <v>0</v>
      </c>
      <c r="Z335">
        <v>0</v>
      </c>
      <c r="AB335">
        <v>0</v>
      </c>
      <c r="AC335">
        <v>9</v>
      </c>
      <c r="AD335">
        <v>3</v>
      </c>
      <c r="AE335">
        <v>0</v>
      </c>
      <c r="AF335">
        <v>9</v>
      </c>
      <c r="AG335" t="s">
        <v>158</v>
      </c>
      <c r="AH335">
        <v>0</v>
      </c>
      <c r="AI335">
        <v>3</v>
      </c>
      <c r="AJ335">
        <v>1</v>
      </c>
      <c r="AK335">
        <v>0</v>
      </c>
      <c r="AL335" t="s">
        <v>739</v>
      </c>
      <c r="AM335">
        <v>47.014617999999999</v>
      </c>
      <c r="AN335" t="s">
        <v>740</v>
      </c>
      <c r="AO335">
        <v>-122.298024</v>
      </c>
      <c r="AP335">
        <v>100</v>
      </c>
      <c r="AQ335">
        <v>2000</v>
      </c>
      <c r="AR335" t="s">
        <v>118</v>
      </c>
      <c r="AS335">
        <v>-26</v>
      </c>
      <c r="AT335">
        <v>-77</v>
      </c>
      <c r="AU335">
        <v>-128</v>
      </c>
      <c r="BC335">
        <v>1200</v>
      </c>
      <c r="BD335">
        <v>1</v>
      </c>
      <c r="BE335" t="str">
        <f t="shared" si="17"/>
        <v xml:space="preserve">N215T   </v>
      </c>
      <c r="BF335">
        <v>1</v>
      </c>
      <c r="BH335">
        <v>0</v>
      </c>
      <c r="BI335">
        <v>0</v>
      </c>
      <c r="BJ335">
        <v>0</v>
      </c>
      <c r="BK335">
        <v>2375</v>
      </c>
      <c r="BL335">
        <v>375</v>
      </c>
      <c r="BM335" t="s">
        <v>119</v>
      </c>
      <c r="BN335">
        <v>1</v>
      </c>
      <c r="BO335">
        <v>1</v>
      </c>
      <c r="BP335">
        <v>1</v>
      </c>
      <c r="BQ335">
        <v>0</v>
      </c>
      <c r="BT335">
        <v>0</v>
      </c>
      <c r="BU335">
        <v>0</v>
      </c>
      <c r="BV335">
        <v>0</v>
      </c>
      <c r="CC335" t="str">
        <f>"18:40:02.859"</f>
        <v>18:40:02.859</v>
      </c>
      <c r="CD335" t="str">
        <f>"861856617"</f>
        <v>861856617</v>
      </c>
      <c r="CQ335">
        <v>0</v>
      </c>
      <c r="CR335">
        <v>2</v>
      </c>
      <c r="CS335">
        <v>0</v>
      </c>
      <c r="CT335">
        <v>2</v>
      </c>
      <c r="CU335">
        <v>0</v>
      </c>
      <c r="CV335">
        <v>4</v>
      </c>
      <c r="CW335" t="s">
        <v>120</v>
      </c>
      <c r="CX335">
        <v>261</v>
      </c>
      <c r="CY335">
        <v>2</v>
      </c>
      <c r="CZ335" t="s">
        <v>121</v>
      </c>
      <c r="DA335" t="s">
        <v>122</v>
      </c>
      <c r="DD335">
        <v>14425320</v>
      </c>
      <c r="DE335" t="s">
        <v>123</v>
      </c>
    </row>
    <row r="336" spans="1:109" x14ac:dyDescent="0.3">
      <c r="A336" t="str">
        <f>"18:40:04.000"</f>
        <v>18:40:04.000</v>
      </c>
      <c r="B336" t="s">
        <v>110</v>
      </c>
      <c r="C336" t="str">
        <f t="shared" si="15"/>
        <v>ffdfd3c0</v>
      </c>
      <c r="D336" t="s">
        <v>111</v>
      </c>
      <c r="E336">
        <v>18</v>
      </c>
      <c r="F336">
        <v>1018</v>
      </c>
      <c r="G336" t="s">
        <v>112</v>
      </c>
      <c r="J336" t="s">
        <v>113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R336" t="s">
        <v>114</v>
      </c>
      <c r="S336" t="str">
        <f>"18:40:03.789"</f>
        <v>18:40:03.789</v>
      </c>
      <c r="T336" t="str">
        <f>"18:40:03.391"</f>
        <v>18:40:03.391</v>
      </c>
      <c r="U336" t="str">
        <f t="shared" si="16"/>
        <v>a1cdbe</v>
      </c>
      <c r="V336">
        <v>0</v>
      </c>
      <c r="W336">
        <v>0</v>
      </c>
      <c r="X336">
        <v>1</v>
      </c>
      <c r="Y336">
        <v>0</v>
      </c>
      <c r="Z336">
        <v>0</v>
      </c>
      <c r="AB336">
        <v>0</v>
      </c>
      <c r="AC336">
        <v>9</v>
      </c>
      <c r="AD336">
        <v>3</v>
      </c>
      <c r="AE336">
        <v>0</v>
      </c>
      <c r="AF336">
        <v>9</v>
      </c>
      <c r="AG336" t="s">
        <v>158</v>
      </c>
      <c r="AH336">
        <v>0</v>
      </c>
      <c r="AI336">
        <v>3</v>
      </c>
      <c r="AJ336">
        <v>1</v>
      </c>
      <c r="AK336">
        <v>0</v>
      </c>
      <c r="AL336" t="s">
        <v>741</v>
      </c>
      <c r="AM336">
        <v>47.014318000000003</v>
      </c>
      <c r="AN336" t="s">
        <v>742</v>
      </c>
      <c r="AO336">
        <v>-122.29819500000001</v>
      </c>
      <c r="AP336">
        <v>100</v>
      </c>
      <c r="AQ336">
        <v>2000</v>
      </c>
      <c r="AR336" t="s">
        <v>118</v>
      </c>
      <c r="AS336">
        <v>-25</v>
      </c>
      <c r="AT336">
        <v>-77</v>
      </c>
      <c r="AU336">
        <v>-128</v>
      </c>
      <c r="BC336">
        <v>1200</v>
      </c>
      <c r="BD336">
        <v>1</v>
      </c>
      <c r="BE336" t="str">
        <f t="shared" si="17"/>
        <v xml:space="preserve">N215T   </v>
      </c>
      <c r="BF336">
        <v>1</v>
      </c>
      <c r="BH336">
        <v>0</v>
      </c>
      <c r="BI336">
        <v>0</v>
      </c>
      <c r="BJ336">
        <v>0</v>
      </c>
      <c r="BK336">
        <v>2375</v>
      </c>
      <c r="BL336">
        <v>375</v>
      </c>
      <c r="BM336" t="s">
        <v>119</v>
      </c>
      <c r="BN336">
        <v>1</v>
      </c>
      <c r="BO336">
        <v>1</v>
      </c>
      <c r="BP336">
        <v>1</v>
      </c>
      <c r="BQ336">
        <v>0</v>
      </c>
      <c r="BT336">
        <v>0</v>
      </c>
      <c r="BU336">
        <v>0</v>
      </c>
      <c r="BV336">
        <v>0</v>
      </c>
      <c r="CC336" t="str">
        <f>"18:40:03.789"</f>
        <v>18:40:03.789</v>
      </c>
      <c r="CD336" t="str">
        <f>"791993315"</f>
        <v>791993315</v>
      </c>
      <c r="CQ336">
        <v>0</v>
      </c>
      <c r="CR336">
        <v>2</v>
      </c>
      <c r="CS336">
        <v>0</v>
      </c>
      <c r="CT336">
        <v>2</v>
      </c>
      <c r="CU336">
        <v>0</v>
      </c>
      <c r="CV336">
        <v>4</v>
      </c>
      <c r="CW336" t="s">
        <v>120</v>
      </c>
      <c r="CX336">
        <v>257</v>
      </c>
      <c r="CY336">
        <v>1</v>
      </c>
      <c r="CZ336" t="s">
        <v>615</v>
      </c>
      <c r="DA336" t="s">
        <v>616</v>
      </c>
      <c r="DD336">
        <v>10676237</v>
      </c>
      <c r="DE336" t="s">
        <v>123</v>
      </c>
    </row>
    <row r="337" spans="1:109" x14ac:dyDescent="0.3">
      <c r="A337" t="str">
        <f>"18:40:04.953"</f>
        <v>18:40:04.953</v>
      </c>
      <c r="B337" t="s">
        <v>110</v>
      </c>
      <c r="C337" t="str">
        <f t="shared" si="15"/>
        <v>ffdfd3c0</v>
      </c>
      <c r="D337" t="s">
        <v>111</v>
      </c>
      <c r="E337">
        <v>18</v>
      </c>
      <c r="F337">
        <v>1018</v>
      </c>
      <c r="G337" t="s">
        <v>112</v>
      </c>
      <c r="J337" t="s">
        <v>113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R337" t="s">
        <v>114</v>
      </c>
      <c r="S337" t="str">
        <f>"18:40:04.719"</f>
        <v>18:40:04.719</v>
      </c>
      <c r="T337" t="str">
        <f>"18:40:04.422"</f>
        <v>18:40:04.422</v>
      </c>
      <c r="U337" t="str">
        <f t="shared" si="16"/>
        <v>a1cdbe</v>
      </c>
      <c r="V337">
        <v>0</v>
      </c>
      <c r="W337">
        <v>0</v>
      </c>
      <c r="X337">
        <v>1</v>
      </c>
      <c r="Y337">
        <v>0</v>
      </c>
      <c r="Z337">
        <v>0</v>
      </c>
      <c r="AB337">
        <v>0</v>
      </c>
      <c r="AC337">
        <v>9</v>
      </c>
      <c r="AD337">
        <v>3</v>
      </c>
      <c r="AE337">
        <v>0</v>
      </c>
      <c r="AF337">
        <v>9</v>
      </c>
      <c r="AG337" t="s">
        <v>158</v>
      </c>
      <c r="AH337">
        <v>0</v>
      </c>
      <c r="AI337">
        <v>3</v>
      </c>
      <c r="AJ337">
        <v>1</v>
      </c>
      <c r="AK337">
        <v>0</v>
      </c>
      <c r="AL337" t="s">
        <v>743</v>
      </c>
      <c r="AM337">
        <v>47.013995999999999</v>
      </c>
      <c r="AN337" t="s">
        <v>744</v>
      </c>
      <c r="AO337">
        <v>-122.29832399999999</v>
      </c>
      <c r="AP337">
        <v>100</v>
      </c>
      <c r="AQ337">
        <v>2000</v>
      </c>
      <c r="AR337" t="s">
        <v>118</v>
      </c>
      <c r="AS337">
        <v>-24</v>
      </c>
      <c r="AT337">
        <v>-78</v>
      </c>
      <c r="AU337">
        <v>-128</v>
      </c>
      <c r="BC337">
        <v>1200</v>
      </c>
      <c r="BD337">
        <v>1</v>
      </c>
      <c r="BE337" t="str">
        <f t="shared" si="17"/>
        <v xml:space="preserve">N215T   </v>
      </c>
      <c r="BF337">
        <v>1</v>
      </c>
      <c r="BH337">
        <v>0</v>
      </c>
      <c r="BI337">
        <v>0</v>
      </c>
      <c r="BJ337">
        <v>0</v>
      </c>
      <c r="BK337">
        <v>2375</v>
      </c>
      <c r="BL337">
        <v>375</v>
      </c>
      <c r="BM337" t="s">
        <v>119</v>
      </c>
      <c r="BN337">
        <v>1</v>
      </c>
      <c r="BO337">
        <v>1</v>
      </c>
      <c r="BP337">
        <v>1</v>
      </c>
      <c r="BQ337">
        <v>0</v>
      </c>
      <c r="BT337">
        <v>0</v>
      </c>
      <c r="BU337">
        <v>0</v>
      </c>
      <c r="BV337">
        <v>0</v>
      </c>
      <c r="CC337" t="str">
        <f>"18:40:04.719"</f>
        <v>18:40:04.719</v>
      </c>
      <c r="CD337" t="str">
        <f>"721901676"</f>
        <v>721901676</v>
      </c>
      <c r="CQ337">
        <v>0</v>
      </c>
      <c r="CR337">
        <v>2</v>
      </c>
      <c r="CS337">
        <v>0</v>
      </c>
      <c r="CT337">
        <v>2</v>
      </c>
      <c r="CU337">
        <v>0</v>
      </c>
      <c r="CV337">
        <v>4</v>
      </c>
      <c r="CW337" t="s">
        <v>120</v>
      </c>
      <c r="CX337">
        <v>257</v>
      </c>
      <c r="CY337">
        <v>1</v>
      </c>
      <c r="CZ337" t="s">
        <v>615</v>
      </c>
      <c r="DA337" t="s">
        <v>616</v>
      </c>
      <c r="DD337">
        <v>10676783</v>
      </c>
      <c r="DE337" t="s">
        <v>123</v>
      </c>
    </row>
    <row r="338" spans="1:109" x14ac:dyDescent="0.3">
      <c r="A338" t="str">
        <f>"18:40:06.008"</f>
        <v>18:40:06.008</v>
      </c>
      <c r="B338" t="s">
        <v>110</v>
      </c>
      <c r="C338" t="str">
        <f t="shared" si="15"/>
        <v>ffdfd3c0</v>
      </c>
      <c r="D338" t="s">
        <v>111</v>
      </c>
      <c r="E338">
        <v>18</v>
      </c>
      <c r="F338">
        <v>1018</v>
      </c>
      <c r="G338" t="s">
        <v>112</v>
      </c>
      <c r="J338" t="s">
        <v>113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R338" t="s">
        <v>114</v>
      </c>
      <c r="S338" t="str">
        <f>"18:40:05.766"</f>
        <v>18:40:05.766</v>
      </c>
      <c r="T338" t="str">
        <f>"18:40:05.469"</f>
        <v>18:40:05.469</v>
      </c>
      <c r="U338" t="str">
        <f t="shared" si="16"/>
        <v>a1cdbe</v>
      </c>
      <c r="V338">
        <v>0</v>
      </c>
      <c r="W338">
        <v>0</v>
      </c>
      <c r="X338">
        <v>1</v>
      </c>
      <c r="Y338">
        <v>0</v>
      </c>
      <c r="Z338">
        <v>0</v>
      </c>
      <c r="AB338">
        <v>0</v>
      </c>
      <c r="AC338">
        <v>9</v>
      </c>
      <c r="AD338">
        <v>3</v>
      </c>
      <c r="AE338">
        <v>0</v>
      </c>
      <c r="AF338">
        <v>9</v>
      </c>
      <c r="AG338" t="s">
        <v>158</v>
      </c>
      <c r="AH338">
        <v>0</v>
      </c>
      <c r="AI338">
        <v>3</v>
      </c>
      <c r="AJ338">
        <v>1</v>
      </c>
      <c r="AK338">
        <v>0</v>
      </c>
      <c r="AL338" t="s">
        <v>745</v>
      </c>
      <c r="AM338">
        <v>47.013609000000002</v>
      </c>
      <c r="AN338" t="s">
        <v>746</v>
      </c>
      <c r="AO338">
        <v>-122.29853900000001</v>
      </c>
      <c r="AP338">
        <v>100</v>
      </c>
      <c r="AQ338">
        <v>2000</v>
      </c>
      <c r="AR338" t="s">
        <v>118</v>
      </c>
      <c r="AS338">
        <v>-23</v>
      </c>
      <c r="AT338">
        <v>-79</v>
      </c>
      <c r="AU338">
        <v>-192</v>
      </c>
      <c r="BC338">
        <v>1200</v>
      </c>
      <c r="BD338">
        <v>1</v>
      </c>
      <c r="BE338" t="str">
        <f t="shared" si="17"/>
        <v xml:space="preserve">N215T   </v>
      </c>
      <c r="BF338">
        <v>1</v>
      </c>
      <c r="BH338">
        <v>0</v>
      </c>
      <c r="BI338">
        <v>0</v>
      </c>
      <c r="BJ338">
        <v>0</v>
      </c>
      <c r="BK338">
        <v>2375</v>
      </c>
      <c r="BL338">
        <v>375</v>
      </c>
      <c r="BM338" t="s">
        <v>119</v>
      </c>
      <c r="BN338">
        <v>1</v>
      </c>
      <c r="BO338">
        <v>1</v>
      </c>
      <c r="BP338">
        <v>1</v>
      </c>
      <c r="BQ338">
        <v>0</v>
      </c>
      <c r="BT338">
        <v>0</v>
      </c>
      <c r="BU338">
        <v>0</v>
      </c>
      <c r="BV338">
        <v>0</v>
      </c>
      <c r="CC338" t="str">
        <f>"18:40:05.773"</f>
        <v>18:40:05.773</v>
      </c>
      <c r="CD338" t="str">
        <f>"771685376"</f>
        <v>771685376</v>
      </c>
      <c r="CQ338">
        <v>0</v>
      </c>
      <c r="CR338">
        <v>2</v>
      </c>
      <c r="CS338">
        <v>0</v>
      </c>
      <c r="CT338">
        <v>2</v>
      </c>
      <c r="CU338">
        <v>0</v>
      </c>
      <c r="CV338">
        <v>4</v>
      </c>
      <c r="CW338" t="s">
        <v>120</v>
      </c>
      <c r="CX338">
        <v>259</v>
      </c>
      <c r="CY338">
        <v>1</v>
      </c>
      <c r="CZ338" t="s">
        <v>197</v>
      </c>
      <c r="DA338" t="s">
        <v>198</v>
      </c>
      <c r="DD338">
        <v>14851125</v>
      </c>
      <c r="DE338" t="s">
        <v>123</v>
      </c>
    </row>
    <row r="339" spans="1:109" x14ac:dyDescent="0.3">
      <c r="A339" t="str">
        <f>"18:40:06.961"</f>
        <v>18:40:06.961</v>
      </c>
      <c r="B339" t="s">
        <v>110</v>
      </c>
      <c r="C339" t="str">
        <f t="shared" si="15"/>
        <v>ffdfd3c0</v>
      </c>
      <c r="D339" t="s">
        <v>111</v>
      </c>
      <c r="E339">
        <v>18</v>
      </c>
      <c r="F339">
        <v>1018</v>
      </c>
      <c r="G339" t="s">
        <v>112</v>
      </c>
      <c r="J339" t="s">
        <v>113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R339" t="s">
        <v>114</v>
      </c>
      <c r="S339" t="str">
        <f>"18:40:06.742"</f>
        <v>18:40:06.742</v>
      </c>
      <c r="T339" t="str">
        <f>"18:40:06.445"</f>
        <v>18:40:06.445</v>
      </c>
      <c r="U339" t="str">
        <f t="shared" si="16"/>
        <v>a1cdbe</v>
      </c>
      <c r="V339">
        <v>0</v>
      </c>
      <c r="W339">
        <v>0</v>
      </c>
      <c r="X339">
        <v>1</v>
      </c>
      <c r="Y339">
        <v>0</v>
      </c>
      <c r="Z339">
        <v>0</v>
      </c>
      <c r="AB339">
        <v>0</v>
      </c>
      <c r="AC339">
        <v>9</v>
      </c>
      <c r="AD339">
        <v>3</v>
      </c>
      <c r="AE339">
        <v>0</v>
      </c>
      <c r="AF339">
        <v>9</v>
      </c>
      <c r="AG339" t="s">
        <v>158</v>
      </c>
      <c r="AH339">
        <v>0</v>
      </c>
      <c r="AI339">
        <v>3</v>
      </c>
      <c r="AJ339">
        <v>1</v>
      </c>
      <c r="AK339">
        <v>0</v>
      </c>
      <c r="AL339" t="s">
        <v>747</v>
      </c>
      <c r="AM339">
        <v>47.013244999999998</v>
      </c>
      <c r="AN339" t="s">
        <v>748</v>
      </c>
      <c r="AO339">
        <v>-122.298603</v>
      </c>
      <c r="AP339">
        <v>100</v>
      </c>
      <c r="AQ339">
        <v>2000</v>
      </c>
      <c r="AR339" t="s">
        <v>118</v>
      </c>
      <c r="AS339">
        <v>-22</v>
      </c>
      <c r="AT339">
        <v>-80</v>
      </c>
      <c r="AU339">
        <v>-192</v>
      </c>
      <c r="BC339">
        <v>1200</v>
      </c>
      <c r="BD339">
        <v>1</v>
      </c>
      <c r="BE339" t="str">
        <f t="shared" si="17"/>
        <v xml:space="preserve">N215T   </v>
      </c>
      <c r="BF339">
        <v>1</v>
      </c>
      <c r="BH339">
        <v>0</v>
      </c>
      <c r="BI339">
        <v>0</v>
      </c>
      <c r="BJ339">
        <v>0</v>
      </c>
      <c r="BK339">
        <v>2375</v>
      </c>
      <c r="BL339">
        <v>375</v>
      </c>
      <c r="BM339" t="s">
        <v>119</v>
      </c>
      <c r="BN339">
        <v>1</v>
      </c>
      <c r="BO339">
        <v>1</v>
      </c>
      <c r="BP339">
        <v>1</v>
      </c>
      <c r="BQ339">
        <v>0</v>
      </c>
      <c r="BT339">
        <v>0</v>
      </c>
      <c r="BU339">
        <v>0</v>
      </c>
      <c r="BV339">
        <v>0</v>
      </c>
      <c r="CC339" t="str">
        <f>"18:40:06.750"</f>
        <v>18:40:06.750</v>
      </c>
      <c r="CD339" t="str">
        <f>"746589515"</f>
        <v>746589515</v>
      </c>
      <c r="CQ339">
        <v>0</v>
      </c>
      <c r="CR339">
        <v>2</v>
      </c>
      <c r="CS339">
        <v>0</v>
      </c>
      <c r="CT339">
        <v>2</v>
      </c>
      <c r="CU339">
        <v>0</v>
      </c>
      <c r="CV339">
        <v>4</v>
      </c>
      <c r="CW339" t="s">
        <v>120</v>
      </c>
      <c r="CX339">
        <v>259</v>
      </c>
      <c r="CY339">
        <v>1</v>
      </c>
      <c r="CZ339" t="s">
        <v>197</v>
      </c>
      <c r="DA339" t="s">
        <v>198</v>
      </c>
      <c r="DD339">
        <v>14851807</v>
      </c>
      <c r="DE339" t="s">
        <v>123</v>
      </c>
    </row>
    <row r="340" spans="1:109" x14ac:dyDescent="0.3">
      <c r="A340" t="str">
        <f>"18:40:08.172"</f>
        <v>18:40:08.172</v>
      </c>
      <c r="B340" t="s">
        <v>110</v>
      </c>
      <c r="C340" t="str">
        <f t="shared" si="15"/>
        <v>ffdfd3c0</v>
      </c>
      <c r="D340" t="s">
        <v>111</v>
      </c>
      <c r="E340">
        <v>18</v>
      </c>
      <c r="F340">
        <v>1018</v>
      </c>
      <c r="G340" t="s">
        <v>112</v>
      </c>
      <c r="J340" t="s">
        <v>113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R340" t="s">
        <v>114</v>
      </c>
      <c r="S340" t="str">
        <f>"18:40:07.930"</f>
        <v>18:40:07.930</v>
      </c>
      <c r="T340" t="str">
        <f>"18:40:07.531"</f>
        <v>18:40:07.531</v>
      </c>
      <c r="U340" t="str">
        <f t="shared" si="16"/>
        <v>a1cdbe</v>
      </c>
      <c r="V340">
        <v>0</v>
      </c>
      <c r="W340">
        <v>0</v>
      </c>
      <c r="X340">
        <v>1</v>
      </c>
      <c r="Y340">
        <v>0</v>
      </c>
      <c r="Z340">
        <v>0</v>
      </c>
      <c r="AB340">
        <v>0</v>
      </c>
      <c r="AC340">
        <v>9</v>
      </c>
      <c r="AD340">
        <v>3</v>
      </c>
      <c r="AE340">
        <v>0</v>
      </c>
      <c r="AF340">
        <v>9</v>
      </c>
      <c r="AG340" t="s">
        <v>158</v>
      </c>
      <c r="AH340">
        <v>0</v>
      </c>
      <c r="AI340">
        <v>3</v>
      </c>
      <c r="AJ340">
        <v>1</v>
      </c>
      <c r="AK340">
        <v>0</v>
      </c>
      <c r="AL340" t="s">
        <v>749</v>
      </c>
      <c r="AM340">
        <v>47.012773000000003</v>
      </c>
      <c r="AN340" t="s">
        <v>750</v>
      </c>
      <c r="AO340">
        <v>-122.298818</v>
      </c>
      <c r="AP340">
        <v>100</v>
      </c>
      <c r="AQ340">
        <v>2000</v>
      </c>
      <c r="AR340" t="s">
        <v>118</v>
      </c>
      <c r="AS340">
        <v>-21</v>
      </c>
      <c r="AT340">
        <v>-80</v>
      </c>
      <c r="AU340">
        <v>-128</v>
      </c>
      <c r="BC340">
        <v>1200</v>
      </c>
      <c r="BD340">
        <v>1</v>
      </c>
      <c r="BE340" t="str">
        <f t="shared" si="17"/>
        <v xml:space="preserve">N215T   </v>
      </c>
      <c r="BF340">
        <v>1</v>
      </c>
      <c r="BH340">
        <v>0</v>
      </c>
      <c r="BI340">
        <v>0</v>
      </c>
      <c r="BJ340">
        <v>0</v>
      </c>
      <c r="BK340">
        <v>2375</v>
      </c>
      <c r="BL340">
        <v>375</v>
      </c>
      <c r="BM340" t="s">
        <v>119</v>
      </c>
      <c r="BN340">
        <v>1</v>
      </c>
      <c r="BO340">
        <v>1</v>
      </c>
      <c r="BP340">
        <v>1</v>
      </c>
      <c r="BQ340">
        <v>0</v>
      </c>
      <c r="BT340">
        <v>0</v>
      </c>
      <c r="BU340">
        <v>0</v>
      </c>
      <c r="BV340">
        <v>0</v>
      </c>
      <c r="CC340" t="str">
        <f>"18:40:07.930"</f>
        <v>18:40:07.930</v>
      </c>
      <c r="CD340" t="str">
        <f>"931585375"</f>
        <v>931585375</v>
      </c>
      <c r="CQ340">
        <v>0</v>
      </c>
      <c r="CR340">
        <v>2</v>
      </c>
      <c r="CS340">
        <v>0</v>
      </c>
      <c r="CT340">
        <v>2</v>
      </c>
      <c r="CU340">
        <v>0</v>
      </c>
      <c r="CV340">
        <v>4</v>
      </c>
      <c r="CW340" t="s">
        <v>120</v>
      </c>
      <c r="CX340">
        <v>257</v>
      </c>
      <c r="CY340">
        <v>1</v>
      </c>
      <c r="CZ340" t="s">
        <v>615</v>
      </c>
      <c r="DA340" t="s">
        <v>616</v>
      </c>
      <c r="DD340">
        <v>10678736</v>
      </c>
      <c r="DE340" t="s">
        <v>123</v>
      </c>
    </row>
    <row r="341" spans="1:109" x14ac:dyDescent="0.3">
      <c r="A341" t="str">
        <f>"18:40:09.125"</f>
        <v>18:40:09.125</v>
      </c>
      <c r="B341" t="s">
        <v>110</v>
      </c>
      <c r="C341" t="str">
        <f t="shared" si="15"/>
        <v>ffdfd3c0</v>
      </c>
      <c r="D341" t="s">
        <v>111</v>
      </c>
      <c r="E341">
        <v>18</v>
      </c>
      <c r="F341">
        <v>1018</v>
      </c>
      <c r="G341" t="s">
        <v>112</v>
      </c>
      <c r="J341" t="s">
        <v>113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R341" t="s">
        <v>114</v>
      </c>
      <c r="S341" t="str">
        <f>"18:40:08.875"</f>
        <v>18:40:08.875</v>
      </c>
      <c r="T341" t="str">
        <f>"18:40:08.477"</f>
        <v>18:40:08.477</v>
      </c>
      <c r="U341" t="str">
        <f t="shared" si="16"/>
        <v>a1cdbe</v>
      </c>
      <c r="V341">
        <v>0</v>
      </c>
      <c r="W341">
        <v>0</v>
      </c>
      <c r="X341">
        <v>1</v>
      </c>
      <c r="Y341">
        <v>0</v>
      </c>
      <c r="Z341">
        <v>0</v>
      </c>
      <c r="AB341">
        <v>0</v>
      </c>
      <c r="AC341">
        <v>9</v>
      </c>
      <c r="AD341">
        <v>3</v>
      </c>
      <c r="AE341">
        <v>0</v>
      </c>
      <c r="AF341">
        <v>9</v>
      </c>
      <c r="AG341" t="s">
        <v>158</v>
      </c>
      <c r="AH341">
        <v>0</v>
      </c>
      <c r="AI341">
        <v>3</v>
      </c>
      <c r="AJ341">
        <v>1</v>
      </c>
      <c r="AK341">
        <v>0</v>
      </c>
      <c r="AL341" t="s">
        <v>751</v>
      </c>
      <c r="AM341">
        <v>47.012428999999997</v>
      </c>
      <c r="AN341" t="s">
        <v>752</v>
      </c>
      <c r="AO341">
        <v>-122.29898900000001</v>
      </c>
      <c r="AP341">
        <v>100</v>
      </c>
      <c r="AQ341">
        <v>2000</v>
      </c>
      <c r="AR341" t="s">
        <v>118</v>
      </c>
      <c r="AS341">
        <v>-21</v>
      </c>
      <c r="AT341">
        <v>-80</v>
      </c>
      <c r="AU341">
        <v>-64</v>
      </c>
      <c r="BC341">
        <v>1200</v>
      </c>
      <c r="BD341">
        <v>1</v>
      </c>
      <c r="BE341" t="str">
        <f t="shared" si="17"/>
        <v xml:space="preserve">N215T   </v>
      </c>
      <c r="BF341">
        <v>1</v>
      </c>
      <c r="BH341">
        <v>0</v>
      </c>
      <c r="BI341">
        <v>0</v>
      </c>
      <c r="BJ341">
        <v>0</v>
      </c>
      <c r="BK341">
        <v>2375</v>
      </c>
      <c r="BL341">
        <v>375</v>
      </c>
      <c r="BM341" t="s">
        <v>119</v>
      </c>
      <c r="BN341">
        <v>1</v>
      </c>
      <c r="BO341">
        <v>1</v>
      </c>
      <c r="BP341">
        <v>1</v>
      </c>
      <c r="BQ341">
        <v>0</v>
      </c>
      <c r="BT341">
        <v>0</v>
      </c>
      <c r="BU341">
        <v>0</v>
      </c>
      <c r="BV341">
        <v>0</v>
      </c>
      <c r="CC341" t="str">
        <f>"18:40:08.875"</f>
        <v>18:40:08.875</v>
      </c>
      <c r="CD341" t="str">
        <f>"876492263"</f>
        <v>876492263</v>
      </c>
      <c r="CQ341">
        <v>0</v>
      </c>
      <c r="CR341">
        <v>2</v>
      </c>
      <c r="CS341">
        <v>0</v>
      </c>
      <c r="CT341">
        <v>2</v>
      </c>
      <c r="CU341">
        <v>0</v>
      </c>
      <c r="CV341">
        <v>5</v>
      </c>
      <c r="CW341" t="s">
        <v>120</v>
      </c>
      <c r="CX341">
        <v>257</v>
      </c>
      <c r="CY341">
        <v>1</v>
      </c>
      <c r="CZ341" t="s">
        <v>615</v>
      </c>
      <c r="DA341" t="s">
        <v>616</v>
      </c>
      <c r="DD341">
        <v>10679281</v>
      </c>
      <c r="DE341" t="s">
        <v>123</v>
      </c>
    </row>
    <row r="342" spans="1:109" x14ac:dyDescent="0.3">
      <c r="A342" t="str">
        <f>"18:40:10.031"</f>
        <v>18:40:10.031</v>
      </c>
      <c r="B342" t="s">
        <v>110</v>
      </c>
      <c r="C342" t="str">
        <f t="shared" si="15"/>
        <v>ffdfd3c0</v>
      </c>
      <c r="D342" t="s">
        <v>111</v>
      </c>
      <c r="E342">
        <v>18</v>
      </c>
      <c r="F342">
        <v>1018</v>
      </c>
      <c r="G342" t="s">
        <v>112</v>
      </c>
      <c r="J342" t="s">
        <v>113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R342" t="s">
        <v>114</v>
      </c>
      <c r="S342" t="str">
        <f>"18:40:09.820"</f>
        <v>18:40:09.820</v>
      </c>
      <c r="T342" t="str">
        <f>"18:40:09.820"</f>
        <v>18:40:09.820</v>
      </c>
      <c r="U342" t="str">
        <f t="shared" si="16"/>
        <v>a1cdbe</v>
      </c>
      <c r="V342">
        <v>0</v>
      </c>
      <c r="W342">
        <v>0</v>
      </c>
      <c r="X342">
        <v>1</v>
      </c>
      <c r="Y342">
        <v>0</v>
      </c>
      <c r="Z342">
        <v>0</v>
      </c>
      <c r="AB342">
        <v>0</v>
      </c>
      <c r="AC342">
        <v>9</v>
      </c>
      <c r="AD342">
        <v>3</v>
      </c>
      <c r="AE342">
        <v>0</v>
      </c>
      <c r="AF342">
        <v>9</v>
      </c>
      <c r="AG342" t="s">
        <v>158</v>
      </c>
      <c r="AH342">
        <v>0</v>
      </c>
      <c r="AI342">
        <v>3</v>
      </c>
      <c r="AJ342">
        <v>1</v>
      </c>
      <c r="AK342">
        <v>0</v>
      </c>
      <c r="AL342" t="s">
        <v>753</v>
      </c>
      <c r="AM342">
        <v>47.012085999999996</v>
      </c>
      <c r="AN342" t="s">
        <v>754</v>
      </c>
      <c r="AO342">
        <v>-122.299097</v>
      </c>
      <c r="AP342">
        <v>100</v>
      </c>
      <c r="AQ342">
        <v>2000</v>
      </c>
      <c r="AR342" t="s">
        <v>118</v>
      </c>
      <c r="AS342">
        <v>-21</v>
      </c>
      <c r="AT342">
        <v>-80</v>
      </c>
      <c r="AU342">
        <v>64</v>
      </c>
      <c r="BC342">
        <v>1200</v>
      </c>
      <c r="BD342">
        <v>1</v>
      </c>
      <c r="BE342" t="str">
        <f t="shared" si="17"/>
        <v xml:space="preserve">N215T   </v>
      </c>
      <c r="BF342">
        <v>1</v>
      </c>
      <c r="BH342">
        <v>0</v>
      </c>
      <c r="BI342">
        <v>0</v>
      </c>
      <c r="BJ342">
        <v>0</v>
      </c>
      <c r="BK342">
        <v>2375</v>
      </c>
      <c r="BL342">
        <v>375</v>
      </c>
      <c r="BM342" t="s">
        <v>119</v>
      </c>
      <c r="BN342">
        <v>1</v>
      </c>
      <c r="BO342">
        <v>1</v>
      </c>
      <c r="BP342">
        <v>1</v>
      </c>
      <c r="BQ342">
        <v>0</v>
      </c>
      <c r="BT342">
        <v>0</v>
      </c>
      <c r="BU342">
        <v>0</v>
      </c>
      <c r="BV342">
        <v>0</v>
      </c>
      <c r="CC342" t="str">
        <f>"18:40:09.820"</f>
        <v>18:40:09.820</v>
      </c>
      <c r="CD342" t="str">
        <f>"821399148"</f>
        <v>821399148</v>
      </c>
      <c r="CQ342">
        <v>0</v>
      </c>
      <c r="CR342">
        <v>2</v>
      </c>
      <c r="CS342">
        <v>0</v>
      </c>
      <c r="CT342">
        <v>2</v>
      </c>
      <c r="CU342">
        <v>0</v>
      </c>
      <c r="CV342">
        <v>5</v>
      </c>
      <c r="CW342" t="s">
        <v>120</v>
      </c>
      <c r="CX342">
        <v>257</v>
      </c>
      <c r="CY342">
        <v>1</v>
      </c>
      <c r="CZ342" t="s">
        <v>615</v>
      </c>
      <c r="DA342" t="s">
        <v>616</v>
      </c>
      <c r="DD342">
        <v>10679845</v>
      </c>
      <c r="DE342" t="s">
        <v>123</v>
      </c>
    </row>
    <row r="343" spans="1:109" x14ac:dyDescent="0.3">
      <c r="A343" t="str">
        <f>"18:40:11.039"</f>
        <v>18:40:11.039</v>
      </c>
      <c r="B343" t="s">
        <v>110</v>
      </c>
      <c r="C343" t="str">
        <f t="shared" si="15"/>
        <v>ffdfd3c0</v>
      </c>
      <c r="D343" t="s">
        <v>111</v>
      </c>
      <c r="E343">
        <v>18</v>
      </c>
      <c r="F343">
        <v>1018</v>
      </c>
      <c r="G343" t="s">
        <v>112</v>
      </c>
      <c r="J343" t="s">
        <v>113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R343" t="s">
        <v>114</v>
      </c>
      <c r="S343" t="str">
        <f>"18:40:10.820"</f>
        <v>18:40:10.820</v>
      </c>
      <c r="T343" t="str">
        <f>"18:40:10.320"</f>
        <v>18:40:10.320</v>
      </c>
      <c r="U343" t="str">
        <f t="shared" si="16"/>
        <v>a1cdbe</v>
      </c>
      <c r="V343">
        <v>0</v>
      </c>
      <c r="W343">
        <v>0</v>
      </c>
      <c r="X343">
        <v>1</v>
      </c>
      <c r="Y343">
        <v>0</v>
      </c>
      <c r="Z343">
        <v>0</v>
      </c>
      <c r="AB343">
        <v>0</v>
      </c>
      <c r="AC343">
        <v>9</v>
      </c>
      <c r="AD343">
        <v>3</v>
      </c>
      <c r="AE343">
        <v>0</v>
      </c>
      <c r="AF343">
        <v>9</v>
      </c>
      <c r="AG343" t="s">
        <v>158</v>
      </c>
      <c r="AH343">
        <v>0</v>
      </c>
      <c r="AI343">
        <v>3</v>
      </c>
      <c r="AJ343">
        <v>1</v>
      </c>
      <c r="AK343">
        <v>0</v>
      </c>
      <c r="AL343" t="s">
        <v>755</v>
      </c>
      <c r="AM343">
        <v>47.011743000000003</v>
      </c>
      <c r="AN343" t="s">
        <v>756</v>
      </c>
      <c r="AO343">
        <v>-122.29924699999999</v>
      </c>
      <c r="AP343">
        <v>100</v>
      </c>
      <c r="AQ343">
        <v>2000</v>
      </c>
      <c r="AR343" t="s">
        <v>118</v>
      </c>
      <c r="AS343">
        <v>-22</v>
      </c>
      <c r="AT343">
        <v>-80</v>
      </c>
      <c r="AU343">
        <v>64</v>
      </c>
      <c r="BC343">
        <v>1200</v>
      </c>
      <c r="BD343">
        <v>1</v>
      </c>
      <c r="BE343" t="str">
        <f t="shared" si="17"/>
        <v xml:space="preserve">N215T   </v>
      </c>
      <c r="BF343">
        <v>1</v>
      </c>
      <c r="BH343">
        <v>0</v>
      </c>
      <c r="BI343">
        <v>0</v>
      </c>
      <c r="BJ343">
        <v>0</v>
      </c>
      <c r="BK343">
        <v>2375</v>
      </c>
      <c r="BL343">
        <v>375</v>
      </c>
      <c r="BM343" t="s">
        <v>119</v>
      </c>
      <c r="BN343">
        <v>1</v>
      </c>
      <c r="BO343">
        <v>1</v>
      </c>
      <c r="BP343">
        <v>1</v>
      </c>
      <c r="BQ343">
        <v>0</v>
      </c>
      <c r="BT343">
        <v>0</v>
      </c>
      <c r="BU343">
        <v>0</v>
      </c>
      <c r="BV343">
        <v>0</v>
      </c>
      <c r="CC343" t="str">
        <f>"18:40:10.828"</f>
        <v>18:40:10.828</v>
      </c>
      <c r="CD343" t="str">
        <f>"826300102"</f>
        <v>826300102</v>
      </c>
      <c r="CQ343">
        <v>0</v>
      </c>
      <c r="CR343">
        <v>2</v>
      </c>
      <c r="CS343">
        <v>0</v>
      </c>
      <c r="CT343">
        <v>2</v>
      </c>
      <c r="CU343">
        <v>0</v>
      </c>
      <c r="CV343">
        <v>4</v>
      </c>
      <c r="CW343" t="s">
        <v>120</v>
      </c>
      <c r="CX343">
        <v>257</v>
      </c>
      <c r="CY343">
        <v>1</v>
      </c>
      <c r="CZ343" t="s">
        <v>615</v>
      </c>
      <c r="DA343" t="s">
        <v>616</v>
      </c>
      <c r="DD343">
        <v>10680458</v>
      </c>
      <c r="DE343" t="s">
        <v>123</v>
      </c>
    </row>
    <row r="344" spans="1:109" x14ac:dyDescent="0.3">
      <c r="A344" t="str">
        <f>"18:40:12.094"</f>
        <v>18:40:12.094</v>
      </c>
      <c r="B344" t="s">
        <v>110</v>
      </c>
      <c r="C344" t="str">
        <f t="shared" si="15"/>
        <v>ffdfd3c0</v>
      </c>
      <c r="D344" t="s">
        <v>111</v>
      </c>
      <c r="E344">
        <v>18</v>
      </c>
      <c r="F344">
        <v>1018</v>
      </c>
      <c r="G344" t="s">
        <v>112</v>
      </c>
      <c r="J344" t="s">
        <v>113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R344" t="s">
        <v>114</v>
      </c>
      <c r="S344" t="str">
        <f>"18:40:11.859"</f>
        <v>18:40:11.859</v>
      </c>
      <c r="T344" t="str">
        <f>"18:40:11.461"</f>
        <v>18:40:11.461</v>
      </c>
      <c r="U344" t="str">
        <f t="shared" si="16"/>
        <v>a1cdbe</v>
      </c>
      <c r="V344">
        <v>0</v>
      </c>
      <c r="W344">
        <v>0</v>
      </c>
      <c r="X344">
        <v>1</v>
      </c>
      <c r="Y344">
        <v>0</v>
      </c>
      <c r="Z344">
        <v>0</v>
      </c>
      <c r="AB344">
        <v>0</v>
      </c>
      <c r="AC344">
        <v>9</v>
      </c>
      <c r="AD344">
        <v>3</v>
      </c>
      <c r="AE344">
        <v>0</v>
      </c>
      <c r="AF344">
        <v>9</v>
      </c>
      <c r="AG344" t="s">
        <v>158</v>
      </c>
      <c r="AH344">
        <v>0</v>
      </c>
      <c r="AI344">
        <v>3</v>
      </c>
      <c r="AJ344">
        <v>1</v>
      </c>
      <c r="AK344">
        <v>0</v>
      </c>
      <c r="AL344" t="s">
        <v>757</v>
      </c>
      <c r="AM344">
        <v>47.011335000000003</v>
      </c>
      <c r="AN344" t="s">
        <v>758</v>
      </c>
      <c r="AO344">
        <v>-122.299376</v>
      </c>
      <c r="AP344">
        <v>100</v>
      </c>
      <c r="AQ344">
        <v>2000</v>
      </c>
      <c r="AR344" t="s">
        <v>118</v>
      </c>
      <c r="AS344">
        <v>-23</v>
      </c>
      <c r="AT344">
        <v>-79</v>
      </c>
      <c r="AU344">
        <v>64</v>
      </c>
      <c r="BC344">
        <v>1200</v>
      </c>
      <c r="BD344">
        <v>1</v>
      </c>
      <c r="BE344" t="str">
        <f t="shared" si="17"/>
        <v xml:space="preserve">N215T   </v>
      </c>
      <c r="BF344">
        <v>1</v>
      </c>
      <c r="BH344">
        <v>0</v>
      </c>
      <c r="BI344">
        <v>0</v>
      </c>
      <c r="BJ344">
        <v>0</v>
      </c>
      <c r="BK344">
        <v>2375</v>
      </c>
      <c r="BL344">
        <v>375</v>
      </c>
      <c r="BM344" t="s">
        <v>119</v>
      </c>
      <c r="BN344">
        <v>1</v>
      </c>
      <c r="BO344">
        <v>1</v>
      </c>
      <c r="BP344">
        <v>1</v>
      </c>
      <c r="BQ344">
        <v>0</v>
      </c>
      <c r="BT344">
        <v>0</v>
      </c>
      <c r="BU344">
        <v>0</v>
      </c>
      <c r="BV344">
        <v>0</v>
      </c>
      <c r="CC344" t="str">
        <f>"18:40:11.859"</f>
        <v>18:40:11.859</v>
      </c>
      <c r="CD344" t="str">
        <f>"861086735"</f>
        <v>861086735</v>
      </c>
      <c r="CQ344">
        <v>0</v>
      </c>
      <c r="CR344">
        <v>2</v>
      </c>
      <c r="CS344">
        <v>0</v>
      </c>
      <c r="CT344">
        <v>2</v>
      </c>
      <c r="CU344">
        <v>0</v>
      </c>
      <c r="CV344">
        <v>4</v>
      </c>
      <c r="CW344" t="s">
        <v>120</v>
      </c>
      <c r="CX344">
        <v>259</v>
      </c>
      <c r="CY344">
        <v>1</v>
      </c>
      <c r="CZ344" t="s">
        <v>197</v>
      </c>
      <c r="DA344" t="s">
        <v>198</v>
      </c>
      <c r="DD344">
        <v>14855464</v>
      </c>
      <c r="DE344" t="s">
        <v>123</v>
      </c>
    </row>
    <row r="345" spans="1:109" x14ac:dyDescent="0.3">
      <c r="A345" t="str">
        <f>"18:40:13.203"</f>
        <v>18:40:13.203</v>
      </c>
      <c r="B345" t="s">
        <v>110</v>
      </c>
      <c r="C345" t="str">
        <f t="shared" si="15"/>
        <v>ffdfd3c0</v>
      </c>
      <c r="D345" t="s">
        <v>111</v>
      </c>
      <c r="E345">
        <v>18</v>
      </c>
      <c r="F345">
        <v>1018</v>
      </c>
      <c r="G345" t="s">
        <v>112</v>
      </c>
      <c r="J345" t="s">
        <v>113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R345" t="s">
        <v>114</v>
      </c>
      <c r="S345" t="str">
        <f>"18:40:12.984"</f>
        <v>18:40:12.984</v>
      </c>
      <c r="T345" t="str">
        <f>"18:40:12.984"</f>
        <v>18:40:12.984</v>
      </c>
      <c r="U345" t="str">
        <f t="shared" si="16"/>
        <v>a1cdbe</v>
      </c>
      <c r="V345">
        <v>0</v>
      </c>
      <c r="W345">
        <v>0</v>
      </c>
      <c r="X345">
        <v>1</v>
      </c>
      <c r="Y345">
        <v>0</v>
      </c>
      <c r="Z345">
        <v>0</v>
      </c>
      <c r="AB345">
        <v>0</v>
      </c>
      <c r="AC345">
        <v>9</v>
      </c>
      <c r="AD345">
        <v>3</v>
      </c>
      <c r="AE345">
        <v>0</v>
      </c>
      <c r="AF345">
        <v>9</v>
      </c>
      <c r="AG345" t="s">
        <v>158</v>
      </c>
      <c r="AH345">
        <v>0</v>
      </c>
      <c r="AI345">
        <v>3</v>
      </c>
      <c r="AJ345">
        <v>1</v>
      </c>
      <c r="AK345">
        <v>0</v>
      </c>
      <c r="AL345" t="s">
        <v>759</v>
      </c>
      <c r="AM345">
        <v>47.010927000000002</v>
      </c>
      <c r="AN345" t="s">
        <v>760</v>
      </c>
      <c r="AO345">
        <v>-122.299526</v>
      </c>
      <c r="AP345">
        <v>100</v>
      </c>
      <c r="AQ345">
        <v>2000</v>
      </c>
      <c r="AR345" t="s">
        <v>118</v>
      </c>
      <c r="AS345">
        <v>-23</v>
      </c>
      <c r="AT345">
        <v>-78</v>
      </c>
      <c r="AU345">
        <v>192</v>
      </c>
      <c r="BC345">
        <v>1200</v>
      </c>
      <c r="BD345">
        <v>1</v>
      </c>
      <c r="BE345" t="str">
        <f t="shared" si="17"/>
        <v xml:space="preserve">N215T   </v>
      </c>
      <c r="BF345">
        <v>1</v>
      </c>
      <c r="BH345">
        <v>0</v>
      </c>
      <c r="BI345">
        <v>0</v>
      </c>
      <c r="BJ345">
        <v>0</v>
      </c>
      <c r="BK345">
        <v>2375</v>
      </c>
      <c r="BL345">
        <v>375</v>
      </c>
      <c r="BM345" t="s">
        <v>119</v>
      </c>
      <c r="BN345">
        <v>1</v>
      </c>
      <c r="BO345">
        <v>1</v>
      </c>
      <c r="BP345">
        <v>1</v>
      </c>
      <c r="BQ345">
        <v>0</v>
      </c>
      <c r="BT345">
        <v>0</v>
      </c>
      <c r="BU345">
        <v>0</v>
      </c>
      <c r="BV345">
        <v>0</v>
      </c>
      <c r="CC345" t="str">
        <f>"18:40:12.984"</f>
        <v>18:40:12.984</v>
      </c>
      <c r="CD345" t="str">
        <f>"986087276"</f>
        <v>986087276</v>
      </c>
      <c r="CQ345">
        <v>0</v>
      </c>
      <c r="CR345">
        <v>2</v>
      </c>
      <c r="CS345">
        <v>0</v>
      </c>
      <c r="CT345">
        <v>2</v>
      </c>
      <c r="CU345">
        <v>0</v>
      </c>
      <c r="CV345">
        <v>5</v>
      </c>
      <c r="CW345" t="s">
        <v>120</v>
      </c>
      <c r="CX345">
        <v>257</v>
      </c>
      <c r="CY345">
        <v>1</v>
      </c>
      <c r="CZ345" t="s">
        <v>615</v>
      </c>
      <c r="DA345" t="s">
        <v>616</v>
      </c>
      <c r="DD345">
        <v>10681814</v>
      </c>
      <c r="DE345" t="s">
        <v>123</v>
      </c>
    </row>
    <row r="346" spans="1:109" x14ac:dyDescent="0.3">
      <c r="A346" t="str">
        <f>"18:40:14.359"</f>
        <v>18:40:14.359</v>
      </c>
      <c r="B346" t="s">
        <v>110</v>
      </c>
      <c r="C346" t="str">
        <f t="shared" si="15"/>
        <v>ffdfd3c0</v>
      </c>
      <c r="D346" t="s">
        <v>111</v>
      </c>
      <c r="E346">
        <v>18</v>
      </c>
      <c r="F346">
        <v>1018</v>
      </c>
      <c r="G346" t="s">
        <v>112</v>
      </c>
      <c r="J346" t="s">
        <v>113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R346" t="s">
        <v>114</v>
      </c>
      <c r="S346" t="str">
        <f>"18:40:14.141"</f>
        <v>18:40:14.141</v>
      </c>
      <c r="T346" t="str">
        <f>"18:40:13.844"</f>
        <v>18:40:13.844</v>
      </c>
      <c r="U346" t="str">
        <f t="shared" si="16"/>
        <v>a1cdbe</v>
      </c>
      <c r="V346">
        <v>0</v>
      </c>
      <c r="W346">
        <v>0</v>
      </c>
      <c r="X346">
        <v>1</v>
      </c>
      <c r="Y346">
        <v>0</v>
      </c>
      <c r="Z346">
        <v>0</v>
      </c>
      <c r="AB346">
        <v>0</v>
      </c>
      <c r="AC346">
        <v>9</v>
      </c>
      <c r="AD346">
        <v>3</v>
      </c>
      <c r="AE346">
        <v>0</v>
      </c>
      <c r="AF346">
        <v>9</v>
      </c>
      <c r="AG346" t="s">
        <v>158</v>
      </c>
      <c r="AH346">
        <v>0</v>
      </c>
      <c r="AI346">
        <v>3</v>
      </c>
      <c r="AJ346">
        <v>1</v>
      </c>
      <c r="AK346">
        <v>0</v>
      </c>
      <c r="AL346" t="s">
        <v>761</v>
      </c>
      <c r="AM346">
        <v>47.010497999999998</v>
      </c>
      <c r="AN346" t="s">
        <v>762</v>
      </c>
      <c r="AO346">
        <v>-122.29974</v>
      </c>
      <c r="AP346">
        <v>100</v>
      </c>
      <c r="AQ346">
        <v>2000</v>
      </c>
      <c r="AR346" t="s">
        <v>118</v>
      </c>
      <c r="AS346">
        <v>-23</v>
      </c>
      <c r="AT346">
        <v>-78</v>
      </c>
      <c r="AU346">
        <v>192</v>
      </c>
      <c r="BC346">
        <v>1200</v>
      </c>
      <c r="BD346">
        <v>1</v>
      </c>
      <c r="BE346" t="str">
        <f t="shared" si="17"/>
        <v xml:space="preserve">N215T   </v>
      </c>
      <c r="BF346">
        <v>1</v>
      </c>
      <c r="BH346">
        <v>0</v>
      </c>
      <c r="BI346">
        <v>0</v>
      </c>
      <c r="BJ346">
        <v>0</v>
      </c>
      <c r="BK346">
        <v>2375</v>
      </c>
      <c r="BL346">
        <v>375</v>
      </c>
      <c r="BM346" t="s">
        <v>119</v>
      </c>
      <c r="BN346">
        <v>1</v>
      </c>
      <c r="BO346">
        <v>1</v>
      </c>
      <c r="BP346">
        <v>1</v>
      </c>
      <c r="BQ346">
        <v>0</v>
      </c>
      <c r="BT346">
        <v>0</v>
      </c>
      <c r="BU346">
        <v>0</v>
      </c>
      <c r="BV346">
        <v>0</v>
      </c>
      <c r="CC346" t="str">
        <f>"18:40:14.141"</f>
        <v>18:40:14.141</v>
      </c>
      <c r="CD346" t="str">
        <f>"140747305"</f>
        <v>140747305</v>
      </c>
      <c r="CQ346">
        <v>0</v>
      </c>
      <c r="CR346">
        <v>2</v>
      </c>
      <c r="CS346">
        <v>0</v>
      </c>
      <c r="CT346">
        <v>2</v>
      </c>
      <c r="CU346">
        <v>0</v>
      </c>
      <c r="CV346">
        <v>4</v>
      </c>
      <c r="CW346" t="s">
        <v>120</v>
      </c>
      <c r="CX346">
        <v>261</v>
      </c>
      <c r="CY346">
        <v>1</v>
      </c>
      <c r="CZ346" t="s">
        <v>121</v>
      </c>
      <c r="DA346" t="s">
        <v>122</v>
      </c>
      <c r="DD346">
        <v>3303501</v>
      </c>
      <c r="DE346" t="s">
        <v>123</v>
      </c>
    </row>
    <row r="347" spans="1:109" x14ac:dyDescent="0.3">
      <c r="A347" t="str">
        <f>"18:40:15.766"</f>
        <v>18:40:15.766</v>
      </c>
      <c r="B347" t="s">
        <v>110</v>
      </c>
      <c r="C347" t="str">
        <f t="shared" si="15"/>
        <v>ffdfd3c0</v>
      </c>
      <c r="D347" t="s">
        <v>111</v>
      </c>
      <c r="E347">
        <v>18</v>
      </c>
      <c r="F347">
        <v>1018</v>
      </c>
      <c r="G347" t="s">
        <v>112</v>
      </c>
      <c r="J347" t="s">
        <v>113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R347" t="s">
        <v>114</v>
      </c>
      <c r="S347" t="str">
        <f>"18:40:15.516"</f>
        <v>18:40:15.516</v>
      </c>
      <c r="T347" t="str">
        <f>"18:40:15.414"</f>
        <v>18:40:15.414</v>
      </c>
      <c r="U347" t="str">
        <f t="shared" si="16"/>
        <v>a1cdbe</v>
      </c>
      <c r="V347">
        <v>0</v>
      </c>
      <c r="W347">
        <v>0</v>
      </c>
      <c r="X347">
        <v>1</v>
      </c>
      <c r="Y347">
        <v>0</v>
      </c>
      <c r="Z347">
        <v>0</v>
      </c>
      <c r="AB347">
        <v>0</v>
      </c>
      <c r="AC347">
        <v>9</v>
      </c>
      <c r="AD347">
        <v>3</v>
      </c>
      <c r="AE347">
        <v>0</v>
      </c>
      <c r="AF347">
        <v>9</v>
      </c>
      <c r="AG347" t="s">
        <v>158</v>
      </c>
      <c r="AH347">
        <v>0</v>
      </c>
      <c r="AI347">
        <v>3</v>
      </c>
      <c r="AJ347">
        <v>1</v>
      </c>
      <c r="AK347">
        <v>0</v>
      </c>
      <c r="AL347" t="s">
        <v>763</v>
      </c>
      <c r="AM347">
        <v>47.010026000000003</v>
      </c>
      <c r="AN347" t="s">
        <v>764</v>
      </c>
      <c r="AO347">
        <v>-122.299955</v>
      </c>
      <c r="AP347">
        <v>100</v>
      </c>
      <c r="AQ347">
        <v>2000</v>
      </c>
      <c r="AR347" t="s">
        <v>118</v>
      </c>
      <c r="AS347">
        <v>-23</v>
      </c>
      <c r="AT347">
        <v>-77</v>
      </c>
      <c r="AU347">
        <v>128</v>
      </c>
      <c r="BC347">
        <v>1200</v>
      </c>
      <c r="BD347">
        <v>1</v>
      </c>
      <c r="BE347" t="str">
        <f t="shared" si="17"/>
        <v xml:space="preserve">N215T   </v>
      </c>
      <c r="BF347">
        <v>1</v>
      </c>
      <c r="BH347">
        <v>0</v>
      </c>
      <c r="BI347">
        <v>0</v>
      </c>
      <c r="BJ347">
        <v>0</v>
      </c>
      <c r="BK347">
        <v>2375</v>
      </c>
      <c r="BL347">
        <v>375</v>
      </c>
      <c r="BM347" t="s">
        <v>119</v>
      </c>
      <c r="BN347">
        <v>1</v>
      </c>
      <c r="BO347">
        <v>1</v>
      </c>
      <c r="BP347">
        <v>1</v>
      </c>
      <c r="BQ347">
        <v>0</v>
      </c>
      <c r="BT347">
        <v>0</v>
      </c>
      <c r="BU347">
        <v>0</v>
      </c>
      <c r="BV347">
        <v>0</v>
      </c>
      <c r="CC347" t="str">
        <f>"18:40:15.523"</f>
        <v>18:40:15.523</v>
      </c>
      <c r="CD347" t="str">
        <f>"520837495"</f>
        <v>520837495</v>
      </c>
      <c r="CQ347">
        <v>0</v>
      </c>
      <c r="CR347">
        <v>2</v>
      </c>
      <c r="CS347">
        <v>0</v>
      </c>
      <c r="CT347">
        <v>2</v>
      </c>
      <c r="CU347">
        <v>0</v>
      </c>
      <c r="CV347">
        <v>4</v>
      </c>
      <c r="CW347" t="s">
        <v>120</v>
      </c>
      <c r="CX347">
        <v>257</v>
      </c>
      <c r="CY347">
        <v>1</v>
      </c>
      <c r="CZ347" t="s">
        <v>615</v>
      </c>
      <c r="DA347" t="s">
        <v>616</v>
      </c>
      <c r="DD347">
        <v>10683342</v>
      </c>
      <c r="DE347" t="s">
        <v>123</v>
      </c>
    </row>
    <row r="348" spans="1:109" x14ac:dyDescent="0.3">
      <c r="A348" t="str">
        <f>"18:40:16.820"</f>
        <v>18:40:16.820</v>
      </c>
      <c r="B348" t="s">
        <v>110</v>
      </c>
      <c r="C348" t="str">
        <f t="shared" si="15"/>
        <v>ffdfd3c0</v>
      </c>
      <c r="D348" t="s">
        <v>111</v>
      </c>
      <c r="E348">
        <v>18</v>
      </c>
      <c r="F348">
        <v>1018</v>
      </c>
      <c r="G348" t="s">
        <v>112</v>
      </c>
      <c r="J348" t="s">
        <v>113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R348" t="s">
        <v>114</v>
      </c>
      <c r="S348" t="str">
        <f>"18:40:16.555"</f>
        <v>18:40:16.555</v>
      </c>
      <c r="T348" t="str">
        <f>"18:40:16.352"</f>
        <v>18:40:16.352</v>
      </c>
      <c r="U348" t="str">
        <f t="shared" si="16"/>
        <v>a1cdbe</v>
      </c>
      <c r="V348">
        <v>0</v>
      </c>
      <c r="W348">
        <v>0</v>
      </c>
      <c r="X348">
        <v>1</v>
      </c>
      <c r="Y348">
        <v>0</v>
      </c>
      <c r="Z348">
        <v>0</v>
      </c>
      <c r="AB348">
        <v>0</v>
      </c>
      <c r="AC348">
        <v>9</v>
      </c>
      <c r="AD348">
        <v>3</v>
      </c>
      <c r="AE348">
        <v>0</v>
      </c>
      <c r="AF348">
        <v>9</v>
      </c>
      <c r="AG348" t="s">
        <v>158</v>
      </c>
      <c r="AH348">
        <v>0</v>
      </c>
      <c r="AI348">
        <v>3</v>
      </c>
      <c r="AJ348">
        <v>1</v>
      </c>
      <c r="AK348">
        <v>0</v>
      </c>
      <c r="AL348" t="s">
        <v>765</v>
      </c>
      <c r="AM348">
        <v>47.009661000000001</v>
      </c>
      <c r="AN348" t="s">
        <v>766</v>
      </c>
      <c r="AO348">
        <v>-122.30014799999999</v>
      </c>
      <c r="AP348">
        <v>100</v>
      </c>
      <c r="AQ348">
        <v>2000</v>
      </c>
      <c r="AR348" t="s">
        <v>118</v>
      </c>
      <c r="AS348">
        <v>-22</v>
      </c>
      <c r="AT348">
        <v>-77</v>
      </c>
      <c r="AU348">
        <v>128</v>
      </c>
      <c r="BC348">
        <v>1200</v>
      </c>
      <c r="BD348">
        <v>1</v>
      </c>
      <c r="BE348" t="str">
        <f t="shared" si="17"/>
        <v xml:space="preserve">N215T   </v>
      </c>
      <c r="BF348">
        <v>1</v>
      </c>
      <c r="BH348">
        <v>0</v>
      </c>
      <c r="BI348">
        <v>0</v>
      </c>
      <c r="BJ348">
        <v>0</v>
      </c>
      <c r="BK348">
        <v>2400</v>
      </c>
      <c r="BL348">
        <v>400</v>
      </c>
      <c r="BM348" t="s">
        <v>119</v>
      </c>
      <c r="BN348">
        <v>1</v>
      </c>
      <c r="BO348">
        <v>1</v>
      </c>
      <c r="BP348">
        <v>1</v>
      </c>
      <c r="BQ348">
        <v>0</v>
      </c>
      <c r="BT348">
        <v>0</v>
      </c>
      <c r="BU348">
        <v>0</v>
      </c>
      <c r="BV348">
        <v>0</v>
      </c>
      <c r="CC348" t="str">
        <f>"18:40:16.555"</f>
        <v>18:40:16.555</v>
      </c>
      <c r="CD348" t="str">
        <f>"555735509"</f>
        <v>555735509</v>
      </c>
      <c r="CQ348">
        <v>0</v>
      </c>
      <c r="CR348">
        <v>2</v>
      </c>
      <c r="CS348">
        <v>0</v>
      </c>
      <c r="CT348">
        <v>2</v>
      </c>
      <c r="CU348">
        <v>0</v>
      </c>
      <c r="CV348">
        <v>4</v>
      </c>
      <c r="CW348" t="s">
        <v>120</v>
      </c>
      <c r="CX348">
        <v>257</v>
      </c>
      <c r="CY348">
        <v>1</v>
      </c>
      <c r="CZ348" t="s">
        <v>615</v>
      </c>
      <c r="DA348" t="s">
        <v>616</v>
      </c>
      <c r="DD348">
        <v>10684018</v>
      </c>
      <c r="DE348" t="s">
        <v>123</v>
      </c>
    </row>
    <row r="349" spans="1:109" x14ac:dyDescent="0.3">
      <c r="A349" t="str">
        <f>"18:40:17.773"</f>
        <v>18:40:17.773</v>
      </c>
      <c r="B349" t="s">
        <v>110</v>
      </c>
      <c r="C349" t="str">
        <f t="shared" si="15"/>
        <v>ffdfd3c0</v>
      </c>
      <c r="D349" t="s">
        <v>111</v>
      </c>
      <c r="E349">
        <v>18</v>
      </c>
      <c r="F349">
        <v>1018</v>
      </c>
      <c r="G349" t="s">
        <v>112</v>
      </c>
      <c r="J349" t="s">
        <v>113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R349" t="s">
        <v>114</v>
      </c>
      <c r="S349" t="str">
        <f>"18:40:17.539"</f>
        <v>18:40:17.539</v>
      </c>
      <c r="T349" t="str">
        <f>"18:40:17.336"</f>
        <v>18:40:17.336</v>
      </c>
      <c r="U349" t="str">
        <f t="shared" si="16"/>
        <v>a1cdbe</v>
      </c>
      <c r="V349">
        <v>0</v>
      </c>
      <c r="W349">
        <v>0</v>
      </c>
      <c r="X349">
        <v>1</v>
      </c>
      <c r="Y349">
        <v>0</v>
      </c>
      <c r="Z349">
        <v>0</v>
      </c>
      <c r="AB349">
        <v>0</v>
      </c>
      <c r="AC349">
        <v>9</v>
      </c>
      <c r="AD349">
        <v>3</v>
      </c>
      <c r="AE349">
        <v>0</v>
      </c>
      <c r="AF349">
        <v>9</v>
      </c>
      <c r="AG349" t="s">
        <v>158</v>
      </c>
      <c r="AH349">
        <v>0</v>
      </c>
      <c r="AI349">
        <v>3</v>
      </c>
      <c r="AJ349">
        <v>1</v>
      </c>
      <c r="AK349">
        <v>0</v>
      </c>
      <c r="AL349" t="s">
        <v>767</v>
      </c>
      <c r="AM349">
        <v>47.009295999999999</v>
      </c>
      <c r="AN349" t="s">
        <v>768</v>
      </c>
      <c r="AO349">
        <v>-122.300298</v>
      </c>
      <c r="AP349">
        <v>100</v>
      </c>
      <c r="AQ349">
        <v>2000</v>
      </c>
      <c r="AR349" t="s">
        <v>118</v>
      </c>
      <c r="AS349">
        <v>-21</v>
      </c>
      <c r="AT349">
        <v>-77</v>
      </c>
      <c r="AU349">
        <v>128</v>
      </c>
      <c r="BC349">
        <v>1200</v>
      </c>
      <c r="BD349">
        <v>1</v>
      </c>
      <c r="BE349" t="str">
        <f t="shared" si="17"/>
        <v xml:space="preserve">N215T   </v>
      </c>
      <c r="BF349">
        <v>1</v>
      </c>
      <c r="BH349">
        <v>0</v>
      </c>
      <c r="BI349">
        <v>0</v>
      </c>
      <c r="BJ349">
        <v>0</v>
      </c>
      <c r="BK349">
        <v>2375</v>
      </c>
      <c r="BL349">
        <v>375</v>
      </c>
      <c r="BM349" t="s">
        <v>119</v>
      </c>
      <c r="BN349">
        <v>1</v>
      </c>
      <c r="BO349">
        <v>1</v>
      </c>
      <c r="BP349">
        <v>1</v>
      </c>
      <c r="BQ349">
        <v>0</v>
      </c>
      <c r="BT349">
        <v>0</v>
      </c>
      <c r="BU349">
        <v>0</v>
      </c>
      <c r="BV349">
        <v>0</v>
      </c>
      <c r="CC349" t="str">
        <f>"18:40:17.547"</f>
        <v>18:40:17.547</v>
      </c>
      <c r="CD349" t="str">
        <f>"545637966"</f>
        <v>545637966</v>
      </c>
      <c r="CQ349">
        <v>0</v>
      </c>
      <c r="CR349">
        <v>2</v>
      </c>
      <c r="CS349">
        <v>0</v>
      </c>
      <c r="CT349">
        <v>2</v>
      </c>
      <c r="CU349">
        <v>0</v>
      </c>
      <c r="CV349">
        <v>4</v>
      </c>
      <c r="CW349" t="s">
        <v>120</v>
      </c>
      <c r="CX349">
        <v>257</v>
      </c>
      <c r="CY349">
        <v>1</v>
      </c>
      <c r="CZ349" t="s">
        <v>615</v>
      </c>
      <c r="DA349" t="s">
        <v>616</v>
      </c>
      <c r="DD349">
        <v>10684622</v>
      </c>
      <c r="DE349" t="s">
        <v>123</v>
      </c>
    </row>
    <row r="350" spans="1:109" x14ac:dyDescent="0.3">
      <c r="A350" t="str">
        <f>"18:40:18.883"</f>
        <v>18:40:18.883</v>
      </c>
      <c r="B350" t="s">
        <v>110</v>
      </c>
      <c r="C350" t="str">
        <f t="shared" si="15"/>
        <v>ffdfd3c0</v>
      </c>
      <c r="D350" t="s">
        <v>111</v>
      </c>
      <c r="E350">
        <v>18</v>
      </c>
      <c r="F350">
        <v>1018</v>
      </c>
      <c r="G350" t="s">
        <v>112</v>
      </c>
      <c r="J350" t="s">
        <v>113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R350" t="s">
        <v>114</v>
      </c>
      <c r="S350" t="str">
        <f>"18:40:18.664"</f>
        <v>18:40:18.664</v>
      </c>
      <c r="T350" t="str">
        <f>"18:40:18.461"</f>
        <v>18:40:18.461</v>
      </c>
      <c r="U350" t="str">
        <f t="shared" si="16"/>
        <v>a1cdbe</v>
      </c>
      <c r="V350">
        <v>0</v>
      </c>
      <c r="W350">
        <v>0</v>
      </c>
      <c r="X350">
        <v>1</v>
      </c>
      <c r="Y350">
        <v>0</v>
      </c>
      <c r="Z350">
        <v>0</v>
      </c>
      <c r="AB350">
        <v>0</v>
      </c>
      <c r="AC350">
        <v>9</v>
      </c>
      <c r="AD350">
        <v>3</v>
      </c>
      <c r="AE350">
        <v>0</v>
      </c>
      <c r="AF350">
        <v>9</v>
      </c>
      <c r="AG350" t="s">
        <v>158</v>
      </c>
      <c r="AH350">
        <v>0</v>
      </c>
      <c r="AI350">
        <v>3</v>
      </c>
      <c r="AJ350">
        <v>1</v>
      </c>
      <c r="AK350">
        <v>0</v>
      </c>
      <c r="AL350" t="s">
        <v>769</v>
      </c>
      <c r="AM350">
        <v>47.008867000000002</v>
      </c>
      <c r="AN350" t="s">
        <v>770</v>
      </c>
      <c r="AO350">
        <v>-122.300448</v>
      </c>
      <c r="AP350">
        <v>100</v>
      </c>
      <c r="AQ350">
        <v>2000</v>
      </c>
      <c r="AR350" t="s">
        <v>118</v>
      </c>
      <c r="AS350">
        <v>-21</v>
      </c>
      <c r="AT350">
        <v>-77</v>
      </c>
      <c r="AU350">
        <v>64</v>
      </c>
      <c r="BC350">
        <v>1200</v>
      </c>
      <c r="BD350">
        <v>1</v>
      </c>
      <c r="BE350" t="str">
        <f t="shared" si="17"/>
        <v xml:space="preserve">N215T   </v>
      </c>
      <c r="BF350">
        <v>1</v>
      </c>
      <c r="BH350">
        <v>0</v>
      </c>
      <c r="BI350">
        <v>0</v>
      </c>
      <c r="BJ350">
        <v>0</v>
      </c>
      <c r="BK350">
        <v>2375</v>
      </c>
      <c r="BL350">
        <v>375</v>
      </c>
      <c r="BM350" t="s">
        <v>119</v>
      </c>
      <c r="BN350">
        <v>1</v>
      </c>
      <c r="BO350">
        <v>1</v>
      </c>
      <c r="BP350">
        <v>1</v>
      </c>
      <c r="BQ350">
        <v>0</v>
      </c>
      <c r="BT350">
        <v>0</v>
      </c>
      <c r="BU350">
        <v>0</v>
      </c>
      <c r="BV350">
        <v>0</v>
      </c>
      <c r="CC350" t="str">
        <f>"18:40:18.672"</f>
        <v>18:40:18.672</v>
      </c>
      <c r="CD350" t="str">
        <f>"670527128"</f>
        <v>670527128</v>
      </c>
      <c r="CQ350">
        <v>0</v>
      </c>
      <c r="CR350">
        <v>2</v>
      </c>
      <c r="CS350">
        <v>0</v>
      </c>
      <c r="CT350">
        <v>2</v>
      </c>
      <c r="CU350">
        <v>0</v>
      </c>
      <c r="CV350">
        <v>5</v>
      </c>
      <c r="CW350" t="s">
        <v>120</v>
      </c>
      <c r="CX350">
        <v>257</v>
      </c>
      <c r="CY350">
        <v>1</v>
      </c>
      <c r="CZ350" t="s">
        <v>615</v>
      </c>
      <c r="DA350" t="s">
        <v>616</v>
      </c>
      <c r="DD350">
        <v>10685308</v>
      </c>
      <c r="DE350" t="s">
        <v>123</v>
      </c>
    </row>
    <row r="351" spans="1:109" x14ac:dyDescent="0.3">
      <c r="A351" t="str">
        <f>"18:40:19.938"</f>
        <v>18:40:19.938</v>
      </c>
      <c r="B351" t="s">
        <v>110</v>
      </c>
      <c r="C351" t="str">
        <f t="shared" si="15"/>
        <v>ffdfd3c0</v>
      </c>
      <c r="D351" t="s">
        <v>111</v>
      </c>
      <c r="E351">
        <v>18</v>
      </c>
      <c r="F351">
        <v>1018</v>
      </c>
      <c r="G351" t="s">
        <v>112</v>
      </c>
      <c r="J351" t="s">
        <v>113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R351" t="s">
        <v>114</v>
      </c>
      <c r="S351" t="str">
        <f>"18:40:19.703"</f>
        <v>18:40:19.703</v>
      </c>
      <c r="T351" t="str">
        <f>"18:40:19.500"</f>
        <v>18:40:19.500</v>
      </c>
      <c r="U351" t="str">
        <f t="shared" si="16"/>
        <v>a1cdbe</v>
      </c>
      <c r="V351">
        <v>0</v>
      </c>
      <c r="W351">
        <v>0</v>
      </c>
      <c r="X351">
        <v>1</v>
      </c>
      <c r="Y351">
        <v>0</v>
      </c>
      <c r="Z351">
        <v>0</v>
      </c>
      <c r="AB351">
        <v>0</v>
      </c>
      <c r="AC351">
        <v>9</v>
      </c>
      <c r="AD351">
        <v>3</v>
      </c>
      <c r="AE351">
        <v>0</v>
      </c>
      <c r="AF351">
        <v>9</v>
      </c>
      <c r="AG351" t="s">
        <v>158</v>
      </c>
      <c r="AH351">
        <v>0</v>
      </c>
      <c r="AI351">
        <v>3</v>
      </c>
      <c r="AJ351">
        <v>1</v>
      </c>
      <c r="AK351">
        <v>0</v>
      </c>
      <c r="AL351" t="s">
        <v>771</v>
      </c>
      <c r="AM351">
        <v>47.008524000000001</v>
      </c>
      <c r="AN351" t="s">
        <v>772</v>
      </c>
      <c r="AO351">
        <v>-122.300556</v>
      </c>
      <c r="AP351">
        <v>100</v>
      </c>
      <c r="AQ351">
        <v>2000</v>
      </c>
      <c r="AR351" t="s">
        <v>118</v>
      </c>
      <c r="AS351">
        <v>-21</v>
      </c>
      <c r="AT351">
        <v>-77</v>
      </c>
      <c r="AU351">
        <v>64</v>
      </c>
      <c r="BC351">
        <v>1200</v>
      </c>
      <c r="BD351">
        <v>1</v>
      </c>
      <c r="BE351" t="str">
        <f t="shared" si="17"/>
        <v xml:space="preserve">N215T   </v>
      </c>
      <c r="BF351">
        <v>1</v>
      </c>
      <c r="BH351">
        <v>0</v>
      </c>
      <c r="BI351">
        <v>0</v>
      </c>
      <c r="BJ351">
        <v>0</v>
      </c>
      <c r="BK351">
        <v>2400</v>
      </c>
      <c r="BL351">
        <v>400</v>
      </c>
      <c r="BM351" t="s">
        <v>119</v>
      </c>
      <c r="BN351">
        <v>1</v>
      </c>
      <c r="BO351">
        <v>1</v>
      </c>
      <c r="BP351">
        <v>1</v>
      </c>
      <c r="BQ351">
        <v>0</v>
      </c>
      <c r="BT351">
        <v>0</v>
      </c>
      <c r="BU351">
        <v>0</v>
      </c>
      <c r="BV351">
        <v>0</v>
      </c>
      <c r="CC351" t="str">
        <f>"18:40:19.703"</f>
        <v>18:40:19.703</v>
      </c>
      <c r="CD351" t="str">
        <f>"705425162"</f>
        <v>705425162</v>
      </c>
      <c r="CQ351">
        <v>0</v>
      </c>
      <c r="CR351">
        <v>2</v>
      </c>
      <c r="CS351">
        <v>0</v>
      </c>
      <c r="CT351">
        <v>2</v>
      </c>
      <c r="CU351">
        <v>0</v>
      </c>
      <c r="CV351">
        <v>5</v>
      </c>
      <c r="CW351" t="s">
        <v>120</v>
      </c>
      <c r="CX351">
        <v>257</v>
      </c>
      <c r="CY351">
        <v>1</v>
      </c>
      <c r="CZ351" t="s">
        <v>615</v>
      </c>
      <c r="DA351" t="s">
        <v>616</v>
      </c>
      <c r="DD351">
        <v>10685967</v>
      </c>
      <c r="DE351" t="s">
        <v>123</v>
      </c>
    </row>
    <row r="352" spans="1:109" x14ac:dyDescent="0.3">
      <c r="A352" t="str">
        <f>"18:40:20.945"</f>
        <v>18:40:20.945</v>
      </c>
      <c r="B352" t="s">
        <v>110</v>
      </c>
      <c r="C352" t="str">
        <f t="shared" si="15"/>
        <v>ffdfd3c0</v>
      </c>
      <c r="D352" t="s">
        <v>111</v>
      </c>
      <c r="E352">
        <v>18</v>
      </c>
      <c r="F352">
        <v>1018</v>
      </c>
      <c r="G352" t="s">
        <v>112</v>
      </c>
      <c r="J352" t="s">
        <v>113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R352" t="s">
        <v>114</v>
      </c>
      <c r="S352" t="str">
        <f>"18:40:20.688"</f>
        <v>18:40:20.688</v>
      </c>
      <c r="T352" t="str">
        <f>"18:40:20.484"</f>
        <v>18:40:20.484</v>
      </c>
      <c r="U352" t="str">
        <f t="shared" si="16"/>
        <v>a1cdbe</v>
      </c>
      <c r="V352">
        <v>0</v>
      </c>
      <c r="W352">
        <v>0</v>
      </c>
      <c r="X352">
        <v>1</v>
      </c>
      <c r="Y352">
        <v>0</v>
      </c>
      <c r="Z352">
        <v>0</v>
      </c>
      <c r="AB352">
        <v>0</v>
      </c>
      <c r="AC352">
        <v>9</v>
      </c>
      <c r="AD352">
        <v>3</v>
      </c>
      <c r="AE352">
        <v>0</v>
      </c>
      <c r="AF352">
        <v>9</v>
      </c>
      <c r="AG352" t="s">
        <v>158</v>
      </c>
      <c r="AH352">
        <v>0</v>
      </c>
      <c r="AI352">
        <v>3</v>
      </c>
      <c r="AJ352">
        <v>1</v>
      </c>
      <c r="AK352">
        <v>0</v>
      </c>
      <c r="AL352" t="s">
        <v>773</v>
      </c>
      <c r="AM352">
        <v>47.008181</v>
      </c>
      <c r="AN352" t="s">
        <v>774</v>
      </c>
      <c r="AO352">
        <v>-122.30072699999999</v>
      </c>
      <c r="AP352">
        <v>100</v>
      </c>
      <c r="AQ352">
        <v>2000</v>
      </c>
      <c r="AR352" t="s">
        <v>118</v>
      </c>
      <c r="AS352">
        <v>-22</v>
      </c>
      <c r="AT352">
        <v>-76</v>
      </c>
      <c r="AU352">
        <v>64</v>
      </c>
      <c r="BC352">
        <v>1200</v>
      </c>
      <c r="BD352">
        <v>1</v>
      </c>
      <c r="BE352" t="str">
        <f t="shared" si="17"/>
        <v xml:space="preserve">N215T   </v>
      </c>
      <c r="BF352">
        <v>1</v>
      </c>
      <c r="BH352">
        <v>0</v>
      </c>
      <c r="BI352">
        <v>0</v>
      </c>
      <c r="BJ352">
        <v>0</v>
      </c>
      <c r="BK352">
        <v>2400</v>
      </c>
      <c r="BL352">
        <v>400</v>
      </c>
      <c r="BM352" t="s">
        <v>119</v>
      </c>
      <c r="BN352">
        <v>1</v>
      </c>
      <c r="BO352">
        <v>1</v>
      </c>
      <c r="BP352">
        <v>1</v>
      </c>
      <c r="BQ352">
        <v>0</v>
      </c>
      <c r="BT352">
        <v>0</v>
      </c>
      <c r="BU352">
        <v>0</v>
      </c>
      <c r="BV352">
        <v>0</v>
      </c>
      <c r="CC352" t="str">
        <f>"18:40:20.695"</f>
        <v>18:40:20.695</v>
      </c>
      <c r="CD352" t="str">
        <f>"695102643"</f>
        <v>695102643</v>
      </c>
      <c r="CQ352">
        <v>0</v>
      </c>
      <c r="CR352">
        <v>2</v>
      </c>
      <c r="CS352">
        <v>0</v>
      </c>
      <c r="CT352">
        <v>2</v>
      </c>
      <c r="CU352">
        <v>0</v>
      </c>
      <c r="CV352">
        <v>4</v>
      </c>
      <c r="CW352" t="s">
        <v>120</v>
      </c>
      <c r="CX352">
        <v>261</v>
      </c>
      <c r="CY352">
        <v>2</v>
      </c>
      <c r="CZ352" t="s">
        <v>121</v>
      </c>
      <c r="DA352" t="s">
        <v>122</v>
      </c>
      <c r="DD352">
        <v>14435375</v>
      </c>
      <c r="DE352" t="s">
        <v>123</v>
      </c>
    </row>
    <row r="353" spans="1:109" x14ac:dyDescent="0.3">
      <c r="A353" t="str">
        <f>"18:40:21.750"</f>
        <v>18:40:21.750</v>
      </c>
      <c r="B353" t="s">
        <v>110</v>
      </c>
      <c r="C353" t="str">
        <f t="shared" si="15"/>
        <v>ffdfd3c0</v>
      </c>
      <c r="D353" t="s">
        <v>111</v>
      </c>
      <c r="E353">
        <v>18</v>
      </c>
      <c r="F353">
        <v>1018</v>
      </c>
      <c r="G353" t="s">
        <v>112</v>
      </c>
      <c r="J353" t="s">
        <v>113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R353" t="s">
        <v>114</v>
      </c>
      <c r="S353" t="str">
        <f>"18:40:21.547"</f>
        <v>18:40:21.547</v>
      </c>
      <c r="T353" t="str">
        <f>"18:40:21.445"</f>
        <v>18:40:21.445</v>
      </c>
      <c r="U353" t="str">
        <f t="shared" si="16"/>
        <v>a1cdbe</v>
      </c>
      <c r="V353">
        <v>0</v>
      </c>
      <c r="W353">
        <v>0</v>
      </c>
      <c r="X353">
        <v>1</v>
      </c>
      <c r="Y353">
        <v>0</v>
      </c>
      <c r="Z353">
        <v>0</v>
      </c>
      <c r="AB353">
        <v>0</v>
      </c>
      <c r="AC353">
        <v>9</v>
      </c>
      <c r="AD353">
        <v>3</v>
      </c>
      <c r="AE353">
        <v>0</v>
      </c>
      <c r="AF353">
        <v>9</v>
      </c>
      <c r="AG353" t="s">
        <v>158</v>
      </c>
      <c r="AH353">
        <v>0</v>
      </c>
      <c r="AI353">
        <v>3</v>
      </c>
      <c r="AJ353">
        <v>1</v>
      </c>
      <c r="AK353">
        <v>0</v>
      </c>
      <c r="AL353" t="s">
        <v>775</v>
      </c>
      <c r="AM353">
        <v>47.00788</v>
      </c>
      <c r="AN353" t="s">
        <v>776</v>
      </c>
      <c r="AO353">
        <v>-122.30083500000001</v>
      </c>
      <c r="AP353">
        <v>100</v>
      </c>
      <c r="AQ353">
        <v>2000</v>
      </c>
      <c r="AR353" t="s">
        <v>118</v>
      </c>
      <c r="AS353">
        <v>-22</v>
      </c>
      <c r="AT353">
        <v>-76</v>
      </c>
      <c r="AU353">
        <v>0</v>
      </c>
      <c r="BC353">
        <v>1200</v>
      </c>
      <c r="BD353">
        <v>1</v>
      </c>
      <c r="BE353" t="str">
        <f t="shared" si="17"/>
        <v xml:space="preserve">N215T   </v>
      </c>
      <c r="BF353">
        <v>1</v>
      </c>
      <c r="BH353">
        <v>0</v>
      </c>
      <c r="BI353">
        <v>0</v>
      </c>
      <c r="BJ353">
        <v>0</v>
      </c>
      <c r="BK353">
        <v>2400</v>
      </c>
      <c r="BL353">
        <v>400</v>
      </c>
      <c r="BM353" t="s">
        <v>119</v>
      </c>
      <c r="BN353">
        <v>1</v>
      </c>
      <c r="BO353">
        <v>1</v>
      </c>
      <c r="BP353">
        <v>1</v>
      </c>
      <c r="BQ353">
        <v>0</v>
      </c>
      <c r="BT353">
        <v>0</v>
      </c>
      <c r="BU353">
        <v>0</v>
      </c>
      <c r="BV353">
        <v>0</v>
      </c>
      <c r="CC353" t="str">
        <f>"18:40:21.547"</f>
        <v>18:40:21.547</v>
      </c>
      <c r="CD353" t="str">
        <f>"550243354"</f>
        <v>550243354</v>
      </c>
      <c r="CQ353">
        <v>0</v>
      </c>
      <c r="CR353">
        <v>2</v>
      </c>
      <c r="CS353">
        <v>0</v>
      </c>
      <c r="CT353">
        <v>2</v>
      </c>
      <c r="CU353">
        <v>0</v>
      </c>
      <c r="CV353">
        <v>5</v>
      </c>
      <c r="CW353" t="s">
        <v>120</v>
      </c>
      <c r="CX353">
        <v>257</v>
      </c>
      <c r="CY353">
        <v>1</v>
      </c>
      <c r="CZ353" t="s">
        <v>615</v>
      </c>
      <c r="DA353" t="s">
        <v>616</v>
      </c>
      <c r="DD353">
        <v>10687105</v>
      </c>
      <c r="DE353" t="s">
        <v>123</v>
      </c>
    </row>
    <row r="354" spans="1:109" x14ac:dyDescent="0.3">
      <c r="A354" t="str">
        <f>"18:40:22.750"</f>
        <v>18:40:22.750</v>
      </c>
      <c r="B354" t="s">
        <v>110</v>
      </c>
      <c r="C354" t="str">
        <f t="shared" si="15"/>
        <v>ffdfd3c0</v>
      </c>
      <c r="D354" t="s">
        <v>111</v>
      </c>
      <c r="E354">
        <v>18</v>
      </c>
      <c r="F354">
        <v>1018</v>
      </c>
      <c r="G354" t="s">
        <v>112</v>
      </c>
      <c r="J354" t="s">
        <v>113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R354" t="s">
        <v>114</v>
      </c>
      <c r="S354" t="str">
        <f>"18:40:22.555"</f>
        <v>18:40:22.555</v>
      </c>
      <c r="T354" t="str">
        <f>"18:40:22.555"</f>
        <v>18:40:22.555</v>
      </c>
      <c r="U354" t="str">
        <f t="shared" si="16"/>
        <v>a1cdbe</v>
      </c>
      <c r="V354">
        <v>0</v>
      </c>
      <c r="W354">
        <v>0</v>
      </c>
      <c r="X354">
        <v>1</v>
      </c>
      <c r="Y354">
        <v>0</v>
      </c>
      <c r="Z354">
        <v>0</v>
      </c>
      <c r="AB354">
        <v>0</v>
      </c>
      <c r="AC354">
        <v>9</v>
      </c>
      <c r="AD354">
        <v>3</v>
      </c>
      <c r="AE354">
        <v>0</v>
      </c>
      <c r="AF354">
        <v>9</v>
      </c>
      <c r="AG354" t="s">
        <v>158</v>
      </c>
      <c r="AH354">
        <v>0</v>
      </c>
      <c r="AI354">
        <v>3</v>
      </c>
      <c r="AJ354">
        <v>1</v>
      </c>
      <c r="AK354">
        <v>0</v>
      </c>
      <c r="AL354" t="s">
        <v>777</v>
      </c>
      <c r="AM354">
        <v>47.007514999999998</v>
      </c>
      <c r="AN354" t="s">
        <v>778</v>
      </c>
      <c r="AO354">
        <v>-122.301006</v>
      </c>
      <c r="AP354">
        <v>100</v>
      </c>
      <c r="AQ354">
        <v>2000</v>
      </c>
      <c r="AR354" t="s">
        <v>118</v>
      </c>
      <c r="AS354">
        <v>-24</v>
      </c>
      <c r="AT354">
        <v>-75</v>
      </c>
      <c r="AU354">
        <v>64</v>
      </c>
      <c r="BC354">
        <v>1200</v>
      </c>
      <c r="BD354">
        <v>1</v>
      </c>
      <c r="BE354" t="str">
        <f t="shared" si="17"/>
        <v xml:space="preserve">N215T   </v>
      </c>
      <c r="BF354">
        <v>1</v>
      </c>
      <c r="BH354">
        <v>0</v>
      </c>
      <c r="BI354">
        <v>0</v>
      </c>
      <c r="BJ354">
        <v>0</v>
      </c>
      <c r="BK354">
        <v>2400</v>
      </c>
      <c r="BL354">
        <v>400</v>
      </c>
      <c r="BM354" t="s">
        <v>119</v>
      </c>
      <c r="BN354">
        <v>1</v>
      </c>
      <c r="BO354">
        <v>1</v>
      </c>
      <c r="BP354">
        <v>1</v>
      </c>
      <c r="BQ354">
        <v>0</v>
      </c>
      <c r="BT354">
        <v>0</v>
      </c>
      <c r="BU354">
        <v>0</v>
      </c>
      <c r="BV354">
        <v>0</v>
      </c>
      <c r="CC354" t="str">
        <f>"18:40:22.555"</f>
        <v>18:40:22.555</v>
      </c>
      <c r="CD354" t="str">
        <f>"555144337"</f>
        <v>555144337</v>
      </c>
      <c r="CQ354">
        <v>0</v>
      </c>
      <c r="CR354">
        <v>2</v>
      </c>
      <c r="CS354">
        <v>0</v>
      </c>
      <c r="CT354">
        <v>2</v>
      </c>
      <c r="CU354">
        <v>0</v>
      </c>
      <c r="CV354">
        <v>5</v>
      </c>
      <c r="CW354" t="s">
        <v>120</v>
      </c>
      <c r="CX354">
        <v>257</v>
      </c>
      <c r="CY354">
        <v>1</v>
      </c>
      <c r="CZ354" t="s">
        <v>615</v>
      </c>
      <c r="DA354" t="s">
        <v>616</v>
      </c>
      <c r="DD354">
        <v>10687673</v>
      </c>
      <c r="DE354" t="s">
        <v>123</v>
      </c>
    </row>
    <row r="355" spans="1:109" x14ac:dyDescent="0.3">
      <c r="A355" t="str">
        <f>"18:40:23.813"</f>
        <v>18:40:23.813</v>
      </c>
      <c r="B355" t="s">
        <v>110</v>
      </c>
      <c r="C355" t="str">
        <f t="shared" si="15"/>
        <v>ffdfd3c0</v>
      </c>
      <c r="D355" t="s">
        <v>111</v>
      </c>
      <c r="E355">
        <v>18</v>
      </c>
      <c r="F355">
        <v>1018</v>
      </c>
      <c r="G355" t="s">
        <v>112</v>
      </c>
      <c r="J355" t="s">
        <v>113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R355" t="s">
        <v>114</v>
      </c>
      <c r="S355" t="str">
        <f>"18:40:23.570"</f>
        <v>18:40:23.570</v>
      </c>
      <c r="T355" t="str">
        <f>"18:40:23.570"</f>
        <v>18:40:23.570</v>
      </c>
      <c r="U355" t="str">
        <f t="shared" si="16"/>
        <v>a1cdbe</v>
      </c>
      <c r="V355">
        <v>0</v>
      </c>
      <c r="W355">
        <v>0</v>
      </c>
      <c r="X355">
        <v>1</v>
      </c>
      <c r="Y355">
        <v>0</v>
      </c>
      <c r="Z355">
        <v>0</v>
      </c>
      <c r="AB355">
        <v>0</v>
      </c>
      <c r="AC355">
        <v>9</v>
      </c>
      <c r="AD355">
        <v>3</v>
      </c>
      <c r="AE355">
        <v>0</v>
      </c>
      <c r="AF355">
        <v>9</v>
      </c>
      <c r="AG355" t="s">
        <v>158</v>
      </c>
      <c r="AH355">
        <v>0</v>
      </c>
      <c r="AI355">
        <v>3</v>
      </c>
      <c r="AJ355">
        <v>1</v>
      </c>
      <c r="AK355">
        <v>0</v>
      </c>
      <c r="AL355" t="s">
        <v>779</v>
      </c>
      <c r="AM355">
        <v>47.007193999999998</v>
      </c>
      <c r="AN355" t="s">
        <v>780</v>
      </c>
      <c r="AO355">
        <v>-122.30117799999999</v>
      </c>
      <c r="AP355">
        <v>100</v>
      </c>
      <c r="AQ355">
        <v>2000</v>
      </c>
      <c r="AR355" t="s">
        <v>118</v>
      </c>
      <c r="AS355">
        <v>-25</v>
      </c>
      <c r="AT355">
        <v>-75</v>
      </c>
      <c r="AU355">
        <v>128</v>
      </c>
      <c r="BC355">
        <v>1200</v>
      </c>
      <c r="BD355">
        <v>1</v>
      </c>
      <c r="BE355" t="str">
        <f t="shared" si="17"/>
        <v xml:space="preserve">N215T   </v>
      </c>
      <c r="BF355">
        <v>1</v>
      </c>
      <c r="BH355">
        <v>0</v>
      </c>
      <c r="BI355">
        <v>0</v>
      </c>
      <c r="BJ355">
        <v>0</v>
      </c>
      <c r="BK355">
        <v>2400</v>
      </c>
      <c r="BL355">
        <v>400</v>
      </c>
      <c r="BM355" t="s">
        <v>119</v>
      </c>
      <c r="BN355">
        <v>1</v>
      </c>
      <c r="BO355">
        <v>1</v>
      </c>
      <c r="BP355">
        <v>1</v>
      </c>
      <c r="BQ355">
        <v>0</v>
      </c>
      <c r="BT355">
        <v>0</v>
      </c>
      <c r="BU355">
        <v>0</v>
      </c>
      <c r="BV355">
        <v>0</v>
      </c>
      <c r="CC355" t="str">
        <f>"18:40:23.578"</f>
        <v>18:40:23.578</v>
      </c>
      <c r="CD355" t="str">
        <f>"575043827"</f>
        <v>575043827</v>
      </c>
      <c r="CQ355">
        <v>0</v>
      </c>
      <c r="CR355">
        <v>2</v>
      </c>
      <c r="CS355">
        <v>0</v>
      </c>
      <c r="CT355">
        <v>2</v>
      </c>
      <c r="CU355">
        <v>0</v>
      </c>
      <c r="CV355">
        <v>4</v>
      </c>
      <c r="CW355" t="s">
        <v>120</v>
      </c>
      <c r="CX355">
        <v>257</v>
      </c>
      <c r="CY355">
        <v>1</v>
      </c>
      <c r="CZ355" t="s">
        <v>615</v>
      </c>
      <c r="DA355" t="s">
        <v>616</v>
      </c>
      <c r="DD355">
        <v>10688308</v>
      </c>
      <c r="DE355" t="s">
        <v>123</v>
      </c>
    </row>
    <row r="356" spans="1:109" x14ac:dyDescent="0.3">
      <c r="A356" t="str">
        <f>"18:40:24.867"</f>
        <v>18:40:24.867</v>
      </c>
      <c r="B356" t="s">
        <v>110</v>
      </c>
      <c r="C356" t="str">
        <f t="shared" si="15"/>
        <v>ffdfd3c0</v>
      </c>
      <c r="D356" t="s">
        <v>111</v>
      </c>
      <c r="E356">
        <v>18</v>
      </c>
      <c r="F356">
        <v>1018</v>
      </c>
      <c r="G356" t="s">
        <v>112</v>
      </c>
      <c r="J356" t="s">
        <v>113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R356" t="s">
        <v>114</v>
      </c>
      <c r="S356" t="str">
        <f>"18:40:24.617"</f>
        <v>18:40:24.617</v>
      </c>
      <c r="T356" t="str">
        <f>"18:40:24.117"</f>
        <v>18:40:24.117</v>
      </c>
      <c r="U356" t="str">
        <f t="shared" si="16"/>
        <v>a1cdbe</v>
      </c>
      <c r="V356">
        <v>0</v>
      </c>
      <c r="W356">
        <v>0</v>
      </c>
      <c r="X356">
        <v>1</v>
      </c>
      <c r="Y356">
        <v>0</v>
      </c>
      <c r="Z356">
        <v>0</v>
      </c>
      <c r="AB356">
        <v>0</v>
      </c>
      <c r="AC356">
        <v>9</v>
      </c>
      <c r="AD356">
        <v>3</v>
      </c>
      <c r="AE356">
        <v>0</v>
      </c>
      <c r="AF356">
        <v>9</v>
      </c>
      <c r="AG356" t="s">
        <v>158</v>
      </c>
      <c r="AH356">
        <v>0</v>
      </c>
      <c r="AI356">
        <v>3</v>
      </c>
      <c r="AJ356">
        <v>1</v>
      </c>
      <c r="AK356">
        <v>0</v>
      </c>
      <c r="AL356" t="s">
        <v>781</v>
      </c>
      <c r="AM356">
        <v>47.006829000000003</v>
      </c>
      <c r="AN356" t="s">
        <v>782</v>
      </c>
      <c r="AO356">
        <v>-122.30135</v>
      </c>
      <c r="AP356">
        <v>100</v>
      </c>
      <c r="AQ356">
        <v>2000</v>
      </c>
      <c r="AR356" t="s">
        <v>118</v>
      </c>
      <c r="AS356">
        <v>-25</v>
      </c>
      <c r="AT356">
        <v>-74</v>
      </c>
      <c r="AU356">
        <v>64</v>
      </c>
      <c r="BC356">
        <v>1200</v>
      </c>
      <c r="BD356">
        <v>1</v>
      </c>
      <c r="BE356" t="str">
        <f t="shared" si="17"/>
        <v xml:space="preserve">N215T   </v>
      </c>
      <c r="BF356">
        <v>1</v>
      </c>
      <c r="BH356">
        <v>0</v>
      </c>
      <c r="BI356">
        <v>0</v>
      </c>
      <c r="BJ356">
        <v>0</v>
      </c>
      <c r="BK356">
        <v>2375</v>
      </c>
      <c r="BL356">
        <v>375</v>
      </c>
      <c r="BM356" t="s">
        <v>119</v>
      </c>
      <c r="BN356">
        <v>1</v>
      </c>
      <c r="BO356">
        <v>1</v>
      </c>
      <c r="BP356">
        <v>1</v>
      </c>
      <c r="BQ356">
        <v>0</v>
      </c>
      <c r="BT356">
        <v>0</v>
      </c>
      <c r="BU356">
        <v>0</v>
      </c>
      <c r="BV356">
        <v>0</v>
      </c>
      <c r="CC356" t="str">
        <f>"18:40:24.625"</f>
        <v>18:40:24.625</v>
      </c>
      <c r="CD356" t="str">
        <f>"624716128"</f>
        <v>624716128</v>
      </c>
      <c r="CQ356">
        <v>0</v>
      </c>
      <c r="CR356">
        <v>2</v>
      </c>
      <c r="CS356">
        <v>0</v>
      </c>
      <c r="CT356">
        <v>2</v>
      </c>
      <c r="CU356">
        <v>0</v>
      </c>
      <c r="CV356">
        <v>4</v>
      </c>
      <c r="CW356" t="s">
        <v>120</v>
      </c>
      <c r="CX356">
        <v>261</v>
      </c>
      <c r="CY356">
        <v>2</v>
      </c>
      <c r="CZ356" t="s">
        <v>121</v>
      </c>
      <c r="DA356" t="s">
        <v>122</v>
      </c>
      <c r="DD356">
        <v>14437581</v>
      </c>
      <c r="DE356" t="s">
        <v>123</v>
      </c>
    </row>
    <row r="357" spans="1:109" x14ac:dyDescent="0.3">
      <c r="A357" t="str">
        <f>"18:40:25.922"</f>
        <v>18:40:25.922</v>
      </c>
      <c r="B357" t="s">
        <v>110</v>
      </c>
      <c r="C357" t="str">
        <f t="shared" si="15"/>
        <v>ffdfd3c0</v>
      </c>
      <c r="D357" t="s">
        <v>111</v>
      </c>
      <c r="E357">
        <v>18</v>
      </c>
      <c r="F357">
        <v>1018</v>
      </c>
      <c r="G357" t="s">
        <v>112</v>
      </c>
      <c r="J357" t="s">
        <v>113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R357" t="s">
        <v>114</v>
      </c>
      <c r="S357" t="str">
        <f>"18:40:25.703"</f>
        <v>18:40:25.703</v>
      </c>
      <c r="T357" t="str">
        <f>"18:40:25.602"</f>
        <v>18:40:25.602</v>
      </c>
      <c r="U357" t="str">
        <f t="shared" si="16"/>
        <v>a1cdbe</v>
      </c>
      <c r="V357">
        <v>0</v>
      </c>
      <c r="W357">
        <v>0</v>
      </c>
      <c r="X357">
        <v>1</v>
      </c>
      <c r="Y357">
        <v>0</v>
      </c>
      <c r="Z357">
        <v>0</v>
      </c>
      <c r="AB357">
        <v>0</v>
      </c>
      <c r="AC357">
        <v>9</v>
      </c>
      <c r="AD357">
        <v>3</v>
      </c>
      <c r="AE357">
        <v>0</v>
      </c>
      <c r="AF357">
        <v>9</v>
      </c>
      <c r="AG357" t="s">
        <v>158</v>
      </c>
      <c r="AH357">
        <v>0</v>
      </c>
      <c r="AI357">
        <v>3</v>
      </c>
      <c r="AJ357">
        <v>1</v>
      </c>
      <c r="AK357">
        <v>0</v>
      </c>
      <c r="AL357" t="s">
        <v>783</v>
      </c>
      <c r="AM357">
        <v>47.006464000000001</v>
      </c>
      <c r="AN357" t="s">
        <v>784</v>
      </c>
      <c r="AO357">
        <v>-122.301586</v>
      </c>
      <c r="AP357">
        <v>100</v>
      </c>
      <c r="AQ357">
        <v>2000</v>
      </c>
      <c r="AR357" t="s">
        <v>118</v>
      </c>
      <c r="AS357">
        <v>-27</v>
      </c>
      <c r="AT357">
        <v>-74</v>
      </c>
      <c r="AU357">
        <v>192</v>
      </c>
      <c r="BC357">
        <v>1200</v>
      </c>
      <c r="BD357">
        <v>1</v>
      </c>
      <c r="BE357" t="str">
        <f t="shared" si="17"/>
        <v xml:space="preserve">N215T   </v>
      </c>
      <c r="BF357">
        <v>1</v>
      </c>
      <c r="BH357">
        <v>0</v>
      </c>
      <c r="BI357">
        <v>0</v>
      </c>
      <c r="BJ357">
        <v>0</v>
      </c>
      <c r="BK357">
        <v>2400</v>
      </c>
      <c r="BL357">
        <v>400</v>
      </c>
      <c r="BM357" t="s">
        <v>119</v>
      </c>
      <c r="BN357">
        <v>1</v>
      </c>
      <c r="BO357">
        <v>1</v>
      </c>
      <c r="BP357">
        <v>1</v>
      </c>
      <c r="BQ357">
        <v>0</v>
      </c>
      <c r="BT357">
        <v>0</v>
      </c>
      <c r="BU357">
        <v>0</v>
      </c>
      <c r="BV357">
        <v>0</v>
      </c>
      <c r="CC357" t="str">
        <f>"18:40:25.703"</f>
        <v>18:40:25.703</v>
      </c>
      <c r="CD357" t="str">
        <f>"704609891"</f>
        <v>704609891</v>
      </c>
      <c r="CQ357">
        <v>0</v>
      </c>
      <c r="CR357">
        <v>2</v>
      </c>
      <c r="CS357">
        <v>0</v>
      </c>
      <c r="CT357">
        <v>2</v>
      </c>
      <c r="CU357">
        <v>0</v>
      </c>
      <c r="CV357">
        <v>4</v>
      </c>
      <c r="CW357" t="s">
        <v>120</v>
      </c>
      <c r="CX357">
        <v>261</v>
      </c>
      <c r="CY357">
        <v>2</v>
      </c>
      <c r="CZ357" t="s">
        <v>121</v>
      </c>
      <c r="DA357" t="s">
        <v>122</v>
      </c>
      <c r="DD357">
        <v>14438223</v>
      </c>
      <c r="DE357" t="s">
        <v>123</v>
      </c>
    </row>
    <row r="358" spans="1:109" x14ac:dyDescent="0.3">
      <c r="A358" t="str">
        <f>"18:40:26.773"</f>
        <v>18:40:26.773</v>
      </c>
      <c r="B358" t="s">
        <v>110</v>
      </c>
      <c r="C358" t="str">
        <f t="shared" si="15"/>
        <v>ffdfd3c0</v>
      </c>
      <c r="D358" t="s">
        <v>111</v>
      </c>
      <c r="E358">
        <v>18</v>
      </c>
      <c r="F358">
        <v>1018</v>
      </c>
      <c r="G358" t="s">
        <v>112</v>
      </c>
      <c r="J358" t="s">
        <v>113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R358" t="s">
        <v>114</v>
      </c>
      <c r="S358" t="str">
        <f>"18:40:26.523"</f>
        <v>18:40:26.523</v>
      </c>
      <c r="T358" t="str">
        <f>"18:40:26.125"</f>
        <v>18:40:26.125</v>
      </c>
      <c r="U358" t="str">
        <f t="shared" si="16"/>
        <v>a1cdbe</v>
      </c>
      <c r="V358">
        <v>0</v>
      </c>
      <c r="W358">
        <v>0</v>
      </c>
      <c r="X358">
        <v>1</v>
      </c>
      <c r="Y358">
        <v>0</v>
      </c>
      <c r="Z358">
        <v>0</v>
      </c>
      <c r="AB358">
        <v>0</v>
      </c>
      <c r="AC358">
        <v>9</v>
      </c>
      <c r="AD358">
        <v>3</v>
      </c>
      <c r="AE358">
        <v>0</v>
      </c>
      <c r="AF358">
        <v>9</v>
      </c>
      <c r="AG358" t="s">
        <v>158</v>
      </c>
      <c r="AH358">
        <v>0</v>
      </c>
      <c r="AI358">
        <v>3</v>
      </c>
      <c r="AJ358">
        <v>1</v>
      </c>
      <c r="AK358">
        <v>0</v>
      </c>
      <c r="AL358" t="s">
        <v>785</v>
      </c>
      <c r="AM358">
        <v>47.006141999999997</v>
      </c>
      <c r="AN358" t="s">
        <v>786</v>
      </c>
      <c r="AO358">
        <v>-122.30173600000001</v>
      </c>
      <c r="AP358">
        <v>100</v>
      </c>
      <c r="AQ358">
        <v>2000</v>
      </c>
      <c r="AR358" t="s">
        <v>118</v>
      </c>
      <c r="AS358">
        <v>-28</v>
      </c>
      <c r="AT358">
        <v>-74</v>
      </c>
      <c r="AU358">
        <v>256</v>
      </c>
      <c r="BC358">
        <v>1200</v>
      </c>
      <c r="BD358">
        <v>1</v>
      </c>
      <c r="BE358" t="str">
        <f t="shared" si="17"/>
        <v xml:space="preserve">N215T   </v>
      </c>
      <c r="BF358">
        <v>1</v>
      </c>
      <c r="BH358">
        <v>0</v>
      </c>
      <c r="BI358">
        <v>0</v>
      </c>
      <c r="BJ358">
        <v>0</v>
      </c>
      <c r="BK358">
        <v>2400</v>
      </c>
      <c r="BL358">
        <v>400</v>
      </c>
      <c r="BM358" t="s">
        <v>119</v>
      </c>
      <c r="BN358">
        <v>1</v>
      </c>
      <c r="BO358">
        <v>1</v>
      </c>
      <c r="BP358">
        <v>1</v>
      </c>
      <c r="BQ358">
        <v>0</v>
      </c>
      <c r="BT358">
        <v>0</v>
      </c>
      <c r="BU358">
        <v>0</v>
      </c>
      <c r="BV358">
        <v>0</v>
      </c>
      <c r="CC358" t="str">
        <f>"18:40:26.531"</f>
        <v>18:40:26.531</v>
      </c>
      <c r="CD358" t="str">
        <f>"529528743"</f>
        <v>529528743</v>
      </c>
      <c r="CQ358">
        <v>0</v>
      </c>
      <c r="CR358">
        <v>2</v>
      </c>
      <c r="CS358">
        <v>0</v>
      </c>
      <c r="CT358">
        <v>2</v>
      </c>
      <c r="CU358">
        <v>0</v>
      </c>
      <c r="CV358">
        <v>4</v>
      </c>
      <c r="CW358" t="s">
        <v>120</v>
      </c>
      <c r="CX358">
        <v>261</v>
      </c>
      <c r="CY358">
        <v>1</v>
      </c>
      <c r="CZ358" t="s">
        <v>121</v>
      </c>
      <c r="DA358" t="s">
        <v>122</v>
      </c>
      <c r="DD358">
        <v>3311774</v>
      </c>
      <c r="DE358" t="s">
        <v>123</v>
      </c>
    </row>
    <row r="359" spans="1:109" x14ac:dyDescent="0.3">
      <c r="A359" t="str">
        <f>"18:40:27.727"</f>
        <v>18:40:27.727</v>
      </c>
      <c r="B359" t="s">
        <v>110</v>
      </c>
      <c r="C359" t="str">
        <f t="shared" si="15"/>
        <v>ffdfd3c0</v>
      </c>
      <c r="D359" t="s">
        <v>111</v>
      </c>
      <c r="E359">
        <v>18</v>
      </c>
      <c r="F359">
        <v>1018</v>
      </c>
      <c r="G359" t="s">
        <v>112</v>
      </c>
      <c r="J359" t="s">
        <v>113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R359" t="s">
        <v>114</v>
      </c>
      <c r="S359" t="str">
        <f>"18:40:27.484"</f>
        <v>18:40:27.484</v>
      </c>
      <c r="T359" t="str">
        <f>"18:40:27.281"</f>
        <v>18:40:27.281</v>
      </c>
      <c r="U359" t="str">
        <f t="shared" si="16"/>
        <v>a1cdbe</v>
      </c>
      <c r="V359">
        <v>0</v>
      </c>
      <c r="W359">
        <v>0</v>
      </c>
      <c r="X359">
        <v>1</v>
      </c>
      <c r="Y359">
        <v>0</v>
      </c>
      <c r="Z359">
        <v>0</v>
      </c>
      <c r="AB359">
        <v>0</v>
      </c>
      <c r="AC359">
        <v>9</v>
      </c>
      <c r="AD359">
        <v>3</v>
      </c>
      <c r="AE359">
        <v>0</v>
      </c>
      <c r="AF359">
        <v>9</v>
      </c>
      <c r="AG359" t="s">
        <v>158</v>
      </c>
      <c r="AH359">
        <v>0</v>
      </c>
      <c r="AI359">
        <v>3</v>
      </c>
      <c r="AJ359">
        <v>1</v>
      </c>
      <c r="AK359">
        <v>0</v>
      </c>
      <c r="AL359" t="s">
        <v>787</v>
      </c>
      <c r="AM359">
        <v>47.005842000000001</v>
      </c>
      <c r="AN359" t="s">
        <v>788</v>
      </c>
      <c r="AO359">
        <v>-122.301908</v>
      </c>
      <c r="AP359">
        <v>100</v>
      </c>
      <c r="AQ359">
        <v>2000</v>
      </c>
      <c r="AR359" t="s">
        <v>118</v>
      </c>
      <c r="AS359">
        <v>-28</v>
      </c>
      <c r="AT359">
        <v>-73</v>
      </c>
      <c r="AU359">
        <v>384</v>
      </c>
      <c r="BC359">
        <v>1200</v>
      </c>
      <c r="BD359">
        <v>1</v>
      </c>
      <c r="BE359" t="str">
        <f t="shared" si="17"/>
        <v xml:space="preserve">N215T   </v>
      </c>
      <c r="BF359">
        <v>1</v>
      </c>
      <c r="BH359">
        <v>0</v>
      </c>
      <c r="BI359">
        <v>0</v>
      </c>
      <c r="BJ359">
        <v>0</v>
      </c>
      <c r="BK359">
        <v>2400</v>
      </c>
      <c r="BL359">
        <v>400</v>
      </c>
      <c r="BM359" t="s">
        <v>119</v>
      </c>
      <c r="BN359">
        <v>1</v>
      </c>
      <c r="BO359">
        <v>1</v>
      </c>
      <c r="BP359">
        <v>1</v>
      </c>
      <c r="BQ359">
        <v>0</v>
      </c>
      <c r="BT359">
        <v>0</v>
      </c>
      <c r="BU359">
        <v>0</v>
      </c>
      <c r="BV359">
        <v>0</v>
      </c>
      <c r="CC359" t="str">
        <f>"18:40:27.492"</f>
        <v>18:40:27.492</v>
      </c>
      <c r="CD359" t="str">
        <f>"489434325"</f>
        <v>489434325</v>
      </c>
      <c r="CQ359">
        <v>0</v>
      </c>
      <c r="CR359">
        <v>2</v>
      </c>
      <c r="CS359">
        <v>0</v>
      </c>
      <c r="CT359">
        <v>2</v>
      </c>
      <c r="CU359">
        <v>0</v>
      </c>
      <c r="CV359">
        <v>4</v>
      </c>
      <c r="CW359" t="s">
        <v>120</v>
      </c>
      <c r="CX359">
        <v>261</v>
      </c>
      <c r="CY359">
        <v>2</v>
      </c>
      <c r="CZ359" t="s">
        <v>121</v>
      </c>
      <c r="DA359" t="s">
        <v>122</v>
      </c>
      <c r="DD359">
        <v>14439208</v>
      </c>
      <c r="DE359" t="s">
        <v>123</v>
      </c>
    </row>
    <row r="360" spans="1:109" x14ac:dyDescent="0.3">
      <c r="A360" t="str">
        <f>"18:40:28.734"</f>
        <v>18:40:28.734</v>
      </c>
      <c r="B360" t="s">
        <v>110</v>
      </c>
      <c r="C360" t="str">
        <f t="shared" si="15"/>
        <v>ffdfd3c0</v>
      </c>
      <c r="D360" t="s">
        <v>111</v>
      </c>
      <c r="E360">
        <v>18</v>
      </c>
      <c r="F360">
        <v>1018</v>
      </c>
      <c r="G360" t="s">
        <v>112</v>
      </c>
      <c r="J360" t="s">
        <v>113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R360" t="s">
        <v>114</v>
      </c>
      <c r="S360" t="str">
        <f>"18:40:28.523"</f>
        <v>18:40:28.523</v>
      </c>
      <c r="T360" t="str">
        <f>"18:40:28.227"</f>
        <v>18:40:28.227</v>
      </c>
      <c r="U360" t="str">
        <f t="shared" si="16"/>
        <v>a1cdbe</v>
      </c>
      <c r="V360">
        <v>0</v>
      </c>
      <c r="W360">
        <v>0</v>
      </c>
      <c r="X360">
        <v>1</v>
      </c>
      <c r="Y360">
        <v>0</v>
      </c>
      <c r="Z360">
        <v>0</v>
      </c>
      <c r="AB360">
        <v>0</v>
      </c>
      <c r="AC360">
        <v>9</v>
      </c>
      <c r="AD360">
        <v>3</v>
      </c>
      <c r="AE360">
        <v>0</v>
      </c>
      <c r="AF360">
        <v>9</v>
      </c>
      <c r="AG360" t="s">
        <v>158</v>
      </c>
      <c r="AH360">
        <v>0</v>
      </c>
      <c r="AI360">
        <v>3</v>
      </c>
      <c r="AJ360">
        <v>1</v>
      </c>
      <c r="AK360">
        <v>0</v>
      </c>
      <c r="AL360" t="s">
        <v>789</v>
      </c>
      <c r="AM360">
        <v>47.005498000000003</v>
      </c>
      <c r="AN360" t="s">
        <v>790</v>
      </c>
      <c r="AO360">
        <v>-122.302144</v>
      </c>
      <c r="AP360">
        <v>100</v>
      </c>
      <c r="AQ360">
        <v>2000</v>
      </c>
      <c r="AR360" t="s">
        <v>118</v>
      </c>
      <c r="AS360">
        <v>-27</v>
      </c>
      <c r="AT360">
        <v>-74</v>
      </c>
      <c r="AU360">
        <v>384</v>
      </c>
      <c r="BC360">
        <v>1200</v>
      </c>
      <c r="BD360">
        <v>1</v>
      </c>
      <c r="BE360" t="str">
        <f t="shared" si="17"/>
        <v xml:space="preserve">N215T   </v>
      </c>
      <c r="BF360">
        <v>1</v>
      </c>
      <c r="BH360">
        <v>0</v>
      </c>
      <c r="BI360">
        <v>0</v>
      </c>
      <c r="BJ360">
        <v>0</v>
      </c>
      <c r="BK360">
        <v>2400</v>
      </c>
      <c r="BL360">
        <v>400</v>
      </c>
      <c r="BM360" t="s">
        <v>119</v>
      </c>
      <c r="BN360">
        <v>1</v>
      </c>
      <c r="BO360">
        <v>1</v>
      </c>
      <c r="BP360">
        <v>1</v>
      </c>
      <c r="BQ360">
        <v>0</v>
      </c>
      <c r="BT360">
        <v>0</v>
      </c>
      <c r="BU360">
        <v>0</v>
      </c>
      <c r="BV360">
        <v>0</v>
      </c>
      <c r="CC360" t="str">
        <f>"18:40:28.523"</f>
        <v>18:40:28.523</v>
      </c>
      <c r="CD360" t="str">
        <f>"524332532"</f>
        <v>524332532</v>
      </c>
      <c r="CQ360">
        <v>0</v>
      </c>
      <c r="CR360">
        <v>2</v>
      </c>
      <c r="CS360">
        <v>0</v>
      </c>
      <c r="CT360">
        <v>2</v>
      </c>
      <c r="CU360">
        <v>0</v>
      </c>
      <c r="CV360">
        <v>4</v>
      </c>
      <c r="CW360" t="s">
        <v>120</v>
      </c>
      <c r="CX360">
        <v>261</v>
      </c>
      <c r="CY360">
        <v>2</v>
      </c>
      <c r="CZ360" t="s">
        <v>121</v>
      </c>
      <c r="DA360" t="s">
        <v>122</v>
      </c>
      <c r="DD360">
        <v>14439778</v>
      </c>
      <c r="DE360" t="s">
        <v>123</v>
      </c>
    </row>
    <row r="361" spans="1:109" x14ac:dyDescent="0.3">
      <c r="A361" t="str">
        <f>"18:40:29.688"</f>
        <v>18:40:29.688</v>
      </c>
      <c r="B361" t="s">
        <v>110</v>
      </c>
      <c r="C361" t="str">
        <f t="shared" si="15"/>
        <v>ffdfd3c0</v>
      </c>
      <c r="D361" t="s">
        <v>111</v>
      </c>
      <c r="E361">
        <v>18</v>
      </c>
      <c r="F361">
        <v>1018</v>
      </c>
      <c r="G361" t="s">
        <v>112</v>
      </c>
      <c r="J361" t="s">
        <v>113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R361" t="s">
        <v>114</v>
      </c>
      <c r="S361" t="str">
        <f>"18:40:29.484"</f>
        <v>18:40:29.484</v>
      </c>
      <c r="T361" t="str">
        <f>"18:40:29.484"</f>
        <v>18:40:29.484</v>
      </c>
      <c r="U361" t="str">
        <f t="shared" si="16"/>
        <v>a1cdbe</v>
      </c>
      <c r="V361">
        <v>0</v>
      </c>
      <c r="W361">
        <v>0</v>
      </c>
      <c r="X361">
        <v>1</v>
      </c>
      <c r="Y361">
        <v>0</v>
      </c>
      <c r="Z361">
        <v>0</v>
      </c>
      <c r="AB361">
        <v>0</v>
      </c>
      <c r="AC361">
        <v>9</v>
      </c>
      <c r="AD361">
        <v>3</v>
      </c>
      <c r="AE361">
        <v>0</v>
      </c>
      <c r="AF361">
        <v>9</v>
      </c>
      <c r="AG361" t="s">
        <v>158</v>
      </c>
      <c r="AH361">
        <v>0</v>
      </c>
      <c r="AI361">
        <v>3</v>
      </c>
      <c r="AJ361">
        <v>1</v>
      </c>
      <c r="AK361">
        <v>0</v>
      </c>
      <c r="AL361" t="s">
        <v>791</v>
      </c>
      <c r="AM361">
        <v>47.005198</v>
      </c>
      <c r="AN361" t="s">
        <v>792</v>
      </c>
      <c r="AO361">
        <v>-122.302272</v>
      </c>
      <c r="AP361">
        <v>100</v>
      </c>
      <c r="AQ361">
        <v>2100</v>
      </c>
      <c r="AR361" t="s">
        <v>118</v>
      </c>
      <c r="AS361">
        <v>-27</v>
      </c>
      <c r="AT361">
        <v>-74</v>
      </c>
      <c r="AU361">
        <v>448</v>
      </c>
      <c r="BC361">
        <v>1200</v>
      </c>
      <c r="BD361">
        <v>1</v>
      </c>
      <c r="BE361" t="str">
        <f t="shared" si="17"/>
        <v xml:space="preserve">N215T   </v>
      </c>
      <c r="BF361">
        <v>1</v>
      </c>
      <c r="BH361">
        <v>0</v>
      </c>
      <c r="BI361">
        <v>0</v>
      </c>
      <c r="BJ361">
        <v>0</v>
      </c>
      <c r="BK361">
        <v>2425</v>
      </c>
      <c r="BL361">
        <v>325</v>
      </c>
      <c r="BM361" t="s">
        <v>119</v>
      </c>
      <c r="BN361">
        <v>1</v>
      </c>
      <c r="BO361">
        <v>1</v>
      </c>
      <c r="BP361">
        <v>1</v>
      </c>
      <c r="BQ361">
        <v>0</v>
      </c>
      <c r="BT361">
        <v>0</v>
      </c>
      <c r="BU361">
        <v>0</v>
      </c>
      <c r="BV361">
        <v>0</v>
      </c>
      <c r="CC361" t="str">
        <f>"18:40:29.484"</f>
        <v>18:40:29.484</v>
      </c>
      <c r="CD361" t="str">
        <f>"484461477"</f>
        <v>484461477</v>
      </c>
      <c r="CQ361">
        <v>0</v>
      </c>
      <c r="CR361">
        <v>2</v>
      </c>
      <c r="CS361">
        <v>0</v>
      </c>
      <c r="CT361">
        <v>2</v>
      </c>
      <c r="CU361">
        <v>0</v>
      </c>
      <c r="CV361">
        <v>3</v>
      </c>
      <c r="CW361" t="s">
        <v>120</v>
      </c>
      <c r="CX361">
        <v>257</v>
      </c>
      <c r="CY361">
        <v>1</v>
      </c>
      <c r="CZ361" t="s">
        <v>615</v>
      </c>
      <c r="DA361" t="s">
        <v>616</v>
      </c>
      <c r="DD361">
        <v>10691983</v>
      </c>
      <c r="DE361" t="s">
        <v>123</v>
      </c>
    </row>
    <row r="362" spans="1:109" x14ac:dyDescent="0.3">
      <c r="A362" t="str">
        <f>"18:40:30.695"</f>
        <v>18:40:30.695</v>
      </c>
      <c r="B362" t="s">
        <v>110</v>
      </c>
      <c r="C362" t="str">
        <f t="shared" si="15"/>
        <v>ffdfd3c0</v>
      </c>
      <c r="D362" t="s">
        <v>111</v>
      </c>
      <c r="E362">
        <v>18</v>
      </c>
      <c r="F362">
        <v>1018</v>
      </c>
      <c r="G362" t="s">
        <v>112</v>
      </c>
      <c r="J362" t="s">
        <v>113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R362" t="s">
        <v>114</v>
      </c>
      <c r="S362" t="str">
        <f>"18:40:30.484"</f>
        <v>18:40:30.484</v>
      </c>
      <c r="T362" t="str">
        <f>"18:40:30.383"</f>
        <v>18:40:30.383</v>
      </c>
      <c r="U362" t="str">
        <f t="shared" si="16"/>
        <v>a1cdbe</v>
      </c>
      <c r="V362">
        <v>0</v>
      </c>
      <c r="W362">
        <v>0</v>
      </c>
      <c r="X362">
        <v>1</v>
      </c>
      <c r="Y362">
        <v>0</v>
      </c>
      <c r="Z362">
        <v>0</v>
      </c>
      <c r="AB362">
        <v>0</v>
      </c>
      <c r="AC362">
        <v>9</v>
      </c>
      <c r="AD362">
        <v>3</v>
      </c>
      <c r="AE362">
        <v>0</v>
      </c>
      <c r="AF362">
        <v>9</v>
      </c>
      <c r="AG362" t="s">
        <v>158</v>
      </c>
      <c r="AH362">
        <v>0</v>
      </c>
      <c r="AI362">
        <v>3</v>
      </c>
      <c r="AJ362">
        <v>1</v>
      </c>
      <c r="AK362">
        <v>0</v>
      </c>
      <c r="AL362" t="s">
        <v>793</v>
      </c>
      <c r="AM362">
        <v>47.004812000000001</v>
      </c>
      <c r="AN362" t="s">
        <v>794</v>
      </c>
      <c r="AO362">
        <v>-122.302487</v>
      </c>
      <c r="AP362">
        <v>100</v>
      </c>
      <c r="AQ362">
        <v>2000</v>
      </c>
      <c r="AR362" t="s">
        <v>118</v>
      </c>
      <c r="AS362">
        <v>-26</v>
      </c>
      <c r="AT362">
        <v>-74</v>
      </c>
      <c r="AU362">
        <v>256</v>
      </c>
      <c r="BC362">
        <v>1200</v>
      </c>
      <c r="BD362">
        <v>1</v>
      </c>
      <c r="BE362" t="str">
        <f t="shared" si="17"/>
        <v xml:space="preserve">N215T   </v>
      </c>
      <c r="BF362">
        <v>1</v>
      </c>
      <c r="BH362">
        <v>0</v>
      </c>
      <c r="BI362">
        <v>0</v>
      </c>
      <c r="BJ362">
        <v>0</v>
      </c>
      <c r="BK362">
        <v>2425</v>
      </c>
      <c r="BL362">
        <v>425</v>
      </c>
      <c r="BM362" t="s">
        <v>119</v>
      </c>
      <c r="BN362">
        <v>1</v>
      </c>
      <c r="BO362">
        <v>1</v>
      </c>
      <c r="BP362">
        <v>1</v>
      </c>
      <c r="BQ362">
        <v>0</v>
      </c>
      <c r="BT362">
        <v>0</v>
      </c>
      <c r="BU362">
        <v>0</v>
      </c>
      <c r="BV362">
        <v>0</v>
      </c>
      <c r="CC362" t="str">
        <f>"18:40:30.492"</f>
        <v>18:40:30.492</v>
      </c>
      <c r="CD362" t="str">
        <f>"489362430"</f>
        <v>489362430</v>
      </c>
      <c r="CQ362">
        <v>0</v>
      </c>
      <c r="CR362">
        <v>2</v>
      </c>
      <c r="CS362">
        <v>0</v>
      </c>
      <c r="CT362">
        <v>2</v>
      </c>
      <c r="CU362">
        <v>0</v>
      </c>
      <c r="CV362">
        <v>4</v>
      </c>
      <c r="CW362" t="s">
        <v>120</v>
      </c>
      <c r="CX362">
        <v>257</v>
      </c>
      <c r="CY362">
        <v>1</v>
      </c>
      <c r="CZ362" t="s">
        <v>615</v>
      </c>
      <c r="DA362" t="s">
        <v>616</v>
      </c>
      <c r="DD362">
        <v>10692629</v>
      </c>
      <c r="DE362" t="s">
        <v>123</v>
      </c>
    </row>
    <row r="363" spans="1:109" x14ac:dyDescent="0.3">
      <c r="A363" t="str">
        <f>"18:40:31.703"</f>
        <v>18:40:31.703</v>
      </c>
      <c r="B363" t="s">
        <v>110</v>
      </c>
      <c r="C363" t="str">
        <f t="shared" si="15"/>
        <v>ffdfd3c0</v>
      </c>
      <c r="D363" t="s">
        <v>111</v>
      </c>
      <c r="E363">
        <v>18</v>
      </c>
      <c r="F363">
        <v>1018</v>
      </c>
      <c r="G363" t="s">
        <v>112</v>
      </c>
      <c r="J363" t="s">
        <v>113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R363" t="s">
        <v>114</v>
      </c>
      <c r="S363" t="str">
        <f>"18:40:31.508"</f>
        <v>18:40:31.508</v>
      </c>
      <c r="T363" t="str">
        <f>"18:40:31.406"</f>
        <v>18:40:31.406</v>
      </c>
      <c r="U363" t="str">
        <f t="shared" si="16"/>
        <v>a1cdbe</v>
      </c>
      <c r="V363">
        <v>0</v>
      </c>
      <c r="W363">
        <v>0</v>
      </c>
      <c r="X363">
        <v>1</v>
      </c>
      <c r="Y363">
        <v>0</v>
      </c>
      <c r="Z363">
        <v>0</v>
      </c>
      <c r="AB363">
        <v>0</v>
      </c>
      <c r="AC363">
        <v>9</v>
      </c>
      <c r="AD363">
        <v>3</v>
      </c>
      <c r="AE363">
        <v>0</v>
      </c>
      <c r="AF363">
        <v>9</v>
      </c>
      <c r="AG363" t="s">
        <v>158</v>
      </c>
      <c r="AH363">
        <v>0</v>
      </c>
      <c r="AI363">
        <v>3</v>
      </c>
      <c r="AJ363">
        <v>1</v>
      </c>
      <c r="AK363">
        <v>0</v>
      </c>
      <c r="AL363" t="s">
        <v>795</v>
      </c>
      <c r="AM363">
        <v>47.004489999999997</v>
      </c>
      <c r="AN363" t="s">
        <v>796</v>
      </c>
      <c r="AO363">
        <v>-122.302616</v>
      </c>
      <c r="AP363">
        <v>100</v>
      </c>
      <c r="AQ363">
        <v>2000</v>
      </c>
      <c r="AR363" t="s">
        <v>118</v>
      </c>
      <c r="AS363">
        <v>-26</v>
      </c>
      <c r="AT363">
        <v>-73</v>
      </c>
      <c r="AU363">
        <v>64</v>
      </c>
      <c r="BC363">
        <v>1200</v>
      </c>
      <c r="BD363">
        <v>1</v>
      </c>
      <c r="BE363" t="str">
        <f t="shared" si="17"/>
        <v xml:space="preserve">N215T   </v>
      </c>
      <c r="BF363">
        <v>1</v>
      </c>
      <c r="BH363">
        <v>0</v>
      </c>
      <c r="BI363">
        <v>0</v>
      </c>
      <c r="BJ363">
        <v>0</v>
      </c>
      <c r="BK363">
        <v>2425</v>
      </c>
      <c r="BL363">
        <v>425</v>
      </c>
      <c r="BM363" t="s">
        <v>119</v>
      </c>
      <c r="BN363">
        <v>1</v>
      </c>
      <c r="BO363">
        <v>1</v>
      </c>
      <c r="BP363">
        <v>1</v>
      </c>
      <c r="BQ363">
        <v>0</v>
      </c>
      <c r="BT363">
        <v>0</v>
      </c>
      <c r="BU363">
        <v>0</v>
      </c>
      <c r="BV363">
        <v>0</v>
      </c>
      <c r="CC363" t="str">
        <f>"18:40:31.508"</f>
        <v>18:40:31.508</v>
      </c>
      <c r="CD363" t="str">
        <f>"509261932"</f>
        <v>509261932</v>
      </c>
      <c r="CQ363">
        <v>0</v>
      </c>
      <c r="CR363">
        <v>2</v>
      </c>
      <c r="CS363">
        <v>0</v>
      </c>
      <c r="CT363">
        <v>2</v>
      </c>
      <c r="CU363">
        <v>0</v>
      </c>
      <c r="CV363">
        <v>4</v>
      </c>
      <c r="CW363" t="s">
        <v>120</v>
      </c>
      <c r="CX363">
        <v>257</v>
      </c>
      <c r="CY363">
        <v>1</v>
      </c>
      <c r="CZ363" t="s">
        <v>615</v>
      </c>
      <c r="DA363" t="s">
        <v>616</v>
      </c>
      <c r="DD363">
        <v>10693260</v>
      </c>
      <c r="DE363" t="s">
        <v>123</v>
      </c>
    </row>
    <row r="364" spans="1:109" x14ac:dyDescent="0.3">
      <c r="A364" t="str">
        <f>"18:40:32.859"</f>
        <v>18:40:32.859</v>
      </c>
      <c r="B364" t="s">
        <v>110</v>
      </c>
      <c r="C364" t="str">
        <f t="shared" si="15"/>
        <v>ffdfd3c0</v>
      </c>
      <c r="D364" t="s">
        <v>111</v>
      </c>
      <c r="E364">
        <v>18</v>
      </c>
      <c r="F364">
        <v>1018</v>
      </c>
      <c r="G364" t="s">
        <v>112</v>
      </c>
      <c r="J364" t="s">
        <v>113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R364" t="s">
        <v>114</v>
      </c>
      <c r="S364" t="str">
        <f>"18:40:32.602"</f>
        <v>18:40:32.602</v>
      </c>
      <c r="T364" t="str">
        <f>"18:40:32.398"</f>
        <v>18:40:32.398</v>
      </c>
      <c r="U364" t="str">
        <f t="shared" si="16"/>
        <v>a1cdbe</v>
      </c>
      <c r="V364">
        <v>0</v>
      </c>
      <c r="W364">
        <v>0</v>
      </c>
      <c r="X364">
        <v>1</v>
      </c>
      <c r="Y364">
        <v>0</v>
      </c>
      <c r="Z364">
        <v>0</v>
      </c>
      <c r="AB364">
        <v>0</v>
      </c>
      <c r="AC364">
        <v>9</v>
      </c>
      <c r="AD364">
        <v>3</v>
      </c>
      <c r="AE364">
        <v>0</v>
      </c>
      <c r="AF364">
        <v>9</v>
      </c>
      <c r="AG364" t="s">
        <v>158</v>
      </c>
      <c r="AH364">
        <v>0</v>
      </c>
      <c r="AI364">
        <v>3</v>
      </c>
      <c r="AJ364">
        <v>1</v>
      </c>
      <c r="AK364">
        <v>0</v>
      </c>
      <c r="AL364" t="s">
        <v>797</v>
      </c>
      <c r="AM364">
        <v>47.004125000000002</v>
      </c>
      <c r="AN364" t="s">
        <v>798</v>
      </c>
      <c r="AO364">
        <v>-122.30283</v>
      </c>
      <c r="AP364">
        <v>100</v>
      </c>
      <c r="AQ364">
        <v>2000</v>
      </c>
      <c r="AR364" t="s">
        <v>118</v>
      </c>
      <c r="AS364">
        <v>-25</v>
      </c>
      <c r="AT364">
        <v>-73</v>
      </c>
      <c r="AU364">
        <v>128</v>
      </c>
      <c r="BC364">
        <v>1200</v>
      </c>
      <c r="BD364">
        <v>1</v>
      </c>
      <c r="BE364" t="str">
        <f t="shared" si="17"/>
        <v xml:space="preserve">N215T   </v>
      </c>
      <c r="BF364">
        <v>1</v>
      </c>
      <c r="BH364">
        <v>0</v>
      </c>
      <c r="BI364">
        <v>0</v>
      </c>
      <c r="BJ364">
        <v>0</v>
      </c>
      <c r="BK364">
        <v>2425</v>
      </c>
      <c r="BL364">
        <v>425</v>
      </c>
      <c r="BM364" t="s">
        <v>119</v>
      </c>
      <c r="BN364">
        <v>1</v>
      </c>
      <c r="BO364">
        <v>1</v>
      </c>
      <c r="BP364">
        <v>1</v>
      </c>
      <c r="BQ364">
        <v>0</v>
      </c>
      <c r="BT364">
        <v>0</v>
      </c>
      <c r="BU364">
        <v>0</v>
      </c>
      <c r="BV364">
        <v>0</v>
      </c>
      <c r="CC364" t="str">
        <f>"18:40:32.602"</f>
        <v>18:40:32.602</v>
      </c>
      <c r="CD364" t="str">
        <f>"604154044"</f>
        <v>604154044</v>
      </c>
      <c r="CQ364">
        <v>0</v>
      </c>
      <c r="CR364">
        <v>2</v>
      </c>
      <c r="CS364">
        <v>0</v>
      </c>
      <c r="CT364">
        <v>2</v>
      </c>
      <c r="CU364">
        <v>0</v>
      </c>
      <c r="CV364">
        <v>5</v>
      </c>
      <c r="CW364" t="s">
        <v>120</v>
      </c>
      <c r="CX364">
        <v>257</v>
      </c>
      <c r="CY364">
        <v>1</v>
      </c>
      <c r="CZ364" t="s">
        <v>615</v>
      </c>
      <c r="DA364" t="s">
        <v>616</v>
      </c>
      <c r="DD364">
        <v>10693939</v>
      </c>
      <c r="DE364" t="s">
        <v>123</v>
      </c>
    </row>
    <row r="365" spans="1:109" x14ac:dyDescent="0.3">
      <c r="A365" t="str">
        <f>"18:40:33.961"</f>
        <v>18:40:33.961</v>
      </c>
      <c r="B365" t="s">
        <v>110</v>
      </c>
      <c r="C365" t="str">
        <f t="shared" si="15"/>
        <v>ffdfd3c0</v>
      </c>
      <c r="D365" t="s">
        <v>111</v>
      </c>
      <c r="E365">
        <v>18</v>
      </c>
      <c r="F365">
        <v>1018</v>
      </c>
      <c r="G365" t="s">
        <v>112</v>
      </c>
      <c r="J365" t="s">
        <v>113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R365" t="s">
        <v>114</v>
      </c>
      <c r="S365" t="str">
        <f>"18:40:33.742"</f>
        <v>18:40:33.742</v>
      </c>
      <c r="T365" t="str">
        <f>"18:40:33.539"</f>
        <v>18:40:33.539</v>
      </c>
      <c r="U365" t="str">
        <f t="shared" si="16"/>
        <v>a1cdbe</v>
      </c>
      <c r="V365">
        <v>0</v>
      </c>
      <c r="W365">
        <v>0</v>
      </c>
      <c r="X365">
        <v>1</v>
      </c>
      <c r="Y365">
        <v>0</v>
      </c>
      <c r="Z365">
        <v>0</v>
      </c>
      <c r="AB365">
        <v>0</v>
      </c>
      <c r="AC365">
        <v>9</v>
      </c>
      <c r="AD365">
        <v>3</v>
      </c>
      <c r="AE365">
        <v>0</v>
      </c>
      <c r="AF365">
        <v>9</v>
      </c>
      <c r="AG365" t="s">
        <v>158</v>
      </c>
      <c r="AH365">
        <v>0</v>
      </c>
      <c r="AI365">
        <v>3</v>
      </c>
      <c r="AJ365">
        <v>1</v>
      </c>
      <c r="AK365">
        <v>0</v>
      </c>
      <c r="AL365" t="s">
        <v>799</v>
      </c>
      <c r="AM365">
        <v>47.003717000000002</v>
      </c>
      <c r="AN365" t="s">
        <v>800</v>
      </c>
      <c r="AO365">
        <v>-122.303023</v>
      </c>
      <c r="AP365">
        <v>100</v>
      </c>
      <c r="AQ365">
        <v>2000</v>
      </c>
      <c r="AR365" t="s">
        <v>118</v>
      </c>
      <c r="AS365">
        <v>-23</v>
      </c>
      <c r="AT365">
        <v>-73</v>
      </c>
      <c r="AU365">
        <v>64</v>
      </c>
      <c r="BC365">
        <v>1200</v>
      </c>
      <c r="BD365">
        <v>1</v>
      </c>
      <c r="BE365" t="str">
        <f t="shared" si="17"/>
        <v xml:space="preserve">N215T   </v>
      </c>
      <c r="BF365">
        <v>1</v>
      </c>
      <c r="BH365">
        <v>0</v>
      </c>
      <c r="BI365">
        <v>0</v>
      </c>
      <c r="BJ365">
        <v>0</v>
      </c>
      <c r="BK365">
        <v>2425</v>
      </c>
      <c r="BL365">
        <v>425</v>
      </c>
      <c r="BM365" t="s">
        <v>119</v>
      </c>
      <c r="BN365">
        <v>1</v>
      </c>
      <c r="BO365">
        <v>1</v>
      </c>
      <c r="BP365">
        <v>1</v>
      </c>
      <c r="BQ365">
        <v>0</v>
      </c>
      <c r="BT365">
        <v>0</v>
      </c>
      <c r="BU365">
        <v>0</v>
      </c>
      <c r="BV365">
        <v>0</v>
      </c>
      <c r="CC365" t="str">
        <f>"18:40:33.742"</f>
        <v>18:40:33.742</v>
      </c>
      <c r="CD365" t="str">
        <f>"743935322"</f>
        <v>743935322</v>
      </c>
      <c r="CQ365">
        <v>0</v>
      </c>
      <c r="CR365">
        <v>2</v>
      </c>
      <c r="CS365">
        <v>0</v>
      </c>
      <c r="CT365">
        <v>2</v>
      </c>
      <c r="CU365">
        <v>0</v>
      </c>
      <c r="CV365">
        <v>3</v>
      </c>
      <c r="CW365" t="s">
        <v>120</v>
      </c>
      <c r="CX365">
        <v>259</v>
      </c>
      <c r="CY365">
        <v>1</v>
      </c>
      <c r="CZ365" t="s">
        <v>197</v>
      </c>
      <c r="DA365" t="s">
        <v>198</v>
      </c>
      <c r="DD365">
        <v>14871309</v>
      </c>
      <c r="DE365" t="s">
        <v>123</v>
      </c>
    </row>
    <row r="366" spans="1:109" x14ac:dyDescent="0.3">
      <c r="A366" t="str">
        <f>"18:40:35.023"</f>
        <v>18:40:35.023</v>
      </c>
      <c r="B366" t="s">
        <v>110</v>
      </c>
      <c r="C366" t="str">
        <f t="shared" si="15"/>
        <v>ffdfd3c0</v>
      </c>
      <c r="D366" t="s">
        <v>111</v>
      </c>
      <c r="E366">
        <v>18</v>
      </c>
      <c r="F366">
        <v>1018</v>
      </c>
      <c r="G366" t="s">
        <v>112</v>
      </c>
      <c r="J366" t="s">
        <v>113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R366" t="s">
        <v>114</v>
      </c>
      <c r="S366" t="str">
        <f>"18:40:34.773"</f>
        <v>18:40:34.773</v>
      </c>
      <c r="T366" t="str">
        <f>"18:40:34.477"</f>
        <v>18:40:34.477</v>
      </c>
      <c r="U366" t="str">
        <f t="shared" si="16"/>
        <v>a1cdbe</v>
      </c>
      <c r="V366">
        <v>0</v>
      </c>
      <c r="W366">
        <v>0</v>
      </c>
      <c r="X366">
        <v>1</v>
      </c>
      <c r="Y366">
        <v>0</v>
      </c>
      <c r="Z366">
        <v>0</v>
      </c>
      <c r="AB366">
        <v>0</v>
      </c>
      <c r="AC366">
        <v>9</v>
      </c>
      <c r="AD366">
        <v>3</v>
      </c>
      <c r="AE366">
        <v>0</v>
      </c>
      <c r="AF366">
        <v>9</v>
      </c>
      <c r="AG366" t="s">
        <v>158</v>
      </c>
      <c r="AH366">
        <v>0</v>
      </c>
      <c r="AI366">
        <v>3</v>
      </c>
      <c r="AJ366">
        <v>1</v>
      </c>
      <c r="AK366">
        <v>0</v>
      </c>
      <c r="AL366" t="s">
        <v>801</v>
      </c>
      <c r="AM366">
        <v>47.003352999999997</v>
      </c>
      <c r="AN366" t="s">
        <v>802</v>
      </c>
      <c r="AO366">
        <v>-122.303174</v>
      </c>
      <c r="AP366">
        <v>100</v>
      </c>
      <c r="AQ366">
        <v>2000</v>
      </c>
      <c r="AR366" t="s">
        <v>118</v>
      </c>
      <c r="AS366">
        <v>-23</v>
      </c>
      <c r="AT366">
        <v>-73</v>
      </c>
      <c r="AU366">
        <v>-64</v>
      </c>
      <c r="BC366">
        <v>1200</v>
      </c>
      <c r="BD366">
        <v>1</v>
      </c>
      <c r="BE366" t="str">
        <f t="shared" si="17"/>
        <v xml:space="preserve">N215T   </v>
      </c>
      <c r="BF366">
        <v>1</v>
      </c>
      <c r="BH366">
        <v>0</v>
      </c>
      <c r="BI366">
        <v>0</v>
      </c>
      <c r="BJ366">
        <v>0</v>
      </c>
      <c r="BK366">
        <v>2425</v>
      </c>
      <c r="BL366">
        <v>425</v>
      </c>
      <c r="BM366" t="s">
        <v>119</v>
      </c>
      <c r="BN366">
        <v>1</v>
      </c>
      <c r="BO366">
        <v>1</v>
      </c>
      <c r="BP366">
        <v>1</v>
      </c>
      <c r="BQ366">
        <v>0</v>
      </c>
      <c r="BT366">
        <v>0</v>
      </c>
      <c r="BU366">
        <v>0</v>
      </c>
      <c r="BV366">
        <v>0</v>
      </c>
      <c r="CC366" t="str">
        <f>"18:40:34.781"</f>
        <v>18:40:34.781</v>
      </c>
      <c r="CD366" t="str">
        <f>"778939756"</f>
        <v>778939756</v>
      </c>
      <c r="CQ366">
        <v>0</v>
      </c>
      <c r="CR366">
        <v>2</v>
      </c>
      <c r="CS366">
        <v>0</v>
      </c>
      <c r="CT366">
        <v>2</v>
      </c>
      <c r="CU366">
        <v>0</v>
      </c>
      <c r="CV366">
        <v>5</v>
      </c>
      <c r="CW366" t="s">
        <v>120</v>
      </c>
      <c r="CX366">
        <v>257</v>
      </c>
      <c r="CY366">
        <v>1</v>
      </c>
      <c r="CZ366" t="s">
        <v>615</v>
      </c>
      <c r="DA366" t="s">
        <v>616</v>
      </c>
      <c r="DD366">
        <v>10695290</v>
      </c>
      <c r="DE366" t="s">
        <v>123</v>
      </c>
    </row>
    <row r="367" spans="1:109" x14ac:dyDescent="0.3">
      <c r="A367" t="str">
        <f>"18:40:35.875"</f>
        <v>18:40:35.875</v>
      </c>
      <c r="B367" t="s">
        <v>110</v>
      </c>
      <c r="C367" t="str">
        <f t="shared" si="15"/>
        <v>ffdfd3c0</v>
      </c>
      <c r="D367" t="s">
        <v>111</v>
      </c>
      <c r="E367">
        <v>18</v>
      </c>
      <c r="F367">
        <v>1018</v>
      </c>
      <c r="G367" t="s">
        <v>112</v>
      </c>
      <c r="J367" t="s">
        <v>113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R367" t="s">
        <v>114</v>
      </c>
      <c r="S367" t="str">
        <f>"18:40:35.648"</f>
        <v>18:40:35.648</v>
      </c>
      <c r="T367" t="str">
        <f>"18:40:35.547"</f>
        <v>18:40:35.547</v>
      </c>
      <c r="U367" t="str">
        <f t="shared" si="16"/>
        <v>a1cdbe</v>
      </c>
      <c r="V367">
        <v>0</v>
      </c>
      <c r="W367">
        <v>0</v>
      </c>
      <c r="X367">
        <v>1</v>
      </c>
      <c r="Y367">
        <v>0</v>
      </c>
      <c r="Z367">
        <v>0</v>
      </c>
      <c r="AB367">
        <v>0</v>
      </c>
      <c r="AC367">
        <v>9</v>
      </c>
      <c r="AD367">
        <v>3</v>
      </c>
      <c r="AE367">
        <v>0</v>
      </c>
      <c r="AF367">
        <v>9</v>
      </c>
      <c r="AG367" t="s">
        <v>158</v>
      </c>
      <c r="AH367">
        <v>0</v>
      </c>
      <c r="AI367">
        <v>3</v>
      </c>
      <c r="AJ367">
        <v>1</v>
      </c>
      <c r="AK367">
        <v>0</v>
      </c>
      <c r="AL367" t="s">
        <v>803</v>
      </c>
      <c r="AM367">
        <v>47.003073999999998</v>
      </c>
      <c r="AN367" t="s">
        <v>804</v>
      </c>
      <c r="AO367">
        <v>-122.303302</v>
      </c>
      <c r="AP367">
        <v>100</v>
      </c>
      <c r="AQ367">
        <v>2000</v>
      </c>
      <c r="AR367" t="s">
        <v>118</v>
      </c>
      <c r="AS367">
        <v>-23</v>
      </c>
      <c r="AT367">
        <v>-74</v>
      </c>
      <c r="AU367">
        <v>-64</v>
      </c>
      <c r="BC367">
        <v>1200</v>
      </c>
      <c r="BD367">
        <v>1</v>
      </c>
      <c r="BE367" t="str">
        <f t="shared" si="17"/>
        <v xml:space="preserve">N215T   </v>
      </c>
      <c r="BF367">
        <v>1</v>
      </c>
      <c r="BH367">
        <v>0</v>
      </c>
      <c r="BI367">
        <v>0</v>
      </c>
      <c r="BJ367">
        <v>0</v>
      </c>
      <c r="BK367">
        <v>2425</v>
      </c>
      <c r="BL367">
        <v>425</v>
      </c>
      <c r="BM367" t="s">
        <v>119</v>
      </c>
      <c r="BN367">
        <v>1</v>
      </c>
      <c r="BO367">
        <v>1</v>
      </c>
      <c r="BP367">
        <v>1</v>
      </c>
      <c r="BQ367">
        <v>0</v>
      </c>
      <c r="BT367">
        <v>0</v>
      </c>
      <c r="BU367">
        <v>0</v>
      </c>
      <c r="BV367">
        <v>0</v>
      </c>
      <c r="CC367" t="str">
        <f>"18:40:35.648"</f>
        <v>18:40:35.648</v>
      </c>
      <c r="CD367" t="str">
        <f>"648854002"</f>
        <v>648854002</v>
      </c>
      <c r="CQ367">
        <v>0</v>
      </c>
      <c r="CR367">
        <v>2</v>
      </c>
      <c r="CS367">
        <v>0</v>
      </c>
      <c r="CT367">
        <v>2</v>
      </c>
      <c r="CU367">
        <v>0</v>
      </c>
      <c r="CV367">
        <v>5</v>
      </c>
      <c r="CW367" t="s">
        <v>120</v>
      </c>
      <c r="CX367">
        <v>257</v>
      </c>
      <c r="CY367">
        <v>1</v>
      </c>
      <c r="CZ367" t="s">
        <v>615</v>
      </c>
      <c r="DA367" t="s">
        <v>616</v>
      </c>
      <c r="DD367">
        <v>10695845</v>
      </c>
      <c r="DE367" t="s">
        <v>123</v>
      </c>
    </row>
    <row r="368" spans="1:109" x14ac:dyDescent="0.3">
      <c r="A368" t="str">
        <f>"18:40:36.883"</f>
        <v>18:40:36.883</v>
      </c>
      <c r="B368" t="s">
        <v>110</v>
      </c>
      <c r="C368" t="str">
        <f t="shared" si="15"/>
        <v>ffdfd3c0</v>
      </c>
      <c r="D368" t="s">
        <v>111</v>
      </c>
      <c r="E368">
        <v>18</v>
      </c>
      <c r="F368">
        <v>1018</v>
      </c>
      <c r="G368" t="s">
        <v>112</v>
      </c>
      <c r="J368" t="s">
        <v>113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R368" t="s">
        <v>114</v>
      </c>
      <c r="S368" t="str">
        <f>"18:40:36.633"</f>
        <v>18:40:36.633</v>
      </c>
      <c r="T368" t="str">
        <f>"18:40:36.633"</f>
        <v>18:40:36.633</v>
      </c>
      <c r="U368" t="str">
        <f t="shared" si="16"/>
        <v>a1cdbe</v>
      </c>
      <c r="V368">
        <v>0</v>
      </c>
      <c r="W368">
        <v>0</v>
      </c>
      <c r="X368">
        <v>1</v>
      </c>
      <c r="Y368">
        <v>0</v>
      </c>
      <c r="Z368">
        <v>0</v>
      </c>
      <c r="AB368">
        <v>0</v>
      </c>
      <c r="AC368">
        <v>9</v>
      </c>
      <c r="AD368">
        <v>3</v>
      </c>
      <c r="AE368">
        <v>0</v>
      </c>
      <c r="AF368">
        <v>9</v>
      </c>
      <c r="AG368" t="s">
        <v>158</v>
      </c>
      <c r="AH368">
        <v>0</v>
      </c>
      <c r="AI368">
        <v>3</v>
      </c>
      <c r="AJ368">
        <v>1</v>
      </c>
      <c r="AK368">
        <v>0</v>
      </c>
      <c r="AL368" t="s">
        <v>805</v>
      </c>
      <c r="AM368">
        <v>47.00273</v>
      </c>
      <c r="AN368" t="s">
        <v>806</v>
      </c>
      <c r="AO368">
        <v>-122.303388</v>
      </c>
      <c r="AP368">
        <v>100</v>
      </c>
      <c r="AQ368">
        <v>2000</v>
      </c>
      <c r="AR368" t="s">
        <v>118</v>
      </c>
      <c r="AS368">
        <v>-23</v>
      </c>
      <c r="AT368">
        <v>-74</v>
      </c>
      <c r="AU368">
        <v>0</v>
      </c>
      <c r="BC368">
        <v>1200</v>
      </c>
      <c r="BD368">
        <v>1</v>
      </c>
      <c r="BE368" t="str">
        <f t="shared" si="17"/>
        <v xml:space="preserve">N215T   </v>
      </c>
      <c r="BF368">
        <v>1</v>
      </c>
      <c r="BH368">
        <v>0</v>
      </c>
      <c r="BI368">
        <v>0</v>
      </c>
      <c r="BJ368">
        <v>0</v>
      </c>
      <c r="BK368">
        <v>2325</v>
      </c>
      <c r="BL368">
        <v>325</v>
      </c>
      <c r="BM368" t="s">
        <v>119</v>
      </c>
      <c r="BN368">
        <v>1</v>
      </c>
      <c r="BO368">
        <v>1</v>
      </c>
      <c r="BP368">
        <v>1</v>
      </c>
      <c r="BQ368">
        <v>0</v>
      </c>
      <c r="BT368">
        <v>0</v>
      </c>
      <c r="BU368">
        <v>0</v>
      </c>
      <c r="BV368">
        <v>0</v>
      </c>
      <c r="CC368" t="str">
        <f>"18:40:36.641"</f>
        <v>18:40:36.641</v>
      </c>
      <c r="CD368" t="str">
        <f>"638756455"</f>
        <v>638756455</v>
      </c>
      <c r="CQ368">
        <v>0</v>
      </c>
      <c r="CR368">
        <v>2</v>
      </c>
      <c r="CS368">
        <v>0</v>
      </c>
      <c r="CT368">
        <v>2</v>
      </c>
      <c r="CU368">
        <v>0</v>
      </c>
      <c r="CV368">
        <v>5</v>
      </c>
      <c r="CW368" t="s">
        <v>120</v>
      </c>
      <c r="CX368">
        <v>257</v>
      </c>
      <c r="CY368">
        <v>1</v>
      </c>
      <c r="CZ368" t="s">
        <v>615</v>
      </c>
      <c r="DA368" t="s">
        <v>616</v>
      </c>
      <c r="DD368">
        <v>10696467</v>
      </c>
      <c r="DE368" t="s">
        <v>123</v>
      </c>
    </row>
    <row r="369" spans="1:109" x14ac:dyDescent="0.3">
      <c r="A369" t="str">
        <f>"18:40:37.836"</f>
        <v>18:40:37.836</v>
      </c>
      <c r="B369" t="s">
        <v>110</v>
      </c>
      <c r="C369" t="str">
        <f t="shared" si="15"/>
        <v>ffdfd3c0</v>
      </c>
      <c r="D369" t="s">
        <v>111</v>
      </c>
      <c r="E369">
        <v>18</v>
      </c>
      <c r="F369">
        <v>1018</v>
      </c>
      <c r="G369" t="s">
        <v>112</v>
      </c>
      <c r="J369" t="s">
        <v>113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R369" t="s">
        <v>114</v>
      </c>
      <c r="S369" t="str">
        <f>"18:40:37.625"</f>
        <v>18:40:37.625</v>
      </c>
      <c r="T369" t="str">
        <f>"18:40:37.125"</f>
        <v>18:40:37.125</v>
      </c>
      <c r="U369" t="str">
        <f t="shared" si="16"/>
        <v>a1cdbe</v>
      </c>
      <c r="V369">
        <v>0</v>
      </c>
      <c r="W369">
        <v>0</v>
      </c>
      <c r="X369">
        <v>1</v>
      </c>
      <c r="Y369">
        <v>0</v>
      </c>
      <c r="Z369">
        <v>0</v>
      </c>
      <c r="AB369">
        <v>0</v>
      </c>
      <c r="AC369">
        <v>9</v>
      </c>
      <c r="AD369">
        <v>3</v>
      </c>
      <c r="AE369">
        <v>0</v>
      </c>
      <c r="AF369">
        <v>9</v>
      </c>
      <c r="AG369" t="s">
        <v>158</v>
      </c>
      <c r="AH369">
        <v>0</v>
      </c>
      <c r="AI369">
        <v>3</v>
      </c>
      <c r="AJ369">
        <v>1</v>
      </c>
      <c r="AK369">
        <v>0</v>
      </c>
      <c r="AL369" t="s">
        <v>807</v>
      </c>
      <c r="AM369">
        <v>47.002386999999999</v>
      </c>
      <c r="AN369" t="s">
        <v>808</v>
      </c>
      <c r="AO369">
        <v>-122.30358099999999</v>
      </c>
      <c r="AP369">
        <v>100</v>
      </c>
      <c r="AQ369">
        <v>2000</v>
      </c>
      <c r="AR369" t="s">
        <v>118</v>
      </c>
      <c r="AS369">
        <v>-23</v>
      </c>
      <c r="AT369">
        <v>-75</v>
      </c>
      <c r="AU369">
        <v>-128</v>
      </c>
      <c r="BC369">
        <v>1200</v>
      </c>
      <c r="BD369">
        <v>1</v>
      </c>
      <c r="BE369" t="str">
        <f t="shared" si="17"/>
        <v xml:space="preserve">N215T   </v>
      </c>
      <c r="BF369">
        <v>1</v>
      </c>
      <c r="BH369">
        <v>0</v>
      </c>
      <c r="BI369">
        <v>0</v>
      </c>
      <c r="BJ369">
        <v>0</v>
      </c>
      <c r="BK369">
        <v>2425</v>
      </c>
      <c r="BL369">
        <v>425</v>
      </c>
      <c r="BM369" t="s">
        <v>119</v>
      </c>
      <c r="BN369">
        <v>1</v>
      </c>
      <c r="BO369">
        <v>1</v>
      </c>
      <c r="BP369">
        <v>1</v>
      </c>
      <c r="BQ369">
        <v>0</v>
      </c>
      <c r="BT369">
        <v>0</v>
      </c>
      <c r="BU369">
        <v>0</v>
      </c>
      <c r="BV369">
        <v>0</v>
      </c>
      <c r="CC369" t="str">
        <f>"18:40:37.625"</f>
        <v>18:40:37.625</v>
      </c>
      <c r="CD369" t="str">
        <f>"628437018"</f>
        <v>628437018</v>
      </c>
      <c r="CQ369">
        <v>0</v>
      </c>
      <c r="CR369">
        <v>2</v>
      </c>
      <c r="CS369">
        <v>0</v>
      </c>
      <c r="CT369">
        <v>2</v>
      </c>
      <c r="CU369">
        <v>0</v>
      </c>
      <c r="CV369">
        <v>5</v>
      </c>
      <c r="CW369" t="s">
        <v>120</v>
      </c>
      <c r="CX369">
        <v>261</v>
      </c>
      <c r="CY369">
        <v>2</v>
      </c>
      <c r="CZ369" t="s">
        <v>121</v>
      </c>
      <c r="DA369" t="s">
        <v>122</v>
      </c>
      <c r="DD369">
        <v>14444919</v>
      </c>
      <c r="DE369" t="s">
        <v>123</v>
      </c>
    </row>
    <row r="370" spans="1:109" x14ac:dyDescent="0.3">
      <c r="A370" t="str">
        <f>"18:40:38.844"</f>
        <v>18:40:38.844</v>
      </c>
      <c r="B370" t="s">
        <v>110</v>
      </c>
      <c r="C370" t="str">
        <f t="shared" si="15"/>
        <v>ffdfd3c0</v>
      </c>
      <c r="D370" t="s">
        <v>111</v>
      </c>
      <c r="E370">
        <v>18</v>
      </c>
      <c r="F370">
        <v>1018</v>
      </c>
      <c r="G370" t="s">
        <v>112</v>
      </c>
      <c r="J370" t="s">
        <v>113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R370" t="s">
        <v>114</v>
      </c>
      <c r="S370" t="str">
        <f>"18:40:38.617"</f>
        <v>18:40:38.617</v>
      </c>
      <c r="T370" t="str">
        <f>"18:40:38.117"</f>
        <v>18:40:38.117</v>
      </c>
      <c r="U370" t="str">
        <f t="shared" si="16"/>
        <v>a1cdbe</v>
      </c>
      <c r="V370">
        <v>0</v>
      </c>
      <c r="W370">
        <v>0</v>
      </c>
      <c r="X370">
        <v>1</v>
      </c>
      <c r="Y370">
        <v>0</v>
      </c>
      <c r="Z370">
        <v>0</v>
      </c>
      <c r="AB370">
        <v>0</v>
      </c>
      <c r="AC370">
        <v>9</v>
      </c>
      <c r="AD370">
        <v>3</v>
      </c>
      <c r="AE370">
        <v>0</v>
      </c>
      <c r="AF370">
        <v>9</v>
      </c>
      <c r="AG370" t="s">
        <v>158</v>
      </c>
      <c r="AH370">
        <v>0</v>
      </c>
      <c r="AI370">
        <v>3</v>
      </c>
      <c r="AJ370">
        <v>1</v>
      </c>
      <c r="AK370">
        <v>0</v>
      </c>
      <c r="AL370" t="s">
        <v>809</v>
      </c>
      <c r="AM370">
        <v>47.002021999999997</v>
      </c>
      <c r="AN370" t="s">
        <v>810</v>
      </c>
      <c r="AO370">
        <v>-122.303753</v>
      </c>
      <c r="AP370">
        <v>100</v>
      </c>
      <c r="AQ370">
        <v>2000</v>
      </c>
      <c r="AR370" t="s">
        <v>118</v>
      </c>
      <c r="AS370">
        <v>-25</v>
      </c>
      <c r="AT370">
        <v>-75</v>
      </c>
      <c r="AU370">
        <v>-128</v>
      </c>
      <c r="BC370">
        <v>1200</v>
      </c>
      <c r="BD370">
        <v>1</v>
      </c>
      <c r="BE370" t="str">
        <f t="shared" si="17"/>
        <v xml:space="preserve">N215T   </v>
      </c>
      <c r="BF370">
        <v>1</v>
      </c>
      <c r="BH370">
        <v>0</v>
      </c>
      <c r="BI370">
        <v>0</v>
      </c>
      <c r="BJ370">
        <v>0</v>
      </c>
      <c r="BK370">
        <v>2425</v>
      </c>
      <c r="BL370">
        <v>425</v>
      </c>
      <c r="BM370" t="s">
        <v>119</v>
      </c>
      <c r="BN370">
        <v>1</v>
      </c>
      <c r="BO370">
        <v>1</v>
      </c>
      <c r="BP370">
        <v>1</v>
      </c>
      <c r="BQ370">
        <v>0</v>
      </c>
      <c r="BT370">
        <v>0</v>
      </c>
      <c r="BU370">
        <v>0</v>
      </c>
      <c r="BV370">
        <v>0</v>
      </c>
      <c r="CC370" t="str">
        <f>"18:40:38.617"</f>
        <v>18:40:38.617</v>
      </c>
      <c r="CD370" t="str">
        <f>"618339658"</f>
        <v>618339658</v>
      </c>
      <c r="CQ370">
        <v>0</v>
      </c>
      <c r="CR370">
        <v>2</v>
      </c>
      <c r="CS370">
        <v>0</v>
      </c>
      <c r="CT370">
        <v>2</v>
      </c>
      <c r="CU370">
        <v>0</v>
      </c>
      <c r="CV370">
        <v>4</v>
      </c>
      <c r="CW370" t="s">
        <v>120</v>
      </c>
      <c r="CX370">
        <v>261</v>
      </c>
      <c r="CY370">
        <v>2</v>
      </c>
      <c r="CZ370" t="s">
        <v>121</v>
      </c>
      <c r="DA370" t="s">
        <v>122</v>
      </c>
      <c r="DD370">
        <v>14445421</v>
      </c>
      <c r="DE370" t="s">
        <v>123</v>
      </c>
    </row>
    <row r="371" spans="1:109" x14ac:dyDescent="0.3">
      <c r="A371" t="str">
        <f>"18:40:39.797"</f>
        <v>18:40:39.797</v>
      </c>
      <c r="B371" t="s">
        <v>110</v>
      </c>
      <c r="C371" t="str">
        <f t="shared" si="15"/>
        <v>ffdfd3c0</v>
      </c>
      <c r="D371" t="s">
        <v>111</v>
      </c>
      <c r="E371">
        <v>18</v>
      </c>
      <c r="F371">
        <v>1018</v>
      </c>
      <c r="G371" t="s">
        <v>112</v>
      </c>
      <c r="J371" t="s">
        <v>113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R371" t="s">
        <v>114</v>
      </c>
      <c r="S371" t="str">
        <f>"18:40:39.563"</f>
        <v>18:40:39.563</v>
      </c>
      <c r="T371" t="str">
        <f>"18:40:39.063"</f>
        <v>18:40:39.063</v>
      </c>
      <c r="U371" t="str">
        <f t="shared" si="16"/>
        <v>a1cdbe</v>
      </c>
      <c r="V371">
        <v>0</v>
      </c>
      <c r="W371">
        <v>0</v>
      </c>
      <c r="X371">
        <v>1</v>
      </c>
      <c r="Y371">
        <v>0</v>
      </c>
      <c r="Z371">
        <v>0</v>
      </c>
      <c r="AB371">
        <v>0</v>
      </c>
      <c r="AC371">
        <v>9</v>
      </c>
      <c r="AD371">
        <v>3</v>
      </c>
      <c r="AE371">
        <v>0</v>
      </c>
      <c r="AF371">
        <v>9</v>
      </c>
      <c r="AG371" t="s">
        <v>158</v>
      </c>
      <c r="AH371">
        <v>0</v>
      </c>
      <c r="AI371">
        <v>3</v>
      </c>
      <c r="AJ371">
        <v>1</v>
      </c>
      <c r="AK371">
        <v>0</v>
      </c>
      <c r="AL371" t="s">
        <v>811</v>
      </c>
      <c r="AM371">
        <v>47.0017</v>
      </c>
      <c r="AN371" t="s">
        <v>812</v>
      </c>
      <c r="AO371">
        <v>-122.30392500000001</v>
      </c>
      <c r="AP371">
        <v>100</v>
      </c>
      <c r="AQ371">
        <v>2000</v>
      </c>
      <c r="AR371" t="s">
        <v>118</v>
      </c>
      <c r="AS371">
        <v>-27</v>
      </c>
      <c r="AT371">
        <v>-75</v>
      </c>
      <c r="AU371">
        <v>-192</v>
      </c>
      <c r="BC371">
        <v>1200</v>
      </c>
      <c r="BD371">
        <v>1</v>
      </c>
      <c r="BE371" t="str">
        <f t="shared" si="17"/>
        <v xml:space="preserve">N215T   </v>
      </c>
      <c r="BF371">
        <v>1</v>
      </c>
      <c r="BH371">
        <v>0</v>
      </c>
      <c r="BI371">
        <v>0</v>
      </c>
      <c r="BJ371">
        <v>0</v>
      </c>
      <c r="BK371">
        <v>2425</v>
      </c>
      <c r="BL371">
        <v>425</v>
      </c>
      <c r="BM371" t="s">
        <v>119</v>
      </c>
      <c r="BN371">
        <v>1</v>
      </c>
      <c r="BO371">
        <v>1</v>
      </c>
      <c r="BP371">
        <v>1</v>
      </c>
      <c r="BQ371">
        <v>0</v>
      </c>
      <c r="BT371">
        <v>0</v>
      </c>
      <c r="BU371">
        <v>0</v>
      </c>
      <c r="BV371">
        <v>0</v>
      </c>
      <c r="CC371" t="str">
        <f>"18:40:39.563"</f>
        <v>18:40:39.563</v>
      </c>
      <c r="CD371" t="str">
        <f>"563246730"</f>
        <v>563246730</v>
      </c>
      <c r="CQ371">
        <v>0</v>
      </c>
      <c r="CR371">
        <v>2</v>
      </c>
      <c r="CS371">
        <v>0</v>
      </c>
      <c r="CT371">
        <v>2</v>
      </c>
      <c r="CU371">
        <v>0</v>
      </c>
      <c r="CV371">
        <v>5</v>
      </c>
      <c r="CW371" t="s">
        <v>120</v>
      </c>
      <c r="CX371">
        <v>261</v>
      </c>
      <c r="CY371">
        <v>2</v>
      </c>
      <c r="CZ371" t="s">
        <v>121</v>
      </c>
      <c r="DA371" t="s">
        <v>122</v>
      </c>
      <c r="DD371">
        <v>14445950</v>
      </c>
      <c r="DE371" t="s">
        <v>123</v>
      </c>
    </row>
    <row r="372" spans="1:109" x14ac:dyDescent="0.3">
      <c r="A372" t="str">
        <f>"18:40:40.852"</f>
        <v>18:40:40.852</v>
      </c>
      <c r="B372" t="s">
        <v>110</v>
      </c>
      <c r="C372" t="str">
        <f t="shared" si="15"/>
        <v>ffdfd3c0</v>
      </c>
      <c r="D372" t="s">
        <v>111</v>
      </c>
      <c r="E372">
        <v>18</v>
      </c>
      <c r="F372">
        <v>1018</v>
      </c>
      <c r="G372" t="s">
        <v>112</v>
      </c>
      <c r="J372" t="s">
        <v>113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R372" t="s">
        <v>114</v>
      </c>
      <c r="S372" t="str">
        <f>"18:40:40.641"</f>
        <v>18:40:40.641</v>
      </c>
      <c r="T372" t="str">
        <f>"18:40:40.141"</f>
        <v>18:40:40.141</v>
      </c>
      <c r="U372" t="str">
        <f t="shared" si="16"/>
        <v>a1cdbe</v>
      </c>
      <c r="V372">
        <v>0</v>
      </c>
      <c r="W372">
        <v>0</v>
      </c>
      <c r="X372">
        <v>1</v>
      </c>
      <c r="Y372">
        <v>0</v>
      </c>
      <c r="Z372">
        <v>0</v>
      </c>
      <c r="AB372">
        <v>0</v>
      </c>
      <c r="AC372">
        <v>9</v>
      </c>
      <c r="AD372">
        <v>3</v>
      </c>
      <c r="AE372">
        <v>0</v>
      </c>
      <c r="AF372">
        <v>9</v>
      </c>
      <c r="AG372" t="s">
        <v>158</v>
      </c>
      <c r="AH372">
        <v>0</v>
      </c>
      <c r="AI372">
        <v>3</v>
      </c>
      <c r="AJ372">
        <v>1</v>
      </c>
      <c r="AK372">
        <v>0</v>
      </c>
      <c r="AL372" t="s">
        <v>813</v>
      </c>
      <c r="AM372">
        <v>47.001336000000002</v>
      </c>
      <c r="AN372" t="s">
        <v>814</v>
      </c>
      <c r="AO372">
        <v>-122.30416099999999</v>
      </c>
      <c r="AP372">
        <v>100</v>
      </c>
      <c r="AQ372">
        <v>2000</v>
      </c>
      <c r="AR372" t="s">
        <v>118</v>
      </c>
      <c r="AS372">
        <v>-28</v>
      </c>
      <c r="AT372">
        <v>-76</v>
      </c>
      <c r="AU372">
        <v>-256</v>
      </c>
      <c r="BC372">
        <v>1200</v>
      </c>
      <c r="BD372">
        <v>1</v>
      </c>
      <c r="BE372" t="str">
        <f t="shared" si="17"/>
        <v xml:space="preserve">N215T   </v>
      </c>
      <c r="BF372">
        <v>1</v>
      </c>
      <c r="BH372">
        <v>0</v>
      </c>
      <c r="BI372">
        <v>0</v>
      </c>
      <c r="BJ372">
        <v>0</v>
      </c>
      <c r="BK372">
        <v>2425</v>
      </c>
      <c r="BL372">
        <v>425</v>
      </c>
      <c r="BM372" t="s">
        <v>119</v>
      </c>
      <c r="BN372">
        <v>1</v>
      </c>
      <c r="BO372">
        <v>1</v>
      </c>
      <c r="BP372">
        <v>1</v>
      </c>
      <c r="BQ372">
        <v>0</v>
      </c>
      <c r="BT372">
        <v>0</v>
      </c>
      <c r="BU372">
        <v>0</v>
      </c>
      <c r="BV372">
        <v>0</v>
      </c>
      <c r="CC372" t="str">
        <f>"18:40:40.641"</f>
        <v>18:40:40.641</v>
      </c>
      <c r="CD372" t="str">
        <f>"643140515"</f>
        <v>643140515</v>
      </c>
      <c r="CQ372">
        <v>0</v>
      </c>
      <c r="CR372">
        <v>2</v>
      </c>
      <c r="CS372">
        <v>0</v>
      </c>
      <c r="CT372">
        <v>2</v>
      </c>
      <c r="CU372">
        <v>0</v>
      </c>
      <c r="CV372">
        <v>5</v>
      </c>
      <c r="CW372" t="s">
        <v>120</v>
      </c>
      <c r="CX372">
        <v>261</v>
      </c>
      <c r="CY372">
        <v>2</v>
      </c>
      <c r="CZ372" t="s">
        <v>121</v>
      </c>
      <c r="DA372" t="s">
        <v>122</v>
      </c>
      <c r="DD372">
        <v>14446518</v>
      </c>
      <c r="DE372" t="s">
        <v>123</v>
      </c>
    </row>
    <row r="373" spans="1:109" x14ac:dyDescent="0.3">
      <c r="A373" t="str">
        <f>"18:40:41.906"</f>
        <v>18:40:41.906</v>
      </c>
      <c r="B373" t="s">
        <v>110</v>
      </c>
      <c r="C373" t="str">
        <f t="shared" si="15"/>
        <v>ffdfd3c0</v>
      </c>
      <c r="D373" t="s">
        <v>111</v>
      </c>
      <c r="E373">
        <v>18</v>
      </c>
      <c r="F373">
        <v>1018</v>
      </c>
      <c r="G373" t="s">
        <v>112</v>
      </c>
      <c r="J373" t="s">
        <v>113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R373" t="s">
        <v>114</v>
      </c>
      <c r="S373" t="str">
        <f>"18:40:41.688"</f>
        <v>18:40:41.688</v>
      </c>
      <c r="T373" t="str">
        <f>"18:40:41.688"</f>
        <v>18:40:41.688</v>
      </c>
      <c r="U373" t="str">
        <f t="shared" si="16"/>
        <v>a1cdbe</v>
      </c>
      <c r="V373">
        <v>0</v>
      </c>
      <c r="W373">
        <v>0</v>
      </c>
      <c r="X373">
        <v>1</v>
      </c>
      <c r="Y373">
        <v>0</v>
      </c>
      <c r="Z373">
        <v>0</v>
      </c>
      <c r="AB373">
        <v>0</v>
      </c>
      <c r="AC373">
        <v>9</v>
      </c>
      <c r="AD373">
        <v>3</v>
      </c>
      <c r="AE373">
        <v>0</v>
      </c>
      <c r="AF373">
        <v>9</v>
      </c>
      <c r="AG373" t="s">
        <v>158</v>
      </c>
      <c r="AH373">
        <v>0</v>
      </c>
      <c r="AI373">
        <v>3</v>
      </c>
      <c r="AJ373">
        <v>1</v>
      </c>
      <c r="AK373">
        <v>0</v>
      </c>
      <c r="AL373" t="s">
        <v>815</v>
      </c>
      <c r="AM373">
        <v>47.000971</v>
      </c>
      <c r="AN373" t="s">
        <v>816</v>
      </c>
      <c r="AO373">
        <v>-122.304332</v>
      </c>
      <c r="AP373">
        <v>100</v>
      </c>
      <c r="AQ373">
        <v>2000</v>
      </c>
      <c r="AR373" t="s">
        <v>118</v>
      </c>
      <c r="AS373">
        <v>-29</v>
      </c>
      <c r="AT373">
        <v>-76</v>
      </c>
      <c r="AU373">
        <v>-320</v>
      </c>
      <c r="BC373">
        <v>1200</v>
      </c>
      <c r="BD373">
        <v>1</v>
      </c>
      <c r="BE373" t="str">
        <f t="shared" si="17"/>
        <v xml:space="preserve">N215T   </v>
      </c>
      <c r="BF373">
        <v>1</v>
      </c>
      <c r="BH373">
        <v>0</v>
      </c>
      <c r="BI373">
        <v>0</v>
      </c>
      <c r="BJ373">
        <v>0</v>
      </c>
      <c r="BK373">
        <v>2425</v>
      </c>
      <c r="BL373">
        <v>425</v>
      </c>
      <c r="BM373" t="s">
        <v>119</v>
      </c>
      <c r="BN373">
        <v>1</v>
      </c>
      <c r="BO373">
        <v>1</v>
      </c>
      <c r="BP373">
        <v>1</v>
      </c>
      <c r="BQ373">
        <v>0</v>
      </c>
      <c r="BT373">
        <v>0</v>
      </c>
      <c r="BU373">
        <v>0</v>
      </c>
      <c r="BV373">
        <v>0</v>
      </c>
      <c r="CC373" t="str">
        <f>"18:40:41.695"</f>
        <v>18:40:41.695</v>
      </c>
      <c r="CD373" t="str">
        <f>"693037202"</f>
        <v>693037202</v>
      </c>
      <c r="CQ373">
        <v>0</v>
      </c>
      <c r="CR373">
        <v>2</v>
      </c>
      <c r="CS373">
        <v>0</v>
      </c>
      <c r="CT373">
        <v>2</v>
      </c>
      <c r="CU373">
        <v>0</v>
      </c>
      <c r="CV373">
        <v>5</v>
      </c>
      <c r="CW373" t="s">
        <v>120</v>
      </c>
      <c r="CX373">
        <v>261</v>
      </c>
      <c r="CY373">
        <v>2</v>
      </c>
      <c r="CZ373" t="s">
        <v>121</v>
      </c>
      <c r="DA373" t="s">
        <v>122</v>
      </c>
      <c r="DD373">
        <v>14447054</v>
      </c>
      <c r="DE373" t="s">
        <v>123</v>
      </c>
    </row>
    <row r="374" spans="1:109" x14ac:dyDescent="0.3">
      <c r="A374" t="str">
        <f>"18:40:42.914"</f>
        <v>18:40:42.914</v>
      </c>
      <c r="B374" t="s">
        <v>110</v>
      </c>
      <c r="C374" t="str">
        <f t="shared" si="15"/>
        <v>ffdfd3c0</v>
      </c>
      <c r="D374" t="s">
        <v>111</v>
      </c>
      <c r="E374">
        <v>18</v>
      </c>
      <c r="F374">
        <v>1018</v>
      </c>
      <c r="G374" t="s">
        <v>112</v>
      </c>
      <c r="J374" t="s">
        <v>113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R374" t="s">
        <v>114</v>
      </c>
      <c r="S374" t="str">
        <f>"18:40:42.680"</f>
        <v>18:40:42.680</v>
      </c>
      <c r="T374" t="str">
        <f>"18:40:42.680"</f>
        <v>18:40:42.680</v>
      </c>
      <c r="U374" t="str">
        <f t="shared" si="16"/>
        <v>a1cdbe</v>
      </c>
      <c r="V374">
        <v>0</v>
      </c>
      <c r="W374">
        <v>0</v>
      </c>
      <c r="X374">
        <v>1</v>
      </c>
      <c r="Y374">
        <v>0</v>
      </c>
      <c r="Z374">
        <v>0</v>
      </c>
      <c r="AB374">
        <v>0</v>
      </c>
      <c r="AC374">
        <v>9</v>
      </c>
      <c r="AD374">
        <v>3</v>
      </c>
      <c r="AE374">
        <v>0</v>
      </c>
      <c r="AF374">
        <v>9</v>
      </c>
      <c r="AG374" t="s">
        <v>158</v>
      </c>
      <c r="AH374">
        <v>0</v>
      </c>
      <c r="AI374">
        <v>3</v>
      </c>
      <c r="AJ374">
        <v>1</v>
      </c>
      <c r="AK374">
        <v>0</v>
      </c>
      <c r="AL374" t="s">
        <v>817</v>
      </c>
      <c r="AM374">
        <v>47.000627999999999</v>
      </c>
      <c r="AN374" t="s">
        <v>818</v>
      </c>
      <c r="AO374">
        <v>-122.30459</v>
      </c>
      <c r="AP374">
        <v>100</v>
      </c>
      <c r="AQ374">
        <v>2000</v>
      </c>
      <c r="AR374" t="s">
        <v>118</v>
      </c>
      <c r="AS374">
        <v>-30</v>
      </c>
      <c r="AT374">
        <v>-76</v>
      </c>
      <c r="AU374">
        <v>-256</v>
      </c>
      <c r="BC374">
        <v>1200</v>
      </c>
      <c r="BD374">
        <v>1</v>
      </c>
      <c r="BE374" t="str">
        <f t="shared" si="17"/>
        <v xml:space="preserve">N215T   </v>
      </c>
      <c r="BF374">
        <v>1</v>
      </c>
      <c r="BH374">
        <v>0</v>
      </c>
      <c r="BI374">
        <v>0</v>
      </c>
      <c r="BJ374">
        <v>0</v>
      </c>
      <c r="BK374">
        <v>2400</v>
      </c>
      <c r="BL374">
        <v>400</v>
      </c>
      <c r="BM374" t="s">
        <v>119</v>
      </c>
      <c r="BN374">
        <v>1</v>
      </c>
      <c r="BO374">
        <v>1</v>
      </c>
      <c r="BP374">
        <v>1</v>
      </c>
      <c r="BQ374">
        <v>0</v>
      </c>
      <c r="BT374">
        <v>0</v>
      </c>
      <c r="BU374">
        <v>0</v>
      </c>
      <c r="BV374">
        <v>0</v>
      </c>
      <c r="CC374" t="str">
        <f>"18:40:42.680"</f>
        <v>18:40:42.680</v>
      </c>
      <c r="CD374" t="str">
        <f>"682939839"</f>
        <v>682939839</v>
      </c>
      <c r="CQ374">
        <v>0</v>
      </c>
      <c r="CR374">
        <v>2</v>
      </c>
      <c r="CS374">
        <v>0</v>
      </c>
      <c r="CT374">
        <v>2</v>
      </c>
      <c r="CU374">
        <v>0</v>
      </c>
      <c r="CV374">
        <v>4</v>
      </c>
      <c r="CW374" t="s">
        <v>120</v>
      </c>
      <c r="CX374">
        <v>261</v>
      </c>
      <c r="CY374">
        <v>2</v>
      </c>
      <c r="CZ374" t="s">
        <v>121</v>
      </c>
      <c r="DA374" t="s">
        <v>122</v>
      </c>
      <c r="DD374">
        <v>14447587</v>
      </c>
      <c r="DE374" t="s">
        <v>123</v>
      </c>
    </row>
    <row r="375" spans="1:109" x14ac:dyDescent="0.3">
      <c r="A375" t="str">
        <f>"18:40:43.719"</f>
        <v>18:40:43.719</v>
      </c>
      <c r="B375" t="s">
        <v>110</v>
      </c>
      <c r="C375" t="str">
        <f t="shared" si="15"/>
        <v>ffdfd3c0</v>
      </c>
      <c r="D375" t="s">
        <v>111</v>
      </c>
      <c r="E375">
        <v>18</v>
      </c>
      <c r="F375">
        <v>1018</v>
      </c>
      <c r="G375" t="s">
        <v>112</v>
      </c>
      <c r="J375" t="s">
        <v>113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R375" t="s">
        <v>114</v>
      </c>
      <c r="S375" t="str">
        <f>"18:40:43.508"</f>
        <v>18:40:43.508</v>
      </c>
      <c r="T375" t="str">
        <f>"18:40:43.109"</f>
        <v>18:40:43.109</v>
      </c>
      <c r="U375" t="str">
        <f t="shared" si="16"/>
        <v>a1cdbe</v>
      </c>
      <c r="V375">
        <v>0</v>
      </c>
      <c r="W375">
        <v>0</v>
      </c>
      <c r="X375">
        <v>1</v>
      </c>
      <c r="Y375">
        <v>0</v>
      </c>
      <c r="Z375">
        <v>0</v>
      </c>
      <c r="AB375">
        <v>0</v>
      </c>
      <c r="AC375">
        <v>9</v>
      </c>
      <c r="AD375">
        <v>3</v>
      </c>
      <c r="AE375">
        <v>0</v>
      </c>
      <c r="AF375">
        <v>9</v>
      </c>
      <c r="AG375" t="s">
        <v>158</v>
      </c>
      <c r="AH375">
        <v>0</v>
      </c>
      <c r="AI375">
        <v>3</v>
      </c>
      <c r="AJ375">
        <v>1</v>
      </c>
      <c r="AK375">
        <v>0</v>
      </c>
      <c r="AL375" t="s">
        <v>819</v>
      </c>
      <c r="AM375">
        <v>47.000349</v>
      </c>
      <c r="AN375" t="s">
        <v>820</v>
      </c>
      <c r="AO375">
        <v>-122.30474</v>
      </c>
      <c r="AP375">
        <v>100</v>
      </c>
      <c r="AQ375">
        <v>2000</v>
      </c>
      <c r="AR375" t="s">
        <v>118</v>
      </c>
      <c r="AS375">
        <v>-30</v>
      </c>
      <c r="AT375">
        <v>-76</v>
      </c>
      <c r="AU375">
        <v>-192</v>
      </c>
      <c r="BC375">
        <v>1200</v>
      </c>
      <c r="BD375">
        <v>1</v>
      </c>
      <c r="BE375" t="str">
        <f t="shared" si="17"/>
        <v xml:space="preserve">N215T   </v>
      </c>
      <c r="BF375">
        <v>1</v>
      </c>
      <c r="BH375">
        <v>0</v>
      </c>
      <c r="BI375">
        <v>0</v>
      </c>
      <c r="BJ375">
        <v>0</v>
      </c>
      <c r="BK375">
        <v>2400</v>
      </c>
      <c r="BL375">
        <v>400</v>
      </c>
      <c r="BM375" t="s">
        <v>119</v>
      </c>
      <c r="BN375">
        <v>1</v>
      </c>
      <c r="BO375">
        <v>1</v>
      </c>
      <c r="BP375">
        <v>1</v>
      </c>
      <c r="BQ375">
        <v>0</v>
      </c>
      <c r="BT375">
        <v>0</v>
      </c>
      <c r="BU375">
        <v>0</v>
      </c>
      <c r="BV375">
        <v>0</v>
      </c>
      <c r="CC375" t="str">
        <f>"18:40:43.508"</f>
        <v>18:40:43.508</v>
      </c>
      <c r="CD375" t="str">
        <f>"507858678"</f>
        <v>507858678</v>
      </c>
      <c r="CQ375">
        <v>0</v>
      </c>
      <c r="CR375">
        <v>2</v>
      </c>
      <c r="CS375">
        <v>0</v>
      </c>
      <c r="CT375">
        <v>2</v>
      </c>
      <c r="CU375">
        <v>0</v>
      </c>
      <c r="CV375">
        <v>4</v>
      </c>
      <c r="CW375" t="s">
        <v>120</v>
      </c>
      <c r="CX375">
        <v>261</v>
      </c>
      <c r="CY375">
        <v>1</v>
      </c>
      <c r="CZ375" t="s">
        <v>121</v>
      </c>
      <c r="DA375" t="s">
        <v>122</v>
      </c>
      <c r="DD375">
        <v>3322904</v>
      </c>
      <c r="DE375" t="s">
        <v>123</v>
      </c>
    </row>
    <row r="376" spans="1:109" x14ac:dyDescent="0.3">
      <c r="A376" t="str">
        <f>"18:40:44.773"</f>
        <v>18:40:44.773</v>
      </c>
      <c r="B376" t="s">
        <v>110</v>
      </c>
      <c r="C376" t="str">
        <f t="shared" si="15"/>
        <v>ffdfd3c0</v>
      </c>
      <c r="D376" t="s">
        <v>111</v>
      </c>
      <c r="E376">
        <v>18</v>
      </c>
      <c r="F376">
        <v>1018</v>
      </c>
      <c r="G376" t="s">
        <v>112</v>
      </c>
      <c r="J376" t="s">
        <v>113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R376" t="s">
        <v>114</v>
      </c>
      <c r="S376" t="str">
        <f>"18:40:44.508"</f>
        <v>18:40:44.508</v>
      </c>
      <c r="T376" t="str">
        <f>"18:40:44.211"</f>
        <v>18:40:44.211</v>
      </c>
      <c r="U376" t="str">
        <f t="shared" si="16"/>
        <v>a1cdbe</v>
      </c>
      <c r="V376">
        <v>0</v>
      </c>
      <c r="W376">
        <v>0</v>
      </c>
      <c r="X376">
        <v>1</v>
      </c>
      <c r="Y376">
        <v>0</v>
      </c>
      <c r="Z376">
        <v>0</v>
      </c>
      <c r="AB376">
        <v>0</v>
      </c>
      <c r="AC376">
        <v>9</v>
      </c>
      <c r="AD376">
        <v>3</v>
      </c>
      <c r="AE376">
        <v>0</v>
      </c>
      <c r="AF376">
        <v>9</v>
      </c>
      <c r="AG376" t="s">
        <v>158</v>
      </c>
      <c r="AH376">
        <v>0</v>
      </c>
      <c r="AI376">
        <v>3</v>
      </c>
      <c r="AJ376">
        <v>1</v>
      </c>
      <c r="AK376">
        <v>0</v>
      </c>
      <c r="AL376" t="s">
        <v>821</v>
      </c>
      <c r="AM376">
        <v>46.999961999999996</v>
      </c>
      <c r="AN376" t="s">
        <v>822</v>
      </c>
      <c r="AO376">
        <v>-122.30495500000001</v>
      </c>
      <c r="AP376">
        <v>100</v>
      </c>
      <c r="AQ376">
        <v>2000</v>
      </c>
      <c r="AR376" t="s">
        <v>118</v>
      </c>
      <c r="AS376">
        <v>-30</v>
      </c>
      <c r="AT376">
        <v>-76</v>
      </c>
      <c r="AU376">
        <v>-128</v>
      </c>
      <c r="BC376">
        <v>1200</v>
      </c>
      <c r="BD376">
        <v>1</v>
      </c>
      <c r="BE376" t="str">
        <f t="shared" si="17"/>
        <v xml:space="preserve">N215T   </v>
      </c>
      <c r="BF376">
        <v>1</v>
      </c>
      <c r="BH376">
        <v>0</v>
      </c>
      <c r="BI376">
        <v>0</v>
      </c>
      <c r="BJ376">
        <v>0</v>
      </c>
      <c r="BK376">
        <v>2400</v>
      </c>
      <c r="BL376">
        <v>400</v>
      </c>
      <c r="BM376" t="s">
        <v>119</v>
      </c>
      <c r="BN376">
        <v>1</v>
      </c>
      <c r="BO376">
        <v>1</v>
      </c>
      <c r="BP376">
        <v>1</v>
      </c>
      <c r="BQ376">
        <v>0</v>
      </c>
      <c r="BT376">
        <v>0</v>
      </c>
      <c r="BU376">
        <v>0</v>
      </c>
      <c r="BV376">
        <v>0</v>
      </c>
      <c r="CC376" t="str">
        <f>"18:40:44.516"</f>
        <v>18:40:44.516</v>
      </c>
      <c r="CD376" t="str">
        <f>"512759843"</f>
        <v>512759843</v>
      </c>
      <c r="CQ376">
        <v>0</v>
      </c>
      <c r="CR376">
        <v>2</v>
      </c>
      <c r="CS376">
        <v>0</v>
      </c>
      <c r="CT376">
        <v>2</v>
      </c>
      <c r="CU376">
        <v>0</v>
      </c>
      <c r="CV376">
        <v>4</v>
      </c>
      <c r="CW376" t="s">
        <v>120</v>
      </c>
      <c r="CX376">
        <v>261</v>
      </c>
      <c r="CY376">
        <v>1</v>
      </c>
      <c r="CZ376" t="s">
        <v>121</v>
      </c>
      <c r="DA376" t="s">
        <v>122</v>
      </c>
      <c r="DD376">
        <v>3323562</v>
      </c>
      <c r="DE376" t="s">
        <v>123</v>
      </c>
    </row>
    <row r="377" spans="1:109" x14ac:dyDescent="0.3">
      <c r="A377" t="str">
        <f>"18:40:45.633"</f>
        <v>18:40:45.633</v>
      </c>
      <c r="B377" t="s">
        <v>110</v>
      </c>
      <c r="C377" t="str">
        <f t="shared" si="15"/>
        <v>ffdfd3c0</v>
      </c>
      <c r="D377" t="s">
        <v>111</v>
      </c>
      <c r="E377">
        <v>18</v>
      </c>
      <c r="F377">
        <v>1018</v>
      </c>
      <c r="G377" t="s">
        <v>112</v>
      </c>
      <c r="J377" t="s">
        <v>113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R377" t="s">
        <v>114</v>
      </c>
      <c r="S377" t="str">
        <f>"18:40:45.406"</f>
        <v>18:40:45.406</v>
      </c>
      <c r="T377" t="str">
        <f>"18:40:44.703"</f>
        <v>18:40:44.703</v>
      </c>
      <c r="U377" t="str">
        <f t="shared" si="16"/>
        <v>a1cdbe</v>
      </c>
      <c r="V377">
        <v>0</v>
      </c>
      <c r="W377">
        <v>0</v>
      </c>
      <c r="X377">
        <v>1</v>
      </c>
      <c r="Y377">
        <v>0</v>
      </c>
      <c r="Z377">
        <v>0</v>
      </c>
      <c r="AB377">
        <v>0</v>
      </c>
      <c r="AC377">
        <v>9</v>
      </c>
      <c r="AD377">
        <v>3</v>
      </c>
      <c r="AE377">
        <v>0</v>
      </c>
      <c r="AF377">
        <v>9</v>
      </c>
      <c r="AG377" t="s">
        <v>158</v>
      </c>
      <c r="AH377">
        <v>0</v>
      </c>
      <c r="AI377">
        <v>3</v>
      </c>
      <c r="AJ377">
        <v>1</v>
      </c>
      <c r="AK377">
        <v>0</v>
      </c>
      <c r="AL377" t="s">
        <v>823</v>
      </c>
      <c r="AM377">
        <v>46.999662000000001</v>
      </c>
      <c r="AN377" t="s">
        <v>824</v>
      </c>
      <c r="AO377">
        <v>-122.305083</v>
      </c>
      <c r="AP377">
        <v>100</v>
      </c>
      <c r="AQ377">
        <v>2000</v>
      </c>
      <c r="AR377" t="s">
        <v>118</v>
      </c>
      <c r="AS377">
        <v>-29</v>
      </c>
      <c r="AT377">
        <v>-77</v>
      </c>
      <c r="AU377">
        <v>-64</v>
      </c>
      <c r="BC377">
        <v>1200</v>
      </c>
      <c r="BD377">
        <v>1</v>
      </c>
      <c r="BE377" t="str">
        <f t="shared" si="17"/>
        <v xml:space="preserve">N215T   </v>
      </c>
      <c r="BF377">
        <v>1</v>
      </c>
      <c r="BH377">
        <v>0</v>
      </c>
      <c r="BI377">
        <v>0</v>
      </c>
      <c r="BJ377">
        <v>0</v>
      </c>
      <c r="BK377">
        <v>2400</v>
      </c>
      <c r="BL377">
        <v>400</v>
      </c>
      <c r="BM377" t="s">
        <v>119</v>
      </c>
      <c r="BN377">
        <v>1</v>
      </c>
      <c r="BO377">
        <v>1</v>
      </c>
      <c r="BP377">
        <v>1</v>
      </c>
      <c r="BQ377">
        <v>0</v>
      </c>
      <c r="BT377">
        <v>0</v>
      </c>
      <c r="BU377">
        <v>0</v>
      </c>
      <c r="BV377">
        <v>0</v>
      </c>
      <c r="CC377" t="str">
        <f>"18:40:45.414"</f>
        <v>18:40:45.414</v>
      </c>
      <c r="CD377" t="str">
        <f>"412671359"</f>
        <v>412671359</v>
      </c>
      <c r="CQ377">
        <v>0</v>
      </c>
      <c r="CR377">
        <v>2</v>
      </c>
      <c r="CS377">
        <v>0</v>
      </c>
      <c r="CT377">
        <v>2</v>
      </c>
      <c r="CU377">
        <v>0</v>
      </c>
      <c r="CV377">
        <v>4</v>
      </c>
      <c r="CW377" t="s">
        <v>120</v>
      </c>
      <c r="CX377">
        <v>261</v>
      </c>
      <c r="CY377">
        <v>2</v>
      </c>
      <c r="CZ377" t="s">
        <v>121</v>
      </c>
      <c r="DA377" t="s">
        <v>122</v>
      </c>
      <c r="DD377">
        <v>14449037</v>
      </c>
      <c r="DE377" t="s">
        <v>123</v>
      </c>
    </row>
    <row r="378" spans="1:109" x14ac:dyDescent="0.3">
      <c r="A378" t="str">
        <f>"18:40:46.734"</f>
        <v>18:40:46.734</v>
      </c>
      <c r="B378" t="s">
        <v>110</v>
      </c>
      <c r="C378" t="str">
        <f t="shared" si="15"/>
        <v>ffdfd3c0</v>
      </c>
      <c r="D378" t="s">
        <v>111</v>
      </c>
      <c r="E378">
        <v>18</v>
      </c>
      <c r="F378">
        <v>1018</v>
      </c>
      <c r="G378" t="s">
        <v>112</v>
      </c>
      <c r="J378" t="s">
        <v>113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R378" t="s">
        <v>114</v>
      </c>
      <c r="S378" t="str">
        <f>"18:40:46.461"</f>
        <v>18:40:46.461</v>
      </c>
      <c r="T378" t="str">
        <f>"18:40:46.258"</f>
        <v>18:40:46.258</v>
      </c>
      <c r="U378" t="str">
        <f t="shared" si="16"/>
        <v>a1cdbe</v>
      </c>
      <c r="V378">
        <v>0</v>
      </c>
      <c r="W378">
        <v>0</v>
      </c>
      <c r="X378">
        <v>1</v>
      </c>
      <c r="Y378">
        <v>0</v>
      </c>
      <c r="Z378">
        <v>0</v>
      </c>
      <c r="AB378">
        <v>0</v>
      </c>
      <c r="AC378">
        <v>9</v>
      </c>
      <c r="AD378">
        <v>3</v>
      </c>
      <c r="AE378">
        <v>0</v>
      </c>
      <c r="AF378">
        <v>9</v>
      </c>
      <c r="AG378" t="s">
        <v>158</v>
      </c>
      <c r="AH378">
        <v>0</v>
      </c>
      <c r="AI378">
        <v>3</v>
      </c>
      <c r="AJ378">
        <v>1</v>
      </c>
      <c r="AK378">
        <v>0</v>
      </c>
      <c r="AL378" t="s">
        <v>825</v>
      </c>
      <c r="AM378">
        <v>46.999276000000002</v>
      </c>
      <c r="AN378" t="s">
        <v>826</v>
      </c>
      <c r="AO378">
        <v>-122.30529799999999</v>
      </c>
      <c r="AP378">
        <v>100</v>
      </c>
      <c r="AQ378">
        <v>2000</v>
      </c>
      <c r="AR378" t="s">
        <v>118</v>
      </c>
      <c r="AS378">
        <v>-29</v>
      </c>
      <c r="AT378">
        <v>-78</v>
      </c>
      <c r="AU378">
        <v>-64</v>
      </c>
      <c r="BC378">
        <v>1200</v>
      </c>
      <c r="BD378">
        <v>1</v>
      </c>
      <c r="BE378" t="str">
        <f t="shared" si="17"/>
        <v xml:space="preserve">N215T   </v>
      </c>
      <c r="BF378">
        <v>1</v>
      </c>
      <c r="BH378">
        <v>0</v>
      </c>
      <c r="BI378">
        <v>0</v>
      </c>
      <c r="BJ378">
        <v>0</v>
      </c>
      <c r="BK378">
        <v>2400</v>
      </c>
      <c r="BL378">
        <v>400</v>
      </c>
      <c r="BM378" t="s">
        <v>119</v>
      </c>
      <c r="BN378">
        <v>1</v>
      </c>
      <c r="BO378">
        <v>1</v>
      </c>
      <c r="BP378">
        <v>1</v>
      </c>
      <c r="BQ378">
        <v>0</v>
      </c>
      <c r="BT378">
        <v>0</v>
      </c>
      <c r="BU378">
        <v>0</v>
      </c>
      <c r="BV378">
        <v>0</v>
      </c>
      <c r="CC378" t="str">
        <f>"18:40:46.461"</f>
        <v>18:40:46.461</v>
      </c>
      <c r="CD378" t="str">
        <f>"462788299"</f>
        <v>462788299</v>
      </c>
      <c r="CQ378">
        <v>0</v>
      </c>
      <c r="CR378">
        <v>2</v>
      </c>
      <c r="CS378">
        <v>0</v>
      </c>
      <c r="CT378">
        <v>2</v>
      </c>
      <c r="CU378">
        <v>0</v>
      </c>
      <c r="CV378">
        <v>5</v>
      </c>
      <c r="CW378" t="s">
        <v>120</v>
      </c>
      <c r="CX378">
        <v>257</v>
      </c>
      <c r="CY378">
        <v>1</v>
      </c>
      <c r="CZ378" t="s">
        <v>615</v>
      </c>
      <c r="DA378" t="s">
        <v>616</v>
      </c>
      <c r="DD378">
        <v>10702646</v>
      </c>
      <c r="DE378" t="s">
        <v>123</v>
      </c>
    </row>
    <row r="379" spans="1:109" x14ac:dyDescent="0.3">
      <c r="A379" t="str">
        <f>"18:40:47.695"</f>
        <v>18:40:47.695</v>
      </c>
      <c r="B379" t="s">
        <v>110</v>
      </c>
      <c r="C379" t="str">
        <f t="shared" si="15"/>
        <v>ffdfd3c0</v>
      </c>
      <c r="D379" t="s">
        <v>111</v>
      </c>
      <c r="E379">
        <v>18</v>
      </c>
      <c r="F379">
        <v>1018</v>
      </c>
      <c r="G379" t="s">
        <v>112</v>
      </c>
      <c r="J379" t="s">
        <v>113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R379" t="s">
        <v>114</v>
      </c>
      <c r="S379" t="str">
        <f>"18:40:47.477"</f>
        <v>18:40:47.477</v>
      </c>
      <c r="T379" t="str">
        <f>"18:40:47.273"</f>
        <v>18:40:47.273</v>
      </c>
      <c r="U379" t="str">
        <f t="shared" si="16"/>
        <v>a1cdbe</v>
      </c>
      <c r="V379">
        <v>0</v>
      </c>
      <c r="W379">
        <v>0</v>
      </c>
      <c r="X379">
        <v>1</v>
      </c>
      <c r="Y379">
        <v>0</v>
      </c>
      <c r="Z379">
        <v>0</v>
      </c>
      <c r="AB379">
        <v>0</v>
      </c>
      <c r="AC379">
        <v>9</v>
      </c>
      <c r="AD379">
        <v>3</v>
      </c>
      <c r="AE379">
        <v>0</v>
      </c>
      <c r="AF379">
        <v>9</v>
      </c>
      <c r="AG379" t="s">
        <v>158</v>
      </c>
      <c r="AH379">
        <v>0</v>
      </c>
      <c r="AI379">
        <v>3</v>
      </c>
      <c r="AJ379">
        <v>1</v>
      </c>
      <c r="AK379">
        <v>0</v>
      </c>
      <c r="AL379" t="s">
        <v>827</v>
      </c>
      <c r="AM379">
        <v>46.998911</v>
      </c>
      <c r="AN379" t="s">
        <v>828</v>
      </c>
      <c r="AO379">
        <v>-122.30551199999999</v>
      </c>
      <c r="AP379">
        <v>100</v>
      </c>
      <c r="AQ379">
        <v>2000</v>
      </c>
      <c r="AR379" t="s">
        <v>118</v>
      </c>
      <c r="AS379">
        <v>-28</v>
      </c>
      <c r="AT379">
        <v>-78</v>
      </c>
      <c r="AU379">
        <v>0</v>
      </c>
      <c r="BC379">
        <v>1200</v>
      </c>
      <c r="BD379">
        <v>1</v>
      </c>
      <c r="BE379" t="str">
        <f t="shared" si="17"/>
        <v xml:space="preserve">N215T   </v>
      </c>
      <c r="BF379">
        <v>1</v>
      </c>
      <c r="BH379">
        <v>0</v>
      </c>
      <c r="BI379">
        <v>0</v>
      </c>
      <c r="BJ379">
        <v>0</v>
      </c>
      <c r="BK379">
        <v>2400</v>
      </c>
      <c r="BL379">
        <v>400</v>
      </c>
      <c r="BM379" t="s">
        <v>119</v>
      </c>
      <c r="BN379">
        <v>1</v>
      </c>
      <c r="BO379">
        <v>1</v>
      </c>
      <c r="BP379">
        <v>1</v>
      </c>
      <c r="BQ379">
        <v>0</v>
      </c>
      <c r="BT379">
        <v>0</v>
      </c>
      <c r="BU379">
        <v>0</v>
      </c>
      <c r="BV379">
        <v>0</v>
      </c>
      <c r="CC379" t="str">
        <f>"18:40:47.484"</f>
        <v>18:40:47.484</v>
      </c>
      <c r="CD379" t="str">
        <f>"482687787"</f>
        <v>482687787</v>
      </c>
      <c r="CQ379">
        <v>0</v>
      </c>
      <c r="CR379">
        <v>2</v>
      </c>
      <c r="CS379">
        <v>0</v>
      </c>
      <c r="CT379">
        <v>2</v>
      </c>
      <c r="CU379">
        <v>0</v>
      </c>
      <c r="CV379">
        <v>5</v>
      </c>
      <c r="CW379" t="s">
        <v>120</v>
      </c>
      <c r="CX379">
        <v>257</v>
      </c>
      <c r="CY379">
        <v>1</v>
      </c>
      <c r="CZ379" t="s">
        <v>615</v>
      </c>
      <c r="DA379" t="s">
        <v>616</v>
      </c>
      <c r="DD379">
        <v>10703292</v>
      </c>
      <c r="DE379" t="s">
        <v>123</v>
      </c>
    </row>
    <row r="380" spans="1:109" x14ac:dyDescent="0.3">
      <c r="A380" t="str">
        <f>"18:40:48.750"</f>
        <v>18:40:48.750</v>
      </c>
      <c r="B380" t="s">
        <v>110</v>
      </c>
      <c r="C380" t="str">
        <f t="shared" si="15"/>
        <v>ffdfd3c0</v>
      </c>
      <c r="D380" t="s">
        <v>111</v>
      </c>
      <c r="E380">
        <v>18</v>
      </c>
      <c r="F380">
        <v>1018</v>
      </c>
      <c r="G380" t="s">
        <v>112</v>
      </c>
      <c r="J380" t="s">
        <v>113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R380" t="s">
        <v>114</v>
      </c>
      <c r="S380" t="str">
        <f>"18:40:48.500"</f>
        <v>18:40:48.500</v>
      </c>
      <c r="T380" t="str">
        <f>"18:40:48.203"</f>
        <v>18:40:48.203</v>
      </c>
      <c r="U380" t="str">
        <f t="shared" si="16"/>
        <v>a1cdbe</v>
      </c>
      <c r="V380">
        <v>0</v>
      </c>
      <c r="W380">
        <v>0</v>
      </c>
      <c r="X380">
        <v>1</v>
      </c>
      <c r="Y380">
        <v>0</v>
      </c>
      <c r="Z380">
        <v>0</v>
      </c>
      <c r="AB380">
        <v>0</v>
      </c>
      <c r="AC380">
        <v>9</v>
      </c>
      <c r="AD380">
        <v>3</v>
      </c>
      <c r="AE380">
        <v>0</v>
      </c>
      <c r="AF380">
        <v>9</v>
      </c>
      <c r="AG380" t="s">
        <v>158</v>
      </c>
      <c r="AH380">
        <v>0</v>
      </c>
      <c r="AI380">
        <v>3</v>
      </c>
      <c r="AJ380">
        <v>1</v>
      </c>
      <c r="AK380">
        <v>0</v>
      </c>
      <c r="AL380" t="s">
        <v>829</v>
      </c>
      <c r="AM380">
        <v>46.998545999999997</v>
      </c>
      <c r="AN380" t="s">
        <v>830</v>
      </c>
      <c r="AO380">
        <v>-122.305706</v>
      </c>
      <c r="AP380">
        <v>100</v>
      </c>
      <c r="AQ380">
        <v>2000</v>
      </c>
      <c r="AR380" t="s">
        <v>118</v>
      </c>
      <c r="AS380">
        <v>-28</v>
      </c>
      <c r="AT380">
        <v>-78</v>
      </c>
      <c r="AU380">
        <v>0</v>
      </c>
      <c r="BC380">
        <v>1200</v>
      </c>
      <c r="BD380">
        <v>1</v>
      </c>
      <c r="BE380" t="str">
        <f t="shared" si="17"/>
        <v xml:space="preserve">N215T   </v>
      </c>
      <c r="BF380">
        <v>1</v>
      </c>
      <c r="BH380">
        <v>0</v>
      </c>
      <c r="BI380">
        <v>0</v>
      </c>
      <c r="BJ380">
        <v>0</v>
      </c>
      <c r="BK380">
        <v>2400</v>
      </c>
      <c r="BL380">
        <v>400</v>
      </c>
      <c r="BM380" t="s">
        <v>119</v>
      </c>
      <c r="BN380">
        <v>1</v>
      </c>
      <c r="BO380">
        <v>1</v>
      </c>
      <c r="BP380">
        <v>1</v>
      </c>
      <c r="BQ380">
        <v>0</v>
      </c>
      <c r="BT380">
        <v>0</v>
      </c>
      <c r="BU380">
        <v>0</v>
      </c>
      <c r="BV380">
        <v>0</v>
      </c>
      <c r="CC380" t="str">
        <f>"18:40:48.500"</f>
        <v>18:40:48.500</v>
      </c>
      <c r="CD380" t="str">
        <f>"502587277"</f>
        <v>502587277</v>
      </c>
      <c r="CQ380">
        <v>0</v>
      </c>
      <c r="CR380">
        <v>2</v>
      </c>
      <c r="CS380">
        <v>0</v>
      </c>
      <c r="CT380">
        <v>2</v>
      </c>
      <c r="CU380">
        <v>0</v>
      </c>
      <c r="CV380">
        <v>5</v>
      </c>
      <c r="CW380" t="s">
        <v>120</v>
      </c>
      <c r="CX380">
        <v>257</v>
      </c>
      <c r="CY380">
        <v>1</v>
      </c>
      <c r="CZ380" t="s">
        <v>615</v>
      </c>
      <c r="DA380" t="s">
        <v>616</v>
      </c>
      <c r="DD380">
        <v>10703966</v>
      </c>
      <c r="DE380" t="s">
        <v>123</v>
      </c>
    </row>
    <row r="381" spans="1:109" x14ac:dyDescent="0.3">
      <c r="A381" t="str">
        <f>"18:40:49.805"</f>
        <v>18:40:49.805</v>
      </c>
      <c r="B381" t="s">
        <v>110</v>
      </c>
      <c r="C381" t="str">
        <f t="shared" si="15"/>
        <v>ffdfd3c0</v>
      </c>
      <c r="D381" t="s">
        <v>111</v>
      </c>
      <c r="E381">
        <v>18</v>
      </c>
      <c r="F381">
        <v>1018</v>
      </c>
      <c r="G381" t="s">
        <v>112</v>
      </c>
      <c r="J381" t="s">
        <v>113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R381" t="s">
        <v>114</v>
      </c>
      <c r="S381" t="str">
        <f>"18:40:49.578"</f>
        <v>18:40:49.578</v>
      </c>
      <c r="T381" t="str">
        <f>"18:40:49.281"</f>
        <v>18:40:49.281</v>
      </c>
      <c r="U381" t="str">
        <f t="shared" si="16"/>
        <v>a1cdbe</v>
      </c>
      <c r="V381">
        <v>0</v>
      </c>
      <c r="W381">
        <v>0</v>
      </c>
      <c r="X381">
        <v>1</v>
      </c>
      <c r="Y381">
        <v>0</v>
      </c>
      <c r="Z381">
        <v>0</v>
      </c>
      <c r="AB381">
        <v>0</v>
      </c>
      <c r="AC381">
        <v>9</v>
      </c>
      <c r="AD381">
        <v>3</v>
      </c>
      <c r="AE381">
        <v>0</v>
      </c>
      <c r="AF381">
        <v>9</v>
      </c>
      <c r="AG381" t="s">
        <v>158</v>
      </c>
      <c r="AH381">
        <v>0</v>
      </c>
      <c r="AI381">
        <v>3</v>
      </c>
      <c r="AJ381">
        <v>1</v>
      </c>
      <c r="AK381">
        <v>0</v>
      </c>
      <c r="AL381" t="s">
        <v>831</v>
      </c>
      <c r="AM381">
        <v>46.998137999999997</v>
      </c>
      <c r="AN381" t="s">
        <v>832</v>
      </c>
      <c r="AO381">
        <v>-122.30592</v>
      </c>
      <c r="AP381">
        <v>100</v>
      </c>
      <c r="AQ381">
        <v>2000</v>
      </c>
      <c r="AR381" t="s">
        <v>118</v>
      </c>
      <c r="AS381">
        <v>-27</v>
      </c>
      <c r="AT381">
        <v>-79</v>
      </c>
      <c r="AU381">
        <v>64</v>
      </c>
      <c r="BC381">
        <v>1200</v>
      </c>
      <c r="BD381">
        <v>1</v>
      </c>
      <c r="BE381" t="str">
        <f t="shared" si="17"/>
        <v xml:space="preserve">N215T   </v>
      </c>
      <c r="BF381">
        <v>1</v>
      </c>
      <c r="BH381">
        <v>0</v>
      </c>
      <c r="BI381">
        <v>0</v>
      </c>
      <c r="BJ381">
        <v>0</v>
      </c>
      <c r="BK381">
        <v>2400</v>
      </c>
      <c r="BL381">
        <v>400</v>
      </c>
      <c r="BM381" t="s">
        <v>119</v>
      </c>
      <c r="BN381">
        <v>1</v>
      </c>
      <c r="BO381">
        <v>1</v>
      </c>
      <c r="BP381">
        <v>1</v>
      </c>
      <c r="BQ381">
        <v>0</v>
      </c>
      <c r="BT381">
        <v>0</v>
      </c>
      <c r="BU381">
        <v>0</v>
      </c>
      <c r="BV381">
        <v>0</v>
      </c>
      <c r="CC381" t="str">
        <f>"18:40:49.586"</f>
        <v>18:40:49.586</v>
      </c>
      <c r="CD381" t="str">
        <f>"582480861"</f>
        <v>582480861</v>
      </c>
      <c r="CQ381">
        <v>0</v>
      </c>
      <c r="CR381">
        <v>2</v>
      </c>
      <c r="CS381">
        <v>0</v>
      </c>
      <c r="CT381">
        <v>2</v>
      </c>
      <c r="CU381">
        <v>0</v>
      </c>
      <c r="CV381">
        <v>5</v>
      </c>
      <c r="CW381" t="s">
        <v>120</v>
      </c>
      <c r="CX381">
        <v>257</v>
      </c>
      <c r="CY381">
        <v>1</v>
      </c>
      <c r="CZ381" t="s">
        <v>615</v>
      </c>
      <c r="DA381" t="s">
        <v>616</v>
      </c>
      <c r="DD381">
        <v>10704642</v>
      </c>
      <c r="DE381" t="s">
        <v>123</v>
      </c>
    </row>
    <row r="382" spans="1:109" x14ac:dyDescent="0.3">
      <c r="A382" t="str">
        <f>"18:40:50.813"</f>
        <v>18:40:50.813</v>
      </c>
      <c r="B382" t="s">
        <v>110</v>
      </c>
      <c r="C382" t="str">
        <f t="shared" si="15"/>
        <v>ffdfd3c0</v>
      </c>
      <c r="D382" t="s">
        <v>111</v>
      </c>
      <c r="E382">
        <v>18</v>
      </c>
      <c r="F382">
        <v>1018</v>
      </c>
      <c r="G382" t="s">
        <v>112</v>
      </c>
      <c r="J382" t="s">
        <v>113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R382" t="s">
        <v>114</v>
      </c>
      <c r="S382" t="str">
        <f>"18:40:50.555"</f>
        <v>18:40:50.555</v>
      </c>
      <c r="T382" t="str">
        <f>"18:40:50.156"</f>
        <v>18:40:50.156</v>
      </c>
      <c r="U382" t="str">
        <f t="shared" si="16"/>
        <v>a1cdbe</v>
      </c>
      <c r="V382">
        <v>0</v>
      </c>
      <c r="W382">
        <v>0</v>
      </c>
      <c r="X382">
        <v>1</v>
      </c>
      <c r="Y382">
        <v>0</v>
      </c>
      <c r="Z382">
        <v>0</v>
      </c>
      <c r="AB382">
        <v>0</v>
      </c>
      <c r="AC382">
        <v>9</v>
      </c>
      <c r="AD382">
        <v>3</v>
      </c>
      <c r="AE382">
        <v>0</v>
      </c>
      <c r="AF382">
        <v>9</v>
      </c>
      <c r="AG382" t="s">
        <v>158</v>
      </c>
      <c r="AH382">
        <v>0</v>
      </c>
      <c r="AI382">
        <v>3</v>
      </c>
      <c r="AJ382">
        <v>1</v>
      </c>
      <c r="AK382">
        <v>0</v>
      </c>
      <c r="AL382" t="s">
        <v>833</v>
      </c>
      <c r="AM382">
        <v>46.997795000000004</v>
      </c>
      <c r="AN382" t="s">
        <v>834</v>
      </c>
      <c r="AO382">
        <v>-122.30607000000001</v>
      </c>
      <c r="AP382">
        <v>100</v>
      </c>
      <c r="AQ382">
        <v>2000</v>
      </c>
      <c r="AR382" t="s">
        <v>118</v>
      </c>
      <c r="AS382">
        <v>-28</v>
      </c>
      <c r="AT382">
        <v>-79</v>
      </c>
      <c r="AU382">
        <v>-128</v>
      </c>
      <c r="BC382">
        <v>1200</v>
      </c>
      <c r="BD382">
        <v>1</v>
      </c>
      <c r="BE382" t="str">
        <f t="shared" si="17"/>
        <v xml:space="preserve">N215T   </v>
      </c>
      <c r="BF382">
        <v>1</v>
      </c>
      <c r="BH382">
        <v>0</v>
      </c>
      <c r="BI382">
        <v>0</v>
      </c>
      <c r="BJ382">
        <v>0</v>
      </c>
      <c r="BK382">
        <v>2400</v>
      </c>
      <c r="BL382">
        <v>400</v>
      </c>
      <c r="BM382" t="s">
        <v>119</v>
      </c>
      <c r="BN382">
        <v>1</v>
      </c>
      <c r="BO382">
        <v>1</v>
      </c>
      <c r="BP382">
        <v>1</v>
      </c>
      <c r="BQ382">
        <v>0</v>
      </c>
      <c r="BT382">
        <v>0</v>
      </c>
      <c r="BU382">
        <v>0</v>
      </c>
      <c r="BV382">
        <v>0</v>
      </c>
      <c r="CC382" t="str">
        <f>"18:40:50.555"</f>
        <v>18:40:50.555</v>
      </c>
      <c r="CD382" t="str">
        <f>"557384740"</f>
        <v>557384740</v>
      </c>
      <c r="CQ382">
        <v>0</v>
      </c>
      <c r="CR382">
        <v>2</v>
      </c>
      <c r="CS382">
        <v>0</v>
      </c>
      <c r="CT382">
        <v>2</v>
      </c>
      <c r="CU382">
        <v>0</v>
      </c>
      <c r="CV382">
        <v>4</v>
      </c>
      <c r="CW382" t="s">
        <v>120</v>
      </c>
      <c r="CX382">
        <v>257</v>
      </c>
      <c r="CY382">
        <v>1</v>
      </c>
      <c r="CZ382" t="s">
        <v>615</v>
      </c>
      <c r="DA382" t="s">
        <v>616</v>
      </c>
      <c r="DD382">
        <v>10705244</v>
      </c>
      <c r="DE382" t="s">
        <v>123</v>
      </c>
    </row>
    <row r="383" spans="1:109" x14ac:dyDescent="0.3">
      <c r="A383" t="str">
        <f>"18:40:51.766"</f>
        <v>18:40:51.766</v>
      </c>
      <c r="B383" t="s">
        <v>110</v>
      </c>
      <c r="C383" t="str">
        <f t="shared" si="15"/>
        <v>ffdfd3c0</v>
      </c>
      <c r="D383" t="s">
        <v>111</v>
      </c>
      <c r="E383">
        <v>18</v>
      </c>
      <c r="F383">
        <v>1018</v>
      </c>
      <c r="G383" t="s">
        <v>112</v>
      </c>
      <c r="J383" t="s">
        <v>113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R383" t="s">
        <v>114</v>
      </c>
      <c r="S383" t="str">
        <f>"18:40:51.555"</f>
        <v>18:40:51.555</v>
      </c>
      <c r="T383" t="str">
        <f>"18:40:51.555"</f>
        <v>18:40:51.555</v>
      </c>
      <c r="U383" t="str">
        <f t="shared" si="16"/>
        <v>a1cdbe</v>
      </c>
      <c r="V383">
        <v>0</v>
      </c>
      <c r="W383">
        <v>0</v>
      </c>
      <c r="X383">
        <v>1</v>
      </c>
      <c r="Y383">
        <v>0</v>
      </c>
      <c r="Z383">
        <v>0</v>
      </c>
      <c r="AB383">
        <v>0</v>
      </c>
      <c r="AC383">
        <v>9</v>
      </c>
      <c r="AD383">
        <v>3</v>
      </c>
      <c r="AE383">
        <v>0</v>
      </c>
      <c r="AF383">
        <v>9</v>
      </c>
      <c r="AG383" t="s">
        <v>158</v>
      </c>
      <c r="AH383">
        <v>0</v>
      </c>
      <c r="AI383">
        <v>3</v>
      </c>
      <c r="AJ383">
        <v>1</v>
      </c>
      <c r="AK383">
        <v>0</v>
      </c>
      <c r="AL383" t="s">
        <v>835</v>
      </c>
      <c r="AM383">
        <v>46.997408999999998</v>
      </c>
      <c r="AN383" t="s">
        <v>836</v>
      </c>
      <c r="AO383">
        <v>-122.306263</v>
      </c>
      <c r="AP383">
        <v>100</v>
      </c>
      <c r="AQ383">
        <v>2000</v>
      </c>
      <c r="AR383" t="s">
        <v>118</v>
      </c>
      <c r="AS383">
        <v>-29</v>
      </c>
      <c r="AT383">
        <v>-79</v>
      </c>
      <c r="AU383">
        <v>0</v>
      </c>
      <c r="BC383">
        <v>1200</v>
      </c>
      <c r="BD383">
        <v>1</v>
      </c>
      <c r="BE383" t="str">
        <f t="shared" si="17"/>
        <v xml:space="preserve">N215T   </v>
      </c>
      <c r="BF383">
        <v>1</v>
      </c>
      <c r="BH383">
        <v>0</v>
      </c>
      <c r="BI383">
        <v>0</v>
      </c>
      <c r="BJ383">
        <v>0</v>
      </c>
      <c r="BK383">
        <v>2400</v>
      </c>
      <c r="BL383">
        <v>400</v>
      </c>
      <c r="BM383" t="s">
        <v>119</v>
      </c>
      <c r="BN383">
        <v>1</v>
      </c>
      <c r="BO383">
        <v>1</v>
      </c>
      <c r="BP383">
        <v>1</v>
      </c>
      <c r="BQ383">
        <v>0</v>
      </c>
      <c r="BT383">
        <v>0</v>
      </c>
      <c r="BU383">
        <v>0</v>
      </c>
      <c r="BV383">
        <v>0</v>
      </c>
      <c r="CC383" t="str">
        <f>"18:40:51.563"</f>
        <v>18:40:51.563</v>
      </c>
      <c r="CD383" t="str">
        <f>"562285726"</f>
        <v>562285726</v>
      </c>
      <c r="CQ383">
        <v>0</v>
      </c>
      <c r="CR383">
        <v>2</v>
      </c>
      <c r="CS383">
        <v>0</v>
      </c>
      <c r="CT383">
        <v>2</v>
      </c>
      <c r="CU383">
        <v>0</v>
      </c>
      <c r="CV383">
        <v>5</v>
      </c>
      <c r="CW383" t="s">
        <v>120</v>
      </c>
      <c r="CX383">
        <v>257</v>
      </c>
      <c r="CY383">
        <v>1</v>
      </c>
      <c r="CZ383" t="s">
        <v>615</v>
      </c>
      <c r="DA383" t="s">
        <v>616</v>
      </c>
      <c r="DD383">
        <v>10705863</v>
      </c>
      <c r="DE383" t="s">
        <v>123</v>
      </c>
    </row>
    <row r="384" spans="1:109" x14ac:dyDescent="0.3">
      <c r="A384" t="str">
        <f>"18:40:52.922"</f>
        <v>18:40:52.922</v>
      </c>
      <c r="B384" t="s">
        <v>110</v>
      </c>
      <c r="C384" t="str">
        <f t="shared" si="15"/>
        <v>ffdfd3c0</v>
      </c>
      <c r="D384" t="s">
        <v>111</v>
      </c>
      <c r="E384">
        <v>18</v>
      </c>
      <c r="F384">
        <v>1018</v>
      </c>
      <c r="G384" t="s">
        <v>112</v>
      </c>
      <c r="J384" t="s">
        <v>113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R384" t="s">
        <v>114</v>
      </c>
      <c r="S384" t="str">
        <f>"18:40:52.672"</f>
        <v>18:40:52.672</v>
      </c>
      <c r="T384" t="str">
        <f>"18:40:52.570"</f>
        <v>18:40:52.570</v>
      </c>
      <c r="U384" t="str">
        <f t="shared" si="16"/>
        <v>a1cdbe</v>
      </c>
      <c r="V384">
        <v>0</v>
      </c>
      <c r="W384">
        <v>0</v>
      </c>
      <c r="X384">
        <v>1</v>
      </c>
      <c r="Y384">
        <v>0</v>
      </c>
      <c r="Z384">
        <v>0</v>
      </c>
      <c r="AB384">
        <v>0</v>
      </c>
      <c r="AC384">
        <v>9</v>
      </c>
      <c r="AD384">
        <v>3</v>
      </c>
      <c r="AE384">
        <v>0</v>
      </c>
      <c r="AF384">
        <v>9</v>
      </c>
      <c r="AG384" t="s">
        <v>158</v>
      </c>
      <c r="AH384">
        <v>0</v>
      </c>
      <c r="AI384">
        <v>3</v>
      </c>
      <c r="AJ384">
        <v>1</v>
      </c>
      <c r="AK384">
        <v>0</v>
      </c>
      <c r="AL384" t="s">
        <v>837</v>
      </c>
      <c r="AM384">
        <v>46.997000999999997</v>
      </c>
      <c r="AN384" t="s">
        <v>838</v>
      </c>
      <c r="AO384">
        <v>-122.306499</v>
      </c>
      <c r="AP384">
        <v>100</v>
      </c>
      <c r="AQ384">
        <v>2000</v>
      </c>
      <c r="AR384" t="s">
        <v>118</v>
      </c>
      <c r="AS384">
        <v>-29</v>
      </c>
      <c r="AT384">
        <v>-79</v>
      </c>
      <c r="AU384">
        <v>0</v>
      </c>
      <c r="BC384">
        <v>1200</v>
      </c>
      <c r="BD384">
        <v>1</v>
      </c>
      <c r="BE384" t="str">
        <f t="shared" si="17"/>
        <v xml:space="preserve">N215T   </v>
      </c>
      <c r="BF384">
        <v>1</v>
      </c>
      <c r="BH384">
        <v>0</v>
      </c>
      <c r="BI384">
        <v>0</v>
      </c>
      <c r="BJ384">
        <v>0</v>
      </c>
      <c r="BK384">
        <v>2400</v>
      </c>
      <c r="BL384">
        <v>400</v>
      </c>
      <c r="BM384" t="s">
        <v>119</v>
      </c>
      <c r="BN384">
        <v>1</v>
      </c>
      <c r="BO384">
        <v>1</v>
      </c>
      <c r="BP384">
        <v>1</v>
      </c>
      <c r="BQ384">
        <v>0</v>
      </c>
      <c r="BT384">
        <v>0</v>
      </c>
      <c r="BU384">
        <v>0</v>
      </c>
      <c r="BV384">
        <v>0</v>
      </c>
      <c r="CC384" t="str">
        <f>"18:40:52.672"</f>
        <v>18:40:52.672</v>
      </c>
      <c r="CD384" t="str">
        <f>"671957327"</f>
        <v>671957327</v>
      </c>
      <c r="CQ384">
        <v>0</v>
      </c>
      <c r="CR384">
        <v>2</v>
      </c>
      <c r="CS384">
        <v>0</v>
      </c>
      <c r="CT384">
        <v>2</v>
      </c>
      <c r="CU384">
        <v>0</v>
      </c>
      <c r="CV384">
        <v>3</v>
      </c>
      <c r="CW384" t="s">
        <v>120</v>
      </c>
      <c r="CX384">
        <v>261</v>
      </c>
      <c r="CY384">
        <v>2</v>
      </c>
      <c r="CZ384" t="s">
        <v>121</v>
      </c>
      <c r="DA384" t="s">
        <v>122</v>
      </c>
      <c r="DD384">
        <v>14452814</v>
      </c>
      <c r="DE384" t="s">
        <v>123</v>
      </c>
    </row>
    <row r="385" spans="1:109" x14ac:dyDescent="0.3">
      <c r="A385" t="str">
        <f>"18:40:53.930"</f>
        <v>18:40:53.930</v>
      </c>
      <c r="B385" t="s">
        <v>110</v>
      </c>
      <c r="C385" t="str">
        <f t="shared" si="15"/>
        <v>ffdfd3c0</v>
      </c>
      <c r="D385" t="s">
        <v>111</v>
      </c>
      <c r="E385">
        <v>18</v>
      </c>
      <c r="F385">
        <v>1018</v>
      </c>
      <c r="G385" t="s">
        <v>112</v>
      </c>
      <c r="J385" t="s">
        <v>113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R385" t="s">
        <v>114</v>
      </c>
      <c r="S385" t="str">
        <f>"18:40:53.688"</f>
        <v>18:40:53.688</v>
      </c>
      <c r="T385" t="str">
        <f>"18:40:53.586"</f>
        <v>18:40:53.586</v>
      </c>
      <c r="U385" t="str">
        <f t="shared" si="16"/>
        <v>a1cdbe</v>
      </c>
      <c r="V385">
        <v>0</v>
      </c>
      <c r="W385">
        <v>0</v>
      </c>
      <c r="X385">
        <v>1</v>
      </c>
      <c r="Y385">
        <v>0</v>
      </c>
      <c r="Z385">
        <v>0</v>
      </c>
      <c r="AB385">
        <v>0</v>
      </c>
      <c r="AC385">
        <v>9</v>
      </c>
      <c r="AD385">
        <v>3</v>
      </c>
      <c r="AE385">
        <v>0</v>
      </c>
      <c r="AF385">
        <v>9</v>
      </c>
      <c r="AG385" t="s">
        <v>158</v>
      </c>
      <c r="AH385">
        <v>0</v>
      </c>
      <c r="AI385">
        <v>3</v>
      </c>
      <c r="AJ385">
        <v>1</v>
      </c>
      <c r="AK385">
        <v>0</v>
      </c>
      <c r="AL385" t="s">
        <v>839</v>
      </c>
      <c r="AM385">
        <v>46.996636000000002</v>
      </c>
      <c r="AN385" t="s">
        <v>840</v>
      </c>
      <c r="AO385">
        <v>-122.30667099999999</v>
      </c>
      <c r="AP385">
        <v>100</v>
      </c>
      <c r="AQ385">
        <v>2000</v>
      </c>
      <c r="AR385" t="s">
        <v>118</v>
      </c>
      <c r="AS385">
        <v>-29</v>
      </c>
      <c r="AT385">
        <v>-79</v>
      </c>
      <c r="AU385">
        <v>64</v>
      </c>
      <c r="BC385">
        <v>1200</v>
      </c>
      <c r="BD385">
        <v>1</v>
      </c>
      <c r="BE385" t="str">
        <f t="shared" si="17"/>
        <v xml:space="preserve">N215T   </v>
      </c>
      <c r="BF385">
        <v>1</v>
      </c>
      <c r="BH385">
        <v>0</v>
      </c>
      <c r="BI385">
        <v>0</v>
      </c>
      <c r="BJ385">
        <v>0</v>
      </c>
      <c r="BK385">
        <v>2400</v>
      </c>
      <c r="BL385">
        <v>400</v>
      </c>
      <c r="BM385" t="s">
        <v>119</v>
      </c>
      <c r="BN385">
        <v>1</v>
      </c>
      <c r="BO385">
        <v>1</v>
      </c>
      <c r="BP385">
        <v>1</v>
      </c>
      <c r="BQ385">
        <v>0</v>
      </c>
      <c r="BT385">
        <v>0</v>
      </c>
      <c r="BU385">
        <v>0</v>
      </c>
      <c r="BV385">
        <v>0</v>
      </c>
      <c r="CC385" t="str">
        <f>"18:40:53.695"</f>
        <v>18:40:53.695</v>
      </c>
      <c r="CD385" t="str">
        <f>"692075804"</f>
        <v>692075804</v>
      </c>
      <c r="CQ385">
        <v>0</v>
      </c>
      <c r="CR385">
        <v>2</v>
      </c>
      <c r="CS385">
        <v>0</v>
      </c>
      <c r="CT385">
        <v>2</v>
      </c>
      <c r="CU385">
        <v>0</v>
      </c>
      <c r="CV385">
        <v>4</v>
      </c>
      <c r="CW385" t="s">
        <v>120</v>
      </c>
      <c r="CX385">
        <v>257</v>
      </c>
      <c r="CY385">
        <v>1</v>
      </c>
      <c r="CZ385" t="s">
        <v>615</v>
      </c>
      <c r="DA385" t="s">
        <v>616</v>
      </c>
      <c r="DD385">
        <v>10707202</v>
      </c>
      <c r="DE385" t="s">
        <v>123</v>
      </c>
    </row>
    <row r="386" spans="1:109" x14ac:dyDescent="0.3">
      <c r="A386" t="str">
        <f>"18:40:54.883"</f>
        <v>18:40:54.883</v>
      </c>
      <c r="B386" t="s">
        <v>110</v>
      </c>
      <c r="C386" t="str">
        <f t="shared" ref="C386:C449" si="18">"ffdfd3c0"</f>
        <v>ffdfd3c0</v>
      </c>
      <c r="D386" t="s">
        <v>111</v>
      </c>
      <c r="E386">
        <v>18</v>
      </c>
      <c r="F386">
        <v>1018</v>
      </c>
      <c r="G386" t="s">
        <v>112</v>
      </c>
      <c r="J386" t="s">
        <v>113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R386" t="s">
        <v>114</v>
      </c>
      <c r="S386" t="str">
        <f>"18:40:54.664"</f>
        <v>18:40:54.664</v>
      </c>
      <c r="T386" t="str">
        <f>"18:40:54.164"</f>
        <v>18:40:54.164</v>
      </c>
      <c r="U386" t="str">
        <f t="shared" ref="U386:U449" si="19">"a1cdbe"</f>
        <v>a1cdbe</v>
      </c>
      <c r="V386">
        <v>0</v>
      </c>
      <c r="W386">
        <v>0</v>
      </c>
      <c r="X386">
        <v>1</v>
      </c>
      <c r="Y386">
        <v>0</v>
      </c>
      <c r="Z386">
        <v>0</v>
      </c>
      <c r="AB386">
        <v>0</v>
      </c>
      <c r="AC386">
        <v>9</v>
      </c>
      <c r="AD386">
        <v>3</v>
      </c>
      <c r="AE386">
        <v>0</v>
      </c>
      <c r="AF386">
        <v>9</v>
      </c>
      <c r="AG386" t="s">
        <v>158</v>
      </c>
      <c r="AH386">
        <v>0</v>
      </c>
      <c r="AI386">
        <v>3</v>
      </c>
      <c r="AJ386">
        <v>1</v>
      </c>
      <c r="AK386">
        <v>0</v>
      </c>
      <c r="AL386" t="s">
        <v>841</v>
      </c>
      <c r="AM386">
        <v>46.996293000000001</v>
      </c>
      <c r="AN386" t="s">
        <v>842</v>
      </c>
      <c r="AO386">
        <v>-122.306843</v>
      </c>
      <c r="AP386">
        <v>100</v>
      </c>
      <c r="AQ386">
        <v>2000</v>
      </c>
      <c r="AR386" t="s">
        <v>118</v>
      </c>
      <c r="AS386">
        <v>-30</v>
      </c>
      <c r="AT386">
        <v>-79</v>
      </c>
      <c r="AU386">
        <v>0</v>
      </c>
      <c r="BC386">
        <v>1200</v>
      </c>
      <c r="BD386">
        <v>1</v>
      </c>
      <c r="BE386" t="str">
        <f t="shared" ref="BE386:BE449" si="20">"N215T   "</f>
        <v xml:space="preserve">N215T   </v>
      </c>
      <c r="BF386">
        <v>1</v>
      </c>
      <c r="BH386">
        <v>0</v>
      </c>
      <c r="BI386">
        <v>0</v>
      </c>
      <c r="BJ386">
        <v>0</v>
      </c>
      <c r="BK386">
        <v>2400</v>
      </c>
      <c r="BL386">
        <v>400</v>
      </c>
      <c r="BM386" t="s">
        <v>119</v>
      </c>
      <c r="BN386">
        <v>1</v>
      </c>
      <c r="BO386">
        <v>1</v>
      </c>
      <c r="BP386">
        <v>1</v>
      </c>
      <c r="BQ386">
        <v>0</v>
      </c>
      <c r="BT386">
        <v>0</v>
      </c>
      <c r="BU386">
        <v>0</v>
      </c>
      <c r="BV386">
        <v>0</v>
      </c>
      <c r="CC386" t="str">
        <f>"18:40:54.664"</f>
        <v>18:40:54.664</v>
      </c>
      <c r="CD386" t="str">
        <f>"666761113"</f>
        <v>666761113</v>
      </c>
      <c r="CQ386">
        <v>0</v>
      </c>
      <c r="CR386">
        <v>2</v>
      </c>
      <c r="CS386">
        <v>0</v>
      </c>
      <c r="CT386">
        <v>2</v>
      </c>
      <c r="CU386">
        <v>0</v>
      </c>
      <c r="CV386">
        <v>4</v>
      </c>
      <c r="CW386" t="s">
        <v>120</v>
      </c>
      <c r="CX386">
        <v>261</v>
      </c>
      <c r="CY386">
        <v>2</v>
      </c>
      <c r="CZ386" t="s">
        <v>121</v>
      </c>
      <c r="DA386" t="s">
        <v>122</v>
      </c>
      <c r="DD386">
        <v>14453867</v>
      </c>
      <c r="DE386" t="s">
        <v>123</v>
      </c>
    </row>
    <row r="387" spans="1:109" x14ac:dyDescent="0.3">
      <c r="A387" t="str">
        <f>"18:40:55.938"</f>
        <v>18:40:55.938</v>
      </c>
      <c r="B387" t="s">
        <v>110</v>
      </c>
      <c r="C387" t="str">
        <f t="shared" si="18"/>
        <v>ffdfd3c0</v>
      </c>
      <c r="D387" t="s">
        <v>111</v>
      </c>
      <c r="E387">
        <v>18</v>
      </c>
      <c r="F387">
        <v>1018</v>
      </c>
      <c r="G387" t="s">
        <v>112</v>
      </c>
      <c r="J387" t="s">
        <v>113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R387" t="s">
        <v>114</v>
      </c>
      <c r="S387" t="str">
        <f>"18:40:55.695"</f>
        <v>18:40:55.695</v>
      </c>
      <c r="T387" t="str">
        <f>"18:40:55.195"</f>
        <v>18:40:55.195</v>
      </c>
      <c r="U387" t="str">
        <f t="shared" si="19"/>
        <v>a1cdbe</v>
      </c>
      <c r="V387">
        <v>0</v>
      </c>
      <c r="W387">
        <v>0</v>
      </c>
      <c r="X387">
        <v>1</v>
      </c>
      <c r="Y387">
        <v>0</v>
      </c>
      <c r="Z387">
        <v>0</v>
      </c>
      <c r="AB387">
        <v>0</v>
      </c>
      <c r="AC387">
        <v>9</v>
      </c>
      <c r="AD387">
        <v>3</v>
      </c>
      <c r="AE387">
        <v>0</v>
      </c>
      <c r="AF387">
        <v>9</v>
      </c>
      <c r="AG387" t="s">
        <v>158</v>
      </c>
      <c r="AH387">
        <v>0</v>
      </c>
      <c r="AI387">
        <v>3</v>
      </c>
      <c r="AJ387">
        <v>1</v>
      </c>
      <c r="AK387">
        <v>0</v>
      </c>
      <c r="AL387" t="s">
        <v>843</v>
      </c>
      <c r="AM387">
        <v>46.995885000000001</v>
      </c>
      <c r="AN387" t="s">
        <v>844</v>
      </c>
      <c r="AO387">
        <v>-122.307079</v>
      </c>
      <c r="AP387">
        <v>100</v>
      </c>
      <c r="AQ387">
        <v>2000</v>
      </c>
      <c r="AR387" t="s">
        <v>118</v>
      </c>
      <c r="AS387">
        <v>-31</v>
      </c>
      <c r="AT387">
        <v>-78</v>
      </c>
      <c r="AU387">
        <v>0</v>
      </c>
      <c r="BC387">
        <v>1200</v>
      </c>
      <c r="BD387">
        <v>1</v>
      </c>
      <c r="BE387" t="str">
        <f t="shared" si="20"/>
        <v xml:space="preserve">N215T   </v>
      </c>
      <c r="BF387">
        <v>1</v>
      </c>
      <c r="BH387">
        <v>0</v>
      </c>
      <c r="BI387">
        <v>0</v>
      </c>
      <c r="BJ387">
        <v>0</v>
      </c>
      <c r="BK387">
        <v>2400</v>
      </c>
      <c r="BL387">
        <v>400</v>
      </c>
      <c r="BM387" t="s">
        <v>119</v>
      </c>
      <c r="BN387">
        <v>1</v>
      </c>
      <c r="BO387">
        <v>1</v>
      </c>
      <c r="BP387">
        <v>1</v>
      </c>
      <c r="BQ387">
        <v>0</v>
      </c>
      <c r="BT387">
        <v>0</v>
      </c>
      <c r="BU387">
        <v>0</v>
      </c>
      <c r="BV387">
        <v>0</v>
      </c>
      <c r="CC387" t="str">
        <f>"18:40:55.703"</f>
        <v>18:40:55.703</v>
      </c>
      <c r="CD387" t="str">
        <f>"701877735"</f>
        <v>701877735</v>
      </c>
      <c r="CQ387">
        <v>0</v>
      </c>
      <c r="CR387">
        <v>2</v>
      </c>
      <c r="CS387">
        <v>0</v>
      </c>
      <c r="CT387">
        <v>2</v>
      </c>
      <c r="CU387">
        <v>0</v>
      </c>
      <c r="CV387">
        <v>4</v>
      </c>
      <c r="CW387" t="s">
        <v>120</v>
      </c>
      <c r="CX387">
        <v>257</v>
      </c>
      <c r="CY387">
        <v>1</v>
      </c>
      <c r="CZ387" t="s">
        <v>615</v>
      </c>
      <c r="DA387" t="s">
        <v>616</v>
      </c>
      <c r="DD387">
        <v>10708476</v>
      </c>
      <c r="DE387" t="s">
        <v>123</v>
      </c>
    </row>
    <row r="388" spans="1:109" x14ac:dyDescent="0.3">
      <c r="A388" t="str">
        <f>"18:40:56.891"</f>
        <v>18:40:56.891</v>
      </c>
      <c r="B388" t="s">
        <v>110</v>
      </c>
      <c r="C388" t="str">
        <f t="shared" si="18"/>
        <v>ffdfd3c0</v>
      </c>
      <c r="D388" t="s">
        <v>111</v>
      </c>
      <c r="E388">
        <v>18</v>
      </c>
      <c r="F388">
        <v>1018</v>
      </c>
      <c r="G388" t="s">
        <v>112</v>
      </c>
      <c r="J388" t="s">
        <v>113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R388" t="s">
        <v>114</v>
      </c>
      <c r="S388" t="str">
        <f>"18:40:56.703"</f>
        <v>18:40:56.703</v>
      </c>
      <c r="T388" t="str">
        <f>"18:40:56.305"</f>
        <v>18:40:56.305</v>
      </c>
      <c r="U388" t="str">
        <f t="shared" si="19"/>
        <v>a1cdbe</v>
      </c>
      <c r="V388">
        <v>0</v>
      </c>
      <c r="W388">
        <v>0</v>
      </c>
      <c r="X388">
        <v>1</v>
      </c>
      <c r="Y388">
        <v>0</v>
      </c>
      <c r="Z388">
        <v>0</v>
      </c>
      <c r="AB388">
        <v>0</v>
      </c>
      <c r="AC388">
        <v>9</v>
      </c>
      <c r="AD388">
        <v>3</v>
      </c>
      <c r="AE388">
        <v>0</v>
      </c>
      <c r="AF388">
        <v>9</v>
      </c>
      <c r="AG388" t="s">
        <v>158</v>
      </c>
      <c r="AH388">
        <v>0</v>
      </c>
      <c r="AI388">
        <v>3</v>
      </c>
      <c r="AJ388">
        <v>1</v>
      </c>
      <c r="AK388">
        <v>0</v>
      </c>
      <c r="AL388" t="s">
        <v>845</v>
      </c>
      <c r="AM388">
        <v>46.995564000000002</v>
      </c>
      <c r="AN388" t="s">
        <v>846</v>
      </c>
      <c r="AO388">
        <v>-122.30733600000001</v>
      </c>
      <c r="AP388">
        <v>100</v>
      </c>
      <c r="AQ388">
        <v>2000</v>
      </c>
      <c r="AR388" t="s">
        <v>118</v>
      </c>
      <c r="AS388">
        <v>-32</v>
      </c>
      <c r="AT388">
        <v>-77</v>
      </c>
      <c r="AU388">
        <v>128</v>
      </c>
      <c r="BC388">
        <v>1200</v>
      </c>
      <c r="BD388">
        <v>1</v>
      </c>
      <c r="BE388" t="str">
        <f t="shared" si="20"/>
        <v xml:space="preserve">N215T   </v>
      </c>
      <c r="BF388">
        <v>1</v>
      </c>
      <c r="BH388">
        <v>0</v>
      </c>
      <c r="BI388">
        <v>0</v>
      </c>
      <c r="BJ388">
        <v>0</v>
      </c>
      <c r="BK388">
        <v>2400</v>
      </c>
      <c r="BL388">
        <v>400</v>
      </c>
      <c r="BM388" t="s">
        <v>119</v>
      </c>
      <c r="BN388">
        <v>1</v>
      </c>
      <c r="BO388">
        <v>1</v>
      </c>
      <c r="BP388">
        <v>1</v>
      </c>
      <c r="BQ388">
        <v>0</v>
      </c>
      <c r="BT388">
        <v>0</v>
      </c>
      <c r="BU388">
        <v>0</v>
      </c>
      <c r="BV388">
        <v>0</v>
      </c>
      <c r="CC388" t="str">
        <f>"18:40:56.703"</f>
        <v>18:40:56.703</v>
      </c>
      <c r="CD388" t="str">
        <f>"706560467"</f>
        <v>706560467</v>
      </c>
      <c r="CQ388">
        <v>0</v>
      </c>
      <c r="CR388">
        <v>2</v>
      </c>
      <c r="CS388">
        <v>0</v>
      </c>
      <c r="CT388">
        <v>2</v>
      </c>
      <c r="CU388">
        <v>0</v>
      </c>
      <c r="CV388">
        <v>5</v>
      </c>
      <c r="CW388" t="s">
        <v>120</v>
      </c>
      <c r="CX388">
        <v>261</v>
      </c>
      <c r="CY388">
        <v>2</v>
      </c>
      <c r="CZ388" t="s">
        <v>121</v>
      </c>
      <c r="DA388" t="s">
        <v>122</v>
      </c>
      <c r="DD388">
        <v>14454931</v>
      </c>
      <c r="DE388" t="s">
        <v>123</v>
      </c>
    </row>
    <row r="389" spans="1:109" x14ac:dyDescent="0.3">
      <c r="A389" t="str">
        <f>"18:40:57.898"</f>
        <v>18:40:57.898</v>
      </c>
      <c r="B389" t="s">
        <v>110</v>
      </c>
      <c r="C389" t="str">
        <f t="shared" si="18"/>
        <v>ffdfd3c0</v>
      </c>
      <c r="D389" t="s">
        <v>111</v>
      </c>
      <c r="E389">
        <v>18</v>
      </c>
      <c r="F389">
        <v>1018</v>
      </c>
      <c r="G389" t="s">
        <v>112</v>
      </c>
      <c r="J389" t="s">
        <v>113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R389" t="s">
        <v>114</v>
      </c>
      <c r="S389" t="str">
        <f>"18:40:57.695"</f>
        <v>18:40:57.695</v>
      </c>
      <c r="T389" t="str">
        <f>"18:40:57.594"</f>
        <v>18:40:57.594</v>
      </c>
      <c r="U389" t="str">
        <f t="shared" si="19"/>
        <v>a1cdbe</v>
      </c>
      <c r="V389">
        <v>0</v>
      </c>
      <c r="W389">
        <v>0</v>
      </c>
      <c r="X389">
        <v>1</v>
      </c>
      <c r="Y389">
        <v>0</v>
      </c>
      <c r="Z389">
        <v>0</v>
      </c>
      <c r="AB389">
        <v>0</v>
      </c>
      <c r="AC389">
        <v>9</v>
      </c>
      <c r="AD389">
        <v>3</v>
      </c>
      <c r="AE389">
        <v>0</v>
      </c>
      <c r="AF389">
        <v>9</v>
      </c>
      <c r="AG389" t="s">
        <v>158</v>
      </c>
      <c r="AH389">
        <v>0</v>
      </c>
      <c r="AI389">
        <v>3</v>
      </c>
      <c r="AJ389">
        <v>1</v>
      </c>
      <c r="AK389">
        <v>0</v>
      </c>
      <c r="AL389" t="s">
        <v>847</v>
      </c>
      <c r="AM389">
        <v>46.995199</v>
      </c>
      <c r="AN389" t="s">
        <v>848</v>
      </c>
      <c r="AO389">
        <v>-122.30757199999999</v>
      </c>
      <c r="AP389">
        <v>100</v>
      </c>
      <c r="AQ389">
        <v>2000</v>
      </c>
      <c r="AR389" t="s">
        <v>118</v>
      </c>
      <c r="AS389">
        <v>-32</v>
      </c>
      <c r="AT389">
        <v>-76</v>
      </c>
      <c r="AU389">
        <v>0</v>
      </c>
      <c r="BC389">
        <v>1200</v>
      </c>
      <c r="BD389">
        <v>1</v>
      </c>
      <c r="BE389" t="str">
        <f t="shared" si="20"/>
        <v xml:space="preserve">N215T   </v>
      </c>
      <c r="BF389">
        <v>1</v>
      </c>
      <c r="BH389">
        <v>0</v>
      </c>
      <c r="BI389">
        <v>0</v>
      </c>
      <c r="BJ389">
        <v>0</v>
      </c>
      <c r="BK389">
        <v>2400</v>
      </c>
      <c r="BL389">
        <v>400</v>
      </c>
      <c r="BM389" t="s">
        <v>119</v>
      </c>
      <c r="BN389">
        <v>1</v>
      </c>
      <c r="BO389">
        <v>1</v>
      </c>
      <c r="BP389">
        <v>1</v>
      </c>
      <c r="BQ389">
        <v>0</v>
      </c>
      <c r="BT389">
        <v>0</v>
      </c>
      <c r="BU389">
        <v>0</v>
      </c>
      <c r="BV389">
        <v>0</v>
      </c>
      <c r="CC389" t="str">
        <f>"18:40:57.695"</f>
        <v>18:40:57.695</v>
      </c>
      <c r="CD389" t="str">
        <f>"696463101"</f>
        <v>696463101</v>
      </c>
      <c r="CQ389">
        <v>0</v>
      </c>
      <c r="CR389">
        <v>2</v>
      </c>
      <c r="CS389">
        <v>0</v>
      </c>
      <c r="CT389">
        <v>2</v>
      </c>
      <c r="CU389">
        <v>0</v>
      </c>
      <c r="CV389">
        <v>4</v>
      </c>
      <c r="CW389" t="s">
        <v>120</v>
      </c>
      <c r="CX389">
        <v>261</v>
      </c>
      <c r="CY389">
        <v>2</v>
      </c>
      <c r="CZ389" t="s">
        <v>121</v>
      </c>
      <c r="DA389" t="s">
        <v>122</v>
      </c>
      <c r="DD389">
        <v>14455479</v>
      </c>
      <c r="DE389" t="s">
        <v>123</v>
      </c>
    </row>
    <row r="390" spans="1:109" x14ac:dyDescent="0.3">
      <c r="A390" t="str">
        <f>"18:40:58.750"</f>
        <v>18:40:58.750</v>
      </c>
      <c r="B390" t="s">
        <v>110</v>
      </c>
      <c r="C390" t="str">
        <f t="shared" si="18"/>
        <v>ffdfd3c0</v>
      </c>
      <c r="D390" t="s">
        <v>111</v>
      </c>
      <c r="E390">
        <v>18</v>
      </c>
      <c r="F390">
        <v>1018</v>
      </c>
      <c r="G390" t="s">
        <v>112</v>
      </c>
      <c r="J390" t="s">
        <v>113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R390" t="s">
        <v>114</v>
      </c>
      <c r="S390" t="str">
        <f>"18:40:58.531"</f>
        <v>18:40:58.531</v>
      </c>
      <c r="T390" t="str">
        <f>"18:40:58.234"</f>
        <v>18:40:58.234</v>
      </c>
      <c r="U390" t="str">
        <f t="shared" si="19"/>
        <v>a1cdbe</v>
      </c>
      <c r="V390">
        <v>0</v>
      </c>
      <c r="W390">
        <v>0</v>
      </c>
      <c r="X390">
        <v>1</v>
      </c>
      <c r="Y390">
        <v>0</v>
      </c>
      <c r="Z390">
        <v>0</v>
      </c>
      <c r="AB390">
        <v>0</v>
      </c>
      <c r="AC390">
        <v>9</v>
      </c>
      <c r="AD390">
        <v>3</v>
      </c>
      <c r="AE390">
        <v>0</v>
      </c>
      <c r="AF390">
        <v>9</v>
      </c>
      <c r="AG390" t="s">
        <v>158</v>
      </c>
      <c r="AH390">
        <v>0</v>
      </c>
      <c r="AI390">
        <v>3</v>
      </c>
      <c r="AJ390">
        <v>1</v>
      </c>
      <c r="AK390">
        <v>0</v>
      </c>
      <c r="AL390" t="s">
        <v>849</v>
      </c>
      <c r="AM390">
        <v>46.994897999999999</v>
      </c>
      <c r="AN390" t="s">
        <v>850</v>
      </c>
      <c r="AO390">
        <v>-122.30770099999999</v>
      </c>
      <c r="AP390">
        <v>100</v>
      </c>
      <c r="AQ390">
        <v>2000</v>
      </c>
      <c r="AR390" t="s">
        <v>118</v>
      </c>
      <c r="AS390">
        <v>-32</v>
      </c>
      <c r="AT390">
        <v>-76</v>
      </c>
      <c r="AU390">
        <v>-64</v>
      </c>
      <c r="BC390">
        <v>1200</v>
      </c>
      <c r="BD390">
        <v>1</v>
      </c>
      <c r="BE390" t="str">
        <f t="shared" si="20"/>
        <v xml:space="preserve">N215T   </v>
      </c>
      <c r="BF390">
        <v>1</v>
      </c>
      <c r="BH390">
        <v>0</v>
      </c>
      <c r="BI390">
        <v>0</v>
      </c>
      <c r="BJ390">
        <v>0</v>
      </c>
      <c r="BK390">
        <v>2400</v>
      </c>
      <c r="BL390">
        <v>400</v>
      </c>
      <c r="BM390" t="s">
        <v>119</v>
      </c>
      <c r="BN390">
        <v>1</v>
      </c>
      <c r="BO390">
        <v>1</v>
      </c>
      <c r="BP390">
        <v>1</v>
      </c>
      <c r="BQ390">
        <v>0</v>
      </c>
      <c r="BT390">
        <v>0</v>
      </c>
      <c r="BU390">
        <v>0</v>
      </c>
      <c r="BV390">
        <v>0</v>
      </c>
      <c r="CC390" t="str">
        <f>"18:40:58.539"</f>
        <v>18:40:58.539</v>
      </c>
      <c r="CD390" t="str">
        <f>"536598334"</f>
        <v>536598334</v>
      </c>
      <c r="CQ390">
        <v>0</v>
      </c>
      <c r="CR390">
        <v>2</v>
      </c>
      <c r="CS390">
        <v>0</v>
      </c>
      <c r="CT390">
        <v>2</v>
      </c>
      <c r="CU390">
        <v>0</v>
      </c>
      <c r="CV390">
        <v>4</v>
      </c>
      <c r="CW390" t="s">
        <v>120</v>
      </c>
      <c r="CX390">
        <v>257</v>
      </c>
      <c r="CY390">
        <v>1</v>
      </c>
      <c r="CZ390" t="s">
        <v>615</v>
      </c>
      <c r="DA390" t="s">
        <v>616</v>
      </c>
      <c r="DD390">
        <v>10710241</v>
      </c>
      <c r="DE390" t="s">
        <v>123</v>
      </c>
    </row>
    <row r="391" spans="1:109" x14ac:dyDescent="0.3">
      <c r="A391" t="str">
        <f>"18:40:59.711"</f>
        <v>18:40:59.711</v>
      </c>
      <c r="B391" t="s">
        <v>110</v>
      </c>
      <c r="C391" t="str">
        <f t="shared" si="18"/>
        <v>ffdfd3c0</v>
      </c>
      <c r="D391" t="s">
        <v>111</v>
      </c>
      <c r="E391">
        <v>18</v>
      </c>
      <c r="F391">
        <v>1018</v>
      </c>
      <c r="G391" t="s">
        <v>112</v>
      </c>
      <c r="J391" t="s">
        <v>113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R391" t="s">
        <v>114</v>
      </c>
      <c r="S391" t="str">
        <f>"18:40:59.492"</f>
        <v>18:40:59.492</v>
      </c>
      <c r="T391" t="str">
        <f>"18:40:59.195"</f>
        <v>18:40:59.195</v>
      </c>
      <c r="U391" t="str">
        <f t="shared" si="19"/>
        <v>a1cdbe</v>
      </c>
      <c r="V391">
        <v>0</v>
      </c>
      <c r="W391">
        <v>0</v>
      </c>
      <c r="X391">
        <v>1</v>
      </c>
      <c r="Y391">
        <v>0</v>
      </c>
      <c r="Z391">
        <v>0</v>
      </c>
      <c r="AB391">
        <v>0</v>
      </c>
      <c r="AC391">
        <v>9</v>
      </c>
      <c r="AD391">
        <v>3</v>
      </c>
      <c r="AE391">
        <v>0</v>
      </c>
      <c r="AF391">
        <v>9</v>
      </c>
      <c r="AG391" t="s">
        <v>158</v>
      </c>
      <c r="AH391">
        <v>0</v>
      </c>
      <c r="AI391">
        <v>3</v>
      </c>
      <c r="AJ391">
        <v>1</v>
      </c>
      <c r="AK391">
        <v>0</v>
      </c>
      <c r="AL391" t="s">
        <v>851</v>
      </c>
      <c r="AM391">
        <v>46.994576000000002</v>
      </c>
      <c r="AN391" t="s">
        <v>852</v>
      </c>
      <c r="AO391">
        <v>-122.307894</v>
      </c>
      <c r="AP391">
        <v>100</v>
      </c>
      <c r="AQ391">
        <v>2000</v>
      </c>
      <c r="AR391" t="s">
        <v>118</v>
      </c>
      <c r="AS391">
        <v>-32</v>
      </c>
      <c r="AT391">
        <v>-76</v>
      </c>
      <c r="AU391">
        <v>-128</v>
      </c>
      <c r="BC391">
        <v>1200</v>
      </c>
      <c r="BD391">
        <v>1</v>
      </c>
      <c r="BE391" t="str">
        <f t="shared" si="20"/>
        <v xml:space="preserve">N215T   </v>
      </c>
      <c r="BF391">
        <v>1</v>
      </c>
      <c r="BH391">
        <v>0</v>
      </c>
      <c r="BI391">
        <v>0</v>
      </c>
      <c r="BJ391">
        <v>0</v>
      </c>
      <c r="BK391">
        <v>2400</v>
      </c>
      <c r="BL391">
        <v>400</v>
      </c>
      <c r="BM391" t="s">
        <v>119</v>
      </c>
      <c r="BN391">
        <v>1</v>
      </c>
      <c r="BO391">
        <v>1</v>
      </c>
      <c r="BP391">
        <v>1</v>
      </c>
      <c r="BQ391">
        <v>0</v>
      </c>
      <c r="BT391">
        <v>0</v>
      </c>
      <c r="BU391">
        <v>0</v>
      </c>
      <c r="BV391">
        <v>0</v>
      </c>
      <c r="CC391" t="str">
        <f>"18:40:59.500"</f>
        <v>18:40:59.500</v>
      </c>
      <c r="CD391" t="str">
        <f>"496503739"</f>
        <v>496503739</v>
      </c>
      <c r="CQ391">
        <v>0</v>
      </c>
      <c r="CR391">
        <v>2</v>
      </c>
      <c r="CS391">
        <v>0</v>
      </c>
      <c r="CT391">
        <v>2</v>
      </c>
      <c r="CU391">
        <v>0</v>
      </c>
      <c r="CV391">
        <v>5</v>
      </c>
      <c r="CW391" t="s">
        <v>120</v>
      </c>
      <c r="CX391">
        <v>257</v>
      </c>
      <c r="CY391">
        <v>1</v>
      </c>
      <c r="CZ391" t="s">
        <v>615</v>
      </c>
      <c r="DA391" t="s">
        <v>616</v>
      </c>
      <c r="DD391">
        <v>10710859</v>
      </c>
      <c r="DE391" t="s">
        <v>123</v>
      </c>
    </row>
    <row r="392" spans="1:109" x14ac:dyDescent="0.3">
      <c r="A392" t="str">
        <f>"18:41:00.617"</f>
        <v>18:41:00.617</v>
      </c>
      <c r="B392" t="s">
        <v>110</v>
      </c>
      <c r="C392" t="str">
        <f t="shared" si="18"/>
        <v>ffdfd3c0</v>
      </c>
      <c r="D392" t="s">
        <v>111</v>
      </c>
      <c r="E392">
        <v>18</v>
      </c>
      <c r="F392">
        <v>1018</v>
      </c>
      <c r="G392" t="s">
        <v>112</v>
      </c>
      <c r="J392" t="s">
        <v>113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R392" t="s">
        <v>114</v>
      </c>
      <c r="S392" t="str">
        <f>"18:41:00.406"</f>
        <v>18:41:00.406</v>
      </c>
      <c r="T392" t="str">
        <f>"18:41:00.203"</f>
        <v>18:41:00.203</v>
      </c>
      <c r="U392" t="str">
        <f t="shared" si="19"/>
        <v>a1cdbe</v>
      </c>
      <c r="V392">
        <v>0</v>
      </c>
      <c r="W392">
        <v>0</v>
      </c>
      <c r="X392">
        <v>1</v>
      </c>
      <c r="Y392">
        <v>0</v>
      </c>
      <c r="Z392">
        <v>0</v>
      </c>
      <c r="AB392">
        <v>0</v>
      </c>
      <c r="AC392">
        <v>9</v>
      </c>
      <c r="AD392">
        <v>3</v>
      </c>
      <c r="AE392">
        <v>0</v>
      </c>
      <c r="AF392">
        <v>9</v>
      </c>
      <c r="AG392" t="s">
        <v>158</v>
      </c>
      <c r="AH392">
        <v>0</v>
      </c>
      <c r="AI392">
        <v>3</v>
      </c>
      <c r="AJ392">
        <v>1</v>
      </c>
      <c r="AK392">
        <v>0</v>
      </c>
      <c r="AL392" t="s">
        <v>853</v>
      </c>
      <c r="AM392">
        <v>46.994255000000003</v>
      </c>
      <c r="AN392" t="s">
        <v>854</v>
      </c>
      <c r="AO392">
        <v>-122.308109</v>
      </c>
      <c r="AP392">
        <v>100</v>
      </c>
      <c r="AQ392">
        <v>2000</v>
      </c>
      <c r="AR392" t="s">
        <v>118</v>
      </c>
      <c r="AS392">
        <v>-31</v>
      </c>
      <c r="AT392">
        <v>-76</v>
      </c>
      <c r="AU392">
        <v>-64</v>
      </c>
      <c r="BC392">
        <v>1200</v>
      </c>
      <c r="BD392">
        <v>1</v>
      </c>
      <c r="BE392" t="str">
        <f t="shared" si="20"/>
        <v xml:space="preserve">N215T   </v>
      </c>
      <c r="BF392">
        <v>1</v>
      </c>
      <c r="BH392">
        <v>0</v>
      </c>
      <c r="BI392">
        <v>0</v>
      </c>
      <c r="BJ392">
        <v>0</v>
      </c>
      <c r="BK392">
        <v>2400</v>
      </c>
      <c r="BL392">
        <v>400</v>
      </c>
      <c r="BM392" t="s">
        <v>119</v>
      </c>
      <c r="BN392">
        <v>1</v>
      </c>
      <c r="BO392">
        <v>1</v>
      </c>
      <c r="BP392">
        <v>1</v>
      </c>
      <c r="BQ392">
        <v>0</v>
      </c>
      <c r="BT392">
        <v>0</v>
      </c>
      <c r="BU392">
        <v>0</v>
      </c>
      <c r="BV392">
        <v>0</v>
      </c>
      <c r="CC392" t="str">
        <f>"18:41:00.414"</f>
        <v>18:41:00.414</v>
      </c>
      <c r="CD392" t="str">
        <f>"411413587"</f>
        <v>411413587</v>
      </c>
      <c r="CQ392">
        <v>0</v>
      </c>
      <c r="CR392">
        <v>2</v>
      </c>
      <c r="CS392">
        <v>0</v>
      </c>
      <c r="CT392">
        <v>2</v>
      </c>
      <c r="CU392">
        <v>0</v>
      </c>
      <c r="CV392">
        <v>4</v>
      </c>
      <c r="CW392" t="s">
        <v>120</v>
      </c>
      <c r="CX392">
        <v>257</v>
      </c>
      <c r="CY392">
        <v>1</v>
      </c>
      <c r="CZ392" t="s">
        <v>615</v>
      </c>
      <c r="DA392" t="s">
        <v>616</v>
      </c>
      <c r="DD392">
        <v>10711460</v>
      </c>
      <c r="DE392" t="s">
        <v>123</v>
      </c>
    </row>
    <row r="393" spans="1:109" x14ac:dyDescent="0.3">
      <c r="A393" t="str">
        <f>"18:41:01.773"</f>
        <v>18:41:01.773</v>
      </c>
      <c r="B393" t="s">
        <v>110</v>
      </c>
      <c r="C393" t="str">
        <f t="shared" si="18"/>
        <v>ffdfd3c0</v>
      </c>
      <c r="D393" t="s">
        <v>111</v>
      </c>
      <c r="E393">
        <v>18</v>
      </c>
      <c r="F393">
        <v>1018</v>
      </c>
      <c r="G393" t="s">
        <v>112</v>
      </c>
      <c r="J393" t="s">
        <v>113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R393" t="s">
        <v>114</v>
      </c>
      <c r="S393" t="str">
        <f>"18:41:01.547"</f>
        <v>18:41:01.547</v>
      </c>
      <c r="T393" t="str">
        <f>"18:41:01.250"</f>
        <v>18:41:01.250</v>
      </c>
      <c r="U393" t="str">
        <f t="shared" si="19"/>
        <v>a1cdbe</v>
      </c>
      <c r="V393">
        <v>0</v>
      </c>
      <c r="W393">
        <v>0</v>
      </c>
      <c r="X393">
        <v>1</v>
      </c>
      <c r="Y393">
        <v>0</v>
      </c>
      <c r="Z393">
        <v>0</v>
      </c>
      <c r="AB393">
        <v>0</v>
      </c>
      <c r="AC393">
        <v>9</v>
      </c>
      <c r="AD393">
        <v>3</v>
      </c>
      <c r="AE393">
        <v>0</v>
      </c>
      <c r="AF393">
        <v>9</v>
      </c>
      <c r="AG393" t="s">
        <v>158</v>
      </c>
      <c r="AH393">
        <v>0</v>
      </c>
      <c r="AI393">
        <v>3</v>
      </c>
      <c r="AJ393">
        <v>1</v>
      </c>
      <c r="AK393">
        <v>0</v>
      </c>
      <c r="AL393" t="s">
        <v>855</v>
      </c>
      <c r="AM393">
        <v>46.993825000000001</v>
      </c>
      <c r="AN393" t="s">
        <v>856</v>
      </c>
      <c r="AO393">
        <v>-122.30838799999999</v>
      </c>
      <c r="AP393">
        <v>100</v>
      </c>
      <c r="AQ393">
        <v>2000</v>
      </c>
      <c r="AR393" t="s">
        <v>118</v>
      </c>
      <c r="AS393">
        <v>-31</v>
      </c>
      <c r="AT393">
        <v>-76</v>
      </c>
      <c r="AU393">
        <v>-64</v>
      </c>
      <c r="BC393">
        <v>1200</v>
      </c>
      <c r="BD393">
        <v>1</v>
      </c>
      <c r="BE393" t="str">
        <f t="shared" si="20"/>
        <v xml:space="preserve">N215T   </v>
      </c>
      <c r="BF393">
        <v>1</v>
      </c>
      <c r="BH393">
        <v>0</v>
      </c>
      <c r="BI393">
        <v>0</v>
      </c>
      <c r="BJ393">
        <v>0</v>
      </c>
      <c r="BK393">
        <v>2400</v>
      </c>
      <c r="BL393">
        <v>400</v>
      </c>
      <c r="BM393" t="s">
        <v>119</v>
      </c>
      <c r="BN393">
        <v>1</v>
      </c>
      <c r="BO393">
        <v>1</v>
      </c>
      <c r="BP393">
        <v>1</v>
      </c>
      <c r="BQ393">
        <v>0</v>
      </c>
      <c r="BT393">
        <v>0</v>
      </c>
      <c r="BU393">
        <v>0</v>
      </c>
      <c r="BV393">
        <v>0</v>
      </c>
      <c r="CC393" t="str">
        <f>"18:41:01.555"</f>
        <v>18:41:01.555</v>
      </c>
      <c r="CD393" t="str">
        <f>"551083896"</f>
        <v>551083896</v>
      </c>
      <c r="CQ393">
        <v>0</v>
      </c>
      <c r="CR393">
        <v>2</v>
      </c>
      <c r="CS393">
        <v>0</v>
      </c>
      <c r="CT393">
        <v>2</v>
      </c>
      <c r="CU393">
        <v>0</v>
      </c>
      <c r="CV393">
        <v>4</v>
      </c>
      <c r="CW393" t="s">
        <v>120</v>
      </c>
      <c r="CX393">
        <v>261</v>
      </c>
      <c r="CY393">
        <v>1</v>
      </c>
      <c r="CZ393" t="s">
        <v>121</v>
      </c>
      <c r="DA393" t="s">
        <v>122</v>
      </c>
      <c r="DD393">
        <v>3334264</v>
      </c>
      <c r="DE393" t="s">
        <v>123</v>
      </c>
    </row>
    <row r="394" spans="1:109" x14ac:dyDescent="0.3">
      <c r="A394" t="str">
        <f>"18:41:02.930"</f>
        <v>18:41:02.930</v>
      </c>
      <c r="B394" t="s">
        <v>110</v>
      </c>
      <c r="C394" t="str">
        <f t="shared" si="18"/>
        <v>ffdfd3c0</v>
      </c>
      <c r="D394" t="s">
        <v>111</v>
      </c>
      <c r="E394">
        <v>18</v>
      </c>
      <c r="F394">
        <v>1018</v>
      </c>
      <c r="G394" t="s">
        <v>112</v>
      </c>
      <c r="J394" t="s">
        <v>113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R394" t="s">
        <v>114</v>
      </c>
      <c r="S394" t="str">
        <f>"18:41:02.688"</f>
        <v>18:41:02.688</v>
      </c>
      <c r="T394" t="str">
        <f>"18:41:02.688"</f>
        <v>18:41:02.688</v>
      </c>
      <c r="U394" t="str">
        <f t="shared" si="19"/>
        <v>a1cdbe</v>
      </c>
      <c r="V394">
        <v>0</v>
      </c>
      <c r="W394">
        <v>0</v>
      </c>
      <c r="X394">
        <v>1</v>
      </c>
      <c r="Y394">
        <v>0</v>
      </c>
      <c r="Z394">
        <v>0</v>
      </c>
      <c r="AB394">
        <v>0</v>
      </c>
      <c r="AC394">
        <v>9</v>
      </c>
      <c r="AD394">
        <v>3</v>
      </c>
      <c r="AE394">
        <v>0</v>
      </c>
      <c r="AF394">
        <v>9</v>
      </c>
      <c r="AG394" t="s">
        <v>158</v>
      </c>
      <c r="AH394">
        <v>0</v>
      </c>
      <c r="AI394">
        <v>3</v>
      </c>
      <c r="AJ394">
        <v>1</v>
      </c>
      <c r="AK394">
        <v>0</v>
      </c>
      <c r="AL394" t="s">
        <v>857</v>
      </c>
      <c r="AM394">
        <v>46.993461000000003</v>
      </c>
      <c r="AN394" t="s">
        <v>858</v>
      </c>
      <c r="AO394">
        <v>-122.30860199999999</v>
      </c>
      <c r="AP394">
        <v>100</v>
      </c>
      <c r="AQ394">
        <v>2000</v>
      </c>
      <c r="AR394" t="s">
        <v>118</v>
      </c>
      <c r="AS394">
        <v>-31</v>
      </c>
      <c r="AT394">
        <v>-76</v>
      </c>
      <c r="AU394">
        <v>-64</v>
      </c>
      <c r="BC394">
        <v>1200</v>
      </c>
      <c r="BD394">
        <v>1</v>
      </c>
      <c r="BE394" t="str">
        <f t="shared" si="20"/>
        <v xml:space="preserve">N215T   </v>
      </c>
      <c r="BF394">
        <v>1</v>
      </c>
      <c r="BH394">
        <v>0</v>
      </c>
      <c r="BI394">
        <v>0</v>
      </c>
      <c r="BJ394">
        <v>0</v>
      </c>
      <c r="BK394">
        <v>2400</v>
      </c>
      <c r="BL394">
        <v>400</v>
      </c>
      <c r="BM394" t="s">
        <v>119</v>
      </c>
      <c r="BN394">
        <v>1</v>
      </c>
      <c r="BO394">
        <v>1</v>
      </c>
      <c r="BP394">
        <v>1</v>
      </c>
      <c r="BQ394">
        <v>0</v>
      </c>
      <c r="BT394">
        <v>0</v>
      </c>
      <c r="BU394">
        <v>0</v>
      </c>
      <c r="BV394">
        <v>0</v>
      </c>
      <c r="CC394" t="str">
        <f>"18:41:02.688"</f>
        <v>18:41:02.688</v>
      </c>
      <c r="CD394" t="str">
        <f>"690971810"</f>
        <v>690971810</v>
      </c>
      <c r="CQ394">
        <v>0</v>
      </c>
      <c r="CR394">
        <v>2</v>
      </c>
      <c r="CS394">
        <v>0</v>
      </c>
      <c r="CT394">
        <v>2</v>
      </c>
      <c r="CU394">
        <v>0</v>
      </c>
      <c r="CV394">
        <v>5</v>
      </c>
      <c r="CW394" t="s">
        <v>120</v>
      </c>
      <c r="CX394">
        <v>261</v>
      </c>
      <c r="CY394">
        <v>2</v>
      </c>
      <c r="CZ394" t="s">
        <v>121</v>
      </c>
      <c r="DA394" t="s">
        <v>122</v>
      </c>
      <c r="DD394">
        <v>14458085</v>
      </c>
      <c r="DE394" t="s">
        <v>123</v>
      </c>
    </row>
    <row r="395" spans="1:109" x14ac:dyDescent="0.3">
      <c r="A395" t="str">
        <f>"18:41:03.984"</f>
        <v>18:41:03.984</v>
      </c>
      <c r="B395" t="s">
        <v>110</v>
      </c>
      <c r="C395" t="str">
        <f t="shared" si="18"/>
        <v>ffdfd3c0</v>
      </c>
      <c r="D395" t="s">
        <v>111</v>
      </c>
      <c r="E395">
        <v>18</v>
      </c>
      <c r="F395">
        <v>1018</v>
      </c>
      <c r="G395" t="s">
        <v>112</v>
      </c>
      <c r="J395" t="s">
        <v>113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R395" t="s">
        <v>114</v>
      </c>
      <c r="S395" t="str">
        <f>"18:41:03.734"</f>
        <v>18:41:03.734</v>
      </c>
      <c r="T395" t="str">
        <f>"18:41:03.633"</f>
        <v>18:41:03.633</v>
      </c>
      <c r="U395" t="str">
        <f t="shared" si="19"/>
        <v>a1cdbe</v>
      </c>
      <c r="V395">
        <v>0</v>
      </c>
      <c r="W395">
        <v>0</v>
      </c>
      <c r="X395">
        <v>1</v>
      </c>
      <c r="Y395">
        <v>0</v>
      </c>
      <c r="Z395">
        <v>0</v>
      </c>
      <c r="AB395">
        <v>0</v>
      </c>
      <c r="AC395">
        <v>9</v>
      </c>
      <c r="AD395">
        <v>3</v>
      </c>
      <c r="AE395">
        <v>0</v>
      </c>
      <c r="AF395">
        <v>9</v>
      </c>
      <c r="AG395" t="s">
        <v>158</v>
      </c>
      <c r="AH395">
        <v>0</v>
      </c>
      <c r="AI395">
        <v>3</v>
      </c>
      <c r="AJ395">
        <v>1</v>
      </c>
      <c r="AK395">
        <v>0</v>
      </c>
      <c r="AL395" t="s">
        <v>859</v>
      </c>
      <c r="AM395">
        <v>46.993053000000003</v>
      </c>
      <c r="AN395" t="s">
        <v>860</v>
      </c>
      <c r="AO395">
        <v>-122.30886</v>
      </c>
      <c r="AP395">
        <v>100</v>
      </c>
      <c r="AQ395">
        <v>2000</v>
      </c>
      <c r="AR395" t="s">
        <v>118</v>
      </c>
      <c r="AS395">
        <v>-32</v>
      </c>
      <c r="AT395">
        <v>-76</v>
      </c>
      <c r="AU395">
        <v>-192</v>
      </c>
      <c r="BC395">
        <v>1200</v>
      </c>
      <c r="BD395">
        <v>1</v>
      </c>
      <c r="BE395" t="str">
        <f t="shared" si="20"/>
        <v xml:space="preserve">N215T   </v>
      </c>
      <c r="BF395">
        <v>1</v>
      </c>
      <c r="BH395">
        <v>0</v>
      </c>
      <c r="BI395">
        <v>0</v>
      </c>
      <c r="BJ395">
        <v>0</v>
      </c>
      <c r="BK395">
        <v>2400</v>
      </c>
      <c r="BL395">
        <v>400</v>
      </c>
      <c r="BM395" t="s">
        <v>119</v>
      </c>
      <c r="BN395">
        <v>1</v>
      </c>
      <c r="BO395">
        <v>1</v>
      </c>
      <c r="BP395">
        <v>1</v>
      </c>
      <c r="BQ395">
        <v>0</v>
      </c>
      <c r="BT395">
        <v>0</v>
      </c>
      <c r="BU395">
        <v>0</v>
      </c>
      <c r="BV395">
        <v>0</v>
      </c>
      <c r="CC395" t="str">
        <f>"18:41:03.742"</f>
        <v>18:41:03.742</v>
      </c>
      <c r="CD395" t="str">
        <f>"740868543"</f>
        <v>740868543</v>
      </c>
      <c r="CQ395">
        <v>0</v>
      </c>
      <c r="CR395">
        <v>2</v>
      </c>
      <c r="CS395">
        <v>0</v>
      </c>
      <c r="CT395">
        <v>2</v>
      </c>
      <c r="CU395">
        <v>0</v>
      </c>
      <c r="CV395">
        <v>5</v>
      </c>
      <c r="CW395" t="s">
        <v>120</v>
      </c>
      <c r="CX395">
        <v>261</v>
      </c>
      <c r="CY395">
        <v>1</v>
      </c>
      <c r="CZ395" t="s">
        <v>121</v>
      </c>
      <c r="DA395" t="s">
        <v>122</v>
      </c>
      <c r="DD395">
        <v>3335619</v>
      </c>
      <c r="DE395" t="s">
        <v>123</v>
      </c>
    </row>
    <row r="396" spans="1:109" x14ac:dyDescent="0.3">
      <c r="A396" t="str">
        <f>"18:41:04.891"</f>
        <v>18:41:04.891</v>
      </c>
      <c r="B396" t="s">
        <v>110</v>
      </c>
      <c r="C396" t="str">
        <f t="shared" si="18"/>
        <v>ffdfd3c0</v>
      </c>
      <c r="D396" t="s">
        <v>111</v>
      </c>
      <c r="E396">
        <v>18</v>
      </c>
      <c r="F396">
        <v>1018</v>
      </c>
      <c r="G396" t="s">
        <v>112</v>
      </c>
      <c r="J396" t="s">
        <v>113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R396" t="s">
        <v>114</v>
      </c>
      <c r="S396" t="str">
        <f>"18:41:04.695"</f>
        <v>18:41:04.695</v>
      </c>
      <c r="T396" t="str">
        <f>"18:41:04.297"</f>
        <v>18:41:04.297</v>
      </c>
      <c r="U396" t="str">
        <f t="shared" si="19"/>
        <v>a1cdbe</v>
      </c>
      <c r="V396">
        <v>0</v>
      </c>
      <c r="W396">
        <v>0</v>
      </c>
      <c r="X396">
        <v>1</v>
      </c>
      <c r="Y396">
        <v>0</v>
      </c>
      <c r="Z396">
        <v>0</v>
      </c>
      <c r="AB396">
        <v>0</v>
      </c>
      <c r="AC396">
        <v>9</v>
      </c>
      <c r="AD396">
        <v>3</v>
      </c>
      <c r="AE396">
        <v>0</v>
      </c>
      <c r="AF396">
        <v>9</v>
      </c>
      <c r="AG396" t="s">
        <v>158</v>
      </c>
      <c r="AH396">
        <v>0</v>
      </c>
      <c r="AI396">
        <v>3</v>
      </c>
      <c r="AJ396">
        <v>1</v>
      </c>
      <c r="AK396">
        <v>0</v>
      </c>
      <c r="AL396" t="s">
        <v>861</v>
      </c>
      <c r="AM396">
        <v>46.992753</v>
      </c>
      <c r="AN396" t="s">
        <v>862</v>
      </c>
      <c r="AO396">
        <v>-122.309031</v>
      </c>
      <c r="AP396">
        <v>100</v>
      </c>
      <c r="AQ396">
        <v>2000</v>
      </c>
      <c r="AR396" t="s">
        <v>118</v>
      </c>
      <c r="AS396">
        <v>-33</v>
      </c>
      <c r="AT396">
        <v>-76</v>
      </c>
      <c r="AU396">
        <v>-128</v>
      </c>
      <c r="BC396">
        <v>1200</v>
      </c>
      <c r="BD396">
        <v>1</v>
      </c>
      <c r="BE396" t="str">
        <f t="shared" si="20"/>
        <v xml:space="preserve">N215T   </v>
      </c>
      <c r="BF396">
        <v>1</v>
      </c>
      <c r="BH396">
        <v>0</v>
      </c>
      <c r="BI396">
        <v>0</v>
      </c>
      <c r="BJ396">
        <v>0</v>
      </c>
      <c r="BK396">
        <v>2400</v>
      </c>
      <c r="BL396">
        <v>400</v>
      </c>
      <c r="BM396" t="s">
        <v>119</v>
      </c>
      <c r="BN396">
        <v>1</v>
      </c>
      <c r="BO396">
        <v>1</v>
      </c>
      <c r="BP396">
        <v>1</v>
      </c>
      <c r="BQ396">
        <v>0</v>
      </c>
      <c r="BT396">
        <v>0</v>
      </c>
      <c r="BU396">
        <v>0</v>
      </c>
      <c r="BV396">
        <v>0</v>
      </c>
      <c r="CC396" t="str">
        <f>"18:41:04.703"</f>
        <v>18:41:04.703</v>
      </c>
      <c r="CD396" t="str">
        <f>"700774107"</f>
        <v>700774107</v>
      </c>
      <c r="CQ396">
        <v>0</v>
      </c>
      <c r="CR396">
        <v>2</v>
      </c>
      <c r="CS396">
        <v>0</v>
      </c>
      <c r="CT396">
        <v>2</v>
      </c>
      <c r="CU396">
        <v>0</v>
      </c>
      <c r="CV396">
        <v>4</v>
      </c>
      <c r="CW396" t="s">
        <v>120</v>
      </c>
      <c r="CX396">
        <v>261</v>
      </c>
      <c r="CY396">
        <v>2</v>
      </c>
      <c r="CZ396" t="s">
        <v>121</v>
      </c>
      <c r="DA396" t="s">
        <v>122</v>
      </c>
      <c r="DD396">
        <v>14459109</v>
      </c>
      <c r="DE396" t="s">
        <v>123</v>
      </c>
    </row>
    <row r="397" spans="1:109" x14ac:dyDescent="0.3">
      <c r="A397" t="str">
        <f>"18:41:05.945"</f>
        <v>18:41:05.945</v>
      </c>
      <c r="B397" t="s">
        <v>110</v>
      </c>
      <c r="C397" t="str">
        <f t="shared" si="18"/>
        <v>ffdfd3c0</v>
      </c>
      <c r="D397" t="s">
        <v>111</v>
      </c>
      <c r="E397">
        <v>18</v>
      </c>
      <c r="F397">
        <v>1018</v>
      </c>
      <c r="G397" t="s">
        <v>112</v>
      </c>
      <c r="J397" t="s">
        <v>113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R397" t="s">
        <v>114</v>
      </c>
      <c r="S397" t="str">
        <f>"18:41:05.688"</f>
        <v>18:41:05.688</v>
      </c>
      <c r="T397" t="str">
        <f>"18:41:05.289"</f>
        <v>18:41:05.289</v>
      </c>
      <c r="U397" t="str">
        <f t="shared" si="19"/>
        <v>a1cdbe</v>
      </c>
      <c r="V397">
        <v>0</v>
      </c>
      <c r="W397">
        <v>0</v>
      </c>
      <c r="X397">
        <v>1</v>
      </c>
      <c r="Y397">
        <v>0</v>
      </c>
      <c r="Z397">
        <v>0</v>
      </c>
      <c r="AB397">
        <v>0</v>
      </c>
      <c r="AC397">
        <v>9</v>
      </c>
      <c r="AD397">
        <v>3</v>
      </c>
      <c r="AE397">
        <v>0</v>
      </c>
      <c r="AF397">
        <v>9</v>
      </c>
      <c r="AG397" t="s">
        <v>158</v>
      </c>
      <c r="AH397">
        <v>0</v>
      </c>
      <c r="AI397">
        <v>3</v>
      </c>
      <c r="AJ397">
        <v>1</v>
      </c>
      <c r="AK397">
        <v>0</v>
      </c>
      <c r="AL397" t="s">
        <v>863</v>
      </c>
      <c r="AM397">
        <v>46.992365999999997</v>
      </c>
      <c r="AN397" t="s">
        <v>864</v>
      </c>
      <c r="AO397">
        <v>-122.30928900000001</v>
      </c>
      <c r="AP397">
        <v>100</v>
      </c>
      <c r="AQ397">
        <v>2000</v>
      </c>
      <c r="AR397" t="s">
        <v>118</v>
      </c>
      <c r="AS397">
        <v>-33</v>
      </c>
      <c r="AT397">
        <v>-76</v>
      </c>
      <c r="AU397">
        <v>-192</v>
      </c>
      <c r="BC397">
        <v>1200</v>
      </c>
      <c r="BD397">
        <v>1</v>
      </c>
      <c r="BE397" t="str">
        <f t="shared" si="20"/>
        <v xml:space="preserve">N215T   </v>
      </c>
      <c r="BF397">
        <v>1</v>
      </c>
      <c r="BH397">
        <v>0</v>
      </c>
      <c r="BI397">
        <v>0</v>
      </c>
      <c r="BJ397">
        <v>0</v>
      </c>
      <c r="BK397">
        <v>2400</v>
      </c>
      <c r="BL397">
        <v>400</v>
      </c>
      <c r="BM397" t="s">
        <v>119</v>
      </c>
      <c r="BN397">
        <v>1</v>
      </c>
      <c r="BO397">
        <v>1</v>
      </c>
      <c r="BP397">
        <v>1</v>
      </c>
      <c r="BQ397">
        <v>0</v>
      </c>
      <c r="BT397">
        <v>0</v>
      </c>
      <c r="BU397">
        <v>0</v>
      </c>
      <c r="BV397">
        <v>0</v>
      </c>
      <c r="CC397" t="str">
        <f>"18:41:05.688"</f>
        <v>18:41:05.688</v>
      </c>
      <c r="CD397" t="str">
        <f>"690794492"</f>
        <v>690794492</v>
      </c>
      <c r="CQ397">
        <v>0</v>
      </c>
      <c r="CR397">
        <v>2</v>
      </c>
      <c r="CS397">
        <v>0</v>
      </c>
      <c r="CT397">
        <v>2</v>
      </c>
      <c r="CU397">
        <v>0</v>
      </c>
      <c r="CV397">
        <v>3</v>
      </c>
      <c r="CW397" t="s">
        <v>120</v>
      </c>
      <c r="CX397">
        <v>259</v>
      </c>
      <c r="CY397">
        <v>1</v>
      </c>
      <c r="CZ397" t="s">
        <v>197</v>
      </c>
      <c r="DA397" t="s">
        <v>198</v>
      </c>
      <c r="DD397">
        <v>14892838</v>
      </c>
      <c r="DE397" t="s">
        <v>123</v>
      </c>
    </row>
    <row r="398" spans="1:109" x14ac:dyDescent="0.3">
      <c r="A398" t="str">
        <f>"18:41:06.945"</f>
        <v>18:41:06.945</v>
      </c>
      <c r="B398" t="s">
        <v>110</v>
      </c>
      <c r="C398" t="str">
        <f t="shared" si="18"/>
        <v>ffdfd3c0</v>
      </c>
      <c r="D398" t="s">
        <v>111</v>
      </c>
      <c r="E398">
        <v>18</v>
      </c>
      <c r="F398">
        <v>1018</v>
      </c>
      <c r="G398" t="s">
        <v>112</v>
      </c>
      <c r="J398" t="s">
        <v>113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R398" t="s">
        <v>114</v>
      </c>
      <c r="S398" t="str">
        <f>"18:41:06.719"</f>
        <v>18:41:06.719</v>
      </c>
      <c r="T398" t="str">
        <f>"18:41:06.320"</f>
        <v>18:41:06.320</v>
      </c>
      <c r="U398" t="str">
        <f t="shared" si="19"/>
        <v>a1cdbe</v>
      </c>
      <c r="V398">
        <v>0</v>
      </c>
      <c r="W398">
        <v>0</v>
      </c>
      <c r="X398">
        <v>1</v>
      </c>
      <c r="Y398">
        <v>0</v>
      </c>
      <c r="Z398">
        <v>0</v>
      </c>
      <c r="AB398">
        <v>0</v>
      </c>
      <c r="AC398">
        <v>9</v>
      </c>
      <c r="AD398">
        <v>3</v>
      </c>
      <c r="AE398">
        <v>0</v>
      </c>
      <c r="AF398">
        <v>9</v>
      </c>
      <c r="AG398" t="s">
        <v>158</v>
      </c>
      <c r="AH398">
        <v>0</v>
      </c>
      <c r="AI398">
        <v>3</v>
      </c>
      <c r="AJ398">
        <v>1</v>
      </c>
      <c r="AK398">
        <v>0</v>
      </c>
      <c r="AL398" t="s">
        <v>865</v>
      </c>
      <c r="AM398">
        <v>46.992023000000003</v>
      </c>
      <c r="AN398" t="s">
        <v>866</v>
      </c>
      <c r="AO398">
        <v>-122.30952499999999</v>
      </c>
      <c r="AP398">
        <v>100</v>
      </c>
      <c r="AQ398">
        <v>2000</v>
      </c>
      <c r="AR398" t="s">
        <v>118</v>
      </c>
      <c r="AS398">
        <v>-33</v>
      </c>
      <c r="AT398">
        <v>-77</v>
      </c>
      <c r="AU398">
        <v>-192</v>
      </c>
      <c r="BC398">
        <v>1200</v>
      </c>
      <c r="BD398">
        <v>1</v>
      </c>
      <c r="BE398" t="str">
        <f t="shared" si="20"/>
        <v xml:space="preserve">N215T   </v>
      </c>
      <c r="BF398">
        <v>1</v>
      </c>
      <c r="BH398">
        <v>0</v>
      </c>
      <c r="BI398">
        <v>0</v>
      </c>
      <c r="BJ398">
        <v>0</v>
      </c>
      <c r="BK398">
        <v>2400</v>
      </c>
      <c r="BL398">
        <v>400</v>
      </c>
      <c r="BM398" t="s">
        <v>119</v>
      </c>
      <c r="BN398">
        <v>1</v>
      </c>
      <c r="BO398">
        <v>1</v>
      </c>
      <c r="BP398">
        <v>1</v>
      </c>
      <c r="BQ398">
        <v>0</v>
      </c>
      <c r="BT398">
        <v>0</v>
      </c>
      <c r="BU398">
        <v>0</v>
      </c>
      <c r="BV398">
        <v>0</v>
      </c>
      <c r="CC398" t="str">
        <f>"18:41:06.727"</f>
        <v>18:41:06.727</v>
      </c>
      <c r="CD398" t="str">
        <f>"725574936"</f>
        <v>725574936</v>
      </c>
      <c r="CQ398">
        <v>0</v>
      </c>
      <c r="CR398">
        <v>2</v>
      </c>
      <c r="CS398">
        <v>0</v>
      </c>
      <c r="CT398">
        <v>2</v>
      </c>
      <c r="CU398">
        <v>0</v>
      </c>
      <c r="CV398">
        <v>4</v>
      </c>
      <c r="CW398" t="s">
        <v>120</v>
      </c>
      <c r="CX398">
        <v>261</v>
      </c>
      <c r="CY398">
        <v>2</v>
      </c>
      <c r="CZ398" t="s">
        <v>121</v>
      </c>
      <c r="DA398" t="s">
        <v>122</v>
      </c>
      <c r="DD398">
        <v>14460117</v>
      </c>
      <c r="DE398" t="s">
        <v>123</v>
      </c>
    </row>
    <row r="399" spans="1:109" x14ac:dyDescent="0.3">
      <c r="A399" t="str">
        <f>"18:41:07.906"</f>
        <v>18:41:07.906</v>
      </c>
      <c r="B399" t="s">
        <v>110</v>
      </c>
      <c r="C399" t="str">
        <f t="shared" si="18"/>
        <v>ffdfd3c0</v>
      </c>
      <c r="D399" t="s">
        <v>111</v>
      </c>
      <c r="E399">
        <v>18</v>
      </c>
      <c r="F399">
        <v>1018</v>
      </c>
      <c r="G399" t="s">
        <v>112</v>
      </c>
      <c r="J399" t="s">
        <v>113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R399" t="s">
        <v>114</v>
      </c>
      <c r="S399" t="str">
        <f>"18:41:07.648"</f>
        <v>18:41:07.648</v>
      </c>
      <c r="T399" t="str">
        <f>"18:41:07.352"</f>
        <v>18:41:07.352</v>
      </c>
      <c r="U399" t="str">
        <f t="shared" si="19"/>
        <v>a1cdbe</v>
      </c>
      <c r="V399">
        <v>0</v>
      </c>
      <c r="W399">
        <v>0</v>
      </c>
      <c r="X399">
        <v>1</v>
      </c>
      <c r="Y399">
        <v>0</v>
      </c>
      <c r="Z399">
        <v>0</v>
      </c>
      <c r="AB399">
        <v>0</v>
      </c>
      <c r="AC399">
        <v>9</v>
      </c>
      <c r="AD399">
        <v>3</v>
      </c>
      <c r="AE399">
        <v>0</v>
      </c>
      <c r="AF399">
        <v>9</v>
      </c>
      <c r="AG399" t="s">
        <v>158</v>
      </c>
      <c r="AH399">
        <v>0</v>
      </c>
      <c r="AI399">
        <v>3</v>
      </c>
      <c r="AJ399">
        <v>1</v>
      </c>
      <c r="AK399">
        <v>0</v>
      </c>
      <c r="AL399" t="s">
        <v>867</v>
      </c>
      <c r="AM399">
        <v>46.991680000000002</v>
      </c>
      <c r="AN399" t="s">
        <v>868</v>
      </c>
      <c r="AO399">
        <v>-122.30976099999999</v>
      </c>
      <c r="AP399">
        <v>100</v>
      </c>
      <c r="AQ399">
        <v>2000</v>
      </c>
      <c r="AR399" t="s">
        <v>118</v>
      </c>
      <c r="AS399">
        <v>-34</v>
      </c>
      <c r="AT399">
        <v>-77</v>
      </c>
      <c r="AU399">
        <v>-192</v>
      </c>
      <c r="BC399">
        <v>1200</v>
      </c>
      <c r="BD399">
        <v>1</v>
      </c>
      <c r="BE399" t="str">
        <f t="shared" si="20"/>
        <v xml:space="preserve">N215T   </v>
      </c>
      <c r="BF399">
        <v>1</v>
      </c>
      <c r="BH399">
        <v>0</v>
      </c>
      <c r="BI399">
        <v>0</v>
      </c>
      <c r="BJ399">
        <v>0</v>
      </c>
      <c r="BK399">
        <v>2375</v>
      </c>
      <c r="BL399">
        <v>375</v>
      </c>
      <c r="BM399" t="s">
        <v>119</v>
      </c>
      <c r="BN399">
        <v>1</v>
      </c>
      <c r="BO399">
        <v>1</v>
      </c>
      <c r="BP399">
        <v>1</v>
      </c>
      <c r="BQ399">
        <v>0</v>
      </c>
      <c r="BT399">
        <v>0</v>
      </c>
      <c r="BU399">
        <v>0</v>
      </c>
      <c r="BV399">
        <v>0</v>
      </c>
      <c r="CC399" t="str">
        <f>"18:41:07.656"</f>
        <v>18:41:07.656</v>
      </c>
      <c r="CD399" t="str">
        <f>"655483446"</f>
        <v>655483446</v>
      </c>
      <c r="CQ399">
        <v>0</v>
      </c>
      <c r="CR399">
        <v>2</v>
      </c>
      <c r="CS399">
        <v>0</v>
      </c>
      <c r="CT399">
        <v>2</v>
      </c>
      <c r="CU399">
        <v>0</v>
      </c>
      <c r="CV399">
        <v>4</v>
      </c>
      <c r="CW399" t="s">
        <v>120</v>
      </c>
      <c r="CX399">
        <v>261</v>
      </c>
      <c r="CY399">
        <v>1</v>
      </c>
      <c r="CZ399" t="s">
        <v>121</v>
      </c>
      <c r="DA399" t="s">
        <v>122</v>
      </c>
      <c r="DD399">
        <v>3337949</v>
      </c>
      <c r="DE399" t="s">
        <v>123</v>
      </c>
    </row>
    <row r="400" spans="1:109" x14ac:dyDescent="0.3">
      <c r="A400" t="str">
        <f>"18:41:08.961"</f>
        <v>18:41:08.961</v>
      </c>
      <c r="B400" t="s">
        <v>110</v>
      </c>
      <c r="C400" t="str">
        <f t="shared" si="18"/>
        <v>ffdfd3c0</v>
      </c>
      <c r="D400" t="s">
        <v>111</v>
      </c>
      <c r="E400">
        <v>18</v>
      </c>
      <c r="F400">
        <v>1018</v>
      </c>
      <c r="G400" t="s">
        <v>112</v>
      </c>
      <c r="J400" t="s">
        <v>113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R400" t="s">
        <v>114</v>
      </c>
      <c r="S400" t="str">
        <f>"18:41:08.719"</f>
        <v>18:41:08.719</v>
      </c>
      <c r="T400" t="str">
        <f>"18:41:08.719"</f>
        <v>18:41:08.719</v>
      </c>
      <c r="U400" t="str">
        <f t="shared" si="19"/>
        <v>a1cdbe</v>
      </c>
      <c r="V400">
        <v>0</v>
      </c>
      <c r="W400">
        <v>0</v>
      </c>
      <c r="X400">
        <v>1</v>
      </c>
      <c r="Y400">
        <v>0</v>
      </c>
      <c r="Z400">
        <v>0</v>
      </c>
      <c r="AB400">
        <v>0</v>
      </c>
      <c r="AC400">
        <v>9</v>
      </c>
      <c r="AD400">
        <v>3</v>
      </c>
      <c r="AE400">
        <v>0</v>
      </c>
      <c r="AF400">
        <v>9</v>
      </c>
      <c r="AG400" t="s">
        <v>158</v>
      </c>
      <c r="AH400">
        <v>0</v>
      </c>
      <c r="AI400">
        <v>3</v>
      </c>
      <c r="AJ400">
        <v>1</v>
      </c>
      <c r="AK400">
        <v>0</v>
      </c>
      <c r="AL400" t="s">
        <v>869</v>
      </c>
      <c r="AM400">
        <v>46.991315</v>
      </c>
      <c r="AN400" t="s">
        <v>870</v>
      </c>
      <c r="AO400">
        <v>-122.309954</v>
      </c>
      <c r="AP400">
        <v>100</v>
      </c>
      <c r="AQ400">
        <v>2000</v>
      </c>
      <c r="AR400" t="s">
        <v>118</v>
      </c>
      <c r="AS400">
        <v>-33</v>
      </c>
      <c r="AT400">
        <v>-77</v>
      </c>
      <c r="AU400">
        <v>-128</v>
      </c>
      <c r="BC400">
        <v>1200</v>
      </c>
      <c r="BD400">
        <v>1</v>
      </c>
      <c r="BE400" t="str">
        <f t="shared" si="20"/>
        <v xml:space="preserve">N215T   </v>
      </c>
      <c r="BF400">
        <v>1</v>
      </c>
      <c r="BH400">
        <v>0</v>
      </c>
      <c r="BI400">
        <v>0</v>
      </c>
      <c r="BJ400">
        <v>0</v>
      </c>
      <c r="BK400">
        <v>2375</v>
      </c>
      <c r="BL400">
        <v>375</v>
      </c>
      <c r="BM400" t="s">
        <v>119</v>
      </c>
      <c r="BN400">
        <v>1</v>
      </c>
      <c r="BO400">
        <v>1</v>
      </c>
      <c r="BP400">
        <v>1</v>
      </c>
      <c r="BQ400">
        <v>0</v>
      </c>
      <c r="BT400">
        <v>0</v>
      </c>
      <c r="BU400">
        <v>0</v>
      </c>
      <c r="BV400">
        <v>0</v>
      </c>
      <c r="CC400" t="str">
        <f>"18:41:08.719"</f>
        <v>18:41:08.719</v>
      </c>
      <c r="CD400" t="str">
        <f>"720388051"</f>
        <v>720388051</v>
      </c>
      <c r="CQ400">
        <v>0</v>
      </c>
      <c r="CR400">
        <v>2</v>
      </c>
      <c r="CS400">
        <v>0</v>
      </c>
      <c r="CT400">
        <v>2</v>
      </c>
      <c r="CU400">
        <v>0</v>
      </c>
      <c r="CV400">
        <v>3</v>
      </c>
      <c r="CW400" t="s">
        <v>120</v>
      </c>
      <c r="CX400">
        <v>261</v>
      </c>
      <c r="CY400">
        <v>1</v>
      </c>
      <c r="CZ400" t="s">
        <v>121</v>
      </c>
      <c r="DA400" t="s">
        <v>122</v>
      </c>
      <c r="DD400">
        <v>3338558</v>
      </c>
      <c r="DE400" t="s">
        <v>123</v>
      </c>
    </row>
    <row r="401" spans="1:109" x14ac:dyDescent="0.3">
      <c r="A401" t="str">
        <f>"18:41:09.969"</f>
        <v>18:41:09.969</v>
      </c>
      <c r="B401" t="s">
        <v>110</v>
      </c>
      <c r="C401" t="str">
        <f t="shared" si="18"/>
        <v>ffdfd3c0</v>
      </c>
      <c r="D401" t="s">
        <v>111</v>
      </c>
      <c r="E401">
        <v>18</v>
      </c>
      <c r="F401">
        <v>1018</v>
      </c>
      <c r="G401" t="s">
        <v>112</v>
      </c>
      <c r="J401" t="s">
        <v>113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R401" t="s">
        <v>114</v>
      </c>
      <c r="S401" t="str">
        <f>"18:41:09.703"</f>
        <v>18:41:09.703</v>
      </c>
      <c r="T401" t="str">
        <f>"18:41:09.602"</f>
        <v>18:41:09.602</v>
      </c>
      <c r="U401" t="str">
        <f t="shared" si="19"/>
        <v>a1cdbe</v>
      </c>
      <c r="V401">
        <v>0</v>
      </c>
      <c r="W401">
        <v>0</v>
      </c>
      <c r="X401">
        <v>1</v>
      </c>
      <c r="Y401">
        <v>0</v>
      </c>
      <c r="Z401">
        <v>0</v>
      </c>
      <c r="AB401">
        <v>0</v>
      </c>
      <c r="AC401">
        <v>9</v>
      </c>
      <c r="AD401">
        <v>3</v>
      </c>
      <c r="AE401">
        <v>0</v>
      </c>
      <c r="AF401">
        <v>9</v>
      </c>
      <c r="AG401" t="s">
        <v>158</v>
      </c>
      <c r="AH401">
        <v>0</v>
      </c>
      <c r="AI401">
        <v>3</v>
      </c>
      <c r="AJ401">
        <v>1</v>
      </c>
      <c r="AK401">
        <v>0</v>
      </c>
      <c r="AL401" t="s">
        <v>871</v>
      </c>
      <c r="AM401">
        <v>46.990949999999998</v>
      </c>
      <c r="AN401" t="s">
        <v>872</v>
      </c>
      <c r="AO401">
        <v>-122.310169</v>
      </c>
      <c r="AP401">
        <v>100</v>
      </c>
      <c r="AQ401">
        <v>2000</v>
      </c>
      <c r="AR401" t="s">
        <v>118</v>
      </c>
      <c r="AS401">
        <v>-32</v>
      </c>
      <c r="AT401">
        <v>-77</v>
      </c>
      <c r="AU401">
        <v>-192</v>
      </c>
      <c r="BC401">
        <v>1200</v>
      </c>
      <c r="BD401">
        <v>1</v>
      </c>
      <c r="BE401" t="str">
        <f t="shared" si="20"/>
        <v xml:space="preserve">N215T   </v>
      </c>
      <c r="BF401">
        <v>1</v>
      </c>
      <c r="BH401">
        <v>0</v>
      </c>
      <c r="BI401">
        <v>0</v>
      </c>
      <c r="BJ401">
        <v>0</v>
      </c>
      <c r="BK401">
        <v>2375</v>
      </c>
      <c r="BL401">
        <v>375</v>
      </c>
      <c r="BM401" t="s">
        <v>119</v>
      </c>
      <c r="BN401">
        <v>1</v>
      </c>
      <c r="BO401">
        <v>1</v>
      </c>
      <c r="BP401">
        <v>1</v>
      </c>
      <c r="BQ401">
        <v>0</v>
      </c>
      <c r="BT401">
        <v>0</v>
      </c>
      <c r="BU401">
        <v>0</v>
      </c>
      <c r="BV401">
        <v>0</v>
      </c>
      <c r="CC401" t="str">
        <f>"18:41:09.711"</f>
        <v>18:41:09.711</v>
      </c>
      <c r="CD401" t="str">
        <f>"710290677"</f>
        <v>710290677</v>
      </c>
      <c r="CQ401">
        <v>0</v>
      </c>
      <c r="CR401">
        <v>2</v>
      </c>
      <c r="CS401">
        <v>0</v>
      </c>
      <c r="CT401">
        <v>2</v>
      </c>
      <c r="CU401">
        <v>0</v>
      </c>
      <c r="CV401">
        <v>4</v>
      </c>
      <c r="CW401" t="s">
        <v>120</v>
      </c>
      <c r="CX401">
        <v>261</v>
      </c>
      <c r="CY401">
        <v>2</v>
      </c>
      <c r="CZ401" t="s">
        <v>121</v>
      </c>
      <c r="DA401" t="s">
        <v>122</v>
      </c>
      <c r="DD401">
        <v>14461640</v>
      </c>
      <c r="DE401" t="s">
        <v>123</v>
      </c>
    </row>
    <row r="402" spans="1:109" x14ac:dyDescent="0.3">
      <c r="A402" t="str">
        <f>"18:41:10.969"</f>
        <v>18:41:10.969</v>
      </c>
      <c r="B402" t="s">
        <v>110</v>
      </c>
      <c r="C402" t="str">
        <f t="shared" si="18"/>
        <v>ffdfd3c0</v>
      </c>
      <c r="D402" t="s">
        <v>111</v>
      </c>
      <c r="E402">
        <v>18</v>
      </c>
      <c r="F402">
        <v>1018</v>
      </c>
      <c r="G402" t="s">
        <v>112</v>
      </c>
      <c r="J402" t="s">
        <v>113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R402" t="s">
        <v>114</v>
      </c>
      <c r="S402" t="str">
        <f>"18:41:10.773"</f>
        <v>18:41:10.773</v>
      </c>
      <c r="T402" t="str">
        <f>"18:41:10.773"</f>
        <v>18:41:10.773</v>
      </c>
      <c r="U402" t="str">
        <f t="shared" si="19"/>
        <v>a1cdbe</v>
      </c>
      <c r="V402">
        <v>0</v>
      </c>
      <c r="W402">
        <v>0</v>
      </c>
      <c r="X402">
        <v>1</v>
      </c>
      <c r="Y402">
        <v>0</v>
      </c>
      <c r="Z402">
        <v>0</v>
      </c>
      <c r="AB402">
        <v>0</v>
      </c>
      <c r="AC402">
        <v>9</v>
      </c>
      <c r="AD402">
        <v>3</v>
      </c>
      <c r="AE402">
        <v>0</v>
      </c>
      <c r="AF402">
        <v>9</v>
      </c>
      <c r="AG402" t="s">
        <v>158</v>
      </c>
      <c r="AH402">
        <v>0</v>
      </c>
      <c r="AI402">
        <v>3</v>
      </c>
      <c r="AJ402">
        <v>1</v>
      </c>
      <c r="AK402">
        <v>0</v>
      </c>
      <c r="AL402" t="s">
        <v>873</v>
      </c>
      <c r="AM402">
        <v>46.990585000000003</v>
      </c>
      <c r="AN402" t="s">
        <v>874</v>
      </c>
      <c r="AO402">
        <v>-122.31044799999999</v>
      </c>
      <c r="AP402">
        <v>100</v>
      </c>
      <c r="AQ402">
        <v>2000</v>
      </c>
      <c r="AR402" t="s">
        <v>118</v>
      </c>
      <c r="AS402">
        <v>-32</v>
      </c>
      <c r="AT402">
        <v>-78</v>
      </c>
      <c r="AU402">
        <v>-192</v>
      </c>
      <c r="BC402">
        <v>1200</v>
      </c>
      <c r="BD402">
        <v>1</v>
      </c>
      <c r="BE402" t="str">
        <f t="shared" si="20"/>
        <v xml:space="preserve">N215T   </v>
      </c>
      <c r="BF402">
        <v>1</v>
      </c>
      <c r="BH402">
        <v>0</v>
      </c>
      <c r="BI402">
        <v>0</v>
      </c>
      <c r="BJ402">
        <v>0</v>
      </c>
      <c r="BK402">
        <v>2375</v>
      </c>
      <c r="BL402">
        <v>375</v>
      </c>
      <c r="BM402" t="s">
        <v>119</v>
      </c>
      <c r="BN402">
        <v>1</v>
      </c>
      <c r="BO402">
        <v>1</v>
      </c>
      <c r="BP402">
        <v>1</v>
      </c>
      <c r="BQ402">
        <v>0</v>
      </c>
      <c r="BT402">
        <v>0</v>
      </c>
      <c r="BU402">
        <v>0</v>
      </c>
      <c r="BV402">
        <v>0</v>
      </c>
      <c r="CC402" t="str">
        <f>"18:41:10.773"</f>
        <v>18:41:10.773</v>
      </c>
      <c r="CD402" t="str">
        <f>"775185930"</f>
        <v>775185930</v>
      </c>
      <c r="CQ402">
        <v>0</v>
      </c>
      <c r="CR402">
        <v>2</v>
      </c>
      <c r="CS402">
        <v>0</v>
      </c>
      <c r="CT402">
        <v>2</v>
      </c>
      <c r="CU402">
        <v>0</v>
      </c>
      <c r="CV402">
        <v>4</v>
      </c>
      <c r="CW402" t="s">
        <v>120</v>
      </c>
      <c r="CX402">
        <v>261</v>
      </c>
      <c r="CY402">
        <v>2</v>
      </c>
      <c r="CZ402" t="s">
        <v>121</v>
      </c>
      <c r="DA402" t="s">
        <v>122</v>
      </c>
      <c r="DD402">
        <v>14462192</v>
      </c>
      <c r="DE402" t="s">
        <v>123</v>
      </c>
    </row>
    <row r="403" spans="1:109" x14ac:dyDescent="0.3">
      <c r="A403" t="str">
        <f>"18:41:11.875"</f>
        <v>18:41:11.875</v>
      </c>
      <c r="B403" t="s">
        <v>110</v>
      </c>
      <c r="C403" t="str">
        <f t="shared" si="18"/>
        <v>ffdfd3c0</v>
      </c>
      <c r="D403" t="s">
        <v>111</v>
      </c>
      <c r="E403">
        <v>18</v>
      </c>
      <c r="F403">
        <v>1018</v>
      </c>
      <c r="G403" t="s">
        <v>112</v>
      </c>
      <c r="J403" t="s">
        <v>113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R403" t="s">
        <v>114</v>
      </c>
      <c r="S403" t="str">
        <f>"18:41:11.641"</f>
        <v>18:41:11.641</v>
      </c>
      <c r="T403" t="str">
        <f>"18:41:11.242"</f>
        <v>18:41:11.242</v>
      </c>
      <c r="U403" t="str">
        <f t="shared" si="19"/>
        <v>a1cdbe</v>
      </c>
      <c r="V403">
        <v>0</v>
      </c>
      <c r="W403">
        <v>0</v>
      </c>
      <c r="X403">
        <v>1</v>
      </c>
      <c r="Y403">
        <v>0</v>
      </c>
      <c r="Z403">
        <v>0</v>
      </c>
      <c r="AB403">
        <v>0</v>
      </c>
      <c r="AC403">
        <v>9</v>
      </c>
      <c r="AD403">
        <v>3</v>
      </c>
      <c r="AE403">
        <v>0</v>
      </c>
      <c r="AF403">
        <v>9</v>
      </c>
      <c r="AG403" t="s">
        <v>158</v>
      </c>
      <c r="AH403">
        <v>0</v>
      </c>
      <c r="AI403">
        <v>3</v>
      </c>
      <c r="AJ403">
        <v>1</v>
      </c>
      <c r="AK403">
        <v>0</v>
      </c>
      <c r="AL403" t="s">
        <v>875</v>
      </c>
      <c r="AM403">
        <v>46.990262999999999</v>
      </c>
      <c r="AN403" t="s">
        <v>876</v>
      </c>
      <c r="AO403">
        <v>-122.310576</v>
      </c>
      <c r="AP403">
        <v>100</v>
      </c>
      <c r="AQ403">
        <v>2000</v>
      </c>
      <c r="AR403" t="s">
        <v>118</v>
      </c>
      <c r="AS403">
        <v>-32</v>
      </c>
      <c r="AT403">
        <v>-78</v>
      </c>
      <c r="AU403">
        <v>-128</v>
      </c>
      <c r="BC403">
        <v>1200</v>
      </c>
      <c r="BD403">
        <v>1</v>
      </c>
      <c r="BE403" t="str">
        <f t="shared" si="20"/>
        <v xml:space="preserve">N215T   </v>
      </c>
      <c r="BF403">
        <v>1</v>
      </c>
      <c r="BH403">
        <v>0</v>
      </c>
      <c r="BI403">
        <v>0</v>
      </c>
      <c r="BJ403">
        <v>0</v>
      </c>
      <c r="BK403">
        <v>2375</v>
      </c>
      <c r="BL403">
        <v>375</v>
      </c>
      <c r="BM403" t="s">
        <v>119</v>
      </c>
      <c r="BN403">
        <v>1</v>
      </c>
      <c r="BO403">
        <v>1</v>
      </c>
      <c r="BP403">
        <v>1</v>
      </c>
      <c r="BQ403">
        <v>0</v>
      </c>
      <c r="BT403">
        <v>0</v>
      </c>
      <c r="BU403">
        <v>0</v>
      </c>
      <c r="BV403">
        <v>0</v>
      </c>
      <c r="CC403" t="str">
        <f>"18:41:11.648"</f>
        <v>18:41:11.648</v>
      </c>
      <c r="CD403" t="str">
        <f>"645315710"</f>
        <v>645315710</v>
      </c>
      <c r="CQ403">
        <v>0</v>
      </c>
      <c r="CR403">
        <v>2</v>
      </c>
      <c r="CS403">
        <v>0</v>
      </c>
      <c r="CT403">
        <v>2</v>
      </c>
      <c r="CU403">
        <v>0</v>
      </c>
      <c r="CV403">
        <v>4</v>
      </c>
      <c r="CW403" t="s">
        <v>120</v>
      </c>
      <c r="CX403">
        <v>257</v>
      </c>
      <c r="CY403">
        <v>1</v>
      </c>
      <c r="CZ403" t="s">
        <v>615</v>
      </c>
      <c r="DA403" t="s">
        <v>616</v>
      </c>
      <c r="DD403">
        <v>10718502</v>
      </c>
      <c r="DE403" t="s">
        <v>123</v>
      </c>
    </row>
    <row r="404" spans="1:109" x14ac:dyDescent="0.3">
      <c r="A404" t="str">
        <f>"18:41:12.883"</f>
        <v>18:41:12.883</v>
      </c>
      <c r="B404" t="s">
        <v>110</v>
      </c>
      <c r="C404" t="str">
        <f t="shared" si="18"/>
        <v>ffdfd3c0</v>
      </c>
      <c r="D404" t="s">
        <v>111</v>
      </c>
      <c r="E404">
        <v>18</v>
      </c>
      <c r="F404">
        <v>1018</v>
      </c>
      <c r="G404" t="s">
        <v>112</v>
      </c>
      <c r="J404" t="s">
        <v>113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R404" t="s">
        <v>114</v>
      </c>
      <c r="S404" t="str">
        <f>"18:41:12.688"</f>
        <v>18:41:12.688</v>
      </c>
      <c r="T404" t="str">
        <f>"18:41:12.391"</f>
        <v>18:41:12.391</v>
      </c>
      <c r="U404" t="str">
        <f t="shared" si="19"/>
        <v>a1cdbe</v>
      </c>
      <c r="V404">
        <v>0</v>
      </c>
      <c r="W404">
        <v>0</v>
      </c>
      <c r="X404">
        <v>1</v>
      </c>
      <c r="Y404">
        <v>0</v>
      </c>
      <c r="Z404">
        <v>0</v>
      </c>
      <c r="AB404">
        <v>0</v>
      </c>
      <c r="AC404">
        <v>9</v>
      </c>
      <c r="AD404">
        <v>3</v>
      </c>
      <c r="AE404">
        <v>0</v>
      </c>
      <c r="AF404">
        <v>9</v>
      </c>
      <c r="AG404" t="s">
        <v>158</v>
      </c>
      <c r="AH404">
        <v>0</v>
      </c>
      <c r="AI404">
        <v>3</v>
      </c>
      <c r="AJ404">
        <v>1</v>
      </c>
      <c r="AK404">
        <v>0</v>
      </c>
      <c r="AL404" t="s">
        <v>877</v>
      </c>
      <c r="AM404">
        <v>46.989877</v>
      </c>
      <c r="AN404" t="s">
        <v>878</v>
      </c>
      <c r="AO404">
        <v>-122.31079099999999</v>
      </c>
      <c r="AP404">
        <v>100</v>
      </c>
      <c r="AQ404">
        <v>2000</v>
      </c>
      <c r="AR404" t="s">
        <v>118</v>
      </c>
      <c r="AS404">
        <v>-31</v>
      </c>
      <c r="AT404">
        <v>-78</v>
      </c>
      <c r="AU404">
        <v>-128</v>
      </c>
      <c r="BC404">
        <v>1200</v>
      </c>
      <c r="BD404">
        <v>1</v>
      </c>
      <c r="BE404" t="str">
        <f t="shared" si="20"/>
        <v xml:space="preserve">N215T   </v>
      </c>
      <c r="BF404">
        <v>1</v>
      </c>
      <c r="BH404">
        <v>0</v>
      </c>
      <c r="BI404">
        <v>0</v>
      </c>
      <c r="BJ404">
        <v>0</v>
      </c>
      <c r="BK404">
        <v>2375</v>
      </c>
      <c r="BL404">
        <v>375</v>
      </c>
      <c r="BM404" t="s">
        <v>119</v>
      </c>
      <c r="BN404">
        <v>1</v>
      </c>
      <c r="BO404">
        <v>1</v>
      </c>
      <c r="BP404">
        <v>1</v>
      </c>
      <c r="BQ404">
        <v>0</v>
      </c>
      <c r="BT404">
        <v>0</v>
      </c>
      <c r="BU404">
        <v>0</v>
      </c>
      <c r="BV404">
        <v>0</v>
      </c>
      <c r="CC404" t="str">
        <f>"18:41:12.695"</f>
        <v>18:41:12.695</v>
      </c>
      <c r="CD404" t="str">
        <f>"694997094"</f>
        <v>694997094</v>
      </c>
      <c r="CQ404">
        <v>0</v>
      </c>
      <c r="CR404">
        <v>2</v>
      </c>
      <c r="CS404">
        <v>0</v>
      </c>
      <c r="CT404">
        <v>2</v>
      </c>
      <c r="CU404">
        <v>0</v>
      </c>
      <c r="CV404">
        <v>4</v>
      </c>
      <c r="CW404" t="s">
        <v>120</v>
      </c>
      <c r="CX404">
        <v>261</v>
      </c>
      <c r="CY404">
        <v>2</v>
      </c>
      <c r="CZ404" t="s">
        <v>121</v>
      </c>
      <c r="DA404" t="s">
        <v>122</v>
      </c>
      <c r="DD404">
        <v>14463240</v>
      </c>
      <c r="DE404" t="s">
        <v>123</v>
      </c>
    </row>
    <row r="405" spans="1:109" x14ac:dyDescent="0.3">
      <c r="A405" t="str">
        <f>"18:41:13.836"</f>
        <v>18:41:13.836</v>
      </c>
      <c r="B405" t="s">
        <v>110</v>
      </c>
      <c r="C405" t="str">
        <f t="shared" si="18"/>
        <v>ffdfd3c0</v>
      </c>
      <c r="D405" t="s">
        <v>111</v>
      </c>
      <c r="E405">
        <v>18</v>
      </c>
      <c r="F405">
        <v>1018</v>
      </c>
      <c r="G405" t="s">
        <v>112</v>
      </c>
      <c r="J405" t="s">
        <v>113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R405" t="s">
        <v>114</v>
      </c>
      <c r="S405" t="str">
        <f>"18:41:13.594"</f>
        <v>18:41:13.594</v>
      </c>
      <c r="T405" t="str">
        <f>"18:41:13.594"</f>
        <v>18:41:13.594</v>
      </c>
      <c r="U405" t="str">
        <f t="shared" si="19"/>
        <v>a1cdbe</v>
      </c>
      <c r="V405">
        <v>0</v>
      </c>
      <c r="W405">
        <v>0</v>
      </c>
      <c r="X405">
        <v>1</v>
      </c>
      <c r="Y405">
        <v>0</v>
      </c>
      <c r="Z405">
        <v>0</v>
      </c>
      <c r="AB405">
        <v>0</v>
      </c>
      <c r="AC405">
        <v>9</v>
      </c>
      <c r="AD405">
        <v>3</v>
      </c>
      <c r="AE405">
        <v>0</v>
      </c>
      <c r="AF405">
        <v>9</v>
      </c>
      <c r="AG405" t="s">
        <v>158</v>
      </c>
      <c r="AH405">
        <v>0</v>
      </c>
      <c r="AI405">
        <v>3</v>
      </c>
      <c r="AJ405">
        <v>1</v>
      </c>
      <c r="AK405">
        <v>0</v>
      </c>
      <c r="AL405" t="s">
        <v>879</v>
      </c>
      <c r="AM405">
        <v>46.989533999999999</v>
      </c>
      <c r="AN405" t="s">
        <v>880</v>
      </c>
      <c r="AO405">
        <v>-122.31100600000001</v>
      </c>
      <c r="AP405">
        <v>100</v>
      </c>
      <c r="AQ405">
        <v>2000</v>
      </c>
      <c r="AR405" t="s">
        <v>118</v>
      </c>
      <c r="AS405">
        <v>-31</v>
      </c>
      <c r="AT405">
        <v>-78</v>
      </c>
      <c r="AU405">
        <v>-64</v>
      </c>
      <c r="BC405">
        <v>1200</v>
      </c>
      <c r="BD405">
        <v>1</v>
      </c>
      <c r="BE405" t="str">
        <f t="shared" si="20"/>
        <v xml:space="preserve">N215T   </v>
      </c>
      <c r="BF405">
        <v>1</v>
      </c>
      <c r="BH405">
        <v>0</v>
      </c>
      <c r="BI405">
        <v>0</v>
      </c>
      <c r="BJ405">
        <v>0</v>
      </c>
      <c r="BK405">
        <v>2375</v>
      </c>
      <c r="BL405">
        <v>375</v>
      </c>
      <c r="BM405" t="s">
        <v>119</v>
      </c>
      <c r="BN405">
        <v>1</v>
      </c>
      <c r="BO405">
        <v>1</v>
      </c>
      <c r="BP405">
        <v>1</v>
      </c>
      <c r="BQ405">
        <v>0</v>
      </c>
      <c r="BT405">
        <v>0</v>
      </c>
      <c r="BU405">
        <v>0</v>
      </c>
      <c r="BV405">
        <v>0</v>
      </c>
      <c r="CC405" t="str">
        <f>"18:41:13.594"</f>
        <v>18:41:13.594</v>
      </c>
      <c r="CD405" t="str">
        <f>"594908590"</f>
        <v>594908590</v>
      </c>
      <c r="CQ405">
        <v>0</v>
      </c>
      <c r="CR405">
        <v>2</v>
      </c>
      <c r="CS405">
        <v>0</v>
      </c>
      <c r="CT405">
        <v>2</v>
      </c>
      <c r="CU405">
        <v>0</v>
      </c>
      <c r="CV405">
        <v>5</v>
      </c>
      <c r="CW405" t="s">
        <v>120</v>
      </c>
      <c r="CX405">
        <v>261</v>
      </c>
      <c r="CY405">
        <v>2</v>
      </c>
      <c r="CZ405" t="s">
        <v>121</v>
      </c>
      <c r="DA405" t="s">
        <v>122</v>
      </c>
      <c r="DD405">
        <v>14463677</v>
      </c>
      <c r="DE405" t="s">
        <v>123</v>
      </c>
    </row>
    <row r="406" spans="1:109" x14ac:dyDescent="0.3">
      <c r="A406" t="str">
        <f>"18:41:14.891"</f>
        <v>18:41:14.891</v>
      </c>
      <c r="B406" t="s">
        <v>110</v>
      </c>
      <c r="C406" t="str">
        <f t="shared" si="18"/>
        <v>ffdfd3c0</v>
      </c>
      <c r="D406" t="s">
        <v>111</v>
      </c>
      <c r="E406">
        <v>18</v>
      </c>
      <c r="F406">
        <v>1018</v>
      </c>
      <c r="G406" t="s">
        <v>112</v>
      </c>
      <c r="J406" t="s">
        <v>113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R406" t="s">
        <v>114</v>
      </c>
      <c r="S406" t="str">
        <f>"18:41:14.672"</f>
        <v>18:41:14.672</v>
      </c>
      <c r="T406" t="str">
        <f>"18:41:14.469"</f>
        <v>18:41:14.469</v>
      </c>
      <c r="U406" t="str">
        <f t="shared" si="19"/>
        <v>a1cdbe</v>
      </c>
      <c r="V406">
        <v>0</v>
      </c>
      <c r="W406">
        <v>0</v>
      </c>
      <c r="X406">
        <v>1</v>
      </c>
      <c r="Y406">
        <v>0</v>
      </c>
      <c r="Z406">
        <v>0</v>
      </c>
      <c r="AB406">
        <v>0</v>
      </c>
      <c r="AC406">
        <v>9</v>
      </c>
      <c r="AD406">
        <v>3</v>
      </c>
      <c r="AE406">
        <v>0</v>
      </c>
      <c r="AF406">
        <v>9</v>
      </c>
      <c r="AG406" t="s">
        <v>158</v>
      </c>
      <c r="AH406">
        <v>0</v>
      </c>
      <c r="AI406">
        <v>3</v>
      </c>
      <c r="AJ406">
        <v>1</v>
      </c>
      <c r="AK406">
        <v>0</v>
      </c>
      <c r="AL406" t="s">
        <v>881</v>
      </c>
      <c r="AM406">
        <v>46.989168999999997</v>
      </c>
      <c r="AN406" t="s">
        <v>882</v>
      </c>
      <c r="AO406">
        <v>-122.31122000000001</v>
      </c>
      <c r="AP406">
        <v>100</v>
      </c>
      <c r="AQ406">
        <v>2000</v>
      </c>
      <c r="AR406" t="s">
        <v>118</v>
      </c>
      <c r="AS406">
        <v>-30</v>
      </c>
      <c r="AT406">
        <v>-78</v>
      </c>
      <c r="AU406">
        <v>-128</v>
      </c>
      <c r="BC406">
        <v>1200</v>
      </c>
      <c r="BD406">
        <v>1</v>
      </c>
      <c r="BE406" t="str">
        <f t="shared" si="20"/>
        <v xml:space="preserve">N215T   </v>
      </c>
      <c r="BF406">
        <v>1</v>
      </c>
      <c r="BH406">
        <v>0</v>
      </c>
      <c r="BI406">
        <v>0</v>
      </c>
      <c r="BJ406">
        <v>0</v>
      </c>
      <c r="BK406">
        <v>2375</v>
      </c>
      <c r="BL406">
        <v>375</v>
      </c>
      <c r="BM406" t="s">
        <v>119</v>
      </c>
      <c r="BN406">
        <v>1</v>
      </c>
      <c r="BO406">
        <v>1</v>
      </c>
      <c r="BP406">
        <v>1</v>
      </c>
      <c r="BQ406">
        <v>0</v>
      </c>
      <c r="BT406">
        <v>0</v>
      </c>
      <c r="BU406">
        <v>0</v>
      </c>
      <c r="BV406">
        <v>0</v>
      </c>
      <c r="CC406" t="str">
        <f>"18:41:14.672"</f>
        <v>18:41:14.672</v>
      </c>
      <c r="CD406" t="str">
        <f>"674802347"</f>
        <v>674802347</v>
      </c>
      <c r="CQ406">
        <v>0</v>
      </c>
      <c r="CR406">
        <v>2</v>
      </c>
      <c r="CS406">
        <v>0</v>
      </c>
      <c r="CT406">
        <v>2</v>
      </c>
      <c r="CU406">
        <v>0</v>
      </c>
      <c r="CV406">
        <v>4</v>
      </c>
      <c r="CW406" t="s">
        <v>120</v>
      </c>
      <c r="CX406">
        <v>261</v>
      </c>
      <c r="CY406">
        <v>2</v>
      </c>
      <c r="CZ406" t="s">
        <v>121</v>
      </c>
      <c r="DA406" t="s">
        <v>122</v>
      </c>
      <c r="DD406">
        <v>14464240</v>
      </c>
      <c r="DE406" t="s">
        <v>123</v>
      </c>
    </row>
    <row r="407" spans="1:109" x14ac:dyDescent="0.3">
      <c r="A407" t="str">
        <f>"18:41:15.898"</f>
        <v>18:41:15.898</v>
      </c>
      <c r="B407" t="s">
        <v>110</v>
      </c>
      <c r="C407" t="str">
        <f t="shared" si="18"/>
        <v>ffdfd3c0</v>
      </c>
      <c r="D407" t="s">
        <v>111</v>
      </c>
      <c r="E407">
        <v>18</v>
      </c>
      <c r="F407">
        <v>1018</v>
      </c>
      <c r="G407" t="s">
        <v>112</v>
      </c>
      <c r="J407" t="s">
        <v>113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R407" t="s">
        <v>114</v>
      </c>
      <c r="S407" t="str">
        <f>"18:41:15.680"</f>
        <v>18:41:15.680</v>
      </c>
      <c r="T407" t="str">
        <f>"18:41:14.977"</f>
        <v>18:41:14.977</v>
      </c>
      <c r="U407" t="str">
        <f t="shared" si="19"/>
        <v>a1cdbe</v>
      </c>
      <c r="V407">
        <v>0</v>
      </c>
      <c r="W407">
        <v>0</v>
      </c>
      <c r="X407">
        <v>1</v>
      </c>
      <c r="Y407">
        <v>0</v>
      </c>
      <c r="Z407">
        <v>0</v>
      </c>
      <c r="AB407">
        <v>0</v>
      </c>
      <c r="AC407">
        <v>9</v>
      </c>
      <c r="AD407">
        <v>3</v>
      </c>
      <c r="AE407">
        <v>0</v>
      </c>
      <c r="AF407">
        <v>9</v>
      </c>
      <c r="AG407" t="s">
        <v>158</v>
      </c>
      <c r="AH407">
        <v>0</v>
      </c>
      <c r="AI407">
        <v>3</v>
      </c>
      <c r="AJ407">
        <v>1</v>
      </c>
      <c r="AK407">
        <v>0</v>
      </c>
      <c r="AL407" t="s">
        <v>883</v>
      </c>
      <c r="AM407">
        <v>46.988804000000002</v>
      </c>
      <c r="AN407" t="s">
        <v>884</v>
      </c>
      <c r="AO407">
        <v>-122.311413</v>
      </c>
      <c r="AP407">
        <v>100</v>
      </c>
      <c r="AQ407">
        <v>2000</v>
      </c>
      <c r="AR407" t="s">
        <v>118</v>
      </c>
      <c r="AS407">
        <v>-30</v>
      </c>
      <c r="AT407">
        <v>-78</v>
      </c>
      <c r="AU407">
        <v>-128</v>
      </c>
      <c r="BC407">
        <v>1200</v>
      </c>
      <c r="BD407">
        <v>1</v>
      </c>
      <c r="BE407" t="str">
        <f t="shared" si="20"/>
        <v xml:space="preserve">N215T   </v>
      </c>
      <c r="BF407">
        <v>1</v>
      </c>
      <c r="BH407">
        <v>0</v>
      </c>
      <c r="BI407">
        <v>0</v>
      </c>
      <c r="BJ407">
        <v>0</v>
      </c>
      <c r="BK407">
        <v>2350</v>
      </c>
      <c r="BL407">
        <v>350</v>
      </c>
      <c r="BM407" t="s">
        <v>119</v>
      </c>
      <c r="BN407">
        <v>1</v>
      </c>
      <c r="BO407">
        <v>1</v>
      </c>
      <c r="BP407">
        <v>1</v>
      </c>
      <c r="BQ407">
        <v>0</v>
      </c>
      <c r="BT407">
        <v>0</v>
      </c>
      <c r="BU407">
        <v>0</v>
      </c>
      <c r="BV407">
        <v>0</v>
      </c>
      <c r="CC407" t="str">
        <f>"18:41:15.680"</f>
        <v>18:41:15.680</v>
      </c>
      <c r="CD407" t="str">
        <f>"679703520"</f>
        <v>679703520</v>
      </c>
      <c r="CQ407">
        <v>0</v>
      </c>
      <c r="CR407">
        <v>2</v>
      </c>
      <c r="CS407">
        <v>0</v>
      </c>
      <c r="CT407">
        <v>2</v>
      </c>
      <c r="CU407">
        <v>0</v>
      </c>
      <c r="CV407">
        <v>4</v>
      </c>
      <c r="CW407" t="s">
        <v>120</v>
      </c>
      <c r="CX407">
        <v>261</v>
      </c>
      <c r="CY407">
        <v>2</v>
      </c>
      <c r="CZ407" t="s">
        <v>121</v>
      </c>
      <c r="DA407" t="s">
        <v>122</v>
      </c>
      <c r="DD407">
        <v>14464759</v>
      </c>
      <c r="DE407" t="s">
        <v>123</v>
      </c>
    </row>
    <row r="408" spans="1:109" x14ac:dyDescent="0.3">
      <c r="A408" t="str">
        <f>"18:41:16.953"</f>
        <v>18:41:16.953</v>
      </c>
      <c r="B408" t="s">
        <v>110</v>
      </c>
      <c r="C408" t="str">
        <f t="shared" si="18"/>
        <v>ffdfd3c0</v>
      </c>
      <c r="D408" t="s">
        <v>111</v>
      </c>
      <c r="E408">
        <v>18</v>
      </c>
      <c r="F408">
        <v>1018</v>
      </c>
      <c r="G408" t="s">
        <v>112</v>
      </c>
      <c r="J408" t="s">
        <v>113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R408" t="s">
        <v>114</v>
      </c>
      <c r="S408" t="str">
        <f>"18:41:16.727"</f>
        <v>18:41:16.727</v>
      </c>
      <c r="T408" t="str">
        <f>"18:41:16.430"</f>
        <v>18:41:16.430</v>
      </c>
      <c r="U408" t="str">
        <f t="shared" si="19"/>
        <v>a1cdbe</v>
      </c>
      <c r="V408">
        <v>0</v>
      </c>
      <c r="W408">
        <v>0</v>
      </c>
      <c r="X408">
        <v>1</v>
      </c>
      <c r="Y408">
        <v>0</v>
      </c>
      <c r="Z408">
        <v>0</v>
      </c>
      <c r="AB408">
        <v>0</v>
      </c>
      <c r="AC408">
        <v>9</v>
      </c>
      <c r="AD408">
        <v>3</v>
      </c>
      <c r="AE408">
        <v>0</v>
      </c>
      <c r="AF408">
        <v>9</v>
      </c>
      <c r="AG408" t="s">
        <v>158</v>
      </c>
      <c r="AH408">
        <v>0</v>
      </c>
      <c r="AI408">
        <v>3</v>
      </c>
      <c r="AJ408">
        <v>1</v>
      </c>
      <c r="AK408">
        <v>0</v>
      </c>
      <c r="AL408" t="s">
        <v>885</v>
      </c>
      <c r="AM408">
        <v>46.988439999999997</v>
      </c>
      <c r="AN408" t="s">
        <v>886</v>
      </c>
      <c r="AO408">
        <v>-122.311628</v>
      </c>
      <c r="AP408">
        <v>100</v>
      </c>
      <c r="AQ408">
        <v>2000</v>
      </c>
      <c r="AR408" t="s">
        <v>118</v>
      </c>
      <c r="AS408">
        <v>-30</v>
      </c>
      <c r="AT408">
        <v>-78</v>
      </c>
      <c r="AU408">
        <v>-256</v>
      </c>
      <c r="BC408">
        <v>1200</v>
      </c>
      <c r="BD408">
        <v>1</v>
      </c>
      <c r="BE408" t="str">
        <f t="shared" si="20"/>
        <v xml:space="preserve">N215T   </v>
      </c>
      <c r="BF408">
        <v>1</v>
      </c>
      <c r="BH408">
        <v>0</v>
      </c>
      <c r="BI408">
        <v>0</v>
      </c>
      <c r="BJ408">
        <v>0</v>
      </c>
      <c r="BK408">
        <v>2350</v>
      </c>
      <c r="BL408">
        <v>350</v>
      </c>
      <c r="BM408" t="s">
        <v>119</v>
      </c>
      <c r="BN408">
        <v>1</v>
      </c>
      <c r="BO408">
        <v>1</v>
      </c>
      <c r="BP408">
        <v>1</v>
      </c>
      <c r="BQ408">
        <v>0</v>
      </c>
      <c r="BT408">
        <v>0</v>
      </c>
      <c r="BU408">
        <v>0</v>
      </c>
      <c r="BV408">
        <v>0</v>
      </c>
      <c r="CC408" t="str">
        <f>"18:41:16.727"</f>
        <v>18:41:16.727</v>
      </c>
      <c r="CD408" t="str">
        <f>"729600254"</f>
        <v>729600254</v>
      </c>
      <c r="CQ408">
        <v>0</v>
      </c>
      <c r="CR408">
        <v>2</v>
      </c>
      <c r="CS408">
        <v>0</v>
      </c>
      <c r="CT408">
        <v>2</v>
      </c>
      <c r="CU408">
        <v>0</v>
      </c>
      <c r="CV408">
        <v>5</v>
      </c>
      <c r="CW408" t="s">
        <v>120</v>
      </c>
      <c r="CX408">
        <v>261</v>
      </c>
      <c r="CY408">
        <v>2</v>
      </c>
      <c r="CZ408" t="s">
        <v>121</v>
      </c>
      <c r="DA408" t="s">
        <v>122</v>
      </c>
      <c r="DD408">
        <v>14465278</v>
      </c>
      <c r="DE408" t="s">
        <v>123</v>
      </c>
    </row>
    <row r="409" spans="1:109" x14ac:dyDescent="0.3">
      <c r="A409" t="str">
        <f>"18:41:17.906"</f>
        <v>18:41:17.906</v>
      </c>
      <c r="B409" t="s">
        <v>110</v>
      </c>
      <c r="C409" t="str">
        <f t="shared" si="18"/>
        <v>ffdfd3c0</v>
      </c>
      <c r="D409" t="s">
        <v>111</v>
      </c>
      <c r="E409">
        <v>18</v>
      </c>
      <c r="F409">
        <v>1018</v>
      </c>
      <c r="G409" t="s">
        <v>112</v>
      </c>
      <c r="J409" t="s">
        <v>113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R409" t="s">
        <v>114</v>
      </c>
      <c r="S409" t="str">
        <f>"18:41:17.672"</f>
        <v>18:41:17.672</v>
      </c>
      <c r="T409" t="str">
        <f>"18:41:16.969"</f>
        <v>18:41:16.969</v>
      </c>
      <c r="U409" t="str">
        <f t="shared" si="19"/>
        <v>a1cdbe</v>
      </c>
      <c r="V409">
        <v>0</v>
      </c>
      <c r="W409">
        <v>0</v>
      </c>
      <c r="X409">
        <v>1</v>
      </c>
      <c r="Y409">
        <v>0</v>
      </c>
      <c r="Z409">
        <v>0</v>
      </c>
      <c r="AB409">
        <v>0</v>
      </c>
      <c r="AC409">
        <v>9</v>
      </c>
      <c r="AD409">
        <v>3</v>
      </c>
      <c r="AE409">
        <v>0</v>
      </c>
      <c r="AF409">
        <v>9</v>
      </c>
      <c r="AG409" t="s">
        <v>158</v>
      </c>
      <c r="AH409">
        <v>0</v>
      </c>
      <c r="AI409">
        <v>3</v>
      </c>
      <c r="AJ409">
        <v>1</v>
      </c>
      <c r="AK409">
        <v>0</v>
      </c>
      <c r="AL409" t="s">
        <v>887</v>
      </c>
      <c r="AM409">
        <v>46.988118</v>
      </c>
      <c r="AN409" t="s">
        <v>888</v>
      </c>
      <c r="AO409">
        <v>-122.31182099999999</v>
      </c>
      <c r="AP409">
        <v>100</v>
      </c>
      <c r="AQ409">
        <v>2000</v>
      </c>
      <c r="AR409" t="s">
        <v>118</v>
      </c>
      <c r="AS409">
        <v>-30</v>
      </c>
      <c r="AT409">
        <v>-78</v>
      </c>
      <c r="AU409">
        <v>-256</v>
      </c>
      <c r="BC409">
        <v>1200</v>
      </c>
      <c r="BD409">
        <v>1</v>
      </c>
      <c r="BE409" t="str">
        <f t="shared" si="20"/>
        <v xml:space="preserve">N215T   </v>
      </c>
      <c r="BF409">
        <v>1</v>
      </c>
      <c r="BH409">
        <v>0</v>
      </c>
      <c r="BI409">
        <v>0</v>
      </c>
      <c r="BJ409">
        <v>0</v>
      </c>
      <c r="BK409">
        <v>2350</v>
      </c>
      <c r="BL409">
        <v>350</v>
      </c>
      <c r="BM409" t="s">
        <v>119</v>
      </c>
      <c r="BN409">
        <v>1</v>
      </c>
      <c r="BO409">
        <v>1</v>
      </c>
      <c r="BP409">
        <v>1</v>
      </c>
      <c r="BQ409">
        <v>0</v>
      </c>
      <c r="BT409">
        <v>0</v>
      </c>
      <c r="BU409">
        <v>0</v>
      </c>
      <c r="BV409">
        <v>0</v>
      </c>
      <c r="CC409" t="str">
        <f>"18:41:17.672"</f>
        <v>18:41:17.672</v>
      </c>
      <c r="CD409" t="str">
        <f>"674507293"</f>
        <v>674507293</v>
      </c>
      <c r="CQ409">
        <v>0</v>
      </c>
      <c r="CR409">
        <v>2</v>
      </c>
      <c r="CS409">
        <v>0</v>
      </c>
      <c r="CT409">
        <v>2</v>
      </c>
      <c r="CU409">
        <v>0</v>
      </c>
      <c r="CV409">
        <v>5</v>
      </c>
      <c r="CW409" t="s">
        <v>120</v>
      </c>
      <c r="CX409">
        <v>261</v>
      </c>
      <c r="CY409">
        <v>2</v>
      </c>
      <c r="CZ409" t="s">
        <v>121</v>
      </c>
      <c r="DA409" t="s">
        <v>122</v>
      </c>
      <c r="DD409">
        <v>14465800</v>
      </c>
      <c r="DE409" t="s">
        <v>123</v>
      </c>
    </row>
    <row r="410" spans="1:109" x14ac:dyDescent="0.3">
      <c r="A410" t="str">
        <f>"18:41:19.063"</f>
        <v>18:41:19.063</v>
      </c>
      <c r="B410" t="s">
        <v>110</v>
      </c>
      <c r="C410" t="str">
        <f t="shared" si="18"/>
        <v>ffdfd3c0</v>
      </c>
      <c r="D410" t="s">
        <v>111</v>
      </c>
      <c r="E410">
        <v>18</v>
      </c>
      <c r="F410">
        <v>1018</v>
      </c>
      <c r="G410" t="s">
        <v>112</v>
      </c>
      <c r="J410" t="s">
        <v>113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R410" t="s">
        <v>114</v>
      </c>
      <c r="S410" t="str">
        <f>"18:41:18.813"</f>
        <v>18:41:18.813</v>
      </c>
      <c r="T410" t="str">
        <f>"18:41:18.711"</f>
        <v>18:41:18.711</v>
      </c>
      <c r="U410" t="str">
        <f t="shared" si="19"/>
        <v>a1cdbe</v>
      </c>
      <c r="V410">
        <v>0</v>
      </c>
      <c r="W410">
        <v>0</v>
      </c>
      <c r="X410">
        <v>1</v>
      </c>
      <c r="Y410">
        <v>0</v>
      </c>
      <c r="Z410">
        <v>0</v>
      </c>
      <c r="AB410">
        <v>0</v>
      </c>
      <c r="AC410">
        <v>9</v>
      </c>
      <c r="AD410">
        <v>3</v>
      </c>
      <c r="AE410">
        <v>0</v>
      </c>
      <c r="AF410">
        <v>9</v>
      </c>
      <c r="AG410" t="s">
        <v>158</v>
      </c>
      <c r="AH410">
        <v>0</v>
      </c>
      <c r="AI410">
        <v>3</v>
      </c>
      <c r="AJ410">
        <v>1</v>
      </c>
      <c r="AK410">
        <v>0</v>
      </c>
      <c r="AL410" t="s">
        <v>889</v>
      </c>
      <c r="AM410">
        <v>46.98771</v>
      </c>
      <c r="AN410" t="s">
        <v>890</v>
      </c>
      <c r="AO410">
        <v>-122.3121</v>
      </c>
      <c r="AP410">
        <v>100</v>
      </c>
      <c r="AQ410">
        <v>2000</v>
      </c>
      <c r="AR410" t="s">
        <v>118</v>
      </c>
      <c r="AS410">
        <v>-31</v>
      </c>
      <c r="AT410">
        <v>-78</v>
      </c>
      <c r="AU410">
        <v>-64</v>
      </c>
      <c r="BC410">
        <v>1200</v>
      </c>
      <c r="BD410">
        <v>1</v>
      </c>
      <c r="BE410" t="str">
        <f t="shared" si="20"/>
        <v xml:space="preserve">N215T   </v>
      </c>
      <c r="BF410">
        <v>1</v>
      </c>
      <c r="BH410">
        <v>0</v>
      </c>
      <c r="BI410">
        <v>0</v>
      </c>
      <c r="BJ410">
        <v>0</v>
      </c>
      <c r="BK410">
        <v>2350</v>
      </c>
      <c r="BL410">
        <v>350</v>
      </c>
      <c r="BM410" t="s">
        <v>119</v>
      </c>
      <c r="BN410">
        <v>1</v>
      </c>
      <c r="BO410">
        <v>1</v>
      </c>
      <c r="BP410">
        <v>1</v>
      </c>
      <c r="BQ410">
        <v>0</v>
      </c>
      <c r="BT410">
        <v>0</v>
      </c>
      <c r="BU410">
        <v>0</v>
      </c>
      <c r="BV410">
        <v>0</v>
      </c>
      <c r="CC410" t="str">
        <f>"18:41:18.813"</f>
        <v>18:41:18.813</v>
      </c>
      <c r="CD410" t="str">
        <f>"814395179"</f>
        <v>814395179</v>
      </c>
      <c r="CQ410">
        <v>0</v>
      </c>
      <c r="CR410">
        <v>2</v>
      </c>
      <c r="CS410">
        <v>0</v>
      </c>
      <c r="CT410">
        <v>2</v>
      </c>
      <c r="CU410">
        <v>0</v>
      </c>
      <c r="CV410">
        <v>4</v>
      </c>
      <c r="CW410" t="s">
        <v>120</v>
      </c>
      <c r="CX410">
        <v>261</v>
      </c>
      <c r="CY410">
        <v>2</v>
      </c>
      <c r="CZ410" t="s">
        <v>121</v>
      </c>
      <c r="DA410" t="s">
        <v>122</v>
      </c>
      <c r="DD410">
        <v>14466375</v>
      </c>
      <c r="DE410" t="s">
        <v>123</v>
      </c>
    </row>
    <row r="411" spans="1:109" x14ac:dyDescent="0.3">
      <c r="A411" t="str">
        <f>"18:41:19.922"</f>
        <v>18:41:19.922</v>
      </c>
      <c r="B411" t="s">
        <v>110</v>
      </c>
      <c r="C411" t="str">
        <f t="shared" si="18"/>
        <v>ffdfd3c0</v>
      </c>
      <c r="D411" t="s">
        <v>111</v>
      </c>
      <c r="E411">
        <v>18</v>
      </c>
      <c r="F411">
        <v>1018</v>
      </c>
      <c r="G411" t="s">
        <v>112</v>
      </c>
      <c r="J411" t="s">
        <v>113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R411" t="s">
        <v>114</v>
      </c>
      <c r="S411" t="str">
        <f>"18:41:19.664"</f>
        <v>18:41:19.664</v>
      </c>
      <c r="T411" t="str">
        <f>"18:41:19.563"</f>
        <v>18:41:19.563</v>
      </c>
      <c r="U411" t="str">
        <f t="shared" si="19"/>
        <v>a1cdbe</v>
      </c>
      <c r="V411">
        <v>0</v>
      </c>
      <c r="W411">
        <v>0</v>
      </c>
      <c r="X411">
        <v>1</v>
      </c>
      <c r="Y411">
        <v>0</v>
      </c>
      <c r="Z411">
        <v>0</v>
      </c>
      <c r="AB411">
        <v>0</v>
      </c>
      <c r="AC411">
        <v>9</v>
      </c>
      <c r="AD411">
        <v>3</v>
      </c>
      <c r="AE411">
        <v>0</v>
      </c>
      <c r="AF411">
        <v>9</v>
      </c>
      <c r="AG411" t="s">
        <v>158</v>
      </c>
      <c r="AH411">
        <v>0</v>
      </c>
      <c r="AI411">
        <v>3</v>
      </c>
      <c r="AJ411">
        <v>1</v>
      </c>
      <c r="AK411">
        <v>0</v>
      </c>
      <c r="AL411" t="s">
        <v>891</v>
      </c>
      <c r="AM411">
        <v>46.987388000000003</v>
      </c>
      <c r="AN411" t="s">
        <v>892</v>
      </c>
      <c r="AO411">
        <v>-122.312229</v>
      </c>
      <c r="AP411">
        <v>100</v>
      </c>
      <c r="AQ411">
        <v>2000</v>
      </c>
      <c r="AR411" t="s">
        <v>118</v>
      </c>
      <c r="AS411">
        <v>-31</v>
      </c>
      <c r="AT411">
        <v>-77</v>
      </c>
      <c r="AU411">
        <v>-64</v>
      </c>
      <c r="BC411">
        <v>1200</v>
      </c>
      <c r="BD411">
        <v>1</v>
      </c>
      <c r="BE411" t="str">
        <f t="shared" si="20"/>
        <v xml:space="preserve">N215T   </v>
      </c>
      <c r="BF411">
        <v>1</v>
      </c>
      <c r="BH411">
        <v>0</v>
      </c>
      <c r="BI411">
        <v>0</v>
      </c>
      <c r="BJ411">
        <v>0</v>
      </c>
      <c r="BK411">
        <v>2350</v>
      </c>
      <c r="BL411">
        <v>350</v>
      </c>
      <c r="BM411" t="s">
        <v>119</v>
      </c>
      <c r="BN411">
        <v>1</v>
      </c>
      <c r="BO411">
        <v>1</v>
      </c>
      <c r="BP411">
        <v>1</v>
      </c>
      <c r="BQ411">
        <v>0</v>
      </c>
      <c r="BT411">
        <v>0</v>
      </c>
      <c r="BU411">
        <v>0</v>
      </c>
      <c r="BV411">
        <v>0</v>
      </c>
      <c r="CC411" t="str">
        <f>"18:41:19.672"</f>
        <v>18:41:19.672</v>
      </c>
      <c r="CD411" t="str">
        <f>"669311080"</f>
        <v>669311080</v>
      </c>
      <c r="CQ411">
        <v>0</v>
      </c>
      <c r="CR411">
        <v>2</v>
      </c>
      <c r="CS411">
        <v>0</v>
      </c>
      <c r="CT411">
        <v>2</v>
      </c>
      <c r="CU411">
        <v>0</v>
      </c>
      <c r="CV411">
        <v>5</v>
      </c>
      <c r="CW411" t="s">
        <v>120</v>
      </c>
      <c r="CX411">
        <v>261</v>
      </c>
      <c r="CY411">
        <v>2</v>
      </c>
      <c r="CZ411" t="s">
        <v>121</v>
      </c>
      <c r="DA411" t="s">
        <v>122</v>
      </c>
      <c r="DD411">
        <v>14466782</v>
      </c>
      <c r="DE411" t="s">
        <v>123</v>
      </c>
    </row>
    <row r="412" spans="1:109" x14ac:dyDescent="0.3">
      <c r="A412" t="str">
        <f>"18:41:20.828"</f>
        <v>18:41:20.828</v>
      </c>
      <c r="B412" t="s">
        <v>110</v>
      </c>
      <c r="C412" t="str">
        <f t="shared" si="18"/>
        <v>ffdfd3c0</v>
      </c>
      <c r="D412" t="s">
        <v>111</v>
      </c>
      <c r="E412">
        <v>18</v>
      </c>
      <c r="F412">
        <v>1018</v>
      </c>
      <c r="G412" t="s">
        <v>112</v>
      </c>
      <c r="J412" t="s">
        <v>113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R412" t="s">
        <v>114</v>
      </c>
      <c r="S412" t="str">
        <f>"18:41:20.594"</f>
        <v>18:41:20.594</v>
      </c>
      <c r="T412" t="str">
        <f>"18:41:20.492"</f>
        <v>18:41:20.492</v>
      </c>
      <c r="U412" t="str">
        <f t="shared" si="19"/>
        <v>a1cdbe</v>
      </c>
      <c r="V412">
        <v>0</v>
      </c>
      <c r="W412">
        <v>0</v>
      </c>
      <c r="X412">
        <v>1</v>
      </c>
      <c r="Y412">
        <v>0</v>
      </c>
      <c r="Z412">
        <v>0</v>
      </c>
      <c r="AB412">
        <v>0</v>
      </c>
      <c r="AC412">
        <v>9</v>
      </c>
      <c r="AD412">
        <v>3</v>
      </c>
      <c r="AE412">
        <v>0</v>
      </c>
      <c r="AF412">
        <v>9</v>
      </c>
      <c r="AG412" t="s">
        <v>158</v>
      </c>
      <c r="AH412">
        <v>0</v>
      </c>
      <c r="AI412">
        <v>3</v>
      </c>
      <c r="AJ412">
        <v>1</v>
      </c>
      <c r="AK412">
        <v>0</v>
      </c>
      <c r="AL412" t="s">
        <v>893</v>
      </c>
      <c r="AM412">
        <v>46.987045000000002</v>
      </c>
      <c r="AN412" t="s">
        <v>894</v>
      </c>
      <c r="AO412">
        <v>-122.3124</v>
      </c>
      <c r="AP412">
        <v>100</v>
      </c>
      <c r="AQ412">
        <v>2000</v>
      </c>
      <c r="AR412" t="s">
        <v>118</v>
      </c>
      <c r="AS412">
        <v>-32</v>
      </c>
      <c r="AT412">
        <v>-77</v>
      </c>
      <c r="AU412">
        <v>0</v>
      </c>
      <c r="BC412">
        <v>1200</v>
      </c>
      <c r="BD412">
        <v>1</v>
      </c>
      <c r="BE412" t="str">
        <f t="shared" si="20"/>
        <v xml:space="preserve">N215T   </v>
      </c>
      <c r="BF412">
        <v>1</v>
      </c>
      <c r="BH412">
        <v>0</v>
      </c>
      <c r="BI412">
        <v>0</v>
      </c>
      <c r="BJ412">
        <v>0</v>
      </c>
      <c r="BK412">
        <v>2350</v>
      </c>
      <c r="BL412">
        <v>350</v>
      </c>
      <c r="BM412" t="s">
        <v>119</v>
      </c>
      <c r="BN412">
        <v>1</v>
      </c>
      <c r="BO412">
        <v>1</v>
      </c>
      <c r="BP412">
        <v>1</v>
      </c>
      <c r="BQ412">
        <v>0</v>
      </c>
      <c r="BT412">
        <v>0</v>
      </c>
      <c r="BU412">
        <v>0</v>
      </c>
      <c r="BV412">
        <v>0</v>
      </c>
      <c r="CC412" t="str">
        <f>"18:41:20.602"</f>
        <v>18:41:20.602</v>
      </c>
      <c r="CD412" t="str">
        <f>"599219621"</f>
        <v>599219621</v>
      </c>
      <c r="CQ412">
        <v>0</v>
      </c>
      <c r="CR412">
        <v>2</v>
      </c>
      <c r="CS412">
        <v>0</v>
      </c>
      <c r="CT412">
        <v>2</v>
      </c>
      <c r="CU412">
        <v>0</v>
      </c>
      <c r="CV412">
        <v>5</v>
      </c>
      <c r="CW412" t="s">
        <v>120</v>
      </c>
      <c r="CX412">
        <v>261</v>
      </c>
      <c r="CY412">
        <v>2</v>
      </c>
      <c r="CZ412" t="s">
        <v>121</v>
      </c>
      <c r="DA412" t="s">
        <v>122</v>
      </c>
      <c r="DD412">
        <v>14467259</v>
      </c>
      <c r="DE412" t="s">
        <v>123</v>
      </c>
    </row>
    <row r="413" spans="1:109" x14ac:dyDescent="0.3">
      <c r="A413" t="str">
        <f>"18:41:21.781"</f>
        <v>18:41:21.781</v>
      </c>
      <c r="B413" t="s">
        <v>110</v>
      </c>
      <c r="C413" t="str">
        <f t="shared" si="18"/>
        <v>ffdfd3c0</v>
      </c>
      <c r="D413" t="s">
        <v>111</v>
      </c>
      <c r="E413">
        <v>18</v>
      </c>
      <c r="F413">
        <v>1018</v>
      </c>
      <c r="G413" t="s">
        <v>112</v>
      </c>
      <c r="J413" t="s">
        <v>113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R413" t="s">
        <v>114</v>
      </c>
      <c r="S413" t="str">
        <f>"18:41:21.570"</f>
        <v>18:41:21.570</v>
      </c>
      <c r="T413" t="str">
        <f>"18:41:21.570"</f>
        <v>18:41:21.570</v>
      </c>
      <c r="U413" t="str">
        <f t="shared" si="19"/>
        <v>a1cdbe</v>
      </c>
      <c r="V413">
        <v>0</v>
      </c>
      <c r="W413">
        <v>0</v>
      </c>
      <c r="X413">
        <v>1</v>
      </c>
      <c r="Y413">
        <v>0</v>
      </c>
      <c r="Z413">
        <v>0</v>
      </c>
      <c r="AB413">
        <v>0</v>
      </c>
      <c r="AC413">
        <v>9</v>
      </c>
      <c r="AD413">
        <v>3</v>
      </c>
      <c r="AE413">
        <v>0</v>
      </c>
      <c r="AF413">
        <v>9</v>
      </c>
      <c r="AG413" t="s">
        <v>158</v>
      </c>
      <c r="AH413">
        <v>0</v>
      </c>
      <c r="AI413">
        <v>3</v>
      </c>
      <c r="AJ413">
        <v>1</v>
      </c>
      <c r="AK413">
        <v>0</v>
      </c>
      <c r="AL413" t="s">
        <v>895</v>
      </c>
      <c r="AM413">
        <v>46.986700999999996</v>
      </c>
      <c r="AN413" t="s">
        <v>896</v>
      </c>
      <c r="AO413">
        <v>-122.312636</v>
      </c>
      <c r="AP413">
        <v>100</v>
      </c>
      <c r="AQ413">
        <v>2000</v>
      </c>
      <c r="AR413" t="s">
        <v>118</v>
      </c>
      <c r="AS413">
        <v>-33</v>
      </c>
      <c r="AT413">
        <v>-77</v>
      </c>
      <c r="AU413">
        <v>-64</v>
      </c>
      <c r="BC413">
        <v>1200</v>
      </c>
      <c r="BD413">
        <v>1</v>
      </c>
      <c r="BE413" t="str">
        <f t="shared" si="20"/>
        <v xml:space="preserve">N215T   </v>
      </c>
      <c r="BF413">
        <v>1</v>
      </c>
      <c r="BH413">
        <v>0</v>
      </c>
      <c r="BI413">
        <v>0</v>
      </c>
      <c r="BJ413">
        <v>0</v>
      </c>
      <c r="BK413">
        <v>2350</v>
      </c>
      <c r="BL413">
        <v>350</v>
      </c>
      <c r="BM413" t="s">
        <v>119</v>
      </c>
      <c r="BN413">
        <v>1</v>
      </c>
      <c r="BO413">
        <v>1</v>
      </c>
      <c r="BP413">
        <v>1</v>
      </c>
      <c r="BQ413">
        <v>0</v>
      </c>
      <c r="BT413">
        <v>0</v>
      </c>
      <c r="BU413">
        <v>0</v>
      </c>
      <c r="BV413">
        <v>0</v>
      </c>
      <c r="CC413" t="str">
        <f>"18:41:21.570"</f>
        <v>18:41:21.570</v>
      </c>
      <c r="CD413" t="str">
        <f>"574123725"</f>
        <v>574123725</v>
      </c>
      <c r="CQ413">
        <v>0</v>
      </c>
      <c r="CR413">
        <v>2</v>
      </c>
      <c r="CS413">
        <v>0</v>
      </c>
      <c r="CT413">
        <v>2</v>
      </c>
      <c r="CU413">
        <v>0</v>
      </c>
      <c r="CV413">
        <v>5</v>
      </c>
      <c r="CW413" t="s">
        <v>120</v>
      </c>
      <c r="CX413">
        <v>261</v>
      </c>
      <c r="CY413">
        <v>2</v>
      </c>
      <c r="CZ413" t="s">
        <v>121</v>
      </c>
      <c r="DA413" t="s">
        <v>122</v>
      </c>
      <c r="DD413">
        <v>14467766</v>
      </c>
      <c r="DE413" t="s">
        <v>123</v>
      </c>
    </row>
    <row r="414" spans="1:109" x14ac:dyDescent="0.3">
      <c r="A414" t="str">
        <f>"18:41:22.891"</f>
        <v>18:41:22.891</v>
      </c>
      <c r="B414" t="s">
        <v>110</v>
      </c>
      <c r="C414" t="str">
        <f t="shared" si="18"/>
        <v>ffdfd3c0</v>
      </c>
      <c r="D414" t="s">
        <v>111</v>
      </c>
      <c r="E414">
        <v>18</v>
      </c>
      <c r="F414">
        <v>1018</v>
      </c>
      <c r="G414" t="s">
        <v>112</v>
      </c>
      <c r="J414" t="s">
        <v>113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R414" t="s">
        <v>114</v>
      </c>
      <c r="S414" t="str">
        <f>"18:41:22.648"</f>
        <v>18:41:22.648</v>
      </c>
      <c r="T414" t="str">
        <f>"18:41:22.648"</f>
        <v>18:41:22.648</v>
      </c>
      <c r="U414" t="str">
        <f t="shared" si="19"/>
        <v>a1cdbe</v>
      </c>
      <c r="V414">
        <v>0</v>
      </c>
      <c r="W414">
        <v>0</v>
      </c>
      <c r="X414">
        <v>1</v>
      </c>
      <c r="Y414">
        <v>0</v>
      </c>
      <c r="Z414">
        <v>0</v>
      </c>
      <c r="AB414">
        <v>0</v>
      </c>
      <c r="AC414">
        <v>9</v>
      </c>
      <c r="AD414">
        <v>3</v>
      </c>
      <c r="AE414">
        <v>0</v>
      </c>
      <c r="AF414">
        <v>9</v>
      </c>
      <c r="AG414" t="s">
        <v>158</v>
      </c>
      <c r="AH414">
        <v>0</v>
      </c>
      <c r="AI414">
        <v>3</v>
      </c>
      <c r="AJ414">
        <v>1</v>
      </c>
      <c r="AK414">
        <v>0</v>
      </c>
      <c r="AL414" t="s">
        <v>897</v>
      </c>
      <c r="AM414">
        <v>46.986336999999999</v>
      </c>
      <c r="AN414" t="s">
        <v>898</v>
      </c>
      <c r="AO414">
        <v>-122.312894</v>
      </c>
      <c r="AP414">
        <v>100</v>
      </c>
      <c r="AQ414">
        <v>2000</v>
      </c>
      <c r="AR414" t="s">
        <v>118</v>
      </c>
      <c r="AS414">
        <v>-33</v>
      </c>
      <c r="AT414">
        <v>-76</v>
      </c>
      <c r="AU414">
        <v>0</v>
      </c>
      <c r="BC414">
        <v>1200</v>
      </c>
      <c r="BD414">
        <v>1</v>
      </c>
      <c r="BE414" t="str">
        <f t="shared" si="20"/>
        <v xml:space="preserve">N215T   </v>
      </c>
      <c r="BF414">
        <v>1</v>
      </c>
      <c r="BH414">
        <v>0</v>
      </c>
      <c r="BI414">
        <v>0</v>
      </c>
      <c r="BJ414">
        <v>0</v>
      </c>
      <c r="BK414">
        <v>2350</v>
      </c>
      <c r="BL414">
        <v>350</v>
      </c>
      <c r="BM414" t="s">
        <v>119</v>
      </c>
      <c r="BN414">
        <v>1</v>
      </c>
      <c r="BO414">
        <v>1</v>
      </c>
      <c r="BP414">
        <v>1</v>
      </c>
      <c r="BQ414">
        <v>0</v>
      </c>
      <c r="BT414">
        <v>0</v>
      </c>
      <c r="BU414">
        <v>0</v>
      </c>
      <c r="BV414">
        <v>0</v>
      </c>
      <c r="CC414" t="str">
        <f>"18:41:22.656"</f>
        <v>18:41:22.656</v>
      </c>
      <c r="CD414" t="str">
        <f>"654017514"</f>
        <v>654017514</v>
      </c>
      <c r="CQ414">
        <v>0</v>
      </c>
      <c r="CR414">
        <v>2</v>
      </c>
      <c r="CS414">
        <v>0</v>
      </c>
      <c r="CT414">
        <v>2</v>
      </c>
      <c r="CU414">
        <v>0</v>
      </c>
      <c r="CV414">
        <v>5</v>
      </c>
      <c r="CW414" t="s">
        <v>120</v>
      </c>
      <c r="CX414">
        <v>261</v>
      </c>
      <c r="CY414">
        <v>2</v>
      </c>
      <c r="CZ414" t="s">
        <v>121</v>
      </c>
      <c r="DA414" t="s">
        <v>122</v>
      </c>
      <c r="DD414">
        <v>14468313</v>
      </c>
      <c r="DE414" t="s">
        <v>123</v>
      </c>
    </row>
    <row r="415" spans="1:109" x14ac:dyDescent="0.3">
      <c r="A415" t="str">
        <f>"18:41:23.891"</f>
        <v>18:41:23.891</v>
      </c>
      <c r="B415" t="s">
        <v>110</v>
      </c>
      <c r="C415" t="str">
        <f t="shared" si="18"/>
        <v>ffdfd3c0</v>
      </c>
      <c r="D415" t="s">
        <v>111</v>
      </c>
      <c r="E415">
        <v>18</v>
      </c>
      <c r="F415">
        <v>1018</v>
      </c>
      <c r="G415" t="s">
        <v>112</v>
      </c>
      <c r="J415" t="s">
        <v>113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R415" t="s">
        <v>114</v>
      </c>
      <c r="S415" t="str">
        <f>"18:41:23.641"</f>
        <v>18:41:23.641</v>
      </c>
      <c r="T415" t="str">
        <f>"18:41:23.641"</f>
        <v>18:41:23.641</v>
      </c>
      <c r="U415" t="str">
        <f t="shared" si="19"/>
        <v>a1cdbe</v>
      </c>
      <c r="V415">
        <v>0</v>
      </c>
      <c r="W415">
        <v>0</v>
      </c>
      <c r="X415">
        <v>1</v>
      </c>
      <c r="Y415">
        <v>0</v>
      </c>
      <c r="Z415">
        <v>0</v>
      </c>
      <c r="AB415">
        <v>0</v>
      </c>
      <c r="AC415">
        <v>9</v>
      </c>
      <c r="AD415">
        <v>3</v>
      </c>
      <c r="AE415">
        <v>0</v>
      </c>
      <c r="AF415">
        <v>9</v>
      </c>
      <c r="AG415" t="s">
        <v>158</v>
      </c>
      <c r="AH415">
        <v>0</v>
      </c>
      <c r="AI415">
        <v>3</v>
      </c>
      <c r="AJ415">
        <v>1</v>
      </c>
      <c r="AK415">
        <v>0</v>
      </c>
      <c r="AL415" t="s">
        <v>899</v>
      </c>
      <c r="AM415">
        <v>46.985971999999997</v>
      </c>
      <c r="AN415" t="s">
        <v>900</v>
      </c>
      <c r="AO415">
        <v>-122.31313</v>
      </c>
      <c r="AP415">
        <v>100</v>
      </c>
      <c r="AQ415">
        <v>2000</v>
      </c>
      <c r="AR415" t="s">
        <v>118</v>
      </c>
      <c r="AS415">
        <v>-33</v>
      </c>
      <c r="AT415">
        <v>-76</v>
      </c>
      <c r="AU415">
        <v>-64</v>
      </c>
      <c r="BC415">
        <v>1200</v>
      </c>
      <c r="BD415">
        <v>1</v>
      </c>
      <c r="BE415" t="str">
        <f t="shared" si="20"/>
        <v xml:space="preserve">N215T   </v>
      </c>
      <c r="BF415">
        <v>1</v>
      </c>
      <c r="BH415">
        <v>0</v>
      </c>
      <c r="BI415">
        <v>0</v>
      </c>
      <c r="BJ415">
        <v>0</v>
      </c>
      <c r="BK415">
        <v>2350</v>
      </c>
      <c r="BL415">
        <v>350</v>
      </c>
      <c r="BM415" t="s">
        <v>119</v>
      </c>
      <c r="BN415">
        <v>1</v>
      </c>
      <c r="BO415">
        <v>1</v>
      </c>
      <c r="BP415">
        <v>1</v>
      </c>
      <c r="BQ415">
        <v>0</v>
      </c>
      <c r="BT415">
        <v>0</v>
      </c>
      <c r="BU415">
        <v>0</v>
      </c>
      <c r="BV415">
        <v>0</v>
      </c>
      <c r="CC415" t="str">
        <f>"18:41:23.641"</f>
        <v>18:41:23.641</v>
      </c>
      <c r="CD415" t="str">
        <f>"643920127"</f>
        <v>643920127</v>
      </c>
      <c r="CQ415">
        <v>0</v>
      </c>
      <c r="CR415">
        <v>2</v>
      </c>
      <c r="CS415">
        <v>0</v>
      </c>
      <c r="CT415">
        <v>2</v>
      </c>
      <c r="CU415">
        <v>0</v>
      </c>
      <c r="CV415">
        <v>4</v>
      </c>
      <c r="CW415" t="s">
        <v>120</v>
      </c>
      <c r="CX415">
        <v>261</v>
      </c>
      <c r="CY415">
        <v>1</v>
      </c>
      <c r="CZ415" t="s">
        <v>121</v>
      </c>
      <c r="DA415" t="s">
        <v>122</v>
      </c>
      <c r="DD415">
        <v>3347739</v>
      </c>
      <c r="DE415" t="s">
        <v>123</v>
      </c>
    </row>
    <row r="416" spans="1:109" x14ac:dyDescent="0.3">
      <c r="A416" t="str">
        <f>"18:41:25.047"</f>
        <v>18:41:25.047</v>
      </c>
      <c r="B416" t="s">
        <v>110</v>
      </c>
      <c r="C416" t="str">
        <f t="shared" si="18"/>
        <v>ffdfd3c0</v>
      </c>
      <c r="D416" t="s">
        <v>111</v>
      </c>
      <c r="E416">
        <v>18</v>
      </c>
      <c r="F416">
        <v>1018</v>
      </c>
      <c r="G416" t="s">
        <v>112</v>
      </c>
      <c r="J416" t="s">
        <v>113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R416" t="s">
        <v>114</v>
      </c>
      <c r="S416" t="str">
        <f>"18:41:24.813"</f>
        <v>18:41:24.813</v>
      </c>
      <c r="T416" t="str">
        <f>"18:41:24.711"</f>
        <v>18:41:24.711</v>
      </c>
      <c r="U416" t="str">
        <f t="shared" si="19"/>
        <v>a1cdbe</v>
      </c>
      <c r="V416">
        <v>0</v>
      </c>
      <c r="W416">
        <v>0</v>
      </c>
      <c r="X416">
        <v>1</v>
      </c>
      <c r="Y416">
        <v>0</v>
      </c>
      <c r="Z416">
        <v>0</v>
      </c>
      <c r="AB416">
        <v>0</v>
      </c>
      <c r="AC416">
        <v>9</v>
      </c>
      <c r="AD416">
        <v>3</v>
      </c>
      <c r="AE416">
        <v>0</v>
      </c>
      <c r="AF416">
        <v>9</v>
      </c>
      <c r="AG416" t="s">
        <v>158</v>
      </c>
      <c r="AH416">
        <v>0</v>
      </c>
      <c r="AI416">
        <v>3</v>
      </c>
      <c r="AJ416">
        <v>1</v>
      </c>
      <c r="AK416">
        <v>0</v>
      </c>
      <c r="AL416" t="s">
        <v>901</v>
      </c>
      <c r="AM416">
        <v>46.985543</v>
      </c>
      <c r="AN416" t="s">
        <v>902</v>
      </c>
      <c r="AO416">
        <v>-122.31340899999999</v>
      </c>
      <c r="AP416">
        <v>100</v>
      </c>
      <c r="AQ416">
        <v>2000</v>
      </c>
      <c r="AR416" t="s">
        <v>118</v>
      </c>
      <c r="AS416">
        <v>-33</v>
      </c>
      <c r="AT416">
        <v>-76</v>
      </c>
      <c r="AU416">
        <v>-64</v>
      </c>
      <c r="BC416">
        <v>1200</v>
      </c>
      <c r="BD416">
        <v>1</v>
      </c>
      <c r="BE416" t="str">
        <f t="shared" si="20"/>
        <v xml:space="preserve">N215T   </v>
      </c>
      <c r="BF416">
        <v>1</v>
      </c>
      <c r="BH416">
        <v>0</v>
      </c>
      <c r="BI416">
        <v>0</v>
      </c>
      <c r="BJ416">
        <v>0</v>
      </c>
      <c r="BK416">
        <v>2350</v>
      </c>
      <c r="BL416">
        <v>350</v>
      </c>
      <c r="BM416" t="s">
        <v>119</v>
      </c>
      <c r="BN416">
        <v>1</v>
      </c>
      <c r="BO416">
        <v>1</v>
      </c>
      <c r="BP416">
        <v>1</v>
      </c>
      <c r="BQ416">
        <v>0</v>
      </c>
      <c r="BT416">
        <v>0</v>
      </c>
      <c r="BU416">
        <v>0</v>
      </c>
      <c r="BV416">
        <v>0</v>
      </c>
      <c r="CC416" t="str">
        <f>"18:41:24.813"</f>
        <v>18:41:24.813</v>
      </c>
      <c r="CD416" t="str">
        <f>"813805050"</f>
        <v>813805050</v>
      </c>
      <c r="CQ416">
        <v>0</v>
      </c>
      <c r="CR416">
        <v>2</v>
      </c>
      <c r="CS416">
        <v>0</v>
      </c>
      <c r="CT416">
        <v>2</v>
      </c>
      <c r="CU416">
        <v>0</v>
      </c>
      <c r="CV416">
        <v>4</v>
      </c>
      <c r="CW416" t="s">
        <v>120</v>
      </c>
      <c r="CX416">
        <v>261</v>
      </c>
      <c r="CY416">
        <v>1</v>
      </c>
      <c r="CZ416" t="s">
        <v>121</v>
      </c>
      <c r="DA416" t="s">
        <v>122</v>
      </c>
      <c r="DD416">
        <v>3348426</v>
      </c>
      <c r="DE416" t="s">
        <v>123</v>
      </c>
    </row>
    <row r="417" spans="1:109" x14ac:dyDescent="0.3">
      <c r="A417" t="str">
        <f>"18:41:26.102"</f>
        <v>18:41:26.102</v>
      </c>
      <c r="B417" t="s">
        <v>110</v>
      </c>
      <c r="C417" t="str">
        <f t="shared" si="18"/>
        <v>ffdfd3c0</v>
      </c>
      <c r="D417" t="s">
        <v>111</v>
      </c>
      <c r="E417">
        <v>18</v>
      </c>
      <c r="F417">
        <v>1018</v>
      </c>
      <c r="G417" t="s">
        <v>112</v>
      </c>
      <c r="J417" t="s">
        <v>113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R417" t="s">
        <v>114</v>
      </c>
      <c r="S417" t="str">
        <f>"18:41:25.859"</f>
        <v>18:41:25.859</v>
      </c>
      <c r="T417" t="str">
        <f>"18:41:25.758"</f>
        <v>18:41:25.758</v>
      </c>
      <c r="U417" t="str">
        <f t="shared" si="19"/>
        <v>a1cdbe</v>
      </c>
      <c r="V417">
        <v>0</v>
      </c>
      <c r="W417">
        <v>0</v>
      </c>
      <c r="X417">
        <v>1</v>
      </c>
      <c r="Y417">
        <v>0</v>
      </c>
      <c r="Z417">
        <v>0</v>
      </c>
      <c r="AB417">
        <v>0</v>
      </c>
      <c r="AC417">
        <v>9</v>
      </c>
      <c r="AD417">
        <v>3</v>
      </c>
      <c r="AE417">
        <v>0</v>
      </c>
      <c r="AF417">
        <v>9</v>
      </c>
      <c r="AG417" t="s">
        <v>158</v>
      </c>
      <c r="AH417">
        <v>0</v>
      </c>
      <c r="AI417">
        <v>3</v>
      </c>
      <c r="AJ417">
        <v>1</v>
      </c>
      <c r="AK417">
        <v>0</v>
      </c>
      <c r="AL417" t="s">
        <v>903</v>
      </c>
      <c r="AM417">
        <v>46.985177999999998</v>
      </c>
      <c r="AN417" t="s">
        <v>904</v>
      </c>
      <c r="AO417">
        <v>-122.313602</v>
      </c>
      <c r="AP417">
        <v>100</v>
      </c>
      <c r="AQ417">
        <v>2000</v>
      </c>
      <c r="AR417" t="s">
        <v>118</v>
      </c>
      <c r="AS417">
        <v>-34</v>
      </c>
      <c r="AT417">
        <v>-76</v>
      </c>
      <c r="AU417">
        <v>0</v>
      </c>
      <c r="BC417">
        <v>1200</v>
      </c>
      <c r="BD417">
        <v>1</v>
      </c>
      <c r="BE417" t="str">
        <f t="shared" si="20"/>
        <v xml:space="preserve">N215T   </v>
      </c>
      <c r="BF417">
        <v>1</v>
      </c>
      <c r="BH417">
        <v>0</v>
      </c>
      <c r="BI417">
        <v>0</v>
      </c>
      <c r="BJ417">
        <v>0</v>
      </c>
      <c r="BK417">
        <v>2350</v>
      </c>
      <c r="BL417">
        <v>350</v>
      </c>
      <c r="BM417" t="s">
        <v>119</v>
      </c>
      <c r="BN417">
        <v>1</v>
      </c>
      <c r="BO417">
        <v>1</v>
      </c>
      <c r="BP417">
        <v>1</v>
      </c>
      <c r="BQ417">
        <v>0</v>
      </c>
      <c r="BT417">
        <v>0</v>
      </c>
      <c r="BU417">
        <v>0</v>
      </c>
      <c r="BV417">
        <v>0</v>
      </c>
      <c r="CC417" t="str">
        <f>"18:41:25.867"</f>
        <v>18:41:25.867</v>
      </c>
      <c r="CD417" t="str">
        <f>"863701780"</f>
        <v>863701780</v>
      </c>
      <c r="CQ417">
        <v>0</v>
      </c>
      <c r="CR417">
        <v>2</v>
      </c>
      <c r="CS417">
        <v>0</v>
      </c>
      <c r="CT417">
        <v>2</v>
      </c>
      <c r="CU417">
        <v>0</v>
      </c>
      <c r="CV417">
        <v>5</v>
      </c>
      <c r="CW417" t="s">
        <v>120</v>
      </c>
      <c r="CX417">
        <v>261</v>
      </c>
      <c r="CY417">
        <v>1</v>
      </c>
      <c r="CZ417" t="s">
        <v>121</v>
      </c>
      <c r="DA417" t="s">
        <v>122</v>
      </c>
      <c r="DD417">
        <v>3349075</v>
      </c>
      <c r="DE417" t="s">
        <v>123</v>
      </c>
    </row>
    <row r="418" spans="1:109" x14ac:dyDescent="0.3">
      <c r="A418" t="str">
        <f>"18:41:27.211"</f>
        <v>18:41:27.211</v>
      </c>
      <c r="B418" t="s">
        <v>110</v>
      </c>
      <c r="C418" t="str">
        <f t="shared" si="18"/>
        <v>ffdfd3c0</v>
      </c>
      <c r="D418" t="s">
        <v>111</v>
      </c>
      <c r="E418">
        <v>18</v>
      </c>
      <c r="F418">
        <v>1018</v>
      </c>
      <c r="G418" t="s">
        <v>112</v>
      </c>
      <c r="J418" t="s">
        <v>113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R418" t="s">
        <v>114</v>
      </c>
      <c r="S418" t="str">
        <f>"18:41:26.953"</f>
        <v>18:41:26.953</v>
      </c>
      <c r="T418" t="str">
        <f>"18:41:26.953"</f>
        <v>18:41:26.953</v>
      </c>
      <c r="U418" t="str">
        <f t="shared" si="19"/>
        <v>a1cdbe</v>
      </c>
      <c r="V418">
        <v>0</v>
      </c>
      <c r="W418">
        <v>0</v>
      </c>
      <c r="X418">
        <v>1</v>
      </c>
      <c r="Y418">
        <v>0</v>
      </c>
      <c r="Z418">
        <v>0</v>
      </c>
      <c r="AB418">
        <v>0</v>
      </c>
      <c r="AC418">
        <v>9</v>
      </c>
      <c r="AD418">
        <v>3</v>
      </c>
      <c r="AE418">
        <v>0</v>
      </c>
      <c r="AF418">
        <v>9</v>
      </c>
      <c r="AG418" t="s">
        <v>158</v>
      </c>
      <c r="AH418">
        <v>0</v>
      </c>
      <c r="AI418">
        <v>3</v>
      </c>
      <c r="AJ418">
        <v>1</v>
      </c>
      <c r="AK418">
        <v>0</v>
      </c>
      <c r="AL418" t="s">
        <v>905</v>
      </c>
      <c r="AM418">
        <v>46.984791999999999</v>
      </c>
      <c r="AN418" t="s">
        <v>906</v>
      </c>
      <c r="AO418">
        <v>-122.31388099999999</v>
      </c>
      <c r="AP418">
        <v>100</v>
      </c>
      <c r="AQ418">
        <v>2000</v>
      </c>
      <c r="AR418" t="s">
        <v>118</v>
      </c>
      <c r="AS418">
        <v>-33</v>
      </c>
      <c r="AT418">
        <v>-75</v>
      </c>
      <c r="AU418">
        <v>-64</v>
      </c>
      <c r="BC418">
        <v>1200</v>
      </c>
      <c r="BD418">
        <v>1</v>
      </c>
      <c r="BE418" t="str">
        <f t="shared" si="20"/>
        <v xml:space="preserve">N215T   </v>
      </c>
      <c r="BF418">
        <v>1</v>
      </c>
      <c r="BH418">
        <v>0</v>
      </c>
      <c r="BI418">
        <v>0</v>
      </c>
      <c r="BJ418">
        <v>0</v>
      </c>
      <c r="BK418">
        <v>2350</v>
      </c>
      <c r="BL418">
        <v>350</v>
      </c>
      <c r="BM418" t="s">
        <v>119</v>
      </c>
      <c r="BN418">
        <v>1</v>
      </c>
      <c r="BO418">
        <v>1</v>
      </c>
      <c r="BP418">
        <v>1</v>
      </c>
      <c r="BQ418">
        <v>0</v>
      </c>
      <c r="BT418">
        <v>0</v>
      </c>
      <c r="BU418">
        <v>0</v>
      </c>
      <c r="BV418">
        <v>0</v>
      </c>
      <c r="CC418" t="str">
        <f>"18:41:26.961"</f>
        <v>18:41:26.961</v>
      </c>
      <c r="CD418" t="str">
        <f>"958594071"</f>
        <v>958594071</v>
      </c>
      <c r="CQ418">
        <v>0</v>
      </c>
      <c r="CR418">
        <v>2</v>
      </c>
      <c r="CS418">
        <v>0</v>
      </c>
      <c r="CT418">
        <v>2</v>
      </c>
      <c r="CU418">
        <v>0</v>
      </c>
      <c r="CV418">
        <v>5</v>
      </c>
      <c r="CW418" t="s">
        <v>120</v>
      </c>
      <c r="CX418">
        <v>261</v>
      </c>
      <c r="CY418">
        <v>1</v>
      </c>
      <c r="CZ418" t="s">
        <v>121</v>
      </c>
      <c r="DA418" t="s">
        <v>122</v>
      </c>
      <c r="DD418">
        <v>3349744</v>
      </c>
      <c r="DE418" t="s">
        <v>123</v>
      </c>
    </row>
    <row r="419" spans="1:109" x14ac:dyDescent="0.3">
      <c r="A419" t="str">
        <f>"18:41:28.164"</f>
        <v>18:41:28.164</v>
      </c>
      <c r="B419" t="s">
        <v>110</v>
      </c>
      <c r="C419" t="str">
        <f t="shared" si="18"/>
        <v>ffdfd3c0</v>
      </c>
      <c r="D419" t="s">
        <v>111</v>
      </c>
      <c r="E419">
        <v>18</v>
      </c>
      <c r="F419">
        <v>1018</v>
      </c>
      <c r="G419" t="s">
        <v>112</v>
      </c>
      <c r="J419" t="s">
        <v>113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R419" t="s">
        <v>114</v>
      </c>
      <c r="S419" t="str">
        <f>"18:41:27.930"</f>
        <v>18:41:27.930</v>
      </c>
      <c r="T419" t="str">
        <f>"18:41:27.930"</f>
        <v>18:41:27.930</v>
      </c>
      <c r="U419" t="str">
        <f t="shared" si="19"/>
        <v>a1cdbe</v>
      </c>
      <c r="V419">
        <v>0</v>
      </c>
      <c r="W419">
        <v>0</v>
      </c>
      <c r="X419">
        <v>1</v>
      </c>
      <c r="Y419">
        <v>0</v>
      </c>
      <c r="Z419">
        <v>0</v>
      </c>
      <c r="AB419">
        <v>0</v>
      </c>
      <c r="AC419">
        <v>9</v>
      </c>
      <c r="AD419">
        <v>3</v>
      </c>
      <c r="AE419">
        <v>0</v>
      </c>
      <c r="AF419">
        <v>9</v>
      </c>
      <c r="AG419" t="s">
        <v>158</v>
      </c>
      <c r="AH419">
        <v>0</v>
      </c>
      <c r="AI419">
        <v>3</v>
      </c>
      <c r="AJ419">
        <v>1</v>
      </c>
      <c r="AK419">
        <v>0</v>
      </c>
      <c r="AL419" t="s">
        <v>907</v>
      </c>
      <c r="AM419">
        <v>46.984470000000002</v>
      </c>
      <c r="AN419" t="s">
        <v>908</v>
      </c>
      <c r="AO419">
        <v>-122.31409499999999</v>
      </c>
      <c r="AP419">
        <v>100</v>
      </c>
      <c r="AQ419">
        <v>2000</v>
      </c>
      <c r="AR419" t="s">
        <v>118</v>
      </c>
      <c r="AS419">
        <v>-33</v>
      </c>
      <c r="AT419">
        <v>-75</v>
      </c>
      <c r="AU419">
        <v>-64</v>
      </c>
      <c r="BC419">
        <v>1200</v>
      </c>
      <c r="BD419">
        <v>1</v>
      </c>
      <c r="BE419" t="str">
        <f t="shared" si="20"/>
        <v xml:space="preserve">N215T   </v>
      </c>
      <c r="BF419">
        <v>1</v>
      </c>
      <c r="BH419">
        <v>0</v>
      </c>
      <c r="BI419">
        <v>0</v>
      </c>
      <c r="BJ419">
        <v>0</v>
      </c>
      <c r="BK419">
        <v>2350</v>
      </c>
      <c r="BL419">
        <v>350</v>
      </c>
      <c r="BM419" t="s">
        <v>119</v>
      </c>
      <c r="BN419">
        <v>1</v>
      </c>
      <c r="BO419">
        <v>1</v>
      </c>
      <c r="BP419">
        <v>1</v>
      </c>
      <c r="BQ419">
        <v>0</v>
      </c>
      <c r="BT419">
        <v>0</v>
      </c>
      <c r="BU419">
        <v>0</v>
      </c>
      <c r="BV419">
        <v>0</v>
      </c>
      <c r="CC419" t="str">
        <f>"18:41:27.938"</f>
        <v>18:41:27.938</v>
      </c>
      <c r="CD419" t="str">
        <f>"933710332"</f>
        <v>933710332</v>
      </c>
      <c r="CQ419">
        <v>0</v>
      </c>
      <c r="CR419">
        <v>2</v>
      </c>
      <c r="CS419">
        <v>0</v>
      </c>
      <c r="CT419">
        <v>2</v>
      </c>
      <c r="CU419">
        <v>0</v>
      </c>
      <c r="CV419">
        <v>4</v>
      </c>
      <c r="CW419" t="s">
        <v>120</v>
      </c>
      <c r="CX419">
        <v>257</v>
      </c>
      <c r="CY419">
        <v>1</v>
      </c>
      <c r="CZ419" t="s">
        <v>615</v>
      </c>
      <c r="DA419" t="s">
        <v>616</v>
      </c>
      <c r="DD419">
        <v>10728920</v>
      </c>
      <c r="DE419" t="s">
        <v>123</v>
      </c>
    </row>
    <row r="420" spans="1:109" x14ac:dyDescent="0.3">
      <c r="A420" t="str">
        <f>"18:41:29.219"</f>
        <v>18:41:29.219</v>
      </c>
      <c r="B420" t="s">
        <v>110</v>
      </c>
      <c r="C420" t="str">
        <f t="shared" si="18"/>
        <v>ffdfd3c0</v>
      </c>
      <c r="D420" t="s">
        <v>111</v>
      </c>
      <c r="E420">
        <v>18</v>
      </c>
      <c r="F420">
        <v>1018</v>
      </c>
      <c r="G420" t="s">
        <v>112</v>
      </c>
      <c r="J420" t="s">
        <v>113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R420" t="s">
        <v>114</v>
      </c>
      <c r="S420" t="str">
        <f>"18:41:28.992"</f>
        <v>18:41:28.992</v>
      </c>
      <c r="T420" t="str">
        <f>"18:41:28.789"</f>
        <v>18:41:28.789</v>
      </c>
      <c r="U420" t="str">
        <f t="shared" si="19"/>
        <v>a1cdbe</v>
      </c>
      <c r="V420">
        <v>0</v>
      </c>
      <c r="W420">
        <v>0</v>
      </c>
      <c r="X420">
        <v>1</v>
      </c>
      <c r="Y420">
        <v>0</v>
      </c>
      <c r="Z420">
        <v>0</v>
      </c>
      <c r="AB420">
        <v>0</v>
      </c>
      <c r="AC420">
        <v>9</v>
      </c>
      <c r="AD420">
        <v>3</v>
      </c>
      <c r="AE420">
        <v>0</v>
      </c>
      <c r="AF420">
        <v>9</v>
      </c>
      <c r="AG420" t="s">
        <v>158</v>
      </c>
      <c r="AH420">
        <v>0</v>
      </c>
      <c r="AI420">
        <v>3</v>
      </c>
      <c r="AJ420">
        <v>1</v>
      </c>
      <c r="AK420">
        <v>0</v>
      </c>
      <c r="AL420" t="s">
        <v>909</v>
      </c>
      <c r="AM420">
        <v>46.984105</v>
      </c>
      <c r="AN420" t="s">
        <v>910</v>
      </c>
      <c r="AO420">
        <v>-122.31431000000001</v>
      </c>
      <c r="AP420">
        <v>100</v>
      </c>
      <c r="AQ420">
        <v>2000</v>
      </c>
      <c r="AR420" t="s">
        <v>118</v>
      </c>
      <c r="AS420">
        <v>-33</v>
      </c>
      <c r="AT420">
        <v>-75</v>
      </c>
      <c r="AU420">
        <v>-128</v>
      </c>
      <c r="BC420">
        <v>1200</v>
      </c>
      <c r="BD420">
        <v>1</v>
      </c>
      <c r="BE420" t="str">
        <f t="shared" si="20"/>
        <v xml:space="preserve">N215T   </v>
      </c>
      <c r="BF420">
        <v>1</v>
      </c>
      <c r="BH420">
        <v>0</v>
      </c>
      <c r="BI420">
        <v>0</v>
      </c>
      <c r="BJ420">
        <v>0</v>
      </c>
      <c r="BK420">
        <v>2350</v>
      </c>
      <c r="BL420">
        <v>350</v>
      </c>
      <c r="BM420" t="s">
        <v>119</v>
      </c>
      <c r="BN420">
        <v>1</v>
      </c>
      <c r="BO420">
        <v>1</v>
      </c>
      <c r="BP420">
        <v>1</v>
      </c>
      <c r="BQ420">
        <v>0</v>
      </c>
      <c r="BT420">
        <v>0</v>
      </c>
      <c r="BU420">
        <v>0</v>
      </c>
      <c r="BV420">
        <v>0</v>
      </c>
      <c r="CC420" t="str">
        <f>"18:41:29.000"</f>
        <v>18:41:29.000</v>
      </c>
      <c r="CD420" t="str">
        <f>"998393397"</f>
        <v>998393397</v>
      </c>
      <c r="CQ420">
        <v>0</v>
      </c>
      <c r="CR420">
        <v>2</v>
      </c>
      <c r="CS420">
        <v>0</v>
      </c>
      <c r="CT420">
        <v>2</v>
      </c>
      <c r="CU420">
        <v>0</v>
      </c>
      <c r="CV420">
        <v>5</v>
      </c>
      <c r="CW420" t="s">
        <v>120</v>
      </c>
      <c r="CX420">
        <v>261</v>
      </c>
      <c r="CY420">
        <v>2</v>
      </c>
      <c r="CZ420" t="s">
        <v>121</v>
      </c>
      <c r="DA420" t="s">
        <v>122</v>
      </c>
      <c r="DD420">
        <v>14471535</v>
      </c>
      <c r="DE420" t="s">
        <v>123</v>
      </c>
    </row>
    <row r="421" spans="1:109" x14ac:dyDescent="0.3">
      <c r="A421" t="str">
        <f>"18:41:30.078"</f>
        <v>18:41:30.078</v>
      </c>
      <c r="B421" t="s">
        <v>110</v>
      </c>
      <c r="C421" t="str">
        <f t="shared" si="18"/>
        <v>ffdfd3c0</v>
      </c>
      <c r="D421" t="s">
        <v>111</v>
      </c>
      <c r="E421">
        <v>18</v>
      </c>
      <c r="F421">
        <v>1018</v>
      </c>
      <c r="G421" t="s">
        <v>112</v>
      </c>
      <c r="J421" t="s">
        <v>113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R421" t="s">
        <v>114</v>
      </c>
      <c r="S421" t="str">
        <f>"18:41:29.867"</f>
        <v>18:41:29.867</v>
      </c>
      <c r="T421" t="str">
        <f>"18:41:29.766"</f>
        <v>18:41:29.766</v>
      </c>
      <c r="U421" t="str">
        <f t="shared" si="19"/>
        <v>a1cdbe</v>
      </c>
      <c r="V421">
        <v>0</v>
      </c>
      <c r="W421">
        <v>0</v>
      </c>
      <c r="X421">
        <v>1</v>
      </c>
      <c r="Y421">
        <v>0</v>
      </c>
      <c r="Z421">
        <v>0</v>
      </c>
      <c r="AB421">
        <v>0</v>
      </c>
      <c r="AC421">
        <v>9</v>
      </c>
      <c r="AD421">
        <v>3</v>
      </c>
      <c r="AE421">
        <v>0</v>
      </c>
      <c r="AF421">
        <v>9</v>
      </c>
      <c r="AG421" t="s">
        <v>158</v>
      </c>
      <c r="AH421">
        <v>0</v>
      </c>
      <c r="AI421">
        <v>3</v>
      </c>
      <c r="AJ421">
        <v>1</v>
      </c>
      <c r="AK421">
        <v>0</v>
      </c>
      <c r="AL421" t="s">
        <v>911</v>
      </c>
      <c r="AM421">
        <v>46.983783000000003</v>
      </c>
      <c r="AN421" t="s">
        <v>912</v>
      </c>
      <c r="AO421">
        <v>-122.314525</v>
      </c>
      <c r="AP421">
        <v>100</v>
      </c>
      <c r="AQ421">
        <v>2000</v>
      </c>
      <c r="AR421" t="s">
        <v>118</v>
      </c>
      <c r="AS421">
        <v>-32</v>
      </c>
      <c r="AT421">
        <v>-75</v>
      </c>
      <c r="AU421">
        <v>-64</v>
      </c>
      <c r="BC421">
        <v>1200</v>
      </c>
      <c r="BD421">
        <v>1</v>
      </c>
      <c r="BE421" t="str">
        <f t="shared" si="20"/>
        <v xml:space="preserve">N215T   </v>
      </c>
      <c r="BF421">
        <v>1</v>
      </c>
      <c r="BH421">
        <v>0</v>
      </c>
      <c r="BI421">
        <v>0</v>
      </c>
      <c r="BJ421">
        <v>0</v>
      </c>
      <c r="BK421">
        <v>2350</v>
      </c>
      <c r="BL421">
        <v>350</v>
      </c>
      <c r="BM421" t="s">
        <v>119</v>
      </c>
      <c r="BN421">
        <v>1</v>
      </c>
      <c r="BO421">
        <v>1</v>
      </c>
      <c r="BP421">
        <v>1</v>
      </c>
      <c r="BQ421">
        <v>0</v>
      </c>
      <c r="BT421">
        <v>0</v>
      </c>
      <c r="BU421">
        <v>0</v>
      </c>
      <c r="BV421">
        <v>0</v>
      </c>
      <c r="CC421" t="str">
        <f>"18:41:29.867"</f>
        <v>18:41:29.867</v>
      </c>
      <c r="CD421" t="str">
        <f>"868307844"</f>
        <v>868307844</v>
      </c>
      <c r="CQ421">
        <v>0</v>
      </c>
      <c r="CR421">
        <v>2</v>
      </c>
      <c r="CS421">
        <v>0</v>
      </c>
      <c r="CT421">
        <v>2</v>
      </c>
      <c r="CU421">
        <v>0</v>
      </c>
      <c r="CV421">
        <v>5</v>
      </c>
      <c r="CW421" t="s">
        <v>120</v>
      </c>
      <c r="CX421">
        <v>261</v>
      </c>
      <c r="CY421">
        <v>2</v>
      </c>
      <c r="CZ421" t="s">
        <v>121</v>
      </c>
      <c r="DA421" t="s">
        <v>122</v>
      </c>
      <c r="DD421">
        <v>14471972</v>
      </c>
      <c r="DE421" t="s">
        <v>123</v>
      </c>
    </row>
    <row r="422" spans="1:109" x14ac:dyDescent="0.3">
      <c r="A422" t="str">
        <f>"18:41:31.031"</f>
        <v>18:41:31.031</v>
      </c>
      <c r="B422" t="s">
        <v>110</v>
      </c>
      <c r="C422" t="str">
        <f t="shared" si="18"/>
        <v>ffdfd3c0</v>
      </c>
      <c r="D422" t="s">
        <v>111</v>
      </c>
      <c r="E422">
        <v>18</v>
      </c>
      <c r="F422">
        <v>1018</v>
      </c>
      <c r="G422" t="s">
        <v>112</v>
      </c>
      <c r="J422" t="s">
        <v>113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R422" t="s">
        <v>114</v>
      </c>
      <c r="S422" t="str">
        <f>"18:41:30.828"</f>
        <v>18:41:30.828</v>
      </c>
      <c r="T422" t="str">
        <f>"18:41:30.727"</f>
        <v>18:41:30.727</v>
      </c>
      <c r="U422" t="str">
        <f t="shared" si="19"/>
        <v>a1cdbe</v>
      </c>
      <c r="V422">
        <v>0</v>
      </c>
      <c r="W422">
        <v>0</v>
      </c>
      <c r="X422">
        <v>1</v>
      </c>
      <c r="Y422">
        <v>0</v>
      </c>
      <c r="Z422">
        <v>0</v>
      </c>
      <c r="AB422">
        <v>0</v>
      </c>
      <c r="AC422">
        <v>9</v>
      </c>
      <c r="AD422">
        <v>3</v>
      </c>
      <c r="AE422">
        <v>0</v>
      </c>
      <c r="AF422">
        <v>9</v>
      </c>
      <c r="AG422" t="s">
        <v>158</v>
      </c>
      <c r="AH422">
        <v>0</v>
      </c>
      <c r="AI422">
        <v>3</v>
      </c>
      <c r="AJ422">
        <v>1</v>
      </c>
      <c r="AK422">
        <v>0</v>
      </c>
      <c r="AL422" t="s">
        <v>913</v>
      </c>
      <c r="AM422">
        <v>46.983440000000002</v>
      </c>
      <c r="AN422" t="s">
        <v>914</v>
      </c>
      <c r="AO422">
        <v>-122.314696</v>
      </c>
      <c r="AP422">
        <v>100</v>
      </c>
      <c r="AQ422">
        <v>2000</v>
      </c>
      <c r="AR422" t="s">
        <v>118</v>
      </c>
      <c r="AS422">
        <v>-32</v>
      </c>
      <c r="AT422">
        <v>-75</v>
      </c>
      <c r="AU422">
        <v>-128</v>
      </c>
      <c r="BC422">
        <v>1200</v>
      </c>
      <c r="BD422">
        <v>1</v>
      </c>
      <c r="BE422" t="str">
        <f t="shared" si="20"/>
        <v xml:space="preserve">N215T   </v>
      </c>
      <c r="BF422">
        <v>1</v>
      </c>
      <c r="BH422">
        <v>0</v>
      </c>
      <c r="BI422">
        <v>0</v>
      </c>
      <c r="BJ422">
        <v>0</v>
      </c>
      <c r="BK422">
        <v>2350</v>
      </c>
      <c r="BL422">
        <v>350</v>
      </c>
      <c r="BM422" t="s">
        <v>119</v>
      </c>
      <c r="BN422">
        <v>1</v>
      </c>
      <c r="BO422">
        <v>1</v>
      </c>
      <c r="BP422">
        <v>1</v>
      </c>
      <c r="BQ422">
        <v>0</v>
      </c>
      <c r="BT422">
        <v>0</v>
      </c>
      <c r="BU422">
        <v>0</v>
      </c>
      <c r="BV422">
        <v>0</v>
      </c>
      <c r="CC422" t="str">
        <f>"18:41:30.828"</f>
        <v>18:41:30.828</v>
      </c>
      <c r="CD422" t="str">
        <f>"828213406"</f>
        <v>828213406</v>
      </c>
      <c r="CQ422">
        <v>0</v>
      </c>
      <c r="CR422">
        <v>2</v>
      </c>
      <c r="CS422">
        <v>0</v>
      </c>
      <c r="CT422">
        <v>2</v>
      </c>
      <c r="CU422">
        <v>0</v>
      </c>
      <c r="CV422">
        <v>5</v>
      </c>
      <c r="CW422" t="s">
        <v>120</v>
      </c>
      <c r="CX422">
        <v>261</v>
      </c>
      <c r="CY422">
        <v>2</v>
      </c>
      <c r="CZ422" t="s">
        <v>121</v>
      </c>
      <c r="DA422" t="s">
        <v>122</v>
      </c>
      <c r="DD422">
        <v>14472460</v>
      </c>
      <c r="DE422" t="s">
        <v>123</v>
      </c>
    </row>
    <row r="423" spans="1:109" x14ac:dyDescent="0.3">
      <c r="A423" t="str">
        <f>"18:41:31.984"</f>
        <v>18:41:31.984</v>
      </c>
      <c r="B423" t="s">
        <v>110</v>
      </c>
      <c r="C423" t="str">
        <f t="shared" si="18"/>
        <v>ffdfd3c0</v>
      </c>
      <c r="D423" t="s">
        <v>111</v>
      </c>
      <c r="E423">
        <v>18</v>
      </c>
      <c r="F423">
        <v>1018</v>
      </c>
      <c r="G423" t="s">
        <v>112</v>
      </c>
      <c r="J423" t="s">
        <v>113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R423" t="s">
        <v>114</v>
      </c>
      <c r="S423" t="str">
        <f>"18:41:31.742"</f>
        <v>18:41:31.742</v>
      </c>
      <c r="T423" t="str">
        <f>"18:41:31.344"</f>
        <v>18:41:31.344</v>
      </c>
      <c r="U423" t="str">
        <f t="shared" si="19"/>
        <v>a1cdbe</v>
      </c>
      <c r="V423">
        <v>0</v>
      </c>
      <c r="W423">
        <v>0</v>
      </c>
      <c r="X423">
        <v>1</v>
      </c>
      <c r="Y423">
        <v>0</v>
      </c>
      <c r="Z423">
        <v>0</v>
      </c>
      <c r="AB423">
        <v>0</v>
      </c>
      <c r="AC423">
        <v>9</v>
      </c>
      <c r="AD423">
        <v>3</v>
      </c>
      <c r="AE423">
        <v>0</v>
      </c>
      <c r="AF423">
        <v>9</v>
      </c>
      <c r="AG423" t="s">
        <v>158</v>
      </c>
      <c r="AH423">
        <v>0</v>
      </c>
      <c r="AI423">
        <v>3</v>
      </c>
      <c r="AJ423">
        <v>1</v>
      </c>
      <c r="AK423">
        <v>0</v>
      </c>
      <c r="AL423" t="s">
        <v>915</v>
      </c>
      <c r="AM423">
        <v>46.983117999999997</v>
      </c>
      <c r="AN423" t="s">
        <v>916</v>
      </c>
      <c r="AO423">
        <v>-122.314911</v>
      </c>
      <c r="AP423">
        <v>100</v>
      </c>
      <c r="AQ423">
        <v>2000</v>
      </c>
      <c r="AR423" t="s">
        <v>118</v>
      </c>
      <c r="AS423">
        <v>-32</v>
      </c>
      <c r="AT423">
        <v>-75</v>
      </c>
      <c r="AU423">
        <v>-128</v>
      </c>
      <c r="BC423">
        <v>1200</v>
      </c>
      <c r="BD423">
        <v>1</v>
      </c>
      <c r="BE423" t="str">
        <f t="shared" si="20"/>
        <v xml:space="preserve">N215T   </v>
      </c>
      <c r="BF423">
        <v>1</v>
      </c>
      <c r="BH423">
        <v>0</v>
      </c>
      <c r="BI423">
        <v>0</v>
      </c>
      <c r="BJ423">
        <v>0</v>
      </c>
      <c r="BK423">
        <v>2350</v>
      </c>
      <c r="BL423">
        <v>350</v>
      </c>
      <c r="BM423" t="s">
        <v>119</v>
      </c>
      <c r="BN423">
        <v>1</v>
      </c>
      <c r="BO423">
        <v>1</v>
      </c>
      <c r="BP423">
        <v>1</v>
      </c>
      <c r="BQ423">
        <v>0</v>
      </c>
      <c r="BT423">
        <v>0</v>
      </c>
      <c r="BU423">
        <v>0</v>
      </c>
      <c r="BV423">
        <v>0</v>
      </c>
      <c r="CC423" t="str">
        <f>"18:41:31.742"</f>
        <v>18:41:31.742</v>
      </c>
      <c r="CD423" t="str">
        <f>"743123425"</f>
        <v>743123425</v>
      </c>
      <c r="CQ423">
        <v>0</v>
      </c>
      <c r="CR423">
        <v>2</v>
      </c>
      <c r="CS423">
        <v>0</v>
      </c>
      <c r="CT423">
        <v>2</v>
      </c>
      <c r="CU423">
        <v>0</v>
      </c>
      <c r="CV423">
        <v>5</v>
      </c>
      <c r="CW423" t="s">
        <v>120</v>
      </c>
      <c r="CX423">
        <v>261</v>
      </c>
      <c r="CY423">
        <v>2</v>
      </c>
      <c r="CZ423" t="s">
        <v>121</v>
      </c>
      <c r="DA423" t="s">
        <v>122</v>
      </c>
      <c r="DD423">
        <v>14472940</v>
      </c>
      <c r="DE423" t="s">
        <v>123</v>
      </c>
    </row>
    <row r="424" spans="1:109" x14ac:dyDescent="0.3">
      <c r="A424" t="str">
        <f>"18:41:33.039"</f>
        <v>18:41:33.039</v>
      </c>
      <c r="B424" t="s">
        <v>110</v>
      </c>
      <c r="C424" t="str">
        <f t="shared" si="18"/>
        <v>ffdfd3c0</v>
      </c>
      <c r="D424" t="s">
        <v>111</v>
      </c>
      <c r="E424">
        <v>18</v>
      </c>
      <c r="F424">
        <v>1018</v>
      </c>
      <c r="G424" t="s">
        <v>112</v>
      </c>
      <c r="J424" t="s">
        <v>113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R424" t="s">
        <v>114</v>
      </c>
      <c r="S424" t="str">
        <f>"18:41:32.820"</f>
        <v>18:41:32.820</v>
      </c>
      <c r="T424" t="str">
        <f>"18:41:32.422"</f>
        <v>18:41:32.422</v>
      </c>
      <c r="U424" t="str">
        <f t="shared" si="19"/>
        <v>a1cdbe</v>
      </c>
      <c r="V424">
        <v>0</v>
      </c>
      <c r="W424">
        <v>0</v>
      </c>
      <c r="X424">
        <v>1</v>
      </c>
      <c r="Y424">
        <v>0</v>
      </c>
      <c r="Z424">
        <v>0</v>
      </c>
      <c r="AB424">
        <v>0</v>
      </c>
      <c r="AC424">
        <v>9</v>
      </c>
      <c r="AD424">
        <v>3</v>
      </c>
      <c r="AE424">
        <v>0</v>
      </c>
      <c r="AF424">
        <v>9</v>
      </c>
      <c r="AG424" t="s">
        <v>158</v>
      </c>
      <c r="AH424">
        <v>0</v>
      </c>
      <c r="AI424">
        <v>3</v>
      </c>
      <c r="AJ424">
        <v>1</v>
      </c>
      <c r="AK424">
        <v>0</v>
      </c>
      <c r="AL424" t="s">
        <v>917</v>
      </c>
      <c r="AM424">
        <v>46.982753000000002</v>
      </c>
      <c r="AN424" t="s">
        <v>918</v>
      </c>
      <c r="AO424">
        <v>-122.31519</v>
      </c>
      <c r="AP424">
        <v>100</v>
      </c>
      <c r="AQ424">
        <v>2000</v>
      </c>
      <c r="AR424" t="s">
        <v>118</v>
      </c>
      <c r="AS424">
        <v>-31</v>
      </c>
      <c r="AT424">
        <v>-76</v>
      </c>
      <c r="AU424">
        <v>-128</v>
      </c>
      <c r="BC424">
        <v>1200</v>
      </c>
      <c r="BD424">
        <v>1</v>
      </c>
      <c r="BE424" t="str">
        <f t="shared" si="20"/>
        <v xml:space="preserve">N215T   </v>
      </c>
      <c r="BF424">
        <v>1</v>
      </c>
      <c r="BH424">
        <v>0</v>
      </c>
      <c r="BI424">
        <v>0</v>
      </c>
      <c r="BJ424">
        <v>0</v>
      </c>
      <c r="BK424">
        <v>2350</v>
      </c>
      <c r="BL424">
        <v>350</v>
      </c>
      <c r="BM424" t="s">
        <v>119</v>
      </c>
      <c r="BN424">
        <v>1</v>
      </c>
      <c r="BO424">
        <v>1</v>
      </c>
      <c r="BP424">
        <v>1</v>
      </c>
      <c r="BQ424">
        <v>0</v>
      </c>
      <c r="BT424">
        <v>0</v>
      </c>
      <c r="BU424">
        <v>0</v>
      </c>
      <c r="BV424">
        <v>0</v>
      </c>
      <c r="CC424" t="str">
        <f>"18:41:32.820"</f>
        <v>18:41:32.820</v>
      </c>
      <c r="CD424" t="str">
        <f>"823017192"</f>
        <v>823017192</v>
      </c>
      <c r="CQ424">
        <v>0</v>
      </c>
      <c r="CR424">
        <v>2</v>
      </c>
      <c r="CS424">
        <v>0</v>
      </c>
      <c r="CT424">
        <v>2</v>
      </c>
      <c r="CU424">
        <v>0</v>
      </c>
      <c r="CV424">
        <v>3</v>
      </c>
      <c r="CW424" t="s">
        <v>120</v>
      </c>
      <c r="CX424">
        <v>261</v>
      </c>
      <c r="CY424">
        <v>2</v>
      </c>
      <c r="CZ424" t="s">
        <v>121</v>
      </c>
      <c r="DA424" t="s">
        <v>122</v>
      </c>
      <c r="DD424">
        <v>14473458</v>
      </c>
      <c r="DE424" t="s">
        <v>123</v>
      </c>
    </row>
    <row r="425" spans="1:109" x14ac:dyDescent="0.3">
      <c r="A425" t="str">
        <f>"18:41:33.945"</f>
        <v>18:41:33.945</v>
      </c>
      <c r="B425" t="s">
        <v>110</v>
      </c>
      <c r="C425" t="str">
        <f t="shared" si="18"/>
        <v>ffdfd3c0</v>
      </c>
      <c r="D425" t="s">
        <v>111</v>
      </c>
      <c r="E425">
        <v>18</v>
      </c>
      <c r="F425">
        <v>1018</v>
      </c>
      <c r="G425" t="s">
        <v>112</v>
      </c>
      <c r="J425" t="s">
        <v>113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R425" t="s">
        <v>114</v>
      </c>
      <c r="S425" t="str">
        <f>"18:41:33.703"</f>
        <v>18:41:33.703</v>
      </c>
      <c r="T425" t="str">
        <f>"18:41:33.305"</f>
        <v>18:41:33.305</v>
      </c>
      <c r="U425" t="str">
        <f t="shared" si="19"/>
        <v>a1cdbe</v>
      </c>
      <c r="V425">
        <v>0</v>
      </c>
      <c r="W425">
        <v>0</v>
      </c>
      <c r="X425">
        <v>1</v>
      </c>
      <c r="Y425">
        <v>0</v>
      </c>
      <c r="Z425">
        <v>0</v>
      </c>
      <c r="AB425">
        <v>0</v>
      </c>
      <c r="AC425">
        <v>9</v>
      </c>
      <c r="AD425">
        <v>3</v>
      </c>
      <c r="AE425">
        <v>0</v>
      </c>
      <c r="AF425">
        <v>9</v>
      </c>
      <c r="AG425" t="s">
        <v>158</v>
      </c>
      <c r="AH425">
        <v>0</v>
      </c>
      <c r="AI425">
        <v>3</v>
      </c>
      <c r="AJ425">
        <v>1</v>
      </c>
      <c r="AK425">
        <v>0</v>
      </c>
      <c r="AL425" t="s">
        <v>919</v>
      </c>
      <c r="AM425">
        <v>46.982430999999998</v>
      </c>
      <c r="AN425" t="s">
        <v>920</v>
      </c>
      <c r="AO425">
        <v>-122.315319</v>
      </c>
      <c r="AP425">
        <v>100</v>
      </c>
      <c r="AQ425">
        <v>2000</v>
      </c>
      <c r="AR425" t="s">
        <v>118</v>
      </c>
      <c r="AS425">
        <v>-29</v>
      </c>
      <c r="AT425">
        <v>-76</v>
      </c>
      <c r="AU425">
        <v>-128</v>
      </c>
      <c r="BC425">
        <v>1200</v>
      </c>
      <c r="BD425">
        <v>1</v>
      </c>
      <c r="BE425" t="str">
        <f t="shared" si="20"/>
        <v xml:space="preserve">N215T   </v>
      </c>
      <c r="BF425">
        <v>1</v>
      </c>
      <c r="BH425">
        <v>0</v>
      </c>
      <c r="BI425">
        <v>0</v>
      </c>
      <c r="BJ425">
        <v>0</v>
      </c>
      <c r="BK425">
        <v>2325</v>
      </c>
      <c r="BL425">
        <v>325</v>
      </c>
      <c r="BM425" t="s">
        <v>119</v>
      </c>
      <c r="BN425">
        <v>1</v>
      </c>
      <c r="BO425">
        <v>1</v>
      </c>
      <c r="BP425">
        <v>1</v>
      </c>
      <c r="BQ425">
        <v>0</v>
      </c>
      <c r="BT425">
        <v>0</v>
      </c>
      <c r="BU425">
        <v>0</v>
      </c>
      <c r="BV425">
        <v>0</v>
      </c>
      <c r="CC425" t="str">
        <f>"18:41:33.711"</f>
        <v>18:41:33.711</v>
      </c>
      <c r="CD425" t="str">
        <f>"708049297"</f>
        <v>708049297</v>
      </c>
      <c r="CQ425">
        <v>0</v>
      </c>
      <c r="CR425">
        <v>2</v>
      </c>
      <c r="CS425">
        <v>0</v>
      </c>
      <c r="CT425">
        <v>2</v>
      </c>
      <c r="CU425">
        <v>0</v>
      </c>
      <c r="CV425">
        <v>3</v>
      </c>
      <c r="CW425" t="s">
        <v>120</v>
      </c>
      <c r="CX425">
        <v>259</v>
      </c>
      <c r="CY425">
        <v>1</v>
      </c>
      <c r="CZ425" t="s">
        <v>197</v>
      </c>
      <c r="DA425" t="s">
        <v>198</v>
      </c>
      <c r="DD425">
        <v>14911236</v>
      </c>
      <c r="DE425" t="s">
        <v>123</v>
      </c>
    </row>
    <row r="426" spans="1:109" x14ac:dyDescent="0.3">
      <c r="A426" t="str">
        <f>"18:41:34.906"</f>
        <v>18:41:34.906</v>
      </c>
      <c r="B426" t="s">
        <v>110</v>
      </c>
      <c r="C426" t="str">
        <f t="shared" si="18"/>
        <v>ffdfd3c0</v>
      </c>
      <c r="D426" t="s">
        <v>111</v>
      </c>
      <c r="E426">
        <v>18</v>
      </c>
      <c r="F426">
        <v>1018</v>
      </c>
      <c r="G426" t="s">
        <v>112</v>
      </c>
      <c r="J426" t="s">
        <v>113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R426" t="s">
        <v>114</v>
      </c>
      <c r="S426" t="str">
        <f>"18:41:34.648"</f>
        <v>18:41:34.648</v>
      </c>
      <c r="T426" t="str">
        <f>"18:41:34.250"</f>
        <v>18:41:34.250</v>
      </c>
      <c r="U426" t="str">
        <f t="shared" si="19"/>
        <v>a1cdbe</v>
      </c>
      <c r="V426">
        <v>0</v>
      </c>
      <c r="W426">
        <v>0</v>
      </c>
      <c r="X426">
        <v>1</v>
      </c>
      <c r="Y426">
        <v>0</v>
      </c>
      <c r="Z426">
        <v>0</v>
      </c>
      <c r="AB426">
        <v>0</v>
      </c>
      <c r="AC426">
        <v>9</v>
      </c>
      <c r="AD426">
        <v>3</v>
      </c>
      <c r="AE426">
        <v>0</v>
      </c>
      <c r="AF426">
        <v>9</v>
      </c>
      <c r="AG426" t="s">
        <v>158</v>
      </c>
      <c r="AH426">
        <v>0</v>
      </c>
      <c r="AI426">
        <v>3</v>
      </c>
      <c r="AJ426">
        <v>1</v>
      </c>
      <c r="AK426">
        <v>0</v>
      </c>
      <c r="AL426" t="s">
        <v>921</v>
      </c>
      <c r="AM426">
        <v>46.982109999999999</v>
      </c>
      <c r="AN426" t="s">
        <v>922</v>
      </c>
      <c r="AO426">
        <v>-122.315512</v>
      </c>
      <c r="AP426">
        <v>100</v>
      </c>
      <c r="AQ426">
        <v>2000</v>
      </c>
      <c r="AR426" t="s">
        <v>118</v>
      </c>
      <c r="AS426">
        <v>-29</v>
      </c>
      <c r="AT426">
        <v>-76</v>
      </c>
      <c r="AU426">
        <v>-192</v>
      </c>
      <c r="BC426">
        <v>1200</v>
      </c>
      <c r="BD426">
        <v>1</v>
      </c>
      <c r="BE426" t="str">
        <f t="shared" si="20"/>
        <v xml:space="preserve">N215T   </v>
      </c>
      <c r="BF426">
        <v>1</v>
      </c>
      <c r="BH426">
        <v>0</v>
      </c>
      <c r="BI426">
        <v>0</v>
      </c>
      <c r="BJ426">
        <v>0</v>
      </c>
      <c r="BK426">
        <v>2325</v>
      </c>
      <c r="BL426">
        <v>325</v>
      </c>
      <c r="BM426" t="s">
        <v>119</v>
      </c>
      <c r="BN426">
        <v>1</v>
      </c>
      <c r="BO426">
        <v>1</v>
      </c>
      <c r="BP426">
        <v>1</v>
      </c>
      <c r="BQ426">
        <v>0</v>
      </c>
      <c r="BT426">
        <v>0</v>
      </c>
      <c r="BU426">
        <v>0</v>
      </c>
      <c r="BV426">
        <v>0</v>
      </c>
      <c r="CC426" t="str">
        <f>"18:41:34.656"</f>
        <v>18:41:34.656</v>
      </c>
      <c r="CD426" t="str">
        <f>"653048117"</f>
        <v>653048117</v>
      </c>
      <c r="CQ426">
        <v>0</v>
      </c>
      <c r="CR426">
        <v>2</v>
      </c>
      <c r="CS426">
        <v>0</v>
      </c>
      <c r="CT426">
        <v>2</v>
      </c>
      <c r="CU426">
        <v>0</v>
      </c>
      <c r="CV426">
        <v>4</v>
      </c>
      <c r="CW426" t="s">
        <v>120</v>
      </c>
      <c r="CX426">
        <v>257</v>
      </c>
      <c r="CY426">
        <v>1</v>
      </c>
      <c r="CZ426" t="s">
        <v>615</v>
      </c>
      <c r="DA426" t="s">
        <v>616</v>
      </c>
      <c r="DD426">
        <v>10733124</v>
      </c>
      <c r="DE426" t="s">
        <v>123</v>
      </c>
    </row>
    <row r="427" spans="1:109" x14ac:dyDescent="0.3">
      <c r="A427" t="str">
        <f>"18:41:35.805"</f>
        <v>18:41:35.805</v>
      </c>
      <c r="B427" t="s">
        <v>110</v>
      </c>
      <c r="C427" t="str">
        <f t="shared" si="18"/>
        <v>ffdfd3c0</v>
      </c>
      <c r="D427" t="s">
        <v>111</v>
      </c>
      <c r="E427">
        <v>18</v>
      </c>
      <c r="F427">
        <v>1018</v>
      </c>
      <c r="G427" t="s">
        <v>112</v>
      </c>
      <c r="J427" t="s">
        <v>113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R427" t="s">
        <v>114</v>
      </c>
      <c r="S427" t="str">
        <f>"18:41:35.594"</f>
        <v>18:41:35.594</v>
      </c>
      <c r="T427" t="str">
        <f>"18:41:35.195"</f>
        <v>18:41:35.195</v>
      </c>
      <c r="U427" t="str">
        <f t="shared" si="19"/>
        <v>a1cdbe</v>
      </c>
      <c r="V427">
        <v>0</v>
      </c>
      <c r="W427">
        <v>0</v>
      </c>
      <c r="X427">
        <v>1</v>
      </c>
      <c r="Y427">
        <v>0</v>
      </c>
      <c r="Z427">
        <v>0</v>
      </c>
      <c r="AB427">
        <v>0</v>
      </c>
      <c r="AC427">
        <v>9</v>
      </c>
      <c r="AD427">
        <v>3</v>
      </c>
      <c r="AE427">
        <v>0</v>
      </c>
      <c r="AF427">
        <v>9</v>
      </c>
      <c r="AG427" t="s">
        <v>158</v>
      </c>
      <c r="AH427">
        <v>0</v>
      </c>
      <c r="AI427">
        <v>3</v>
      </c>
      <c r="AJ427">
        <v>1</v>
      </c>
      <c r="AK427">
        <v>0</v>
      </c>
      <c r="AL427" t="s">
        <v>923</v>
      </c>
      <c r="AM427">
        <v>46.981788000000002</v>
      </c>
      <c r="AN427" t="s">
        <v>924</v>
      </c>
      <c r="AO427">
        <v>-122.315662</v>
      </c>
      <c r="AP427">
        <v>100</v>
      </c>
      <c r="AQ427">
        <v>2000</v>
      </c>
      <c r="AR427" t="s">
        <v>118</v>
      </c>
      <c r="AS427">
        <v>-28</v>
      </c>
      <c r="AT427">
        <v>-77</v>
      </c>
      <c r="AU427">
        <v>-256</v>
      </c>
      <c r="BC427">
        <v>1200</v>
      </c>
      <c r="BD427">
        <v>1</v>
      </c>
      <c r="BE427" t="str">
        <f t="shared" si="20"/>
        <v xml:space="preserve">N215T   </v>
      </c>
      <c r="BF427">
        <v>1</v>
      </c>
      <c r="BH427">
        <v>0</v>
      </c>
      <c r="BI427">
        <v>0</v>
      </c>
      <c r="BJ427">
        <v>0</v>
      </c>
      <c r="BK427">
        <v>2325</v>
      </c>
      <c r="BL427">
        <v>325</v>
      </c>
      <c r="BM427" t="s">
        <v>119</v>
      </c>
      <c r="BN427">
        <v>1</v>
      </c>
      <c r="BO427">
        <v>1</v>
      </c>
      <c r="BP427">
        <v>1</v>
      </c>
      <c r="BQ427">
        <v>0</v>
      </c>
      <c r="BT427">
        <v>0</v>
      </c>
      <c r="BU427">
        <v>0</v>
      </c>
      <c r="BV427">
        <v>0</v>
      </c>
      <c r="CC427" t="str">
        <f>"18:41:35.602"</f>
        <v>18:41:35.602</v>
      </c>
      <c r="CD427" t="str">
        <f>"597744222"</f>
        <v>597744222</v>
      </c>
      <c r="CQ427">
        <v>0</v>
      </c>
      <c r="CR427">
        <v>2</v>
      </c>
      <c r="CS427">
        <v>0</v>
      </c>
      <c r="CT427">
        <v>2</v>
      </c>
      <c r="CU427">
        <v>0</v>
      </c>
      <c r="CV427">
        <v>5</v>
      </c>
      <c r="CW427" t="s">
        <v>120</v>
      </c>
      <c r="CX427">
        <v>261</v>
      </c>
      <c r="CY427">
        <v>1</v>
      </c>
      <c r="CZ427" t="s">
        <v>121</v>
      </c>
      <c r="DA427" t="s">
        <v>122</v>
      </c>
      <c r="DD427">
        <v>3355014</v>
      </c>
      <c r="DE427" t="s">
        <v>123</v>
      </c>
    </row>
    <row r="428" spans="1:109" x14ac:dyDescent="0.3">
      <c r="A428" t="str">
        <f>"18:41:36.813"</f>
        <v>18:41:36.813</v>
      </c>
      <c r="B428" t="s">
        <v>110</v>
      </c>
      <c r="C428" t="str">
        <f t="shared" si="18"/>
        <v>ffdfd3c0</v>
      </c>
      <c r="D428" t="s">
        <v>111</v>
      </c>
      <c r="E428">
        <v>18</v>
      </c>
      <c r="F428">
        <v>1018</v>
      </c>
      <c r="G428" t="s">
        <v>112</v>
      </c>
      <c r="J428" t="s">
        <v>113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R428" t="s">
        <v>114</v>
      </c>
      <c r="S428" t="str">
        <f>"18:41:36.602"</f>
        <v>18:41:36.602</v>
      </c>
      <c r="T428" t="str">
        <f>"18:41:36.398"</f>
        <v>18:41:36.398</v>
      </c>
      <c r="U428" t="str">
        <f t="shared" si="19"/>
        <v>a1cdbe</v>
      </c>
      <c r="V428">
        <v>0</v>
      </c>
      <c r="W428">
        <v>0</v>
      </c>
      <c r="X428">
        <v>1</v>
      </c>
      <c r="Y428">
        <v>0</v>
      </c>
      <c r="Z428">
        <v>0</v>
      </c>
      <c r="AB428">
        <v>0</v>
      </c>
      <c r="AC428">
        <v>9</v>
      </c>
      <c r="AD428">
        <v>3</v>
      </c>
      <c r="AE428">
        <v>0</v>
      </c>
      <c r="AF428">
        <v>9</v>
      </c>
      <c r="AG428" t="s">
        <v>158</v>
      </c>
      <c r="AH428">
        <v>0</v>
      </c>
      <c r="AI428">
        <v>3</v>
      </c>
      <c r="AJ428">
        <v>1</v>
      </c>
      <c r="AK428">
        <v>0</v>
      </c>
      <c r="AL428" t="s">
        <v>925</v>
      </c>
      <c r="AM428">
        <v>46.981400999999998</v>
      </c>
      <c r="AN428" t="s">
        <v>926</v>
      </c>
      <c r="AO428">
        <v>-122.315855</v>
      </c>
      <c r="AP428">
        <v>100</v>
      </c>
      <c r="AQ428">
        <v>1900</v>
      </c>
      <c r="AR428" t="s">
        <v>118</v>
      </c>
      <c r="AS428">
        <v>-27</v>
      </c>
      <c r="AT428">
        <v>-77</v>
      </c>
      <c r="AU428">
        <v>-256</v>
      </c>
      <c r="BC428">
        <v>1200</v>
      </c>
      <c r="BD428">
        <v>1</v>
      </c>
      <c r="BE428" t="str">
        <f t="shared" si="20"/>
        <v xml:space="preserve">N215T   </v>
      </c>
      <c r="BF428">
        <v>1</v>
      </c>
      <c r="BH428">
        <v>0</v>
      </c>
      <c r="BI428">
        <v>0</v>
      </c>
      <c r="BJ428">
        <v>0</v>
      </c>
      <c r="BK428">
        <v>2425</v>
      </c>
      <c r="BL428">
        <v>525</v>
      </c>
      <c r="BM428" t="s">
        <v>119</v>
      </c>
      <c r="BN428">
        <v>1</v>
      </c>
      <c r="BO428">
        <v>1</v>
      </c>
      <c r="BP428">
        <v>1</v>
      </c>
      <c r="BQ428">
        <v>0</v>
      </c>
      <c r="BT428">
        <v>0</v>
      </c>
      <c r="BU428">
        <v>0</v>
      </c>
      <c r="BV428">
        <v>0</v>
      </c>
      <c r="CC428" t="str">
        <f>"18:41:36.602"</f>
        <v>18:41:36.602</v>
      </c>
      <c r="CD428" t="str">
        <f>"602855959"</f>
        <v>602855959</v>
      </c>
      <c r="CQ428">
        <v>0</v>
      </c>
      <c r="CR428">
        <v>2</v>
      </c>
      <c r="CS428">
        <v>0</v>
      </c>
      <c r="CT428">
        <v>2</v>
      </c>
      <c r="CU428">
        <v>0</v>
      </c>
      <c r="CV428">
        <v>5</v>
      </c>
      <c r="CW428" t="s">
        <v>120</v>
      </c>
      <c r="CX428">
        <v>257</v>
      </c>
      <c r="CY428">
        <v>1</v>
      </c>
      <c r="CZ428" t="s">
        <v>615</v>
      </c>
      <c r="DA428" t="s">
        <v>616</v>
      </c>
      <c r="DD428">
        <v>10734399</v>
      </c>
      <c r="DE428" t="s">
        <v>123</v>
      </c>
    </row>
    <row r="429" spans="1:109" x14ac:dyDescent="0.3">
      <c r="A429" t="str">
        <f>"18:41:37.922"</f>
        <v>18:41:37.922</v>
      </c>
      <c r="B429" t="s">
        <v>110</v>
      </c>
      <c r="C429" t="str">
        <f t="shared" si="18"/>
        <v>ffdfd3c0</v>
      </c>
      <c r="D429" t="s">
        <v>111</v>
      </c>
      <c r="E429">
        <v>18</v>
      </c>
      <c r="F429">
        <v>1018</v>
      </c>
      <c r="G429" t="s">
        <v>112</v>
      </c>
      <c r="J429" t="s">
        <v>113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R429" t="s">
        <v>114</v>
      </c>
      <c r="S429" t="str">
        <f>"18:41:37.664"</f>
        <v>18:41:37.664</v>
      </c>
      <c r="T429" t="str">
        <f>"18:41:37.266"</f>
        <v>18:41:37.266</v>
      </c>
      <c r="U429" t="str">
        <f t="shared" si="19"/>
        <v>a1cdbe</v>
      </c>
      <c r="V429">
        <v>0</v>
      </c>
      <c r="W429">
        <v>0</v>
      </c>
      <c r="X429">
        <v>1</v>
      </c>
      <c r="Y429">
        <v>0</v>
      </c>
      <c r="Z429">
        <v>0</v>
      </c>
      <c r="AB429">
        <v>0</v>
      </c>
      <c r="AC429">
        <v>9</v>
      </c>
      <c r="AD429">
        <v>3</v>
      </c>
      <c r="AE429">
        <v>0</v>
      </c>
      <c r="AF429">
        <v>9</v>
      </c>
      <c r="AG429" t="s">
        <v>158</v>
      </c>
      <c r="AH429">
        <v>0</v>
      </c>
      <c r="AI429">
        <v>3</v>
      </c>
      <c r="AJ429">
        <v>1</v>
      </c>
      <c r="AK429">
        <v>0</v>
      </c>
      <c r="AL429" t="s">
        <v>927</v>
      </c>
      <c r="AM429">
        <v>46.981014999999999</v>
      </c>
      <c r="AN429" t="s">
        <v>928</v>
      </c>
      <c r="AO429">
        <v>-122.31607</v>
      </c>
      <c r="AP429">
        <v>100</v>
      </c>
      <c r="AQ429">
        <v>1900</v>
      </c>
      <c r="AR429" t="s">
        <v>118</v>
      </c>
      <c r="AS429">
        <v>-27</v>
      </c>
      <c r="AT429">
        <v>-78</v>
      </c>
      <c r="AU429">
        <v>-256</v>
      </c>
      <c r="BC429">
        <v>1200</v>
      </c>
      <c r="BD429">
        <v>1</v>
      </c>
      <c r="BE429" t="str">
        <f t="shared" si="20"/>
        <v xml:space="preserve">N215T   </v>
      </c>
      <c r="BF429">
        <v>1</v>
      </c>
      <c r="BH429">
        <v>0</v>
      </c>
      <c r="BI429">
        <v>0</v>
      </c>
      <c r="BJ429">
        <v>0</v>
      </c>
      <c r="BK429">
        <v>2325</v>
      </c>
      <c r="BL429">
        <v>425</v>
      </c>
      <c r="BM429" t="s">
        <v>119</v>
      </c>
      <c r="BN429">
        <v>1</v>
      </c>
      <c r="BO429">
        <v>1</v>
      </c>
      <c r="BP429">
        <v>1</v>
      </c>
      <c r="BQ429">
        <v>0</v>
      </c>
      <c r="BT429">
        <v>0</v>
      </c>
      <c r="BU429">
        <v>0</v>
      </c>
      <c r="BV429">
        <v>0</v>
      </c>
      <c r="CC429" t="str">
        <f>"18:41:37.664"</f>
        <v>18:41:37.664</v>
      </c>
      <c r="CD429" t="str">
        <f>"667751006"</f>
        <v>667751006</v>
      </c>
      <c r="CQ429">
        <v>0</v>
      </c>
      <c r="CR429">
        <v>2</v>
      </c>
      <c r="CS429">
        <v>0</v>
      </c>
      <c r="CT429">
        <v>2</v>
      </c>
      <c r="CU429">
        <v>0</v>
      </c>
      <c r="CV429">
        <v>5</v>
      </c>
      <c r="CW429" t="s">
        <v>120</v>
      </c>
      <c r="CX429">
        <v>257</v>
      </c>
      <c r="CY429">
        <v>1</v>
      </c>
      <c r="CZ429" t="s">
        <v>615</v>
      </c>
      <c r="DA429" t="s">
        <v>616</v>
      </c>
      <c r="DD429">
        <v>10735075</v>
      </c>
      <c r="DE429" t="s">
        <v>123</v>
      </c>
    </row>
    <row r="430" spans="1:109" x14ac:dyDescent="0.3">
      <c r="A430" t="str">
        <f>"18:41:39.023"</f>
        <v>18:41:39.023</v>
      </c>
      <c r="B430" t="s">
        <v>110</v>
      </c>
      <c r="C430" t="str">
        <f t="shared" si="18"/>
        <v>ffdfd3c0</v>
      </c>
      <c r="D430" t="s">
        <v>111</v>
      </c>
      <c r="E430">
        <v>18</v>
      </c>
      <c r="F430">
        <v>1018</v>
      </c>
      <c r="G430" t="s">
        <v>112</v>
      </c>
      <c r="J430" t="s">
        <v>113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R430" t="s">
        <v>114</v>
      </c>
      <c r="S430" t="str">
        <f>"18:41:38.805"</f>
        <v>18:41:38.805</v>
      </c>
      <c r="T430" t="str">
        <f>"18:41:38.406"</f>
        <v>18:41:38.406</v>
      </c>
      <c r="U430" t="str">
        <f t="shared" si="19"/>
        <v>a1cdbe</v>
      </c>
      <c r="V430">
        <v>0</v>
      </c>
      <c r="W430">
        <v>0</v>
      </c>
      <c r="X430">
        <v>1</v>
      </c>
      <c r="Y430">
        <v>0</v>
      </c>
      <c r="Z430">
        <v>0</v>
      </c>
      <c r="AB430">
        <v>0</v>
      </c>
      <c r="AC430">
        <v>9</v>
      </c>
      <c r="AD430">
        <v>3</v>
      </c>
      <c r="AE430">
        <v>0</v>
      </c>
      <c r="AF430">
        <v>9</v>
      </c>
      <c r="AG430" t="s">
        <v>158</v>
      </c>
      <c r="AH430">
        <v>0</v>
      </c>
      <c r="AI430">
        <v>3</v>
      </c>
      <c r="AJ430">
        <v>1</v>
      </c>
      <c r="AK430">
        <v>0</v>
      </c>
      <c r="AL430" t="s">
        <v>929</v>
      </c>
      <c r="AM430">
        <v>46.980607999999997</v>
      </c>
      <c r="AN430" t="s">
        <v>930</v>
      </c>
      <c r="AO430">
        <v>-122.316284</v>
      </c>
      <c r="AP430">
        <v>100</v>
      </c>
      <c r="AQ430">
        <v>1900</v>
      </c>
      <c r="AR430" t="s">
        <v>118</v>
      </c>
      <c r="AS430">
        <v>-27</v>
      </c>
      <c r="AT430">
        <v>-78</v>
      </c>
      <c r="AU430">
        <v>-256</v>
      </c>
      <c r="BC430">
        <v>1200</v>
      </c>
      <c r="BD430">
        <v>1</v>
      </c>
      <c r="BE430" t="str">
        <f t="shared" si="20"/>
        <v xml:space="preserve">N215T   </v>
      </c>
      <c r="BF430">
        <v>1</v>
      </c>
      <c r="BH430">
        <v>0</v>
      </c>
      <c r="BI430">
        <v>0</v>
      </c>
      <c r="BJ430">
        <v>0</v>
      </c>
      <c r="BK430">
        <v>2325</v>
      </c>
      <c r="BL430">
        <v>425</v>
      </c>
      <c r="BM430" t="s">
        <v>119</v>
      </c>
      <c r="BN430">
        <v>1</v>
      </c>
      <c r="BO430">
        <v>1</v>
      </c>
      <c r="BP430">
        <v>1</v>
      </c>
      <c r="BQ430">
        <v>0</v>
      </c>
      <c r="BT430">
        <v>0</v>
      </c>
      <c r="BU430">
        <v>0</v>
      </c>
      <c r="BV430">
        <v>0</v>
      </c>
      <c r="CC430" t="str">
        <f>"18:41:38.805"</f>
        <v>18:41:38.805</v>
      </c>
      <c r="CD430" t="str">
        <f>"807638658"</f>
        <v>807638658</v>
      </c>
      <c r="CQ430">
        <v>0</v>
      </c>
      <c r="CR430">
        <v>2</v>
      </c>
      <c r="CS430">
        <v>0</v>
      </c>
      <c r="CT430">
        <v>2</v>
      </c>
      <c r="CU430">
        <v>0</v>
      </c>
      <c r="CV430">
        <v>5</v>
      </c>
      <c r="CW430" t="s">
        <v>120</v>
      </c>
      <c r="CX430">
        <v>257</v>
      </c>
      <c r="CY430">
        <v>1</v>
      </c>
      <c r="CZ430" t="s">
        <v>615</v>
      </c>
      <c r="DA430" t="s">
        <v>616</v>
      </c>
      <c r="DD430">
        <v>10735817</v>
      </c>
      <c r="DE430" t="s">
        <v>123</v>
      </c>
    </row>
    <row r="431" spans="1:109" x14ac:dyDescent="0.3">
      <c r="A431" t="str">
        <f>"18:41:40.180"</f>
        <v>18:41:40.180</v>
      </c>
      <c r="B431" t="s">
        <v>110</v>
      </c>
      <c r="C431" t="str">
        <f t="shared" si="18"/>
        <v>ffdfd3c0</v>
      </c>
      <c r="D431" t="s">
        <v>111</v>
      </c>
      <c r="E431">
        <v>18</v>
      </c>
      <c r="F431">
        <v>1018</v>
      </c>
      <c r="G431" t="s">
        <v>112</v>
      </c>
      <c r="J431" t="s">
        <v>113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R431" t="s">
        <v>114</v>
      </c>
      <c r="S431" t="str">
        <f>"18:41:39.898"</f>
        <v>18:41:39.898</v>
      </c>
      <c r="T431" t="str">
        <f>"18:41:39.398"</f>
        <v>18:41:39.398</v>
      </c>
      <c r="U431" t="str">
        <f t="shared" si="19"/>
        <v>a1cdbe</v>
      </c>
      <c r="V431">
        <v>0</v>
      </c>
      <c r="W431">
        <v>0</v>
      </c>
      <c r="X431">
        <v>1</v>
      </c>
      <c r="Y431">
        <v>0</v>
      </c>
      <c r="Z431">
        <v>0</v>
      </c>
      <c r="AB431">
        <v>0</v>
      </c>
      <c r="AC431">
        <v>9</v>
      </c>
      <c r="AD431">
        <v>3</v>
      </c>
      <c r="AE431">
        <v>0</v>
      </c>
      <c r="AF431">
        <v>9</v>
      </c>
      <c r="AG431" t="s">
        <v>158</v>
      </c>
      <c r="AH431">
        <v>0</v>
      </c>
      <c r="AI431">
        <v>3</v>
      </c>
      <c r="AJ431">
        <v>1</v>
      </c>
      <c r="AK431">
        <v>0</v>
      </c>
      <c r="AL431" t="s">
        <v>931</v>
      </c>
      <c r="AM431">
        <v>46.980243000000002</v>
      </c>
      <c r="AN431" t="s">
        <v>932</v>
      </c>
      <c r="AO431">
        <v>-122.31649899999999</v>
      </c>
      <c r="AP431">
        <v>100</v>
      </c>
      <c r="AQ431">
        <v>1900</v>
      </c>
      <c r="AR431" t="s">
        <v>118</v>
      </c>
      <c r="AS431">
        <v>-27</v>
      </c>
      <c r="AT431">
        <v>-78</v>
      </c>
      <c r="AU431">
        <v>-320</v>
      </c>
      <c r="BC431">
        <v>1200</v>
      </c>
      <c r="BD431">
        <v>1</v>
      </c>
      <c r="BE431" t="str">
        <f t="shared" si="20"/>
        <v xml:space="preserve">N215T   </v>
      </c>
      <c r="BF431">
        <v>1</v>
      </c>
      <c r="BH431">
        <v>0</v>
      </c>
      <c r="BI431">
        <v>0</v>
      </c>
      <c r="BJ431">
        <v>0</v>
      </c>
      <c r="BK431">
        <v>2325</v>
      </c>
      <c r="BL431">
        <v>425</v>
      </c>
      <c r="BM431" t="s">
        <v>119</v>
      </c>
      <c r="BN431">
        <v>1</v>
      </c>
      <c r="BO431">
        <v>1</v>
      </c>
      <c r="BP431">
        <v>1</v>
      </c>
      <c r="BQ431">
        <v>0</v>
      </c>
      <c r="BT431">
        <v>0</v>
      </c>
      <c r="BU431">
        <v>0</v>
      </c>
      <c r="BV431">
        <v>0</v>
      </c>
      <c r="CC431" t="str">
        <f>"18:41:39.898"</f>
        <v>18:41:39.898</v>
      </c>
      <c r="CD431" t="str">
        <f>"902320897"</f>
        <v>902320897</v>
      </c>
      <c r="CQ431">
        <v>0</v>
      </c>
      <c r="CR431">
        <v>2</v>
      </c>
      <c r="CS431">
        <v>0</v>
      </c>
      <c r="CT431">
        <v>2</v>
      </c>
      <c r="CU431">
        <v>0</v>
      </c>
      <c r="CV431">
        <v>4</v>
      </c>
      <c r="CW431" t="s">
        <v>120</v>
      </c>
      <c r="CX431">
        <v>261</v>
      </c>
      <c r="CY431">
        <v>1</v>
      </c>
      <c r="CZ431" t="s">
        <v>121</v>
      </c>
      <c r="DA431" t="s">
        <v>122</v>
      </c>
      <c r="DD431">
        <v>3357612</v>
      </c>
      <c r="DE431" t="s">
        <v>123</v>
      </c>
    </row>
    <row r="432" spans="1:109" x14ac:dyDescent="0.3">
      <c r="A432" t="str">
        <f>"18:41:41.086"</f>
        <v>18:41:41.086</v>
      </c>
      <c r="B432" t="s">
        <v>110</v>
      </c>
      <c r="C432" t="str">
        <f t="shared" si="18"/>
        <v>ffdfd3c0</v>
      </c>
      <c r="D432" t="s">
        <v>111</v>
      </c>
      <c r="E432">
        <v>18</v>
      </c>
      <c r="F432">
        <v>1018</v>
      </c>
      <c r="G432" t="s">
        <v>112</v>
      </c>
      <c r="J432" t="s">
        <v>113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R432" t="s">
        <v>114</v>
      </c>
      <c r="S432" t="str">
        <f>"18:41:40.844"</f>
        <v>18:41:40.844</v>
      </c>
      <c r="T432" t="str">
        <f>"18:41:40.547"</f>
        <v>18:41:40.547</v>
      </c>
      <c r="U432" t="str">
        <f t="shared" si="19"/>
        <v>a1cdbe</v>
      </c>
      <c r="V432">
        <v>0</v>
      </c>
      <c r="W432">
        <v>0</v>
      </c>
      <c r="X432">
        <v>1</v>
      </c>
      <c r="Y432">
        <v>0</v>
      </c>
      <c r="Z432">
        <v>0</v>
      </c>
      <c r="AB432">
        <v>0</v>
      </c>
      <c r="AC432">
        <v>9</v>
      </c>
      <c r="AD432">
        <v>3</v>
      </c>
      <c r="AE432">
        <v>0</v>
      </c>
      <c r="AF432">
        <v>9</v>
      </c>
      <c r="AG432" t="s">
        <v>158</v>
      </c>
      <c r="AH432">
        <v>0</v>
      </c>
      <c r="AI432">
        <v>3</v>
      </c>
      <c r="AJ432">
        <v>1</v>
      </c>
      <c r="AK432">
        <v>0</v>
      </c>
      <c r="AL432" t="s">
        <v>933</v>
      </c>
      <c r="AM432">
        <v>46.979877999999999</v>
      </c>
      <c r="AN432" t="s">
        <v>934</v>
      </c>
      <c r="AO432">
        <v>-122.31662799999999</v>
      </c>
      <c r="AP432">
        <v>100</v>
      </c>
      <c r="AQ432">
        <v>1900</v>
      </c>
      <c r="AR432" t="s">
        <v>118</v>
      </c>
      <c r="AS432">
        <v>-27</v>
      </c>
      <c r="AT432">
        <v>-78</v>
      </c>
      <c r="AU432">
        <v>-320</v>
      </c>
      <c r="BC432">
        <v>1200</v>
      </c>
      <c r="BD432">
        <v>1</v>
      </c>
      <c r="BE432" t="str">
        <f t="shared" si="20"/>
        <v xml:space="preserve">N215T   </v>
      </c>
      <c r="BF432">
        <v>1</v>
      </c>
      <c r="BH432">
        <v>0</v>
      </c>
      <c r="BI432">
        <v>0</v>
      </c>
      <c r="BJ432">
        <v>0</v>
      </c>
      <c r="BK432">
        <v>2300</v>
      </c>
      <c r="BL432">
        <v>400</v>
      </c>
      <c r="BM432" t="s">
        <v>119</v>
      </c>
      <c r="BN432">
        <v>1</v>
      </c>
      <c r="BO432">
        <v>1</v>
      </c>
      <c r="BP432">
        <v>1</v>
      </c>
      <c r="BQ432">
        <v>0</v>
      </c>
      <c r="BT432">
        <v>0</v>
      </c>
      <c r="BU432">
        <v>0</v>
      </c>
      <c r="BV432">
        <v>0</v>
      </c>
      <c r="CC432" t="str">
        <f>"18:41:40.844"</f>
        <v>18:41:40.844</v>
      </c>
      <c r="CD432" t="str">
        <f>"847227939"</f>
        <v>847227939</v>
      </c>
      <c r="CQ432">
        <v>0</v>
      </c>
      <c r="CR432">
        <v>2</v>
      </c>
      <c r="CS432">
        <v>0</v>
      </c>
      <c r="CT432">
        <v>2</v>
      </c>
      <c r="CU432">
        <v>0</v>
      </c>
      <c r="CV432">
        <v>4</v>
      </c>
      <c r="CW432" t="s">
        <v>120</v>
      </c>
      <c r="CX432">
        <v>261</v>
      </c>
      <c r="CY432">
        <v>2</v>
      </c>
      <c r="CZ432" t="s">
        <v>121</v>
      </c>
      <c r="DA432" t="s">
        <v>122</v>
      </c>
      <c r="DD432">
        <v>14477589</v>
      </c>
      <c r="DE432" t="s">
        <v>123</v>
      </c>
    </row>
    <row r="433" spans="1:109" x14ac:dyDescent="0.3">
      <c r="A433" t="str">
        <f>"18:41:42.141"</f>
        <v>18:41:42.141</v>
      </c>
      <c r="B433" t="s">
        <v>110</v>
      </c>
      <c r="C433" t="str">
        <f t="shared" si="18"/>
        <v>ffdfd3c0</v>
      </c>
      <c r="D433" t="s">
        <v>111</v>
      </c>
      <c r="E433">
        <v>18</v>
      </c>
      <c r="F433">
        <v>1018</v>
      </c>
      <c r="G433" t="s">
        <v>112</v>
      </c>
      <c r="J433" t="s">
        <v>113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R433" t="s">
        <v>114</v>
      </c>
      <c r="S433" t="str">
        <f>"18:41:41.922"</f>
        <v>18:41:41.922</v>
      </c>
      <c r="T433" t="str">
        <f>"18:41:41.523"</f>
        <v>18:41:41.523</v>
      </c>
      <c r="U433" t="str">
        <f t="shared" si="19"/>
        <v>a1cdbe</v>
      </c>
      <c r="V433">
        <v>0</v>
      </c>
      <c r="W433">
        <v>0</v>
      </c>
      <c r="X433">
        <v>1</v>
      </c>
      <c r="Y433">
        <v>0</v>
      </c>
      <c r="Z433">
        <v>0</v>
      </c>
      <c r="AB433">
        <v>0</v>
      </c>
      <c r="AC433">
        <v>9</v>
      </c>
      <c r="AD433">
        <v>3</v>
      </c>
      <c r="AE433">
        <v>0</v>
      </c>
      <c r="AF433">
        <v>9</v>
      </c>
      <c r="AG433" t="s">
        <v>158</v>
      </c>
      <c r="AH433">
        <v>0</v>
      </c>
      <c r="AI433">
        <v>3</v>
      </c>
      <c r="AJ433">
        <v>1</v>
      </c>
      <c r="AK433">
        <v>0</v>
      </c>
      <c r="AL433" t="s">
        <v>935</v>
      </c>
      <c r="AM433">
        <v>46.979492</v>
      </c>
      <c r="AN433" t="s">
        <v>936</v>
      </c>
      <c r="AO433">
        <v>-122.31684199999999</v>
      </c>
      <c r="AP433">
        <v>100</v>
      </c>
      <c r="AQ433">
        <v>1900</v>
      </c>
      <c r="AR433" t="s">
        <v>118</v>
      </c>
      <c r="AS433">
        <v>-27</v>
      </c>
      <c r="AT433">
        <v>-79</v>
      </c>
      <c r="AU433">
        <v>-256</v>
      </c>
      <c r="BC433">
        <v>1200</v>
      </c>
      <c r="BD433">
        <v>1</v>
      </c>
      <c r="BE433" t="str">
        <f t="shared" si="20"/>
        <v xml:space="preserve">N215T   </v>
      </c>
      <c r="BF433">
        <v>1</v>
      </c>
      <c r="BH433">
        <v>0</v>
      </c>
      <c r="BI433">
        <v>0</v>
      </c>
      <c r="BJ433">
        <v>0</v>
      </c>
      <c r="BK433">
        <v>2300</v>
      </c>
      <c r="BL433">
        <v>400</v>
      </c>
      <c r="BM433" t="s">
        <v>119</v>
      </c>
      <c r="BN433">
        <v>1</v>
      </c>
      <c r="BO433">
        <v>1</v>
      </c>
      <c r="BP433">
        <v>1</v>
      </c>
      <c r="BQ433">
        <v>0</v>
      </c>
      <c r="BT433">
        <v>0</v>
      </c>
      <c r="BU433">
        <v>0</v>
      </c>
      <c r="BV433">
        <v>0</v>
      </c>
      <c r="CC433" t="str">
        <f>"18:41:41.930"</f>
        <v>18:41:41.930</v>
      </c>
      <c r="CD433" t="str">
        <f>"927331196"</f>
        <v>927331196</v>
      </c>
      <c r="CQ433">
        <v>0</v>
      </c>
      <c r="CR433">
        <v>2</v>
      </c>
      <c r="CS433">
        <v>0</v>
      </c>
      <c r="CT433">
        <v>2</v>
      </c>
      <c r="CU433">
        <v>0</v>
      </c>
      <c r="CV433">
        <v>5</v>
      </c>
      <c r="CW433" t="s">
        <v>120</v>
      </c>
      <c r="CX433">
        <v>257</v>
      </c>
      <c r="CY433">
        <v>1</v>
      </c>
      <c r="CZ433" t="s">
        <v>615</v>
      </c>
      <c r="DA433" t="s">
        <v>616</v>
      </c>
      <c r="DD433">
        <v>10737838</v>
      </c>
      <c r="DE433" t="s">
        <v>123</v>
      </c>
    </row>
    <row r="434" spans="1:109" x14ac:dyDescent="0.3">
      <c r="A434" t="str">
        <f>"18:41:43.047"</f>
        <v>18:41:43.047</v>
      </c>
      <c r="B434" t="s">
        <v>110</v>
      </c>
      <c r="C434" t="str">
        <f t="shared" si="18"/>
        <v>ffdfd3c0</v>
      </c>
      <c r="D434" t="s">
        <v>111</v>
      </c>
      <c r="E434">
        <v>18</v>
      </c>
      <c r="F434">
        <v>1018</v>
      </c>
      <c r="G434" t="s">
        <v>112</v>
      </c>
      <c r="J434" t="s">
        <v>113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R434" t="s">
        <v>114</v>
      </c>
      <c r="S434" t="str">
        <f>"18:41:42.820"</f>
        <v>18:41:42.820</v>
      </c>
      <c r="T434" t="str">
        <f>"18:41:42.422"</f>
        <v>18:41:42.422</v>
      </c>
      <c r="U434" t="str">
        <f t="shared" si="19"/>
        <v>a1cdbe</v>
      </c>
      <c r="V434">
        <v>0</v>
      </c>
      <c r="W434">
        <v>0</v>
      </c>
      <c r="X434">
        <v>1</v>
      </c>
      <c r="Y434">
        <v>0</v>
      </c>
      <c r="Z434">
        <v>0</v>
      </c>
      <c r="AB434">
        <v>0</v>
      </c>
      <c r="AC434">
        <v>9</v>
      </c>
      <c r="AD434">
        <v>3</v>
      </c>
      <c r="AE434">
        <v>0</v>
      </c>
      <c r="AF434">
        <v>9</v>
      </c>
      <c r="AG434" t="s">
        <v>158</v>
      </c>
      <c r="AH434">
        <v>0</v>
      </c>
      <c r="AI434">
        <v>3</v>
      </c>
      <c r="AJ434">
        <v>1</v>
      </c>
      <c r="AK434">
        <v>0</v>
      </c>
      <c r="AL434" t="s">
        <v>937</v>
      </c>
      <c r="AM434">
        <v>46.979191</v>
      </c>
      <c r="AN434" t="s">
        <v>938</v>
      </c>
      <c r="AO434">
        <v>-122.317035</v>
      </c>
      <c r="AP434">
        <v>100</v>
      </c>
      <c r="AQ434">
        <v>1900</v>
      </c>
      <c r="AR434" t="s">
        <v>118</v>
      </c>
      <c r="AS434">
        <v>-27</v>
      </c>
      <c r="AT434">
        <v>-79</v>
      </c>
      <c r="AU434">
        <v>-256</v>
      </c>
      <c r="BC434">
        <v>1200</v>
      </c>
      <c r="BD434">
        <v>1</v>
      </c>
      <c r="BE434" t="str">
        <f t="shared" si="20"/>
        <v xml:space="preserve">N215T   </v>
      </c>
      <c r="BF434">
        <v>1</v>
      </c>
      <c r="BH434">
        <v>0</v>
      </c>
      <c r="BI434">
        <v>0</v>
      </c>
      <c r="BJ434">
        <v>0</v>
      </c>
      <c r="BK434">
        <v>2300</v>
      </c>
      <c r="BL434">
        <v>400</v>
      </c>
      <c r="BM434" t="s">
        <v>119</v>
      </c>
      <c r="BN434">
        <v>1</v>
      </c>
      <c r="BO434">
        <v>1</v>
      </c>
      <c r="BP434">
        <v>1</v>
      </c>
      <c r="BQ434">
        <v>0</v>
      </c>
      <c r="BT434">
        <v>0</v>
      </c>
      <c r="BU434">
        <v>0</v>
      </c>
      <c r="BV434">
        <v>0</v>
      </c>
      <c r="CC434" t="str">
        <f>"18:41:42.828"</f>
        <v>18:41:42.828</v>
      </c>
      <c r="CD434" t="str">
        <f>"827242510"</f>
        <v>827242510</v>
      </c>
      <c r="CQ434">
        <v>0</v>
      </c>
      <c r="CR434">
        <v>2</v>
      </c>
      <c r="CS434">
        <v>0</v>
      </c>
      <c r="CT434">
        <v>2</v>
      </c>
      <c r="CU434">
        <v>0</v>
      </c>
      <c r="CV434">
        <v>5</v>
      </c>
      <c r="CW434" t="s">
        <v>120</v>
      </c>
      <c r="CX434">
        <v>257</v>
      </c>
      <c r="CY434">
        <v>1</v>
      </c>
      <c r="CZ434" t="s">
        <v>615</v>
      </c>
      <c r="DA434" t="s">
        <v>616</v>
      </c>
      <c r="DD434">
        <v>10738407</v>
      </c>
      <c r="DE434" t="s">
        <v>123</v>
      </c>
    </row>
    <row r="435" spans="1:109" x14ac:dyDescent="0.3">
      <c r="A435" t="str">
        <f>"18:41:44.000"</f>
        <v>18:41:44.000</v>
      </c>
      <c r="B435" t="s">
        <v>110</v>
      </c>
      <c r="C435" t="str">
        <f t="shared" si="18"/>
        <v>ffdfd3c0</v>
      </c>
      <c r="D435" t="s">
        <v>111</v>
      </c>
      <c r="E435">
        <v>18</v>
      </c>
      <c r="F435">
        <v>1018</v>
      </c>
      <c r="G435" t="s">
        <v>112</v>
      </c>
      <c r="J435" t="s">
        <v>113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R435" t="s">
        <v>114</v>
      </c>
      <c r="S435" t="str">
        <f>"18:41:43.781"</f>
        <v>18:41:43.781</v>
      </c>
      <c r="T435" t="str">
        <f>"18:41:43.578"</f>
        <v>18:41:43.578</v>
      </c>
      <c r="U435" t="str">
        <f t="shared" si="19"/>
        <v>a1cdbe</v>
      </c>
      <c r="V435">
        <v>0</v>
      </c>
      <c r="W435">
        <v>0</v>
      </c>
      <c r="X435">
        <v>1</v>
      </c>
      <c r="Y435">
        <v>0</v>
      </c>
      <c r="Z435">
        <v>0</v>
      </c>
      <c r="AB435">
        <v>0</v>
      </c>
      <c r="AC435">
        <v>9</v>
      </c>
      <c r="AD435">
        <v>3</v>
      </c>
      <c r="AE435">
        <v>0</v>
      </c>
      <c r="AF435">
        <v>9</v>
      </c>
      <c r="AG435" t="s">
        <v>158</v>
      </c>
      <c r="AH435">
        <v>0</v>
      </c>
      <c r="AI435">
        <v>3</v>
      </c>
      <c r="AJ435">
        <v>1</v>
      </c>
      <c r="AK435">
        <v>0</v>
      </c>
      <c r="AL435" t="s">
        <v>939</v>
      </c>
      <c r="AM435">
        <v>46.978805000000001</v>
      </c>
      <c r="AN435" t="s">
        <v>940</v>
      </c>
      <c r="AO435">
        <v>-122.317121</v>
      </c>
      <c r="AP435">
        <v>100</v>
      </c>
      <c r="AQ435">
        <v>1900</v>
      </c>
      <c r="AR435" t="s">
        <v>118</v>
      </c>
      <c r="AS435">
        <v>-26</v>
      </c>
      <c r="AT435">
        <v>-79</v>
      </c>
      <c r="AU435">
        <v>-192</v>
      </c>
      <c r="BC435">
        <v>1200</v>
      </c>
      <c r="BD435">
        <v>1</v>
      </c>
      <c r="BE435" t="str">
        <f t="shared" si="20"/>
        <v xml:space="preserve">N215T   </v>
      </c>
      <c r="BF435">
        <v>1</v>
      </c>
      <c r="BH435">
        <v>0</v>
      </c>
      <c r="BI435">
        <v>0</v>
      </c>
      <c r="BJ435">
        <v>0</v>
      </c>
      <c r="BK435">
        <v>2300</v>
      </c>
      <c r="BL435">
        <v>400</v>
      </c>
      <c r="BM435" t="s">
        <v>119</v>
      </c>
      <c r="BN435">
        <v>1</v>
      </c>
      <c r="BO435">
        <v>1</v>
      </c>
      <c r="BP435">
        <v>1</v>
      </c>
      <c r="BQ435">
        <v>0</v>
      </c>
      <c r="BT435">
        <v>0</v>
      </c>
      <c r="BU435">
        <v>0</v>
      </c>
      <c r="BV435">
        <v>0</v>
      </c>
      <c r="CC435" t="str">
        <f>"18:41:43.789"</f>
        <v>18:41:43.789</v>
      </c>
      <c r="CD435" t="str">
        <f>"787147922"</f>
        <v>787147922</v>
      </c>
      <c r="CQ435">
        <v>0</v>
      </c>
      <c r="CR435">
        <v>2</v>
      </c>
      <c r="CS435">
        <v>0</v>
      </c>
      <c r="CT435">
        <v>2</v>
      </c>
      <c r="CU435">
        <v>0</v>
      </c>
      <c r="CV435">
        <v>5</v>
      </c>
      <c r="CW435" t="s">
        <v>120</v>
      </c>
      <c r="CX435">
        <v>257</v>
      </c>
      <c r="CY435">
        <v>1</v>
      </c>
      <c r="CZ435" t="s">
        <v>615</v>
      </c>
      <c r="DA435" t="s">
        <v>616</v>
      </c>
      <c r="DD435">
        <v>10739049</v>
      </c>
      <c r="DE435" t="s">
        <v>123</v>
      </c>
    </row>
    <row r="436" spans="1:109" x14ac:dyDescent="0.3">
      <c r="A436" t="str">
        <f>"18:41:45.164"</f>
        <v>18:41:45.164</v>
      </c>
      <c r="B436" t="s">
        <v>110</v>
      </c>
      <c r="C436" t="str">
        <f t="shared" si="18"/>
        <v>ffdfd3c0</v>
      </c>
      <c r="D436" t="s">
        <v>111</v>
      </c>
      <c r="E436">
        <v>18</v>
      </c>
      <c r="F436">
        <v>1018</v>
      </c>
      <c r="G436" t="s">
        <v>112</v>
      </c>
      <c r="J436" t="s">
        <v>113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R436" t="s">
        <v>114</v>
      </c>
      <c r="S436" t="str">
        <f>"18:41:44.906"</f>
        <v>18:41:44.906</v>
      </c>
      <c r="T436" t="str">
        <f>"18:41:44.508"</f>
        <v>18:41:44.508</v>
      </c>
      <c r="U436" t="str">
        <f t="shared" si="19"/>
        <v>a1cdbe</v>
      </c>
      <c r="V436">
        <v>0</v>
      </c>
      <c r="W436">
        <v>0</v>
      </c>
      <c r="X436">
        <v>1</v>
      </c>
      <c r="Y436">
        <v>0</v>
      </c>
      <c r="Z436">
        <v>0</v>
      </c>
      <c r="AB436">
        <v>0</v>
      </c>
      <c r="AC436">
        <v>9</v>
      </c>
      <c r="AD436">
        <v>3</v>
      </c>
      <c r="AE436">
        <v>0</v>
      </c>
      <c r="AF436">
        <v>9</v>
      </c>
      <c r="AG436" t="s">
        <v>158</v>
      </c>
      <c r="AH436">
        <v>0</v>
      </c>
      <c r="AI436">
        <v>3</v>
      </c>
      <c r="AJ436">
        <v>1</v>
      </c>
      <c r="AK436">
        <v>0</v>
      </c>
      <c r="AL436" t="s">
        <v>941</v>
      </c>
      <c r="AM436">
        <v>46.978419000000002</v>
      </c>
      <c r="AN436" t="s">
        <v>942</v>
      </c>
      <c r="AO436">
        <v>-122.317379</v>
      </c>
      <c r="AP436">
        <v>100</v>
      </c>
      <c r="AQ436">
        <v>1900</v>
      </c>
      <c r="AR436" t="s">
        <v>118</v>
      </c>
      <c r="AS436">
        <v>-25</v>
      </c>
      <c r="AT436">
        <v>-80</v>
      </c>
      <c r="AU436">
        <v>-128</v>
      </c>
      <c r="BC436">
        <v>1200</v>
      </c>
      <c r="BD436">
        <v>1</v>
      </c>
      <c r="BE436" t="str">
        <f t="shared" si="20"/>
        <v xml:space="preserve">N215T   </v>
      </c>
      <c r="BF436">
        <v>1</v>
      </c>
      <c r="BH436">
        <v>0</v>
      </c>
      <c r="BI436">
        <v>0</v>
      </c>
      <c r="BJ436">
        <v>0</v>
      </c>
      <c r="BK436">
        <v>2300</v>
      </c>
      <c r="BL436">
        <v>400</v>
      </c>
      <c r="BM436" t="s">
        <v>119</v>
      </c>
      <c r="BN436">
        <v>1</v>
      </c>
      <c r="BO436">
        <v>1</v>
      </c>
      <c r="BP436">
        <v>1</v>
      </c>
      <c r="BQ436">
        <v>0</v>
      </c>
      <c r="BT436">
        <v>0</v>
      </c>
      <c r="BU436">
        <v>0</v>
      </c>
      <c r="BV436">
        <v>0</v>
      </c>
      <c r="CC436" t="str">
        <f>"18:41:44.914"</f>
        <v>18:41:44.914</v>
      </c>
      <c r="CD436" t="str">
        <f>"912163344"</f>
        <v>912163344</v>
      </c>
      <c r="CQ436">
        <v>0</v>
      </c>
      <c r="CR436">
        <v>2</v>
      </c>
      <c r="CS436">
        <v>0</v>
      </c>
      <c r="CT436">
        <v>2</v>
      </c>
      <c r="CU436">
        <v>0</v>
      </c>
      <c r="CV436">
        <v>5</v>
      </c>
      <c r="CW436" t="s">
        <v>120</v>
      </c>
      <c r="CX436">
        <v>257</v>
      </c>
      <c r="CY436">
        <v>1</v>
      </c>
      <c r="CZ436" t="s">
        <v>615</v>
      </c>
      <c r="DA436" t="s">
        <v>616</v>
      </c>
      <c r="DD436">
        <v>10739785</v>
      </c>
      <c r="DE436" t="s">
        <v>123</v>
      </c>
    </row>
    <row r="437" spans="1:109" x14ac:dyDescent="0.3">
      <c r="A437" t="str">
        <f>"18:41:46.016"</f>
        <v>18:41:46.016</v>
      </c>
      <c r="B437" t="s">
        <v>110</v>
      </c>
      <c r="C437" t="str">
        <f t="shared" si="18"/>
        <v>ffdfd3c0</v>
      </c>
      <c r="D437" t="s">
        <v>111</v>
      </c>
      <c r="E437">
        <v>18</v>
      </c>
      <c r="F437">
        <v>1018</v>
      </c>
      <c r="G437" t="s">
        <v>112</v>
      </c>
      <c r="J437" t="s">
        <v>113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R437" t="s">
        <v>114</v>
      </c>
      <c r="S437" t="str">
        <f>"18:41:45.805"</f>
        <v>18:41:45.805</v>
      </c>
      <c r="T437" t="str">
        <f>"18:41:45.602"</f>
        <v>18:41:45.602</v>
      </c>
      <c r="U437" t="str">
        <f t="shared" si="19"/>
        <v>a1cdbe</v>
      </c>
      <c r="V437">
        <v>0</v>
      </c>
      <c r="W437">
        <v>0</v>
      </c>
      <c r="X437">
        <v>1</v>
      </c>
      <c r="Y437">
        <v>0</v>
      </c>
      <c r="Z437">
        <v>0</v>
      </c>
      <c r="AB437">
        <v>0</v>
      </c>
      <c r="AC437">
        <v>9</v>
      </c>
      <c r="AD437">
        <v>3</v>
      </c>
      <c r="AE437">
        <v>0</v>
      </c>
      <c r="AF437">
        <v>9</v>
      </c>
      <c r="AG437" t="s">
        <v>158</v>
      </c>
      <c r="AH437">
        <v>0</v>
      </c>
      <c r="AI437">
        <v>3</v>
      </c>
      <c r="AJ437">
        <v>1</v>
      </c>
      <c r="AK437">
        <v>0</v>
      </c>
      <c r="AL437" t="s">
        <v>943</v>
      </c>
      <c r="AM437">
        <v>46.978054</v>
      </c>
      <c r="AN437" t="s">
        <v>944</v>
      </c>
      <c r="AO437">
        <v>-122.317486</v>
      </c>
      <c r="AP437">
        <v>100</v>
      </c>
      <c r="AQ437">
        <v>1900</v>
      </c>
      <c r="AR437" t="s">
        <v>118</v>
      </c>
      <c r="AS437">
        <v>-24</v>
      </c>
      <c r="AT437">
        <v>-80</v>
      </c>
      <c r="AU437">
        <v>-128</v>
      </c>
      <c r="BC437">
        <v>1200</v>
      </c>
      <c r="BD437">
        <v>1</v>
      </c>
      <c r="BE437" t="str">
        <f t="shared" si="20"/>
        <v xml:space="preserve">N215T   </v>
      </c>
      <c r="BF437">
        <v>1</v>
      </c>
      <c r="BH437">
        <v>0</v>
      </c>
      <c r="BI437">
        <v>0</v>
      </c>
      <c r="BJ437">
        <v>0</v>
      </c>
      <c r="BK437">
        <v>2300</v>
      </c>
      <c r="BL437">
        <v>400</v>
      </c>
      <c r="BM437" t="s">
        <v>119</v>
      </c>
      <c r="BN437">
        <v>1</v>
      </c>
      <c r="BO437">
        <v>1</v>
      </c>
      <c r="BP437">
        <v>1</v>
      </c>
      <c r="BQ437">
        <v>0</v>
      </c>
      <c r="BT437">
        <v>0</v>
      </c>
      <c r="BU437">
        <v>0</v>
      </c>
      <c r="BV437">
        <v>0</v>
      </c>
      <c r="CC437" t="str">
        <f>"18:41:45.813"</f>
        <v>18:41:45.813</v>
      </c>
      <c r="CD437" t="str">
        <f>"812074663"</f>
        <v>812074663</v>
      </c>
      <c r="CQ437">
        <v>0</v>
      </c>
      <c r="CR437">
        <v>2</v>
      </c>
      <c r="CS437">
        <v>0</v>
      </c>
      <c r="CT437">
        <v>2</v>
      </c>
      <c r="CU437">
        <v>0</v>
      </c>
      <c r="CV437">
        <v>5</v>
      </c>
      <c r="CW437" t="s">
        <v>120</v>
      </c>
      <c r="CX437">
        <v>257</v>
      </c>
      <c r="CY437">
        <v>1</v>
      </c>
      <c r="CZ437" t="s">
        <v>615</v>
      </c>
      <c r="DA437" t="s">
        <v>616</v>
      </c>
      <c r="DD437">
        <v>10740369</v>
      </c>
      <c r="DE437" t="s">
        <v>123</v>
      </c>
    </row>
    <row r="438" spans="1:109" x14ac:dyDescent="0.3">
      <c r="A438" t="str">
        <f>"18:41:47.125"</f>
        <v>18:41:47.125</v>
      </c>
      <c r="B438" t="s">
        <v>110</v>
      </c>
      <c r="C438" t="str">
        <f t="shared" si="18"/>
        <v>ffdfd3c0</v>
      </c>
      <c r="D438" t="s">
        <v>111</v>
      </c>
      <c r="E438">
        <v>18</v>
      </c>
      <c r="F438">
        <v>1018</v>
      </c>
      <c r="G438" t="s">
        <v>112</v>
      </c>
      <c r="J438" t="s">
        <v>113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R438" t="s">
        <v>114</v>
      </c>
      <c r="S438" t="str">
        <f>"18:41:46.906"</f>
        <v>18:41:46.906</v>
      </c>
      <c r="T438" t="str">
        <f>"18:41:46.508"</f>
        <v>18:41:46.508</v>
      </c>
      <c r="U438" t="str">
        <f t="shared" si="19"/>
        <v>a1cdbe</v>
      </c>
      <c r="V438">
        <v>0</v>
      </c>
      <c r="W438">
        <v>0</v>
      </c>
      <c r="X438">
        <v>1</v>
      </c>
      <c r="Y438">
        <v>0</v>
      </c>
      <c r="Z438">
        <v>0</v>
      </c>
      <c r="AB438">
        <v>0</v>
      </c>
      <c r="AC438">
        <v>9</v>
      </c>
      <c r="AD438">
        <v>3</v>
      </c>
      <c r="AE438">
        <v>0</v>
      </c>
      <c r="AF438">
        <v>9</v>
      </c>
      <c r="AG438" t="s">
        <v>158</v>
      </c>
      <c r="AH438">
        <v>0</v>
      </c>
      <c r="AI438">
        <v>3</v>
      </c>
      <c r="AJ438">
        <v>1</v>
      </c>
      <c r="AK438">
        <v>0</v>
      </c>
      <c r="AL438" t="s">
        <v>945</v>
      </c>
      <c r="AM438">
        <v>46.977625000000003</v>
      </c>
      <c r="AN438" t="s">
        <v>946</v>
      </c>
      <c r="AO438">
        <v>-122.317657</v>
      </c>
      <c r="AP438">
        <v>100</v>
      </c>
      <c r="AQ438">
        <v>1900</v>
      </c>
      <c r="AR438" t="s">
        <v>118</v>
      </c>
      <c r="AS438">
        <v>-24</v>
      </c>
      <c r="AT438">
        <v>-80</v>
      </c>
      <c r="AU438">
        <v>-128</v>
      </c>
      <c r="BC438">
        <v>1200</v>
      </c>
      <c r="BD438">
        <v>1</v>
      </c>
      <c r="BE438" t="str">
        <f t="shared" si="20"/>
        <v xml:space="preserve">N215T   </v>
      </c>
      <c r="BF438">
        <v>1</v>
      </c>
      <c r="BH438">
        <v>0</v>
      </c>
      <c r="BI438">
        <v>0</v>
      </c>
      <c r="BJ438">
        <v>0</v>
      </c>
      <c r="BK438">
        <v>2275</v>
      </c>
      <c r="BL438">
        <v>375</v>
      </c>
      <c r="BM438" t="s">
        <v>119</v>
      </c>
      <c r="BN438">
        <v>1</v>
      </c>
      <c r="BO438">
        <v>1</v>
      </c>
      <c r="BP438">
        <v>1</v>
      </c>
      <c r="BQ438">
        <v>0</v>
      </c>
      <c r="BT438">
        <v>0</v>
      </c>
      <c r="BU438">
        <v>0</v>
      </c>
      <c r="BV438">
        <v>0</v>
      </c>
      <c r="CC438" t="str">
        <f>"18:41:46.906"</f>
        <v>18:41:46.906</v>
      </c>
      <c r="CD438" t="str">
        <f>"906966754"</f>
        <v>906966754</v>
      </c>
      <c r="CQ438">
        <v>0</v>
      </c>
      <c r="CR438">
        <v>2</v>
      </c>
      <c r="CS438">
        <v>0</v>
      </c>
      <c r="CT438">
        <v>2</v>
      </c>
      <c r="CU438">
        <v>0</v>
      </c>
      <c r="CV438">
        <v>5</v>
      </c>
      <c r="CW438" t="s">
        <v>120</v>
      </c>
      <c r="CX438">
        <v>257</v>
      </c>
      <c r="CY438">
        <v>1</v>
      </c>
      <c r="CZ438" t="s">
        <v>615</v>
      </c>
      <c r="DA438" t="s">
        <v>616</v>
      </c>
      <c r="DD438">
        <v>10741072</v>
      </c>
      <c r="DE438" t="s">
        <v>123</v>
      </c>
    </row>
    <row r="439" spans="1:109" x14ac:dyDescent="0.3">
      <c r="A439" t="str">
        <f>"18:41:48.125"</f>
        <v>18:41:48.125</v>
      </c>
      <c r="B439" t="s">
        <v>110</v>
      </c>
      <c r="C439" t="str">
        <f t="shared" si="18"/>
        <v>ffdfd3c0</v>
      </c>
      <c r="D439" t="s">
        <v>111</v>
      </c>
      <c r="E439">
        <v>18</v>
      </c>
      <c r="F439">
        <v>1018</v>
      </c>
      <c r="G439" t="s">
        <v>112</v>
      </c>
      <c r="J439" t="s">
        <v>113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R439" t="s">
        <v>114</v>
      </c>
      <c r="S439" t="str">
        <f>"18:41:47.891"</f>
        <v>18:41:47.891</v>
      </c>
      <c r="T439" t="str">
        <f>"18:41:47.891"</f>
        <v>18:41:47.891</v>
      </c>
      <c r="U439" t="str">
        <f t="shared" si="19"/>
        <v>a1cdbe</v>
      </c>
      <c r="V439">
        <v>0</v>
      </c>
      <c r="W439">
        <v>0</v>
      </c>
      <c r="X439">
        <v>1</v>
      </c>
      <c r="Y439">
        <v>0</v>
      </c>
      <c r="Z439">
        <v>0</v>
      </c>
      <c r="AB439">
        <v>0</v>
      </c>
      <c r="AC439">
        <v>9</v>
      </c>
      <c r="AD439">
        <v>3</v>
      </c>
      <c r="AE439">
        <v>0</v>
      </c>
      <c r="AF439">
        <v>9</v>
      </c>
      <c r="AG439" t="s">
        <v>158</v>
      </c>
      <c r="AH439">
        <v>0</v>
      </c>
      <c r="AI439">
        <v>3</v>
      </c>
      <c r="AJ439">
        <v>1</v>
      </c>
      <c r="AK439">
        <v>0</v>
      </c>
      <c r="AL439" t="s">
        <v>947</v>
      </c>
      <c r="AM439">
        <v>46.977302999999999</v>
      </c>
      <c r="AN439" t="s">
        <v>948</v>
      </c>
      <c r="AO439">
        <v>-122.317829</v>
      </c>
      <c r="AP439">
        <v>100</v>
      </c>
      <c r="AQ439">
        <v>1900</v>
      </c>
      <c r="AR439" t="s">
        <v>118</v>
      </c>
      <c r="AS439">
        <v>-23</v>
      </c>
      <c r="AT439">
        <v>-80</v>
      </c>
      <c r="AU439">
        <v>-64</v>
      </c>
      <c r="BC439">
        <v>1200</v>
      </c>
      <c r="BD439">
        <v>1</v>
      </c>
      <c r="BE439" t="str">
        <f t="shared" si="20"/>
        <v xml:space="preserve">N215T   </v>
      </c>
      <c r="BF439">
        <v>1</v>
      </c>
      <c r="BH439">
        <v>0</v>
      </c>
      <c r="BI439">
        <v>0</v>
      </c>
      <c r="BJ439">
        <v>0</v>
      </c>
      <c r="BK439">
        <v>2275</v>
      </c>
      <c r="BL439">
        <v>375</v>
      </c>
      <c r="BM439" t="s">
        <v>119</v>
      </c>
      <c r="BN439">
        <v>1</v>
      </c>
      <c r="BO439">
        <v>1</v>
      </c>
      <c r="BP439">
        <v>1</v>
      </c>
      <c r="BQ439">
        <v>0</v>
      </c>
      <c r="BT439">
        <v>0</v>
      </c>
      <c r="BU439">
        <v>0</v>
      </c>
      <c r="BV439">
        <v>0</v>
      </c>
      <c r="CC439" t="str">
        <f>"18:41:47.898"</f>
        <v>18:41:47.898</v>
      </c>
      <c r="CD439" t="str">
        <f>"896869205"</f>
        <v>896869205</v>
      </c>
      <c r="CQ439">
        <v>0</v>
      </c>
      <c r="CR439">
        <v>2</v>
      </c>
      <c r="CS439">
        <v>0</v>
      </c>
      <c r="CT439">
        <v>2</v>
      </c>
      <c r="CU439">
        <v>0</v>
      </c>
      <c r="CV439">
        <v>5</v>
      </c>
      <c r="CW439" t="s">
        <v>120</v>
      </c>
      <c r="CX439">
        <v>257</v>
      </c>
      <c r="CY439">
        <v>1</v>
      </c>
      <c r="CZ439" t="s">
        <v>615</v>
      </c>
      <c r="DA439" t="s">
        <v>616</v>
      </c>
      <c r="DD439">
        <v>10741726</v>
      </c>
      <c r="DE439" t="s">
        <v>123</v>
      </c>
    </row>
    <row r="440" spans="1:109" x14ac:dyDescent="0.3">
      <c r="A440" t="str">
        <f>"18:41:48.984"</f>
        <v>18:41:48.984</v>
      </c>
      <c r="B440" t="s">
        <v>110</v>
      </c>
      <c r="C440" t="str">
        <f t="shared" si="18"/>
        <v>ffdfd3c0</v>
      </c>
      <c r="D440" t="s">
        <v>111</v>
      </c>
      <c r="E440">
        <v>18</v>
      </c>
      <c r="F440">
        <v>1018</v>
      </c>
      <c r="G440" t="s">
        <v>112</v>
      </c>
      <c r="J440" t="s">
        <v>113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R440" t="s">
        <v>114</v>
      </c>
      <c r="S440" t="str">
        <f>"18:41:48.750"</f>
        <v>18:41:48.750</v>
      </c>
      <c r="T440" t="str">
        <f>"18:41:48.453"</f>
        <v>18:41:48.453</v>
      </c>
      <c r="U440" t="str">
        <f t="shared" si="19"/>
        <v>a1cdbe</v>
      </c>
      <c r="V440">
        <v>0</v>
      </c>
      <c r="W440">
        <v>0</v>
      </c>
      <c r="X440">
        <v>1</v>
      </c>
      <c r="Y440">
        <v>0</v>
      </c>
      <c r="Z440">
        <v>0</v>
      </c>
      <c r="AB440">
        <v>0</v>
      </c>
      <c r="AC440">
        <v>9</v>
      </c>
      <c r="AD440">
        <v>3</v>
      </c>
      <c r="AE440">
        <v>0</v>
      </c>
      <c r="AF440">
        <v>9</v>
      </c>
      <c r="AG440" t="s">
        <v>158</v>
      </c>
      <c r="AH440">
        <v>0</v>
      </c>
      <c r="AI440">
        <v>3</v>
      </c>
      <c r="AJ440">
        <v>1</v>
      </c>
      <c r="AK440">
        <v>0</v>
      </c>
      <c r="AL440" t="s">
        <v>949</v>
      </c>
      <c r="AM440">
        <v>46.976981000000002</v>
      </c>
      <c r="AN440" t="s">
        <v>950</v>
      </c>
      <c r="AO440">
        <v>-122.318001</v>
      </c>
      <c r="AP440">
        <v>100</v>
      </c>
      <c r="AQ440">
        <v>1900</v>
      </c>
      <c r="AR440" t="s">
        <v>118</v>
      </c>
      <c r="AS440">
        <v>-23</v>
      </c>
      <c r="AT440">
        <v>-80</v>
      </c>
      <c r="AU440">
        <v>-128</v>
      </c>
      <c r="BC440">
        <v>1200</v>
      </c>
      <c r="BD440">
        <v>1</v>
      </c>
      <c r="BE440" t="str">
        <f t="shared" si="20"/>
        <v xml:space="preserve">N215T   </v>
      </c>
      <c r="BF440">
        <v>1</v>
      </c>
      <c r="BH440">
        <v>0</v>
      </c>
      <c r="BI440">
        <v>0</v>
      </c>
      <c r="BJ440">
        <v>0</v>
      </c>
      <c r="BK440">
        <v>2275</v>
      </c>
      <c r="BL440">
        <v>375</v>
      </c>
      <c r="BM440" t="s">
        <v>119</v>
      </c>
      <c r="BN440">
        <v>1</v>
      </c>
      <c r="BO440">
        <v>1</v>
      </c>
      <c r="BP440">
        <v>1</v>
      </c>
      <c r="BQ440">
        <v>0</v>
      </c>
      <c r="BT440">
        <v>0</v>
      </c>
      <c r="BU440">
        <v>0</v>
      </c>
      <c r="BV440">
        <v>0</v>
      </c>
      <c r="CC440" t="str">
        <f>"18:41:48.750"</f>
        <v>18:41:48.750</v>
      </c>
      <c r="CD440" t="str">
        <f>"751784947"</f>
        <v>751784947</v>
      </c>
      <c r="CQ440">
        <v>0</v>
      </c>
      <c r="CR440">
        <v>2</v>
      </c>
      <c r="CS440">
        <v>0</v>
      </c>
      <c r="CT440">
        <v>2</v>
      </c>
      <c r="CU440">
        <v>0</v>
      </c>
      <c r="CV440">
        <v>5</v>
      </c>
      <c r="CW440" t="s">
        <v>120</v>
      </c>
      <c r="CX440">
        <v>257</v>
      </c>
      <c r="CY440">
        <v>1</v>
      </c>
      <c r="CZ440" t="s">
        <v>615</v>
      </c>
      <c r="DA440" t="s">
        <v>616</v>
      </c>
      <c r="DD440">
        <v>10742299</v>
      </c>
      <c r="DE440" t="s">
        <v>123</v>
      </c>
    </row>
    <row r="441" spans="1:109" x14ac:dyDescent="0.3">
      <c r="A441" t="str">
        <f>"18:41:50.141"</f>
        <v>18:41:50.141</v>
      </c>
      <c r="B441" t="s">
        <v>110</v>
      </c>
      <c r="C441" t="str">
        <f t="shared" si="18"/>
        <v>ffdfd3c0</v>
      </c>
      <c r="D441" t="s">
        <v>111</v>
      </c>
      <c r="E441">
        <v>18</v>
      </c>
      <c r="F441">
        <v>1018</v>
      </c>
      <c r="G441" t="s">
        <v>112</v>
      </c>
      <c r="J441" t="s">
        <v>113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R441" t="s">
        <v>114</v>
      </c>
      <c r="S441" t="str">
        <f>"18:41:49.930"</f>
        <v>18:41:49.930</v>
      </c>
      <c r="T441" t="str">
        <f>"18:41:49.531"</f>
        <v>18:41:49.531</v>
      </c>
      <c r="U441" t="str">
        <f t="shared" si="19"/>
        <v>a1cdbe</v>
      </c>
      <c r="V441">
        <v>0</v>
      </c>
      <c r="W441">
        <v>0</v>
      </c>
      <c r="X441">
        <v>1</v>
      </c>
      <c r="Y441">
        <v>0</v>
      </c>
      <c r="Z441">
        <v>0</v>
      </c>
      <c r="AB441">
        <v>0</v>
      </c>
      <c r="AC441">
        <v>9</v>
      </c>
      <c r="AD441">
        <v>3</v>
      </c>
      <c r="AE441">
        <v>0</v>
      </c>
      <c r="AF441">
        <v>9</v>
      </c>
      <c r="AG441" t="s">
        <v>158</v>
      </c>
      <c r="AH441">
        <v>0</v>
      </c>
      <c r="AI441">
        <v>3</v>
      </c>
      <c r="AJ441">
        <v>1</v>
      </c>
      <c r="AK441">
        <v>0</v>
      </c>
      <c r="AL441" t="s">
        <v>951</v>
      </c>
      <c r="AM441">
        <v>46.976509</v>
      </c>
      <c r="AN441" t="s">
        <v>952</v>
      </c>
      <c r="AO441">
        <v>-122.31819400000001</v>
      </c>
      <c r="AP441">
        <v>100</v>
      </c>
      <c r="AQ441">
        <v>1900</v>
      </c>
      <c r="AR441" t="s">
        <v>118</v>
      </c>
      <c r="AS441">
        <v>-24</v>
      </c>
      <c r="AT441">
        <v>-79</v>
      </c>
      <c r="AU441">
        <v>-128</v>
      </c>
      <c r="BC441">
        <v>1200</v>
      </c>
      <c r="BD441">
        <v>1</v>
      </c>
      <c r="BE441" t="str">
        <f t="shared" si="20"/>
        <v xml:space="preserve">N215T   </v>
      </c>
      <c r="BF441">
        <v>1</v>
      </c>
      <c r="BH441">
        <v>0</v>
      </c>
      <c r="BI441">
        <v>0</v>
      </c>
      <c r="BJ441">
        <v>0</v>
      </c>
      <c r="BK441">
        <v>2275</v>
      </c>
      <c r="BL441">
        <v>375</v>
      </c>
      <c r="BM441" t="s">
        <v>119</v>
      </c>
      <c r="BN441">
        <v>1</v>
      </c>
      <c r="BO441">
        <v>1</v>
      </c>
      <c r="BP441">
        <v>1</v>
      </c>
      <c r="BQ441">
        <v>0</v>
      </c>
      <c r="BT441">
        <v>0</v>
      </c>
      <c r="BU441">
        <v>0</v>
      </c>
      <c r="BV441">
        <v>0</v>
      </c>
      <c r="CC441" t="str">
        <f>"18:41:49.938"</f>
        <v>18:41:49.938</v>
      </c>
      <c r="CD441" t="str">
        <f>"936668176"</f>
        <v>936668176</v>
      </c>
      <c r="CQ441">
        <v>0</v>
      </c>
      <c r="CR441">
        <v>2</v>
      </c>
      <c r="CS441">
        <v>0</v>
      </c>
      <c r="CT441">
        <v>2</v>
      </c>
      <c r="CU441">
        <v>0</v>
      </c>
      <c r="CV441">
        <v>5</v>
      </c>
      <c r="CW441" t="s">
        <v>120</v>
      </c>
      <c r="CX441">
        <v>257</v>
      </c>
      <c r="CY441">
        <v>1</v>
      </c>
      <c r="CZ441" t="s">
        <v>615</v>
      </c>
      <c r="DA441" t="s">
        <v>616</v>
      </c>
      <c r="DD441">
        <v>10743048</v>
      </c>
      <c r="DE441" t="s">
        <v>123</v>
      </c>
    </row>
    <row r="442" spans="1:109" x14ac:dyDescent="0.3">
      <c r="A442" t="str">
        <f>"18:41:51.695"</f>
        <v>18:41:51.695</v>
      </c>
      <c r="B442" t="s">
        <v>110</v>
      </c>
      <c r="C442" t="str">
        <f t="shared" si="18"/>
        <v>ffdfd3c0</v>
      </c>
      <c r="D442" t="s">
        <v>111</v>
      </c>
      <c r="E442">
        <v>18</v>
      </c>
      <c r="F442">
        <v>1018</v>
      </c>
      <c r="G442" t="s">
        <v>112</v>
      </c>
      <c r="J442" t="s">
        <v>113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R442" t="s">
        <v>114</v>
      </c>
      <c r="S442" t="str">
        <f>"18:41:51.477"</f>
        <v>18:41:51.477</v>
      </c>
      <c r="T442" t="str">
        <f>"18:41:51.477"</f>
        <v>18:41:51.477</v>
      </c>
      <c r="U442" t="str">
        <f t="shared" si="19"/>
        <v>a1cdbe</v>
      </c>
      <c r="V442">
        <v>0</v>
      </c>
      <c r="W442">
        <v>0</v>
      </c>
      <c r="X442">
        <v>1</v>
      </c>
      <c r="Y442">
        <v>0</v>
      </c>
      <c r="Z442">
        <v>0</v>
      </c>
      <c r="AB442">
        <v>0</v>
      </c>
      <c r="AC442">
        <v>9</v>
      </c>
      <c r="AD442">
        <v>3</v>
      </c>
      <c r="AE442">
        <v>0</v>
      </c>
      <c r="AF442">
        <v>9</v>
      </c>
      <c r="AG442" t="s">
        <v>158</v>
      </c>
      <c r="AH442">
        <v>0</v>
      </c>
      <c r="AI442">
        <v>3</v>
      </c>
      <c r="AJ442">
        <v>1</v>
      </c>
      <c r="AK442">
        <v>0</v>
      </c>
      <c r="AL442" t="s">
        <v>953</v>
      </c>
      <c r="AM442">
        <v>46.975994</v>
      </c>
      <c r="AN442" t="s">
        <v>954</v>
      </c>
      <c r="AO442">
        <v>-122.318387</v>
      </c>
      <c r="AP442">
        <v>100</v>
      </c>
      <c r="AQ442">
        <v>1900</v>
      </c>
      <c r="AR442" t="s">
        <v>118</v>
      </c>
      <c r="AS442">
        <v>-27</v>
      </c>
      <c r="AT442">
        <v>-78</v>
      </c>
      <c r="AU442">
        <v>-64</v>
      </c>
      <c r="BC442">
        <v>1200</v>
      </c>
      <c r="BD442">
        <v>1</v>
      </c>
      <c r="BE442" t="str">
        <f t="shared" si="20"/>
        <v xml:space="preserve">N215T   </v>
      </c>
      <c r="BF442">
        <v>1</v>
      </c>
      <c r="BH442">
        <v>0</v>
      </c>
      <c r="BI442">
        <v>0</v>
      </c>
      <c r="BJ442">
        <v>0</v>
      </c>
      <c r="BK442">
        <v>2275</v>
      </c>
      <c r="BL442">
        <v>375</v>
      </c>
      <c r="BM442" t="s">
        <v>119</v>
      </c>
      <c r="BN442">
        <v>1</v>
      </c>
      <c r="BO442">
        <v>1</v>
      </c>
      <c r="BP442">
        <v>1</v>
      </c>
      <c r="BQ442">
        <v>0</v>
      </c>
      <c r="BT442">
        <v>0</v>
      </c>
      <c r="BU442">
        <v>0</v>
      </c>
      <c r="BV442">
        <v>0</v>
      </c>
      <c r="CC442" t="str">
        <f>"18:41:51.484"</f>
        <v>18:41:51.484</v>
      </c>
      <c r="CD442" t="str">
        <f>"481515942"</f>
        <v>481515942</v>
      </c>
      <c r="CQ442">
        <v>0</v>
      </c>
      <c r="CR442">
        <v>2</v>
      </c>
      <c r="CS442">
        <v>0</v>
      </c>
      <c r="CT442">
        <v>2</v>
      </c>
      <c r="CU442">
        <v>0</v>
      </c>
      <c r="CV442">
        <v>5</v>
      </c>
      <c r="CW442" t="s">
        <v>120</v>
      </c>
      <c r="CX442">
        <v>257</v>
      </c>
      <c r="CY442">
        <v>1</v>
      </c>
      <c r="CZ442" t="s">
        <v>615</v>
      </c>
      <c r="DA442" t="s">
        <v>616</v>
      </c>
      <c r="DD442">
        <v>10744038</v>
      </c>
      <c r="DE442" t="s">
        <v>123</v>
      </c>
    </row>
    <row r="443" spans="1:109" x14ac:dyDescent="0.3">
      <c r="A443" t="str">
        <f>"18:41:52.555"</f>
        <v>18:41:52.555</v>
      </c>
      <c r="B443" t="s">
        <v>110</v>
      </c>
      <c r="C443" t="str">
        <f t="shared" si="18"/>
        <v>ffdfd3c0</v>
      </c>
      <c r="D443" t="s">
        <v>111</v>
      </c>
      <c r="E443">
        <v>18</v>
      </c>
      <c r="F443">
        <v>1018</v>
      </c>
      <c r="G443" t="s">
        <v>112</v>
      </c>
      <c r="J443" t="s">
        <v>113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R443" t="s">
        <v>114</v>
      </c>
      <c r="S443" t="str">
        <f>"18:41:52.336"</f>
        <v>18:41:52.336</v>
      </c>
      <c r="T443" t="str">
        <f>"18:41:51.938"</f>
        <v>18:41:51.938</v>
      </c>
      <c r="U443" t="str">
        <f t="shared" si="19"/>
        <v>a1cdbe</v>
      </c>
      <c r="V443">
        <v>0</v>
      </c>
      <c r="W443">
        <v>0</v>
      </c>
      <c r="X443">
        <v>1</v>
      </c>
      <c r="Y443">
        <v>0</v>
      </c>
      <c r="Z443">
        <v>0</v>
      </c>
      <c r="AB443">
        <v>0</v>
      </c>
      <c r="AC443">
        <v>9</v>
      </c>
      <c r="AD443">
        <v>3</v>
      </c>
      <c r="AE443">
        <v>0</v>
      </c>
      <c r="AF443">
        <v>9</v>
      </c>
      <c r="AG443" t="s">
        <v>158</v>
      </c>
      <c r="AH443">
        <v>0</v>
      </c>
      <c r="AI443">
        <v>3</v>
      </c>
      <c r="AJ443">
        <v>1</v>
      </c>
      <c r="AK443">
        <v>0</v>
      </c>
      <c r="AL443" t="s">
        <v>955</v>
      </c>
      <c r="AM443">
        <v>46.975672000000003</v>
      </c>
      <c r="AN443" t="s">
        <v>956</v>
      </c>
      <c r="AO443">
        <v>-122.318602</v>
      </c>
      <c r="AP443">
        <v>100</v>
      </c>
      <c r="AQ443">
        <v>1900</v>
      </c>
      <c r="AR443" t="s">
        <v>118</v>
      </c>
      <c r="AS443">
        <v>-27</v>
      </c>
      <c r="AT443">
        <v>-78</v>
      </c>
      <c r="AU443">
        <v>-64</v>
      </c>
      <c r="BC443">
        <v>1200</v>
      </c>
      <c r="BD443">
        <v>1</v>
      </c>
      <c r="BE443" t="str">
        <f t="shared" si="20"/>
        <v xml:space="preserve">N215T   </v>
      </c>
      <c r="BF443">
        <v>1</v>
      </c>
      <c r="BH443">
        <v>0</v>
      </c>
      <c r="BI443">
        <v>0</v>
      </c>
      <c r="BJ443">
        <v>0</v>
      </c>
      <c r="BK443">
        <v>2275</v>
      </c>
      <c r="BL443">
        <v>375</v>
      </c>
      <c r="BM443" t="s">
        <v>119</v>
      </c>
      <c r="BN443">
        <v>1</v>
      </c>
      <c r="BO443">
        <v>1</v>
      </c>
      <c r="BP443">
        <v>1</v>
      </c>
      <c r="BQ443">
        <v>0</v>
      </c>
      <c r="BT443">
        <v>0</v>
      </c>
      <c r="BU443">
        <v>0</v>
      </c>
      <c r="BV443">
        <v>0</v>
      </c>
      <c r="CC443" t="str">
        <f>"18:41:52.336"</f>
        <v>18:41:52.336</v>
      </c>
      <c r="CD443" t="str">
        <f>"336431667"</f>
        <v>336431667</v>
      </c>
      <c r="CQ443">
        <v>0</v>
      </c>
      <c r="CR443">
        <v>2</v>
      </c>
      <c r="CS443">
        <v>0</v>
      </c>
      <c r="CT443">
        <v>2</v>
      </c>
      <c r="CU443">
        <v>0</v>
      </c>
      <c r="CV443">
        <v>5</v>
      </c>
      <c r="CW443" t="s">
        <v>120</v>
      </c>
      <c r="CX443">
        <v>257</v>
      </c>
      <c r="CY443">
        <v>1</v>
      </c>
      <c r="CZ443" t="s">
        <v>615</v>
      </c>
      <c r="DA443" t="s">
        <v>616</v>
      </c>
      <c r="DD443">
        <v>10744591</v>
      </c>
      <c r="DE443" t="s">
        <v>123</v>
      </c>
    </row>
    <row r="444" spans="1:109" x14ac:dyDescent="0.3">
      <c r="A444" t="str">
        <f>"18:41:53.656"</f>
        <v>18:41:53.656</v>
      </c>
      <c r="B444" t="s">
        <v>110</v>
      </c>
      <c r="C444" t="str">
        <f t="shared" si="18"/>
        <v>ffdfd3c0</v>
      </c>
      <c r="D444" t="s">
        <v>111</v>
      </c>
      <c r="E444">
        <v>18</v>
      </c>
      <c r="F444">
        <v>1018</v>
      </c>
      <c r="G444" t="s">
        <v>112</v>
      </c>
      <c r="J444" t="s">
        <v>113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R444" t="s">
        <v>114</v>
      </c>
      <c r="S444" t="str">
        <f>"18:41:53.445"</f>
        <v>18:41:53.445</v>
      </c>
      <c r="T444" t="str">
        <f>"18:41:52.547"</f>
        <v>18:41:52.547</v>
      </c>
      <c r="U444" t="str">
        <f t="shared" si="19"/>
        <v>a1cdbe</v>
      </c>
      <c r="V444">
        <v>0</v>
      </c>
      <c r="W444">
        <v>0</v>
      </c>
      <c r="X444">
        <v>1</v>
      </c>
      <c r="Y444">
        <v>0</v>
      </c>
      <c r="Z444">
        <v>0</v>
      </c>
      <c r="AB444">
        <v>0</v>
      </c>
      <c r="AC444">
        <v>9</v>
      </c>
      <c r="AD444">
        <v>3</v>
      </c>
      <c r="AE444">
        <v>0</v>
      </c>
      <c r="AF444">
        <v>9</v>
      </c>
      <c r="AG444" t="s">
        <v>158</v>
      </c>
      <c r="AH444">
        <v>0</v>
      </c>
      <c r="AI444">
        <v>3</v>
      </c>
      <c r="AJ444">
        <v>1</v>
      </c>
      <c r="AK444">
        <v>0</v>
      </c>
      <c r="AL444" t="s">
        <v>957</v>
      </c>
      <c r="AM444">
        <v>46.975307000000001</v>
      </c>
      <c r="AN444" t="s">
        <v>958</v>
      </c>
      <c r="AO444">
        <v>-122.318752</v>
      </c>
      <c r="AP444">
        <v>100</v>
      </c>
      <c r="AQ444">
        <v>1900</v>
      </c>
      <c r="AR444" t="s">
        <v>118</v>
      </c>
      <c r="AS444">
        <v>-27</v>
      </c>
      <c r="AT444">
        <v>-77</v>
      </c>
      <c r="AU444">
        <v>64</v>
      </c>
      <c r="BC444">
        <v>1200</v>
      </c>
      <c r="BD444">
        <v>1</v>
      </c>
      <c r="BE444" t="str">
        <f t="shared" si="20"/>
        <v xml:space="preserve">N215T   </v>
      </c>
      <c r="BF444">
        <v>1</v>
      </c>
      <c r="BH444">
        <v>0</v>
      </c>
      <c r="BI444">
        <v>0</v>
      </c>
      <c r="BJ444">
        <v>0</v>
      </c>
      <c r="BK444">
        <v>2275</v>
      </c>
      <c r="BL444">
        <v>375</v>
      </c>
      <c r="BM444" t="s">
        <v>119</v>
      </c>
      <c r="BN444">
        <v>1</v>
      </c>
      <c r="BO444">
        <v>1</v>
      </c>
      <c r="BP444">
        <v>1</v>
      </c>
      <c r="BQ444">
        <v>0</v>
      </c>
      <c r="BT444">
        <v>0</v>
      </c>
      <c r="BU444">
        <v>0</v>
      </c>
      <c r="BV444">
        <v>0</v>
      </c>
      <c r="CC444" t="str">
        <f>"18:41:53.445"</f>
        <v>18:41:53.445</v>
      </c>
      <c r="CD444" t="str">
        <f>"446322296"</f>
        <v>446322296</v>
      </c>
      <c r="CQ444">
        <v>0</v>
      </c>
      <c r="CR444">
        <v>2</v>
      </c>
      <c r="CS444">
        <v>0</v>
      </c>
      <c r="CT444">
        <v>2</v>
      </c>
      <c r="CU444">
        <v>0</v>
      </c>
      <c r="CV444">
        <v>5</v>
      </c>
      <c r="CW444" t="s">
        <v>120</v>
      </c>
      <c r="CX444">
        <v>257</v>
      </c>
      <c r="CY444">
        <v>1</v>
      </c>
      <c r="CZ444" t="s">
        <v>615</v>
      </c>
      <c r="DA444" t="s">
        <v>616</v>
      </c>
      <c r="DD444">
        <v>10745335</v>
      </c>
      <c r="DE444" t="s">
        <v>123</v>
      </c>
    </row>
    <row r="445" spans="1:109" x14ac:dyDescent="0.3">
      <c r="A445" t="str">
        <f>"18:41:54.516"</f>
        <v>18:41:54.516</v>
      </c>
      <c r="B445" t="s">
        <v>110</v>
      </c>
      <c r="C445" t="str">
        <f t="shared" si="18"/>
        <v>ffdfd3c0</v>
      </c>
      <c r="D445" t="s">
        <v>111</v>
      </c>
      <c r="E445">
        <v>18</v>
      </c>
      <c r="F445">
        <v>1018</v>
      </c>
      <c r="G445" t="s">
        <v>112</v>
      </c>
      <c r="J445" t="s">
        <v>113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R445" t="s">
        <v>114</v>
      </c>
      <c r="S445" t="str">
        <f>"18:41:54.266"</f>
        <v>18:41:54.266</v>
      </c>
      <c r="T445" t="str">
        <f>"18:41:53.969"</f>
        <v>18:41:53.969</v>
      </c>
      <c r="U445" t="str">
        <f t="shared" si="19"/>
        <v>a1cdbe</v>
      </c>
      <c r="V445">
        <v>0</v>
      </c>
      <c r="W445">
        <v>0</v>
      </c>
      <c r="X445">
        <v>1</v>
      </c>
      <c r="Y445">
        <v>0</v>
      </c>
      <c r="Z445">
        <v>0</v>
      </c>
      <c r="AB445">
        <v>0</v>
      </c>
      <c r="AC445">
        <v>9</v>
      </c>
      <c r="AD445">
        <v>3</v>
      </c>
      <c r="AE445">
        <v>0</v>
      </c>
      <c r="AF445">
        <v>9</v>
      </c>
      <c r="AG445" t="s">
        <v>158</v>
      </c>
      <c r="AH445">
        <v>0</v>
      </c>
      <c r="AI445">
        <v>3</v>
      </c>
      <c r="AJ445">
        <v>1</v>
      </c>
      <c r="AK445">
        <v>0</v>
      </c>
      <c r="AL445" t="s">
        <v>959</v>
      </c>
      <c r="AM445">
        <v>46.974986000000001</v>
      </c>
      <c r="AN445" t="s">
        <v>960</v>
      </c>
      <c r="AO445">
        <v>-122.318966</v>
      </c>
      <c r="AP445">
        <v>100</v>
      </c>
      <c r="AQ445">
        <v>1900</v>
      </c>
      <c r="AR445" t="s">
        <v>118</v>
      </c>
      <c r="AS445">
        <v>-27</v>
      </c>
      <c r="AT445">
        <v>-76</v>
      </c>
      <c r="AU445">
        <v>128</v>
      </c>
      <c r="BC445">
        <v>1200</v>
      </c>
      <c r="BD445">
        <v>1</v>
      </c>
      <c r="BE445" t="str">
        <f t="shared" si="20"/>
        <v xml:space="preserve">N215T   </v>
      </c>
      <c r="BF445">
        <v>1</v>
      </c>
      <c r="BH445">
        <v>0</v>
      </c>
      <c r="BI445">
        <v>0</v>
      </c>
      <c r="BJ445">
        <v>0</v>
      </c>
      <c r="BK445">
        <v>2275</v>
      </c>
      <c r="BL445">
        <v>375</v>
      </c>
      <c r="BM445" t="s">
        <v>119</v>
      </c>
      <c r="BN445">
        <v>1</v>
      </c>
      <c r="BO445">
        <v>1</v>
      </c>
      <c r="BP445">
        <v>1</v>
      </c>
      <c r="BQ445">
        <v>0</v>
      </c>
      <c r="BT445">
        <v>0</v>
      </c>
      <c r="BU445">
        <v>0</v>
      </c>
      <c r="BV445">
        <v>0</v>
      </c>
      <c r="CC445" t="str">
        <f>"18:41:54.273"</f>
        <v>18:41:54.273</v>
      </c>
      <c r="CD445" t="str">
        <f>"271241005"</f>
        <v>271241005</v>
      </c>
      <c r="CQ445">
        <v>0</v>
      </c>
      <c r="CR445">
        <v>2</v>
      </c>
      <c r="CS445">
        <v>0</v>
      </c>
      <c r="CT445">
        <v>2</v>
      </c>
      <c r="CU445">
        <v>0</v>
      </c>
      <c r="CV445">
        <v>6</v>
      </c>
      <c r="CW445" t="s">
        <v>120</v>
      </c>
      <c r="CX445">
        <v>257</v>
      </c>
      <c r="CY445">
        <v>1</v>
      </c>
      <c r="CZ445" t="s">
        <v>615</v>
      </c>
      <c r="DA445" t="s">
        <v>616</v>
      </c>
      <c r="DD445">
        <v>10745868</v>
      </c>
      <c r="DE445" t="s">
        <v>123</v>
      </c>
    </row>
    <row r="446" spans="1:109" x14ac:dyDescent="0.3">
      <c r="A446" t="str">
        <f>"18:41:55.516"</f>
        <v>18:41:55.516</v>
      </c>
      <c r="B446" t="s">
        <v>110</v>
      </c>
      <c r="C446" t="str">
        <f t="shared" si="18"/>
        <v>ffdfd3c0</v>
      </c>
      <c r="D446" t="s">
        <v>111</v>
      </c>
      <c r="E446">
        <v>18</v>
      </c>
      <c r="F446">
        <v>1018</v>
      </c>
      <c r="G446" t="s">
        <v>112</v>
      </c>
      <c r="J446" t="s">
        <v>113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R446" t="s">
        <v>114</v>
      </c>
      <c r="S446" t="str">
        <f>"18:41:55.273"</f>
        <v>18:41:55.273</v>
      </c>
      <c r="T446" t="str">
        <f>"18:41:55.273"</f>
        <v>18:41:55.273</v>
      </c>
      <c r="U446" t="str">
        <f t="shared" si="19"/>
        <v>a1cdbe</v>
      </c>
      <c r="V446">
        <v>0</v>
      </c>
      <c r="W446">
        <v>0</v>
      </c>
      <c r="X446">
        <v>1</v>
      </c>
      <c r="Y446">
        <v>0</v>
      </c>
      <c r="Z446">
        <v>0</v>
      </c>
      <c r="AB446">
        <v>0</v>
      </c>
      <c r="AC446">
        <v>9</v>
      </c>
      <c r="AD446">
        <v>3</v>
      </c>
      <c r="AE446">
        <v>0</v>
      </c>
      <c r="AF446">
        <v>9</v>
      </c>
      <c r="AG446" t="s">
        <v>158</v>
      </c>
      <c r="AH446">
        <v>0</v>
      </c>
      <c r="AI446">
        <v>3</v>
      </c>
      <c r="AJ446">
        <v>1</v>
      </c>
      <c r="AK446">
        <v>0</v>
      </c>
      <c r="AL446" t="s">
        <v>961</v>
      </c>
      <c r="AM446">
        <v>46.974598999999998</v>
      </c>
      <c r="AN446" t="s">
        <v>962</v>
      </c>
      <c r="AO446">
        <v>-122.319095</v>
      </c>
      <c r="AP446">
        <v>100</v>
      </c>
      <c r="AQ446">
        <v>1900</v>
      </c>
      <c r="AR446" t="s">
        <v>118</v>
      </c>
      <c r="AS446">
        <v>-25</v>
      </c>
      <c r="AT446">
        <v>-76</v>
      </c>
      <c r="AU446">
        <v>192</v>
      </c>
      <c r="BC446">
        <v>1200</v>
      </c>
      <c r="BD446">
        <v>1</v>
      </c>
      <c r="BE446" t="str">
        <f t="shared" si="20"/>
        <v xml:space="preserve">N215T   </v>
      </c>
      <c r="BF446">
        <v>1</v>
      </c>
      <c r="BH446">
        <v>0</v>
      </c>
      <c r="BI446">
        <v>0</v>
      </c>
      <c r="BJ446">
        <v>0</v>
      </c>
      <c r="BK446">
        <v>2275</v>
      </c>
      <c r="BL446">
        <v>375</v>
      </c>
      <c r="BM446" t="s">
        <v>119</v>
      </c>
      <c r="BN446">
        <v>1</v>
      </c>
      <c r="BO446">
        <v>1</v>
      </c>
      <c r="BP446">
        <v>1</v>
      </c>
      <c r="BQ446">
        <v>0</v>
      </c>
      <c r="BT446">
        <v>0</v>
      </c>
      <c r="BU446">
        <v>0</v>
      </c>
      <c r="BV446">
        <v>0</v>
      </c>
      <c r="CC446" t="str">
        <f>"18:41:55.273"</f>
        <v>18:41:55.273</v>
      </c>
      <c r="CD446" t="str">
        <f>"276141977"</f>
        <v>276141977</v>
      </c>
      <c r="CQ446">
        <v>0</v>
      </c>
      <c r="CR446">
        <v>2</v>
      </c>
      <c r="CS446">
        <v>0</v>
      </c>
      <c r="CT446">
        <v>2</v>
      </c>
      <c r="CU446">
        <v>0</v>
      </c>
      <c r="CV446">
        <v>6</v>
      </c>
      <c r="CW446" t="s">
        <v>120</v>
      </c>
      <c r="CX446">
        <v>257</v>
      </c>
      <c r="CY446">
        <v>1</v>
      </c>
      <c r="CZ446" t="s">
        <v>615</v>
      </c>
      <c r="DA446" t="s">
        <v>616</v>
      </c>
      <c r="DD446">
        <v>10746538</v>
      </c>
      <c r="DE446" t="s">
        <v>123</v>
      </c>
    </row>
    <row r="447" spans="1:109" x14ac:dyDescent="0.3">
      <c r="A447" t="str">
        <f>"18:41:56.523"</f>
        <v>18:41:56.523</v>
      </c>
      <c r="B447" t="s">
        <v>110</v>
      </c>
      <c r="C447" t="str">
        <f t="shared" si="18"/>
        <v>ffdfd3c0</v>
      </c>
      <c r="D447" t="s">
        <v>111</v>
      </c>
      <c r="E447">
        <v>18</v>
      </c>
      <c r="F447">
        <v>1018</v>
      </c>
      <c r="G447" t="s">
        <v>112</v>
      </c>
      <c r="J447" t="s">
        <v>113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R447" t="s">
        <v>114</v>
      </c>
      <c r="S447" t="str">
        <f>"18:41:56.289"</f>
        <v>18:41:56.289</v>
      </c>
      <c r="T447" t="str">
        <f>"18:41:55.891"</f>
        <v>18:41:55.891</v>
      </c>
      <c r="U447" t="str">
        <f t="shared" si="19"/>
        <v>a1cdbe</v>
      </c>
      <c r="V447">
        <v>0</v>
      </c>
      <c r="W447">
        <v>0</v>
      </c>
      <c r="X447">
        <v>1</v>
      </c>
      <c r="Y447">
        <v>0</v>
      </c>
      <c r="Z447">
        <v>0</v>
      </c>
      <c r="AB447">
        <v>0</v>
      </c>
      <c r="AC447">
        <v>9</v>
      </c>
      <c r="AD447">
        <v>3</v>
      </c>
      <c r="AE447">
        <v>0</v>
      </c>
      <c r="AF447">
        <v>9</v>
      </c>
      <c r="AG447" t="s">
        <v>158</v>
      </c>
      <c r="AH447">
        <v>0</v>
      </c>
      <c r="AI447">
        <v>3</v>
      </c>
      <c r="AJ447">
        <v>1</v>
      </c>
      <c r="AK447">
        <v>0</v>
      </c>
      <c r="AL447" t="s">
        <v>963</v>
      </c>
      <c r="AM447">
        <v>46.974277000000001</v>
      </c>
      <c r="AN447" t="s">
        <v>964</v>
      </c>
      <c r="AO447">
        <v>-122.319245</v>
      </c>
      <c r="AP447">
        <v>100</v>
      </c>
      <c r="AQ447">
        <v>1900</v>
      </c>
      <c r="AR447" t="s">
        <v>118</v>
      </c>
      <c r="AS447">
        <v>-24</v>
      </c>
      <c r="AT447">
        <v>-76</v>
      </c>
      <c r="AU447">
        <v>192</v>
      </c>
      <c r="BC447">
        <v>1200</v>
      </c>
      <c r="BD447">
        <v>1</v>
      </c>
      <c r="BE447" t="str">
        <f t="shared" si="20"/>
        <v xml:space="preserve">N215T   </v>
      </c>
      <c r="BF447">
        <v>1</v>
      </c>
      <c r="BH447">
        <v>0</v>
      </c>
      <c r="BI447">
        <v>0</v>
      </c>
      <c r="BJ447">
        <v>0</v>
      </c>
      <c r="BK447">
        <v>2275</v>
      </c>
      <c r="BL447">
        <v>375</v>
      </c>
      <c r="BM447" t="s">
        <v>119</v>
      </c>
      <c r="BN447">
        <v>1</v>
      </c>
      <c r="BO447">
        <v>1</v>
      </c>
      <c r="BP447">
        <v>1</v>
      </c>
      <c r="BQ447">
        <v>0</v>
      </c>
      <c r="BT447">
        <v>0</v>
      </c>
      <c r="BU447">
        <v>0</v>
      </c>
      <c r="BV447">
        <v>0</v>
      </c>
      <c r="CC447" t="str">
        <f>"18:41:56.297"</f>
        <v>18:41:56.297</v>
      </c>
      <c r="CD447" t="str">
        <f>"296041483"</f>
        <v>296041483</v>
      </c>
      <c r="CQ447">
        <v>0</v>
      </c>
      <c r="CR447">
        <v>2</v>
      </c>
      <c r="CS447">
        <v>0</v>
      </c>
      <c r="CT447">
        <v>2</v>
      </c>
      <c r="CU447">
        <v>0</v>
      </c>
      <c r="CV447">
        <v>6</v>
      </c>
      <c r="CW447" t="s">
        <v>120</v>
      </c>
      <c r="CX447">
        <v>257</v>
      </c>
      <c r="CY447">
        <v>1</v>
      </c>
      <c r="CZ447" t="s">
        <v>615</v>
      </c>
      <c r="DA447" t="s">
        <v>616</v>
      </c>
      <c r="DD447">
        <v>10747242</v>
      </c>
      <c r="DE447" t="s">
        <v>123</v>
      </c>
    </row>
    <row r="448" spans="1:109" x14ac:dyDescent="0.3">
      <c r="A448" t="str">
        <f>"18:41:57.430"</f>
        <v>18:41:57.430</v>
      </c>
      <c r="B448" t="s">
        <v>110</v>
      </c>
      <c r="C448" t="str">
        <f t="shared" si="18"/>
        <v>ffdfd3c0</v>
      </c>
      <c r="D448" t="s">
        <v>111</v>
      </c>
      <c r="E448">
        <v>18</v>
      </c>
      <c r="F448">
        <v>1018</v>
      </c>
      <c r="G448" t="s">
        <v>112</v>
      </c>
      <c r="J448" t="s">
        <v>113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R448" t="s">
        <v>114</v>
      </c>
      <c r="S448" t="str">
        <f>"18:41:57.195"</f>
        <v>18:41:57.195</v>
      </c>
      <c r="T448" t="str">
        <f>"18:41:56.992"</f>
        <v>18:41:56.992</v>
      </c>
      <c r="U448" t="str">
        <f t="shared" si="19"/>
        <v>a1cdbe</v>
      </c>
      <c r="V448">
        <v>0</v>
      </c>
      <c r="W448">
        <v>0</v>
      </c>
      <c r="X448">
        <v>1</v>
      </c>
      <c r="Y448">
        <v>0</v>
      </c>
      <c r="Z448">
        <v>0</v>
      </c>
      <c r="AB448">
        <v>0</v>
      </c>
      <c r="AC448">
        <v>9</v>
      </c>
      <c r="AD448">
        <v>3</v>
      </c>
      <c r="AE448">
        <v>0</v>
      </c>
      <c r="AF448">
        <v>9</v>
      </c>
      <c r="AG448" t="s">
        <v>158</v>
      </c>
      <c r="AH448">
        <v>0</v>
      </c>
      <c r="AI448">
        <v>3</v>
      </c>
      <c r="AJ448">
        <v>1</v>
      </c>
      <c r="AK448">
        <v>0</v>
      </c>
      <c r="AL448" t="s">
        <v>965</v>
      </c>
      <c r="AM448">
        <v>46.973976999999998</v>
      </c>
      <c r="AN448" t="s">
        <v>966</v>
      </c>
      <c r="AO448">
        <v>-122.31943800000001</v>
      </c>
      <c r="AP448">
        <v>100</v>
      </c>
      <c r="AQ448">
        <v>1900</v>
      </c>
      <c r="AR448" t="s">
        <v>118</v>
      </c>
      <c r="AS448">
        <v>-23</v>
      </c>
      <c r="AT448">
        <v>-76</v>
      </c>
      <c r="AU448">
        <v>192</v>
      </c>
      <c r="BC448">
        <v>1200</v>
      </c>
      <c r="BD448">
        <v>1</v>
      </c>
      <c r="BE448" t="str">
        <f t="shared" si="20"/>
        <v xml:space="preserve">N215T   </v>
      </c>
      <c r="BF448">
        <v>1</v>
      </c>
      <c r="BH448">
        <v>0</v>
      </c>
      <c r="BI448">
        <v>0</v>
      </c>
      <c r="BJ448">
        <v>0</v>
      </c>
      <c r="BK448">
        <v>2275</v>
      </c>
      <c r="BL448">
        <v>375</v>
      </c>
      <c r="BM448" t="s">
        <v>119</v>
      </c>
      <c r="BN448">
        <v>1</v>
      </c>
      <c r="BO448">
        <v>1</v>
      </c>
      <c r="BP448">
        <v>1</v>
      </c>
      <c r="BQ448">
        <v>0</v>
      </c>
      <c r="BT448">
        <v>0</v>
      </c>
      <c r="BU448">
        <v>0</v>
      </c>
      <c r="BV448">
        <v>0</v>
      </c>
      <c r="CC448" t="str">
        <f>"18:41:57.195"</f>
        <v>18:41:57.195</v>
      </c>
      <c r="CD448" t="str">
        <f>"195952792"</f>
        <v>195952792</v>
      </c>
      <c r="CQ448">
        <v>0</v>
      </c>
      <c r="CR448">
        <v>2</v>
      </c>
      <c r="CS448">
        <v>0</v>
      </c>
      <c r="CT448">
        <v>2</v>
      </c>
      <c r="CU448">
        <v>0</v>
      </c>
      <c r="CV448">
        <v>6</v>
      </c>
      <c r="CW448" t="s">
        <v>120</v>
      </c>
      <c r="CX448">
        <v>257</v>
      </c>
      <c r="CY448">
        <v>1</v>
      </c>
      <c r="CZ448" t="s">
        <v>615</v>
      </c>
      <c r="DA448" t="s">
        <v>616</v>
      </c>
      <c r="DD448">
        <v>10747848</v>
      </c>
      <c r="DE448" t="s">
        <v>123</v>
      </c>
    </row>
    <row r="449" spans="1:109" x14ac:dyDescent="0.3">
      <c r="A449" t="str">
        <f>"18:41:58.531"</f>
        <v>18:41:58.531</v>
      </c>
      <c r="B449" t="s">
        <v>110</v>
      </c>
      <c r="C449" t="str">
        <f t="shared" si="18"/>
        <v>ffdfd3c0</v>
      </c>
      <c r="D449" t="s">
        <v>111</v>
      </c>
      <c r="E449">
        <v>18</v>
      </c>
      <c r="F449">
        <v>1018</v>
      </c>
      <c r="G449" t="s">
        <v>112</v>
      </c>
      <c r="J449" t="s">
        <v>113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R449" t="s">
        <v>114</v>
      </c>
      <c r="S449" t="str">
        <f>"18:41:58.289"</f>
        <v>18:41:58.289</v>
      </c>
      <c r="T449" t="str">
        <f>"18:41:57.891"</f>
        <v>18:41:57.891</v>
      </c>
      <c r="U449" t="str">
        <f t="shared" si="19"/>
        <v>a1cdbe</v>
      </c>
      <c r="V449">
        <v>0</v>
      </c>
      <c r="W449">
        <v>0</v>
      </c>
      <c r="X449">
        <v>1</v>
      </c>
      <c r="Y449">
        <v>0</v>
      </c>
      <c r="Z449">
        <v>0</v>
      </c>
      <c r="AB449">
        <v>0</v>
      </c>
      <c r="AC449">
        <v>9</v>
      </c>
      <c r="AD449">
        <v>3</v>
      </c>
      <c r="AE449">
        <v>0</v>
      </c>
      <c r="AF449">
        <v>9</v>
      </c>
      <c r="AG449" t="s">
        <v>158</v>
      </c>
      <c r="AH449">
        <v>0</v>
      </c>
      <c r="AI449">
        <v>3</v>
      </c>
      <c r="AJ449">
        <v>1</v>
      </c>
      <c r="AK449">
        <v>0</v>
      </c>
      <c r="AL449" t="s">
        <v>967</v>
      </c>
      <c r="AM449">
        <v>46.973590999999999</v>
      </c>
      <c r="AN449" t="s">
        <v>968</v>
      </c>
      <c r="AO449">
        <v>-122.31958899999999</v>
      </c>
      <c r="AP449">
        <v>100</v>
      </c>
      <c r="AQ449">
        <v>1900</v>
      </c>
      <c r="AR449" t="s">
        <v>118</v>
      </c>
      <c r="AS449">
        <v>-21</v>
      </c>
      <c r="AT449">
        <v>-76</v>
      </c>
      <c r="AU449">
        <v>192</v>
      </c>
      <c r="BC449">
        <v>1200</v>
      </c>
      <c r="BD449">
        <v>1</v>
      </c>
      <c r="BE449" t="str">
        <f t="shared" si="20"/>
        <v xml:space="preserve">N215T   </v>
      </c>
      <c r="BF449">
        <v>1</v>
      </c>
      <c r="BH449">
        <v>0</v>
      </c>
      <c r="BI449">
        <v>0</v>
      </c>
      <c r="BJ449">
        <v>0</v>
      </c>
      <c r="BK449">
        <v>2300</v>
      </c>
      <c r="BL449">
        <v>400</v>
      </c>
      <c r="BM449" t="s">
        <v>119</v>
      </c>
      <c r="BN449">
        <v>1</v>
      </c>
      <c r="BO449">
        <v>1</v>
      </c>
      <c r="BP449">
        <v>1</v>
      </c>
      <c r="BQ449">
        <v>0</v>
      </c>
      <c r="BT449">
        <v>0</v>
      </c>
      <c r="BU449">
        <v>0</v>
      </c>
      <c r="BV449">
        <v>0</v>
      </c>
      <c r="CC449" t="str">
        <f>"18:41:58.289"</f>
        <v>18:41:58.289</v>
      </c>
      <c r="CD449" t="str">
        <f>"290844897"</f>
        <v>290844897</v>
      </c>
      <c r="CQ449">
        <v>0</v>
      </c>
      <c r="CR449">
        <v>2</v>
      </c>
      <c r="CS449">
        <v>0</v>
      </c>
      <c r="CT449">
        <v>2</v>
      </c>
      <c r="CU449">
        <v>0</v>
      </c>
      <c r="CV449">
        <v>6</v>
      </c>
      <c r="CW449" t="s">
        <v>120</v>
      </c>
      <c r="CX449">
        <v>257</v>
      </c>
      <c r="CY449">
        <v>1</v>
      </c>
      <c r="CZ449" t="s">
        <v>615</v>
      </c>
      <c r="DA449" t="s">
        <v>616</v>
      </c>
      <c r="DD449">
        <v>10748545</v>
      </c>
      <c r="DE449" t="s">
        <v>123</v>
      </c>
    </row>
    <row r="450" spans="1:109" x14ac:dyDescent="0.3">
      <c r="A450" t="str">
        <f>"18:41:59.695"</f>
        <v>18:41:59.695</v>
      </c>
      <c r="B450" t="s">
        <v>110</v>
      </c>
      <c r="C450" t="str">
        <f t="shared" ref="C450:C513" si="21">"ffdfd3c0"</f>
        <v>ffdfd3c0</v>
      </c>
      <c r="D450" t="s">
        <v>111</v>
      </c>
      <c r="E450">
        <v>18</v>
      </c>
      <c r="F450">
        <v>1018</v>
      </c>
      <c r="G450" t="s">
        <v>112</v>
      </c>
      <c r="J450" t="s">
        <v>113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R450" t="s">
        <v>114</v>
      </c>
      <c r="S450" t="str">
        <f>"18:41:59.445"</f>
        <v>18:41:59.445</v>
      </c>
      <c r="T450" t="str">
        <f>"18:41:59.445"</f>
        <v>18:41:59.445</v>
      </c>
      <c r="U450" t="str">
        <f t="shared" ref="U450:U513" si="22">"a1cdbe"</f>
        <v>a1cdbe</v>
      </c>
      <c r="V450">
        <v>0</v>
      </c>
      <c r="W450">
        <v>0</v>
      </c>
      <c r="X450">
        <v>1</v>
      </c>
      <c r="Y450">
        <v>0</v>
      </c>
      <c r="Z450">
        <v>0</v>
      </c>
      <c r="AB450">
        <v>0</v>
      </c>
      <c r="AC450">
        <v>9</v>
      </c>
      <c r="AD450">
        <v>3</v>
      </c>
      <c r="AE450">
        <v>0</v>
      </c>
      <c r="AF450">
        <v>9</v>
      </c>
      <c r="AG450" t="s">
        <v>158</v>
      </c>
      <c r="AH450">
        <v>0</v>
      </c>
      <c r="AI450">
        <v>3</v>
      </c>
      <c r="AJ450">
        <v>1</v>
      </c>
      <c r="AK450">
        <v>0</v>
      </c>
      <c r="AL450" t="s">
        <v>969</v>
      </c>
      <c r="AM450">
        <v>46.973162000000002</v>
      </c>
      <c r="AN450" t="s">
        <v>970</v>
      </c>
      <c r="AO450">
        <v>-122.319739</v>
      </c>
      <c r="AP450">
        <v>100</v>
      </c>
      <c r="AQ450">
        <v>1900</v>
      </c>
      <c r="AR450" t="s">
        <v>118</v>
      </c>
      <c r="AS450">
        <v>-20</v>
      </c>
      <c r="AT450">
        <v>-75</v>
      </c>
      <c r="AU450">
        <v>192</v>
      </c>
      <c r="BC450">
        <v>1200</v>
      </c>
      <c r="BD450">
        <v>1</v>
      </c>
      <c r="BE450" t="str">
        <f t="shared" ref="BE450:BE513" si="23">"N215T   "</f>
        <v xml:space="preserve">N215T   </v>
      </c>
      <c r="BF450">
        <v>1</v>
      </c>
      <c r="BH450">
        <v>0</v>
      </c>
      <c r="BI450">
        <v>0</v>
      </c>
      <c r="BJ450">
        <v>0</v>
      </c>
      <c r="BK450">
        <v>2300</v>
      </c>
      <c r="BL450">
        <v>400</v>
      </c>
      <c r="BM450" t="s">
        <v>119</v>
      </c>
      <c r="BN450">
        <v>1</v>
      </c>
      <c r="BO450">
        <v>1</v>
      </c>
      <c r="BP450">
        <v>1</v>
      </c>
      <c r="BQ450">
        <v>0</v>
      </c>
      <c r="BT450">
        <v>0</v>
      </c>
      <c r="BU450">
        <v>0</v>
      </c>
      <c r="BV450">
        <v>0</v>
      </c>
      <c r="CC450" t="str">
        <f>"18:41:59.445"</f>
        <v>18:41:59.445</v>
      </c>
      <c r="CD450" t="str">
        <f>"445731101"</f>
        <v>445731101</v>
      </c>
      <c r="CQ450">
        <v>0</v>
      </c>
      <c r="CR450">
        <v>2</v>
      </c>
      <c r="CS450">
        <v>0</v>
      </c>
      <c r="CT450">
        <v>2</v>
      </c>
      <c r="CU450">
        <v>0</v>
      </c>
      <c r="CV450">
        <v>6</v>
      </c>
      <c r="CW450" t="s">
        <v>120</v>
      </c>
      <c r="CX450">
        <v>257</v>
      </c>
      <c r="CY450">
        <v>1</v>
      </c>
      <c r="CZ450" t="s">
        <v>615</v>
      </c>
      <c r="DA450" t="s">
        <v>616</v>
      </c>
      <c r="DD450">
        <v>10749335</v>
      </c>
      <c r="DE450" t="s">
        <v>123</v>
      </c>
    </row>
    <row r="451" spans="1:109" x14ac:dyDescent="0.3">
      <c r="A451" t="str">
        <f>"18:42:00.695"</f>
        <v>18:42:00.695</v>
      </c>
      <c r="B451" t="s">
        <v>110</v>
      </c>
      <c r="C451" t="str">
        <f t="shared" si="21"/>
        <v>ffdfd3c0</v>
      </c>
      <c r="D451" t="s">
        <v>111</v>
      </c>
      <c r="E451">
        <v>18</v>
      </c>
      <c r="F451">
        <v>1018</v>
      </c>
      <c r="G451" t="s">
        <v>112</v>
      </c>
      <c r="J451" t="s">
        <v>113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R451" t="s">
        <v>114</v>
      </c>
      <c r="S451" t="str">
        <f>"18:42:00.477"</f>
        <v>18:42:00.477</v>
      </c>
      <c r="T451" t="str">
        <f>"18:41:59.977"</f>
        <v>18:41:59.977</v>
      </c>
      <c r="U451" t="str">
        <f t="shared" si="22"/>
        <v>a1cdbe</v>
      </c>
      <c r="V451">
        <v>0</v>
      </c>
      <c r="W451">
        <v>0</v>
      </c>
      <c r="X451">
        <v>1</v>
      </c>
      <c r="Y451">
        <v>0</v>
      </c>
      <c r="Z451">
        <v>0</v>
      </c>
      <c r="AB451">
        <v>0</v>
      </c>
      <c r="AC451">
        <v>9</v>
      </c>
      <c r="AD451">
        <v>3</v>
      </c>
      <c r="AE451">
        <v>0</v>
      </c>
      <c r="AF451">
        <v>9</v>
      </c>
      <c r="AG451" t="s">
        <v>158</v>
      </c>
      <c r="AH451">
        <v>0</v>
      </c>
      <c r="AI451">
        <v>3</v>
      </c>
      <c r="AJ451">
        <v>1</v>
      </c>
      <c r="AK451">
        <v>0</v>
      </c>
      <c r="AL451" t="s">
        <v>971</v>
      </c>
      <c r="AM451">
        <v>46.972817999999997</v>
      </c>
      <c r="AN451" t="s">
        <v>972</v>
      </c>
      <c r="AO451">
        <v>-122.319846</v>
      </c>
      <c r="AP451">
        <v>100</v>
      </c>
      <c r="AQ451">
        <v>1900</v>
      </c>
      <c r="AR451" t="s">
        <v>118</v>
      </c>
      <c r="AS451">
        <v>-19</v>
      </c>
      <c r="AT451">
        <v>-75</v>
      </c>
      <c r="AU451">
        <v>192</v>
      </c>
      <c r="BC451">
        <v>1200</v>
      </c>
      <c r="BD451">
        <v>1</v>
      </c>
      <c r="BE451" t="str">
        <f t="shared" si="23"/>
        <v xml:space="preserve">N215T   </v>
      </c>
      <c r="BF451">
        <v>1</v>
      </c>
      <c r="BH451">
        <v>0</v>
      </c>
      <c r="BI451">
        <v>0</v>
      </c>
      <c r="BJ451">
        <v>0</v>
      </c>
      <c r="BK451">
        <v>2300</v>
      </c>
      <c r="BL451">
        <v>400</v>
      </c>
      <c r="BM451" t="s">
        <v>119</v>
      </c>
      <c r="BN451">
        <v>1</v>
      </c>
      <c r="BO451">
        <v>1</v>
      </c>
      <c r="BP451">
        <v>1</v>
      </c>
      <c r="BQ451">
        <v>0</v>
      </c>
      <c r="BT451">
        <v>0</v>
      </c>
      <c r="BU451">
        <v>0</v>
      </c>
      <c r="BV451">
        <v>0</v>
      </c>
      <c r="CC451" t="str">
        <f>"18:42:00.484"</f>
        <v>18:42:00.484</v>
      </c>
      <c r="CD451" t="str">
        <f>"480629118"</f>
        <v>480629118</v>
      </c>
      <c r="CQ451">
        <v>0</v>
      </c>
      <c r="CR451">
        <v>2</v>
      </c>
      <c r="CS451">
        <v>0</v>
      </c>
      <c r="CT451">
        <v>2</v>
      </c>
      <c r="CU451">
        <v>0</v>
      </c>
      <c r="CV451">
        <v>6</v>
      </c>
      <c r="CW451" t="s">
        <v>120</v>
      </c>
      <c r="CX451">
        <v>257</v>
      </c>
      <c r="CY451">
        <v>1</v>
      </c>
      <c r="CZ451" t="s">
        <v>615</v>
      </c>
      <c r="DA451" t="s">
        <v>616</v>
      </c>
      <c r="DD451">
        <v>10750039</v>
      </c>
      <c r="DE451" t="s">
        <v>123</v>
      </c>
    </row>
    <row r="452" spans="1:109" x14ac:dyDescent="0.3">
      <c r="A452" t="str">
        <f>"18:42:01.750"</f>
        <v>18:42:01.750</v>
      </c>
      <c r="B452" t="s">
        <v>110</v>
      </c>
      <c r="C452" t="str">
        <f t="shared" si="21"/>
        <v>ffdfd3c0</v>
      </c>
      <c r="D452" t="s">
        <v>111</v>
      </c>
      <c r="E452">
        <v>18</v>
      </c>
      <c r="F452">
        <v>1018</v>
      </c>
      <c r="G452" t="s">
        <v>112</v>
      </c>
      <c r="J452" t="s">
        <v>113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R452" t="s">
        <v>114</v>
      </c>
      <c r="S452" t="str">
        <f>"18:42:01.555"</f>
        <v>18:42:01.555</v>
      </c>
      <c r="T452" t="str">
        <f>"18:42:01.453"</f>
        <v>18:42:01.453</v>
      </c>
      <c r="U452" t="str">
        <f t="shared" si="22"/>
        <v>a1cdbe</v>
      </c>
      <c r="V452">
        <v>0</v>
      </c>
      <c r="W452">
        <v>0</v>
      </c>
      <c r="X452">
        <v>1</v>
      </c>
      <c r="Y452">
        <v>0</v>
      </c>
      <c r="Z452">
        <v>0</v>
      </c>
      <c r="AB452">
        <v>0</v>
      </c>
      <c r="AC452">
        <v>9</v>
      </c>
      <c r="AD452">
        <v>3</v>
      </c>
      <c r="AE452">
        <v>0</v>
      </c>
      <c r="AF452">
        <v>9</v>
      </c>
      <c r="AG452" t="s">
        <v>158</v>
      </c>
      <c r="AH452">
        <v>0</v>
      </c>
      <c r="AI452">
        <v>3</v>
      </c>
      <c r="AJ452">
        <v>1</v>
      </c>
      <c r="AK452">
        <v>0</v>
      </c>
      <c r="AL452" t="s">
        <v>973</v>
      </c>
      <c r="AM452">
        <v>46.972453999999999</v>
      </c>
      <c r="AN452" t="s">
        <v>974</v>
      </c>
      <c r="AO452">
        <v>-122.319996</v>
      </c>
      <c r="AP452">
        <v>100</v>
      </c>
      <c r="AQ452">
        <v>1900</v>
      </c>
      <c r="AR452" t="s">
        <v>118</v>
      </c>
      <c r="AS452">
        <v>-16</v>
      </c>
      <c r="AT452">
        <v>-75</v>
      </c>
      <c r="AU452">
        <v>128</v>
      </c>
      <c r="BC452">
        <v>1200</v>
      </c>
      <c r="BD452">
        <v>1</v>
      </c>
      <c r="BE452" t="str">
        <f t="shared" si="23"/>
        <v xml:space="preserve">N215T   </v>
      </c>
      <c r="BF452">
        <v>1</v>
      </c>
      <c r="BH452">
        <v>0</v>
      </c>
      <c r="BI452">
        <v>0</v>
      </c>
      <c r="BJ452">
        <v>0</v>
      </c>
      <c r="BK452">
        <v>2300</v>
      </c>
      <c r="BL452">
        <v>400</v>
      </c>
      <c r="BM452" t="s">
        <v>119</v>
      </c>
      <c r="BN452">
        <v>1</v>
      </c>
      <c r="BO452">
        <v>1</v>
      </c>
      <c r="BP452">
        <v>1</v>
      </c>
      <c r="BQ452">
        <v>0</v>
      </c>
      <c r="BT452">
        <v>0</v>
      </c>
      <c r="BU452">
        <v>0</v>
      </c>
      <c r="BV452">
        <v>0</v>
      </c>
      <c r="CC452" t="str">
        <f>"18:42:01.563"</f>
        <v>18:42:01.563</v>
      </c>
      <c r="CD452" t="str">
        <f>"560522716"</f>
        <v>560522716</v>
      </c>
      <c r="CQ452">
        <v>0</v>
      </c>
      <c r="CR452">
        <v>2</v>
      </c>
      <c r="CS452">
        <v>0</v>
      </c>
      <c r="CT452">
        <v>2</v>
      </c>
      <c r="CU452">
        <v>0</v>
      </c>
      <c r="CV452">
        <v>6</v>
      </c>
      <c r="CW452" t="s">
        <v>120</v>
      </c>
      <c r="CX452">
        <v>257</v>
      </c>
      <c r="CY452">
        <v>1</v>
      </c>
      <c r="CZ452" t="s">
        <v>615</v>
      </c>
      <c r="DA452" t="s">
        <v>616</v>
      </c>
      <c r="DD452">
        <v>10750712</v>
      </c>
      <c r="DE452" t="s">
        <v>123</v>
      </c>
    </row>
    <row r="453" spans="1:109" x14ac:dyDescent="0.3">
      <c r="A453" t="str">
        <f>"18:42:02.813"</f>
        <v>18:42:02.813</v>
      </c>
      <c r="B453" t="s">
        <v>110</v>
      </c>
      <c r="C453" t="str">
        <f t="shared" si="21"/>
        <v>ffdfd3c0</v>
      </c>
      <c r="D453" t="s">
        <v>111</v>
      </c>
      <c r="E453">
        <v>18</v>
      </c>
      <c r="F453">
        <v>1018</v>
      </c>
      <c r="G453" t="s">
        <v>112</v>
      </c>
      <c r="J453" t="s">
        <v>113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R453" t="s">
        <v>114</v>
      </c>
      <c r="S453" t="str">
        <f>"18:42:02.563"</f>
        <v>18:42:02.563</v>
      </c>
      <c r="T453" t="str">
        <f>"18:42:02.461"</f>
        <v>18:42:02.461</v>
      </c>
      <c r="U453" t="str">
        <f t="shared" si="22"/>
        <v>a1cdbe</v>
      </c>
      <c r="V453">
        <v>0</v>
      </c>
      <c r="W453">
        <v>0</v>
      </c>
      <c r="X453">
        <v>1</v>
      </c>
      <c r="Y453">
        <v>0</v>
      </c>
      <c r="Z453">
        <v>0</v>
      </c>
      <c r="AB453">
        <v>0</v>
      </c>
      <c r="AC453">
        <v>9</v>
      </c>
      <c r="AD453">
        <v>3</v>
      </c>
      <c r="AE453">
        <v>0</v>
      </c>
      <c r="AF453">
        <v>9</v>
      </c>
      <c r="AG453" t="s">
        <v>158</v>
      </c>
      <c r="AH453">
        <v>0</v>
      </c>
      <c r="AI453">
        <v>3</v>
      </c>
      <c r="AJ453">
        <v>1</v>
      </c>
      <c r="AK453">
        <v>0</v>
      </c>
      <c r="AL453" t="s">
        <v>975</v>
      </c>
      <c r="AM453">
        <v>46.972088999999997</v>
      </c>
      <c r="AN453" t="s">
        <v>976</v>
      </c>
      <c r="AO453">
        <v>-122.320082</v>
      </c>
      <c r="AP453">
        <v>100</v>
      </c>
      <c r="AQ453">
        <v>1900</v>
      </c>
      <c r="AR453" t="s">
        <v>118</v>
      </c>
      <c r="AS453">
        <v>-15</v>
      </c>
      <c r="AT453">
        <v>-75</v>
      </c>
      <c r="AU453">
        <v>0</v>
      </c>
      <c r="BC453">
        <v>1200</v>
      </c>
      <c r="BD453">
        <v>1</v>
      </c>
      <c r="BE453" t="str">
        <f t="shared" si="23"/>
        <v xml:space="preserve">N215T   </v>
      </c>
      <c r="BF453">
        <v>1</v>
      </c>
      <c r="BH453">
        <v>0</v>
      </c>
      <c r="BI453">
        <v>0</v>
      </c>
      <c r="BJ453">
        <v>0</v>
      </c>
      <c r="BK453">
        <v>2300</v>
      </c>
      <c r="BL453">
        <v>400</v>
      </c>
      <c r="BM453" t="s">
        <v>119</v>
      </c>
      <c r="BN453">
        <v>1</v>
      </c>
      <c r="BO453">
        <v>1</v>
      </c>
      <c r="BP453">
        <v>1</v>
      </c>
      <c r="BQ453">
        <v>0</v>
      </c>
      <c r="BT453">
        <v>0</v>
      </c>
      <c r="BU453">
        <v>0</v>
      </c>
      <c r="BV453">
        <v>0</v>
      </c>
      <c r="CC453" t="str">
        <f>"18:42:02.563"</f>
        <v>18:42:02.563</v>
      </c>
      <c r="CD453" t="str">
        <f>"565423705"</f>
        <v>565423705</v>
      </c>
      <c r="CQ453">
        <v>0</v>
      </c>
      <c r="CR453">
        <v>2</v>
      </c>
      <c r="CS453">
        <v>0</v>
      </c>
      <c r="CT453">
        <v>2</v>
      </c>
      <c r="CU453">
        <v>0</v>
      </c>
      <c r="CV453">
        <v>6</v>
      </c>
      <c r="CW453" t="s">
        <v>120</v>
      </c>
      <c r="CX453">
        <v>257</v>
      </c>
      <c r="CY453">
        <v>1</v>
      </c>
      <c r="CZ453" t="s">
        <v>615</v>
      </c>
      <c r="DA453" t="s">
        <v>616</v>
      </c>
      <c r="DD453">
        <v>10751395</v>
      </c>
      <c r="DE453" t="s">
        <v>123</v>
      </c>
    </row>
    <row r="454" spans="1:109" x14ac:dyDescent="0.3">
      <c r="A454" t="str">
        <f>"18:42:03.766"</f>
        <v>18:42:03.766</v>
      </c>
      <c r="B454" t="s">
        <v>110</v>
      </c>
      <c r="C454" t="str">
        <f t="shared" si="21"/>
        <v>ffdfd3c0</v>
      </c>
      <c r="D454" t="s">
        <v>111</v>
      </c>
      <c r="E454">
        <v>18</v>
      </c>
      <c r="F454">
        <v>1018</v>
      </c>
      <c r="G454" t="s">
        <v>112</v>
      </c>
      <c r="J454" t="s">
        <v>113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R454" t="s">
        <v>114</v>
      </c>
      <c r="S454" t="str">
        <f>"18:42:03.508"</f>
        <v>18:42:03.508</v>
      </c>
      <c r="T454" t="str">
        <f>"18:42:03.508"</f>
        <v>18:42:03.508</v>
      </c>
      <c r="U454" t="str">
        <f t="shared" si="22"/>
        <v>a1cdbe</v>
      </c>
      <c r="V454">
        <v>0</v>
      </c>
      <c r="W454">
        <v>0</v>
      </c>
      <c r="X454">
        <v>1</v>
      </c>
      <c r="Y454">
        <v>0</v>
      </c>
      <c r="Z454">
        <v>0</v>
      </c>
      <c r="AB454">
        <v>0</v>
      </c>
      <c r="AC454">
        <v>9</v>
      </c>
      <c r="AD454">
        <v>3</v>
      </c>
      <c r="AE454">
        <v>0</v>
      </c>
      <c r="AF454">
        <v>9</v>
      </c>
      <c r="AG454" t="s">
        <v>158</v>
      </c>
      <c r="AH454">
        <v>0</v>
      </c>
      <c r="AI454">
        <v>3</v>
      </c>
      <c r="AJ454">
        <v>1</v>
      </c>
      <c r="AK454">
        <v>0</v>
      </c>
      <c r="AL454" t="s">
        <v>977</v>
      </c>
      <c r="AM454">
        <v>46.971767</v>
      </c>
      <c r="AN454" t="s">
        <v>978</v>
      </c>
      <c r="AO454">
        <v>-122.320168</v>
      </c>
      <c r="AP454">
        <v>100</v>
      </c>
      <c r="AQ454">
        <v>1900</v>
      </c>
      <c r="AR454" t="s">
        <v>118</v>
      </c>
      <c r="AS454">
        <v>-14</v>
      </c>
      <c r="AT454">
        <v>-75</v>
      </c>
      <c r="AU454">
        <v>-64</v>
      </c>
      <c r="BC454">
        <v>1200</v>
      </c>
      <c r="BD454">
        <v>1</v>
      </c>
      <c r="BE454" t="str">
        <f t="shared" si="23"/>
        <v xml:space="preserve">N215T   </v>
      </c>
      <c r="BF454">
        <v>1</v>
      </c>
      <c r="BH454">
        <v>0</v>
      </c>
      <c r="BI454">
        <v>0</v>
      </c>
      <c r="BJ454">
        <v>0</v>
      </c>
      <c r="BK454">
        <v>2300</v>
      </c>
      <c r="BL454">
        <v>400</v>
      </c>
      <c r="BM454" t="s">
        <v>119</v>
      </c>
      <c r="BN454">
        <v>1</v>
      </c>
      <c r="BO454">
        <v>1</v>
      </c>
      <c r="BP454">
        <v>1</v>
      </c>
      <c r="BQ454">
        <v>0</v>
      </c>
      <c r="BT454">
        <v>0</v>
      </c>
      <c r="BU454">
        <v>0</v>
      </c>
      <c r="BV454">
        <v>0</v>
      </c>
      <c r="CC454" t="str">
        <f>"18:42:03.508"</f>
        <v>18:42:03.508</v>
      </c>
      <c r="CD454" t="str">
        <f>"510330605"</f>
        <v>510330605</v>
      </c>
      <c r="CQ454">
        <v>0</v>
      </c>
      <c r="CR454">
        <v>2</v>
      </c>
      <c r="CS454">
        <v>0</v>
      </c>
      <c r="CT454">
        <v>2</v>
      </c>
      <c r="CU454">
        <v>0</v>
      </c>
      <c r="CV454">
        <v>6</v>
      </c>
      <c r="CW454" t="s">
        <v>120</v>
      </c>
      <c r="CX454">
        <v>257</v>
      </c>
      <c r="CY454">
        <v>1</v>
      </c>
      <c r="CZ454" t="s">
        <v>615</v>
      </c>
      <c r="DA454" t="s">
        <v>616</v>
      </c>
      <c r="DD454">
        <v>10752019</v>
      </c>
      <c r="DE454" t="s">
        <v>123</v>
      </c>
    </row>
    <row r="455" spans="1:109" x14ac:dyDescent="0.3">
      <c r="A455" t="str">
        <f>"18:42:04.820"</f>
        <v>18:42:04.820</v>
      </c>
      <c r="B455" t="s">
        <v>110</v>
      </c>
      <c r="C455" t="str">
        <f t="shared" si="21"/>
        <v>ffdfd3c0</v>
      </c>
      <c r="D455" t="s">
        <v>111</v>
      </c>
      <c r="E455">
        <v>18</v>
      </c>
      <c r="F455">
        <v>1018</v>
      </c>
      <c r="G455" t="s">
        <v>112</v>
      </c>
      <c r="J455" t="s">
        <v>113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R455" t="s">
        <v>114</v>
      </c>
      <c r="S455" t="str">
        <f>"18:42:04.586"</f>
        <v>18:42:04.586</v>
      </c>
      <c r="T455" t="str">
        <f>"18:42:04.586"</f>
        <v>18:42:04.586</v>
      </c>
      <c r="U455" t="str">
        <f t="shared" si="22"/>
        <v>a1cdbe</v>
      </c>
      <c r="V455">
        <v>0</v>
      </c>
      <c r="W455">
        <v>0</v>
      </c>
      <c r="X455">
        <v>1</v>
      </c>
      <c r="Y455">
        <v>0</v>
      </c>
      <c r="Z455">
        <v>0</v>
      </c>
      <c r="AB455">
        <v>0</v>
      </c>
      <c r="AC455">
        <v>9</v>
      </c>
      <c r="AD455">
        <v>3</v>
      </c>
      <c r="AE455">
        <v>0</v>
      </c>
      <c r="AF455">
        <v>9</v>
      </c>
      <c r="AG455" t="s">
        <v>158</v>
      </c>
      <c r="AH455">
        <v>0</v>
      </c>
      <c r="AI455">
        <v>3</v>
      </c>
      <c r="AJ455">
        <v>1</v>
      </c>
      <c r="AK455">
        <v>0</v>
      </c>
      <c r="AL455" t="s">
        <v>979</v>
      </c>
      <c r="AM455">
        <v>46.971401999999998</v>
      </c>
      <c r="AN455" t="s">
        <v>980</v>
      </c>
      <c r="AO455">
        <v>-122.320297</v>
      </c>
      <c r="AP455">
        <v>100</v>
      </c>
      <c r="AQ455">
        <v>1900</v>
      </c>
      <c r="AR455" t="s">
        <v>118</v>
      </c>
      <c r="AS455">
        <v>-13</v>
      </c>
      <c r="AT455">
        <v>-75</v>
      </c>
      <c r="AU455">
        <v>-128</v>
      </c>
      <c r="BC455">
        <v>1200</v>
      </c>
      <c r="BD455">
        <v>1</v>
      </c>
      <c r="BE455" t="str">
        <f t="shared" si="23"/>
        <v xml:space="preserve">N215T   </v>
      </c>
      <c r="BF455">
        <v>1</v>
      </c>
      <c r="BH455">
        <v>0</v>
      </c>
      <c r="BI455">
        <v>0</v>
      </c>
      <c r="BJ455">
        <v>0</v>
      </c>
      <c r="BK455">
        <v>2300</v>
      </c>
      <c r="BL455">
        <v>400</v>
      </c>
      <c r="BM455" t="s">
        <v>119</v>
      </c>
      <c r="BN455">
        <v>1</v>
      </c>
      <c r="BO455">
        <v>1</v>
      </c>
      <c r="BP455">
        <v>1</v>
      </c>
      <c r="BQ455">
        <v>0</v>
      </c>
      <c r="BT455">
        <v>0</v>
      </c>
      <c r="BU455">
        <v>0</v>
      </c>
      <c r="BV455">
        <v>0</v>
      </c>
      <c r="CC455" t="str">
        <f>"18:42:04.594"</f>
        <v>18:42:04.594</v>
      </c>
      <c r="CD455" t="str">
        <f>"590224202"</f>
        <v>590224202</v>
      </c>
      <c r="CQ455">
        <v>0</v>
      </c>
      <c r="CR455">
        <v>2</v>
      </c>
      <c r="CS455">
        <v>0</v>
      </c>
      <c r="CT455">
        <v>2</v>
      </c>
      <c r="CU455">
        <v>0</v>
      </c>
      <c r="CV455">
        <v>6</v>
      </c>
      <c r="CW455" t="s">
        <v>120</v>
      </c>
      <c r="CX455">
        <v>257</v>
      </c>
      <c r="CY455">
        <v>1</v>
      </c>
      <c r="CZ455" t="s">
        <v>615</v>
      </c>
      <c r="DA455" t="s">
        <v>616</v>
      </c>
      <c r="DD455">
        <v>10752722</v>
      </c>
      <c r="DE455" t="s">
        <v>123</v>
      </c>
    </row>
    <row r="456" spans="1:109" x14ac:dyDescent="0.3">
      <c r="A456" t="str">
        <f>"18:42:05.727"</f>
        <v>18:42:05.727</v>
      </c>
      <c r="B456" t="s">
        <v>110</v>
      </c>
      <c r="C456" t="str">
        <f t="shared" si="21"/>
        <v>ffdfd3c0</v>
      </c>
      <c r="D456" t="s">
        <v>111</v>
      </c>
      <c r="E456">
        <v>18</v>
      </c>
      <c r="F456">
        <v>1018</v>
      </c>
      <c r="G456" t="s">
        <v>112</v>
      </c>
      <c r="J456" t="s">
        <v>113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R456" t="s">
        <v>114</v>
      </c>
      <c r="S456" t="str">
        <f>"18:42:05.484"</f>
        <v>18:42:05.484</v>
      </c>
      <c r="T456" t="str">
        <f>"18:42:05.484"</f>
        <v>18:42:05.484</v>
      </c>
      <c r="U456" t="str">
        <f t="shared" si="22"/>
        <v>a1cdbe</v>
      </c>
      <c r="V456">
        <v>0</v>
      </c>
      <c r="W456">
        <v>0</v>
      </c>
      <c r="X456">
        <v>1</v>
      </c>
      <c r="Y456">
        <v>0</v>
      </c>
      <c r="Z456">
        <v>0</v>
      </c>
      <c r="AB456">
        <v>0</v>
      </c>
      <c r="AC456">
        <v>9</v>
      </c>
      <c r="AD456">
        <v>3</v>
      </c>
      <c r="AE456">
        <v>0</v>
      </c>
      <c r="AF456">
        <v>9</v>
      </c>
      <c r="AG456" t="s">
        <v>158</v>
      </c>
      <c r="AH456">
        <v>0</v>
      </c>
      <c r="AI456">
        <v>3</v>
      </c>
      <c r="AJ456">
        <v>1</v>
      </c>
      <c r="AK456">
        <v>0</v>
      </c>
      <c r="AL456" t="s">
        <v>981</v>
      </c>
      <c r="AM456">
        <v>46.971058999999997</v>
      </c>
      <c r="AN456" t="s">
        <v>982</v>
      </c>
      <c r="AO456">
        <v>-122.32036100000001</v>
      </c>
      <c r="AP456">
        <v>100</v>
      </c>
      <c r="AQ456">
        <v>1900</v>
      </c>
      <c r="AR456" t="s">
        <v>118</v>
      </c>
      <c r="AS456">
        <v>-13</v>
      </c>
      <c r="AT456">
        <v>-75</v>
      </c>
      <c r="AU456">
        <v>-128</v>
      </c>
      <c r="BC456">
        <v>1200</v>
      </c>
      <c r="BD456">
        <v>1</v>
      </c>
      <c r="BE456" t="str">
        <f t="shared" si="23"/>
        <v xml:space="preserve">N215T   </v>
      </c>
      <c r="BF456">
        <v>1</v>
      </c>
      <c r="BH456">
        <v>0</v>
      </c>
      <c r="BI456">
        <v>0</v>
      </c>
      <c r="BJ456">
        <v>0</v>
      </c>
      <c r="BK456">
        <v>2300</v>
      </c>
      <c r="BL456">
        <v>400</v>
      </c>
      <c r="BM456" t="s">
        <v>119</v>
      </c>
      <c r="BN456">
        <v>1</v>
      </c>
      <c r="BO456">
        <v>1</v>
      </c>
      <c r="BP456">
        <v>1</v>
      </c>
      <c r="BQ456">
        <v>0</v>
      </c>
      <c r="BT456">
        <v>0</v>
      </c>
      <c r="BU456">
        <v>0</v>
      </c>
      <c r="BV456">
        <v>0</v>
      </c>
      <c r="CC456" t="str">
        <f>"18:42:05.492"</f>
        <v>18:42:05.492</v>
      </c>
      <c r="CD456" t="str">
        <f>"490135531"</f>
        <v>490135531</v>
      </c>
      <c r="CQ456">
        <v>0</v>
      </c>
      <c r="CR456">
        <v>2</v>
      </c>
      <c r="CS456">
        <v>0</v>
      </c>
      <c r="CT456">
        <v>2</v>
      </c>
      <c r="CU456">
        <v>0</v>
      </c>
      <c r="CV456">
        <v>5</v>
      </c>
      <c r="CW456" t="s">
        <v>120</v>
      </c>
      <c r="CX456">
        <v>257</v>
      </c>
      <c r="CY456">
        <v>1</v>
      </c>
      <c r="CZ456" t="s">
        <v>615</v>
      </c>
      <c r="DA456" t="s">
        <v>616</v>
      </c>
      <c r="DD456">
        <v>10753329</v>
      </c>
      <c r="DE456" t="s">
        <v>123</v>
      </c>
    </row>
    <row r="457" spans="1:109" x14ac:dyDescent="0.3">
      <c r="A457" t="str">
        <f>"18:42:06.781"</f>
        <v>18:42:06.781</v>
      </c>
      <c r="B457" t="s">
        <v>110</v>
      </c>
      <c r="C457" t="str">
        <f t="shared" si="21"/>
        <v>ffdfd3c0</v>
      </c>
      <c r="D457" t="s">
        <v>111</v>
      </c>
      <c r="E457">
        <v>18</v>
      </c>
      <c r="F457">
        <v>1018</v>
      </c>
      <c r="G457" t="s">
        <v>112</v>
      </c>
      <c r="J457" t="s">
        <v>113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R457" t="s">
        <v>114</v>
      </c>
      <c r="S457" t="str">
        <f>"18:42:06.523"</f>
        <v>18:42:06.523</v>
      </c>
      <c r="T457" t="str">
        <f>"18:42:06.023"</f>
        <v>18:42:06.023</v>
      </c>
      <c r="U457" t="str">
        <f t="shared" si="22"/>
        <v>a1cdbe</v>
      </c>
      <c r="V457">
        <v>0</v>
      </c>
      <c r="W457">
        <v>0</v>
      </c>
      <c r="X457">
        <v>1</v>
      </c>
      <c r="Y457">
        <v>0</v>
      </c>
      <c r="Z457">
        <v>0</v>
      </c>
      <c r="AB457">
        <v>0</v>
      </c>
      <c r="AC457">
        <v>9</v>
      </c>
      <c r="AD457">
        <v>3</v>
      </c>
      <c r="AE457">
        <v>0</v>
      </c>
      <c r="AF457">
        <v>9</v>
      </c>
      <c r="AG457" t="s">
        <v>158</v>
      </c>
      <c r="AH457">
        <v>0</v>
      </c>
      <c r="AI457">
        <v>3</v>
      </c>
      <c r="AJ457">
        <v>1</v>
      </c>
      <c r="AK457">
        <v>0</v>
      </c>
      <c r="AL457" t="s">
        <v>983</v>
      </c>
      <c r="AM457">
        <v>46.970716000000003</v>
      </c>
      <c r="AN457" t="s">
        <v>984</v>
      </c>
      <c r="AO457">
        <v>-122.320404</v>
      </c>
      <c r="AP457">
        <v>100</v>
      </c>
      <c r="AQ457">
        <v>1900</v>
      </c>
      <c r="AR457" t="s">
        <v>118</v>
      </c>
      <c r="AS457">
        <v>-13</v>
      </c>
      <c r="AT457">
        <v>-75</v>
      </c>
      <c r="AU457">
        <v>-64</v>
      </c>
      <c r="BC457">
        <v>1200</v>
      </c>
      <c r="BD457">
        <v>1</v>
      </c>
      <c r="BE457" t="str">
        <f t="shared" si="23"/>
        <v xml:space="preserve">N215T   </v>
      </c>
      <c r="BF457">
        <v>1</v>
      </c>
      <c r="BH457">
        <v>0</v>
      </c>
      <c r="BI457">
        <v>0</v>
      </c>
      <c r="BJ457">
        <v>0</v>
      </c>
      <c r="BK457">
        <v>2300</v>
      </c>
      <c r="BL457">
        <v>400</v>
      </c>
      <c r="BM457" t="s">
        <v>119</v>
      </c>
      <c r="BN457">
        <v>1</v>
      </c>
      <c r="BO457">
        <v>1</v>
      </c>
      <c r="BP457">
        <v>1</v>
      </c>
      <c r="BQ457">
        <v>0</v>
      </c>
      <c r="BT457">
        <v>0</v>
      </c>
      <c r="BU457">
        <v>0</v>
      </c>
      <c r="BV457">
        <v>0</v>
      </c>
      <c r="CC457" t="str">
        <f>"18:42:06.523"</f>
        <v>18:42:06.523</v>
      </c>
      <c r="CD457" t="str">
        <f>"525033576"</f>
        <v>525033576</v>
      </c>
      <c r="CQ457">
        <v>0</v>
      </c>
      <c r="CR457">
        <v>2</v>
      </c>
      <c r="CS457">
        <v>0</v>
      </c>
      <c r="CT457">
        <v>2</v>
      </c>
      <c r="CU457">
        <v>0</v>
      </c>
      <c r="CV457">
        <v>5</v>
      </c>
      <c r="CW457" t="s">
        <v>120</v>
      </c>
      <c r="CX457">
        <v>257</v>
      </c>
      <c r="CY457">
        <v>1</v>
      </c>
      <c r="CZ457" t="s">
        <v>615</v>
      </c>
      <c r="DA457" t="s">
        <v>616</v>
      </c>
      <c r="DD457">
        <v>10754025</v>
      </c>
      <c r="DE457" t="s">
        <v>123</v>
      </c>
    </row>
    <row r="458" spans="1:109" x14ac:dyDescent="0.3">
      <c r="A458" t="str">
        <f>"18:42:07.734"</f>
        <v>18:42:07.734</v>
      </c>
      <c r="B458" t="s">
        <v>110</v>
      </c>
      <c r="C458" t="str">
        <f t="shared" si="21"/>
        <v>ffdfd3c0</v>
      </c>
      <c r="D458" t="s">
        <v>111</v>
      </c>
      <c r="E458">
        <v>18</v>
      </c>
      <c r="F458">
        <v>1018</v>
      </c>
      <c r="G458" t="s">
        <v>112</v>
      </c>
      <c r="J458" t="s">
        <v>113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R458" t="s">
        <v>114</v>
      </c>
      <c r="S458" t="str">
        <f>"18:42:07.508"</f>
        <v>18:42:07.508</v>
      </c>
      <c r="T458" t="str">
        <f>"18:42:07.109"</f>
        <v>18:42:07.109</v>
      </c>
      <c r="U458" t="str">
        <f t="shared" si="22"/>
        <v>a1cdbe</v>
      </c>
      <c r="V458">
        <v>0</v>
      </c>
      <c r="W458">
        <v>0</v>
      </c>
      <c r="X458">
        <v>1</v>
      </c>
      <c r="Y458">
        <v>0</v>
      </c>
      <c r="Z458">
        <v>0</v>
      </c>
      <c r="AB458">
        <v>0</v>
      </c>
      <c r="AC458">
        <v>9</v>
      </c>
      <c r="AD458">
        <v>3</v>
      </c>
      <c r="AE458">
        <v>0</v>
      </c>
      <c r="AF458">
        <v>9</v>
      </c>
      <c r="AG458" t="s">
        <v>158</v>
      </c>
      <c r="AH458">
        <v>0</v>
      </c>
      <c r="AI458">
        <v>3</v>
      </c>
      <c r="AJ458">
        <v>1</v>
      </c>
      <c r="AK458">
        <v>0</v>
      </c>
      <c r="AL458" t="s">
        <v>985</v>
      </c>
      <c r="AM458">
        <v>46.970371999999998</v>
      </c>
      <c r="AN458" t="s">
        <v>986</v>
      </c>
      <c r="AO458">
        <v>-122.320511</v>
      </c>
      <c r="AP458">
        <v>100</v>
      </c>
      <c r="AQ458">
        <v>1900</v>
      </c>
      <c r="AR458" t="s">
        <v>118</v>
      </c>
      <c r="AS458">
        <v>-12</v>
      </c>
      <c r="AT458">
        <v>-75</v>
      </c>
      <c r="AU458">
        <v>64</v>
      </c>
      <c r="BC458">
        <v>1200</v>
      </c>
      <c r="BD458">
        <v>1</v>
      </c>
      <c r="BE458" t="str">
        <f t="shared" si="23"/>
        <v xml:space="preserve">N215T   </v>
      </c>
      <c r="BF458">
        <v>1</v>
      </c>
      <c r="BH458">
        <v>0</v>
      </c>
      <c r="BI458">
        <v>0</v>
      </c>
      <c r="BJ458">
        <v>0</v>
      </c>
      <c r="BK458">
        <v>2300</v>
      </c>
      <c r="BL458">
        <v>400</v>
      </c>
      <c r="BM458" t="s">
        <v>119</v>
      </c>
      <c r="BN458">
        <v>1</v>
      </c>
      <c r="BO458">
        <v>1</v>
      </c>
      <c r="BP458">
        <v>1</v>
      </c>
      <c r="BQ458">
        <v>0</v>
      </c>
      <c r="BT458">
        <v>0</v>
      </c>
      <c r="BU458">
        <v>0</v>
      </c>
      <c r="BV458">
        <v>0</v>
      </c>
      <c r="CC458" t="str">
        <f>"18:42:07.516"</f>
        <v>18:42:07.516</v>
      </c>
      <c r="CD458" t="str">
        <f>"514936024"</f>
        <v>514936024</v>
      </c>
      <c r="CQ458">
        <v>0</v>
      </c>
      <c r="CR458">
        <v>2</v>
      </c>
      <c r="CS458">
        <v>0</v>
      </c>
      <c r="CT458">
        <v>2</v>
      </c>
      <c r="CU458">
        <v>0</v>
      </c>
      <c r="CV458">
        <v>5</v>
      </c>
      <c r="CW458" t="s">
        <v>120</v>
      </c>
      <c r="CX458">
        <v>257</v>
      </c>
      <c r="CY458">
        <v>1</v>
      </c>
      <c r="CZ458" t="s">
        <v>615</v>
      </c>
      <c r="DA458" t="s">
        <v>616</v>
      </c>
      <c r="DD458">
        <v>10754680</v>
      </c>
      <c r="DE458" t="s">
        <v>123</v>
      </c>
    </row>
    <row r="459" spans="1:109" x14ac:dyDescent="0.3">
      <c r="A459" t="str">
        <f>"18:42:08.789"</f>
        <v>18:42:08.789</v>
      </c>
      <c r="B459" t="s">
        <v>110</v>
      </c>
      <c r="C459" t="str">
        <f t="shared" si="21"/>
        <v>ffdfd3c0</v>
      </c>
      <c r="D459" t="s">
        <v>111</v>
      </c>
      <c r="E459">
        <v>18</v>
      </c>
      <c r="F459">
        <v>1018</v>
      </c>
      <c r="G459" t="s">
        <v>112</v>
      </c>
      <c r="J459" t="s">
        <v>113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R459" t="s">
        <v>114</v>
      </c>
      <c r="S459" t="str">
        <f>"18:42:08.531"</f>
        <v>18:42:08.531</v>
      </c>
      <c r="T459" t="str">
        <f>"18:42:08.531"</f>
        <v>18:42:08.531</v>
      </c>
      <c r="U459" t="str">
        <f t="shared" si="22"/>
        <v>a1cdbe</v>
      </c>
      <c r="V459">
        <v>0</v>
      </c>
      <c r="W459">
        <v>0</v>
      </c>
      <c r="X459">
        <v>1</v>
      </c>
      <c r="Y459">
        <v>0</v>
      </c>
      <c r="Z459">
        <v>0</v>
      </c>
      <c r="AB459">
        <v>0</v>
      </c>
      <c r="AC459">
        <v>9</v>
      </c>
      <c r="AD459">
        <v>3</v>
      </c>
      <c r="AE459">
        <v>0</v>
      </c>
      <c r="AF459">
        <v>9</v>
      </c>
      <c r="AG459" t="s">
        <v>158</v>
      </c>
      <c r="AH459">
        <v>0</v>
      </c>
      <c r="AI459">
        <v>3</v>
      </c>
      <c r="AJ459">
        <v>1</v>
      </c>
      <c r="AK459">
        <v>0</v>
      </c>
      <c r="AL459" t="s">
        <v>987</v>
      </c>
      <c r="AM459">
        <v>46.970028999999997</v>
      </c>
      <c r="AN459" t="s">
        <v>988</v>
      </c>
      <c r="AO459">
        <v>-122.32061899999999</v>
      </c>
      <c r="AP459">
        <v>100</v>
      </c>
      <c r="AQ459">
        <v>1900</v>
      </c>
      <c r="AR459" t="s">
        <v>118</v>
      </c>
      <c r="AS459">
        <v>-12</v>
      </c>
      <c r="AT459">
        <v>-75</v>
      </c>
      <c r="AU459">
        <v>64</v>
      </c>
      <c r="BC459">
        <v>1200</v>
      </c>
      <c r="BD459">
        <v>1</v>
      </c>
      <c r="BE459" t="str">
        <f t="shared" si="23"/>
        <v xml:space="preserve">N215T   </v>
      </c>
      <c r="BF459">
        <v>1</v>
      </c>
      <c r="BH459">
        <v>0</v>
      </c>
      <c r="BI459">
        <v>0</v>
      </c>
      <c r="BJ459">
        <v>0</v>
      </c>
      <c r="BK459">
        <v>2300</v>
      </c>
      <c r="BL459">
        <v>400</v>
      </c>
      <c r="BM459" t="s">
        <v>119</v>
      </c>
      <c r="BN459">
        <v>1</v>
      </c>
      <c r="BO459">
        <v>1</v>
      </c>
      <c r="BP459">
        <v>1</v>
      </c>
      <c r="BQ459">
        <v>0</v>
      </c>
      <c r="BT459">
        <v>0</v>
      </c>
      <c r="BU459">
        <v>0</v>
      </c>
      <c r="BV459">
        <v>0</v>
      </c>
      <c r="CC459" t="str">
        <f>"18:42:08.531"</f>
        <v>18:42:08.531</v>
      </c>
      <c r="CD459" t="str">
        <f>"534631098"</f>
        <v>534631098</v>
      </c>
      <c r="CQ459">
        <v>0</v>
      </c>
      <c r="CR459">
        <v>2</v>
      </c>
      <c r="CS459">
        <v>0</v>
      </c>
      <c r="CT459">
        <v>2</v>
      </c>
      <c r="CU459">
        <v>0</v>
      </c>
      <c r="CV459">
        <v>4</v>
      </c>
      <c r="CW459" t="s">
        <v>120</v>
      </c>
      <c r="CX459">
        <v>261</v>
      </c>
      <c r="CY459">
        <v>1</v>
      </c>
      <c r="CZ459" t="s">
        <v>121</v>
      </c>
      <c r="DA459" t="s">
        <v>122</v>
      </c>
      <c r="DD459">
        <v>3375093</v>
      </c>
      <c r="DE459" t="s">
        <v>123</v>
      </c>
    </row>
    <row r="460" spans="1:109" x14ac:dyDescent="0.3">
      <c r="A460" t="str">
        <f>"18:42:09.750"</f>
        <v>18:42:09.750</v>
      </c>
      <c r="B460" t="s">
        <v>110</v>
      </c>
      <c r="C460" t="str">
        <f t="shared" si="21"/>
        <v>ffdfd3c0</v>
      </c>
      <c r="D460" t="s">
        <v>111</v>
      </c>
      <c r="E460">
        <v>18</v>
      </c>
      <c r="F460">
        <v>1018</v>
      </c>
      <c r="G460" t="s">
        <v>112</v>
      </c>
      <c r="J460" t="s">
        <v>113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R460" t="s">
        <v>114</v>
      </c>
      <c r="S460" t="str">
        <f>"18:42:09.508"</f>
        <v>18:42:09.508</v>
      </c>
      <c r="T460" t="str">
        <f>"18:42:09.008"</f>
        <v>18:42:09.008</v>
      </c>
      <c r="U460" t="str">
        <f t="shared" si="22"/>
        <v>a1cdbe</v>
      </c>
      <c r="V460">
        <v>0</v>
      </c>
      <c r="W460">
        <v>0</v>
      </c>
      <c r="X460">
        <v>1</v>
      </c>
      <c r="Y460">
        <v>0</v>
      </c>
      <c r="Z460">
        <v>0</v>
      </c>
      <c r="AB460">
        <v>0</v>
      </c>
      <c r="AC460">
        <v>9</v>
      </c>
      <c r="AD460">
        <v>3</v>
      </c>
      <c r="AE460">
        <v>0</v>
      </c>
      <c r="AF460">
        <v>9</v>
      </c>
      <c r="AG460" t="s">
        <v>158</v>
      </c>
      <c r="AH460">
        <v>0</v>
      </c>
      <c r="AI460">
        <v>3</v>
      </c>
      <c r="AJ460">
        <v>1</v>
      </c>
      <c r="AK460">
        <v>0</v>
      </c>
      <c r="AL460" t="s">
        <v>989</v>
      </c>
      <c r="AM460">
        <v>46.969664000000002</v>
      </c>
      <c r="AN460" t="s">
        <v>990</v>
      </c>
      <c r="AO460">
        <v>-122.32064</v>
      </c>
      <c r="AP460">
        <v>100</v>
      </c>
      <c r="AQ460">
        <v>1900</v>
      </c>
      <c r="AR460" t="s">
        <v>118</v>
      </c>
      <c r="AS460">
        <v>-13</v>
      </c>
      <c r="AT460">
        <v>-75</v>
      </c>
      <c r="AU460">
        <v>64</v>
      </c>
      <c r="BC460">
        <v>1200</v>
      </c>
      <c r="BD460">
        <v>1</v>
      </c>
      <c r="BE460" t="str">
        <f t="shared" si="23"/>
        <v xml:space="preserve">N215T   </v>
      </c>
      <c r="BF460">
        <v>1</v>
      </c>
      <c r="BH460">
        <v>0</v>
      </c>
      <c r="BI460">
        <v>0</v>
      </c>
      <c r="BJ460">
        <v>0</v>
      </c>
      <c r="BK460">
        <v>2300</v>
      </c>
      <c r="BL460">
        <v>400</v>
      </c>
      <c r="BM460" t="s">
        <v>119</v>
      </c>
      <c r="BN460">
        <v>1</v>
      </c>
      <c r="BO460">
        <v>1</v>
      </c>
      <c r="BP460">
        <v>1</v>
      </c>
      <c r="BQ460">
        <v>0</v>
      </c>
      <c r="BT460">
        <v>0</v>
      </c>
      <c r="BU460">
        <v>0</v>
      </c>
      <c r="BV460">
        <v>0</v>
      </c>
      <c r="CC460" t="str">
        <f>"18:42:09.508"</f>
        <v>18:42:09.508</v>
      </c>
      <c r="CD460" t="str">
        <f>"509535231"</f>
        <v>509535231</v>
      </c>
      <c r="CQ460">
        <v>0</v>
      </c>
      <c r="CR460">
        <v>2</v>
      </c>
      <c r="CS460">
        <v>0</v>
      </c>
      <c r="CT460">
        <v>2</v>
      </c>
      <c r="CU460">
        <v>0</v>
      </c>
      <c r="CV460">
        <v>5</v>
      </c>
      <c r="CW460" t="s">
        <v>120</v>
      </c>
      <c r="CX460">
        <v>261</v>
      </c>
      <c r="CY460">
        <v>1</v>
      </c>
      <c r="CZ460" t="s">
        <v>121</v>
      </c>
      <c r="DA460" t="s">
        <v>122</v>
      </c>
      <c r="DD460">
        <v>3375688</v>
      </c>
      <c r="DE460" t="s">
        <v>123</v>
      </c>
    </row>
    <row r="461" spans="1:109" x14ac:dyDescent="0.3">
      <c r="A461" t="str">
        <f>"18:42:10.703"</f>
        <v>18:42:10.703</v>
      </c>
      <c r="B461" t="s">
        <v>110</v>
      </c>
      <c r="C461" t="str">
        <f t="shared" si="21"/>
        <v>ffdfd3c0</v>
      </c>
      <c r="D461" t="s">
        <v>111</v>
      </c>
      <c r="E461">
        <v>18</v>
      </c>
      <c r="F461">
        <v>1018</v>
      </c>
      <c r="G461" t="s">
        <v>112</v>
      </c>
      <c r="J461" t="s">
        <v>113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R461" t="s">
        <v>114</v>
      </c>
      <c r="S461" t="str">
        <f>"18:42:10.484"</f>
        <v>18:42:10.484</v>
      </c>
      <c r="T461" t="str">
        <f>"18:42:10.484"</f>
        <v>18:42:10.484</v>
      </c>
      <c r="U461" t="str">
        <f t="shared" si="22"/>
        <v>a1cdbe</v>
      </c>
      <c r="V461">
        <v>0</v>
      </c>
      <c r="W461">
        <v>0</v>
      </c>
      <c r="X461">
        <v>1</v>
      </c>
      <c r="Y461">
        <v>0</v>
      </c>
      <c r="Z461">
        <v>0</v>
      </c>
      <c r="AB461">
        <v>0</v>
      </c>
      <c r="AC461">
        <v>9</v>
      </c>
      <c r="AD461">
        <v>3</v>
      </c>
      <c r="AE461">
        <v>0</v>
      </c>
      <c r="AF461">
        <v>9</v>
      </c>
      <c r="AG461" t="s">
        <v>158</v>
      </c>
      <c r="AH461">
        <v>0</v>
      </c>
      <c r="AI461">
        <v>3</v>
      </c>
      <c r="AJ461">
        <v>1</v>
      </c>
      <c r="AK461">
        <v>0</v>
      </c>
      <c r="AL461" t="s">
        <v>991</v>
      </c>
      <c r="AM461">
        <v>46.969341999999997</v>
      </c>
      <c r="AN461" t="s">
        <v>992</v>
      </c>
      <c r="AO461">
        <v>-122.320747</v>
      </c>
      <c r="AP461">
        <v>100</v>
      </c>
      <c r="AQ461">
        <v>1900</v>
      </c>
      <c r="AR461" t="s">
        <v>118</v>
      </c>
      <c r="AS461">
        <v>-13</v>
      </c>
      <c r="AT461">
        <v>-75</v>
      </c>
      <c r="AU461">
        <v>0</v>
      </c>
      <c r="BC461">
        <v>1200</v>
      </c>
      <c r="BD461">
        <v>1</v>
      </c>
      <c r="BE461" t="str">
        <f t="shared" si="23"/>
        <v xml:space="preserve">N215T   </v>
      </c>
      <c r="BF461">
        <v>1</v>
      </c>
      <c r="BH461">
        <v>0</v>
      </c>
      <c r="BI461">
        <v>0</v>
      </c>
      <c r="BJ461">
        <v>0</v>
      </c>
      <c r="BK461">
        <v>2300</v>
      </c>
      <c r="BL461">
        <v>400</v>
      </c>
      <c r="BM461" t="s">
        <v>119</v>
      </c>
      <c r="BN461">
        <v>1</v>
      </c>
      <c r="BO461">
        <v>1</v>
      </c>
      <c r="BP461">
        <v>1</v>
      </c>
      <c r="BQ461">
        <v>0</v>
      </c>
      <c r="BT461">
        <v>0</v>
      </c>
      <c r="BU461">
        <v>0</v>
      </c>
      <c r="BV461">
        <v>0</v>
      </c>
      <c r="CC461" t="str">
        <f>"18:42:10.484"</f>
        <v>18:42:10.484</v>
      </c>
      <c r="CD461" t="str">
        <f>"484439358"</f>
        <v>484439358</v>
      </c>
      <c r="CQ461">
        <v>0</v>
      </c>
      <c r="CR461">
        <v>2</v>
      </c>
      <c r="CS461">
        <v>0</v>
      </c>
      <c r="CT461">
        <v>2</v>
      </c>
      <c r="CU461">
        <v>0</v>
      </c>
      <c r="CV461">
        <v>5</v>
      </c>
      <c r="CW461" t="s">
        <v>120</v>
      </c>
      <c r="CX461">
        <v>261</v>
      </c>
      <c r="CY461">
        <v>2</v>
      </c>
      <c r="CZ461" t="s">
        <v>121</v>
      </c>
      <c r="DA461" t="s">
        <v>122</v>
      </c>
      <c r="DD461">
        <v>14492846</v>
      </c>
      <c r="DE461" t="s">
        <v>123</v>
      </c>
    </row>
    <row r="462" spans="1:109" x14ac:dyDescent="0.3">
      <c r="A462" t="str">
        <f>"18:42:11.711"</f>
        <v>18:42:11.711</v>
      </c>
      <c r="B462" t="s">
        <v>110</v>
      </c>
      <c r="C462" t="str">
        <f t="shared" si="21"/>
        <v>ffdfd3c0</v>
      </c>
      <c r="D462" t="s">
        <v>111</v>
      </c>
      <c r="E462">
        <v>18</v>
      </c>
      <c r="F462">
        <v>1018</v>
      </c>
      <c r="G462" t="s">
        <v>112</v>
      </c>
      <c r="J462" t="s">
        <v>113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R462" t="s">
        <v>114</v>
      </c>
      <c r="S462" t="str">
        <f>"18:42:11.484"</f>
        <v>18:42:11.484</v>
      </c>
      <c r="T462" t="str">
        <f>"18:42:11.086"</f>
        <v>18:42:11.086</v>
      </c>
      <c r="U462" t="str">
        <f t="shared" si="22"/>
        <v>a1cdbe</v>
      </c>
      <c r="V462">
        <v>0</v>
      </c>
      <c r="W462">
        <v>0</v>
      </c>
      <c r="X462">
        <v>1</v>
      </c>
      <c r="Y462">
        <v>0</v>
      </c>
      <c r="Z462">
        <v>0</v>
      </c>
      <c r="AB462">
        <v>0</v>
      </c>
      <c r="AC462">
        <v>9</v>
      </c>
      <c r="AD462">
        <v>3</v>
      </c>
      <c r="AE462">
        <v>0</v>
      </c>
      <c r="AF462">
        <v>9</v>
      </c>
      <c r="AG462" t="s">
        <v>158</v>
      </c>
      <c r="AH462">
        <v>0</v>
      </c>
      <c r="AI462">
        <v>3</v>
      </c>
      <c r="AJ462">
        <v>1</v>
      </c>
      <c r="AK462">
        <v>0</v>
      </c>
      <c r="AL462" t="s">
        <v>993</v>
      </c>
      <c r="AM462">
        <v>46.968977000000002</v>
      </c>
      <c r="AN462" t="s">
        <v>994</v>
      </c>
      <c r="AO462">
        <v>-122.32085499999999</v>
      </c>
      <c r="AP462">
        <v>100</v>
      </c>
      <c r="AQ462">
        <v>1900</v>
      </c>
      <c r="AR462" t="s">
        <v>118</v>
      </c>
      <c r="AS462">
        <v>-13</v>
      </c>
      <c r="AT462">
        <v>-75</v>
      </c>
      <c r="AU462">
        <v>192</v>
      </c>
      <c r="BC462">
        <v>1200</v>
      </c>
      <c r="BD462">
        <v>1</v>
      </c>
      <c r="BE462" t="str">
        <f t="shared" si="23"/>
        <v xml:space="preserve">N215T   </v>
      </c>
      <c r="BF462">
        <v>1</v>
      </c>
      <c r="BH462">
        <v>0</v>
      </c>
      <c r="BI462">
        <v>0</v>
      </c>
      <c r="BJ462">
        <v>0</v>
      </c>
      <c r="BK462">
        <v>2300</v>
      </c>
      <c r="BL462">
        <v>400</v>
      </c>
      <c r="BM462" t="s">
        <v>119</v>
      </c>
      <c r="BN462">
        <v>1</v>
      </c>
      <c r="BO462">
        <v>1</v>
      </c>
      <c r="BP462">
        <v>1</v>
      </c>
      <c r="BQ462">
        <v>0</v>
      </c>
      <c r="BT462">
        <v>0</v>
      </c>
      <c r="BU462">
        <v>0</v>
      </c>
      <c r="BV462">
        <v>0</v>
      </c>
      <c r="CC462" t="str">
        <f>"18:42:11.492"</f>
        <v>18:42:11.492</v>
      </c>
      <c r="CD462" t="str">
        <f>"489340503"</f>
        <v>489340503</v>
      </c>
      <c r="CQ462">
        <v>0</v>
      </c>
      <c r="CR462">
        <v>2</v>
      </c>
      <c r="CS462">
        <v>0</v>
      </c>
      <c r="CT462">
        <v>2</v>
      </c>
      <c r="CU462">
        <v>0</v>
      </c>
      <c r="CV462">
        <v>5</v>
      </c>
      <c r="CW462" t="s">
        <v>120</v>
      </c>
      <c r="CX462">
        <v>261</v>
      </c>
      <c r="CY462">
        <v>2</v>
      </c>
      <c r="CZ462" t="s">
        <v>121</v>
      </c>
      <c r="DA462" t="s">
        <v>122</v>
      </c>
      <c r="DD462">
        <v>14493414</v>
      </c>
      <c r="DE462" t="s">
        <v>123</v>
      </c>
    </row>
    <row r="463" spans="1:109" x14ac:dyDescent="0.3">
      <c r="A463" t="str">
        <f>"18:42:12.711"</f>
        <v>18:42:12.711</v>
      </c>
      <c r="B463" t="s">
        <v>110</v>
      </c>
      <c r="C463" t="str">
        <f t="shared" si="21"/>
        <v>ffdfd3c0</v>
      </c>
      <c r="D463" t="s">
        <v>111</v>
      </c>
      <c r="E463">
        <v>18</v>
      </c>
      <c r="F463">
        <v>1018</v>
      </c>
      <c r="G463" t="s">
        <v>112</v>
      </c>
      <c r="J463" t="s">
        <v>113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R463" t="s">
        <v>114</v>
      </c>
      <c r="S463" t="str">
        <f>"18:42:12.508"</f>
        <v>18:42:12.508</v>
      </c>
      <c r="T463" t="str">
        <f>"18:42:12.008"</f>
        <v>18:42:12.008</v>
      </c>
      <c r="U463" t="str">
        <f t="shared" si="22"/>
        <v>a1cdbe</v>
      </c>
      <c r="V463">
        <v>0</v>
      </c>
      <c r="W463">
        <v>0</v>
      </c>
      <c r="X463">
        <v>1</v>
      </c>
      <c r="Y463">
        <v>0</v>
      </c>
      <c r="Z463">
        <v>0</v>
      </c>
      <c r="AB463">
        <v>0</v>
      </c>
      <c r="AC463">
        <v>9</v>
      </c>
      <c r="AD463">
        <v>3</v>
      </c>
      <c r="AE463">
        <v>0</v>
      </c>
      <c r="AF463">
        <v>9</v>
      </c>
      <c r="AG463" t="s">
        <v>158</v>
      </c>
      <c r="AH463">
        <v>0</v>
      </c>
      <c r="AI463">
        <v>3</v>
      </c>
      <c r="AJ463">
        <v>1</v>
      </c>
      <c r="AK463">
        <v>0</v>
      </c>
      <c r="AL463" t="s">
        <v>995</v>
      </c>
      <c r="AM463">
        <v>46.968612999999998</v>
      </c>
      <c r="AN463" t="s">
        <v>996</v>
      </c>
      <c r="AO463">
        <v>-122.32096199999999</v>
      </c>
      <c r="AP463">
        <v>100</v>
      </c>
      <c r="AQ463">
        <v>1900</v>
      </c>
      <c r="AR463" t="s">
        <v>118</v>
      </c>
      <c r="AS463">
        <v>-13</v>
      </c>
      <c r="AT463">
        <v>-75</v>
      </c>
      <c r="AU463">
        <v>64</v>
      </c>
      <c r="BC463">
        <v>1200</v>
      </c>
      <c r="BD463">
        <v>1</v>
      </c>
      <c r="BE463" t="str">
        <f t="shared" si="23"/>
        <v xml:space="preserve">N215T   </v>
      </c>
      <c r="BF463">
        <v>1</v>
      </c>
      <c r="BH463">
        <v>0</v>
      </c>
      <c r="BI463">
        <v>0</v>
      </c>
      <c r="BJ463">
        <v>0</v>
      </c>
      <c r="BK463">
        <v>2300</v>
      </c>
      <c r="BL463">
        <v>400</v>
      </c>
      <c r="BM463" t="s">
        <v>119</v>
      </c>
      <c r="BN463">
        <v>1</v>
      </c>
      <c r="BO463">
        <v>1</v>
      </c>
      <c r="BP463">
        <v>1</v>
      </c>
      <c r="BQ463">
        <v>0</v>
      </c>
      <c r="BT463">
        <v>0</v>
      </c>
      <c r="BU463">
        <v>0</v>
      </c>
      <c r="BV463">
        <v>0</v>
      </c>
      <c r="CC463" t="str">
        <f>"18:42:12.508"</f>
        <v>18:42:12.508</v>
      </c>
      <c r="CD463" t="str">
        <f>"509240202"</f>
        <v>509240202</v>
      </c>
      <c r="CQ463">
        <v>0</v>
      </c>
      <c r="CR463">
        <v>2</v>
      </c>
      <c r="CS463">
        <v>0</v>
      </c>
      <c r="CT463">
        <v>2</v>
      </c>
      <c r="CU463">
        <v>0</v>
      </c>
      <c r="CV463">
        <v>5</v>
      </c>
      <c r="CW463" t="s">
        <v>120</v>
      </c>
      <c r="CX463">
        <v>261</v>
      </c>
      <c r="CY463">
        <v>2</v>
      </c>
      <c r="CZ463" t="s">
        <v>121</v>
      </c>
      <c r="DA463" t="s">
        <v>122</v>
      </c>
      <c r="DD463">
        <v>14493947</v>
      </c>
      <c r="DE463" t="s">
        <v>123</v>
      </c>
    </row>
    <row r="464" spans="1:109" x14ac:dyDescent="0.3">
      <c r="A464" t="str">
        <f>"18:42:13.820"</f>
        <v>18:42:13.820</v>
      </c>
      <c r="B464" t="s">
        <v>110</v>
      </c>
      <c r="C464" t="str">
        <f t="shared" si="21"/>
        <v>ffdfd3c0</v>
      </c>
      <c r="D464" t="s">
        <v>111</v>
      </c>
      <c r="E464">
        <v>18</v>
      </c>
      <c r="F464">
        <v>1018</v>
      </c>
      <c r="G464" t="s">
        <v>112</v>
      </c>
      <c r="J464" t="s">
        <v>113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R464" t="s">
        <v>114</v>
      </c>
      <c r="S464" t="str">
        <f>"18:42:13.602"</f>
        <v>18:42:13.602</v>
      </c>
      <c r="T464" t="str">
        <f>"18:42:13.500"</f>
        <v>18:42:13.500</v>
      </c>
      <c r="U464" t="str">
        <f t="shared" si="22"/>
        <v>a1cdbe</v>
      </c>
      <c r="V464">
        <v>0</v>
      </c>
      <c r="W464">
        <v>0</v>
      </c>
      <c r="X464">
        <v>1</v>
      </c>
      <c r="Y464">
        <v>0</v>
      </c>
      <c r="Z464">
        <v>0</v>
      </c>
      <c r="AB464">
        <v>0</v>
      </c>
      <c r="AC464">
        <v>9</v>
      </c>
      <c r="AD464">
        <v>3</v>
      </c>
      <c r="AE464">
        <v>0</v>
      </c>
      <c r="AF464">
        <v>9</v>
      </c>
      <c r="AG464" t="s">
        <v>158</v>
      </c>
      <c r="AH464">
        <v>0</v>
      </c>
      <c r="AI464">
        <v>3</v>
      </c>
      <c r="AJ464">
        <v>1</v>
      </c>
      <c r="AK464">
        <v>0</v>
      </c>
      <c r="AL464" t="s">
        <v>997</v>
      </c>
      <c r="AM464">
        <v>46.968248000000003</v>
      </c>
      <c r="AN464" t="s">
        <v>998</v>
      </c>
      <c r="AO464">
        <v>-122.321026</v>
      </c>
      <c r="AP464">
        <v>100</v>
      </c>
      <c r="AQ464">
        <v>1900</v>
      </c>
      <c r="AR464" t="s">
        <v>118</v>
      </c>
      <c r="AS464">
        <v>-13</v>
      </c>
      <c r="AT464">
        <v>-76</v>
      </c>
      <c r="AU464">
        <v>64</v>
      </c>
      <c r="BC464">
        <v>1200</v>
      </c>
      <c r="BD464">
        <v>1</v>
      </c>
      <c r="BE464" t="str">
        <f t="shared" si="23"/>
        <v xml:space="preserve">N215T   </v>
      </c>
      <c r="BF464">
        <v>1</v>
      </c>
      <c r="BH464">
        <v>0</v>
      </c>
      <c r="BI464">
        <v>0</v>
      </c>
      <c r="BJ464">
        <v>0</v>
      </c>
      <c r="BK464">
        <v>2300</v>
      </c>
      <c r="BL464">
        <v>400</v>
      </c>
      <c r="BM464" t="s">
        <v>119</v>
      </c>
      <c r="BN464">
        <v>1</v>
      </c>
      <c r="BO464">
        <v>1</v>
      </c>
      <c r="BP464">
        <v>1</v>
      </c>
      <c r="BQ464">
        <v>0</v>
      </c>
      <c r="BT464">
        <v>0</v>
      </c>
      <c r="BU464">
        <v>0</v>
      </c>
      <c r="BV464">
        <v>0</v>
      </c>
      <c r="CC464" t="str">
        <f>"18:42:13.602"</f>
        <v>18:42:13.602</v>
      </c>
      <c r="CD464" t="str">
        <f>"604132542"</f>
        <v>604132542</v>
      </c>
      <c r="CQ464">
        <v>0</v>
      </c>
      <c r="CR464">
        <v>2</v>
      </c>
      <c r="CS464">
        <v>0</v>
      </c>
      <c r="CT464">
        <v>2</v>
      </c>
      <c r="CU464">
        <v>0</v>
      </c>
      <c r="CV464">
        <v>5</v>
      </c>
      <c r="CW464" t="s">
        <v>120</v>
      </c>
      <c r="CX464">
        <v>261</v>
      </c>
      <c r="CY464">
        <v>2</v>
      </c>
      <c r="CZ464" t="s">
        <v>121</v>
      </c>
      <c r="DA464" t="s">
        <v>122</v>
      </c>
      <c r="DD464">
        <v>14494470</v>
      </c>
      <c r="DE464" t="s">
        <v>123</v>
      </c>
    </row>
    <row r="465" spans="1:109" x14ac:dyDescent="0.3">
      <c r="A465" t="str">
        <f>"18:42:14.828"</f>
        <v>18:42:14.828</v>
      </c>
      <c r="B465" t="s">
        <v>110</v>
      </c>
      <c r="C465" t="str">
        <f t="shared" si="21"/>
        <v>ffdfd3c0</v>
      </c>
      <c r="D465" t="s">
        <v>111</v>
      </c>
      <c r="E465">
        <v>18</v>
      </c>
      <c r="F465">
        <v>1018</v>
      </c>
      <c r="G465" t="s">
        <v>112</v>
      </c>
      <c r="J465" t="s">
        <v>113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R465" t="s">
        <v>114</v>
      </c>
      <c r="S465" t="str">
        <f>"18:42:14.547"</f>
        <v>18:42:14.547</v>
      </c>
      <c r="T465" t="str">
        <f>"18:42:14.047"</f>
        <v>18:42:14.047</v>
      </c>
      <c r="U465" t="str">
        <f t="shared" si="22"/>
        <v>a1cdbe</v>
      </c>
      <c r="V465">
        <v>0</v>
      </c>
      <c r="W465">
        <v>0</v>
      </c>
      <c r="X465">
        <v>1</v>
      </c>
      <c r="Y465">
        <v>0</v>
      </c>
      <c r="Z465">
        <v>0</v>
      </c>
      <c r="AB465">
        <v>0</v>
      </c>
      <c r="AC465">
        <v>9</v>
      </c>
      <c r="AD465">
        <v>3</v>
      </c>
      <c r="AE465">
        <v>0</v>
      </c>
      <c r="AF465">
        <v>9</v>
      </c>
      <c r="AG465" t="s">
        <v>158</v>
      </c>
      <c r="AH465">
        <v>0</v>
      </c>
      <c r="AI465">
        <v>3</v>
      </c>
      <c r="AJ465">
        <v>1</v>
      </c>
      <c r="AK465">
        <v>0</v>
      </c>
      <c r="AL465" t="s">
        <v>999</v>
      </c>
      <c r="AM465">
        <v>46.967905000000002</v>
      </c>
      <c r="AN465" t="s">
        <v>1000</v>
      </c>
      <c r="AO465">
        <v>-122.321134</v>
      </c>
      <c r="AP465">
        <v>100</v>
      </c>
      <c r="AQ465">
        <v>1900</v>
      </c>
      <c r="AR465" t="s">
        <v>118</v>
      </c>
      <c r="AS465">
        <v>-13</v>
      </c>
      <c r="AT465">
        <v>-76</v>
      </c>
      <c r="AU465">
        <v>192</v>
      </c>
      <c r="BC465">
        <v>1200</v>
      </c>
      <c r="BD465">
        <v>1</v>
      </c>
      <c r="BE465" t="str">
        <f t="shared" si="23"/>
        <v xml:space="preserve">N215T   </v>
      </c>
      <c r="BF465">
        <v>1</v>
      </c>
      <c r="BH465">
        <v>0</v>
      </c>
      <c r="BI465">
        <v>0</v>
      </c>
      <c r="BJ465">
        <v>0</v>
      </c>
      <c r="BK465">
        <v>2300</v>
      </c>
      <c r="BL465">
        <v>400</v>
      </c>
      <c r="BM465" t="s">
        <v>119</v>
      </c>
      <c r="BN465">
        <v>1</v>
      </c>
      <c r="BO465">
        <v>1</v>
      </c>
      <c r="BP465">
        <v>1</v>
      </c>
      <c r="BQ465">
        <v>0</v>
      </c>
      <c r="BT465">
        <v>0</v>
      </c>
      <c r="BU465">
        <v>0</v>
      </c>
      <c r="BV465">
        <v>0</v>
      </c>
      <c r="CC465" t="str">
        <f>"18:42:14.547"</f>
        <v>18:42:14.547</v>
      </c>
      <c r="CD465" t="str">
        <f>"549242956"</f>
        <v>549242956</v>
      </c>
      <c r="CQ465">
        <v>0</v>
      </c>
      <c r="CR465">
        <v>2</v>
      </c>
      <c r="CS465">
        <v>0</v>
      </c>
      <c r="CT465">
        <v>2</v>
      </c>
      <c r="CU465">
        <v>0</v>
      </c>
      <c r="CV465">
        <v>4</v>
      </c>
      <c r="CW465" t="s">
        <v>120</v>
      </c>
      <c r="CX465">
        <v>257</v>
      </c>
      <c r="CY465">
        <v>1</v>
      </c>
      <c r="CZ465" t="s">
        <v>615</v>
      </c>
      <c r="DA465" t="s">
        <v>616</v>
      </c>
      <c r="DD465">
        <v>10759344</v>
      </c>
      <c r="DE465" t="s">
        <v>123</v>
      </c>
    </row>
    <row r="466" spans="1:109" x14ac:dyDescent="0.3">
      <c r="A466" t="str">
        <f>"18:42:15.828"</f>
        <v>18:42:15.828</v>
      </c>
      <c r="B466" t="s">
        <v>110</v>
      </c>
      <c r="C466" t="str">
        <f t="shared" si="21"/>
        <v>ffdfd3c0</v>
      </c>
      <c r="D466" t="s">
        <v>111</v>
      </c>
      <c r="E466">
        <v>18</v>
      </c>
      <c r="F466">
        <v>1018</v>
      </c>
      <c r="G466" t="s">
        <v>112</v>
      </c>
      <c r="J466" t="s">
        <v>113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R466" t="s">
        <v>114</v>
      </c>
      <c r="S466" t="str">
        <f>"18:42:15.594"</f>
        <v>18:42:15.594</v>
      </c>
      <c r="T466" t="str">
        <f>"18:42:15.594"</f>
        <v>18:42:15.594</v>
      </c>
      <c r="U466" t="str">
        <f t="shared" si="22"/>
        <v>a1cdbe</v>
      </c>
      <c r="V466">
        <v>0</v>
      </c>
      <c r="W466">
        <v>0</v>
      </c>
      <c r="X466">
        <v>1</v>
      </c>
      <c r="Y466">
        <v>0</v>
      </c>
      <c r="Z466">
        <v>0</v>
      </c>
      <c r="AB466">
        <v>0</v>
      </c>
      <c r="AC466">
        <v>9</v>
      </c>
      <c r="AD466">
        <v>3</v>
      </c>
      <c r="AE466">
        <v>0</v>
      </c>
      <c r="AF466">
        <v>9</v>
      </c>
      <c r="AG466" t="s">
        <v>158</v>
      </c>
      <c r="AH466">
        <v>0</v>
      </c>
      <c r="AI466">
        <v>3</v>
      </c>
      <c r="AJ466">
        <v>1</v>
      </c>
      <c r="AK466">
        <v>0</v>
      </c>
      <c r="AL466" t="s">
        <v>1001</v>
      </c>
      <c r="AM466">
        <v>46.967561000000003</v>
      </c>
      <c r="AN466" t="s">
        <v>1002</v>
      </c>
      <c r="AO466">
        <v>-122.321219</v>
      </c>
      <c r="AP466">
        <v>100</v>
      </c>
      <c r="AQ466">
        <v>1900</v>
      </c>
      <c r="AR466" t="s">
        <v>118</v>
      </c>
      <c r="AS466">
        <v>-13</v>
      </c>
      <c r="AT466">
        <v>-75</v>
      </c>
      <c r="AU466">
        <v>384</v>
      </c>
      <c r="BC466">
        <v>1200</v>
      </c>
      <c r="BD466">
        <v>1</v>
      </c>
      <c r="BE466" t="str">
        <f t="shared" si="23"/>
        <v xml:space="preserve">N215T   </v>
      </c>
      <c r="BF466">
        <v>1</v>
      </c>
      <c r="BH466">
        <v>0</v>
      </c>
      <c r="BI466">
        <v>0</v>
      </c>
      <c r="BJ466">
        <v>0</v>
      </c>
      <c r="BK466">
        <v>2325</v>
      </c>
      <c r="BL466">
        <v>425</v>
      </c>
      <c r="BM466" t="s">
        <v>119</v>
      </c>
      <c r="BN466">
        <v>1</v>
      </c>
      <c r="BO466">
        <v>1</v>
      </c>
      <c r="BP466">
        <v>1</v>
      </c>
      <c r="BQ466">
        <v>0</v>
      </c>
      <c r="BT466">
        <v>0</v>
      </c>
      <c r="BU466">
        <v>0</v>
      </c>
      <c r="BV466">
        <v>0</v>
      </c>
      <c r="CC466" t="str">
        <f>"18:42:15.602"</f>
        <v>18:42:15.602</v>
      </c>
      <c r="CD466" t="str">
        <f>"598936347"</f>
        <v>598936347</v>
      </c>
      <c r="CQ466">
        <v>0</v>
      </c>
      <c r="CR466">
        <v>2</v>
      </c>
      <c r="CS466">
        <v>0</v>
      </c>
      <c r="CT466">
        <v>2</v>
      </c>
      <c r="CU466">
        <v>0</v>
      </c>
      <c r="CV466">
        <v>5</v>
      </c>
      <c r="CW466" t="s">
        <v>120</v>
      </c>
      <c r="CX466">
        <v>261</v>
      </c>
      <c r="CY466">
        <v>2</v>
      </c>
      <c r="CZ466" t="s">
        <v>121</v>
      </c>
      <c r="DA466" t="s">
        <v>122</v>
      </c>
      <c r="DD466">
        <v>14495469</v>
      </c>
      <c r="DE466" t="s">
        <v>123</v>
      </c>
    </row>
    <row r="467" spans="1:109" x14ac:dyDescent="0.3">
      <c r="A467" t="str">
        <f>"18:42:16.789"</f>
        <v>18:42:16.789</v>
      </c>
      <c r="B467" t="s">
        <v>110</v>
      </c>
      <c r="C467" t="str">
        <f t="shared" si="21"/>
        <v>ffdfd3c0</v>
      </c>
      <c r="D467" t="s">
        <v>111</v>
      </c>
      <c r="E467">
        <v>18</v>
      </c>
      <c r="F467">
        <v>1018</v>
      </c>
      <c r="G467" t="s">
        <v>112</v>
      </c>
      <c r="J467" t="s">
        <v>113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R467" t="s">
        <v>114</v>
      </c>
      <c r="S467" t="str">
        <f>"18:42:16.570"</f>
        <v>18:42:16.570</v>
      </c>
      <c r="T467" t="str">
        <f>"18:42:16.570"</f>
        <v>18:42:16.570</v>
      </c>
      <c r="U467" t="str">
        <f t="shared" si="22"/>
        <v>a1cdbe</v>
      </c>
      <c r="V467">
        <v>0</v>
      </c>
      <c r="W467">
        <v>0</v>
      </c>
      <c r="X467">
        <v>1</v>
      </c>
      <c r="Y467">
        <v>0</v>
      </c>
      <c r="Z467">
        <v>0</v>
      </c>
      <c r="AB467">
        <v>0</v>
      </c>
      <c r="AC467">
        <v>9</v>
      </c>
      <c r="AD467">
        <v>3</v>
      </c>
      <c r="AE467">
        <v>0</v>
      </c>
      <c r="AF467">
        <v>9</v>
      </c>
      <c r="AG467" t="s">
        <v>158</v>
      </c>
      <c r="AH467">
        <v>0</v>
      </c>
      <c r="AI467">
        <v>3</v>
      </c>
      <c r="AJ467">
        <v>1</v>
      </c>
      <c r="AK467">
        <v>0</v>
      </c>
      <c r="AL467" t="s">
        <v>1003</v>
      </c>
      <c r="AM467">
        <v>46.967196000000001</v>
      </c>
      <c r="AN467" t="s">
        <v>1004</v>
      </c>
      <c r="AO467">
        <v>-122.32128400000001</v>
      </c>
      <c r="AP467">
        <v>100</v>
      </c>
      <c r="AQ467">
        <v>1900</v>
      </c>
      <c r="AR467" t="s">
        <v>118</v>
      </c>
      <c r="AS467">
        <v>-13</v>
      </c>
      <c r="AT467">
        <v>-74</v>
      </c>
      <c r="AU467">
        <v>320</v>
      </c>
      <c r="BC467">
        <v>1200</v>
      </c>
      <c r="BD467">
        <v>1</v>
      </c>
      <c r="BE467" t="str">
        <f t="shared" si="23"/>
        <v xml:space="preserve">N215T   </v>
      </c>
      <c r="BF467">
        <v>1</v>
      </c>
      <c r="BH467">
        <v>0</v>
      </c>
      <c r="BI467">
        <v>0</v>
      </c>
      <c r="BJ467">
        <v>0</v>
      </c>
      <c r="BK467">
        <v>2325</v>
      </c>
      <c r="BL467">
        <v>425</v>
      </c>
      <c r="BM467" t="s">
        <v>119</v>
      </c>
      <c r="BN467">
        <v>1</v>
      </c>
      <c r="BO467">
        <v>1</v>
      </c>
      <c r="BP467">
        <v>1</v>
      </c>
      <c r="BQ467">
        <v>0</v>
      </c>
      <c r="BT467">
        <v>0</v>
      </c>
      <c r="BU467">
        <v>0</v>
      </c>
      <c r="BV467">
        <v>0</v>
      </c>
      <c r="CC467" t="str">
        <f>"18:42:16.570"</f>
        <v>18:42:16.570</v>
      </c>
      <c r="CD467" t="str">
        <f>"573840453"</f>
        <v>573840453</v>
      </c>
      <c r="CQ467">
        <v>0</v>
      </c>
      <c r="CR467">
        <v>2</v>
      </c>
      <c r="CS467">
        <v>0</v>
      </c>
      <c r="CT467">
        <v>2</v>
      </c>
      <c r="CU467">
        <v>0</v>
      </c>
      <c r="CV467">
        <v>5</v>
      </c>
      <c r="CW467" t="s">
        <v>120</v>
      </c>
      <c r="CX467">
        <v>261</v>
      </c>
      <c r="CY467">
        <v>2</v>
      </c>
      <c r="CZ467" t="s">
        <v>121</v>
      </c>
      <c r="DA467" t="s">
        <v>122</v>
      </c>
      <c r="DD467">
        <v>14496009</v>
      </c>
      <c r="DE467" t="s">
        <v>123</v>
      </c>
    </row>
    <row r="468" spans="1:109" x14ac:dyDescent="0.3">
      <c r="A468" t="str">
        <f>"18:42:17.688"</f>
        <v>18:42:17.688</v>
      </c>
      <c r="B468" t="s">
        <v>110</v>
      </c>
      <c r="C468" t="str">
        <f t="shared" si="21"/>
        <v>ffdfd3c0</v>
      </c>
      <c r="D468" t="s">
        <v>111</v>
      </c>
      <c r="E468">
        <v>18</v>
      </c>
      <c r="F468">
        <v>1018</v>
      </c>
      <c r="G468" t="s">
        <v>112</v>
      </c>
      <c r="J468" t="s">
        <v>113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R468" t="s">
        <v>114</v>
      </c>
      <c r="S468" t="str">
        <f>"18:42:17.453"</f>
        <v>18:42:17.453</v>
      </c>
      <c r="T468" t="str">
        <f>"18:42:17.055"</f>
        <v>18:42:17.055</v>
      </c>
      <c r="U468" t="str">
        <f t="shared" si="22"/>
        <v>a1cdbe</v>
      </c>
      <c r="V468">
        <v>0</v>
      </c>
      <c r="W468">
        <v>0</v>
      </c>
      <c r="X468">
        <v>1</v>
      </c>
      <c r="Y468">
        <v>0</v>
      </c>
      <c r="Z468">
        <v>0</v>
      </c>
      <c r="AB468">
        <v>0</v>
      </c>
      <c r="AC468">
        <v>9</v>
      </c>
      <c r="AD468">
        <v>3</v>
      </c>
      <c r="AE468">
        <v>0</v>
      </c>
      <c r="AF468">
        <v>9</v>
      </c>
      <c r="AG468" t="s">
        <v>158</v>
      </c>
      <c r="AH468">
        <v>0</v>
      </c>
      <c r="AI468">
        <v>3</v>
      </c>
      <c r="AJ468">
        <v>1</v>
      </c>
      <c r="AK468">
        <v>0</v>
      </c>
      <c r="AL468" t="s">
        <v>1005</v>
      </c>
      <c r="AM468">
        <v>46.966918</v>
      </c>
      <c r="AN468" t="s">
        <v>1006</v>
      </c>
      <c r="AO468">
        <v>-122.321348</v>
      </c>
      <c r="AP468">
        <v>100</v>
      </c>
      <c r="AQ468">
        <v>1900</v>
      </c>
      <c r="AR468" t="s">
        <v>118</v>
      </c>
      <c r="AS468">
        <v>-14</v>
      </c>
      <c r="AT468">
        <v>-73</v>
      </c>
      <c r="AU468">
        <v>320</v>
      </c>
      <c r="BC468">
        <v>1200</v>
      </c>
      <c r="BD468">
        <v>1</v>
      </c>
      <c r="BE468" t="str">
        <f t="shared" si="23"/>
        <v xml:space="preserve">N215T   </v>
      </c>
      <c r="BF468">
        <v>1</v>
      </c>
      <c r="BH468">
        <v>0</v>
      </c>
      <c r="BI468">
        <v>0</v>
      </c>
      <c r="BJ468">
        <v>0</v>
      </c>
      <c r="BK468">
        <v>2325</v>
      </c>
      <c r="BL468">
        <v>425</v>
      </c>
      <c r="BM468" t="s">
        <v>119</v>
      </c>
      <c r="BN468">
        <v>1</v>
      </c>
      <c r="BO468">
        <v>1</v>
      </c>
      <c r="BP468">
        <v>1</v>
      </c>
      <c r="BQ468">
        <v>0</v>
      </c>
      <c r="BT468">
        <v>0</v>
      </c>
      <c r="BU468">
        <v>0</v>
      </c>
      <c r="BV468">
        <v>0</v>
      </c>
      <c r="CC468" t="str">
        <f>"18:42:17.461"</f>
        <v>18:42:17.461</v>
      </c>
      <c r="CD468" t="str">
        <f>"458753418"</f>
        <v>458753418</v>
      </c>
      <c r="CQ468">
        <v>0</v>
      </c>
      <c r="CR468">
        <v>2</v>
      </c>
      <c r="CS468">
        <v>0</v>
      </c>
      <c r="CT468">
        <v>2</v>
      </c>
      <c r="CU468">
        <v>0</v>
      </c>
      <c r="CV468">
        <v>5</v>
      </c>
      <c r="CW468" t="s">
        <v>120</v>
      </c>
      <c r="CX468">
        <v>261</v>
      </c>
      <c r="CY468">
        <v>2</v>
      </c>
      <c r="CZ468" t="s">
        <v>121</v>
      </c>
      <c r="DA468" t="s">
        <v>122</v>
      </c>
      <c r="DD468">
        <v>14496443</v>
      </c>
      <c r="DE468" t="s">
        <v>123</v>
      </c>
    </row>
    <row r="469" spans="1:109" x14ac:dyDescent="0.3">
      <c r="A469" t="str">
        <f>"18:42:18.695"</f>
        <v>18:42:18.695</v>
      </c>
      <c r="B469" t="s">
        <v>110</v>
      </c>
      <c r="C469" t="str">
        <f t="shared" si="21"/>
        <v>ffdfd3c0</v>
      </c>
      <c r="D469" t="s">
        <v>111</v>
      </c>
      <c r="E469">
        <v>18</v>
      </c>
      <c r="F469">
        <v>1018</v>
      </c>
      <c r="G469" t="s">
        <v>112</v>
      </c>
      <c r="J469" t="s">
        <v>113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R469" t="s">
        <v>114</v>
      </c>
      <c r="S469" t="str">
        <f>"18:42:18.477"</f>
        <v>18:42:18.477</v>
      </c>
      <c r="T469" t="str">
        <f>"18:42:18.078"</f>
        <v>18:42:18.078</v>
      </c>
      <c r="U469" t="str">
        <f t="shared" si="22"/>
        <v>a1cdbe</v>
      </c>
      <c r="V469">
        <v>0</v>
      </c>
      <c r="W469">
        <v>0</v>
      </c>
      <c r="X469">
        <v>1</v>
      </c>
      <c r="Y469">
        <v>0</v>
      </c>
      <c r="Z469">
        <v>0</v>
      </c>
      <c r="AB469">
        <v>0</v>
      </c>
      <c r="AC469">
        <v>9</v>
      </c>
      <c r="AD469">
        <v>3</v>
      </c>
      <c r="AE469">
        <v>0</v>
      </c>
      <c r="AF469">
        <v>9</v>
      </c>
      <c r="AG469" t="s">
        <v>158</v>
      </c>
      <c r="AH469">
        <v>0</v>
      </c>
      <c r="AI469">
        <v>3</v>
      </c>
      <c r="AJ469">
        <v>1</v>
      </c>
      <c r="AK469">
        <v>0</v>
      </c>
      <c r="AL469" t="s">
        <v>1007</v>
      </c>
      <c r="AM469">
        <v>46.966596000000003</v>
      </c>
      <c r="AN469" t="s">
        <v>1008</v>
      </c>
      <c r="AO469">
        <v>-122.32149800000001</v>
      </c>
      <c r="AP469">
        <v>100</v>
      </c>
      <c r="AQ469">
        <v>1900</v>
      </c>
      <c r="AR469" t="s">
        <v>118</v>
      </c>
      <c r="AS469">
        <v>-14</v>
      </c>
      <c r="AT469">
        <v>-72</v>
      </c>
      <c r="AU469">
        <v>256</v>
      </c>
      <c r="BC469">
        <v>1200</v>
      </c>
      <c r="BD469">
        <v>1</v>
      </c>
      <c r="BE469" t="str">
        <f t="shared" si="23"/>
        <v xml:space="preserve">N215T   </v>
      </c>
      <c r="BF469">
        <v>1</v>
      </c>
      <c r="BH469">
        <v>0</v>
      </c>
      <c r="BI469">
        <v>0</v>
      </c>
      <c r="BJ469">
        <v>0</v>
      </c>
      <c r="BK469">
        <v>2325</v>
      </c>
      <c r="BL469">
        <v>425</v>
      </c>
      <c r="BM469" t="s">
        <v>119</v>
      </c>
      <c r="BN469">
        <v>1</v>
      </c>
      <c r="BO469">
        <v>1</v>
      </c>
      <c r="BP469">
        <v>1</v>
      </c>
      <c r="BQ469">
        <v>0</v>
      </c>
      <c r="BT469">
        <v>0</v>
      </c>
      <c r="BU469">
        <v>0</v>
      </c>
      <c r="BV469">
        <v>0</v>
      </c>
      <c r="CC469" t="str">
        <f>"18:42:18.477"</f>
        <v>18:42:18.477</v>
      </c>
      <c r="CD469" t="str">
        <f>"478653127"</f>
        <v>478653127</v>
      </c>
      <c r="CQ469">
        <v>0</v>
      </c>
      <c r="CR469">
        <v>2</v>
      </c>
      <c r="CS469">
        <v>0</v>
      </c>
      <c r="CT469">
        <v>2</v>
      </c>
      <c r="CU469">
        <v>0</v>
      </c>
      <c r="CV469">
        <v>5</v>
      </c>
      <c r="CW469" t="s">
        <v>120</v>
      </c>
      <c r="CX469">
        <v>261</v>
      </c>
      <c r="CY469">
        <v>2</v>
      </c>
      <c r="CZ469" t="s">
        <v>121</v>
      </c>
      <c r="DA469" t="s">
        <v>122</v>
      </c>
      <c r="DD469">
        <v>14496932</v>
      </c>
      <c r="DE469" t="s">
        <v>123</v>
      </c>
    </row>
    <row r="470" spans="1:109" x14ac:dyDescent="0.3">
      <c r="A470" t="str">
        <f>"18:42:19.906"</f>
        <v>18:42:19.906</v>
      </c>
      <c r="B470" t="s">
        <v>110</v>
      </c>
      <c r="C470" t="str">
        <f t="shared" si="21"/>
        <v>ffdfd3c0</v>
      </c>
      <c r="D470" t="s">
        <v>111</v>
      </c>
      <c r="E470">
        <v>18</v>
      </c>
      <c r="F470">
        <v>1018</v>
      </c>
      <c r="G470" t="s">
        <v>112</v>
      </c>
      <c r="J470" t="s">
        <v>113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R470" t="s">
        <v>114</v>
      </c>
      <c r="S470" t="str">
        <f>"18:42:19.633"</f>
        <v>18:42:19.633</v>
      </c>
      <c r="T470" t="str">
        <f>"18:42:19.633"</f>
        <v>18:42:19.633</v>
      </c>
      <c r="U470" t="str">
        <f t="shared" si="22"/>
        <v>a1cdbe</v>
      </c>
      <c r="V470">
        <v>0</v>
      </c>
      <c r="W470">
        <v>0</v>
      </c>
      <c r="X470">
        <v>1</v>
      </c>
      <c r="Y470">
        <v>0</v>
      </c>
      <c r="Z470">
        <v>0</v>
      </c>
      <c r="AB470">
        <v>0</v>
      </c>
      <c r="AC470">
        <v>9</v>
      </c>
      <c r="AD470">
        <v>3</v>
      </c>
      <c r="AE470">
        <v>0</v>
      </c>
      <c r="AF470">
        <v>9</v>
      </c>
      <c r="AG470" t="s">
        <v>158</v>
      </c>
      <c r="AH470">
        <v>0</v>
      </c>
      <c r="AI470">
        <v>3</v>
      </c>
      <c r="AJ470">
        <v>1</v>
      </c>
      <c r="AK470">
        <v>0</v>
      </c>
      <c r="AL470" t="s">
        <v>1009</v>
      </c>
      <c r="AM470">
        <v>46.966231000000001</v>
      </c>
      <c r="AN470" t="s">
        <v>1010</v>
      </c>
      <c r="AO470">
        <v>-122.32164899999999</v>
      </c>
      <c r="AP470">
        <v>100</v>
      </c>
      <c r="AQ470">
        <v>1900</v>
      </c>
      <c r="AR470" t="s">
        <v>118</v>
      </c>
      <c r="AS470">
        <v>-14</v>
      </c>
      <c r="AT470">
        <v>-70</v>
      </c>
      <c r="AU470">
        <v>256</v>
      </c>
      <c r="BC470">
        <v>1200</v>
      </c>
      <c r="BD470">
        <v>1</v>
      </c>
      <c r="BE470" t="str">
        <f t="shared" si="23"/>
        <v xml:space="preserve">N215T   </v>
      </c>
      <c r="BF470">
        <v>1</v>
      </c>
      <c r="BH470">
        <v>0</v>
      </c>
      <c r="BI470">
        <v>0</v>
      </c>
      <c r="BJ470">
        <v>0</v>
      </c>
      <c r="BK470">
        <v>2325</v>
      </c>
      <c r="BL470">
        <v>425</v>
      </c>
      <c r="BM470" t="s">
        <v>119</v>
      </c>
      <c r="BN470">
        <v>1</v>
      </c>
      <c r="BO470">
        <v>1</v>
      </c>
      <c r="BP470">
        <v>1</v>
      </c>
      <c r="BQ470">
        <v>0</v>
      </c>
      <c r="BT470">
        <v>0</v>
      </c>
      <c r="BU470">
        <v>0</v>
      </c>
      <c r="BV470">
        <v>0</v>
      </c>
      <c r="CC470" t="str">
        <f>"18:42:19.633"</f>
        <v>18:42:19.633</v>
      </c>
      <c r="CD470" t="str">
        <f>"633539538"</f>
        <v>633539538</v>
      </c>
      <c r="CQ470">
        <v>0</v>
      </c>
      <c r="CR470">
        <v>2</v>
      </c>
      <c r="CS470">
        <v>0</v>
      </c>
      <c r="CT470">
        <v>2</v>
      </c>
      <c r="CU470">
        <v>0</v>
      </c>
      <c r="CV470">
        <v>4</v>
      </c>
      <c r="CW470" t="s">
        <v>120</v>
      </c>
      <c r="CX470">
        <v>261</v>
      </c>
      <c r="CY470">
        <v>2</v>
      </c>
      <c r="CZ470" t="s">
        <v>121</v>
      </c>
      <c r="DA470" t="s">
        <v>122</v>
      </c>
      <c r="DD470">
        <v>14497535</v>
      </c>
      <c r="DE470" t="s">
        <v>123</v>
      </c>
    </row>
    <row r="471" spans="1:109" x14ac:dyDescent="0.3">
      <c r="A471" t="str">
        <f>"18:42:20.805"</f>
        <v>18:42:20.805</v>
      </c>
      <c r="B471" t="s">
        <v>110</v>
      </c>
      <c r="C471" t="str">
        <f t="shared" si="21"/>
        <v>ffdfd3c0</v>
      </c>
      <c r="D471" t="s">
        <v>111</v>
      </c>
      <c r="E471">
        <v>18</v>
      </c>
      <c r="F471">
        <v>1018</v>
      </c>
      <c r="G471" t="s">
        <v>112</v>
      </c>
      <c r="J471" t="s">
        <v>113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R471" t="s">
        <v>114</v>
      </c>
      <c r="S471" t="str">
        <f>"18:42:20.563"</f>
        <v>18:42:20.563</v>
      </c>
      <c r="T471" t="str">
        <f>"18:42:20.164"</f>
        <v>18:42:20.164</v>
      </c>
      <c r="U471" t="str">
        <f t="shared" si="22"/>
        <v>a1cdbe</v>
      </c>
      <c r="V471">
        <v>0</v>
      </c>
      <c r="W471">
        <v>0</v>
      </c>
      <c r="X471">
        <v>1</v>
      </c>
      <c r="Y471">
        <v>0</v>
      </c>
      <c r="Z471">
        <v>0</v>
      </c>
      <c r="AB471">
        <v>0</v>
      </c>
      <c r="AC471">
        <v>9</v>
      </c>
      <c r="AD471">
        <v>3</v>
      </c>
      <c r="AE471">
        <v>0</v>
      </c>
      <c r="AF471">
        <v>9</v>
      </c>
      <c r="AG471" t="s">
        <v>158</v>
      </c>
      <c r="AH471">
        <v>0</v>
      </c>
      <c r="AI471">
        <v>3</v>
      </c>
      <c r="AJ471">
        <v>1</v>
      </c>
      <c r="AK471">
        <v>0</v>
      </c>
      <c r="AL471" t="s">
        <v>1011</v>
      </c>
      <c r="AM471">
        <v>46.965909000000003</v>
      </c>
      <c r="AN471" t="s">
        <v>1012</v>
      </c>
      <c r="AO471">
        <v>-122.321713</v>
      </c>
      <c r="AP471">
        <v>100</v>
      </c>
      <c r="AQ471">
        <v>1900</v>
      </c>
      <c r="AR471" t="s">
        <v>118</v>
      </c>
      <c r="AS471">
        <v>-14</v>
      </c>
      <c r="AT471">
        <v>-70</v>
      </c>
      <c r="AU471">
        <v>256</v>
      </c>
      <c r="BC471">
        <v>1200</v>
      </c>
      <c r="BD471">
        <v>1</v>
      </c>
      <c r="BE471" t="str">
        <f t="shared" si="23"/>
        <v xml:space="preserve">N215T   </v>
      </c>
      <c r="BF471">
        <v>1</v>
      </c>
      <c r="BH471">
        <v>0</v>
      </c>
      <c r="BI471">
        <v>0</v>
      </c>
      <c r="BJ471">
        <v>0</v>
      </c>
      <c r="BK471">
        <v>2325</v>
      </c>
      <c r="BL471">
        <v>425</v>
      </c>
      <c r="BM471" t="s">
        <v>119</v>
      </c>
      <c r="BN471">
        <v>1</v>
      </c>
      <c r="BO471">
        <v>1</v>
      </c>
      <c r="BP471">
        <v>1</v>
      </c>
      <c r="BQ471">
        <v>0</v>
      </c>
      <c r="BT471">
        <v>0</v>
      </c>
      <c r="BU471">
        <v>0</v>
      </c>
      <c r="BV471">
        <v>0</v>
      </c>
      <c r="CC471" t="str">
        <f>"18:42:20.563"</f>
        <v>18:42:20.563</v>
      </c>
      <c r="CD471" t="str">
        <f>"563448040"</f>
        <v>563448040</v>
      </c>
      <c r="CQ471">
        <v>0</v>
      </c>
      <c r="CR471">
        <v>2</v>
      </c>
      <c r="CS471">
        <v>0</v>
      </c>
      <c r="CT471">
        <v>2</v>
      </c>
      <c r="CU471">
        <v>0</v>
      </c>
      <c r="CV471">
        <v>5</v>
      </c>
      <c r="CW471" t="s">
        <v>120</v>
      </c>
      <c r="CX471">
        <v>261</v>
      </c>
      <c r="CY471">
        <v>2</v>
      </c>
      <c r="CZ471" t="s">
        <v>121</v>
      </c>
      <c r="DA471" t="s">
        <v>122</v>
      </c>
      <c r="DD471">
        <v>14498037</v>
      </c>
      <c r="DE471" t="s">
        <v>123</v>
      </c>
    </row>
    <row r="472" spans="1:109" x14ac:dyDescent="0.3">
      <c r="A472" t="str">
        <f>"18:42:21.813"</f>
        <v>18:42:21.813</v>
      </c>
      <c r="B472" t="s">
        <v>110</v>
      </c>
      <c r="C472" t="str">
        <f t="shared" si="21"/>
        <v>ffdfd3c0</v>
      </c>
      <c r="D472" t="s">
        <v>111</v>
      </c>
      <c r="E472">
        <v>18</v>
      </c>
      <c r="F472">
        <v>1018</v>
      </c>
      <c r="G472" t="s">
        <v>112</v>
      </c>
      <c r="J472" t="s">
        <v>113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R472" t="s">
        <v>114</v>
      </c>
      <c r="S472" t="str">
        <f>"18:42:21.578"</f>
        <v>18:42:21.578</v>
      </c>
      <c r="T472" t="str">
        <f>"18:42:21.078"</f>
        <v>18:42:21.078</v>
      </c>
      <c r="U472" t="str">
        <f t="shared" si="22"/>
        <v>a1cdbe</v>
      </c>
      <c r="V472">
        <v>0</v>
      </c>
      <c r="W472">
        <v>0</v>
      </c>
      <c r="X472">
        <v>1</v>
      </c>
      <c r="Y472">
        <v>0</v>
      </c>
      <c r="Z472">
        <v>0</v>
      </c>
      <c r="AB472">
        <v>0</v>
      </c>
      <c r="AC472">
        <v>9</v>
      </c>
      <c r="AD472">
        <v>3</v>
      </c>
      <c r="AE472">
        <v>0</v>
      </c>
      <c r="AF472">
        <v>9</v>
      </c>
      <c r="AG472" t="s">
        <v>158</v>
      </c>
      <c r="AH472">
        <v>0</v>
      </c>
      <c r="AI472">
        <v>3</v>
      </c>
      <c r="AJ472">
        <v>1</v>
      </c>
      <c r="AK472">
        <v>0</v>
      </c>
      <c r="AL472" t="s">
        <v>1013</v>
      </c>
      <c r="AM472">
        <v>46.965586999999999</v>
      </c>
      <c r="AN472" t="s">
        <v>1014</v>
      </c>
      <c r="AO472">
        <v>-122.321777</v>
      </c>
      <c r="AP472">
        <v>100</v>
      </c>
      <c r="AQ472">
        <v>1900</v>
      </c>
      <c r="AR472" t="s">
        <v>118</v>
      </c>
      <c r="AS472">
        <v>-14</v>
      </c>
      <c r="AT472">
        <v>-70</v>
      </c>
      <c r="AU472">
        <v>128</v>
      </c>
      <c r="BC472">
        <v>1200</v>
      </c>
      <c r="BD472">
        <v>1</v>
      </c>
      <c r="BE472" t="str">
        <f t="shared" si="23"/>
        <v xml:space="preserve">N215T   </v>
      </c>
      <c r="BF472">
        <v>1</v>
      </c>
      <c r="BH472">
        <v>0</v>
      </c>
      <c r="BI472">
        <v>0</v>
      </c>
      <c r="BJ472">
        <v>0</v>
      </c>
      <c r="BK472">
        <v>2250</v>
      </c>
      <c r="BL472">
        <v>350</v>
      </c>
      <c r="BM472" t="s">
        <v>119</v>
      </c>
      <c r="BN472">
        <v>1</v>
      </c>
      <c r="BO472">
        <v>1</v>
      </c>
      <c r="BP472">
        <v>1</v>
      </c>
      <c r="BQ472">
        <v>0</v>
      </c>
      <c r="BT472">
        <v>0</v>
      </c>
      <c r="BU472">
        <v>0</v>
      </c>
      <c r="BV472">
        <v>0</v>
      </c>
      <c r="CC472" t="str">
        <f>"18:42:21.586"</f>
        <v>18:42:21.586</v>
      </c>
      <c r="CD472" t="str">
        <f>"583347739"</f>
        <v>583347739</v>
      </c>
      <c r="CQ472">
        <v>0</v>
      </c>
      <c r="CR472">
        <v>2</v>
      </c>
      <c r="CS472">
        <v>0</v>
      </c>
      <c r="CT472">
        <v>2</v>
      </c>
      <c r="CU472">
        <v>0</v>
      </c>
      <c r="CV472">
        <v>5</v>
      </c>
      <c r="CW472" t="s">
        <v>120</v>
      </c>
      <c r="CX472">
        <v>261</v>
      </c>
      <c r="CY472">
        <v>1</v>
      </c>
      <c r="CZ472" t="s">
        <v>121</v>
      </c>
      <c r="DA472" t="s">
        <v>122</v>
      </c>
      <c r="DD472">
        <v>3383221</v>
      </c>
      <c r="DE472" t="s">
        <v>123</v>
      </c>
    </row>
    <row r="473" spans="1:109" x14ac:dyDescent="0.3">
      <c r="A473" t="str">
        <f>"18:42:22.867"</f>
        <v>18:42:22.867</v>
      </c>
      <c r="B473" t="s">
        <v>110</v>
      </c>
      <c r="C473" t="str">
        <f t="shared" si="21"/>
        <v>ffdfd3c0</v>
      </c>
      <c r="D473" t="s">
        <v>111</v>
      </c>
      <c r="E473">
        <v>18</v>
      </c>
      <c r="F473">
        <v>1018</v>
      </c>
      <c r="G473" t="s">
        <v>112</v>
      </c>
      <c r="J473" t="s">
        <v>113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R473" t="s">
        <v>114</v>
      </c>
      <c r="S473" t="str">
        <f>"18:42:22.617"</f>
        <v>18:42:22.617</v>
      </c>
      <c r="T473" t="str">
        <f>"18:42:22.117"</f>
        <v>18:42:22.117</v>
      </c>
      <c r="U473" t="str">
        <f t="shared" si="22"/>
        <v>a1cdbe</v>
      </c>
      <c r="V473">
        <v>0</v>
      </c>
      <c r="W473">
        <v>0</v>
      </c>
      <c r="X473">
        <v>1</v>
      </c>
      <c r="Y473">
        <v>0</v>
      </c>
      <c r="Z473">
        <v>0</v>
      </c>
      <c r="AB473">
        <v>0</v>
      </c>
      <c r="AC473">
        <v>9</v>
      </c>
      <c r="AD473">
        <v>3</v>
      </c>
      <c r="AE473">
        <v>0</v>
      </c>
      <c r="AF473">
        <v>9</v>
      </c>
      <c r="AG473" t="s">
        <v>158</v>
      </c>
      <c r="AH473">
        <v>0</v>
      </c>
      <c r="AI473">
        <v>3</v>
      </c>
      <c r="AJ473">
        <v>1</v>
      </c>
      <c r="AK473">
        <v>0</v>
      </c>
      <c r="AL473" t="s">
        <v>1015</v>
      </c>
      <c r="AM473">
        <v>46.965243999999998</v>
      </c>
      <c r="AN473" t="s">
        <v>1016</v>
      </c>
      <c r="AO473">
        <v>-122.321842</v>
      </c>
      <c r="AP473">
        <v>100</v>
      </c>
      <c r="AQ473">
        <v>2000</v>
      </c>
      <c r="AR473" t="s">
        <v>118</v>
      </c>
      <c r="AS473">
        <v>-13</v>
      </c>
      <c r="AT473">
        <v>-70</v>
      </c>
      <c r="AU473">
        <v>64</v>
      </c>
      <c r="BC473">
        <v>1200</v>
      </c>
      <c r="BD473">
        <v>1</v>
      </c>
      <c r="BE473" t="str">
        <f t="shared" si="23"/>
        <v xml:space="preserve">N215T   </v>
      </c>
      <c r="BF473">
        <v>1</v>
      </c>
      <c r="BH473">
        <v>0</v>
      </c>
      <c r="BI473">
        <v>0</v>
      </c>
      <c r="BJ473">
        <v>0</v>
      </c>
      <c r="BK473">
        <v>2250</v>
      </c>
      <c r="BL473">
        <v>250</v>
      </c>
      <c r="BM473" t="s">
        <v>119</v>
      </c>
      <c r="BN473">
        <v>1</v>
      </c>
      <c r="BO473">
        <v>1</v>
      </c>
      <c r="BP473">
        <v>1</v>
      </c>
      <c r="BQ473">
        <v>0</v>
      </c>
      <c r="BT473">
        <v>0</v>
      </c>
      <c r="BU473">
        <v>0</v>
      </c>
      <c r="BV473">
        <v>0</v>
      </c>
      <c r="CC473" t="str">
        <f>"18:42:22.617"</f>
        <v>18:42:22.617</v>
      </c>
      <c r="CD473" t="str">
        <f>"618245954"</f>
        <v>618245954</v>
      </c>
      <c r="CQ473">
        <v>0</v>
      </c>
      <c r="CR473">
        <v>2</v>
      </c>
      <c r="CS473">
        <v>0</v>
      </c>
      <c r="CT473">
        <v>2</v>
      </c>
      <c r="CU473">
        <v>0</v>
      </c>
      <c r="CV473">
        <v>5</v>
      </c>
      <c r="CW473" t="s">
        <v>120</v>
      </c>
      <c r="CX473">
        <v>261</v>
      </c>
      <c r="CY473">
        <v>2</v>
      </c>
      <c r="CZ473" t="s">
        <v>121</v>
      </c>
      <c r="DA473" t="s">
        <v>122</v>
      </c>
      <c r="DD473">
        <v>14499034</v>
      </c>
      <c r="DE473" t="s">
        <v>123</v>
      </c>
    </row>
    <row r="474" spans="1:109" x14ac:dyDescent="0.3">
      <c r="A474" t="str">
        <f>"18:42:23.727"</f>
        <v>18:42:23.727</v>
      </c>
      <c r="B474" t="s">
        <v>110</v>
      </c>
      <c r="C474" t="str">
        <f t="shared" si="21"/>
        <v>ffdfd3c0</v>
      </c>
      <c r="D474" t="s">
        <v>111</v>
      </c>
      <c r="E474">
        <v>18</v>
      </c>
      <c r="F474">
        <v>1018</v>
      </c>
      <c r="G474" t="s">
        <v>112</v>
      </c>
      <c r="J474" t="s">
        <v>113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R474" t="s">
        <v>114</v>
      </c>
      <c r="S474" t="str">
        <f>"18:42:23.500"</f>
        <v>18:42:23.500</v>
      </c>
      <c r="T474" t="str">
        <f>"18:42:23.203"</f>
        <v>18:42:23.203</v>
      </c>
      <c r="U474" t="str">
        <f t="shared" si="22"/>
        <v>a1cdbe</v>
      </c>
      <c r="V474">
        <v>0</v>
      </c>
      <c r="W474">
        <v>0</v>
      </c>
      <c r="X474">
        <v>1</v>
      </c>
      <c r="Y474">
        <v>0</v>
      </c>
      <c r="Z474">
        <v>0</v>
      </c>
      <c r="AB474">
        <v>0</v>
      </c>
      <c r="AC474">
        <v>9</v>
      </c>
      <c r="AD474">
        <v>3</v>
      </c>
      <c r="AE474">
        <v>0</v>
      </c>
      <c r="AF474">
        <v>9</v>
      </c>
      <c r="AG474" t="s">
        <v>158</v>
      </c>
      <c r="AH474">
        <v>0</v>
      </c>
      <c r="AI474">
        <v>3</v>
      </c>
      <c r="AJ474">
        <v>1</v>
      </c>
      <c r="AK474">
        <v>0</v>
      </c>
      <c r="AL474" t="s">
        <v>1017</v>
      </c>
      <c r="AM474">
        <v>46.964964999999999</v>
      </c>
      <c r="AN474" t="s">
        <v>1018</v>
      </c>
      <c r="AO474">
        <v>-122.32199199999999</v>
      </c>
      <c r="AP474">
        <v>100</v>
      </c>
      <c r="AQ474">
        <v>2000</v>
      </c>
      <c r="AR474" t="s">
        <v>118</v>
      </c>
      <c r="AS474">
        <v>-12</v>
      </c>
      <c r="AT474">
        <v>-70</v>
      </c>
      <c r="AU474">
        <v>128</v>
      </c>
      <c r="BC474">
        <v>1200</v>
      </c>
      <c r="BD474">
        <v>1</v>
      </c>
      <c r="BE474" t="str">
        <f t="shared" si="23"/>
        <v xml:space="preserve">N215T   </v>
      </c>
      <c r="BF474">
        <v>1</v>
      </c>
      <c r="BH474">
        <v>0</v>
      </c>
      <c r="BI474">
        <v>0</v>
      </c>
      <c r="BJ474">
        <v>0</v>
      </c>
      <c r="BK474">
        <v>2350</v>
      </c>
      <c r="BL474">
        <v>350</v>
      </c>
      <c r="BM474" t="s">
        <v>119</v>
      </c>
      <c r="BN474">
        <v>1</v>
      </c>
      <c r="BO474">
        <v>1</v>
      </c>
      <c r="BP474">
        <v>1</v>
      </c>
      <c r="BQ474">
        <v>0</v>
      </c>
      <c r="BT474">
        <v>0</v>
      </c>
      <c r="BU474">
        <v>0</v>
      </c>
      <c r="BV474">
        <v>0</v>
      </c>
      <c r="CC474" t="str">
        <f>"18:42:23.500"</f>
        <v>18:42:23.500</v>
      </c>
      <c r="CD474" t="str">
        <f>"503360739"</f>
        <v>503360739</v>
      </c>
      <c r="CQ474">
        <v>0</v>
      </c>
      <c r="CR474">
        <v>2</v>
      </c>
      <c r="CS474">
        <v>0</v>
      </c>
      <c r="CT474">
        <v>2</v>
      </c>
      <c r="CU474">
        <v>0</v>
      </c>
      <c r="CV474">
        <v>4</v>
      </c>
      <c r="CW474" t="s">
        <v>120</v>
      </c>
      <c r="CX474">
        <v>257</v>
      </c>
      <c r="CY474">
        <v>1</v>
      </c>
      <c r="CZ474" t="s">
        <v>615</v>
      </c>
      <c r="DA474" t="s">
        <v>616</v>
      </c>
      <c r="DD474">
        <v>10765185</v>
      </c>
      <c r="DE474" t="s">
        <v>123</v>
      </c>
    </row>
    <row r="475" spans="1:109" x14ac:dyDescent="0.3">
      <c r="A475" t="str">
        <f>"18:42:24.781"</f>
        <v>18:42:24.781</v>
      </c>
      <c r="B475" t="s">
        <v>110</v>
      </c>
      <c r="C475" t="str">
        <f t="shared" si="21"/>
        <v>ffdfd3c0</v>
      </c>
      <c r="D475" t="s">
        <v>111</v>
      </c>
      <c r="E475">
        <v>18</v>
      </c>
      <c r="F475">
        <v>1018</v>
      </c>
      <c r="G475" t="s">
        <v>112</v>
      </c>
      <c r="J475" t="s">
        <v>113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R475" t="s">
        <v>114</v>
      </c>
      <c r="S475" t="str">
        <f>"18:42:24.531"</f>
        <v>18:42:24.531</v>
      </c>
      <c r="T475" t="str">
        <f>"18:42:24.133"</f>
        <v>18:42:24.133</v>
      </c>
      <c r="U475" t="str">
        <f t="shared" si="22"/>
        <v>a1cdbe</v>
      </c>
      <c r="V475">
        <v>0</v>
      </c>
      <c r="W475">
        <v>0</v>
      </c>
      <c r="X475">
        <v>1</v>
      </c>
      <c r="Y475">
        <v>0</v>
      </c>
      <c r="Z475">
        <v>0</v>
      </c>
      <c r="AB475">
        <v>0</v>
      </c>
      <c r="AC475">
        <v>9</v>
      </c>
      <c r="AD475">
        <v>3</v>
      </c>
      <c r="AE475">
        <v>0</v>
      </c>
      <c r="AF475">
        <v>9</v>
      </c>
      <c r="AG475" t="s">
        <v>158</v>
      </c>
      <c r="AH475">
        <v>0</v>
      </c>
      <c r="AI475">
        <v>3</v>
      </c>
      <c r="AJ475">
        <v>1</v>
      </c>
      <c r="AK475">
        <v>0</v>
      </c>
      <c r="AL475" t="s">
        <v>1019</v>
      </c>
      <c r="AM475">
        <v>46.964621999999999</v>
      </c>
      <c r="AN475" t="s">
        <v>1020</v>
      </c>
      <c r="AO475">
        <v>-122.322056</v>
      </c>
      <c r="AP475">
        <v>100</v>
      </c>
      <c r="AQ475">
        <v>2000</v>
      </c>
      <c r="AR475" t="s">
        <v>118</v>
      </c>
      <c r="AS475">
        <v>-12</v>
      </c>
      <c r="AT475">
        <v>-70</v>
      </c>
      <c r="AU475">
        <v>128</v>
      </c>
      <c r="BC475">
        <v>1200</v>
      </c>
      <c r="BD475">
        <v>1</v>
      </c>
      <c r="BE475" t="str">
        <f t="shared" si="23"/>
        <v xml:space="preserve">N215T   </v>
      </c>
      <c r="BF475">
        <v>1</v>
      </c>
      <c r="BH475">
        <v>0</v>
      </c>
      <c r="BI475">
        <v>0</v>
      </c>
      <c r="BJ475">
        <v>0</v>
      </c>
      <c r="BK475">
        <v>2350</v>
      </c>
      <c r="BL475">
        <v>350</v>
      </c>
      <c r="BM475" t="s">
        <v>119</v>
      </c>
      <c r="BN475">
        <v>1</v>
      </c>
      <c r="BO475">
        <v>1</v>
      </c>
      <c r="BP475">
        <v>1</v>
      </c>
      <c r="BQ475">
        <v>0</v>
      </c>
      <c r="BT475">
        <v>0</v>
      </c>
      <c r="BU475">
        <v>0</v>
      </c>
      <c r="BV475">
        <v>0</v>
      </c>
      <c r="CC475" t="str">
        <f>"18:42:24.539"</f>
        <v>18:42:24.539</v>
      </c>
      <c r="CD475" t="str">
        <f>"538258770"</f>
        <v>538258770</v>
      </c>
      <c r="CQ475">
        <v>0</v>
      </c>
      <c r="CR475">
        <v>2</v>
      </c>
      <c r="CS475">
        <v>0</v>
      </c>
      <c r="CT475">
        <v>2</v>
      </c>
      <c r="CU475">
        <v>0</v>
      </c>
      <c r="CV475">
        <v>4</v>
      </c>
      <c r="CW475" t="s">
        <v>120</v>
      </c>
      <c r="CX475">
        <v>257</v>
      </c>
      <c r="CY475">
        <v>1</v>
      </c>
      <c r="CZ475" t="s">
        <v>615</v>
      </c>
      <c r="DA475" t="s">
        <v>616</v>
      </c>
      <c r="DD475">
        <v>10765861</v>
      </c>
      <c r="DE475" t="s">
        <v>123</v>
      </c>
    </row>
    <row r="476" spans="1:109" x14ac:dyDescent="0.3">
      <c r="A476" t="str">
        <f>"18:42:25.688"</f>
        <v>18:42:25.688</v>
      </c>
      <c r="B476" t="s">
        <v>110</v>
      </c>
      <c r="C476" t="str">
        <f t="shared" si="21"/>
        <v>ffdfd3c0</v>
      </c>
      <c r="D476" t="s">
        <v>111</v>
      </c>
      <c r="E476">
        <v>18</v>
      </c>
      <c r="F476">
        <v>1018</v>
      </c>
      <c r="G476" t="s">
        <v>112</v>
      </c>
      <c r="J476" t="s">
        <v>113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R476" t="s">
        <v>114</v>
      </c>
      <c r="S476" t="str">
        <f>"18:42:25.406"</f>
        <v>18:42:25.406</v>
      </c>
      <c r="T476" t="str">
        <f>"18:42:24.109"</f>
        <v>18:42:24.109</v>
      </c>
      <c r="U476" t="str">
        <f t="shared" si="22"/>
        <v>a1cdbe</v>
      </c>
      <c r="V476">
        <v>0</v>
      </c>
      <c r="W476">
        <v>0</v>
      </c>
      <c r="X476">
        <v>1</v>
      </c>
      <c r="Y476">
        <v>0</v>
      </c>
      <c r="Z476">
        <v>0</v>
      </c>
      <c r="AB476">
        <v>0</v>
      </c>
      <c r="AC476">
        <v>9</v>
      </c>
      <c r="AD476">
        <v>3</v>
      </c>
      <c r="AE476">
        <v>0</v>
      </c>
      <c r="AF476">
        <v>9</v>
      </c>
      <c r="AG476" t="s">
        <v>158</v>
      </c>
      <c r="AH476">
        <v>0</v>
      </c>
      <c r="AI476">
        <v>3</v>
      </c>
      <c r="AJ476">
        <v>1</v>
      </c>
      <c r="AK476">
        <v>0</v>
      </c>
      <c r="AL476" t="s">
        <v>1021</v>
      </c>
      <c r="AM476">
        <v>46.964364000000003</v>
      </c>
      <c r="AN476" t="s">
        <v>1022</v>
      </c>
      <c r="AO476">
        <v>-122.322121</v>
      </c>
      <c r="AP476">
        <v>100</v>
      </c>
      <c r="AQ476">
        <v>2000</v>
      </c>
      <c r="AR476" t="s">
        <v>118</v>
      </c>
      <c r="AS476">
        <v>-12</v>
      </c>
      <c r="AT476">
        <v>-70</v>
      </c>
      <c r="AU476">
        <v>128</v>
      </c>
      <c r="BC476">
        <v>1200</v>
      </c>
      <c r="BD476">
        <v>1</v>
      </c>
      <c r="BE476" t="str">
        <f t="shared" si="23"/>
        <v xml:space="preserve">N215T   </v>
      </c>
      <c r="BF476">
        <v>1</v>
      </c>
      <c r="BH476">
        <v>0</v>
      </c>
      <c r="BI476">
        <v>0</v>
      </c>
      <c r="BJ476">
        <v>0</v>
      </c>
      <c r="BK476">
        <v>2350</v>
      </c>
      <c r="BL476">
        <v>350</v>
      </c>
      <c r="BM476" t="s">
        <v>119</v>
      </c>
      <c r="BN476">
        <v>1</v>
      </c>
      <c r="BO476">
        <v>1</v>
      </c>
      <c r="BP476">
        <v>1</v>
      </c>
      <c r="BQ476">
        <v>0</v>
      </c>
      <c r="BT476">
        <v>0</v>
      </c>
      <c r="BU476">
        <v>0</v>
      </c>
      <c r="BV476">
        <v>0</v>
      </c>
      <c r="CC476" t="str">
        <f>"18:42:25.406"</f>
        <v>18:42:25.406</v>
      </c>
      <c r="CD476" t="str">
        <f>"407971591"</f>
        <v>407971591</v>
      </c>
      <c r="CQ476">
        <v>0</v>
      </c>
      <c r="CR476">
        <v>2</v>
      </c>
      <c r="CS476">
        <v>0</v>
      </c>
      <c r="CT476">
        <v>2</v>
      </c>
      <c r="CU476">
        <v>0</v>
      </c>
      <c r="CV476">
        <v>5</v>
      </c>
      <c r="CW476" t="s">
        <v>120</v>
      </c>
      <c r="CX476">
        <v>261</v>
      </c>
      <c r="CY476">
        <v>2</v>
      </c>
      <c r="CZ476" t="s">
        <v>121</v>
      </c>
      <c r="DA476" t="s">
        <v>122</v>
      </c>
      <c r="DD476">
        <v>14500418</v>
      </c>
      <c r="DE476" t="s">
        <v>123</v>
      </c>
    </row>
    <row r="477" spans="1:109" x14ac:dyDescent="0.3">
      <c r="A477" t="str">
        <f>"18:42:26.789"</f>
        <v>18:42:26.789</v>
      </c>
      <c r="B477" t="s">
        <v>110</v>
      </c>
      <c r="C477" t="str">
        <f t="shared" si="21"/>
        <v>ffdfd3c0</v>
      </c>
      <c r="D477" t="s">
        <v>111</v>
      </c>
      <c r="E477">
        <v>18</v>
      </c>
      <c r="F477">
        <v>1018</v>
      </c>
      <c r="G477" t="s">
        <v>112</v>
      </c>
      <c r="J477" t="s">
        <v>113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R477" t="s">
        <v>114</v>
      </c>
      <c r="S477" t="str">
        <f>"18:42:26.563"</f>
        <v>18:42:26.563</v>
      </c>
      <c r="T477" t="str">
        <f>"18:42:26.266"</f>
        <v>18:42:26.266</v>
      </c>
      <c r="U477" t="str">
        <f t="shared" si="22"/>
        <v>a1cdbe</v>
      </c>
      <c r="V477">
        <v>0</v>
      </c>
      <c r="W477">
        <v>0</v>
      </c>
      <c r="X477">
        <v>1</v>
      </c>
      <c r="Y477">
        <v>0</v>
      </c>
      <c r="Z477">
        <v>0</v>
      </c>
      <c r="AB477">
        <v>0</v>
      </c>
      <c r="AC477">
        <v>9</v>
      </c>
      <c r="AD477">
        <v>3</v>
      </c>
      <c r="AE477">
        <v>0</v>
      </c>
      <c r="AF477">
        <v>9</v>
      </c>
      <c r="AG477" t="s">
        <v>158</v>
      </c>
      <c r="AH477">
        <v>0</v>
      </c>
      <c r="AI477">
        <v>3</v>
      </c>
      <c r="AJ477">
        <v>1</v>
      </c>
      <c r="AK477">
        <v>0</v>
      </c>
      <c r="AL477" t="s">
        <v>1023</v>
      </c>
      <c r="AM477">
        <v>46.963999000000001</v>
      </c>
      <c r="AN477" t="s">
        <v>1024</v>
      </c>
      <c r="AO477">
        <v>-122.32220599999999</v>
      </c>
      <c r="AP477">
        <v>100</v>
      </c>
      <c r="AQ477">
        <v>2000</v>
      </c>
      <c r="AR477" t="s">
        <v>118</v>
      </c>
      <c r="AS477">
        <v>-14</v>
      </c>
      <c r="AT477">
        <v>-69</v>
      </c>
      <c r="AU477">
        <v>0</v>
      </c>
      <c r="BC477">
        <v>1200</v>
      </c>
      <c r="BD477">
        <v>1</v>
      </c>
      <c r="BE477" t="str">
        <f t="shared" si="23"/>
        <v xml:space="preserve">N215T   </v>
      </c>
      <c r="BF477">
        <v>1</v>
      </c>
      <c r="BH477">
        <v>0</v>
      </c>
      <c r="BI477">
        <v>0</v>
      </c>
      <c r="BJ477">
        <v>0</v>
      </c>
      <c r="BK477">
        <v>2350</v>
      </c>
      <c r="BL477">
        <v>350</v>
      </c>
      <c r="BM477" t="s">
        <v>119</v>
      </c>
      <c r="BN477">
        <v>1</v>
      </c>
      <c r="BO477">
        <v>1</v>
      </c>
      <c r="BP477">
        <v>1</v>
      </c>
      <c r="BQ477">
        <v>0</v>
      </c>
      <c r="BT477">
        <v>0</v>
      </c>
      <c r="BU477">
        <v>0</v>
      </c>
      <c r="BV477">
        <v>0</v>
      </c>
      <c r="CC477" t="str">
        <f>"18:42:26.563"</f>
        <v>18:42:26.563</v>
      </c>
      <c r="CD477" t="str">
        <f>"562858020"</f>
        <v>562858020</v>
      </c>
      <c r="CQ477">
        <v>0</v>
      </c>
      <c r="CR477">
        <v>2</v>
      </c>
      <c r="CS477">
        <v>0</v>
      </c>
      <c r="CT477">
        <v>2</v>
      </c>
      <c r="CU477">
        <v>0</v>
      </c>
      <c r="CV477">
        <v>5</v>
      </c>
      <c r="CW477" t="s">
        <v>120</v>
      </c>
      <c r="CX477">
        <v>261</v>
      </c>
      <c r="CY477">
        <v>1</v>
      </c>
      <c r="CZ477" t="s">
        <v>121</v>
      </c>
      <c r="DA477" t="s">
        <v>122</v>
      </c>
      <c r="DD477">
        <v>3386242</v>
      </c>
      <c r="DE477" t="s">
        <v>123</v>
      </c>
    </row>
    <row r="478" spans="1:109" x14ac:dyDescent="0.3">
      <c r="A478" t="str">
        <f>"18:42:27.695"</f>
        <v>18:42:27.695</v>
      </c>
      <c r="B478" t="s">
        <v>110</v>
      </c>
      <c r="C478" t="str">
        <f t="shared" si="21"/>
        <v>ffdfd3c0</v>
      </c>
      <c r="D478" t="s">
        <v>111</v>
      </c>
      <c r="E478">
        <v>18</v>
      </c>
      <c r="F478">
        <v>1018</v>
      </c>
      <c r="G478" t="s">
        <v>112</v>
      </c>
      <c r="J478" t="s">
        <v>113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R478" t="s">
        <v>114</v>
      </c>
      <c r="S478" t="str">
        <f>"18:42:27.461"</f>
        <v>18:42:27.461</v>
      </c>
      <c r="T478" t="str">
        <f>"18:42:27.164"</f>
        <v>18:42:27.164</v>
      </c>
      <c r="U478" t="str">
        <f t="shared" si="22"/>
        <v>a1cdbe</v>
      </c>
      <c r="V478">
        <v>0</v>
      </c>
      <c r="W478">
        <v>0</v>
      </c>
      <c r="X478">
        <v>1</v>
      </c>
      <c r="Y478">
        <v>0</v>
      </c>
      <c r="Z478">
        <v>0</v>
      </c>
      <c r="AB478">
        <v>0</v>
      </c>
      <c r="AC478">
        <v>9</v>
      </c>
      <c r="AD478">
        <v>3</v>
      </c>
      <c r="AE478">
        <v>0</v>
      </c>
      <c r="AF478">
        <v>9</v>
      </c>
      <c r="AG478" t="s">
        <v>158</v>
      </c>
      <c r="AH478">
        <v>0</v>
      </c>
      <c r="AI478">
        <v>3</v>
      </c>
      <c r="AJ478">
        <v>1</v>
      </c>
      <c r="AK478">
        <v>0</v>
      </c>
      <c r="AL478" t="s">
        <v>1025</v>
      </c>
      <c r="AM478">
        <v>46.963720000000002</v>
      </c>
      <c r="AN478" t="s">
        <v>1026</v>
      </c>
      <c r="AO478">
        <v>-122.322335</v>
      </c>
      <c r="AP478">
        <v>100</v>
      </c>
      <c r="AQ478">
        <v>2000</v>
      </c>
      <c r="AR478" t="s">
        <v>118</v>
      </c>
      <c r="AS478">
        <v>-14</v>
      </c>
      <c r="AT478">
        <v>-69</v>
      </c>
      <c r="AU478">
        <v>0</v>
      </c>
      <c r="BC478">
        <v>1200</v>
      </c>
      <c r="BD478">
        <v>1</v>
      </c>
      <c r="BE478" t="str">
        <f t="shared" si="23"/>
        <v xml:space="preserve">N215T   </v>
      </c>
      <c r="BF478">
        <v>1</v>
      </c>
      <c r="BH478">
        <v>0</v>
      </c>
      <c r="BI478">
        <v>0</v>
      </c>
      <c r="BJ478">
        <v>0</v>
      </c>
      <c r="BK478">
        <v>2350</v>
      </c>
      <c r="BL478">
        <v>350</v>
      </c>
      <c r="BM478" t="s">
        <v>119</v>
      </c>
      <c r="BN478">
        <v>1</v>
      </c>
      <c r="BO478">
        <v>1</v>
      </c>
      <c r="BP478">
        <v>1</v>
      </c>
      <c r="BQ478">
        <v>0</v>
      </c>
      <c r="BT478">
        <v>0</v>
      </c>
      <c r="BU478">
        <v>0</v>
      </c>
      <c r="BV478">
        <v>0</v>
      </c>
      <c r="CC478" t="str">
        <f>"18:42:27.461"</f>
        <v>18:42:27.461</v>
      </c>
      <c r="CD478" t="str">
        <f>"462769454"</f>
        <v>462769454</v>
      </c>
      <c r="CQ478">
        <v>0</v>
      </c>
      <c r="CR478">
        <v>2</v>
      </c>
      <c r="CS478">
        <v>0</v>
      </c>
      <c r="CT478">
        <v>2</v>
      </c>
      <c r="CU478">
        <v>0</v>
      </c>
      <c r="CV478">
        <v>4</v>
      </c>
      <c r="CW478" t="s">
        <v>120</v>
      </c>
      <c r="CX478">
        <v>261</v>
      </c>
      <c r="CY478">
        <v>1</v>
      </c>
      <c r="CZ478" t="s">
        <v>121</v>
      </c>
      <c r="DA478" t="s">
        <v>122</v>
      </c>
      <c r="DD478">
        <v>3386749</v>
      </c>
      <c r="DE478" t="s">
        <v>123</v>
      </c>
    </row>
    <row r="479" spans="1:109" x14ac:dyDescent="0.3">
      <c r="A479" t="str">
        <f>"18:42:28.852"</f>
        <v>18:42:28.852</v>
      </c>
      <c r="B479" t="s">
        <v>110</v>
      </c>
      <c r="C479" t="str">
        <f t="shared" si="21"/>
        <v>ffdfd3c0</v>
      </c>
      <c r="D479" t="s">
        <v>111</v>
      </c>
      <c r="E479">
        <v>18</v>
      </c>
      <c r="F479">
        <v>1018</v>
      </c>
      <c r="G479" t="s">
        <v>112</v>
      </c>
      <c r="J479" t="s">
        <v>113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R479" t="s">
        <v>114</v>
      </c>
      <c r="S479" t="str">
        <f>"18:42:28.617"</f>
        <v>18:42:28.617</v>
      </c>
      <c r="T479" t="str">
        <f>"18:42:28.117"</f>
        <v>18:42:28.117</v>
      </c>
      <c r="U479" t="str">
        <f t="shared" si="22"/>
        <v>a1cdbe</v>
      </c>
      <c r="V479">
        <v>0</v>
      </c>
      <c r="W479">
        <v>0</v>
      </c>
      <c r="X479">
        <v>1</v>
      </c>
      <c r="Y479">
        <v>0</v>
      </c>
      <c r="Z479">
        <v>0</v>
      </c>
      <c r="AB479">
        <v>0</v>
      </c>
      <c r="AC479">
        <v>9</v>
      </c>
      <c r="AD479">
        <v>3</v>
      </c>
      <c r="AE479">
        <v>0</v>
      </c>
      <c r="AF479">
        <v>9</v>
      </c>
      <c r="AG479" t="s">
        <v>158</v>
      </c>
      <c r="AH479">
        <v>0</v>
      </c>
      <c r="AI479">
        <v>3</v>
      </c>
      <c r="AJ479">
        <v>1</v>
      </c>
      <c r="AK479">
        <v>0</v>
      </c>
      <c r="AL479" t="s">
        <v>1027</v>
      </c>
      <c r="AM479">
        <v>46.963334000000003</v>
      </c>
      <c r="AN479" t="s">
        <v>1028</v>
      </c>
      <c r="AO479">
        <v>-122.32242100000001</v>
      </c>
      <c r="AP479">
        <v>100</v>
      </c>
      <c r="AQ479">
        <v>2000</v>
      </c>
      <c r="AR479" t="s">
        <v>118</v>
      </c>
      <c r="AS479">
        <v>-15</v>
      </c>
      <c r="AT479">
        <v>-69</v>
      </c>
      <c r="AU479">
        <v>0</v>
      </c>
      <c r="BC479">
        <v>1200</v>
      </c>
      <c r="BD479">
        <v>1</v>
      </c>
      <c r="BE479" t="str">
        <f t="shared" si="23"/>
        <v xml:space="preserve">N215T   </v>
      </c>
      <c r="BF479">
        <v>1</v>
      </c>
      <c r="BH479">
        <v>0</v>
      </c>
      <c r="BI479">
        <v>0</v>
      </c>
      <c r="BJ479">
        <v>0</v>
      </c>
      <c r="BK479">
        <v>2350</v>
      </c>
      <c r="BL479">
        <v>350</v>
      </c>
      <c r="BM479" t="s">
        <v>119</v>
      </c>
      <c r="BN479">
        <v>1</v>
      </c>
      <c r="BO479">
        <v>1</v>
      </c>
      <c r="BP479">
        <v>1</v>
      </c>
      <c r="BQ479">
        <v>0</v>
      </c>
      <c r="BT479">
        <v>0</v>
      </c>
      <c r="BU479">
        <v>0</v>
      </c>
      <c r="BV479">
        <v>0</v>
      </c>
      <c r="CC479" t="str">
        <f>"18:42:28.617"</f>
        <v>18:42:28.617</v>
      </c>
      <c r="CD479" t="str">
        <f>"617655859"</f>
        <v>617655859</v>
      </c>
      <c r="CQ479">
        <v>0</v>
      </c>
      <c r="CR479">
        <v>2</v>
      </c>
      <c r="CS479">
        <v>0</v>
      </c>
      <c r="CT479">
        <v>2</v>
      </c>
      <c r="CU479">
        <v>0</v>
      </c>
      <c r="CV479">
        <v>3</v>
      </c>
      <c r="CW479" t="s">
        <v>120</v>
      </c>
      <c r="CX479">
        <v>261</v>
      </c>
      <c r="CY479">
        <v>1</v>
      </c>
      <c r="CZ479" t="s">
        <v>121</v>
      </c>
      <c r="DA479" t="s">
        <v>122</v>
      </c>
      <c r="DD479">
        <v>3387438</v>
      </c>
      <c r="DE479" t="s">
        <v>123</v>
      </c>
    </row>
    <row r="480" spans="1:109" x14ac:dyDescent="0.3">
      <c r="A480" t="str">
        <f>"18:42:29.961"</f>
        <v>18:42:29.961</v>
      </c>
      <c r="B480" t="s">
        <v>110</v>
      </c>
      <c r="C480" t="str">
        <f t="shared" si="21"/>
        <v>ffdfd3c0</v>
      </c>
      <c r="D480" t="s">
        <v>111</v>
      </c>
      <c r="E480">
        <v>18</v>
      </c>
      <c r="F480">
        <v>1018</v>
      </c>
      <c r="G480" t="s">
        <v>112</v>
      </c>
      <c r="J480" t="s">
        <v>113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R480" t="s">
        <v>114</v>
      </c>
      <c r="S480" t="str">
        <f>"18:42:29.742"</f>
        <v>18:42:29.742</v>
      </c>
      <c r="T480" t="str">
        <f>"18:42:29.539"</f>
        <v>18:42:29.539</v>
      </c>
      <c r="U480" t="str">
        <f t="shared" si="22"/>
        <v>a1cdbe</v>
      </c>
      <c r="V480">
        <v>0</v>
      </c>
      <c r="W480">
        <v>0</v>
      </c>
      <c r="X480">
        <v>1</v>
      </c>
      <c r="Y480">
        <v>0</v>
      </c>
      <c r="Z480">
        <v>0</v>
      </c>
      <c r="AB480">
        <v>0</v>
      </c>
      <c r="AC480">
        <v>9</v>
      </c>
      <c r="AD480">
        <v>3</v>
      </c>
      <c r="AE480">
        <v>0</v>
      </c>
      <c r="AF480">
        <v>9</v>
      </c>
      <c r="AG480" t="s">
        <v>158</v>
      </c>
      <c r="AH480">
        <v>0</v>
      </c>
      <c r="AI480">
        <v>3</v>
      </c>
      <c r="AJ480">
        <v>1</v>
      </c>
      <c r="AK480">
        <v>0</v>
      </c>
      <c r="AL480" t="s">
        <v>1029</v>
      </c>
      <c r="AM480">
        <v>46.962991000000002</v>
      </c>
      <c r="AN480" t="s">
        <v>1030</v>
      </c>
      <c r="AO480">
        <v>-122.32252800000001</v>
      </c>
      <c r="AP480">
        <v>100</v>
      </c>
      <c r="AQ480">
        <v>2000</v>
      </c>
      <c r="AR480" t="s">
        <v>118</v>
      </c>
      <c r="AS480">
        <v>-16</v>
      </c>
      <c r="AT480">
        <v>-69</v>
      </c>
      <c r="AU480">
        <v>128</v>
      </c>
      <c r="BC480">
        <v>1200</v>
      </c>
      <c r="BD480">
        <v>1</v>
      </c>
      <c r="BE480" t="str">
        <f t="shared" si="23"/>
        <v xml:space="preserve">N215T   </v>
      </c>
      <c r="BF480">
        <v>1</v>
      </c>
      <c r="BH480">
        <v>0</v>
      </c>
      <c r="BI480">
        <v>0</v>
      </c>
      <c r="BJ480">
        <v>0</v>
      </c>
      <c r="BK480">
        <v>2350</v>
      </c>
      <c r="BL480">
        <v>350</v>
      </c>
      <c r="BM480" t="s">
        <v>119</v>
      </c>
      <c r="BN480">
        <v>1</v>
      </c>
      <c r="BO480">
        <v>1</v>
      </c>
      <c r="BP480">
        <v>1</v>
      </c>
      <c r="BQ480">
        <v>0</v>
      </c>
      <c r="BT480">
        <v>0</v>
      </c>
      <c r="BU480">
        <v>0</v>
      </c>
      <c r="BV480">
        <v>0</v>
      </c>
      <c r="CC480" t="str">
        <f>"18:42:29.742"</f>
        <v>18:42:29.742</v>
      </c>
      <c r="CD480" t="str">
        <f>"742666358"</f>
        <v>742666358</v>
      </c>
      <c r="CQ480">
        <v>0</v>
      </c>
      <c r="CR480">
        <v>2</v>
      </c>
      <c r="CS480">
        <v>0</v>
      </c>
      <c r="CT480">
        <v>2</v>
      </c>
      <c r="CU480">
        <v>0</v>
      </c>
      <c r="CV480">
        <v>2</v>
      </c>
      <c r="CW480" t="s">
        <v>120</v>
      </c>
      <c r="CX480">
        <v>259</v>
      </c>
      <c r="CY480">
        <v>1</v>
      </c>
      <c r="CZ480" t="s">
        <v>197</v>
      </c>
      <c r="DA480" t="s">
        <v>198</v>
      </c>
      <c r="DD480">
        <v>14949801</v>
      </c>
      <c r="DE480" t="s">
        <v>123</v>
      </c>
    </row>
    <row r="481" spans="1:109" x14ac:dyDescent="0.3">
      <c r="A481" t="str">
        <f>"18:42:30.914"</f>
        <v>18:42:30.914</v>
      </c>
      <c r="B481" t="s">
        <v>110</v>
      </c>
      <c r="C481" t="str">
        <f t="shared" si="21"/>
        <v>ffdfd3c0</v>
      </c>
      <c r="D481" t="s">
        <v>111</v>
      </c>
      <c r="E481">
        <v>18</v>
      </c>
      <c r="F481">
        <v>1018</v>
      </c>
      <c r="G481" t="s">
        <v>112</v>
      </c>
      <c r="J481" t="s">
        <v>113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R481" t="s">
        <v>114</v>
      </c>
      <c r="S481" t="str">
        <f>"18:42:30.625"</f>
        <v>18:42:30.625</v>
      </c>
      <c r="T481" t="str">
        <f>"18:42:30.625"</f>
        <v>18:42:30.625</v>
      </c>
      <c r="U481" t="str">
        <f t="shared" si="22"/>
        <v>a1cdbe</v>
      </c>
      <c r="V481">
        <v>0</v>
      </c>
      <c r="W481">
        <v>0</v>
      </c>
      <c r="X481">
        <v>1</v>
      </c>
      <c r="Y481">
        <v>0</v>
      </c>
      <c r="Z481">
        <v>0</v>
      </c>
      <c r="AB481">
        <v>0</v>
      </c>
      <c r="AC481">
        <v>9</v>
      </c>
      <c r="AD481">
        <v>3</v>
      </c>
      <c r="AE481">
        <v>0</v>
      </c>
      <c r="AF481">
        <v>9</v>
      </c>
      <c r="AG481" t="s">
        <v>158</v>
      </c>
      <c r="AH481">
        <v>0</v>
      </c>
      <c r="AI481">
        <v>3</v>
      </c>
      <c r="AJ481">
        <v>1</v>
      </c>
      <c r="AK481">
        <v>0</v>
      </c>
      <c r="AL481" t="s">
        <v>1031</v>
      </c>
      <c r="AM481">
        <v>46.962690000000002</v>
      </c>
      <c r="AN481" t="s">
        <v>1032</v>
      </c>
      <c r="AO481">
        <v>-122.322614</v>
      </c>
      <c r="AP481">
        <v>100</v>
      </c>
      <c r="AQ481">
        <v>2000</v>
      </c>
      <c r="AR481" t="s">
        <v>118</v>
      </c>
      <c r="AS481">
        <v>-17</v>
      </c>
      <c r="AT481">
        <v>-68</v>
      </c>
      <c r="AU481">
        <v>128</v>
      </c>
      <c r="BC481">
        <v>1200</v>
      </c>
      <c r="BD481">
        <v>1</v>
      </c>
      <c r="BE481" t="str">
        <f t="shared" si="23"/>
        <v xml:space="preserve">N215T   </v>
      </c>
      <c r="BF481">
        <v>1</v>
      </c>
      <c r="BH481">
        <v>0</v>
      </c>
      <c r="BI481">
        <v>0</v>
      </c>
      <c r="BJ481">
        <v>0</v>
      </c>
      <c r="BK481">
        <v>2350</v>
      </c>
      <c r="BL481">
        <v>350</v>
      </c>
      <c r="BM481" t="s">
        <v>119</v>
      </c>
      <c r="BN481">
        <v>1</v>
      </c>
      <c r="BO481">
        <v>1</v>
      </c>
      <c r="BP481">
        <v>1</v>
      </c>
      <c r="BQ481">
        <v>0</v>
      </c>
      <c r="BT481">
        <v>0</v>
      </c>
      <c r="BU481">
        <v>0</v>
      </c>
      <c r="BV481">
        <v>0</v>
      </c>
      <c r="CC481" t="str">
        <f>"18:42:30.625"</f>
        <v>18:42:30.625</v>
      </c>
      <c r="CD481" t="str">
        <f>"627658817"</f>
        <v>627658817</v>
      </c>
      <c r="CQ481">
        <v>0</v>
      </c>
      <c r="CR481">
        <v>2</v>
      </c>
      <c r="CS481">
        <v>0</v>
      </c>
      <c r="CT481">
        <v>2</v>
      </c>
      <c r="CU481">
        <v>0</v>
      </c>
      <c r="CV481">
        <v>4</v>
      </c>
      <c r="CW481" t="s">
        <v>120</v>
      </c>
      <c r="CX481">
        <v>257</v>
      </c>
      <c r="CY481">
        <v>1</v>
      </c>
      <c r="CZ481" t="s">
        <v>615</v>
      </c>
      <c r="DA481" t="s">
        <v>616</v>
      </c>
      <c r="DD481">
        <v>10769938</v>
      </c>
      <c r="DE481" t="s">
        <v>123</v>
      </c>
    </row>
    <row r="482" spans="1:109" x14ac:dyDescent="0.3">
      <c r="A482" t="str">
        <f>"18:42:31.922"</f>
        <v>18:42:31.922</v>
      </c>
      <c r="B482" t="s">
        <v>110</v>
      </c>
      <c r="C482" t="str">
        <f t="shared" si="21"/>
        <v>ffdfd3c0</v>
      </c>
      <c r="D482" t="s">
        <v>111</v>
      </c>
      <c r="E482">
        <v>18</v>
      </c>
      <c r="F482">
        <v>1018</v>
      </c>
      <c r="G482" t="s">
        <v>112</v>
      </c>
      <c r="J482" t="s">
        <v>113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R482" t="s">
        <v>114</v>
      </c>
      <c r="S482" t="str">
        <f>"18:42:31.688"</f>
        <v>18:42:31.688</v>
      </c>
      <c r="T482" t="str">
        <f>"18:42:31.688"</f>
        <v>18:42:31.688</v>
      </c>
      <c r="U482" t="str">
        <f t="shared" si="22"/>
        <v>a1cdbe</v>
      </c>
      <c r="V482">
        <v>0</v>
      </c>
      <c r="W482">
        <v>0</v>
      </c>
      <c r="X482">
        <v>1</v>
      </c>
      <c r="Y482">
        <v>0</v>
      </c>
      <c r="Z482">
        <v>0</v>
      </c>
      <c r="AB482">
        <v>0</v>
      </c>
      <c r="AC482">
        <v>9</v>
      </c>
      <c r="AD482">
        <v>3</v>
      </c>
      <c r="AE482">
        <v>0</v>
      </c>
      <c r="AF482">
        <v>9</v>
      </c>
      <c r="AG482" t="s">
        <v>158</v>
      </c>
      <c r="AH482">
        <v>0</v>
      </c>
      <c r="AI482">
        <v>3</v>
      </c>
      <c r="AJ482">
        <v>1</v>
      </c>
      <c r="AK482">
        <v>0</v>
      </c>
      <c r="AL482" t="s">
        <v>1033</v>
      </c>
      <c r="AM482">
        <v>46.962347000000001</v>
      </c>
      <c r="AN482" t="s">
        <v>1034</v>
      </c>
      <c r="AO482">
        <v>-122.322807</v>
      </c>
      <c r="AP482">
        <v>100</v>
      </c>
      <c r="AQ482">
        <v>2000</v>
      </c>
      <c r="AR482" t="s">
        <v>118</v>
      </c>
      <c r="AS482">
        <v>-18</v>
      </c>
      <c r="AT482">
        <v>-68</v>
      </c>
      <c r="AU482">
        <v>192</v>
      </c>
      <c r="BC482">
        <v>1200</v>
      </c>
      <c r="BD482">
        <v>1</v>
      </c>
      <c r="BE482" t="str">
        <f t="shared" si="23"/>
        <v xml:space="preserve">N215T   </v>
      </c>
      <c r="BF482">
        <v>1</v>
      </c>
      <c r="BH482">
        <v>0</v>
      </c>
      <c r="BI482">
        <v>0</v>
      </c>
      <c r="BJ482">
        <v>0</v>
      </c>
      <c r="BK482">
        <v>2350</v>
      </c>
      <c r="BL482">
        <v>350</v>
      </c>
      <c r="BM482" t="s">
        <v>119</v>
      </c>
      <c r="BN482">
        <v>1</v>
      </c>
      <c r="BO482">
        <v>1</v>
      </c>
      <c r="BP482">
        <v>1</v>
      </c>
      <c r="BQ482">
        <v>0</v>
      </c>
      <c r="BT482">
        <v>0</v>
      </c>
      <c r="BU482">
        <v>0</v>
      </c>
      <c r="BV482">
        <v>0</v>
      </c>
      <c r="CC482" t="str">
        <f>"18:42:31.695"</f>
        <v>18:42:31.695</v>
      </c>
      <c r="CD482" t="str">
        <f>"692553902"</f>
        <v>692553902</v>
      </c>
      <c r="CQ482">
        <v>0</v>
      </c>
      <c r="CR482">
        <v>2</v>
      </c>
      <c r="CS482">
        <v>0</v>
      </c>
      <c r="CT482">
        <v>2</v>
      </c>
      <c r="CU482">
        <v>0</v>
      </c>
      <c r="CV482">
        <v>5</v>
      </c>
      <c r="CW482" t="s">
        <v>120</v>
      </c>
      <c r="CX482">
        <v>257</v>
      </c>
      <c r="CY482">
        <v>1</v>
      </c>
      <c r="CZ482" t="s">
        <v>615</v>
      </c>
      <c r="DA482" t="s">
        <v>616</v>
      </c>
      <c r="DD482">
        <v>10770646</v>
      </c>
      <c r="DE482" t="s">
        <v>123</v>
      </c>
    </row>
    <row r="483" spans="1:109" x14ac:dyDescent="0.3">
      <c r="A483" t="str">
        <f>"18:42:33.078"</f>
        <v>18:42:33.078</v>
      </c>
      <c r="B483" t="s">
        <v>110</v>
      </c>
      <c r="C483" t="str">
        <f t="shared" si="21"/>
        <v>ffdfd3c0</v>
      </c>
      <c r="D483" t="s">
        <v>111</v>
      </c>
      <c r="E483">
        <v>18</v>
      </c>
      <c r="F483">
        <v>1018</v>
      </c>
      <c r="G483" t="s">
        <v>112</v>
      </c>
      <c r="J483" t="s">
        <v>113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R483" t="s">
        <v>114</v>
      </c>
      <c r="S483" t="str">
        <f>"18:42:32.813"</f>
        <v>18:42:32.813</v>
      </c>
      <c r="T483" t="str">
        <f>"18:42:32.711"</f>
        <v>18:42:32.711</v>
      </c>
      <c r="U483" t="str">
        <f t="shared" si="22"/>
        <v>a1cdbe</v>
      </c>
      <c r="V483">
        <v>0</v>
      </c>
      <c r="W483">
        <v>0</v>
      </c>
      <c r="X483">
        <v>1</v>
      </c>
      <c r="Y483">
        <v>0</v>
      </c>
      <c r="Z483">
        <v>0</v>
      </c>
      <c r="AB483">
        <v>0</v>
      </c>
      <c r="AC483">
        <v>9</v>
      </c>
      <c r="AD483">
        <v>3</v>
      </c>
      <c r="AE483">
        <v>0</v>
      </c>
      <c r="AF483">
        <v>9</v>
      </c>
      <c r="AG483" t="s">
        <v>158</v>
      </c>
      <c r="AH483">
        <v>0</v>
      </c>
      <c r="AI483">
        <v>3</v>
      </c>
      <c r="AJ483">
        <v>1</v>
      </c>
      <c r="AK483">
        <v>0</v>
      </c>
      <c r="AL483" t="s">
        <v>1035</v>
      </c>
      <c r="AM483">
        <v>46.961981999999999</v>
      </c>
      <c r="AN483" t="s">
        <v>1036</v>
      </c>
      <c r="AO483">
        <v>-122.322936</v>
      </c>
      <c r="AP483">
        <v>100</v>
      </c>
      <c r="AQ483">
        <v>2000</v>
      </c>
      <c r="AR483" t="s">
        <v>118</v>
      </c>
      <c r="AS483">
        <v>-19</v>
      </c>
      <c r="AT483">
        <v>-68</v>
      </c>
      <c r="AU483">
        <v>192</v>
      </c>
      <c r="BC483">
        <v>1200</v>
      </c>
      <c r="BD483">
        <v>1</v>
      </c>
      <c r="BE483" t="str">
        <f t="shared" si="23"/>
        <v xml:space="preserve">N215T   </v>
      </c>
      <c r="BF483">
        <v>1</v>
      </c>
      <c r="BH483">
        <v>0</v>
      </c>
      <c r="BI483">
        <v>0</v>
      </c>
      <c r="BJ483">
        <v>0</v>
      </c>
      <c r="BK483">
        <v>2350</v>
      </c>
      <c r="BL483">
        <v>350</v>
      </c>
      <c r="BM483" t="s">
        <v>119</v>
      </c>
      <c r="BN483">
        <v>1</v>
      </c>
      <c r="BO483">
        <v>1</v>
      </c>
      <c r="BP483">
        <v>1</v>
      </c>
      <c r="BQ483">
        <v>0</v>
      </c>
      <c r="BT483">
        <v>0</v>
      </c>
      <c r="BU483">
        <v>0</v>
      </c>
      <c r="BV483">
        <v>0</v>
      </c>
      <c r="CC483" t="str">
        <f>"18:42:32.820"</f>
        <v>18:42:32.820</v>
      </c>
      <c r="CD483" t="str">
        <f>"817242821"</f>
        <v>817242821</v>
      </c>
      <c r="CQ483">
        <v>0</v>
      </c>
      <c r="CR483">
        <v>2</v>
      </c>
      <c r="CS483">
        <v>0</v>
      </c>
      <c r="CT483">
        <v>2</v>
      </c>
      <c r="CU483">
        <v>0</v>
      </c>
      <c r="CV483">
        <v>3</v>
      </c>
      <c r="CW483" t="s">
        <v>120</v>
      </c>
      <c r="CX483">
        <v>261</v>
      </c>
      <c r="CY483">
        <v>2</v>
      </c>
      <c r="CZ483" t="s">
        <v>121</v>
      </c>
      <c r="DA483" t="s">
        <v>122</v>
      </c>
      <c r="DD483">
        <v>14504105</v>
      </c>
      <c r="DE483" t="s">
        <v>123</v>
      </c>
    </row>
    <row r="484" spans="1:109" x14ac:dyDescent="0.3">
      <c r="A484" t="str">
        <f>"18:42:33.883"</f>
        <v>18:42:33.883</v>
      </c>
      <c r="B484" t="s">
        <v>110</v>
      </c>
      <c r="C484" t="str">
        <f t="shared" si="21"/>
        <v>ffdfd3c0</v>
      </c>
      <c r="D484" t="s">
        <v>111</v>
      </c>
      <c r="E484">
        <v>18</v>
      </c>
      <c r="F484">
        <v>1018</v>
      </c>
      <c r="G484" t="s">
        <v>112</v>
      </c>
      <c r="J484" t="s">
        <v>113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R484" t="s">
        <v>114</v>
      </c>
      <c r="S484" t="str">
        <f>"18:42:33.641"</f>
        <v>18:42:33.641</v>
      </c>
      <c r="T484" t="str">
        <f>"18:42:33.242"</f>
        <v>18:42:33.242</v>
      </c>
      <c r="U484" t="str">
        <f t="shared" si="22"/>
        <v>a1cdbe</v>
      </c>
      <c r="V484">
        <v>0</v>
      </c>
      <c r="W484">
        <v>0</v>
      </c>
      <c r="X484">
        <v>1</v>
      </c>
      <c r="Y484">
        <v>0</v>
      </c>
      <c r="Z484">
        <v>0</v>
      </c>
      <c r="AB484">
        <v>0</v>
      </c>
      <c r="AC484">
        <v>9</v>
      </c>
      <c r="AD484">
        <v>3</v>
      </c>
      <c r="AE484">
        <v>0</v>
      </c>
      <c r="AF484">
        <v>9</v>
      </c>
      <c r="AG484" t="s">
        <v>158</v>
      </c>
      <c r="AH484">
        <v>0</v>
      </c>
      <c r="AI484">
        <v>3</v>
      </c>
      <c r="AJ484">
        <v>1</v>
      </c>
      <c r="AK484">
        <v>0</v>
      </c>
      <c r="AL484" t="s">
        <v>1037</v>
      </c>
      <c r="AM484">
        <v>46.961745999999998</v>
      </c>
      <c r="AN484" t="s">
        <v>1038</v>
      </c>
      <c r="AO484">
        <v>-122.32302199999999</v>
      </c>
      <c r="AP484">
        <v>100</v>
      </c>
      <c r="AQ484">
        <v>2000</v>
      </c>
      <c r="AR484" t="s">
        <v>118</v>
      </c>
      <c r="AS484">
        <v>-19</v>
      </c>
      <c r="AT484">
        <v>-68</v>
      </c>
      <c r="AU484">
        <v>192</v>
      </c>
      <c r="BC484">
        <v>1200</v>
      </c>
      <c r="BD484">
        <v>1</v>
      </c>
      <c r="BE484" t="str">
        <f t="shared" si="23"/>
        <v xml:space="preserve">N215T   </v>
      </c>
      <c r="BF484">
        <v>1</v>
      </c>
      <c r="BH484">
        <v>0</v>
      </c>
      <c r="BI484">
        <v>0</v>
      </c>
      <c r="BJ484">
        <v>0</v>
      </c>
      <c r="BK484">
        <v>2350</v>
      </c>
      <c r="BL484">
        <v>350</v>
      </c>
      <c r="BM484" t="s">
        <v>119</v>
      </c>
      <c r="BN484">
        <v>1</v>
      </c>
      <c r="BO484">
        <v>1</v>
      </c>
      <c r="BP484">
        <v>1</v>
      </c>
      <c r="BQ484">
        <v>0</v>
      </c>
      <c r="BT484">
        <v>0</v>
      </c>
      <c r="BU484">
        <v>0</v>
      </c>
      <c r="BV484">
        <v>0</v>
      </c>
      <c r="CC484" t="str">
        <f>"18:42:33.641"</f>
        <v>18:42:33.641</v>
      </c>
      <c r="CD484" t="str">
        <f>"642361777"</f>
        <v>642361777</v>
      </c>
      <c r="CQ484">
        <v>0</v>
      </c>
      <c r="CR484">
        <v>2</v>
      </c>
      <c r="CS484">
        <v>0</v>
      </c>
      <c r="CT484">
        <v>2</v>
      </c>
      <c r="CU484">
        <v>0</v>
      </c>
      <c r="CV484">
        <v>5</v>
      </c>
      <c r="CW484" t="s">
        <v>120</v>
      </c>
      <c r="CX484">
        <v>257</v>
      </c>
      <c r="CY484">
        <v>1</v>
      </c>
      <c r="CZ484" t="s">
        <v>615</v>
      </c>
      <c r="DA484" t="s">
        <v>616</v>
      </c>
      <c r="DD484">
        <v>10771872</v>
      </c>
      <c r="DE484" t="s">
        <v>123</v>
      </c>
    </row>
    <row r="485" spans="1:109" x14ac:dyDescent="0.3">
      <c r="A485" t="str">
        <f>"18:42:34.836"</f>
        <v>18:42:34.836</v>
      </c>
      <c r="B485" t="s">
        <v>110</v>
      </c>
      <c r="C485" t="str">
        <f t="shared" si="21"/>
        <v>ffdfd3c0</v>
      </c>
      <c r="D485" t="s">
        <v>111</v>
      </c>
      <c r="E485">
        <v>18</v>
      </c>
      <c r="F485">
        <v>1018</v>
      </c>
      <c r="G485" t="s">
        <v>112</v>
      </c>
      <c r="J485" t="s">
        <v>113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R485" t="s">
        <v>114</v>
      </c>
      <c r="S485" t="str">
        <f>"18:42:34.586"</f>
        <v>18:42:34.586</v>
      </c>
      <c r="T485" t="str">
        <f>"18:42:34.289"</f>
        <v>18:42:34.289</v>
      </c>
      <c r="U485" t="str">
        <f t="shared" si="22"/>
        <v>a1cdbe</v>
      </c>
      <c r="V485">
        <v>0</v>
      </c>
      <c r="W485">
        <v>0</v>
      </c>
      <c r="X485">
        <v>1</v>
      </c>
      <c r="Y485">
        <v>0</v>
      </c>
      <c r="Z485">
        <v>0</v>
      </c>
      <c r="AB485">
        <v>0</v>
      </c>
      <c r="AC485">
        <v>9</v>
      </c>
      <c r="AD485">
        <v>3</v>
      </c>
      <c r="AE485">
        <v>0</v>
      </c>
      <c r="AF485">
        <v>9</v>
      </c>
      <c r="AG485" t="s">
        <v>158</v>
      </c>
      <c r="AH485">
        <v>0</v>
      </c>
      <c r="AI485">
        <v>3</v>
      </c>
      <c r="AJ485">
        <v>1</v>
      </c>
      <c r="AK485">
        <v>0</v>
      </c>
      <c r="AL485" t="s">
        <v>1039</v>
      </c>
      <c r="AM485">
        <v>46.961424000000001</v>
      </c>
      <c r="AN485" t="s">
        <v>1040</v>
      </c>
      <c r="AO485">
        <v>-122.323108</v>
      </c>
      <c r="AP485">
        <v>100</v>
      </c>
      <c r="AQ485">
        <v>2000</v>
      </c>
      <c r="AR485" t="s">
        <v>118</v>
      </c>
      <c r="AS485">
        <v>-19</v>
      </c>
      <c r="AT485">
        <v>-68</v>
      </c>
      <c r="AU485">
        <v>256</v>
      </c>
      <c r="BC485">
        <v>1200</v>
      </c>
      <c r="BD485">
        <v>1</v>
      </c>
      <c r="BE485" t="str">
        <f t="shared" si="23"/>
        <v xml:space="preserve">N215T   </v>
      </c>
      <c r="BF485">
        <v>1</v>
      </c>
      <c r="BH485">
        <v>0</v>
      </c>
      <c r="BI485">
        <v>0</v>
      </c>
      <c r="BJ485">
        <v>0</v>
      </c>
      <c r="BK485">
        <v>2350</v>
      </c>
      <c r="BL485">
        <v>350</v>
      </c>
      <c r="BM485" t="s">
        <v>119</v>
      </c>
      <c r="BN485">
        <v>1</v>
      </c>
      <c r="BO485">
        <v>1</v>
      </c>
      <c r="BP485">
        <v>1</v>
      </c>
      <c r="BQ485">
        <v>0</v>
      </c>
      <c r="BT485">
        <v>0</v>
      </c>
      <c r="BU485">
        <v>0</v>
      </c>
      <c r="BV485">
        <v>0</v>
      </c>
      <c r="CC485" t="str">
        <f>"18:42:34.586"</f>
        <v>18:42:34.586</v>
      </c>
      <c r="CD485" t="str">
        <f>"587268690"</f>
        <v>587268690</v>
      </c>
      <c r="CQ485">
        <v>0</v>
      </c>
      <c r="CR485">
        <v>2</v>
      </c>
      <c r="CS485">
        <v>0</v>
      </c>
      <c r="CT485">
        <v>2</v>
      </c>
      <c r="CU485">
        <v>0</v>
      </c>
      <c r="CV485">
        <v>5</v>
      </c>
      <c r="CW485" t="s">
        <v>120</v>
      </c>
      <c r="CX485">
        <v>257</v>
      </c>
      <c r="CY485">
        <v>1</v>
      </c>
      <c r="CZ485" t="s">
        <v>615</v>
      </c>
      <c r="DA485" t="s">
        <v>616</v>
      </c>
      <c r="DD485">
        <v>10772468</v>
      </c>
      <c r="DE485" t="s">
        <v>123</v>
      </c>
    </row>
    <row r="486" spans="1:109" x14ac:dyDescent="0.3">
      <c r="A486" t="str">
        <f>"18:42:35.891"</f>
        <v>18:42:35.891</v>
      </c>
      <c r="B486" t="s">
        <v>110</v>
      </c>
      <c r="C486" t="str">
        <f t="shared" si="21"/>
        <v>ffdfd3c0</v>
      </c>
      <c r="D486" t="s">
        <v>111</v>
      </c>
      <c r="E486">
        <v>18</v>
      </c>
      <c r="F486">
        <v>1018</v>
      </c>
      <c r="G486" t="s">
        <v>112</v>
      </c>
      <c r="J486" t="s">
        <v>113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R486" t="s">
        <v>114</v>
      </c>
      <c r="S486" t="str">
        <f>"18:42:35.648"</f>
        <v>18:42:35.648</v>
      </c>
      <c r="T486" t="str">
        <f>"18:42:35.250"</f>
        <v>18:42:35.250</v>
      </c>
      <c r="U486" t="str">
        <f t="shared" si="22"/>
        <v>a1cdbe</v>
      </c>
      <c r="V486">
        <v>0</v>
      </c>
      <c r="W486">
        <v>0</v>
      </c>
      <c r="X486">
        <v>1</v>
      </c>
      <c r="Y486">
        <v>0</v>
      </c>
      <c r="Z486">
        <v>0</v>
      </c>
      <c r="AB486">
        <v>0</v>
      </c>
      <c r="AC486">
        <v>9</v>
      </c>
      <c r="AD486">
        <v>3</v>
      </c>
      <c r="AE486">
        <v>0</v>
      </c>
      <c r="AF486">
        <v>9</v>
      </c>
      <c r="AG486" t="s">
        <v>158</v>
      </c>
      <c r="AH486">
        <v>0</v>
      </c>
      <c r="AI486">
        <v>3</v>
      </c>
      <c r="AJ486">
        <v>1</v>
      </c>
      <c r="AK486">
        <v>0</v>
      </c>
      <c r="AL486" t="s">
        <v>1041</v>
      </c>
      <c r="AM486">
        <v>46.961101999999997</v>
      </c>
      <c r="AN486" t="s">
        <v>1042</v>
      </c>
      <c r="AO486">
        <v>-122.323279</v>
      </c>
      <c r="AP486">
        <v>100</v>
      </c>
      <c r="AQ486">
        <v>2000</v>
      </c>
      <c r="AR486" t="s">
        <v>118</v>
      </c>
      <c r="AS486">
        <v>-19</v>
      </c>
      <c r="AT486">
        <v>-68</v>
      </c>
      <c r="AU486">
        <v>320</v>
      </c>
      <c r="BC486">
        <v>1200</v>
      </c>
      <c r="BD486">
        <v>1</v>
      </c>
      <c r="BE486" t="str">
        <f t="shared" si="23"/>
        <v xml:space="preserve">N215T   </v>
      </c>
      <c r="BF486">
        <v>1</v>
      </c>
      <c r="BH486">
        <v>0</v>
      </c>
      <c r="BI486">
        <v>0</v>
      </c>
      <c r="BJ486">
        <v>0</v>
      </c>
      <c r="BK486">
        <v>2375</v>
      </c>
      <c r="BL486">
        <v>375</v>
      </c>
      <c r="BM486" t="s">
        <v>119</v>
      </c>
      <c r="BN486">
        <v>1</v>
      </c>
      <c r="BO486">
        <v>1</v>
      </c>
      <c r="BP486">
        <v>1</v>
      </c>
      <c r="BQ486">
        <v>0</v>
      </c>
      <c r="BT486">
        <v>0</v>
      </c>
      <c r="BU486">
        <v>0</v>
      </c>
      <c r="BV486">
        <v>0</v>
      </c>
      <c r="CC486" t="str">
        <f>"18:42:35.648"</f>
        <v>18:42:35.648</v>
      </c>
      <c r="CD486" t="str">
        <f>"652163760"</f>
        <v>652163760</v>
      </c>
      <c r="CQ486">
        <v>0</v>
      </c>
      <c r="CR486">
        <v>2</v>
      </c>
      <c r="CS486">
        <v>0</v>
      </c>
      <c r="CT486">
        <v>2</v>
      </c>
      <c r="CU486">
        <v>0</v>
      </c>
      <c r="CV486">
        <v>4</v>
      </c>
      <c r="CW486" t="s">
        <v>120</v>
      </c>
      <c r="CX486">
        <v>257</v>
      </c>
      <c r="CY486">
        <v>1</v>
      </c>
      <c r="CZ486" t="s">
        <v>615</v>
      </c>
      <c r="DA486" t="s">
        <v>616</v>
      </c>
      <c r="DD486">
        <v>10773197</v>
      </c>
      <c r="DE486" t="s">
        <v>123</v>
      </c>
    </row>
    <row r="487" spans="1:109" x14ac:dyDescent="0.3">
      <c r="A487" t="str">
        <f>"18:42:36.945"</f>
        <v>18:42:36.945</v>
      </c>
      <c r="B487" t="s">
        <v>110</v>
      </c>
      <c r="C487" t="str">
        <f t="shared" si="21"/>
        <v>ffdfd3c0</v>
      </c>
      <c r="D487" t="s">
        <v>111</v>
      </c>
      <c r="E487">
        <v>18</v>
      </c>
      <c r="F487">
        <v>1018</v>
      </c>
      <c r="G487" t="s">
        <v>112</v>
      </c>
      <c r="J487" t="s">
        <v>113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R487" t="s">
        <v>114</v>
      </c>
      <c r="S487" t="str">
        <f>"18:42:36.680"</f>
        <v>18:42:36.680</v>
      </c>
      <c r="T487" t="str">
        <f>"18:42:36.680"</f>
        <v>18:42:36.680</v>
      </c>
      <c r="U487" t="str">
        <f t="shared" si="22"/>
        <v>a1cdbe</v>
      </c>
      <c r="V487">
        <v>0</v>
      </c>
      <c r="W487">
        <v>0</v>
      </c>
      <c r="X487">
        <v>1</v>
      </c>
      <c r="Y487">
        <v>0</v>
      </c>
      <c r="Z487">
        <v>0</v>
      </c>
      <c r="AB487">
        <v>0</v>
      </c>
      <c r="AC487">
        <v>9</v>
      </c>
      <c r="AD487">
        <v>3</v>
      </c>
      <c r="AE487">
        <v>0</v>
      </c>
      <c r="AF487">
        <v>9</v>
      </c>
      <c r="AG487" t="s">
        <v>158</v>
      </c>
      <c r="AH487">
        <v>0</v>
      </c>
      <c r="AI487">
        <v>3</v>
      </c>
      <c r="AJ487">
        <v>1</v>
      </c>
      <c r="AK487">
        <v>0</v>
      </c>
      <c r="AL487" t="s">
        <v>1043</v>
      </c>
      <c r="AM487">
        <v>46.960780999999997</v>
      </c>
      <c r="AN487" t="s">
        <v>1044</v>
      </c>
      <c r="AO487">
        <v>-122.323387</v>
      </c>
      <c r="AP487">
        <v>100</v>
      </c>
      <c r="AQ487">
        <v>2000</v>
      </c>
      <c r="AR487" t="s">
        <v>118</v>
      </c>
      <c r="AS487">
        <v>-18</v>
      </c>
      <c r="AT487">
        <v>-68</v>
      </c>
      <c r="AU487">
        <v>256</v>
      </c>
      <c r="BC487">
        <v>1200</v>
      </c>
      <c r="BD487">
        <v>1</v>
      </c>
      <c r="BE487" t="str">
        <f t="shared" si="23"/>
        <v xml:space="preserve">N215T   </v>
      </c>
      <c r="BF487">
        <v>1</v>
      </c>
      <c r="BH487">
        <v>0</v>
      </c>
      <c r="BI487">
        <v>0</v>
      </c>
      <c r="BJ487">
        <v>0</v>
      </c>
      <c r="BK487">
        <v>2375</v>
      </c>
      <c r="BL487">
        <v>375</v>
      </c>
      <c r="BM487" t="s">
        <v>119</v>
      </c>
      <c r="BN487">
        <v>1</v>
      </c>
      <c r="BO487">
        <v>1</v>
      </c>
      <c r="BP487">
        <v>1</v>
      </c>
      <c r="BQ487">
        <v>0</v>
      </c>
      <c r="BT487">
        <v>0</v>
      </c>
      <c r="BU487">
        <v>0</v>
      </c>
      <c r="BV487">
        <v>0</v>
      </c>
      <c r="CC487" t="str">
        <f>"18:42:36.688"</f>
        <v>18:42:36.688</v>
      </c>
      <c r="CD487" t="str">
        <f>"687061763"</f>
        <v>687061763</v>
      </c>
      <c r="CQ487">
        <v>0</v>
      </c>
      <c r="CR487">
        <v>2</v>
      </c>
      <c r="CS487">
        <v>0</v>
      </c>
      <c r="CT487">
        <v>2</v>
      </c>
      <c r="CU487">
        <v>0</v>
      </c>
      <c r="CV487">
        <v>5</v>
      </c>
      <c r="CW487" t="s">
        <v>120</v>
      </c>
      <c r="CX487">
        <v>257</v>
      </c>
      <c r="CY487">
        <v>1</v>
      </c>
      <c r="CZ487" t="s">
        <v>615</v>
      </c>
      <c r="DA487" t="s">
        <v>616</v>
      </c>
      <c r="DD487">
        <v>10773871</v>
      </c>
      <c r="DE487" t="s">
        <v>123</v>
      </c>
    </row>
    <row r="488" spans="1:109" x14ac:dyDescent="0.3">
      <c r="A488" t="str">
        <f>"18:42:37.953"</f>
        <v>18:42:37.953</v>
      </c>
      <c r="B488" t="s">
        <v>110</v>
      </c>
      <c r="C488" t="str">
        <f t="shared" si="21"/>
        <v>ffdfd3c0</v>
      </c>
      <c r="D488" t="s">
        <v>111</v>
      </c>
      <c r="E488">
        <v>18</v>
      </c>
      <c r="F488">
        <v>1018</v>
      </c>
      <c r="G488" t="s">
        <v>112</v>
      </c>
      <c r="J488" t="s">
        <v>113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R488" t="s">
        <v>114</v>
      </c>
      <c r="S488" t="str">
        <f>"18:42:37.703"</f>
        <v>18:42:37.703</v>
      </c>
      <c r="T488" t="str">
        <f>"18:42:37.602"</f>
        <v>18:42:37.602</v>
      </c>
      <c r="U488" t="str">
        <f t="shared" si="22"/>
        <v>a1cdbe</v>
      </c>
      <c r="V488">
        <v>0</v>
      </c>
      <c r="W488">
        <v>0</v>
      </c>
      <c r="X488">
        <v>1</v>
      </c>
      <c r="Y488">
        <v>0</v>
      </c>
      <c r="Z488">
        <v>0</v>
      </c>
      <c r="AB488">
        <v>0</v>
      </c>
      <c r="AC488">
        <v>9</v>
      </c>
      <c r="AD488">
        <v>3</v>
      </c>
      <c r="AE488">
        <v>0</v>
      </c>
      <c r="AF488">
        <v>9</v>
      </c>
      <c r="AG488" t="s">
        <v>158</v>
      </c>
      <c r="AH488">
        <v>0</v>
      </c>
      <c r="AI488">
        <v>3</v>
      </c>
      <c r="AJ488">
        <v>1</v>
      </c>
      <c r="AK488">
        <v>0</v>
      </c>
      <c r="AL488" t="s">
        <v>1045</v>
      </c>
      <c r="AM488">
        <v>46.960459</v>
      </c>
      <c r="AN488" t="s">
        <v>1046</v>
      </c>
      <c r="AO488">
        <v>-122.32355800000001</v>
      </c>
      <c r="AP488">
        <v>100</v>
      </c>
      <c r="AQ488">
        <v>2000</v>
      </c>
      <c r="AR488" t="s">
        <v>118</v>
      </c>
      <c r="AS488">
        <v>-17</v>
      </c>
      <c r="AT488">
        <v>-69</v>
      </c>
      <c r="AU488">
        <v>256</v>
      </c>
      <c r="BC488">
        <v>1200</v>
      </c>
      <c r="BD488">
        <v>1</v>
      </c>
      <c r="BE488" t="str">
        <f t="shared" si="23"/>
        <v xml:space="preserve">N215T   </v>
      </c>
      <c r="BF488">
        <v>1</v>
      </c>
      <c r="BH488">
        <v>0</v>
      </c>
      <c r="BI488">
        <v>0</v>
      </c>
      <c r="BJ488">
        <v>0</v>
      </c>
      <c r="BK488">
        <v>2375</v>
      </c>
      <c r="BL488">
        <v>375</v>
      </c>
      <c r="BM488" t="s">
        <v>119</v>
      </c>
      <c r="BN488">
        <v>1</v>
      </c>
      <c r="BO488">
        <v>1</v>
      </c>
      <c r="BP488">
        <v>1</v>
      </c>
      <c r="BQ488">
        <v>0</v>
      </c>
      <c r="BT488">
        <v>0</v>
      </c>
      <c r="BU488">
        <v>0</v>
      </c>
      <c r="BV488">
        <v>0</v>
      </c>
      <c r="CC488" t="str">
        <f>"18:42:37.703"</f>
        <v>18:42:37.703</v>
      </c>
      <c r="CD488" t="str">
        <f>"706961300"</f>
        <v>706961300</v>
      </c>
      <c r="CQ488">
        <v>0</v>
      </c>
      <c r="CR488">
        <v>2</v>
      </c>
      <c r="CS488">
        <v>0</v>
      </c>
      <c r="CT488">
        <v>2</v>
      </c>
      <c r="CU488">
        <v>0</v>
      </c>
      <c r="CV488">
        <v>4</v>
      </c>
      <c r="CW488" t="s">
        <v>120</v>
      </c>
      <c r="CX488">
        <v>257</v>
      </c>
      <c r="CY488">
        <v>1</v>
      </c>
      <c r="CZ488" t="s">
        <v>615</v>
      </c>
      <c r="DA488" t="s">
        <v>616</v>
      </c>
      <c r="DD488">
        <v>10774557</v>
      </c>
      <c r="DE488" t="s">
        <v>123</v>
      </c>
    </row>
    <row r="489" spans="1:109" x14ac:dyDescent="0.3">
      <c r="A489" t="str">
        <f>"18:42:38.859"</f>
        <v>18:42:38.859</v>
      </c>
      <c r="B489" t="s">
        <v>110</v>
      </c>
      <c r="C489" t="str">
        <f t="shared" si="21"/>
        <v>ffdfd3c0</v>
      </c>
      <c r="D489" t="s">
        <v>111</v>
      </c>
      <c r="E489">
        <v>18</v>
      </c>
      <c r="F489">
        <v>1018</v>
      </c>
      <c r="G489" t="s">
        <v>112</v>
      </c>
      <c r="J489" t="s">
        <v>113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R489" t="s">
        <v>114</v>
      </c>
      <c r="S489" t="str">
        <f>"18:42:38.633"</f>
        <v>18:42:38.633</v>
      </c>
      <c r="T489" t="str">
        <f>"18:42:38.133"</f>
        <v>18:42:38.133</v>
      </c>
      <c r="U489" t="str">
        <f t="shared" si="22"/>
        <v>a1cdbe</v>
      </c>
      <c r="V489">
        <v>0</v>
      </c>
      <c r="W489">
        <v>0</v>
      </c>
      <c r="X489">
        <v>1</v>
      </c>
      <c r="Y489">
        <v>0</v>
      </c>
      <c r="Z489">
        <v>0</v>
      </c>
      <c r="AB489">
        <v>0</v>
      </c>
      <c r="AC489">
        <v>9</v>
      </c>
      <c r="AD489">
        <v>3</v>
      </c>
      <c r="AE489">
        <v>0</v>
      </c>
      <c r="AF489">
        <v>9</v>
      </c>
      <c r="AG489" t="s">
        <v>158</v>
      </c>
      <c r="AH489">
        <v>0</v>
      </c>
      <c r="AI489">
        <v>3</v>
      </c>
      <c r="AJ489">
        <v>1</v>
      </c>
      <c r="AK489">
        <v>0</v>
      </c>
      <c r="AL489" t="s">
        <v>1047</v>
      </c>
      <c r="AM489">
        <v>46.960137000000003</v>
      </c>
      <c r="AN489" t="s">
        <v>1048</v>
      </c>
      <c r="AO489">
        <v>-122.323601</v>
      </c>
      <c r="AP489">
        <v>100</v>
      </c>
      <c r="AQ489">
        <v>2000</v>
      </c>
      <c r="AR489" t="s">
        <v>118</v>
      </c>
      <c r="AS489">
        <v>-17</v>
      </c>
      <c r="AT489">
        <v>-69</v>
      </c>
      <c r="AU489">
        <v>192</v>
      </c>
      <c r="BC489">
        <v>1200</v>
      </c>
      <c r="BD489">
        <v>1</v>
      </c>
      <c r="BE489" t="str">
        <f t="shared" si="23"/>
        <v xml:space="preserve">N215T   </v>
      </c>
      <c r="BF489">
        <v>1</v>
      </c>
      <c r="BH489">
        <v>0</v>
      </c>
      <c r="BI489">
        <v>0</v>
      </c>
      <c r="BJ489">
        <v>0</v>
      </c>
      <c r="BK489">
        <v>2375</v>
      </c>
      <c r="BL489">
        <v>375</v>
      </c>
      <c r="BM489" t="s">
        <v>119</v>
      </c>
      <c r="BN489">
        <v>1</v>
      </c>
      <c r="BO489">
        <v>1</v>
      </c>
      <c r="BP489">
        <v>1</v>
      </c>
      <c r="BQ489">
        <v>0</v>
      </c>
      <c r="BT489">
        <v>0</v>
      </c>
      <c r="BU489">
        <v>0</v>
      </c>
      <c r="BV489">
        <v>0</v>
      </c>
      <c r="CC489" t="str">
        <f>"18:42:38.641"</f>
        <v>18:42:38.641</v>
      </c>
      <c r="CD489" t="str">
        <f>"636869652"</f>
        <v>636869652</v>
      </c>
      <c r="CQ489">
        <v>0</v>
      </c>
      <c r="CR489">
        <v>2</v>
      </c>
      <c r="CS489">
        <v>0</v>
      </c>
      <c r="CT489">
        <v>2</v>
      </c>
      <c r="CU489">
        <v>0</v>
      </c>
      <c r="CV489">
        <v>4</v>
      </c>
      <c r="CW489" t="s">
        <v>120</v>
      </c>
      <c r="CX489">
        <v>257</v>
      </c>
      <c r="CY489">
        <v>1</v>
      </c>
      <c r="CZ489" t="s">
        <v>615</v>
      </c>
      <c r="DA489" t="s">
        <v>616</v>
      </c>
      <c r="DD489">
        <v>10775168</v>
      </c>
      <c r="DE489" t="s">
        <v>123</v>
      </c>
    </row>
    <row r="490" spans="1:109" x14ac:dyDescent="0.3">
      <c r="A490" t="str">
        <f>"18:42:39.813"</f>
        <v>18:42:39.813</v>
      </c>
      <c r="B490" t="s">
        <v>110</v>
      </c>
      <c r="C490" t="str">
        <f t="shared" si="21"/>
        <v>ffdfd3c0</v>
      </c>
      <c r="D490" t="s">
        <v>111</v>
      </c>
      <c r="E490">
        <v>18</v>
      </c>
      <c r="F490">
        <v>1018</v>
      </c>
      <c r="G490" t="s">
        <v>112</v>
      </c>
      <c r="J490" t="s">
        <v>113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R490" t="s">
        <v>114</v>
      </c>
      <c r="S490" t="str">
        <f>"18:42:39.578"</f>
        <v>18:42:39.578</v>
      </c>
      <c r="T490" t="str">
        <f>"18:42:39.281"</f>
        <v>18:42:39.281</v>
      </c>
      <c r="U490" t="str">
        <f t="shared" si="22"/>
        <v>a1cdbe</v>
      </c>
      <c r="V490">
        <v>0</v>
      </c>
      <c r="W490">
        <v>0</v>
      </c>
      <c r="X490">
        <v>1</v>
      </c>
      <c r="Y490">
        <v>0</v>
      </c>
      <c r="Z490">
        <v>0</v>
      </c>
      <c r="AB490">
        <v>0</v>
      </c>
      <c r="AC490">
        <v>9</v>
      </c>
      <c r="AD490">
        <v>3</v>
      </c>
      <c r="AE490">
        <v>0</v>
      </c>
      <c r="AF490">
        <v>9</v>
      </c>
      <c r="AG490" t="s">
        <v>158</v>
      </c>
      <c r="AH490">
        <v>0</v>
      </c>
      <c r="AI490">
        <v>3</v>
      </c>
      <c r="AJ490">
        <v>1</v>
      </c>
      <c r="AK490">
        <v>0</v>
      </c>
      <c r="AL490" t="s">
        <v>1049</v>
      </c>
      <c r="AM490">
        <v>46.959879000000001</v>
      </c>
      <c r="AN490" t="s">
        <v>1050</v>
      </c>
      <c r="AO490">
        <v>-122.323773</v>
      </c>
      <c r="AP490">
        <v>100</v>
      </c>
      <c r="AQ490">
        <v>2000</v>
      </c>
      <c r="AR490" t="s">
        <v>118</v>
      </c>
      <c r="AS490">
        <v>-17</v>
      </c>
      <c r="AT490">
        <v>-69</v>
      </c>
      <c r="AU490">
        <v>192</v>
      </c>
      <c r="BC490">
        <v>1200</v>
      </c>
      <c r="BD490">
        <v>1</v>
      </c>
      <c r="BE490" t="str">
        <f t="shared" si="23"/>
        <v xml:space="preserve">N215T   </v>
      </c>
      <c r="BF490">
        <v>1</v>
      </c>
      <c r="BH490">
        <v>0</v>
      </c>
      <c r="BI490">
        <v>0</v>
      </c>
      <c r="BJ490">
        <v>0</v>
      </c>
      <c r="BK490">
        <v>2375</v>
      </c>
      <c r="BL490">
        <v>375</v>
      </c>
      <c r="BM490" t="s">
        <v>119</v>
      </c>
      <c r="BN490">
        <v>1</v>
      </c>
      <c r="BO490">
        <v>1</v>
      </c>
      <c r="BP490">
        <v>1</v>
      </c>
      <c r="BQ490">
        <v>0</v>
      </c>
      <c r="BT490">
        <v>0</v>
      </c>
      <c r="BU490">
        <v>0</v>
      </c>
      <c r="BV490">
        <v>0</v>
      </c>
      <c r="CC490" t="str">
        <f>"18:42:39.578"</f>
        <v>18:42:39.578</v>
      </c>
      <c r="CD490" t="str">
        <f>"581776570"</f>
        <v>581776570</v>
      </c>
      <c r="CQ490">
        <v>0</v>
      </c>
      <c r="CR490">
        <v>2</v>
      </c>
      <c r="CS490">
        <v>0</v>
      </c>
      <c r="CT490">
        <v>2</v>
      </c>
      <c r="CU490">
        <v>0</v>
      </c>
      <c r="CV490">
        <v>4</v>
      </c>
      <c r="CW490" t="s">
        <v>120</v>
      </c>
      <c r="CX490">
        <v>257</v>
      </c>
      <c r="CY490">
        <v>1</v>
      </c>
      <c r="CZ490" t="s">
        <v>615</v>
      </c>
      <c r="DA490" t="s">
        <v>616</v>
      </c>
      <c r="DD490">
        <v>10775802</v>
      </c>
      <c r="DE490" t="s">
        <v>123</v>
      </c>
    </row>
    <row r="491" spans="1:109" x14ac:dyDescent="0.3">
      <c r="A491" t="str">
        <f>"18:42:40.867"</f>
        <v>18:42:40.867</v>
      </c>
      <c r="B491" t="s">
        <v>110</v>
      </c>
      <c r="C491" t="str">
        <f t="shared" si="21"/>
        <v>ffdfd3c0</v>
      </c>
      <c r="D491" t="s">
        <v>111</v>
      </c>
      <c r="E491">
        <v>18</v>
      </c>
      <c r="F491">
        <v>1018</v>
      </c>
      <c r="G491" t="s">
        <v>112</v>
      </c>
      <c r="J491" t="s">
        <v>113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R491" t="s">
        <v>114</v>
      </c>
      <c r="S491" t="str">
        <f>"18:42:40.625"</f>
        <v>18:42:40.625</v>
      </c>
      <c r="T491" t="str">
        <f>"18:42:40.625"</f>
        <v>18:42:40.625</v>
      </c>
      <c r="U491" t="str">
        <f t="shared" si="22"/>
        <v>a1cdbe</v>
      </c>
      <c r="V491">
        <v>0</v>
      </c>
      <c r="W491">
        <v>0</v>
      </c>
      <c r="X491">
        <v>1</v>
      </c>
      <c r="Y491">
        <v>0</v>
      </c>
      <c r="Z491">
        <v>0</v>
      </c>
      <c r="AB491">
        <v>0</v>
      </c>
      <c r="AC491">
        <v>9</v>
      </c>
      <c r="AD491">
        <v>3</v>
      </c>
      <c r="AE491">
        <v>0</v>
      </c>
      <c r="AF491">
        <v>9</v>
      </c>
      <c r="AG491" t="s">
        <v>158</v>
      </c>
      <c r="AH491">
        <v>0</v>
      </c>
      <c r="AI491">
        <v>3</v>
      </c>
      <c r="AJ491">
        <v>1</v>
      </c>
      <c r="AK491">
        <v>0</v>
      </c>
      <c r="AL491" t="s">
        <v>1051</v>
      </c>
      <c r="AM491">
        <v>46.959515000000003</v>
      </c>
      <c r="AN491" t="s">
        <v>1052</v>
      </c>
      <c r="AO491">
        <v>-122.32388</v>
      </c>
      <c r="AP491">
        <v>100</v>
      </c>
      <c r="AQ491">
        <v>2000</v>
      </c>
      <c r="AR491" t="s">
        <v>118</v>
      </c>
      <c r="AS491">
        <v>-18</v>
      </c>
      <c r="AT491">
        <v>-69</v>
      </c>
      <c r="AU491">
        <v>128</v>
      </c>
      <c r="BC491">
        <v>1200</v>
      </c>
      <c r="BD491">
        <v>1</v>
      </c>
      <c r="BE491" t="str">
        <f t="shared" si="23"/>
        <v xml:space="preserve">N215T   </v>
      </c>
      <c r="BF491">
        <v>1</v>
      </c>
      <c r="BH491">
        <v>0</v>
      </c>
      <c r="BI491">
        <v>0</v>
      </c>
      <c r="BJ491">
        <v>0</v>
      </c>
      <c r="BK491">
        <v>2375</v>
      </c>
      <c r="BL491">
        <v>375</v>
      </c>
      <c r="BM491" t="s">
        <v>119</v>
      </c>
      <c r="BN491">
        <v>1</v>
      </c>
      <c r="BO491">
        <v>1</v>
      </c>
      <c r="BP491">
        <v>1</v>
      </c>
      <c r="BQ491">
        <v>0</v>
      </c>
      <c r="BT491">
        <v>0</v>
      </c>
      <c r="BU491">
        <v>0</v>
      </c>
      <c r="BV491">
        <v>0</v>
      </c>
      <c r="CC491" t="str">
        <f>"18:42:40.633"</f>
        <v>18:42:40.633</v>
      </c>
      <c r="CD491" t="str">
        <f>"631673125"</f>
        <v>631673125</v>
      </c>
      <c r="CQ491">
        <v>0</v>
      </c>
      <c r="CR491">
        <v>2</v>
      </c>
      <c r="CS491">
        <v>0</v>
      </c>
      <c r="CT491">
        <v>2</v>
      </c>
      <c r="CU491">
        <v>0</v>
      </c>
      <c r="CV491">
        <v>4</v>
      </c>
      <c r="CW491" t="s">
        <v>120</v>
      </c>
      <c r="CX491">
        <v>257</v>
      </c>
      <c r="CY491">
        <v>1</v>
      </c>
      <c r="CZ491" t="s">
        <v>615</v>
      </c>
      <c r="DA491" t="s">
        <v>616</v>
      </c>
      <c r="DD491">
        <v>10776481</v>
      </c>
      <c r="DE491" t="s">
        <v>123</v>
      </c>
    </row>
    <row r="492" spans="1:109" x14ac:dyDescent="0.3">
      <c r="A492" t="str">
        <f>"18:42:41.773"</f>
        <v>18:42:41.773</v>
      </c>
      <c r="B492" t="s">
        <v>110</v>
      </c>
      <c r="C492" t="str">
        <f t="shared" si="21"/>
        <v>ffdfd3c0</v>
      </c>
      <c r="D492" t="s">
        <v>111</v>
      </c>
      <c r="E492">
        <v>18</v>
      </c>
      <c r="F492">
        <v>1018</v>
      </c>
      <c r="G492" t="s">
        <v>112</v>
      </c>
      <c r="J492" t="s">
        <v>113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R492" t="s">
        <v>114</v>
      </c>
      <c r="S492" t="str">
        <f>"18:42:41.539"</f>
        <v>18:42:41.539</v>
      </c>
      <c r="T492" t="str">
        <f>"18:42:41.242"</f>
        <v>18:42:41.242</v>
      </c>
      <c r="U492" t="str">
        <f t="shared" si="22"/>
        <v>a1cdbe</v>
      </c>
      <c r="V492">
        <v>0</v>
      </c>
      <c r="W492">
        <v>0</v>
      </c>
      <c r="X492">
        <v>1</v>
      </c>
      <c r="Y492">
        <v>0</v>
      </c>
      <c r="Z492">
        <v>0</v>
      </c>
      <c r="AB492">
        <v>0</v>
      </c>
      <c r="AC492">
        <v>9</v>
      </c>
      <c r="AD492">
        <v>3</v>
      </c>
      <c r="AE492">
        <v>0</v>
      </c>
      <c r="AF492">
        <v>9</v>
      </c>
      <c r="AG492" t="s">
        <v>158</v>
      </c>
      <c r="AH492">
        <v>0</v>
      </c>
      <c r="AI492">
        <v>3</v>
      </c>
      <c r="AJ492">
        <v>1</v>
      </c>
      <c r="AK492">
        <v>0</v>
      </c>
      <c r="AL492" t="s">
        <v>1053</v>
      </c>
      <c r="AM492">
        <v>46.959235999999997</v>
      </c>
      <c r="AN492" t="s">
        <v>1054</v>
      </c>
      <c r="AO492">
        <v>-122.323966</v>
      </c>
      <c r="AP492">
        <v>100</v>
      </c>
      <c r="AQ492">
        <v>2000</v>
      </c>
      <c r="AR492" t="s">
        <v>118</v>
      </c>
      <c r="AS492">
        <v>-18</v>
      </c>
      <c r="AT492">
        <v>-70</v>
      </c>
      <c r="AU492">
        <v>64</v>
      </c>
      <c r="BC492">
        <v>1200</v>
      </c>
      <c r="BD492">
        <v>1</v>
      </c>
      <c r="BE492" t="str">
        <f t="shared" si="23"/>
        <v xml:space="preserve">N215T   </v>
      </c>
      <c r="BF492">
        <v>1</v>
      </c>
      <c r="BH492">
        <v>0</v>
      </c>
      <c r="BI492">
        <v>0</v>
      </c>
      <c r="BJ492">
        <v>0</v>
      </c>
      <c r="BK492">
        <v>2375</v>
      </c>
      <c r="BL492">
        <v>375</v>
      </c>
      <c r="BM492" t="s">
        <v>119</v>
      </c>
      <c r="BN492">
        <v>1</v>
      </c>
      <c r="BO492">
        <v>1</v>
      </c>
      <c r="BP492">
        <v>1</v>
      </c>
      <c r="BQ492">
        <v>0</v>
      </c>
      <c r="BT492">
        <v>0</v>
      </c>
      <c r="BU492">
        <v>0</v>
      </c>
      <c r="BV492">
        <v>0</v>
      </c>
      <c r="CC492" t="str">
        <f>"18:42:41.547"</f>
        <v>18:42:41.547</v>
      </c>
      <c r="CD492" t="str">
        <f>"546582976"</f>
        <v>546582976</v>
      </c>
      <c r="CQ492">
        <v>0</v>
      </c>
      <c r="CR492">
        <v>2</v>
      </c>
      <c r="CS492">
        <v>0</v>
      </c>
      <c r="CT492">
        <v>2</v>
      </c>
      <c r="CU492">
        <v>0</v>
      </c>
      <c r="CV492">
        <v>4</v>
      </c>
      <c r="CW492" t="s">
        <v>120</v>
      </c>
      <c r="CX492">
        <v>257</v>
      </c>
      <c r="CY492">
        <v>1</v>
      </c>
      <c r="CZ492" t="s">
        <v>615</v>
      </c>
      <c r="DA492" t="s">
        <v>616</v>
      </c>
      <c r="DD492">
        <v>10777104</v>
      </c>
      <c r="DE492" t="s">
        <v>123</v>
      </c>
    </row>
    <row r="493" spans="1:109" x14ac:dyDescent="0.3">
      <c r="A493" t="str">
        <f>"18:42:42.930"</f>
        <v>18:42:42.930</v>
      </c>
      <c r="B493" t="s">
        <v>110</v>
      </c>
      <c r="C493" t="str">
        <f t="shared" si="21"/>
        <v>ffdfd3c0</v>
      </c>
      <c r="D493" t="s">
        <v>111</v>
      </c>
      <c r="E493">
        <v>18</v>
      </c>
      <c r="F493">
        <v>1018</v>
      </c>
      <c r="G493" t="s">
        <v>112</v>
      </c>
      <c r="J493" t="s">
        <v>113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R493" t="s">
        <v>114</v>
      </c>
      <c r="S493" t="str">
        <f>"18:42:42.680"</f>
        <v>18:42:42.680</v>
      </c>
      <c r="T493" t="str">
        <f>"18:42:42.281"</f>
        <v>18:42:42.281</v>
      </c>
      <c r="U493" t="str">
        <f t="shared" si="22"/>
        <v>a1cdbe</v>
      </c>
      <c r="V493">
        <v>0</v>
      </c>
      <c r="W493">
        <v>0</v>
      </c>
      <c r="X493">
        <v>1</v>
      </c>
      <c r="Y493">
        <v>0</v>
      </c>
      <c r="Z493">
        <v>0</v>
      </c>
      <c r="AB493">
        <v>0</v>
      </c>
      <c r="AC493">
        <v>9</v>
      </c>
      <c r="AD493">
        <v>3</v>
      </c>
      <c r="AE493">
        <v>0</v>
      </c>
      <c r="AF493">
        <v>9</v>
      </c>
      <c r="AG493" t="s">
        <v>158</v>
      </c>
      <c r="AH493">
        <v>0</v>
      </c>
      <c r="AI493">
        <v>3</v>
      </c>
      <c r="AJ493">
        <v>1</v>
      </c>
      <c r="AK493">
        <v>0</v>
      </c>
      <c r="AL493" t="s">
        <v>1055</v>
      </c>
      <c r="AM493">
        <v>46.958827999999997</v>
      </c>
      <c r="AN493" t="s">
        <v>1056</v>
      </c>
      <c r="AO493">
        <v>-122.324095</v>
      </c>
      <c r="AP493">
        <v>100</v>
      </c>
      <c r="AQ493">
        <v>2000</v>
      </c>
      <c r="AR493" t="s">
        <v>118</v>
      </c>
      <c r="AS493">
        <v>-18</v>
      </c>
      <c r="AT493">
        <v>-70</v>
      </c>
      <c r="AU493">
        <v>64</v>
      </c>
      <c r="BC493">
        <v>1200</v>
      </c>
      <c r="BD493">
        <v>1</v>
      </c>
      <c r="BE493" t="str">
        <f t="shared" si="23"/>
        <v xml:space="preserve">N215T   </v>
      </c>
      <c r="BF493">
        <v>1</v>
      </c>
      <c r="BH493">
        <v>0</v>
      </c>
      <c r="BI493">
        <v>0</v>
      </c>
      <c r="BJ493">
        <v>0</v>
      </c>
      <c r="BK493">
        <v>2375</v>
      </c>
      <c r="BL493">
        <v>375</v>
      </c>
      <c r="BM493" t="s">
        <v>119</v>
      </c>
      <c r="BN493">
        <v>1</v>
      </c>
      <c r="BO493">
        <v>1</v>
      </c>
      <c r="BP493">
        <v>1</v>
      </c>
      <c r="BQ493">
        <v>0</v>
      </c>
      <c r="BT493">
        <v>0</v>
      </c>
      <c r="BU493">
        <v>0</v>
      </c>
      <c r="BV493">
        <v>0</v>
      </c>
      <c r="CC493" t="str">
        <f>"18:42:42.688"</f>
        <v>18:42:42.688</v>
      </c>
      <c r="CD493" t="str">
        <f>"686272100"</f>
        <v>686272100</v>
      </c>
      <c r="CQ493">
        <v>0</v>
      </c>
      <c r="CR493">
        <v>2</v>
      </c>
      <c r="CS493">
        <v>0</v>
      </c>
      <c r="CT493">
        <v>2</v>
      </c>
      <c r="CU493">
        <v>0</v>
      </c>
      <c r="CV493">
        <v>5</v>
      </c>
      <c r="CW493" t="s">
        <v>120</v>
      </c>
      <c r="CX493">
        <v>261</v>
      </c>
      <c r="CY493">
        <v>1</v>
      </c>
      <c r="CZ493" t="s">
        <v>121</v>
      </c>
      <c r="DA493" t="s">
        <v>122</v>
      </c>
      <c r="DD493">
        <v>3395846</v>
      </c>
      <c r="DE493" t="s">
        <v>123</v>
      </c>
    </row>
    <row r="494" spans="1:109" x14ac:dyDescent="0.3">
      <c r="A494" t="str">
        <f>"18:42:43.883"</f>
        <v>18:42:43.883</v>
      </c>
      <c r="B494" t="s">
        <v>110</v>
      </c>
      <c r="C494" t="str">
        <f t="shared" si="21"/>
        <v>ffdfd3c0</v>
      </c>
      <c r="D494" t="s">
        <v>111</v>
      </c>
      <c r="E494">
        <v>18</v>
      </c>
      <c r="F494">
        <v>1018</v>
      </c>
      <c r="G494" t="s">
        <v>112</v>
      </c>
      <c r="J494" t="s">
        <v>113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R494" t="s">
        <v>114</v>
      </c>
      <c r="S494" t="str">
        <f>"18:42:43.656"</f>
        <v>18:42:43.656</v>
      </c>
      <c r="T494" t="str">
        <f>"18:42:43.258"</f>
        <v>18:42:43.258</v>
      </c>
      <c r="U494" t="str">
        <f t="shared" si="22"/>
        <v>a1cdbe</v>
      </c>
      <c r="V494">
        <v>0</v>
      </c>
      <c r="W494">
        <v>0</v>
      </c>
      <c r="X494">
        <v>1</v>
      </c>
      <c r="Y494">
        <v>0</v>
      </c>
      <c r="Z494">
        <v>0</v>
      </c>
      <c r="AB494">
        <v>0</v>
      </c>
      <c r="AC494">
        <v>9</v>
      </c>
      <c r="AD494">
        <v>3</v>
      </c>
      <c r="AE494">
        <v>0</v>
      </c>
      <c r="AF494">
        <v>9</v>
      </c>
      <c r="AG494" t="s">
        <v>158</v>
      </c>
      <c r="AH494">
        <v>0</v>
      </c>
      <c r="AI494">
        <v>3</v>
      </c>
      <c r="AJ494">
        <v>1</v>
      </c>
      <c r="AK494">
        <v>0</v>
      </c>
      <c r="AL494" t="s">
        <v>1057</v>
      </c>
      <c r="AM494">
        <v>46.958548999999998</v>
      </c>
      <c r="AN494" t="s">
        <v>1058</v>
      </c>
      <c r="AO494">
        <v>-122.324245</v>
      </c>
      <c r="AP494">
        <v>100</v>
      </c>
      <c r="AQ494">
        <v>2000</v>
      </c>
      <c r="AR494" t="s">
        <v>118</v>
      </c>
      <c r="AS494">
        <v>-17</v>
      </c>
      <c r="AT494">
        <v>-71</v>
      </c>
      <c r="AU494">
        <v>64</v>
      </c>
      <c r="BC494">
        <v>1200</v>
      </c>
      <c r="BD494">
        <v>1</v>
      </c>
      <c r="BE494" t="str">
        <f t="shared" si="23"/>
        <v xml:space="preserve">N215T   </v>
      </c>
      <c r="BF494">
        <v>1</v>
      </c>
      <c r="BH494">
        <v>0</v>
      </c>
      <c r="BI494">
        <v>0</v>
      </c>
      <c r="BJ494">
        <v>0</v>
      </c>
      <c r="BK494">
        <v>2375</v>
      </c>
      <c r="BL494">
        <v>375</v>
      </c>
      <c r="BM494" t="s">
        <v>119</v>
      </c>
      <c r="BN494">
        <v>1</v>
      </c>
      <c r="BO494">
        <v>1</v>
      </c>
      <c r="BP494">
        <v>1</v>
      </c>
      <c r="BQ494">
        <v>0</v>
      </c>
      <c r="BT494">
        <v>0</v>
      </c>
      <c r="BU494">
        <v>0</v>
      </c>
      <c r="BV494">
        <v>0</v>
      </c>
      <c r="CC494" t="str">
        <f>"18:42:43.664"</f>
        <v>18:42:43.664</v>
      </c>
      <c r="CD494" t="str">
        <f>"661374603"</f>
        <v>661374603</v>
      </c>
      <c r="CQ494">
        <v>0</v>
      </c>
      <c r="CR494">
        <v>2</v>
      </c>
      <c r="CS494">
        <v>0</v>
      </c>
      <c r="CT494">
        <v>2</v>
      </c>
      <c r="CU494">
        <v>0</v>
      </c>
      <c r="CV494">
        <v>4</v>
      </c>
      <c r="CW494" t="s">
        <v>120</v>
      </c>
      <c r="CX494">
        <v>257</v>
      </c>
      <c r="CY494">
        <v>1</v>
      </c>
      <c r="CZ494" t="s">
        <v>615</v>
      </c>
      <c r="DA494" t="s">
        <v>616</v>
      </c>
      <c r="DD494">
        <v>10778487</v>
      </c>
      <c r="DE494" t="s">
        <v>123</v>
      </c>
    </row>
    <row r="495" spans="1:109" x14ac:dyDescent="0.3">
      <c r="A495" t="str">
        <f>"18:42:44.945"</f>
        <v>18:42:44.945</v>
      </c>
      <c r="B495" t="s">
        <v>110</v>
      </c>
      <c r="C495" t="str">
        <f t="shared" si="21"/>
        <v>ffdfd3c0</v>
      </c>
      <c r="D495" t="s">
        <v>111</v>
      </c>
      <c r="E495">
        <v>18</v>
      </c>
      <c r="F495">
        <v>1018</v>
      </c>
      <c r="G495" t="s">
        <v>112</v>
      </c>
      <c r="J495" t="s">
        <v>113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R495" t="s">
        <v>114</v>
      </c>
      <c r="S495" t="str">
        <f>"18:42:44.719"</f>
        <v>18:42:44.719</v>
      </c>
      <c r="T495" t="str">
        <f>"18:42:44.719"</f>
        <v>18:42:44.719</v>
      </c>
      <c r="U495" t="str">
        <f t="shared" si="22"/>
        <v>a1cdbe</v>
      </c>
      <c r="V495">
        <v>0</v>
      </c>
      <c r="W495">
        <v>0</v>
      </c>
      <c r="X495">
        <v>1</v>
      </c>
      <c r="Y495">
        <v>0</v>
      </c>
      <c r="Z495">
        <v>0</v>
      </c>
      <c r="AB495">
        <v>0</v>
      </c>
      <c r="AC495">
        <v>9</v>
      </c>
      <c r="AD495">
        <v>3</v>
      </c>
      <c r="AE495">
        <v>0</v>
      </c>
      <c r="AF495">
        <v>9</v>
      </c>
      <c r="AG495" t="s">
        <v>158</v>
      </c>
      <c r="AH495">
        <v>0</v>
      </c>
      <c r="AI495">
        <v>3</v>
      </c>
      <c r="AJ495">
        <v>1</v>
      </c>
      <c r="AK495">
        <v>0</v>
      </c>
      <c r="AL495" t="s">
        <v>1059</v>
      </c>
      <c r="AM495">
        <v>46.958162999999999</v>
      </c>
      <c r="AN495" t="s">
        <v>1060</v>
      </c>
      <c r="AO495">
        <v>-122.324309</v>
      </c>
      <c r="AP495">
        <v>100</v>
      </c>
      <c r="AQ495">
        <v>2000</v>
      </c>
      <c r="AR495" t="s">
        <v>118</v>
      </c>
      <c r="AS495">
        <v>-17</v>
      </c>
      <c r="AT495">
        <v>-71</v>
      </c>
      <c r="AU495">
        <v>64</v>
      </c>
      <c r="BC495">
        <v>1200</v>
      </c>
      <c r="BD495">
        <v>1</v>
      </c>
      <c r="BE495" t="str">
        <f t="shared" si="23"/>
        <v xml:space="preserve">N215T   </v>
      </c>
      <c r="BF495">
        <v>1</v>
      </c>
      <c r="BH495">
        <v>0</v>
      </c>
      <c r="BI495">
        <v>0</v>
      </c>
      <c r="BJ495">
        <v>0</v>
      </c>
      <c r="BK495">
        <v>2400</v>
      </c>
      <c r="BL495">
        <v>400</v>
      </c>
      <c r="BM495" t="s">
        <v>119</v>
      </c>
      <c r="BN495">
        <v>1</v>
      </c>
      <c r="BO495">
        <v>1</v>
      </c>
      <c r="BP495">
        <v>1</v>
      </c>
      <c r="BQ495">
        <v>0</v>
      </c>
      <c r="BT495">
        <v>0</v>
      </c>
      <c r="BU495">
        <v>0</v>
      </c>
      <c r="BV495">
        <v>0</v>
      </c>
      <c r="CC495" t="str">
        <f>"18:42:44.727"</f>
        <v>18:42:44.727</v>
      </c>
      <c r="CD495" t="str">
        <f>"726269685"</f>
        <v>726269685</v>
      </c>
      <c r="CQ495">
        <v>0</v>
      </c>
      <c r="CR495">
        <v>2</v>
      </c>
      <c r="CS495">
        <v>0</v>
      </c>
      <c r="CT495">
        <v>2</v>
      </c>
      <c r="CU495">
        <v>0</v>
      </c>
      <c r="CV495">
        <v>4</v>
      </c>
      <c r="CW495" t="s">
        <v>120</v>
      </c>
      <c r="CX495">
        <v>257</v>
      </c>
      <c r="CY495">
        <v>1</v>
      </c>
      <c r="CZ495" t="s">
        <v>615</v>
      </c>
      <c r="DA495" t="s">
        <v>616</v>
      </c>
      <c r="DD495">
        <v>10779209</v>
      </c>
      <c r="DE495" t="s">
        <v>123</v>
      </c>
    </row>
    <row r="496" spans="1:109" x14ac:dyDescent="0.3">
      <c r="A496" t="str">
        <f>"18:42:45.797"</f>
        <v>18:42:45.797</v>
      </c>
      <c r="B496" t="s">
        <v>110</v>
      </c>
      <c r="C496" t="str">
        <f t="shared" si="21"/>
        <v>ffdfd3c0</v>
      </c>
      <c r="D496" t="s">
        <v>111</v>
      </c>
      <c r="E496">
        <v>18</v>
      </c>
      <c r="F496">
        <v>1018</v>
      </c>
      <c r="G496" t="s">
        <v>112</v>
      </c>
      <c r="J496" t="s">
        <v>113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R496" t="s">
        <v>114</v>
      </c>
      <c r="S496" t="str">
        <f>"18:42:45.563"</f>
        <v>18:42:45.563</v>
      </c>
      <c r="T496" t="str">
        <f>"18:42:45.563"</f>
        <v>18:42:45.563</v>
      </c>
      <c r="U496" t="str">
        <f t="shared" si="22"/>
        <v>a1cdbe</v>
      </c>
      <c r="V496">
        <v>0</v>
      </c>
      <c r="W496">
        <v>0</v>
      </c>
      <c r="X496">
        <v>1</v>
      </c>
      <c r="Y496">
        <v>0</v>
      </c>
      <c r="Z496">
        <v>0</v>
      </c>
      <c r="AB496">
        <v>0</v>
      </c>
      <c r="AC496">
        <v>9</v>
      </c>
      <c r="AD496">
        <v>3</v>
      </c>
      <c r="AE496">
        <v>0</v>
      </c>
      <c r="AF496">
        <v>9</v>
      </c>
      <c r="AG496" t="s">
        <v>158</v>
      </c>
      <c r="AH496">
        <v>0</v>
      </c>
      <c r="AI496">
        <v>3</v>
      </c>
      <c r="AJ496">
        <v>1</v>
      </c>
      <c r="AK496">
        <v>0</v>
      </c>
      <c r="AL496" t="s">
        <v>1061</v>
      </c>
      <c r="AM496">
        <v>46.957904999999997</v>
      </c>
      <c r="AN496" t="s">
        <v>1062</v>
      </c>
      <c r="AO496">
        <v>-122.32446</v>
      </c>
      <c r="AP496">
        <v>100</v>
      </c>
      <c r="AQ496">
        <v>2000</v>
      </c>
      <c r="AR496" t="s">
        <v>118</v>
      </c>
      <c r="AS496">
        <v>-17</v>
      </c>
      <c r="AT496">
        <v>-72</v>
      </c>
      <c r="AU496">
        <v>128</v>
      </c>
      <c r="BC496">
        <v>1200</v>
      </c>
      <c r="BD496">
        <v>1</v>
      </c>
      <c r="BE496" t="str">
        <f t="shared" si="23"/>
        <v xml:space="preserve">N215T   </v>
      </c>
      <c r="BF496">
        <v>1</v>
      </c>
      <c r="BH496">
        <v>0</v>
      </c>
      <c r="BI496">
        <v>0</v>
      </c>
      <c r="BJ496">
        <v>0</v>
      </c>
      <c r="BK496">
        <v>2400</v>
      </c>
      <c r="BL496">
        <v>400</v>
      </c>
      <c r="BM496" t="s">
        <v>119</v>
      </c>
      <c r="BN496">
        <v>1</v>
      </c>
      <c r="BO496">
        <v>1</v>
      </c>
      <c r="BP496">
        <v>1</v>
      </c>
      <c r="BQ496">
        <v>0</v>
      </c>
      <c r="BT496">
        <v>0</v>
      </c>
      <c r="BU496">
        <v>0</v>
      </c>
      <c r="BV496">
        <v>0</v>
      </c>
      <c r="CC496" t="str">
        <f>"18:42:45.563"</f>
        <v>18:42:45.563</v>
      </c>
      <c r="CD496" t="str">
        <f>"565988825"</f>
        <v>565988825</v>
      </c>
      <c r="CQ496">
        <v>0</v>
      </c>
      <c r="CR496">
        <v>2</v>
      </c>
      <c r="CS496">
        <v>0</v>
      </c>
      <c r="CT496">
        <v>2</v>
      </c>
      <c r="CU496">
        <v>0</v>
      </c>
      <c r="CV496">
        <v>4</v>
      </c>
      <c r="CW496" t="s">
        <v>120</v>
      </c>
      <c r="CX496">
        <v>261</v>
      </c>
      <c r="CY496">
        <v>2</v>
      </c>
      <c r="CZ496" t="s">
        <v>121</v>
      </c>
      <c r="DA496" t="s">
        <v>122</v>
      </c>
      <c r="DD496">
        <v>14510470</v>
      </c>
      <c r="DE496" t="s">
        <v>123</v>
      </c>
    </row>
    <row r="497" spans="1:109" x14ac:dyDescent="0.3">
      <c r="A497" t="str">
        <f>"18:42:46.906"</f>
        <v>18:42:46.906</v>
      </c>
      <c r="B497" t="s">
        <v>110</v>
      </c>
      <c r="C497" t="str">
        <f t="shared" si="21"/>
        <v>ffdfd3c0</v>
      </c>
      <c r="D497" t="s">
        <v>111</v>
      </c>
      <c r="E497">
        <v>18</v>
      </c>
      <c r="F497">
        <v>1018</v>
      </c>
      <c r="G497" t="s">
        <v>112</v>
      </c>
      <c r="J497" t="s">
        <v>113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R497" t="s">
        <v>114</v>
      </c>
      <c r="S497" t="str">
        <f>"18:42:46.641"</f>
        <v>18:42:46.641</v>
      </c>
      <c r="T497" t="str">
        <f>"18:42:46.641"</f>
        <v>18:42:46.641</v>
      </c>
      <c r="U497" t="str">
        <f t="shared" si="22"/>
        <v>a1cdbe</v>
      </c>
      <c r="V497">
        <v>0</v>
      </c>
      <c r="W497">
        <v>0</v>
      </c>
      <c r="X497">
        <v>1</v>
      </c>
      <c r="Y497">
        <v>0</v>
      </c>
      <c r="Z497">
        <v>0</v>
      </c>
      <c r="AB497">
        <v>0</v>
      </c>
      <c r="AC497">
        <v>9</v>
      </c>
      <c r="AD497">
        <v>3</v>
      </c>
      <c r="AE497">
        <v>0</v>
      </c>
      <c r="AF497">
        <v>9</v>
      </c>
      <c r="AG497" t="s">
        <v>158</v>
      </c>
      <c r="AH497">
        <v>0</v>
      </c>
      <c r="AI497">
        <v>3</v>
      </c>
      <c r="AJ497">
        <v>1</v>
      </c>
      <c r="AK497">
        <v>0</v>
      </c>
      <c r="AL497" t="s">
        <v>1063</v>
      </c>
      <c r="AM497">
        <v>46.957518999999998</v>
      </c>
      <c r="AN497" t="s">
        <v>1064</v>
      </c>
      <c r="AO497">
        <v>-122.324524</v>
      </c>
      <c r="AP497">
        <v>100</v>
      </c>
      <c r="AQ497">
        <v>2000</v>
      </c>
      <c r="AR497" t="s">
        <v>118</v>
      </c>
      <c r="AS497">
        <v>-17</v>
      </c>
      <c r="AT497">
        <v>-72</v>
      </c>
      <c r="AU497">
        <v>128</v>
      </c>
      <c r="BC497">
        <v>1200</v>
      </c>
      <c r="BD497">
        <v>1</v>
      </c>
      <c r="BE497" t="str">
        <f t="shared" si="23"/>
        <v xml:space="preserve">N215T   </v>
      </c>
      <c r="BF497">
        <v>1</v>
      </c>
      <c r="BH497">
        <v>0</v>
      </c>
      <c r="BI497">
        <v>0</v>
      </c>
      <c r="BJ497">
        <v>0</v>
      </c>
      <c r="BK497">
        <v>2400</v>
      </c>
      <c r="BL497">
        <v>400</v>
      </c>
      <c r="BM497" t="s">
        <v>119</v>
      </c>
      <c r="BN497">
        <v>1</v>
      </c>
      <c r="BO497">
        <v>1</v>
      </c>
      <c r="BP497">
        <v>1</v>
      </c>
      <c r="BQ497">
        <v>0</v>
      </c>
      <c r="BT497">
        <v>0</v>
      </c>
      <c r="BU497">
        <v>0</v>
      </c>
      <c r="BV497">
        <v>0</v>
      </c>
      <c r="CC497" t="str">
        <f>"18:42:46.648"</f>
        <v>18:42:46.648</v>
      </c>
      <c r="CD497" t="str">
        <f>"645882588"</f>
        <v>645882588</v>
      </c>
      <c r="CQ497">
        <v>0</v>
      </c>
      <c r="CR497">
        <v>2</v>
      </c>
      <c r="CS497">
        <v>0</v>
      </c>
      <c r="CT497">
        <v>2</v>
      </c>
      <c r="CU497">
        <v>0</v>
      </c>
      <c r="CV497">
        <v>4</v>
      </c>
      <c r="CW497" t="s">
        <v>120</v>
      </c>
      <c r="CX497">
        <v>261</v>
      </c>
      <c r="CY497">
        <v>2</v>
      </c>
      <c r="CZ497" t="s">
        <v>121</v>
      </c>
      <c r="DA497" t="s">
        <v>122</v>
      </c>
      <c r="DD497">
        <v>14510968</v>
      </c>
      <c r="DE497" t="s">
        <v>123</v>
      </c>
    </row>
    <row r="498" spans="1:109" x14ac:dyDescent="0.3">
      <c r="A498" t="str">
        <f>"18:42:47.859"</f>
        <v>18:42:47.859</v>
      </c>
      <c r="B498" t="s">
        <v>110</v>
      </c>
      <c r="C498" t="str">
        <f t="shared" si="21"/>
        <v>ffdfd3c0</v>
      </c>
      <c r="D498" t="s">
        <v>111</v>
      </c>
      <c r="E498">
        <v>18</v>
      </c>
      <c r="F498">
        <v>1018</v>
      </c>
      <c r="G498" t="s">
        <v>112</v>
      </c>
      <c r="J498" t="s">
        <v>113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R498" t="s">
        <v>114</v>
      </c>
      <c r="S498" t="str">
        <f>"18:42:47.617"</f>
        <v>18:42:47.617</v>
      </c>
      <c r="T498" t="str">
        <f>"18:42:47.219"</f>
        <v>18:42:47.219</v>
      </c>
      <c r="U498" t="str">
        <f t="shared" si="22"/>
        <v>a1cdbe</v>
      </c>
      <c r="V498">
        <v>0</v>
      </c>
      <c r="W498">
        <v>0</v>
      </c>
      <c r="X498">
        <v>1</v>
      </c>
      <c r="Y498">
        <v>0</v>
      </c>
      <c r="Z498">
        <v>0</v>
      </c>
      <c r="AB498">
        <v>0</v>
      </c>
      <c r="AC498">
        <v>9</v>
      </c>
      <c r="AD498">
        <v>3</v>
      </c>
      <c r="AE498">
        <v>0</v>
      </c>
      <c r="AF498">
        <v>9</v>
      </c>
      <c r="AG498" t="s">
        <v>158</v>
      </c>
      <c r="AH498">
        <v>0</v>
      </c>
      <c r="AI498">
        <v>3</v>
      </c>
      <c r="AJ498">
        <v>1</v>
      </c>
      <c r="AK498">
        <v>0</v>
      </c>
      <c r="AL498" t="s">
        <v>1065</v>
      </c>
      <c r="AM498">
        <v>46.957219000000002</v>
      </c>
      <c r="AN498" t="s">
        <v>1066</v>
      </c>
      <c r="AO498">
        <v>-122.324653</v>
      </c>
      <c r="AP498">
        <v>100</v>
      </c>
      <c r="AQ498">
        <v>2000</v>
      </c>
      <c r="AR498" t="s">
        <v>118</v>
      </c>
      <c r="AS498">
        <v>-17</v>
      </c>
      <c r="AT498">
        <v>-72</v>
      </c>
      <c r="AU498">
        <v>128</v>
      </c>
      <c r="BC498">
        <v>1200</v>
      </c>
      <c r="BD498">
        <v>1</v>
      </c>
      <c r="BE498" t="str">
        <f t="shared" si="23"/>
        <v xml:space="preserve">N215T   </v>
      </c>
      <c r="BF498">
        <v>1</v>
      </c>
      <c r="BH498">
        <v>0</v>
      </c>
      <c r="BI498">
        <v>0</v>
      </c>
      <c r="BJ498">
        <v>0</v>
      </c>
      <c r="BK498">
        <v>2400</v>
      </c>
      <c r="BL498">
        <v>400</v>
      </c>
      <c r="BM498" t="s">
        <v>119</v>
      </c>
      <c r="BN498">
        <v>1</v>
      </c>
      <c r="BO498">
        <v>1</v>
      </c>
      <c r="BP498">
        <v>1</v>
      </c>
      <c r="BQ498">
        <v>0</v>
      </c>
      <c r="BT498">
        <v>0</v>
      </c>
      <c r="BU498">
        <v>0</v>
      </c>
      <c r="BV498">
        <v>0</v>
      </c>
      <c r="CC498" t="str">
        <f>"18:42:47.617"</f>
        <v>18:42:47.617</v>
      </c>
      <c r="CD498" t="str">
        <f>"620786715"</f>
        <v>620786715</v>
      </c>
      <c r="CQ498">
        <v>0</v>
      </c>
      <c r="CR498">
        <v>2</v>
      </c>
      <c r="CS498">
        <v>0</v>
      </c>
      <c r="CT498">
        <v>2</v>
      </c>
      <c r="CU498">
        <v>0</v>
      </c>
      <c r="CV498">
        <v>4</v>
      </c>
      <c r="CW498" t="s">
        <v>120</v>
      </c>
      <c r="CX498">
        <v>261</v>
      </c>
      <c r="CY498">
        <v>2</v>
      </c>
      <c r="CZ498" t="s">
        <v>121</v>
      </c>
      <c r="DA498" t="s">
        <v>122</v>
      </c>
      <c r="DD498">
        <v>14511462</v>
      </c>
      <c r="DE498" t="s">
        <v>123</v>
      </c>
    </row>
    <row r="499" spans="1:109" x14ac:dyDescent="0.3">
      <c r="A499" t="str">
        <f>"18:42:48.867"</f>
        <v>18:42:48.867</v>
      </c>
      <c r="B499" t="s">
        <v>110</v>
      </c>
      <c r="C499" t="str">
        <f t="shared" si="21"/>
        <v>ffdfd3c0</v>
      </c>
      <c r="D499" t="s">
        <v>111</v>
      </c>
      <c r="E499">
        <v>18</v>
      </c>
      <c r="F499">
        <v>1018</v>
      </c>
      <c r="G499" t="s">
        <v>112</v>
      </c>
      <c r="J499" t="s">
        <v>113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R499" t="s">
        <v>114</v>
      </c>
      <c r="S499" t="str">
        <f>"18:42:48.609"</f>
        <v>18:42:48.609</v>
      </c>
      <c r="T499" t="str">
        <f>"18:42:48.609"</f>
        <v>18:42:48.609</v>
      </c>
      <c r="U499" t="str">
        <f t="shared" si="22"/>
        <v>a1cdbe</v>
      </c>
      <c r="V499">
        <v>0</v>
      </c>
      <c r="W499">
        <v>0</v>
      </c>
      <c r="X499">
        <v>1</v>
      </c>
      <c r="Y499">
        <v>0</v>
      </c>
      <c r="Z499">
        <v>0</v>
      </c>
      <c r="AB499">
        <v>0</v>
      </c>
      <c r="AC499">
        <v>9</v>
      </c>
      <c r="AD499">
        <v>3</v>
      </c>
      <c r="AE499">
        <v>0</v>
      </c>
      <c r="AF499">
        <v>9</v>
      </c>
      <c r="AG499" t="s">
        <v>158</v>
      </c>
      <c r="AH499">
        <v>0</v>
      </c>
      <c r="AI499">
        <v>3</v>
      </c>
      <c r="AJ499">
        <v>1</v>
      </c>
      <c r="AK499">
        <v>0</v>
      </c>
      <c r="AL499" t="s">
        <v>1067</v>
      </c>
      <c r="AM499">
        <v>46.956874999999997</v>
      </c>
      <c r="AN499" t="s">
        <v>1068</v>
      </c>
      <c r="AO499">
        <v>-122.32473899999999</v>
      </c>
      <c r="AP499">
        <v>100</v>
      </c>
      <c r="AQ499">
        <v>2000</v>
      </c>
      <c r="AR499" t="s">
        <v>118</v>
      </c>
      <c r="AS499">
        <v>-17</v>
      </c>
      <c r="AT499">
        <v>-72</v>
      </c>
      <c r="AU499">
        <v>256</v>
      </c>
      <c r="BC499">
        <v>1200</v>
      </c>
      <c r="BD499">
        <v>1</v>
      </c>
      <c r="BE499" t="str">
        <f t="shared" si="23"/>
        <v xml:space="preserve">N215T   </v>
      </c>
      <c r="BF499">
        <v>1</v>
      </c>
      <c r="BH499">
        <v>0</v>
      </c>
      <c r="BI499">
        <v>0</v>
      </c>
      <c r="BJ499">
        <v>0</v>
      </c>
      <c r="BK499">
        <v>2400</v>
      </c>
      <c r="BL499">
        <v>400</v>
      </c>
      <c r="BM499" t="s">
        <v>119</v>
      </c>
      <c r="BN499">
        <v>1</v>
      </c>
      <c r="BO499">
        <v>1</v>
      </c>
      <c r="BP499">
        <v>1</v>
      </c>
      <c r="BQ499">
        <v>0</v>
      </c>
      <c r="BT499">
        <v>0</v>
      </c>
      <c r="BU499">
        <v>0</v>
      </c>
      <c r="BV499">
        <v>0</v>
      </c>
      <c r="CC499" t="str">
        <f>"18:42:48.609"</f>
        <v>18:42:48.609</v>
      </c>
      <c r="CD499" t="str">
        <f>"610689385"</f>
        <v>610689385</v>
      </c>
      <c r="CQ499">
        <v>0</v>
      </c>
      <c r="CR499">
        <v>2</v>
      </c>
      <c r="CS499">
        <v>0</v>
      </c>
      <c r="CT499">
        <v>2</v>
      </c>
      <c r="CU499">
        <v>0</v>
      </c>
      <c r="CV499">
        <v>4</v>
      </c>
      <c r="CW499" t="s">
        <v>120</v>
      </c>
      <c r="CX499">
        <v>261</v>
      </c>
      <c r="CY499">
        <v>2</v>
      </c>
      <c r="CZ499" t="s">
        <v>121</v>
      </c>
      <c r="DA499" t="s">
        <v>122</v>
      </c>
      <c r="DD499">
        <v>14511966</v>
      </c>
      <c r="DE499" t="s">
        <v>123</v>
      </c>
    </row>
    <row r="500" spans="1:109" x14ac:dyDescent="0.3">
      <c r="A500" t="str">
        <f>"18:42:49.969"</f>
        <v>18:42:49.969</v>
      </c>
      <c r="B500" t="s">
        <v>110</v>
      </c>
      <c r="C500" t="str">
        <f t="shared" si="21"/>
        <v>ffdfd3c0</v>
      </c>
      <c r="D500" t="s">
        <v>111</v>
      </c>
      <c r="E500">
        <v>18</v>
      </c>
      <c r="F500">
        <v>1018</v>
      </c>
      <c r="G500" t="s">
        <v>112</v>
      </c>
      <c r="J500" t="s">
        <v>113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R500" t="s">
        <v>114</v>
      </c>
      <c r="S500" t="str">
        <f>"18:42:49.719"</f>
        <v>18:42:49.719</v>
      </c>
      <c r="T500" t="str">
        <f>"18:42:49.219"</f>
        <v>18:42:49.219</v>
      </c>
      <c r="U500" t="str">
        <f t="shared" si="22"/>
        <v>a1cdbe</v>
      </c>
      <c r="V500">
        <v>0</v>
      </c>
      <c r="W500">
        <v>0</v>
      </c>
      <c r="X500">
        <v>1</v>
      </c>
      <c r="Y500">
        <v>0</v>
      </c>
      <c r="Z500">
        <v>0</v>
      </c>
      <c r="AB500">
        <v>0</v>
      </c>
      <c r="AC500">
        <v>9</v>
      </c>
      <c r="AD500">
        <v>3</v>
      </c>
      <c r="AE500">
        <v>0</v>
      </c>
      <c r="AF500">
        <v>9</v>
      </c>
      <c r="AG500" t="s">
        <v>158</v>
      </c>
      <c r="AH500">
        <v>0</v>
      </c>
      <c r="AI500">
        <v>3</v>
      </c>
      <c r="AJ500">
        <v>1</v>
      </c>
      <c r="AK500">
        <v>0</v>
      </c>
      <c r="AL500" t="s">
        <v>1069</v>
      </c>
      <c r="AM500">
        <v>46.956532000000003</v>
      </c>
      <c r="AN500" t="s">
        <v>1070</v>
      </c>
      <c r="AO500">
        <v>-122.324932</v>
      </c>
      <c r="AP500">
        <v>100</v>
      </c>
      <c r="AQ500">
        <v>2000</v>
      </c>
      <c r="AR500" t="s">
        <v>118</v>
      </c>
      <c r="AS500">
        <v>-17</v>
      </c>
      <c r="AT500">
        <v>-72</v>
      </c>
      <c r="AU500">
        <v>192</v>
      </c>
      <c r="BC500">
        <v>1200</v>
      </c>
      <c r="BD500">
        <v>1</v>
      </c>
      <c r="BE500" t="str">
        <f t="shared" si="23"/>
        <v xml:space="preserve">N215T   </v>
      </c>
      <c r="BF500">
        <v>1</v>
      </c>
      <c r="BH500">
        <v>0</v>
      </c>
      <c r="BI500">
        <v>0</v>
      </c>
      <c r="BJ500">
        <v>0</v>
      </c>
      <c r="BK500">
        <v>2400</v>
      </c>
      <c r="BL500">
        <v>400</v>
      </c>
      <c r="BM500" t="s">
        <v>119</v>
      </c>
      <c r="BN500">
        <v>1</v>
      </c>
      <c r="BO500">
        <v>1</v>
      </c>
      <c r="BP500">
        <v>1</v>
      </c>
      <c r="BQ500">
        <v>0</v>
      </c>
      <c r="BT500">
        <v>0</v>
      </c>
      <c r="BU500">
        <v>0</v>
      </c>
      <c r="BV500">
        <v>0</v>
      </c>
      <c r="CC500" t="str">
        <f>"18:42:49.719"</f>
        <v>18:42:49.719</v>
      </c>
      <c r="CD500" t="str">
        <f>"720580239"</f>
        <v>720580239</v>
      </c>
      <c r="CQ500">
        <v>0</v>
      </c>
      <c r="CR500">
        <v>2</v>
      </c>
      <c r="CS500">
        <v>0</v>
      </c>
      <c r="CT500">
        <v>2</v>
      </c>
      <c r="CU500">
        <v>0</v>
      </c>
      <c r="CV500">
        <v>4</v>
      </c>
      <c r="CW500" t="s">
        <v>120</v>
      </c>
      <c r="CX500">
        <v>261</v>
      </c>
      <c r="CY500">
        <v>2</v>
      </c>
      <c r="CZ500" t="s">
        <v>121</v>
      </c>
      <c r="DA500" t="s">
        <v>122</v>
      </c>
      <c r="DD500">
        <v>14512490</v>
      </c>
      <c r="DE500" t="s">
        <v>123</v>
      </c>
    </row>
    <row r="501" spans="1:109" x14ac:dyDescent="0.3">
      <c r="A501" t="str">
        <f>"18:42:51.125"</f>
        <v>18:42:51.125</v>
      </c>
      <c r="B501" t="s">
        <v>110</v>
      </c>
      <c r="C501" t="str">
        <f t="shared" si="21"/>
        <v>ffdfd3c0</v>
      </c>
      <c r="D501" t="s">
        <v>111</v>
      </c>
      <c r="E501">
        <v>18</v>
      </c>
      <c r="F501">
        <v>1018</v>
      </c>
      <c r="G501" t="s">
        <v>112</v>
      </c>
      <c r="J501" t="s">
        <v>113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R501" t="s">
        <v>114</v>
      </c>
      <c r="S501" t="str">
        <f>"18:42:50.859"</f>
        <v>18:42:50.859</v>
      </c>
      <c r="T501" t="str">
        <f>"18:42:50.758"</f>
        <v>18:42:50.758</v>
      </c>
      <c r="U501" t="str">
        <f t="shared" si="22"/>
        <v>a1cdbe</v>
      </c>
      <c r="V501">
        <v>0</v>
      </c>
      <c r="W501">
        <v>0</v>
      </c>
      <c r="X501">
        <v>1</v>
      </c>
      <c r="Y501">
        <v>0</v>
      </c>
      <c r="Z501">
        <v>0</v>
      </c>
      <c r="AB501">
        <v>0</v>
      </c>
      <c r="AC501">
        <v>9</v>
      </c>
      <c r="AD501">
        <v>3</v>
      </c>
      <c r="AE501">
        <v>0</v>
      </c>
      <c r="AF501">
        <v>9</v>
      </c>
      <c r="AG501" t="s">
        <v>158</v>
      </c>
      <c r="AH501">
        <v>0</v>
      </c>
      <c r="AI501">
        <v>3</v>
      </c>
      <c r="AJ501">
        <v>1</v>
      </c>
      <c r="AK501">
        <v>0</v>
      </c>
      <c r="AL501" t="s">
        <v>1071</v>
      </c>
      <c r="AM501">
        <v>46.956124000000003</v>
      </c>
      <c r="AN501" t="s">
        <v>1072</v>
      </c>
      <c r="AO501">
        <v>-122.32508199999999</v>
      </c>
      <c r="AP501">
        <v>100</v>
      </c>
      <c r="AQ501">
        <v>2000</v>
      </c>
      <c r="AR501" t="s">
        <v>118</v>
      </c>
      <c r="AS501">
        <v>-18</v>
      </c>
      <c r="AT501">
        <v>-73</v>
      </c>
      <c r="AU501">
        <v>128</v>
      </c>
      <c r="BC501">
        <v>1200</v>
      </c>
      <c r="BD501">
        <v>1</v>
      </c>
      <c r="BE501" t="str">
        <f t="shared" si="23"/>
        <v xml:space="preserve">N215T   </v>
      </c>
      <c r="BF501">
        <v>1</v>
      </c>
      <c r="BH501">
        <v>0</v>
      </c>
      <c r="BI501">
        <v>0</v>
      </c>
      <c r="BJ501">
        <v>0</v>
      </c>
      <c r="BK501">
        <v>2400</v>
      </c>
      <c r="BL501">
        <v>400</v>
      </c>
      <c r="BM501" t="s">
        <v>119</v>
      </c>
      <c r="BN501">
        <v>1</v>
      </c>
      <c r="BO501">
        <v>1</v>
      </c>
      <c r="BP501">
        <v>1</v>
      </c>
      <c r="BQ501">
        <v>0</v>
      </c>
      <c r="BT501">
        <v>0</v>
      </c>
      <c r="BU501">
        <v>0</v>
      </c>
      <c r="BV501">
        <v>0</v>
      </c>
      <c r="CC501" t="str">
        <f>"18:42:50.859"</f>
        <v>18:42:50.859</v>
      </c>
      <c r="CD501" t="str">
        <f>"860665286"</f>
        <v>860665286</v>
      </c>
      <c r="CQ501">
        <v>0</v>
      </c>
      <c r="CR501">
        <v>2</v>
      </c>
      <c r="CS501">
        <v>0</v>
      </c>
      <c r="CT501">
        <v>2</v>
      </c>
      <c r="CU501">
        <v>0</v>
      </c>
      <c r="CV501">
        <v>4</v>
      </c>
      <c r="CW501" t="s">
        <v>120</v>
      </c>
      <c r="CX501">
        <v>257</v>
      </c>
      <c r="CY501">
        <v>1</v>
      </c>
      <c r="CZ501" t="s">
        <v>615</v>
      </c>
      <c r="DA501" t="s">
        <v>616</v>
      </c>
      <c r="DD501">
        <v>10783199</v>
      </c>
      <c r="DE501" t="s">
        <v>123</v>
      </c>
    </row>
    <row r="502" spans="1:109" x14ac:dyDescent="0.3">
      <c r="A502" t="str">
        <f>"18:42:52.086"</f>
        <v>18:42:52.086</v>
      </c>
      <c r="B502" t="s">
        <v>110</v>
      </c>
      <c r="C502" t="str">
        <f t="shared" si="21"/>
        <v>ffdfd3c0</v>
      </c>
      <c r="D502" t="s">
        <v>111</v>
      </c>
      <c r="E502">
        <v>18</v>
      </c>
      <c r="F502">
        <v>1018</v>
      </c>
      <c r="G502" t="s">
        <v>112</v>
      </c>
      <c r="J502" t="s">
        <v>113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R502" t="s">
        <v>114</v>
      </c>
      <c r="S502" t="str">
        <f>"18:42:51.844"</f>
        <v>18:42:51.844</v>
      </c>
      <c r="T502" t="str">
        <f>"18:42:51.742"</f>
        <v>18:42:51.742</v>
      </c>
      <c r="U502" t="str">
        <f t="shared" si="22"/>
        <v>a1cdbe</v>
      </c>
      <c r="V502">
        <v>0</v>
      </c>
      <c r="W502">
        <v>0</v>
      </c>
      <c r="X502">
        <v>1</v>
      </c>
      <c r="Y502">
        <v>0</v>
      </c>
      <c r="Z502">
        <v>0</v>
      </c>
      <c r="AB502">
        <v>0</v>
      </c>
      <c r="AC502">
        <v>9</v>
      </c>
      <c r="AD502">
        <v>3</v>
      </c>
      <c r="AE502">
        <v>0</v>
      </c>
      <c r="AF502">
        <v>9</v>
      </c>
      <c r="AG502" t="s">
        <v>158</v>
      </c>
      <c r="AH502">
        <v>0</v>
      </c>
      <c r="AI502">
        <v>3</v>
      </c>
      <c r="AJ502">
        <v>1</v>
      </c>
      <c r="AK502">
        <v>0</v>
      </c>
      <c r="AL502" t="s">
        <v>1073</v>
      </c>
      <c r="AM502">
        <v>46.955801999999998</v>
      </c>
      <c r="AN502" t="s">
        <v>1074</v>
      </c>
      <c r="AO502">
        <v>-122.32516800000001</v>
      </c>
      <c r="AP502">
        <v>100</v>
      </c>
      <c r="AQ502">
        <v>2000</v>
      </c>
      <c r="AR502" t="s">
        <v>118</v>
      </c>
      <c r="AS502">
        <v>-18</v>
      </c>
      <c r="AT502">
        <v>-73</v>
      </c>
      <c r="AU502">
        <v>64</v>
      </c>
      <c r="BC502">
        <v>1200</v>
      </c>
      <c r="BD502">
        <v>1</v>
      </c>
      <c r="BE502" t="str">
        <f t="shared" si="23"/>
        <v xml:space="preserve">N215T   </v>
      </c>
      <c r="BF502">
        <v>1</v>
      </c>
      <c r="BH502">
        <v>0</v>
      </c>
      <c r="BI502">
        <v>0</v>
      </c>
      <c r="BJ502">
        <v>0</v>
      </c>
      <c r="BK502">
        <v>2400</v>
      </c>
      <c r="BL502">
        <v>400</v>
      </c>
      <c r="BM502" t="s">
        <v>119</v>
      </c>
      <c r="BN502">
        <v>1</v>
      </c>
      <c r="BO502">
        <v>1</v>
      </c>
      <c r="BP502">
        <v>1</v>
      </c>
      <c r="BQ502">
        <v>0</v>
      </c>
      <c r="BT502">
        <v>0</v>
      </c>
      <c r="BU502">
        <v>0</v>
      </c>
      <c r="BV502">
        <v>0</v>
      </c>
      <c r="CC502" t="str">
        <f>"18:42:51.852"</f>
        <v>18:42:51.852</v>
      </c>
      <c r="CD502" t="str">
        <f>"850370742"</f>
        <v>850370742</v>
      </c>
      <c r="CQ502">
        <v>0</v>
      </c>
      <c r="CR502">
        <v>2</v>
      </c>
      <c r="CS502">
        <v>0</v>
      </c>
      <c r="CT502">
        <v>2</v>
      </c>
      <c r="CU502">
        <v>0</v>
      </c>
      <c r="CV502">
        <v>4</v>
      </c>
      <c r="CW502" t="s">
        <v>120</v>
      </c>
      <c r="CX502">
        <v>261</v>
      </c>
      <c r="CY502">
        <v>2</v>
      </c>
      <c r="CZ502" t="s">
        <v>121</v>
      </c>
      <c r="DA502" t="s">
        <v>122</v>
      </c>
      <c r="DD502">
        <v>14513502</v>
      </c>
      <c r="DE502" t="s">
        <v>123</v>
      </c>
    </row>
    <row r="503" spans="1:109" x14ac:dyDescent="0.3">
      <c r="A503" t="str">
        <f>"18:42:53.086"</f>
        <v>18:42:53.086</v>
      </c>
      <c r="B503" t="s">
        <v>110</v>
      </c>
      <c r="C503" t="str">
        <f t="shared" si="21"/>
        <v>ffdfd3c0</v>
      </c>
      <c r="D503" t="s">
        <v>111</v>
      </c>
      <c r="E503">
        <v>18</v>
      </c>
      <c r="F503">
        <v>1018</v>
      </c>
      <c r="G503" t="s">
        <v>112</v>
      </c>
      <c r="J503" t="s">
        <v>113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R503" t="s">
        <v>114</v>
      </c>
      <c r="S503" t="str">
        <f>"18:42:52.820"</f>
        <v>18:42:52.820</v>
      </c>
      <c r="T503" t="str">
        <f>"18:42:52.320"</f>
        <v>18:42:52.320</v>
      </c>
      <c r="U503" t="str">
        <f t="shared" si="22"/>
        <v>a1cdbe</v>
      </c>
      <c r="V503">
        <v>0</v>
      </c>
      <c r="W503">
        <v>0</v>
      </c>
      <c r="X503">
        <v>1</v>
      </c>
      <c r="Y503">
        <v>0</v>
      </c>
      <c r="Z503">
        <v>0</v>
      </c>
      <c r="AB503">
        <v>0</v>
      </c>
      <c r="AC503">
        <v>9</v>
      </c>
      <c r="AD503">
        <v>3</v>
      </c>
      <c r="AE503">
        <v>0</v>
      </c>
      <c r="AF503">
        <v>9</v>
      </c>
      <c r="AG503" t="s">
        <v>158</v>
      </c>
      <c r="AH503">
        <v>0</v>
      </c>
      <c r="AI503">
        <v>3</v>
      </c>
      <c r="AJ503">
        <v>1</v>
      </c>
      <c r="AK503">
        <v>0</v>
      </c>
      <c r="AL503" t="s">
        <v>1075</v>
      </c>
      <c r="AM503">
        <v>46.955480999999999</v>
      </c>
      <c r="AN503" t="s">
        <v>1076</v>
      </c>
      <c r="AO503">
        <v>-122.325275</v>
      </c>
      <c r="AP503">
        <v>100</v>
      </c>
      <c r="AQ503">
        <v>2000</v>
      </c>
      <c r="AR503" t="s">
        <v>118</v>
      </c>
      <c r="AS503">
        <v>-19</v>
      </c>
      <c r="AT503">
        <v>-73</v>
      </c>
      <c r="AU503">
        <v>64</v>
      </c>
      <c r="BC503">
        <v>1200</v>
      </c>
      <c r="BD503">
        <v>1</v>
      </c>
      <c r="BE503" t="str">
        <f t="shared" si="23"/>
        <v xml:space="preserve">N215T   </v>
      </c>
      <c r="BF503">
        <v>1</v>
      </c>
      <c r="BH503">
        <v>0</v>
      </c>
      <c r="BI503">
        <v>0</v>
      </c>
      <c r="BJ503">
        <v>0</v>
      </c>
      <c r="BK503">
        <v>2400</v>
      </c>
      <c r="BL503">
        <v>400</v>
      </c>
      <c r="BM503" t="s">
        <v>119</v>
      </c>
      <c r="BN503">
        <v>1</v>
      </c>
      <c r="BO503">
        <v>1</v>
      </c>
      <c r="BP503">
        <v>1</v>
      </c>
      <c r="BQ503">
        <v>0</v>
      </c>
      <c r="BT503">
        <v>0</v>
      </c>
      <c r="BU503">
        <v>0</v>
      </c>
      <c r="BV503">
        <v>0</v>
      </c>
      <c r="CC503" t="str">
        <f>"18:42:52.828"</f>
        <v>18:42:52.828</v>
      </c>
      <c r="CD503" t="str">
        <f>"825471672"</f>
        <v>825471672</v>
      </c>
      <c r="CQ503">
        <v>0</v>
      </c>
      <c r="CR503">
        <v>2</v>
      </c>
      <c r="CS503">
        <v>0</v>
      </c>
      <c r="CT503">
        <v>2</v>
      </c>
      <c r="CU503">
        <v>0</v>
      </c>
      <c r="CV503">
        <v>4</v>
      </c>
      <c r="CW503" t="s">
        <v>120</v>
      </c>
      <c r="CX503">
        <v>257</v>
      </c>
      <c r="CY503">
        <v>1</v>
      </c>
      <c r="CZ503" t="s">
        <v>615</v>
      </c>
      <c r="DA503" t="s">
        <v>616</v>
      </c>
      <c r="DD503">
        <v>10784458</v>
      </c>
      <c r="DE503" t="s">
        <v>123</v>
      </c>
    </row>
    <row r="504" spans="1:109" x14ac:dyDescent="0.3">
      <c r="A504" t="str">
        <f>"18:42:53.945"</f>
        <v>18:42:53.945</v>
      </c>
      <c r="B504" t="s">
        <v>110</v>
      </c>
      <c r="C504" t="str">
        <f t="shared" si="21"/>
        <v>ffdfd3c0</v>
      </c>
      <c r="D504" t="s">
        <v>111</v>
      </c>
      <c r="E504">
        <v>18</v>
      </c>
      <c r="F504">
        <v>1018</v>
      </c>
      <c r="G504" t="s">
        <v>112</v>
      </c>
      <c r="J504" t="s">
        <v>113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R504" t="s">
        <v>114</v>
      </c>
      <c r="S504" t="str">
        <f>"18:42:53.703"</f>
        <v>18:42:53.703</v>
      </c>
      <c r="T504" t="str">
        <f>"18:42:53.305"</f>
        <v>18:42:53.305</v>
      </c>
      <c r="U504" t="str">
        <f t="shared" si="22"/>
        <v>a1cdbe</v>
      </c>
      <c r="V504">
        <v>0</v>
      </c>
      <c r="W504">
        <v>0</v>
      </c>
      <c r="X504">
        <v>1</v>
      </c>
      <c r="Y504">
        <v>0</v>
      </c>
      <c r="Z504">
        <v>0</v>
      </c>
      <c r="AB504">
        <v>0</v>
      </c>
      <c r="AC504">
        <v>9</v>
      </c>
      <c r="AD504">
        <v>3</v>
      </c>
      <c r="AE504">
        <v>0</v>
      </c>
      <c r="AF504">
        <v>9</v>
      </c>
      <c r="AG504" t="s">
        <v>158</v>
      </c>
      <c r="AH504">
        <v>0</v>
      </c>
      <c r="AI504">
        <v>3</v>
      </c>
      <c r="AJ504">
        <v>1</v>
      </c>
      <c r="AK504">
        <v>0</v>
      </c>
      <c r="AL504" t="s">
        <v>1077</v>
      </c>
      <c r="AM504">
        <v>46.955159000000002</v>
      </c>
      <c r="AN504" t="s">
        <v>1078</v>
      </c>
      <c r="AO504">
        <v>-122.325425</v>
      </c>
      <c r="AP504">
        <v>100</v>
      </c>
      <c r="AQ504">
        <v>2000</v>
      </c>
      <c r="AR504" t="s">
        <v>118</v>
      </c>
      <c r="AS504">
        <v>-19</v>
      </c>
      <c r="AT504">
        <v>-74</v>
      </c>
      <c r="AU504">
        <v>64</v>
      </c>
      <c r="BC504">
        <v>1200</v>
      </c>
      <c r="BD504">
        <v>1</v>
      </c>
      <c r="BE504" t="str">
        <f t="shared" si="23"/>
        <v xml:space="preserve">N215T   </v>
      </c>
      <c r="BF504">
        <v>1</v>
      </c>
      <c r="BH504">
        <v>0</v>
      </c>
      <c r="BI504">
        <v>0</v>
      </c>
      <c r="BJ504">
        <v>0</v>
      </c>
      <c r="BK504">
        <v>2400</v>
      </c>
      <c r="BL504">
        <v>400</v>
      </c>
      <c r="BM504" t="s">
        <v>119</v>
      </c>
      <c r="BN504">
        <v>1</v>
      </c>
      <c r="BO504">
        <v>1</v>
      </c>
      <c r="BP504">
        <v>1</v>
      </c>
      <c r="BQ504">
        <v>0</v>
      </c>
      <c r="BT504">
        <v>0</v>
      </c>
      <c r="BU504">
        <v>0</v>
      </c>
      <c r="BV504">
        <v>0</v>
      </c>
      <c r="CC504" t="str">
        <f>"18:42:53.711"</f>
        <v>18:42:53.711</v>
      </c>
      <c r="CD504" t="str">
        <f>"710187796"</f>
        <v>710187796</v>
      </c>
      <c r="CQ504">
        <v>0</v>
      </c>
      <c r="CR504">
        <v>2</v>
      </c>
      <c r="CS504">
        <v>0</v>
      </c>
      <c r="CT504">
        <v>2</v>
      </c>
      <c r="CU504">
        <v>0</v>
      </c>
      <c r="CV504">
        <v>4</v>
      </c>
      <c r="CW504" t="s">
        <v>120</v>
      </c>
      <c r="CX504">
        <v>261</v>
      </c>
      <c r="CY504">
        <v>2</v>
      </c>
      <c r="CZ504" t="s">
        <v>121</v>
      </c>
      <c r="DA504" t="s">
        <v>122</v>
      </c>
      <c r="DD504">
        <v>14514413</v>
      </c>
      <c r="DE504" t="s">
        <v>123</v>
      </c>
    </row>
    <row r="505" spans="1:109" x14ac:dyDescent="0.3">
      <c r="A505" t="str">
        <f>"18:42:54.945"</f>
        <v>18:42:54.945</v>
      </c>
      <c r="B505" t="s">
        <v>110</v>
      </c>
      <c r="C505" t="str">
        <f t="shared" si="21"/>
        <v>ffdfd3c0</v>
      </c>
      <c r="D505" t="s">
        <v>111</v>
      </c>
      <c r="E505">
        <v>18</v>
      </c>
      <c r="F505">
        <v>1018</v>
      </c>
      <c r="G505" t="s">
        <v>112</v>
      </c>
      <c r="J505" t="s">
        <v>113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R505" t="s">
        <v>114</v>
      </c>
      <c r="S505" t="str">
        <f>"18:42:54.711"</f>
        <v>18:42:54.711</v>
      </c>
      <c r="T505" t="str">
        <f>"18:42:54.414"</f>
        <v>18:42:54.414</v>
      </c>
      <c r="U505" t="str">
        <f t="shared" si="22"/>
        <v>a1cdbe</v>
      </c>
      <c r="V505">
        <v>0</v>
      </c>
      <c r="W505">
        <v>0</v>
      </c>
      <c r="X505">
        <v>1</v>
      </c>
      <c r="Y505">
        <v>0</v>
      </c>
      <c r="Z505">
        <v>0</v>
      </c>
      <c r="AB505">
        <v>0</v>
      </c>
      <c r="AC505">
        <v>9</v>
      </c>
      <c r="AD505">
        <v>3</v>
      </c>
      <c r="AE505">
        <v>0</v>
      </c>
      <c r="AF505">
        <v>9</v>
      </c>
      <c r="AG505" t="s">
        <v>158</v>
      </c>
      <c r="AH505">
        <v>0</v>
      </c>
      <c r="AI505">
        <v>3</v>
      </c>
      <c r="AJ505">
        <v>1</v>
      </c>
      <c r="AK505">
        <v>0</v>
      </c>
      <c r="AL505" t="s">
        <v>1079</v>
      </c>
      <c r="AM505">
        <v>46.954815000000004</v>
      </c>
      <c r="AN505" t="s">
        <v>1080</v>
      </c>
      <c r="AO505">
        <v>-122.32551100000001</v>
      </c>
      <c r="AP505">
        <v>100</v>
      </c>
      <c r="AQ505">
        <v>2000</v>
      </c>
      <c r="AR505" t="s">
        <v>118</v>
      </c>
      <c r="AS505">
        <v>-20</v>
      </c>
      <c r="AT505">
        <v>-74</v>
      </c>
      <c r="AU505">
        <v>64</v>
      </c>
      <c r="BC505">
        <v>1200</v>
      </c>
      <c r="BD505">
        <v>1</v>
      </c>
      <c r="BE505" t="str">
        <f t="shared" si="23"/>
        <v xml:space="preserve">N215T   </v>
      </c>
      <c r="BF505">
        <v>1</v>
      </c>
      <c r="BH505">
        <v>0</v>
      </c>
      <c r="BI505">
        <v>0</v>
      </c>
      <c r="BJ505">
        <v>0</v>
      </c>
      <c r="BK505">
        <v>2400</v>
      </c>
      <c r="BL505">
        <v>400</v>
      </c>
      <c r="BM505" t="s">
        <v>119</v>
      </c>
      <c r="BN505">
        <v>1</v>
      </c>
      <c r="BO505">
        <v>1</v>
      </c>
      <c r="BP505">
        <v>1</v>
      </c>
      <c r="BQ505">
        <v>0</v>
      </c>
      <c r="BT505">
        <v>0</v>
      </c>
      <c r="BU505">
        <v>0</v>
      </c>
      <c r="BV505">
        <v>0</v>
      </c>
      <c r="CC505" t="str">
        <f>"18:42:54.719"</f>
        <v>18:42:54.719</v>
      </c>
      <c r="CD505" t="str">
        <f>"715285464"</f>
        <v>715285464</v>
      </c>
      <c r="CQ505">
        <v>0</v>
      </c>
      <c r="CR505">
        <v>2</v>
      </c>
      <c r="CS505">
        <v>0</v>
      </c>
      <c r="CT505">
        <v>2</v>
      </c>
      <c r="CU505">
        <v>0</v>
      </c>
      <c r="CV505">
        <v>4</v>
      </c>
      <c r="CW505" t="s">
        <v>120</v>
      </c>
      <c r="CX505">
        <v>257</v>
      </c>
      <c r="CY505">
        <v>1</v>
      </c>
      <c r="CZ505" t="s">
        <v>615</v>
      </c>
      <c r="DA505" t="s">
        <v>616</v>
      </c>
      <c r="DD505">
        <v>10785679</v>
      </c>
      <c r="DE505" t="s">
        <v>123</v>
      </c>
    </row>
    <row r="506" spans="1:109" x14ac:dyDescent="0.3">
      <c r="A506" t="str">
        <f>"18:42:55.953"</f>
        <v>18:42:55.953</v>
      </c>
      <c r="B506" t="s">
        <v>110</v>
      </c>
      <c r="C506" t="str">
        <f t="shared" si="21"/>
        <v>ffdfd3c0</v>
      </c>
      <c r="D506" t="s">
        <v>111</v>
      </c>
      <c r="E506">
        <v>18</v>
      </c>
      <c r="F506">
        <v>1018</v>
      </c>
      <c r="G506" t="s">
        <v>112</v>
      </c>
      <c r="J506" t="s">
        <v>113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R506" t="s">
        <v>114</v>
      </c>
      <c r="S506" t="str">
        <f>"18:42:55.719"</f>
        <v>18:42:55.719</v>
      </c>
      <c r="T506" t="str">
        <f>"18:42:55.320"</f>
        <v>18:42:55.320</v>
      </c>
      <c r="U506" t="str">
        <f t="shared" si="22"/>
        <v>a1cdbe</v>
      </c>
      <c r="V506">
        <v>0</v>
      </c>
      <c r="W506">
        <v>0</v>
      </c>
      <c r="X506">
        <v>1</v>
      </c>
      <c r="Y506">
        <v>0</v>
      </c>
      <c r="Z506">
        <v>0</v>
      </c>
      <c r="AB506">
        <v>0</v>
      </c>
      <c r="AC506">
        <v>9</v>
      </c>
      <c r="AD506">
        <v>3</v>
      </c>
      <c r="AE506">
        <v>0</v>
      </c>
      <c r="AF506">
        <v>9</v>
      </c>
      <c r="AG506" t="s">
        <v>158</v>
      </c>
      <c r="AH506">
        <v>0</v>
      </c>
      <c r="AI506">
        <v>3</v>
      </c>
      <c r="AJ506">
        <v>1</v>
      </c>
      <c r="AK506">
        <v>0</v>
      </c>
      <c r="AL506" t="s">
        <v>1081</v>
      </c>
      <c r="AM506">
        <v>46.954472000000003</v>
      </c>
      <c r="AN506" t="s">
        <v>1082</v>
      </c>
      <c r="AO506">
        <v>-122.325683</v>
      </c>
      <c r="AP506">
        <v>100</v>
      </c>
      <c r="AQ506">
        <v>2000</v>
      </c>
      <c r="AR506" t="s">
        <v>118</v>
      </c>
      <c r="AS506">
        <v>-20</v>
      </c>
      <c r="AT506">
        <v>-75</v>
      </c>
      <c r="AU506">
        <v>64</v>
      </c>
      <c r="BC506">
        <v>1200</v>
      </c>
      <c r="BD506">
        <v>1</v>
      </c>
      <c r="BE506" t="str">
        <f t="shared" si="23"/>
        <v xml:space="preserve">N215T   </v>
      </c>
      <c r="BF506">
        <v>1</v>
      </c>
      <c r="BH506">
        <v>0</v>
      </c>
      <c r="BI506">
        <v>0</v>
      </c>
      <c r="BJ506">
        <v>0</v>
      </c>
      <c r="BK506">
        <v>2400</v>
      </c>
      <c r="BL506">
        <v>400</v>
      </c>
      <c r="BM506" t="s">
        <v>119</v>
      </c>
      <c r="BN506">
        <v>1</v>
      </c>
      <c r="BO506">
        <v>1</v>
      </c>
      <c r="BP506">
        <v>1</v>
      </c>
      <c r="BQ506">
        <v>0</v>
      </c>
      <c r="BT506">
        <v>0</v>
      </c>
      <c r="BU506">
        <v>0</v>
      </c>
      <c r="BV506">
        <v>0</v>
      </c>
      <c r="CC506" t="str">
        <f>"18:42:55.719"</f>
        <v>18:42:55.719</v>
      </c>
      <c r="CD506" t="str">
        <f>"719990118"</f>
        <v>719990118</v>
      </c>
      <c r="CQ506">
        <v>0</v>
      </c>
      <c r="CR506">
        <v>2</v>
      </c>
      <c r="CS506">
        <v>0</v>
      </c>
      <c r="CT506">
        <v>2</v>
      </c>
      <c r="CU506">
        <v>0</v>
      </c>
      <c r="CV506">
        <v>4</v>
      </c>
      <c r="CW506" t="s">
        <v>120</v>
      </c>
      <c r="CX506">
        <v>261</v>
      </c>
      <c r="CY506">
        <v>2</v>
      </c>
      <c r="CZ506" t="s">
        <v>121</v>
      </c>
      <c r="DA506" t="s">
        <v>122</v>
      </c>
      <c r="DD506">
        <v>14515357</v>
      </c>
      <c r="DE506" t="s">
        <v>123</v>
      </c>
    </row>
    <row r="507" spans="1:109" x14ac:dyDescent="0.3">
      <c r="A507" t="str">
        <f>"18:42:56.961"</f>
        <v>18:42:56.961</v>
      </c>
      <c r="B507" t="s">
        <v>110</v>
      </c>
      <c r="C507" t="str">
        <f t="shared" si="21"/>
        <v>ffdfd3c0</v>
      </c>
      <c r="D507" t="s">
        <v>111</v>
      </c>
      <c r="E507">
        <v>18</v>
      </c>
      <c r="F507">
        <v>1018</v>
      </c>
      <c r="G507" t="s">
        <v>112</v>
      </c>
      <c r="J507" t="s">
        <v>113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R507" t="s">
        <v>114</v>
      </c>
      <c r="S507" t="str">
        <f>"18:42:56.750"</f>
        <v>18:42:56.750</v>
      </c>
      <c r="T507" t="str">
        <f>"18:42:56.352"</f>
        <v>18:42:56.352</v>
      </c>
      <c r="U507" t="str">
        <f t="shared" si="22"/>
        <v>a1cdbe</v>
      </c>
      <c r="V507">
        <v>0</v>
      </c>
      <c r="W507">
        <v>0</v>
      </c>
      <c r="X507">
        <v>1</v>
      </c>
      <c r="Y507">
        <v>0</v>
      </c>
      <c r="Z507">
        <v>0</v>
      </c>
      <c r="AB507">
        <v>0</v>
      </c>
      <c r="AC507">
        <v>9</v>
      </c>
      <c r="AD507">
        <v>3</v>
      </c>
      <c r="AE507">
        <v>0</v>
      </c>
      <c r="AF507">
        <v>9</v>
      </c>
      <c r="AG507" t="s">
        <v>158</v>
      </c>
      <c r="AH507">
        <v>0</v>
      </c>
      <c r="AI507">
        <v>3</v>
      </c>
      <c r="AJ507">
        <v>1</v>
      </c>
      <c r="AK507">
        <v>0</v>
      </c>
      <c r="AL507" t="s">
        <v>1083</v>
      </c>
      <c r="AM507">
        <v>46.954129000000002</v>
      </c>
      <c r="AN507" t="s">
        <v>1084</v>
      </c>
      <c r="AO507">
        <v>-122.32585400000001</v>
      </c>
      <c r="AP507">
        <v>100</v>
      </c>
      <c r="AQ507">
        <v>2000</v>
      </c>
      <c r="AR507" t="s">
        <v>118</v>
      </c>
      <c r="AS507">
        <v>-21</v>
      </c>
      <c r="AT507">
        <v>-74</v>
      </c>
      <c r="AU507">
        <v>64</v>
      </c>
      <c r="BC507">
        <v>1200</v>
      </c>
      <c r="BD507">
        <v>1</v>
      </c>
      <c r="BE507" t="str">
        <f t="shared" si="23"/>
        <v xml:space="preserve">N215T   </v>
      </c>
      <c r="BF507">
        <v>1</v>
      </c>
      <c r="BH507">
        <v>0</v>
      </c>
      <c r="BI507">
        <v>0</v>
      </c>
      <c r="BJ507">
        <v>0</v>
      </c>
      <c r="BK507">
        <v>2400</v>
      </c>
      <c r="BL507">
        <v>400</v>
      </c>
      <c r="BM507" t="s">
        <v>119</v>
      </c>
      <c r="BN507">
        <v>1</v>
      </c>
      <c r="BO507">
        <v>1</v>
      </c>
      <c r="BP507">
        <v>1</v>
      </c>
      <c r="BQ507">
        <v>0</v>
      </c>
      <c r="BT507">
        <v>0</v>
      </c>
      <c r="BU507">
        <v>0</v>
      </c>
      <c r="BV507">
        <v>0</v>
      </c>
      <c r="CC507" t="str">
        <f>"18:42:56.758"</f>
        <v>18:42:56.758</v>
      </c>
      <c r="CD507" t="str">
        <f>"754888344"</f>
        <v>754888344</v>
      </c>
      <c r="CQ507">
        <v>0</v>
      </c>
      <c r="CR507">
        <v>2</v>
      </c>
      <c r="CS507">
        <v>0</v>
      </c>
      <c r="CT507">
        <v>2</v>
      </c>
      <c r="CU507">
        <v>0</v>
      </c>
      <c r="CV507">
        <v>5</v>
      </c>
      <c r="CW507" t="s">
        <v>120</v>
      </c>
      <c r="CX507">
        <v>261</v>
      </c>
      <c r="CY507">
        <v>2</v>
      </c>
      <c r="CZ507" t="s">
        <v>121</v>
      </c>
      <c r="DA507" t="s">
        <v>122</v>
      </c>
      <c r="DD507">
        <v>14515838</v>
      </c>
      <c r="DE507" t="s">
        <v>123</v>
      </c>
    </row>
    <row r="508" spans="1:109" x14ac:dyDescent="0.3">
      <c r="A508" t="str">
        <f>"18:42:58.016"</f>
        <v>18:42:58.016</v>
      </c>
      <c r="B508" t="s">
        <v>110</v>
      </c>
      <c r="C508" t="str">
        <f t="shared" si="21"/>
        <v>ffdfd3c0</v>
      </c>
      <c r="D508" t="s">
        <v>111</v>
      </c>
      <c r="E508">
        <v>18</v>
      </c>
      <c r="F508">
        <v>1018</v>
      </c>
      <c r="G508" t="s">
        <v>112</v>
      </c>
      <c r="J508" t="s">
        <v>113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R508" t="s">
        <v>114</v>
      </c>
      <c r="S508" t="str">
        <f>"18:42:57.789"</f>
        <v>18:42:57.789</v>
      </c>
      <c r="T508" t="str">
        <f>"18:42:57.789"</f>
        <v>18:42:57.789</v>
      </c>
      <c r="U508" t="str">
        <f t="shared" si="22"/>
        <v>a1cdbe</v>
      </c>
      <c r="V508">
        <v>0</v>
      </c>
      <c r="W508">
        <v>0</v>
      </c>
      <c r="X508">
        <v>1</v>
      </c>
      <c r="Y508">
        <v>0</v>
      </c>
      <c r="Z508">
        <v>0</v>
      </c>
      <c r="AB508">
        <v>0</v>
      </c>
      <c r="AC508">
        <v>9</v>
      </c>
      <c r="AD508">
        <v>3</v>
      </c>
      <c r="AE508">
        <v>0</v>
      </c>
      <c r="AF508">
        <v>9</v>
      </c>
      <c r="AG508" t="s">
        <v>158</v>
      </c>
      <c r="AH508">
        <v>0</v>
      </c>
      <c r="AI508">
        <v>3</v>
      </c>
      <c r="AJ508">
        <v>1</v>
      </c>
      <c r="AK508">
        <v>0</v>
      </c>
      <c r="AL508" t="s">
        <v>1085</v>
      </c>
      <c r="AM508">
        <v>46.953743000000003</v>
      </c>
      <c r="AN508" t="s">
        <v>1086</v>
      </c>
      <c r="AO508">
        <v>-122.32600499999999</v>
      </c>
      <c r="AP508">
        <v>100</v>
      </c>
      <c r="AQ508">
        <v>2000</v>
      </c>
      <c r="AR508" t="s">
        <v>118</v>
      </c>
      <c r="AS508">
        <v>-22</v>
      </c>
      <c r="AT508">
        <v>-74</v>
      </c>
      <c r="AU508">
        <v>128</v>
      </c>
      <c r="BC508">
        <v>1200</v>
      </c>
      <c r="BD508">
        <v>1</v>
      </c>
      <c r="BE508" t="str">
        <f t="shared" si="23"/>
        <v xml:space="preserve">N215T   </v>
      </c>
      <c r="BF508">
        <v>1</v>
      </c>
      <c r="BH508">
        <v>0</v>
      </c>
      <c r="BI508">
        <v>0</v>
      </c>
      <c r="BJ508">
        <v>0</v>
      </c>
      <c r="BK508">
        <v>2400</v>
      </c>
      <c r="BL508">
        <v>400</v>
      </c>
      <c r="BM508" t="s">
        <v>119</v>
      </c>
      <c r="BN508">
        <v>1</v>
      </c>
      <c r="BO508">
        <v>1</v>
      </c>
      <c r="BP508">
        <v>1</v>
      </c>
      <c r="BQ508">
        <v>0</v>
      </c>
      <c r="BT508">
        <v>0</v>
      </c>
      <c r="BU508">
        <v>0</v>
      </c>
      <c r="BV508">
        <v>0</v>
      </c>
      <c r="CC508" t="str">
        <f>"18:42:57.789"</f>
        <v>18:42:57.789</v>
      </c>
      <c r="CD508" t="str">
        <f>"789786551"</f>
        <v>789786551</v>
      </c>
      <c r="CQ508">
        <v>0</v>
      </c>
      <c r="CR508">
        <v>2</v>
      </c>
      <c r="CS508">
        <v>0</v>
      </c>
      <c r="CT508">
        <v>2</v>
      </c>
      <c r="CU508">
        <v>0</v>
      </c>
      <c r="CV508">
        <v>4</v>
      </c>
      <c r="CW508" t="s">
        <v>120</v>
      </c>
      <c r="CX508">
        <v>261</v>
      </c>
      <c r="CY508">
        <v>2</v>
      </c>
      <c r="CZ508" t="s">
        <v>121</v>
      </c>
      <c r="DA508" t="s">
        <v>122</v>
      </c>
      <c r="DD508">
        <v>14516331</v>
      </c>
      <c r="DE508" t="s">
        <v>123</v>
      </c>
    </row>
    <row r="509" spans="1:109" x14ac:dyDescent="0.3">
      <c r="A509" t="str">
        <f>"18:42:59.125"</f>
        <v>18:42:59.125</v>
      </c>
      <c r="B509" t="s">
        <v>110</v>
      </c>
      <c r="C509" t="str">
        <f t="shared" si="21"/>
        <v>ffdfd3c0</v>
      </c>
      <c r="D509" t="s">
        <v>111</v>
      </c>
      <c r="E509">
        <v>18</v>
      </c>
      <c r="F509">
        <v>1018</v>
      </c>
      <c r="G509" t="s">
        <v>112</v>
      </c>
      <c r="J509" t="s">
        <v>113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R509" t="s">
        <v>114</v>
      </c>
      <c r="S509" t="str">
        <f>"18:42:58.883"</f>
        <v>18:42:58.883</v>
      </c>
      <c r="T509" t="str">
        <f>"18:42:58.680"</f>
        <v>18:42:58.680</v>
      </c>
      <c r="U509" t="str">
        <f t="shared" si="22"/>
        <v>a1cdbe</v>
      </c>
      <c r="V509">
        <v>0</v>
      </c>
      <c r="W509">
        <v>0</v>
      </c>
      <c r="X509">
        <v>1</v>
      </c>
      <c r="Y509">
        <v>0</v>
      </c>
      <c r="Z509">
        <v>0</v>
      </c>
      <c r="AB509">
        <v>0</v>
      </c>
      <c r="AC509">
        <v>9</v>
      </c>
      <c r="AD509">
        <v>3</v>
      </c>
      <c r="AE509">
        <v>0</v>
      </c>
      <c r="AF509">
        <v>9</v>
      </c>
      <c r="AG509" t="s">
        <v>158</v>
      </c>
      <c r="AH509">
        <v>0</v>
      </c>
      <c r="AI509">
        <v>3</v>
      </c>
      <c r="AJ509">
        <v>1</v>
      </c>
      <c r="AK509">
        <v>0</v>
      </c>
      <c r="AL509" t="s">
        <v>1087</v>
      </c>
      <c r="AM509">
        <v>46.953420999999999</v>
      </c>
      <c r="AN509" t="s">
        <v>1088</v>
      </c>
      <c r="AO509">
        <v>-122.326176</v>
      </c>
      <c r="AP509">
        <v>100</v>
      </c>
      <c r="AQ509">
        <v>2000</v>
      </c>
      <c r="AR509" t="s">
        <v>118</v>
      </c>
      <c r="AS509">
        <v>-22</v>
      </c>
      <c r="AT509">
        <v>-74</v>
      </c>
      <c r="AU509">
        <v>64</v>
      </c>
      <c r="BC509">
        <v>1200</v>
      </c>
      <c r="BD509">
        <v>1</v>
      </c>
      <c r="BE509" t="str">
        <f t="shared" si="23"/>
        <v xml:space="preserve">N215T   </v>
      </c>
      <c r="BF509">
        <v>1</v>
      </c>
      <c r="BH509">
        <v>0</v>
      </c>
      <c r="BI509">
        <v>0</v>
      </c>
      <c r="BJ509">
        <v>0</v>
      </c>
      <c r="BK509">
        <v>2400</v>
      </c>
      <c r="BL509">
        <v>400</v>
      </c>
      <c r="BM509" t="s">
        <v>119</v>
      </c>
      <c r="BN509">
        <v>1</v>
      </c>
      <c r="BO509">
        <v>1</v>
      </c>
      <c r="BP509">
        <v>1</v>
      </c>
      <c r="BQ509">
        <v>0</v>
      </c>
      <c r="BT509">
        <v>0</v>
      </c>
      <c r="BU509">
        <v>0</v>
      </c>
      <c r="BV509">
        <v>0</v>
      </c>
      <c r="CC509" t="str">
        <f>"18:42:58.883"</f>
        <v>18:42:58.883</v>
      </c>
      <c r="CD509" t="str">
        <f>"884874530"</f>
        <v>884874530</v>
      </c>
      <c r="CQ509">
        <v>0</v>
      </c>
      <c r="CR509">
        <v>2</v>
      </c>
      <c r="CS509">
        <v>0</v>
      </c>
      <c r="CT509">
        <v>2</v>
      </c>
      <c r="CU509">
        <v>0</v>
      </c>
      <c r="CV509">
        <v>4</v>
      </c>
      <c r="CW509" t="s">
        <v>120</v>
      </c>
      <c r="CX509">
        <v>257</v>
      </c>
      <c r="CY509">
        <v>1</v>
      </c>
      <c r="CZ509" t="s">
        <v>615</v>
      </c>
      <c r="DA509" t="s">
        <v>616</v>
      </c>
      <c r="DD509">
        <v>10788328</v>
      </c>
      <c r="DE509" t="s">
        <v>123</v>
      </c>
    </row>
    <row r="510" spans="1:109" x14ac:dyDescent="0.3">
      <c r="A510" t="str">
        <f>"18:43:00.023"</f>
        <v>18:43:00.023</v>
      </c>
      <c r="B510" t="s">
        <v>110</v>
      </c>
      <c r="C510" t="str">
        <f t="shared" si="21"/>
        <v>ffdfd3c0</v>
      </c>
      <c r="D510" t="s">
        <v>111</v>
      </c>
      <c r="E510">
        <v>18</v>
      </c>
      <c r="F510">
        <v>1018</v>
      </c>
      <c r="G510" t="s">
        <v>112</v>
      </c>
      <c r="J510" t="s">
        <v>113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R510" t="s">
        <v>114</v>
      </c>
      <c r="S510" t="str">
        <f>"18:42:59.781"</f>
        <v>18:42:59.781</v>
      </c>
      <c r="T510" t="str">
        <f>"18:42:59.680"</f>
        <v>18:42:59.680</v>
      </c>
      <c r="U510" t="str">
        <f t="shared" si="22"/>
        <v>a1cdbe</v>
      </c>
      <c r="V510">
        <v>0</v>
      </c>
      <c r="W510">
        <v>0</v>
      </c>
      <c r="X510">
        <v>1</v>
      </c>
      <c r="Y510">
        <v>0</v>
      </c>
      <c r="Z510">
        <v>0</v>
      </c>
      <c r="AB510">
        <v>0</v>
      </c>
      <c r="AC510">
        <v>9</v>
      </c>
      <c r="AD510">
        <v>3</v>
      </c>
      <c r="AE510">
        <v>0</v>
      </c>
      <c r="AF510">
        <v>9</v>
      </c>
      <c r="AG510" t="s">
        <v>158</v>
      </c>
      <c r="AH510">
        <v>0</v>
      </c>
      <c r="AI510">
        <v>3</v>
      </c>
      <c r="AJ510">
        <v>1</v>
      </c>
      <c r="AK510">
        <v>0</v>
      </c>
      <c r="AL510" t="s">
        <v>1089</v>
      </c>
      <c r="AM510">
        <v>46.953099000000002</v>
      </c>
      <c r="AN510" t="s">
        <v>1090</v>
      </c>
      <c r="AO510">
        <v>-122.326283</v>
      </c>
      <c r="AP510">
        <v>100</v>
      </c>
      <c r="AQ510">
        <v>2000</v>
      </c>
      <c r="AR510" t="s">
        <v>118</v>
      </c>
      <c r="AS510">
        <v>-22</v>
      </c>
      <c r="AT510">
        <v>-74</v>
      </c>
      <c r="AU510">
        <v>64</v>
      </c>
      <c r="BC510">
        <v>1200</v>
      </c>
      <c r="BD510">
        <v>1</v>
      </c>
      <c r="BE510" t="str">
        <f t="shared" si="23"/>
        <v xml:space="preserve">N215T   </v>
      </c>
      <c r="BF510">
        <v>1</v>
      </c>
      <c r="BH510">
        <v>0</v>
      </c>
      <c r="BI510">
        <v>0</v>
      </c>
      <c r="BJ510">
        <v>0</v>
      </c>
      <c r="BK510">
        <v>2400</v>
      </c>
      <c r="BL510">
        <v>400</v>
      </c>
      <c r="BM510" t="s">
        <v>119</v>
      </c>
      <c r="BN510">
        <v>1</v>
      </c>
      <c r="BO510">
        <v>1</v>
      </c>
      <c r="BP510">
        <v>1</v>
      </c>
      <c r="BQ510">
        <v>0</v>
      </c>
      <c r="BT510">
        <v>0</v>
      </c>
      <c r="BU510">
        <v>0</v>
      </c>
      <c r="BV510">
        <v>0</v>
      </c>
      <c r="CC510" t="str">
        <f>"18:42:59.781"</f>
        <v>18:42:59.781</v>
      </c>
      <c r="CD510" t="str">
        <f>"784785899"</f>
        <v>784785899</v>
      </c>
      <c r="CQ510">
        <v>0</v>
      </c>
      <c r="CR510">
        <v>2</v>
      </c>
      <c r="CS510">
        <v>0</v>
      </c>
      <c r="CT510">
        <v>2</v>
      </c>
      <c r="CU510">
        <v>0</v>
      </c>
      <c r="CV510">
        <v>4</v>
      </c>
      <c r="CW510" t="s">
        <v>120</v>
      </c>
      <c r="CX510">
        <v>257</v>
      </c>
      <c r="CY510">
        <v>1</v>
      </c>
      <c r="CZ510" t="s">
        <v>615</v>
      </c>
      <c r="DA510" t="s">
        <v>616</v>
      </c>
      <c r="DD510">
        <v>10788927</v>
      </c>
      <c r="DE510" t="s">
        <v>123</v>
      </c>
    </row>
    <row r="511" spans="1:109" x14ac:dyDescent="0.3">
      <c r="A511" t="str">
        <f>"18:43:01.086"</f>
        <v>18:43:01.086</v>
      </c>
      <c r="B511" t="s">
        <v>110</v>
      </c>
      <c r="C511" t="str">
        <f t="shared" si="21"/>
        <v>ffdfd3c0</v>
      </c>
      <c r="D511" t="s">
        <v>111</v>
      </c>
      <c r="E511">
        <v>18</v>
      </c>
      <c r="F511">
        <v>1018</v>
      </c>
      <c r="G511" t="s">
        <v>112</v>
      </c>
      <c r="J511" t="s">
        <v>113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R511" t="s">
        <v>114</v>
      </c>
      <c r="S511" t="str">
        <f>"18:43:00.828"</f>
        <v>18:43:00.828</v>
      </c>
      <c r="T511" t="str">
        <f>"18:43:00.125"</f>
        <v>18:43:00.125</v>
      </c>
      <c r="U511" t="str">
        <f t="shared" si="22"/>
        <v>a1cdbe</v>
      </c>
      <c r="V511">
        <v>0</v>
      </c>
      <c r="W511">
        <v>0</v>
      </c>
      <c r="X511">
        <v>1</v>
      </c>
      <c r="Y511">
        <v>0</v>
      </c>
      <c r="Z511">
        <v>0</v>
      </c>
      <c r="AB511">
        <v>0</v>
      </c>
      <c r="AC511">
        <v>9</v>
      </c>
      <c r="AD511">
        <v>3</v>
      </c>
      <c r="AE511">
        <v>0</v>
      </c>
      <c r="AF511">
        <v>9</v>
      </c>
      <c r="AG511" t="s">
        <v>158</v>
      </c>
      <c r="AH511">
        <v>0</v>
      </c>
      <c r="AI511">
        <v>3</v>
      </c>
      <c r="AJ511">
        <v>1</v>
      </c>
      <c r="AK511">
        <v>0</v>
      </c>
      <c r="AL511" t="s">
        <v>1091</v>
      </c>
      <c r="AM511">
        <v>46.952734</v>
      </c>
      <c r="AN511" t="s">
        <v>1092</v>
      </c>
      <c r="AO511">
        <v>-122.326455</v>
      </c>
      <c r="AP511">
        <v>100</v>
      </c>
      <c r="AQ511">
        <v>2000</v>
      </c>
      <c r="AR511" t="s">
        <v>118</v>
      </c>
      <c r="AS511">
        <v>-22</v>
      </c>
      <c r="AT511">
        <v>-75</v>
      </c>
      <c r="AU511">
        <v>64</v>
      </c>
      <c r="BC511">
        <v>1200</v>
      </c>
      <c r="BD511">
        <v>1</v>
      </c>
      <c r="BE511" t="str">
        <f t="shared" si="23"/>
        <v xml:space="preserve">N215T   </v>
      </c>
      <c r="BF511">
        <v>1</v>
      </c>
      <c r="BH511">
        <v>0</v>
      </c>
      <c r="BI511">
        <v>0</v>
      </c>
      <c r="BJ511">
        <v>0</v>
      </c>
      <c r="BK511">
        <v>2400</v>
      </c>
      <c r="BL511">
        <v>400</v>
      </c>
      <c r="BM511" t="s">
        <v>119</v>
      </c>
      <c r="BN511">
        <v>1</v>
      </c>
      <c r="BO511">
        <v>1</v>
      </c>
      <c r="BP511">
        <v>1</v>
      </c>
      <c r="BQ511">
        <v>0</v>
      </c>
      <c r="BT511">
        <v>0</v>
      </c>
      <c r="BU511">
        <v>0</v>
      </c>
      <c r="BV511">
        <v>0</v>
      </c>
      <c r="CC511" t="str">
        <f>"18:43:00.836"</f>
        <v>18:43:00.836</v>
      </c>
      <c r="CD511" t="str">
        <f>"834682462"</f>
        <v>834682462</v>
      </c>
      <c r="CQ511">
        <v>0</v>
      </c>
      <c r="CR511">
        <v>2</v>
      </c>
      <c r="CS511">
        <v>0</v>
      </c>
      <c r="CT511">
        <v>2</v>
      </c>
      <c r="CU511">
        <v>0</v>
      </c>
      <c r="CV511">
        <v>4</v>
      </c>
      <c r="CW511" t="s">
        <v>120</v>
      </c>
      <c r="CX511">
        <v>257</v>
      </c>
      <c r="CY511">
        <v>1</v>
      </c>
      <c r="CZ511" t="s">
        <v>615</v>
      </c>
      <c r="DA511" t="s">
        <v>616</v>
      </c>
      <c r="DD511">
        <v>10789609</v>
      </c>
      <c r="DE511" t="s">
        <v>123</v>
      </c>
    </row>
    <row r="512" spans="1:109" x14ac:dyDescent="0.3">
      <c r="A512" t="str">
        <f>"18:43:02.039"</f>
        <v>18:43:02.039</v>
      </c>
      <c r="B512" t="s">
        <v>110</v>
      </c>
      <c r="C512" t="str">
        <f t="shared" si="21"/>
        <v>ffdfd3c0</v>
      </c>
      <c r="D512" t="s">
        <v>111</v>
      </c>
      <c r="E512">
        <v>18</v>
      </c>
      <c r="F512">
        <v>1018</v>
      </c>
      <c r="G512" t="s">
        <v>112</v>
      </c>
      <c r="J512" t="s">
        <v>113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R512" t="s">
        <v>114</v>
      </c>
      <c r="S512" t="str">
        <f>"18:43:01.836"</f>
        <v>18:43:01.836</v>
      </c>
      <c r="T512" t="str">
        <f>"18:43:01.633"</f>
        <v>18:43:01.633</v>
      </c>
      <c r="U512" t="str">
        <f t="shared" si="22"/>
        <v>a1cdbe</v>
      </c>
      <c r="V512">
        <v>0</v>
      </c>
      <c r="W512">
        <v>0</v>
      </c>
      <c r="X512">
        <v>1</v>
      </c>
      <c r="Y512">
        <v>0</v>
      </c>
      <c r="Z512">
        <v>0</v>
      </c>
      <c r="AB512">
        <v>0</v>
      </c>
      <c r="AC512">
        <v>9</v>
      </c>
      <c r="AD512">
        <v>3</v>
      </c>
      <c r="AE512">
        <v>0</v>
      </c>
      <c r="AF512">
        <v>9</v>
      </c>
      <c r="AG512" t="s">
        <v>158</v>
      </c>
      <c r="AH512">
        <v>0</v>
      </c>
      <c r="AI512">
        <v>3</v>
      </c>
      <c r="AJ512">
        <v>1</v>
      </c>
      <c r="AK512">
        <v>0</v>
      </c>
      <c r="AL512" t="s">
        <v>1093</v>
      </c>
      <c r="AM512">
        <v>46.952348000000001</v>
      </c>
      <c r="AN512" t="s">
        <v>1094</v>
      </c>
      <c r="AO512">
        <v>-122.326562</v>
      </c>
      <c r="AP512">
        <v>100</v>
      </c>
      <c r="AQ512">
        <v>2000</v>
      </c>
      <c r="AR512" t="s">
        <v>118</v>
      </c>
      <c r="AS512">
        <v>-21</v>
      </c>
      <c r="AT512">
        <v>-75</v>
      </c>
      <c r="AU512">
        <v>0</v>
      </c>
      <c r="BC512">
        <v>1200</v>
      </c>
      <c r="BD512">
        <v>1</v>
      </c>
      <c r="BE512" t="str">
        <f t="shared" si="23"/>
        <v xml:space="preserve">N215T   </v>
      </c>
      <c r="BF512">
        <v>1</v>
      </c>
      <c r="BH512">
        <v>0</v>
      </c>
      <c r="BI512">
        <v>0</v>
      </c>
      <c r="BJ512">
        <v>0</v>
      </c>
      <c r="BK512">
        <v>2425</v>
      </c>
      <c r="BL512">
        <v>425</v>
      </c>
      <c r="BM512" t="s">
        <v>119</v>
      </c>
      <c r="BN512">
        <v>1</v>
      </c>
      <c r="BO512">
        <v>1</v>
      </c>
      <c r="BP512">
        <v>1</v>
      </c>
      <c r="BQ512">
        <v>0</v>
      </c>
      <c r="BT512">
        <v>0</v>
      </c>
      <c r="BU512">
        <v>0</v>
      </c>
      <c r="BV512">
        <v>0</v>
      </c>
      <c r="CC512" t="str">
        <f>"18:43:01.836"</f>
        <v>18:43:01.836</v>
      </c>
      <c r="CD512" t="str">
        <f>"839388272"</f>
        <v>839388272</v>
      </c>
      <c r="CQ512">
        <v>0</v>
      </c>
      <c r="CR512">
        <v>2</v>
      </c>
      <c r="CS512">
        <v>0</v>
      </c>
      <c r="CT512">
        <v>2</v>
      </c>
      <c r="CU512">
        <v>0</v>
      </c>
      <c r="CV512">
        <v>5</v>
      </c>
      <c r="CW512" t="s">
        <v>120</v>
      </c>
      <c r="CX512">
        <v>261</v>
      </c>
      <c r="CY512">
        <v>2</v>
      </c>
      <c r="CZ512" t="s">
        <v>121</v>
      </c>
      <c r="DA512" t="s">
        <v>122</v>
      </c>
      <c r="DD512">
        <v>14518238</v>
      </c>
      <c r="DE512" t="s">
        <v>123</v>
      </c>
    </row>
    <row r="513" spans="1:109" x14ac:dyDescent="0.3">
      <c r="A513" t="str">
        <f>"18:43:02.992"</f>
        <v>18:43:02.992</v>
      </c>
      <c r="B513" t="s">
        <v>110</v>
      </c>
      <c r="C513" t="str">
        <f t="shared" si="21"/>
        <v>ffdfd3c0</v>
      </c>
      <c r="D513" t="s">
        <v>111</v>
      </c>
      <c r="E513">
        <v>18</v>
      </c>
      <c r="F513">
        <v>1018</v>
      </c>
      <c r="G513" t="s">
        <v>112</v>
      </c>
      <c r="J513" t="s">
        <v>113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R513" t="s">
        <v>114</v>
      </c>
      <c r="S513" t="str">
        <f>"18:43:02.766"</f>
        <v>18:43:02.766</v>
      </c>
      <c r="T513" t="str">
        <f>"18:43:02.766"</f>
        <v>18:43:02.766</v>
      </c>
      <c r="U513" t="str">
        <f t="shared" si="22"/>
        <v>a1cdbe</v>
      </c>
      <c r="V513">
        <v>0</v>
      </c>
      <c r="W513">
        <v>0</v>
      </c>
      <c r="X513">
        <v>1</v>
      </c>
      <c r="Y513">
        <v>0</v>
      </c>
      <c r="Z513">
        <v>0</v>
      </c>
      <c r="AB513">
        <v>0</v>
      </c>
      <c r="AC513">
        <v>9</v>
      </c>
      <c r="AD513">
        <v>3</v>
      </c>
      <c r="AE513">
        <v>0</v>
      </c>
      <c r="AF513">
        <v>9</v>
      </c>
      <c r="AG513" t="s">
        <v>158</v>
      </c>
      <c r="AH513">
        <v>0</v>
      </c>
      <c r="AI513">
        <v>3</v>
      </c>
      <c r="AJ513">
        <v>1</v>
      </c>
      <c r="AK513">
        <v>0</v>
      </c>
      <c r="AL513" t="s">
        <v>1095</v>
      </c>
      <c r="AM513">
        <v>46.952047</v>
      </c>
      <c r="AN513" t="s">
        <v>1096</v>
      </c>
      <c r="AO513">
        <v>-122.326713</v>
      </c>
      <c r="AP513">
        <v>100</v>
      </c>
      <c r="AQ513">
        <v>2000</v>
      </c>
      <c r="AR513" t="s">
        <v>118</v>
      </c>
      <c r="AS513">
        <v>-20</v>
      </c>
      <c r="AT513">
        <v>-76</v>
      </c>
      <c r="AU513">
        <v>0</v>
      </c>
      <c r="BC513">
        <v>1200</v>
      </c>
      <c r="BD513">
        <v>1</v>
      </c>
      <c r="BE513" t="str">
        <f t="shared" si="23"/>
        <v xml:space="preserve">N215T   </v>
      </c>
      <c r="BF513">
        <v>1</v>
      </c>
      <c r="BH513">
        <v>0</v>
      </c>
      <c r="BI513">
        <v>0</v>
      </c>
      <c r="BJ513">
        <v>0</v>
      </c>
      <c r="BK513">
        <v>2425</v>
      </c>
      <c r="BL513">
        <v>425</v>
      </c>
      <c r="BM513" t="s">
        <v>119</v>
      </c>
      <c r="BN513">
        <v>1</v>
      </c>
      <c r="BO513">
        <v>1</v>
      </c>
      <c r="BP513">
        <v>1</v>
      </c>
      <c r="BQ513">
        <v>0</v>
      </c>
      <c r="BT513">
        <v>0</v>
      </c>
      <c r="BU513">
        <v>0</v>
      </c>
      <c r="BV513">
        <v>0</v>
      </c>
      <c r="CC513" t="str">
        <f>"18:43:02.766"</f>
        <v>18:43:02.766</v>
      </c>
      <c r="CD513" t="str">
        <f>"769491814"</f>
        <v>769491814</v>
      </c>
      <c r="CQ513">
        <v>0</v>
      </c>
      <c r="CR513">
        <v>2</v>
      </c>
      <c r="CS513">
        <v>0</v>
      </c>
      <c r="CT513">
        <v>2</v>
      </c>
      <c r="CU513">
        <v>0</v>
      </c>
      <c r="CV513">
        <v>4</v>
      </c>
      <c r="CW513" t="s">
        <v>120</v>
      </c>
      <c r="CX513">
        <v>257</v>
      </c>
      <c r="CY513">
        <v>1</v>
      </c>
      <c r="CZ513" t="s">
        <v>615</v>
      </c>
      <c r="DA513" t="s">
        <v>616</v>
      </c>
      <c r="DD513">
        <v>10790859</v>
      </c>
      <c r="DE513" t="s">
        <v>123</v>
      </c>
    </row>
    <row r="514" spans="1:109" x14ac:dyDescent="0.3">
      <c r="A514" t="str">
        <f>"18:43:04.047"</f>
        <v>18:43:04.047</v>
      </c>
      <c r="B514" t="s">
        <v>110</v>
      </c>
      <c r="C514" t="str">
        <f t="shared" ref="C514:C577" si="24">"ffdfd3c0"</f>
        <v>ffdfd3c0</v>
      </c>
      <c r="D514" t="s">
        <v>111</v>
      </c>
      <c r="E514">
        <v>18</v>
      </c>
      <c r="F514">
        <v>1018</v>
      </c>
      <c r="G514" t="s">
        <v>112</v>
      </c>
      <c r="J514" t="s">
        <v>113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R514" t="s">
        <v>114</v>
      </c>
      <c r="S514" t="str">
        <f>"18:43:03.789"</f>
        <v>18:43:03.789</v>
      </c>
      <c r="T514" t="str">
        <f>"18:43:03.289"</f>
        <v>18:43:03.289</v>
      </c>
      <c r="U514" t="str">
        <f t="shared" ref="U514:U577" si="25">"a1cdbe"</f>
        <v>a1cdbe</v>
      </c>
      <c r="V514">
        <v>0</v>
      </c>
      <c r="W514">
        <v>0</v>
      </c>
      <c r="X514">
        <v>1</v>
      </c>
      <c r="Y514">
        <v>0</v>
      </c>
      <c r="Z514">
        <v>0</v>
      </c>
      <c r="AB514">
        <v>0</v>
      </c>
      <c r="AC514">
        <v>9</v>
      </c>
      <c r="AD514">
        <v>3</v>
      </c>
      <c r="AE514">
        <v>0</v>
      </c>
      <c r="AF514">
        <v>9</v>
      </c>
      <c r="AG514" t="s">
        <v>158</v>
      </c>
      <c r="AH514">
        <v>0</v>
      </c>
      <c r="AI514">
        <v>3</v>
      </c>
      <c r="AJ514">
        <v>1</v>
      </c>
      <c r="AK514">
        <v>0</v>
      </c>
      <c r="AL514" t="s">
        <v>1097</v>
      </c>
      <c r="AM514">
        <v>46.951661000000001</v>
      </c>
      <c r="AN514" t="s">
        <v>1098</v>
      </c>
      <c r="AO514">
        <v>-122.326841</v>
      </c>
      <c r="AP514">
        <v>100</v>
      </c>
      <c r="AQ514">
        <v>2000</v>
      </c>
      <c r="AR514" t="s">
        <v>118</v>
      </c>
      <c r="AS514">
        <v>-19</v>
      </c>
      <c r="AT514">
        <v>-76</v>
      </c>
      <c r="AU514">
        <v>0</v>
      </c>
      <c r="BC514">
        <v>1200</v>
      </c>
      <c r="BD514">
        <v>1</v>
      </c>
      <c r="BE514" t="str">
        <f t="shared" ref="BE514:BE577" si="26">"N215T   "</f>
        <v xml:space="preserve">N215T   </v>
      </c>
      <c r="BF514">
        <v>1</v>
      </c>
      <c r="BH514">
        <v>0</v>
      </c>
      <c r="BI514">
        <v>0</v>
      </c>
      <c r="BJ514">
        <v>0</v>
      </c>
      <c r="BK514">
        <v>2400</v>
      </c>
      <c r="BL514">
        <v>400</v>
      </c>
      <c r="BM514" t="s">
        <v>119</v>
      </c>
      <c r="BN514">
        <v>1</v>
      </c>
      <c r="BO514">
        <v>1</v>
      </c>
      <c r="BP514">
        <v>1</v>
      </c>
      <c r="BQ514">
        <v>0</v>
      </c>
      <c r="BT514">
        <v>0</v>
      </c>
      <c r="BU514">
        <v>0</v>
      </c>
      <c r="BV514">
        <v>0</v>
      </c>
      <c r="CC514" t="str">
        <f>"18:43:03.789"</f>
        <v>18:43:03.789</v>
      </c>
      <c r="CD514" t="str">
        <f>"789391300"</f>
        <v>789391300</v>
      </c>
      <c r="CQ514">
        <v>0</v>
      </c>
      <c r="CR514">
        <v>2</v>
      </c>
      <c r="CS514">
        <v>0</v>
      </c>
      <c r="CT514">
        <v>2</v>
      </c>
      <c r="CU514">
        <v>0</v>
      </c>
      <c r="CV514">
        <v>4</v>
      </c>
      <c r="CW514" t="s">
        <v>120</v>
      </c>
      <c r="CX514">
        <v>257</v>
      </c>
      <c r="CY514">
        <v>1</v>
      </c>
      <c r="CZ514" t="s">
        <v>615</v>
      </c>
      <c r="DA514" t="s">
        <v>616</v>
      </c>
      <c r="DD514">
        <v>10791491</v>
      </c>
      <c r="DE514" t="s">
        <v>123</v>
      </c>
    </row>
    <row r="515" spans="1:109" x14ac:dyDescent="0.3">
      <c r="A515" t="str">
        <f>"18:43:04.906"</f>
        <v>18:43:04.906</v>
      </c>
      <c r="B515" t="s">
        <v>110</v>
      </c>
      <c r="C515" t="str">
        <f t="shared" si="24"/>
        <v>ffdfd3c0</v>
      </c>
      <c r="D515" t="s">
        <v>111</v>
      </c>
      <c r="E515">
        <v>18</v>
      </c>
      <c r="F515">
        <v>1018</v>
      </c>
      <c r="G515" t="s">
        <v>112</v>
      </c>
      <c r="J515" t="s">
        <v>113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R515" t="s">
        <v>114</v>
      </c>
      <c r="S515" t="str">
        <f>"18:43:04.672"</f>
        <v>18:43:04.672</v>
      </c>
      <c r="T515" t="str">
        <f>"18:43:04.273"</f>
        <v>18:43:04.273</v>
      </c>
      <c r="U515" t="str">
        <f t="shared" si="25"/>
        <v>a1cdbe</v>
      </c>
      <c r="V515">
        <v>0</v>
      </c>
      <c r="W515">
        <v>0</v>
      </c>
      <c r="X515">
        <v>1</v>
      </c>
      <c r="Y515">
        <v>0</v>
      </c>
      <c r="Z515">
        <v>0</v>
      </c>
      <c r="AB515">
        <v>0</v>
      </c>
      <c r="AC515">
        <v>9</v>
      </c>
      <c r="AD515">
        <v>3</v>
      </c>
      <c r="AE515">
        <v>0</v>
      </c>
      <c r="AF515">
        <v>9</v>
      </c>
      <c r="AG515" t="s">
        <v>158</v>
      </c>
      <c r="AH515">
        <v>0</v>
      </c>
      <c r="AI515">
        <v>3</v>
      </c>
      <c r="AJ515">
        <v>1</v>
      </c>
      <c r="AK515">
        <v>0</v>
      </c>
      <c r="AL515" t="s">
        <v>1099</v>
      </c>
      <c r="AM515">
        <v>46.951382000000002</v>
      </c>
      <c r="AN515" t="s">
        <v>1100</v>
      </c>
      <c r="AO515">
        <v>-122.326992</v>
      </c>
      <c r="AP515">
        <v>100</v>
      </c>
      <c r="AQ515">
        <v>2000</v>
      </c>
      <c r="AR515" t="s">
        <v>118</v>
      </c>
      <c r="AS515">
        <v>-19</v>
      </c>
      <c r="AT515">
        <v>-77</v>
      </c>
      <c r="AU515">
        <v>-128</v>
      </c>
      <c r="BC515">
        <v>1200</v>
      </c>
      <c r="BD515">
        <v>1</v>
      </c>
      <c r="BE515" t="str">
        <f t="shared" si="26"/>
        <v xml:space="preserve">N215T   </v>
      </c>
      <c r="BF515">
        <v>1</v>
      </c>
      <c r="BH515">
        <v>0</v>
      </c>
      <c r="BI515">
        <v>0</v>
      </c>
      <c r="BJ515">
        <v>0</v>
      </c>
      <c r="BK515">
        <v>2400</v>
      </c>
      <c r="BL515">
        <v>400</v>
      </c>
      <c r="BM515" t="s">
        <v>119</v>
      </c>
      <c r="BN515">
        <v>1</v>
      </c>
      <c r="BO515">
        <v>1</v>
      </c>
      <c r="BP515">
        <v>1</v>
      </c>
      <c r="BQ515">
        <v>0</v>
      </c>
      <c r="BT515">
        <v>0</v>
      </c>
      <c r="BU515">
        <v>0</v>
      </c>
      <c r="BV515">
        <v>0</v>
      </c>
      <c r="CC515" t="str">
        <f>"18:43:04.672"</f>
        <v>18:43:04.672</v>
      </c>
      <c r="CD515" t="str">
        <f>"674109456"</f>
        <v>674109456</v>
      </c>
      <c r="CQ515">
        <v>0</v>
      </c>
      <c r="CR515">
        <v>2</v>
      </c>
      <c r="CS515">
        <v>0</v>
      </c>
      <c r="CT515">
        <v>2</v>
      </c>
      <c r="CU515">
        <v>0</v>
      </c>
      <c r="CV515">
        <v>4</v>
      </c>
      <c r="CW515" t="s">
        <v>120</v>
      </c>
      <c r="CX515">
        <v>261</v>
      </c>
      <c r="CY515">
        <v>1</v>
      </c>
      <c r="CZ515" t="s">
        <v>121</v>
      </c>
      <c r="DA515" t="s">
        <v>122</v>
      </c>
      <c r="DD515">
        <v>3408459</v>
      </c>
      <c r="DE515" t="s">
        <v>123</v>
      </c>
    </row>
    <row r="516" spans="1:109" x14ac:dyDescent="0.3">
      <c r="A516" t="str">
        <f>"18:43:05.906"</f>
        <v>18:43:05.906</v>
      </c>
      <c r="B516" t="s">
        <v>110</v>
      </c>
      <c r="C516" t="str">
        <f t="shared" si="24"/>
        <v>ffdfd3c0</v>
      </c>
      <c r="D516" t="s">
        <v>111</v>
      </c>
      <c r="E516">
        <v>18</v>
      </c>
      <c r="F516">
        <v>1018</v>
      </c>
      <c r="G516" t="s">
        <v>112</v>
      </c>
      <c r="J516" t="s">
        <v>113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R516" t="s">
        <v>114</v>
      </c>
      <c r="S516" t="str">
        <f>"18:43:05.672"</f>
        <v>18:43:05.672</v>
      </c>
      <c r="T516" t="str">
        <f>"18:43:05.672"</f>
        <v>18:43:05.672</v>
      </c>
      <c r="U516" t="str">
        <f t="shared" si="25"/>
        <v>a1cdbe</v>
      </c>
      <c r="V516">
        <v>0</v>
      </c>
      <c r="W516">
        <v>0</v>
      </c>
      <c r="X516">
        <v>1</v>
      </c>
      <c r="Y516">
        <v>0</v>
      </c>
      <c r="Z516">
        <v>0</v>
      </c>
      <c r="AB516">
        <v>0</v>
      </c>
      <c r="AC516">
        <v>9</v>
      </c>
      <c r="AD516">
        <v>3</v>
      </c>
      <c r="AE516">
        <v>0</v>
      </c>
      <c r="AF516">
        <v>9</v>
      </c>
      <c r="AG516" t="s">
        <v>158</v>
      </c>
      <c r="AH516">
        <v>0</v>
      </c>
      <c r="AI516">
        <v>3</v>
      </c>
      <c r="AJ516">
        <v>1</v>
      </c>
      <c r="AK516">
        <v>0</v>
      </c>
      <c r="AL516" t="s">
        <v>1101</v>
      </c>
      <c r="AM516">
        <v>46.950996000000004</v>
      </c>
      <c r="AN516" t="s">
        <v>1102</v>
      </c>
      <c r="AO516">
        <v>-122.327056</v>
      </c>
      <c r="AP516">
        <v>100</v>
      </c>
      <c r="AQ516">
        <v>2000</v>
      </c>
      <c r="AR516" t="s">
        <v>118</v>
      </c>
      <c r="AS516">
        <v>-17</v>
      </c>
      <c r="AT516">
        <v>-77</v>
      </c>
      <c r="AU516">
        <v>0</v>
      </c>
      <c r="BC516">
        <v>1200</v>
      </c>
      <c r="BD516">
        <v>1</v>
      </c>
      <c r="BE516" t="str">
        <f t="shared" si="26"/>
        <v xml:space="preserve">N215T   </v>
      </c>
      <c r="BF516">
        <v>1</v>
      </c>
      <c r="BH516">
        <v>0</v>
      </c>
      <c r="BI516">
        <v>0</v>
      </c>
      <c r="BJ516">
        <v>0</v>
      </c>
      <c r="BK516">
        <v>2400</v>
      </c>
      <c r="BL516">
        <v>400</v>
      </c>
      <c r="BM516" t="s">
        <v>119</v>
      </c>
      <c r="BN516">
        <v>1</v>
      </c>
      <c r="BO516">
        <v>1</v>
      </c>
      <c r="BP516">
        <v>1</v>
      </c>
      <c r="BQ516">
        <v>0</v>
      </c>
      <c r="BT516">
        <v>0</v>
      </c>
      <c r="BU516">
        <v>0</v>
      </c>
      <c r="BV516">
        <v>0</v>
      </c>
      <c r="CC516" t="str">
        <f>"18:43:05.680"</f>
        <v>18:43:05.680</v>
      </c>
      <c r="CD516" t="str">
        <f>"679205077"</f>
        <v>679205077</v>
      </c>
      <c r="CQ516">
        <v>0</v>
      </c>
      <c r="CR516">
        <v>2</v>
      </c>
      <c r="CS516">
        <v>0</v>
      </c>
      <c r="CT516">
        <v>2</v>
      </c>
      <c r="CU516">
        <v>0</v>
      </c>
      <c r="CV516">
        <v>4</v>
      </c>
      <c r="CW516" t="s">
        <v>120</v>
      </c>
      <c r="CX516">
        <v>257</v>
      </c>
      <c r="CY516">
        <v>1</v>
      </c>
      <c r="CZ516" t="s">
        <v>615</v>
      </c>
      <c r="DA516" t="s">
        <v>616</v>
      </c>
      <c r="DD516">
        <v>10792730</v>
      </c>
      <c r="DE516" t="s">
        <v>123</v>
      </c>
    </row>
    <row r="517" spans="1:109" x14ac:dyDescent="0.3">
      <c r="A517" t="str">
        <f>"18:43:06.969"</f>
        <v>18:43:06.969</v>
      </c>
      <c r="B517" t="s">
        <v>110</v>
      </c>
      <c r="C517" t="str">
        <f t="shared" si="24"/>
        <v>ffdfd3c0</v>
      </c>
      <c r="D517" t="s">
        <v>111</v>
      </c>
      <c r="E517">
        <v>18</v>
      </c>
      <c r="F517">
        <v>1018</v>
      </c>
      <c r="G517" t="s">
        <v>112</v>
      </c>
      <c r="J517" t="s">
        <v>113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R517" t="s">
        <v>114</v>
      </c>
      <c r="S517" t="str">
        <f>"18:43:06.758"</f>
        <v>18:43:06.758</v>
      </c>
      <c r="T517" t="str">
        <f>"18:43:06.758"</f>
        <v>18:43:06.758</v>
      </c>
      <c r="U517" t="str">
        <f t="shared" si="25"/>
        <v>a1cdbe</v>
      </c>
      <c r="V517">
        <v>0</v>
      </c>
      <c r="W517">
        <v>0</v>
      </c>
      <c r="X517">
        <v>1</v>
      </c>
      <c r="Y517">
        <v>0</v>
      </c>
      <c r="Z517">
        <v>0</v>
      </c>
      <c r="AB517">
        <v>0</v>
      </c>
      <c r="AC517">
        <v>9</v>
      </c>
      <c r="AD517">
        <v>3</v>
      </c>
      <c r="AE517">
        <v>0</v>
      </c>
      <c r="AF517">
        <v>9</v>
      </c>
      <c r="AG517" t="s">
        <v>158</v>
      </c>
      <c r="AH517">
        <v>0</v>
      </c>
      <c r="AI517">
        <v>3</v>
      </c>
      <c r="AJ517">
        <v>1</v>
      </c>
      <c r="AK517">
        <v>0</v>
      </c>
      <c r="AL517" t="s">
        <v>1103</v>
      </c>
      <c r="AM517">
        <v>46.950631000000001</v>
      </c>
      <c r="AN517" t="s">
        <v>1104</v>
      </c>
      <c r="AO517">
        <v>-122.327206</v>
      </c>
      <c r="AP517">
        <v>100</v>
      </c>
      <c r="AQ517">
        <v>2000</v>
      </c>
      <c r="AR517" t="s">
        <v>118</v>
      </c>
      <c r="AS517">
        <v>-18</v>
      </c>
      <c r="AT517">
        <v>-77</v>
      </c>
      <c r="AU517">
        <v>-128</v>
      </c>
      <c r="BC517">
        <v>1200</v>
      </c>
      <c r="BD517">
        <v>1</v>
      </c>
      <c r="BE517" t="str">
        <f t="shared" si="26"/>
        <v xml:space="preserve">N215T   </v>
      </c>
      <c r="BF517">
        <v>1</v>
      </c>
      <c r="BH517">
        <v>0</v>
      </c>
      <c r="BI517">
        <v>0</v>
      </c>
      <c r="BJ517">
        <v>0</v>
      </c>
      <c r="BK517">
        <v>2400</v>
      </c>
      <c r="BL517">
        <v>400</v>
      </c>
      <c r="BM517" t="s">
        <v>119</v>
      </c>
      <c r="BN517">
        <v>1</v>
      </c>
      <c r="BO517">
        <v>1</v>
      </c>
      <c r="BP517">
        <v>1</v>
      </c>
      <c r="BQ517">
        <v>0</v>
      </c>
      <c r="BT517">
        <v>0</v>
      </c>
      <c r="BU517">
        <v>0</v>
      </c>
      <c r="BV517">
        <v>0</v>
      </c>
      <c r="CC517" t="str">
        <f>"18:43:06.758"</f>
        <v>18:43:06.758</v>
      </c>
      <c r="CD517" t="str">
        <f>"759098655"</f>
        <v>759098655</v>
      </c>
      <c r="CQ517">
        <v>0</v>
      </c>
      <c r="CR517">
        <v>2</v>
      </c>
      <c r="CS517">
        <v>0</v>
      </c>
      <c r="CT517">
        <v>2</v>
      </c>
      <c r="CU517">
        <v>0</v>
      </c>
      <c r="CV517">
        <v>4</v>
      </c>
      <c r="CW517" t="s">
        <v>120</v>
      </c>
      <c r="CX517">
        <v>257</v>
      </c>
      <c r="CY517">
        <v>1</v>
      </c>
      <c r="CZ517" t="s">
        <v>615</v>
      </c>
      <c r="DA517" t="s">
        <v>616</v>
      </c>
      <c r="DD517">
        <v>10793415</v>
      </c>
      <c r="DE517" t="s">
        <v>123</v>
      </c>
    </row>
    <row r="518" spans="1:109" x14ac:dyDescent="0.3">
      <c r="A518" t="str">
        <f>"18:43:08.070"</f>
        <v>18:43:08.070</v>
      </c>
      <c r="B518" t="s">
        <v>110</v>
      </c>
      <c r="C518" t="str">
        <f t="shared" si="24"/>
        <v>ffdfd3c0</v>
      </c>
      <c r="D518" t="s">
        <v>111</v>
      </c>
      <c r="E518">
        <v>18</v>
      </c>
      <c r="F518">
        <v>1018</v>
      </c>
      <c r="G518" t="s">
        <v>112</v>
      </c>
      <c r="J518" t="s">
        <v>113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R518" t="s">
        <v>114</v>
      </c>
      <c r="S518" t="str">
        <f>"18:43:07.852"</f>
        <v>18:43:07.852</v>
      </c>
      <c r="T518" t="str">
        <f>"18:43:07.648"</f>
        <v>18:43:07.648</v>
      </c>
      <c r="U518" t="str">
        <f t="shared" si="25"/>
        <v>a1cdbe</v>
      </c>
      <c r="V518">
        <v>0</v>
      </c>
      <c r="W518">
        <v>0</v>
      </c>
      <c r="X518">
        <v>1</v>
      </c>
      <c r="Y518">
        <v>0</v>
      </c>
      <c r="Z518">
        <v>0</v>
      </c>
      <c r="AB518">
        <v>0</v>
      </c>
      <c r="AC518">
        <v>9</v>
      </c>
      <c r="AD518">
        <v>3</v>
      </c>
      <c r="AE518">
        <v>0</v>
      </c>
      <c r="AF518">
        <v>9</v>
      </c>
      <c r="AG518" t="s">
        <v>158</v>
      </c>
      <c r="AH518">
        <v>0</v>
      </c>
      <c r="AI518">
        <v>3</v>
      </c>
      <c r="AJ518">
        <v>1</v>
      </c>
      <c r="AK518">
        <v>0</v>
      </c>
      <c r="AL518" t="s">
        <v>1105</v>
      </c>
      <c r="AM518">
        <v>46.950223000000001</v>
      </c>
      <c r="AN518" t="s">
        <v>1106</v>
      </c>
      <c r="AO518">
        <v>-122.32733500000001</v>
      </c>
      <c r="AP518">
        <v>100</v>
      </c>
      <c r="AQ518">
        <v>2000</v>
      </c>
      <c r="AR518" t="s">
        <v>118</v>
      </c>
      <c r="AS518">
        <v>-19</v>
      </c>
      <c r="AT518">
        <v>-78</v>
      </c>
      <c r="AU518">
        <v>-64</v>
      </c>
      <c r="BC518">
        <v>1200</v>
      </c>
      <c r="BD518">
        <v>1</v>
      </c>
      <c r="BE518" t="str">
        <f t="shared" si="26"/>
        <v xml:space="preserve">N215T   </v>
      </c>
      <c r="BF518">
        <v>1</v>
      </c>
      <c r="BH518">
        <v>0</v>
      </c>
      <c r="BI518">
        <v>0</v>
      </c>
      <c r="BJ518">
        <v>0</v>
      </c>
      <c r="BK518">
        <v>2400</v>
      </c>
      <c r="BL518">
        <v>400</v>
      </c>
      <c r="BM518" t="s">
        <v>119</v>
      </c>
      <c r="BN518">
        <v>1</v>
      </c>
      <c r="BO518">
        <v>1</v>
      </c>
      <c r="BP518">
        <v>1</v>
      </c>
      <c r="BQ518">
        <v>0</v>
      </c>
      <c r="BT518">
        <v>0</v>
      </c>
      <c r="BU518">
        <v>0</v>
      </c>
      <c r="BV518">
        <v>0</v>
      </c>
      <c r="CC518" t="str">
        <f>"18:43:07.852"</f>
        <v>18:43:07.852</v>
      </c>
      <c r="CD518" t="str">
        <f>"853796741"</f>
        <v>853796741</v>
      </c>
      <c r="CQ518">
        <v>0</v>
      </c>
      <c r="CR518">
        <v>2</v>
      </c>
      <c r="CS518">
        <v>0</v>
      </c>
      <c r="CT518">
        <v>2</v>
      </c>
      <c r="CU518">
        <v>0</v>
      </c>
      <c r="CV518">
        <v>4</v>
      </c>
      <c r="CW518" t="s">
        <v>120</v>
      </c>
      <c r="CX518">
        <v>261</v>
      </c>
      <c r="CY518">
        <v>1</v>
      </c>
      <c r="CZ518" t="s">
        <v>121</v>
      </c>
      <c r="DA518" t="s">
        <v>122</v>
      </c>
      <c r="DD518">
        <v>3410190</v>
      </c>
      <c r="DE518" t="s">
        <v>123</v>
      </c>
    </row>
    <row r="519" spans="1:109" x14ac:dyDescent="0.3">
      <c r="A519" t="str">
        <f>"18:43:09.078"</f>
        <v>18:43:09.078</v>
      </c>
      <c r="B519" t="s">
        <v>110</v>
      </c>
      <c r="C519" t="str">
        <f t="shared" si="24"/>
        <v>ffdfd3c0</v>
      </c>
      <c r="D519" t="s">
        <v>111</v>
      </c>
      <c r="E519">
        <v>18</v>
      </c>
      <c r="F519">
        <v>1018</v>
      </c>
      <c r="G519" t="s">
        <v>112</v>
      </c>
      <c r="J519" t="s">
        <v>113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R519" t="s">
        <v>114</v>
      </c>
      <c r="S519" t="str">
        <f>"18:43:08.867"</f>
        <v>18:43:08.867</v>
      </c>
      <c r="T519" t="str">
        <f>"18:43:08.766"</f>
        <v>18:43:08.766</v>
      </c>
      <c r="U519" t="str">
        <f t="shared" si="25"/>
        <v>a1cdbe</v>
      </c>
      <c r="V519">
        <v>0</v>
      </c>
      <c r="W519">
        <v>0</v>
      </c>
      <c r="X519">
        <v>1</v>
      </c>
      <c r="Y519">
        <v>0</v>
      </c>
      <c r="Z519">
        <v>0</v>
      </c>
      <c r="AB519">
        <v>0</v>
      </c>
      <c r="AC519">
        <v>9</v>
      </c>
      <c r="AD519">
        <v>3</v>
      </c>
      <c r="AE519">
        <v>0</v>
      </c>
      <c r="AF519">
        <v>9</v>
      </c>
      <c r="AG519" t="s">
        <v>158</v>
      </c>
      <c r="AH519">
        <v>0</v>
      </c>
      <c r="AI519">
        <v>3</v>
      </c>
      <c r="AJ519">
        <v>1</v>
      </c>
      <c r="AK519">
        <v>0</v>
      </c>
      <c r="AL519" t="s">
        <v>1107</v>
      </c>
      <c r="AM519">
        <v>46.949837000000002</v>
      </c>
      <c r="AN519" t="s">
        <v>1108</v>
      </c>
      <c r="AO519">
        <v>-122.327485</v>
      </c>
      <c r="AP519">
        <v>100</v>
      </c>
      <c r="AQ519">
        <v>2000</v>
      </c>
      <c r="AR519" t="s">
        <v>118</v>
      </c>
      <c r="AS519">
        <v>-19</v>
      </c>
      <c r="AT519">
        <v>-78</v>
      </c>
      <c r="AU519">
        <v>-64</v>
      </c>
      <c r="BC519">
        <v>1200</v>
      </c>
      <c r="BD519">
        <v>1</v>
      </c>
      <c r="BE519" t="str">
        <f t="shared" si="26"/>
        <v xml:space="preserve">N215T   </v>
      </c>
      <c r="BF519">
        <v>1</v>
      </c>
      <c r="BH519">
        <v>0</v>
      </c>
      <c r="BI519">
        <v>0</v>
      </c>
      <c r="BJ519">
        <v>0</v>
      </c>
      <c r="BK519">
        <v>2400</v>
      </c>
      <c r="BL519">
        <v>400</v>
      </c>
      <c r="BM519" t="s">
        <v>119</v>
      </c>
      <c r="BN519">
        <v>1</v>
      </c>
      <c r="BO519">
        <v>1</v>
      </c>
      <c r="BP519">
        <v>1</v>
      </c>
      <c r="BQ519">
        <v>0</v>
      </c>
      <c r="BT519">
        <v>0</v>
      </c>
      <c r="BU519">
        <v>0</v>
      </c>
      <c r="BV519">
        <v>0</v>
      </c>
      <c r="CC519" t="str">
        <f>"18:43:08.875"</f>
        <v>18:43:08.875</v>
      </c>
      <c r="CD519" t="str">
        <f>"873696446"</f>
        <v>873696446</v>
      </c>
      <c r="CQ519">
        <v>0</v>
      </c>
      <c r="CR519">
        <v>2</v>
      </c>
      <c r="CS519">
        <v>0</v>
      </c>
      <c r="CT519">
        <v>2</v>
      </c>
      <c r="CU519">
        <v>0</v>
      </c>
      <c r="CV519">
        <v>4</v>
      </c>
      <c r="CW519" t="s">
        <v>120</v>
      </c>
      <c r="CX519">
        <v>261</v>
      </c>
      <c r="CY519">
        <v>1</v>
      </c>
      <c r="CZ519" t="s">
        <v>121</v>
      </c>
      <c r="DA519" t="s">
        <v>122</v>
      </c>
      <c r="DD519">
        <v>3410754</v>
      </c>
      <c r="DE519" t="s">
        <v>123</v>
      </c>
    </row>
    <row r="520" spans="1:109" x14ac:dyDescent="0.3">
      <c r="A520" t="str">
        <f>"18:43:10.086"</f>
        <v>18:43:10.086</v>
      </c>
      <c r="B520" t="s">
        <v>110</v>
      </c>
      <c r="C520" t="str">
        <f t="shared" si="24"/>
        <v>ffdfd3c0</v>
      </c>
      <c r="D520" t="s">
        <v>111</v>
      </c>
      <c r="E520">
        <v>18</v>
      </c>
      <c r="F520">
        <v>1018</v>
      </c>
      <c r="G520" t="s">
        <v>112</v>
      </c>
      <c r="J520" t="s">
        <v>113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R520" t="s">
        <v>114</v>
      </c>
      <c r="S520" t="str">
        <f>"18:43:09.828"</f>
        <v>18:43:09.828</v>
      </c>
      <c r="T520" t="str">
        <f>"18:43:09.828"</f>
        <v>18:43:09.828</v>
      </c>
      <c r="U520" t="str">
        <f t="shared" si="25"/>
        <v>a1cdbe</v>
      </c>
      <c r="V520">
        <v>0</v>
      </c>
      <c r="W520">
        <v>0</v>
      </c>
      <c r="X520">
        <v>1</v>
      </c>
      <c r="Y520">
        <v>0</v>
      </c>
      <c r="Z520">
        <v>0</v>
      </c>
      <c r="AB520">
        <v>0</v>
      </c>
      <c r="AC520">
        <v>9</v>
      </c>
      <c r="AD520">
        <v>3</v>
      </c>
      <c r="AE520">
        <v>0</v>
      </c>
      <c r="AF520">
        <v>9</v>
      </c>
      <c r="AG520" t="s">
        <v>158</v>
      </c>
      <c r="AH520">
        <v>0</v>
      </c>
      <c r="AI520">
        <v>3</v>
      </c>
      <c r="AJ520">
        <v>1</v>
      </c>
      <c r="AK520">
        <v>0</v>
      </c>
      <c r="AL520" t="s">
        <v>1109</v>
      </c>
      <c r="AM520">
        <v>46.949514999999998</v>
      </c>
      <c r="AN520" t="s">
        <v>1110</v>
      </c>
      <c r="AO520">
        <v>-122.327614</v>
      </c>
      <c r="AP520">
        <v>100</v>
      </c>
      <c r="AQ520">
        <v>2000</v>
      </c>
      <c r="AR520" t="s">
        <v>118</v>
      </c>
      <c r="AS520">
        <v>-19</v>
      </c>
      <c r="AT520">
        <v>-78</v>
      </c>
      <c r="AU520">
        <v>-64</v>
      </c>
      <c r="BC520">
        <v>1200</v>
      </c>
      <c r="BD520">
        <v>1</v>
      </c>
      <c r="BE520" t="str">
        <f t="shared" si="26"/>
        <v xml:space="preserve">N215T   </v>
      </c>
      <c r="BF520">
        <v>1</v>
      </c>
      <c r="BH520">
        <v>0</v>
      </c>
      <c r="BI520">
        <v>0</v>
      </c>
      <c r="BJ520">
        <v>0</v>
      </c>
      <c r="BK520">
        <v>2400</v>
      </c>
      <c r="BL520">
        <v>400</v>
      </c>
      <c r="BM520" t="s">
        <v>119</v>
      </c>
      <c r="BN520">
        <v>1</v>
      </c>
      <c r="BO520">
        <v>1</v>
      </c>
      <c r="BP520">
        <v>1</v>
      </c>
      <c r="BQ520">
        <v>0</v>
      </c>
      <c r="BT520">
        <v>0</v>
      </c>
      <c r="BU520">
        <v>0</v>
      </c>
      <c r="BV520">
        <v>0</v>
      </c>
      <c r="CC520" t="str">
        <f>"18:43:09.836"</f>
        <v>18:43:09.836</v>
      </c>
      <c r="CD520" t="str">
        <f>"833602057"</f>
        <v>833602057</v>
      </c>
      <c r="CQ520">
        <v>0</v>
      </c>
      <c r="CR520">
        <v>2</v>
      </c>
      <c r="CS520">
        <v>0</v>
      </c>
      <c r="CT520">
        <v>2</v>
      </c>
      <c r="CU520">
        <v>0</v>
      </c>
      <c r="CV520">
        <v>4</v>
      </c>
      <c r="CW520" t="s">
        <v>120</v>
      </c>
      <c r="CX520">
        <v>261</v>
      </c>
      <c r="CY520">
        <v>1</v>
      </c>
      <c r="CZ520" t="s">
        <v>121</v>
      </c>
      <c r="DA520" t="s">
        <v>122</v>
      </c>
      <c r="DD520">
        <v>3411276</v>
      </c>
      <c r="DE520" t="s">
        <v>123</v>
      </c>
    </row>
    <row r="521" spans="1:109" x14ac:dyDescent="0.3">
      <c r="A521" t="str">
        <f>"18:43:11.086"</f>
        <v>18:43:11.086</v>
      </c>
      <c r="B521" t="s">
        <v>110</v>
      </c>
      <c r="C521" t="str">
        <f t="shared" si="24"/>
        <v>ffdfd3c0</v>
      </c>
      <c r="D521" t="s">
        <v>111</v>
      </c>
      <c r="E521">
        <v>18</v>
      </c>
      <c r="F521">
        <v>1018</v>
      </c>
      <c r="G521" t="s">
        <v>112</v>
      </c>
      <c r="J521" t="s">
        <v>113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R521" t="s">
        <v>114</v>
      </c>
      <c r="S521" t="str">
        <f>"18:43:10.820"</f>
        <v>18:43:10.820</v>
      </c>
      <c r="T521" t="str">
        <f>"18:43:10.320"</f>
        <v>18:43:10.320</v>
      </c>
      <c r="U521" t="str">
        <f t="shared" si="25"/>
        <v>a1cdbe</v>
      </c>
      <c r="V521">
        <v>0</v>
      </c>
      <c r="W521">
        <v>0</v>
      </c>
      <c r="X521">
        <v>1</v>
      </c>
      <c r="Y521">
        <v>0</v>
      </c>
      <c r="Z521">
        <v>0</v>
      </c>
      <c r="AB521">
        <v>0</v>
      </c>
      <c r="AC521">
        <v>9</v>
      </c>
      <c r="AD521">
        <v>3</v>
      </c>
      <c r="AE521">
        <v>0</v>
      </c>
      <c r="AF521">
        <v>9</v>
      </c>
      <c r="AG521" t="s">
        <v>158</v>
      </c>
      <c r="AH521">
        <v>0</v>
      </c>
      <c r="AI521">
        <v>3</v>
      </c>
      <c r="AJ521">
        <v>1</v>
      </c>
      <c r="AK521">
        <v>0</v>
      </c>
      <c r="AL521" t="s">
        <v>1111</v>
      </c>
      <c r="AM521">
        <v>46.949151000000001</v>
      </c>
      <c r="AN521" t="s">
        <v>1112</v>
      </c>
      <c r="AO521">
        <v>-122.327743</v>
      </c>
      <c r="AP521">
        <v>100</v>
      </c>
      <c r="AQ521">
        <v>2000</v>
      </c>
      <c r="AR521" t="s">
        <v>118</v>
      </c>
      <c r="AS521">
        <v>-19</v>
      </c>
      <c r="AT521">
        <v>-78</v>
      </c>
      <c r="AU521">
        <v>-64</v>
      </c>
      <c r="BC521">
        <v>1200</v>
      </c>
      <c r="BD521">
        <v>1</v>
      </c>
      <c r="BE521" t="str">
        <f t="shared" si="26"/>
        <v xml:space="preserve">N215T   </v>
      </c>
      <c r="BF521">
        <v>1</v>
      </c>
      <c r="BH521">
        <v>0</v>
      </c>
      <c r="BI521">
        <v>0</v>
      </c>
      <c r="BJ521">
        <v>0</v>
      </c>
      <c r="BK521">
        <v>2400</v>
      </c>
      <c r="BL521">
        <v>400</v>
      </c>
      <c r="BM521" t="s">
        <v>119</v>
      </c>
      <c r="BN521">
        <v>1</v>
      </c>
      <c r="BO521">
        <v>1</v>
      </c>
      <c r="BP521">
        <v>1</v>
      </c>
      <c r="BQ521">
        <v>0</v>
      </c>
      <c r="BT521">
        <v>0</v>
      </c>
      <c r="BU521">
        <v>0</v>
      </c>
      <c r="BV521">
        <v>0</v>
      </c>
      <c r="CC521" t="str">
        <f>"18:43:10.820"</f>
        <v>18:43:10.820</v>
      </c>
      <c r="CD521" t="str">
        <f>"823698161"</f>
        <v>823698161</v>
      </c>
      <c r="CQ521">
        <v>0</v>
      </c>
      <c r="CR521">
        <v>2</v>
      </c>
      <c r="CS521">
        <v>0</v>
      </c>
      <c r="CT521">
        <v>2</v>
      </c>
      <c r="CU521">
        <v>0</v>
      </c>
      <c r="CV521">
        <v>4</v>
      </c>
      <c r="CW521" t="s">
        <v>120</v>
      </c>
      <c r="CX521">
        <v>257</v>
      </c>
      <c r="CY521">
        <v>1</v>
      </c>
      <c r="CZ521" t="s">
        <v>615</v>
      </c>
      <c r="DA521" t="s">
        <v>616</v>
      </c>
      <c r="DD521">
        <v>10796074</v>
      </c>
      <c r="DE521" t="s">
        <v>123</v>
      </c>
    </row>
    <row r="522" spans="1:109" x14ac:dyDescent="0.3">
      <c r="A522" t="str">
        <f>"18:43:12.148"</f>
        <v>18:43:12.148</v>
      </c>
      <c r="B522" t="s">
        <v>110</v>
      </c>
      <c r="C522" t="str">
        <f t="shared" si="24"/>
        <v>ffdfd3c0</v>
      </c>
      <c r="D522" t="s">
        <v>111</v>
      </c>
      <c r="E522">
        <v>18</v>
      </c>
      <c r="F522">
        <v>1018</v>
      </c>
      <c r="G522" t="s">
        <v>112</v>
      </c>
      <c r="J522" t="s">
        <v>113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R522" t="s">
        <v>114</v>
      </c>
      <c r="S522" t="str">
        <f>"18:43:11.930"</f>
        <v>18:43:11.930</v>
      </c>
      <c r="T522" t="str">
        <f>"18:43:11.828"</f>
        <v>18:43:11.828</v>
      </c>
      <c r="U522" t="str">
        <f t="shared" si="25"/>
        <v>a1cdbe</v>
      </c>
      <c r="V522">
        <v>0</v>
      </c>
      <c r="W522">
        <v>0</v>
      </c>
      <c r="X522">
        <v>1</v>
      </c>
      <c r="Y522">
        <v>0</v>
      </c>
      <c r="Z522">
        <v>0</v>
      </c>
      <c r="AB522">
        <v>0</v>
      </c>
      <c r="AC522">
        <v>9</v>
      </c>
      <c r="AD522">
        <v>3</v>
      </c>
      <c r="AE522">
        <v>0</v>
      </c>
      <c r="AF522">
        <v>9</v>
      </c>
      <c r="AG522" t="s">
        <v>158</v>
      </c>
      <c r="AH522">
        <v>0</v>
      </c>
      <c r="AI522">
        <v>3</v>
      </c>
      <c r="AJ522">
        <v>1</v>
      </c>
      <c r="AK522">
        <v>0</v>
      </c>
      <c r="AL522" t="s">
        <v>1113</v>
      </c>
      <c r="AM522">
        <v>46.948763999999997</v>
      </c>
      <c r="AN522" t="s">
        <v>1114</v>
      </c>
      <c r="AO522">
        <v>-122.32791400000001</v>
      </c>
      <c r="AP522">
        <v>100</v>
      </c>
      <c r="AQ522">
        <v>2000</v>
      </c>
      <c r="AR522" t="s">
        <v>118</v>
      </c>
      <c r="AS522">
        <v>-20</v>
      </c>
      <c r="AT522">
        <v>-79</v>
      </c>
      <c r="AU522">
        <v>-64</v>
      </c>
      <c r="BC522">
        <v>1200</v>
      </c>
      <c r="BD522">
        <v>1</v>
      </c>
      <c r="BE522" t="str">
        <f t="shared" si="26"/>
        <v xml:space="preserve">N215T   </v>
      </c>
      <c r="BF522">
        <v>1</v>
      </c>
      <c r="BH522">
        <v>0</v>
      </c>
      <c r="BI522">
        <v>0</v>
      </c>
      <c r="BJ522">
        <v>0</v>
      </c>
      <c r="BK522">
        <v>2400</v>
      </c>
      <c r="BL522">
        <v>400</v>
      </c>
      <c r="BM522" t="s">
        <v>119</v>
      </c>
      <c r="BN522">
        <v>1</v>
      </c>
      <c r="BO522">
        <v>1</v>
      </c>
      <c r="BP522">
        <v>1</v>
      </c>
      <c r="BQ522">
        <v>0</v>
      </c>
      <c r="BT522">
        <v>0</v>
      </c>
      <c r="BU522">
        <v>0</v>
      </c>
      <c r="BV522">
        <v>0</v>
      </c>
      <c r="CC522" t="str">
        <f>"18:43:11.930"</f>
        <v>18:43:11.930</v>
      </c>
      <c r="CD522" t="str">
        <f>"933395556"</f>
        <v>933395556</v>
      </c>
      <c r="CQ522">
        <v>0</v>
      </c>
      <c r="CR522">
        <v>2</v>
      </c>
      <c r="CS522">
        <v>0</v>
      </c>
      <c r="CT522">
        <v>2</v>
      </c>
      <c r="CU522">
        <v>0</v>
      </c>
      <c r="CV522">
        <v>3</v>
      </c>
      <c r="CW522" t="s">
        <v>120</v>
      </c>
      <c r="CX522">
        <v>261</v>
      </c>
      <c r="CY522">
        <v>2</v>
      </c>
      <c r="CZ522" t="s">
        <v>121</v>
      </c>
      <c r="DA522" t="s">
        <v>122</v>
      </c>
      <c r="DD522">
        <v>14522944</v>
      </c>
      <c r="DE522" t="s">
        <v>123</v>
      </c>
    </row>
    <row r="523" spans="1:109" x14ac:dyDescent="0.3">
      <c r="A523" t="str">
        <f>"18:43:13.047"</f>
        <v>18:43:13.047</v>
      </c>
      <c r="B523" t="s">
        <v>110</v>
      </c>
      <c r="C523" t="str">
        <f t="shared" si="24"/>
        <v>ffdfd3c0</v>
      </c>
      <c r="D523" t="s">
        <v>111</v>
      </c>
      <c r="E523">
        <v>18</v>
      </c>
      <c r="F523">
        <v>1018</v>
      </c>
      <c r="G523" t="s">
        <v>112</v>
      </c>
      <c r="J523" t="s">
        <v>113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R523" t="s">
        <v>114</v>
      </c>
      <c r="S523" t="str">
        <f>"18:43:12.828"</f>
        <v>18:43:12.828</v>
      </c>
      <c r="T523" t="str">
        <f>"18:43:12.828"</f>
        <v>18:43:12.828</v>
      </c>
      <c r="U523" t="str">
        <f t="shared" si="25"/>
        <v>a1cdbe</v>
      </c>
      <c r="V523">
        <v>0</v>
      </c>
      <c r="W523">
        <v>0</v>
      </c>
      <c r="X523">
        <v>1</v>
      </c>
      <c r="Y523">
        <v>0</v>
      </c>
      <c r="Z523">
        <v>0</v>
      </c>
      <c r="AB523">
        <v>0</v>
      </c>
      <c r="AC523">
        <v>9</v>
      </c>
      <c r="AD523">
        <v>3</v>
      </c>
      <c r="AE523">
        <v>0</v>
      </c>
      <c r="AF523">
        <v>9</v>
      </c>
      <c r="AG523" t="s">
        <v>158</v>
      </c>
      <c r="AH523">
        <v>0</v>
      </c>
      <c r="AI523">
        <v>3</v>
      </c>
      <c r="AJ523">
        <v>1</v>
      </c>
      <c r="AK523">
        <v>0</v>
      </c>
      <c r="AL523" t="s">
        <v>1115</v>
      </c>
      <c r="AM523">
        <v>46.948421000000003</v>
      </c>
      <c r="AN523" t="s">
        <v>1116</v>
      </c>
      <c r="AO523">
        <v>-122.327957</v>
      </c>
      <c r="AP523">
        <v>100</v>
      </c>
      <c r="AQ523">
        <v>2000</v>
      </c>
      <c r="AR523" t="s">
        <v>118</v>
      </c>
      <c r="AS523">
        <v>-20</v>
      </c>
      <c r="AT523">
        <v>-79</v>
      </c>
      <c r="AU523">
        <v>-64</v>
      </c>
      <c r="BC523">
        <v>1200</v>
      </c>
      <c r="BD523">
        <v>1</v>
      </c>
      <c r="BE523" t="str">
        <f t="shared" si="26"/>
        <v xml:space="preserve">N215T   </v>
      </c>
      <c r="BF523">
        <v>1</v>
      </c>
      <c r="BH523">
        <v>0</v>
      </c>
      <c r="BI523">
        <v>0</v>
      </c>
      <c r="BJ523">
        <v>0</v>
      </c>
      <c r="BK523">
        <v>2400</v>
      </c>
      <c r="BL523">
        <v>400</v>
      </c>
      <c r="BM523" t="s">
        <v>119</v>
      </c>
      <c r="BN523">
        <v>1</v>
      </c>
      <c r="BO523">
        <v>1</v>
      </c>
      <c r="BP523">
        <v>1</v>
      </c>
      <c r="BQ523">
        <v>0</v>
      </c>
      <c r="BT523">
        <v>0</v>
      </c>
      <c r="BU523">
        <v>0</v>
      </c>
      <c r="BV523">
        <v>0</v>
      </c>
      <c r="CC523" t="str">
        <f>"18:43:12.836"</f>
        <v>18:43:12.836</v>
      </c>
      <c r="CD523" t="str">
        <f>"833500127"</f>
        <v>833500127</v>
      </c>
      <c r="CQ523">
        <v>0</v>
      </c>
      <c r="CR523">
        <v>2</v>
      </c>
      <c r="CS523">
        <v>0</v>
      </c>
      <c r="CT523">
        <v>2</v>
      </c>
      <c r="CU523">
        <v>0</v>
      </c>
      <c r="CV523">
        <v>4</v>
      </c>
      <c r="CW523" t="s">
        <v>120</v>
      </c>
      <c r="CX523">
        <v>257</v>
      </c>
      <c r="CY523">
        <v>1</v>
      </c>
      <c r="CZ523" t="s">
        <v>615</v>
      </c>
      <c r="DA523" t="s">
        <v>616</v>
      </c>
      <c r="DD523">
        <v>10797389</v>
      </c>
      <c r="DE523" t="s">
        <v>123</v>
      </c>
    </row>
    <row r="524" spans="1:109" x14ac:dyDescent="0.3">
      <c r="A524" t="str">
        <f>"18:43:14.008"</f>
        <v>18:43:14.008</v>
      </c>
      <c r="B524" t="s">
        <v>110</v>
      </c>
      <c r="C524" t="str">
        <f t="shared" si="24"/>
        <v>ffdfd3c0</v>
      </c>
      <c r="D524" t="s">
        <v>111</v>
      </c>
      <c r="E524">
        <v>18</v>
      </c>
      <c r="F524">
        <v>1018</v>
      </c>
      <c r="G524" t="s">
        <v>112</v>
      </c>
      <c r="J524" t="s">
        <v>113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R524" t="s">
        <v>114</v>
      </c>
      <c r="S524" t="str">
        <f>"18:43:13.758"</f>
        <v>18:43:13.758</v>
      </c>
      <c r="T524" t="str">
        <f>"18:43:13.359"</f>
        <v>18:43:13.359</v>
      </c>
      <c r="U524" t="str">
        <f t="shared" si="25"/>
        <v>a1cdbe</v>
      </c>
      <c r="V524">
        <v>0</v>
      </c>
      <c r="W524">
        <v>0</v>
      </c>
      <c r="X524">
        <v>1</v>
      </c>
      <c r="Y524">
        <v>0</v>
      </c>
      <c r="Z524">
        <v>0</v>
      </c>
      <c r="AB524">
        <v>0</v>
      </c>
      <c r="AC524">
        <v>9</v>
      </c>
      <c r="AD524">
        <v>3</v>
      </c>
      <c r="AE524">
        <v>0</v>
      </c>
      <c r="AF524">
        <v>9</v>
      </c>
      <c r="AG524" t="s">
        <v>158</v>
      </c>
      <c r="AH524">
        <v>0</v>
      </c>
      <c r="AI524">
        <v>3</v>
      </c>
      <c r="AJ524">
        <v>1</v>
      </c>
      <c r="AK524">
        <v>0</v>
      </c>
      <c r="AL524" t="s">
        <v>1117</v>
      </c>
      <c r="AM524">
        <v>46.948078000000002</v>
      </c>
      <c r="AN524" t="s">
        <v>1118</v>
      </c>
      <c r="AO524">
        <v>-122.328107</v>
      </c>
      <c r="AP524">
        <v>100</v>
      </c>
      <c r="AQ524">
        <v>2000</v>
      </c>
      <c r="AR524" t="s">
        <v>118</v>
      </c>
      <c r="AS524">
        <v>-20</v>
      </c>
      <c r="AT524">
        <v>-79</v>
      </c>
      <c r="AU524">
        <v>-64</v>
      </c>
      <c r="BC524">
        <v>1200</v>
      </c>
      <c r="BD524">
        <v>1</v>
      </c>
      <c r="BE524" t="str">
        <f t="shared" si="26"/>
        <v xml:space="preserve">N215T   </v>
      </c>
      <c r="BF524">
        <v>1</v>
      </c>
      <c r="BH524">
        <v>0</v>
      </c>
      <c r="BI524">
        <v>0</v>
      </c>
      <c r="BJ524">
        <v>0</v>
      </c>
      <c r="BK524">
        <v>2400</v>
      </c>
      <c r="BL524">
        <v>400</v>
      </c>
      <c r="BM524" t="s">
        <v>119</v>
      </c>
      <c r="BN524">
        <v>1</v>
      </c>
      <c r="BO524">
        <v>1</v>
      </c>
      <c r="BP524">
        <v>1</v>
      </c>
      <c r="BQ524">
        <v>0</v>
      </c>
      <c r="BT524">
        <v>0</v>
      </c>
      <c r="BU524">
        <v>0</v>
      </c>
      <c r="BV524">
        <v>0</v>
      </c>
      <c r="CC524" t="str">
        <f>"18:43:13.766"</f>
        <v>18:43:13.766</v>
      </c>
      <c r="CD524" t="str">
        <f>"763408495"</f>
        <v>763408495</v>
      </c>
      <c r="CQ524">
        <v>0</v>
      </c>
      <c r="CR524">
        <v>2</v>
      </c>
      <c r="CS524">
        <v>0</v>
      </c>
      <c r="CT524">
        <v>2</v>
      </c>
      <c r="CU524">
        <v>0</v>
      </c>
      <c r="CV524">
        <v>4</v>
      </c>
      <c r="CW524" t="s">
        <v>120</v>
      </c>
      <c r="CX524">
        <v>257</v>
      </c>
      <c r="CY524">
        <v>1</v>
      </c>
      <c r="CZ524" t="s">
        <v>615</v>
      </c>
      <c r="DA524" t="s">
        <v>616</v>
      </c>
      <c r="DD524">
        <v>10797980</v>
      </c>
      <c r="DE524" t="s">
        <v>123</v>
      </c>
    </row>
    <row r="525" spans="1:109" x14ac:dyDescent="0.3">
      <c r="A525" t="str">
        <f>"18:43:14.859"</f>
        <v>18:43:14.859</v>
      </c>
      <c r="B525" t="s">
        <v>110</v>
      </c>
      <c r="C525" t="str">
        <f t="shared" si="24"/>
        <v>ffdfd3c0</v>
      </c>
      <c r="D525" t="s">
        <v>111</v>
      </c>
      <c r="E525">
        <v>18</v>
      </c>
      <c r="F525">
        <v>1018</v>
      </c>
      <c r="G525" t="s">
        <v>112</v>
      </c>
      <c r="J525" t="s">
        <v>113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R525" t="s">
        <v>114</v>
      </c>
      <c r="S525" t="str">
        <f>"18:43:14.617"</f>
        <v>18:43:14.617</v>
      </c>
      <c r="T525" t="str">
        <f>"18:43:14.516"</f>
        <v>18:43:14.516</v>
      </c>
      <c r="U525" t="str">
        <f t="shared" si="25"/>
        <v>a1cdbe</v>
      </c>
      <c r="V525">
        <v>0</v>
      </c>
      <c r="W525">
        <v>0</v>
      </c>
      <c r="X525">
        <v>1</v>
      </c>
      <c r="Y525">
        <v>0</v>
      </c>
      <c r="Z525">
        <v>0</v>
      </c>
      <c r="AB525">
        <v>0</v>
      </c>
      <c r="AC525">
        <v>9</v>
      </c>
      <c r="AD525">
        <v>3</v>
      </c>
      <c r="AE525">
        <v>0</v>
      </c>
      <c r="AF525">
        <v>9</v>
      </c>
      <c r="AG525" t="s">
        <v>158</v>
      </c>
      <c r="AH525">
        <v>0</v>
      </c>
      <c r="AI525">
        <v>3</v>
      </c>
      <c r="AJ525">
        <v>1</v>
      </c>
      <c r="AK525">
        <v>0</v>
      </c>
      <c r="AL525" t="s">
        <v>1119</v>
      </c>
      <c r="AM525">
        <v>46.947755999999998</v>
      </c>
      <c r="AN525" t="s">
        <v>1120</v>
      </c>
      <c r="AO525">
        <v>-122.32825800000001</v>
      </c>
      <c r="AP525">
        <v>100</v>
      </c>
      <c r="AQ525">
        <v>2000</v>
      </c>
      <c r="AR525" t="s">
        <v>118</v>
      </c>
      <c r="AS525">
        <v>-20</v>
      </c>
      <c r="AT525">
        <v>-80</v>
      </c>
      <c r="AU525">
        <v>-128</v>
      </c>
      <c r="BC525">
        <v>1200</v>
      </c>
      <c r="BD525">
        <v>1</v>
      </c>
      <c r="BE525" t="str">
        <f t="shared" si="26"/>
        <v xml:space="preserve">N215T   </v>
      </c>
      <c r="BF525">
        <v>1</v>
      </c>
      <c r="BH525">
        <v>0</v>
      </c>
      <c r="BI525">
        <v>0</v>
      </c>
      <c r="BJ525">
        <v>0</v>
      </c>
      <c r="BK525">
        <v>2400</v>
      </c>
      <c r="BL525">
        <v>400</v>
      </c>
      <c r="BM525" t="s">
        <v>119</v>
      </c>
      <c r="BN525">
        <v>1</v>
      </c>
      <c r="BO525">
        <v>1</v>
      </c>
      <c r="BP525">
        <v>1</v>
      </c>
      <c r="BQ525">
        <v>0</v>
      </c>
      <c r="BT525">
        <v>0</v>
      </c>
      <c r="BU525">
        <v>0</v>
      </c>
      <c r="BV525">
        <v>0</v>
      </c>
      <c r="CC525" t="str">
        <f>"18:43:14.617"</f>
        <v>18:43:14.617</v>
      </c>
      <c r="CD525" t="str">
        <f>"618254141"</f>
        <v>618254141</v>
      </c>
      <c r="CQ525">
        <v>0</v>
      </c>
      <c r="CR525">
        <v>2</v>
      </c>
      <c r="CS525">
        <v>0</v>
      </c>
      <c r="CT525">
        <v>2</v>
      </c>
      <c r="CU525">
        <v>0</v>
      </c>
      <c r="CV525">
        <v>2</v>
      </c>
      <c r="CW525" t="s">
        <v>120</v>
      </c>
      <c r="CX525">
        <v>259</v>
      </c>
      <c r="CY525">
        <v>1</v>
      </c>
      <c r="CZ525" t="s">
        <v>197</v>
      </c>
      <c r="DA525" t="s">
        <v>198</v>
      </c>
      <c r="DD525">
        <v>14979009</v>
      </c>
      <c r="DE525" t="s">
        <v>123</v>
      </c>
    </row>
    <row r="526" spans="1:109" x14ac:dyDescent="0.3">
      <c r="A526" t="str">
        <f>"18:43:15.867"</f>
        <v>18:43:15.867</v>
      </c>
      <c r="B526" t="s">
        <v>110</v>
      </c>
      <c r="C526" t="str">
        <f t="shared" si="24"/>
        <v>ffdfd3c0</v>
      </c>
      <c r="D526" t="s">
        <v>111</v>
      </c>
      <c r="E526">
        <v>18</v>
      </c>
      <c r="F526">
        <v>1018</v>
      </c>
      <c r="G526" t="s">
        <v>112</v>
      </c>
      <c r="J526" t="s">
        <v>113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R526" t="s">
        <v>114</v>
      </c>
      <c r="S526" t="str">
        <f>"18:43:15.586"</f>
        <v>18:43:15.586</v>
      </c>
      <c r="T526" t="str">
        <f>"18:43:15.383"</f>
        <v>18:43:15.383</v>
      </c>
      <c r="U526" t="str">
        <f t="shared" si="25"/>
        <v>a1cdbe</v>
      </c>
      <c r="V526">
        <v>0</v>
      </c>
      <c r="W526">
        <v>0</v>
      </c>
      <c r="X526">
        <v>1</v>
      </c>
      <c r="Y526">
        <v>0</v>
      </c>
      <c r="Z526">
        <v>0</v>
      </c>
      <c r="AB526">
        <v>0</v>
      </c>
      <c r="AC526">
        <v>9</v>
      </c>
      <c r="AD526">
        <v>3</v>
      </c>
      <c r="AE526">
        <v>0</v>
      </c>
      <c r="AF526">
        <v>9</v>
      </c>
      <c r="AG526" t="s">
        <v>158</v>
      </c>
      <c r="AH526">
        <v>0</v>
      </c>
      <c r="AI526">
        <v>3</v>
      </c>
      <c r="AJ526">
        <v>1</v>
      </c>
      <c r="AK526">
        <v>0</v>
      </c>
      <c r="AL526" t="s">
        <v>1121</v>
      </c>
      <c r="AM526">
        <v>46.947412</v>
      </c>
      <c r="AN526" t="s">
        <v>1122</v>
      </c>
      <c r="AO526">
        <v>-122.32836500000001</v>
      </c>
      <c r="AP526">
        <v>100</v>
      </c>
      <c r="AQ526">
        <v>2000</v>
      </c>
      <c r="AR526" t="s">
        <v>118</v>
      </c>
      <c r="AS526">
        <v>-20</v>
      </c>
      <c r="AT526">
        <v>-80</v>
      </c>
      <c r="AU526">
        <v>-128</v>
      </c>
      <c r="BC526">
        <v>1200</v>
      </c>
      <c r="BD526">
        <v>1</v>
      </c>
      <c r="BE526" t="str">
        <f t="shared" si="26"/>
        <v xml:space="preserve">N215T   </v>
      </c>
      <c r="BF526">
        <v>1</v>
      </c>
      <c r="BH526">
        <v>0</v>
      </c>
      <c r="BI526">
        <v>0</v>
      </c>
      <c r="BJ526">
        <v>0</v>
      </c>
      <c r="BK526">
        <v>2400</v>
      </c>
      <c r="BL526">
        <v>400</v>
      </c>
      <c r="BM526" t="s">
        <v>119</v>
      </c>
      <c r="BN526">
        <v>1</v>
      </c>
      <c r="BO526">
        <v>1</v>
      </c>
      <c r="BP526">
        <v>1</v>
      </c>
      <c r="BQ526">
        <v>0</v>
      </c>
      <c r="BT526">
        <v>0</v>
      </c>
      <c r="BU526">
        <v>0</v>
      </c>
      <c r="BV526">
        <v>0</v>
      </c>
      <c r="CC526" t="str">
        <f>"18:43:15.594"</f>
        <v>18:43:15.594</v>
      </c>
      <c r="CD526" t="str">
        <f>"593228120"</f>
        <v>593228120</v>
      </c>
      <c r="CQ526">
        <v>0</v>
      </c>
      <c r="CR526">
        <v>2</v>
      </c>
      <c r="CS526">
        <v>0</v>
      </c>
      <c r="CT526">
        <v>2</v>
      </c>
      <c r="CU526">
        <v>0</v>
      </c>
      <c r="CV526">
        <v>4</v>
      </c>
      <c r="CW526" t="s">
        <v>120</v>
      </c>
      <c r="CX526">
        <v>257</v>
      </c>
      <c r="CY526">
        <v>1</v>
      </c>
      <c r="CZ526" t="s">
        <v>615</v>
      </c>
      <c r="DA526" t="s">
        <v>616</v>
      </c>
      <c r="DD526">
        <v>10799176</v>
      </c>
      <c r="DE526" t="s">
        <v>123</v>
      </c>
    </row>
    <row r="527" spans="1:109" x14ac:dyDescent="0.3">
      <c r="A527" t="str">
        <f>"18:43:17.023"</f>
        <v>18:43:17.023</v>
      </c>
      <c r="B527" t="s">
        <v>110</v>
      </c>
      <c r="C527" t="str">
        <f t="shared" si="24"/>
        <v>ffdfd3c0</v>
      </c>
      <c r="D527" t="s">
        <v>111</v>
      </c>
      <c r="E527">
        <v>18</v>
      </c>
      <c r="F527">
        <v>1018</v>
      </c>
      <c r="G527" t="s">
        <v>112</v>
      </c>
      <c r="J527" t="s">
        <v>113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R527" t="s">
        <v>114</v>
      </c>
      <c r="S527" t="str">
        <f>"18:43:16.773"</f>
        <v>18:43:16.773</v>
      </c>
      <c r="T527" t="str">
        <f>"18:43:16.375"</f>
        <v>18:43:16.375</v>
      </c>
      <c r="U527" t="str">
        <f t="shared" si="25"/>
        <v>a1cdbe</v>
      </c>
      <c r="V527">
        <v>0</v>
      </c>
      <c r="W527">
        <v>0</v>
      </c>
      <c r="X527">
        <v>1</v>
      </c>
      <c r="Y527">
        <v>0</v>
      </c>
      <c r="Z527">
        <v>0</v>
      </c>
      <c r="AB527">
        <v>0</v>
      </c>
      <c r="AC527">
        <v>9</v>
      </c>
      <c r="AD527">
        <v>3</v>
      </c>
      <c r="AE527">
        <v>0</v>
      </c>
      <c r="AF527">
        <v>9</v>
      </c>
      <c r="AG527" t="s">
        <v>158</v>
      </c>
      <c r="AH527">
        <v>0</v>
      </c>
      <c r="AI527">
        <v>3</v>
      </c>
      <c r="AJ527">
        <v>1</v>
      </c>
      <c r="AK527">
        <v>0</v>
      </c>
      <c r="AL527" t="s">
        <v>1123</v>
      </c>
      <c r="AM527">
        <v>46.946961999999999</v>
      </c>
      <c r="AN527" t="s">
        <v>1124</v>
      </c>
      <c r="AO527">
        <v>-122.328579</v>
      </c>
      <c r="AP527">
        <v>100</v>
      </c>
      <c r="AQ527">
        <v>2000</v>
      </c>
      <c r="AR527" t="s">
        <v>118</v>
      </c>
      <c r="AS527">
        <v>-21</v>
      </c>
      <c r="AT527">
        <v>-80</v>
      </c>
      <c r="AU527">
        <v>-128</v>
      </c>
      <c r="BC527">
        <v>1200</v>
      </c>
      <c r="BD527">
        <v>1</v>
      </c>
      <c r="BE527" t="str">
        <f t="shared" si="26"/>
        <v xml:space="preserve">N215T   </v>
      </c>
      <c r="BF527">
        <v>1</v>
      </c>
      <c r="BH527">
        <v>0</v>
      </c>
      <c r="BI527">
        <v>0</v>
      </c>
      <c r="BJ527">
        <v>0</v>
      </c>
      <c r="BK527">
        <v>2400</v>
      </c>
      <c r="BL527">
        <v>400</v>
      </c>
      <c r="BM527" t="s">
        <v>119</v>
      </c>
      <c r="BN527">
        <v>1</v>
      </c>
      <c r="BO527">
        <v>1</v>
      </c>
      <c r="BP527">
        <v>1</v>
      </c>
      <c r="BQ527">
        <v>0</v>
      </c>
      <c r="BT527">
        <v>0</v>
      </c>
      <c r="BU527">
        <v>0</v>
      </c>
      <c r="BV527">
        <v>0</v>
      </c>
      <c r="CC527" t="str">
        <f>"18:43:16.781"</f>
        <v>18:43:16.781</v>
      </c>
      <c r="CD527" t="str">
        <f>"778041820"</f>
        <v>778041820</v>
      </c>
      <c r="CQ527">
        <v>0</v>
      </c>
      <c r="CR527">
        <v>2</v>
      </c>
      <c r="CS527">
        <v>0</v>
      </c>
      <c r="CT527">
        <v>2</v>
      </c>
      <c r="CU527">
        <v>0</v>
      </c>
      <c r="CV527">
        <v>2</v>
      </c>
      <c r="CW527" t="s">
        <v>120</v>
      </c>
      <c r="CX527">
        <v>259</v>
      </c>
      <c r="CY527">
        <v>1</v>
      </c>
      <c r="CZ527" t="s">
        <v>197</v>
      </c>
      <c r="DA527" t="s">
        <v>198</v>
      </c>
      <c r="DD527">
        <v>14980481</v>
      </c>
      <c r="DE527" t="s">
        <v>123</v>
      </c>
    </row>
    <row r="528" spans="1:109" x14ac:dyDescent="0.3">
      <c r="A528" t="str">
        <f>"18:43:18.078"</f>
        <v>18:43:18.078</v>
      </c>
      <c r="B528" t="s">
        <v>110</v>
      </c>
      <c r="C528" t="str">
        <f t="shared" si="24"/>
        <v>ffdfd3c0</v>
      </c>
      <c r="D528" t="s">
        <v>111</v>
      </c>
      <c r="E528">
        <v>18</v>
      </c>
      <c r="F528">
        <v>1018</v>
      </c>
      <c r="G528" t="s">
        <v>112</v>
      </c>
      <c r="J528" t="s">
        <v>113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R528" t="s">
        <v>114</v>
      </c>
      <c r="S528" t="str">
        <f>"18:43:17.852"</f>
        <v>18:43:17.852</v>
      </c>
      <c r="T528" t="str">
        <f>"18:43:17.352"</f>
        <v>18:43:17.352</v>
      </c>
      <c r="U528" t="str">
        <f t="shared" si="25"/>
        <v>a1cdbe</v>
      </c>
      <c r="V528">
        <v>0</v>
      </c>
      <c r="W528">
        <v>0</v>
      </c>
      <c r="X528">
        <v>1</v>
      </c>
      <c r="Y528">
        <v>0</v>
      </c>
      <c r="Z528">
        <v>0</v>
      </c>
      <c r="AB528">
        <v>0</v>
      </c>
      <c r="AC528">
        <v>9</v>
      </c>
      <c r="AD528">
        <v>3</v>
      </c>
      <c r="AE528">
        <v>0</v>
      </c>
      <c r="AF528">
        <v>9</v>
      </c>
      <c r="AG528" t="s">
        <v>158</v>
      </c>
      <c r="AH528">
        <v>0</v>
      </c>
      <c r="AI528">
        <v>3</v>
      </c>
      <c r="AJ528">
        <v>1</v>
      </c>
      <c r="AK528">
        <v>0</v>
      </c>
      <c r="AL528" t="s">
        <v>1125</v>
      </c>
      <c r="AM528">
        <v>46.946576</v>
      </c>
      <c r="AN528" t="s">
        <v>1126</v>
      </c>
      <c r="AO528">
        <v>-122.328687</v>
      </c>
      <c r="AP528">
        <v>100</v>
      </c>
      <c r="AQ528">
        <v>2000</v>
      </c>
      <c r="AR528" t="s">
        <v>118</v>
      </c>
      <c r="AS528">
        <v>-21</v>
      </c>
      <c r="AT528">
        <v>-80</v>
      </c>
      <c r="AU528">
        <v>-64</v>
      </c>
      <c r="BC528">
        <v>1200</v>
      </c>
      <c r="BD528">
        <v>1</v>
      </c>
      <c r="BE528" t="str">
        <f t="shared" si="26"/>
        <v xml:space="preserve">N215T   </v>
      </c>
      <c r="BF528">
        <v>1</v>
      </c>
      <c r="BH528">
        <v>0</v>
      </c>
      <c r="BI528">
        <v>0</v>
      </c>
      <c r="BJ528">
        <v>0</v>
      </c>
      <c r="BK528">
        <v>2400</v>
      </c>
      <c r="BL528">
        <v>400</v>
      </c>
      <c r="BM528" t="s">
        <v>119</v>
      </c>
      <c r="BN528">
        <v>1</v>
      </c>
      <c r="BO528">
        <v>1</v>
      </c>
      <c r="BP528">
        <v>1</v>
      </c>
      <c r="BQ528">
        <v>0</v>
      </c>
      <c r="BT528">
        <v>0</v>
      </c>
      <c r="BU528">
        <v>0</v>
      </c>
      <c r="BV528">
        <v>0</v>
      </c>
      <c r="CC528" t="str">
        <f>"18:43:17.859"</f>
        <v>18:43:17.859</v>
      </c>
      <c r="CD528" t="str">
        <f>"858004934"</f>
        <v>858004934</v>
      </c>
      <c r="CQ528">
        <v>0</v>
      </c>
      <c r="CR528">
        <v>2</v>
      </c>
      <c r="CS528">
        <v>0</v>
      </c>
      <c r="CT528">
        <v>2</v>
      </c>
      <c r="CU528">
        <v>0</v>
      </c>
      <c r="CV528">
        <v>3</v>
      </c>
      <c r="CW528" t="s">
        <v>120</v>
      </c>
      <c r="CX528">
        <v>257</v>
      </c>
      <c r="CY528">
        <v>1</v>
      </c>
      <c r="CZ528" t="s">
        <v>615</v>
      </c>
      <c r="DA528" t="s">
        <v>616</v>
      </c>
      <c r="DD528">
        <v>10800702</v>
      </c>
      <c r="DE528" t="s">
        <v>123</v>
      </c>
    </row>
    <row r="529" spans="1:109" x14ac:dyDescent="0.3">
      <c r="A529" t="str">
        <f>"18:43:18.984"</f>
        <v>18:43:18.984</v>
      </c>
      <c r="B529" t="s">
        <v>110</v>
      </c>
      <c r="C529" t="str">
        <f t="shared" si="24"/>
        <v>ffdfd3c0</v>
      </c>
      <c r="D529" t="s">
        <v>111</v>
      </c>
      <c r="E529">
        <v>18</v>
      </c>
      <c r="F529">
        <v>1018</v>
      </c>
      <c r="G529" t="s">
        <v>112</v>
      </c>
      <c r="J529" t="s">
        <v>113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R529" t="s">
        <v>114</v>
      </c>
      <c r="S529" t="str">
        <f>"18:43:18.766"</f>
        <v>18:43:18.766</v>
      </c>
      <c r="T529" t="str">
        <f>"18:43:18.469"</f>
        <v>18:43:18.469</v>
      </c>
      <c r="U529" t="str">
        <f t="shared" si="25"/>
        <v>a1cdbe</v>
      </c>
      <c r="V529">
        <v>0</v>
      </c>
      <c r="W529">
        <v>0</v>
      </c>
      <c r="X529">
        <v>1</v>
      </c>
      <c r="Y529">
        <v>0</v>
      </c>
      <c r="Z529">
        <v>0</v>
      </c>
      <c r="AB529">
        <v>0</v>
      </c>
      <c r="AC529">
        <v>9</v>
      </c>
      <c r="AD529">
        <v>3</v>
      </c>
      <c r="AE529">
        <v>0</v>
      </c>
      <c r="AF529">
        <v>9</v>
      </c>
      <c r="AG529" t="s">
        <v>158</v>
      </c>
      <c r="AH529">
        <v>0</v>
      </c>
      <c r="AI529">
        <v>3</v>
      </c>
      <c r="AJ529">
        <v>1</v>
      </c>
      <c r="AK529">
        <v>0</v>
      </c>
      <c r="AL529" t="s">
        <v>1127</v>
      </c>
      <c r="AM529">
        <v>46.946232000000002</v>
      </c>
      <c r="AN529" t="s">
        <v>1128</v>
      </c>
      <c r="AO529">
        <v>-122.328858</v>
      </c>
      <c r="AP529">
        <v>100</v>
      </c>
      <c r="AQ529">
        <v>2000</v>
      </c>
      <c r="AR529" t="s">
        <v>118</v>
      </c>
      <c r="AS529">
        <v>-22</v>
      </c>
      <c r="AT529">
        <v>-80</v>
      </c>
      <c r="AU529">
        <v>0</v>
      </c>
      <c r="BC529">
        <v>1200</v>
      </c>
      <c r="BD529">
        <v>1</v>
      </c>
      <c r="BE529" t="str">
        <f t="shared" si="26"/>
        <v xml:space="preserve">N215T   </v>
      </c>
      <c r="BF529">
        <v>1</v>
      </c>
      <c r="BH529">
        <v>0</v>
      </c>
      <c r="BI529">
        <v>0</v>
      </c>
      <c r="BJ529">
        <v>0</v>
      </c>
      <c r="BK529">
        <v>2400</v>
      </c>
      <c r="BL529">
        <v>400</v>
      </c>
      <c r="BM529" t="s">
        <v>119</v>
      </c>
      <c r="BN529">
        <v>1</v>
      </c>
      <c r="BO529">
        <v>1</v>
      </c>
      <c r="BP529">
        <v>1</v>
      </c>
      <c r="BQ529">
        <v>0</v>
      </c>
      <c r="BT529">
        <v>0</v>
      </c>
      <c r="BU529">
        <v>0</v>
      </c>
      <c r="BV529">
        <v>0</v>
      </c>
      <c r="CC529" t="str">
        <f>"18:43:18.773"</f>
        <v>18:43:18.773</v>
      </c>
      <c r="CD529" t="str">
        <f>"772914831"</f>
        <v>772914831</v>
      </c>
      <c r="CQ529">
        <v>0</v>
      </c>
      <c r="CR529">
        <v>2</v>
      </c>
      <c r="CS529">
        <v>0</v>
      </c>
      <c r="CT529">
        <v>2</v>
      </c>
      <c r="CU529">
        <v>0</v>
      </c>
      <c r="CV529">
        <v>4</v>
      </c>
      <c r="CW529" t="s">
        <v>120</v>
      </c>
      <c r="CX529">
        <v>257</v>
      </c>
      <c r="CY529">
        <v>1</v>
      </c>
      <c r="CZ529" t="s">
        <v>615</v>
      </c>
      <c r="DA529" t="s">
        <v>616</v>
      </c>
      <c r="DD529">
        <v>10801264</v>
      </c>
      <c r="DE529" t="s">
        <v>123</v>
      </c>
    </row>
    <row r="530" spans="1:109" x14ac:dyDescent="0.3">
      <c r="A530" t="str">
        <f>"18:43:19.984"</f>
        <v>18:43:19.984</v>
      </c>
      <c r="B530" t="s">
        <v>110</v>
      </c>
      <c r="C530" t="str">
        <f t="shared" si="24"/>
        <v>ffdfd3c0</v>
      </c>
      <c r="D530" t="s">
        <v>111</v>
      </c>
      <c r="E530">
        <v>18</v>
      </c>
      <c r="F530">
        <v>1018</v>
      </c>
      <c r="G530" t="s">
        <v>112</v>
      </c>
      <c r="J530" t="s">
        <v>113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R530" t="s">
        <v>114</v>
      </c>
      <c r="S530" t="str">
        <f>"18:43:19.773"</f>
        <v>18:43:19.773</v>
      </c>
      <c r="T530" t="str">
        <f>"18:43:19.375"</f>
        <v>18:43:19.375</v>
      </c>
      <c r="U530" t="str">
        <f t="shared" si="25"/>
        <v>a1cdbe</v>
      </c>
      <c r="V530">
        <v>0</v>
      </c>
      <c r="W530">
        <v>0</v>
      </c>
      <c r="X530">
        <v>1</v>
      </c>
      <c r="Y530">
        <v>0</v>
      </c>
      <c r="Z530">
        <v>0</v>
      </c>
      <c r="AB530">
        <v>0</v>
      </c>
      <c r="AC530">
        <v>9</v>
      </c>
      <c r="AD530">
        <v>3</v>
      </c>
      <c r="AE530">
        <v>0</v>
      </c>
      <c r="AF530">
        <v>9</v>
      </c>
      <c r="AG530" t="s">
        <v>158</v>
      </c>
      <c r="AH530">
        <v>0</v>
      </c>
      <c r="AI530">
        <v>3</v>
      </c>
      <c r="AJ530">
        <v>1</v>
      </c>
      <c r="AK530">
        <v>0</v>
      </c>
      <c r="AL530" t="s">
        <v>1129</v>
      </c>
      <c r="AM530">
        <v>46.945889000000001</v>
      </c>
      <c r="AN530" t="s">
        <v>1130</v>
      </c>
      <c r="AO530">
        <v>-122.32903</v>
      </c>
      <c r="AP530">
        <v>100</v>
      </c>
      <c r="AQ530">
        <v>2000</v>
      </c>
      <c r="AR530" t="s">
        <v>118</v>
      </c>
      <c r="AS530">
        <v>-23</v>
      </c>
      <c r="AT530">
        <v>-79</v>
      </c>
      <c r="AU530">
        <v>0</v>
      </c>
      <c r="BC530">
        <v>1200</v>
      </c>
      <c r="BD530">
        <v>1</v>
      </c>
      <c r="BE530" t="str">
        <f t="shared" si="26"/>
        <v xml:space="preserve">N215T   </v>
      </c>
      <c r="BF530">
        <v>1</v>
      </c>
      <c r="BH530">
        <v>0</v>
      </c>
      <c r="BI530">
        <v>0</v>
      </c>
      <c r="BJ530">
        <v>0</v>
      </c>
      <c r="BK530">
        <v>2400</v>
      </c>
      <c r="BL530">
        <v>400</v>
      </c>
      <c r="BM530" t="s">
        <v>119</v>
      </c>
      <c r="BN530">
        <v>1</v>
      </c>
      <c r="BO530">
        <v>1</v>
      </c>
      <c r="BP530">
        <v>1</v>
      </c>
      <c r="BQ530">
        <v>0</v>
      </c>
      <c r="BT530">
        <v>0</v>
      </c>
      <c r="BU530">
        <v>0</v>
      </c>
      <c r="BV530">
        <v>0</v>
      </c>
      <c r="CC530" t="str">
        <f>"18:43:19.781"</f>
        <v>18:43:19.781</v>
      </c>
      <c r="CD530" t="str">
        <f>"777815805"</f>
        <v>777815805</v>
      </c>
      <c r="CQ530">
        <v>0</v>
      </c>
      <c r="CR530">
        <v>2</v>
      </c>
      <c r="CS530">
        <v>0</v>
      </c>
      <c r="CT530">
        <v>2</v>
      </c>
      <c r="CU530">
        <v>0</v>
      </c>
      <c r="CV530">
        <v>4</v>
      </c>
      <c r="CW530" t="s">
        <v>120</v>
      </c>
      <c r="CX530">
        <v>257</v>
      </c>
      <c r="CY530">
        <v>1</v>
      </c>
      <c r="CZ530" t="s">
        <v>615</v>
      </c>
      <c r="DA530" t="s">
        <v>616</v>
      </c>
      <c r="DD530">
        <v>10801910</v>
      </c>
      <c r="DE530" t="s">
        <v>123</v>
      </c>
    </row>
    <row r="531" spans="1:109" x14ac:dyDescent="0.3">
      <c r="A531" t="str">
        <f>"18:43:21.141"</f>
        <v>18:43:21.141</v>
      </c>
      <c r="B531" t="s">
        <v>110</v>
      </c>
      <c r="C531" t="str">
        <f t="shared" si="24"/>
        <v>ffdfd3c0</v>
      </c>
      <c r="D531" t="s">
        <v>111</v>
      </c>
      <c r="E531">
        <v>18</v>
      </c>
      <c r="F531">
        <v>1018</v>
      </c>
      <c r="G531" t="s">
        <v>112</v>
      </c>
      <c r="J531" t="s">
        <v>113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R531" t="s">
        <v>114</v>
      </c>
      <c r="S531" t="str">
        <f>"18:43:20.914"</f>
        <v>18:43:20.914</v>
      </c>
      <c r="T531" t="str">
        <f>"18:43:20.813"</f>
        <v>18:43:20.813</v>
      </c>
      <c r="U531" t="str">
        <f t="shared" si="25"/>
        <v>a1cdbe</v>
      </c>
      <c r="V531">
        <v>0</v>
      </c>
      <c r="W531">
        <v>0</v>
      </c>
      <c r="X531">
        <v>1</v>
      </c>
      <c r="Y531">
        <v>0</v>
      </c>
      <c r="Z531">
        <v>0</v>
      </c>
      <c r="AB531">
        <v>0</v>
      </c>
      <c r="AC531">
        <v>9</v>
      </c>
      <c r="AD531">
        <v>3</v>
      </c>
      <c r="AE531">
        <v>0</v>
      </c>
      <c r="AF531">
        <v>9</v>
      </c>
      <c r="AG531" t="s">
        <v>158</v>
      </c>
      <c r="AH531">
        <v>0</v>
      </c>
      <c r="AI531">
        <v>3</v>
      </c>
      <c r="AJ531">
        <v>1</v>
      </c>
      <c r="AK531">
        <v>0</v>
      </c>
      <c r="AL531" t="s">
        <v>1131</v>
      </c>
      <c r="AM531">
        <v>46.945459999999997</v>
      </c>
      <c r="AN531" t="s">
        <v>1132</v>
      </c>
      <c r="AO531">
        <v>-122.329202</v>
      </c>
      <c r="AP531">
        <v>100</v>
      </c>
      <c r="AQ531">
        <v>2000</v>
      </c>
      <c r="AR531" t="s">
        <v>118</v>
      </c>
      <c r="AS531">
        <v>-24</v>
      </c>
      <c r="AT531">
        <v>-78</v>
      </c>
      <c r="AU531">
        <v>128</v>
      </c>
      <c r="BC531">
        <v>1200</v>
      </c>
      <c r="BD531">
        <v>1</v>
      </c>
      <c r="BE531" t="str">
        <f t="shared" si="26"/>
        <v xml:space="preserve">N215T   </v>
      </c>
      <c r="BF531">
        <v>1</v>
      </c>
      <c r="BH531">
        <v>0</v>
      </c>
      <c r="BI531">
        <v>0</v>
      </c>
      <c r="BJ531">
        <v>0</v>
      </c>
      <c r="BK531">
        <v>2400</v>
      </c>
      <c r="BL531">
        <v>400</v>
      </c>
      <c r="BM531" t="s">
        <v>119</v>
      </c>
      <c r="BN531">
        <v>1</v>
      </c>
      <c r="BO531">
        <v>1</v>
      </c>
      <c r="BP531">
        <v>1</v>
      </c>
      <c r="BQ531">
        <v>0</v>
      </c>
      <c r="BT531">
        <v>0</v>
      </c>
      <c r="BU531">
        <v>0</v>
      </c>
      <c r="BV531">
        <v>0</v>
      </c>
      <c r="CC531" t="str">
        <f>"18:43:20.914"</f>
        <v>18:43:20.914</v>
      </c>
      <c r="CD531" t="str">
        <f>"917703438"</f>
        <v>917703438</v>
      </c>
      <c r="CQ531">
        <v>0</v>
      </c>
      <c r="CR531">
        <v>2</v>
      </c>
      <c r="CS531">
        <v>0</v>
      </c>
      <c r="CT531">
        <v>2</v>
      </c>
      <c r="CU531">
        <v>0</v>
      </c>
      <c r="CV531">
        <v>4</v>
      </c>
      <c r="CW531" t="s">
        <v>120</v>
      </c>
      <c r="CX531">
        <v>257</v>
      </c>
      <c r="CY531">
        <v>1</v>
      </c>
      <c r="CZ531" t="s">
        <v>615</v>
      </c>
      <c r="DA531" t="s">
        <v>616</v>
      </c>
      <c r="DD531">
        <v>10802673</v>
      </c>
      <c r="DE531" t="s">
        <v>123</v>
      </c>
    </row>
    <row r="532" spans="1:109" x14ac:dyDescent="0.3">
      <c r="A532" t="str">
        <f>"18:43:22.102"</f>
        <v>18:43:22.102</v>
      </c>
      <c r="B532" t="s">
        <v>110</v>
      </c>
      <c r="C532" t="str">
        <f t="shared" si="24"/>
        <v>ffdfd3c0</v>
      </c>
      <c r="D532" t="s">
        <v>111</v>
      </c>
      <c r="E532">
        <v>18</v>
      </c>
      <c r="F532">
        <v>1018</v>
      </c>
      <c r="G532" t="s">
        <v>112</v>
      </c>
      <c r="J532" t="s">
        <v>113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R532" t="s">
        <v>114</v>
      </c>
      <c r="S532" t="str">
        <f>"18:43:21.859"</f>
        <v>18:43:21.859</v>
      </c>
      <c r="T532" t="str">
        <f>"18:43:21.859"</f>
        <v>18:43:21.859</v>
      </c>
      <c r="U532" t="str">
        <f t="shared" si="25"/>
        <v>a1cdbe</v>
      </c>
      <c r="V532">
        <v>0</v>
      </c>
      <c r="W532">
        <v>0</v>
      </c>
      <c r="X532">
        <v>1</v>
      </c>
      <c r="Y532">
        <v>0</v>
      </c>
      <c r="Z532">
        <v>0</v>
      </c>
      <c r="AB532">
        <v>0</v>
      </c>
      <c r="AC532">
        <v>9</v>
      </c>
      <c r="AD532">
        <v>3</v>
      </c>
      <c r="AE532">
        <v>0</v>
      </c>
      <c r="AF532">
        <v>9</v>
      </c>
      <c r="AG532" t="s">
        <v>158</v>
      </c>
      <c r="AH532">
        <v>0</v>
      </c>
      <c r="AI532">
        <v>3</v>
      </c>
      <c r="AJ532">
        <v>1</v>
      </c>
      <c r="AK532">
        <v>0</v>
      </c>
      <c r="AL532" t="s">
        <v>1133</v>
      </c>
      <c r="AM532">
        <v>46.945095000000002</v>
      </c>
      <c r="AN532" t="s">
        <v>1134</v>
      </c>
      <c r="AO532">
        <v>-122.32930899999999</v>
      </c>
      <c r="AP532">
        <v>100</v>
      </c>
      <c r="AQ532">
        <v>2000</v>
      </c>
      <c r="AR532" t="s">
        <v>118</v>
      </c>
      <c r="AS532">
        <v>-24</v>
      </c>
      <c r="AT532">
        <v>-78</v>
      </c>
      <c r="AU532">
        <v>128</v>
      </c>
      <c r="BC532">
        <v>1200</v>
      </c>
      <c r="BD532">
        <v>1</v>
      </c>
      <c r="BE532" t="str">
        <f t="shared" si="26"/>
        <v xml:space="preserve">N215T   </v>
      </c>
      <c r="BF532">
        <v>1</v>
      </c>
      <c r="BH532">
        <v>0</v>
      </c>
      <c r="BI532">
        <v>0</v>
      </c>
      <c r="BJ532">
        <v>0</v>
      </c>
      <c r="BK532">
        <v>2400</v>
      </c>
      <c r="BL532">
        <v>400</v>
      </c>
      <c r="BM532" t="s">
        <v>119</v>
      </c>
      <c r="BN532">
        <v>1</v>
      </c>
      <c r="BO532">
        <v>1</v>
      </c>
      <c r="BP532">
        <v>1</v>
      </c>
      <c r="BQ532">
        <v>0</v>
      </c>
      <c r="BT532">
        <v>0</v>
      </c>
      <c r="BU532">
        <v>0</v>
      </c>
      <c r="BV532">
        <v>0</v>
      </c>
      <c r="CC532" t="str">
        <f>"18:43:21.859"</f>
        <v>18:43:21.859</v>
      </c>
      <c r="CD532" t="str">
        <f>"862541976"</f>
        <v>862541976</v>
      </c>
      <c r="CQ532">
        <v>0</v>
      </c>
      <c r="CR532">
        <v>2</v>
      </c>
      <c r="CS532">
        <v>0</v>
      </c>
      <c r="CT532">
        <v>2</v>
      </c>
      <c r="CU532">
        <v>0</v>
      </c>
      <c r="CV532">
        <v>1</v>
      </c>
      <c r="CW532" t="s">
        <v>120</v>
      </c>
      <c r="CX532">
        <v>259</v>
      </c>
      <c r="CY532">
        <v>1</v>
      </c>
      <c r="CZ532" t="s">
        <v>197</v>
      </c>
      <c r="DA532" t="s">
        <v>198</v>
      </c>
      <c r="DD532">
        <v>14983740</v>
      </c>
      <c r="DE532" t="s">
        <v>123</v>
      </c>
    </row>
    <row r="533" spans="1:109" x14ac:dyDescent="0.3">
      <c r="A533" t="str">
        <f>"18:43:23.055"</f>
        <v>18:43:23.055</v>
      </c>
      <c r="B533" t="s">
        <v>110</v>
      </c>
      <c r="C533" t="str">
        <f t="shared" si="24"/>
        <v>ffdfd3c0</v>
      </c>
      <c r="D533" t="s">
        <v>111</v>
      </c>
      <c r="E533">
        <v>18</v>
      </c>
      <c r="F533">
        <v>1018</v>
      </c>
      <c r="G533" t="s">
        <v>112</v>
      </c>
      <c r="J533" t="s">
        <v>113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R533" t="s">
        <v>114</v>
      </c>
      <c r="S533" t="str">
        <f>"18:43:22.805"</f>
        <v>18:43:22.805</v>
      </c>
      <c r="T533" t="str">
        <f>"18:43:22.305"</f>
        <v>18:43:22.305</v>
      </c>
      <c r="U533" t="str">
        <f t="shared" si="25"/>
        <v>a1cdbe</v>
      </c>
      <c r="V533">
        <v>0</v>
      </c>
      <c r="W533">
        <v>0</v>
      </c>
      <c r="X533">
        <v>1</v>
      </c>
      <c r="Y533">
        <v>0</v>
      </c>
      <c r="Z533">
        <v>0</v>
      </c>
      <c r="AB533">
        <v>0</v>
      </c>
      <c r="AC533">
        <v>9</v>
      </c>
      <c r="AD533">
        <v>3</v>
      </c>
      <c r="AE533">
        <v>0</v>
      </c>
      <c r="AF533">
        <v>9</v>
      </c>
      <c r="AG533" t="s">
        <v>158</v>
      </c>
      <c r="AH533">
        <v>0</v>
      </c>
      <c r="AI533">
        <v>3</v>
      </c>
      <c r="AJ533">
        <v>1</v>
      </c>
      <c r="AK533">
        <v>0</v>
      </c>
      <c r="AL533" t="s">
        <v>1135</v>
      </c>
      <c r="AM533">
        <v>46.944772999999998</v>
      </c>
      <c r="AN533" t="s">
        <v>1136</v>
      </c>
      <c r="AO533">
        <v>-122.329459</v>
      </c>
      <c r="AP533">
        <v>100</v>
      </c>
      <c r="AQ533">
        <v>2000</v>
      </c>
      <c r="AR533" t="s">
        <v>118</v>
      </c>
      <c r="AS533">
        <v>-25</v>
      </c>
      <c r="AT533">
        <v>-77</v>
      </c>
      <c r="AU533">
        <v>128</v>
      </c>
      <c r="BC533">
        <v>1200</v>
      </c>
      <c r="BD533">
        <v>1</v>
      </c>
      <c r="BE533" t="str">
        <f t="shared" si="26"/>
        <v xml:space="preserve">N215T   </v>
      </c>
      <c r="BF533">
        <v>1</v>
      </c>
      <c r="BH533">
        <v>0</v>
      </c>
      <c r="BI533">
        <v>0</v>
      </c>
      <c r="BJ533">
        <v>0</v>
      </c>
      <c r="BK533">
        <v>2400</v>
      </c>
      <c r="BL533">
        <v>400</v>
      </c>
      <c r="BM533" t="s">
        <v>119</v>
      </c>
      <c r="BN533">
        <v>1</v>
      </c>
      <c r="BO533">
        <v>1</v>
      </c>
      <c r="BP533">
        <v>1</v>
      </c>
      <c r="BQ533">
        <v>0</v>
      </c>
      <c r="BT533">
        <v>0</v>
      </c>
      <c r="BU533">
        <v>0</v>
      </c>
      <c r="BV533">
        <v>0</v>
      </c>
      <c r="CC533" t="str">
        <f>"18:43:22.805"</f>
        <v>18:43:22.805</v>
      </c>
      <c r="CD533" t="str">
        <f>"807517216"</f>
        <v>807517216</v>
      </c>
      <c r="CQ533">
        <v>0</v>
      </c>
      <c r="CR533">
        <v>2</v>
      </c>
      <c r="CS533">
        <v>0</v>
      </c>
      <c r="CT533">
        <v>2</v>
      </c>
      <c r="CU533">
        <v>0</v>
      </c>
      <c r="CV533">
        <v>4</v>
      </c>
      <c r="CW533" t="s">
        <v>120</v>
      </c>
      <c r="CX533">
        <v>257</v>
      </c>
      <c r="CY533">
        <v>1</v>
      </c>
      <c r="CZ533" t="s">
        <v>615</v>
      </c>
      <c r="DA533" t="s">
        <v>616</v>
      </c>
      <c r="DD533">
        <v>10803817</v>
      </c>
      <c r="DE533" t="s">
        <v>123</v>
      </c>
    </row>
    <row r="534" spans="1:109" x14ac:dyDescent="0.3">
      <c r="A534" t="str">
        <f>"18:43:24.063"</f>
        <v>18:43:24.063</v>
      </c>
      <c r="B534" t="s">
        <v>110</v>
      </c>
      <c r="C534" t="str">
        <f t="shared" si="24"/>
        <v>ffdfd3c0</v>
      </c>
      <c r="D534" t="s">
        <v>111</v>
      </c>
      <c r="E534">
        <v>18</v>
      </c>
      <c r="F534">
        <v>1018</v>
      </c>
      <c r="G534" t="s">
        <v>112</v>
      </c>
      <c r="J534" t="s">
        <v>113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R534" t="s">
        <v>114</v>
      </c>
      <c r="S534" t="str">
        <f>"18:43:23.820"</f>
        <v>18:43:23.820</v>
      </c>
      <c r="T534" t="str">
        <f>"18:43:23.820"</f>
        <v>18:43:23.820</v>
      </c>
      <c r="U534" t="str">
        <f t="shared" si="25"/>
        <v>a1cdbe</v>
      </c>
      <c r="V534">
        <v>0</v>
      </c>
      <c r="W534">
        <v>0</v>
      </c>
      <c r="X534">
        <v>1</v>
      </c>
      <c r="Y534">
        <v>0</v>
      </c>
      <c r="Z534">
        <v>0</v>
      </c>
      <c r="AB534">
        <v>0</v>
      </c>
      <c r="AC534">
        <v>9</v>
      </c>
      <c r="AD534">
        <v>3</v>
      </c>
      <c r="AE534">
        <v>0</v>
      </c>
      <c r="AF534">
        <v>9</v>
      </c>
      <c r="AG534" t="s">
        <v>158</v>
      </c>
      <c r="AH534">
        <v>0</v>
      </c>
      <c r="AI534">
        <v>3</v>
      </c>
      <c r="AJ534">
        <v>1</v>
      </c>
      <c r="AK534">
        <v>0</v>
      </c>
      <c r="AL534" t="s">
        <v>1137</v>
      </c>
      <c r="AM534">
        <v>46.944386999999999</v>
      </c>
      <c r="AN534" t="s">
        <v>1138</v>
      </c>
      <c r="AO534">
        <v>-122.329674</v>
      </c>
      <c r="AP534">
        <v>100</v>
      </c>
      <c r="AQ534">
        <v>2000</v>
      </c>
      <c r="AR534" t="s">
        <v>118</v>
      </c>
      <c r="AS534">
        <v>-26</v>
      </c>
      <c r="AT534">
        <v>-76</v>
      </c>
      <c r="AU534">
        <v>192</v>
      </c>
      <c r="BC534">
        <v>1200</v>
      </c>
      <c r="BD534">
        <v>1</v>
      </c>
      <c r="BE534" t="str">
        <f t="shared" si="26"/>
        <v xml:space="preserve">N215T   </v>
      </c>
      <c r="BF534">
        <v>1</v>
      </c>
      <c r="BH534">
        <v>0</v>
      </c>
      <c r="BI534">
        <v>0</v>
      </c>
      <c r="BJ534">
        <v>0</v>
      </c>
      <c r="BK534">
        <v>2400</v>
      </c>
      <c r="BL534">
        <v>400</v>
      </c>
      <c r="BM534" t="s">
        <v>119</v>
      </c>
      <c r="BN534">
        <v>1</v>
      </c>
      <c r="BO534">
        <v>1</v>
      </c>
      <c r="BP534">
        <v>1</v>
      </c>
      <c r="BQ534">
        <v>0</v>
      </c>
      <c r="BT534">
        <v>0</v>
      </c>
      <c r="BU534">
        <v>0</v>
      </c>
      <c r="BV534">
        <v>0</v>
      </c>
      <c r="CC534" t="str">
        <f>"18:43:23.828"</f>
        <v>18:43:23.828</v>
      </c>
      <c r="CD534" t="str">
        <f>"827348763"</f>
        <v>827348763</v>
      </c>
      <c r="CQ534">
        <v>0</v>
      </c>
      <c r="CR534">
        <v>2</v>
      </c>
      <c r="CS534">
        <v>0</v>
      </c>
      <c r="CT534">
        <v>2</v>
      </c>
      <c r="CU534">
        <v>0</v>
      </c>
      <c r="CV534">
        <v>2</v>
      </c>
      <c r="CW534" t="s">
        <v>120</v>
      </c>
      <c r="CX534">
        <v>259</v>
      </c>
      <c r="CY534">
        <v>1</v>
      </c>
      <c r="CZ534" t="s">
        <v>197</v>
      </c>
      <c r="DA534" t="s">
        <v>198</v>
      </c>
      <c r="DD534">
        <v>14985005</v>
      </c>
      <c r="DE534" t="s">
        <v>123</v>
      </c>
    </row>
    <row r="535" spans="1:109" x14ac:dyDescent="0.3">
      <c r="A535" t="str">
        <f>"18:43:25.117"</f>
        <v>18:43:25.117</v>
      </c>
      <c r="B535" t="s">
        <v>110</v>
      </c>
      <c r="C535" t="str">
        <f t="shared" si="24"/>
        <v>ffdfd3c0</v>
      </c>
      <c r="D535" t="s">
        <v>111</v>
      </c>
      <c r="E535">
        <v>18</v>
      </c>
      <c r="F535">
        <v>1018</v>
      </c>
      <c r="G535" t="s">
        <v>112</v>
      </c>
      <c r="J535" t="s">
        <v>113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R535" t="s">
        <v>114</v>
      </c>
      <c r="S535" t="str">
        <f>"18:43:24.891"</f>
        <v>18:43:24.891</v>
      </c>
      <c r="T535" t="str">
        <f>"18:43:24.391"</f>
        <v>18:43:24.391</v>
      </c>
      <c r="U535" t="str">
        <f t="shared" si="25"/>
        <v>a1cdbe</v>
      </c>
      <c r="V535">
        <v>0</v>
      </c>
      <c r="W535">
        <v>0</v>
      </c>
      <c r="X535">
        <v>1</v>
      </c>
      <c r="Y535">
        <v>0</v>
      </c>
      <c r="Z535">
        <v>0</v>
      </c>
      <c r="AB535">
        <v>0</v>
      </c>
      <c r="AC535">
        <v>9</v>
      </c>
      <c r="AD535">
        <v>3</v>
      </c>
      <c r="AE535">
        <v>0</v>
      </c>
      <c r="AF535">
        <v>9</v>
      </c>
      <c r="AG535" t="s">
        <v>158</v>
      </c>
      <c r="AH535">
        <v>0</v>
      </c>
      <c r="AI535">
        <v>3</v>
      </c>
      <c r="AJ535">
        <v>1</v>
      </c>
      <c r="AK535">
        <v>0</v>
      </c>
      <c r="AL535" t="s">
        <v>1139</v>
      </c>
      <c r="AM535">
        <v>46.944021999999997</v>
      </c>
      <c r="AN535" t="s">
        <v>1140</v>
      </c>
      <c r="AO535">
        <v>-122.329888</v>
      </c>
      <c r="AP535">
        <v>100</v>
      </c>
      <c r="AQ535">
        <v>2000</v>
      </c>
      <c r="AR535" t="s">
        <v>118</v>
      </c>
      <c r="AS535">
        <v>-26</v>
      </c>
      <c r="AT535">
        <v>-75</v>
      </c>
      <c r="AU535">
        <v>256</v>
      </c>
      <c r="BC535">
        <v>1200</v>
      </c>
      <c r="BD535">
        <v>1</v>
      </c>
      <c r="BE535" t="str">
        <f t="shared" si="26"/>
        <v xml:space="preserve">N215T   </v>
      </c>
      <c r="BF535">
        <v>1</v>
      </c>
      <c r="BH535">
        <v>0</v>
      </c>
      <c r="BI535">
        <v>0</v>
      </c>
      <c r="BJ535">
        <v>0</v>
      </c>
      <c r="BK535">
        <v>2400</v>
      </c>
      <c r="BL535">
        <v>400</v>
      </c>
      <c r="BM535" t="s">
        <v>119</v>
      </c>
      <c r="BN535">
        <v>1</v>
      </c>
      <c r="BO535">
        <v>1</v>
      </c>
      <c r="BP535">
        <v>1</v>
      </c>
      <c r="BQ535">
        <v>0</v>
      </c>
      <c r="BT535">
        <v>0</v>
      </c>
      <c r="BU535">
        <v>0</v>
      </c>
      <c r="BV535">
        <v>0</v>
      </c>
      <c r="CC535" t="str">
        <f>"18:43:24.891"</f>
        <v>18:43:24.891</v>
      </c>
      <c r="CD535" t="str">
        <f>"892311756"</f>
        <v>892311756</v>
      </c>
      <c r="CQ535">
        <v>0</v>
      </c>
      <c r="CR535">
        <v>2</v>
      </c>
      <c r="CS535">
        <v>0</v>
      </c>
      <c r="CT535">
        <v>2</v>
      </c>
      <c r="CU535">
        <v>0</v>
      </c>
      <c r="CV535">
        <v>2</v>
      </c>
      <c r="CW535" t="s">
        <v>120</v>
      </c>
      <c r="CX535">
        <v>257</v>
      </c>
      <c r="CY535">
        <v>1</v>
      </c>
      <c r="CZ535" t="s">
        <v>615</v>
      </c>
      <c r="DA535" t="s">
        <v>616</v>
      </c>
      <c r="DD535">
        <v>10805193</v>
      </c>
      <c r="DE535" t="s">
        <v>123</v>
      </c>
    </row>
    <row r="536" spans="1:109" x14ac:dyDescent="0.3">
      <c r="A536" t="str">
        <f>"18:43:26.172"</f>
        <v>18:43:26.172</v>
      </c>
      <c r="B536" t="s">
        <v>110</v>
      </c>
      <c r="C536" t="str">
        <f t="shared" si="24"/>
        <v>ffdfd3c0</v>
      </c>
      <c r="D536" t="s">
        <v>111</v>
      </c>
      <c r="E536">
        <v>18</v>
      </c>
      <c r="F536">
        <v>1018</v>
      </c>
      <c r="G536" t="s">
        <v>112</v>
      </c>
      <c r="J536" t="s">
        <v>113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R536" t="s">
        <v>114</v>
      </c>
      <c r="S536" t="str">
        <f>"18:43:25.891"</f>
        <v>18:43:25.891</v>
      </c>
      <c r="T536" t="str">
        <f>"18:43:25.492"</f>
        <v>18:43:25.492</v>
      </c>
      <c r="U536" t="str">
        <f t="shared" si="25"/>
        <v>a1cdbe</v>
      </c>
      <c r="V536">
        <v>0</v>
      </c>
      <c r="W536">
        <v>0</v>
      </c>
      <c r="X536">
        <v>1</v>
      </c>
      <c r="Y536">
        <v>0</v>
      </c>
      <c r="Z536">
        <v>0</v>
      </c>
      <c r="AB536">
        <v>0</v>
      </c>
      <c r="AC536">
        <v>9</v>
      </c>
      <c r="AD536">
        <v>3</v>
      </c>
      <c r="AE536">
        <v>0</v>
      </c>
      <c r="AF536">
        <v>9</v>
      </c>
      <c r="AG536" t="s">
        <v>158</v>
      </c>
      <c r="AH536">
        <v>0</v>
      </c>
      <c r="AI536">
        <v>3</v>
      </c>
      <c r="AJ536">
        <v>1</v>
      </c>
      <c r="AK536">
        <v>0</v>
      </c>
      <c r="AL536" t="s">
        <v>1141</v>
      </c>
      <c r="AM536">
        <v>46.9437</v>
      </c>
      <c r="AN536" t="s">
        <v>1142</v>
      </c>
      <c r="AO536">
        <v>-122.330017</v>
      </c>
      <c r="AP536">
        <v>100</v>
      </c>
      <c r="AQ536">
        <v>2000</v>
      </c>
      <c r="AR536" t="s">
        <v>118</v>
      </c>
      <c r="AS536">
        <v>-27</v>
      </c>
      <c r="AT536">
        <v>-74</v>
      </c>
      <c r="AU536">
        <v>128</v>
      </c>
      <c r="BC536">
        <v>1200</v>
      </c>
      <c r="BD536">
        <v>1</v>
      </c>
      <c r="BE536" t="str">
        <f t="shared" si="26"/>
        <v xml:space="preserve">N215T   </v>
      </c>
      <c r="BF536">
        <v>1</v>
      </c>
      <c r="BH536">
        <v>0</v>
      </c>
      <c r="BI536">
        <v>0</v>
      </c>
      <c r="BJ536">
        <v>0</v>
      </c>
      <c r="BK536">
        <v>2400</v>
      </c>
      <c r="BL536">
        <v>400</v>
      </c>
      <c r="BM536" t="s">
        <v>119</v>
      </c>
      <c r="BN536">
        <v>1</v>
      </c>
      <c r="BO536">
        <v>1</v>
      </c>
      <c r="BP536">
        <v>1</v>
      </c>
      <c r="BQ536">
        <v>0</v>
      </c>
      <c r="BT536">
        <v>0</v>
      </c>
      <c r="BU536">
        <v>0</v>
      </c>
      <c r="BV536">
        <v>0</v>
      </c>
      <c r="CC536" t="str">
        <f>"18:43:25.898"</f>
        <v>18:43:25.898</v>
      </c>
      <c r="CD536" t="str">
        <f>"897212637"</f>
        <v>897212637</v>
      </c>
      <c r="CQ536">
        <v>0</v>
      </c>
      <c r="CR536">
        <v>2</v>
      </c>
      <c r="CS536">
        <v>0</v>
      </c>
      <c r="CT536">
        <v>2</v>
      </c>
      <c r="CU536">
        <v>0</v>
      </c>
      <c r="CV536">
        <v>2</v>
      </c>
      <c r="CW536" t="s">
        <v>120</v>
      </c>
      <c r="CX536">
        <v>257</v>
      </c>
      <c r="CY536">
        <v>1</v>
      </c>
      <c r="CZ536" t="s">
        <v>615</v>
      </c>
      <c r="DA536" t="s">
        <v>616</v>
      </c>
      <c r="DD536">
        <v>10805885</v>
      </c>
      <c r="DE536" t="s">
        <v>123</v>
      </c>
    </row>
    <row r="537" spans="1:109" x14ac:dyDescent="0.3">
      <c r="A537" t="str">
        <f>"18:43:27.125"</f>
        <v>18:43:27.125</v>
      </c>
      <c r="B537" t="s">
        <v>110</v>
      </c>
      <c r="C537" t="str">
        <f t="shared" si="24"/>
        <v>ffdfd3c0</v>
      </c>
      <c r="D537" t="s">
        <v>111</v>
      </c>
      <c r="E537">
        <v>18</v>
      </c>
      <c r="F537">
        <v>1018</v>
      </c>
      <c r="G537" t="s">
        <v>112</v>
      </c>
      <c r="J537" t="s">
        <v>113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R537" t="s">
        <v>114</v>
      </c>
      <c r="S537" t="str">
        <f>"18:43:26.914"</f>
        <v>18:43:26.914</v>
      </c>
      <c r="T537" t="str">
        <f>"18:43:26.516"</f>
        <v>18:43:26.516</v>
      </c>
      <c r="U537" t="str">
        <f t="shared" si="25"/>
        <v>a1cdbe</v>
      </c>
      <c r="V537">
        <v>0</v>
      </c>
      <c r="W537">
        <v>0</v>
      </c>
      <c r="X537">
        <v>1</v>
      </c>
      <c r="Y537">
        <v>0</v>
      </c>
      <c r="Z537">
        <v>0</v>
      </c>
      <c r="AB537">
        <v>0</v>
      </c>
      <c r="AC537">
        <v>9</v>
      </c>
      <c r="AD537">
        <v>3</v>
      </c>
      <c r="AE537">
        <v>0</v>
      </c>
      <c r="AF537">
        <v>9</v>
      </c>
      <c r="AG537" t="s">
        <v>158</v>
      </c>
      <c r="AH537">
        <v>0</v>
      </c>
      <c r="AI537">
        <v>3</v>
      </c>
      <c r="AJ537">
        <v>1</v>
      </c>
      <c r="AK537">
        <v>0</v>
      </c>
      <c r="AL537" t="s">
        <v>1143</v>
      </c>
      <c r="AM537">
        <v>46.943336000000002</v>
      </c>
      <c r="AN537" t="s">
        <v>1144</v>
      </c>
      <c r="AO537">
        <v>-122.330232</v>
      </c>
      <c r="AP537">
        <v>100</v>
      </c>
      <c r="AQ537">
        <v>2000</v>
      </c>
      <c r="AR537" t="s">
        <v>118</v>
      </c>
      <c r="AS537">
        <v>-28</v>
      </c>
      <c r="AT537">
        <v>-74</v>
      </c>
      <c r="AU537">
        <v>64</v>
      </c>
      <c r="BC537">
        <v>1200</v>
      </c>
      <c r="BD537">
        <v>1</v>
      </c>
      <c r="BE537" t="str">
        <f t="shared" si="26"/>
        <v xml:space="preserve">N215T   </v>
      </c>
      <c r="BF537">
        <v>1</v>
      </c>
      <c r="BH537">
        <v>0</v>
      </c>
      <c r="BI537">
        <v>0</v>
      </c>
      <c r="BJ537">
        <v>0</v>
      </c>
      <c r="BK537">
        <v>2425</v>
      </c>
      <c r="BL537">
        <v>425</v>
      </c>
      <c r="BM537" t="s">
        <v>119</v>
      </c>
      <c r="BN537">
        <v>1</v>
      </c>
      <c r="BO537">
        <v>1</v>
      </c>
      <c r="BP537">
        <v>1</v>
      </c>
      <c r="BQ537">
        <v>0</v>
      </c>
      <c r="BT537">
        <v>0</v>
      </c>
      <c r="BU537">
        <v>0</v>
      </c>
      <c r="BV537">
        <v>0</v>
      </c>
      <c r="CC537" t="str">
        <f>"18:43:26.914"</f>
        <v>18:43:26.914</v>
      </c>
      <c r="CD537" t="str">
        <f>"917044994"</f>
        <v>917044994</v>
      </c>
      <c r="CQ537">
        <v>0</v>
      </c>
      <c r="CR537">
        <v>2</v>
      </c>
      <c r="CS537">
        <v>0</v>
      </c>
      <c r="CT537">
        <v>2</v>
      </c>
      <c r="CU537">
        <v>0</v>
      </c>
      <c r="CV537">
        <v>1</v>
      </c>
      <c r="CW537" t="s">
        <v>120</v>
      </c>
      <c r="CX537">
        <v>259</v>
      </c>
      <c r="CY537">
        <v>1</v>
      </c>
      <c r="CZ537" t="s">
        <v>197</v>
      </c>
      <c r="DA537" t="s">
        <v>198</v>
      </c>
      <c r="DD537">
        <v>14987013</v>
      </c>
      <c r="DE537" t="s">
        <v>123</v>
      </c>
    </row>
    <row r="538" spans="1:109" x14ac:dyDescent="0.3">
      <c r="A538" t="str">
        <f>"18:43:28.133"</f>
        <v>18:43:28.133</v>
      </c>
      <c r="B538" t="s">
        <v>110</v>
      </c>
      <c r="C538" t="str">
        <f t="shared" si="24"/>
        <v>ffdfd3c0</v>
      </c>
      <c r="D538" t="s">
        <v>111</v>
      </c>
      <c r="E538">
        <v>18</v>
      </c>
      <c r="F538">
        <v>1018</v>
      </c>
      <c r="G538" t="s">
        <v>112</v>
      </c>
      <c r="J538" t="s">
        <v>113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R538" t="s">
        <v>114</v>
      </c>
      <c r="S538" t="str">
        <f>"18:43:27.875"</f>
        <v>18:43:27.875</v>
      </c>
      <c r="T538" t="str">
        <f>"18:43:27.477"</f>
        <v>18:43:27.477</v>
      </c>
      <c r="U538" t="str">
        <f t="shared" si="25"/>
        <v>a1cdbe</v>
      </c>
      <c r="V538">
        <v>0</v>
      </c>
      <c r="W538">
        <v>0</v>
      </c>
      <c r="X538">
        <v>1</v>
      </c>
      <c r="Y538">
        <v>0</v>
      </c>
      <c r="Z538">
        <v>0</v>
      </c>
      <c r="AB538">
        <v>0</v>
      </c>
      <c r="AC538">
        <v>9</v>
      </c>
      <c r="AD538">
        <v>3</v>
      </c>
      <c r="AE538">
        <v>0</v>
      </c>
      <c r="AF538">
        <v>9</v>
      </c>
      <c r="AG538" t="s">
        <v>158</v>
      </c>
      <c r="AH538">
        <v>0</v>
      </c>
      <c r="AI538">
        <v>3</v>
      </c>
      <c r="AJ538">
        <v>1</v>
      </c>
      <c r="AK538">
        <v>0</v>
      </c>
      <c r="AL538" t="s">
        <v>1145</v>
      </c>
      <c r="AM538">
        <v>46.942991999999997</v>
      </c>
      <c r="AN538" t="s">
        <v>1146</v>
      </c>
      <c r="AO538">
        <v>-122.33044599999999</v>
      </c>
      <c r="AP538">
        <v>100</v>
      </c>
      <c r="AQ538">
        <v>2000</v>
      </c>
      <c r="AR538" t="s">
        <v>118</v>
      </c>
      <c r="AS538">
        <v>-28</v>
      </c>
      <c r="AT538">
        <v>-73</v>
      </c>
      <c r="AU538">
        <v>64</v>
      </c>
      <c r="BC538">
        <v>1200</v>
      </c>
      <c r="BD538">
        <v>1</v>
      </c>
      <c r="BE538" t="str">
        <f t="shared" si="26"/>
        <v xml:space="preserve">N215T   </v>
      </c>
      <c r="BF538">
        <v>1</v>
      </c>
      <c r="BH538">
        <v>0</v>
      </c>
      <c r="BI538">
        <v>0</v>
      </c>
      <c r="BJ538">
        <v>0</v>
      </c>
      <c r="BK538">
        <v>2425</v>
      </c>
      <c r="BL538">
        <v>425</v>
      </c>
      <c r="BM538" t="s">
        <v>119</v>
      </c>
      <c r="BN538">
        <v>1</v>
      </c>
      <c r="BO538">
        <v>1</v>
      </c>
      <c r="BP538">
        <v>1</v>
      </c>
      <c r="BQ538">
        <v>0</v>
      </c>
      <c r="BT538">
        <v>0</v>
      </c>
      <c r="BU538">
        <v>0</v>
      </c>
      <c r="BV538">
        <v>0</v>
      </c>
      <c r="CC538" t="str">
        <f>"18:43:27.875"</f>
        <v>18:43:27.875</v>
      </c>
      <c r="CD538" t="str">
        <f>"877017645"</f>
        <v>877017645</v>
      </c>
      <c r="CQ538">
        <v>0</v>
      </c>
      <c r="CR538">
        <v>2</v>
      </c>
      <c r="CS538">
        <v>0</v>
      </c>
      <c r="CT538">
        <v>2</v>
      </c>
      <c r="CU538">
        <v>0</v>
      </c>
      <c r="CV538">
        <v>1</v>
      </c>
      <c r="CW538" t="s">
        <v>120</v>
      </c>
      <c r="CX538">
        <v>257</v>
      </c>
      <c r="CY538">
        <v>0</v>
      </c>
      <c r="CZ538" t="s">
        <v>615</v>
      </c>
      <c r="DA538" t="s">
        <v>616</v>
      </c>
      <c r="DD538">
        <v>14827075</v>
      </c>
      <c r="DE538" t="s">
        <v>123</v>
      </c>
    </row>
    <row r="539" spans="1:109" x14ac:dyDescent="0.3">
      <c r="A539" t="str">
        <f>"18:43:29.086"</f>
        <v>18:43:29.086</v>
      </c>
      <c r="B539" t="s">
        <v>110</v>
      </c>
      <c r="C539" t="str">
        <f t="shared" si="24"/>
        <v>ffdfd3c0</v>
      </c>
      <c r="D539" t="s">
        <v>111</v>
      </c>
      <c r="E539">
        <v>18</v>
      </c>
      <c r="F539">
        <v>1018</v>
      </c>
      <c r="G539" t="s">
        <v>112</v>
      </c>
      <c r="J539" t="s">
        <v>113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R539" t="s">
        <v>114</v>
      </c>
      <c r="S539" t="str">
        <f>"18:43:28.891"</f>
        <v>18:43:28.891</v>
      </c>
      <c r="T539" t="str">
        <f>"18:43:28.594"</f>
        <v>18:43:28.594</v>
      </c>
      <c r="U539" t="str">
        <f t="shared" si="25"/>
        <v>a1cdbe</v>
      </c>
      <c r="V539">
        <v>0</v>
      </c>
      <c r="W539">
        <v>0</v>
      </c>
      <c r="X539">
        <v>1</v>
      </c>
      <c r="Y539">
        <v>0</v>
      </c>
      <c r="Z539">
        <v>0</v>
      </c>
      <c r="AB539">
        <v>0</v>
      </c>
      <c r="AC539">
        <v>9</v>
      </c>
      <c r="AD539">
        <v>3</v>
      </c>
      <c r="AE539">
        <v>0</v>
      </c>
      <c r="AF539">
        <v>9</v>
      </c>
      <c r="AG539" t="s">
        <v>158</v>
      </c>
      <c r="AH539">
        <v>0</v>
      </c>
      <c r="AI539">
        <v>3</v>
      </c>
      <c r="AJ539">
        <v>1</v>
      </c>
      <c r="AK539">
        <v>0</v>
      </c>
      <c r="AL539" t="s">
        <v>1147</v>
      </c>
      <c r="AM539">
        <v>46.942649000000003</v>
      </c>
      <c r="AN539" t="s">
        <v>1148</v>
      </c>
      <c r="AO539">
        <v>-122.330575</v>
      </c>
      <c r="AP539">
        <v>100</v>
      </c>
      <c r="AQ539">
        <v>2000</v>
      </c>
      <c r="AR539" t="s">
        <v>118</v>
      </c>
      <c r="AS539">
        <v>-29</v>
      </c>
      <c r="AT539">
        <v>-73</v>
      </c>
      <c r="AU539">
        <v>-64</v>
      </c>
      <c r="BC539">
        <v>1200</v>
      </c>
      <c r="BD539">
        <v>1</v>
      </c>
      <c r="BE539" t="str">
        <f t="shared" si="26"/>
        <v xml:space="preserve">N215T   </v>
      </c>
      <c r="BF539">
        <v>1</v>
      </c>
      <c r="BH539">
        <v>0</v>
      </c>
      <c r="BI539">
        <v>0</v>
      </c>
      <c r="BJ539">
        <v>0</v>
      </c>
      <c r="BK539">
        <v>2425</v>
      </c>
      <c r="BL539">
        <v>425</v>
      </c>
      <c r="BM539" t="s">
        <v>119</v>
      </c>
      <c r="BN539">
        <v>1</v>
      </c>
      <c r="BO539">
        <v>1</v>
      </c>
      <c r="BP539">
        <v>1</v>
      </c>
      <c r="BQ539">
        <v>0</v>
      </c>
      <c r="BT539">
        <v>0</v>
      </c>
      <c r="BU539">
        <v>0</v>
      </c>
      <c r="BV539">
        <v>0</v>
      </c>
      <c r="CC539" t="str">
        <f>"18:43:28.898"</f>
        <v>18:43:28.898</v>
      </c>
      <c r="CD539" t="str">
        <f>"896917068"</f>
        <v>896917068</v>
      </c>
      <c r="CQ539">
        <v>0</v>
      </c>
      <c r="CR539">
        <v>2</v>
      </c>
      <c r="CS539">
        <v>0</v>
      </c>
      <c r="CT539">
        <v>2</v>
      </c>
      <c r="CU539">
        <v>0</v>
      </c>
      <c r="CV539">
        <v>3</v>
      </c>
      <c r="CW539" t="s">
        <v>120</v>
      </c>
      <c r="CX539">
        <v>257</v>
      </c>
      <c r="CY539">
        <v>1</v>
      </c>
      <c r="CZ539" t="s">
        <v>615</v>
      </c>
      <c r="DA539" t="s">
        <v>616</v>
      </c>
      <c r="DD539">
        <v>10807853</v>
      </c>
      <c r="DE539" t="s">
        <v>123</v>
      </c>
    </row>
    <row r="540" spans="1:109" x14ac:dyDescent="0.3">
      <c r="A540" t="str">
        <f>"18:43:30.094"</f>
        <v>18:43:30.094</v>
      </c>
      <c r="B540" t="s">
        <v>110</v>
      </c>
      <c r="C540" t="str">
        <f t="shared" si="24"/>
        <v>ffdfd3c0</v>
      </c>
      <c r="D540" t="s">
        <v>111</v>
      </c>
      <c r="E540">
        <v>18</v>
      </c>
      <c r="F540">
        <v>1018</v>
      </c>
      <c r="G540" t="s">
        <v>112</v>
      </c>
      <c r="J540" t="s">
        <v>113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R540" t="s">
        <v>114</v>
      </c>
      <c r="S540" t="str">
        <f>"18:43:29.867"</f>
        <v>18:43:29.867</v>
      </c>
      <c r="T540" t="str">
        <f>"18:43:29.570"</f>
        <v>18:43:29.570</v>
      </c>
      <c r="U540" t="str">
        <f t="shared" si="25"/>
        <v>a1cdbe</v>
      </c>
      <c r="V540">
        <v>0</v>
      </c>
      <c r="W540">
        <v>0</v>
      </c>
      <c r="X540">
        <v>1</v>
      </c>
      <c r="Y540">
        <v>0</v>
      </c>
      <c r="Z540">
        <v>0</v>
      </c>
      <c r="AB540">
        <v>0</v>
      </c>
      <c r="AC540">
        <v>9</v>
      </c>
      <c r="AD540">
        <v>3</v>
      </c>
      <c r="AE540">
        <v>0</v>
      </c>
      <c r="AF540">
        <v>9</v>
      </c>
      <c r="AG540" t="s">
        <v>158</v>
      </c>
      <c r="AH540">
        <v>0</v>
      </c>
      <c r="AI540">
        <v>3</v>
      </c>
      <c r="AJ540">
        <v>1</v>
      </c>
      <c r="AK540">
        <v>0</v>
      </c>
      <c r="AL540" t="s">
        <v>1149</v>
      </c>
      <c r="AM540">
        <v>46.942348000000003</v>
      </c>
      <c r="AN540" t="s">
        <v>1150</v>
      </c>
      <c r="AO540">
        <v>-122.33078999999999</v>
      </c>
      <c r="AP540">
        <v>100</v>
      </c>
      <c r="AQ540">
        <v>2000</v>
      </c>
      <c r="AR540" t="s">
        <v>118</v>
      </c>
      <c r="AS540">
        <v>-29</v>
      </c>
      <c r="AT540">
        <v>-73</v>
      </c>
      <c r="AU540">
        <v>-128</v>
      </c>
      <c r="BC540">
        <v>1200</v>
      </c>
      <c r="BD540">
        <v>1</v>
      </c>
      <c r="BE540" t="str">
        <f t="shared" si="26"/>
        <v xml:space="preserve">N215T   </v>
      </c>
      <c r="BF540">
        <v>1</v>
      </c>
      <c r="BH540">
        <v>0</v>
      </c>
      <c r="BI540">
        <v>0</v>
      </c>
      <c r="BJ540">
        <v>0</v>
      </c>
      <c r="BK540">
        <v>2425</v>
      </c>
      <c r="BL540">
        <v>425</v>
      </c>
      <c r="BM540" t="s">
        <v>119</v>
      </c>
      <c r="BN540">
        <v>1</v>
      </c>
      <c r="BO540">
        <v>1</v>
      </c>
      <c r="BP540">
        <v>1</v>
      </c>
      <c r="BQ540">
        <v>0</v>
      </c>
      <c r="BT540">
        <v>0</v>
      </c>
      <c r="BU540">
        <v>0</v>
      </c>
      <c r="BV540">
        <v>0</v>
      </c>
      <c r="CC540" t="str">
        <f>"18:43:29.875"</f>
        <v>18:43:29.875</v>
      </c>
      <c r="CD540" t="str">
        <f>"871631240"</f>
        <v>871631240</v>
      </c>
      <c r="CQ540">
        <v>0</v>
      </c>
      <c r="CR540">
        <v>2</v>
      </c>
      <c r="CS540">
        <v>0</v>
      </c>
      <c r="CT540">
        <v>2</v>
      </c>
      <c r="CU540">
        <v>0</v>
      </c>
      <c r="CV540">
        <v>4</v>
      </c>
      <c r="CW540" t="s">
        <v>120</v>
      </c>
      <c r="CX540">
        <v>261</v>
      </c>
      <c r="CY540">
        <v>2</v>
      </c>
      <c r="CZ540" t="s">
        <v>121</v>
      </c>
      <c r="DA540" t="s">
        <v>122</v>
      </c>
      <c r="DD540">
        <v>14531404</v>
      </c>
      <c r="DE540" t="s">
        <v>123</v>
      </c>
    </row>
    <row r="541" spans="1:109" x14ac:dyDescent="0.3">
      <c r="A541" t="str">
        <f>"18:43:31.102"</f>
        <v>18:43:31.102</v>
      </c>
      <c r="B541" t="s">
        <v>110</v>
      </c>
      <c r="C541" t="str">
        <f t="shared" si="24"/>
        <v>ffdfd3c0</v>
      </c>
      <c r="D541" t="s">
        <v>111</v>
      </c>
      <c r="E541">
        <v>18</v>
      </c>
      <c r="F541">
        <v>1018</v>
      </c>
      <c r="G541" t="s">
        <v>112</v>
      </c>
      <c r="J541" t="s">
        <v>113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R541" t="s">
        <v>114</v>
      </c>
      <c r="S541" t="str">
        <f>"18:43:30.859"</f>
        <v>18:43:30.859</v>
      </c>
      <c r="T541" t="str">
        <f>"18:43:30.461"</f>
        <v>18:43:30.461</v>
      </c>
      <c r="U541" t="str">
        <f t="shared" si="25"/>
        <v>a1cdbe</v>
      </c>
      <c r="V541">
        <v>0</v>
      </c>
      <c r="W541">
        <v>0</v>
      </c>
      <c r="X541">
        <v>1</v>
      </c>
      <c r="Y541">
        <v>0</v>
      </c>
      <c r="Z541">
        <v>0</v>
      </c>
      <c r="AB541">
        <v>0</v>
      </c>
      <c r="AC541">
        <v>9</v>
      </c>
      <c r="AD541">
        <v>3</v>
      </c>
      <c r="AE541">
        <v>0</v>
      </c>
      <c r="AF541">
        <v>9</v>
      </c>
      <c r="AG541" t="s">
        <v>158</v>
      </c>
      <c r="AH541">
        <v>0</v>
      </c>
      <c r="AI541">
        <v>3</v>
      </c>
      <c r="AJ541">
        <v>1</v>
      </c>
      <c r="AK541">
        <v>0</v>
      </c>
      <c r="AL541" t="s">
        <v>1151</v>
      </c>
      <c r="AM541">
        <v>46.942027000000003</v>
      </c>
      <c r="AN541" t="s">
        <v>1152</v>
      </c>
      <c r="AO541">
        <v>-122.330983</v>
      </c>
      <c r="AP541">
        <v>100</v>
      </c>
      <c r="AQ541">
        <v>2000</v>
      </c>
      <c r="AR541" t="s">
        <v>118</v>
      </c>
      <c r="AS541">
        <v>-29</v>
      </c>
      <c r="AT541">
        <v>-72</v>
      </c>
      <c r="AU541">
        <v>-64</v>
      </c>
      <c r="BC541">
        <v>1200</v>
      </c>
      <c r="BD541">
        <v>1</v>
      </c>
      <c r="BE541" t="str">
        <f t="shared" si="26"/>
        <v xml:space="preserve">N215T   </v>
      </c>
      <c r="BF541">
        <v>1</v>
      </c>
      <c r="BH541">
        <v>0</v>
      </c>
      <c r="BI541">
        <v>0</v>
      </c>
      <c r="BJ541">
        <v>0</v>
      </c>
      <c r="BK541">
        <v>2400</v>
      </c>
      <c r="BL541">
        <v>400</v>
      </c>
      <c r="BM541" t="s">
        <v>119</v>
      </c>
      <c r="BN541">
        <v>1</v>
      </c>
      <c r="BO541">
        <v>1</v>
      </c>
      <c r="BP541">
        <v>1</v>
      </c>
      <c r="BQ541">
        <v>0</v>
      </c>
      <c r="BT541">
        <v>0</v>
      </c>
      <c r="BU541">
        <v>0</v>
      </c>
      <c r="BV541">
        <v>0</v>
      </c>
      <c r="CC541" t="str">
        <f>"18:43:30.859"</f>
        <v>18:43:30.859</v>
      </c>
      <c r="CD541" t="str">
        <f>"861533880"</f>
        <v>861533880</v>
      </c>
      <c r="CQ541">
        <v>0</v>
      </c>
      <c r="CR541">
        <v>2</v>
      </c>
      <c r="CS541">
        <v>0</v>
      </c>
      <c r="CT541">
        <v>2</v>
      </c>
      <c r="CU541">
        <v>0</v>
      </c>
      <c r="CV541">
        <v>2</v>
      </c>
      <c r="CW541" t="s">
        <v>120</v>
      </c>
      <c r="CX541">
        <v>261</v>
      </c>
      <c r="CY541">
        <v>2</v>
      </c>
      <c r="CZ541" t="s">
        <v>121</v>
      </c>
      <c r="DA541" t="s">
        <v>122</v>
      </c>
      <c r="DD541">
        <v>14531930</v>
      </c>
      <c r="DE541" t="s">
        <v>123</v>
      </c>
    </row>
    <row r="542" spans="1:109" x14ac:dyDescent="0.3">
      <c r="A542" t="str">
        <f>"18:43:32.156"</f>
        <v>18:43:32.156</v>
      </c>
      <c r="B542" t="s">
        <v>110</v>
      </c>
      <c r="C542" t="str">
        <f t="shared" si="24"/>
        <v>ffdfd3c0</v>
      </c>
      <c r="D542" t="s">
        <v>111</v>
      </c>
      <c r="E542">
        <v>18</v>
      </c>
      <c r="F542">
        <v>1018</v>
      </c>
      <c r="G542" t="s">
        <v>112</v>
      </c>
      <c r="J542" t="s">
        <v>113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R542" t="s">
        <v>114</v>
      </c>
      <c r="S542" t="str">
        <f>"18:43:31.922"</f>
        <v>18:43:31.922</v>
      </c>
      <c r="T542" t="str">
        <f>"18:43:31.523"</f>
        <v>18:43:31.523</v>
      </c>
      <c r="U542" t="str">
        <f t="shared" si="25"/>
        <v>a1cdbe</v>
      </c>
      <c r="V542">
        <v>0</v>
      </c>
      <c r="W542">
        <v>0</v>
      </c>
      <c r="X542">
        <v>1</v>
      </c>
      <c r="Y542">
        <v>0</v>
      </c>
      <c r="Z542">
        <v>0</v>
      </c>
      <c r="AB542">
        <v>0</v>
      </c>
      <c r="AC542">
        <v>9</v>
      </c>
      <c r="AD542">
        <v>3</v>
      </c>
      <c r="AE542">
        <v>0</v>
      </c>
      <c r="AF542">
        <v>9</v>
      </c>
      <c r="AG542" t="s">
        <v>158</v>
      </c>
      <c r="AH542">
        <v>0</v>
      </c>
      <c r="AI542">
        <v>3</v>
      </c>
      <c r="AJ542">
        <v>1</v>
      </c>
      <c r="AK542">
        <v>0</v>
      </c>
      <c r="AL542" t="s">
        <v>1153</v>
      </c>
      <c r="AM542">
        <v>46.94164</v>
      </c>
      <c r="AN542" t="s">
        <v>1154</v>
      </c>
      <c r="AO542">
        <v>-122.331154</v>
      </c>
      <c r="AP542">
        <v>100</v>
      </c>
      <c r="AQ542">
        <v>2000</v>
      </c>
      <c r="AR542" t="s">
        <v>118</v>
      </c>
      <c r="AS542">
        <v>-27</v>
      </c>
      <c r="AT542">
        <v>-73</v>
      </c>
      <c r="AU542">
        <v>64</v>
      </c>
      <c r="BC542">
        <v>1200</v>
      </c>
      <c r="BD542">
        <v>1</v>
      </c>
      <c r="BE542" t="str">
        <f t="shared" si="26"/>
        <v xml:space="preserve">N215T   </v>
      </c>
      <c r="BF542">
        <v>1</v>
      </c>
      <c r="BH542">
        <v>0</v>
      </c>
      <c r="BI542">
        <v>0</v>
      </c>
      <c r="BJ542">
        <v>0</v>
      </c>
      <c r="BK542">
        <v>2400</v>
      </c>
      <c r="BL542">
        <v>400</v>
      </c>
      <c r="BM542" t="s">
        <v>119</v>
      </c>
      <c r="BN542">
        <v>1</v>
      </c>
      <c r="BO542">
        <v>1</v>
      </c>
      <c r="BP542">
        <v>1</v>
      </c>
      <c r="BQ542">
        <v>0</v>
      </c>
      <c r="BT542">
        <v>0</v>
      </c>
      <c r="BU542">
        <v>0</v>
      </c>
      <c r="BV542">
        <v>0</v>
      </c>
      <c r="CC542" t="str">
        <f>"18:43:31.930"</f>
        <v>18:43:31.930</v>
      </c>
      <c r="CD542" t="str">
        <f>"926429131"</f>
        <v>926429131</v>
      </c>
      <c r="CQ542">
        <v>0</v>
      </c>
      <c r="CR542">
        <v>2</v>
      </c>
      <c r="CS542">
        <v>0</v>
      </c>
      <c r="CT542">
        <v>2</v>
      </c>
      <c r="CU542">
        <v>0</v>
      </c>
      <c r="CV542">
        <v>3</v>
      </c>
      <c r="CW542" t="s">
        <v>120</v>
      </c>
      <c r="CX542">
        <v>261</v>
      </c>
      <c r="CY542">
        <v>2</v>
      </c>
      <c r="CZ542" t="s">
        <v>121</v>
      </c>
      <c r="DA542" t="s">
        <v>122</v>
      </c>
      <c r="DD542">
        <v>14532441</v>
      </c>
      <c r="DE542" t="s">
        <v>123</v>
      </c>
    </row>
    <row r="543" spans="1:109" x14ac:dyDescent="0.3">
      <c r="A543" t="str">
        <f>"18:43:33.164"</f>
        <v>18:43:33.164</v>
      </c>
      <c r="B543" t="s">
        <v>110</v>
      </c>
      <c r="C543" t="str">
        <f t="shared" si="24"/>
        <v>ffdfd3c0</v>
      </c>
      <c r="D543" t="s">
        <v>111</v>
      </c>
      <c r="E543">
        <v>18</v>
      </c>
      <c r="F543">
        <v>1018</v>
      </c>
      <c r="G543" t="s">
        <v>112</v>
      </c>
      <c r="J543" t="s">
        <v>113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R543" t="s">
        <v>114</v>
      </c>
      <c r="S543" t="str">
        <f>"18:43:32.914"</f>
        <v>18:43:32.914</v>
      </c>
      <c r="T543" t="str">
        <f>"18:43:32.516"</f>
        <v>18:43:32.516</v>
      </c>
      <c r="U543" t="str">
        <f t="shared" si="25"/>
        <v>a1cdbe</v>
      </c>
      <c r="V543">
        <v>0</v>
      </c>
      <c r="W543">
        <v>0</v>
      </c>
      <c r="X543">
        <v>1</v>
      </c>
      <c r="Y543">
        <v>0</v>
      </c>
      <c r="Z543">
        <v>0</v>
      </c>
      <c r="AB543">
        <v>0</v>
      </c>
      <c r="AC543">
        <v>9</v>
      </c>
      <c r="AD543">
        <v>3</v>
      </c>
      <c r="AE543">
        <v>0</v>
      </c>
      <c r="AF543">
        <v>9</v>
      </c>
      <c r="AG543" t="s">
        <v>158</v>
      </c>
      <c r="AH543">
        <v>0</v>
      </c>
      <c r="AI543">
        <v>3</v>
      </c>
      <c r="AJ543">
        <v>1</v>
      </c>
      <c r="AK543">
        <v>0</v>
      </c>
      <c r="AL543" t="s">
        <v>1155</v>
      </c>
      <c r="AM543">
        <v>46.941339999999997</v>
      </c>
      <c r="AN543" t="s">
        <v>1156</v>
      </c>
      <c r="AO543">
        <v>-122.33139</v>
      </c>
      <c r="AP543">
        <v>100</v>
      </c>
      <c r="AQ543">
        <v>2000</v>
      </c>
      <c r="AR543" t="s">
        <v>118</v>
      </c>
      <c r="AS543">
        <v>-26</v>
      </c>
      <c r="AT543">
        <v>-74</v>
      </c>
      <c r="AU543">
        <v>-64</v>
      </c>
      <c r="BC543">
        <v>1200</v>
      </c>
      <c r="BD543">
        <v>1</v>
      </c>
      <c r="BE543" t="str">
        <f t="shared" si="26"/>
        <v xml:space="preserve">N215T   </v>
      </c>
      <c r="BF543">
        <v>1</v>
      </c>
      <c r="BH543">
        <v>0</v>
      </c>
      <c r="BI543">
        <v>0</v>
      </c>
      <c r="BJ543">
        <v>0</v>
      </c>
      <c r="BK543">
        <v>2400</v>
      </c>
      <c r="BL543">
        <v>400</v>
      </c>
      <c r="BM543" t="s">
        <v>119</v>
      </c>
      <c r="BN543">
        <v>1</v>
      </c>
      <c r="BO543">
        <v>1</v>
      </c>
      <c r="BP543">
        <v>1</v>
      </c>
      <c r="BQ543">
        <v>0</v>
      </c>
      <c r="BT543">
        <v>0</v>
      </c>
      <c r="BU543">
        <v>0</v>
      </c>
      <c r="BV543">
        <v>0</v>
      </c>
      <c r="CC543" t="str">
        <f>"18:43:32.914"</f>
        <v>18:43:32.914</v>
      </c>
      <c r="CD543" t="str">
        <f>"916520979"</f>
        <v>916520979</v>
      </c>
      <c r="CQ543">
        <v>0</v>
      </c>
      <c r="CR543">
        <v>2</v>
      </c>
      <c r="CS543">
        <v>0</v>
      </c>
      <c r="CT543">
        <v>2</v>
      </c>
      <c r="CU543">
        <v>0</v>
      </c>
      <c r="CV543">
        <v>2</v>
      </c>
      <c r="CW543" t="s">
        <v>120</v>
      </c>
      <c r="CX543">
        <v>257</v>
      </c>
      <c r="CY543">
        <v>1</v>
      </c>
      <c r="CZ543" t="s">
        <v>615</v>
      </c>
      <c r="DA543" t="s">
        <v>616</v>
      </c>
      <c r="DD543">
        <v>10810558</v>
      </c>
      <c r="DE543" t="s">
        <v>123</v>
      </c>
    </row>
    <row r="544" spans="1:109" x14ac:dyDescent="0.3">
      <c r="A544" t="str">
        <f>"18:43:34.117"</f>
        <v>18:43:34.117</v>
      </c>
      <c r="B544" t="s">
        <v>110</v>
      </c>
      <c r="C544" t="str">
        <f t="shared" si="24"/>
        <v>ffdfd3c0</v>
      </c>
      <c r="D544" t="s">
        <v>111</v>
      </c>
      <c r="E544">
        <v>18</v>
      </c>
      <c r="F544">
        <v>1018</v>
      </c>
      <c r="G544" t="s">
        <v>112</v>
      </c>
      <c r="J544" t="s">
        <v>113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R544" t="s">
        <v>114</v>
      </c>
      <c r="S544" t="str">
        <f>"18:43:33.898"</f>
        <v>18:43:33.898</v>
      </c>
      <c r="T544" t="str">
        <f>"18:43:33.695"</f>
        <v>18:43:33.695</v>
      </c>
      <c r="U544" t="str">
        <f t="shared" si="25"/>
        <v>a1cdbe</v>
      </c>
      <c r="V544">
        <v>0</v>
      </c>
      <c r="W544">
        <v>0</v>
      </c>
      <c r="X544">
        <v>1</v>
      </c>
      <c r="Y544">
        <v>0</v>
      </c>
      <c r="Z544">
        <v>0</v>
      </c>
      <c r="AB544">
        <v>0</v>
      </c>
      <c r="AC544">
        <v>9</v>
      </c>
      <c r="AD544">
        <v>3</v>
      </c>
      <c r="AE544">
        <v>0</v>
      </c>
      <c r="AF544">
        <v>9</v>
      </c>
      <c r="AG544" t="s">
        <v>158</v>
      </c>
      <c r="AH544">
        <v>0</v>
      </c>
      <c r="AI544">
        <v>3</v>
      </c>
      <c r="AJ544">
        <v>1</v>
      </c>
      <c r="AK544">
        <v>0</v>
      </c>
      <c r="AL544" t="s">
        <v>1157</v>
      </c>
      <c r="AM544">
        <v>46.940997000000003</v>
      </c>
      <c r="AN544" t="s">
        <v>1158</v>
      </c>
      <c r="AO544">
        <v>-122.33156200000001</v>
      </c>
      <c r="AP544">
        <v>100</v>
      </c>
      <c r="AQ544">
        <v>2000</v>
      </c>
      <c r="AR544" t="s">
        <v>118</v>
      </c>
      <c r="AS544">
        <v>-27</v>
      </c>
      <c r="AT544">
        <v>-74</v>
      </c>
      <c r="AU544">
        <v>-256</v>
      </c>
      <c r="BC544">
        <v>1200</v>
      </c>
      <c r="BD544">
        <v>1</v>
      </c>
      <c r="BE544" t="str">
        <f t="shared" si="26"/>
        <v xml:space="preserve">N215T   </v>
      </c>
      <c r="BF544">
        <v>1</v>
      </c>
      <c r="BH544">
        <v>0</v>
      </c>
      <c r="BI544">
        <v>0</v>
      </c>
      <c r="BJ544">
        <v>0</v>
      </c>
      <c r="BK544">
        <v>2400</v>
      </c>
      <c r="BL544">
        <v>400</v>
      </c>
      <c r="BM544" t="s">
        <v>119</v>
      </c>
      <c r="BN544">
        <v>1</v>
      </c>
      <c r="BO544">
        <v>1</v>
      </c>
      <c r="BP544">
        <v>1</v>
      </c>
      <c r="BQ544">
        <v>0</v>
      </c>
      <c r="BT544">
        <v>0</v>
      </c>
      <c r="BU544">
        <v>0</v>
      </c>
      <c r="BV544">
        <v>0</v>
      </c>
      <c r="CC544" t="str">
        <f>"18:43:33.906"</f>
        <v>18:43:33.906</v>
      </c>
      <c r="CD544" t="str">
        <f>"906234378"</f>
        <v>906234378</v>
      </c>
      <c r="CQ544">
        <v>0</v>
      </c>
      <c r="CR544">
        <v>2</v>
      </c>
      <c r="CS544">
        <v>0</v>
      </c>
      <c r="CT544">
        <v>2</v>
      </c>
      <c r="CU544">
        <v>0</v>
      </c>
      <c r="CV544">
        <v>2</v>
      </c>
      <c r="CW544" t="s">
        <v>120</v>
      </c>
      <c r="CX544">
        <v>261</v>
      </c>
      <c r="CY544">
        <v>2</v>
      </c>
      <c r="CZ544" t="s">
        <v>121</v>
      </c>
      <c r="DA544" t="s">
        <v>122</v>
      </c>
      <c r="DD544">
        <v>14533403</v>
      </c>
      <c r="DE544" t="s">
        <v>123</v>
      </c>
    </row>
    <row r="545" spans="1:109" x14ac:dyDescent="0.3">
      <c r="A545" t="str">
        <f>"18:43:35.070"</f>
        <v>18:43:35.070</v>
      </c>
      <c r="B545" t="s">
        <v>110</v>
      </c>
      <c r="C545" t="str">
        <f t="shared" si="24"/>
        <v>ffdfd3c0</v>
      </c>
      <c r="D545" t="s">
        <v>111</v>
      </c>
      <c r="E545">
        <v>18</v>
      </c>
      <c r="F545">
        <v>1018</v>
      </c>
      <c r="G545" t="s">
        <v>112</v>
      </c>
      <c r="J545" t="s">
        <v>113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R545" t="s">
        <v>114</v>
      </c>
      <c r="S545" t="str">
        <f>"18:43:34.836"</f>
        <v>18:43:34.836</v>
      </c>
      <c r="T545" t="str">
        <f>"18:43:34.633"</f>
        <v>18:43:34.633</v>
      </c>
      <c r="U545" t="str">
        <f t="shared" si="25"/>
        <v>a1cdbe</v>
      </c>
      <c r="V545">
        <v>0</v>
      </c>
      <c r="W545">
        <v>0</v>
      </c>
      <c r="X545">
        <v>1</v>
      </c>
      <c r="Y545">
        <v>0</v>
      </c>
      <c r="Z545">
        <v>0</v>
      </c>
      <c r="AB545">
        <v>0</v>
      </c>
      <c r="AC545">
        <v>9</v>
      </c>
      <c r="AD545">
        <v>3</v>
      </c>
      <c r="AE545">
        <v>0</v>
      </c>
      <c r="AF545">
        <v>9</v>
      </c>
      <c r="AG545" t="s">
        <v>158</v>
      </c>
      <c r="AH545">
        <v>0</v>
      </c>
      <c r="AI545">
        <v>3</v>
      </c>
      <c r="AJ545">
        <v>1</v>
      </c>
      <c r="AK545">
        <v>0</v>
      </c>
      <c r="AL545" t="s">
        <v>1159</v>
      </c>
      <c r="AM545">
        <v>46.940696000000003</v>
      </c>
      <c r="AN545" t="s">
        <v>1160</v>
      </c>
      <c r="AO545">
        <v>-122.331734</v>
      </c>
      <c r="AP545">
        <v>100</v>
      </c>
      <c r="AQ545">
        <v>2000</v>
      </c>
      <c r="AR545" t="s">
        <v>118</v>
      </c>
      <c r="AS545">
        <v>-28</v>
      </c>
      <c r="AT545">
        <v>-73</v>
      </c>
      <c r="AU545">
        <v>-256</v>
      </c>
      <c r="BC545">
        <v>1200</v>
      </c>
      <c r="BD545">
        <v>1</v>
      </c>
      <c r="BE545" t="str">
        <f t="shared" si="26"/>
        <v xml:space="preserve">N215T   </v>
      </c>
      <c r="BF545">
        <v>1</v>
      </c>
      <c r="BH545">
        <v>0</v>
      </c>
      <c r="BI545">
        <v>0</v>
      </c>
      <c r="BJ545">
        <v>0</v>
      </c>
      <c r="BK545">
        <v>2400</v>
      </c>
      <c r="BL545">
        <v>400</v>
      </c>
      <c r="BM545" t="s">
        <v>119</v>
      </c>
      <c r="BN545">
        <v>1</v>
      </c>
      <c r="BO545">
        <v>1</v>
      </c>
      <c r="BP545">
        <v>1</v>
      </c>
      <c r="BQ545">
        <v>0</v>
      </c>
      <c r="BT545">
        <v>0</v>
      </c>
      <c r="BU545">
        <v>0</v>
      </c>
      <c r="BV545">
        <v>0</v>
      </c>
      <c r="CC545" t="str">
        <f>"18:43:34.836"</f>
        <v>18:43:34.836</v>
      </c>
      <c r="CD545" t="str">
        <f>"836331816"</f>
        <v>836331816</v>
      </c>
      <c r="CQ545">
        <v>0</v>
      </c>
      <c r="CR545">
        <v>2</v>
      </c>
      <c r="CS545">
        <v>0</v>
      </c>
      <c r="CT545">
        <v>2</v>
      </c>
      <c r="CU545">
        <v>0</v>
      </c>
      <c r="CV545">
        <v>2</v>
      </c>
      <c r="CW545" t="s">
        <v>120</v>
      </c>
      <c r="CX545">
        <v>257</v>
      </c>
      <c r="CY545">
        <v>1</v>
      </c>
      <c r="CZ545" t="s">
        <v>615</v>
      </c>
      <c r="DA545" t="s">
        <v>616</v>
      </c>
      <c r="DD545">
        <v>10811820</v>
      </c>
      <c r="DE545" t="s">
        <v>123</v>
      </c>
    </row>
    <row r="546" spans="1:109" x14ac:dyDescent="0.3">
      <c r="A546" t="str">
        <f>"18:43:35.930"</f>
        <v>18:43:35.930</v>
      </c>
      <c r="B546" t="s">
        <v>110</v>
      </c>
      <c r="C546" t="str">
        <f t="shared" si="24"/>
        <v>ffdfd3c0</v>
      </c>
      <c r="D546" t="s">
        <v>111</v>
      </c>
      <c r="E546">
        <v>18</v>
      </c>
      <c r="F546">
        <v>1018</v>
      </c>
      <c r="G546" t="s">
        <v>112</v>
      </c>
      <c r="J546" t="s">
        <v>113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R546" t="s">
        <v>114</v>
      </c>
      <c r="S546" t="str">
        <f>"18:43:35.703"</f>
        <v>18:43:35.703</v>
      </c>
      <c r="T546" t="str">
        <f>"18:43:35.500"</f>
        <v>18:43:35.500</v>
      </c>
      <c r="U546" t="str">
        <f t="shared" si="25"/>
        <v>a1cdbe</v>
      </c>
      <c r="V546">
        <v>0</v>
      </c>
      <c r="W546">
        <v>0</v>
      </c>
      <c r="X546">
        <v>1</v>
      </c>
      <c r="Y546">
        <v>0</v>
      </c>
      <c r="Z546">
        <v>0</v>
      </c>
      <c r="AB546">
        <v>0</v>
      </c>
      <c r="AC546">
        <v>9</v>
      </c>
      <c r="AD546">
        <v>3</v>
      </c>
      <c r="AE546">
        <v>0</v>
      </c>
      <c r="AF546">
        <v>9</v>
      </c>
      <c r="AG546" t="s">
        <v>158</v>
      </c>
      <c r="AH546">
        <v>0</v>
      </c>
      <c r="AI546">
        <v>3</v>
      </c>
      <c r="AJ546">
        <v>1</v>
      </c>
      <c r="AK546">
        <v>0</v>
      </c>
      <c r="AL546" t="s">
        <v>1161</v>
      </c>
      <c r="AM546">
        <v>46.940373999999998</v>
      </c>
      <c r="AN546" t="s">
        <v>1162</v>
      </c>
      <c r="AO546">
        <v>-122.331862</v>
      </c>
      <c r="AP546">
        <v>100</v>
      </c>
      <c r="AQ546">
        <v>2000</v>
      </c>
      <c r="AR546" t="s">
        <v>118</v>
      </c>
      <c r="AS546">
        <v>-29</v>
      </c>
      <c r="AT546">
        <v>-74</v>
      </c>
      <c r="AU546">
        <v>-320</v>
      </c>
      <c r="BC546">
        <v>1200</v>
      </c>
      <c r="BD546">
        <v>1</v>
      </c>
      <c r="BE546" t="str">
        <f t="shared" si="26"/>
        <v xml:space="preserve">N215T   </v>
      </c>
      <c r="BF546">
        <v>1</v>
      </c>
      <c r="BH546">
        <v>0</v>
      </c>
      <c r="BI546">
        <v>0</v>
      </c>
      <c r="BJ546">
        <v>0</v>
      </c>
      <c r="BK546">
        <v>2400</v>
      </c>
      <c r="BL546">
        <v>400</v>
      </c>
      <c r="BM546" t="s">
        <v>119</v>
      </c>
      <c r="BN546">
        <v>1</v>
      </c>
      <c r="BO546">
        <v>1</v>
      </c>
      <c r="BP546">
        <v>1</v>
      </c>
      <c r="BQ546">
        <v>0</v>
      </c>
      <c r="BT546">
        <v>0</v>
      </c>
      <c r="BU546">
        <v>0</v>
      </c>
      <c r="BV546">
        <v>0</v>
      </c>
      <c r="CC546" t="str">
        <f>"18:43:35.703"</f>
        <v>18:43:35.703</v>
      </c>
      <c r="CD546" t="str">
        <f>"706057367"</f>
        <v>706057367</v>
      </c>
      <c r="CQ546">
        <v>0</v>
      </c>
      <c r="CR546">
        <v>2</v>
      </c>
      <c r="CS546">
        <v>0</v>
      </c>
      <c r="CT546">
        <v>2</v>
      </c>
      <c r="CU546">
        <v>0</v>
      </c>
      <c r="CV546">
        <v>4</v>
      </c>
      <c r="CW546" t="s">
        <v>120</v>
      </c>
      <c r="CX546">
        <v>261</v>
      </c>
      <c r="CY546">
        <v>2</v>
      </c>
      <c r="CZ546" t="s">
        <v>121</v>
      </c>
      <c r="DA546" t="s">
        <v>122</v>
      </c>
      <c r="DD546">
        <v>14534329</v>
      </c>
      <c r="DE546" t="s">
        <v>123</v>
      </c>
    </row>
    <row r="547" spans="1:109" x14ac:dyDescent="0.3">
      <c r="A547" t="str">
        <f>"18:43:36.930"</f>
        <v>18:43:36.930</v>
      </c>
      <c r="B547" t="s">
        <v>110</v>
      </c>
      <c r="C547" t="str">
        <f t="shared" si="24"/>
        <v>ffdfd3c0</v>
      </c>
      <c r="D547" t="s">
        <v>111</v>
      </c>
      <c r="E547">
        <v>18</v>
      </c>
      <c r="F547">
        <v>1018</v>
      </c>
      <c r="G547" t="s">
        <v>112</v>
      </c>
      <c r="J547" t="s">
        <v>113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R547" t="s">
        <v>114</v>
      </c>
      <c r="S547" t="str">
        <f>"18:43:36.664"</f>
        <v>18:43:36.664</v>
      </c>
      <c r="T547" t="str">
        <f>"18:43:36.461"</f>
        <v>18:43:36.461</v>
      </c>
      <c r="U547" t="str">
        <f t="shared" si="25"/>
        <v>a1cdbe</v>
      </c>
      <c r="V547">
        <v>0</v>
      </c>
      <c r="W547">
        <v>0</v>
      </c>
      <c r="X547">
        <v>1</v>
      </c>
      <c r="Y547">
        <v>0</v>
      </c>
      <c r="Z547">
        <v>0</v>
      </c>
      <c r="AB547">
        <v>0</v>
      </c>
      <c r="AC547">
        <v>9</v>
      </c>
      <c r="AD547">
        <v>3</v>
      </c>
      <c r="AE547">
        <v>0</v>
      </c>
      <c r="AF547">
        <v>9</v>
      </c>
      <c r="AG547" t="s">
        <v>158</v>
      </c>
      <c r="AH547">
        <v>0</v>
      </c>
      <c r="AI547">
        <v>3</v>
      </c>
      <c r="AJ547">
        <v>1</v>
      </c>
      <c r="AK547">
        <v>0</v>
      </c>
      <c r="AL547" t="s">
        <v>1163</v>
      </c>
      <c r="AM547">
        <v>46.940074000000003</v>
      </c>
      <c r="AN547" t="s">
        <v>1164</v>
      </c>
      <c r="AO547">
        <v>-122.33205599999999</v>
      </c>
      <c r="AP547">
        <v>100</v>
      </c>
      <c r="AQ547">
        <v>2000</v>
      </c>
      <c r="AR547" t="s">
        <v>118</v>
      </c>
      <c r="AS547">
        <v>-30</v>
      </c>
      <c r="AT547">
        <v>-74</v>
      </c>
      <c r="AU547">
        <v>-384</v>
      </c>
      <c r="BC547">
        <v>1200</v>
      </c>
      <c r="BD547">
        <v>1</v>
      </c>
      <c r="BE547" t="str">
        <f t="shared" si="26"/>
        <v xml:space="preserve">N215T   </v>
      </c>
      <c r="BF547">
        <v>1</v>
      </c>
      <c r="BH547">
        <v>0</v>
      </c>
      <c r="BI547">
        <v>0</v>
      </c>
      <c r="BJ547">
        <v>0</v>
      </c>
      <c r="BK547">
        <v>2400</v>
      </c>
      <c r="BL547">
        <v>400</v>
      </c>
      <c r="BM547" t="s">
        <v>119</v>
      </c>
      <c r="BN547">
        <v>1</v>
      </c>
      <c r="BO547">
        <v>1</v>
      </c>
      <c r="BP547">
        <v>1</v>
      </c>
      <c r="BQ547">
        <v>0</v>
      </c>
      <c r="BT547">
        <v>0</v>
      </c>
      <c r="BU547">
        <v>0</v>
      </c>
      <c r="BV547">
        <v>0</v>
      </c>
      <c r="CC547" t="str">
        <f>"18:43:36.664"</f>
        <v>18:43:36.664</v>
      </c>
      <c r="CD547" t="str">
        <f>"665962973"</f>
        <v>665962973</v>
      </c>
      <c r="CQ547">
        <v>0</v>
      </c>
      <c r="CR547">
        <v>2</v>
      </c>
      <c r="CS547">
        <v>0</v>
      </c>
      <c r="CT547">
        <v>2</v>
      </c>
      <c r="CU547">
        <v>0</v>
      </c>
      <c r="CV547">
        <v>4</v>
      </c>
      <c r="CW547" t="s">
        <v>120</v>
      </c>
      <c r="CX547">
        <v>261</v>
      </c>
      <c r="CY547">
        <v>2</v>
      </c>
      <c r="CZ547" t="s">
        <v>121</v>
      </c>
      <c r="DA547" t="s">
        <v>122</v>
      </c>
      <c r="DD547">
        <v>14534811</v>
      </c>
      <c r="DE547" t="s">
        <v>123</v>
      </c>
    </row>
    <row r="548" spans="1:109" x14ac:dyDescent="0.3">
      <c r="A548" t="str">
        <f>"18:43:38.086"</f>
        <v>18:43:38.086</v>
      </c>
      <c r="B548" t="s">
        <v>110</v>
      </c>
      <c r="C548" t="str">
        <f t="shared" si="24"/>
        <v>ffdfd3c0</v>
      </c>
      <c r="D548" t="s">
        <v>111</v>
      </c>
      <c r="E548">
        <v>18</v>
      </c>
      <c r="F548">
        <v>1018</v>
      </c>
      <c r="G548" t="s">
        <v>112</v>
      </c>
      <c r="J548" t="s">
        <v>113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R548" t="s">
        <v>114</v>
      </c>
      <c r="S548" t="str">
        <f>"18:43:37.844"</f>
        <v>18:43:37.844</v>
      </c>
      <c r="T548" t="str">
        <f>"18:43:37.445"</f>
        <v>18:43:37.445</v>
      </c>
      <c r="U548" t="str">
        <f t="shared" si="25"/>
        <v>a1cdbe</v>
      </c>
      <c r="V548">
        <v>0</v>
      </c>
      <c r="W548">
        <v>0</v>
      </c>
      <c r="X548">
        <v>1</v>
      </c>
      <c r="Y548">
        <v>0</v>
      </c>
      <c r="Z548">
        <v>0</v>
      </c>
      <c r="AB548">
        <v>0</v>
      </c>
      <c r="AC548">
        <v>9</v>
      </c>
      <c r="AD548">
        <v>3</v>
      </c>
      <c r="AE548">
        <v>0</v>
      </c>
      <c r="AF548">
        <v>9</v>
      </c>
      <c r="AG548" t="s">
        <v>158</v>
      </c>
      <c r="AH548">
        <v>0</v>
      </c>
      <c r="AI548">
        <v>3</v>
      </c>
      <c r="AJ548">
        <v>1</v>
      </c>
      <c r="AK548">
        <v>0</v>
      </c>
      <c r="AL548" t="s">
        <v>1165</v>
      </c>
      <c r="AM548">
        <v>46.939644999999999</v>
      </c>
      <c r="AN548" t="s">
        <v>1166</v>
      </c>
      <c r="AO548">
        <v>-122.332335</v>
      </c>
      <c r="AP548">
        <v>100</v>
      </c>
      <c r="AQ548">
        <v>2000</v>
      </c>
      <c r="AR548" t="s">
        <v>118</v>
      </c>
      <c r="AS548">
        <v>-31</v>
      </c>
      <c r="AT548">
        <v>-74</v>
      </c>
      <c r="AU548">
        <v>-320</v>
      </c>
      <c r="BC548">
        <v>1200</v>
      </c>
      <c r="BD548">
        <v>1</v>
      </c>
      <c r="BE548" t="str">
        <f t="shared" si="26"/>
        <v xml:space="preserve">N215T   </v>
      </c>
      <c r="BF548">
        <v>1</v>
      </c>
      <c r="BH548">
        <v>0</v>
      </c>
      <c r="BI548">
        <v>0</v>
      </c>
      <c r="BJ548">
        <v>0</v>
      </c>
      <c r="BK548">
        <v>2400</v>
      </c>
      <c r="BL548">
        <v>400</v>
      </c>
      <c r="BM548" t="s">
        <v>119</v>
      </c>
      <c r="BN548">
        <v>1</v>
      </c>
      <c r="BO548">
        <v>1</v>
      </c>
      <c r="BP548">
        <v>1</v>
      </c>
      <c r="BQ548">
        <v>0</v>
      </c>
      <c r="BT548">
        <v>0</v>
      </c>
      <c r="BU548">
        <v>0</v>
      </c>
      <c r="BV548">
        <v>0</v>
      </c>
      <c r="CC548" t="str">
        <f>"18:43:37.852"</f>
        <v>18:43:37.852</v>
      </c>
      <c r="CD548" t="str">
        <f>"851034691"</f>
        <v>851034691</v>
      </c>
      <c r="CQ548">
        <v>0</v>
      </c>
      <c r="CR548">
        <v>2</v>
      </c>
      <c r="CS548">
        <v>0</v>
      </c>
      <c r="CT548">
        <v>2</v>
      </c>
      <c r="CU548">
        <v>0</v>
      </c>
      <c r="CV548">
        <v>2</v>
      </c>
      <c r="CW548" t="s">
        <v>120</v>
      </c>
      <c r="CX548">
        <v>257</v>
      </c>
      <c r="CY548">
        <v>1</v>
      </c>
      <c r="CZ548" t="s">
        <v>615</v>
      </c>
      <c r="DA548" t="s">
        <v>616</v>
      </c>
      <c r="DD548">
        <v>10813884</v>
      </c>
      <c r="DE548" t="s">
        <v>123</v>
      </c>
    </row>
    <row r="549" spans="1:109" x14ac:dyDescent="0.3">
      <c r="A549" t="str">
        <f>"18:43:38.945"</f>
        <v>18:43:38.945</v>
      </c>
      <c r="B549" t="s">
        <v>110</v>
      </c>
      <c r="C549" t="str">
        <f t="shared" si="24"/>
        <v>ffdfd3c0</v>
      </c>
      <c r="D549" t="s">
        <v>111</v>
      </c>
      <c r="E549">
        <v>18</v>
      </c>
      <c r="F549">
        <v>1018</v>
      </c>
      <c r="G549" t="s">
        <v>112</v>
      </c>
      <c r="J549" t="s">
        <v>113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R549" t="s">
        <v>114</v>
      </c>
      <c r="S549" t="str">
        <f>"18:43:38.414"</f>
        <v>18:43:38.414</v>
      </c>
      <c r="T549" t="str">
        <f>"18:43:38.016"</f>
        <v>18:43:38.016</v>
      </c>
      <c r="U549" t="str">
        <f t="shared" si="25"/>
        <v>a1cdbe</v>
      </c>
      <c r="V549">
        <v>0</v>
      </c>
      <c r="W549">
        <v>0</v>
      </c>
      <c r="X549">
        <v>1</v>
      </c>
      <c r="Y549">
        <v>0</v>
      </c>
      <c r="Z549">
        <v>0</v>
      </c>
      <c r="AB549">
        <v>0</v>
      </c>
      <c r="AC549">
        <v>9</v>
      </c>
      <c r="AD549">
        <v>3</v>
      </c>
      <c r="AE549">
        <v>0</v>
      </c>
      <c r="AF549">
        <v>9</v>
      </c>
      <c r="AG549" t="s">
        <v>158</v>
      </c>
      <c r="AH549">
        <v>0</v>
      </c>
      <c r="AI549">
        <v>3</v>
      </c>
      <c r="AJ549">
        <v>1</v>
      </c>
      <c r="AK549">
        <v>0</v>
      </c>
      <c r="AL549" t="s">
        <v>1167</v>
      </c>
      <c r="AM549">
        <v>46.939452000000003</v>
      </c>
      <c r="AN549" t="s">
        <v>1168</v>
      </c>
      <c r="AO549">
        <v>-122.33248500000001</v>
      </c>
      <c r="AP549">
        <v>100</v>
      </c>
      <c r="AQ549">
        <v>2000</v>
      </c>
      <c r="AR549" t="s">
        <v>118</v>
      </c>
      <c r="AS549">
        <v>-31</v>
      </c>
      <c r="AT549">
        <v>-74</v>
      </c>
      <c r="AU549">
        <v>-256</v>
      </c>
      <c r="BC549">
        <v>1200</v>
      </c>
      <c r="BD549">
        <v>1</v>
      </c>
      <c r="BE549" t="str">
        <f t="shared" si="26"/>
        <v xml:space="preserve">N215T   </v>
      </c>
      <c r="BF549">
        <v>1</v>
      </c>
      <c r="BH549">
        <v>0</v>
      </c>
      <c r="BI549">
        <v>0</v>
      </c>
      <c r="BJ549">
        <v>0</v>
      </c>
      <c r="BK549">
        <v>2375</v>
      </c>
      <c r="BL549">
        <v>375</v>
      </c>
      <c r="BM549" t="s">
        <v>119</v>
      </c>
      <c r="BN549">
        <v>1</v>
      </c>
      <c r="BO549">
        <v>1</v>
      </c>
      <c r="BP549">
        <v>1</v>
      </c>
      <c r="BQ549">
        <v>0</v>
      </c>
      <c r="BT549">
        <v>0</v>
      </c>
      <c r="BU549">
        <v>0</v>
      </c>
      <c r="BV549">
        <v>0</v>
      </c>
      <c r="CC549" t="str">
        <f>"18:43:38.422"</f>
        <v>18:43:38.422</v>
      </c>
      <c r="CD549" t="str">
        <f>"420790300"</f>
        <v>420790300</v>
      </c>
      <c r="CQ549">
        <v>0</v>
      </c>
      <c r="CR549">
        <v>2</v>
      </c>
      <c r="CS549">
        <v>0</v>
      </c>
      <c r="CT549">
        <v>2</v>
      </c>
      <c r="CU549">
        <v>0</v>
      </c>
      <c r="CV549">
        <v>3</v>
      </c>
      <c r="CW549" t="s">
        <v>120</v>
      </c>
      <c r="CX549">
        <v>261</v>
      </c>
      <c r="CY549">
        <v>1</v>
      </c>
      <c r="CZ549" t="s">
        <v>121</v>
      </c>
      <c r="DA549" t="s">
        <v>122</v>
      </c>
      <c r="DD549">
        <v>3427951</v>
      </c>
      <c r="DE549" t="s">
        <v>123</v>
      </c>
    </row>
    <row r="550" spans="1:109" x14ac:dyDescent="0.3">
      <c r="A550" t="str">
        <f>"18:43:39.750"</f>
        <v>18:43:39.750</v>
      </c>
      <c r="B550" t="s">
        <v>110</v>
      </c>
      <c r="C550" t="str">
        <f t="shared" si="24"/>
        <v>ffdfd3c0</v>
      </c>
      <c r="D550" t="s">
        <v>111</v>
      </c>
      <c r="E550">
        <v>18</v>
      </c>
      <c r="F550">
        <v>1018</v>
      </c>
      <c r="G550" t="s">
        <v>112</v>
      </c>
      <c r="J550" t="s">
        <v>113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R550" t="s">
        <v>114</v>
      </c>
      <c r="S550" t="str">
        <f>"18:43:39.469"</f>
        <v>18:43:39.469</v>
      </c>
      <c r="T550" t="str">
        <f>"18:43:38.969"</f>
        <v>18:43:38.969</v>
      </c>
      <c r="U550" t="str">
        <f t="shared" si="25"/>
        <v>a1cdbe</v>
      </c>
      <c r="V550">
        <v>0</v>
      </c>
      <c r="W550">
        <v>0</v>
      </c>
      <c r="X550">
        <v>1</v>
      </c>
      <c r="Y550">
        <v>0</v>
      </c>
      <c r="Z550">
        <v>0</v>
      </c>
      <c r="AB550">
        <v>0</v>
      </c>
      <c r="AC550">
        <v>9</v>
      </c>
      <c r="AD550">
        <v>3</v>
      </c>
      <c r="AE550">
        <v>0</v>
      </c>
      <c r="AF550">
        <v>9</v>
      </c>
      <c r="AG550" t="s">
        <v>158</v>
      </c>
      <c r="AH550">
        <v>0</v>
      </c>
      <c r="AI550">
        <v>3</v>
      </c>
      <c r="AJ550">
        <v>1</v>
      </c>
      <c r="AK550">
        <v>0</v>
      </c>
      <c r="AL550" t="s">
        <v>1169</v>
      </c>
      <c r="AM550">
        <v>46.939087000000001</v>
      </c>
      <c r="AN550" t="s">
        <v>1170</v>
      </c>
      <c r="AO550">
        <v>-122.33269900000001</v>
      </c>
      <c r="AP550">
        <v>100</v>
      </c>
      <c r="AQ550">
        <v>2000</v>
      </c>
      <c r="AR550" t="s">
        <v>118</v>
      </c>
      <c r="AS550">
        <v>-32</v>
      </c>
      <c r="AT550">
        <v>-74</v>
      </c>
      <c r="AU550">
        <v>-320</v>
      </c>
      <c r="BC550">
        <v>1200</v>
      </c>
      <c r="BD550">
        <v>1</v>
      </c>
      <c r="BE550" t="str">
        <f t="shared" si="26"/>
        <v xml:space="preserve">N215T   </v>
      </c>
      <c r="BF550">
        <v>1</v>
      </c>
      <c r="BH550">
        <v>0</v>
      </c>
      <c r="BI550">
        <v>0</v>
      </c>
      <c r="BJ550">
        <v>0</v>
      </c>
      <c r="BK550">
        <v>2375</v>
      </c>
      <c r="BL550">
        <v>375</v>
      </c>
      <c r="BM550" t="s">
        <v>119</v>
      </c>
      <c r="BN550">
        <v>1</v>
      </c>
      <c r="BO550">
        <v>1</v>
      </c>
      <c r="BP550">
        <v>1</v>
      </c>
      <c r="BQ550">
        <v>0</v>
      </c>
      <c r="BT550">
        <v>0</v>
      </c>
      <c r="BU550">
        <v>0</v>
      </c>
      <c r="BV550">
        <v>0</v>
      </c>
      <c r="CC550" t="str">
        <f>"18:43:39.469"</f>
        <v>18:43:39.469</v>
      </c>
      <c r="CD550" t="str">
        <f>"470687060"</f>
        <v>470687060</v>
      </c>
      <c r="CQ550">
        <v>0</v>
      </c>
      <c r="CR550">
        <v>2</v>
      </c>
      <c r="CS550">
        <v>0</v>
      </c>
      <c r="CT550">
        <v>2</v>
      </c>
      <c r="CU550">
        <v>0</v>
      </c>
      <c r="CV550">
        <v>3</v>
      </c>
      <c r="CW550" t="s">
        <v>120</v>
      </c>
      <c r="CX550">
        <v>261</v>
      </c>
      <c r="CY550">
        <v>2</v>
      </c>
      <c r="CZ550" t="s">
        <v>121</v>
      </c>
      <c r="DA550" t="s">
        <v>122</v>
      </c>
      <c r="DD550">
        <v>14536175</v>
      </c>
      <c r="DE550" t="s">
        <v>123</v>
      </c>
    </row>
    <row r="551" spans="1:109" x14ac:dyDescent="0.3">
      <c r="A551" t="str">
        <f>"18:43:40.805"</f>
        <v>18:43:40.805</v>
      </c>
      <c r="B551" t="s">
        <v>110</v>
      </c>
      <c r="C551" t="str">
        <f t="shared" si="24"/>
        <v>ffdfd3c0</v>
      </c>
      <c r="D551" t="s">
        <v>111</v>
      </c>
      <c r="E551">
        <v>18</v>
      </c>
      <c r="F551">
        <v>1018</v>
      </c>
      <c r="G551" t="s">
        <v>112</v>
      </c>
      <c r="J551" t="s">
        <v>113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R551" t="s">
        <v>114</v>
      </c>
      <c r="S551" t="str">
        <f>"18:43:40.578"</f>
        <v>18:43:40.578</v>
      </c>
      <c r="T551" t="str">
        <f>"18:43:40.180"</f>
        <v>18:43:40.180</v>
      </c>
      <c r="U551" t="str">
        <f t="shared" si="25"/>
        <v>a1cdbe</v>
      </c>
      <c r="V551">
        <v>0</v>
      </c>
      <c r="W551">
        <v>0</v>
      </c>
      <c r="X551">
        <v>1</v>
      </c>
      <c r="Y551">
        <v>0</v>
      </c>
      <c r="Z551">
        <v>0</v>
      </c>
      <c r="AB551">
        <v>0</v>
      </c>
      <c r="AC551">
        <v>9</v>
      </c>
      <c r="AD551">
        <v>3</v>
      </c>
      <c r="AE551">
        <v>0</v>
      </c>
      <c r="AF551">
        <v>9</v>
      </c>
      <c r="AG551" t="s">
        <v>158</v>
      </c>
      <c r="AH551">
        <v>0</v>
      </c>
      <c r="AI551">
        <v>3</v>
      </c>
      <c r="AJ551">
        <v>1</v>
      </c>
      <c r="AK551">
        <v>0</v>
      </c>
      <c r="AL551" t="s">
        <v>1171</v>
      </c>
      <c r="AM551">
        <v>46.938721999999999</v>
      </c>
      <c r="AN551" t="s">
        <v>1172</v>
      </c>
      <c r="AO551">
        <v>-122.332914</v>
      </c>
      <c r="AP551">
        <v>100</v>
      </c>
      <c r="AQ551">
        <v>2000</v>
      </c>
      <c r="AR551" t="s">
        <v>118</v>
      </c>
      <c r="AS551">
        <v>-33</v>
      </c>
      <c r="AT551">
        <v>-74</v>
      </c>
      <c r="AU551">
        <v>-256</v>
      </c>
      <c r="BC551">
        <v>1200</v>
      </c>
      <c r="BD551">
        <v>1</v>
      </c>
      <c r="BE551" t="str">
        <f t="shared" si="26"/>
        <v xml:space="preserve">N215T   </v>
      </c>
      <c r="BF551">
        <v>1</v>
      </c>
      <c r="BH551">
        <v>0</v>
      </c>
      <c r="BI551">
        <v>0</v>
      </c>
      <c r="BJ551">
        <v>0</v>
      </c>
      <c r="BK551">
        <v>2375</v>
      </c>
      <c r="BL551">
        <v>375</v>
      </c>
      <c r="BM551" t="s">
        <v>119</v>
      </c>
      <c r="BN551">
        <v>1</v>
      </c>
      <c r="BO551">
        <v>1</v>
      </c>
      <c r="BP551">
        <v>1</v>
      </c>
      <c r="BQ551">
        <v>0</v>
      </c>
      <c r="BT551">
        <v>0</v>
      </c>
      <c r="BU551">
        <v>0</v>
      </c>
      <c r="BV551">
        <v>0</v>
      </c>
      <c r="CC551" t="str">
        <f>"18:43:40.578"</f>
        <v>18:43:40.578</v>
      </c>
      <c r="CD551" t="str">
        <f>"580701579"</f>
        <v>580701579</v>
      </c>
      <c r="CQ551">
        <v>0</v>
      </c>
      <c r="CR551">
        <v>2</v>
      </c>
      <c r="CS551">
        <v>0</v>
      </c>
      <c r="CT551">
        <v>2</v>
      </c>
      <c r="CU551">
        <v>0</v>
      </c>
      <c r="CV551">
        <v>1</v>
      </c>
      <c r="CW551" t="s">
        <v>120</v>
      </c>
      <c r="CX551">
        <v>259</v>
      </c>
      <c r="CY551">
        <v>1</v>
      </c>
      <c r="CZ551" t="s">
        <v>197</v>
      </c>
      <c r="DA551" t="s">
        <v>198</v>
      </c>
      <c r="DD551">
        <v>14995777</v>
      </c>
      <c r="DE551" t="s">
        <v>123</v>
      </c>
    </row>
    <row r="552" spans="1:109" x14ac:dyDescent="0.3">
      <c r="A552" t="str">
        <f>"18:43:41.805"</f>
        <v>18:43:41.805</v>
      </c>
      <c r="B552" t="s">
        <v>110</v>
      </c>
      <c r="C552" t="str">
        <f t="shared" si="24"/>
        <v>ffdfd3c0</v>
      </c>
      <c r="D552" t="s">
        <v>111</v>
      </c>
      <c r="E552">
        <v>18</v>
      </c>
      <c r="F552">
        <v>1018</v>
      </c>
      <c r="G552" t="s">
        <v>112</v>
      </c>
      <c r="J552" t="s">
        <v>113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R552" t="s">
        <v>114</v>
      </c>
      <c r="S552" t="str">
        <f>"18:43:41.570"</f>
        <v>18:43:41.570</v>
      </c>
      <c r="T552" t="str">
        <f>"18:43:41.273"</f>
        <v>18:43:41.273</v>
      </c>
      <c r="U552" t="str">
        <f t="shared" si="25"/>
        <v>a1cdbe</v>
      </c>
      <c r="V552">
        <v>0</v>
      </c>
      <c r="W552">
        <v>0</v>
      </c>
      <c r="X552">
        <v>1</v>
      </c>
      <c r="Y552">
        <v>0</v>
      </c>
      <c r="Z552">
        <v>0</v>
      </c>
      <c r="AB552">
        <v>0</v>
      </c>
      <c r="AC552">
        <v>9</v>
      </c>
      <c r="AD552">
        <v>3</v>
      </c>
      <c r="AE552">
        <v>0</v>
      </c>
      <c r="AF552">
        <v>9</v>
      </c>
      <c r="AG552" t="s">
        <v>158</v>
      </c>
      <c r="AH552">
        <v>0</v>
      </c>
      <c r="AI552">
        <v>3</v>
      </c>
      <c r="AJ552">
        <v>1</v>
      </c>
      <c r="AK552">
        <v>0</v>
      </c>
      <c r="AL552" t="s">
        <v>1173</v>
      </c>
      <c r="AM552">
        <v>46.938357000000003</v>
      </c>
      <c r="AN552" t="s">
        <v>1174</v>
      </c>
      <c r="AO552">
        <v>-122.33317099999999</v>
      </c>
      <c r="AP552">
        <v>100</v>
      </c>
      <c r="AQ552">
        <v>2000</v>
      </c>
      <c r="AR552" t="s">
        <v>118</v>
      </c>
      <c r="AS552">
        <v>-33</v>
      </c>
      <c r="AT552">
        <v>-74</v>
      </c>
      <c r="AU552">
        <v>-192</v>
      </c>
      <c r="BC552">
        <v>1200</v>
      </c>
      <c r="BD552">
        <v>1</v>
      </c>
      <c r="BE552" t="str">
        <f t="shared" si="26"/>
        <v xml:space="preserve">N215T   </v>
      </c>
      <c r="BF552">
        <v>1</v>
      </c>
      <c r="BH552">
        <v>0</v>
      </c>
      <c r="BI552">
        <v>0</v>
      </c>
      <c r="BJ552">
        <v>0</v>
      </c>
      <c r="BK552">
        <v>2375</v>
      </c>
      <c r="BL552">
        <v>375</v>
      </c>
      <c r="BM552" t="s">
        <v>119</v>
      </c>
      <c r="BN552">
        <v>1</v>
      </c>
      <c r="BO552">
        <v>1</v>
      </c>
      <c r="BP552">
        <v>1</v>
      </c>
      <c r="BQ552">
        <v>0</v>
      </c>
      <c r="BT552">
        <v>0</v>
      </c>
      <c r="BU552">
        <v>0</v>
      </c>
      <c r="BV552">
        <v>0</v>
      </c>
      <c r="CC552" t="str">
        <f>"18:43:41.570"</f>
        <v>18:43:41.570</v>
      </c>
      <c r="CD552" t="str">
        <f>"570480477"</f>
        <v>570480477</v>
      </c>
      <c r="CQ552">
        <v>0</v>
      </c>
      <c r="CR552">
        <v>2</v>
      </c>
      <c r="CS552">
        <v>0</v>
      </c>
      <c r="CT552">
        <v>2</v>
      </c>
      <c r="CU552">
        <v>0</v>
      </c>
      <c r="CV552">
        <v>1</v>
      </c>
      <c r="CW552" t="s">
        <v>120</v>
      </c>
      <c r="CX552">
        <v>261</v>
      </c>
      <c r="CY552">
        <v>2</v>
      </c>
      <c r="CZ552" t="s">
        <v>121</v>
      </c>
      <c r="DA552" t="s">
        <v>122</v>
      </c>
      <c r="DD552">
        <v>14537252</v>
      </c>
      <c r="DE552" t="s">
        <v>123</v>
      </c>
    </row>
    <row r="553" spans="1:109" x14ac:dyDescent="0.3">
      <c r="A553" t="str">
        <f>"18:43:42.766"</f>
        <v>18:43:42.766</v>
      </c>
      <c r="B553" t="s">
        <v>110</v>
      </c>
      <c r="C553" t="str">
        <f t="shared" si="24"/>
        <v>ffdfd3c0</v>
      </c>
      <c r="D553" t="s">
        <v>111</v>
      </c>
      <c r="E553">
        <v>18</v>
      </c>
      <c r="F553">
        <v>1018</v>
      </c>
      <c r="G553" t="s">
        <v>112</v>
      </c>
      <c r="J553" t="s">
        <v>113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R553" t="s">
        <v>114</v>
      </c>
      <c r="S553" t="str">
        <f>"18:43:42.508"</f>
        <v>18:43:42.508</v>
      </c>
      <c r="T553" t="str">
        <f>"18:43:42.211"</f>
        <v>18:43:42.211</v>
      </c>
      <c r="U553" t="str">
        <f t="shared" si="25"/>
        <v>a1cdbe</v>
      </c>
      <c r="V553">
        <v>0</v>
      </c>
      <c r="W553">
        <v>0</v>
      </c>
      <c r="X553">
        <v>1</v>
      </c>
      <c r="Y553">
        <v>0</v>
      </c>
      <c r="Z553">
        <v>0</v>
      </c>
      <c r="AB553">
        <v>0</v>
      </c>
      <c r="AC553">
        <v>9</v>
      </c>
      <c r="AD553">
        <v>3</v>
      </c>
      <c r="AE553">
        <v>0</v>
      </c>
      <c r="AF553">
        <v>9</v>
      </c>
      <c r="AG553" t="s">
        <v>158</v>
      </c>
      <c r="AH553">
        <v>0</v>
      </c>
      <c r="AI553">
        <v>3</v>
      </c>
      <c r="AJ553">
        <v>1</v>
      </c>
      <c r="AK553">
        <v>0</v>
      </c>
      <c r="AL553" t="s">
        <v>1175</v>
      </c>
      <c r="AM553">
        <v>46.938034999999999</v>
      </c>
      <c r="AN553" t="s">
        <v>1176</v>
      </c>
      <c r="AO553">
        <v>-122.333386</v>
      </c>
      <c r="AP553">
        <v>100</v>
      </c>
      <c r="AQ553">
        <v>2000</v>
      </c>
      <c r="AR553" t="s">
        <v>118</v>
      </c>
      <c r="AS553">
        <v>-33</v>
      </c>
      <c r="AT553">
        <v>-74</v>
      </c>
      <c r="AU553">
        <v>-128</v>
      </c>
      <c r="BC553">
        <v>1200</v>
      </c>
      <c r="BD553">
        <v>1</v>
      </c>
      <c r="BE553" t="str">
        <f t="shared" si="26"/>
        <v xml:space="preserve">N215T   </v>
      </c>
      <c r="BF553">
        <v>1</v>
      </c>
      <c r="BH553">
        <v>0</v>
      </c>
      <c r="BI553">
        <v>0</v>
      </c>
      <c r="BJ553">
        <v>0</v>
      </c>
      <c r="BK553">
        <v>2375</v>
      </c>
      <c r="BL553">
        <v>375</v>
      </c>
      <c r="BM553" t="s">
        <v>119</v>
      </c>
      <c r="BN553">
        <v>1</v>
      </c>
      <c r="BO553">
        <v>1</v>
      </c>
      <c r="BP553">
        <v>1</v>
      </c>
      <c r="BQ553">
        <v>0</v>
      </c>
      <c r="BT553">
        <v>0</v>
      </c>
      <c r="BU553">
        <v>0</v>
      </c>
      <c r="BV553">
        <v>0</v>
      </c>
      <c r="CC553" t="str">
        <f>"18:43:42.516"</f>
        <v>18:43:42.516</v>
      </c>
      <c r="CD553" t="str">
        <f>"515342346"</f>
        <v>515342346</v>
      </c>
      <c r="CQ553">
        <v>0</v>
      </c>
      <c r="CR553">
        <v>2</v>
      </c>
      <c r="CS553">
        <v>0</v>
      </c>
      <c r="CT553">
        <v>2</v>
      </c>
      <c r="CU553">
        <v>0</v>
      </c>
      <c r="CV553">
        <v>2</v>
      </c>
      <c r="CW553" t="s">
        <v>172</v>
      </c>
      <c r="CX553">
        <v>326</v>
      </c>
      <c r="CY553">
        <v>0</v>
      </c>
      <c r="CZ553" t="s">
        <v>173</v>
      </c>
      <c r="DA553" t="s">
        <v>174</v>
      </c>
      <c r="DD553">
        <v>5884505</v>
      </c>
      <c r="DE553" t="s">
        <v>123</v>
      </c>
    </row>
    <row r="554" spans="1:109" x14ac:dyDescent="0.3">
      <c r="A554" t="str">
        <f>"18:43:43.820"</f>
        <v>18:43:43.820</v>
      </c>
      <c r="B554" t="s">
        <v>110</v>
      </c>
      <c r="C554" t="str">
        <f t="shared" si="24"/>
        <v>ffdfd3c0</v>
      </c>
      <c r="D554" t="s">
        <v>111</v>
      </c>
      <c r="E554">
        <v>18</v>
      </c>
      <c r="F554">
        <v>1018</v>
      </c>
      <c r="G554" t="s">
        <v>112</v>
      </c>
      <c r="J554" t="s">
        <v>113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R554" t="s">
        <v>114</v>
      </c>
      <c r="S554" t="str">
        <f>"18:43:43.594"</f>
        <v>18:43:43.594</v>
      </c>
      <c r="T554" t="str">
        <f>"18:43:43.492"</f>
        <v>18:43:43.492</v>
      </c>
      <c r="U554" t="str">
        <f t="shared" si="25"/>
        <v>a1cdbe</v>
      </c>
      <c r="V554">
        <v>0</v>
      </c>
      <c r="W554">
        <v>0</v>
      </c>
      <c r="X554">
        <v>1</v>
      </c>
      <c r="Y554">
        <v>0</v>
      </c>
      <c r="Z554">
        <v>0</v>
      </c>
      <c r="AB554">
        <v>0</v>
      </c>
      <c r="AC554">
        <v>9</v>
      </c>
      <c r="AD554">
        <v>3</v>
      </c>
      <c r="AE554">
        <v>0</v>
      </c>
      <c r="AF554">
        <v>9</v>
      </c>
      <c r="AG554" t="s">
        <v>158</v>
      </c>
      <c r="AH554">
        <v>0</v>
      </c>
      <c r="AI554">
        <v>3</v>
      </c>
      <c r="AJ554">
        <v>1</v>
      </c>
      <c r="AK554">
        <v>0</v>
      </c>
      <c r="AL554" t="s">
        <v>1177</v>
      </c>
      <c r="AM554">
        <v>46.937671000000002</v>
      </c>
      <c r="AN554" t="s">
        <v>1178</v>
      </c>
      <c r="AO554">
        <v>-122.333579</v>
      </c>
      <c r="AP554">
        <v>100</v>
      </c>
      <c r="AQ554">
        <v>2000</v>
      </c>
      <c r="AR554" t="s">
        <v>118</v>
      </c>
      <c r="AS554">
        <v>-32</v>
      </c>
      <c r="AT554">
        <v>-75</v>
      </c>
      <c r="AU554">
        <v>0</v>
      </c>
      <c r="BC554">
        <v>1200</v>
      </c>
      <c r="BD554">
        <v>1</v>
      </c>
      <c r="BE554" t="str">
        <f t="shared" si="26"/>
        <v xml:space="preserve">N215T   </v>
      </c>
      <c r="BF554">
        <v>1</v>
      </c>
      <c r="BH554">
        <v>0</v>
      </c>
      <c r="BI554">
        <v>0</v>
      </c>
      <c r="BJ554">
        <v>0</v>
      </c>
      <c r="BK554">
        <v>2375</v>
      </c>
      <c r="BL554">
        <v>375</v>
      </c>
      <c r="BM554" t="s">
        <v>119</v>
      </c>
      <c r="BN554">
        <v>1</v>
      </c>
      <c r="BO554">
        <v>1</v>
      </c>
      <c r="BP554">
        <v>1</v>
      </c>
      <c r="BQ554">
        <v>0</v>
      </c>
      <c r="BT554">
        <v>0</v>
      </c>
      <c r="BU554">
        <v>0</v>
      </c>
      <c r="BV554">
        <v>0</v>
      </c>
      <c r="CC554" t="str">
        <f>"18:43:43.594"</f>
        <v>18:43:43.594</v>
      </c>
      <c r="CD554" t="str">
        <f>"595281330"</f>
        <v>595281330</v>
      </c>
      <c r="CQ554">
        <v>0</v>
      </c>
      <c r="CR554">
        <v>2</v>
      </c>
      <c r="CS554">
        <v>0</v>
      </c>
      <c r="CT554">
        <v>2</v>
      </c>
      <c r="CU554">
        <v>0</v>
      </c>
      <c r="CV554">
        <v>2</v>
      </c>
      <c r="CW554" t="s">
        <v>120</v>
      </c>
      <c r="CX554">
        <v>261</v>
      </c>
      <c r="CY554">
        <v>2</v>
      </c>
      <c r="CZ554" t="s">
        <v>121</v>
      </c>
      <c r="DA554" t="s">
        <v>122</v>
      </c>
      <c r="DD554">
        <v>14538260</v>
      </c>
      <c r="DE554" t="s">
        <v>123</v>
      </c>
    </row>
    <row r="555" spans="1:109" x14ac:dyDescent="0.3">
      <c r="A555" t="str">
        <f>"18:43:44.672"</f>
        <v>18:43:44.672</v>
      </c>
      <c r="B555" t="s">
        <v>110</v>
      </c>
      <c r="C555" t="str">
        <f t="shared" si="24"/>
        <v>ffdfd3c0</v>
      </c>
      <c r="D555" t="s">
        <v>111</v>
      </c>
      <c r="E555">
        <v>18</v>
      </c>
      <c r="F555">
        <v>1018</v>
      </c>
      <c r="G555" t="s">
        <v>112</v>
      </c>
      <c r="J555" t="s">
        <v>113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R555" t="s">
        <v>114</v>
      </c>
      <c r="S555" t="str">
        <f>"18:43:44.461"</f>
        <v>18:43:44.461</v>
      </c>
      <c r="T555" t="str">
        <f>"18:43:44.063"</f>
        <v>18:43:44.063</v>
      </c>
      <c r="U555" t="str">
        <f t="shared" si="25"/>
        <v>a1cdbe</v>
      </c>
      <c r="V555">
        <v>0</v>
      </c>
      <c r="W555">
        <v>0</v>
      </c>
      <c r="X555">
        <v>1</v>
      </c>
      <c r="Y555">
        <v>0</v>
      </c>
      <c r="Z555">
        <v>0</v>
      </c>
      <c r="AB555">
        <v>0</v>
      </c>
      <c r="AC555">
        <v>9</v>
      </c>
      <c r="AD555">
        <v>3</v>
      </c>
      <c r="AE555">
        <v>0</v>
      </c>
      <c r="AF555">
        <v>9</v>
      </c>
      <c r="AG555" t="s">
        <v>158</v>
      </c>
      <c r="AH555">
        <v>0</v>
      </c>
      <c r="AI555">
        <v>3</v>
      </c>
      <c r="AJ555">
        <v>1</v>
      </c>
      <c r="AK555">
        <v>0</v>
      </c>
      <c r="AL555" t="s">
        <v>1179</v>
      </c>
      <c r="AM555">
        <v>46.937392000000003</v>
      </c>
      <c r="AN555" t="s">
        <v>1180</v>
      </c>
      <c r="AO555">
        <v>-122.333794</v>
      </c>
      <c r="AP555">
        <v>100</v>
      </c>
      <c r="AQ555">
        <v>2000</v>
      </c>
      <c r="AR555" t="s">
        <v>118</v>
      </c>
      <c r="AS555">
        <v>-32</v>
      </c>
      <c r="AT555">
        <v>-75</v>
      </c>
      <c r="AU555">
        <v>0</v>
      </c>
      <c r="BC555">
        <v>1200</v>
      </c>
      <c r="BD555">
        <v>1</v>
      </c>
      <c r="BE555" t="str">
        <f t="shared" si="26"/>
        <v xml:space="preserve">N215T   </v>
      </c>
      <c r="BF555">
        <v>1</v>
      </c>
      <c r="BH555">
        <v>0</v>
      </c>
      <c r="BI555">
        <v>0</v>
      </c>
      <c r="BJ555">
        <v>0</v>
      </c>
      <c r="BK555">
        <v>2375</v>
      </c>
      <c r="BL555">
        <v>375</v>
      </c>
      <c r="BM555" t="s">
        <v>119</v>
      </c>
      <c r="BN555">
        <v>1</v>
      </c>
      <c r="BO555">
        <v>1</v>
      </c>
      <c r="BP555">
        <v>1</v>
      </c>
      <c r="BQ555">
        <v>0</v>
      </c>
      <c r="BT555">
        <v>0</v>
      </c>
      <c r="BU555">
        <v>0</v>
      </c>
      <c r="BV555">
        <v>0</v>
      </c>
      <c r="CC555" t="str">
        <f>"18:43:44.469"</f>
        <v>18:43:44.469</v>
      </c>
      <c r="CD555" t="str">
        <f>"465195750"</f>
        <v>465195750</v>
      </c>
      <c r="CQ555">
        <v>0</v>
      </c>
      <c r="CR555">
        <v>2</v>
      </c>
      <c r="CS555">
        <v>0</v>
      </c>
      <c r="CT555">
        <v>2</v>
      </c>
      <c r="CU555">
        <v>0</v>
      </c>
      <c r="CV555">
        <v>3</v>
      </c>
      <c r="CW555" t="s">
        <v>120</v>
      </c>
      <c r="CX555">
        <v>261</v>
      </c>
      <c r="CY555">
        <v>1</v>
      </c>
      <c r="CZ555" t="s">
        <v>121</v>
      </c>
      <c r="DA555" t="s">
        <v>122</v>
      </c>
      <c r="DD555">
        <v>3431565</v>
      </c>
      <c r="DE555" t="s">
        <v>123</v>
      </c>
    </row>
    <row r="556" spans="1:109" x14ac:dyDescent="0.3">
      <c r="A556" t="str">
        <f>"18:43:45.781"</f>
        <v>18:43:45.781</v>
      </c>
      <c r="B556" t="s">
        <v>110</v>
      </c>
      <c r="C556" t="str">
        <f t="shared" si="24"/>
        <v>ffdfd3c0</v>
      </c>
      <c r="D556" t="s">
        <v>111</v>
      </c>
      <c r="E556">
        <v>18</v>
      </c>
      <c r="F556">
        <v>1018</v>
      </c>
      <c r="G556" t="s">
        <v>112</v>
      </c>
      <c r="J556" t="s">
        <v>113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R556" t="s">
        <v>114</v>
      </c>
      <c r="S556" t="str">
        <f>"18:43:45.539"</f>
        <v>18:43:45.539</v>
      </c>
      <c r="T556" t="str">
        <f>"18:43:45.039"</f>
        <v>18:43:45.039</v>
      </c>
      <c r="U556" t="str">
        <f t="shared" si="25"/>
        <v>a1cdbe</v>
      </c>
      <c r="V556">
        <v>0</v>
      </c>
      <c r="W556">
        <v>0</v>
      </c>
      <c r="X556">
        <v>1</v>
      </c>
      <c r="Y556">
        <v>0</v>
      </c>
      <c r="Z556">
        <v>0</v>
      </c>
      <c r="AB556">
        <v>0</v>
      </c>
      <c r="AC556">
        <v>9</v>
      </c>
      <c r="AD556">
        <v>3</v>
      </c>
      <c r="AE556">
        <v>0</v>
      </c>
      <c r="AF556">
        <v>9</v>
      </c>
      <c r="AG556" t="s">
        <v>158</v>
      </c>
      <c r="AH556">
        <v>0</v>
      </c>
      <c r="AI556">
        <v>3</v>
      </c>
      <c r="AJ556">
        <v>1</v>
      </c>
      <c r="AK556">
        <v>0</v>
      </c>
      <c r="AL556" t="s">
        <v>1181</v>
      </c>
      <c r="AM556">
        <v>46.936984000000002</v>
      </c>
      <c r="AN556" t="s">
        <v>1182</v>
      </c>
      <c r="AO556">
        <v>-122.33403</v>
      </c>
      <c r="AP556">
        <v>100</v>
      </c>
      <c r="AQ556">
        <v>2000</v>
      </c>
      <c r="AR556" t="s">
        <v>118</v>
      </c>
      <c r="AS556">
        <v>-32</v>
      </c>
      <c r="AT556">
        <v>-75</v>
      </c>
      <c r="AU556">
        <v>0</v>
      </c>
      <c r="BC556">
        <v>1200</v>
      </c>
      <c r="BD556">
        <v>1</v>
      </c>
      <c r="BE556" t="str">
        <f t="shared" si="26"/>
        <v xml:space="preserve">N215T   </v>
      </c>
      <c r="BF556">
        <v>1</v>
      </c>
      <c r="BH556">
        <v>0</v>
      </c>
      <c r="BI556">
        <v>0</v>
      </c>
      <c r="BJ556">
        <v>0</v>
      </c>
      <c r="BK556">
        <v>2375</v>
      </c>
      <c r="BL556">
        <v>375</v>
      </c>
      <c r="BM556" t="s">
        <v>119</v>
      </c>
      <c r="BN556">
        <v>1</v>
      </c>
      <c r="BO556">
        <v>1</v>
      </c>
      <c r="BP556">
        <v>1</v>
      </c>
      <c r="BQ556">
        <v>0</v>
      </c>
      <c r="BT556">
        <v>0</v>
      </c>
      <c r="BU556">
        <v>0</v>
      </c>
      <c r="BV556">
        <v>0</v>
      </c>
      <c r="CC556" t="str">
        <f>"18:43:45.547"</f>
        <v>18:43:45.547</v>
      </c>
      <c r="CD556" t="str">
        <f>"545213444"</f>
        <v>545213444</v>
      </c>
      <c r="CQ556">
        <v>0</v>
      </c>
      <c r="CR556">
        <v>2</v>
      </c>
      <c r="CS556">
        <v>0</v>
      </c>
      <c r="CT556">
        <v>2</v>
      </c>
      <c r="CU556">
        <v>0</v>
      </c>
      <c r="CV556">
        <v>2</v>
      </c>
      <c r="CW556" t="s">
        <v>120</v>
      </c>
      <c r="CX556">
        <v>259</v>
      </c>
      <c r="CY556">
        <v>1</v>
      </c>
      <c r="CZ556" t="s">
        <v>197</v>
      </c>
      <c r="DA556" t="s">
        <v>198</v>
      </c>
      <c r="DD556">
        <v>14998910</v>
      </c>
      <c r="DE556" t="s">
        <v>123</v>
      </c>
    </row>
    <row r="557" spans="1:109" x14ac:dyDescent="0.3">
      <c r="A557" t="str">
        <f>"18:43:46.734"</f>
        <v>18:43:46.734</v>
      </c>
      <c r="B557" t="s">
        <v>110</v>
      </c>
      <c r="C557" t="str">
        <f t="shared" si="24"/>
        <v>ffdfd3c0</v>
      </c>
      <c r="D557" t="s">
        <v>111</v>
      </c>
      <c r="E557">
        <v>18</v>
      </c>
      <c r="F557">
        <v>1018</v>
      </c>
      <c r="G557" t="s">
        <v>112</v>
      </c>
      <c r="J557" t="s">
        <v>113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R557" t="s">
        <v>114</v>
      </c>
      <c r="S557" t="str">
        <f>"18:43:46.516"</f>
        <v>18:43:46.516</v>
      </c>
      <c r="T557" t="str">
        <f>"18:43:46.516"</f>
        <v>18:43:46.516</v>
      </c>
      <c r="U557" t="str">
        <f t="shared" si="25"/>
        <v>a1cdbe</v>
      </c>
      <c r="V557">
        <v>0</v>
      </c>
      <c r="W557">
        <v>0</v>
      </c>
      <c r="X557">
        <v>1</v>
      </c>
      <c r="Y557">
        <v>0</v>
      </c>
      <c r="Z557">
        <v>0</v>
      </c>
      <c r="AB557">
        <v>0</v>
      </c>
      <c r="AC557">
        <v>9</v>
      </c>
      <c r="AD557">
        <v>3</v>
      </c>
      <c r="AE557">
        <v>0</v>
      </c>
      <c r="AF557">
        <v>9</v>
      </c>
      <c r="AG557" t="s">
        <v>158</v>
      </c>
      <c r="AH557">
        <v>0</v>
      </c>
      <c r="AI557">
        <v>3</v>
      </c>
      <c r="AJ557">
        <v>1</v>
      </c>
      <c r="AK557">
        <v>0</v>
      </c>
      <c r="AL557" t="s">
        <v>1183</v>
      </c>
      <c r="AM557">
        <v>46.936661999999998</v>
      </c>
      <c r="AN557" t="s">
        <v>1184</v>
      </c>
      <c r="AO557">
        <v>-122.33420099999999</v>
      </c>
      <c r="AP557">
        <v>100</v>
      </c>
      <c r="AQ557">
        <v>2000</v>
      </c>
      <c r="AR557" t="s">
        <v>118</v>
      </c>
      <c r="AS557">
        <v>-31</v>
      </c>
      <c r="AT557">
        <v>-76</v>
      </c>
      <c r="AU557">
        <v>-64</v>
      </c>
      <c r="BC557">
        <v>1200</v>
      </c>
      <c r="BD557">
        <v>1</v>
      </c>
      <c r="BE557" t="str">
        <f t="shared" si="26"/>
        <v xml:space="preserve">N215T   </v>
      </c>
      <c r="BF557">
        <v>1</v>
      </c>
      <c r="BH557">
        <v>0</v>
      </c>
      <c r="BI557">
        <v>0</v>
      </c>
      <c r="BJ557">
        <v>0</v>
      </c>
      <c r="BK557">
        <v>2375</v>
      </c>
      <c r="BL557">
        <v>375</v>
      </c>
      <c r="BM557" t="s">
        <v>119</v>
      </c>
      <c r="BN557">
        <v>1</v>
      </c>
      <c r="BO557">
        <v>1</v>
      </c>
      <c r="BP557">
        <v>1</v>
      </c>
      <c r="BQ557">
        <v>0</v>
      </c>
      <c r="BT557">
        <v>0</v>
      </c>
      <c r="BU557">
        <v>0</v>
      </c>
      <c r="BV557">
        <v>0</v>
      </c>
      <c r="CC557" t="str">
        <f>"18:43:46.523"</f>
        <v>18:43:46.523</v>
      </c>
      <c r="CD557" t="str">
        <f>"519993679"</f>
        <v>519993679</v>
      </c>
      <c r="CQ557">
        <v>0</v>
      </c>
      <c r="CR557">
        <v>2</v>
      </c>
      <c r="CS557">
        <v>0</v>
      </c>
      <c r="CT557">
        <v>2</v>
      </c>
      <c r="CU557">
        <v>0</v>
      </c>
      <c r="CV557">
        <v>2</v>
      </c>
      <c r="CW557" t="s">
        <v>120</v>
      </c>
      <c r="CX557">
        <v>261</v>
      </c>
      <c r="CY557">
        <v>1</v>
      </c>
      <c r="CZ557" t="s">
        <v>121</v>
      </c>
      <c r="DA557" t="s">
        <v>122</v>
      </c>
      <c r="DD557">
        <v>3432731</v>
      </c>
      <c r="DE557" t="s">
        <v>123</v>
      </c>
    </row>
    <row r="558" spans="1:109" x14ac:dyDescent="0.3">
      <c r="A558" t="str">
        <f>"18:43:47.594"</f>
        <v>18:43:47.594</v>
      </c>
      <c r="B558" t="s">
        <v>110</v>
      </c>
      <c r="C558" t="str">
        <f t="shared" si="24"/>
        <v>ffdfd3c0</v>
      </c>
      <c r="D558" t="s">
        <v>111</v>
      </c>
      <c r="E558">
        <v>18</v>
      </c>
      <c r="F558">
        <v>1018</v>
      </c>
      <c r="G558" t="s">
        <v>112</v>
      </c>
      <c r="J558" t="s">
        <v>113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R558" t="s">
        <v>114</v>
      </c>
      <c r="S558" t="str">
        <f>"18:43:47.375"</f>
        <v>18:43:47.375</v>
      </c>
      <c r="T558" t="str">
        <f>"18:43:47.078"</f>
        <v>18:43:47.078</v>
      </c>
      <c r="U558" t="str">
        <f t="shared" si="25"/>
        <v>a1cdbe</v>
      </c>
      <c r="V558">
        <v>0</v>
      </c>
      <c r="W558">
        <v>0</v>
      </c>
      <c r="X558">
        <v>1</v>
      </c>
      <c r="Y558">
        <v>0</v>
      </c>
      <c r="Z558">
        <v>0</v>
      </c>
      <c r="AB558">
        <v>0</v>
      </c>
      <c r="AC558">
        <v>9</v>
      </c>
      <c r="AD558">
        <v>3</v>
      </c>
      <c r="AE558">
        <v>0</v>
      </c>
      <c r="AF558">
        <v>9</v>
      </c>
      <c r="AG558" t="s">
        <v>158</v>
      </c>
      <c r="AH558">
        <v>0</v>
      </c>
      <c r="AI558">
        <v>3</v>
      </c>
      <c r="AJ558">
        <v>1</v>
      </c>
      <c r="AK558">
        <v>0</v>
      </c>
      <c r="AL558" t="s">
        <v>1185</v>
      </c>
      <c r="AM558">
        <v>46.936340000000001</v>
      </c>
      <c r="AN558" t="s">
        <v>1186</v>
      </c>
      <c r="AO558">
        <v>-122.334373</v>
      </c>
      <c r="AP558">
        <v>100</v>
      </c>
      <c r="AQ558">
        <v>2000</v>
      </c>
      <c r="AR558" t="s">
        <v>118</v>
      </c>
      <c r="AS558">
        <v>-31</v>
      </c>
      <c r="AT558">
        <v>-76</v>
      </c>
      <c r="AU558">
        <v>-128</v>
      </c>
      <c r="BC558">
        <v>1200</v>
      </c>
      <c r="BD558">
        <v>1</v>
      </c>
      <c r="BE558" t="str">
        <f t="shared" si="26"/>
        <v xml:space="preserve">N215T   </v>
      </c>
      <c r="BF558">
        <v>1</v>
      </c>
      <c r="BH558">
        <v>0</v>
      </c>
      <c r="BI558">
        <v>0</v>
      </c>
      <c r="BJ558">
        <v>0</v>
      </c>
      <c r="BK558">
        <v>2375</v>
      </c>
      <c r="BL558">
        <v>375</v>
      </c>
      <c r="BM558" t="s">
        <v>119</v>
      </c>
      <c r="BN558">
        <v>1</v>
      </c>
      <c r="BO558">
        <v>1</v>
      </c>
      <c r="BP558">
        <v>1</v>
      </c>
      <c r="BQ558">
        <v>0</v>
      </c>
      <c r="BT558">
        <v>0</v>
      </c>
      <c r="BU558">
        <v>0</v>
      </c>
      <c r="BV558">
        <v>0</v>
      </c>
      <c r="CC558" t="str">
        <f>"18:43:47.375"</f>
        <v>18:43:47.375</v>
      </c>
      <c r="CD558" t="str">
        <f>"375096033"</f>
        <v>375096033</v>
      </c>
      <c r="CQ558">
        <v>0</v>
      </c>
      <c r="CR558">
        <v>2</v>
      </c>
      <c r="CS558">
        <v>0</v>
      </c>
      <c r="CT558">
        <v>2</v>
      </c>
      <c r="CU558">
        <v>0</v>
      </c>
      <c r="CV558">
        <v>1</v>
      </c>
      <c r="CW558" t="s">
        <v>120</v>
      </c>
      <c r="CX558">
        <v>257</v>
      </c>
      <c r="CY558">
        <v>1</v>
      </c>
      <c r="CZ558" t="s">
        <v>615</v>
      </c>
      <c r="DA558" t="s">
        <v>616</v>
      </c>
      <c r="DD558">
        <v>10820275</v>
      </c>
      <c r="DE558" t="s">
        <v>123</v>
      </c>
    </row>
    <row r="559" spans="1:109" x14ac:dyDescent="0.3">
      <c r="A559" t="str">
        <f>"18:43:48.594"</f>
        <v>18:43:48.594</v>
      </c>
      <c r="B559" t="s">
        <v>110</v>
      </c>
      <c r="C559" t="str">
        <f t="shared" si="24"/>
        <v>ffdfd3c0</v>
      </c>
      <c r="D559" t="s">
        <v>111</v>
      </c>
      <c r="E559">
        <v>18</v>
      </c>
      <c r="F559">
        <v>1018</v>
      </c>
      <c r="G559" t="s">
        <v>112</v>
      </c>
      <c r="J559" t="s">
        <v>113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R559" t="s">
        <v>114</v>
      </c>
      <c r="S559" t="str">
        <f>"18:43:48.313"</f>
        <v>18:43:48.313</v>
      </c>
      <c r="T559" t="str">
        <f>"18:43:48.016"</f>
        <v>18:43:48.016</v>
      </c>
      <c r="U559" t="str">
        <f t="shared" si="25"/>
        <v>a1cdbe</v>
      </c>
      <c r="V559">
        <v>0</v>
      </c>
      <c r="W559">
        <v>0</v>
      </c>
      <c r="X559">
        <v>1</v>
      </c>
      <c r="Y559">
        <v>0</v>
      </c>
      <c r="Z559">
        <v>0</v>
      </c>
      <c r="AB559">
        <v>0</v>
      </c>
      <c r="AC559">
        <v>9</v>
      </c>
      <c r="AD559">
        <v>3</v>
      </c>
      <c r="AE559">
        <v>0</v>
      </c>
      <c r="AF559">
        <v>9</v>
      </c>
      <c r="AG559" t="s">
        <v>158</v>
      </c>
      <c r="AH559">
        <v>0</v>
      </c>
      <c r="AI559">
        <v>3</v>
      </c>
      <c r="AJ559">
        <v>1</v>
      </c>
      <c r="AK559">
        <v>0</v>
      </c>
      <c r="AL559" t="s">
        <v>1187</v>
      </c>
      <c r="AM559">
        <v>46.936017999999997</v>
      </c>
      <c r="AN559" t="s">
        <v>1188</v>
      </c>
      <c r="AO559">
        <v>-122.334588</v>
      </c>
      <c r="AP559">
        <v>100</v>
      </c>
      <c r="AQ559">
        <v>2000</v>
      </c>
      <c r="AR559" t="s">
        <v>118</v>
      </c>
      <c r="AS559">
        <v>-31</v>
      </c>
      <c r="AT559">
        <v>-76</v>
      </c>
      <c r="AU559">
        <v>-192</v>
      </c>
      <c r="BC559">
        <v>1200</v>
      </c>
      <c r="BD559">
        <v>1</v>
      </c>
      <c r="BE559" t="str">
        <f t="shared" si="26"/>
        <v xml:space="preserve">N215T   </v>
      </c>
      <c r="BF559">
        <v>1</v>
      </c>
      <c r="BH559">
        <v>0</v>
      </c>
      <c r="BI559">
        <v>0</v>
      </c>
      <c r="BJ559">
        <v>0</v>
      </c>
      <c r="BK559">
        <v>2375</v>
      </c>
      <c r="BL559">
        <v>375</v>
      </c>
      <c r="BM559" t="s">
        <v>119</v>
      </c>
      <c r="BN559">
        <v>1</v>
      </c>
      <c r="BO559">
        <v>1</v>
      </c>
      <c r="BP559">
        <v>1</v>
      </c>
      <c r="BQ559">
        <v>0</v>
      </c>
      <c r="BT559">
        <v>0</v>
      </c>
      <c r="BU559">
        <v>0</v>
      </c>
      <c r="BV559">
        <v>0</v>
      </c>
      <c r="CC559" t="str">
        <f>"18:43:48.320"</f>
        <v>18:43:48.320</v>
      </c>
      <c r="CD559" t="str">
        <f>"319940703"</f>
        <v>319940703</v>
      </c>
      <c r="CQ559">
        <v>0</v>
      </c>
      <c r="CR559">
        <v>2</v>
      </c>
      <c r="CS559">
        <v>0</v>
      </c>
      <c r="CT559">
        <v>2</v>
      </c>
      <c r="CU559">
        <v>0</v>
      </c>
      <c r="CV559">
        <v>2</v>
      </c>
      <c r="CW559" t="s">
        <v>120</v>
      </c>
      <c r="CX559">
        <v>259</v>
      </c>
      <c r="CY559">
        <v>1</v>
      </c>
      <c r="CZ559" t="s">
        <v>197</v>
      </c>
      <c r="DA559" t="s">
        <v>198</v>
      </c>
      <c r="DD559">
        <v>15000661</v>
      </c>
      <c r="DE559" t="s">
        <v>123</v>
      </c>
    </row>
    <row r="560" spans="1:109" x14ac:dyDescent="0.3">
      <c r="A560" t="str">
        <f>"18:43:49.500"</f>
        <v>18:43:49.500</v>
      </c>
      <c r="B560" t="s">
        <v>110</v>
      </c>
      <c r="C560" t="str">
        <f t="shared" si="24"/>
        <v>ffdfd3c0</v>
      </c>
      <c r="D560" t="s">
        <v>111</v>
      </c>
      <c r="E560">
        <v>18</v>
      </c>
      <c r="F560">
        <v>1018</v>
      </c>
      <c r="G560" t="s">
        <v>112</v>
      </c>
      <c r="J560" t="s">
        <v>113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R560" t="s">
        <v>114</v>
      </c>
      <c r="S560" t="str">
        <f>"18:43:49.289"</f>
        <v>18:43:49.289</v>
      </c>
      <c r="T560" t="str">
        <f>"18:43:48.992"</f>
        <v>18:43:48.992</v>
      </c>
      <c r="U560" t="str">
        <f t="shared" si="25"/>
        <v>a1cdbe</v>
      </c>
      <c r="V560">
        <v>0</v>
      </c>
      <c r="W560">
        <v>0</v>
      </c>
      <c r="X560">
        <v>1</v>
      </c>
      <c r="Y560">
        <v>0</v>
      </c>
      <c r="Z560">
        <v>0</v>
      </c>
      <c r="AB560">
        <v>0</v>
      </c>
      <c r="AC560">
        <v>9</v>
      </c>
      <c r="AD560">
        <v>3</v>
      </c>
      <c r="AE560">
        <v>0</v>
      </c>
      <c r="AF560">
        <v>9</v>
      </c>
      <c r="AG560" t="s">
        <v>158</v>
      </c>
      <c r="AH560">
        <v>0</v>
      </c>
      <c r="AI560">
        <v>3</v>
      </c>
      <c r="AJ560">
        <v>1</v>
      </c>
      <c r="AK560">
        <v>0</v>
      </c>
      <c r="AL560" t="s">
        <v>1189</v>
      </c>
      <c r="AM560">
        <v>46.935696999999998</v>
      </c>
      <c r="AN560" t="s">
        <v>1190</v>
      </c>
      <c r="AO560">
        <v>-122.334824</v>
      </c>
      <c r="AP560">
        <v>100</v>
      </c>
      <c r="AQ560">
        <v>2000</v>
      </c>
      <c r="AR560" t="s">
        <v>118</v>
      </c>
      <c r="AS560">
        <v>-32</v>
      </c>
      <c r="AT560">
        <v>-75</v>
      </c>
      <c r="AU560">
        <v>-128</v>
      </c>
      <c r="BC560">
        <v>1200</v>
      </c>
      <c r="BD560">
        <v>1</v>
      </c>
      <c r="BE560" t="str">
        <f t="shared" si="26"/>
        <v xml:space="preserve">N215T   </v>
      </c>
      <c r="BF560">
        <v>1</v>
      </c>
      <c r="BH560">
        <v>0</v>
      </c>
      <c r="BI560">
        <v>0</v>
      </c>
      <c r="BJ560">
        <v>0</v>
      </c>
      <c r="BK560">
        <v>2350</v>
      </c>
      <c r="BL560">
        <v>350</v>
      </c>
      <c r="BM560" t="s">
        <v>119</v>
      </c>
      <c r="BN560">
        <v>1</v>
      </c>
      <c r="BO560">
        <v>1</v>
      </c>
      <c r="BP560">
        <v>1</v>
      </c>
      <c r="BQ560">
        <v>0</v>
      </c>
      <c r="BT560">
        <v>0</v>
      </c>
      <c r="BU560">
        <v>0</v>
      </c>
      <c r="BV560">
        <v>0</v>
      </c>
      <c r="CC560" t="str">
        <f>"18:43:49.297"</f>
        <v>18:43:49.297</v>
      </c>
      <c r="CD560" t="str">
        <f>"294720704"</f>
        <v>294720704</v>
      </c>
      <c r="CQ560">
        <v>0</v>
      </c>
      <c r="CR560">
        <v>2</v>
      </c>
      <c r="CS560">
        <v>0</v>
      </c>
      <c r="CT560">
        <v>2</v>
      </c>
      <c r="CU560">
        <v>0</v>
      </c>
      <c r="CV560">
        <v>2</v>
      </c>
      <c r="CW560" t="s">
        <v>120</v>
      </c>
      <c r="CX560">
        <v>261</v>
      </c>
      <c r="CY560">
        <v>2</v>
      </c>
      <c r="CZ560" t="s">
        <v>121</v>
      </c>
      <c r="DA560" t="s">
        <v>122</v>
      </c>
      <c r="DD560">
        <v>14541053</v>
      </c>
      <c r="DE560" t="s">
        <v>123</v>
      </c>
    </row>
    <row r="561" spans="1:109" x14ac:dyDescent="0.3">
      <c r="A561" t="str">
        <f>"18:43:50.711"</f>
        <v>18:43:50.711</v>
      </c>
      <c r="B561" t="s">
        <v>110</v>
      </c>
      <c r="C561" t="str">
        <f t="shared" si="24"/>
        <v>ffdfd3c0</v>
      </c>
      <c r="D561" t="s">
        <v>111</v>
      </c>
      <c r="E561">
        <v>18</v>
      </c>
      <c r="F561">
        <v>1018</v>
      </c>
      <c r="G561" t="s">
        <v>112</v>
      </c>
      <c r="J561" t="s">
        <v>113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R561" t="s">
        <v>114</v>
      </c>
      <c r="S561" t="str">
        <f>"18:43:50.477"</f>
        <v>18:43:50.477</v>
      </c>
      <c r="T561" t="str">
        <f>"18:43:50.477"</f>
        <v>18:43:50.477</v>
      </c>
      <c r="U561" t="str">
        <f t="shared" si="25"/>
        <v>a1cdbe</v>
      </c>
      <c r="V561">
        <v>0</v>
      </c>
      <c r="W561">
        <v>0</v>
      </c>
      <c r="X561">
        <v>1</v>
      </c>
      <c r="Y561">
        <v>0</v>
      </c>
      <c r="Z561">
        <v>0</v>
      </c>
      <c r="AB561">
        <v>0</v>
      </c>
      <c r="AC561">
        <v>9</v>
      </c>
      <c r="AD561">
        <v>3</v>
      </c>
      <c r="AE561">
        <v>0</v>
      </c>
      <c r="AF561">
        <v>9</v>
      </c>
      <c r="AG561" t="s">
        <v>158</v>
      </c>
      <c r="AH561">
        <v>0</v>
      </c>
      <c r="AI561">
        <v>3</v>
      </c>
      <c r="AJ561">
        <v>1</v>
      </c>
      <c r="AK561">
        <v>0</v>
      </c>
      <c r="AL561" t="s">
        <v>1191</v>
      </c>
      <c r="AM561">
        <v>46.935288999999997</v>
      </c>
      <c r="AN561" t="s">
        <v>1192</v>
      </c>
      <c r="AO561">
        <v>-122.335038</v>
      </c>
      <c r="AP561">
        <v>100</v>
      </c>
      <c r="AQ561">
        <v>2000</v>
      </c>
      <c r="AR561" t="s">
        <v>118</v>
      </c>
      <c r="AS561">
        <v>-33</v>
      </c>
      <c r="AT561">
        <v>-74</v>
      </c>
      <c r="AU561">
        <v>0</v>
      </c>
      <c r="BC561">
        <v>1200</v>
      </c>
      <c r="BD561">
        <v>1</v>
      </c>
      <c r="BE561" t="str">
        <f t="shared" si="26"/>
        <v xml:space="preserve">N215T   </v>
      </c>
      <c r="BF561">
        <v>1</v>
      </c>
      <c r="BH561">
        <v>0</v>
      </c>
      <c r="BI561">
        <v>0</v>
      </c>
      <c r="BJ561">
        <v>0</v>
      </c>
      <c r="BK561">
        <v>2350</v>
      </c>
      <c r="BL561">
        <v>350</v>
      </c>
      <c r="BM561" t="s">
        <v>119</v>
      </c>
      <c r="BN561">
        <v>1</v>
      </c>
      <c r="BO561">
        <v>1</v>
      </c>
      <c r="BP561">
        <v>1</v>
      </c>
      <c r="BQ561">
        <v>0</v>
      </c>
      <c r="BT561">
        <v>0</v>
      </c>
      <c r="BU561">
        <v>0</v>
      </c>
      <c r="BV561">
        <v>0</v>
      </c>
      <c r="CC561" t="str">
        <f>"18:43:50.477"</f>
        <v>18:43:50.477</v>
      </c>
      <c r="CD561" t="str">
        <f>"479604195"</f>
        <v>479604195</v>
      </c>
      <c r="CQ561">
        <v>0</v>
      </c>
      <c r="CR561">
        <v>2</v>
      </c>
      <c r="CS561">
        <v>0</v>
      </c>
      <c r="CT561">
        <v>2</v>
      </c>
      <c r="CU561">
        <v>0</v>
      </c>
      <c r="CV561">
        <v>2</v>
      </c>
      <c r="CW561" t="s">
        <v>120</v>
      </c>
      <c r="CX561">
        <v>261</v>
      </c>
      <c r="CY561">
        <v>2</v>
      </c>
      <c r="CZ561" t="s">
        <v>121</v>
      </c>
      <c r="DA561" t="s">
        <v>122</v>
      </c>
      <c r="DD561">
        <v>14541587</v>
      </c>
      <c r="DE561" t="s">
        <v>123</v>
      </c>
    </row>
    <row r="562" spans="1:109" x14ac:dyDescent="0.3">
      <c r="A562" t="str">
        <f>"18:43:51.766"</f>
        <v>18:43:51.766</v>
      </c>
      <c r="B562" t="s">
        <v>110</v>
      </c>
      <c r="C562" t="str">
        <f t="shared" si="24"/>
        <v>ffdfd3c0</v>
      </c>
      <c r="D562" t="s">
        <v>111</v>
      </c>
      <c r="E562">
        <v>18</v>
      </c>
      <c r="F562">
        <v>1018</v>
      </c>
      <c r="G562" t="s">
        <v>112</v>
      </c>
      <c r="J562" t="s">
        <v>113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R562" t="s">
        <v>114</v>
      </c>
      <c r="S562" t="str">
        <f>"18:43:51.508"</f>
        <v>18:43:51.508</v>
      </c>
      <c r="T562" t="str">
        <f>"18:43:50.508"</f>
        <v>18:43:50.508</v>
      </c>
      <c r="U562" t="str">
        <f t="shared" si="25"/>
        <v>a1cdbe</v>
      </c>
      <c r="V562">
        <v>0</v>
      </c>
      <c r="W562">
        <v>0</v>
      </c>
      <c r="X562">
        <v>1</v>
      </c>
      <c r="Y562">
        <v>0</v>
      </c>
      <c r="Z562">
        <v>0</v>
      </c>
      <c r="AB562">
        <v>0</v>
      </c>
      <c r="AC562">
        <v>9</v>
      </c>
      <c r="AD562">
        <v>3</v>
      </c>
      <c r="AE562">
        <v>0</v>
      </c>
      <c r="AF562">
        <v>9</v>
      </c>
      <c r="AG562" t="s">
        <v>158</v>
      </c>
      <c r="AH562">
        <v>0</v>
      </c>
      <c r="AI562">
        <v>3</v>
      </c>
      <c r="AJ562">
        <v>1</v>
      </c>
      <c r="AK562">
        <v>0</v>
      </c>
      <c r="AL562" t="s">
        <v>1193</v>
      </c>
      <c r="AM562">
        <v>46.934945999999997</v>
      </c>
      <c r="AN562" t="s">
        <v>1194</v>
      </c>
      <c r="AO562">
        <v>-122.335296</v>
      </c>
      <c r="AP562">
        <v>100</v>
      </c>
      <c r="AQ562">
        <v>2000</v>
      </c>
      <c r="AR562" t="s">
        <v>118</v>
      </c>
      <c r="AS562">
        <v>-33</v>
      </c>
      <c r="AT562">
        <v>-74</v>
      </c>
      <c r="AU562">
        <v>0</v>
      </c>
      <c r="BC562">
        <v>1200</v>
      </c>
      <c r="BD562">
        <v>1</v>
      </c>
      <c r="BE562" t="str">
        <f t="shared" si="26"/>
        <v xml:space="preserve">N215T   </v>
      </c>
      <c r="BF562">
        <v>1</v>
      </c>
      <c r="BH562">
        <v>0</v>
      </c>
      <c r="BI562">
        <v>0</v>
      </c>
      <c r="BJ562">
        <v>0</v>
      </c>
      <c r="BK562">
        <v>2350</v>
      </c>
      <c r="BL562">
        <v>350</v>
      </c>
      <c r="BM562" t="s">
        <v>119</v>
      </c>
      <c r="BN562">
        <v>1</v>
      </c>
      <c r="BO562">
        <v>1</v>
      </c>
      <c r="BP562">
        <v>1</v>
      </c>
      <c r="BQ562">
        <v>0</v>
      </c>
      <c r="BT562">
        <v>0</v>
      </c>
      <c r="BU562">
        <v>0</v>
      </c>
      <c r="BV562">
        <v>0</v>
      </c>
      <c r="CC562" t="str">
        <f>"18:43:51.516"</f>
        <v>18:43:51.516</v>
      </c>
      <c r="CD562" t="str">
        <f>"514688023"</f>
        <v>514688023</v>
      </c>
      <c r="CQ562">
        <v>0</v>
      </c>
      <c r="CR562">
        <v>2</v>
      </c>
      <c r="CS562">
        <v>0</v>
      </c>
      <c r="CT562">
        <v>2</v>
      </c>
      <c r="CU562">
        <v>0</v>
      </c>
      <c r="CV562">
        <v>1</v>
      </c>
      <c r="CW562" t="s">
        <v>120</v>
      </c>
      <c r="CX562">
        <v>257</v>
      </c>
      <c r="CY562">
        <v>1</v>
      </c>
      <c r="CZ562" t="s">
        <v>615</v>
      </c>
      <c r="DA562" t="s">
        <v>616</v>
      </c>
      <c r="DD562">
        <v>10823072</v>
      </c>
      <c r="DE562" t="s">
        <v>123</v>
      </c>
    </row>
    <row r="563" spans="1:109" x14ac:dyDescent="0.3">
      <c r="A563" t="str">
        <f>"18:43:53.273"</f>
        <v>18:43:53.273</v>
      </c>
      <c r="B563" t="s">
        <v>110</v>
      </c>
      <c r="C563" t="str">
        <f t="shared" si="24"/>
        <v>ffdfd3c0</v>
      </c>
      <c r="D563" t="s">
        <v>111</v>
      </c>
      <c r="E563">
        <v>18</v>
      </c>
      <c r="F563">
        <v>1018</v>
      </c>
      <c r="G563" t="s">
        <v>112</v>
      </c>
      <c r="J563" t="s">
        <v>113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R563" t="s">
        <v>114</v>
      </c>
      <c r="S563" t="str">
        <f>"18:43:53.023"</f>
        <v>18:43:53.023</v>
      </c>
      <c r="T563" t="str">
        <f>"18:43:52.523"</f>
        <v>18:43:52.523</v>
      </c>
      <c r="U563" t="str">
        <f t="shared" si="25"/>
        <v>a1cdbe</v>
      </c>
      <c r="V563">
        <v>0</v>
      </c>
      <c r="W563">
        <v>0</v>
      </c>
      <c r="X563">
        <v>1</v>
      </c>
      <c r="Y563">
        <v>0</v>
      </c>
      <c r="Z563">
        <v>0</v>
      </c>
      <c r="AB563">
        <v>0</v>
      </c>
      <c r="AC563">
        <v>9</v>
      </c>
      <c r="AD563">
        <v>3</v>
      </c>
      <c r="AE563">
        <v>0</v>
      </c>
      <c r="AF563">
        <v>9</v>
      </c>
      <c r="AG563" t="s">
        <v>158</v>
      </c>
      <c r="AH563">
        <v>0</v>
      </c>
      <c r="AI563">
        <v>3</v>
      </c>
      <c r="AJ563">
        <v>1</v>
      </c>
      <c r="AK563">
        <v>0</v>
      </c>
      <c r="AL563" t="s">
        <v>1195</v>
      </c>
      <c r="AM563">
        <v>46.934430999999996</v>
      </c>
      <c r="AN563" t="s">
        <v>1196</v>
      </c>
      <c r="AO563">
        <v>-122.33566</v>
      </c>
      <c r="AP563">
        <v>100</v>
      </c>
      <c r="AQ563">
        <v>2000</v>
      </c>
      <c r="AR563" t="s">
        <v>118</v>
      </c>
      <c r="AS563">
        <v>-35</v>
      </c>
      <c r="AT563">
        <v>-73</v>
      </c>
      <c r="AU563">
        <v>64</v>
      </c>
      <c r="BC563">
        <v>1200</v>
      </c>
      <c r="BD563">
        <v>1</v>
      </c>
      <c r="BE563" t="str">
        <f t="shared" si="26"/>
        <v xml:space="preserve">N215T   </v>
      </c>
      <c r="BF563">
        <v>1</v>
      </c>
      <c r="BH563">
        <v>0</v>
      </c>
      <c r="BI563">
        <v>0</v>
      </c>
      <c r="BJ563">
        <v>0</v>
      </c>
      <c r="BK563">
        <v>2350</v>
      </c>
      <c r="BL563">
        <v>350</v>
      </c>
      <c r="BM563" t="s">
        <v>119</v>
      </c>
      <c r="BN563">
        <v>1</v>
      </c>
      <c r="BO563">
        <v>1</v>
      </c>
      <c r="BP563">
        <v>1</v>
      </c>
      <c r="BQ563">
        <v>0</v>
      </c>
      <c r="BT563">
        <v>0</v>
      </c>
      <c r="BU563">
        <v>0</v>
      </c>
      <c r="BV563">
        <v>0</v>
      </c>
      <c r="CC563" t="str">
        <f>"18:43:53.031"</f>
        <v>18:43:53.031</v>
      </c>
      <c r="CD563" t="str">
        <f>"029353350"</f>
        <v>029353350</v>
      </c>
      <c r="CQ563">
        <v>0</v>
      </c>
      <c r="CR563">
        <v>2</v>
      </c>
      <c r="CS563">
        <v>0</v>
      </c>
      <c r="CT563">
        <v>2</v>
      </c>
      <c r="CU563">
        <v>0</v>
      </c>
      <c r="CV563">
        <v>2</v>
      </c>
      <c r="CW563" t="s">
        <v>120</v>
      </c>
      <c r="CX563">
        <v>261</v>
      </c>
      <c r="CY563">
        <v>2</v>
      </c>
      <c r="CZ563" t="s">
        <v>121</v>
      </c>
      <c r="DA563" t="s">
        <v>122</v>
      </c>
      <c r="DD563">
        <v>14542866</v>
      </c>
      <c r="DE563" t="s">
        <v>123</v>
      </c>
    </row>
    <row r="564" spans="1:109" x14ac:dyDescent="0.3">
      <c r="A564" t="str">
        <f>"18:43:54.430"</f>
        <v>18:43:54.430</v>
      </c>
      <c r="B564" t="s">
        <v>110</v>
      </c>
      <c r="C564" t="str">
        <f t="shared" si="24"/>
        <v>ffdfd3c0</v>
      </c>
      <c r="D564" t="s">
        <v>111</v>
      </c>
      <c r="E564">
        <v>18</v>
      </c>
      <c r="F564">
        <v>1018</v>
      </c>
      <c r="G564" t="s">
        <v>112</v>
      </c>
      <c r="J564" t="s">
        <v>113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R564" t="s">
        <v>114</v>
      </c>
      <c r="S564" t="str">
        <f>"18:43:54.148"</f>
        <v>18:43:54.148</v>
      </c>
      <c r="T564" t="str">
        <f>"18:43:54.148"</f>
        <v>18:43:54.148</v>
      </c>
      <c r="U564" t="str">
        <f t="shared" si="25"/>
        <v>a1cdbe</v>
      </c>
      <c r="V564">
        <v>0</v>
      </c>
      <c r="W564">
        <v>0</v>
      </c>
      <c r="X564">
        <v>1</v>
      </c>
      <c r="Y564">
        <v>0</v>
      </c>
      <c r="Z564">
        <v>0</v>
      </c>
      <c r="AB564">
        <v>0</v>
      </c>
      <c r="AC564">
        <v>9</v>
      </c>
      <c r="AD564">
        <v>3</v>
      </c>
      <c r="AE564">
        <v>0</v>
      </c>
      <c r="AF564">
        <v>9</v>
      </c>
      <c r="AG564" t="s">
        <v>158</v>
      </c>
      <c r="AH564">
        <v>0</v>
      </c>
      <c r="AI564">
        <v>3</v>
      </c>
      <c r="AJ564">
        <v>1</v>
      </c>
      <c r="AK564">
        <v>0</v>
      </c>
      <c r="AL564" t="s">
        <v>1197</v>
      </c>
      <c r="AM564">
        <v>46.934044</v>
      </c>
      <c r="AN564" t="s">
        <v>1198</v>
      </c>
      <c r="AO564">
        <v>-122.33591800000001</v>
      </c>
      <c r="AP564">
        <v>100</v>
      </c>
      <c r="AQ564">
        <v>2000</v>
      </c>
      <c r="AR564" t="s">
        <v>118</v>
      </c>
      <c r="AS564">
        <v>-35</v>
      </c>
      <c r="AT564">
        <v>-73</v>
      </c>
      <c r="AU564">
        <v>0</v>
      </c>
      <c r="BC564">
        <v>1200</v>
      </c>
      <c r="BD564">
        <v>1</v>
      </c>
      <c r="BE564" t="str">
        <f t="shared" si="26"/>
        <v xml:space="preserve">N215T   </v>
      </c>
      <c r="BF564">
        <v>1</v>
      </c>
      <c r="BH564">
        <v>0</v>
      </c>
      <c r="BI564">
        <v>0</v>
      </c>
      <c r="BJ564">
        <v>0</v>
      </c>
      <c r="BK564">
        <v>2350</v>
      </c>
      <c r="BL564">
        <v>350</v>
      </c>
      <c r="BM564" t="s">
        <v>119</v>
      </c>
      <c r="BN564">
        <v>1</v>
      </c>
      <c r="BO564">
        <v>1</v>
      </c>
      <c r="BP564">
        <v>1</v>
      </c>
      <c r="BQ564">
        <v>0</v>
      </c>
      <c r="BT564">
        <v>0</v>
      </c>
      <c r="BU564">
        <v>0</v>
      </c>
      <c r="BV564">
        <v>0</v>
      </c>
      <c r="CC564" t="str">
        <f>"18:43:54.156"</f>
        <v>18:43:54.156</v>
      </c>
      <c r="CD564" t="str">
        <f>"154242682"</f>
        <v>154242682</v>
      </c>
      <c r="CQ564">
        <v>0</v>
      </c>
      <c r="CR564">
        <v>2</v>
      </c>
      <c r="CS564">
        <v>0</v>
      </c>
      <c r="CT564">
        <v>2</v>
      </c>
      <c r="CU564">
        <v>0</v>
      </c>
      <c r="CV564">
        <v>2</v>
      </c>
      <c r="CW564" t="s">
        <v>120</v>
      </c>
      <c r="CX564">
        <v>261</v>
      </c>
      <c r="CY564">
        <v>2</v>
      </c>
      <c r="CZ564" t="s">
        <v>121</v>
      </c>
      <c r="DA564" t="s">
        <v>122</v>
      </c>
      <c r="DD564">
        <v>14543454</v>
      </c>
      <c r="DE564" t="s">
        <v>123</v>
      </c>
    </row>
    <row r="565" spans="1:109" x14ac:dyDescent="0.3">
      <c r="A565" t="str">
        <f>"18:43:55.336"</f>
        <v>18:43:55.336</v>
      </c>
      <c r="B565" t="s">
        <v>110</v>
      </c>
      <c r="C565" t="str">
        <f t="shared" si="24"/>
        <v>ffdfd3c0</v>
      </c>
      <c r="D565" t="s">
        <v>111</v>
      </c>
      <c r="E565">
        <v>18</v>
      </c>
      <c r="F565">
        <v>1018</v>
      </c>
      <c r="G565" t="s">
        <v>112</v>
      </c>
      <c r="J565" t="s">
        <v>113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R565" t="s">
        <v>114</v>
      </c>
      <c r="S565" t="str">
        <f>"18:43:55.063"</f>
        <v>18:43:55.063</v>
      </c>
      <c r="T565" t="str">
        <f>"18:43:55.063"</f>
        <v>18:43:55.063</v>
      </c>
      <c r="U565" t="str">
        <f t="shared" si="25"/>
        <v>a1cdbe</v>
      </c>
      <c r="V565">
        <v>0</v>
      </c>
      <c r="W565">
        <v>0</v>
      </c>
      <c r="X565">
        <v>1</v>
      </c>
      <c r="Y565">
        <v>0</v>
      </c>
      <c r="Z565">
        <v>0</v>
      </c>
      <c r="AB565">
        <v>0</v>
      </c>
      <c r="AC565">
        <v>9</v>
      </c>
      <c r="AD565">
        <v>3</v>
      </c>
      <c r="AE565">
        <v>0</v>
      </c>
      <c r="AF565">
        <v>9</v>
      </c>
      <c r="AG565" t="s">
        <v>158</v>
      </c>
      <c r="AH565">
        <v>0</v>
      </c>
      <c r="AI565">
        <v>3</v>
      </c>
      <c r="AJ565">
        <v>1</v>
      </c>
      <c r="AK565">
        <v>0</v>
      </c>
      <c r="AL565" t="s">
        <v>1199</v>
      </c>
      <c r="AM565">
        <v>46.933743999999997</v>
      </c>
      <c r="AN565" t="s">
        <v>1200</v>
      </c>
      <c r="AO565">
        <v>-122.33615399999999</v>
      </c>
      <c r="AP565">
        <v>100</v>
      </c>
      <c r="AQ565">
        <v>2000</v>
      </c>
      <c r="AR565" t="s">
        <v>118</v>
      </c>
      <c r="AS565">
        <v>-36</v>
      </c>
      <c r="AT565">
        <v>-72</v>
      </c>
      <c r="AU565">
        <v>-64</v>
      </c>
      <c r="BC565">
        <v>1200</v>
      </c>
      <c r="BD565">
        <v>1</v>
      </c>
      <c r="BE565" t="str">
        <f t="shared" si="26"/>
        <v xml:space="preserve">N215T   </v>
      </c>
      <c r="BF565">
        <v>1</v>
      </c>
      <c r="BH565">
        <v>0</v>
      </c>
      <c r="BI565">
        <v>0</v>
      </c>
      <c r="BJ565">
        <v>0</v>
      </c>
      <c r="BK565">
        <v>2350</v>
      </c>
      <c r="BL565">
        <v>350</v>
      </c>
      <c r="BM565" t="s">
        <v>119</v>
      </c>
      <c r="BN565">
        <v>1</v>
      </c>
      <c r="BO565">
        <v>1</v>
      </c>
      <c r="BP565">
        <v>1</v>
      </c>
      <c r="BQ565">
        <v>0</v>
      </c>
      <c r="BT565">
        <v>0</v>
      </c>
      <c r="BU565">
        <v>0</v>
      </c>
      <c r="BV565">
        <v>0</v>
      </c>
      <c r="CC565" t="str">
        <f>"18:43:55.070"</f>
        <v>18:43:55.070</v>
      </c>
      <c r="CD565" t="str">
        <f>"069152722"</f>
        <v>069152722</v>
      </c>
      <c r="CQ565">
        <v>0</v>
      </c>
      <c r="CR565">
        <v>2</v>
      </c>
      <c r="CS565">
        <v>0</v>
      </c>
      <c r="CT565">
        <v>2</v>
      </c>
      <c r="CU565">
        <v>0</v>
      </c>
      <c r="CV565">
        <v>3</v>
      </c>
      <c r="CW565" t="s">
        <v>120</v>
      </c>
      <c r="CX565">
        <v>261</v>
      </c>
      <c r="CY565">
        <v>2</v>
      </c>
      <c r="CZ565" t="s">
        <v>121</v>
      </c>
      <c r="DA565" t="s">
        <v>122</v>
      </c>
      <c r="DD565">
        <v>14543904</v>
      </c>
      <c r="DE565" t="s">
        <v>123</v>
      </c>
    </row>
    <row r="566" spans="1:109" x14ac:dyDescent="0.3">
      <c r="A566" t="str">
        <f>"18:43:56.242"</f>
        <v>18:43:56.242</v>
      </c>
      <c r="B566" t="s">
        <v>110</v>
      </c>
      <c r="C566" t="str">
        <f t="shared" si="24"/>
        <v>ffdfd3c0</v>
      </c>
      <c r="D566" t="s">
        <v>111</v>
      </c>
      <c r="E566">
        <v>18</v>
      </c>
      <c r="F566">
        <v>1018</v>
      </c>
      <c r="G566" t="s">
        <v>112</v>
      </c>
      <c r="J566" t="s">
        <v>113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R566" t="s">
        <v>114</v>
      </c>
      <c r="S566" t="str">
        <f>"18:43:56.008"</f>
        <v>18:43:56.008</v>
      </c>
      <c r="T566" t="str">
        <f>"18:43:55.609"</f>
        <v>18:43:55.609</v>
      </c>
      <c r="U566" t="str">
        <f t="shared" si="25"/>
        <v>a1cdbe</v>
      </c>
      <c r="V566">
        <v>0</v>
      </c>
      <c r="W566">
        <v>0</v>
      </c>
      <c r="X566">
        <v>1</v>
      </c>
      <c r="Y566">
        <v>0</v>
      </c>
      <c r="Z566">
        <v>0</v>
      </c>
      <c r="AB566">
        <v>0</v>
      </c>
      <c r="AC566">
        <v>9</v>
      </c>
      <c r="AD566">
        <v>3</v>
      </c>
      <c r="AE566">
        <v>0</v>
      </c>
      <c r="AF566">
        <v>9</v>
      </c>
      <c r="AG566" t="s">
        <v>158</v>
      </c>
      <c r="AH566">
        <v>0</v>
      </c>
      <c r="AI566">
        <v>3</v>
      </c>
      <c r="AJ566">
        <v>1</v>
      </c>
      <c r="AK566">
        <v>0</v>
      </c>
      <c r="AL566" t="s">
        <v>1201</v>
      </c>
      <c r="AM566">
        <v>46.933401000000003</v>
      </c>
      <c r="AN566" t="s">
        <v>1202</v>
      </c>
      <c r="AO566">
        <v>-122.336411</v>
      </c>
      <c r="AP566">
        <v>100</v>
      </c>
      <c r="AQ566">
        <v>2000</v>
      </c>
      <c r="AR566" t="s">
        <v>118</v>
      </c>
      <c r="AS566">
        <v>-36</v>
      </c>
      <c r="AT566">
        <v>-72</v>
      </c>
      <c r="AU566">
        <v>-64</v>
      </c>
      <c r="BC566">
        <v>1200</v>
      </c>
      <c r="BD566">
        <v>1</v>
      </c>
      <c r="BE566" t="str">
        <f t="shared" si="26"/>
        <v xml:space="preserve">N215T   </v>
      </c>
      <c r="BF566">
        <v>1</v>
      </c>
      <c r="BH566">
        <v>0</v>
      </c>
      <c r="BI566">
        <v>0</v>
      </c>
      <c r="BJ566">
        <v>0</v>
      </c>
      <c r="BK566">
        <v>2350</v>
      </c>
      <c r="BL566">
        <v>350</v>
      </c>
      <c r="BM566" t="s">
        <v>119</v>
      </c>
      <c r="BN566">
        <v>1</v>
      </c>
      <c r="BO566">
        <v>1</v>
      </c>
      <c r="BP566">
        <v>1</v>
      </c>
      <c r="BQ566">
        <v>0</v>
      </c>
      <c r="BT566">
        <v>0</v>
      </c>
      <c r="BU566">
        <v>0</v>
      </c>
      <c r="BV566">
        <v>0</v>
      </c>
      <c r="CC566" t="str">
        <f>"18:43:56.016"</f>
        <v>18:43:56.016</v>
      </c>
      <c r="CD566" t="str">
        <f>"014059701"</f>
        <v>014059701</v>
      </c>
      <c r="CQ566">
        <v>0</v>
      </c>
      <c r="CR566">
        <v>2</v>
      </c>
      <c r="CS566">
        <v>0</v>
      </c>
      <c r="CT566">
        <v>2</v>
      </c>
      <c r="CU566">
        <v>0</v>
      </c>
      <c r="CV566">
        <v>2</v>
      </c>
      <c r="CW566" t="s">
        <v>120</v>
      </c>
      <c r="CX566">
        <v>261</v>
      </c>
      <c r="CY566">
        <v>1</v>
      </c>
      <c r="CZ566" t="s">
        <v>121</v>
      </c>
      <c r="DA566" t="s">
        <v>122</v>
      </c>
      <c r="DD566">
        <v>3438244</v>
      </c>
      <c r="DE566" t="s">
        <v>123</v>
      </c>
    </row>
    <row r="567" spans="1:109" x14ac:dyDescent="0.3">
      <c r="A567" t="str">
        <f>"18:43:57.750"</f>
        <v>18:43:57.750</v>
      </c>
      <c r="B567" t="s">
        <v>110</v>
      </c>
      <c r="C567" t="str">
        <f t="shared" si="24"/>
        <v>ffdfd3c0</v>
      </c>
      <c r="D567" t="s">
        <v>111</v>
      </c>
      <c r="E567">
        <v>18</v>
      </c>
      <c r="F567">
        <v>1018</v>
      </c>
      <c r="G567" t="s">
        <v>112</v>
      </c>
      <c r="J567" t="s">
        <v>113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R567" t="s">
        <v>114</v>
      </c>
      <c r="S567" t="str">
        <f>"18:43:57.492"</f>
        <v>18:43:57.492</v>
      </c>
      <c r="T567" t="str">
        <f>"18:43:57.195"</f>
        <v>18:43:57.195</v>
      </c>
      <c r="U567" t="str">
        <f t="shared" si="25"/>
        <v>a1cdbe</v>
      </c>
      <c r="V567">
        <v>0</v>
      </c>
      <c r="W567">
        <v>0</v>
      </c>
      <c r="X567">
        <v>1</v>
      </c>
      <c r="Y567">
        <v>0</v>
      </c>
      <c r="Z567">
        <v>0</v>
      </c>
      <c r="AB567">
        <v>0</v>
      </c>
      <c r="AC567">
        <v>9</v>
      </c>
      <c r="AD567">
        <v>3</v>
      </c>
      <c r="AE567">
        <v>0</v>
      </c>
      <c r="AF567">
        <v>9</v>
      </c>
      <c r="AG567" t="s">
        <v>158</v>
      </c>
      <c r="AH567">
        <v>0</v>
      </c>
      <c r="AI567">
        <v>3</v>
      </c>
      <c r="AJ567">
        <v>1</v>
      </c>
      <c r="AK567">
        <v>0</v>
      </c>
      <c r="AL567" t="s">
        <v>1203</v>
      </c>
      <c r="AM567">
        <v>46.932949999999998</v>
      </c>
      <c r="AN567" t="s">
        <v>1204</v>
      </c>
      <c r="AO567">
        <v>-122.33671200000001</v>
      </c>
      <c r="AP567">
        <v>100</v>
      </c>
      <c r="AQ567">
        <v>2000</v>
      </c>
      <c r="AR567" t="s">
        <v>118</v>
      </c>
      <c r="AS567">
        <v>-36</v>
      </c>
      <c r="AT567">
        <v>-73</v>
      </c>
      <c r="AU567">
        <v>-64</v>
      </c>
      <c r="BC567">
        <v>1200</v>
      </c>
      <c r="BD567">
        <v>1</v>
      </c>
      <c r="BE567" t="str">
        <f t="shared" si="26"/>
        <v xml:space="preserve">N215T   </v>
      </c>
      <c r="BF567">
        <v>1</v>
      </c>
      <c r="BH567">
        <v>0</v>
      </c>
      <c r="BI567">
        <v>0</v>
      </c>
      <c r="BJ567">
        <v>0</v>
      </c>
      <c r="BK567">
        <v>2350</v>
      </c>
      <c r="BL567">
        <v>350</v>
      </c>
      <c r="BM567" t="s">
        <v>119</v>
      </c>
      <c r="BN567">
        <v>1</v>
      </c>
      <c r="BO567">
        <v>1</v>
      </c>
      <c r="BP567">
        <v>1</v>
      </c>
      <c r="BQ567">
        <v>0</v>
      </c>
      <c r="BT567">
        <v>0</v>
      </c>
      <c r="BU567">
        <v>0</v>
      </c>
      <c r="BV567">
        <v>0</v>
      </c>
      <c r="CC567" t="str">
        <f>"18:43:57.500"</f>
        <v>18:43:57.500</v>
      </c>
      <c r="CD567" t="str">
        <f>"498913668"</f>
        <v>498913668</v>
      </c>
      <c r="CQ567">
        <v>0</v>
      </c>
      <c r="CR567">
        <v>2</v>
      </c>
      <c r="CS567">
        <v>0</v>
      </c>
      <c r="CT567">
        <v>2</v>
      </c>
      <c r="CU567">
        <v>0</v>
      </c>
      <c r="CV567">
        <v>1</v>
      </c>
      <c r="CW567" t="s">
        <v>120</v>
      </c>
      <c r="CX567">
        <v>261</v>
      </c>
      <c r="CY567">
        <v>1</v>
      </c>
      <c r="CZ567" t="s">
        <v>121</v>
      </c>
      <c r="DA567" t="s">
        <v>122</v>
      </c>
      <c r="DD567">
        <v>3439079</v>
      </c>
      <c r="DE567" t="s">
        <v>123</v>
      </c>
    </row>
    <row r="568" spans="1:109" x14ac:dyDescent="0.3">
      <c r="A568" t="str">
        <f>"18:43:58.703"</f>
        <v>18:43:58.703</v>
      </c>
      <c r="B568" t="s">
        <v>110</v>
      </c>
      <c r="C568" t="str">
        <f t="shared" si="24"/>
        <v>ffdfd3c0</v>
      </c>
      <c r="D568" t="s">
        <v>111</v>
      </c>
      <c r="E568">
        <v>18</v>
      </c>
      <c r="F568">
        <v>1018</v>
      </c>
      <c r="G568" t="s">
        <v>112</v>
      </c>
      <c r="J568" t="s">
        <v>113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R568" t="s">
        <v>114</v>
      </c>
      <c r="S568" t="str">
        <f>"18:43:58.469"</f>
        <v>18:43:58.469</v>
      </c>
      <c r="T568" t="str">
        <f>"18:43:58.266"</f>
        <v>18:43:58.266</v>
      </c>
      <c r="U568" t="str">
        <f t="shared" si="25"/>
        <v>a1cdbe</v>
      </c>
      <c r="V568">
        <v>0</v>
      </c>
      <c r="W568">
        <v>0</v>
      </c>
      <c r="X568">
        <v>1</v>
      </c>
      <c r="Y568">
        <v>0</v>
      </c>
      <c r="Z568">
        <v>0</v>
      </c>
      <c r="AB568">
        <v>0</v>
      </c>
      <c r="AC568">
        <v>9</v>
      </c>
      <c r="AD568">
        <v>3</v>
      </c>
      <c r="AE568">
        <v>0</v>
      </c>
      <c r="AF568">
        <v>9</v>
      </c>
      <c r="AG568" t="s">
        <v>158</v>
      </c>
      <c r="AH568">
        <v>0</v>
      </c>
      <c r="AI568">
        <v>3</v>
      </c>
      <c r="AJ568">
        <v>1</v>
      </c>
      <c r="AK568">
        <v>0</v>
      </c>
      <c r="AL568" t="s">
        <v>1205</v>
      </c>
      <c r="AM568">
        <v>46.932585000000003</v>
      </c>
      <c r="AN568" t="s">
        <v>1206</v>
      </c>
      <c r="AO568">
        <v>-122.33694800000001</v>
      </c>
      <c r="AP568">
        <v>100</v>
      </c>
      <c r="AQ568">
        <v>2000</v>
      </c>
      <c r="AR568" t="s">
        <v>118</v>
      </c>
      <c r="AS568">
        <v>-35</v>
      </c>
      <c r="AT568">
        <v>-73</v>
      </c>
      <c r="AU568">
        <v>-128</v>
      </c>
      <c r="BC568">
        <v>1200</v>
      </c>
      <c r="BD568">
        <v>1</v>
      </c>
      <c r="BE568" t="str">
        <f t="shared" si="26"/>
        <v xml:space="preserve">N215T   </v>
      </c>
      <c r="BF568">
        <v>1</v>
      </c>
      <c r="BH568">
        <v>0</v>
      </c>
      <c r="BI568">
        <v>0</v>
      </c>
      <c r="BJ568">
        <v>0</v>
      </c>
      <c r="BK568">
        <v>2350</v>
      </c>
      <c r="BL568">
        <v>350</v>
      </c>
      <c r="BM568" t="s">
        <v>119</v>
      </c>
      <c r="BN568">
        <v>1</v>
      </c>
      <c r="BO568">
        <v>1</v>
      </c>
      <c r="BP568">
        <v>1</v>
      </c>
      <c r="BQ568">
        <v>0</v>
      </c>
      <c r="BT568">
        <v>0</v>
      </c>
      <c r="BU568">
        <v>0</v>
      </c>
      <c r="BV568">
        <v>0</v>
      </c>
      <c r="CC568" t="str">
        <f>"18:43:58.477"</f>
        <v>18:43:58.477</v>
      </c>
      <c r="CD568" t="str">
        <f>"473817744"</f>
        <v>473817744</v>
      </c>
      <c r="CQ568">
        <v>0</v>
      </c>
      <c r="CR568">
        <v>2</v>
      </c>
      <c r="CS568">
        <v>0</v>
      </c>
      <c r="CT568">
        <v>2</v>
      </c>
      <c r="CU568">
        <v>0</v>
      </c>
      <c r="CV568">
        <v>2</v>
      </c>
      <c r="CW568" t="s">
        <v>120</v>
      </c>
      <c r="CX568">
        <v>261</v>
      </c>
      <c r="CY568">
        <v>1</v>
      </c>
      <c r="CZ568" t="s">
        <v>121</v>
      </c>
      <c r="DA568" t="s">
        <v>122</v>
      </c>
      <c r="DD568">
        <v>3439588</v>
      </c>
      <c r="DE568" t="s">
        <v>123</v>
      </c>
    </row>
    <row r="569" spans="1:109" x14ac:dyDescent="0.3">
      <c r="A569" t="str">
        <f>"18:43:59.758"</f>
        <v>18:43:59.758</v>
      </c>
      <c r="B569" t="s">
        <v>110</v>
      </c>
      <c r="C569" t="str">
        <f t="shared" si="24"/>
        <v>ffdfd3c0</v>
      </c>
      <c r="D569" t="s">
        <v>111</v>
      </c>
      <c r="E569">
        <v>18</v>
      </c>
      <c r="F569">
        <v>1018</v>
      </c>
      <c r="G569" t="s">
        <v>112</v>
      </c>
      <c r="J569" t="s">
        <v>113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R569" t="s">
        <v>114</v>
      </c>
      <c r="S569" t="str">
        <f>"18:43:59.492"</f>
        <v>18:43:59.492</v>
      </c>
      <c r="T569" t="str">
        <f>"18:43:56.695"</f>
        <v>18:43:56.695</v>
      </c>
      <c r="U569" t="str">
        <f t="shared" si="25"/>
        <v>a1cdbe</v>
      </c>
      <c r="V569">
        <v>0</v>
      </c>
      <c r="W569">
        <v>0</v>
      </c>
      <c r="X569">
        <v>1</v>
      </c>
      <c r="Y569">
        <v>0</v>
      </c>
      <c r="Z569">
        <v>0</v>
      </c>
      <c r="AB569">
        <v>0</v>
      </c>
      <c r="AC569">
        <v>9</v>
      </c>
      <c r="AD569">
        <v>3</v>
      </c>
      <c r="AE569">
        <v>0</v>
      </c>
      <c r="AF569">
        <v>9</v>
      </c>
      <c r="AG569" t="s">
        <v>158</v>
      </c>
      <c r="AH569">
        <v>0</v>
      </c>
      <c r="AI569">
        <v>3</v>
      </c>
      <c r="AJ569">
        <v>1</v>
      </c>
      <c r="AK569">
        <v>0</v>
      </c>
      <c r="AL569" t="s">
        <v>1207</v>
      </c>
      <c r="AM569">
        <v>46.932242000000002</v>
      </c>
      <c r="AN569" t="s">
        <v>1208</v>
      </c>
      <c r="AO569">
        <v>-122.337205</v>
      </c>
      <c r="AP569">
        <v>100</v>
      </c>
      <c r="AQ569">
        <v>2000</v>
      </c>
      <c r="AR569" t="s">
        <v>118</v>
      </c>
      <c r="AS569">
        <v>-36</v>
      </c>
      <c r="AT569">
        <v>-72</v>
      </c>
      <c r="AU569">
        <v>-64</v>
      </c>
      <c r="BC569">
        <v>1200</v>
      </c>
      <c r="BD569">
        <v>1</v>
      </c>
      <c r="BE569" t="str">
        <f t="shared" si="26"/>
        <v xml:space="preserve">N215T   </v>
      </c>
      <c r="BF569">
        <v>1</v>
      </c>
      <c r="BH569">
        <v>0</v>
      </c>
      <c r="BI569">
        <v>0</v>
      </c>
      <c r="BJ569">
        <v>0</v>
      </c>
      <c r="BK569">
        <v>2350</v>
      </c>
      <c r="BL569">
        <v>350</v>
      </c>
      <c r="BM569" t="s">
        <v>119</v>
      </c>
      <c r="BN569">
        <v>1</v>
      </c>
      <c r="BO569">
        <v>1</v>
      </c>
      <c r="BP569">
        <v>1</v>
      </c>
      <c r="BQ569">
        <v>0</v>
      </c>
      <c r="BT569">
        <v>0</v>
      </c>
      <c r="BU569">
        <v>0</v>
      </c>
      <c r="BV569">
        <v>0</v>
      </c>
      <c r="CC569" t="str">
        <f>"18:43:59.492"</f>
        <v>18:43:59.492</v>
      </c>
      <c r="CD569" t="str">
        <f>"493717435"</f>
        <v>493717435</v>
      </c>
      <c r="CQ569">
        <v>0</v>
      </c>
      <c r="CR569">
        <v>2</v>
      </c>
      <c r="CS569">
        <v>0</v>
      </c>
      <c r="CT569">
        <v>2</v>
      </c>
      <c r="CU569">
        <v>0</v>
      </c>
      <c r="CV569">
        <v>1</v>
      </c>
      <c r="CW569" t="s">
        <v>120</v>
      </c>
      <c r="CX569">
        <v>261</v>
      </c>
      <c r="CY569">
        <v>2</v>
      </c>
      <c r="CZ569" t="s">
        <v>121</v>
      </c>
      <c r="DA569" t="s">
        <v>122</v>
      </c>
      <c r="DD569">
        <v>14546037</v>
      </c>
      <c r="DE569" t="s">
        <v>123</v>
      </c>
    </row>
    <row r="570" spans="1:109" x14ac:dyDescent="0.3">
      <c r="A570" t="str">
        <f>"18:44:00.867"</f>
        <v>18:44:00.867</v>
      </c>
      <c r="B570" t="s">
        <v>110</v>
      </c>
      <c r="C570" t="str">
        <f t="shared" si="24"/>
        <v>ffdfd3c0</v>
      </c>
      <c r="D570" t="s">
        <v>111</v>
      </c>
      <c r="E570">
        <v>18</v>
      </c>
      <c r="F570">
        <v>1018</v>
      </c>
      <c r="G570" t="s">
        <v>112</v>
      </c>
      <c r="J570" t="s">
        <v>113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R570" t="s">
        <v>114</v>
      </c>
      <c r="S570" t="str">
        <f>"18:44:00.602"</f>
        <v>18:44:00.602</v>
      </c>
      <c r="T570" t="str">
        <f>"18:44:00.500"</f>
        <v>18:44:00.500</v>
      </c>
      <c r="U570" t="str">
        <f t="shared" si="25"/>
        <v>a1cdbe</v>
      </c>
      <c r="V570">
        <v>0</v>
      </c>
      <c r="W570">
        <v>0</v>
      </c>
      <c r="X570">
        <v>1</v>
      </c>
      <c r="Y570">
        <v>0</v>
      </c>
      <c r="Z570">
        <v>0</v>
      </c>
      <c r="AB570">
        <v>0</v>
      </c>
      <c r="AC570">
        <v>9</v>
      </c>
      <c r="AD570">
        <v>3</v>
      </c>
      <c r="AE570">
        <v>0</v>
      </c>
      <c r="AF570">
        <v>9</v>
      </c>
      <c r="AG570" t="s">
        <v>158</v>
      </c>
      <c r="AH570">
        <v>0</v>
      </c>
      <c r="AI570">
        <v>3</v>
      </c>
      <c r="AJ570">
        <v>1</v>
      </c>
      <c r="AK570">
        <v>0</v>
      </c>
      <c r="AL570" t="s">
        <v>1209</v>
      </c>
      <c r="AM570">
        <v>46.931877</v>
      </c>
      <c r="AN570" t="s">
        <v>1210</v>
      </c>
      <c r="AO570">
        <v>-122.337484</v>
      </c>
      <c r="AP570">
        <v>100</v>
      </c>
      <c r="AQ570">
        <v>2000</v>
      </c>
      <c r="AR570" t="s">
        <v>118</v>
      </c>
      <c r="AS570">
        <v>-37</v>
      </c>
      <c r="AT570">
        <v>-73</v>
      </c>
      <c r="AU570">
        <v>-128</v>
      </c>
      <c r="BC570">
        <v>1200</v>
      </c>
      <c r="BD570">
        <v>1</v>
      </c>
      <c r="BE570" t="str">
        <f t="shared" si="26"/>
        <v xml:space="preserve">N215T   </v>
      </c>
      <c r="BF570">
        <v>1</v>
      </c>
      <c r="BH570">
        <v>0</v>
      </c>
      <c r="BI570">
        <v>0</v>
      </c>
      <c r="BJ570">
        <v>0</v>
      </c>
      <c r="BK570">
        <v>2350</v>
      </c>
      <c r="BL570">
        <v>350</v>
      </c>
      <c r="BM570" t="s">
        <v>119</v>
      </c>
      <c r="BN570">
        <v>1</v>
      </c>
      <c r="BO570">
        <v>1</v>
      </c>
      <c r="BP570">
        <v>1</v>
      </c>
      <c r="BQ570">
        <v>0</v>
      </c>
      <c r="BT570">
        <v>0</v>
      </c>
      <c r="BU570">
        <v>0</v>
      </c>
      <c r="BV570">
        <v>0</v>
      </c>
      <c r="CC570" t="str">
        <f>"18:44:00.602"</f>
        <v>18:44:00.602</v>
      </c>
      <c r="CD570" t="str">
        <f>"603608263"</f>
        <v>603608263</v>
      </c>
      <c r="CQ570">
        <v>0</v>
      </c>
      <c r="CR570">
        <v>2</v>
      </c>
      <c r="CS570">
        <v>0</v>
      </c>
      <c r="CT570">
        <v>2</v>
      </c>
      <c r="CU570">
        <v>0</v>
      </c>
      <c r="CV570">
        <v>1</v>
      </c>
      <c r="CW570" t="s">
        <v>120</v>
      </c>
      <c r="CX570">
        <v>261</v>
      </c>
      <c r="CY570">
        <v>1</v>
      </c>
      <c r="CZ570" t="s">
        <v>121</v>
      </c>
      <c r="DA570" t="s">
        <v>122</v>
      </c>
      <c r="DD570">
        <v>3440750</v>
      </c>
      <c r="DE570" t="s">
        <v>123</v>
      </c>
    </row>
    <row r="571" spans="1:109" x14ac:dyDescent="0.3">
      <c r="A571" t="str">
        <f>"18:44:01.719"</f>
        <v>18:44:01.719</v>
      </c>
      <c r="B571" t="s">
        <v>110</v>
      </c>
      <c r="C571" t="str">
        <f t="shared" si="24"/>
        <v>ffdfd3c0</v>
      </c>
      <c r="D571" t="s">
        <v>111</v>
      </c>
      <c r="E571">
        <v>18</v>
      </c>
      <c r="F571">
        <v>1018</v>
      </c>
      <c r="G571" t="s">
        <v>112</v>
      </c>
      <c r="J571" t="s">
        <v>113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R571" t="s">
        <v>114</v>
      </c>
      <c r="S571" t="str">
        <f>"18:44:01.469"</f>
        <v>18:44:01.469</v>
      </c>
      <c r="T571" t="str">
        <f>"18:44:01.469"</f>
        <v>18:44:01.469</v>
      </c>
      <c r="U571" t="str">
        <f t="shared" si="25"/>
        <v>a1cdbe</v>
      </c>
      <c r="V571">
        <v>0</v>
      </c>
      <c r="W571">
        <v>0</v>
      </c>
      <c r="X571">
        <v>1</v>
      </c>
      <c r="Y571">
        <v>0</v>
      </c>
      <c r="Z571">
        <v>0</v>
      </c>
      <c r="AB571">
        <v>0</v>
      </c>
      <c r="AC571">
        <v>9</v>
      </c>
      <c r="AD571">
        <v>3</v>
      </c>
      <c r="AE571">
        <v>0</v>
      </c>
      <c r="AF571">
        <v>9</v>
      </c>
      <c r="AG571" t="s">
        <v>158</v>
      </c>
      <c r="AH571">
        <v>0</v>
      </c>
      <c r="AI571">
        <v>3</v>
      </c>
      <c r="AJ571">
        <v>1</v>
      </c>
      <c r="AK571">
        <v>0</v>
      </c>
      <c r="AL571" t="s">
        <v>1211</v>
      </c>
      <c r="AM571">
        <v>46.931598000000001</v>
      </c>
      <c r="AN571" t="s">
        <v>1212</v>
      </c>
      <c r="AO571">
        <v>-122.337699</v>
      </c>
      <c r="AP571">
        <v>100</v>
      </c>
      <c r="AQ571">
        <v>2000</v>
      </c>
      <c r="AR571" t="s">
        <v>118</v>
      </c>
      <c r="AS571">
        <v>-39</v>
      </c>
      <c r="AT571">
        <v>-73</v>
      </c>
      <c r="AU571">
        <v>-192</v>
      </c>
      <c r="BC571">
        <v>1200</v>
      </c>
      <c r="BD571">
        <v>1</v>
      </c>
      <c r="BE571" t="str">
        <f t="shared" si="26"/>
        <v xml:space="preserve">N215T   </v>
      </c>
      <c r="BF571">
        <v>1</v>
      </c>
      <c r="BH571">
        <v>0</v>
      </c>
      <c r="BI571">
        <v>0</v>
      </c>
      <c r="BJ571">
        <v>0</v>
      </c>
      <c r="BK571">
        <v>2350</v>
      </c>
      <c r="BL571">
        <v>350</v>
      </c>
      <c r="BM571" t="s">
        <v>119</v>
      </c>
      <c r="BN571">
        <v>1</v>
      </c>
      <c r="BO571">
        <v>1</v>
      </c>
      <c r="BP571">
        <v>1</v>
      </c>
      <c r="BQ571">
        <v>0</v>
      </c>
      <c r="BT571">
        <v>0</v>
      </c>
      <c r="BU571">
        <v>0</v>
      </c>
      <c r="BV571">
        <v>0</v>
      </c>
      <c r="CC571" t="str">
        <f>"18:44:01.477"</f>
        <v>18:44:01.477</v>
      </c>
      <c r="CD571" t="str">
        <f>"473522672"</f>
        <v>473522672</v>
      </c>
      <c r="CQ571">
        <v>0</v>
      </c>
      <c r="CR571">
        <v>2</v>
      </c>
      <c r="CS571">
        <v>0</v>
      </c>
      <c r="CT571">
        <v>2</v>
      </c>
      <c r="CU571">
        <v>0</v>
      </c>
      <c r="CV571">
        <v>3</v>
      </c>
      <c r="CW571" t="s">
        <v>120</v>
      </c>
      <c r="CX571">
        <v>261</v>
      </c>
      <c r="CY571">
        <v>2</v>
      </c>
      <c r="CZ571" t="s">
        <v>121</v>
      </c>
      <c r="DA571" t="s">
        <v>122</v>
      </c>
      <c r="DD571">
        <v>14546944</v>
      </c>
      <c r="DE571" t="s">
        <v>123</v>
      </c>
    </row>
    <row r="572" spans="1:109" x14ac:dyDescent="0.3">
      <c r="A572" t="str">
        <f>"18:44:02.625"</f>
        <v>18:44:02.625</v>
      </c>
      <c r="B572" t="s">
        <v>110</v>
      </c>
      <c r="C572" t="str">
        <f t="shared" si="24"/>
        <v>ffdfd3c0</v>
      </c>
      <c r="D572" t="s">
        <v>111</v>
      </c>
      <c r="E572">
        <v>18</v>
      </c>
      <c r="F572">
        <v>1018</v>
      </c>
      <c r="G572" t="s">
        <v>112</v>
      </c>
      <c r="J572" t="s">
        <v>113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R572" t="s">
        <v>114</v>
      </c>
      <c r="S572" t="str">
        <f>"18:44:02.398"</f>
        <v>18:44:02.398</v>
      </c>
      <c r="T572" t="str">
        <f>"18:44:01.898"</f>
        <v>18:44:01.898</v>
      </c>
      <c r="U572" t="str">
        <f t="shared" si="25"/>
        <v>a1cdbe</v>
      </c>
      <c r="V572">
        <v>0</v>
      </c>
      <c r="W572">
        <v>0</v>
      </c>
      <c r="X572">
        <v>1</v>
      </c>
      <c r="Y572">
        <v>0</v>
      </c>
      <c r="Z572">
        <v>0</v>
      </c>
      <c r="AB572">
        <v>0</v>
      </c>
      <c r="AC572">
        <v>9</v>
      </c>
      <c r="AD572">
        <v>3</v>
      </c>
      <c r="AE572">
        <v>0</v>
      </c>
      <c r="AF572">
        <v>9</v>
      </c>
      <c r="AG572" t="s">
        <v>158</v>
      </c>
      <c r="AH572">
        <v>0</v>
      </c>
      <c r="AI572">
        <v>3</v>
      </c>
      <c r="AJ572">
        <v>1</v>
      </c>
      <c r="AK572">
        <v>0</v>
      </c>
      <c r="AL572" t="s">
        <v>1213</v>
      </c>
      <c r="AM572">
        <v>46.931255</v>
      </c>
      <c r="AN572" t="s">
        <v>1214</v>
      </c>
      <c r="AO572">
        <v>-122.33797800000001</v>
      </c>
      <c r="AP572">
        <v>100</v>
      </c>
      <c r="AQ572">
        <v>2000</v>
      </c>
      <c r="AR572" t="s">
        <v>118</v>
      </c>
      <c r="AS572">
        <v>-39</v>
      </c>
      <c r="AT572">
        <v>-73</v>
      </c>
      <c r="AU572">
        <v>-256</v>
      </c>
      <c r="BC572">
        <v>1200</v>
      </c>
      <c r="BD572">
        <v>1</v>
      </c>
      <c r="BE572" t="str">
        <f t="shared" si="26"/>
        <v xml:space="preserve">N215T   </v>
      </c>
      <c r="BF572">
        <v>1</v>
      </c>
      <c r="BH572">
        <v>0</v>
      </c>
      <c r="BI572">
        <v>0</v>
      </c>
      <c r="BJ572">
        <v>0</v>
      </c>
      <c r="BK572">
        <v>2350</v>
      </c>
      <c r="BL572">
        <v>350</v>
      </c>
      <c r="BM572" t="s">
        <v>119</v>
      </c>
      <c r="BN572">
        <v>1</v>
      </c>
      <c r="BO572">
        <v>1</v>
      </c>
      <c r="BP572">
        <v>1</v>
      </c>
      <c r="BQ572">
        <v>0</v>
      </c>
      <c r="BT572">
        <v>0</v>
      </c>
      <c r="BU572">
        <v>0</v>
      </c>
      <c r="BV572">
        <v>0</v>
      </c>
      <c r="CC572" t="str">
        <f>"18:44:02.406"</f>
        <v>18:44:02.406</v>
      </c>
      <c r="CD572" t="str">
        <f>"403431222"</f>
        <v>403431222</v>
      </c>
      <c r="CQ572">
        <v>0</v>
      </c>
      <c r="CR572">
        <v>2</v>
      </c>
      <c r="CS572">
        <v>0</v>
      </c>
      <c r="CT572">
        <v>2</v>
      </c>
      <c r="CU572">
        <v>0</v>
      </c>
      <c r="CV572">
        <v>4</v>
      </c>
      <c r="CW572" t="s">
        <v>120</v>
      </c>
      <c r="CX572">
        <v>261</v>
      </c>
      <c r="CY572">
        <v>2</v>
      </c>
      <c r="CZ572" t="s">
        <v>121</v>
      </c>
      <c r="DA572" t="s">
        <v>122</v>
      </c>
      <c r="DD572">
        <v>14547416</v>
      </c>
      <c r="DE572" t="s">
        <v>123</v>
      </c>
    </row>
    <row r="573" spans="1:109" x14ac:dyDescent="0.3">
      <c r="A573" t="str">
        <f>"18:44:03.781"</f>
        <v>18:44:03.781</v>
      </c>
      <c r="B573" t="s">
        <v>110</v>
      </c>
      <c r="C573" t="str">
        <f t="shared" si="24"/>
        <v>ffdfd3c0</v>
      </c>
      <c r="D573" t="s">
        <v>111</v>
      </c>
      <c r="E573">
        <v>18</v>
      </c>
      <c r="F573">
        <v>1018</v>
      </c>
      <c r="G573" t="s">
        <v>112</v>
      </c>
      <c r="J573" t="s">
        <v>113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R573" t="s">
        <v>114</v>
      </c>
      <c r="S573" t="str">
        <f>"18:44:03.523"</f>
        <v>18:44:03.523</v>
      </c>
      <c r="T573" t="str">
        <f>"18:44:02.922"</f>
        <v>18:44:02.922</v>
      </c>
      <c r="U573" t="str">
        <f t="shared" si="25"/>
        <v>a1cdbe</v>
      </c>
      <c r="V573">
        <v>0</v>
      </c>
      <c r="W573">
        <v>0</v>
      </c>
      <c r="X573">
        <v>1</v>
      </c>
      <c r="Y573">
        <v>0</v>
      </c>
      <c r="Z573">
        <v>0</v>
      </c>
      <c r="AB573">
        <v>0</v>
      </c>
      <c r="AC573">
        <v>9</v>
      </c>
      <c r="AD573">
        <v>3</v>
      </c>
      <c r="AE573">
        <v>0</v>
      </c>
      <c r="AF573">
        <v>9</v>
      </c>
      <c r="AG573" t="s">
        <v>158</v>
      </c>
      <c r="AH573">
        <v>0</v>
      </c>
      <c r="AI573">
        <v>3</v>
      </c>
      <c r="AJ573">
        <v>1</v>
      </c>
      <c r="AK573">
        <v>0</v>
      </c>
      <c r="AL573" t="s">
        <v>1215</v>
      </c>
      <c r="AM573">
        <v>46.930889999999998</v>
      </c>
      <c r="AN573" t="s">
        <v>1216</v>
      </c>
      <c r="AO573">
        <v>-122.338257</v>
      </c>
      <c r="AP573">
        <v>100</v>
      </c>
      <c r="AQ573">
        <v>2000</v>
      </c>
      <c r="AR573" t="s">
        <v>118</v>
      </c>
      <c r="AS573">
        <v>-41</v>
      </c>
      <c r="AT573">
        <v>-72</v>
      </c>
      <c r="AU573">
        <v>-256</v>
      </c>
      <c r="BC573">
        <v>1200</v>
      </c>
      <c r="BD573">
        <v>1</v>
      </c>
      <c r="BE573" t="str">
        <f t="shared" si="26"/>
        <v xml:space="preserve">N215T   </v>
      </c>
      <c r="BF573">
        <v>1</v>
      </c>
      <c r="BH573">
        <v>0</v>
      </c>
      <c r="BI573">
        <v>0</v>
      </c>
      <c r="BJ573">
        <v>0</v>
      </c>
      <c r="BK573">
        <v>2325</v>
      </c>
      <c r="BL573">
        <v>325</v>
      </c>
      <c r="BM573" t="s">
        <v>119</v>
      </c>
      <c r="BN573">
        <v>1</v>
      </c>
      <c r="BO573">
        <v>1</v>
      </c>
      <c r="BP573">
        <v>1</v>
      </c>
      <c r="BQ573">
        <v>0</v>
      </c>
      <c r="BT573">
        <v>0</v>
      </c>
      <c r="BU573">
        <v>0</v>
      </c>
      <c r="BV573">
        <v>0</v>
      </c>
      <c r="CC573" t="str">
        <f>"18:44:03.531"</f>
        <v>18:44:03.531</v>
      </c>
      <c r="CD573" t="str">
        <f>"528320557"</f>
        <v>528320557</v>
      </c>
      <c r="CQ573">
        <v>0</v>
      </c>
      <c r="CR573">
        <v>2</v>
      </c>
      <c r="CS573">
        <v>0</v>
      </c>
      <c r="CT573">
        <v>2</v>
      </c>
      <c r="CU573">
        <v>0</v>
      </c>
      <c r="CV573">
        <v>3</v>
      </c>
      <c r="CW573" t="s">
        <v>120</v>
      </c>
      <c r="CX573">
        <v>261</v>
      </c>
      <c r="CY573">
        <v>2</v>
      </c>
      <c r="CZ573" t="s">
        <v>121</v>
      </c>
      <c r="DA573" t="s">
        <v>122</v>
      </c>
      <c r="DD573">
        <v>14547940</v>
      </c>
      <c r="DE573" t="s">
        <v>123</v>
      </c>
    </row>
    <row r="574" spans="1:109" x14ac:dyDescent="0.3">
      <c r="A574" t="str">
        <f>"18:44:04.789"</f>
        <v>18:44:04.789</v>
      </c>
      <c r="B574" t="s">
        <v>110</v>
      </c>
      <c r="C574" t="str">
        <f t="shared" si="24"/>
        <v>ffdfd3c0</v>
      </c>
      <c r="D574" t="s">
        <v>111</v>
      </c>
      <c r="E574">
        <v>18</v>
      </c>
      <c r="F574">
        <v>1018</v>
      </c>
      <c r="G574" t="s">
        <v>112</v>
      </c>
      <c r="J574" t="s">
        <v>113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R574" t="s">
        <v>114</v>
      </c>
      <c r="S574" t="str">
        <f>"18:44:04.547"</f>
        <v>18:44:04.547</v>
      </c>
      <c r="T574" t="str">
        <f>"18:44:04.344"</f>
        <v>18:44:04.344</v>
      </c>
      <c r="U574" t="str">
        <f t="shared" si="25"/>
        <v>a1cdbe</v>
      </c>
      <c r="V574">
        <v>0</v>
      </c>
      <c r="W574">
        <v>0</v>
      </c>
      <c r="X574">
        <v>1</v>
      </c>
      <c r="Y574">
        <v>0</v>
      </c>
      <c r="Z574">
        <v>0</v>
      </c>
      <c r="AB574">
        <v>0</v>
      </c>
      <c r="AC574">
        <v>9</v>
      </c>
      <c r="AD574">
        <v>3</v>
      </c>
      <c r="AE574">
        <v>0</v>
      </c>
      <c r="AF574">
        <v>9</v>
      </c>
      <c r="AG574" t="s">
        <v>158</v>
      </c>
      <c r="AH574">
        <v>0</v>
      </c>
      <c r="AI574">
        <v>3</v>
      </c>
      <c r="AJ574">
        <v>1</v>
      </c>
      <c r="AK574">
        <v>0</v>
      </c>
      <c r="AL574" t="s">
        <v>1217</v>
      </c>
      <c r="AM574">
        <v>46.930568000000001</v>
      </c>
      <c r="AN574" t="s">
        <v>1218</v>
      </c>
      <c r="AO574">
        <v>-122.338536</v>
      </c>
      <c r="AP574">
        <v>100</v>
      </c>
      <c r="AQ574">
        <v>2000</v>
      </c>
      <c r="AR574" t="s">
        <v>118</v>
      </c>
      <c r="AS574">
        <v>-41</v>
      </c>
      <c r="AT574">
        <v>-72</v>
      </c>
      <c r="AU574">
        <v>-128</v>
      </c>
      <c r="BC574">
        <v>1200</v>
      </c>
      <c r="BD574">
        <v>1</v>
      </c>
      <c r="BE574" t="str">
        <f t="shared" si="26"/>
        <v xml:space="preserve">N215T   </v>
      </c>
      <c r="BF574">
        <v>1</v>
      </c>
      <c r="BH574">
        <v>0</v>
      </c>
      <c r="BI574">
        <v>0</v>
      </c>
      <c r="BJ574">
        <v>0</v>
      </c>
      <c r="BK574">
        <v>2325</v>
      </c>
      <c r="BL574">
        <v>325</v>
      </c>
      <c r="BM574" t="s">
        <v>119</v>
      </c>
      <c r="BN574">
        <v>1</v>
      </c>
      <c r="BO574">
        <v>1</v>
      </c>
      <c r="BP574">
        <v>1</v>
      </c>
      <c r="BQ574">
        <v>0</v>
      </c>
      <c r="BT574">
        <v>0</v>
      </c>
      <c r="BU574">
        <v>0</v>
      </c>
      <c r="BV574">
        <v>0</v>
      </c>
      <c r="CC574" t="str">
        <f>"18:44:04.547"</f>
        <v>18:44:04.547</v>
      </c>
      <c r="CD574" t="str">
        <f>"548220185"</f>
        <v>548220185</v>
      </c>
      <c r="CQ574">
        <v>0</v>
      </c>
      <c r="CR574">
        <v>2</v>
      </c>
      <c r="CS574">
        <v>0</v>
      </c>
      <c r="CT574">
        <v>2</v>
      </c>
      <c r="CU574">
        <v>0</v>
      </c>
      <c r="CV574">
        <v>2</v>
      </c>
      <c r="CW574" t="s">
        <v>120</v>
      </c>
      <c r="CX574">
        <v>261</v>
      </c>
      <c r="CY574">
        <v>2</v>
      </c>
      <c r="CZ574" t="s">
        <v>121</v>
      </c>
      <c r="DA574" t="s">
        <v>122</v>
      </c>
      <c r="DD574">
        <v>14548418</v>
      </c>
      <c r="DE574" t="s">
        <v>123</v>
      </c>
    </row>
    <row r="575" spans="1:109" x14ac:dyDescent="0.3">
      <c r="A575" t="str">
        <f>"18:44:05.789"</f>
        <v>18:44:05.789</v>
      </c>
      <c r="B575" t="s">
        <v>110</v>
      </c>
      <c r="C575" t="str">
        <f t="shared" si="24"/>
        <v>ffdfd3c0</v>
      </c>
      <c r="D575" t="s">
        <v>111</v>
      </c>
      <c r="E575">
        <v>18</v>
      </c>
      <c r="F575">
        <v>1018</v>
      </c>
      <c r="G575" t="s">
        <v>112</v>
      </c>
      <c r="J575" t="s">
        <v>113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R575" t="s">
        <v>114</v>
      </c>
      <c r="S575" t="str">
        <f>"18:44:05.578"</f>
        <v>18:44:05.578</v>
      </c>
      <c r="T575" t="str">
        <f>"18:44:05.375"</f>
        <v>18:44:05.375</v>
      </c>
      <c r="U575" t="str">
        <f t="shared" si="25"/>
        <v>a1cdbe</v>
      </c>
      <c r="V575">
        <v>0</v>
      </c>
      <c r="W575">
        <v>0</v>
      </c>
      <c r="X575">
        <v>1</v>
      </c>
      <c r="Y575">
        <v>0</v>
      </c>
      <c r="Z575">
        <v>0</v>
      </c>
      <c r="AB575">
        <v>0</v>
      </c>
      <c r="AC575">
        <v>9</v>
      </c>
      <c r="AD575">
        <v>3</v>
      </c>
      <c r="AE575">
        <v>0</v>
      </c>
      <c r="AF575">
        <v>9</v>
      </c>
      <c r="AG575" t="s">
        <v>158</v>
      </c>
      <c r="AH575">
        <v>0</v>
      </c>
      <c r="AI575">
        <v>3</v>
      </c>
      <c r="AJ575">
        <v>1</v>
      </c>
      <c r="AK575">
        <v>0</v>
      </c>
      <c r="AL575" t="s">
        <v>1219</v>
      </c>
      <c r="AM575">
        <v>46.930202999999999</v>
      </c>
      <c r="AN575" t="s">
        <v>1220</v>
      </c>
      <c r="AO575">
        <v>-122.338815</v>
      </c>
      <c r="AP575">
        <v>100</v>
      </c>
      <c r="AQ575">
        <v>1900</v>
      </c>
      <c r="AR575" t="s">
        <v>118</v>
      </c>
      <c r="AS575">
        <v>-41</v>
      </c>
      <c r="AT575">
        <v>-72</v>
      </c>
      <c r="AU575">
        <v>-128</v>
      </c>
      <c r="BC575">
        <v>1200</v>
      </c>
      <c r="BD575">
        <v>1</v>
      </c>
      <c r="BE575" t="str">
        <f t="shared" si="26"/>
        <v xml:space="preserve">N215T   </v>
      </c>
      <c r="BF575">
        <v>1</v>
      </c>
      <c r="BH575">
        <v>0</v>
      </c>
      <c r="BI575">
        <v>0</v>
      </c>
      <c r="BJ575">
        <v>0</v>
      </c>
      <c r="BK575">
        <v>2325</v>
      </c>
      <c r="BL575">
        <v>425</v>
      </c>
      <c r="BM575" t="s">
        <v>119</v>
      </c>
      <c r="BN575">
        <v>1</v>
      </c>
      <c r="BO575">
        <v>1</v>
      </c>
      <c r="BP575">
        <v>1</v>
      </c>
      <c r="BQ575">
        <v>0</v>
      </c>
      <c r="BT575">
        <v>0</v>
      </c>
      <c r="BU575">
        <v>0</v>
      </c>
      <c r="BV575">
        <v>0</v>
      </c>
      <c r="CC575" t="str">
        <f>"18:44:05.586"</f>
        <v>18:44:05.586</v>
      </c>
      <c r="CD575" t="str">
        <f>"583243250"</f>
        <v>583243250</v>
      </c>
      <c r="CQ575">
        <v>0</v>
      </c>
      <c r="CR575">
        <v>2</v>
      </c>
      <c r="CS575">
        <v>0</v>
      </c>
      <c r="CT575">
        <v>2</v>
      </c>
      <c r="CU575">
        <v>0</v>
      </c>
      <c r="CV575">
        <v>1</v>
      </c>
      <c r="CW575" t="s">
        <v>120</v>
      </c>
      <c r="CX575">
        <v>259</v>
      </c>
      <c r="CY575">
        <v>1</v>
      </c>
      <c r="CZ575" t="s">
        <v>197</v>
      </c>
      <c r="DA575" t="s">
        <v>198</v>
      </c>
      <c r="DD575">
        <v>15011789</v>
      </c>
      <c r="DE575" t="s">
        <v>123</v>
      </c>
    </row>
    <row r="576" spans="1:109" x14ac:dyDescent="0.3">
      <c r="A576" t="str">
        <f>"18:44:06.695"</f>
        <v>18:44:06.695</v>
      </c>
      <c r="B576" t="s">
        <v>110</v>
      </c>
      <c r="C576" t="str">
        <f t="shared" si="24"/>
        <v>ffdfd3c0</v>
      </c>
      <c r="D576" t="s">
        <v>111</v>
      </c>
      <c r="E576">
        <v>18</v>
      </c>
      <c r="F576">
        <v>1018</v>
      </c>
      <c r="G576" t="s">
        <v>112</v>
      </c>
      <c r="J576" t="s">
        <v>113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R576" t="s">
        <v>114</v>
      </c>
      <c r="S576" t="str">
        <f>"18:44:06.492"</f>
        <v>18:44:06.492</v>
      </c>
      <c r="T576" t="str">
        <f>"18:44:05.992"</f>
        <v>18:44:05.992</v>
      </c>
      <c r="U576" t="str">
        <f t="shared" si="25"/>
        <v>a1cdbe</v>
      </c>
      <c r="V576">
        <v>0</v>
      </c>
      <c r="W576">
        <v>0</v>
      </c>
      <c r="X576">
        <v>1</v>
      </c>
      <c r="Y576">
        <v>0</v>
      </c>
      <c r="Z576">
        <v>0</v>
      </c>
      <c r="AB576">
        <v>0</v>
      </c>
      <c r="AC576">
        <v>9</v>
      </c>
      <c r="AD576">
        <v>3</v>
      </c>
      <c r="AE576">
        <v>0</v>
      </c>
      <c r="AF576">
        <v>9</v>
      </c>
      <c r="AG576" t="s">
        <v>158</v>
      </c>
      <c r="AH576">
        <v>0</v>
      </c>
      <c r="AI576">
        <v>3</v>
      </c>
      <c r="AJ576">
        <v>1</v>
      </c>
      <c r="AK576">
        <v>0</v>
      </c>
      <c r="AL576" t="s">
        <v>1221</v>
      </c>
      <c r="AM576">
        <v>46.929881999999999</v>
      </c>
      <c r="AN576" t="s">
        <v>1222</v>
      </c>
      <c r="AO576">
        <v>-122.339072</v>
      </c>
      <c r="AP576">
        <v>100</v>
      </c>
      <c r="AQ576">
        <v>1900</v>
      </c>
      <c r="AR576" t="s">
        <v>118</v>
      </c>
      <c r="AS576">
        <v>-41</v>
      </c>
      <c r="AT576">
        <v>-72</v>
      </c>
      <c r="AU576">
        <v>-192</v>
      </c>
      <c r="BC576">
        <v>1200</v>
      </c>
      <c r="BD576">
        <v>1</v>
      </c>
      <c r="BE576" t="str">
        <f t="shared" si="26"/>
        <v xml:space="preserve">N215T   </v>
      </c>
      <c r="BF576">
        <v>1</v>
      </c>
      <c r="BH576">
        <v>0</v>
      </c>
      <c r="BI576">
        <v>0</v>
      </c>
      <c r="BJ576">
        <v>0</v>
      </c>
      <c r="BK576">
        <v>2325</v>
      </c>
      <c r="BL576">
        <v>425</v>
      </c>
      <c r="BM576" t="s">
        <v>119</v>
      </c>
      <c r="BN576">
        <v>1</v>
      </c>
      <c r="BO576">
        <v>1</v>
      </c>
      <c r="BP576">
        <v>1</v>
      </c>
      <c r="BQ576">
        <v>0</v>
      </c>
      <c r="BT576">
        <v>0</v>
      </c>
      <c r="BU576">
        <v>0</v>
      </c>
      <c r="BV576">
        <v>0</v>
      </c>
      <c r="CC576" t="str">
        <f>"18:44:06.500"</f>
        <v>18:44:06.500</v>
      </c>
      <c r="CD576" t="str">
        <f>"498153249"</f>
        <v>498153249</v>
      </c>
      <c r="CQ576">
        <v>0</v>
      </c>
      <c r="CR576">
        <v>2</v>
      </c>
      <c r="CS576">
        <v>0</v>
      </c>
      <c r="CT576">
        <v>2</v>
      </c>
      <c r="CU576">
        <v>0</v>
      </c>
      <c r="CV576">
        <v>2</v>
      </c>
      <c r="CW576" t="s">
        <v>120</v>
      </c>
      <c r="CX576">
        <v>259</v>
      </c>
      <c r="CY576">
        <v>1</v>
      </c>
      <c r="CZ576" t="s">
        <v>197</v>
      </c>
      <c r="DA576" t="s">
        <v>198</v>
      </c>
      <c r="DD576">
        <v>15012357</v>
      </c>
      <c r="DE576" t="s">
        <v>123</v>
      </c>
    </row>
    <row r="577" spans="1:109" x14ac:dyDescent="0.3">
      <c r="A577" t="str">
        <f>"18:44:07.906"</f>
        <v>18:44:07.906</v>
      </c>
      <c r="B577" t="s">
        <v>110</v>
      </c>
      <c r="C577" t="str">
        <f t="shared" si="24"/>
        <v>ffdfd3c0</v>
      </c>
      <c r="D577" t="s">
        <v>111</v>
      </c>
      <c r="E577">
        <v>18</v>
      </c>
      <c r="F577">
        <v>1018</v>
      </c>
      <c r="G577" t="s">
        <v>112</v>
      </c>
      <c r="J577" t="s">
        <v>113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R577" t="s">
        <v>114</v>
      </c>
      <c r="S577" t="str">
        <f>"18:44:07.664"</f>
        <v>18:44:07.664</v>
      </c>
      <c r="T577" t="str">
        <f>"18:44:07.164"</f>
        <v>18:44:07.164</v>
      </c>
      <c r="U577" t="str">
        <f t="shared" si="25"/>
        <v>a1cdbe</v>
      </c>
      <c r="V577">
        <v>0</v>
      </c>
      <c r="W577">
        <v>0</v>
      </c>
      <c r="X577">
        <v>1</v>
      </c>
      <c r="Y577">
        <v>0</v>
      </c>
      <c r="Z577">
        <v>0</v>
      </c>
      <c r="AB577">
        <v>0</v>
      </c>
      <c r="AC577">
        <v>9</v>
      </c>
      <c r="AD577">
        <v>3</v>
      </c>
      <c r="AE577">
        <v>0</v>
      </c>
      <c r="AF577">
        <v>9</v>
      </c>
      <c r="AG577" t="s">
        <v>158</v>
      </c>
      <c r="AH577">
        <v>0</v>
      </c>
      <c r="AI577">
        <v>3</v>
      </c>
      <c r="AJ577">
        <v>1</v>
      </c>
      <c r="AK577">
        <v>0</v>
      </c>
      <c r="AL577" t="s">
        <v>1223</v>
      </c>
      <c r="AM577">
        <v>46.929516999999997</v>
      </c>
      <c r="AN577" t="s">
        <v>1224</v>
      </c>
      <c r="AO577">
        <v>-122.339416</v>
      </c>
      <c r="AP577">
        <v>100</v>
      </c>
      <c r="AQ577">
        <v>1900</v>
      </c>
      <c r="AR577" t="s">
        <v>118</v>
      </c>
      <c r="AS577">
        <v>-42</v>
      </c>
      <c r="AT577">
        <v>-72</v>
      </c>
      <c r="AU577">
        <v>-192</v>
      </c>
      <c r="BC577">
        <v>1200</v>
      </c>
      <c r="BD577">
        <v>1</v>
      </c>
      <c r="BE577" t="str">
        <f t="shared" si="26"/>
        <v xml:space="preserve">N215T   </v>
      </c>
      <c r="BF577">
        <v>1</v>
      </c>
      <c r="BH577">
        <v>0</v>
      </c>
      <c r="BI577">
        <v>0</v>
      </c>
      <c r="BJ577">
        <v>0</v>
      </c>
      <c r="BK577">
        <v>2325</v>
      </c>
      <c r="BL577">
        <v>425</v>
      </c>
      <c r="BM577" t="s">
        <v>119</v>
      </c>
      <c r="BN577">
        <v>1</v>
      </c>
      <c r="BO577">
        <v>1</v>
      </c>
      <c r="BP577">
        <v>1</v>
      </c>
      <c r="BQ577">
        <v>0</v>
      </c>
      <c r="BT577">
        <v>0</v>
      </c>
      <c r="BU577">
        <v>0</v>
      </c>
      <c r="BV577">
        <v>0</v>
      </c>
      <c r="CC577" t="str">
        <f>"18:44:07.664"</f>
        <v>18:44:07.664</v>
      </c>
      <c r="CD577" t="str">
        <f>"667913361"</f>
        <v>667913361</v>
      </c>
      <c r="CQ577">
        <v>0</v>
      </c>
      <c r="CR577">
        <v>2</v>
      </c>
      <c r="CS577">
        <v>0</v>
      </c>
      <c r="CT577">
        <v>2</v>
      </c>
      <c r="CU577">
        <v>0</v>
      </c>
      <c r="CV577">
        <v>3</v>
      </c>
      <c r="CW577" t="s">
        <v>120</v>
      </c>
      <c r="CX577">
        <v>261</v>
      </c>
      <c r="CY577">
        <v>2</v>
      </c>
      <c r="CZ577" t="s">
        <v>121</v>
      </c>
      <c r="DA577" t="s">
        <v>122</v>
      </c>
      <c r="DD577">
        <v>14550003</v>
      </c>
      <c r="DE577" t="s">
        <v>123</v>
      </c>
    </row>
    <row r="578" spans="1:109" x14ac:dyDescent="0.3">
      <c r="A578" t="str">
        <f>"18:44:08.906"</f>
        <v>18:44:08.906</v>
      </c>
      <c r="B578" t="s">
        <v>110</v>
      </c>
      <c r="C578" t="str">
        <f t="shared" ref="C578:C641" si="27">"ffdfd3c0"</f>
        <v>ffdfd3c0</v>
      </c>
      <c r="D578" t="s">
        <v>111</v>
      </c>
      <c r="E578">
        <v>18</v>
      </c>
      <c r="F578">
        <v>1018</v>
      </c>
      <c r="G578" t="s">
        <v>112</v>
      </c>
      <c r="J578" t="s">
        <v>113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R578" t="s">
        <v>114</v>
      </c>
      <c r="S578" t="str">
        <f>"18:44:08.672"</f>
        <v>18:44:08.672</v>
      </c>
      <c r="T578" t="str">
        <f>"18:44:08.570"</f>
        <v>18:44:08.570</v>
      </c>
      <c r="U578" t="str">
        <f t="shared" ref="U578:U641" si="28">"a1cdbe"</f>
        <v>a1cdbe</v>
      </c>
      <c r="V578">
        <v>0</v>
      </c>
      <c r="W578">
        <v>0</v>
      </c>
      <c r="X578">
        <v>1</v>
      </c>
      <c r="Y578">
        <v>0</v>
      </c>
      <c r="Z578">
        <v>0</v>
      </c>
      <c r="AB578">
        <v>0</v>
      </c>
      <c r="AC578">
        <v>9</v>
      </c>
      <c r="AD578">
        <v>3</v>
      </c>
      <c r="AE578">
        <v>0</v>
      </c>
      <c r="AF578">
        <v>9</v>
      </c>
      <c r="AG578" t="s">
        <v>158</v>
      </c>
      <c r="AH578">
        <v>0</v>
      </c>
      <c r="AI578">
        <v>3</v>
      </c>
      <c r="AJ578">
        <v>1</v>
      </c>
      <c r="AK578">
        <v>0</v>
      </c>
      <c r="AL578" t="s">
        <v>1225</v>
      </c>
      <c r="AM578">
        <v>46.929172999999999</v>
      </c>
      <c r="AN578" t="s">
        <v>1226</v>
      </c>
      <c r="AO578">
        <v>-122.339737</v>
      </c>
      <c r="AP578">
        <v>100</v>
      </c>
      <c r="AQ578">
        <v>1900</v>
      </c>
      <c r="AR578" t="s">
        <v>118</v>
      </c>
      <c r="AS578">
        <v>-42</v>
      </c>
      <c r="AT578">
        <v>-72</v>
      </c>
      <c r="AU578">
        <v>-192</v>
      </c>
      <c r="BC578">
        <v>1200</v>
      </c>
      <c r="BD578">
        <v>1</v>
      </c>
      <c r="BE578" t="str">
        <f t="shared" ref="BE578:BE641" si="29">"N215T   "</f>
        <v xml:space="preserve">N215T   </v>
      </c>
      <c r="BF578">
        <v>1</v>
      </c>
      <c r="BH578">
        <v>0</v>
      </c>
      <c r="BI578">
        <v>0</v>
      </c>
      <c r="BJ578">
        <v>0</v>
      </c>
      <c r="BK578">
        <v>2325</v>
      </c>
      <c r="BL578">
        <v>425</v>
      </c>
      <c r="BM578" t="s">
        <v>119</v>
      </c>
      <c r="BN578">
        <v>1</v>
      </c>
      <c r="BO578">
        <v>1</v>
      </c>
      <c r="BP578">
        <v>1</v>
      </c>
      <c r="BQ578">
        <v>0</v>
      </c>
      <c r="BT578">
        <v>0</v>
      </c>
      <c r="BU578">
        <v>0</v>
      </c>
      <c r="BV578">
        <v>0</v>
      </c>
      <c r="CC578" t="str">
        <f>"18:44:08.672"</f>
        <v>18:44:08.672</v>
      </c>
      <c r="CD578" t="str">
        <f>"672770417"</f>
        <v>672770417</v>
      </c>
      <c r="CQ578">
        <v>0</v>
      </c>
      <c r="CR578">
        <v>2</v>
      </c>
      <c r="CS578">
        <v>0</v>
      </c>
      <c r="CT578">
        <v>2</v>
      </c>
      <c r="CU578">
        <v>0</v>
      </c>
      <c r="CV578">
        <v>2</v>
      </c>
      <c r="CW578" t="s">
        <v>172</v>
      </c>
      <c r="CX578">
        <v>326</v>
      </c>
      <c r="CY578">
        <v>0</v>
      </c>
      <c r="CZ578" t="s">
        <v>173</v>
      </c>
      <c r="DA578" t="s">
        <v>174</v>
      </c>
      <c r="DD578">
        <v>5898282</v>
      </c>
      <c r="DE578" t="s">
        <v>123</v>
      </c>
    </row>
    <row r="579" spans="1:109" x14ac:dyDescent="0.3">
      <c r="A579" t="str">
        <f>"18:44:09.813"</f>
        <v>18:44:09.813</v>
      </c>
      <c r="B579" t="s">
        <v>110</v>
      </c>
      <c r="C579" t="str">
        <f t="shared" si="27"/>
        <v>ffdfd3c0</v>
      </c>
      <c r="D579" t="s">
        <v>111</v>
      </c>
      <c r="E579">
        <v>18</v>
      </c>
      <c r="F579">
        <v>1018</v>
      </c>
      <c r="G579" t="s">
        <v>112</v>
      </c>
      <c r="J579" t="s">
        <v>113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R579" t="s">
        <v>114</v>
      </c>
      <c r="S579" t="str">
        <f>"18:44:09.555"</f>
        <v>18:44:09.555</v>
      </c>
      <c r="T579" t="str">
        <f>"18:44:09.055"</f>
        <v>18:44:09.055</v>
      </c>
      <c r="U579" t="str">
        <f t="shared" si="28"/>
        <v>a1cdbe</v>
      </c>
      <c r="V579">
        <v>0</v>
      </c>
      <c r="W579">
        <v>0</v>
      </c>
      <c r="X579">
        <v>1</v>
      </c>
      <c r="Y579">
        <v>0</v>
      </c>
      <c r="Z579">
        <v>0</v>
      </c>
      <c r="AB579">
        <v>0</v>
      </c>
      <c r="AC579">
        <v>9</v>
      </c>
      <c r="AD579">
        <v>3</v>
      </c>
      <c r="AE579">
        <v>0</v>
      </c>
      <c r="AF579">
        <v>9</v>
      </c>
      <c r="AG579" t="s">
        <v>158</v>
      </c>
      <c r="AH579">
        <v>0</v>
      </c>
      <c r="AI579">
        <v>3</v>
      </c>
      <c r="AJ579">
        <v>1</v>
      </c>
      <c r="AK579">
        <v>0</v>
      </c>
      <c r="AL579" t="s">
        <v>1227</v>
      </c>
      <c r="AM579">
        <v>46.928873000000003</v>
      </c>
      <c r="AN579" t="s">
        <v>1228</v>
      </c>
      <c r="AO579">
        <v>-122.339973</v>
      </c>
      <c r="AP579">
        <v>100</v>
      </c>
      <c r="AQ579">
        <v>1900</v>
      </c>
      <c r="AR579" t="s">
        <v>118</v>
      </c>
      <c r="AS579">
        <v>-42</v>
      </c>
      <c r="AT579">
        <v>-71</v>
      </c>
      <c r="AU579">
        <v>-192</v>
      </c>
      <c r="BC579">
        <v>1200</v>
      </c>
      <c r="BD579">
        <v>1</v>
      </c>
      <c r="BE579" t="str">
        <f t="shared" si="29"/>
        <v xml:space="preserve">N215T   </v>
      </c>
      <c r="BF579">
        <v>1</v>
      </c>
      <c r="BH579">
        <v>0</v>
      </c>
      <c r="BI579">
        <v>0</v>
      </c>
      <c r="BJ579">
        <v>0</v>
      </c>
      <c r="BK579">
        <v>2325</v>
      </c>
      <c r="BL579">
        <v>425</v>
      </c>
      <c r="BM579" t="s">
        <v>119</v>
      </c>
      <c r="BN579">
        <v>1</v>
      </c>
      <c r="BO579">
        <v>1</v>
      </c>
      <c r="BP579">
        <v>1</v>
      </c>
      <c r="BQ579">
        <v>0</v>
      </c>
      <c r="BT579">
        <v>0</v>
      </c>
      <c r="BU579">
        <v>0</v>
      </c>
      <c r="BV579">
        <v>0</v>
      </c>
      <c r="CC579" t="str">
        <f>"18:44:09.555"</f>
        <v>18:44:09.555</v>
      </c>
      <c r="CD579" t="str">
        <f>"557852422"</f>
        <v>557852422</v>
      </c>
      <c r="CQ579">
        <v>0</v>
      </c>
      <c r="CR579">
        <v>2</v>
      </c>
      <c r="CS579">
        <v>0</v>
      </c>
      <c r="CT579">
        <v>2</v>
      </c>
      <c r="CU579">
        <v>0</v>
      </c>
      <c r="CV579">
        <v>2</v>
      </c>
      <c r="CW579" t="s">
        <v>120</v>
      </c>
      <c r="CX579">
        <v>259</v>
      </c>
      <c r="CY579">
        <v>1</v>
      </c>
      <c r="CZ579" t="s">
        <v>197</v>
      </c>
      <c r="DA579" t="s">
        <v>198</v>
      </c>
      <c r="DD579">
        <v>15014259</v>
      </c>
      <c r="DE579" t="s">
        <v>123</v>
      </c>
    </row>
    <row r="580" spans="1:109" x14ac:dyDescent="0.3">
      <c r="A580" t="str">
        <f>"18:44:10.672"</f>
        <v>18:44:10.672</v>
      </c>
      <c r="B580" t="s">
        <v>110</v>
      </c>
      <c r="C580" t="str">
        <f t="shared" si="27"/>
        <v>ffdfd3c0</v>
      </c>
      <c r="D580" t="s">
        <v>111</v>
      </c>
      <c r="E580">
        <v>18</v>
      </c>
      <c r="F580">
        <v>1018</v>
      </c>
      <c r="G580" t="s">
        <v>112</v>
      </c>
      <c r="J580" t="s">
        <v>113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R580" t="s">
        <v>114</v>
      </c>
      <c r="S580" t="str">
        <f>"18:44:10.438"</f>
        <v>18:44:10.438</v>
      </c>
      <c r="T580" t="str">
        <f>"18:44:10.039"</f>
        <v>18:44:10.039</v>
      </c>
      <c r="U580" t="str">
        <f t="shared" si="28"/>
        <v>a1cdbe</v>
      </c>
      <c r="V580">
        <v>0</v>
      </c>
      <c r="W580">
        <v>0</v>
      </c>
      <c r="X580">
        <v>1</v>
      </c>
      <c r="Y580">
        <v>0</v>
      </c>
      <c r="Z580">
        <v>0</v>
      </c>
      <c r="AB580">
        <v>0</v>
      </c>
      <c r="AC580">
        <v>9</v>
      </c>
      <c r="AD580">
        <v>3</v>
      </c>
      <c r="AE580">
        <v>0</v>
      </c>
      <c r="AF580">
        <v>9</v>
      </c>
      <c r="AG580" t="s">
        <v>158</v>
      </c>
      <c r="AH580">
        <v>0</v>
      </c>
      <c r="AI580">
        <v>3</v>
      </c>
      <c r="AJ580">
        <v>1</v>
      </c>
      <c r="AK580">
        <v>0</v>
      </c>
      <c r="AL580" t="s">
        <v>1229</v>
      </c>
      <c r="AM580">
        <v>46.928550999999999</v>
      </c>
      <c r="AN580" t="s">
        <v>1230</v>
      </c>
      <c r="AO580">
        <v>-122.340188</v>
      </c>
      <c r="AP580">
        <v>100</v>
      </c>
      <c r="AQ580">
        <v>1900</v>
      </c>
      <c r="AR580" t="s">
        <v>118</v>
      </c>
      <c r="AS580">
        <v>-41</v>
      </c>
      <c r="AT580">
        <v>-72</v>
      </c>
      <c r="AU580">
        <v>-256</v>
      </c>
      <c r="BC580">
        <v>1200</v>
      </c>
      <c r="BD580">
        <v>1</v>
      </c>
      <c r="BE580" t="str">
        <f t="shared" si="29"/>
        <v xml:space="preserve">N215T   </v>
      </c>
      <c r="BF580">
        <v>1</v>
      </c>
      <c r="BH580">
        <v>0</v>
      </c>
      <c r="BI580">
        <v>0</v>
      </c>
      <c r="BJ580">
        <v>0</v>
      </c>
      <c r="BK580">
        <v>2325</v>
      </c>
      <c r="BL580">
        <v>425</v>
      </c>
      <c r="BM580" t="s">
        <v>119</v>
      </c>
      <c r="BN580">
        <v>1</v>
      </c>
      <c r="BO580">
        <v>1</v>
      </c>
      <c r="BP580">
        <v>1</v>
      </c>
      <c r="BQ580">
        <v>0</v>
      </c>
      <c r="BT580">
        <v>0</v>
      </c>
      <c r="BU580">
        <v>0</v>
      </c>
      <c r="BV580">
        <v>0</v>
      </c>
      <c r="CC580" t="str">
        <f>"18:44:10.445"</f>
        <v>18:44:10.445</v>
      </c>
      <c r="CD580" t="str">
        <f>"442765451"</f>
        <v>442765451</v>
      </c>
      <c r="CQ580">
        <v>0</v>
      </c>
      <c r="CR580">
        <v>2</v>
      </c>
      <c r="CS580">
        <v>0</v>
      </c>
      <c r="CT580">
        <v>2</v>
      </c>
      <c r="CU580">
        <v>0</v>
      </c>
      <c r="CV580">
        <v>1</v>
      </c>
      <c r="CW580" t="s">
        <v>120</v>
      </c>
      <c r="CX580">
        <v>259</v>
      </c>
      <c r="CY580">
        <v>1</v>
      </c>
      <c r="CZ580" t="s">
        <v>197</v>
      </c>
      <c r="DA580" t="s">
        <v>198</v>
      </c>
      <c r="DD580">
        <v>15014802</v>
      </c>
      <c r="DE580" t="s">
        <v>123</v>
      </c>
    </row>
    <row r="581" spans="1:109" x14ac:dyDescent="0.3">
      <c r="A581" t="str">
        <f>"18:44:11.727"</f>
        <v>18:44:11.727</v>
      </c>
      <c r="B581" t="s">
        <v>110</v>
      </c>
      <c r="C581" t="str">
        <f t="shared" si="27"/>
        <v>ffdfd3c0</v>
      </c>
      <c r="D581" t="s">
        <v>111</v>
      </c>
      <c r="E581">
        <v>18</v>
      </c>
      <c r="F581">
        <v>1018</v>
      </c>
      <c r="G581" t="s">
        <v>112</v>
      </c>
      <c r="J581" t="s">
        <v>113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R581" t="s">
        <v>114</v>
      </c>
      <c r="S581" t="str">
        <f>"18:44:11.461"</f>
        <v>18:44:11.461</v>
      </c>
      <c r="T581" t="str">
        <f>"18:44:11.063"</f>
        <v>18:44:11.063</v>
      </c>
      <c r="U581" t="str">
        <f t="shared" si="28"/>
        <v>a1cdbe</v>
      </c>
      <c r="V581">
        <v>0</v>
      </c>
      <c r="W581">
        <v>0</v>
      </c>
      <c r="X581">
        <v>1</v>
      </c>
      <c r="Y581">
        <v>0</v>
      </c>
      <c r="Z581">
        <v>0</v>
      </c>
      <c r="AB581">
        <v>0</v>
      </c>
      <c r="AC581">
        <v>9</v>
      </c>
      <c r="AD581">
        <v>3</v>
      </c>
      <c r="AE581">
        <v>0</v>
      </c>
      <c r="AF581">
        <v>9</v>
      </c>
      <c r="AG581" t="s">
        <v>158</v>
      </c>
      <c r="AH581">
        <v>0</v>
      </c>
      <c r="AI581">
        <v>3</v>
      </c>
      <c r="AJ581">
        <v>1</v>
      </c>
      <c r="AK581">
        <v>0</v>
      </c>
      <c r="AL581" t="s">
        <v>1231</v>
      </c>
      <c r="AM581">
        <v>46.928251000000003</v>
      </c>
      <c r="AN581" t="s">
        <v>1232</v>
      </c>
      <c r="AO581">
        <v>-122.34050999999999</v>
      </c>
      <c r="AP581">
        <v>100</v>
      </c>
      <c r="AQ581">
        <v>1900</v>
      </c>
      <c r="AR581" t="s">
        <v>118</v>
      </c>
      <c r="AS581">
        <v>-40</v>
      </c>
      <c r="AT581">
        <v>-72</v>
      </c>
      <c r="AU581">
        <v>-256</v>
      </c>
      <c r="BC581">
        <v>1200</v>
      </c>
      <c r="BD581">
        <v>1</v>
      </c>
      <c r="BE581" t="str">
        <f t="shared" si="29"/>
        <v xml:space="preserve">N215T   </v>
      </c>
      <c r="BF581">
        <v>1</v>
      </c>
      <c r="BH581">
        <v>0</v>
      </c>
      <c r="BI581">
        <v>0</v>
      </c>
      <c r="BJ581">
        <v>0</v>
      </c>
      <c r="BK581">
        <v>2325</v>
      </c>
      <c r="BL581">
        <v>425</v>
      </c>
      <c r="BM581" t="s">
        <v>119</v>
      </c>
      <c r="BN581">
        <v>1</v>
      </c>
      <c r="BO581">
        <v>1</v>
      </c>
      <c r="BP581">
        <v>1</v>
      </c>
      <c r="BQ581">
        <v>0</v>
      </c>
      <c r="BT581">
        <v>0</v>
      </c>
      <c r="BU581">
        <v>0</v>
      </c>
      <c r="BV581">
        <v>0</v>
      </c>
      <c r="CC581" t="str">
        <f>"18:44:11.461"</f>
        <v>18:44:11.461</v>
      </c>
      <c r="CD581" t="str">
        <f>"462665187"</f>
        <v>462665187</v>
      </c>
      <c r="CQ581">
        <v>0</v>
      </c>
      <c r="CR581">
        <v>2</v>
      </c>
      <c r="CS581">
        <v>0</v>
      </c>
      <c r="CT581">
        <v>2</v>
      </c>
      <c r="CU581">
        <v>0</v>
      </c>
      <c r="CV581">
        <v>2</v>
      </c>
      <c r="CW581" t="s">
        <v>120</v>
      </c>
      <c r="CX581">
        <v>259</v>
      </c>
      <c r="CY581">
        <v>1</v>
      </c>
      <c r="CZ581" t="s">
        <v>197</v>
      </c>
      <c r="DA581" t="s">
        <v>198</v>
      </c>
      <c r="DD581">
        <v>15015449</v>
      </c>
      <c r="DE581" t="s">
        <v>123</v>
      </c>
    </row>
    <row r="582" spans="1:109" x14ac:dyDescent="0.3">
      <c r="A582" t="str">
        <f>"18:44:12.727"</f>
        <v>18:44:12.727</v>
      </c>
      <c r="B582" t="s">
        <v>110</v>
      </c>
      <c r="C582" t="str">
        <f t="shared" si="27"/>
        <v>ffdfd3c0</v>
      </c>
      <c r="D582" t="s">
        <v>111</v>
      </c>
      <c r="E582">
        <v>18</v>
      </c>
      <c r="F582">
        <v>1018</v>
      </c>
      <c r="G582" t="s">
        <v>112</v>
      </c>
      <c r="J582" t="s">
        <v>113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R582" t="s">
        <v>114</v>
      </c>
      <c r="S582" t="str">
        <f>"18:44:12.477"</f>
        <v>18:44:12.477</v>
      </c>
      <c r="T582" t="str">
        <f>"18:44:12.078"</f>
        <v>18:44:12.078</v>
      </c>
      <c r="U582" t="str">
        <f t="shared" si="28"/>
        <v>a1cdbe</v>
      </c>
      <c r="V582">
        <v>0</v>
      </c>
      <c r="W582">
        <v>0</v>
      </c>
      <c r="X582">
        <v>1</v>
      </c>
      <c r="Y582">
        <v>0</v>
      </c>
      <c r="Z582">
        <v>0</v>
      </c>
      <c r="AB582">
        <v>0</v>
      </c>
      <c r="AC582">
        <v>9</v>
      </c>
      <c r="AD582">
        <v>3</v>
      </c>
      <c r="AE582">
        <v>0</v>
      </c>
      <c r="AF582">
        <v>9</v>
      </c>
      <c r="AG582" t="s">
        <v>158</v>
      </c>
      <c r="AH582">
        <v>0</v>
      </c>
      <c r="AI582">
        <v>3</v>
      </c>
      <c r="AJ582">
        <v>1</v>
      </c>
      <c r="AK582">
        <v>0</v>
      </c>
      <c r="AL582" t="s">
        <v>1233</v>
      </c>
      <c r="AM582">
        <v>46.927906999999998</v>
      </c>
      <c r="AN582" t="s">
        <v>1234</v>
      </c>
      <c r="AO582">
        <v>-122.34072399999999</v>
      </c>
      <c r="AP582">
        <v>100</v>
      </c>
      <c r="AQ582">
        <v>1900</v>
      </c>
      <c r="AR582" t="s">
        <v>118</v>
      </c>
      <c r="AS582">
        <v>-40</v>
      </c>
      <c r="AT582">
        <v>-72</v>
      </c>
      <c r="AU582">
        <v>-128</v>
      </c>
      <c r="BC582">
        <v>1200</v>
      </c>
      <c r="BD582">
        <v>1</v>
      </c>
      <c r="BE582" t="str">
        <f t="shared" si="29"/>
        <v xml:space="preserve">N215T   </v>
      </c>
      <c r="BF582">
        <v>1</v>
      </c>
      <c r="BH582">
        <v>0</v>
      </c>
      <c r="BI582">
        <v>0</v>
      </c>
      <c r="BJ582">
        <v>0</v>
      </c>
      <c r="BK582">
        <v>2300</v>
      </c>
      <c r="BL582">
        <v>400</v>
      </c>
      <c r="BM582" t="s">
        <v>119</v>
      </c>
      <c r="BN582">
        <v>1</v>
      </c>
      <c r="BO582">
        <v>1</v>
      </c>
      <c r="BP582">
        <v>1</v>
      </c>
      <c r="BQ582">
        <v>0</v>
      </c>
      <c r="BT582">
        <v>0</v>
      </c>
      <c r="BU582">
        <v>0</v>
      </c>
      <c r="BV582">
        <v>0</v>
      </c>
      <c r="CC582" t="str">
        <f>"18:44:12.484"</f>
        <v>18:44:12.484</v>
      </c>
      <c r="CD582" t="str">
        <f>"482439645"</f>
        <v>482439645</v>
      </c>
      <c r="CQ582">
        <v>0</v>
      </c>
      <c r="CR582">
        <v>2</v>
      </c>
      <c r="CS582">
        <v>0</v>
      </c>
      <c r="CT582">
        <v>2</v>
      </c>
      <c r="CU582">
        <v>0</v>
      </c>
      <c r="CV582">
        <v>1</v>
      </c>
      <c r="CW582" t="s">
        <v>120</v>
      </c>
      <c r="CX582">
        <v>261</v>
      </c>
      <c r="CY582">
        <v>2</v>
      </c>
      <c r="CZ582" t="s">
        <v>121</v>
      </c>
      <c r="DA582" t="s">
        <v>122</v>
      </c>
      <c r="DD582">
        <v>14552305</v>
      </c>
      <c r="DE582" t="s">
        <v>123</v>
      </c>
    </row>
    <row r="583" spans="1:109" x14ac:dyDescent="0.3">
      <c r="A583" t="str">
        <f>"18:44:13.789"</f>
        <v>18:44:13.789</v>
      </c>
      <c r="B583" t="s">
        <v>110</v>
      </c>
      <c r="C583" t="str">
        <f t="shared" si="27"/>
        <v>ffdfd3c0</v>
      </c>
      <c r="D583" t="s">
        <v>111</v>
      </c>
      <c r="E583">
        <v>18</v>
      </c>
      <c r="F583">
        <v>1018</v>
      </c>
      <c r="G583" t="s">
        <v>112</v>
      </c>
      <c r="J583" t="s">
        <v>113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R583" t="s">
        <v>114</v>
      </c>
      <c r="S583" t="str">
        <f>"18:44:13.547"</f>
        <v>18:44:13.547</v>
      </c>
      <c r="T583" t="str">
        <f>"18:44:13.148"</f>
        <v>18:44:13.148</v>
      </c>
      <c r="U583" t="str">
        <f t="shared" si="28"/>
        <v>a1cdbe</v>
      </c>
      <c r="V583">
        <v>0</v>
      </c>
      <c r="W583">
        <v>0</v>
      </c>
      <c r="X583">
        <v>1</v>
      </c>
      <c r="Y583">
        <v>0</v>
      </c>
      <c r="Z583">
        <v>0</v>
      </c>
      <c r="AB583">
        <v>0</v>
      </c>
      <c r="AC583">
        <v>9</v>
      </c>
      <c r="AD583">
        <v>3</v>
      </c>
      <c r="AE583">
        <v>0</v>
      </c>
      <c r="AF583">
        <v>9</v>
      </c>
      <c r="AG583" t="s">
        <v>158</v>
      </c>
      <c r="AH583">
        <v>0</v>
      </c>
      <c r="AI583">
        <v>3</v>
      </c>
      <c r="AJ583">
        <v>1</v>
      </c>
      <c r="AK583">
        <v>0</v>
      </c>
      <c r="AL583" t="s">
        <v>1235</v>
      </c>
      <c r="AM583">
        <v>46.927543</v>
      </c>
      <c r="AN583" t="s">
        <v>1236</v>
      </c>
      <c r="AO583">
        <v>-122.34106800000001</v>
      </c>
      <c r="AP583">
        <v>100</v>
      </c>
      <c r="AQ583">
        <v>1900</v>
      </c>
      <c r="AR583" t="s">
        <v>118</v>
      </c>
      <c r="AS583">
        <v>-40</v>
      </c>
      <c r="AT583">
        <v>-73</v>
      </c>
      <c r="AU583">
        <v>-128</v>
      </c>
      <c r="BC583">
        <v>1200</v>
      </c>
      <c r="BD583">
        <v>1</v>
      </c>
      <c r="BE583" t="str">
        <f t="shared" si="29"/>
        <v xml:space="preserve">N215T   </v>
      </c>
      <c r="BF583">
        <v>1</v>
      </c>
      <c r="BH583">
        <v>0</v>
      </c>
      <c r="BI583">
        <v>0</v>
      </c>
      <c r="BJ583">
        <v>0</v>
      </c>
      <c r="BK583">
        <v>2300</v>
      </c>
      <c r="BL583">
        <v>400</v>
      </c>
      <c r="BM583" t="s">
        <v>119</v>
      </c>
      <c r="BN583">
        <v>1</v>
      </c>
      <c r="BO583">
        <v>1</v>
      </c>
      <c r="BP583">
        <v>1</v>
      </c>
      <c r="BQ583">
        <v>0</v>
      </c>
      <c r="BT583">
        <v>0</v>
      </c>
      <c r="BU583">
        <v>0</v>
      </c>
      <c r="BV583">
        <v>0</v>
      </c>
      <c r="CC583" t="str">
        <f>"18:44:13.547"</f>
        <v>18:44:13.547</v>
      </c>
      <c r="CD583" t="str">
        <f>"547334994"</f>
        <v>547334994</v>
      </c>
      <c r="CQ583">
        <v>0</v>
      </c>
      <c r="CR583">
        <v>2</v>
      </c>
      <c r="CS583">
        <v>0</v>
      </c>
      <c r="CT583">
        <v>2</v>
      </c>
      <c r="CU583">
        <v>0</v>
      </c>
      <c r="CV583">
        <v>3</v>
      </c>
      <c r="CW583" t="s">
        <v>120</v>
      </c>
      <c r="CX583">
        <v>261</v>
      </c>
      <c r="CY583">
        <v>2</v>
      </c>
      <c r="CZ583" t="s">
        <v>121</v>
      </c>
      <c r="DA583" t="s">
        <v>122</v>
      </c>
      <c r="DD583">
        <v>14552782</v>
      </c>
      <c r="DE583" t="s">
        <v>123</v>
      </c>
    </row>
    <row r="584" spans="1:109" x14ac:dyDescent="0.3">
      <c r="A584" t="str">
        <f>"18:44:14.844"</f>
        <v>18:44:14.844</v>
      </c>
      <c r="B584" t="s">
        <v>110</v>
      </c>
      <c r="C584" t="str">
        <f t="shared" si="27"/>
        <v>ffdfd3c0</v>
      </c>
      <c r="D584" t="s">
        <v>111</v>
      </c>
      <c r="E584">
        <v>18</v>
      </c>
      <c r="F584">
        <v>1018</v>
      </c>
      <c r="G584" t="s">
        <v>112</v>
      </c>
      <c r="J584" t="s">
        <v>113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R584" t="s">
        <v>114</v>
      </c>
      <c r="S584" t="str">
        <f>"18:44:14.625"</f>
        <v>18:44:14.625</v>
      </c>
      <c r="T584" t="str">
        <f>"18:44:14.227"</f>
        <v>18:44:14.227</v>
      </c>
      <c r="U584" t="str">
        <f t="shared" si="28"/>
        <v>a1cdbe</v>
      </c>
      <c r="V584">
        <v>0</v>
      </c>
      <c r="W584">
        <v>0</v>
      </c>
      <c r="X584">
        <v>1</v>
      </c>
      <c r="Y584">
        <v>0</v>
      </c>
      <c r="Z584">
        <v>0</v>
      </c>
      <c r="AB584">
        <v>0</v>
      </c>
      <c r="AC584">
        <v>9</v>
      </c>
      <c r="AD584">
        <v>3</v>
      </c>
      <c r="AE584">
        <v>0</v>
      </c>
      <c r="AF584">
        <v>9</v>
      </c>
      <c r="AG584" t="s">
        <v>158</v>
      </c>
      <c r="AH584">
        <v>0</v>
      </c>
      <c r="AI584">
        <v>3</v>
      </c>
      <c r="AJ584">
        <v>1</v>
      </c>
      <c r="AK584">
        <v>0</v>
      </c>
      <c r="AL584" t="s">
        <v>1237</v>
      </c>
      <c r="AM584">
        <v>46.927177999999998</v>
      </c>
      <c r="AN584" t="s">
        <v>1238</v>
      </c>
      <c r="AO584">
        <v>-122.341347</v>
      </c>
      <c r="AP584">
        <v>100</v>
      </c>
      <c r="AQ584">
        <v>1900</v>
      </c>
      <c r="AR584" t="s">
        <v>118</v>
      </c>
      <c r="AS584">
        <v>-40</v>
      </c>
      <c r="AT584">
        <v>-73</v>
      </c>
      <c r="AU584">
        <v>-128</v>
      </c>
      <c r="BC584">
        <v>1200</v>
      </c>
      <c r="BD584">
        <v>1</v>
      </c>
      <c r="BE584" t="str">
        <f t="shared" si="29"/>
        <v xml:space="preserve">N215T   </v>
      </c>
      <c r="BF584">
        <v>1</v>
      </c>
      <c r="BH584">
        <v>0</v>
      </c>
      <c r="BI584">
        <v>0</v>
      </c>
      <c r="BJ584">
        <v>0</v>
      </c>
      <c r="BK584">
        <v>2300</v>
      </c>
      <c r="BL584">
        <v>400</v>
      </c>
      <c r="BM584" t="s">
        <v>119</v>
      </c>
      <c r="BN584">
        <v>1</v>
      </c>
      <c r="BO584">
        <v>1</v>
      </c>
      <c r="BP584">
        <v>1</v>
      </c>
      <c r="BQ584">
        <v>0</v>
      </c>
      <c r="BT584">
        <v>0</v>
      </c>
      <c r="BU584">
        <v>0</v>
      </c>
      <c r="BV584">
        <v>0</v>
      </c>
      <c r="CC584" t="str">
        <f>"18:44:14.625"</f>
        <v>18:44:14.625</v>
      </c>
      <c r="CD584" t="str">
        <f>"627228659"</f>
        <v>627228659</v>
      </c>
      <c r="CQ584">
        <v>0</v>
      </c>
      <c r="CR584">
        <v>2</v>
      </c>
      <c r="CS584">
        <v>0</v>
      </c>
      <c r="CT584">
        <v>2</v>
      </c>
      <c r="CU584">
        <v>0</v>
      </c>
      <c r="CV584">
        <v>2</v>
      </c>
      <c r="CW584" t="s">
        <v>120</v>
      </c>
      <c r="CX584">
        <v>261</v>
      </c>
      <c r="CY584">
        <v>2</v>
      </c>
      <c r="CZ584" t="s">
        <v>121</v>
      </c>
      <c r="DA584" t="s">
        <v>122</v>
      </c>
      <c r="DD584">
        <v>14553289</v>
      </c>
      <c r="DE584" t="s">
        <v>123</v>
      </c>
    </row>
    <row r="585" spans="1:109" x14ac:dyDescent="0.3">
      <c r="A585" t="str">
        <f>"18:44:16.953"</f>
        <v>18:44:16.953</v>
      </c>
      <c r="B585" t="s">
        <v>110</v>
      </c>
      <c r="C585" t="str">
        <f t="shared" si="27"/>
        <v>ffdfd3c0</v>
      </c>
      <c r="D585" t="s">
        <v>111</v>
      </c>
      <c r="E585">
        <v>18</v>
      </c>
      <c r="F585">
        <v>1018</v>
      </c>
      <c r="G585" t="s">
        <v>112</v>
      </c>
      <c r="J585" t="s">
        <v>113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R585" t="s">
        <v>114</v>
      </c>
      <c r="S585" t="str">
        <f>"18:44:16.727"</f>
        <v>18:44:16.727</v>
      </c>
      <c r="T585" t="str">
        <f>"18:44:16.523"</f>
        <v>18:44:16.523</v>
      </c>
      <c r="U585" t="str">
        <f t="shared" si="28"/>
        <v>a1cdbe</v>
      </c>
      <c r="V585">
        <v>0</v>
      </c>
      <c r="W585">
        <v>0</v>
      </c>
      <c r="X585">
        <v>1</v>
      </c>
      <c r="Y585">
        <v>0</v>
      </c>
      <c r="Z585">
        <v>0</v>
      </c>
      <c r="AB585">
        <v>0</v>
      </c>
      <c r="AC585">
        <v>9</v>
      </c>
      <c r="AD585">
        <v>3</v>
      </c>
      <c r="AE585">
        <v>0</v>
      </c>
      <c r="AF585">
        <v>9</v>
      </c>
      <c r="AG585" t="s">
        <v>158</v>
      </c>
      <c r="AH585">
        <v>0</v>
      </c>
      <c r="AI585">
        <v>3</v>
      </c>
      <c r="AJ585">
        <v>1</v>
      </c>
      <c r="AK585">
        <v>0</v>
      </c>
      <c r="AL585" t="s">
        <v>1239</v>
      </c>
      <c r="AM585">
        <v>46.926470000000002</v>
      </c>
      <c r="AN585" t="s">
        <v>1240</v>
      </c>
      <c r="AO585">
        <v>-122.341926</v>
      </c>
      <c r="AP585">
        <v>100</v>
      </c>
      <c r="AQ585">
        <v>1900</v>
      </c>
      <c r="AR585" t="s">
        <v>118</v>
      </c>
      <c r="AS585">
        <v>-41</v>
      </c>
      <c r="AT585">
        <v>-72</v>
      </c>
      <c r="AU585">
        <v>64</v>
      </c>
      <c r="BC585">
        <v>1200</v>
      </c>
      <c r="BD585">
        <v>1</v>
      </c>
      <c r="BE585" t="str">
        <f t="shared" si="29"/>
        <v xml:space="preserve">N215T   </v>
      </c>
      <c r="BF585">
        <v>1</v>
      </c>
      <c r="BH585">
        <v>0</v>
      </c>
      <c r="BI585">
        <v>0</v>
      </c>
      <c r="BJ585">
        <v>0</v>
      </c>
      <c r="BK585">
        <v>2300</v>
      </c>
      <c r="BL585">
        <v>400</v>
      </c>
      <c r="BM585" t="s">
        <v>119</v>
      </c>
      <c r="BN585">
        <v>1</v>
      </c>
      <c r="BO585">
        <v>1</v>
      </c>
      <c r="BP585">
        <v>1</v>
      </c>
      <c r="BQ585">
        <v>0</v>
      </c>
      <c r="BT585">
        <v>0</v>
      </c>
      <c r="BU585">
        <v>0</v>
      </c>
      <c r="BV585">
        <v>0</v>
      </c>
      <c r="CC585" t="str">
        <f>"18:44:16.727"</f>
        <v>18:44:16.727</v>
      </c>
      <c r="CD585" t="str">
        <f>"727022131"</f>
        <v>727022131</v>
      </c>
      <c r="CQ585">
        <v>0</v>
      </c>
      <c r="CR585">
        <v>2</v>
      </c>
      <c r="CS585">
        <v>0</v>
      </c>
      <c r="CT585">
        <v>2</v>
      </c>
      <c r="CU585">
        <v>0</v>
      </c>
      <c r="CV585">
        <v>1</v>
      </c>
      <c r="CW585" t="s">
        <v>120</v>
      </c>
      <c r="CX585">
        <v>261</v>
      </c>
      <c r="CY585">
        <v>2</v>
      </c>
      <c r="CZ585" t="s">
        <v>121</v>
      </c>
      <c r="DA585" t="s">
        <v>122</v>
      </c>
      <c r="DD585">
        <v>14554335</v>
      </c>
      <c r="DE585" t="s">
        <v>123</v>
      </c>
    </row>
    <row r="586" spans="1:109" x14ac:dyDescent="0.3">
      <c r="A586" t="str">
        <f>"18:44:17.906"</f>
        <v>18:44:17.906</v>
      </c>
      <c r="B586" t="s">
        <v>110</v>
      </c>
      <c r="C586" t="str">
        <f t="shared" si="27"/>
        <v>ffdfd3c0</v>
      </c>
      <c r="D586" t="s">
        <v>111</v>
      </c>
      <c r="E586">
        <v>18</v>
      </c>
      <c r="F586">
        <v>1018</v>
      </c>
      <c r="G586" t="s">
        <v>112</v>
      </c>
      <c r="J586" t="s">
        <v>113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R586" t="s">
        <v>114</v>
      </c>
      <c r="S586" t="str">
        <f>"18:44:17.656"</f>
        <v>18:44:17.656</v>
      </c>
      <c r="T586" t="str">
        <f>"18:44:17.555"</f>
        <v>18:44:17.555</v>
      </c>
      <c r="U586" t="str">
        <f t="shared" si="28"/>
        <v>a1cdbe</v>
      </c>
      <c r="V586">
        <v>0</v>
      </c>
      <c r="W586">
        <v>0</v>
      </c>
      <c r="X586">
        <v>1</v>
      </c>
      <c r="Y586">
        <v>0</v>
      </c>
      <c r="Z586">
        <v>0</v>
      </c>
      <c r="AB586">
        <v>0</v>
      </c>
      <c r="AC586">
        <v>9</v>
      </c>
      <c r="AD586">
        <v>3</v>
      </c>
      <c r="AE586">
        <v>0</v>
      </c>
      <c r="AF586">
        <v>9</v>
      </c>
      <c r="AG586" t="s">
        <v>158</v>
      </c>
      <c r="AH586">
        <v>0</v>
      </c>
      <c r="AI586">
        <v>3</v>
      </c>
      <c r="AJ586">
        <v>1</v>
      </c>
      <c r="AK586">
        <v>0</v>
      </c>
      <c r="AL586" t="s">
        <v>1241</v>
      </c>
      <c r="AM586">
        <v>46.926169000000002</v>
      </c>
      <c r="AN586" t="s">
        <v>1242</v>
      </c>
      <c r="AO586">
        <v>-122.342162</v>
      </c>
      <c r="AP586">
        <v>100</v>
      </c>
      <c r="AQ586">
        <v>1900</v>
      </c>
      <c r="AR586" t="s">
        <v>118</v>
      </c>
      <c r="AS586">
        <v>-41</v>
      </c>
      <c r="AT586">
        <v>-71</v>
      </c>
      <c r="AU586">
        <v>128</v>
      </c>
      <c r="BC586">
        <v>1200</v>
      </c>
      <c r="BD586">
        <v>1</v>
      </c>
      <c r="BE586" t="str">
        <f t="shared" si="29"/>
        <v xml:space="preserve">N215T   </v>
      </c>
      <c r="BF586">
        <v>1</v>
      </c>
      <c r="BH586">
        <v>0</v>
      </c>
      <c r="BI586">
        <v>0</v>
      </c>
      <c r="BJ586">
        <v>0</v>
      </c>
      <c r="BK586">
        <v>2300</v>
      </c>
      <c r="BL586">
        <v>400</v>
      </c>
      <c r="BM586" t="s">
        <v>119</v>
      </c>
      <c r="BN586">
        <v>1</v>
      </c>
      <c r="BO586">
        <v>1</v>
      </c>
      <c r="BP586">
        <v>1</v>
      </c>
      <c r="BQ586">
        <v>0</v>
      </c>
      <c r="BT586">
        <v>0</v>
      </c>
      <c r="BU586">
        <v>0</v>
      </c>
      <c r="BV586">
        <v>0</v>
      </c>
      <c r="CC586" t="str">
        <f>"18:44:17.656"</f>
        <v>18:44:17.656</v>
      </c>
      <c r="CD586" t="str">
        <f>"656930670"</f>
        <v>656930670</v>
      </c>
      <c r="CQ586">
        <v>0</v>
      </c>
      <c r="CR586">
        <v>2</v>
      </c>
      <c r="CS586">
        <v>0</v>
      </c>
      <c r="CT586">
        <v>2</v>
      </c>
      <c r="CU586">
        <v>0</v>
      </c>
      <c r="CV586">
        <v>1</v>
      </c>
      <c r="CW586" t="s">
        <v>120</v>
      </c>
      <c r="CX586">
        <v>261</v>
      </c>
      <c r="CY586">
        <v>2</v>
      </c>
      <c r="CZ586" t="s">
        <v>121</v>
      </c>
      <c r="DA586" t="s">
        <v>122</v>
      </c>
      <c r="DD586">
        <v>14554780</v>
      </c>
      <c r="DE586" t="s">
        <v>123</v>
      </c>
    </row>
    <row r="587" spans="1:109" x14ac:dyDescent="0.3">
      <c r="A587" t="str">
        <f>"18:44:18.867"</f>
        <v>18:44:18.867</v>
      </c>
      <c r="B587" t="s">
        <v>110</v>
      </c>
      <c r="C587" t="str">
        <f t="shared" si="27"/>
        <v>ffdfd3c0</v>
      </c>
      <c r="D587" t="s">
        <v>111</v>
      </c>
      <c r="E587">
        <v>18</v>
      </c>
      <c r="F587">
        <v>1018</v>
      </c>
      <c r="G587" t="s">
        <v>112</v>
      </c>
      <c r="J587" t="s">
        <v>113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R587" t="s">
        <v>114</v>
      </c>
      <c r="S587" t="str">
        <f>"18:44:18.656"</f>
        <v>18:44:18.656</v>
      </c>
      <c r="T587" t="str">
        <f>"18:44:18.555"</f>
        <v>18:44:18.555</v>
      </c>
      <c r="U587" t="str">
        <f t="shared" si="28"/>
        <v>a1cdbe</v>
      </c>
      <c r="V587">
        <v>0</v>
      </c>
      <c r="W587">
        <v>0</v>
      </c>
      <c r="X587">
        <v>1</v>
      </c>
      <c r="Y587">
        <v>0</v>
      </c>
      <c r="Z587">
        <v>0</v>
      </c>
      <c r="AB587">
        <v>0</v>
      </c>
      <c r="AC587">
        <v>9</v>
      </c>
      <c r="AD587">
        <v>3</v>
      </c>
      <c r="AE587">
        <v>0</v>
      </c>
      <c r="AF587">
        <v>9</v>
      </c>
      <c r="AG587" t="s">
        <v>158</v>
      </c>
      <c r="AH587">
        <v>0</v>
      </c>
      <c r="AI587">
        <v>3</v>
      </c>
      <c r="AJ587">
        <v>1</v>
      </c>
      <c r="AK587">
        <v>0</v>
      </c>
      <c r="AL587" t="s">
        <v>1243</v>
      </c>
      <c r="AM587">
        <v>46.925868999999999</v>
      </c>
      <c r="AN587" t="s">
        <v>1244</v>
      </c>
      <c r="AO587">
        <v>-122.342484</v>
      </c>
      <c r="AP587">
        <v>100</v>
      </c>
      <c r="AQ587">
        <v>1900</v>
      </c>
      <c r="AR587" t="s">
        <v>118</v>
      </c>
      <c r="AS587">
        <v>-42</v>
      </c>
      <c r="AT587">
        <v>-70</v>
      </c>
      <c r="AU587">
        <v>128</v>
      </c>
      <c r="BC587">
        <v>1200</v>
      </c>
      <c r="BD587">
        <v>1</v>
      </c>
      <c r="BE587" t="str">
        <f t="shared" si="29"/>
        <v xml:space="preserve">N215T   </v>
      </c>
      <c r="BF587">
        <v>1</v>
      </c>
      <c r="BH587">
        <v>0</v>
      </c>
      <c r="BI587">
        <v>0</v>
      </c>
      <c r="BJ587">
        <v>0</v>
      </c>
      <c r="BK587">
        <v>2300</v>
      </c>
      <c r="BL587">
        <v>400</v>
      </c>
      <c r="BM587" t="s">
        <v>119</v>
      </c>
      <c r="BN587">
        <v>1</v>
      </c>
      <c r="BO587">
        <v>1</v>
      </c>
      <c r="BP587">
        <v>1</v>
      </c>
      <c r="BQ587">
        <v>0</v>
      </c>
      <c r="BT587">
        <v>0</v>
      </c>
      <c r="BU587">
        <v>0</v>
      </c>
      <c r="BV587">
        <v>0</v>
      </c>
      <c r="CC587" t="str">
        <f>"18:44:18.664"</f>
        <v>18:44:18.664</v>
      </c>
      <c r="CD587" t="str">
        <f>"661831793"</f>
        <v>661831793</v>
      </c>
      <c r="CQ587">
        <v>0</v>
      </c>
      <c r="CR587">
        <v>2</v>
      </c>
      <c r="CS587">
        <v>0</v>
      </c>
      <c r="CT587">
        <v>2</v>
      </c>
      <c r="CU587">
        <v>0</v>
      </c>
      <c r="CV587">
        <v>3</v>
      </c>
      <c r="CW587" t="s">
        <v>120</v>
      </c>
      <c r="CX587">
        <v>261</v>
      </c>
      <c r="CY587">
        <v>2</v>
      </c>
      <c r="CZ587" t="s">
        <v>121</v>
      </c>
      <c r="DA587" t="s">
        <v>122</v>
      </c>
      <c r="DD587">
        <v>14555248</v>
      </c>
      <c r="DE587" t="s">
        <v>123</v>
      </c>
    </row>
    <row r="588" spans="1:109" x14ac:dyDescent="0.3">
      <c r="A588" t="str">
        <f>"18:44:19.922"</f>
        <v>18:44:19.922</v>
      </c>
      <c r="B588" t="s">
        <v>110</v>
      </c>
      <c r="C588" t="str">
        <f t="shared" si="27"/>
        <v>ffdfd3c0</v>
      </c>
      <c r="D588" t="s">
        <v>111</v>
      </c>
      <c r="E588">
        <v>18</v>
      </c>
      <c r="F588">
        <v>1018</v>
      </c>
      <c r="G588" t="s">
        <v>112</v>
      </c>
      <c r="J588" t="s">
        <v>113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R588" t="s">
        <v>114</v>
      </c>
      <c r="S588" t="str">
        <f>"18:44:19.695"</f>
        <v>18:44:19.695</v>
      </c>
      <c r="T588" t="str">
        <f>"18:44:19.195"</f>
        <v>18:44:19.195</v>
      </c>
      <c r="U588" t="str">
        <f t="shared" si="28"/>
        <v>a1cdbe</v>
      </c>
      <c r="V588">
        <v>0</v>
      </c>
      <c r="W588">
        <v>0</v>
      </c>
      <c r="X588">
        <v>1</v>
      </c>
      <c r="Y588">
        <v>0</v>
      </c>
      <c r="Z588">
        <v>0</v>
      </c>
      <c r="AB588">
        <v>0</v>
      </c>
      <c r="AC588">
        <v>9</v>
      </c>
      <c r="AD588">
        <v>3</v>
      </c>
      <c r="AE588">
        <v>0</v>
      </c>
      <c r="AF588">
        <v>9</v>
      </c>
      <c r="AG588" t="s">
        <v>158</v>
      </c>
      <c r="AH588">
        <v>0</v>
      </c>
      <c r="AI588">
        <v>3</v>
      </c>
      <c r="AJ588">
        <v>1</v>
      </c>
      <c r="AK588">
        <v>0</v>
      </c>
      <c r="AL588" t="s">
        <v>1245</v>
      </c>
      <c r="AM588">
        <v>46.925547000000002</v>
      </c>
      <c r="AN588" t="s">
        <v>1246</v>
      </c>
      <c r="AO588">
        <v>-122.34272</v>
      </c>
      <c r="AP588">
        <v>100</v>
      </c>
      <c r="AQ588">
        <v>1900</v>
      </c>
      <c r="AR588" t="s">
        <v>118</v>
      </c>
      <c r="AS588">
        <v>-41</v>
      </c>
      <c r="AT588">
        <v>-70</v>
      </c>
      <c r="AU588">
        <v>192</v>
      </c>
      <c r="BC588">
        <v>1200</v>
      </c>
      <c r="BD588">
        <v>1</v>
      </c>
      <c r="BE588" t="str">
        <f t="shared" si="29"/>
        <v xml:space="preserve">N215T   </v>
      </c>
      <c r="BF588">
        <v>1</v>
      </c>
      <c r="BH588">
        <v>0</v>
      </c>
      <c r="BI588">
        <v>0</v>
      </c>
      <c r="BJ588">
        <v>0</v>
      </c>
      <c r="BK588">
        <v>2300</v>
      </c>
      <c r="BL588">
        <v>400</v>
      </c>
      <c r="BM588" t="s">
        <v>119</v>
      </c>
      <c r="BN588">
        <v>1</v>
      </c>
      <c r="BO588">
        <v>1</v>
      </c>
      <c r="BP588">
        <v>1</v>
      </c>
      <c r="BQ588">
        <v>0</v>
      </c>
      <c r="BT588">
        <v>0</v>
      </c>
      <c r="BU588">
        <v>0</v>
      </c>
      <c r="BV588">
        <v>0</v>
      </c>
      <c r="CC588" t="str">
        <f>"18:44:19.695"</f>
        <v>18:44:19.695</v>
      </c>
      <c r="CD588" t="str">
        <f>"696729974"</f>
        <v>696729974</v>
      </c>
      <c r="CQ588">
        <v>0</v>
      </c>
      <c r="CR588">
        <v>2</v>
      </c>
      <c r="CS588">
        <v>0</v>
      </c>
      <c r="CT588">
        <v>2</v>
      </c>
      <c r="CU588">
        <v>0</v>
      </c>
      <c r="CV588">
        <v>4</v>
      </c>
      <c r="CW588" t="s">
        <v>120</v>
      </c>
      <c r="CX588">
        <v>261</v>
      </c>
      <c r="CY588">
        <v>2</v>
      </c>
      <c r="CZ588" t="s">
        <v>121</v>
      </c>
      <c r="DA588" t="s">
        <v>122</v>
      </c>
      <c r="DD588">
        <v>14555769</v>
      </c>
      <c r="DE588" t="s">
        <v>123</v>
      </c>
    </row>
    <row r="589" spans="1:109" x14ac:dyDescent="0.3">
      <c r="A589" t="str">
        <f>"18:44:20.977"</f>
        <v>18:44:20.977</v>
      </c>
      <c r="B589" t="s">
        <v>110</v>
      </c>
      <c r="C589" t="str">
        <f t="shared" si="27"/>
        <v>ffdfd3c0</v>
      </c>
      <c r="D589" t="s">
        <v>111</v>
      </c>
      <c r="E589">
        <v>18</v>
      </c>
      <c r="F589">
        <v>1018</v>
      </c>
      <c r="G589" t="s">
        <v>112</v>
      </c>
      <c r="J589" t="s">
        <v>113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R589" t="s">
        <v>114</v>
      </c>
      <c r="S589" t="str">
        <f>"18:44:20.711"</f>
        <v>18:44:20.711</v>
      </c>
      <c r="T589" t="str">
        <f>"18:44:20.609"</f>
        <v>18:44:20.609</v>
      </c>
      <c r="U589" t="str">
        <f t="shared" si="28"/>
        <v>a1cdbe</v>
      </c>
      <c r="V589">
        <v>0</v>
      </c>
      <c r="W589">
        <v>0</v>
      </c>
      <c r="X589">
        <v>1</v>
      </c>
      <c r="Y589">
        <v>0</v>
      </c>
      <c r="Z589">
        <v>0</v>
      </c>
      <c r="AB589">
        <v>0</v>
      </c>
      <c r="AC589">
        <v>9</v>
      </c>
      <c r="AD589">
        <v>3</v>
      </c>
      <c r="AE589">
        <v>0</v>
      </c>
      <c r="AF589">
        <v>9</v>
      </c>
      <c r="AG589" t="s">
        <v>158</v>
      </c>
      <c r="AH589">
        <v>0</v>
      </c>
      <c r="AI589">
        <v>3</v>
      </c>
      <c r="AJ589">
        <v>1</v>
      </c>
      <c r="AK589">
        <v>0</v>
      </c>
      <c r="AL589" t="s">
        <v>1247</v>
      </c>
      <c r="AM589">
        <v>46.925161000000003</v>
      </c>
      <c r="AN589" t="s">
        <v>1248</v>
      </c>
      <c r="AO589">
        <v>-122.343042</v>
      </c>
      <c r="AP589">
        <v>100</v>
      </c>
      <c r="AQ589">
        <v>1900</v>
      </c>
      <c r="AR589" t="s">
        <v>118</v>
      </c>
      <c r="AS589">
        <v>-41</v>
      </c>
      <c r="AT589">
        <v>-69</v>
      </c>
      <c r="AU589">
        <v>128</v>
      </c>
      <c r="BC589">
        <v>1200</v>
      </c>
      <c r="BD589">
        <v>1</v>
      </c>
      <c r="BE589" t="str">
        <f t="shared" si="29"/>
        <v xml:space="preserve">N215T   </v>
      </c>
      <c r="BF589">
        <v>1</v>
      </c>
      <c r="BH589">
        <v>0</v>
      </c>
      <c r="BI589">
        <v>0</v>
      </c>
      <c r="BJ589">
        <v>0</v>
      </c>
      <c r="BK589">
        <v>2300</v>
      </c>
      <c r="BL589">
        <v>400</v>
      </c>
      <c r="BM589" t="s">
        <v>119</v>
      </c>
      <c r="BN589">
        <v>1</v>
      </c>
      <c r="BO589">
        <v>1</v>
      </c>
      <c r="BP589">
        <v>1</v>
      </c>
      <c r="BQ589">
        <v>0</v>
      </c>
      <c r="BT589">
        <v>0</v>
      </c>
      <c r="BU589">
        <v>0</v>
      </c>
      <c r="BV589">
        <v>0</v>
      </c>
      <c r="CC589" t="str">
        <f>"18:44:20.719"</f>
        <v>18:44:20.719</v>
      </c>
      <c r="CD589" t="str">
        <f>"716629654"</f>
        <v>716629654</v>
      </c>
      <c r="CQ589">
        <v>0</v>
      </c>
      <c r="CR589">
        <v>2</v>
      </c>
      <c r="CS589">
        <v>0</v>
      </c>
      <c r="CT589">
        <v>2</v>
      </c>
      <c r="CU589">
        <v>0</v>
      </c>
      <c r="CV589">
        <v>3</v>
      </c>
      <c r="CW589" t="s">
        <v>120</v>
      </c>
      <c r="CX589">
        <v>261</v>
      </c>
      <c r="CY589">
        <v>2</v>
      </c>
      <c r="CZ589" t="s">
        <v>121</v>
      </c>
      <c r="DA589" t="s">
        <v>122</v>
      </c>
      <c r="DD589">
        <v>14556263</v>
      </c>
      <c r="DE589" t="s">
        <v>123</v>
      </c>
    </row>
    <row r="590" spans="1:109" x14ac:dyDescent="0.3">
      <c r="A590" t="str">
        <f>"18:44:21.984"</f>
        <v>18:44:21.984</v>
      </c>
      <c r="B590" t="s">
        <v>110</v>
      </c>
      <c r="C590" t="str">
        <f t="shared" si="27"/>
        <v>ffdfd3c0</v>
      </c>
      <c r="D590" t="s">
        <v>111</v>
      </c>
      <c r="E590">
        <v>18</v>
      </c>
      <c r="F590">
        <v>1018</v>
      </c>
      <c r="G590" t="s">
        <v>112</v>
      </c>
      <c r="J590" t="s">
        <v>113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R590" t="s">
        <v>114</v>
      </c>
      <c r="S590" t="str">
        <f>"18:44:21.750"</f>
        <v>18:44:21.750</v>
      </c>
      <c r="T590" t="str">
        <f>"18:44:21.750"</f>
        <v>18:44:21.750</v>
      </c>
      <c r="U590" t="str">
        <f t="shared" si="28"/>
        <v>a1cdbe</v>
      </c>
      <c r="V590">
        <v>0</v>
      </c>
      <c r="W590">
        <v>0</v>
      </c>
      <c r="X590">
        <v>1</v>
      </c>
      <c r="Y590">
        <v>0</v>
      </c>
      <c r="Z590">
        <v>0</v>
      </c>
      <c r="AB590">
        <v>0</v>
      </c>
      <c r="AC590">
        <v>9</v>
      </c>
      <c r="AD590">
        <v>3</v>
      </c>
      <c r="AE590">
        <v>0</v>
      </c>
      <c r="AF590">
        <v>9</v>
      </c>
      <c r="AG590" t="s">
        <v>158</v>
      </c>
      <c r="AH590">
        <v>0</v>
      </c>
      <c r="AI590">
        <v>3</v>
      </c>
      <c r="AJ590">
        <v>1</v>
      </c>
      <c r="AK590">
        <v>0</v>
      </c>
      <c r="AL590" t="s">
        <v>1249</v>
      </c>
      <c r="AM590">
        <v>46.924860000000002</v>
      </c>
      <c r="AN590" t="s">
        <v>1250</v>
      </c>
      <c r="AO590">
        <v>-122.34334200000001</v>
      </c>
      <c r="AP590">
        <v>100</v>
      </c>
      <c r="AQ590">
        <v>1900</v>
      </c>
      <c r="AR590" t="s">
        <v>118</v>
      </c>
      <c r="AS590">
        <v>-41</v>
      </c>
      <c r="AT590">
        <v>-69</v>
      </c>
      <c r="AU590">
        <v>64</v>
      </c>
      <c r="BC590">
        <v>1200</v>
      </c>
      <c r="BD590">
        <v>1</v>
      </c>
      <c r="BE590" t="str">
        <f t="shared" si="29"/>
        <v xml:space="preserve">N215T   </v>
      </c>
      <c r="BF590">
        <v>1</v>
      </c>
      <c r="BH590">
        <v>0</v>
      </c>
      <c r="BI590">
        <v>0</v>
      </c>
      <c r="BJ590">
        <v>0</v>
      </c>
      <c r="BK590">
        <v>2300</v>
      </c>
      <c r="BL590">
        <v>400</v>
      </c>
      <c r="BM590" t="s">
        <v>119</v>
      </c>
      <c r="BN590">
        <v>1</v>
      </c>
      <c r="BO590">
        <v>1</v>
      </c>
      <c r="BP590">
        <v>1</v>
      </c>
      <c r="BQ590">
        <v>0</v>
      </c>
      <c r="BT590">
        <v>0</v>
      </c>
      <c r="BU590">
        <v>0</v>
      </c>
      <c r="BV590">
        <v>0</v>
      </c>
      <c r="CC590" t="str">
        <f>"18:44:21.750"</f>
        <v>18:44:21.750</v>
      </c>
      <c r="CD590" t="str">
        <f>"751527847"</f>
        <v>751527847</v>
      </c>
      <c r="CQ590">
        <v>0</v>
      </c>
      <c r="CR590">
        <v>2</v>
      </c>
      <c r="CS590">
        <v>0</v>
      </c>
      <c r="CT590">
        <v>2</v>
      </c>
      <c r="CU590">
        <v>0</v>
      </c>
      <c r="CV590">
        <v>2</v>
      </c>
      <c r="CW590" t="s">
        <v>120</v>
      </c>
      <c r="CX590">
        <v>261</v>
      </c>
      <c r="CY590">
        <v>1</v>
      </c>
      <c r="CZ590" t="s">
        <v>121</v>
      </c>
      <c r="DA590" t="s">
        <v>122</v>
      </c>
      <c r="DD590">
        <v>3452589</v>
      </c>
      <c r="DE590" t="s">
        <v>123</v>
      </c>
    </row>
    <row r="591" spans="1:109" x14ac:dyDescent="0.3">
      <c r="A591" t="str">
        <f>"18:44:23.086"</f>
        <v>18:44:23.086</v>
      </c>
      <c r="B591" t="s">
        <v>110</v>
      </c>
      <c r="C591" t="str">
        <f t="shared" si="27"/>
        <v>ffdfd3c0</v>
      </c>
      <c r="D591" t="s">
        <v>111</v>
      </c>
      <c r="E591">
        <v>18</v>
      </c>
      <c r="F591">
        <v>1018</v>
      </c>
      <c r="G591" t="s">
        <v>112</v>
      </c>
      <c r="J591" t="s">
        <v>113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R591" t="s">
        <v>114</v>
      </c>
      <c r="S591" t="str">
        <f>"18:44:22.859"</f>
        <v>18:44:22.859</v>
      </c>
      <c r="T591" t="str">
        <f>"18:44:22.656"</f>
        <v>18:44:22.656</v>
      </c>
      <c r="U591" t="str">
        <f t="shared" si="28"/>
        <v>a1cdbe</v>
      </c>
      <c r="V591">
        <v>0</v>
      </c>
      <c r="W591">
        <v>0</v>
      </c>
      <c r="X591">
        <v>1</v>
      </c>
      <c r="Y591">
        <v>0</v>
      </c>
      <c r="Z591">
        <v>0</v>
      </c>
      <c r="AB591">
        <v>0</v>
      </c>
      <c r="AC591">
        <v>9</v>
      </c>
      <c r="AD591">
        <v>3</v>
      </c>
      <c r="AE591">
        <v>0</v>
      </c>
      <c r="AF591">
        <v>9</v>
      </c>
      <c r="AG591" t="s">
        <v>158</v>
      </c>
      <c r="AH591">
        <v>0</v>
      </c>
      <c r="AI591">
        <v>3</v>
      </c>
      <c r="AJ591">
        <v>1</v>
      </c>
      <c r="AK591">
        <v>0</v>
      </c>
      <c r="AL591" t="s">
        <v>1251</v>
      </c>
      <c r="AM591">
        <v>46.924473999999996</v>
      </c>
      <c r="AN591" t="s">
        <v>1252</v>
      </c>
      <c r="AO591">
        <v>-122.34368600000001</v>
      </c>
      <c r="AP591">
        <v>100</v>
      </c>
      <c r="AQ591">
        <v>1900</v>
      </c>
      <c r="AR591" t="s">
        <v>118</v>
      </c>
      <c r="AS591">
        <v>-41</v>
      </c>
      <c r="AT591">
        <v>-69</v>
      </c>
      <c r="AU591">
        <v>0</v>
      </c>
      <c r="BC591">
        <v>1200</v>
      </c>
      <c r="BD591">
        <v>1</v>
      </c>
      <c r="BE591" t="str">
        <f t="shared" si="29"/>
        <v xml:space="preserve">N215T   </v>
      </c>
      <c r="BF591">
        <v>1</v>
      </c>
      <c r="BH591">
        <v>0</v>
      </c>
      <c r="BI591">
        <v>0</v>
      </c>
      <c r="BJ591">
        <v>0</v>
      </c>
      <c r="BK591">
        <v>2300</v>
      </c>
      <c r="BL591">
        <v>400</v>
      </c>
      <c r="BM591" t="s">
        <v>119</v>
      </c>
      <c r="BN591">
        <v>1</v>
      </c>
      <c r="BO591">
        <v>1</v>
      </c>
      <c r="BP591">
        <v>1</v>
      </c>
      <c r="BQ591">
        <v>0</v>
      </c>
      <c r="BT591">
        <v>0</v>
      </c>
      <c r="BU591">
        <v>0</v>
      </c>
      <c r="BV591">
        <v>0</v>
      </c>
      <c r="CC591" t="str">
        <f>"18:44:22.859"</f>
        <v>18:44:22.859</v>
      </c>
      <c r="CD591" t="str">
        <f>"861418628"</f>
        <v>861418628</v>
      </c>
      <c r="CQ591">
        <v>0</v>
      </c>
      <c r="CR591">
        <v>2</v>
      </c>
      <c r="CS591">
        <v>0</v>
      </c>
      <c r="CT591">
        <v>2</v>
      </c>
      <c r="CU591">
        <v>0</v>
      </c>
      <c r="CV591">
        <v>3</v>
      </c>
      <c r="CW591" t="s">
        <v>120</v>
      </c>
      <c r="CX591">
        <v>261</v>
      </c>
      <c r="CY591">
        <v>2</v>
      </c>
      <c r="CZ591" t="s">
        <v>121</v>
      </c>
      <c r="DA591" t="s">
        <v>122</v>
      </c>
      <c r="DD591">
        <v>14557305</v>
      </c>
      <c r="DE591" t="s">
        <v>123</v>
      </c>
    </row>
    <row r="592" spans="1:109" x14ac:dyDescent="0.3">
      <c r="A592" t="str">
        <f>"18:44:23.992"</f>
        <v>18:44:23.992</v>
      </c>
      <c r="B592" t="s">
        <v>110</v>
      </c>
      <c r="C592" t="str">
        <f t="shared" si="27"/>
        <v>ffdfd3c0</v>
      </c>
      <c r="D592" t="s">
        <v>111</v>
      </c>
      <c r="E592">
        <v>18</v>
      </c>
      <c r="F592">
        <v>1018</v>
      </c>
      <c r="G592" t="s">
        <v>112</v>
      </c>
      <c r="J592" t="s">
        <v>113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R592" t="s">
        <v>114</v>
      </c>
      <c r="S592" t="str">
        <f>"18:44:23.758"</f>
        <v>18:44:23.758</v>
      </c>
      <c r="T592" t="str">
        <f>"18:44:23.258"</f>
        <v>18:44:23.258</v>
      </c>
      <c r="U592" t="str">
        <f t="shared" si="28"/>
        <v>a1cdbe</v>
      </c>
      <c r="V592">
        <v>0</v>
      </c>
      <c r="W592">
        <v>0</v>
      </c>
      <c r="X592">
        <v>1</v>
      </c>
      <c r="Y592">
        <v>0</v>
      </c>
      <c r="Z592">
        <v>0</v>
      </c>
      <c r="AB592">
        <v>0</v>
      </c>
      <c r="AC592">
        <v>9</v>
      </c>
      <c r="AD592">
        <v>3</v>
      </c>
      <c r="AE592">
        <v>0</v>
      </c>
      <c r="AF592">
        <v>9</v>
      </c>
      <c r="AG592" t="s">
        <v>158</v>
      </c>
      <c r="AH592">
        <v>0</v>
      </c>
      <c r="AI592">
        <v>3</v>
      </c>
      <c r="AJ592">
        <v>1</v>
      </c>
      <c r="AK592">
        <v>0</v>
      </c>
      <c r="AL592" t="s">
        <v>1253</v>
      </c>
      <c r="AM592">
        <v>46.924238000000003</v>
      </c>
      <c r="AN592" t="s">
        <v>1254</v>
      </c>
      <c r="AO592">
        <v>-122.3439</v>
      </c>
      <c r="AP592">
        <v>100</v>
      </c>
      <c r="AQ592">
        <v>1900</v>
      </c>
      <c r="AR592" t="s">
        <v>118</v>
      </c>
      <c r="AS592">
        <v>-41</v>
      </c>
      <c r="AT592">
        <v>-68</v>
      </c>
      <c r="AU592">
        <v>0</v>
      </c>
      <c r="BC592">
        <v>1200</v>
      </c>
      <c r="BD592">
        <v>1</v>
      </c>
      <c r="BE592" t="str">
        <f t="shared" si="29"/>
        <v xml:space="preserve">N215T   </v>
      </c>
      <c r="BF592">
        <v>1</v>
      </c>
      <c r="BH592">
        <v>0</v>
      </c>
      <c r="BI592">
        <v>0</v>
      </c>
      <c r="BJ592">
        <v>0</v>
      </c>
      <c r="BK592">
        <v>2300</v>
      </c>
      <c r="BL592">
        <v>400</v>
      </c>
      <c r="BM592" t="s">
        <v>119</v>
      </c>
      <c r="BN592">
        <v>1</v>
      </c>
      <c r="BO592">
        <v>1</v>
      </c>
      <c r="BP592">
        <v>1</v>
      </c>
      <c r="BQ592">
        <v>0</v>
      </c>
      <c r="BT592">
        <v>0</v>
      </c>
      <c r="BU592">
        <v>0</v>
      </c>
      <c r="BV592">
        <v>0</v>
      </c>
      <c r="CC592" t="str">
        <f>"18:44:23.758"</f>
        <v>18:44:23.758</v>
      </c>
      <c r="CD592" t="str">
        <f>"761330119"</f>
        <v>761330119</v>
      </c>
      <c r="CQ592">
        <v>0</v>
      </c>
      <c r="CR592">
        <v>2</v>
      </c>
      <c r="CS592">
        <v>0</v>
      </c>
      <c r="CT592">
        <v>2</v>
      </c>
      <c r="CU592">
        <v>0</v>
      </c>
      <c r="CV592">
        <v>4</v>
      </c>
      <c r="CW592" t="s">
        <v>120</v>
      </c>
      <c r="CX592">
        <v>261</v>
      </c>
      <c r="CY592">
        <v>2</v>
      </c>
      <c r="CZ592" t="s">
        <v>121</v>
      </c>
      <c r="DA592" t="s">
        <v>122</v>
      </c>
      <c r="DD592">
        <v>14557742</v>
      </c>
      <c r="DE592" t="s">
        <v>123</v>
      </c>
    </row>
    <row r="593" spans="1:109" x14ac:dyDescent="0.3">
      <c r="A593" t="str">
        <f>"18:44:24.898"</f>
        <v>18:44:24.898</v>
      </c>
      <c r="B593" t="s">
        <v>110</v>
      </c>
      <c r="C593" t="str">
        <f t="shared" si="27"/>
        <v>ffdfd3c0</v>
      </c>
      <c r="D593" t="s">
        <v>111</v>
      </c>
      <c r="E593">
        <v>18</v>
      </c>
      <c r="F593">
        <v>1018</v>
      </c>
      <c r="G593" t="s">
        <v>112</v>
      </c>
      <c r="J593" t="s">
        <v>113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R593" t="s">
        <v>114</v>
      </c>
      <c r="S593" t="str">
        <f>"18:44:24.688"</f>
        <v>18:44:24.688</v>
      </c>
      <c r="T593" t="str">
        <f>"18:44:24.289"</f>
        <v>18:44:24.289</v>
      </c>
      <c r="U593" t="str">
        <f t="shared" si="28"/>
        <v>a1cdbe</v>
      </c>
      <c r="V593">
        <v>0</v>
      </c>
      <c r="W593">
        <v>0</v>
      </c>
      <c r="X593">
        <v>1</v>
      </c>
      <c r="Y593">
        <v>0</v>
      </c>
      <c r="Z593">
        <v>0</v>
      </c>
      <c r="AB593">
        <v>0</v>
      </c>
      <c r="AC593">
        <v>9</v>
      </c>
      <c r="AD593">
        <v>3</v>
      </c>
      <c r="AE593">
        <v>0</v>
      </c>
      <c r="AF593">
        <v>9</v>
      </c>
      <c r="AG593" t="s">
        <v>158</v>
      </c>
      <c r="AH593">
        <v>0</v>
      </c>
      <c r="AI593">
        <v>3</v>
      </c>
      <c r="AJ593">
        <v>1</v>
      </c>
      <c r="AK593">
        <v>0</v>
      </c>
      <c r="AL593" t="s">
        <v>1255</v>
      </c>
      <c r="AM593">
        <v>46.923915999999998</v>
      </c>
      <c r="AN593" t="s">
        <v>1256</v>
      </c>
      <c r="AO593">
        <v>-122.344179</v>
      </c>
      <c r="AP593">
        <v>100</v>
      </c>
      <c r="AQ593">
        <v>1900</v>
      </c>
      <c r="AR593" t="s">
        <v>118</v>
      </c>
      <c r="AS593">
        <v>-41</v>
      </c>
      <c r="AT593">
        <v>-68</v>
      </c>
      <c r="AU593">
        <v>0</v>
      </c>
      <c r="BC593">
        <v>1200</v>
      </c>
      <c r="BD593">
        <v>1</v>
      </c>
      <c r="BE593" t="str">
        <f t="shared" si="29"/>
        <v xml:space="preserve">N215T   </v>
      </c>
      <c r="BF593">
        <v>1</v>
      </c>
      <c r="BH593">
        <v>0</v>
      </c>
      <c r="BI593">
        <v>0</v>
      </c>
      <c r="BJ593">
        <v>0</v>
      </c>
      <c r="BK593">
        <v>2300</v>
      </c>
      <c r="BL593">
        <v>400</v>
      </c>
      <c r="BM593" t="s">
        <v>119</v>
      </c>
      <c r="BN593">
        <v>1</v>
      </c>
      <c r="BO593">
        <v>1</v>
      </c>
      <c r="BP593">
        <v>1</v>
      </c>
      <c r="BQ593">
        <v>0</v>
      </c>
      <c r="BT593">
        <v>0</v>
      </c>
      <c r="BU593">
        <v>0</v>
      </c>
      <c r="BV593">
        <v>0</v>
      </c>
      <c r="CC593" t="str">
        <f>"18:44:24.688"</f>
        <v>18:44:24.688</v>
      </c>
      <c r="CD593" t="str">
        <f>"691238583"</f>
        <v>691238583</v>
      </c>
      <c r="CQ593">
        <v>0</v>
      </c>
      <c r="CR593">
        <v>2</v>
      </c>
      <c r="CS593">
        <v>0</v>
      </c>
      <c r="CT593">
        <v>2</v>
      </c>
      <c r="CU593">
        <v>0</v>
      </c>
      <c r="CV593">
        <v>3</v>
      </c>
      <c r="CW593" t="s">
        <v>120</v>
      </c>
      <c r="CX593">
        <v>261</v>
      </c>
      <c r="CY593">
        <v>2</v>
      </c>
      <c r="CZ593" t="s">
        <v>121</v>
      </c>
      <c r="DA593" t="s">
        <v>122</v>
      </c>
      <c r="DD593">
        <v>14558199</v>
      </c>
      <c r="DE593" t="s">
        <v>123</v>
      </c>
    </row>
    <row r="594" spans="1:109" x14ac:dyDescent="0.3">
      <c r="A594" t="str">
        <f>"18:44:25.906"</f>
        <v>18:44:25.906</v>
      </c>
      <c r="B594" t="s">
        <v>110</v>
      </c>
      <c r="C594" t="str">
        <f t="shared" si="27"/>
        <v>ffdfd3c0</v>
      </c>
      <c r="D594" t="s">
        <v>111</v>
      </c>
      <c r="E594">
        <v>18</v>
      </c>
      <c r="F594">
        <v>1018</v>
      </c>
      <c r="G594" t="s">
        <v>112</v>
      </c>
      <c r="J594" t="s">
        <v>113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R594" t="s">
        <v>114</v>
      </c>
      <c r="S594" t="str">
        <f>"18:44:25.664"</f>
        <v>18:44:25.664</v>
      </c>
      <c r="T594" t="str">
        <f>"18:44:25.563"</f>
        <v>18:44:25.563</v>
      </c>
      <c r="U594" t="str">
        <f t="shared" si="28"/>
        <v>a1cdbe</v>
      </c>
      <c r="V594">
        <v>0</v>
      </c>
      <c r="W594">
        <v>0</v>
      </c>
      <c r="X594">
        <v>1</v>
      </c>
      <c r="Y594">
        <v>0</v>
      </c>
      <c r="Z594">
        <v>0</v>
      </c>
      <c r="AB594">
        <v>0</v>
      </c>
      <c r="AC594">
        <v>9</v>
      </c>
      <c r="AD594">
        <v>3</v>
      </c>
      <c r="AE594">
        <v>0</v>
      </c>
      <c r="AF594">
        <v>9</v>
      </c>
      <c r="AG594" t="s">
        <v>158</v>
      </c>
      <c r="AH594">
        <v>0</v>
      </c>
      <c r="AI594">
        <v>3</v>
      </c>
      <c r="AJ594">
        <v>1</v>
      </c>
      <c r="AK594">
        <v>0</v>
      </c>
      <c r="AL594" t="s">
        <v>1257</v>
      </c>
      <c r="AM594">
        <v>46.923616000000003</v>
      </c>
      <c r="AN594" t="s">
        <v>1258</v>
      </c>
      <c r="AO594">
        <v>-122.344437</v>
      </c>
      <c r="AP594">
        <v>100</v>
      </c>
      <c r="AQ594">
        <v>1900</v>
      </c>
      <c r="AR594" t="s">
        <v>118</v>
      </c>
      <c r="AS594">
        <v>-41</v>
      </c>
      <c r="AT594">
        <v>-68</v>
      </c>
      <c r="AU594">
        <v>-64</v>
      </c>
      <c r="BC594">
        <v>1200</v>
      </c>
      <c r="BD594">
        <v>1</v>
      </c>
      <c r="BE594" t="str">
        <f t="shared" si="29"/>
        <v xml:space="preserve">N215T   </v>
      </c>
      <c r="BF594">
        <v>1</v>
      </c>
      <c r="BH594">
        <v>0</v>
      </c>
      <c r="BI594">
        <v>0</v>
      </c>
      <c r="BJ594">
        <v>0</v>
      </c>
      <c r="BK594">
        <v>2300</v>
      </c>
      <c r="BL594">
        <v>400</v>
      </c>
      <c r="BM594" t="s">
        <v>119</v>
      </c>
      <c r="BN594">
        <v>1</v>
      </c>
      <c r="BO594">
        <v>1</v>
      </c>
      <c r="BP594">
        <v>1</v>
      </c>
      <c r="BQ594">
        <v>0</v>
      </c>
      <c r="BT594">
        <v>0</v>
      </c>
      <c r="BU594">
        <v>0</v>
      </c>
      <c r="BV594">
        <v>0</v>
      </c>
      <c r="CC594" t="str">
        <f>"18:44:25.664"</f>
        <v>18:44:25.664</v>
      </c>
      <c r="CD594" t="str">
        <f>"666142710"</f>
        <v>666142710</v>
      </c>
      <c r="CQ594">
        <v>0</v>
      </c>
      <c r="CR594">
        <v>2</v>
      </c>
      <c r="CS594">
        <v>0</v>
      </c>
      <c r="CT594">
        <v>2</v>
      </c>
      <c r="CU594">
        <v>0</v>
      </c>
      <c r="CV594">
        <v>2</v>
      </c>
      <c r="CW594" t="s">
        <v>120</v>
      </c>
      <c r="CX594">
        <v>261</v>
      </c>
      <c r="CY594">
        <v>1</v>
      </c>
      <c r="CZ594" t="s">
        <v>121</v>
      </c>
      <c r="DA594" t="s">
        <v>122</v>
      </c>
      <c r="DD594">
        <v>3454837</v>
      </c>
      <c r="DE594" t="s">
        <v>123</v>
      </c>
    </row>
    <row r="595" spans="1:109" x14ac:dyDescent="0.3">
      <c r="A595" t="str">
        <f>"18:44:27.063"</f>
        <v>18:44:27.063</v>
      </c>
      <c r="B595" t="s">
        <v>110</v>
      </c>
      <c r="C595" t="str">
        <f t="shared" si="27"/>
        <v>ffdfd3c0</v>
      </c>
      <c r="D595" t="s">
        <v>111</v>
      </c>
      <c r="E595">
        <v>18</v>
      </c>
      <c r="F595">
        <v>1018</v>
      </c>
      <c r="G595" t="s">
        <v>112</v>
      </c>
      <c r="J595" t="s">
        <v>113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R595" t="s">
        <v>114</v>
      </c>
      <c r="S595" t="str">
        <f>"18:44:26.820"</f>
        <v>18:44:26.820</v>
      </c>
      <c r="T595" t="str">
        <f>"18:44:26.117"</f>
        <v>18:44:26.117</v>
      </c>
      <c r="U595" t="str">
        <f t="shared" si="28"/>
        <v>a1cdbe</v>
      </c>
      <c r="V595">
        <v>0</v>
      </c>
      <c r="W595">
        <v>0</v>
      </c>
      <c r="X595">
        <v>1</v>
      </c>
      <c r="Y595">
        <v>0</v>
      </c>
      <c r="Z595">
        <v>0</v>
      </c>
      <c r="AB595">
        <v>0</v>
      </c>
      <c r="AC595">
        <v>9</v>
      </c>
      <c r="AD595">
        <v>3</v>
      </c>
      <c r="AE595">
        <v>0</v>
      </c>
      <c r="AF595">
        <v>9</v>
      </c>
      <c r="AG595" t="s">
        <v>158</v>
      </c>
      <c r="AH595">
        <v>0</v>
      </c>
      <c r="AI595">
        <v>3</v>
      </c>
      <c r="AJ595">
        <v>1</v>
      </c>
      <c r="AK595">
        <v>0</v>
      </c>
      <c r="AL595" t="s">
        <v>1259</v>
      </c>
      <c r="AM595">
        <v>46.923251</v>
      </c>
      <c r="AN595" t="s">
        <v>1260</v>
      </c>
      <c r="AO595">
        <v>-122.34471600000001</v>
      </c>
      <c r="AP595">
        <v>100</v>
      </c>
      <c r="AQ595">
        <v>1900</v>
      </c>
      <c r="AR595" t="s">
        <v>118</v>
      </c>
      <c r="AS595">
        <v>-41</v>
      </c>
      <c r="AT595">
        <v>-68</v>
      </c>
      <c r="AU595">
        <v>-64</v>
      </c>
      <c r="BC595">
        <v>1200</v>
      </c>
      <c r="BD595">
        <v>1</v>
      </c>
      <c r="BE595" t="str">
        <f t="shared" si="29"/>
        <v xml:space="preserve">N215T   </v>
      </c>
      <c r="BF595">
        <v>1</v>
      </c>
      <c r="BH595">
        <v>0</v>
      </c>
      <c r="BI595">
        <v>0</v>
      </c>
      <c r="BJ595">
        <v>0</v>
      </c>
      <c r="BK595">
        <v>2300</v>
      </c>
      <c r="BL595">
        <v>400</v>
      </c>
      <c r="BM595" t="s">
        <v>119</v>
      </c>
      <c r="BN595">
        <v>1</v>
      </c>
      <c r="BO595">
        <v>1</v>
      </c>
      <c r="BP595">
        <v>1</v>
      </c>
      <c r="BQ595">
        <v>0</v>
      </c>
      <c r="BT595">
        <v>0</v>
      </c>
      <c r="BU595">
        <v>0</v>
      </c>
      <c r="BV595">
        <v>0</v>
      </c>
      <c r="CC595" t="str">
        <f>"18:44:26.820"</f>
        <v>18:44:26.820</v>
      </c>
      <c r="CD595" t="str">
        <f>"821154979"</f>
        <v>821154979</v>
      </c>
      <c r="CQ595">
        <v>0</v>
      </c>
      <c r="CR595">
        <v>2</v>
      </c>
      <c r="CS595">
        <v>0</v>
      </c>
      <c r="CT595">
        <v>2</v>
      </c>
      <c r="CU595">
        <v>0</v>
      </c>
      <c r="CV595">
        <v>1</v>
      </c>
      <c r="CW595" t="s">
        <v>120</v>
      </c>
      <c r="CX595">
        <v>259</v>
      </c>
      <c r="CY595">
        <v>1</v>
      </c>
      <c r="CZ595" t="s">
        <v>197</v>
      </c>
      <c r="DA595" t="s">
        <v>198</v>
      </c>
      <c r="DD595">
        <v>15025012</v>
      </c>
      <c r="DE595" t="s">
        <v>123</v>
      </c>
    </row>
    <row r="596" spans="1:109" x14ac:dyDescent="0.3">
      <c r="A596" t="str">
        <f>"18:44:28.016"</f>
        <v>18:44:28.016</v>
      </c>
      <c r="B596" t="s">
        <v>110</v>
      </c>
      <c r="C596" t="str">
        <f t="shared" si="27"/>
        <v>ffdfd3c0</v>
      </c>
      <c r="D596" t="s">
        <v>111</v>
      </c>
      <c r="E596">
        <v>18</v>
      </c>
      <c r="F596">
        <v>1018</v>
      </c>
      <c r="G596" t="s">
        <v>112</v>
      </c>
      <c r="J596" t="s">
        <v>113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R596" t="s">
        <v>114</v>
      </c>
      <c r="S596" t="str">
        <f>"18:44:27.773"</f>
        <v>18:44:27.773</v>
      </c>
      <c r="T596" t="str">
        <f>"18:44:27.672"</f>
        <v>18:44:27.672</v>
      </c>
      <c r="U596" t="str">
        <f t="shared" si="28"/>
        <v>a1cdbe</v>
      </c>
      <c r="V596">
        <v>0</v>
      </c>
      <c r="W596">
        <v>0</v>
      </c>
      <c r="X596">
        <v>1</v>
      </c>
      <c r="Y596">
        <v>0</v>
      </c>
      <c r="Z596">
        <v>0</v>
      </c>
      <c r="AB596">
        <v>0</v>
      </c>
      <c r="AC596">
        <v>9</v>
      </c>
      <c r="AD596">
        <v>3</v>
      </c>
      <c r="AE596">
        <v>0</v>
      </c>
      <c r="AF596">
        <v>9</v>
      </c>
      <c r="AG596" t="s">
        <v>158</v>
      </c>
      <c r="AH596">
        <v>0</v>
      </c>
      <c r="AI596">
        <v>3</v>
      </c>
      <c r="AJ596">
        <v>1</v>
      </c>
      <c r="AK596">
        <v>0</v>
      </c>
      <c r="AL596" t="s">
        <v>1261</v>
      </c>
      <c r="AM596">
        <v>46.922929000000003</v>
      </c>
      <c r="AN596" t="s">
        <v>1262</v>
      </c>
      <c r="AO596">
        <v>-122.345016</v>
      </c>
      <c r="AP596">
        <v>100</v>
      </c>
      <c r="AQ596">
        <v>1900</v>
      </c>
      <c r="AR596" t="s">
        <v>118</v>
      </c>
      <c r="AS596">
        <v>-42</v>
      </c>
      <c r="AT596">
        <v>-68</v>
      </c>
      <c r="AU596">
        <v>-192</v>
      </c>
      <c r="BC596">
        <v>1200</v>
      </c>
      <c r="BD596">
        <v>1</v>
      </c>
      <c r="BE596" t="str">
        <f t="shared" si="29"/>
        <v xml:space="preserve">N215T   </v>
      </c>
      <c r="BF596">
        <v>1</v>
      </c>
      <c r="BH596">
        <v>0</v>
      </c>
      <c r="BI596">
        <v>0</v>
      </c>
      <c r="BJ596">
        <v>0</v>
      </c>
      <c r="BK596">
        <v>2325</v>
      </c>
      <c r="BL596">
        <v>425</v>
      </c>
      <c r="BM596" t="s">
        <v>119</v>
      </c>
      <c r="BN596">
        <v>1</v>
      </c>
      <c r="BO596">
        <v>1</v>
      </c>
      <c r="BP596">
        <v>1</v>
      </c>
      <c r="BQ596">
        <v>0</v>
      </c>
      <c r="BT596">
        <v>0</v>
      </c>
      <c r="BU596">
        <v>0</v>
      </c>
      <c r="BV596">
        <v>0</v>
      </c>
      <c r="CC596" t="str">
        <f>"18:44:27.781"</f>
        <v>18:44:27.781</v>
      </c>
      <c r="CD596" t="str">
        <f>"780934651"</f>
        <v>780934651</v>
      </c>
      <c r="CQ596">
        <v>0</v>
      </c>
      <c r="CR596">
        <v>2</v>
      </c>
      <c r="CS596">
        <v>0</v>
      </c>
      <c r="CT596">
        <v>2</v>
      </c>
      <c r="CU596">
        <v>0</v>
      </c>
      <c r="CV596">
        <v>1</v>
      </c>
      <c r="CW596" t="s">
        <v>120</v>
      </c>
      <c r="CX596">
        <v>261</v>
      </c>
      <c r="CY596">
        <v>1</v>
      </c>
      <c r="CZ596" t="s">
        <v>121</v>
      </c>
      <c r="DA596" t="s">
        <v>122</v>
      </c>
      <c r="DD596">
        <v>3456000</v>
      </c>
      <c r="DE596" t="s">
        <v>123</v>
      </c>
    </row>
    <row r="597" spans="1:109" x14ac:dyDescent="0.3">
      <c r="A597" t="str">
        <f>"18:44:28.867"</f>
        <v>18:44:28.867</v>
      </c>
      <c r="B597" t="s">
        <v>110</v>
      </c>
      <c r="C597" t="str">
        <f t="shared" si="27"/>
        <v>ffdfd3c0</v>
      </c>
      <c r="D597" t="s">
        <v>111</v>
      </c>
      <c r="E597">
        <v>18</v>
      </c>
      <c r="F597">
        <v>1018</v>
      </c>
      <c r="G597" t="s">
        <v>112</v>
      </c>
      <c r="J597" t="s">
        <v>113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R597" t="s">
        <v>114</v>
      </c>
      <c r="S597" t="str">
        <f>"18:44:28.602"</f>
        <v>18:44:28.602</v>
      </c>
      <c r="T597" t="str">
        <f>"18:44:27.102"</f>
        <v>18:44:27.102</v>
      </c>
      <c r="U597" t="str">
        <f t="shared" si="28"/>
        <v>a1cdbe</v>
      </c>
      <c r="V597">
        <v>0</v>
      </c>
      <c r="W597">
        <v>0</v>
      </c>
      <c r="X597">
        <v>1</v>
      </c>
      <c r="Y597">
        <v>0</v>
      </c>
      <c r="Z597">
        <v>0</v>
      </c>
      <c r="AB597">
        <v>0</v>
      </c>
      <c r="AC597">
        <v>9</v>
      </c>
      <c r="AD597">
        <v>3</v>
      </c>
      <c r="AE597">
        <v>0</v>
      </c>
      <c r="AF597">
        <v>9</v>
      </c>
      <c r="AG597" t="s">
        <v>158</v>
      </c>
      <c r="AH597">
        <v>0</v>
      </c>
      <c r="AI597">
        <v>3</v>
      </c>
      <c r="AJ597">
        <v>1</v>
      </c>
      <c r="AK597">
        <v>0</v>
      </c>
      <c r="AL597" t="s">
        <v>1263</v>
      </c>
      <c r="AM597">
        <v>46.922693000000002</v>
      </c>
      <c r="AN597" t="s">
        <v>1264</v>
      </c>
      <c r="AO597">
        <v>-122.345231</v>
      </c>
      <c r="AP597">
        <v>100</v>
      </c>
      <c r="AQ597">
        <v>1900</v>
      </c>
      <c r="AR597" t="s">
        <v>118</v>
      </c>
      <c r="AS597">
        <v>-42</v>
      </c>
      <c r="AT597">
        <v>-68</v>
      </c>
      <c r="AU597">
        <v>-64</v>
      </c>
      <c r="BC597">
        <v>1200</v>
      </c>
      <c r="BD597">
        <v>1</v>
      </c>
      <c r="BE597" t="str">
        <f t="shared" si="29"/>
        <v xml:space="preserve">N215T   </v>
      </c>
      <c r="BF597">
        <v>1</v>
      </c>
      <c r="BH597">
        <v>0</v>
      </c>
      <c r="BI597">
        <v>0</v>
      </c>
      <c r="BJ597">
        <v>0</v>
      </c>
      <c r="BK597">
        <v>2300</v>
      </c>
      <c r="BL597">
        <v>400</v>
      </c>
      <c r="BM597" t="s">
        <v>119</v>
      </c>
      <c r="BN597">
        <v>1</v>
      </c>
      <c r="BO597">
        <v>1</v>
      </c>
      <c r="BP597">
        <v>1</v>
      </c>
      <c r="BQ597">
        <v>0</v>
      </c>
      <c r="BT597">
        <v>0</v>
      </c>
      <c r="BU597">
        <v>0</v>
      </c>
      <c r="BV597">
        <v>0</v>
      </c>
      <c r="CC597" t="str">
        <f>"18:44:28.609"</f>
        <v>18:44:28.609</v>
      </c>
      <c r="CD597" t="str">
        <f>"605853540"</f>
        <v>605853540</v>
      </c>
      <c r="CQ597">
        <v>0</v>
      </c>
      <c r="CR597">
        <v>2</v>
      </c>
      <c r="CS597">
        <v>0</v>
      </c>
      <c r="CT597">
        <v>2</v>
      </c>
      <c r="CU597">
        <v>0</v>
      </c>
      <c r="CV597">
        <v>2</v>
      </c>
      <c r="CW597" t="s">
        <v>120</v>
      </c>
      <c r="CX597">
        <v>261</v>
      </c>
      <c r="CY597">
        <v>2</v>
      </c>
      <c r="CZ597" t="s">
        <v>121</v>
      </c>
      <c r="DA597" t="s">
        <v>122</v>
      </c>
      <c r="DD597">
        <v>14560068</v>
      </c>
      <c r="DE597" t="s">
        <v>123</v>
      </c>
    </row>
    <row r="598" spans="1:109" x14ac:dyDescent="0.3">
      <c r="A598" t="str">
        <f>"18:44:29.875"</f>
        <v>18:44:29.875</v>
      </c>
      <c r="B598" t="s">
        <v>110</v>
      </c>
      <c r="C598" t="str">
        <f t="shared" si="27"/>
        <v>ffdfd3c0</v>
      </c>
      <c r="D598" t="s">
        <v>111</v>
      </c>
      <c r="E598">
        <v>18</v>
      </c>
      <c r="F598">
        <v>1018</v>
      </c>
      <c r="G598" t="s">
        <v>112</v>
      </c>
      <c r="J598" t="s">
        <v>113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R598" t="s">
        <v>114</v>
      </c>
      <c r="S598" t="str">
        <f>"18:44:29.609"</f>
        <v>18:44:29.609</v>
      </c>
      <c r="T598" t="str">
        <f>"18:44:29.508"</f>
        <v>18:44:29.508</v>
      </c>
      <c r="U598" t="str">
        <f t="shared" si="28"/>
        <v>a1cdbe</v>
      </c>
      <c r="V598">
        <v>0</v>
      </c>
      <c r="W598">
        <v>0</v>
      </c>
      <c r="X598">
        <v>1</v>
      </c>
      <c r="Y598">
        <v>0</v>
      </c>
      <c r="Z598">
        <v>0</v>
      </c>
      <c r="AB598">
        <v>0</v>
      </c>
      <c r="AC598">
        <v>9</v>
      </c>
      <c r="AD598">
        <v>3</v>
      </c>
      <c r="AE598">
        <v>0</v>
      </c>
      <c r="AF598">
        <v>9</v>
      </c>
      <c r="AG598" t="s">
        <v>158</v>
      </c>
      <c r="AH598">
        <v>0</v>
      </c>
      <c r="AI598">
        <v>3</v>
      </c>
      <c r="AJ598">
        <v>1</v>
      </c>
      <c r="AK598">
        <v>0</v>
      </c>
      <c r="AL598" t="s">
        <v>1265</v>
      </c>
      <c r="AM598">
        <v>46.922370999999998</v>
      </c>
      <c r="AN598" t="s">
        <v>1266</v>
      </c>
      <c r="AO598">
        <v>-122.34553099999999</v>
      </c>
      <c r="AP598">
        <v>100</v>
      </c>
      <c r="AQ598">
        <v>1900</v>
      </c>
      <c r="AR598" t="s">
        <v>118</v>
      </c>
      <c r="AS598">
        <v>-41</v>
      </c>
      <c r="AT598">
        <v>-68</v>
      </c>
      <c r="AU598">
        <v>-64</v>
      </c>
      <c r="BC598">
        <v>1200</v>
      </c>
      <c r="BD598">
        <v>1</v>
      </c>
      <c r="BE598" t="str">
        <f t="shared" si="29"/>
        <v xml:space="preserve">N215T   </v>
      </c>
      <c r="BF598">
        <v>1</v>
      </c>
      <c r="BH598">
        <v>0</v>
      </c>
      <c r="BI598">
        <v>0</v>
      </c>
      <c r="BJ598">
        <v>0</v>
      </c>
      <c r="BK598">
        <v>2325</v>
      </c>
      <c r="BL598">
        <v>425</v>
      </c>
      <c r="BM598" t="s">
        <v>119</v>
      </c>
      <c r="BN598">
        <v>1</v>
      </c>
      <c r="BO598">
        <v>1</v>
      </c>
      <c r="BP598">
        <v>1</v>
      </c>
      <c r="BQ598">
        <v>0</v>
      </c>
      <c r="BT598">
        <v>0</v>
      </c>
      <c r="BU598">
        <v>0</v>
      </c>
      <c r="BV598">
        <v>0</v>
      </c>
      <c r="CC598" t="str">
        <f>"18:44:29.609"</f>
        <v>18:44:29.609</v>
      </c>
      <c r="CD598" t="str">
        <f>"610754679"</f>
        <v>610754679</v>
      </c>
      <c r="CQ598">
        <v>0</v>
      </c>
      <c r="CR598">
        <v>2</v>
      </c>
      <c r="CS598">
        <v>0</v>
      </c>
      <c r="CT598">
        <v>2</v>
      </c>
      <c r="CU598">
        <v>0</v>
      </c>
      <c r="CV598">
        <v>2</v>
      </c>
      <c r="CW598" t="s">
        <v>120</v>
      </c>
      <c r="CX598">
        <v>261</v>
      </c>
      <c r="CY598">
        <v>2</v>
      </c>
      <c r="CZ598" t="s">
        <v>121</v>
      </c>
      <c r="DA598" t="s">
        <v>122</v>
      </c>
      <c r="DD598">
        <v>14560594</v>
      </c>
      <c r="DE598" t="s">
        <v>123</v>
      </c>
    </row>
    <row r="599" spans="1:109" x14ac:dyDescent="0.3">
      <c r="A599" t="str">
        <f>"18:44:30.930"</f>
        <v>18:44:30.930</v>
      </c>
      <c r="B599" t="s">
        <v>110</v>
      </c>
      <c r="C599" t="str">
        <f t="shared" si="27"/>
        <v>ffdfd3c0</v>
      </c>
      <c r="D599" t="s">
        <v>111</v>
      </c>
      <c r="E599">
        <v>18</v>
      </c>
      <c r="F599">
        <v>1018</v>
      </c>
      <c r="G599" t="s">
        <v>112</v>
      </c>
      <c r="J599" t="s">
        <v>113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R599" t="s">
        <v>114</v>
      </c>
      <c r="S599" t="str">
        <f>"18:44:30.656"</f>
        <v>18:44:30.656</v>
      </c>
      <c r="T599" t="str">
        <f>"18:44:30.656"</f>
        <v>18:44:30.656</v>
      </c>
      <c r="U599" t="str">
        <f t="shared" si="28"/>
        <v>a1cdbe</v>
      </c>
      <c r="V599">
        <v>0</v>
      </c>
      <c r="W599">
        <v>0</v>
      </c>
      <c r="X599">
        <v>1</v>
      </c>
      <c r="Y599">
        <v>0</v>
      </c>
      <c r="Z599">
        <v>0</v>
      </c>
      <c r="AB599">
        <v>0</v>
      </c>
      <c r="AC599">
        <v>9</v>
      </c>
      <c r="AD599">
        <v>3</v>
      </c>
      <c r="AE599">
        <v>0</v>
      </c>
      <c r="AF599">
        <v>9</v>
      </c>
      <c r="AG599" t="s">
        <v>158</v>
      </c>
      <c r="AH599">
        <v>0</v>
      </c>
      <c r="AI599">
        <v>3</v>
      </c>
      <c r="AJ599">
        <v>1</v>
      </c>
      <c r="AK599">
        <v>0</v>
      </c>
      <c r="AL599" t="s">
        <v>1267</v>
      </c>
      <c r="AM599">
        <v>46.922049999999999</v>
      </c>
      <c r="AN599" t="s">
        <v>1268</v>
      </c>
      <c r="AO599">
        <v>-122.345788</v>
      </c>
      <c r="AP599">
        <v>100</v>
      </c>
      <c r="AQ599">
        <v>1900</v>
      </c>
      <c r="AR599" t="s">
        <v>118</v>
      </c>
      <c r="AS599">
        <v>-41</v>
      </c>
      <c r="AT599">
        <v>-68</v>
      </c>
      <c r="AU599">
        <v>64</v>
      </c>
      <c r="BC599">
        <v>1200</v>
      </c>
      <c r="BD599">
        <v>1</v>
      </c>
      <c r="BE599" t="str">
        <f t="shared" si="29"/>
        <v xml:space="preserve">N215T   </v>
      </c>
      <c r="BF599">
        <v>1</v>
      </c>
      <c r="BH599">
        <v>0</v>
      </c>
      <c r="BI599">
        <v>0</v>
      </c>
      <c r="BJ599">
        <v>0</v>
      </c>
      <c r="BK599">
        <v>2300</v>
      </c>
      <c r="BL599">
        <v>400</v>
      </c>
      <c r="BM599" t="s">
        <v>119</v>
      </c>
      <c r="BN599">
        <v>1</v>
      </c>
      <c r="BO599">
        <v>1</v>
      </c>
      <c r="BP599">
        <v>1</v>
      </c>
      <c r="BQ599">
        <v>0</v>
      </c>
      <c r="BT599">
        <v>0</v>
      </c>
      <c r="BU599">
        <v>0</v>
      </c>
      <c r="BV599">
        <v>0</v>
      </c>
      <c r="CC599" t="str">
        <f>"18:44:30.664"</f>
        <v>18:44:30.664</v>
      </c>
      <c r="CD599" t="str">
        <f>"660651340"</f>
        <v>660651340</v>
      </c>
      <c r="CQ599">
        <v>0</v>
      </c>
      <c r="CR599">
        <v>2</v>
      </c>
      <c r="CS599">
        <v>0</v>
      </c>
      <c r="CT599">
        <v>2</v>
      </c>
      <c r="CU599">
        <v>0</v>
      </c>
      <c r="CV599">
        <v>2</v>
      </c>
      <c r="CW599" t="s">
        <v>120</v>
      </c>
      <c r="CX599">
        <v>261</v>
      </c>
      <c r="CY599">
        <v>2</v>
      </c>
      <c r="CZ599" t="s">
        <v>121</v>
      </c>
      <c r="DA599" t="s">
        <v>122</v>
      </c>
      <c r="DD599">
        <v>14561143</v>
      </c>
      <c r="DE599" t="s">
        <v>123</v>
      </c>
    </row>
    <row r="600" spans="1:109" x14ac:dyDescent="0.3">
      <c r="A600" t="str">
        <f>"18:44:31.938"</f>
        <v>18:44:31.938</v>
      </c>
      <c r="B600" t="s">
        <v>110</v>
      </c>
      <c r="C600" t="str">
        <f t="shared" si="27"/>
        <v>ffdfd3c0</v>
      </c>
      <c r="D600" t="s">
        <v>111</v>
      </c>
      <c r="E600">
        <v>18</v>
      </c>
      <c r="F600">
        <v>1018</v>
      </c>
      <c r="G600" t="s">
        <v>112</v>
      </c>
      <c r="J600" t="s">
        <v>113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R600" t="s">
        <v>114</v>
      </c>
      <c r="S600" t="str">
        <f>"18:44:31.664"</f>
        <v>18:44:31.664</v>
      </c>
      <c r="T600" t="str">
        <f>"18:44:31.664"</f>
        <v>18:44:31.664</v>
      </c>
      <c r="U600" t="str">
        <f t="shared" si="28"/>
        <v>a1cdbe</v>
      </c>
      <c r="V600">
        <v>0</v>
      </c>
      <c r="W600">
        <v>0</v>
      </c>
      <c r="X600">
        <v>1</v>
      </c>
      <c r="Y600">
        <v>0</v>
      </c>
      <c r="Z600">
        <v>0</v>
      </c>
      <c r="AB600">
        <v>0</v>
      </c>
      <c r="AC600">
        <v>9</v>
      </c>
      <c r="AD600">
        <v>3</v>
      </c>
      <c r="AE600">
        <v>0</v>
      </c>
      <c r="AF600">
        <v>9</v>
      </c>
      <c r="AG600" t="s">
        <v>158</v>
      </c>
      <c r="AH600">
        <v>0</v>
      </c>
      <c r="AI600">
        <v>3</v>
      </c>
      <c r="AJ600">
        <v>1</v>
      </c>
      <c r="AK600">
        <v>0</v>
      </c>
      <c r="AL600" t="s">
        <v>1269</v>
      </c>
      <c r="AM600">
        <v>46.921728000000002</v>
      </c>
      <c r="AN600" t="s">
        <v>1270</v>
      </c>
      <c r="AO600">
        <v>-122.34608900000001</v>
      </c>
      <c r="AP600">
        <v>100</v>
      </c>
      <c r="AQ600">
        <v>1900</v>
      </c>
      <c r="AR600" t="s">
        <v>118</v>
      </c>
      <c r="AS600">
        <v>-41</v>
      </c>
      <c r="AT600">
        <v>-68</v>
      </c>
      <c r="AU600">
        <v>64</v>
      </c>
      <c r="BC600">
        <v>1200</v>
      </c>
      <c r="BD600">
        <v>1</v>
      </c>
      <c r="BE600" t="str">
        <f t="shared" si="29"/>
        <v xml:space="preserve">N215T   </v>
      </c>
      <c r="BF600">
        <v>1</v>
      </c>
      <c r="BH600">
        <v>0</v>
      </c>
      <c r="BI600">
        <v>0</v>
      </c>
      <c r="BJ600">
        <v>0</v>
      </c>
      <c r="BK600">
        <v>2300</v>
      </c>
      <c r="BL600">
        <v>400</v>
      </c>
      <c r="BM600" t="s">
        <v>119</v>
      </c>
      <c r="BN600">
        <v>1</v>
      </c>
      <c r="BO600">
        <v>1</v>
      </c>
      <c r="BP600">
        <v>1</v>
      </c>
      <c r="BQ600">
        <v>0</v>
      </c>
      <c r="BT600">
        <v>0</v>
      </c>
      <c r="BU600">
        <v>0</v>
      </c>
      <c r="BV600">
        <v>0</v>
      </c>
      <c r="CC600" t="str">
        <f>"18:44:31.664"</f>
        <v>18:44:31.664</v>
      </c>
      <c r="CD600" t="str">
        <f>"665552490"</f>
        <v>665552490</v>
      </c>
      <c r="CQ600">
        <v>0</v>
      </c>
      <c r="CR600">
        <v>2</v>
      </c>
      <c r="CS600">
        <v>0</v>
      </c>
      <c r="CT600">
        <v>2</v>
      </c>
      <c r="CU600">
        <v>0</v>
      </c>
      <c r="CV600">
        <v>2</v>
      </c>
      <c r="CW600" t="s">
        <v>120</v>
      </c>
      <c r="CX600">
        <v>261</v>
      </c>
      <c r="CY600">
        <v>2</v>
      </c>
      <c r="CZ600" t="s">
        <v>121</v>
      </c>
      <c r="DA600" t="s">
        <v>122</v>
      </c>
      <c r="DD600">
        <v>14561673</v>
      </c>
      <c r="DE600" t="s">
        <v>123</v>
      </c>
    </row>
    <row r="601" spans="1:109" x14ac:dyDescent="0.3">
      <c r="A601" t="str">
        <f>"18:44:32.891"</f>
        <v>18:44:32.891</v>
      </c>
      <c r="B601" t="s">
        <v>110</v>
      </c>
      <c r="C601" t="str">
        <f t="shared" si="27"/>
        <v>ffdfd3c0</v>
      </c>
      <c r="D601" t="s">
        <v>111</v>
      </c>
      <c r="E601">
        <v>18</v>
      </c>
      <c r="F601">
        <v>1018</v>
      </c>
      <c r="G601" t="s">
        <v>112</v>
      </c>
      <c r="J601" t="s">
        <v>113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R601" t="s">
        <v>114</v>
      </c>
      <c r="S601" t="str">
        <f>"18:44:32.633"</f>
        <v>18:44:32.633</v>
      </c>
      <c r="T601" t="str">
        <f>"18:44:32.234"</f>
        <v>18:44:32.234</v>
      </c>
      <c r="U601" t="str">
        <f t="shared" si="28"/>
        <v>a1cdbe</v>
      </c>
      <c r="V601">
        <v>0</v>
      </c>
      <c r="W601">
        <v>0</v>
      </c>
      <c r="X601">
        <v>1</v>
      </c>
      <c r="Y601">
        <v>0</v>
      </c>
      <c r="Z601">
        <v>0</v>
      </c>
      <c r="AB601">
        <v>0</v>
      </c>
      <c r="AC601">
        <v>9</v>
      </c>
      <c r="AD601">
        <v>3</v>
      </c>
      <c r="AE601">
        <v>0</v>
      </c>
      <c r="AF601">
        <v>9</v>
      </c>
      <c r="AG601" t="s">
        <v>158</v>
      </c>
      <c r="AH601">
        <v>0</v>
      </c>
      <c r="AI601">
        <v>3</v>
      </c>
      <c r="AJ601">
        <v>1</v>
      </c>
      <c r="AK601">
        <v>0</v>
      </c>
      <c r="AL601" t="s">
        <v>1271</v>
      </c>
      <c r="AM601">
        <v>46.921449000000003</v>
      </c>
      <c r="AN601" t="s">
        <v>1272</v>
      </c>
      <c r="AO601">
        <v>-122.346346</v>
      </c>
      <c r="AP601">
        <v>100</v>
      </c>
      <c r="AQ601">
        <v>1900</v>
      </c>
      <c r="AR601" t="s">
        <v>118</v>
      </c>
      <c r="AS601">
        <v>-41</v>
      </c>
      <c r="AT601">
        <v>-68</v>
      </c>
      <c r="AU601">
        <v>128</v>
      </c>
      <c r="BC601">
        <v>1200</v>
      </c>
      <c r="BD601">
        <v>1</v>
      </c>
      <c r="BE601" t="str">
        <f t="shared" si="29"/>
        <v xml:space="preserve">N215T   </v>
      </c>
      <c r="BF601">
        <v>1</v>
      </c>
      <c r="BH601">
        <v>0</v>
      </c>
      <c r="BI601">
        <v>0</v>
      </c>
      <c r="BJ601">
        <v>0</v>
      </c>
      <c r="BK601">
        <v>2300</v>
      </c>
      <c r="BL601">
        <v>400</v>
      </c>
      <c r="BM601" t="s">
        <v>119</v>
      </c>
      <c r="BN601">
        <v>1</v>
      </c>
      <c r="BO601">
        <v>1</v>
      </c>
      <c r="BP601">
        <v>1</v>
      </c>
      <c r="BQ601">
        <v>0</v>
      </c>
      <c r="BT601">
        <v>0</v>
      </c>
      <c r="BU601">
        <v>0</v>
      </c>
      <c r="BV601">
        <v>0</v>
      </c>
      <c r="CC601" t="str">
        <f>"18:44:32.641"</f>
        <v>18:44:32.641</v>
      </c>
      <c r="CD601" t="str">
        <f>"640456604"</f>
        <v>640456604</v>
      </c>
      <c r="CQ601">
        <v>0</v>
      </c>
      <c r="CR601">
        <v>2</v>
      </c>
      <c r="CS601">
        <v>0</v>
      </c>
      <c r="CT601">
        <v>2</v>
      </c>
      <c r="CU601">
        <v>0</v>
      </c>
      <c r="CV601">
        <v>2</v>
      </c>
      <c r="CW601" t="s">
        <v>120</v>
      </c>
      <c r="CX601">
        <v>261</v>
      </c>
      <c r="CY601">
        <v>2</v>
      </c>
      <c r="CZ601" t="s">
        <v>121</v>
      </c>
      <c r="DA601" t="s">
        <v>122</v>
      </c>
      <c r="DD601">
        <v>14562104</v>
      </c>
      <c r="DE601" t="s">
        <v>123</v>
      </c>
    </row>
    <row r="602" spans="1:109" x14ac:dyDescent="0.3">
      <c r="A602" t="str">
        <f>"18:44:33.898"</f>
        <v>18:44:33.898</v>
      </c>
      <c r="B602" t="s">
        <v>110</v>
      </c>
      <c r="C602" t="str">
        <f t="shared" si="27"/>
        <v>ffdfd3c0</v>
      </c>
      <c r="D602" t="s">
        <v>111</v>
      </c>
      <c r="E602">
        <v>18</v>
      </c>
      <c r="F602">
        <v>1018</v>
      </c>
      <c r="G602" t="s">
        <v>112</v>
      </c>
      <c r="J602" t="s">
        <v>113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R602" t="s">
        <v>114</v>
      </c>
      <c r="S602" t="str">
        <f>"18:44:33.641"</f>
        <v>18:44:33.641</v>
      </c>
      <c r="T602" t="str">
        <f>"18:44:33.344"</f>
        <v>18:44:33.344</v>
      </c>
      <c r="U602" t="str">
        <f t="shared" si="28"/>
        <v>a1cdbe</v>
      </c>
      <c r="V602">
        <v>0</v>
      </c>
      <c r="W602">
        <v>0</v>
      </c>
      <c r="X602">
        <v>1</v>
      </c>
      <c r="Y602">
        <v>0</v>
      </c>
      <c r="Z602">
        <v>0</v>
      </c>
      <c r="AB602">
        <v>0</v>
      </c>
      <c r="AC602">
        <v>9</v>
      </c>
      <c r="AD602">
        <v>3</v>
      </c>
      <c r="AE602">
        <v>0</v>
      </c>
      <c r="AF602">
        <v>9</v>
      </c>
      <c r="AG602" t="s">
        <v>158</v>
      </c>
      <c r="AH602">
        <v>0</v>
      </c>
      <c r="AI602">
        <v>3</v>
      </c>
      <c r="AJ602">
        <v>1</v>
      </c>
      <c r="AK602">
        <v>0</v>
      </c>
      <c r="AL602" t="s">
        <v>1273</v>
      </c>
      <c r="AM602">
        <v>46.921104999999997</v>
      </c>
      <c r="AN602" t="s">
        <v>1274</v>
      </c>
      <c r="AO602">
        <v>-122.346625</v>
      </c>
      <c r="AP602">
        <v>100</v>
      </c>
      <c r="AQ602">
        <v>1900</v>
      </c>
      <c r="AR602" t="s">
        <v>118</v>
      </c>
      <c r="AS602">
        <v>-40</v>
      </c>
      <c r="AT602">
        <v>-68</v>
      </c>
      <c r="AU602">
        <v>192</v>
      </c>
      <c r="BC602">
        <v>1200</v>
      </c>
      <c r="BD602">
        <v>1</v>
      </c>
      <c r="BE602" t="str">
        <f t="shared" si="29"/>
        <v xml:space="preserve">N215T   </v>
      </c>
      <c r="BF602">
        <v>1</v>
      </c>
      <c r="BH602">
        <v>0</v>
      </c>
      <c r="BI602">
        <v>0</v>
      </c>
      <c r="BJ602">
        <v>0</v>
      </c>
      <c r="BK602">
        <v>2300</v>
      </c>
      <c r="BL602">
        <v>400</v>
      </c>
      <c r="BM602" t="s">
        <v>119</v>
      </c>
      <c r="BN602">
        <v>1</v>
      </c>
      <c r="BO602">
        <v>1</v>
      </c>
      <c r="BP602">
        <v>1</v>
      </c>
      <c r="BQ602">
        <v>0</v>
      </c>
      <c r="BT602">
        <v>0</v>
      </c>
      <c r="BU602">
        <v>0</v>
      </c>
      <c r="BV602">
        <v>0</v>
      </c>
      <c r="CC602" t="str">
        <f>"18:44:33.648"</f>
        <v>18:44:33.648</v>
      </c>
      <c r="CD602" t="str">
        <f>"645357742"</f>
        <v>645357742</v>
      </c>
      <c r="CQ602">
        <v>0</v>
      </c>
      <c r="CR602">
        <v>2</v>
      </c>
      <c r="CS602">
        <v>0</v>
      </c>
      <c r="CT602">
        <v>2</v>
      </c>
      <c r="CU602">
        <v>0</v>
      </c>
      <c r="CV602">
        <v>4</v>
      </c>
      <c r="CW602" t="s">
        <v>120</v>
      </c>
      <c r="CX602">
        <v>261</v>
      </c>
      <c r="CY602">
        <v>2</v>
      </c>
      <c r="CZ602" t="s">
        <v>121</v>
      </c>
      <c r="DA602" t="s">
        <v>122</v>
      </c>
      <c r="DD602">
        <v>14562573</v>
      </c>
      <c r="DE602" t="s">
        <v>123</v>
      </c>
    </row>
    <row r="603" spans="1:109" x14ac:dyDescent="0.3">
      <c r="A603" t="str">
        <f>"18:44:34.953"</f>
        <v>18:44:34.953</v>
      </c>
      <c r="B603" t="s">
        <v>110</v>
      </c>
      <c r="C603" t="str">
        <f t="shared" si="27"/>
        <v>ffdfd3c0</v>
      </c>
      <c r="D603" t="s">
        <v>111</v>
      </c>
      <c r="E603">
        <v>18</v>
      </c>
      <c r="F603">
        <v>1018</v>
      </c>
      <c r="G603" t="s">
        <v>112</v>
      </c>
      <c r="J603" t="s">
        <v>113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R603" t="s">
        <v>114</v>
      </c>
      <c r="S603" t="str">
        <f>"18:44:34.680"</f>
        <v>18:44:34.680</v>
      </c>
      <c r="T603" t="str">
        <f>"18:44:34.383"</f>
        <v>18:44:34.383</v>
      </c>
      <c r="U603" t="str">
        <f t="shared" si="28"/>
        <v>a1cdbe</v>
      </c>
      <c r="V603">
        <v>0</v>
      </c>
      <c r="W603">
        <v>0</v>
      </c>
      <c r="X603">
        <v>1</v>
      </c>
      <c r="Y603">
        <v>0</v>
      </c>
      <c r="Z603">
        <v>0</v>
      </c>
      <c r="AB603">
        <v>0</v>
      </c>
      <c r="AC603">
        <v>9</v>
      </c>
      <c r="AD603">
        <v>3</v>
      </c>
      <c r="AE603">
        <v>0</v>
      </c>
      <c r="AF603">
        <v>9</v>
      </c>
      <c r="AG603" t="s">
        <v>158</v>
      </c>
      <c r="AH603">
        <v>0</v>
      </c>
      <c r="AI603">
        <v>3</v>
      </c>
      <c r="AJ603">
        <v>1</v>
      </c>
      <c r="AK603">
        <v>0</v>
      </c>
      <c r="AL603" t="s">
        <v>1275</v>
      </c>
      <c r="AM603">
        <v>46.920783999999998</v>
      </c>
      <c r="AN603" t="s">
        <v>1276</v>
      </c>
      <c r="AO603">
        <v>-122.346926</v>
      </c>
      <c r="AP603">
        <v>100</v>
      </c>
      <c r="AQ603">
        <v>1900</v>
      </c>
      <c r="AR603" t="s">
        <v>118</v>
      </c>
      <c r="AS603">
        <v>-40</v>
      </c>
      <c r="AT603">
        <v>-68</v>
      </c>
      <c r="AU603">
        <v>64</v>
      </c>
      <c r="BC603">
        <v>1200</v>
      </c>
      <c r="BD603">
        <v>1</v>
      </c>
      <c r="BE603" t="str">
        <f t="shared" si="29"/>
        <v xml:space="preserve">N215T   </v>
      </c>
      <c r="BF603">
        <v>1</v>
      </c>
      <c r="BH603">
        <v>0</v>
      </c>
      <c r="BI603">
        <v>0</v>
      </c>
      <c r="BJ603">
        <v>0</v>
      </c>
      <c r="BK603">
        <v>2325</v>
      </c>
      <c r="BL603">
        <v>425</v>
      </c>
      <c r="BM603" t="s">
        <v>119</v>
      </c>
      <c r="BN603">
        <v>1</v>
      </c>
      <c r="BO603">
        <v>1</v>
      </c>
      <c r="BP603">
        <v>1</v>
      </c>
      <c r="BQ603">
        <v>0</v>
      </c>
      <c r="BT603">
        <v>0</v>
      </c>
      <c r="BU603">
        <v>0</v>
      </c>
      <c r="BV603">
        <v>0</v>
      </c>
      <c r="CC603" t="str">
        <f>"18:44:34.680"</f>
        <v>18:44:34.680</v>
      </c>
      <c r="CD603" t="str">
        <f>"680255899"</f>
        <v>680255899</v>
      </c>
      <c r="CQ603">
        <v>0</v>
      </c>
      <c r="CR603">
        <v>2</v>
      </c>
      <c r="CS603">
        <v>0</v>
      </c>
      <c r="CT603">
        <v>2</v>
      </c>
      <c r="CU603">
        <v>0</v>
      </c>
      <c r="CV603">
        <v>3</v>
      </c>
      <c r="CW603" t="s">
        <v>120</v>
      </c>
      <c r="CX603">
        <v>261</v>
      </c>
      <c r="CY603">
        <v>2</v>
      </c>
      <c r="CZ603" t="s">
        <v>121</v>
      </c>
      <c r="DA603" t="s">
        <v>122</v>
      </c>
      <c r="DD603">
        <v>14563093</v>
      </c>
      <c r="DE603" t="s">
        <v>123</v>
      </c>
    </row>
    <row r="604" spans="1:109" x14ac:dyDescent="0.3">
      <c r="A604" t="str">
        <f>"18:44:35.859"</f>
        <v>18:44:35.859</v>
      </c>
      <c r="B604" t="s">
        <v>110</v>
      </c>
      <c r="C604" t="str">
        <f t="shared" si="27"/>
        <v>ffdfd3c0</v>
      </c>
      <c r="D604" t="s">
        <v>111</v>
      </c>
      <c r="E604">
        <v>18</v>
      </c>
      <c r="F604">
        <v>1018</v>
      </c>
      <c r="G604" t="s">
        <v>112</v>
      </c>
      <c r="J604" t="s">
        <v>113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R604" t="s">
        <v>114</v>
      </c>
      <c r="S604" t="str">
        <f>"18:44:35.633"</f>
        <v>18:44:35.633</v>
      </c>
      <c r="T604" t="str">
        <f>"18:44:35.234"</f>
        <v>18:44:35.234</v>
      </c>
      <c r="U604" t="str">
        <f t="shared" si="28"/>
        <v>a1cdbe</v>
      </c>
      <c r="V604">
        <v>0</v>
      </c>
      <c r="W604">
        <v>0</v>
      </c>
      <c r="X604">
        <v>1</v>
      </c>
      <c r="Y604">
        <v>0</v>
      </c>
      <c r="Z604">
        <v>0</v>
      </c>
      <c r="AB604">
        <v>0</v>
      </c>
      <c r="AC604">
        <v>9</v>
      </c>
      <c r="AD604">
        <v>3</v>
      </c>
      <c r="AE604">
        <v>0</v>
      </c>
      <c r="AF604">
        <v>9</v>
      </c>
      <c r="AG604" t="s">
        <v>158</v>
      </c>
      <c r="AH604">
        <v>0</v>
      </c>
      <c r="AI604">
        <v>3</v>
      </c>
      <c r="AJ604">
        <v>1</v>
      </c>
      <c r="AK604">
        <v>0</v>
      </c>
      <c r="AL604" t="s">
        <v>1277</v>
      </c>
      <c r="AM604">
        <v>46.920462000000001</v>
      </c>
      <c r="AN604" t="s">
        <v>1278</v>
      </c>
      <c r="AO604">
        <v>-122.347183</v>
      </c>
      <c r="AP604">
        <v>100</v>
      </c>
      <c r="AQ604">
        <v>1900</v>
      </c>
      <c r="AR604" t="s">
        <v>118</v>
      </c>
      <c r="AS604">
        <v>-39</v>
      </c>
      <c r="AT604">
        <v>-69</v>
      </c>
      <c r="AU604">
        <v>192</v>
      </c>
      <c r="BC604">
        <v>1200</v>
      </c>
      <c r="BD604">
        <v>1</v>
      </c>
      <c r="BE604" t="str">
        <f t="shared" si="29"/>
        <v xml:space="preserve">N215T   </v>
      </c>
      <c r="BF604">
        <v>1</v>
      </c>
      <c r="BH604">
        <v>0</v>
      </c>
      <c r="BI604">
        <v>0</v>
      </c>
      <c r="BJ604">
        <v>0</v>
      </c>
      <c r="BK604">
        <v>2325</v>
      </c>
      <c r="BL604">
        <v>425</v>
      </c>
      <c r="BM604" t="s">
        <v>119</v>
      </c>
      <c r="BN604">
        <v>1</v>
      </c>
      <c r="BO604">
        <v>1</v>
      </c>
      <c r="BP604">
        <v>1</v>
      </c>
      <c r="BQ604">
        <v>0</v>
      </c>
      <c r="BT604">
        <v>0</v>
      </c>
      <c r="BU604">
        <v>0</v>
      </c>
      <c r="BV604">
        <v>0</v>
      </c>
      <c r="CC604" t="str">
        <f>"18:44:35.641"</f>
        <v>18:44:35.641</v>
      </c>
      <c r="CD604" t="str">
        <f>"640161485"</f>
        <v>640161485</v>
      </c>
      <c r="CQ604">
        <v>0</v>
      </c>
      <c r="CR604">
        <v>2</v>
      </c>
      <c r="CS604">
        <v>0</v>
      </c>
      <c r="CT604">
        <v>2</v>
      </c>
      <c r="CU604">
        <v>0</v>
      </c>
      <c r="CV604">
        <v>3</v>
      </c>
      <c r="CW604" t="s">
        <v>120</v>
      </c>
      <c r="CX604">
        <v>261</v>
      </c>
      <c r="CY604">
        <v>2</v>
      </c>
      <c r="CZ604" t="s">
        <v>121</v>
      </c>
      <c r="DA604" t="s">
        <v>122</v>
      </c>
      <c r="DD604">
        <v>14563580</v>
      </c>
      <c r="DE604" t="s">
        <v>123</v>
      </c>
    </row>
    <row r="605" spans="1:109" x14ac:dyDescent="0.3">
      <c r="A605" t="str">
        <f>"18:44:36.766"</f>
        <v>18:44:36.766</v>
      </c>
      <c r="B605" t="s">
        <v>110</v>
      </c>
      <c r="C605" t="str">
        <f t="shared" si="27"/>
        <v>ffdfd3c0</v>
      </c>
      <c r="D605" t="s">
        <v>111</v>
      </c>
      <c r="E605">
        <v>18</v>
      </c>
      <c r="F605">
        <v>1018</v>
      </c>
      <c r="G605" t="s">
        <v>112</v>
      </c>
      <c r="J605" t="s">
        <v>113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R605" t="s">
        <v>114</v>
      </c>
      <c r="S605" t="str">
        <f>"18:44:36.539"</f>
        <v>18:44:36.539</v>
      </c>
      <c r="T605" t="str">
        <f>"18:44:36.336"</f>
        <v>18:44:36.336</v>
      </c>
      <c r="U605" t="str">
        <f t="shared" si="28"/>
        <v>a1cdbe</v>
      </c>
      <c r="V605">
        <v>0</v>
      </c>
      <c r="W605">
        <v>0</v>
      </c>
      <c r="X605">
        <v>1</v>
      </c>
      <c r="Y605">
        <v>0</v>
      </c>
      <c r="Z605">
        <v>0</v>
      </c>
      <c r="AB605">
        <v>0</v>
      </c>
      <c r="AC605">
        <v>9</v>
      </c>
      <c r="AD605">
        <v>3</v>
      </c>
      <c r="AE605">
        <v>0</v>
      </c>
      <c r="AF605">
        <v>9</v>
      </c>
      <c r="AG605" t="s">
        <v>158</v>
      </c>
      <c r="AH605">
        <v>0</v>
      </c>
      <c r="AI605">
        <v>3</v>
      </c>
      <c r="AJ605">
        <v>1</v>
      </c>
      <c r="AK605">
        <v>0</v>
      </c>
      <c r="AL605" t="s">
        <v>1279</v>
      </c>
      <c r="AM605">
        <v>46.920183000000002</v>
      </c>
      <c r="AN605" t="s">
        <v>1280</v>
      </c>
      <c r="AO605">
        <v>-122.347398</v>
      </c>
      <c r="AP605">
        <v>100</v>
      </c>
      <c r="AQ605">
        <v>1900</v>
      </c>
      <c r="AR605" t="s">
        <v>118</v>
      </c>
      <c r="AS605">
        <v>-37</v>
      </c>
      <c r="AT605">
        <v>-69</v>
      </c>
      <c r="AU605">
        <v>64</v>
      </c>
      <c r="BC605">
        <v>1200</v>
      </c>
      <c r="BD605">
        <v>1</v>
      </c>
      <c r="BE605" t="str">
        <f t="shared" si="29"/>
        <v xml:space="preserve">N215T   </v>
      </c>
      <c r="BF605">
        <v>1</v>
      </c>
      <c r="BH605">
        <v>0</v>
      </c>
      <c r="BI605">
        <v>0</v>
      </c>
      <c r="BJ605">
        <v>0</v>
      </c>
      <c r="BK605">
        <v>2325</v>
      </c>
      <c r="BL605">
        <v>425</v>
      </c>
      <c r="BM605" t="s">
        <v>119</v>
      </c>
      <c r="BN605">
        <v>1</v>
      </c>
      <c r="BO605">
        <v>1</v>
      </c>
      <c r="BP605">
        <v>1</v>
      </c>
      <c r="BQ605">
        <v>0</v>
      </c>
      <c r="BT605">
        <v>0</v>
      </c>
      <c r="BU605">
        <v>0</v>
      </c>
      <c r="BV605">
        <v>0</v>
      </c>
      <c r="CC605" t="str">
        <f>"18:44:36.539"</f>
        <v>18:44:36.539</v>
      </c>
      <c r="CD605" t="str">
        <f>"540072926"</f>
        <v>540072926</v>
      </c>
      <c r="CQ605">
        <v>0</v>
      </c>
      <c r="CR605">
        <v>2</v>
      </c>
      <c r="CS605">
        <v>0</v>
      </c>
      <c r="CT605">
        <v>2</v>
      </c>
      <c r="CU605">
        <v>0</v>
      </c>
      <c r="CV605">
        <v>4</v>
      </c>
      <c r="CW605" t="s">
        <v>120</v>
      </c>
      <c r="CX605">
        <v>261</v>
      </c>
      <c r="CY605">
        <v>2</v>
      </c>
      <c r="CZ605" t="s">
        <v>121</v>
      </c>
      <c r="DA605" t="s">
        <v>122</v>
      </c>
      <c r="DD605">
        <v>14563988</v>
      </c>
      <c r="DE605" t="s">
        <v>123</v>
      </c>
    </row>
    <row r="606" spans="1:109" x14ac:dyDescent="0.3">
      <c r="A606" t="str">
        <f>"18:44:37.766"</f>
        <v>18:44:37.766</v>
      </c>
      <c r="B606" t="s">
        <v>110</v>
      </c>
      <c r="C606" t="str">
        <f t="shared" si="27"/>
        <v>ffdfd3c0</v>
      </c>
      <c r="D606" t="s">
        <v>111</v>
      </c>
      <c r="E606">
        <v>18</v>
      </c>
      <c r="F606">
        <v>1018</v>
      </c>
      <c r="G606" t="s">
        <v>112</v>
      </c>
      <c r="J606" t="s">
        <v>113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R606" t="s">
        <v>114</v>
      </c>
      <c r="S606" t="str">
        <f>"18:44:37.484"</f>
        <v>18:44:37.484</v>
      </c>
      <c r="T606" t="str">
        <f>"18:44:36.984"</f>
        <v>18:44:36.984</v>
      </c>
      <c r="U606" t="str">
        <f t="shared" si="28"/>
        <v>a1cdbe</v>
      </c>
      <c r="V606">
        <v>0</v>
      </c>
      <c r="W606">
        <v>0</v>
      </c>
      <c r="X606">
        <v>1</v>
      </c>
      <c r="Y606">
        <v>0</v>
      </c>
      <c r="Z606">
        <v>0</v>
      </c>
      <c r="AB606">
        <v>0</v>
      </c>
      <c r="AC606">
        <v>9</v>
      </c>
      <c r="AD606">
        <v>3</v>
      </c>
      <c r="AE606">
        <v>0</v>
      </c>
      <c r="AF606">
        <v>9</v>
      </c>
      <c r="AG606" t="s">
        <v>158</v>
      </c>
      <c r="AH606">
        <v>0</v>
      </c>
      <c r="AI606">
        <v>3</v>
      </c>
      <c r="AJ606">
        <v>1</v>
      </c>
      <c r="AK606">
        <v>0</v>
      </c>
      <c r="AL606" t="s">
        <v>1281</v>
      </c>
      <c r="AM606">
        <v>46.919860999999997</v>
      </c>
      <c r="AN606" t="s">
        <v>1282</v>
      </c>
      <c r="AO606">
        <v>-122.347634</v>
      </c>
      <c r="AP606">
        <v>100</v>
      </c>
      <c r="AQ606">
        <v>1900</v>
      </c>
      <c r="AR606" t="s">
        <v>118</v>
      </c>
      <c r="AS606">
        <v>-37</v>
      </c>
      <c r="AT606">
        <v>-70</v>
      </c>
      <c r="AU606">
        <v>128</v>
      </c>
      <c r="BC606">
        <v>1200</v>
      </c>
      <c r="BD606">
        <v>1</v>
      </c>
      <c r="BE606" t="str">
        <f t="shared" si="29"/>
        <v xml:space="preserve">N215T   </v>
      </c>
      <c r="BF606">
        <v>1</v>
      </c>
      <c r="BH606">
        <v>0</v>
      </c>
      <c r="BI606">
        <v>0</v>
      </c>
      <c r="BJ606">
        <v>0</v>
      </c>
      <c r="BK606">
        <v>2325</v>
      </c>
      <c r="BL606">
        <v>425</v>
      </c>
      <c r="BM606" t="s">
        <v>119</v>
      </c>
      <c r="BN606">
        <v>1</v>
      </c>
      <c r="BO606">
        <v>1</v>
      </c>
      <c r="BP606">
        <v>1</v>
      </c>
      <c r="BQ606">
        <v>0</v>
      </c>
      <c r="BT606">
        <v>0</v>
      </c>
      <c r="BU606">
        <v>0</v>
      </c>
      <c r="BV606">
        <v>0</v>
      </c>
      <c r="CC606" t="str">
        <f>"18:44:37.484"</f>
        <v>18:44:37.484</v>
      </c>
      <c r="CD606" t="str">
        <f>"484979984"</f>
        <v>484979984</v>
      </c>
      <c r="CQ606">
        <v>0</v>
      </c>
      <c r="CR606">
        <v>2</v>
      </c>
      <c r="CS606">
        <v>0</v>
      </c>
      <c r="CT606">
        <v>2</v>
      </c>
      <c r="CU606">
        <v>0</v>
      </c>
      <c r="CV606">
        <v>3</v>
      </c>
      <c r="CW606" t="s">
        <v>120</v>
      </c>
      <c r="CX606">
        <v>261</v>
      </c>
      <c r="CY606">
        <v>2</v>
      </c>
      <c r="CZ606" t="s">
        <v>121</v>
      </c>
      <c r="DA606" t="s">
        <v>122</v>
      </c>
      <c r="DD606">
        <v>14564431</v>
      </c>
      <c r="DE606" t="s">
        <v>123</v>
      </c>
    </row>
    <row r="607" spans="1:109" x14ac:dyDescent="0.3">
      <c r="A607" t="str">
        <f>"18:44:38.828"</f>
        <v>18:44:38.828</v>
      </c>
      <c r="B607" t="s">
        <v>110</v>
      </c>
      <c r="C607" t="str">
        <f t="shared" si="27"/>
        <v>ffdfd3c0</v>
      </c>
      <c r="D607" t="s">
        <v>111</v>
      </c>
      <c r="E607">
        <v>18</v>
      </c>
      <c r="F607">
        <v>1018</v>
      </c>
      <c r="G607" t="s">
        <v>112</v>
      </c>
      <c r="J607" t="s">
        <v>113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R607" t="s">
        <v>114</v>
      </c>
      <c r="S607" t="str">
        <f>"18:44:38.563"</f>
        <v>18:44:38.563</v>
      </c>
      <c r="T607" t="str">
        <f>"18:44:38.461"</f>
        <v>18:44:38.461</v>
      </c>
      <c r="U607" t="str">
        <f t="shared" si="28"/>
        <v>a1cdbe</v>
      </c>
      <c r="V607">
        <v>0</v>
      </c>
      <c r="W607">
        <v>0</v>
      </c>
      <c r="X607">
        <v>1</v>
      </c>
      <c r="Y607">
        <v>0</v>
      </c>
      <c r="Z607">
        <v>0</v>
      </c>
      <c r="AB607">
        <v>0</v>
      </c>
      <c r="AC607">
        <v>9</v>
      </c>
      <c r="AD607">
        <v>3</v>
      </c>
      <c r="AE607">
        <v>0</v>
      </c>
      <c r="AF607">
        <v>9</v>
      </c>
      <c r="AG607" t="s">
        <v>158</v>
      </c>
      <c r="AH607">
        <v>0</v>
      </c>
      <c r="AI607">
        <v>3</v>
      </c>
      <c r="AJ607">
        <v>1</v>
      </c>
      <c r="AK607">
        <v>0</v>
      </c>
      <c r="AL607" t="s">
        <v>1283</v>
      </c>
      <c r="AM607">
        <v>46.919539</v>
      </c>
      <c r="AN607" t="s">
        <v>1284</v>
      </c>
      <c r="AO607">
        <v>-122.347827</v>
      </c>
      <c r="AP607">
        <v>100</v>
      </c>
      <c r="AQ607">
        <v>1900</v>
      </c>
      <c r="AR607" t="s">
        <v>118</v>
      </c>
      <c r="AS607">
        <v>-35</v>
      </c>
      <c r="AT607">
        <v>-70</v>
      </c>
      <c r="AU607">
        <v>128</v>
      </c>
      <c r="BC607">
        <v>1200</v>
      </c>
      <c r="BD607">
        <v>1</v>
      </c>
      <c r="BE607" t="str">
        <f t="shared" si="29"/>
        <v xml:space="preserve">N215T   </v>
      </c>
      <c r="BF607">
        <v>1</v>
      </c>
      <c r="BH607">
        <v>0</v>
      </c>
      <c r="BI607">
        <v>0</v>
      </c>
      <c r="BJ607">
        <v>0</v>
      </c>
      <c r="BK607">
        <v>2325</v>
      </c>
      <c r="BL607">
        <v>425</v>
      </c>
      <c r="BM607" t="s">
        <v>119</v>
      </c>
      <c r="BN607">
        <v>1</v>
      </c>
      <c r="BO607">
        <v>1</v>
      </c>
      <c r="BP607">
        <v>1</v>
      </c>
      <c r="BQ607">
        <v>0</v>
      </c>
      <c r="BT607">
        <v>0</v>
      </c>
      <c r="BU607">
        <v>0</v>
      </c>
      <c r="BV607">
        <v>0</v>
      </c>
      <c r="CC607" t="str">
        <f>"18:44:38.563"</f>
        <v>18:44:38.563</v>
      </c>
      <c r="CD607" t="str">
        <f>"564873741"</f>
        <v>564873741</v>
      </c>
      <c r="CQ607">
        <v>0</v>
      </c>
      <c r="CR607">
        <v>2</v>
      </c>
      <c r="CS607">
        <v>0</v>
      </c>
      <c r="CT607">
        <v>2</v>
      </c>
      <c r="CU607">
        <v>0</v>
      </c>
      <c r="CV607">
        <v>5</v>
      </c>
      <c r="CW607" t="s">
        <v>120</v>
      </c>
      <c r="CX607">
        <v>261</v>
      </c>
      <c r="CY607">
        <v>2</v>
      </c>
      <c r="CZ607" t="s">
        <v>121</v>
      </c>
      <c r="DA607" t="s">
        <v>122</v>
      </c>
      <c r="DD607">
        <v>14564956</v>
      </c>
      <c r="DE607" t="s">
        <v>123</v>
      </c>
    </row>
    <row r="608" spans="1:109" x14ac:dyDescent="0.3">
      <c r="A608" t="str">
        <f>"18:44:39.727"</f>
        <v>18:44:39.727</v>
      </c>
      <c r="B608" t="s">
        <v>110</v>
      </c>
      <c r="C608" t="str">
        <f t="shared" si="27"/>
        <v>ffdfd3c0</v>
      </c>
      <c r="D608" t="s">
        <v>111</v>
      </c>
      <c r="E608">
        <v>18</v>
      </c>
      <c r="F608">
        <v>1018</v>
      </c>
      <c r="G608" t="s">
        <v>112</v>
      </c>
      <c r="J608" t="s">
        <v>113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R608" t="s">
        <v>114</v>
      </c>
      <c r="S608" t="str">
        <f>"18:44:39.461"</f>
        <v>18:44:39.461</v>
      </c>
      <c r="T608" t="str">
        <f>"18:44:39.461"</f>
        <v>18:44:39.461</v>
      </c>
      <c r="U608" t="str">
        <f t="shared" si="28"/>
        <v>a1cdbe</v>
      </c>
      <c r="V608">
        <v>0</v>
      </c>
      <c r="W608">
        <v>0</v>
      </c>
      <c r="X608">
        <v>1</v>
      </c>
      <c r="Y608">
        <v>0</v>
      </c>
      <c r="Z608">
        <v>0</v>
      </c>
      <c r="AB608">
        <v>0</v>
      </c>
      <c r="AC608">
        <v>9</v>
      </c>
      <c r="AD608">
        <v>3</v>
      </c>
      <c r="AE608">
        <v>0</v>
      </c>
      <c r="AF608">
        <v>9</v>
      </c>
      <c r="AG608" t="s">
        <v>158</v>
      </c>
      <c r="AH608">
        <v>0</v>
      </c>
      <c r="AI608">
        <v>3</v>
      </c>
      <c r="AJ608">
        <v>1</v>
      </c>
      <c r="AK608">
        <v>0</v>
      </c>
      <c r="AL608" t="s">
        <v>1285</v>
      </c>
      <c r="AM608">
        <v>46.919260000000001</v>
      </c>
      <c r="AN608" t="s">
        <v>1286</v>
      </c>
      <c r="AO608">
        <v>-122.34804200000001</v>
      </c>
      <c r="AP608">
        <v>100</v>
      </c>
      <c r="AQ608">
        <v>1900</v>
      </c>
      <c r="AR608" t="s">
        <v>118</v>
      </c>
      <c r="AS608">
        <v>-35</v>
      </c>
      <c r="AT608">
        <v>-69</v>
      </c>
      <c r="AU608">
        <v>192</v>
      </c>
      <c r="BC608">
        <v>1200</v>
      </c>
      <c r="BD608">
        <v>1</v>
      </c>
      <c r="BE608" t="str">
        <f t="shared" si="29"/>
        <v xml:space="preserve">N215T   </v>
      </c>
      <c r="BF608">
        <v>1</v>
      </c>
      <c r="BH608">
        <v>0</v>
      </c>
      <c r="BI608">
        <v>0</v>
      </c>
      <c r="BJ608">
        <v>0</v>
      </c>
      <c r="BK608">
        <v>2325</v>
      </c>
      <c r="BL608">
        <v>425</v>
      </c>
      <c r="BM608" t="s">
        <v>119</v>
      </c>
      <c r="BN608">
        <v>1</v>
      </c>
      <c r="BO608">
        <v>1</v>
      </c>
      <c r="BP608">
        <v>1</v>
      </c>
      <c r="BQ608">
        <v>0</v>
      </c>
      <c r="BT608">
        <v>0</v>
      </c>
      <c r="BU608">
        <v>0</v>
      </c>
      <c r="BV608">
        <v>0</v>
      </c>
      <c r="CC608" t="str">
        <f>"18:44:39.461"</f>
        <v>18:44:39.461</v>
      </c>
      <c r="CD608" t="str">
        <f>"464785216"</f>
        <v>464785216</v>
      </c>
      <c r="CQ608">
        <v>0</v>
      </c>
      <c r="CR608">
        <v>2</v>
      </c>
      <c r="CS608">
        <v>0</v>
      </c>
      <c r="CT608">
        <v>2</v>
      </c>
      <c r="CU608">
        <v>0</v>
      </c>
      <c r="CV608">
        <v>5</v>
      </c>
      <c r="CW608" t="s">
        <v>120</v>
      </c>
      <c r="CX608">
        <v>261</v>
      </c>
      <c r="CY608">
        <v>2</v>
      </c>
      <c r="CZ608" t="s">
        <v>121</v>
      </c>
      <c r="DA608" t="s">
        <v>122</v>
      </c>
      <c r="DD608">
        <v>14565407</v>
      </c>
      <c r="DE608" t="s">
        <v>123</v>
      </c>
    </row>
    <row r="609" spans="1:109" x14ac:dyDescent="0.3">
      <c r="A609" t="str">
        <f>"18:44:40.883"</f>
        <v>18:44:40.883</v>
      </c>
      <c r="B609" t="s">
        <v>110</v>
      </c>
      <c r="C609" t="str">
        <f t="shared" si="27"/>
        <v>ffdfd3c0</v>
      </c>
      <c r="D609" t="s">
        <v>111</v>
      </c>
      <c r="E609">
        <v>18</v>
      </c>
      <c r="F609">
        <v>1018</v>
      </c>
      <c r="G609" t="s">
        <v>112</v>
      </c>
      <c r="J609" t="s">
        <v>113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R609" t="s">
        <v>114</v>
      </c>
      <c r="S609" t="str">
        <f>"18:44:40.648"</f>
        <v>18:44:40.648</v>
      </c>
      <c r="T609" t="str">
        <f>"18:44:40.352"</f>
        <v>18:44:40.352</v>
      </c>
      <c r="U609" t="str">
        <f t="shared" si="28"/>
        <v>a1cdbe</v>
      </c>
      <c r="V609">
        <v>0</v>
      </c>
      <c r="W609">
        <v>0</v>
      </c>
      <c r="X609">
        <v>1</v>
      </c>
      <c r="Y609">
        <v>0</v>
      </c>
      <c r="Z609">
        <v>0</v>
      </c>
      <c r="AB609">
        <v>0</v>
      </c>
      <c r="AC609">
        <v>9</v>
      </c>
      <c r="AD609">
        <v>3</v>
      </c>
      <c r="AE609">
        <v>0</v>
      </c>
      <c r="AF609">
        <v>9</v>
      </c>
      <c r="AG609" t="s">
        <v>158</v>
      </c>
      <c r="AH609">
        <v>0</v>
      </c>
      <c r="AI609">
        <v>3</v>
      </c>
      <c r="AJ609">
        <v>1</v>
      </c>
      <c r="AK609">
        <v>0</v>
      </c>
      <c r="AL609" t="s">
        <v>1287</v>
      </c>
      <c r="AM609">
        <v>46.918874000000002</v>
      </c>
      <c r="AN609" t="s">
        <v>1288</v>
      </c>
      <c r="AO609">
        <v>-122.34832</v>
      </c>
      <c r="AP609">
        <v>100</v>
      </c>
      <c r="AQ609">
        <v>1900</v>
      </c>
      <c r="AR609" t="s">
        <v>118</v>
      </c>
      <c r="AS609">
        <v>-36</v>
      </c>
      <c r="AT609">
        <v>-69</v>
      </c>
      <c r="AU609">
        <v>192</v>
      </c>
      <c r="BC609">
        <v>1200</v>
      </c>
      <c r="BD609">
        <v>1</v>
      </c>
      <c r="BE609" t="str">
        <f t="shared" si="29"/>
        <v xml:space="preserve">N215T   </v>
      </c>
      <c r="BF609">
        <v>1</v>
      </c>
      <c r="BH609">
        <v>0</v>
      </c>
      <c r="BI609">
        <v>0</v>
      </c>
      <c r="BJ609">
        <v>0</v>
      </c>
      <c r="BK609">
        <v>2325</v>
      </c>
      <c r="BL609">
        <v>425</v>
      </c>
      <c r="BM609" t="s">
        <v>119</v>
      </c>
      <c r="BN609">
        <v>1</v>
      </c>
      <c r="BO609">
        <v>1</v>
      </c>
      <c r="BP609">
        <v>1</v>
      </c>
      <c r="BQ609">
        <v>0</v>
      </c>
      <c r="BT609">
        <v>0</v>
      </c>
      <c r="BU609">
        <v>0</v>
      </c>
      <c r="BV609">
        <v>0</v>
      </c>
      <c r="CC609" t="str">
        <f>"18:44:40.648"</f>
        <v>18:44:40.648</v>
      </c>
      <c r="CD609" t="str">
        <f>"649668632"</f>
        <v>649668632</v>
      </c>
      <c r="CQ609">
        <v>0</v>
      </c>
      <c r="CR609">
        <v>2</v>
      </c>
      <c r="CS609">
        <v>0</v>
      </c>
      <c r="CT609">
        <v>2</v>
      </c>
      <c r="CU609">
        <v>0</v>
      </c>
      <c r="CV609">
        <v>4</v>
      </c>
      <c r="CW609" t="s">
        <v>120</v>
      </c>
      <c r="CX609">
        <v>261</v>
      </c>
      <c r="CY609">
        <v>2</v>
      </c>
      <c r="CZ609" t="s">
        <v>121</v>
      </c>
      <c r="DA609" t="s">
        <v>122</v>
      </c>
      <c r="DD609">
        <v>14565972</v>
      </c>
      <c r="DE609" t="s">
        <v>123</v>
      </c>
    </row>
    <row r="610" spans="1:109" x14ac:dyDescent="0.3">
      <c r="A610" t="str">
        <f>"18:44:42.547"</f>
        <v>18:44:42.547</v>
      </c>
      <c r="B610" t="s">
        <v>110</v>
      </c>
      <c r="C610" t="str">
        <f t="shared" si="27"/>
        <v>ffdfd3c0</v>
      </c>
      <c r="D610" t="s">
        <v>111</v>
      </c>
      <c r="E610">
        <v>18</v>
      </c>
      <c r="F610">
        <v>1018</v>
      </c>
      <c r="G610" t="s">
        <v>112</v>
      </c>
      <c r="J610" t="s">
        <v>113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R610" t="s">
        <v>114</v>
      </c>
      <c r="S610" t="str">
        <f>"18:44:42.266"</f>
        <v>18:44:42.266</v>
      </c>
      <c r="T610" t="str">
        <f>"18:44:41.766"</f>
        <v>18:44:41.766</v>
      </c>
      <c r="U610" t="str">
        <f t="shared" si="28"/>
        <v>a1cdbe</v>
      </c>
      <c r="V610">
        <v>0</v>
      </c>
      <c r="W610">
        <v>0</v>
      </c>
      <c r="X610">
        <v>1</v>
      </c>
      <c r="Y610">
        <v>0</v>
      </c>
      <c r="Z610">
        <v>0</v>
      </c>
      <c r="AB610">
        <v>0</v>
      </c>
      <c r="AC610">
        <v>9</v>
      </c>
      <c r="AD610">
        <v>3</v>
      </c>
      <c r="AE610">
        <v>0</v>
      </c>
      <c r="AF610">
        <v>9</v>
      </c>
      <c r="AG610" t="s">
        <v>158</v>
      </c>
      <c r="AH610">
        <v>0</v>
      </c>
      <c r="AI610">
        <v>3</v>
      </c>
      <c r="AJ610">
        <v>1</v>
      </c>
      <c r="AK610">
        <v>0</v>
      </c>
      <c r="AL610" t="s">
        <v>1289</v>
      </c>
      <c r="AM610">
        <v>46.918379999999999</v>
      </c>
      <c r="AN610" t="s">
        <v>1290</v>
      </c>
      <c r="AO610">
        <v>-122.34875</v>
      </c>
      <c r="AP610">
        <v>100</v>
      </c>
      <c r="AQ610">
        <v>1900</v>
      </c>
      <c r="AR610" t="s">
        <v>118</v>
      </c>
      <c r="AS610">
        <v>-37</v>
      </c>
      <c r="AT610">
        <v>-68</v>
      </c>
      <c r="AU610">
        <v>64</v>
      </c>
      <c r="BC610">
        <v>1200</v>
      </c>
      <c r="BD610">
        <v>1</v>
      </c>
      <c r="BE610" t="str">
        <f t="shared" si="29"/>
        <v xml:space="preserve">N215T   </v>
      </c>
      <c r="BF610">
        <v>1</v>
      </c>
      <c r="BH610">
        <v>0</v>
      </c>
      <c r="BI610">
        <v>0</v>
      </c>
      <c r="BJ610">
        <v>0</v>
      </c>
      <c r="BK610">
        <v>2325</v>
      </c>
      <c r="BL610">
        <v>425</v>
      </c>
      <c r="BM610" t="s">
        <v>119</v>
      </c>
      <c r="BN610">
        <v>1</v>
      </c>
      <c r="BO610">
        <v>1</v>
      </c>
      <c r="BP610">
        <v>1</v>
      </c>
      <c r="BQ610">
        <v>0</v>
      </c>
      <c r="BT610">
        <v>0</v>
      </c>
      <c r="BU610">
        <v>0</v>
      </c>
      <c r="BV610">
        <v>0</v>
      </c>
      <c r="CC610" t="str">
        <f>"18:44:42.266"</f>
        <v>18:44:42.266</v>
      </c>
      <c r="CD610" t="str">
        <f>"269509257"</f>
        <v>269509257</v>
      </c>
      <c r="CQ610">
        <v>0</v>
      </c>
      <c r="CR610">
        <v>2</v>
      </c>
      <c r="CS610">
        <v>0</v>
      </c>
      <c r="CT610">
        <v>2</v>
      </c>
      <c r="CU610">
        <v>0</v>
      </c>
      <c r="CV610">
        <v>3</v>
      </c>
      <c r="CW610" t="s">
        <v>120</v>
      </c>
      <c r="CX610">
        <v>261</v>
      </c>
      <c r="CY610">
        <v>1</v>
      </c>
      <c r="CZ610" t="s">
        <v>121</v>
      </c>
      <c r="DA610" t="s">
        <v>122</v>
      </c>
      <c r="DD610">
        <v>3464300</v>
      </c>
      <c r="DE610" t="s">
        <v>123</v>
      </c>
    </row>
    <row r="611" spans="1:109" x14ac:dyDescent="0.3">
      <c r="A611" t="str">
        <f>"18:44:43.602"</f>
        <v>18:44:43.602</v>
      </c>
      <c r="B611" t="s">
        <v>110</v>
      </c>
      <c r="C611" t="str">
        <f t="shared" si="27"/>
        <v>ffdfd3c0</v>
      </c>
      <c r="D611" t="s">
        <v>111</v>
      </c>
      <c r="E611">
        <v>18</v>
      </c>
      <c r="F611">
        <v>1018</v>
      </c>
      <c r="G611" t="s">
        <v>112</v>
      </c>
      <c r="J611" t="s">
        <v>113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R611" t="s">
        <v>114</v>
      </c>
      <c r="S611" t="str">
        <f>"18:44:43.375"</f>
        <v>18:44:43.375</v>
      </c>
      <c r="T611" t="str">
        <f>"18:44:42.875"</f>
        <v>18:44:42.875</v>
      </c>
      <c r="U611" t="str">
        <f t="shared" si="28"/>
        <v>a1cdbe</v>
      </c>
      <c r="V611">
        <v>0</v>
      </c>
      <c r="W611">
        <v>0</v>
      </c>
      <c r="X611">
        <v>1</v>
      </c>
      <c r="Y611">
        <v>0</v>
      </c>
      <c r="Z611">
        <v>0</v>
      </c>
      <c r="AB611">
        <v>0</v>
      </c>
      <c r="AC611">
        <v>9</v>
      </c>
      <c r="AD611">
        <v>3</v>
      </c>
      <c r="AE611">
        <v>0</v>
      </c>
      <c r="AF611">
        <v>9</v>
      </c>
      <c r="AG611" t="s">
        <v>158</v>
      </c>
      <c r="AH611">
        <v>0</v>
      </c>
      <c r="AI611">
        <v>3</v>
      </c>
      <c r="AJ611">
        <v>1</v>
      </c>
      <c r="AK611">
        <v>0</v>
      </c>
      <c r="AL611" t="s">
        <v>1291</v>
      </c>
      <c r="AM611">
        <v>46.917994</v>
      </c>
      <c r="AN611" t="s">
        <v>1292</v>
      </c>
      <c r="AO611">
        <v>-122.349029</v>
      </c>
      <c r="AP611">
        <v>100</v>
      </c>
      <c r="AQ611">
        <v>1900</v>
      </c>
      <c r="AR611" t="s">
        <v>118</v>
      </c>
      <c r="AS611">
        <v>-38</v>
      </c>
      <c r="AT611">
        <v>-67</v>
      </c>
      <c r="AU611">
        <v>64</v>
      </c>
      <c r="BC611">
        <v>1200</v>
      </c>
      <c r="BD611">
        <v>1</v>
      </c>
      <c r="BE611" t="str">
        <f t="shared" si="29"/>
        <v xml:space="preserve">N215T   </v>
      </c>
      <c r="BF611">
        <v>1</v>
      </c>
      <c r="BH611">
        <v>0</v>
      </c>
      <c r="BI611">
        <v>0</v>
      </c>
      <c r="BJ611">
        <v>0</v>
      </c>
      <c r="BK611">
        <v>2325</v>
      </c>
      <c r="BL611">
        <v>425</v>
      </c>
      <c r="BM611" t="s">
        <v>119</v>
      </c>
      <c r="BN611">
        <v>1</v>
      </c>
      <c r="BO611">
        <v>1</v>
      </c>
      <c r="BP611">
        <v>1</v>
      </c>
      <c r="BQ611">
        <v>0</v>
      </c>
      <c r="BT611">
        <v>0</v>
      </c>
      <c r="BU611">
        <v>0</v>
      </c>
      <c r="BV611">
        <v>0</v>
      </c>
      <c r="CC611" t="str">
        <f>"18:44:43.383"</f>
        <v>18:44:43.383</v>
      </c>
      <c r="CD611" t="str">
        <f>"379400114"</f>
        <v>379400114</v>
      </c>
      <c r="CQ611">
        <v>0</v>
      </c>
      <c r="CR611">
        <v>2</v>
      </c>
      <c r="CS611">
        <v>0</v>
      </c>
      <c r="CT611">
        <v>2</v>
      </c>
      <c r="CU611">
        <v>0</v>
      </c>
      <c r="CV611">
        <v>3</v>
      </c>
      <c r="CW611" t="s">
        <v>120</v>
      </c>
      <c r="CX611">
        <v>261</v>
      </c>
      <c r="CY611">
        <v>1</v>
      </c>
      <c r="CZ611" t="s">
        <v>121</v>
      </c>
      <c r="DA611" t="s">
        <v>122</v>
      </c>
      <c r="DD611">
        <v>3464929</v>
      </c>
      <c r="DE611" t="s">
        <v>123</v>
      </c>
    </row>
    <row r="612" spans="1:109" x14ac:dyDescent="0.3">
      <c r="A612" t="str">
        <f>"18:44:44.508"</f>
        <v>18:44:44.508</v>
      </c>
      <c r="B612" t="s">
        <v>110</v>
      </c>
      <c r="C612" t="str">
        <f t="shared" si="27"/>
        <v>ffdfd3c0</v>
      </c>
      <c r="D612" t="s">
        <v>111</v>
      </c>
      <c r="E612">
        <v>18</v>
      </c>
      <c r="F612">
        <v>1018</v>
      </c>
      <c r="G612" t="s">
        <v>112</v>
      </c>
      <c r="J612" t="s">
        <v>113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R612" t="s">
        <v>114</v>
      </c>
      <c r="S612" t="str">
        <f>"18:44:44.258"</f>
        <v>18:44:44.258</v>
      </c>
      <c r="T612" t="str">
        <f>"18:44:43.859"</f>
        <v>18:44:43.859</v>
      </c>
      <c r="U612" t="str">
        <f t="shared" si="28"/>
        <v>a1cdbe</v>
      </c>
      <c r="V612">
        <v>0</v>
      </c>
      <c r="W612">
        <v>0</v>
      </c>
      <c r="X612">
        <v>1</v>
      </c>
      <c r="Y612">
        <v>0</v>
      </c>
      <c r="Z612">
        <v>0</v>
      </c>
      <c r="AB612">
        <v>0</v>
      </c>
      <c r="AC612">
        <v>9</v>
      </c>
      <c r="AD612">
        <v>3</v>
      </c>
      <c r="AE612">
        <v>0</v>
      </c>
      <c r="AF612">
        <v>9</v>
      </c>
      <c r="AG612" t="s">
        <v>158</v>
      </c>
      <c r="AH612">
        <v>0</v>
      </c>
      <c r="AI612">
        <v>3</v>
      </c>
      <c r="AJ612">
        <v>1</v>
      </c>
      <c r="AK612">
        <v>0</v>
      </c>
      <c r="AL612" t="s">
        <v>1293</v>
      </c>
      <c r="AM612">
        <v>46.917715000000001</v>
      </c>
      <c r="AN612" t="s">
        <v>1294</v>
      </c>
      <c r="AO612">
        <v>-122.34930799999999</v>
      </c>
      <c r="AP612">
        <v>100</v>
      </c>
      <c r="AQ612">
        <v>1900</v>
      </c>
      <c r="AR612" t="s">
        <v>118</v>
      </c>
      <c r="AS612">
        <v>-39</v>
      </c>
      <c r="AT612">
        <v>-67</v>
      </c>
      <c r="AU612">
        <v>192</v>
      </c>
      <c r="BC612">
        <v>1200</v>
      </c>
      <c r="BD612">
        <v>1</v>
      </c>
      <c r="BE612" t="str">
        <f t="shared" si="29"/>
        <v xml:space="preserve">N215T   </v>
      </c>
      <c r="BF612">
        <v>1</v>
      </c>
      <c r="BH612">
        <v>0</v>
      </c>
      <c r="BI612">
        <v>0</v>
      </c>
      <c r="BJ612">
        <v>0</v>
      </c>
      <c r="BK612">
        <v>2325</v>
      </c>
      <c r="BL612">
        <v>425</v>
      </c>
      <c r="BM612" t="s">
        <v>119</v>
      </c>
      <c r="BN612">
        <v>1</v>
      </c>
      <c r="BO612">
        <v>1</v>
      </c>
      <c r="BP612">
        <v>1</v>
      </c>
      <c r="BQ612">
        <v>0</v>
      </c>
      <c r="BT612">
        <v>0</v>
      </c>
      <c r="BU612">
        <v>0</v>
      </c>
      <c r="BV612">
        <v>0</v>
      </c>
      <c r="CC612" t="str">
        <f>"18:44:44.266"</f>
        <v>18:44:44.266</v>
      </c>
      <c r="CD612" t="str">
        <f>"264313040"</f>
        <v>264313040</v>
      </c>
      <c r="CQ612">
        <v>0</v>
      </c>
      <c r="CR612">
        <v>2</v>
      </c>
      <c r="CS612">
        <v>0</v>
      </c>
      <c r="CT612">
        <v>2</v>
      </c>
      <c r="CU612">
        <v>0</v>
      </c>
      <c r="CV612">
        <v>3</v>
      </c>
      <c r="CW612" t="s">
        <v>120</v>
      </c>
      <c r="CX612">
        <v>261</v>
      </c>
      <c r="CY612">
        <v>1</v>
      </c>
      <c r="CZ612" t="s">
        <v>121</v>
      </c>
      <c r="DA612" t="s">
        <v>122</v>
      </c>
      <c r="DD612">
        <v>3465473</v>
      </c>
      <c r="DE612" t="s">
        <v>123</v>
      </c>
    </row>
    <row r="613" spans="1:109" x14ac:dyDescent="0.3">
      <c r="A613" t="str">
        <f>"18:44:45.414"</f>
        <v>18:44:45.414</v>
      </c>
      <c r="B613" t="s">
        <v>110</v>
      </c>
      <c r="C613" t="str">
        <f t="shared" si="27"/>
        <v>ffdfd3c0</v>
      </c>
      <c r="D613" t="s">
        <v>111</v>
      </c>
      <c r="E613">
        <v>18</v>
      </c>
      <c r="F613">
        <v>1018</v>
      </c>
      <c r="G613" t="s">
        <v>112</v>
      </c>
      <c r="J613" t="s">
        <v>113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R613" t="s">
        <v>114</v>
      </c>
      <c r="S613" t="str">
        <f>"18:44:45.172"</f>
        <v>18:44:45.172</v>
      </c>
      <c r="T613" t="str">
        <f>"18:44:44.875"</f>
        <v>18:44:44.875</v>
      </c>
      <c r="U613" t="str">
        <f t="shared" si="28"/>
        <v>a1cdbe</v>
      </c>
      <c r="V613">
        <v>0</v>
      </c>
      <c r="W613">
        <v>0</v>
      </c>
      <c r="X613">
        <v>1</v>
      </c>
      <c r="Y613">
        <v>0</v>
      </c>
      <c r="Z613">
        <v>0</v>
      </c>
      <c r="AB613">
        <v>0</v>
      </c>
      <c r="AC613">
        <v>9</v>
      </c>
      <c r="AD613">
        <v>3</v>
      </c>
      <c r="AE613">
        <v>0</v>
      </c>
      <c r="AF613">
        <v>9</v>
      </c>
      <c r="AG613" t="s">
        <v>158</v>
      </c>
      <c r="AH613">
        <v>0</v>
      </c>
      <c r="AI613">
        <v>3</v>
      </c>
      <c r="AJ613">
        <v>1</v>
      </c>
      <c r="AK613">
        <v>0</v>
      </c>
      <c r="AL613" t="s">
        <v>1295</v>
      </c>
      <c r="AM613">
        <v>46.917479</v>
      </c>
      <c r="AN613" t="s">
        <v>1296</v>
      </c>
      <c r="AO613">
        <v>-122.34952199999999</v>
      </c>
      <c r="AP613">
        <v>100</v>
      </c>
      <c r="AQ613">
        <v>2000</v>
      </c>
      <c r="AR613" t="s">
        <v>118</v>
      </c>
      <c r="AS613">
        <v>-39</v>
      </c>
      <c r="AT613">
        <v>-66</v>
      </c>
      <c r="AU613">
        <v>256</v>
      </c>
      <c r="BC613">
        <v>1200</v>
      </c>
      <c r="BD613">
        <v>1</v>
      </c>
      <c r="BE613" t="str">
        <f t="shared" si="29"/>
        <v xml:space="preserve">N215T   </v>
      </c>
      <c r="BF613">
        <v>1</v>
      </c>
      <c r="BH613">
        <v>0</v>
      </c>
      <c r="BI613">
        <v>0</v>
      </c>
      <c r="BJ613">
        <v>0</v>
      </c>
      <c r="BK613">
        <v>2325</v>
      </c>
      <c r="BL613">
        <v>325</v>
      </c>
      <c r="BM613" t="s">
        <v>119</v>
      </c>
      <c r="BN613">
        <v>1</v>
      </c>
      <c r="BO613">
        <v>1</v>
      </c>
      <c r="BP613">
        <v>1</v>
      </c>
      <c r="BQ613">
        <v>0</v>
      </c>
      <c r="BT613">
        <v>0</v>
      </c>
      <c r="BU613">
        <v>0</v>
      </c>
      <c r="BV613">
        <v>0</v>
      </c>
      <c r="CC613" t="str">
        <f>"18:44:45.180"</f>
        <v>18:44:45.180</v>
      </c>
      <c r="CD613" t="str">
        <f>"179223038"</f>
        <v>179223038</v>
      </c>
      <c r="CQ613">
        <v>0</v>
      </c>
      <c r="CR613">
        <v>2</v>
      </c>
      <c r="CS613">
        <v>0</v>
      </c>
      <c r="CT613">
        <v>2</v>
      </c>
      <c r="CU613">
        <v>0</v>
      </c>
      <c r="CV613">
        <v>4</v>
      </c>
      <c r="CW613" t="s">
        <v>120</v>
      </c>
      <c r="CX613">
        <v>261</v>
      </c>
      <c r="CY613">
        <v>2</v>
      </c>
      <c r="CZ613" t="s">
        <v>121</v>
      </c>
      <c r="DA613" t="s">
        <v>122</v>
      </c>
      <c r="DD613">
        <v>14568211</v>
      </c>
      <c r="DE613" t="s">
        <v>123</v>
      </c>
    </row>
    <row r="614" spans="1:109" x14ac:dyDescent="0.3">
      <c r="A614" t="str">
        <f>"18:44:46.516"</f>
        <v>18:44:46.516</v>
      </c>
      <c r="B614" t="s">
        <v>110</v>
      </c>
      <c r="C614" t="str">
        <f t="shared" si="27"/>
        <v>ffdfd3c0</v>
      </c>
      <c r="D614" t="s">
        <v>111</v>
      </c>
      <c r="E614">
        <v>18</v>
      </c>
      <c r="F614">
        <v>1018</v>
      </c>
      <c r="G614" t="s">
        <v>112</v>
      </c>
      <c r="J614" t="s">
        <v>113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R614" t="s">
        <v>114</v>
      </c>
      <c r="S614" t="str">
        <f>"18:44:46.289"</f>
        <v>18:44:46.289</v>
      </c>
      <c r="T614" t="str">
        <f>"18:44:45.789"</f>
        <v>18:44:45.789</v>
      </c>
      <c r="U614" t="str">
        <f t="shared" si="28"/>
        <v>a1cdbe</v>
      </c>
      <c r="V614">
        <v>0</v>
      </c>
      <c r="W614">
        <v>0</v>
      </c>
      <c r="X614">
        <v>1</v>
      </c>
      <c r="Y614">
        <v>0</v>
      </c>
      <c r="Z614">
        <v>0</v>
      </c>
      <c r="AB614">
        <v>0</v>
      </c>
      <c r="AC614">
        <v>9</v>
      </c>
      <c r="AD614">
        <v>3</v>
      </c>
      <c r="AE614">
        <v>0</v>
      </c>
      <c r="AF614">
        <v>9</v>
      </c>
      <c r="AG614" t="s">
        <v>158</v>
      </c>
      <c r="AH614">
        <v>0</v>
      </c>
      <c r="AI614">
        <v>3</v>
      </c>
      <c r="AJ614">
        <v>1</v>
      </c>
      <c r="AK614">
        <v>0</v>
      </c>
      <c r="AL614" t="s">
        <v>1297</v>
      </c>
      <c r="AM614">
        <v>46.917113999999998</v>
      </c>
      <c r="AN614" t="s">
        <v>1298</v>
      </c>
      <c r="AO614">
        <v>-122.349801</v>
      </c>
      <c r="AP614">
        <v>100</v>
      </c>
      <c r="AQ614">
        <v>2000</v>
      </c>
      <c r="AR614" t="s">
        <v>118</v>
      </c>
      <c r="AS614">
        <v>-39</v>
      </c>
      <c r="AT614">
        <v>-65</v>
      </c>
      <c r="AU614">
        <v>320</v>
      </c>
      <c r="BC614">
        <v>1200</v>
      </c>
      <c r="BD614">
        <v>1</v>
      </c>
      <c r="BE614" t="str">
        <f t="shared" si="29"/>
        <v xml:space="preserve">N215T   </v>
      </c>
      <c r="BF614">
        <v>1</v>
      </c>
      <c r="BH614">
        <v>0</v>
      </c>
      <c r="BI614">
        <v>0</v>
      </c>
      <c r="BJ614">
        <v>0</v>
      </c>
      <c r="BK614">
        <v>2350</v>
      </c>
      <c r="BL614">
        <v>350</v>
      </c>
      <c r="BM614" t="s">
        <v>119</v>
      </c>
      <c r="BN614">
        <v>1</v>
      </c>
      <c r="BO614">
        <v>1</v>
      </c>
      <c r="BP614">
        <v>1</v>
      </c>
      <c r="BQ614">
        <v>0</v>
      </c>
      <c r="BT614">
        <v>0</v>
      </c>
      <c r="BU614">
        <v>0</v>
      </c>
      <c r="BV614">
        <v>0</v>
      </c>
      <c r="CC614" t="str">
        <f>"18:44:46.289"</f>
        <v>18:44:46.289</v>
      </c>
      <c r="CD614" t="str">
        <f>"289113832"</f>
        <v>289113832</v>
      </c>
      <c r="CQ614">
        <v>0</v>
      </c>
      <c r="CR614">
        <v>2</v>
      </c>
      <c r="CS614">
        <v>0</v>
      </c>
      <c r="CT614">
        <v>2</v>
      </c>
      <c r="CU614">
        <v>0</v>
      </c>
      <c r="CV614">
        <v>4</v>
      </c>
      <c r="CW614" t="s">
        <v>120</v>
      </c>
      <c r="CX614">
        <v>261</v>
      </c>
      <c r="CY614">
        <v>1</v>
      </c>
      <c r="CZ614" t="s">
        <v>121</v>
      </c>
      <c r="DA614" t="s">
        <v>122</v>
      </c>
      <c r="DD614">
        <v>3466621</v>
      </c>
      <c r="DE614" t="s">
        <v>123</v>
      </c>
    </row>
    <row r="615" spans="1:109" x14ac:dyDescent="0.3">
      <c r="A615" t="str">
        <f>"18:44:47.477"</f>
        <v>18:44:47.477</v>
      </c>
      <c r="B615" t="s">
        <v>110</v>
      </c>
      <c r="C615" t="str">
        <f t="shared" si="27"/>
        <v>ffdfd3c0</v>
      </c>
      <c r="D615" t="s">
        <v>111</v>
      </c>
      <c r="E615">
        <v>18</v>
      </c>
      <c r="F615">
        <v>1018</v>
      </c>
      <c r="G615" t="s">
        <v>112</v>
      </c>
      <c r="J615" t="s">
        <v>113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R615" t="s">
        <v>114</v>
      </c>
      <c r="S615" t="str">
        <f>"18:44:47.242"</f>
        <v>18:44:47.242</v>
      </c>
      <c r="T615" t="str">
        <f>"18:44:46.945"</f>
        <v>18:44:46.945</v>
      </c>
      <c r="U615" t="str">
        <f t="shared" si="28"/>
        <v>a1cdbe</v>
      </c>
      <c r="V615">
        <v>0</v>
      </c>
      <c r="W615">
        <v>0</v>
      </c>
      <c r="X615">
        <v>1</v>
      </c>
      <c r="Y615">
        <v>0</v>
      </c>
      <c r="Z615">
        <v>0</v>
      </c>
      <c r="AB615">
        <v>0</v>
      </c>
      <c r="AC615">
        <v>9</v>
      </c>
      <c r="AD615">
        <v>3</v>
      </c>
      <c r="AE615">
        <v>0</v>
      </c>
      <c r="AF615">
        <v>9</v>
      </c>
      <c r="AG615" t="s">
        <v>158</v>
      </c>
      <c r="AH615">
        <v>0</v>
      </c>
      <c r="AI615">
        <v>3</v>
      </c>
      <c r="AJ615">
        <v>1</v>
      </c>
      <c r="AK615">
        <v>0</v>
      </c>
      <c r="AL615" t="s">
        <v>1299</v>
      </c>
      <c r="AM615">
        <v>46.916834999999999</v>
      </c>
      <c r="AN615" t="s">
        <v>1300</v>
      </c>
      <c r="AO615">
        <v>-122.350059</v>
      </c>
      <c r="AP615">
        <v>100</v>
      </c>
      <c r="AQ615">
        <v>2000</v>
      </c>
      <c r="AR615" t="s">
        <v>118</v>
      </c>
      <c r="AS615">
        <v>-39</v>
      </c>
      <c r="AT615">
        <v>-64</v>
      </c>
      <c r="AU615">
        <v>256</v>
      </c>
      <c r="BC615">
        <v>1200</v>
      </c>
      <c r="BD615">
        <v>1</v>
      </c>
      <c r="BE615" t="str">
        <f t="shared" si="29"/>
        <v xml:space="preserve">N215T   </v>
      </c>
      <c r="BF615">
        <v>1</v>
      </c>
      <c r="BH615">
        <v>0</v>
      </c>
      <c r="BI615">
        <v>0</v>
      </c>
      <c r="BJ615">
        <v>0</v>
      </c>
      <c r="BK615">
        <v>2350</v>
      </c>
      <c r="BL615">
        <v>350</v>
      </c>
      <c r="BM615" t="s">
        <v>119</v>
      </c>
      <c r="BN615">
        <v>1</v>
      </c>
      <c r="BO615">
        <v>1</v>
      </c>
      <c r="BP615">
        <v>1</v>
      </c>
      <c r="BQ615">
        <v>0</v>
      </c>
      <c r="BT615">
        <v>0</v>
      </c>
      <c r="BU615">
        <v>0</v>
      </c>
      <c r="BV615">
        <v>0</v>
      </c>
      <c r="CC615" t="str">
        <f>"18:44:47.250"</f>
        <v>18:44:47.250</v>
      </c>
      <c r="CD615" t="str">
        <f>"249019404"</f>
        <v>249019404</v>
      </c>
      <c r="CQ615">
        <v>0</v>
      </c>
      <c r="CR615">
        <v>2</v>
      </c>
      <c r="CS615">
        <v>0</v>
      </c>
      <c r="CT615">
        <v>2</v>
      </c>
      <c r="CU615">
        <v>0</v>
      </c>
      <c r="CV615">
        <v>3</v>
      </c>
      <c r="CW615" t="s">
        <v>120</v>
      </c>
      <c r="CX615">
        <v>261</v>
      </c>
      <c r="CY615">
        <v>2</v>
      </c>
      <c r="CZ615" t="s">
        <v>121</v>
      </c>
      <c r="DA615" t="s">
        <v>122</v>
      </c>
      <c r="DD615">
        <v>14569185</v>
      </c>
      <c r="DE615" t="s">
        <v>123</v>
      </c>
    </row>
    <row r="616" spans="1:109" x14ac:dyDescent="0.3">
      <c r="A616" t="str">
        <f>"18:44:48.578"</f>
        <v>18:44:48.578</v>
      </c>
      <c r="B616" t="s">
        <v>110</v>
      </c>
      <c r="C616" t="str">
        <f t="shared" si="27"/>
        <v>ffdfd3c0</v>
      </c>
      <c r="D616" t="s">
        <v>111</v>
      </c>
      <c r="E616">
        <v>18</v>
      </c>
      <c r="F616">
        <v>1018</v>
      </c>
      <c r="G616" t="s">
        <v>112</v>
      </c>
      <c r="J616" t="s">
        <v>113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R616" t="s">
        <v>114</v>
      </c>
      <c r="S616" t="str">
        <f>"18:44:48.297"</f>
        <v>18:44:48.297</v>
      </c>
      <c r="T616" t="str">
        <f>"18:44:48.000"</f>
        <v>18:44:48.000</v>
      </c>
      <c r="U616" t="str">
        <f t="shared" si="28"/>
        <v>a1cdbe</v>
      </c>
      <c r="V616">
        <v>0</v>
      </c>
      <c r="W616">
        <v>0</v>
      </c>
      <c r="X616">
        <v>1</v>
      </c>
      <c r="Y616">
        <v>0</v>
      </c>
      <c r="Z616">
        <v>0</v>
      </c>
      <c r="AB616">
        <v>0</v>
      </c>
      <c r="AC616">
        <v>9</v>
      </c>
      <c r="AD616">
        <v>3</v>
      </c>
      <c r="AE616">
        <v>0</v>
      </c>
      <c r="AF616">
        <v>9</v>
      </c>
      <c r="AG616" t="s">
        <v>158</v>
      </c>
      <c r="AH616">
        <v>0</v>
      </c>
      <c r="AI616">
        <v>3</v>
      </c>
      <c r="AJ616">
        <v>1</v>
      </c>
      <c r="AK616">
        <v>0</v>
      </c>
      <c r="AL616" t="s">
        <v>1301</v>
      </c>
      <c r="AM616">
        <v>46.916556</v>
      </c>
      <c r="AN616" t="s">
        <v>1302</v>
      </c>
      <c r="AO616">
        <v>-122.35038</v>
      </c>
      <c r="AP616">
        <v>100</v>
      </c>
      <c r="AQ616">
        <v>2000</v>
      </c>
      <c r="AR616" t="s">
        <v>118</v>
      </c>
      <c r="AS616">
        <v>-39</v>
      </c>
      <c r="AT616">
        <v>-64</v>
      </c>
      <c r="AU616">
        <v>256</v>
      </c>
      <c r="BC616">
        <v>1200</v>
      </c>
      <c r="BD616">
        <v>1</v>
      </c>
      <c r="BE616" t="str">
        <f t="shared" si="29"/>
        <v xml:space="preserve">N215T   </v>
      </c>
      <c r="BF616">
        <v>1</v>
      </c>
      <c r="BH616">
        <v>0</v>
      </c>
      <c r="BI616">
        <v>0</v>
      </c>
      <c r="BJ616">
        <v>0</v>
      </c>
      <c r="BK616">
        <v>2350</v>
      </c>
      <c r="BL616">
        <v>350</v>
      </c>
      <c r="BM616" t="s">
        <v>119</v>
      </c>
      <c r="BN616">
        <v>1</v>
      </c>
      <c r="BO616">
        <v>1</v>
      </c>
      <c r="BP616">
        <v>1</v>
      </c>
      <c r="BQ616">
        <v>0</v>
      </c>
      <c r="BT616">
        <v>0</v>
      </c>
      <c r="BU616">
        <v>0</v>
      </c>
      <c r="BV616">
        <v>0</v>
      </c>
      <c r="CC616" t="str">
        <f>"18:44:48.297"</f>
        <v>18:44:48.297</v>
      </c>
      <c r="CD616" t="str">
        <f>"298916089"</f>
        <v>298916089</v>
      </c>
      <c r="CQ616">
        <v>0</v>
      </c>
      <c r="CR616">
        <v>2</v>
      </c>
      <c r="CS616">
        <v>0</v>
      </c>
      <c r="CT616">
        <v>2</v>
      </c>
      <c r="CU616">
        <v>0</v>
      </c>
      <c r="CV616">
        <v>1</v>
      </c>
      <c r="CW616" t="s">
        <v>120</v>
      </c>
      <c r="CX616">
        <v>261</v>
      </c>
      <c r="CY616">
        <v>1</v>
      </c>
      <c r="CZ616" t="s">
        <v>121</v>
      </c>
      <c r="DA616" t="s">
        <v>122</v>
      </c>
      <c r="DD616">
        <v>3467766</v>
      </c>
      <c r="DE616" t="s">
        <v>123</v>
      </c>
    </row>
    <row r="617" spans="1:109" x14ac:dyDescent="0.3">
      <c r="A617" t="str">
        <f>"18:44:49.539"</f>
        <v>18:44:49.539</v>
      </c>
      <c r="B617" t="s">
        <v>110</v>
      </c>
      <c r="C617" t="str">
        <f t="shared" si="27"/>
        <v>ffdfd3c0</v>
      </c>
      <c r="D617" t="s">
        <v>111</v>
      </c>
      <c r="E617">
        <v>18</v>
      </c>
      <c r="F617">
        <v>1018</v>
      </c>
      <c r="G617" t="s">
        <v>112</v>
      </c>
      <c r="J617" t="s">
        <v>113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R617" t="s">
        <v>114</v>
      </c>
      <c r="S617" t="str">
        <f>"18:44:49.297"</f>
        <v>18:44:49.297</v>
      </c>
      <c r="T617" t="str">
        <f>"18:44:48.898"</f>
        <v>18:44:48.898</v>
      </c>
      <c r="U617" t="str">
        <f t="shared" si="28"/>
        <v>a1cdbe</v>
      </c>
      <c r="V617">
        <v>0</v>
      </c>
      <c r="W617">
        <v>0</v>
      </c>
      <c r="X617">
        <v>1</v>
      </c>
      <c r="Y617">
        <v>0</v>
      </c>
      <c r="Z617">
        <v>0</v>
      </c>
      <c r="AB617">
        <v>0</v>
      </c>
      <c r="AC617">
        <v>9</v>
      </c>
      <c r="AD617">
        <v>3</v>
      </c>
      <c r="AE617">
        <v>0</v>
      </c>
      <c r="AF617">
        <v>9</v>
      </c>
      <c r="AG617" t="s">
        <v>158</v>
      </c>
      <c r="AH617">
        <v>0</v>
      </c>
      <c r="AI617">
        <v>3</v>
      </c>
      <c r="AJ617">
        <v>1</v>
      </c>
      <c r="AK617">
        <v>0</v>
      </c>
      <c r="AL617" t="s">
        <v>1303</v>
      </c>
      <c r="AM617">
        <v>46.916234000000003</v>
      </c>
      <c r="AN617" t="s">
        <v>1304</v>
      </c>
      <c r="AO617">
        <v>-122.350616</v>
      </c>
      <c r="AP617">
        <v>100</v>
      </c>
      <c r="AQ617">
        <v>2000</v>
      </c>
      <c r="AR617" t="s">
        <v>118</v>
      </c>
      <c r="AS617">
        <v>-40</v>
      </c>
      <c r="AT617">
        <v>-63</v>
      </c>
      <c r="AU617">
        <v>256</v>
      </c>
      <c r="BC617">
        <v>1200</v>
      </c>
      <c r="BD617">
        <v>1</v>
      </c>
      <c r="BE617" t="str">
        <f t="shared" si="29"/>
        <v xml:space="preserve">N215T   </v>
      </c>
      <c r="BF617">
        <v>1</v>
      </c>
      <c r="BH617">
        <v>0</v>
      </c>
      <c r="BI617">
        <v>0</v>
      </c>
      <c r="BJ617">
        <v>0</v>
      </c>
      <c r="BK617">
        <v>2350</v>
      </c>
      <c r="BL617">
        <v>350</v>
      </c>
      <c r="BM617" t="s">
        <v>119</v>
      </c>
      <c r="BN617">
        <v>1</v>
      </c>
      <c r="BO617">
        <v>1</v>
      </c>
      <c r="BP617">
        <v>1</v>
      </c>
      <c r="BQ617">
        <v>0</v>
      </c>
      <c r="BT617">
        <v>0</v>
      </c>
      <c r="BU617">
        <v>0</v>
      </c>
      <c r="BV617">
        <v>0</v>
      </c>
      <c r="CC617" t="str">
        <f>"18:44:49.305"</f>
        <v>18:44:49.305</v>
      </c>
      <c r="CD617" t="str">
        <f>"303817211"</f>
        <v>303817211</v>
      </c>
      <c r="CQ617">
        <v>0</v>
      </c>
      <c r="CR617">
        <v>2</v>
      </c>
      <c r="CS617">
        <v>0</v>
      </c>
      <c r="CT617">
        <v>2</v>
      </c>
      <c r="CU617">
        <v>0</v>
      </c>
      <c r="CV617">
        <v>3</v>
      </c>
      <c r="CW617" t="s">
        <v>120</v>
      </c>
      <c r="CX617">
        <v>261</v>
      </c>
      <c r="CY617">
        <v>2</v>
      </c>
      <c r="CZ617" t="s">
        <v>121</v>
      </c>
      <c r="DA617" t="s">
        <v>122</v>
      </c>
      <c r="DD617">
        <v>14570221</v>
      </c>
      <c r="DE617" t="s">
        <v>123</v>
      </c>
    </row>
    <row r="618" spans="1:109" x14ac:dyDescent="0.3">
      <c r="A618" t="str">
        <f>"18:44:50.945"</f>
        <v>18:44:50.945</v>
      </c>
      <c r="B618" t="s">
        <v>110</v>
      </c>
      <c r="C618" t="str">
        <f t="shared" si="27"/>
        <v>ffdfd3c0</v>
      </c>
      <c r="D618" t="s">
        <v>111</v>
      </c>
      <c r="E618">
        <v>18</v>
      </c>
      <c r="F618">
        <v>1018</v>
      </c>
      <c r="G618" t="s">
        <v>112</v>
      </c>
      <c r="J618" t="s">
        <v>113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R618" t="s">
        <v>114</v>
      </c>
      <c r="S618" t="str">
        <f>"18:44:50.711"</f>
        <v>18:44:50.711</v>
      </c>
      <c r="T618" t="str">
        <f>"18:44:50.609"</f>
        <v>18:44:50.609</v>
      </c>
      <c r="U618" t="str">
        <f t="shared" si="28"/>
        <v>a1cdbe</v>
      </c>
      <c r="V618">
        <v>0</v>
      </c>
      <c r="W618">
        <v>0</v>
      </c>
      <c r="X618">
        <v>1</v>
      </c>
      <c r="Y618">
        <v>0</v>
      </c>
      <c r="Z618">
        <v>0</v>
      </c>
      <c r="AB618">
        <v>0</v>
      </c>
      <c r="AC618">
        <v>9</v>
      </c>
      <c r="AD618">
        <v>3</v>
      </c>
      <c r="AE618">
        <v>0</v>
      </c>
      <c r="AF618">
        <v>9</v>
      </c>
      <c r="AG618" t="s">
        <v>158</v>
      </c>
      <c r="AH618">
        <v>0</v>
      </c>
      <c r="AI618">
        <v>3</v>
      </c>
      <c r="AJ618">
        <v>1</v>
      </c>
      <c r="AK618">
        <v>0</v>
      </c>
      <c r="AL618" t="s">
        <v>1305</v>
      </c>
      <c r="AM618">
        <v>46.915804999999999</v>
      </c>
      <c r="AN618" t="s">
        <v>1306</v>
      </c>
      <c r="AO618">
        <v>-122.35100300000001</v>
      </c>
      <c r="AP618">
        <v>100</v>
      </c>
      <c r="AQ618">
        <v>2000</v>
      </c>
      <c r="AR618" t="s">
        <v>118</v>
      </c>
      <c r="AS618">
        <v>-39</v>
      </c>
      <c r="AT618">
        <v>-63</v>
      </c>
      <c r="AU618">
        <v>256</v>
      </c>
      <c r="BC618">
        <v>1200</v>
      </c>
      <c r="BD618">
        <v>1</v>
      </c>
      <c r="BE618" t="str">
        <f t="shared" si="29"/>
        <v xml:space="preserve">N215T   </v>
      </c>
      <c r="BF618">
        <v>1</v>
      </c>
      <c r="BH618">
        <v>0</v>
      </c>
      <c r="BI618">
        <v>0</v>
      </c>
      <c r="BJ618">
        <v>0</v>
      </c>
      <c r="BK618">
        <v>2350</v>
      </c>
      <c r="BL618">
        <v>350</v>
      </c>
      <c r="BM618" t="s">
        <v>119</v>
      </c>
      <c r="BN618">
        <v>1</v>
      </c>
      <c r="BO618">
        <v>1</v>
      </c>
      <c r="BP618">
        <v>1</v>
      </c>
      <c r="BQ618">
        <v>0</v>
      </c>
      <c r="BT618">
        <v>0</v>
      </c>
      <c r="BU618">
        <v>0</v>
      </c>
      <c r="BV618">
        <v>0</v>
      </c>
      <c r="CC618" t="str">
        <f>"18:44:50.711"</f>
        <v>18:44:50.711</v>
      </c>
      <c r="CD618" t="str">
        <f>"713678531"</f>
        <v>713678531</v>
      </c>
      <c r="CQ618">
        <v>0</v>
      </c>
      <c r="CR618">
        <v>2</v>
      </c>
      <c r="CS618">
        <v>0</v>
      </c>
      <c r="CT618">
        <v>2</v>
      </c>
      <c r="CU618">
        <v>0</v>
      </c>
      <c r="CV618">
        <v>2</v>
      </c>
      <c r="CW618" t="s">
        <v>120</v>
      </c>
      <c r="CX618">
        <v>261</v>
      </c>
      <c r="CY618">
        <v>2</v>
      </c>
      <c r="CZ618" t="s">
        <v>121</v>
      </c>
      <c r="DA618" t="s">
        <v>122</v>
      </c>
      <c r="DD618">
        <v>14570872</v>
      </c>
      <c r="DE618" t="s">
        <v>123</v>
      </c>
    </row>
    <row r="619" spans="1:109" x14ac:dyDescent="0.3">
      <c r="A619" t="str">
        <f>"18:44:51.898"</f>
        <v>18:44:51.898</v>
      </c>
      <c r="B619" t="s">
        <v>110</v>
      </c>
      <c r="C619" t="str">
        <f t="shared" si="27"/>
        <v>ffdfd3c0</v>
      </c>
      <c r="D619" t="s">
        <v>111</v>
      </c>
      <c r="E619">
        <v>18</v>
      </c>
      <c r="F619">
        <v>1018</v>
      </c>
      <c r="G619" t="s">
        <v>112</v>
      </c>
      <c r="J619" t="s">
        <v>113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R619" t="s">
        <v>114</v>
      </c>
      <c r="S619" t="str">
        <f>"18:44:51.656"</f>
        <v>18:44:51.656</v>
      </c>
      <c r="T619" t="str">
        <f>"18:44:51.156"</f>
        <v>18:44:51.156</v>
      </c>
      <c r="U619" t="str">
        <f t="shared" si="28"/>
        <v>a1cdbe</v>
      </c>
      <c r="V619">
        <v>0</v>
      </c>
      <c r="W619">
        <v>0</v>
      </c>
      <c r="X619">
        <v>1</v>
      </c>
      <c r="Y619">
        <v>0</v>
      </c>
      <c r="Z619">
        <v>0</v>
      </c>
      <c r="AB619">
        <v>0</v>
      </c>
      <c r="AC619">
        <v>9</v>
      </c>
      <c r="AD619">
        <v>3</v>
      </c>
      <c r="AE619">
        <v>0</v>
      </c>
      <c r="AF619">
        <v>9</v>
      </c>
      <c r="AG619" t="s">
        <v>1307</v>
      </c>
      <c r="AH619">
        <v>0</v>
      </c>
      <c r="AI619">
        <v>3</v>
      </c>
      <c r="AJ619">
        <v>1</v>
      </c>
      <c r="AK619">
        <v>0</v>
      </c>
      <c r="AL619" t="s">
        <v>1308</v>
      </c>
      <c r="AM619">
        <v>46.915548000000001</v>
      </c>
      <c r="AN619" t="s">
        <v>1309</v>
      </c>
      <c r="AO619">
        <v>-122.35123900000001</v>
      </c>
      <c r="AP619">
        <v>100</v>
      </c>
      <c r="AQ619">
        <v>2000</v>
      </c>
      <c r="AR619" t="s">
        <v>118</v>
      </c>
      <c r="AS619">
        <v>-39</v>
      </c>
      <c r="AT619">
        <v>-63</v>
      </c>
      <c r="AU619">
        <v>320</v>
      </c>
      <c r="BC619">
        <v>1200</v>
      </c>
      <c r="BD619">
        <v>1</v>
      </c>
      <c r="BE619" t="str">
        <f t="shared" si="29"/>
        <v xml:space="preserve">N215T   </v>
      </c>
      <c r="BF619">
        <v>1</v>
      </c>
      <c r="BH619">
        <v>0</v>
      </c>
      <c r="BI619">
        <v>0</v>
      </c>
      <c r="BJ619">
        <v>0</v>
      </c>
      <c r="BK619">
        <v>2350</v>
      </c>
      <c r="BL619">
        <v>350</v>
      </c>
      <c r="BM619" t="s">
        <v>119</v>
      </c>
      <c r="BN619">
        <v>1</v>
      </c>
      <c r="BO619">
        <v>1</v>
      </c>
      <c r="BP619">
        <v>1</v>
      </c>
      <c r="BQ619">
        <v>0</v>
      </c>
      <c r="BT619">
        <v>0</v>
      </c>
      <c r="BU619">
        <v>0</v>
      </c>
      <c r="BV619">
        <v>0</v>
      </c>
      <c r="CC619" t="str">
        <f>"18:44:51.656"</f>
        <v>18:44:51.656</v>
      </c>
      <c r="CD619" t="str">
        <f>"658585563"</f>
        <v>658585563</v>
      </c>
      <c r="CQ619">
        <v>0</v>
      </c>
      <c r="CR619">
        <v>2</v>
      </c>
      <c r="CS619">
        <v>0</v>
      </c>
      <c r="CT619">
        <v>2</v>
      </c>
      <c r="CU619">
        <v>0</v>
      </c>
      <c r="CV619">
        <v>3</v>
      </c>
      <c r="CW619" t="s">
        <v>120</v>
      </c>
      <c r="CX619">
        <v>261</v>
      </c>
      <c r="CY619">
        <v>1</v>
      </c>
      <c r="CZ619" t="s">
        <v>121</v>
      </c>
      <c r="DA619" t="s">
        <v>122</v>
      </c>
      <c r="DD619">
        <v>3469636</v>
      </c>
      <c r="DE619" t="s">
        <v>123</v>
      </c>
    </row>
    <row r="620" spans="1:109" x14ac:dyDescent="0.3">
      <c r="A620" t="str">
        <f>"18:44:52.852"</f>
        <v>18:44:52.852</v>
      </c>
      <c r="B620" t="s">
        <v>110</v>
      </c>
      <c r="C620" t="str">
        <f t="shared" si="27"/>
        <v>ffdfd3c0</v>
      </c>
      <c r="D620" t="s">
        <v>111</v>
      </c>
      <c r="E620">
        <v>18</v>
      </c>
      <c r="F620">
        <v>1018</v>
      </c>
      <c r="G620" t="s">
        <v>112</v>
      </c>
      <c r="J620" t="s">
        <v>113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R620" t="s">
        <v>114</v>
      </c>
      <c r="S620" t="str">
        <f>"18:44:52.602"</f>
        <v>18:44:52.602</v>
      </c>
      <c r="T620" t="str">
        <f>"18:44:52.203"</f>
        <v>18:44:52.203</v>
      </c>
      <c r="U620" t="str">
        <f t="shared" si="28"/>
        <v>a1cdbe</v>
      </c>
      <c r="V620">
        <v>0</v>
      </c>
      <c r="W620">
        <v>0</v>
      </c>
      <c r="X620">
        <v>1</v>
      </c>
      <c r="Y620">
        <v>0</v>
      </c>
      <c r="Z620">
        <v>0</v>
      </c>
      <c r="AB620">
        <v>0</v>
      </c>
      <c r="AC620">
        <v>9</v>
      </c>
      <c r="AD620">
        <v>3</v>
      </c>
      <c r="AE620">
        <v>0</v>
      </c>
      <c r="AF620">
        <v>9</v>
      </c>
      <c r="AG620" t="s">
        <v>1307</v>
      </c>
      <c r="AH620">
        <v>0</v>
      </c>
      <c r="AI620">
        <v>3</v>
      </c>
      <c r="AJ620">
        <v>1</v>
      </c>
      <c r="AK620">
        <v>0</v>
      </c>
      <c r="AL620" t="s">
        <v>1310</v>
      </c>
      <c r="AM620">
        <v>46.915289999999999</v>
      </c>
      <c r="AN620" t="s">
        <v>1311</v>
      </c>
      <c r="AO620">
        <v>-122.351496</v>
      </c>
      <c r="AP620">
        <v>100</v>
      </c>
      <c r="AQ620">
        <v>2000</v>
      </c>
      <c r="AR620" t="s">
        <v>118</v>
      </c>
      <c r="AS620">
        <v>-39</v>
      </c>
      <c r="AT620">
        <v>-62</v>
      </c>
      <c r="AU620">
        <v>256</v>
      </c>
      <c r="BC620">
        <v>1200</v>
      </c>
      <c r="BD620">
        <v>1</v>
      </c>
      <c r="BE620" t="str">
        <f t="shared" si="29"/>
        <v xml:space="preserve">N215T   </v>
      </c>
      <c r="BF620">
        <v>1</v>
      </c>
      <c r="BH620">
        <v>0</v>
      </c>
      <c r="BI620">
        <v>0</v>
      </c>
      <c r="BJ620">
        <v>0</v>
      </c>
      <c r="BK620">
        <v>2375</v>
      </c>
      <c r="BL620">
        <v>375</v>
      </c>
      <c r="BM620" t="s">
        <v>119</v>
      </c>
      <c r="BN620">
        <v>1</v>
      </c>
      <c r="BO620">
        <v>1</v>
      </c>
      <c r="BP620">
        <v>1</v>
      </c>
      <c r="BQ620">
        <v>0</v>
      </c>
      <c r="BT620">
        <v>0</v>
      </c>
      <c r="BU620">
        <v>0</v>
      </c>
      <c r="BV620">
        <v>0</v>
      </c>
      <c r="CC620" t="str">
        <f>"18:44:52.602"</f>
        <v>18:44:52.602</v>
      </c>
      <c r="CD620" t="str">
        <f>"603492555"</f>
        <v>603492555</v>
      </c>
      <c r="CQ620">
        <v>0</v>
      </c>
      <c r="CR620">
        <v>2</v>
      </c>
      <c r="CS620">
        <v>0</v>
      </c>
      <c r="CT620">
        <v>2</v>
      </c>
      <c r="CU620">
        <v>0</v>
      </c>
      <c r="CV620">
        <v>3</v>
      </c>
      <c r="CW620" t="s">
        <v>120</v>
      </c>
      <c r="CX620">
        <v>261</v>
      </c>
      <c r="CY620">
        <v>2</v>
      </c>
      <c r="CZ620" t="s">
        <v>121</v>
      </c>
      <c r="DA620" t="s">
        <v>122</v>
      </c>
      <c r="DD620">
        <v>14571768</v>
      </c>
      <c r="DE620" t="s">
        <v>123</v>
      </c>
    </row>
    <row r="621" spans="1:109" x14ac:dyDescent="0.3">
      <c r="A621" t="str">
        <f>"18:44:54.461"</f>
        <v>18:44:54.461</v>
      </c>
      <c r="B621" t="s">
        <v>110</v>
      </c>
      <c r="C621" t="str">
        <f t="shared" si="27"/>
        <v>ffdfd3c0</v>
      </c>
      <c r="D621" t="s">
        <v>111</v>
      </c>
      <c r="E621">
        <v>18</v>
      </c>
      <c r="F621">
        <v>1018</v>
      </c>
      <c r="G621" t="s">
        <v>112</v>
      </c>
      <c r="J621" t="s">
        <v>113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R621" t="s">
        <v>114</v>
      </c>
      <c r="S621" t="str">
        <f>"18:44:54.188"</f>
        <v>18:44:54.188</v>
      </c>
      <c r="T621" t="str">
        <f>"18:44:53.789"</f>
        <v>18:44:53.789</v>
      </c>
      <c r="U621" t="str">
        <f t="shared" si="28"/>
        <v>a1cdbe</v>
      </c>
      <c r="V621">
        <v>0</v>
      </c>
      <c r="W621">
        <v>0</v>
      </c>
      <c r="X621">
        <v>1</v>
      </c>
      <c r="Y621">
        <v>0</v>
      </c>
      <c r="Z621">
        <v>0</v>
      </c>
      <c r="AB621">
        <v>0</v>
      </c>
      <c r="AC621">
        <v>9</v>
      </c>
      <c r="AD621">
        <v>3</v>
      </c>
      <c r="AE621">
        <v>0</v>
      </c>
      <c r="AF621">
        <v>9</v>
      </c>
      <c r="AG621" t="s">
        <v>1307</v>
      </c>
      <c r="AH621">
        <v>0</v>
      </c>
      <c r="AI621">
        <v>3</v>
      </c>
      <c r="AJ621">
        <v>1</v>
      </c>
      <c r="AK621">
        <v>0</v>
      </c>
      <c r="AL621" t="s">
        <v>1312</v>
      </c>
      <c r="AM621">
        <v>46.914839999999998</v>
      </c>
      <c r="AN621" t="s">
        <v>1313</v>
      </c>
      <c r="AO621">
        <v>-122.35192499999999</v>
      </c>
      <c r="AP621">
        <v>100</v>
      </c>
      <c r="AQ621">
        <v>2000</v>
      </c>
      <c r="AR621" t="s">
        <v>118</v>
      </c>
      <c r="AS621">
        <v>-38</v>
      </c>
      <c r="AT621">
        <v>-62</v>
      </c>
      <c r="AU621">
        <v>256</v>
      </c>
      <c r="BC621">
        <v>1200</v>
      </c>
      <c r="BD621">
        <v>1</v>
      </c>
      <c r="BE621" t="str">
        <f t="shared" si="29"/>
        <v xml:space="preserve">N215T   </v>
      </c>
      <c r="BF621">
        <v>1</v>
      </c>
      <c r="BH621">
        <v>0</v>
      </c>
      <c r="BI621">
        <v>0</v>
      </c>
      <c r="BJ621">
        <v>0</v>
      </c>
      <c r="BK621">
        <v>2375</v>
      </c>
      <c r="BL621">
        <v>375</v>
      </c>
      <c r="BM621" t="s">
        <v>119</v>
      </c>
      <c r="BN621">
        <v>1</v>
      </c>
      <c r="BO621">
        <v>1</v>
      </c>
      <c r="BP621">
        <v>1</v>
      </c>
      <c r="BQ621">
        <v>0</v>
      </c>
      <c r="BT621">
        <v>0</v>
      </c>
      <c r="BU621">
        <v>0</v>
      </c>
      <c r="BV621">
        <v>0</v>
      </c>
      <c r="CC621" t="str">
        <f>"18:44:54.195"</f>
        <v>18:44:54.195</v>
      </c>
      <c r="CD621" t="str">
        <f>"193336165"</f>
        <v>193336165</v>
      </c>
      <c r="CQ621">
        <v>0</v>
      </c>
      <c r="CR621">
        <v>2</v>
      </c>
      <c r="CS621">
        <v>0</v>
      </c>
      <c r="CT621">
        <v>2</v>
      </c>
      <c r="CU621">
        <v>0</v>
      </c>
      <c r="CV621">
        <v>3</v>
      </c>
      <c r="CW621" t="s">
        <v>120</v>
      </c>
      <c r="CX621">
        <v>261</v>
      </c>
      <c r="CY621">
        <v>1</v>
      </c>
      <c r="CZ621" t="s">
        <v>121</v>
      </c>
      <c r="DA621" t="s">
        <v>122</v>
      </c>
      <c r="DD621">
        <v>3471158</v>
      </c>
      <c r="DE621" t="s">
        <v>123</v>
      </c>
    </row>
    <row r="622" spans="1:109" x14ac:dyDescent="0.3">
      <c r="A622" t="str">
        <f>"18:44:55.516"</f>
        <v>18:44:55.516</v>
      </c>
      <c r="B622" t="s">
        <v>110</v>
      </c>
      <c r="C622" t="str">
        <f t="shared" si="27"/>
        <v>ffdfd3c0</v>
      </c>
      <c r="D622" t="s">
        <v>111</v>
      </c>
      <c r="E622">
        <v>18</v>
      </c>
      <c r="F622">
        <v>1018</v>
      </c>
      <c r="G622" t="s">
        <v>112</v>
      </c>
      <c r="J622" t="s">
        <v>113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R622" t="s">
        <v>114</v>
      </c>
      <c r="S622" t="str">
        <f>"18:44:55.297"</f>
        <v>18:44:55.297</v>
      </c>
      <c r="T622" t="str">
        <f>"18:44:54.898"</f>
        <v>18:44:54.898</v>
      </c>
      <c r="U622" t="str">
        <f t="shared" si="28"/>
        <v>a1cdbe</v>
      </c>
      <c r="V622">
        <v>0</v>
      </c>
      <c r="W622">
        <v>0</v>
      </c>
      <c r="X622">
        <v>1</v>
      </c>
      <c r="Y622">
        <v>0</v>
      </c>
      <c r="Z622">
        <v>0</v>
      </c>
      <c r="AB622">
        <v>0</v>
      </c>
      <c r="AC622">
        <v>9</v>
      </c>
      <c r="AD622">
        <v>3</v>
      </c>
      <c r="AE622">
        <v>0</v>
      </c>
      <c r="AF622">
        <v>9</v>
      </c>
      <c r="AG622" t="s">
        <v>1307</v>
      </c>
      <c r="AH622">
        <v>0</v>
      </c>
      <c r="AI622">
        <v>3</v>
      </c>
      <c r="AJ622">
        <v>1</v>
      </c>
      <c r="AK622">
        <v>0</v>
      </c>
      <c r="AL622" t="s">
        <v>1314</v>
      </c>
      <c r="AM622">
        <v>46.914496</v>
      </c>
      <c r="AN622" t="s">
        <v>1315</v>
      </c>
      <c r="AO622">
        <v>-122.352204</v>
      </c>
      <c r="AP622">
        <v>100</v>
      </c>
      <c r="AQ622">
        <v>2000</v>
      </c>
      <c r="AR622" t="s">
        <v>118</v>
      </c>
      <c r="AS622">
        <v>-38</v>
      </c>
      <c r="AT622">
        <v>-62</v>
      </c>
      <c r="AU622">
        <v>256</v>
      </c>
      <c r="BC622">
        <v>1200</v>
      </c>
      <c r="BD622">
        <v>1</v>
      </c>
      <c r="BE622" t="str">
        <f t="shared" si="29"/>
        <v xml:space="preserve">N215T   </v>
      </c>
      <c r="BF622">
        <v>1</v>
      </c>
      <c r="BH622">
        <v>0</v>
      </c>
      <c r="BI622">
        <v>0</v>
      </c>
      <c r="BJ622">
        <v>0</v>
      </c>
      <c r="BK622">
        <v>2375</v>
      </c>
      <c r="BL622">
        <v>375</v>
      </c>
      <c r="BM622" t="s">
        <v>119</v>
      </c>
      <c r="BN622">
        <v>1</v>
      </c>
      <c r="BO622">
        <v>1</v>
      </c>
      <c r="BP622">
        <v>1</v>
      </c>
      <c r="BQ622">
        <v>0</v>
      </c>
      <c r="BT622">
        <v>0</v>
      </c>
      <c r="BU622">
        <v>0</v>
      </c>
      <c r="BV622">
        <v>0</v>
      </c>
      <c r="CC622" t="str">
        <f>"18:44:55.305"</f>
        <v>18:44:55.305</v>
      </c>
      <c r="CD622" t="str">
        <f>"303226952"</f>
        <v>303226952</v>
      </c>
      <c r="CQ622">
        <v>0</v>
      </c>
      <c r="CR622">
        <v>2</v>
      </c>
      <c r="CS622">
        <v>0</v>
      </c>
      <c r="CT622">
        <v>2</v>
      </c>
      <c r="CU622">
        <v>0</v>
      </c>
      <c r="CV622">
        <v>2</v>
      </c>
      <c r="CW622" t="s">
        <v>120</v>
      </c>
      <c r="CX622">
        <v>261</v>
      </c>
      <c r="CY622">
        <v>2</v>
      </c>
      <c r="CZ622" t="s">
        <v>121</v>
      </c>
      <c r="DA622" t="s">
        <v>122</v>
      </c>
      <c r="DD622">
        <v>14573137</v>
      </c>
      <c r="DE622" t="s">
        <v>123</v>
      </c>
    </row>
    <row r="623" spans="1:109" x14ac:dyDescent="0.3">
      <c r="A623" t="str">
        <f>"18:44:56.977"</f>
        <v>18:44:56.977</v>
      </c>
      <c r="B623" t="s">
        <v>110</v>
      </c>
      <c r="C623" t="str">
        <f t="shared" si="27"/>
        <v>ffdfd3c0</v>
      </c>
      <c r="D623" t="s">
        <v>111</v>
      </c>
      <c r="E623">
        <v>18</v>
      </c>
      <c r="F623">
        <v>1018</v>
      </c>
      <c r="G623" t="s">
        <v>112</v>
      </c>
      <c r="J623" t="s">
        <v>113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R623" t="s">
        <v>114</v>
      </c>
      <c r="S623" t="str">
        <f>"18:44:56.766"</f>
        <v>18:44:56.766</v>
      </c>
      <c r="T623" t="str">
        <f>"18:44:56.367"</f>
        <v>18:44:56.367</v>
      </c>
      <c r="U623" t="str">
        <f t="shared" si="28"/>
        <v>a1cdbe</v>
      </c>
      <c r="V623">
        <v>0</v>
      </c>
      <c r="W623">
        <v>0</v>
      </c>
      <c r="X623">
        <v>1</v>
      </c>
      <c r="Y623">
        <v>0</v>
      </c>
      <c r="Z623">
        <v>0</v>
      </c>
      <c r="AB623">
        <v>0</v>
      </c>
      <c r="AC623">
        <v>9</v>
      </c>
      <c r="AD623">
        <v>3</v>
      </c>
      <c r="AE623">
        <v>0</v>
      </c>
      <c r="AF623">
        <v>9</v>
      </c>
      <c r="AG623" t="s">
        <v>1307</v>
      </c>
      <c r="AH623">
        <v>0</v>
      </c>
      <c r="AI623">
        <v>3</v>
      </c>
      <c r="AJ623">
        <v>1</v>
      </c>
      <c r="AK623">
        <v>0</v>
      </c>
      <c r="AL623" t="s">
        <v>1316</v>
      </c>
      <c r="AM623">
        <v>46.914088999999997</v>
      </c>
      <c r="AN623" t="s">
        <v>1317</v>
      </c>
      <c r="AO623">
        <v>-122.352548</v>
      </c>
      <c r="AP623">
        <v>100</v>
      </c>
      <c r="AQ623">
        <v>2000</v>
      </c>
      <c r="AR623" t="s">
        <v>118</v>
      </c>
      <c r="AS623">
        <v>-38</v>
      </c>
      <c r="AT623">
        <v>-62</v>
      </c>
      <c r="AU623">
        <v>192</v>
      </c>
      <c r="BC623">
        <v>1200</v>
      </c>
      <c r="BD623">
        <v>1</v>
      </c>
      <c r="BE623" t="str">
        <f t="shared" si="29"/>
        <v xml:space="preserve">N215T   </v>
      </c>
      <c r="BF623">
        <v>1</v>
      </c>
      <c r="BH623">
        <v>0</v>
      </c>
      <c r="BI623">
        <v>0</v>
      </c>
      <c r="BJ623">
        <v>0</v>
      </c>
      <c r="BK623">
        <v>2400</v>
      </c>
      <c r="BL623">
        <v>400</v>
      </c>
      <c r="BM623" t="s">
        <v>119</v>
      </c>
      <c r="BN623">
        <v>1</v>
      </c>
      <c r="BO623">
        <v>1</v>
      </c>
      <c r="BP623">
        <v>1</v>
      </c>
      <c r="BQ623">
        <v>0</v>
      </c>
      <c r="BT623">
        <v>0</v>
      </c>
      <c r="BU623">
        <v>0</v>
      </c>
      <c r="BV623">
        <v>0</v>
      </c>
      <c r="CC623" t="str">
        <f>"18:44:56.773"</f>
        <v>18:44:56.773</v>
      </c>
      <c r="CD623" t="str">
        <f>"773082348"</f>
        <v>773082348</v>
      </c>
      <c r="CQ623">
        <v>0</v>
      </c>
      <c r="CR623">
        <v>2</v>
      </c>
      <c r="CS623">
        <v>0</v>
      </c>
      <c r="CT623">
        <v>2</v>
      </c>
      <c r="CU623">
        <v>0</v>
      </c>
      <c r="CV623">
        <v>3</v>
      </c>
      <c r="CW623" t="s">
        <v>120</v>
      </c>
      <c r="CX623">
        <v>261</v>
      </c>
      <c r="CY623">
        <v>2</v>
      </c>
      <c r="CZ623" t="s">
        <v>121</v>
      </c>
      <c r="DA623" t="s">
        <v>122</v>
      </c>
      <c r="DD623">
        <v>14573867</v>
      </c>
      <c r="DE623" t="s">
        <v>123</v>
      </c>
    </row>
    <row r="624" spans="1:109" x14ac:dyDescent="0.3">
      <c r="A624" t="str">
        <f>"18:44:57.930"</f>
        <v>18:44:57.930</v>
      </c>
      <c r="B624" t="s">
        <v>110</v>
      </c>
      <c r="C624" t="str">
        <f t="shared" si="27"/>
        <v>ffdfd3c0</v>
      </c>
      <c r="D624" t="s">
        <v>111</v>
      </c>
      <c r="E624">
        <v>18</v>
      </c>
      <c r="F624">
        <v>1018</v>
      </c>
      <c r="G624" t="s">
        <v>112</v>
      </c>
      <c r="J624" t="s">
        <v>113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R624" t="s">
        <v>114</v>
      </c>
      <c r="S624" t="str">
        <f>"18:44:57.711"</f>
        <v>18:44:57.711</v>
      </c>
      <c r="T624" t="str">
        <f>"18:44:57.414"</f>
        <v>18:44:57.414</v>
      </c>
      <c r="U624" t="str">
        <f t="shared" si="28"/>
        <v>a1cdbe</v>
      </c>
      <c r="V624">
        <v>0</v>
      </c>
      <c r="W624">
        <v>0</v>
      </c>
      <c r="X624">
        <v>1</v>
      </c>
      <c r="Y624">
        <v>0</v>
      </c>
      <c r="Z624">
        <v>0</v>
      </c>
      <c r="AB624">
        <v>0</v>
      </c>
      <c r="AC624">
        <v>9</v>
      </c>
      <c r="AD624">
        <v>3</v>
      </c>
      <c r="AE624">
        <v>0</v>
      </c>
      <c r="AF624">
        <v>9</v>
      </c>
      <c r="AG624" t="s">
        <v>1307</v>
      </c>
      <c r="AH624">
        <v>0</v>
      </c>
      <c r="AI624">
        <v>3</v>
      </c>
      <c r="AJ624">
        <v>1</v>
      </c>
      <c r="AK624">
        <v>0</v>
      </c>
      <c r="AL624" t="s">
        <v>1318</v>
      </c>
      <c r="AM624">
        <v>46.913809999999998</v>
      </c>
      <c r="AN624" t="s">
        <v>1319</v>
      </c>
      <c r="AO624">
        <v>-122.352805</v>
      </c>
      <c r="AP624">
        <v>100</v>
      </c>
      <c r="AQ624">
        <v>2000</v>
      </c>
      <c r="AR624" t="s">
        <v>118</v>
      </c>
      <c r="AS624">
        <v>-38</v>
      </c>
      <c r="AT624">
        <v>-62</v>
      </c>
      <c r="AU624">
        <v>64</v>
      </c>
      <c r="BC624">
        <v>1200</v>
      </c>
      <c r="BD624">
        <v>1</v>
      </c>
      <c r="BE624" t="str">
        <f t="shared" si="29"/>
        <v xml:space="preserve">N215T   </v>
      </c>
      <c r="BF624">
        <v>1</v>
      </c>
      <c r="BH624">
        <v>0</v>
      </c>
      <c r="BI624">
        <v>0</v>
      </c>
      <c r="BJ624">
        <v>0</v>
      </c>
      <c r="BK624">
        <v>2400</v>
      </c>
      <c r="BL624">
        <v>400</v>
      </c>
      <c r="BM624" t="s">
        <v>119</v>
      </c>
      <c r="BN624">
        <v>1</v>
      </c>
      <c r="BO624">
        <v>1</v>
      </c>
      <c r="BP624">
        <v>1</v>
      </c>
      <c r="BQ624">
        <v>0</v>
      </c>
      <c r="BT624">
        <v>0</v>
      </c>
      <c r="BU624">
        <v>0</v>
      </c>
      <c r="BV624">
        <v>0</v>
      </c>
      <c r="CC624" t="str">
        <f>"18:44:57.719"</f>
        <v>18:44:57.719</v>
      </c>
      <c r="CD624" t="str">
        <f>"717989373"</f>
        <v>717989373</v>
      </c>
      <c r="CQ624">
        <v>0</v>
      </c>
      <c r="CR624">
        <v>2</v>
      </c>
      <c r="CS624">
        <v>0</v>
      </c>
      <c r="CT624">
        <v>2</v>
      </c>
      <c r="CU624">
        <v>0</v>
      </c>
      <c r="CV624">
        <v>2</v>
      </c>
      <c r="CW624" t="s">
        <v>120</v>
      </c>
      <c r="CX624">
        <v>261</v>
      </c>
      <c r="CY624">
        <v>2</v>
      </c>
      <c r="CZ624" t="s">
        <v>121</v>
      </c>
      <c r="DA624" t="s">
        <v>122</v>
      </c>
      <c r="DD624">
        <v>14574370</v>
      </c>
      <c r="DE624" t="s">
        <v>123</v>
      </c>
    </row>
    <row r="625" spans="1:109" x14ac:dyDescent="0.3">
      <c r="A625" t="str">
        <f>"18:44:59.898"</f>
        <v>18:44:59.898</v>
      </c>
      <c r="B625" t="s">
        <v>110</v>
      </c>
      <c r="C625" t="str">
        <f t="shared" si="27"/>
        <v>ffdfd3c0</v>
      </c>
      <c r="D625" t="s">
        <v>111</v>
      </c>
      <c r="E625">
        <v>18</v>
      </c>
      <c r="F625">
        <v>1018</v>
      </c>
      <c r="G625" t="s">
        <v>112</v>
      </c>
      <c r="J625" t="s">
        <v>113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R625" t="s">
        <v>114</v>
      </c>
      <c r="S625" t="str">
        <f>"18:44:59.680"</f>
        <v>18:44:59.680</v>
      </c>
      <c r="T625" t="str">
        <f>"18:44:58.781"</f>
        <v>18:44:58.781</v>
      </c>
      <c r="U625" t="str">
        <f t="shared" si="28"/>
        <v>a1cdbe</v>
      </c>
      <c r="V625">
        <v>0</v>
      </c>
      <c r="W625">
        <v>0</v>
      </c>
      <c r="X625">
        <v>1</v>
      </c>
      <c r="Y625">
        <v>0</v>
      </c>
      <c r="Z625">
        <v>0</v>
      </c>
      <c r="AB625">
        <v>0</v>
      </c>
      <c r="AC625">
        <v>9</v>
      </c>
      <c r="AD625">
        <v>3</v>
      </c>
      <c r="AE625">
        <v>0</v>
      </c>
      <c r="AF625">
        <v>9</v>
      </c>
      <c r="AG625" t="s">
        <v>1307</v>
      </c>
      <c r="AH625">
        <v>0</v>
      </c>
      <c r="AI625">
        <v>3</v>
      </c>
      <c r="AJ625">
        <v>1</v>
      </c>
      <c r="AK625">
        <v>0</v>
      </c>
      <c r="AL625" t="s">
        <v>1320</v>
      </c>
      <c r="AM625">
        <v>46.913272999999997</v>
      </c>
      <c r="AN625" t="s">
        <v>1321</v>
      </c>
      <c r="AO625">
        <v>-122.35329900000001</v>
      </c>
      <c r="AP625">
        <v>100</v>
      </c>
      <c r="AQ625">
        <v>2000</v>
      </c>
      <c r="AR625" t="s">
        <v>118</v>
      </c>
      <c r="AS625">
        <v>-38</v>
      </c>
      <c r="AT625">
        <v>-62</v>
      </c>
      <c r="AU625">
        <v>64</v>
      </c>
      <c r="BC625">
        <v>1200</v>
      </c>
      <c r="BD625">
        <v>1</v>
      </c>
      <c r="BE625" t="str">
        <f t="shared" si="29"/>
        <v xml:space="preserve">N215T   </v>
      </c>
      <c r="BF625">
        <v>1</v>
      </c>
      <c r="BH625">
        <v>0</v>
      </c>
      <c r="BI625">
        <v>0</v>
      </c>
      <c r="BJ625">
        <v>0</v>
      </c>
      <c r="BK625">
        <v>2375</v>
      </c>
      <c r="BL625">
        <v>375</v>
      </c>
      <c r="BM625" t="s">
        <v>119</v>
      </c>
      <c r="BN625">
        <v>1</v>
      </c>
      <c r="BO625">
        <v>1</v>
      </c>
      <c r="BP625">
        <v>1</v>
      </c>
      <c r="BQ625">
        <v>0</v>
      </c>
      <c r="BT625">
        <v>0</v>
      </c>
      <c r="BU625">
        <v>0</v>
      </c>
      <c r="BV625">
        <v>0</v>
      </c>
      <c r="CC625" t="str">
        <f>"18:44:59.680"</f>
        <v>18:44:59.680</v>
      </c>
      <c r="CD625" t="str">
        <f>"682796065"</f>
        <v>682796065</v>
      </c>
      <c r="CQ625">
        <v>0</v>
      </c>
      <c r="CR625">
        <v>2</v>
      </c>
      <c r="CS625">
        <v>0</v>
      </c>
      <c r="CT625">
        <v>2</v>
      </c>
      <c r="CU625">
        <v>0</v>
      </c>
      <c r="CV625">
        <v>2</v>
      </c>
      <c r="CW625" t="s">
        <v>120</v>
      </c>
      <c r="CX625">
        <v>261</v>
      </c>
      <c r="CY625">
        <v>1</v>
      </c>
      <c r="CZ625" t="s">
        <v>121</v>
      </c>
      <c r="DA625" t="s">
        <v>122</v>
      </c>
      <c r="DD625">
        <v>3474284</v>
      </c>
      <c r="DE625" t="s">
        <v>123</v>
      </c>
    </row>
    <row r="626" spans="1:109" x14ac:dyDescent="0.3">
      <c r="A626" t="str">
        <f>"18:45:01.055"</f>
        <v>18:45:01.055</v>
      </c>
      <c r="B626" t="s">
        <v>110</v>
      </c>
      <c r="C626" t="str">
        <f t="shared" si="27"/>
        <v>ffdfd3c0</v>
      </c>
      <c r="D626" t="s">
        <v>111</v>
      </c>
      <c r="E626">
        <v>18</v>
      </c>
      <c r="F626">
        <v>1018</v>
      </c>
      <c r="G626" t="s">
        <v>112</v>
      </c>
      <c r="J626" t="s">
        <v>113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R626" t="s">
        <v>114</v>
      </c>
      <c r="S626" t="str">
        <f>"18:45:00.789"</f>
        <v>18:45:00.789</v>
      </c>
      <c r="T626" t="str">
        <f>"18:45:00.391"</f>
        <v>18:45:00.391</v>
      </c>
      <c r="U626" t="str">
        <f t="shared" si="28"/>
        <v>a1cdbe</v>
      </c>
      <c r="V626">
        <v>0</v>
      </c>
      <c r="W626">
        <v>0</v>
      </c>
      <c r="X626">
        <v>1</v>
      </c>
      <c r="Y626">
        <v>0</v>
      </c>
      <c r="Z626">
        <v>0</v>
      </c>
      <c r="AB626">
        <v>0</v>
      </c>
      <c r="AC626">
        <v>9</v>
      </c>
      <c r="AD626">
        <v>3</v>
      </c>
      <c r="AE626">
        <v>0</v>
      </c>
      <c r="AF626">
        <v>9</v>
      </c>
      <c r="AG626" t="s">
        <v>1307</v>
      </c>
      <c r="AH626">
        <v>0</v>
      </c>
      <c r="AI626">
        <v>3</v>
      </c>
      <c r="AJ626">
        <v>1</v>
      </c>
      <c r="AK626">
        <v>0</v>
      </c>
      <c r="AL626" t="s">
        <v>1322</v>
      </c>
      <c r="AM626">
        <v>46.912951</v>
      </c>
      <c r="AN626" t="s">
        <v>1323</v>
      </c>
      <c r="AO626">
        <v>-122.35364199999999</v>
      </c>
      <c r="AP626">
        <v>100</v>
      </c>
      <c r="AQ626">
        <v>2000</v>
      </c>
      <c r="AR626" t="s">
        <v>118</v>
      </c>
      <c r="AS626">
        <v>-37</v>
      </c>
      <c r="AT626">
        <v>-63</v>
      </c>
      <c r="AU626">
        <v>0</v>
      </c>
      <c r="BC626">
        <v>1200</v>
      </c>
      <c r="BD626">
        <v>1</v>
      </c>
      <c r="BE626" t="str">
        <f t="shared" si="29"/>
        <v xml:space="preserve">N215T   </v>
      </c>
      <c r="BF626">
        <v>1</v>
      </c>
      <c r="BH626">
        <v>0</v>
      </c>
      <c r="BI626">
        <v>0</v>
      </c>
      <c r="BJ626">
        <v>0</v>
      </c>
      <c r="BK626">
        <v>2400</v>
      </c>
      <c r="BL626">
        <v>400</v>
      </c>
      <c r="BM626" t="s">
        <v>119</v>
      </c>
      <c r="BN626">
        <v>1</v>
      </c>
      <c r="BO626">
        <v>1</v>
      </c>
      <c r="BP626">
        <v>1</v>
      </c>
      <c r="BQ626">
        <v>0</v>
      </c>
      <c r="BT626">
        <v>0</v>
      </c>
      <c r="BU626">
        <v>0</v>
      </c>
      <c r="BV626">
        <v>0</v>
      </c>
      <c r="CC626" t="str">
        <f>"18:45:00.789"</f>
        <v>18:45:00.789</v>
      </c>
      <c r="CD626" t="str">
        <f>"792686848"</f>
        <v>792686848</v>
      </c>
      <c r="CQ626">
        <v>0</v>
      </c>
      <c r="CR626">
        <v>2</v>
      </c>
      <c r="CS626">
        <v>0</v>
      </c>
      <c r="CT626">
        <v>2</v>
      </c>
      <c r="CU626">
        <v>0</v>
      </c>
      <c r="CV626">
        <v>1</v>
      </c>
      <c r="CW626" t="s">
        <v>120</v>
      </c>
      <c r="CX626">
        <v>261</v>
      </c>
      <c r="CY626">
        <v>2</v>
      </c>
      <c r="CZ626" t="s">
        <v>121</v>
      </c>
      <c r="DA626" t="s">
        <v>122</v>
      </c>
      <c r="DD626">
        <v>14575913</v>
      </c>
      <c r="DE626" t="s">
        <v>123</v>
      </c>
    </row>
    <row r="627" spans="1:109" x14ac:dyDescent="0.3">
      <c r="A627" t="str">
        <f>"18:45:02.609"</f>
        <v>18:45:02.609</v>
      </c>
      <c r="B627" t="s">
        <v>110</v>
      </c>
      <c r="C627" t="str">
        <f t="shared" si="27"/>
        <v>ffdfd3c0</v>
      </c>
      <c r="D627" t="s">
        <v>111</v>
      </c>
      <c r="E627">
        <v>18</v>
      </c>
      <c r="F627">
        <v>1018</v>
      </c>
      <c r="G627" t="s">
        <v>112</v>
      </c>
      <c r="J627" t="s">
        <v>113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R627" t="s">
        <v>114</v>
      </c>
      <c r="S627" t="str">
        <f>"18:45:02.375"</f>
        <v>18:45:02.375</v>
      </c>
      <c r="T627" t="str">
        <f>"18:45:00.375"</f>
        <v>18:45:00.375</v>
      </c>
      <c r="U627" t="str">
        <f t="shared" si="28"/>
        <v>a1cdbe</v>
      </c>
      <c r="V627">
        <v>0</v>
      </c>
      <c r="W627">
        <v>0</v>
      </c>
      <c r="X627">
        <v>1</v>
      </c>
      <c r="Y627">
        <v>0</v>
      </c>
      <c r="Z627">
        <v>0</v>
      </c>
      <c r="AB627">
        <v>0</v>
      </c>
      <c r="AC627">
        <v>9</v>
      </c>
      <c r="AD627">
        <v>3</v>
      </c>
      <c r="AE627">
        <v>0</v>
      </c>
      <c r="AF627">
        <v>9</v>
      </c>
      <c r="AG627" t="s">
        <v>1307</v>
      </c>
      <c r="AH627">
        <v>0</v>
      </c>
      <c r="AI627">
        <v>3</v>
      </c>
      <c r="AJ627">
        <v>1</v>
      </c>
      <c r="AK627">
        <v>0</v>
      </c>
      <c r="AL627" t="s">
        <v>1324</v>
      </c>
      <c r="AM627">
        <v>46.912500999999999</v>
      </c>
      <c r="AN627" t="s">
        <v>1325</v>
      </c>
      <c r="AO627">
        <v>-122.35398499999999</v>
      </c>
      <c r="AP627">
        <v>100</v>
      </c>
      <c r="AQ627">
        <v>2000</v>
      </c>
      <c r="AR627" t="s">
        <v>118</v>
      </c>
      <c r="AS627">
        <v>-37</v>
      </c>
      <c r="AT627">
        <v>-63</v>
      </c>
      <c r="AU627">
        <v>0</v>
      </c>
      <c r="BC627">
        <v>1200</v>
      </c>
      <c r="BD627">
        <v>1</v>
      </c>
      <c r="BE627" t="str">
        <f t="shared" si="29"/>
        <v xml:space="preserve">N215T   </v>
      </c>
      <c r="BF627">
        <v>1</v>
      </c>
      <c r="BH627">
        <v>0</v>
      </c>
      <c r="BI627">
        <v>0</v>
      </c>
      <c r="BJ627">
        <v>0</v>
      </c>
      <c r="BK627">
        <v>2400</v>
      </c>
      <c r="BL627">
        <v>400</v>
      </c>
      <c r="BM627" t="s">
        <v>119</v>
      </c>
      <c r="BN627">
        <v>1</v>
      </c>
      <c r="BO627">
        <v>1</v>
      </c>
      <c r="BP627">
        <v>1</v>
      </c>
      <c r="BQ627">
        <v>0</v>
      </c>
      <c r="BT627">
        <v>0</v>
      </c>
      <c r="BU627">
        <v>0</v>
      </c>
      <c r="BV627">
        <v>0</v>
      </c>
      <c r="CC627" t="str">
        <f>"18:45:02.383"</f>
        <v>18:45:02.383</v>
      </c>
      <c r="CD627" t="str">
        <f>"382530487"</f>
        <v>382530487</v>
      </c>
      <c r="CQ627">
        <v>0</v>
      </c>
      <c r="CR627">
        <v>2</v>
      </c>
      <c r="CS627">
        <v>0</v>
      </c>
      <c r="CT627">
        <v>2</v>
      </c>
      <c r="CU627">
        <v>0</v>
      </c>
      <c r="CV627">
        <v>1</v>
      </c>
      <c r="CW627" t="s">
        <v>120</v>
      </c>
      <c r="CX627">
        <v>261</v>
      </c>
      <c r="CY627">
        <v>1</v>
      </c>
      <c r="CZ627" t="s">
        <v>121</v>
      </c>
      <c r="DA627" t="s">
        <v>122</v>
      </c>
      <c r="DD627">
        <v>3475846</v>
      </c>
      <c r="DE627" t="s">
        <v>123</v>
      </c>
    </row>
    <row r="628" spans="1:109" x14ac:dyDescent="0.3">
      <c r="A628" t="str">
        <f>"18:45:03.617"</f>
        <v>18:45:03.617</v>
      </c>
      <c r="B628" t="s">
        <v>110</v>
      </c>
      <c r="C628" t="str">
        <f t="shared" si="27"/>
        <v>ffdfd3c0</v>
      </c>
      <c r="D628" t="s">
        <v>111</v>
      </c>
      <c r="E628">
        <v>18</v>
      </c>
      <c r="F628">
        <v>1018</v>
      </c>
      <c r="G628" t="s">
        <v>112</v>
      </c>
      <c r="J628" t="s">
        <v>113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R628" t="s">
        <v>114</v>
      </c>
      <c r="S628" t="str">
        <f>"18:45:03.367"</f>
        <v>18:45:03.367</v>
      </c>
      <c r="T628" t="str">
        <f>"18:45:02.867"</f>
        <v>18:45:02.867</v>
      </c>
      <c r="U628" t="str">
        <f t="shared" si="28"/>
        <v>a1cdbe</v>
      </c>
      <c r="V628">
        <v>0</v>
      </c>
      <c r="W628">
        <v>0</v>
      </c>
      <c r="X628">
        <v>1</v>
      </c>
      <c r="Y628">
        <v>0</v>
      </c>
      <c r="Z628">
        <v>0</v>
      </c>
      <c r="AB628">
        <v>0</v>
      </c>
      <c r="AC628">
        <v>9</v>
      </c>
      <c r="AD628">
        <v>3</v>
      </c>
      <c r="AE628">
        <v>0</v>
      </c>
      <c r="AF628">
        <v>9</v>
      </c>
      <c r="AG628" t="s">
        <v>1307</v>
      </c>
      <c r="AH628">
        <v>0</v>
      </c>
      <c r="AI628">
        <v>3</v>
      </c>
      <c r="AJ628">
        <v>1</v>
      </c>
      <c r="AK628">
        <v>0</v>
      </c>
      <c r="AL628" t="s">
        <v>1326</v>
      </c>
      <c r="AM628">
        <v>46.912179000000002</v>
      </c>
      <c r="AN628" t="s">
        <v>1327</v>
      </c>
      <c r="AO628">
        <v>-122.354243</v>
      </c>
      <c r="AP628">
        <v>100</v>
      </c>
      <c r="AQ628">
        <v>2000</v>
      </c>
      <c r="AR628" t="s">
        <v>118</v>
      </c>
      <c r="AS628">
        <v>-37</v>
      </c>
      <c r="AT628">
        <v>-62</v>
      </c>
      <c r="AU628">
        <v>-64</v>
      </c>
      <c r="BC628">
        <v>1200</v>
      </c>
      <c r="BD628">
        <v>1</v>
      </c>
      <c r="BE628" t="str">
        <f t="shared" si="29"/>
        <v xml:space="preserve">N215T   </v>
      </c>
      <c r="BF628">
        <v>1</v>
      </c>
      <c r="BH628">
        <v>0</v>
      </c>
      <c r="BI628">
        <v>0</v>
      </c>
      <c r="BJ628">
        <v>0</v>
      </c>
      <c r="BK628">
        <v>2400</v>
      </c>
      <c r="BL628">
        <v>400</v>
      </c>
      <c r="BM628" t="s">
        <v>119</v>
      </c>
      <c r="BN628">
        <v>1</v>
      </c>
      <c r="BO628">
        <v>1</v>
      </c>
      <c r="BP628">
        <v>1</v>
      </c>
      <c r="BQ628">
        <v>0</v>
      </c>
      <c r="BT628">
        <v>0</v>
      </c>
      <c r="BU628">
        <v>0</v>
      </c>
      <c r="BV628">
        <v>0</v>
      </c>
      <c r="CC628" t="str">
        <f>"18:45:03.375"</f>
        <v>18:45:03.375</v>
      </c>
      <c r="CD628" t="str">
        <f>"372433093"</f>
        <v>372433093</v>
      </c>
      <c r="CQ628">
        <v>0</v>
      </c>
      <c r="CR628">
        <v>2</v>
      </c>
      <c r="CS628">
        <v>0</v>
      </c>
      <c r="CT628">
        <v>2</v>
      </c>
      <c r="CU628">
        <v>0</v>
      </c>
      <c r="CV628">
        <v>3</v>
      </c>
      <c r="CW628" t="s">
        <v>120</v>
      </c>
      <c r="CX628">
        <v>261</v>
      </c>
      <c r="CY628">
        <v>2</v>
      </c>
      <c r="CZ628" t="s">
        <v>121</v>
      </c>
      <c r="DA628" t="s">
        <v>122</v>
      </c>
      <c r="DD628">
        <v>14577239</v>
      </c>
      <c r="DE628" t="s">
        <v>123</v>
      </c>
    </row>
    <row r="629" spans="1:109" x14ac:dyDescent="0.3">
      <c r="A629" t="str">
        <f>"18:45:04.570"</f>
        <v>18:45:04.570</v>
      </c>
      <c r="B629" t="s">
        <v>110</v>
      </c>
      <c r="C629" t="str">
        <f t="shared" si="27"/>
        <v>ffdfd3c0</v>
      </c>
      <c r="D629" t="s">
        <v>111</v>
      </c>
      <c r="E629">
        <v>18</v>
      </c>
      <c r="F629">
        <v>1018</v>
      </c>
      <c r="G629" t="s">
        <v>112</v>
      </c>
      <c r="J629" t="s">
        <v>113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R629" t="s">
        <v>114</v>
      </c>
      <c r="S629" t="str">
        <f>"18:45:04.328"</f>
        <v>18:45:04.328</v>
      </c>
      <c r="T629" t="str">
        <f>"18:45:03.430"</f>
        <v>18:45:03.430</v>
      </c>
      <c r="U629" t="str">
        <f t="shared" si="28"/>
        <v>a1cdbe</v>
      </c>
      <c r="V629">
        <v>0</v>
      </c>
      <c r="W629">
        <v>0</v>
      </c>
      <c r="X629">
        <v>1</v>
      </c>
      <c r="Y629">
        <v>0</v>
      </c>
      <c r="Z629">
        <v>0</v>
      </c>
      <c r="AB629">
        <v>0</v>
      </c>
      <c r="AC629">
        <v>9</v>
      </c>
      <c r="AD629">
        <v>3</v>
      </c>
      <c r="AE629">
        <v>0</v>
      </c>
      <c r="AF629">
        <v>9</v>
      </c>
      <c r="AG629" t="s">
        <v>1307</v>
      </c>
      <c r="AH629">
        <v>0</v>
      </c>
      <c r="AI629">
        <v>3</v>
      </c>
      <c r="AJ629">
        <v>1</v>
      </c>
      <c r="AK629">
        <v>0</v>
      </c>
      <c r="AL629" t="s">
        <v>1328</v>
      </c>
      <c r="AM629">
        <v>46.911900000000003</v>
      </c>
      <c r="AN629" t="s">
        <v>1329</v>
      </c>
      <c r="AO629">
        <v>-122.354457</v>
      </c>
      <c r="AP629">
        <v>100</v>
      </c>
      <c r="AQ629">
        <v>2000</v>
      </c>
      <c r="AR629" t="s">
        <v>118</v>
      </c>
      <c r="AS629">
        <v>-37</v>
      </c>
      <c r="AT629">
        <v>-63</v>
      </c>
      <c r="AU629">
        <v>-64</v>
      </c>
      <c r="BC629">
        <v>1200</v>
      </c>
      <c r="BD629">
        <v>1</v>
      </c>
      <c r="BE629" t="str">
        <f t="shared" si="29"/>
        <v xml:space="preserve">N215T   </v>
      </c>
      <c r="BF629">
        <v>1</v>
      </c>
      <c r="BH629">
        <v>0</v>
      </c>
      <c r="BI629">
        <v>0</v>
      </c>
      <c r="BJ629">
        <v>0</v>
      </c>
      <c r="BK629">
        <v>2375</v>
      </c>
      <c r="BL629">
        <v>375</v>
      </c>
      <c r="BM629" t="s">
        <v>119</v>
      </c>
      <c r="BN629">
        <v>1</v>
      </c>
      <c r="BO629">
        <v>1</v>
      </c>
      <c r="BP629">
        <v>1</v>
      </c>
      <c r="BQ629">
        <v>0</v>
      </c>
      <c r="BT629">
        <v>0</v>
      </c>
      <c r="BU629">
        <v>0</v>
      </c>
      <c r="BV629">
        <v>0</v>
      </c>
      <c r="CC629" t="str">
        <f>"18:45:04.336"</f>
        <v>18:45:04.336</v>
      </c>
      <c r="CD629" t="str">
        <f>"332338598"</f>
        <v>332338598</v>
      </c>
      <c r="CQ629">
        <v>0</v>
      </c>
      <c r="CR629">
        <v>2</v>
      </c>
      <c r="CS629">
        <v>0</v>
      </c>
      <c r="CT629">
        <v>2</v>
      </c>
      <c r="CU629">
        <v>0</v>
      </c>
      <c r="CV629">
        <v>3</v>
      </c>
      <c r="CW629" t="s">
        <v>120</v>
      </c>
      <c r="CX629">
        <v>261</v>
      </c>
      <c r="CY629">
        <v>2</v>
      </c>
      <c r="CZ629" t="s">
        <v>121</v>
      </c>
      <c r="DA629" t="s">
        <v>122</v>
      </c>
      <c r="DD629">
        <v>14577694</v>
      </c>
      <c r="DE629" t="s">
        <v>123</v>
      </c>
    </row>
    <row r="630" spans="1:109" x14ac:dyDescent="0.3">
      <c r="A630" t="str">
        <f>"18:45:05.578"</f>
        <v>18:45:05.578</v>
      </c>
      <c r="B630" t="s">
        <v>110</v>
      </c>
      <c r="C630" t="str">
        <f t="shared" si="27"/>
        <v>ffdfd3c0</v>
      </c>
      <c r="D630" t="s">
        <v>111</v>
      </c>
      <c r="E630">
        <v>18</v>
      </c>
      <c r="F630">
        <v>1018</v>
      </c>
      <c r="G630" t="s">
        <v>112</v>
      </c>
      <c r="J630" t="s">
        <v>113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R630" t="s">
        <v>114</v>
      </c>
      <c r="S630" t="str">
        <f>"18:45:05.320"</f>
        <v>18:45:05.320</v>
      </c>
      <c r="T630" t="str">
        <f>"18:45:05.219"</f>
        <v>18:45:05.219</v>
      </c>
      <c r="U630" t="str">
        <f t="shared" si="28"/>
        <v>a1cdbe</v>
      </c>
      <c r="V630">
        <v>0</v>
      </c>
      <c r="W630">
        <v>0</v>
      </c>
      <c r="X630">
        <v>1</v>
      </c>
      <c r="Y630">
        <v>0</v>
      </c>
      <c r="Z630">
        <v>0</v>
      </c>
      <c r="AB630">
        <v>0</v>
      </c>
      <c r="AC630">
        <v>9</v>
      </c>
      <c r="AD630">
        <v>3</v>
      </c>
      <c r="AE630">
        <v>0</v>
      </c>
      <c r="AF630">
        <v>9</v>
      </c>
      <c r="AG630" t="s">
        <v>158</v>
      </c>
      <c r="AH630">
        <v>0</v>
      </c>
      <c r="AI630">
        <v>3</v>
      </c>
      <c r="AJ630">
        <v>1</v>
      </c>
      <c r="AK630">
        <v>0</v>
      </c>
      <c r="AL630" t="s">
        <v>1330</v>
      </c>
      <c r="AM630">
        <v>46.911620999999997</v>
      </c>
      <c r="AN630" t="s">
        <v>1331</v>
      </c>
      <c r="AO630">
        <v>-122.354736</v>
      </c>
      <c r="AP630">
        <v>100</v>
      </c>
      <c r="AQ630">
        <v>2000</v>
      </c>
      <c r="AR630" t="s">
        <v>118</v>
      </c>
      <c r="AS630">
        <v>-37</v>
      </c>
      <c r="AT630">
        <v>-63</v>
      </c>
      <c r="AU630">
        <v>64</v>
      </c>
      <c r="BC630">
        <v>1200</v>
      </c>
      <c r="BD630">
        <v>1</v>
      </c>
      <c r="BE630" t="str">
        <f t="shared" si="29"/>
        <v xml:space="preserve">N215T   </v>
      </c>
      <c r="BF630">
        <v>1</v>
      </c>
      <c r="BH630">
        <v>0</v>
      </c>
      <c r="BI630">
        <v>0</v>
      </c>
      <c r="BJ630">
        <v>0</v>
      </c>
      <c r="BK630">
        <v>2375</v>
      </c>
      <c r="BL630">
        <v>375</v>
      </c>
      <c r="BM630" t="s">
        <v>119</v>
      </c>
      <c r="BN630">
        <v>1</v>
      </c>
      <c r="BO630">
        <v>1</v>
      </c>
      <c r="BP630">
        <v>1</v>
      </c>
      <c r="BQ630">
        <v>0</v>
      </c>
      <c r="BT630">
        <v>0</v>
      </c>
      <c r="BU630">
        <v>0</v>
      </c>
      <c r="BV630">
        <v>0</v>
      </c>
      <c r="CC630" t="str">
        <f>"18:45:05.320"</f>
        <v>18:45:05.320</v>
      </c>
      <c r="CD630" t="str">
        <f>"322241247"</f>
        <v>322241247</v>
      </c>
      <c r="CQ630">
        <v>0</v>
      </c>
      <c r="CR630">
        <v>2</v>
      </c>
      <c r="CS630">
        <v>0</v>
      </c>
      <c r="CT630">
        <v>2</v>
      </c>
      <c r="CU630">
        <v>0</v>
      </c>
      <c r="CV630">
        <v>3</v>
      </c>
      <c r="CW630" t="s">
        <v>120</v>
      </c>
      <c r="CX630">
        <v>261</v>
      </c>
      <c r="CY630">
        <v>2</v>
      </c>
      <c r="CZ630" t="s">
        <v>121</v>
      </c>
      <c r="DA630" t="s">
        <v>122</v>
      </c>
      <c r="DD630">
        <v>14578236</v>
      </c>
      <c r="DE630" t="s">
        <v>123</v>
      </c>
    </row>
    <row r="631" spans="1:109" x14ac:dyDescent="0.3">
      <c r="A631" t="str">
        <f>"18:45:06.680"</f>
        <v>18:45:06.680</v>
      </c>
      <c r="B631" t="s">
        <v>110</v>
      </c>
      <c r="C631" t="str">
        <f t="shared" si="27"/>
        <v>ffdfd3c0</v>
      </c>
      <c r="D631" t="s">
        <v>111</v>
      </c>
      <c r="E631">
        <v>18</v>
      </c>
      <c r="F631">
        <v>1018</v>
      </c>
      <c r="G631" t="s">
        <v>112</v>
      </c>
      <c r="J631" t="s">
        <v>113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R631" t="s">
        <v>114</v>
      </c>
      <c r="S631" t="str">
        <f>"18:45:06.414"</f>
        <v>18:45:06.414</v>
      </c>
      <c r="T631" t="str">
        <f>"18:45:06.211"</f>
        <v>18:45:06.211</v>
      </c>
      <c r="U631" t="str">
        <f t="shared" si="28"/>
        <v>a1cdbe</v>
      </c>
      <c r="V631">
        <v>0</v>
      </c>
      <c r="W631">
        <v>0</v>
      </c>
      <c r="X631">
        <v>1</v>
      </c>
      <c r="Y631">
        <v>0</v>
      </c>
      <c r="Z631">
        <v>0</v>
      </c>
      <c r="AB631">
        <v>0</v>
      </c>
      <c r="AC631">
        <v>9</v>
      </c>
      <c r="AD631">
        <v>3</v>
      </c>
      <c r="AE631">
        <v>0</v>
      </c>
      <c r="AF631">
        <v>9</v>
      </c>
      <c r="AG631" t="s">
        <v>158</v>
      </c>
      <c r="AH631">
        <v>0</v>
      </c>
      <c r="AI631">
        <v>3</v>
      </c>
      <c r="AJ631">
        <v>1</v>
      </c>
      <c r="AK631">
        <v>0</v>
      </c>
      <c r="AL631" t="s">
        <v>1332</v>
      </c>
      <c r="AM631">
        <v>46.911299</v>
      </c>
      <c r="AN631" t="s">
        <v>1333</v>
      </c>
      <c r="AO631">
        <v>-122.35501499999999</v>
      </c>
      <c r="AP631">
        <v>100</v>
      </c>
      <c r="AQ631">
        <v>2000</v>
      </c>
      <c r="AR631" t="s">
        <v>118</v>
      </c>
      <c r="AS631">
        <v>-37</v>
      </c>
      <c r="AT631">
        <v>-63</v>
      </c>
      <c r="AU631">
        <v>0</v>
      </c>
      <c r="BC631">
        <v>1200</v>
      </c>
      <c r="BD631">
        <v>1</v>
      </c>
      <c r="BE631" t="str">
        <f t="shared" si="29"/>
        <v xml:space="preserve">N215T   </v>
      </c>
      <c r="BF631">
        <v>1</v>
      </c>
      <c r="BH631">
        <v>0</v>
      </c>
      <c r="BI631">
        <v>0</v>
      </c>
      <c r="BJ631">
        <v>0</v>
      </c>
      <c r="BK631">
        <v>2375</v>
      </c>
      <c r="BL631">
        <v>375</v>
      </c>
      <c r="BM631" t="s">
        <v>119</v>
      </c>
      <c r="BN631">
        <v>1</v>
      </c>
      <c r="BO631">
        <v>1</v>
      </c>
      <c r="BP631">
        <v>1</v>
      </c>
      <c r="BQ631">
        <v>0</v>
      </c>
      <c r="BT631">
        <v>0</v>
      </c>
      <c r="BU631">
        <v>0</v>
      </c>
      <c r="BV631">
        <v>0</v>
      </c>
      <c r="CC631" t="str">
        <f>"18:45:06.414"</f>
        <v>18:45:06.414</v>
      </c>
      <c r="CD631" t="str">
        <f>"417133493"</f>
        <v>417133493</v>
      </c>
      <c r="CQ631">
        <v>0</v>
      </c>
      <c r="CR631">
        <v>2</v>
      </c>
      <c r="CS631">
        <v>0</v>
      </c>
      <c r="CT631">
        <v>2</v>
      </c>
      <c r="CU631">
        <v>0</v>
      </c>
      <c r="CV631">
        <v>2</v>
      </c>
      <c r="CW631" t="s">
        <v>120</v>
      </c>
      <c r="CX631">
        <v>261</v>
      </c>
      <c r="CY631">
        <v>2</v>
      </c>
      <c r="CZ631" t="s">
        <v>121</v>
      </c>
      <c r="DA631" t="s">
        <v>122</v>
      </c>
      <c r="DD631">
        <v>14578825</v>
      </c>
      <c r="DE631" t="s">
        <v>123</v>
      </c>
    </row>
    <row r="632" spans="1:109" x14ac:dyDescent="0.3">
      <c r="A632" t="str">
        <f>"18:45:07.641"</f>
        <v>18:45:07.641</v>
      </c>
      <c r="B632" t="s">
        <v>110</v>
      </c>
      <c r="C632" t="str">
        <f t="shared" si="27"/>
        <v>ffdfd3c0</v>
      </c>
      <c r="D632" t="s">
        <v>111</v>
      </c>
      <c r="E632">
        <v>18</v>
      </c>
      <c r="F632">
        <v>1018</v>
      </c>
      <c r="G632" t="s">
        <v>112</v>
      </c>
      <c r="J632" t="s">
        <v>113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R632" t="s">
        <v>114</v>
      </c>
      <c r="S632" t="str">
        <f>"18:45:07.406"</f>
        <v>18:45:07.406</v>
      </c>
      <c r="T632" t="str">
        <f>"18:45:07.203"</f>
        <v>18:45:07.203</v>
      </c>
      <c r="U632" t="str">
        <f t="shared" si="28"/>
        <v>a1cdbe</v>
      </c>
      <c r="V632">
        <v>0</v>
      </c>
      <c r="W632">
        <v>0</v>
      </c>
      <c r="X632">
        <v>1</v>
      </c>
      <c r="Y632">
        <v>0</v>
      </c>
      <c r="Z632">
        <v>0</v>
      </c>
      <c r="AB632">
        <v>0</v>
      </c>
      <c r="AC632">
        <v>9</v>
      </c>
      <c r="AD632">
        <v>3</v>
      </c>
      <c r="AE632">
        <v>0</v>
      </c>
      <c r="AF632">
        <v>9</v>
      </c>
      <c r="AG632" t="s">
        <v>158</v>
      </c>
      <c r="AH632">
        <v>0</v>
      </c>
      <c r="AI632">
        <v>3</v>
      </c>
      <c r="AJ632">
        <v>1</v>
      </c>
      <c r="AK632">
        <v>0</v>
      </c>
      <c r="AL632" t="s">
        <v>1334</v>
      </c>
      <c r="AM632">
        <v>46.911020000000001</v>
      </c>
      <c r="AN632" t="s">
        <v>1335</v>
      </c>
      <c r="AO632">
        <v>-122.355294</v>
      </c>
      <c r="AP632">
        <v>100</v>
      </c>
      <c r="AQ632">
        <v>2000</v>
      </c>
      <c r="AR632" t="s">
        <v>118</v>
      </c>
      <c r="AS632">
        <v>-37</v>
      </c>
      <c r="AT632">
        <v>-63</v>
      </c>
      <c r="AU632">
        <v>-64</v>
      </c>
      <c r="BC632">
        <v>1200</v>
      </c>
      <c r="BD632">
        <v>1</v>
      </c>
      <c r="BE632" t="str">
        <f t="shared" si="29"/>
        <v xml:space="preserve">N215T   </v>
      </c>
      <c r="BF632">
        <v>1</v>
      </c>
      <c r="BH632">
        <v>0</v>
      </c>
      <c r="BI632">
        <v>0</v>
      </c>
      <c r="BJ632">
        <v>0</v>
      </c>
      <c r="BK632">
        <v>2400</v>
      </c>
      <c r="BL632">
        <v>400</v>
      </c>
      <c r="BM632" t="s">
        <v>119</v>
      </c>
      <c r="BN632">
        <v>1</v>
      </c>
      <c r="BO632">
        <v>1</v>
      </c>
      <c r="BP632">
        <v>1</v>
      </c>
      <c r="BQ632">
        <v>0</v>
      </c>
      <c r="BT632">
        <v>0</v>
      </c>
      <c r="BU632">
        <v>0</v>
      </c>
      <c r="BV632">
        <v>0</v>
      </c>
      <c r="CC632" t="str">
        <f>"18:45:07.406"</f>
        <v>18:45:07.406</v>
      </c>
      <c r="CD632" t="str">
        <f>"407036121"</f>
        <v>407036121</v>
      </c>
      <c r="CQ632">
        <v>0</v>
      </c>
      <c r="CR632">
        <v>2</v>
      </c>
      <c r="CS632">
        <v>0</v>
      </c>
      <c r="CT632">
        <v>2</v>
      </c>
      <c r="CU632">
        <v>0</v>
      </c>
      <c r="CV632">
        <v>3</v>
      </c>
      <c r="CW632" t="s">
        <v>120</v>
      </c>
      <c r="CX632">
        <v>261</v>
      </c>
      <c r="CY632">
        <v>2</v>
      </c>
      <c r="CZ632" t="s">
        <v>121</v>
      </c>
      <c r="DA632" t="s">
        <v>122</v>
      </c>
      <c r="DD632">
        <v>14579367</v>
      </c>
      <c r="DE632" t="s">
        <v>123</v>
      </c>
    </row>
    <row r="633" spans="1:109" x14ac:dyDescent="0.3">
      <c r="A633" t="str">
        <f>"18:45:08.547"</f>
        <v>18:45:08.547</v>
      </c>
      <c r="B633" t="s">
        <v>110</v>
      </c>
      <c r="C633" t="str">
        <f t="shared" si="27"/>
        <v>ffdfd3c0</v>
      </c>
      <c r="D633" t="s">
        <v>111</v>
      </c>
      <c r="E633">
        <v>18</v>
      </c>
      <c r="F633">
        <v>1018</v>
      </c>
      <c r="G633" t="s">
        <v>112</v>
      </c>
      <c r="J633" t="s">
        <v>113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R633" t="s">
        <v>114</v>
      </c>
      <c r="S633" t="str">
        <f>"18:45:08.320"</f>
        <v>18:45:08.320</v>
      </c>
      <c r="T633" t="str">
        <f>"18:45:08.320"</f>
        <v>18:45:08.320</v>
      </c>
      <c r="U633" t="str">
        <f t="shared" si="28"/>
        <v>a1cdbe</v>
      </c>
      <c r="V633">
        <v>0</v>
      </c>
      <c r="W633">
        <v>0</v>
      </c>
      <c r="X633">
        <v>1</v>
      </c>
      <c r="Y633">
        <v>0</v>
      </c>
      <c r="Z633">
        <v>0</v>
      </c>
      <c r="AB633">
        <v>0</v>
      </c>
      <c r="AC633">
        <v>9</v>
      </c>
      <c r="AD633">
        <v>3</v>
      </c>
      <c r="AE633">
        <v>0</v>
      </c>
      <c r="AF633">
        <v>9</v>
      </c>
      <c r="AG633" t="s">
        <v>158</v>
      </c>
      <c r="AH633">
        <v>0</v>
      </c>
      <c r="AI633">
        <v>3</v>
      </c>
      <c r="AJ633">
        <v>1</v>
      </c>
      <c r="AK633">
        <v>0</v>
      </c>
      <c r="AL633" t="s">
        <v>1336</v>
      </c>
      <c r="AM633">
        <v>46.910741000000002</v>
      </c>
      <c r="AN633" t="s">
        <v>1337</v>
      </c>
      <c r="AO633">
        <v>-122.355509</v>
      </c>
      <c r="AP633">
        <v>100</v>
      </c>
      <c r="AQ633">
        <v>2000</v>
      </c>
      <c r="AR633" t="s">
        <v>118</v>
      </c>
      <c r="AS633">
        <v>-38</v>
      </c>
      <c r="AT633">
        <v>-64</v>
      </c>
      <c r="AU633">
        <v>0</v>
      </c>
      <c r="BC633">
        <v>1200</v>
      </c>
      <c r="BD633">
        <v>1</v>
      </c>
      <c r="BE633" t="str">
        <f t="shared" si="29"/>
        <v xml:space="preserve">N215T   </v>
      </c>
      <c r="BF633">
        <v>1</v>
      </c>
      <c r="BH633">
        <v>0</v>
      </c>
      <c r="BI633">
        <v>0</v>
      </c>
      <c r="BJ633">
        <v>0</v>
      </c>
      <c r="BK633">
        <v>2375</v>
      </c>
      <c r="BL633">
        <v>375</v>
      </c>
      <c r="BM633" t="s">
        <v>119</v>
      </c>
      <c r="BN633">
        <v>1</v>
      </c>
      <c r="BO633">
        <v>1</v>
      </c>
      <c r="BP633">
        <v>1</v>
      </c>
      <c r="BQ633">
        <v>0</v>
      </c>
      <c r="BT633">
        <v>0</v>
      </c>
      <c r="BU633">
        <v>0</v>
      </c>
      <c r="BV633">
        <v>0</v>
      </c>
      <c r="CC633" t="str">
        <f>"18:45:08.320"</f>
        <v>18:45:08.320</v>
      </c>
      <c r="CD633" t="str">
        <f>"321946071"</f>
        <v>321946071</v>
      </c>
      <c r="CQ633">
        <v>0</v>
      </c>
      <c r="CR633">
        <v>2</v>
      </c>
      <c r="CS633">
        <v>0</v>
      </c>
      <c r="CT633">
        <v>2</v>
      </c>
      <c r="CU633">
        <v>0</v>
      </c>
      <c r="CV633">
        <v>3</v>
      </c>
      <c r="CW633" t="s">
        <v>120</v>
      </c>
      <c r="CX633">
        <v>261</v>
      </c>
      <c r="CY633">
        <v>2</v>
      </c>
      <c r="CZ633" t="s">
        <v>121</v>
      </c>
      <c r="DA633" t="s">
        <v>122</v>
      </c>
      <c r="DD633">
        <v>14579837</v>
      </c>
      <c r="DE633" t="s">
        <v>123</v>
      </c>
    </row>
    <row r="634" spans="1:109" x14ac:dyDescent="0.3">
      <c r="A634" t="str">
        <f>"18:45:09.500"</f>
        <v>18:45:09.500</v>
      </c>
      <c r="B634" t="s">
        <v>110</v>
      </c>
      <c r="C634" t="str">
        <f t="shared" si="27"/>
        <v>ffdfd3c0</v>
      </c>
      <c r="D634" t="s">
        <v>111</v>
      </c>
      <c r="E634">
        <v>18</v>
      </c>
      <c r="F634">
        <v>1018</v>
      </c>
      <c r="G634" t="s">
        <v>112</v>
      </c>
      <c r="J634" t="s">
        <v>113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R634" t="s">
        <v>114</v>
      </c>
      <c r="S634" t="str">
        <f>"18:45:09.281"</f>
        <v>18:45:09.281</v>
      </c>
      <c r="T634" t="str">
        <f>"18:45:08.883"</f>
        <v>18:45:08.883</v>
      </c>
      <c r="U634" t="str">
        <f t="shared" si="28"/>
        <v>a1cdbe</v>
      </c>
      <c r="V634">
        <v>0</v>
      </c>
      <c r="W634">
        <v>0</v>
      </c>
      <c r="X634">
        <v>1</v>
      </c>
      <c r="Y634">
        <v>0</v>
      </c>
      <c r="Z634">
        <v>0</v>
      </c>
      <c r="AB634">
        <v>0</v>
      </c>
      <c r="AC634">
        <v>9</v>
      </c>
      <c r="AD634">
        <v>3</v>
      </c>
      <c r="AE634">
        <v>0</v>
      </c>
      <c r="AF634">
        <v>9</v>
      </c>
      <c r="AG634" t="s">
        <v>158</v>
      </c>
      <c r="AH634">
        <v>0</v>
      </c>
      <c r="AI634">
        <v>3</v>
      </c>
      <c r="AJ634">
        <v>1</v>
      </c>
      <c r="AK634">
        <v>0</v>
      </c>
      <c r="AL634" t="s">
        <v>1338</v>
      </c>
      <c r="AM634">
        <v>46.910483999999997</v>
      </c>
      <c r="AN634" t="s">
        <v>1339</v>
      </c>
      <c r="AO634">
        <v>-122.35570199999999</v>
      </c>
      <c r="AP634">
        <v>100</v>
      </c>
      <c r="AQ634">
        <v>2000</v>
      </c>
      <c r="AR634" t="s">
        <v>118</v>
      </c>
      <c r="AS634">
        <v>-38</v>
      </c>
      <c r="AT634">
        <v>-64</v>
      </c>
      <c r="AU634">
        <v>64</v>
      </c>
      <c r="BC634">
        <v>1200</v>
      </c>
      <c r="BD634">
        <v>1</v>
      </c>
      <c r="BE634" t="str">
        <f t="shared" si="29"/>
        <v xml:space="preserve">N215T   </v>
      </c>
      <c r="BF634">
        <v>1</v>
      </c>
      <c r="BH634">
        <v>0</v>
      </c>
      <c r="BI634">
        <v>0</v>
      </c>
      <c r="BJ634">
        <v>0</v>
      </c>
      <c r="BK634">
        <v>2375</v>
      </c>
      <c r="BL634">
        <v>375</v>
      </c>
      <c r="BM634" t="s">
        <v>119</v>
      </c>
      <c r="BN634">
        <v>1</v>
      </c>
      <c r="BO634">
        <v>1</v>
      </c>
      <c r="BP634">
        <v>1</v>
      </c>
      <c r="BQ634">
        <v>0</v>
      </c>
      <c r="BT634">
        <v>0</v>
      </c>
      <c r="BU634">
        <v>0</v>
      </c>
      <c r="BV634">
        <v>0</v>
      </c>
      <c r="CC634" t="str">
        <f>"18:45:09.281"</f>
        <v>18:45:09.281</v>
      </c>
      <c r="CD634" t="str">
        <f>"281851635"</f>
        <v>281851635</v>
      </c>
      <c r="CQ634">
        <v>0</v>
      </c>
      <c r="CR634">
        <v>2</v>
      </c>
      <c r="CS634">
        <v>0</v>
      </c>
      <c r="CT634">
        <v>2</v>
      </c>
      <c r="CU634">
        <v>0</v>
      </c>
      <c r="CV634">
        <v>4</v>
      </c>
      <c r="CW634" t="s">
        <v>120</v>
      </c>
      <c r="CX634">
        <v>261</v>
      </c>
      <c r="CY634">
        <v>2</v>
      </c>
      <c r="CZ634" t="s">
        <v>121</v>
      </c>
      <c r="DA634" t="s">
        <v>122</v>
      </c>
      <c r="DD634">
        <v>14580294</v>
      </c>
      <c r="DE634" t="s">
        <v>123</v>
      </c>
    </row>
    <row r="635" spans="1:109" x14ac:dyDescent="0.3">
      <c r="A635" t="str">
        <f>"18:45:10.656"</f>
        <v>18:45:10.656</v>
      </c>
      <c r="B635" t="s">
        <v>110</v>
      </c>
      <c r="C635" t="str">
        <f t="shared" si="27"/>
        <v>ffdfd3c0</v>
      </c>
      <c r="D635" t="s">
        <v>111</v>
      </c>
      <c r="E635">
        <v>18</v>
      </c>
      <c r="F635">
        <v>1018</v>
      </c>
      <c r="G635" t="s">
        <v>112</v>
      </c>
      <c r="J635" t="s">
        <v>113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R635" t="s">
        <v>114</v>
      </c>
      <c r="S635" t="str">
        <f>"18:45:10.406"</f>
        <v>18:45:10.406</v>
      </c>
      <c r="T635" t="str">
        <f>"18:45:09.906"</f>
        <v>18:45:09.906</v>
      </c>
      <c r="U635" t="str">
        <f t="shared" si="28"/>
        <v>a1cdbe</v>
      </c>
      <c r="V635">
        <v>0</v>
      </c>
      <c r="W635">
        <v>0</v>
      </c>
      <c r="X635">
        <v>1</v>
      </c>
      <c r="Y635">
        <v>0</v>
      </c>
      <c r="Z635">
        <v>0</v>
      </c>
      <c r="AB635">
        <v>0</v>
      </c>
      <c r="AC635">
        <v>9</v>
      </c>
      <c r="AD635">
        <v>3</v>
      </c>
      <c r="AE635">
        <v>0</v>
      </c>
      <c r="AF635">
        <v>9</v>
      </c>
      <c r="AG635" t="s">
        <v>158</v>
      </c>
      <c r="AH635">
        <v>0</v>
      </c>
      <c r="AI635">
        <v>3</v>
      </c>
      <c r="AJ635">
        <v>1</v>
      </c>
      <c r="AK635">
        <v>0</v>
      </c>
      <c r="AL635" t="s">
        <v>1340</v>
      </c>
      <c r="AM635">
        <v>46.910119000000002</v>
      </c>
      <c r="AN635" t="s">
        <v>1341</v>
      </c>
      <c r="AO635">
        <v>-122.35604499999999</v>
      </c>
      <c r="AP635">
        <v>100</v>
      </c>
      <c r="AQ635">
        <v>2000</v>
      </c>
      <c r="AR635" t="s">
        <v>118</v>
      </c>
      <c r="AS635">
        <v>-38</v>
      </c>
      <c r="AT635">
        <v>-64</v>
      </c>
      <c r="AU635">
        <v>192</v>
      </c>
      <c r="BC635">
        <v>1200</v>
      </c>
      <c r="BD635">
        <v>1</v>
      </c>
      <c r="BE635" t="str">
        <f t="shared" si="29"/>
        <v xml:space="preserve">N215T   </v>
      </c>
      <c r="BF635">
        <v>1</v>
      </c>
      <c r="BH635">
        <v>0</v>
      </c>
      <c r="BI635">
        <v>0</v>
      </c>
      <c r="BJ635">
        <v>0</v>
      </c>
      <c r="BK635">
        <v>2400</v>
      </c>
      <c r="BL635">
        <v>400</v>
      </c>
      <c r="BM635" t="s">
        <v>119</v>
      </c>
      <c r="BN635">
        <v>1</v>
      </c>
      <c r="BO635">
        <v>1</v>
      </c>
      <c r="BP635">
        <v>1</v>
      </c>
      <c r="BQ635">
        <v>0</v>
      </c>
      <c r="BT635">
        <v>0</v>
      </c>
      <c r="BU635">
        <v>0</v>
      </c>
      <c r="BV635">
        <v>0</v>
      </c>
      <c r="CC635" t="str">
        <f>"18:45:10.406"</f>
        <v>18:45:10.406</v>
      </c>
      <c r="CD635" t="str">
        <f>"406740960"</f>
        <v>406740960</v>
      </c>
      <c r="CQ635">
        <v>0</v>
      </c>
      <c r="CR635">
        <v>2</v>
      </c>
      <c r="CS635">
        <v>0</v>
      </c>
      <c r="CT635">
        <v>2</v>
      </c>
      <c r="CU635">
        <v>0</v>
      </c>
      <c r="CV635">
        <v>3</v>
      </c>
      <c r="CW635" t="s">
        <v>120</v>
      </c>
      <c r="CX635">
        <v>261</v>
      </c>
      <c r="CY635">
        <v>2</v>
      </c>
      <c r="CZ635" t="s">
        <v>121</v>
      </c>
      <c r="DA635" t="s">
        <v>122</v>
      </c>
      <c r="DD635">
        <v>14580844</v>
      </c>
      <c r="DE635" t="s">
        <v>123</v>
      </c>
    </row>
    <row r="636" spans="1:109" x14ac:dyDescent="0.3">
      <c r="A636" t="str">
        <f>"18:45:11.508"</f>
        <v>18:45:11.508</v>
      </c>
      <c r="B636" t="s">
        <v>110</v>
      </c>
      <c r="C636" t="str">
        <f t="shared" si="27"/>
        <v>ffdfd3c0</v>
      </c>
      <c r="D636" t="s">
        <v>111</v>
      </c>
      <c r="E636">
        <v>18</v>
      </c>
      <c r="F636">
        <v>1018</v>
      </c>
      <c r="G636" t="s">
        <v>112</v>
      </c>
      <c r="J636" t="s">
        <v>113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R636" t="s">
        <v>114</v>
      </c>
      <c r="S636" t="str">
        <f>"18:45:11.273"</f>
        <v>18:45:11.273</v>
      </c>
      <c r="T636" t="str">
        <f>"18:45:10.875"</f>
        <v>18:45:10.875</v>
      </c>
      <c r="U636" t="str">
        <f t="shared" si="28"/>
        <v>a1cdbe</v>
      </c>
      <c r="V636">
        <v>0</v>
      </c>
      <c r="W636">
        <v>0</v>
      </c>
      <c r="X636">
        <v>1</v>
      </c>
      <c r="Y636">
        <v>0</v>
      </c>
      <c r="Z636">
        <v>0</v>
      </c>
      <c r="AB636">
        <v>0</v>
      </c>
      <c r="AC636">
        <v>9</v>
      </c>
      <c r="AD636">
        <v>3</v>
      </c>
      <c r="AE636">
        <v>0</v>
      </c>
      <c r="AF636">
        <v>9</v>
      </c>
      <c r="AG636" t="s">
        <v>158</v>
      </c>
      <c r="AH636">
        <v>0</v>
      </c>
      <c r="AI636">
        <v>3</v>
      </c>
      <c r="AJ636">
        <v>1</v>
      </c>
      <c r="AK636">
        <v>0</v>
      </c>
      <c r="AL636" t="s">
        <v>1342</v>
      </c>
      <c r="AM636">
        <v>46.909883000000001</v>
      </c>
      <c r="AN636" t="s">
        <v>1343</v>
      </c>
      <c r="AO636">
        <v>-122.356238</v>
      </c>
      <c r="AP636">
        <v>100</v>
      </c>
      <c r="AQ636">
        <v>2000</v>
      </c>
      <c r="AR636" t="s">
        <v>118</v>
      </c>
      <c r="AS636">
        <v>-39</v>
      </c>
      <c r="AT636">
        <v>-64</v>
      </c>
      <c r="AU636">
        <v>192</v>
      </c>
      <c r="BC636">
        <v>1200</v>
      </c>
      <c r="BD636">
        <v>1</v>
      </c>
      <c r="BE636" t="str">
        <f t="shared" si="29"/>
        <v xml:space="preserve">N215T   </v>
      </c>
      <c r="BF636">
        <v>1</v>
      </c>
      <c r="BH636">
        <v>0</v>
      </c>
      <c r="BI636">
        <v>0</v>
      </c>
      <c r="BJ636">
        <v>0</v>
      </c>
      <c r="BK636">
        <v>2400</v>
      </c>
      <c r="BL636">
        <v>400</v>
      </c>
      <c r="BM636" t="s">
        <v>119</v>
      </c>
      <c r="BN636">
        <v>1</v>
      </c>
      <c r="BO636">
        <v>1</v>
      </c>
      <c r="BP636">
        <v>1</v>
      </c>
      <c r="BQ636">
        <v>0</v>
      </c>
      <c r="BT636">
        <v>0</v>
      </c>
      <c r="BU636">
        <v>0</v>
      </c>
      <c r="BV636">
        <v>0</v>
      </c>
      <c r="CC636" t="str">
        <f>"18:45:11.273"</f>
        <v>18:45:11.273</v>
      </c>
      <c r="CD636" t="str">
        <f>"276655400"</f>
        <v>276655400</v>
      </c>
      <c r="CQ636">
        <v>0</v>
      </c>
      <c r="CR636">
        <v>2</v>
      </c>
      <c r="CS636">
        <v>0</v>
      </c>
      <c r="CT636">
        <v>2</v>
      </c>
      <c r="CU636">
        <v>0</v>
      </c>
      <c r="CV636">
        <v>3</v>
      </c>
      <c r="CW636" t="s">
        <v>120</v>
      </c>
      <c r="CX636">
        <v>261</v>
      </c>
      <c r="CY636">
        <v>2</v>
      </c>
      <c r="CZ636" t="s">
        <v>121</v>
      </c>
      <c r="DA636" t="s">
        <v>122</v>
      </c>
      <c r="DD636">
        <v>14581301</v>
      </c>
      <c r="DE636" t="s">
        <v>123</v>
      </c>
    </row>
    <row r="637" spans="1:109" x14ac:dyDescent="0.3">
      <c r="A637" t="str">
        <f>"18:45:12.914"</f>
        <v>18:45:12.914</v>
      </c>
      <c r="B637" t="s">
        <v>110</v>
      </c>
      <c r="C637" t="str">
        <f t="shared" si="27"/>
        <v>ffdfd3c0</v>
      </c>
      <c r="D637" t="s">
        <v>111</v>
      </c>
      <c r="E637">
        <v>18</v>
      </c>
      <c r="F637">
        <v>1018</v>
      </c>
      <c r="G637" t="s">
        <v>112</v>
      </c>
      <c r="J637" t="s">
        <v>113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R637" t="s">
        <v>114</v>
      </c>
      <c r="S637" t="str">
        <f>"18:45:12.680"</f>
        <v>18:45:12.680</v>
      </c>
      <c r="T637" t="str">
        <f>"18:45:11.883"</f>
        <v>18:45:11.883</v>
      </c>
      <c r="U637" t="str">
        <f t="shared" si="28"/>
        <v>a1cdbe</v>
      </c>
      <c r="V637">
        <v>0</v>
      </c>
      <c r="W637">
        <v>0</v>
      </c>
      <c r="X637">
        <v>1</v>
      </c>
      <c r="Y637">
        <v>0</v>
      </c>
      <c r="Z637">
        <v>0</v>
      </c>
      <c r="AB637">
        <v>0</v>
      </c>
      <c r="AC637">
        <v>9</v>
      </c>
      <c r="AD637">
        <v>3</v>
      </c>
      <c r="AE637">
        <v>0</v>
      </c>
      <c r="AF637">
        <v>9</v>
      </c>
      <c r="AG637" t="s">
        <v>1307</v>
      </c>
      <c r="AH637">
        <v>0</v>
      </c>
      <c r="AI637">
        <v>3</v>
      </c>
      <c r="AJ637">
        <v>1</v>
      </c>
      <c r="AK637">
        <v>0</v>
      </c>
      <c r="AL637" t="s">
        <v>1344</v>
      </c>
      <c r="AM637">
        <v>46.909475</v>
      </c>
      <c r="AN637" t="s">
        <v>1345</v>
      </c>
      <c r="AO637">
        <v>-122.356646</v>
      </c>
      <c r="AP637">
        <v>100</v>
      </c>
      <c r="AQ637">
        <v>2000</v>
      </c>
      <c r="AR637" t="s">
        <v>118</v>
      </c>
      <c r="AS637">
        <v>-40</v>
      </c>
      <c r="AT637">
        <v>-63</v>
      </c>
      <c r="AU637">
        <v>320</v>
      </c>
      <c r="BC637">
        <v>1200</v>
      </c>
      <c r="BD637">
        <v>1</v>
      </c>
      <c r="BE637" t="str">
        <f t="shared" si="29"/>
        <v xml:space="preserve">N215T   </v>
      </c>
      <c r="BF637">
        <v>1</v>
      </c>
      <c r="BH637">
        <v>0</v>
      </c>
      <c r="BI637">
        <v>0</v>
      </c>
      <c r="BJ637">
        <v>0</v>
      </c>
      <c r="BK637">
        <v>2400</v>
      </c>
      <c r="BL637">
        <v>400</v>
      </c>
      <c r="BM637" t="s">
        <v>119</v>
      </c>
      <c r="BN637">
        <v>1</v>
      </c>
      <c r="BO637">
        <v>1</v>
      </c>
      <c r="BP637">
        <v>1</v>
      </c>
      <c r="BQ637">
        <v>0</v>
      </c>
      <c r="BT637">
        <v>0</v>
      </c>
      <c r="BU637">
        <v>0</v>
      </c>
      <c r="BV637">
        <v>0</v>
      </c>
      <c r="CC637" t="str">
        <f>"18:45:12.688"</f>
        <v>18:45:12.688</v>
      </c>
      <c r="CD637" t="str">
        <f>"686516712"</f>
        <v>686516712</v>
      </c>
      <c r="CQ637">
        <v>0</v>
      </c>
      <c r="CR637">
        <v>2</v>
      </c>
      <c r="CS637">
        <v>0</v>
      </c>
      <c r="CT637">
        <v>2</v>
      </c>
      <c r="CU637">
        <v>0</v>
      </c>
      <c r="CV637">
        <v>4</v>
      </c>
      <c r="CW637" t="s">
        <v>120</v>
      </c>
      <c r="CX637">
        <v>261</v>
      </c>
      <c r="CY637">
        <v>2</v>
      </c>
      <c r="CZ637" t="s">
        <v>121</v>
      </c>
      <c r="DA637" t="s">
        <v>122</v>
      </c>
      <c r="DD637">
        <v>14582057</v>
      </c>
      <c r="DE637" t="s">
        <v>123</v>
      </c>
    </row>
    <row r="638" spans="1:109" x14ac:dyDescent="0.3">
      <c r="A638" t="str">
        <f>"18:45:13.977"</f>
        <v>18:45:13.977</v>
      </c>
      <c r="B638" t="s">
        <v>110</v>
      </c>
      <c r="C638" t="str">
        <f t="shared" si="27"/>
        <v>ffdfd3c0</v>
      </c>
      <c r="D638" t="s">
        <v>111</v>
      </c>
      <c r="E638">
        <v>18</v>
      </c>
      <c r="F638">
        <v>1018</v>
      </c>
      <c r="G638" t="s">
        <v>112</v>
      </c>
      <c r="J638" t="s">
        <v>113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R638" t="s">
        <v>114</v>
      </c>
      <c r="S638" t="str">
        <f>"18:45:13.750"</f>
        <v>18:45:13.750</v>
      </c>
      <c r="T638" t="str">
        <f>"18:45:13.352"</f>
        <v>18:45:13.352</v>
      </c>
      <c r="U638" t="str">
        <f t="shared" si="28"/>
        <v>a1cdbe</v>
      </c>
      <c r="V638">
        <v>0</v>
      </c>
      <c r="W638">
        <v>0</v>
      </c>
      <c r="X638">
        <v>1</v>
      </c>
      <c r="Y638">
        <v>0</v>
      </c>
      <c r="Z638">
        <v>0</v>
      </c>
      <c r="AB638">
        <v>0</v>
      </c>
      <c r="AC638">
        <v>9</v>
      </c>
      <c r="AD638">
        <v>3</v>
      </c>
      <c r="AE638">
        <v>0</v>
      </c>
      <c r="AF638">
        <v>9</v>
      </c>
      <c r="AG638" t="s">
        <v>1307</v>
      </c>
      <c r="AH638">
        <v>0</v>
      </c>
      <c r="AI638">
        <v>3</v>
      </c>
      <c r="AJ638">
        <v>1</v>
      </c>
      <c r="AK638">
        <v>0</v>
      </c>
      <c r="AL638" t="s">
        <v>1346</v>
      </c>
      <c r="AM638">
        <v>46.909196000000001</v>
      </c>
      <c r="AN638" t="s">
        <v>1347</v>
      </c>
      <c r="AO638">
        <v>-122.356925</v>
      </c>
      <c r="AP638">
        <v>100</v>
      </c>
      <c r="AQ638">
        <v>2000</v>
      </c>
      <c r="AR638" t="s">
        <v>118</v>
      </c>
      <c r="AS638">
        <v>-40</v>
      </c>
      <c r="AT638">
        <v>-61</v>
      </c>
      <c r="AU638">
        <v>384</v>
      </c>
      <c r="BC638">
        <v>1200</v>
      </c>
      <c r="BD638">
        <v>1</v>
      </c>
      <c r="BE638" t="str">
        <f t="shared" si="29"/>
        <v xml:space="preserve">N215T   </v>
      </c>
      <c r="BF638">
        <v>1</v>
      </c>
      <c r="BH638">
        <v>0</v>
      </c>
      <c r="BI638">
        <v>0</v>
      </c>
      <c r="BJ638">
        <v>0</v>
      </c>
      <c r="BK638">
        <v>2400</v>
      </c>
      <c r="BL638">
        <v>400</v>
      </c>
      <c r="BM638" t="s">
        <v>119</v>
      </c>
      <c r="BN638">
        <v>1</v>
      </c>
      <c r="BO638">
        <v>1</v>
      </c>
      <c r="BP638">
        <v>1</v>
      </c>
      <c r="BQ638">
        <v>0</v>
      </c>
      <c r="BT638">
        <v>0</v>
      </c>
      <c r="BU638">
        <v>0</v>
      </c>
      <c r="BV638">
        <v>0</v>
      </c>
      <c r="CC638" t="str">
        <f>"18:45:13.750"</f>
        <v>18:45:13.750</v>
      </c>
      <c r="CD638" t="str">
        <f>"751411875"</f>
        <v>751411875</v>
      </c>
      <c r="CQ638">
        <v>0</v>
      </c>
      <c r="CR638">
        <v>2</v>
      </c>
      <c r="CS638">
        <v>0</v>
      </c>
      <c r="CT638">
        <v>2</v>
      </c>
      <c r="CU638">
        <v>0</v>
      </c>
      <c r="CV638">
        <v>3</v>
      </c>
      <c r="CW638" t="s">
        <v>120</v>
      </c>
      <c r="CX638">
        <v>261</v>
      </c>
      <c r="CY638">
        <v>2</v>
      </c>
      <c r="CZ638" t="s">
        <v>121</v>
      </c>
      <c r="DA638" t="s">
        <v>122</v>
      </c>
      <c r="DD638">
        <v>14582576</v>
      </c>
      <c r="DE638" t="s">
        <v>123</v>
      </c>
    </row>
    <row r="639" spans="1:109" x14ac:dyDescent="0.3">
      <c r="A639" t="str">
        <f>"18:45:15.078"</f>
        <v>18:45:15.078</v>
      </c>
      <c r="B639" t="s">
        <v>110</v>
      </c>
      <c r="C639" t="str">
        <f t="shared" si="27"/>
        <v>ffdfd3c0</v>
      </c>
      <c r="D639" t="s">
        <v>111</v>
      </c>
      <c r="E639">
        <v>18</v>
      </c>
      <c r="F639">
        <v>1018</v>
      </c>
      <c r="G639" t="s">
        <v>112</v>
      </c>
      <c r="J639" t="s">
        <v>113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R639" t="s">
        <v>114</v>
      </c>
      <c r="S639" t="str">
        <f>"18:45:14.828"</f>
        <v>18:45:14.828</v>
      </c>
      <c r="T639" t="str">
        <f>"18:45:14.430"</f>
        <v>18:45:14.430</v>
      </c>
      <c r="U639" t="str">
        <f t="shared" si="28"/>
        <v>a1cdbe</v>
      </c>
      <c r="V639">
        <v>0</v>
      </c>
      <c r="W639">
        <v>0</v>
      </c>
      <c r="X639">
        <v>1</v>
      </c>
      <c r="Y639">
        <v>0</v>
      </c>
      <c r="Z639">
        <v>0</v>
      </c>
      <c r="AB639">
        <v>0</v>
      </c>
      <c r="AC639">
        <v>9</v>
      </c>
      <c r="AD639">
        <v>3</v>
      </c>
      <c r="AE639">
        <v>0</v>
      </c>
      <c r="AF639">
        <v>9</v>
      </c>
      <c r="AG639" t="s">
        <v>158</v>
      </c>
      <c r="AH639">
        <v>0</v>
      </c>
      <c r="AI639">
        <v>3</v>
      </c>
      <c r="AJ639">
        <v>1</v>
      </c>
      <c r="AK639">
        <v>0</v>
      </c>
      <c r="AL639" t="s">
        <v>1348</v>
      </c>
      <c r="AM639">
        <v>46.908875000000002</v>
      </c>
      <c r="AN639" t="s">
        <v>1349</v>
      </c>
      <c r="AO639">
        <v>-122.357204</v>
      </c>
      <c r="AP639">
        <v>100</v>
      </c>
      <c r="AQ639">
        <v>2000</v>
      </c>
      <c r="AR639" t="s">
        <v>118</v>
      </c>
      <c r="AS639">
        <v>-41</v>
      </c>
      <c r="AT639">
        <v>-60</v>
      </c>
      <c r="AU639">
        <v>320</v>
      </c>
      <c r="BC639">
        <v>1200</v>
      </c>
      <c r="BD639">
        <v>1</v>
      </c>
      <c r="BE639" t="str">
        <f t="shared" si="29"/>
        <v xml:space="preserve">N215T   </v>
      </c>
      <c r="BF639">
        <v>1</v>
      </c>
      <c r="BH639">
        <v>0</v>
      </c>
      <c r="BI639">
        <v>0</v>
      </c>
      <c r="BJ639">
        <v>0</v>
      </c>
      <c r="BK639">
        <v>2425</v>
      </c>
      <c r="BL639">
        <v>425</v>
      </c>
      <c r="BM639" t="s">
        <v>119</v>
      </c>
      <c r="BN639">
        <v>1</v>
      </c>
      <c r="BO639">
        <v>1</v>
      </c>
      <c r="BP639">
        <v>1</v>
      </c>
      <c r="BQ639">
        <v>0</v>
      </c>
      <c r="BT639">
        <v>0</v>
      </c>
      <c r="BU639">
        <v>0</v>
      </c>
      <c r="BV639">
        <v>0</v>
      </c>
      <c r="CC639" t="str">
        <f>"18:45:14.828"</f>
        <v>18:45:14.828</v>
      </c>
      <c r="CD639" t="str">
        <f>"831305664"</f>
        <v>831305664</v>
      </c>
      <c r="CQ639">
        <v>0</v>
      </c>
      <c r="CR639">
        <v>2</v>
      </c>
      <c r="CS639">
        <v>0</v>
      </c>
      <c r="CT639">
        <v>2</v>
      </c>
      <c r="CU639">
        <v>0</v>
      </c>
      <c r="CV639">
        <v>2</v>
      </c>
      <c r="CW639" t="s">
        <v>120</v>
      </c>
      <c r="CX639">
        <v>261</v>
      </c>
      <c r="CY639">
        <v>2</v>
      </c>
      <c r="CZ639" t="s">
        <v>121</v>
      </c>
      <c r="DA639" t="s">
        <v>122</v>
      </c>
      <c r="DD639">
        <v>14583123</v>
      </c>
      <c r="DE639" t="s">
        <v>123</v>
      </c>
    </row>
    <row r="640" spans="1:109" x14ac:dyDescent="0.3">
      <c r="A640" t="str">
        <f>"18:45:16.133"</f>
        <v>18:45:16.133</v>
      </c>
      <c r="B640" t="s">
        <v>110</v>
      </c>
      <c r="C640" t="str">
        <f t="shared" si="27"/>
        <v>ffdfd3c0</v>
      </c>
      <c r="D640" t="s">
        <v>111</v>
      </c>
      <c r="E640">
        <v>18</v>
      </c>
      <c r="F640">
        <v>1018</v>
      </c>
      <c r="G640" t="s">
        <v>112</v>
      </c>
      <c r="J640" t="s">
        <v>113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R640" t="s">
        <v>114</v>
      </c>
      <c r="S640" t="str">
        <f>"18:45:15.891"</f>
        <v>18:45:15.891</v>
      </c>
      <c r="T640" t="str">
        <f>"18:45:14.891"</f>
        <v>18:45:14.891</v>
      </c>
      <c r="U640" t="str">
        <f t="shared" si="28"/>
        <v>a1cdbe</v>
      </c>
      <c r="V640">
        <v>0</v>
      </c>
      <c r="W640">
        <v>0</v>
      </c>
      <c r="X640">
        <v>1</v>
      </c>
      <c r="Y640">
        <v>0</v>
      </c>
      <c r="Z640">
        <v>0</v>
      </c>
      <c r="AB640">
        <v>0</v>
      </c>
      <c r="AC640">
        <v>9</v>
      </c>
      <c r="AD640">
        <v>3</v>
      </c>
      <c r="AE640">
        <v>0</v>
      </c>
      <c r="AF640">
        <v>9</v>
      </c>
      <c r="AG640" t="s">
        <v>158</v>
      </c>
      <c r="AH640">
        <v>0</v>
      </c>
      <c r="AI640">
        <v>3</v>
      </c>
      <c r="AJ640">
        <v>1</v>
      </c>
      <c r="AK640">
        <v>0</v>
      </c>
      <c r="AL640" t="s">
        <v>1350</v>
      </c>
      <c r="AM640">
        <v>46.908596000000003</v>
      </c>
      <c r="AN640" t="s">
        <v>1351</v>
      </c>
      <c r="AO640">
        <v>-122.357483</v>
      </c>
      <c r="AP640">
        <v>100</v>
      </c>
      <c r="AQ640">
        <v>2000</v>
      </c>
      <c r="AR640" t="s">
        <v>118</v>
      </c>
      <c r="AS640">
        <v>-41</v>
      </c>
      <c r="AT640">
        <v>-60</v>
      </c>
      <c r="AU640">
        <v>320</v>
      </c>
      <c r="BC640">
        <v>1200</v>
      </c>
      <c r="BD640">
        <v>1</v>
      </c>
      <c r="BE640" t="str">
        <f t="shared" si="29"/>
        <v xml:space="preserve">N215T   </v>
      </c>
      <c r="BF640">
        <v>1</v>
      </c>
      <c r="BH640">
        <v>0</v>
      </c>
      <c r="BI640">
        <v>0</v>
      </c>
      <c r="BJ640">
        <v>0</v>
      </c>
      <c r="BK640">
        <v>2425</v>
      </c>
      <c r="BL640">
        <v>425</v>
      </c>
      <c r="BM640" t="s">
        <v>119</v>
      </c>
      <c r="BN640">
        <v>1</v>
      </c>
      <c r="BO640">
        <v>1</v>
      </c>
      <c r="BP640">
        <v>1</v>
      </c>
      <c r="BQ640">
        <v>0</v>
      </c>
      <c r="BT640">
        <v>0</v>
      </c>
      <c r="BU640">
        <v>0</v>
      </c>
      <c r="BV640">
        <v>0</v>
      </c>
      <c r="CC640" t="str">
        <f>"18:45:15.898"</f>
        <v>18:45:15.898</v>
      </c>
      <c r="CD640" t="str">
        <f>"896159967"</f>
        <v>896159967</v>
      </c>
      <c r="CQ640">
        <v>0</v>
      </c>
      <c r="CR640">
        <v>2</v>
      </c>
      <c r="CS640">
        <v>0</v>
      </c>
      <c r="CT640">
        <v>2</v>
      </c>
      <c r="CU640">
        <v>0</v>
      </c>
      <c r="CV640">
        <v>2</v>
      </c>
      <c r="CW640" t="s">
        <v>172</v>
      </c>
      <c r="CX640">
        <v>326</v>
      </c>
      <c r="CY640">
        <v>0</v>
      </c>
      <c r="CZ640" t="s">
        <v>173</v>
      </c>
      <c r="DA640" t="s">
        <v>174</v>
      </c>
      <c r="DD640">
        <v>5933936</v>
      </c>
      <c r="DE640" t="s">
        <v>123</v>
      </c>
    </row>
    <row r="641" spans="1:109" x14ac:dyDescent="0.3">
      <c r="A641" t="str">
        <f>"18:45:17.242"</f>
        <v>18:45:17.242</v>
      </c>
      <c r="B641" t="s">
        <v>110</v>
      </c>
      <c r="C641" t="str">
        <f t="shared" si="27"/>
        <v>ffdfd3c0</v>
      </c>
      <c r="D641" t="s">
        <v>111</v>
      </c>
      <c r="E641">
        <v>18</v>
      </c>
      <c r="F641">
        <v>1018</v>
      </c>
      <c r="G641" t="s">
        <v>112</v>
      </c>
      <c r="J641" t="s">
        <v>113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R641" t="s">
        <v>114</v>
      </c>
      <c r="S641" t="str">
        <f>"18:45:16.984"</f>
        <v>18:45:16.984</v>
      </c>
      <c r="T641" t="str">
        <f>"18:45:16.484"</f>
        <v>18:45:16.484</v>
      </c>
      <c r="U641" t="str">
        <f t="shared" si="28"/>
        <v>a1cdbe</v>
      </c>
      <c r="V641">
        <v>0</v>
      </c>
      <c r="W641">
        <v>0</v>
      </c>
      <c r="X641">
        <v>1</v>
      </c>
      <c r="Y641">
        <v>0</v>
      </c>
      <c r="Z641">
        <v>0</v>
      </c>
      <c r="AB641">
        <v>0</v>
      </c>
      <c r="AC641">
        <v>9</v>
      </c>
      <c r="AD641">
        <v>3</v>
      </c>
      <c r="AE641">
        <v>0</v>
      </c>
      <c r="AF641">
        <v>9</v>
      </c>
      <c r="AG641" t="s">
        <v>158</v>
      </c>
      <c r="AH641">
        <v>0</v>
      </c>
      <c r="AI641">
        <v>3</v>
      </c>
      <c r="AJ641">
        <v>1</v>
      </c>
      <c r="AK641">
        <v>0</v>
      </c>
      <c r="AL641" t="s">
        <v>1352</v>
      </c>
      <c r="AM641">
        <v>46.908273999999999</v>
      </c>
      <c r="AN641" t="s">
        <v>1353</v>
      </c>
      <c r="AO641">
        <v>-122.35776199999999</v>
      </c>
      <c r="AP641">
        <v>100</v>
      </c>
      <c r="AQ641">
        <v>2000</v>
      </c>
      <c r="AR641" t="s">
        <v>118</v>
      </c>
      <c r="AS641">
        <v>-40</v>
      </c>
      <c r="AT641">
        <v>-60</v>
      </c>
      <c r="AU641">
        <v>128</v>
      </c>
      <c r="BC641">
        <v>1200</v>
      </c>
      <c r="BD641">
        <v>1</v>
      </c>
      <c r="BE641" t="str">
        <f t="shared" si="29"/>
        <v xml:space="preserve">N215T   </v>
      </c>
      <c r="BF641">
        <v>1</v>
      </c>
      <c r="BH641">
        <v>0</v>
      </c>
      <c r="BI641">
        <v>0</v>
      </c>
      <c r="BJ641">
        <v>0</v>
      </c>
      <c r="BK641">
        <v>2425</v>
      </c>
      <c r="BL641">
        <v>425</v>
      </c>
      <c r="BM641" t="s">
        <v>119</v>
      </c>
      <c r="BN641">
        <v>1</v>
      </c>
      <c r="BO641">
        <v>1</v>
      </c>
      <c r="BP641">
        <v>1</v>
      </c>
      <c r="BQ641">
        <v>0</v>
      </c>
      <c r="BT641">
        <v>0</v>
      </c>
      <c r="BU641">
        <v>0</v>
      </c>
      <c r="BV641">
        <v>0</v>
      </c>
      <c r="CC641" t="str">
        <f>"18:45:16.992"</f>
        <v>18:45:16.992</v>
      </c>
      <c r="CD641" t="str">
        <f>"991093143"</f>
        <v>991093143</v>
      </c>
      <c r="CQ641">
        <v>0</v>
      </c>
      <c r="CR641">
        <v>2</v>
      </c>
      <c r="CS641">
        <v>0</v>
      </c>
      <c r="CT641">
        <v>2</v>
      </c>
      <c r="CU641">
        <v>0</v>
      </c>
      <c r="CV641">
        <v>2</v>
      </c>
      <c r="CW641" t="s">
        <v>120</v>
      </c>
      <c r="CX641">
        <v>261</v>
      </c>
      <c r="CY641">
        <v>2</v>
      </c>
      <c r="CZ641" t="s">
        <v>121</v>
      </c>
      <c r="DA641" t="s">
        <v>122</v>
      </c>
      <c r="DD641">
        <v>14584292</v>
      </c>
      <c r="DE641" t="s">
        <v>123</v>
      </c>
    </row>
    <row r="642" spans="1:109" x14ac:dyDescent="0.3">
      <c r="A642" t="str">
        <f>"18:45:18.250"</f>
        <v>18:45:18.250</v>
      </c>
      <c r="B642" t="s">
        <v>110</v>
      </c>
      <c r="C642" t="str">
        <f t="shared" ref="C642:C705" si="30">"ffdfd3c0"</f>
        <v>ffdfd3c0</v>
      </c>
      <c r="D642" t="s">
        <v>111</v>
      </c>
      <c r="E642">
        <v>18</v>
      </c>
      <c r="F642">
        <v>1018</v>
      </c>
      <c r="G642" t="s">
        <v>112</v>
      </c>
      <c r="J642" t="s">
        <v>113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R642" t="s">
        <v>114</v>
      </c>
      <c r="S642" t="str">
        <f>"18:45:17.977"</f>
        <v>18:45:17.977</v>
      </c>
      <c r="T642" t="str">
        <f>"18:45:17.977"</f>
        <v>18:45:17.977</v>
      </c>
      <c r="U642" t="str">
        <f t="shared" ref="U642:U705" si="31">"a1cdbe"</f>
        <v>a1cdbe</v>
      </c>
      <c r="V642">
        <v>0</v>
      </c>
      <c r="W642">
        <v>0</v>
      </c>
      <c r="X642">
        <v>1</v>
      </c>
      <c r="Y642">
        <v>0</v>
      </c>
      <c r="Z642">
        <v>0</v>
      </c>
      <c r="AB642">
        <v>0</v>
      </c>
      <c r="AC642">
        <v>9</v>
      </c>
      <c r="AD642">
        <v>3</v>
      </c>
      <c r="AE642">
        <v>0</v>
      </c>
      <c r="AF642">
        <v>9</v>
      </c>
      <c r="AG642" t="s">
        <v>158</v>
      </c>
      <c r="AH642">
        <v>0</v>
      </c>
      <c r="AI642">
        <v>3</v>
      </c>
      <c r="AJ642">
        <v>1</v>
      </c>
      <c r="AK642">
        <v>0</v>
      </c>
      <c r="AL642" t="s">
        <v>1354</v>
      </c>
      <c r="AM642">
        <v>46.907995</v>
      </c>
      <c r="AN642" t="s">
        <v>1355</v>
      </c>
      <c r="AO642">
        <v>-122.35810499999999</v>
      </c>
      <c r="AP642">
        <v>100</v>
      </c>
      <c r="AQ642">
        <v>2000</v>
      </c>
      <c r="AR642" t="s">
        <v>118</v>
      </c>
      <c r="AS642">
        <v>-41</v>
      </c>
      <c r="AT642">
        <v>-60</v>
      </c>
      <c r="AU642">
        <v>-64</v>
      </c>
      <c r="BC642">
        <v>1200</v>
      </c>
      <c r="BD642">
        <v>1</v>
      </c>
      <c r="BE642" t="str">
        <f t="shared" ref="BE642:BE705" si="32">"N215T   "</f>
        <v xml:space="preserve">N215T   </v>
      </c>
      <c r="BF642">
        <v>1</v>
      </c>
      <c r="BH642">
        <v>0</v>
      </c>
      <c r="BI642">
        <v>0</v>
      </c>
      <c r="BJ642">
        <v>0</v>
      </c>
      <c r="BK642">
        <v>2425</v>
      </c>
      <c r="BL642">
        <v>425</v>
      </c>
      <c r="BM642" t="s">
        <v>119</v>
      </c>
      <c r="BN642">
        <v>1</v>
      </c>
      <c r="BO642">
        <v>1</v>
      </c>
      <c r="BP642">
        <v>1</v>
      </c>
      <c r="BQ642">
        <v>0</v>
      </c>
      <c r="BT642">
        <v>0</v>
      </c>
      <c r="BU642">
        <v>0</v>
      </c>
      <c r="BV642">
        <v>0</v>
      </c>
      <c r="CC642" t="str">
        <f>"18:45:17.984"</f>
        <v>18:45:17.984</v>
      </c>
      <c r="CD642" t="str">
        <f>"980995766"</f>
        <v>980995766</v>
      </c>
      <c r="CQ642">
        <v>0</v>
      </c>
      <c r="CR642">
        <v>2</v>
      </c>
      <c r="CS642">
        <v>0</v>
      </c>
      <c r="CT642">
        <v>2</v>
      </c>
      <c r="CU642">
        <v>0</v>
      </c>
      <c r="CV642">
        <v>4</v>
      </c>
      <c r="CW642" t="s">
        <v>120</v>
      </c>
      <c r="CX642">
        <v>261</v>
      </c>
      <c r="CY642">
        <v>2</v>
      </c>
      <c r="CZ642" t="s">
        <v>121</v>
      </c>
      <c r="DA642" t="s">
        <v>122</v>
      </c>
      <c r="DD642">
        <v>14584836</v>
      </c>
      <c r="DE642" t="s">
        <v>123</v>
      </c>
    </row>
    <row r="643" spans="1:109" x14ac:dyDescent="0.3">
      <c r="A643" t="str">
        <f>"18:45:19.203"</f>
        <v>18:45:19.203</v>
      </c>
      <c r="B643" t="s">
        <v>110</v>
      </c>
      <c r="C643" t="str">
        <f t="shared" si="30"/>
        <v>ffdfd3c0</v>
      </c>
      <c r="D643" t="s">
        <v>111</v>
      </c>
      <c r="E643">
        <v>18</v>
      </c>
      <c r="F643">
        <v>1018</v>
      </c>
      <c r="G643" t="s">
        <v>112</v>
      </c>
      <c r="J643" t="s">
        <v>113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R643" t="s">
        <v>114</v>
      </c>
      <c r="S643" t="str">
        <f>"18:45:18.938"</f>
        <v>18:45:18.938</v>
      </c>
      <c r="T643" t="str">
        <f>"18:45:18.938"</f>
        <v>18:45:18.938</v>
      </c>
      <c r="U643" t="str">
        <f t="shared" si="31"/>
        <v>a1cdbe</v>
      </c>
      <c r="V643">
        <v>0</v>
      </c>
      <c r="W643">
        <v>0</v>
      </c>
      <c r="X643">
        <v>1</v>
      </c>
      <c r="Y643">
        <v>0</v>
      </c>
      <c r="Z643">
        <v>0</v>
      </c>
      <c r="AB643">
        <v>0</v>
      </c>
      <c r="AC643">
        <v>9</v>
      </c>
      <c r="AD643">
        <v>3</v>
      </c>
      <c r="AE643">
        <v>0</v>
      </c>
      <c r="AF643">
        <v>9</v>
      </c>
      <c r="AG643" t="s">
        <v>158</v>
      </c>
      <c r="AH643">
        <v>0</v>
      </c>
      <c r="AI643">
        <v>3</v>
      </c>
      <c r="AJ643">
        <v>1</v>
      </c>
      <c r="AK643">
        <v>0</v>
      </c>
      <c r="AL643" t="s">
        <v>1356</v>
      </c>
      <c r="AM643">
        <v>46.907736999999997</v>
      </c>
      <c r="AN643" t="s">
        <v>1357</v>
      </c>
      <c r="AO643">
        <v>-122.358298</v>
      </c>
      <c r="AP643">
        <v>100</v>
      </c>
      <c r="AQ643">
        <v>2000</v>
      </c>
      <c r="AR643" t="s">
        <v>118</v>
      </c>
      <c r="AS643">
        <v>-41</v>
      </c>
      <c r="AT643">
        <v>-60</v>
      </c>
      <c r="AU643">
        <v>-128</v>
      </c>
      <c r="BC643">
        <v>1200</v>
      </c>
      <c r="BD643">
        <v>1</v>
      </c>
      <c r="BE643" t="str">
        <f t="shared" si="32"/>
        <v xml:space="preserve">N215T   </v>
      </c>
      <c r="BF643">
        <v>1</v>
      </c>
      <c r="BH643">
        <v>0</v>
      </c>
      <c r="BI643">
        <v>0</v>
      </c>
      <c r="BJ643">
        <v>0</v>
      </c>
      <c r="BK643">
        <v>2425</v>
      </c>
      <c r="BL643">
        <v>425</v>
      </c>
      <c r="BM643" t="s">
        <v>119</v>
      </c>
      <c r="BN643">
        <v>1</v>
      </c>
      <c r="BO643">
        <v>1</v>
      </c>
      <c r="BP643">
        <v>1</v>
      </c>
      <c r="BQ643">
        <v>0</v>
      </c>
      <c r="BT643">
        <v>0</v>
      </c>
      <c r="BU643">
        <v>0</v>
      </c>
      <c r="BV643">
        <v>0</v>
      </c>
      <c r="CC643" t="str">
        <f>"18:45:18.938"</f>
        <v>18:45:18.938</v>
      </c>
      <c r="CD643" t="str">
        <f>"940901285"</f>
        <v>940901285</v>
      </c>
      <c r="CQ643">
        <v>0</v>
      </c>
      <c r="CR643">
        <v>2</v>
      </c>
      <c r="CS643">
        <v>0</v>
      </c>
      <c r="CT643">
        <v>2</v>
      </c>
      <c r="CU643">
        <v>0</v>
      </c>
      <c r="CV643">
        <v>2</v>
      </c>
      <c r="CW643" t="s">
        <v>120</v>
      </c>
      <c r="CX643">
        <v>261</v>
      </c>
      <c r="CY643">
        <v>2</v>
      </c>
      <c r="CZ643" t="s">
        <v>121</v>
      </c>
      <c r="DA643" t="s">
        <v>122</v>
      </c>
      <c r="DD643">
        <v>14585352</v>
      </c>
      <c r="DE643" t="s">
        <v>123</v>
      </c>
    </row>
    <row r="644" spans="1:109" x14ac:dyDescent="0.3">
      <c r="A644" t="str">
        <f>"18:45:20.156"</f>
        <v>18:45:20.156</v>
      </c>
      <c r="B644" t="s">
        <v>110</v>
      </c>
      <c r="C644" t="str">
        <f t="shared" si="30"/>
        <v>ffdfd3c0</v>
      </c>
      <c r="D644" t="s">
        <v>111</v>
      </c>
      <c r="E644">
        <v>18</v>
      </c>
      <c r="F644">
        <v>1018</v>
      </c>
      <c r="G644" t="s">
        <v>112</v>
      </c>
      <c r="J644" t="s">
        <v>113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R644" t="s">
        <v>114</v>
      </c>
      <c r="S644" t="str">
        <f>"18:45:19.945"</f>
        <v>18:45:19.945</v>
      </c>
      <c r="T644" t="str">
        <f>"18:45:19.945"</f>
        <v>18:45:19.945</v>
      </c>
      <c r="U644" t="str">
        <f t="shared" si="31"/>
        <v>a1cdbe</v>
      </c>
      <c r="V644">
        <v>0</v>
      </c>
      <c r="W644">
        <v>0</v>
      </c>
      <c r="X644">
        <v>1</v>
      </c>
      <c r="Y644">
        <v>0</v>
      </c>
      <c r="Z644">
        <v>0</v>
      </c>
      <c r="AB644">
        <v>0</v>
      </c>
      <c r="AC644">
        <v>9</v>
      </c>
      <c r="AD644">
        <v>3</v>
      </c>
      <c r="AE644">
        <v>0</v>
      </c>
      <c r="AF644">
        <v>9</v>
      </c>
      <c r="AG644" t="s">
        <v>158</v>
      </c>
      <c r="AH644">
        <v>0</v>
      </c>
      <c r="AI644">
        <v>3</v>
      </c>
      <c r="AJ644">
        <v>1</v>
      </c>
      <c r="AK644">
        <v>0</v>
      </c>
      <c r="AL644" t="s">
        <v>1358</v>
      </c>
      <c r="AM644">
        <v>46.907437000000002</v>
      </c>
      <c r="AN644" t="s">
        <v>1359</v>
      </c>
      <c r="AO644">
        <v>-122.35862</v>
      </c>
      <c r="AP644">
        <v>100</v>
      </c>
      <c r="AQ644">
        <v>2000</v>
      </c>
      <c r="AR644" t="s">
        <v>118</v>
      </c>
      <c r="AS644">
        <v>-42</v>
      </c>
      <c r="AT644">
        <v>-60</v>
      </c>
      <c r="AU644">
        <v>-128</v>
      </c>
      <c r="BC644">
        <v>1200</v>
      </c>
      <c r="BD644">
        <v>1</v>
      </c>
      <c r="BE644" t="str">
        <f t="shared" si="32"/>
        <v xml:space="preserve">N215T   </v>
      </c>
      <c r="BF644">
        <v>1</v>
      </c>
      <c r="BH644">
        <v>0</v>
      </c>
      <c r="BI644">
        <v>0</v>
      </c>
      <c r="BJ644">
        <v>0</v>
      </c>
      <c r="BK644">
        <v>2425</v>
      </c>
      <c r="BL644">
        <v>425</v>
      </c>
      <c r="BM644" t="s">
        <v>119</v>
      </c>
      <c r="BN644">
        <v>1</v>
      </c>
      <c r="BO644">
        <v>1</v>
      </c>
      <c r="BP644">
        <v>1</v>
      </c>
      <c r="BQ644">
        <v>0</v>
      </c>
      <c r="BT644">
        <v>0</v>
      </c>
      <c r="BU644">
        <v>0</v>
      </c>
      <c r="BV644">
        <v>0</v>
      </c>
      <c r="CC644" t="str">
        <f>"18:45:19.945"</f>
        <v>18:45:19.945</v>
      </c>
      <c r="CD644" t="str">
        <f>"945802428"</f>
        <v>945802428</v>
      </c>
      <c r="CQ644">
        <v>0</v>
      </c>
      <c r="CR644">
        <v>2</v>
      </c>
      <c r="CS644">
        <v>0</v>
      </c>
      <c r="CT644">
        <v>2</v>
      </c>
      <c r="CU644">
        <v>0</v>
      </c>
      <c r="CV644">
        <v>2</v>
      </c>
      <c r="CW644" t="s">
        <v>120</v>
      </c>
      <c r="CX644">
        <v>261</v>
      </c>
      <c r="CY644">
        <v>2</v>
      </c>
      <c r="CZ644" t="s">
        <v>121</v>
      </c>
      <c r="DA644" t="s">
        <v>122</v>
      </c>
      <c r="DD644">
        <v>14585873</v>
      </c>
      <c r="DE644" t="s">
        <v>123</v>
      </c>
    </row>
    <row r="645" spans="1:109" x14ac:dyDescent="0.3">
      <c r="A645" t="str">
        <f>"18:45:21.664"</f>
        <v>18:45:21.664</v>
      </c>
      <c r="B645" t="s">
        <v>110</v>
      </c>
      <c r="C645" t="str">
        <f t="shared" si="30"/>
        <v>ffdfd3c0</v>
      </c>
      <c r="D645" t="s">
        <v>111</v>
      </c>
      <c r="E645">
        <v>18</v>
      </c>
      <c r="F645">
        <v>1018</v>
      </c>
      <c r="G645" t="s">
        <v>112</v>
      </c>
      <c r="J645" t="s">
        <v>113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R645" t="s">
        <v>114</v>
      </c>
      <c r="S645" t="str">
        <f>"18:45:21.414"</f>
        <v>18:45:21.414</v>
      </c>
      <c r="T645" t="str">
        <f>"18:45:20.914"</f>
        <v>18:45:20.914</v>
      </c>
      <c r="U645" t="str">
        <f t="shared" si="31"/>
        <v>a1cdbe</v>
      </c>
      <c r="V645">
        <v>0</v>
      </c>
      <c r="W645">
        <v>0</v>
      </c>
      <c r="X645">
        <v>1</v>
      </c>
      <c r="Y645">
        <v>0</v>
      </c>
      <c r="Z645">
        <v>0</v>
      </c>
      <c r="AB645">
        <v>0</v>
      </c>
      <c r="AC645">
        <v>9</v>
      </c>
      <c r="AD645">
        <v>3</v>
      </c>
      <c r="AE645">
        <v>0</v>
      </c>
      <c r="AF645">
        <v>9</v>
      </c>
      <c r="AG645" t="s">
        <v>158</v>
      </c>
      <c r="AH645">
        <v>0</v>
      </c>
      <c r="AI645">
        <v>3</v>
      </c>
      <c r="AJ645">
        <v>1</v>
      </c>
      <c r="AK645">
        <v>0</v>
      </c>
      <c r="AL645" t="s">
        <v>1360</v>
      </c>
      <c r="AM645">
        <v>46.907051000000003</v>
      </c>
      <c r="AN645" t="s">
        <v>1361</v>
      </c>
      <c r="AO645">
        <v>-122.359028</v>
      </c>
      <c r="AP645">
        <v>100</v>
      </c>
      <c r="AQ645">
        <v>2000</v>
      </c>
      <c r="AR645" t="s">
        <v>118</v>
      </c>
      <c r="AS645">
        <v>-42</v>
      </c>
      <c r="AT645">
        <v>-61</v>
      </c>
      <c r="AU645">
        <v>-256</v>
      </c>
      <c r="BC645">
        <v>1200</v>
      </c>
      <c r="BD645">
        <v>1</v>
      </c>
      <c r="BE645" t="str">
        <f t="shared" si="32"/>
        <v xml:space="preserve">N215T   </v>
      </c>
      <c r="BF645">
        <v>1</v>
      </c>
      <c r="BH645">
        <v>0</v>
      </c>
      <c r="BI645">
        <v>0</v>
      </c>
      <c r="BJ645">
        <v>0</v>
      </c>
      <c r="BK645">
        <v>2425</v>
      </c>
      <c r="BL645">
        <v>425</v>
      </c>
      <c r="BM645" t="s">
        <v>119</v>
      </c>
      <c r="BN645">
        <v>1</v>
      </c>
      <c r="BO645">
        <v>1</v>
      </c>
      <c r="BP645">
        <v>1</v>
      </c>
      <c r="BQ645">
        <v>0</v>
      </c>
      <c r="BT645">
        <v>0</v>
      </c>
      <c r="BU645">
        <v>0</v>
      </c>
      <c r="BV645">
        <v>0</v>
      </c>
      <c r="CC645" t="str">
        <f>"18:45:21.414"</f>
        <v>18:45:21.414</v>
      </c>
      <c r="CD645" t="str">
        <f>"415657832"</f>
        <v>415657832</v>
      </c>
      <c r="CQ645">
        <v>0</v>
      </c>
      <c r="CR645">
        <v>2</v>
      </c>
      <c r="CS645">
        <v>0</v>
      </c>
      <c r="CT645">
        <v>2</v>
      </c>
      <c r="CU645">
        <v>0</v>
      </c>
      <c r="CV645">
        <v>2</v>
      </c>
      <c r="CW645" t="s">
        <v>120</v>
      </c>
      <c r="CX645">
        <v>261</v>
      </c>
      <c r="CY645">
        <v>2</v>
      </c>
      <c r="CZ645" t="s">
        <v>121</v>
      </c>
      <c r="DA645" t="s">
        <v>122</v>
      </c>
      <c r="DD645">
        <v>14586650</v>
      </c>
      <c r="DE645" t="s">
        <v>123</v>
      </c>
    </row>
    <row r="646" spans="1:109" x14ac:dyDescent="0.3">
      <c r="A646" t="str">
        <f>"18:45:22.727"</f>
        <v>18:45:22.727</v>
      </c>
      <c r="B646" t="s">
        <v>110</v>
      </c>
      <c r="C646" t="str">
        <f t="shared" si="30"/>
        <v>ffdfd3c0</v>
      </c>
      <c r="D646" t="s">
        <v>111</v>
      </c>
      <c r="E646">
        <v>18</v>
      </c>
      <c r="F646">
        <v>1018</v>
      </c>
      <c r="G646" t="s">
        <v>112</v>
      </c>
      <c r="J646" t="s">
        <v>113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R646" t="s">
        <v>114</v>
      </c>
      <c r="S646" t="str">
        <f>"18:45:22.461"</f>
        <v>18:45:22.461</v>
      </c>
      <c r="T646" t="str">
        <f>"18:45:22.063"</f>
        <v>18:45:22.063</v>
      </c>
      <c r="U646" t="str">
        <f t="shared" si="31"/>
        <v>a1cdbe</v>
      </c>
      <c r="V646">
        <v>0</v>
      </c>
      <c r="W646">
        <v>0</v>
      </c>
      <c r="X646">
        <v>1</v>
      </c>
      <c r="Y646">
        <v>0</v>
      </c>
      <c r="Z646">
        <v>0</v>
      </c>
      <c r="AB646">
        <v>0</v>
      </c>
      <c r="AC646">
        <v>9</v>
      </c>
      <c r="AD646">
        <v>3</v>
      </c>
      <c r="AE646">
        <v>0</v>
      </c>
      <c r="AF646">
        <v>9</v>
      </c>
      <c r="AG646" t="s">
        <v>158</v>
      </c>
      <c r="AH646">
        <v>0</v>
      </c>
      <c r="AI646">
        <v>3</v>
      </c>
      <c r="AJ646">
        <v>1</v>
      </c>
      <c r="AK646">
        <v>0</v>
      </c>
      <c r="AL646" t="s">
        <v>1362</v>
      </c>
      <c r="AM646">
        <v>46.906728999999999</v>
      </c>
      <c r="AN646" t="s">
        <v>1363</v>
      </c>
      <c r="AO646">
        <v>-122.359414</v>
      </c>
      <c r="AP646">
        <v>100</v>
      </c>
      <c r="AQ646">
        <v>2000</v>
      </c>
      <c r="AR646" t="s">
        <v>118</v>
      </c>
      <c r="AS646">
        <v>-43</v>
      </c>
      <c r="AT646">
        <v>-61</v>
      </c>
      <c r="AU646">
        <v>-256</v>
      </c>
      <c r="BC646">
        <v>1200</v>
      </c>
      <c r="BD646">
        <v>1</v>
      </c>
      <c r="BE646" t="str">
        <f t="shared" si="32"/>
        <v xml:space="preserve">N215T   </v>
      </c>
      <c r="BF646">
        <v>1</v>
      </c>
      <c r="BH646">
        <v>0</v>
      </c>
      <c r="BI646">
        <v>0</v>
      </c>
      <c r="BJ646">
        <v>0</v>
      </c>
      <c r="BK646">
        <v>2425</v>
      </c>
      <c r="BL646">
        <v>425</v>
      </c>
      <c r="BM646" t="s">
        <v>119</v>
      </c>
      <c r="BN646">
        <v>1</v>
      </c>
      <c r="BO646">
        <v>1</v>
      </c>
      <c r="BP646">
        <v>1</v>
      </c>
      <c r="BQ646">
        <v>0</v>
      </c>
      <c r="BT646">
        <v>0</v>
      </c>
      <c r="BU646">
        <v>0</v>
      </c>
      <c r="BV646">
        <v>0</v>
      </c>
      <c r="CC646" t="str">
        <f>"18:45:22.469"</f>
        <v>18:45:22.469</v>
      </c>
      <c r="CD646" t="str">
        <f>"465554517"</f>
        <v>465554517</v>
      </c>
      <c r="CQ646">
        <v>0</v>
      </c>
      <c r="CR646">
        <v>2</v>
      </c>
      <c r="CS646">
        <v>0</v>
      </c>
      <c r="CT646">
        <v>2</v>
      </c>
      <c r="CU646">
        <v>0</v>
      </c>
      <c r="CV646">
        <v>2</v>
      </c>
      <c r="CW646" t="s">
        <v>120</v>
      </c>
      <c r="CX646">
        <v>261</v>
      </c>
      <c r="CY646">
        <v>2</v>
      </c>
      <c r="CZ646" t="s">
        <v>121</v>
      </c>
      <c r="DA646" t="s">
        <v>122</v>
      </c>
      <c r="DD646">
        <v>14587167</v>
      </c>
      <c r="DE646" t="s">
        <v>123</v>
      </c>
    </row>
    <row r="647" spans="1:109" x14ac:dyDescent="0.3">
      <c r="A647" t="str">
        <f>"18:45:23.680"</f>
        <v>18:45:23.680</v>
      </c>
      <c r="B647" t="s">
        <v>110</v>
      </c>
      <c r="C647" t="str">
        <f t="shared" si="30"/>
        <v>ffdfd3c0</v>
      </c>
      <c r="D647" t="s">
        <v>111</v>
      </c>
      <c r="E647">
        <v>18</v>
      </c>
      <c r="F647">
        <v>1018</v>
      </c>
      <c r="G647" t="s">
        <v>112</v>
      </c>
      <c r="J647" t="s">
        <v>113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R647" t="s">
        <v>114</v>
      </c>
      <c r="S647" t="str">
        <f>"18:45:23.453"</f>
        <v>18:45:23.453</v>
      </c>
      <c r="T647" t="str">
        <f>"18:45:23.055"</f>
        <v>18:45:23.055</v>
      </c>
      <c r="U647" t="str">
        <f t="shared" si="31"/>
        <v>a1cdbe</v>
      </c>
      <c r="V647">
        <v>0</v>
      </c>
      <c r="W647">
        <v>0</v>
      </c>
      <c r="X647">
        <v>1</v>
      </c>
      <c r="Y647">
        <v>0</v>
      </c>
      <c r="Z647">
        <v>0</v>
      </c>
      <c r="AB647">
        <v>0</v>
      </c>
      <c r="AC647">
        <v>9</v>
      </c>
      <c r="AD647">
        <v>3</v>
      </c>
      <c r="AE647">
        <v>0</v>
      </c>
      <c r="AF647">
        <v>9</v>
      </c>
      <c r="AG647" t="s">
        <v>158</v>
      </c>
      <c r="AH647">
        <v>0</v>
      </c>
      <c r="AI647">
        <v>3</v>
      </c>
      <c r="AJ647">
        <v>1</v>
      </c>
      <c r="AK647">
        <v>0</v>
      </c>
      <c r="AL647" t="s">
        <v>1364</v>
      </c>
      <c r="AM647">
        <v>46.90645</v>
      </c>
      <c r="AN647" t="s">
        <v>1365</v>
      </c>
      <c r="AO647">
        <v>-122.35958599999999</v>
      </c>
      <c r="AP647">
        <v>100</v>
      </c>
      <c r="AQ647">
        <v>2000</v>
      </c>
      <c r="AR647" t="s">
        <v>118</v>
      </c>
      <c r="AS647">
        <v>-42</v>
      </c>
      <c r="AT647">
        <v>-62</v>
      </c>
      <c r="AU647">
        <v>-256</v>
      </c>
      <c r="BC647">
        <v>1200</v>
      </c>
      <c r="BD647">
        <v>1</v>
      </c>
      <c r="BE647" t="str">
        <f t="shared" si="32"/>
        <v xml:space="preserve">N215T   </v>
      </c>
      <c r="BF647">
        <v>1</v>
      </c>
      <c r="BH647">
        <v>0</v>
      </c>
      <c r="BI647">
        <v>0</v>
      </c>
      <c r="BJ647">
        <v>0</v>
      </c>
      <c r="BK647">
        <v>2400</v>
      </c>
      <c r="BL647">
        <v>400</v>
      </c>
      <c r="BM647" t="s">
        <v>119</v>
      </c>
      <c r="BN647">
        <v>1</v>
      </c>
      <c r="BO647">
        <v>1</v>
      </c>
      <c r="BP647">
        <v>1</v>
      </c>
      <c r="BQ647">
        <v>0</v>
      </c>
      <c r="BT647">
        <v>0</v>
      </c>
      <c r="BU647">
        <v>0</v>
      </c>
      <c r="BV647">
        <v>0</v>
      </c>
      <c r="CC647" t="str">
        <f>"18:45:23.453"</f>
        <v>18:45:23.453</v>
      </c>
      <c r="CD647" t="str">
        <f>"455457094"</f>
        <v>455457094</v>
      </c>
      <c r="CQ647">
        <v>0</v>
      </c>
      <c r="CR647">
        <v>2</v>
      </c>
      <c r="CS647">
        <v>0</v>
      </c>
      <c r="CT647">
        <v>2</v>
      </c>
      <c r="CU647">
        <v>0</v>
      </c>
      <c r="CV647">
        <v>3</v>
      </c>
      <c r="CW647" t="s">
        <v>120</v>
      </c>
      <c r="CX647">
        <v>261</v>
      </c>
      <c r="CY647">
        <v>2</v>
      </c>
      <c r="CZ647" t="s">
        <v>121</v>
      </c>
      <c r="DA647" t="s">
        <v>122</v>
      </c>
      <c r="DD647">
        <v>14587680</v>
      </c>
      <c r="DE647" t="s">
        <v>123</v>
      </c>
    </row>
    <row r="648" spans="1:109" x14ac:dyDescent="0.3">
      <c r="A648" t="str">
        <f>"18:45:24.680"</f>
        <v>18:45:24.680</v>
      </c>
      <c r="B648" t="s">
        <v>110</v>
      </c>
      <c r="C648" t="str">
        <f t="shared" si="30"/>
        <v>ffdfd3c0</v>
      </c>
      <c r="D648" t="s">
        <v>111</v>
      </c>
      <c r="E648">
        <v>18</v>
      </c>
      <c r="F648">
        <v>1018</v>
      </c>
      <c r="G648" t="s">
        <v>112</v>
      </c>
      <c r="J648" t="s">
        <v>113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R648" t="s">
        <v>114</v>
      </c>
      <c r="S648" t="str">
        <f>"18:45:24.469"</f>
        <v>18:45:24.469</v>
      </c>
      <c r="T648" t="str">
        <f>"18:45:23.070"</f>
        <v>18:45:23.070</v>
      </c>
      <c r="U648" t="str">
        <f t="shared" si="31"/>
        <v>a1cdbe</v>
      </c>
      <c r="V648">
        <v>0</v>
      </c>
      <c r="W648">
        <v>0</v>
      </c>
      <c r="X648">
        <v>1</v>
      </c>
      <c r="Y648">
        <v>0</v>
      </c>
      <c r="Z648">
        <v>0</v>
      </c>
      <c r="AB648">
        <v>0</v>
      </c>
      <c r="AC648">
        <v>9</v>
      </c>
      <c r="AD648">
        <v>3</v>
      </c>
      <c r="AE648">
        <v>0</v>
      </c>
      <c r="AF648">
        <v>9</v>
      </c>
      <c r="AG648" t="s">
        <v>158</v>
      </c>
      <c r="AH648">
        <v>0</v>
      </c>
      <c r="AI648">
        <v>3</v>
      </c>
      <c r="AJ648">
        <v>1</v>
      </c>
      <c r="AK648">
        <v>0</v>
      </c>
      <c r="AL648" t="s">
        <v>1366</v>
      </c>
      <c r="AM648">
        <v>46.906171000000001</v>
      </c>
      <c r="AN648" t="s">
        <v>1367</v>
      </c>
      <c r="AO648">
        <v>-122.359951</v>
      </c>
      <c r="AP648">
        <v>100</v>
      </c>
      <c r="AQ648">
        <v>2000</v>
      </c>
      <c r="AR648" t="s">
        <v>118</v>
      </c>
      <c r="AS648">
        <v>-42</v>
      </c>
      <c r="AT648">
        <v>-62</v>
      </c>
      <c r="AU648">
        <v>-256</v>
      </c>
      <c r="BC648">
        <v>1200</v>
      </c>
      <c r="BD648">
        <v>1</v>
      </c>
      <c r="BE648" t="str">
        <f t="shared" si="32"/>
        <v xml:space="preserve">N215T   </v>
      </c>
      <c r="BF648">
        <v>1</v>
      </c>
      <c r="BH648">
        <v>0</v>
      </c>
      <c r="BI648">
        <v>0</v>
      </c>
      <c r="BJ648">
        <v>0</v>
      </c>
      <c r="BK648">
        <v>2400</v>
      </c>
      <c r="BL648">
        <v>400</v>
      </c>
      <c r="BM648" t="s">
        <v>119</v>
      </c>
      <c r="BN648">
        <v>1</v>
      </c>
      <c r="BO648">
        <v>1</v>
      </c>
      <c r="BP648">
        <v>1</v>
      </c>
      <c r="BQ648">
        <v>0</v>
      </c>
      <c r="BT648">
        <v>0</v>
      </c>
      <c r="BU648">
        <v>0</v>
      </c>
      <c r="BV648">
        <v>0</v>
      </c>
      <c r="CC648" t="str">
        <f>"18:45:24.477"</f>
        <v>18:45:24.477</v>
      </c>
      <c r="CD648" t="str">
        <f>"475356759"</f>
        <v>475356759</v>
      </c>
      <c r="CQ648">
        <v>0</v>
      </c>
      <c r="CR648">
        <v>2</v>
      </c>
      <c r="CS648">
        <v>0</v>
      </c>
      <c r="CT648">
        <v>2</v>
      </c>
      <c r="CU648">
        <v>0</v>
      </c>
      <c r="CV648">
        <v>4</v>
      </c>
      <c r="CW648" t="s">
        <v>120</v>
      </c>
      <c r="CX648">
        <v>261</v>
      </c>
      <c r="CY648">
        <v>2</v>
      </c>
      <c r="CZ648" t="s">
        <v>121</v>
      </c>
      <c r="DA648" t="s">
        <v>122</v>
      </c>
      <c r="DD648">
        <v>14588199</v>
      </c>
      <c r="DE648" t="s">
        <v>123</v>
      </c>
    </row>
    <row r="649" spans="1:109" x14ac:dyDescent="0.3">
      <c r="A649" t="str">
        <f>"18:45:25.742"</f>
        <v>18:45:25.742</v>
      </c>
      <c r="B649" t="s">
        <v>110</v>
      </c>
      <c r="C649" t="str">
        <f t="shared" si="30"/>
        <v>ffdfd3c0</v>
      </c>
      <c r="D649" t="s">
        <v>111</v>
      </c>
      <c r="E649">
        <v>18</v>
      </c>
      <c r="F649">
        <v>1018</v>
      </c>
      <c r="G649" t="s">
        <v>112</v>
      </c>
      <c r="J649" t="s">
        <v>113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R649" t="s">
        <v>114</v>
      </c>
      <c r="S649" t="str">
        <f>"18:45:25.492"</f>
        <v>18:45:25.492</v>
      </c>
      <c r="T649" t="str">
        <f>"18:45:25.094"</f>
        <v>18:45:25.094</v>
      </c>
      <c r="U649" t="str">
        <f t="shared" si="31"/>
        <v>a1cdbe</v>
      </c>
      <c r="V649">
        <v>0</v>
      </c>
      <c r="W649">
        <v>0</v>
      </c>
      <c r="X649">
        <v>1</v>
      </c>
      <c r="Y649">
        <v>0</v>
      </c>
      <c r="Z649">
        <v>0</v>
      </c>
      <c r="AB649">
        <v>0</v>
      </c>
      <c r="AC649">
        <v>9</v>
      </c>
      <c r="AD649">
        <v>3</v>
      </c>
      <c r="AE649">
        <v>0</v>
      </c>
      <c r="AF649">
        <v>9</v>
      </c>
      <c r="AG649" t="s">
        <v>158</v>
      </c>
      <c r="AH649">
        <v>0</v>
      </c>
      <c r="AI649">
        <v>3</v>
      </c>
      <c r="AJ649">
        <v>1</v>
      </c>
      <c r="AK649">
        <v>0</v>
      </c>
      <c r="AL649" t="s">
        <v>1368</v>
      </c>
      <c r="AM649">
        <v>46.905849000000003</v>
      </c>
      <c r="AN649" t="s">
        <v>1369</v>
      </c>
      <c r="AO649">
        <v>-122.360229</v>
      </c>
      <c r="AP649">
        <v>100</v>
      </c>
      <c r="AQ649">
        <v>2000</v>
      </c>
      <c r="AR649" t="s">
        <v>118</v>
      </c>
      <c r="AS649">
        <v>-41</v>
      </c>
      <c r="AT649">
        <v>-64</v>
      </c>
      <c r="AU649">
        <v>-192</v>
      </c>
      <c r="BC649">
        <v>1200</v>
      </c>
      <c r="BD649">
        <v>1</v>
      </c>
      <c r="BE649" t="str">
        <f t="shared" si="32"/>
        <v xml:space="preserve">N215T   </v>
      </c>
      <c r="BF649">
        <v>1</v>
      </c>
      <c r="BH649">
        <v>0</v>
      </c>
      <c r="BI649">
        <v>0</v>
      </c>
      <c r="BJ649">
        <v>0</v>
      </c>
      <c r="BK649">
        <v>2400</v>
      </c>
      <c r="BL649">
        <v>400</v>
      </c>
      <c r="BM649" t="s">
        <v>119</v>
      </c>
      <c r="BN649">
        <v>1</v>
      </c>
      <c r="BO649">
        <v>1</v>
      </c>
      <c r="BP649">
        <v>1</v>
      </c>
      <c r="BQ649">
        <v>0</v>
      </c>
      <c r="BT649">
        <v>0</v>
      </c>
      <c r="BU649">
        <v>0</v>
      </c>
      <c r="BV649">
        <v>0</v>
      </c>
      <c r="CC649" t="str">
        <f>"18:45:25.492"</f>
        <v>18:45:25.492</v>
      </c>
      <c r="CD649" t="str">
        <f>"495256404"</f>
        <v>495256404</v>
      </c>
      <c r="CQ649">
        <v>0</v>
      </c>
      <c r="CR649">
        <v>2</v>
      </c>
      <c r="CS649">
        <v>0</v>
      </c>
      <c r="CT649">
        <v>2</v>
      </c>
      <c r="CU649">
        <v>0</v>
      </c>
      <c r="CV649">
        <v>4</v>
      </c>
      <c r="CW649" t="s">
        <v>120</v>
      </c>
      <c r="CX649">
        <v>261</v>
      </c>
      <c r="CY649">
        <v>2</v>
      </c>
      <c r="CZ649" t="s">
        <v>121</v>
      </c>
      <c r="DA649" t="s">
        <v>122</v>
      </c>
      <c r="DD649">
        <v>14588728</v>
      </c>
      <c r="DE649" t="s">
        <v>123</v>
      </c>
    </row>
    <row r="650" spans="1:109" x14ac:dyDescent="0.3">
      <c r="A650" t="str">
        <f>"18:45:26.844"</f>
        <v>18:45:26.844</v>
      </c>
      <c r="B650" t="s">
        <v>110</v>
      </c>
      <c r="C650" t="str">
        <f t="shared" si="30"/>
        <v>ffdfd3c0</v>
      </c>
      <c r="D650" t="s">
        <v>111</v>
      </c>
      <c r="E650">
        <v>18</v>
      </c>
      <c r="F650">
        <v>1018</v>
      </c>
      <c r="G650" t="s">
        <v>112</v>
      </c>
      <c r="J650" t="s">
        <v>113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R650" t="s">
        <v>114</v>
      </c>
      <c r="S650" t="str">
        <f>"18:45:26.586"</f>
        <v>18:45:26.586</v>
      </c>
      <c r="T650" t="str">
        <f>"18:45:26.484"</f>
        <v>18:45:26.484</v>
      </c>
      <c r="U650" t="str">
        <f t="shared" si="31"/>
        <v>a1cdbe</v>
      </c>
      <c r="V650">
        <v>0</v>
      </c>
      <c r="W650">
        <v>0</v>
      </c>
      <c r="X650">
        <v>1</v>
      </c>
      <c r="Y650">
        <v>0</v>
      </c>
      <c r="Z650">
        <v>0</v>
      </c>
      <c r="AB650">
        <v>0</v>
      </c>
      <c r="AC650">
        <v>9</v>
      </c>
      <c r="AD650">
        <v>3</v>
      </c>
      <c r="AE650">
        <v>0</v>
      </c>
      <c r="AF650">
        <v>9</v>
      </c>
      <c r="AG650" t="s">
        <v>158</v>
      </c>
      <c r="AH650">
        <v>0</v>
      </c>
      <c r="AI650">
        <v>3</v>
      </c>
      <c r="AJ650">
        <v>1</v>
      </c>
      <c r="AK650">
        <v>0</v>
      </c>
      <c r="AL650" t="s">
        <v>1370</v>
      </c>
      <c r="AM650">
        <v>46.905526999999999</v>
      </c>
      <c r="AN650" t="s">
        <v>1371</v>
      </c>
      <c r="AO650">
        <v>-122.360508</v>
      </c>
      <c r="AP650">
        <v>100</v>
      </c>
      <c r="AQ650">
        <v>2000</v>
      </c>
      <c r="AR650" t="s">
        <v>118</v>
      </c>
      <c r="AS650">
        <v>-41</v>
      </c>
      <c r="AT650">
        <v>-64</v>
      </c>
      <c r="AU650">
        <v>-256</v>
      </c>
      <c r="BC650">
        <v>1200</v>
      </c>
      <c r="BD650">
        <v>1</v>
      </c>
      <c r="BE650" t="str">
        <f t="shared" si="32"/>
        <v xml:space="preserve">N215T   </v>
      </c>
      <c r="BF650">
        <v>1</v>
      </c>
      <c r="BH650">
        <v>0</v>
      </c>
      <c r="BI650">
        <v>0</v>
      </c>
      <c r="BJ650">
        <v>0</v>
      </c>
      <c r="BK650">
        <v>2400</v>
      </c>
      <c r="BL650">
        <v>400</v>
      </c>
      <c r="BM650" t="s">
        <v>119</v>
      </c>
      <c r="BN650">
        <v>1</v>
      </c>
      <c r="BO650">
        <v>1</v>
      </c>
      <c r="BP650">
        <v>1</v>
      </c>
      <c r="BQ650">
        <v>0</v>
      </c>
      <c r="BT650">
        <v>0</v>
      </c>
      <c r="BU650">
        <v>0</v>
      </c>
      <c r="BV650">
        <v>0</v>
      </c>
      <c r="CC650" t="str">
        <f>"18:45:26.594"</f>
        <v>18:45:26.594</v>
      </c>
      <c r="CD650" t="str">
        <f>"590148662"</f>
        <v>590148662</v>
      </c>
      <c r="CQ650">
        <v>0</v>
      </c>
      <c r="CR650">
        <v>2</v>
      </c>
      <c r="CS650">
        <v>0</v>
      </c>
      <c r="CT650">
        <v>2</v>
      </c>
      <c r="CU650">
        <v>0</v>
      </c>
      <c r="CV650">
        <v>3</v>
      </c>
      <c r="CW650" t="s">
        <v>120</v>
      </c>
      <c r="CX650">
        <v>261</v>
      </c>
      <c r="CY650">
        <v>2</v>
      </c>
      <c r="CZ650" t="s">
        <v>121</v>
      </c>
      <c r="DA650" t="s">
        <v>122</v>
      </c>
      <c r="DD650">
        <v>14589311</v>
      </c>
      <c r="DE650" t="s">
        <v>123</v>
      </c>
    </row>
    <row r="651" spans="1:109" x14ac:dyDescent="0.3">
      <c r="A651" t="str">
        <f>"18:45:27.648"</f>
        <v>18:45:27.648</v>
      </c>
      <c r="B651" t="s">
        <v>110</v>
      </c>
      <c r="C651" t="str">
        <f t="shared" si="30"/>
        <v>ffdfd3c0</v>
      </c>
      <c r="D651" t="s">
        <v>111</v>
      </c>
      <c r="E651">
        <v>18</v>
      </c>
      <c r="F651">
        <v>1018</v>
      </c>
      <c r="G651" t="s">
        <v>112</v>
      </c>
      <c r="J651" t="s">
        <v>113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R651" t="s">
        <v>114</v>
      </c>
      <c r="S651" t="str">
        <f>"18:45:27.414"</f>
        <v>18:45:27.414</v>
      </c>
      <c r="T651" t="str">
        <f>"18:45:27.117"</f>
        <v>18:45:27.117</v>
      </c>
      <c r="U651" t="str">
        <f t="shared" si="31"/>
        <v>a1cdbe</v>
      </c>
      <c r="V651">
        <v>0</v>
      </c>
      <c r="W651">
        <v>0</v>
      </c>
      <c r="X651">
        <v>1</v>
      </c>
      <c r="Y651">
        <v>0</v>
      </c>
      <c r="Z651">
        <v>0</v>
      </c>
      <c r="AB651">
        <v>0</v>
      </c>
      <c r="AC651">
        <v>9</v>
      </c>
      <c r="AD651">
        <v>3</v>
      </c>
      <c r="AE651">
        <v>0</v>
      </c>
      <c r="AF651">
        <v>9</v>
      </c>
      <c r="AG651" t="s">
        <v>158</v>
      </c>
      <c r="AH651">
        <v>0</v>
      </c>
      <c r="AI651">
        <v>3</v>
      </c>
      <c r="AJ651">
        <v>1</v>
      </c>
      <c r="AK651">
        <v>0</v>
      </c>
      <c r="AL651" t="s">
        <v>1372</v>
      </c>
      <c r="AM651">
        <v>46.905290999999998</v>
      </c>
      <c r="AN651" t="s">
        <v>1373</v>
      </c>
      <c r="AO651">
        <v>-122.36072299999999</v>
      </c>
      <c r="AP651">
        <v>100</v>
      </c>
      <c r="AQ651">
        <v>2000</v>
      </c>
      <c r="AR651" t="s">
        <v>118</v>
      </c>
      <c r="AS651">
        <v>-42</v>
      </c>
      <c r="AT651">
        <v>-64</v>
      </c>
      <c r="AU651">
        <v>-256</v>
      </c>
      <c r="BC651">
        <v>1200</v>
      </c>
      <c r="BD651">
        <v>1</v>
      </c>
      <c r="BE651" t="str">
        <f t="shared" si="32"/>
        <v xml:space="preserve">N215T   </v>
      </c>
      <c r="BF651">
        <v>1</v>
      </c>
      <c r="BH651">
        <v>0</v>
      </c>
      <c r="BI651">
        <v>0</v>
      </c>
      <c r="BJ651">
        <v>0</v>
      </c>
      <c r="BK651">
        <v>2400</v>
      </c>
      <c r="BL651">
        <v>400</v>
      </c>
      <c r="BM651" t="s">
        <v>119</v>
      </c>
      <c r="BN651">
        <v>1</v>
      </c>
      <c r="BO651">
        <v>1</v>
      </c>
      <c r="BP651">
        <v>1</v>
      </c>
      <c r="BQ651">
        <v>0</v>
      </c>
      <c r="BT651">
        <v>0</v>
      </c>
      <c r="BU651">
        <v>0</v>
      </c>
      <c r="BV651">
        <v>0</v>
      </c>
      <c r="CC651" t="str">
        <f>"18:45:27.414"</f>
        <v>18:45:27.414</v>
      </c>
      <c r="CD651" t="str">
        <f>"415067541"</f>
        <v>415067541</v>
      </c>
      <c r="CQ651">
        <v>0</v>
      </c>
      <c r="CR651">
        <v>2</v>
      </c>
      <c r="CS651">
        <v>0</v>
      </c>
      <c r="CT651">
        <v>2</v>
      </c>
      <c r="CU651">
        <v>0</v>
      </c>
      <c r="CV651">
        <v>3</v>
      </c>
      <c r="CW651" t="s">
        <v>120</v>
      </c>
      <c r="CX651">
        <v>261</v>
      </c>
      <c r="CY651">
        <v>2</v>
      </c>
      <c r="CZ651" t="s">
        <v>121</v>
      </c>
      <c r="DA651" t="s">
        <v>122</v>
      </c>
      <c r="DD651">
        <v>14589722</v>
      </c>
      <c r="DE651" t="s">
        <v>123</v>
      </c>
    </row>
    <row r="652" spans="1:109" x14ac:dyDescent="0.3">
      <c r="A652" t="str">
        <f>"18:45:28.758"</f>
        <v>18:45:28.758</v>
      </c>
      <c r="B652" t="s">
        <v>110</v>
      </c>
      <c r="C652" t="str">
        <f t="shared" si="30"/>
        <v>ffdfd3c0</v>
      </c>
      <c r="D652" t="s">
        <v>111</v>
      </c>
      <c r="E652">
        <v>18</v>
      </c>
      <c r="F652">
        <v>1018</v>
      </c>
      <c r="G652" t="s">
        <v>112</v>
      </c>
      <c r="J652" t="s">
        <v>113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R652" t="s">
        <v>114</v>
      </c>
      <c r="S652" t="str">
        <f>"18:45:28.508"</f>
        <v>18:45:28.508</v>
      </c>
      <c r="T652" t="str">
        <f>"18:45:28.508"</f>
        <v>18:45:28.508</v>
      </c>
      <c r="U652" t="str">
        <f t="shared" si="31"/>
        <v>a1cdbe</v>
      </c>
      <c r="V652">
        <v>0</v>
      </c>
      <c r="W652">
        <v>0</v>
      </c>
      <c r="X652">
        <v>1</v>
      </c>
      <c r="Y652">
        <v>0</v>
      </c>
      <c r="Z652">
        <v>0</v>
      </c>
      <c r="AB652">
        <v>0</v>
      </c>
      <c r="AC652">
        <v>9</v>
      </c>
      <c r="AD652">
        <v>3</v>
      </c>
      <c r="AE652">
        <v>0</v>
      </c>
      <c r="AF652">
        <v>9</v>
      </c>
      <c r="AG652" t="s">
        <v>158</v>
      </c>
      <c r="AH652">
        <v>0</v>
      </c>
      <c r="AI652">
        <v>3</v>
      </c>
      <c r="AJ652">
        <v>1</v>
      </c>
      <c r="AK652">
        <v>0</v>
      </c>
      <c r="AL652" t="s">
        <v>1374</v>
      </c>
      <c r="AM652">
        <v>46.904991000000003</v>
      </c>
      <c r="AN652" t="s">
        <v>1375</v>
      </c>
      <c r="AO652">
        <v>-122.361045</v>
      </c>
      <c r="AP652">
        <v>100</v>
      </c>
      <c r="AQ652">
        <v>2000</v>
      </c>
      <c r="AR652" t="s">
        <v>118</v>
      </c>
      <c r="AS652">
        <v>-42</v>
      </c>
      <c r="AT652">
        <v>-64</v>
      </c>
      <c r="AU652">
        <v>-256</v>
      </c>
      <c r="BC652">
        <v>1200</v>
      </c>
      <c r="BD652">
        <v>1</v>
      </c>
      <c r="BE652" t="str">
        <f t="shared" si="32"/>
        <v xml:space="preserve">N215T   </v>
      </c>
      <c r="BF652">
        <v>1</v>
      </c>
      <c r="BH652">
        <v>0</v>
      </c>
      <c r="BI652">
        <v>0</v>
      </c>
      <c r="BJ652">
        <v>0</v>
      </c>
      <c r="BK652">
        <v>2375</v>
      </c>
      <c r="BL652">
        <v>375</v>
      </c>
      <c r="BM652" t="s">
        <v>119</v>
      </c>
      <c r="BN652">
        <v>1</v>
      </c>
      <c r="BO652">
        <v>1</v>
      </c>
      <c r="BP652">
        <v>1</v>
      </c>
      <c r="BQ652">
        <v>0</v>
      </c>
      <c r="BT652">
        <v>0</v>
      </c>
      <c r="BU652">
        <v>0</v>
      </c>
      <c r="BV652">
        <v>0</v>
      </c>
      <c r="CC652" t="str">
        <f>"18:45:28.508"</f>
        <v>18:45:28.508</v>
      </c>
      <c r="CD652" t="str">
        <f>"509919452"</f>
        <v>509919452</v>
      </c>
      <c r="CQ652">
        <v>0</v>
      </c>
      <c r="CR652">
        <v>2</v>
      </c>
      <c r="CS652">
        <v>0</v>
      </c>
      <c r="CT652">
        <v>2</v>
      </c>
      <c r="CU652">
        <v>0</v>
      </c>
      <c r="CV652">
        <v>2</v>
      </c>
      <c r="CW652" t="s">
        <v>172</v>
      </c>
      <c r="CX652">
        <v>326</v>
      </c>
      <c r="CY652">
        <v>0</v>
      </c>
      <c r="CZ652" t="s">
        <v>173</v>
      </c>
      <c r="DA652" t="s">
        <v>174</v>
      </c>
      <c r="DD652">
        <v>5940575</v>
      </c>
      <c r="DE652" t="s">
        <v>123</v>
      </c>
    </row>
    <row r="653" spans="1:109" x14ac:dyDescent="0.3">
      <c r="A653" t="str">
        <f>"18:45:29.859"</f>
        <v>18:45:29.859</v>
      </c>
      <c r="B653" t="s">
        <v>110</v>
      </c>
      <c r="C653" t="str">
        <f t="shared" si="30"/>
        <v>ffdfd3c0</v>
      </c>
      <c r="D653" t="s">
        <v>111</v>
      </c>
      <c r="E653">
        <v>18</v>
      </c>
      <c r="F653">
        <v>1018</v>
      </c>
      <c r="G653" t="s">
        <v>112</v>
      </c>
      <c r="J653" t="s">
        <v>113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R653" t="s">
        <v>114</v>
      </c>
      <c r="S653" t="str">
        <f>"18:45:29.602"</f>
        <v>18:45:29.602</v>
      </c>
      <c r="T653" t="str">
        <f>"18:45:29.500"</f>
        <v>18:45:29.500</v>
      </c>
      <c r="U653" t="str">
        <f t="shared" si="31"/>
        <v>a1cdbe</v>
      </c>
      <c r="V653">
        <v>0</v>
      </c>
      <c r="W653">
        <v>0</v>
      </c>
      <c r="X653">
        <v>1</v>
      </c>
      <c r="Y653">
        <v>0</v>
      </c>
      <c r="Z653">
        <v>0</v>
      </c>
      <c r="AB653">
        <v>0</v>
      </c>
      <c r="AC653">
        <v>9</v>
      </c>
      <c r="AD653">
        <v>3</v>
      </c>
      <c r="AE653">
        <v>0</v>
      </c>
      <c r="AF653">
        <v>9</v>
      </c>
      <c r="AG653" t="s">
        <v>158</v>
      </c>
      <c r="AH653">
        <v>0</v>
      </c>
      <c r="AI653">
        <v>3</v>
      </c>
      <c r="AJ653">
        <v>1</v>
      </c>
      <c r="AK653">
        <v>0</v>
      </c>
      <c r="AL653" t="s">
        <v>1376</v>
      </c>
      <c r="AM653">
        <v>46.904626</v>
      </c>
      <c r="AN653" t="s">
        <v>1377</v>
      </c>
      <c r="AO653">
        <v>-122.361324</v>
      </c>
      <c r="AP653">
        <v>100</v>
      </c>
      <c r="AQ653">
        <v>2000</v>
      </c>
      <c r="AR653" t="s">
        <v>118</v>
      </c>
      <c r="AS653">
        <v>-42</v>
      </c>
      <c r="AT653">
        <v>-65</v>
      </c>
      <c r="AU653">
        <v>-256</v>
      </c>
      <c r="BC653">
        <v>1200</v>
      </c>
      <c r="BD653">
        <v>1</v>
      </c>
      <c r="BE653" t="str">
        <f t="shared" si="32"/>
        <v xml:space="preserve">N215T   </v>
      </c>
      <c r="BF653">
        <v>1</v>
      </c>
      <c r="BH653">
        <v>0</v>
      </c>
      <c r="BI653">
        <v>0</v>
      </c>
      <c r="BJ653">
        <v>0</v>
      </c>
      <c r="BK653">
        <v>2375</v>
      </c>
      <c r="BL653">
        <v>375</v>
      </c>
      <c r="BM653" t="s">
        <v>119</v>
      </c>
      <c r="BN653">
        <v>1</v>
      </c>
      <c r="BO653">
        <v>1</v>
      </c>
      <c r="BP653">
        <v>1</v>
      </c>
      <c r="BQ653">
        <v>0</v>
      </c>
      <c r="BT653">
        <v>0</v>
      </c>
      <c r="BU653">
        <v>0</v>
      </c>
      <c r="BV653">
        <v>0</v>
      </c>
      <c r="CC653" t="str">
        <f>"18:45:29.602"</f>
        <v>18:45:29.602</v>
      </c>
      <c r="CD653" t="str">
        <f>"604852092"</f>
        <v>604852092</v>
      </c>
      <c r="CQ653">
        <v>0</v>
      </c>
      <c r="CR653">
        <v>2</v>
      </c>
      <c r="CS653">
        <v>0</v>
      </c>
      <c r="CT653">
        <v>2</v>
      </c>
      <c r="CU653">
        <v>0</v>
      </c>
      <c r="CV653">
        <v>2</v>
      </c>
      <c r="CW653" t="s">
        <v>120</v>
      </c>
      <c r="CX653">
        <v>261</v>
      </c>
      <c r="CY653">
        <v>1</v>
      </c>
      <c r="CZ653" t="s">
        <v>121</v>
      </c>
      <c r="DA653" t="s">
        <v>122</v>
      </c>
      <c r="DD653">
        <v>3491840</v>
      </c>
      <c r="DE653" t="s">
        <v>123</v>
      </c>
    </row>
    <row r="654" spans="1:109" x14ac:dyDescent="0.3">
      <c r="A654" t="str">
        <f>"18:45:30.867"</f>
        <v>18:45:30.867</v>
      </c>
      <c r="B654" t="s">
        <v>110</v>
      </c>
      <c r="C654" t="str">
        <f t="shared" si="30"/>
        <v>ffdfd3c0</v>
      </c>
      <c r="D654" t="s">
        <v>111</v>
      </c>
      <c r="E654">
        <v>18</v>
      </c>
      <c r="F654">
        <v>1018</v>
      </c>
      <c r="G654" t="s">
        <v>112</v>
      </c>
      <c r="J654" t="s">
        <v>113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R654" t="s">
        <v>114</v>
      </c>
      <c r="S654" t="str">
        <f>"18:45:30.609"</f>
        <v>18:45:30.609</v>
      </c>
      <c r="T654" t="str">
        <f>"18:45:30.508"</f>
        <v>18:45:30.508</v>
      </c>
      <c r="U654" t="str">
        <f t="shared" si="31"/>
        <v>a1cdbe</v>
      </c>
      <c r="V654">
        <v>0</v>
      </c>
      <c r="W654">
        <v>0</v>
      </c>
      <c r="X654">
        <v>1</v>
      </c>
      <c r="Y654">
        <v>0</v>
      </c>
      <c r="Z654">
        <v>0</v>
      </c>
      <c r="AB654">
        <v>0</v>
      </c>
      <c r="AC654">
        <v>9</v>
      </c>
      <c r="AD654">
        <v>3</v>
      </c>
      <c r="AE654">
        <v>0</v>
      </c>
      <c r="AF654">
        <v>9</v>
      </c>
      <c r="AG654" t="s">
        <v>158</v>
      </c>
      <c r="AH654">
        <v>0</v>
      </c>
      <c r="AI654">
        <v>3</v>
      </c>
      <c r="AJ654">
        <v>1</v>
      </c>
      <c r="AK654">
        <v>0</v>
      </c>
      <c r="AL654" t="s">
        <v>1378</v>
      </c>
      <c r="AM654">
        <v>46.904304000000003</v>
      </c>
      <c r="AN654" t="s">
        <v>1379</v>
      </c>
      <c r="AO654">
        <v>-122.36164599999999</v>
      </c>
      <c r="AP654">
        <v>100</v>
      </c>
      <c r="AQ654">
        <v>2000</v>
      </c>
      <c r="AR654" t="s">
        <v>118</v>
      </c>
      <c r="AS654">
        <v>-41</v>
      </c>
      <c r="AT654">
        <v>-65</v>
      </c>
      <c r="AU654">
        <v>-320</v>
      </c>
      <c r="BC654">
        <v>1200</v>
      </c>
      <c r="BD654">
        <v>1</v>
      </c>
      <c r="BE654" t="str">
        <f t="shared" si="32"/>
        <v xml:space="preserve">N215T   </v>
      </c>
      <c r="BF654">
        <v>1</v>
      </c>
      <c r="BH654">
        <v>0</v>
      </c>
      <c r="BI654">
        <v>0</v>
      </c>
      <c r="BJ654">
        <v>0</v>
      </c>
      <c r="BK654">
        <v>2375</v>
      </c>
      <c r="BL654">
        <v>375</v>
      </c>
      <c r="BM654" t="s">
        <v>119</v>
      </c>
      <c r="BN654">
        <v>1</v>
      </c>
      <c r="BO654">
        <v>1</v>
      </c>
      <c r="BP654">
        <v>1</v>
      </c>
      <c r="BQ654">
        <v>0</v>
      </c>
      <c r="BT654">
        <v>0</v>
      </c>
      <c r="BU654">
        <v>0</v>
      </c>
      <c r="BV654">
        <v>0</v>
      </c>
      <c r="CC654" t="str">
        <f>"18:45:30.609"</f>
        <v>18:45:30.609</v>
      </c>
      <c r="CD654" t="str">
        <f>"609712974"</f>
        <v>609712974</v>
      </c>
      <c r="CQ654">
        <v>0</v>
      </c>
      <c r="CR654">
        <v>2</v>
      </c>
      <c r="CS654">
        <v>0</v>
      </c>
      <c r="CT654">
        <v>2</v>
      </c>
      <c r="CU654">
        <v>0</v>
      </c>
      <c r="CV654">
        <v>2</v>
      </c>
      <c r="CW654" t="s">
        <v>172</v>
      </c>
      <c r="CX654">
        <v>326</v>
      </c>
      <c r="CY654">
        <v>0</v>
      </c>
      <c r="CZ654" t="s">
        <v>173</v>
      </c>
      <c r="DA654" t="s">
        <v>174</v>
      </c>
      <c r="DD654">
        <v>5941649</v>
      </c>
      <c r="DE654" t="s">
        <v>123</v>
      </c>
    </row>
    <row r="655" spans="1:109" x14ac:dyDescent="0.3">
      <c r="A655" t="str">
        <f>"18:45:31.773"</f>
        <v>18:45:31.773</v>
      </c>
      <c r="B655" t="s">
        <v>110</v>
      </c>
      <c r="C655" t="str">
        <f t="shared" si="30"/>
        <v>ffdfd3c0</v>
      </c>
      <c r="D655" t="s">
        <v>111</v>
      </c>
      <c r="E655">
        <v>18</v>
      </c>
      <c r="F655">
        <v>1018</v>
      </c>
      <c r="G655" t="s">
        <v>112</v>
      </c>
      <c r="J655" t="s">
        <v>113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R655" t="s">
        <v>114</v>
      </c>
      <c r="S655" t="str">
        <f>"18:45:31.508"</f>
        <v>18:45:31.508</v>
      </c>
      <c r="T655" t="str">
        <f>"18:45:31.008"</f>
        <v>18:45:31.008</v>
      </c>
      <c r="U655" t="str">
        <f t="shared" si="31"/>
        <v>a1cdbe</v>
      </c>
      <c r="V655">
        <v>0</v>
      </c>
      <c r="W655">
        <v>0</v>
      </c>
      <c r="X655">
        <v>1</v>
      </c>
      <c r="Y655">
        <v>0</v>
      </c>
      <c r="Z655">
        <v>0</v>
      </c>
      <c r="AB655">
        <v>0</v>
      </c>
      <c r="AC655">
        <v>9</v>
      </c>
      <c r="AD655">
        <v>3</v>
      </c>
      <c r="AE655">
        <v>0</v>
      </c>
      <c r="AF655">
        <v>9</v>
      </c>
      <c r="AG655" t="s">
        <v>158</v>
      </c>
      <c r="AH655">
        <v>0</v>
      </c>
      <c r="AI655">
        <v>3</v>
      </c>
      <c r="AJ655">
        <v>1</v>
      </c>
      <c r="AK655">
        <v>0</v>
      </c>
      <c r="AL655" t="s">
        <v>1380</v>
      </c>
      <c r="AM655">
        <v>46.904088999999999</v>
      </c>
      <c r="AN655" t="s">
        <v>1381</v>
      </c>
      <c r="AO655">
        <v>-122.361925</v>
      </c>
      <c r="AP655">
        <v>100</v>
      </c>
      <c r="AQ655">
        <v>2000</v>
      </c>
      <c r="AR655" t="s">
        <v>118</v>
      </c>
      <c r="AS655">
        <v>-42</v>
      </c>
      <c r="AT655">
        <v>-65</v>
      </c>
      <c r="AU655">
        <v>-192</v>
      </c>
      <c r="BC655">
        <v>1200</v>
      </c>
      <c r="BD655">
        <v>1</v>
      </c>
      <c r="BE655" t="str">
        <f t="shared" si="32"/>
        <v xml:space="preserve">N215T   </v>
      </c>
      <c r="BF655">
        <v>1</v>
      </c>
      <c r="BH655">
        <v>0</v>
      </c>
      <c r="BI655">
        <v>0</v>
      </c>
      <c r="BJ655">
        <v>0</v>
      </c>
      <c r="BK655">
        <v>2375</v>
      </c>
      <c r="BL655">
        <v>375</v>
      </c>
      <c r="BM655" t="s">
        <v>119</v>
      </c>
      <c r="BN655">
        <v>1</v>
      </c>
      <c r="BO655">
        <v>1</v>
      </c>
      <c r="BP655">
        <v>1</v>
      </c>
      <c r="BQ655">
        <v>0</v>
      </c>
      <c r="BT655">
        <v>0</v>
      </c>
      <c r="BU655">
        <v>0</v>
      </c>
      <c r="BV655">
        <v>0</v>
      </c>
      <c r="CC655" t="str">
        <f>"18:45:31.508"</f>
        <v>18:45:31.508</v>
      </c>
      <c r="CD655" t="str">
        <f>"509664686"</f>
        <v>509664686</v>
      </c>
      <c r="CQ655">
        <v>0</v>
      </c>
      <c r="CR655">
        <v>2</v>
      </c>
      <c r="CS655">
        <v>0</v>
      </c>
      <c r="CT655">
        <v>2</v>
      </c>
      <c r="CU655">
        <v>0</v>
      </c>
      <c r="CV655">
        <v>3</v>
      </c>
      <c r="CW655" t="s">
        <v>120</v>
      </c>
      <c r="CX655">
        <v>261</v>
      </c>
      <c r="CY655">
        <v>1</v>
      </c>
      <c r="CZ655" t="s">
        <v>121</v>
      </c>
      <c r="DA655" t="s">
        <v>122</v>
      </c>
      <c r="DD655">
        <v>3492932</v>
      </c>
      <c r="DE655" t="s">
        <v>123</v>
      </c>
    </row>
    <row r="656" spans="1:109" x14ac:dyDescent="0.3">
      <c r="A656" t="str">
        <f>"18:45:32.727"</f>
        <v>18:45:32.727</v>
      </c>
      <c r="B656" t="s">
        <v>110</v>
      </c>
      <c r="C656" t="str">
        <f t="shared" si="30"/>
        <v>ffdfd3c0</v>
      </c>
      <c r="D656" t="s">
        <v>111</v>
      </c>
      <c r="E656">
        <v>18</v>
      </c>
      <c r="F656">
        <v>1018</v>
      </c>
      <c r="G656" t="s">
        <v>112</v>
      </c>
      <c r="J656" t="s">
        <v>113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R656" t="s">
        <v>114</v>
      </c>
      <c r="S656" t="str">
        <f>"18:45:32.508"</f>
        <v>18:45:32.508</v>
      </c>
      <c r="T656" t="str">
        <f>"18:45:32.508"</f>
        <v>18:45:32.508</v>
      </c>
      <c r="U656" t="str">
        <f t="shared" si="31"/>
        <v>a1cdbe</v>
      </c>
      <c r="V656">
        <v>0</v>
      </c>
      <c r="W656">
        <v>0</v>
      </c>
      <c r="X656">
        <v>1</v>
      </c>
      <c r="Y656">
        <v>0</v>
      </c>
      <c r="Z656">
        <v>0</v>
      </c>
      <c r="AB656">
        <v>0</v>
      </c>
      <c r="AC656">
        <v>9</v>
      </c>
      <c r="AD656">
        <v>3</v>
      </c>
      <c r="AE656">
        <v>0</v>
      </c>
      <c r="AF656">
        <v>9</v>
      </c>
      <c r="AG656" t="s">
        <v>158</v>
      </c>
      <c r="AH656">
        <v>0</v>
      </c>
      <c r="AI656">
        <v>3</v>
      </c>
      <c r="AJ656">
        <v>1</v>
      </c>
      <c r="AK656">
        <v>0</v>
      </c>
      <c r="AL656" t="s">
        <v>1382</v>
      </c>
      <c r="AM656">
        <v>46.903745999999998</v>
      </c>
      <c r="AN656" t="s">
        <v>1383</v>
      </c>
      <c r="AO656">
        <v>-122.362161</v>
      </c>
      <c r="AP656">
        <v>100</v>
      </c>
      <c r="AQ656">
        <v>2000</v>
      </c>
      <c r="AR656" t="s">
        <v>118</v>
      </c>
      <c r="AS656">
        <v>-41</v>
      </c>
      <c r="AT656">
        <v>-65</v>
      </c>
      <c r="AU656">
        <v>-192</v>
      </c>
      <c r="BC656">
        <v>1200</v>
      </c>
      <c r="BD656">
        <v>1</v>
      </c>
      <c r="BE656" t="str">
        <f t="shared" si="32"/>
        <v xml:space="preserve">N215T   </v>
      </c>
      <c r="BF656">
        <v>1</v>
      </c>
      <c r="BH656">
        <v>0</v>
      </c>
      <c r="BI656">
        <v>0</v>
      </c>
      <c r="BJ656">
        <v>0</v>
      </c>
      <c r="BK656">
        <v>2375</v>
      </c>
      <c r="BL656">
        <v>375</v>
      </c>
      <c r="BM656" t="s">
        <v>119</v>
      </c>
      <c r="BN656">
        <v>1</v>
      </c>
      <c r="BO656">
        <v>1</v>
      </c>
      <c r="BP656">
        <v>1</v>
      </c>
      <c r="BQ656">
        <v>0</v>
      </c>
      <c r="BT656">
        <v>0</v>
      </c>
      <c r="BU656">
        <v>0</v>
      </c>
      <c r="BV656">
        <v>0</v>
      </c>
      <c r="CC656" t="str">
        <f>"18:45:32.516"</f>
        <v>18:45:32.516</v>
      </c>
      <c r="CD656" t="str">
        <f>"514525657"</f>
        <v>514525657</v>
      </c>
      <c r="CQ656">
        <v>0</v>
      </c>
      <c r="CR656">
        <v>2</v>
      </c>
      <c r="CS656">
        <v>0</v>
      </c>
      <c r="CT656">
        <v>2</v>
      </c>
      <c r="CU656">
        <v>0</v>
      </c>
      <c r="CV656">
        <v>2</v>
      </c>
      <c r="CW656" t="s">
        <v>172</v>
      </c>
      <c r="CX656">
        <v>326</v>
      </c>
      <c r="CY656">
        <v>0</v>
      </c>
      <c r="CZ656" t="s">
        <v>173</v>
      </c>
      <c r="DA656" t="s">
        <v>174</v>
      </c>
      <c r="DD656">
        <v>5942653</v>
      </c>
      <c r="DE656" t="s">
        <v>123</v>
      </c>
    </row>
    <row r="657" spans="1:109" x14ac:dyDescent="0.3">
      <c r="A657" t="str">
        <f>"18:45:33.633"</f>
        <v>18:45:33.633</v>
      </c>
      <c r="B657" t="s">
        <v>110</v>
      </c>
      <c r="C657" t="str">
        <f t="shared" si="30"/>
        <v>ffdfd3c0</v>
      </c>
      <c r="D657" t="s">
        <v>111</v>
      </c>
      <c r="E657">
        <v>18</v>
      </c>
      <c r="F657">
        <v>1018</v>
      </c>
      <c r="G657" t="s">
        <v>112</v>
      </c>
      <c r="J657" t="s">
        <v>113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R657" t="s">
        <v>114</v>
      </c>
      <c r="S657" t="str">
        <f>"18:45:33.414"</f>
        <v>18:45:33.414</v>
      </c>
      <c r="T657" t="str">
        <f>"18:45:33.414"</f>
        <v>18:45:33.414</v>
      </c>
      <c r="U657" t="str">
        <f t="shared" si="31"/>
        <v>a1cdbe</v>
      </c>
      <c r="V657">
        <v>0</v>
      </c>
      <c r="W657">
        <v>0</v>
      </c>
      <c r="X657">
        <v>1</v>
      </c>
      <c r="Y657">
        <v>0</v>
      </c>
      <c r="Z657">
        <v>0</v>
      </c>
      <c r="AB657">
        <v>0</v>
      </c>
      <c r="AC657">
        <v>9</v>
      </c>
      <c r="AD657">
        <v>3</v>
      </c>
      <c r="AE657">
        <v>0</v>
      </c>
      <c r="AF657">
        <v>9</v>
      </c>
      <c r="AG657" t="s">
        <v>158</v>
      </c>
      <c r="AH657">
        <v>0</v>
      </c>
      <c r="AI657">
        <v>3</v>
      </c>
      <c r="AJ657">
        <v>1</v>
      </c>
      <c r="AK657">
        <v>0</v>
      </c>
      <c r="AL657" t="s">
        <v>1384</v>
      </c>
      <c r="AM657">
        <v>46.903466999999999</v>
      </c>
      <c r="AN657" t="s">
        <v>1385</v>
      </c>
      <c r="AO657">
        <v>-122.36241800000001</v>
      </c>
      <c r="AP657">
        <v>100</v>
      </c>
      <c r="AQ657">
        <v>2000</v>
      </c>
      <c r="AR657" t="s">
        <v>118</v>
      </c>
      <c r="AS657">
        <v>-40</v>
      </c>
      <c r="AT657">
        <v>-66</v>
      </c>
      <c r="AU657">
        <v>-128</v>
      </c>
      <c r="BC657">
        <v>1200</v>
      </c>
      <c r="BD657">
        <v>1</v>
      </c>
      <c r="BE657" t="str">
        <f t="shared" si="32"/>
        <v xml:space="preserve">N215T   </v>
      </c>
      <c r="BF657">
        <v>1</v>
      </c>
      <c r="BH657">
        <v>0</v>
      </c>
      <c r="BI657">
        <v>0</v>
      </c>
      <c r="BJ657">
        <v>0</v>
      </c>
      <c r="BK657">
        <v>2375</v>
      </c>
      <c r="BL657">
        <v>375</v>
      </c>
      <c r="BM657" t="s">
        <v>119</v>
      </c>
      <c r="BN657">
        <v>1</v>
      </c>
      <c r="BO657">
        <v>1</v>
      </c>
      <c r="BP657">
        <v>1</v>
      </c>
      <c r="BQ657">
        <v>0</v>
      </c>
      <c r="BT657">
        <v>0</v>
      </c>
      <c r="BU657">
        <v>0</v>
      </c>
      <c r="BV657">
        <v>0</v>
      </c>
      <c r="CC657" t="str">
        <f>"18:45:33.414"</f>
        <v>18:45:33.414</v>
      </c>
      <c r="CD657" t="str">
        <f>"414437160"</f>
        <v>414437160</v>
      </c>
      <c r="CQ657">
        <v>0</v>
      </c>
      <c r="CR657">
        <v>2</v>
      </c>
      <c r="CS657">
        <v>0</v>
      </c>
      <c r="CT657">
        <v>2</v>
      </c>
      <c r="CU657">
        <v>0</v>
      </c>
      <c r="CV657">
        <v>3</v>
      </c>
      <c r="CW657" t="s">
        <v>172</v>
      </c>
      <c r="CX657">
        <v>326</v>
      </c>
      <c r="CY657">
        <v>0</v>
      </c>
      <c r="CZ657" t="s">
        <v>173</v>
      </c>
      <c r="DA657" t="s">
        <v>174</v>
      </c>
      <c r="DD657">
        <v>5943131</v>
      </c>
      <c r="DE657" t="s">
        <v>123</v>
      </c>
    </row>
    <row r="658" spans="1:109" x14ac:dyDescent="0.3">
      <c r="A658" t="str">
        <f>"18:45:34.641"</f>
        <v>18:45:34.641</v>
      </c>
      <c r="B658" t="s">
        <v>110</v>
      </c>
      <c r="C658" t="str">
        <f t="shared" si="30"/>
        <v>ffdfd3c0</v>
      </c>
      <c r="D658" t="s">
        <v>111</v>
      </c>
      <c r="E658">
        <v>18</v>
      </c>
      <c r="F658">
        <v>1018</v>
      </c>
      <c r="G658" t="s">
        <v>112</v>
      </c>
      <c r="J658" t="s">
        <v>113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R658" t="s">
        <v>114</v>
      </c>
      <c r="S658" t="str">
        <f>"18:45:34.414"</f>
        <v>18:45:34.414</v>
      </c>
      <c r="T658" t="str">
        <f>"18:45:34.313"</f>
        <v>18:45:34.313</v>
      </c>
      <c r="U658" t="str">
        <f t="shared" si="31"/>
        <v>a1cdbe</v>
      </c>
      <c r="V658">
        <v>0</v>
      </c>
      <c r="W658">
        <v>0</v>
      </c>
      <c r="X658">
        <v>1</v>
      </c>
      <c r="Y658">
        <v>0</v>
      </c>
      <c r="Z658">
        <v>0</v>
      </c>
      <c r="AB658">
        <v>0</v>
      </c>
      <c r="AC658">
        <v>9</v>
      </c>
      <c r="AD658">
        <v>3</v>
      </c>
      <c r="AE658">
        <v>0</v>
      </c>
      <c r="AF658">
        <v>9</v>
      </c>
      <c r="AG658" t="s">
        <v>158</v>
      </c>
      <c r="AH658">
        <v>0</v>
      </c>
      <c r="AI658">
        <v>3</v>
      </c>
      <c r="AJ658">
        <v>1</v>
      </c>
      <c r="AK658">
        <v>0</v>
      </c>
      <c r="AL658" t="s">
        <v>1386</v>
      </c>
      <c r="AM658">
        <v>46.903145000000002</v>
      </c>
      <c r="AN658" t="s">
        <v>1387</v>
      </c>
      <c r="AO658">
        <v>-122.362697</v>
      </c>
      <c r="AP658">
        <v>100</v>
      </c>
      <c r="AQ658">
        <v>2000</v>
      </c>
      <c r="AR658" t="s">
        <v>118</v>
      </c>
      <c r="AS658">
        <v>-40</v>
      </c>
      <c r="AT658">
        <v>-66</v>
      </c>
      <c r="AU658">
        <v>-256</v>
      </c>
      <c r="BC658">
        <v>1200</v>
      </c>
      <c r="BD658">
        <v>1</v>
      </c>
      <c r="BE658" t="str">
        <f t="shared" si="32"/>
        <v xml:space="preserve">N215T   </v>
      </c>
      <c r="BF658">
        <v>1</v>
      </c>
      <c r="BH658">
        <v>0</v>
      </c>
      <c r="BI658">
        <v>0</v>
      </c>
      <c r="BJ658">
        <v>0</v>
      </c>
      <c r="BK658">
        <v>2375</v>
      </c>
      <c r="BL658">
        <v>375</v>
      </c>
      <c r="BM658" t="s">
        <v>119</v>
      </c>
      <c r="BN658">
        <v>1</v>
      </c>
      <c r="BO658">
        <v>1</v>
      </c>
      <c r="BP658">
        <v>1</v>
      </c>
      <c r="BQ658">
        <v>0</v>
      </c>
      <c r="BT658">
        <v>0</v>
      </c>
      <c r="BU658">
        <v>0</v>
      </c>
      <c r="BV658">
        <v>0</v>
      </c>
      <c r="CC658" t="str">
        <f>"18:45:34.422"</f>
        <v>18:45:34.422</v>
      </c>
      <c r="CD658" t="str">
        <f>"419378459"</f>
        <v>419378459</v>
      </c>
      <c r="CQ658">
        <v>0</v>
      </c>
      <c r="CR658">
        <v>2</v>
      </c>
      <c r="CS658">
        <v>0</v>
      </c>
      <c r="CT658">
        <v>2</v>
      </c>
      <c r="CU658">
        <v>0</v>
      </c>
      <c r="CV658">
        <v>3</v>
      </c>
      <c r="CW658" t="s">
        <v>120</v>
      </c>
      <c r="CX658">
        <v>261</v>
      </c>
      <c r="CY658">
        <v>2</v>
      </c>
      <c r="CZ658" t="s">
        <v>121</v>
      </c>
      <c r="DA658" t="s">
        <v>122</v>
      </c>
      <c r="DD658">
        <v>14593372</v>
      </c>
      <c r="DE658" t="s">
        <v>123</v>
      </c>
    </row>
    <row r="659" spans="1:109" x14ac:dyDescent="0.3">
      <c r="A659" t="str">
        <f>"18:45:36.094"</f>
        <v>18:45:36.094</v>
      </c>
      <c r="B659" t="s">
        <v>110</v>
      </c>
      <c r="C659" t="str">
        <f t="shared" si="30"/>
        <v>ffdfd3c0</v>
      </c>
      <c r="D659" t="s">
        <v>111</v>
      </c>
      <c r="E659">
        <v>18</v>
      </c>
      <c r="F659">
        <v>1018</v>
      </c>
      <c r="G659" t="s">
        <v>112</v>
      </c>
      <c r="J659" t="s">
        <v>113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R659" t="s">
        <v>114</v>
      </c>
      <c r="S659" t="str">
        <f>"18:45:35.852"</f>
        <v>18:45:35.852</v>
      </c>
      <c r="T659" t="str">
        <f>"18:45:35.352"</f>
        <v>18:45:35.352</v>
      </c>
      <c r="U659" t="str">
        <f t="shared" si="31"/>
        <v>a1cdbe</v>
      </c>
      <c r="V659">
        <v>0</v>
      </c>
      <c r="W659">
        <v>0</v>
      </c>
      <c r="X659">
        <v>1</v>
      </c>
      <c r="Y659">
        <v>0</v>
      </c>
      <c r="Z659">
        <v>0</v>
      </c>
      <c r="AB659">
        <v>0</v>
      </c>
      <c r="AC659">
        <v>9</v>
      </c>
      <c r="AD659">
        <v>3</v>
      </c>
      <c r="AE659">
        <v>0</v>
      </c>
      <c r="AF659">
        <v>9</v>
      </c>
      <c r="AG659" t="s">
        <v>158</v>
      </c>
      <c r="AH659">
        <v>0</v>
      </c>
      <c r="AI659">
        <v>3</v>
      </c>
      <c r="AJ659">
        <v>1</v>
      </c>
      <c r="AK659">
        <v>0</v>
      </c>
      <c r="AL659" t="s">
        <v>1388</v>
      </c>
      <c r="AM659">
        <v>46.902737999999999</v>
      </c>
      <c r="AN659" t="s">
        <v>1389</v>
      </c>
      <c r="AO659">
        <v>-122.36304</v>
      </c>
      <c r="AP659">
        <v>100</v>
      </c>
      <c r="AQ659">
        <v>2000</v>
      </c>
      <c r="AR659" t="s">
        <v>118</v>
      </c>
      <c r="AS659">
        <v>-39</v>
      </c>
      <c r="AT659">
        <v>-67</v>
      </c>
      <c r="AU659">
        <v>-192</v>
      </c>
      <c r="BC659">
        <v>1200</v>
      </c>
      <c r="BD659">
        <v>1</v>
      </c>
      <c r="BE659" t="str">
        <f t="shared" si="32"/>
        <v xml:space="preserve">N215T   </v>
      </c>
      <c r="BF659">
        <v>1</v>
      </c>
      <c r="BH659">
        <v>0</v>
      </c>
      <c r="BI659">
        <v>0</v>
      </c>
      <c r="BJ659">
        <v>0</v>
      </c>
      <c r="BK659">
        <v>2350</v>
      </c>
      <c r="BL659">
        <v>350</v>
      </c>
      <c r="BM659" t="s">
        <v>119</v>
      </c>
      <c r="BN659">
        <v>1</v>
      </c>
      <c r="BO659">
        <v>1</v>
      </c>
      <c r="BP659">
        <v>1</v>
      </c>
      <c r="BQ659">
        <v>0</v>
      </c>
      <c r="BT659">
        <v>0</v>
      </c>
      <c r="BU659">
        <v>0</v>
      </c>
      <c r="BV659">
        <v>0</v>
      </c>
      <c r="CC659" t="str">
        <f>"18:45:35.859"</f>
        <v>18:45:35.859</v>
      </c>
      <c r="CD659" t="str">
        <f>"859196735"</f>
        <v>859196735</v>
      </c>
      <c r="CQ659">
        <v>0</v>
      </c>
      <c r="CR659">
        <v>2</v>
      </c>
      <c r="CS659">
        <v>0</v>
      </c>
      <c r="CT659">
        <v>2</v>
      </c>
      <c r="CU659">
        <v>0</v>
      </c>
      <c r="CV659">
        <v>3</v>
      </c>
      <c r="CW659" t="s">
        <v>172</v>
      </c>
      <c r="CX659">
        <v>326</v>
      </c>
      <c r="CY659">
        <v>0</v>
      </c>
      <c r="CZ659" t="s">
        <v>173</v>
      </c>
      <c r="DA659" t="s">
        <v>174</v>
      </c>
      <c r="DD659">
        <v>5944446</v>
      </c>
      <c r="DE659" t="s">
        <v>123</v>
      </c>
    </row>
    <row r="660" spans="1:109" x14ac:dyDescent="0.3">
      <c r="A660" t="str">
        <f>"18:45:37.055"</f>
        <v>18:45:37.055</v>
      </c>
      <c r="B660" t="s">
        <v>110</v>
      </c>
      <c r="C660" t="str">
        <f t="shared" si="30"/>
        <v>ffdfd3c0</v>
      </c>
      <c r="D660" t="s">
        <v>111</v>
      </c>
      <c r="E660">
        <v>18</v>
      </c>
      <c r="F660">
        <v>1018</v>
      </c>
      <c r="G660" t="s">
        <v>112</v>
      </c>
      <c r="J660" t="s">
        <v>113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R660" t="s">
        <v>114</v>
      </c>
      <c r="S660" t="str">
        <f>"18:45:36.844"</f>
        <v>18:45:36.844</v>
      </c>
      <c r="T660" t="str">
        <f>"18:45:36.547"</f>
        <v>18:45:36.547</v>
      </c>
      <c r="U660" t="str">
        <f t="shared" si="31"/>
        <v>a1cdbe</v>
      </c>
      <c r="V660">
        <v>0</v>
      </c>
      <c r="W660">
        <v>0</v>
      </c>
      <c r="X660">
        <v>1</v>
      </c>
      <c r="Y660">
        <v>0</v>
      </c>
      <c r="Z660">
        <v>0</v>
      </c>
      <c r="AB660">
        <v>0</v>
      </c>
      <c r="AC660">
        <v>9</v>
      </c>
      <c r="AD660">
        <v>3</v>
      </c>
      <c r="AE660">
        <v>0</v>
      </c>
      <c r="AF660">
        <v>9</v>
      </c>
      <c r="AG660" t="s">
        <v>158</v>
      </c>
      <c r="AH660">
        <v>0</v>
      </c>
      <c r="AI660">
        <v>3</v>
      </c>
      <c r="AJ660">
        <v>1</v>
      </c>
      <c r="AK660">
        <v>0</v>
      </c>
      <c r="AL660" t="s">
        <v>1390</v>
      </c>
      <c r="AM660">
        <v>46.902416000000002</v>
      </c>
      <c r="AN660" t="s">
        <v>1391</v>
      </c>
      <c r="AO660">
        <v>-122.363319</v>
      </c>
      <c r="AP660">
        <v>100</v>
      </c>
      <c r="AQ660">
        <v>2000</v>
      </c>
      <c r="AR660" t="s">
        <v>118</v>
      </c>
      <c r="AS660">
        <v>-39</v>
      </c>
      <c r="AT660">
        <v>-67</v>
      </c>
      <c r="AU660">
        <v>-256</v>
      </c>
      <c r="BC660">
        <v>1200</v>
      </c>
      <c r="BD660">
        <v>1</v>
      </c>
      <c r="BE660" t="str">
        <f t="shared" si="32"/>
        <v xml:space="preserve">N215T   </v>
      </c>
      <c r="BF660">
        <v>1</v>
      </c>
      <c r="BH660">
        <v>0</v>
      </c>
      <c r="BI660">
        <v>0</v>
      </c>
      <c r="BJ660">
        <v>0</v>
      </c>
      <c r="BK660">
        <v>2350</v>
      </c>
      <c r="BL660">
        <v>350</v>
      </c>
      <c r="BM660" t="s">
        <v>119</v>
      </c>
      <c r="BN660">
        <v>1</v>
      </c>
      <c r="BO660">
        <v>1</v>
      </c>
      <c r="BP660">
        <v>1</v>
      </c>
      <c r="BQ660">
        <v>0</v>
      </c>
      <c r="BT660">
        <v>0</v>
      </c>
      <c r="BU660">
        <v>0</v>
      </c>
      <c r="BV660">
        <v>0</v>
      </c>
      <c r="CC660" t="str">
        <f>"18:45:36.852"</f>
        <v>18:45:36.852</v>
      </c>
      <c r="CD660" t="str">
        <f>"849139392"</f>
        <v>849139392</v>
      </c>
      <c r="CQ660">
        <v>0</v>
      </c>
      <c r="CR660">
        <v>2</v>
      </c>
      <c r="CS660">
        <v>0</v>
      </c>
      <c r="CT660">
        <v>2</v>
      </c>
      <c r="CU660">
        <v>0</v>
      </c>
      <c r="CV660">
        <v>3</v>
      </c>
      <c r="CW660" t="s">
        <v>120</v>
      </c>
      <c r="CX660">
        <v>261</v>
      </c>
      <c r="CY660">
        <v>2</v>
      </c>
      <c r="CZ660" t="s">
        <v>121</v>
      </c>
      <c r="DA660" t="s">
        <v>122</v>
      </c>
      <c r="DD660">
        <v>14594690</v>
      </c>
      <c r="DE660" t="s">
        <v>123</v>
      </c>
    </row>
    <row r="661" spans="1:109" x14ac:dyDescent="0.3">
      <c r="A661" t="str">
        <f>"18:45:38.211"</f>
        <v>18:45:38.211</v>
      </c>
      <c r="B661" t="s">
        <v>110</v>
      </c>
      <c r="C661" t="str">
        <f t="shared" si="30"/>
        <v>ffdfd3c0</v>
      </c>
      <c r="D661" t="s">
        <v>111</v>
      </c>
      <c r="E661">
        <v>18</v>
      </c>
      <c r="F661">
        <v>1018</v>
      </c>
      <c r="G661" t="s">
        <v>112</v>
      </c>
      <c r="J661" t="s">
        <v>113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R661" t="s">
        <v>114</v>
      </c>
      <c r="S661" t="str">
        <f>"18:45:38.000"</f>
        <v>18:45:38.000</v>
      </c>
      <c r="T661" t="str">
        <f>"18:45:38.000"</f>
        <v>18:45:38.000</v>
      </c>
      <c r="U661" t="str">
        <f t="shared" si="31"/>
        <v>a1cdbe</v>
      </c>
      <c r="V661">
        <v>0</v>
      </c>
      <c r="W661">
        <v>0</v>
      </c>
      <c r="X661">
        <v>1</v>
      </c>
      <c r="Y661">
        <v>0</v>
      </c>
      <c r="Z661">
        <v>0</v>
      </c>
      <c r="AB661">
        <v>0</v>
      </c>
      <c r="AC661">
        <v>9</v>
      </c>
      <c r="AD661">
        <v>3</v>
      </c>
      <c r="AE661">
        <v>0</v>
      </c>
      <c r="AF661">
        <v>9</v>
      </c>
      <c r="AG661" t="s">
        <v>158</v>
      </c>
      <c r="AH661">
        <v>0</v>
      </c>
      <c r="AI661">
        <v>3</v>
      </c>
      <c r="AJ661">
        <v>1</v>
      </c>
      <c r="AK661">
        <v>0</v>
      </c>
      <c r="AL661" t="s">
        <v>1392</v>
      </c>
      <c r="AM661">
        <v>46.902051</v>
      </c>
      <c r="AN661" t="s">
        <v>1393</v>
      </c>
      <c r="AO661">
        <v>-122.363663</v>
      </c>
      <c r="AP661">
        <v>100</v>
      </c>
      <c r="AQ661">
        <v>2000</v>
      </c>
      <c r="AR661" t="s">
        <v>118</v>
      </c>
      <c r="AS661">
        <v>-40</v>
      </c>
      <c r="AT661">
        <v>-67</v>
      </c>
      <c r="AU661">
        <v>-256</v>
      </c>
      <c r="BC661">
        <v>1200</v>
      </c>
      <c r="BD661">
        <v>1</v>
      </c>
      <c r="BE661" t="str">
        <f t="shared" si="32"/>
        <v xml:space="preserve">N215T   </v>
      </c>
      <c r="BF661">
        <v>1</v>
      </c>
      <c r="BH661">
        <v>0</v>
      </c>
      <c r="BI661">
        <v>0</v>
      </c>
      <c r="BJ661">
        <v>0</v>
      </c>
      <c r="BK661">
        <v>2350</v>
      </c>
      <c r="BL661">
        <v>350</v>
      </c>
      <c r="BM661" t="s">
        <v>119</v>
      </c>
      <c r="BN661">
        <v>1</v>
      </c>
      <c r="BO661">
        <v>1</v>
      </c>
      <c r="BP661">
        <v>1</v>
      </c>
      <c r="BQ661">
        <v>0</v>
      </c>
      <c r="BT661">
        <v>0</v>
      </c>
      <c r="BU661">
        <v>0</v>
      </c>
      <c r="BV661">
        <v>0</v>
      </c>
      <c r="CC661" t="str">
        <f>"18:45:38.008"</f>
        <v>18:45:38.008</v>
      </c>
      <c r="CD661" t="str">
        <f>"003985891"</f>
        <v>003985891</v>
      </c>
      <c r="CQ661">
        <v>0</v>
      </c>
      <c r="CR661">
        <v>2</v>
      </c>
      <c r="CS661">
        <v>0</v>
      </c>
      <c r="CT661">
        <v>2</v>
      </c>
      <c r="CU661">
        <v>0</v>
      </c>
      <c r="CV661">
        <v>2</v>
      </c>
      <c r="CW661" t="s">
        <v>172</v>
      </c>
      <c r="CX661">
        <v>326</v>
      </c>
      <c r="CY661">
        <v>0</v>
      </c>
      <c r="CZ661" t="s">
        <v>173</v>
      </c>
      <c r="DA661" t="s">
        <v>174</v>
      </c>
      <c r="DD661">
        <v>5945585</v>
      </c>
      <c r="DE661" t="s">
        <v>123</v>
      </c>
    </row>
    <row r="662" spans="1:109" x14ac:dyDescent="0.3">
      <c r="A662" t="str">
        <f>"18:45:39.266"</f>
        <v>18:45:39.266</v>
      </c>
      <c r="B662" t="s">
        <v>110</v>
      </c>
      <c r="C662" t="str">
        <f t="shared" si="30"/>
        <v>ffdfd3c0</v>
      </c>
      <c r="D662" t="s">
        <v>111</v>
      </c>
      <c r="E662">
        <v>18</v>
      </c>
      <c r="F662">
        <v>1018</v>
      </c>
      <c r="G662" t="s">
        <v>112</v>
      </c>
      <c r="J662" t="s">
        <v>113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R662" t="s">
        <v>114</v>
      </c>
      <c r="S662" t="str">
        <f>"18:45:39.008"</f>
        <v>18:45:39.008</v>
      </c>
      <c r="T662" t="str">
        <f>"18:45:38.609"</f>
        <v>18:45:38.609</v>
      </c>
      <c r="U662" t="str">
        <f t="shared" si="31"/>
        <v>a1cdbe</v>
      </c>
      <c r="V662">
        <v>0</v>
      </c>
      <c r="W662">
        <v>0</v>
      </c>
      <c r="X662">
        <v>1</v>
      </c>
      <c r="Y662">
        <v>0</v>
      </c>
      <c r="Z662">
        <v>0</v>
      </c>
      <c r="AB662">
        <v>0</v>
      </c>
      <c r="AC662">
        <v>9</v>
      </c>
      <c r="AD662">
        <v>3</v>
      </c>
      <c r="AE662">
        <v>0</v>
      </c>
      <c r="AF662">
        <v>9</v>
      </c>
      <c r="AG662" t="s">
        <v>158</v>
      </c>
      <c r="AH662">
        <v>0</v>
      </c>
      <c r="AI662">
        <v>3</v>
      </c>
      <c r="AJ662">
        <v>1</v>
      </c>
      <c r="AK662">
        <v>0</v>
      </c>
      <c r="AL662" t="s">
        <v>1394</v>
      </c>
      <c r="AM662">
        <v>46.901750999999997</v>
      </c>
      <c r="AN662" t="s">
        <v>1395</v>
      </c>
      <c r="AO662">
        <v>-122.363899</v>
      </c>
      <c r="AP662">
        <v>100</v>
      </c>
      <c r="AQ662">
        <v>2000</v>
      </c>
      <c r="AR662" t="s">
        <v>118</v>
      </c>
      <c r="AS662">
        <v>-40</v>
      </c>
      <c r="AT662">
        <v>-67</v>
      </c>
      <c r="AU662">
        <v>-192</v>
      </c>
      <c r="BC662">
        <v>1200</v>
      </c>
      <c r="BD662">
        <v>1</v>
      </c>
      <c r="BE662" t="str">
        <f t="shared" si="32"/>
        <v xml:space="preserve">N215T   </v>
      </c>
      <c r="BF662">
        <v>1</v>
      </c>
      <c r="BH662">
        <v>0</v>
      </c>
      <c r="BI662">
        <v>0</v>
      </c>
      <c r="BJ662">
        <v>0</v>
      </c>
      <c r="BK662">
        <v>2350</v>
      </c>
      <c r="BL662">
        <v>350</v>
      </c>
      <c r="BM662" t="s">
        <v>119</v>
      </c>
      <c r="BN662">
        <v>1</v>
      </c>
      <c r="BO662">
        <v>1</v>
      </c>
      <c r="BP662">
        <v>1</v>
      </c>
      <c r="BQ662">
        <v>0</v>
      </c>
      <c r="BT662">
        <v>0</v>
      </c>
      <c r="BU662">
        <v>0</v>
      </c>
      <c r="BV662">
        <v>0</v>
      </c>
      <c r="CC662" t="str">
        <f>"18:45:39.008"</f>
        <v>18:45:39.008</v>
      </c>
      <c r="CD662" t="str">
        <f>"008926895"</f>
        <v>008926895</v>
      </c>
      <c r="CQ662">
        <v>0</v>
      </c>
      <c r="CR662">
        <v>2</v>
      </c>
      <c r="CS662">
        <v>0</v>
      </c>
      <c r="CT662">
        <v>2</v>
      </c>
      <c r="CU662">
        <v>0</v>
      </c>
      <c r="CV662">
        <v>4</v>
      </c>
      <c r="CW662" t="s">
        <v>120</v>
      </c>
      <c r="CX662">
        <v>261</v>
      </c>
      <c r="CY662">
        <v>2</v>
      </c>
      <c r="CZ662" t="s">
        <v>121</v>
      </c>
      <c r="DA662" t="s">
        <v>122</v>
      </c>
      <c r="DD662">
        <v>14595785</v>
      </c>
      <c r="DE662" t="s">
        <v>123</v>
      </c>
    </row>
    <row r="663" spans="1:109" x14ac:dyDescent="0.3">
      <c r="A663" t="str">
        <f>"18:45:40.070"</f>
        <v>18:45:40.070</v>
      </c>
      <c r="B663" t="s">
        <v>110</v>
      </c>
      <c r="C663" t="str">
        <f t="shared" si="30"/>
        <v>ffdfd3c0</v>
      </c>
      <c r="D663" t="s">
        <v>111</v>
      </c>
      <c r="E663">
        <v>18</v>
      </c>
      <c r="F663">
        <v>1018</v>
      </c>
      <c r="G663" t="s">
        <v>112</v>
      </c>
      <c r="J663" t="s">
        <v>113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R663" t="s">
        <v>114</v>
      </c>
      <c r="S663" t="str">
        <f>"18:45:39.859"</f>
        <v>18:45:39.859</v>
      </c>
      <c r="T663" t="str">
        <f>"18:45:39.461"</f>
        <v>18:45:39.461</v>
      </c>
      <c r="U663" t="str">
        <f t="shared" si="31"/>
        <v>a1cdbe</v>
      </c>
      <c r="V663">
        <v>0</v>
      </c>
      <c r="W663">
        <v>0</v>
      </c>
      <c r="X663">
        <v>1</v>
      </c>
      <c r="Y663">
        <v>0</v>
      </c>
      <c r="Z663">
        <v>0</v>
      </c>
      <c r="AB663">
        <v>0</v>
      </c>
      <c r="AC663">
        <v>9</v>
      </c>
      <c r="AD663">
        <v>3</v>
      </c>
      <c r="AE663">
        <v>0</v>
      </c>
      <c r="AF663">
        <v>9</v>
      </c>
      <c r="AG663" t="s">
        <v>158</v>
      </c>
      <c r="AH663">
        <v>0</v>
      </c>
      <c r="AI663">
        <v>3</v>
      </c>
      <c r="AJ663">
        <v>1</v>
      </c>
      <c r="AK663">
        <v>0</v>
      </c>
      <c r="AL663" t="s">
        <v>1396</v>
      </c>
      <c r="AM663">
        <v>46.901471999999998</v>
      </c>
      <c r="AN663" t="s">
        <v>1397</v>
      </c>
      <c r="AO663">
        <v>-122.364113</v>
      </c>
      <c r="AP663">
        <v>100</v>
      </c>
      <c r="AQ663">
        <v>2000</v>
      </c>
      <c r="AR663" t="s">
        <v>118</v>
      </c>
      <c r="AS663">
        <v>-40</v>
      </c>
      <c r="AT663">
        <v>-67</v>
      </c>
      <c r="AU663">
        <v>-128</v>
      </c>
      <c r="BC663">
        <v>1200</v>
      </c>
      <c r="BD663">
        <v>1</v>
      </c>
      <c r="BE663" t="str">
        <f t="shared" si="32"/>
        <v xml:space="preserve">N215T   </v>
      </c>
      <c r="BF663">
        <v>1</v>
      </c>
      <c r="BH663">
        <v>0</v>
      </c>
      <c r="BI663">
        <v>0</v>
      </c>
      <c r="BJ663">
        <v>0</v>
      </c>
      <c r="BK663">
        <v>2350</v>
      </c>
      <c r="BL663">
        <v>350</v>
      </c>
      <c r="BM663" t="s">
        <v>119</v>
      </c>
      <c r="BN663">
        <v>1</v>
      </c>
      <c r="BO663">
        <v>1</v>
      </c>
      <c r="BP663">
        <v>1</v>
      </c>
      <c r="BQ663">
        <v>0</v>
      </c>
      <c r="BT663">
        <v>0</v>
      </c>
      <c r="BU663">
        <v>0</v>
      </c>
      <c r="BV663">
        <v>0</v>
      </c>
      <c r="CC663" t="str">
        <f>"18:45:39.867"</f>
        <v>18:45:39.867</v>
      </c>
      <c r="CD663" t="str">
        <f>"863971924"</f>
        <v>863971924</v>
      </c>
      <c r="CQ663">
        <v>0</v>
      </c>
      <c r="CR663">
        <v>2</v>
      </c>
      <c r="CS663">
        <v>0</v>
      </c>
      <c r="CT663">
        <v>2</v>
      </c>
      <c r="CU663">
        <v>0</v>
      </c>
      <c r="CV663">
        <v>1</v>
      </c>
      <c r="CW663" t="s">
        <v>120</v>
      </c>
      <c r="CX663">
        <v>259</v>
      </c>
      <c r="CY663">
        <v>1</v>
      </c>
      <c r="CZ663" t="s">
        <v>197</v>
      </c>
      <c r="DA663" t="s">
        <v>198</v>
      </c>
      <c r="DD663">
        <v>15070840</v>
      </c>
      <c r="DE663" t="s">
        <v>123</v>
      </c>
    </row>
    <row r="664" spans="1:109" x14ac:dyDescent="0.3">
      <c r="A664" t="str">
        <f>"18:45:41.227"</f>
        <v>18:45:41.227</v>
      </c>
      <c r="B664" t="s">
        <v>110</v>
      </c>
      <c r="C664" t="str">
        <f t="shared" si="30"/>
        <v>ffdfd3c0</v>
      </c>
      <c r="D664" t="s">
        <v>111</v>
      </c>
      <c r="E664">
        <v>18</v>
      </c>
      <c r="F664">
        <v>1018</v>
      </c>
      <c r="G664" t="s">
        <v>112</v>
      </c>
      <c r="J664" t="s">
        <v>113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R664" t="s">
        <v>114</v>
      </c>
      <c r="S664" t="str">
        <f>"18:45:40.969"</f>
        <v>18:45:40.969</v>
      </c>
      <c r="T664" t="str">
        <f>"18:45:40.867"</f>
        <v>18:45:40.867</v>
      </c>
      <c r="U664" t="str">
        <f t="shared" si="31"/>
        <v>a1cdbe</v>
      </c>
      <c r="V664">
        <v>0</v>
      </c>
      <c r="W664">
        <v>0</v>
      </c>
      <c r="X664">
        <v>1</v>
      </c>
      <c r="Y664">
        <v>0</v>
      </c>
      <c r="Z664">
        <v>0</v>
      </c>
      <c r="AB664">
        <v>0</v>
      </c>
      <c r="AC664">
        <v>9</v>
      </c>
      <c r="AD664">
        <v>3</v>
      </c>
      <c r="AE664">
        <v>0</v>
      </c>
      <c r="AF664">
        <v>9</v>
      </c>
      <c r="AG664" t="s">
        <v>158</v>
      </c>
      <c r="AH664">
        <v>0</v>
      </c>
      <c r="AI664">
        <v>3</v>
      </c>
      <c r="AJ664">
        <v>1</v>
      </c>
      <c r="AK664">
        <v>0</v>
      </c>
      <c r="AL664" t="s">
        <v>1398</v>
      </c>
      <c r="AM664">
        <v>46.901150000000001</v>
      </c>
      <c r="AN664" t="s">
        <v>1399</v>
      </c>
      <c r="AO664">
        <v>-122.364457</v>
      </c>
      <c r="AP664">
        <v>100</v>
      </c>
      <c r="AQ664">
        <v>2000</v>
      </c>
      <c r="AR664" t="s">
        <v>118</v>
      </c>
      <c r="AS664">
        <v>-41</v>
      </c>
      <c r="AT664">
        <v>-67</v>
      </c>
      <c r="AU664">
        <v>192</v>
      </c>
      <c r="BC664">
        <v>1200</v>
      </c>
      <c r="BD664">
        <v>1</v>
      </c>
      <c r="BE664" t="str">
        <f t="shared" si="32"/>
        <v xml:space="preserve">N215T   </v>
      </c>
      <c r="BF664">
        <v>1</v>
      </c>
      <c r="BH664">
        <v>0</v>
      </c>
      <c r="BI664">
        <v>0</v>
      </c>
      <c r="BJ664">
        <v>0</v>
      </c>
      <c r="BK664">
        <v>2350</v>
      </c>
      <c r="BL664">
        <v>350</v>
      </c>
      <c r="BM664" t="s">
        <v>119</v>
      </c>
      <c r="BN664">
        <v>1</v>
      </c>
      <c r="BO664">
        <v>1</v>
      </c>
      <c r="BP664">
        <v>1</v>
      </c>
      <c r="BQ664">
        <v>0</v>
      </c>
      <c r="BT664">
        <v>0</v>
      </c>
      <c r="BU664">
        <v>0</v>
      </c>
      <c r="BV664">
        <v>0</v>
      </c>
      <c r="CC664" t="str">
        <f>"18:45:40.977"</f>
        <v>18:45:40.977</v>
      </c>
      <c r="CD664" t="str">
        <f>"973733611"</f>
        <v>973733611</v>
      </c>
      <c r="CQ664">
        <v>0</v>
      </c>
      <c r="CR664">
        <v>2</v>
      </c>
      <c r="CS664">
        <v>0</v>
      </c>
      <c r="CT664">
        <v>2</v>
      </c>
      <c r="CU664">
        <v>0</v>
      </c>
      <c r="CV664">
        <v>2</v>
      </c>
      <c r="CW664" t="s">
        <v>120</v>
      </c>
      <c r="CX664">
        <v>261</v>
      </c>
      <c r="CY664">
        <v>1</v>
      </c>
      <c r="CZ664" t="s">
        <v>121</v>
      </c>
      <c r="DA664" t="s">
        <v>122</v>
      </c>
      <c r="DD664">
        <v>3498433</v>
      </c>
      <c r="DE664" t="s">
        <v>123</v>
      </c>
    </row>
    <row r="665" spans="1:109" x14ac:dyDescent="0.3">
      <c r="A665" t="str">
        <f>"18:45:42.180"</f>
        <v>18:45:42.180</v>
      </c>
      <c r="B665" t="s">
        <v>110</v>
      </c>
      <c r="C665" t="str">
        <f t="shared" si="30"/>
        <v>ffdfd3c0</v>
      </c>
      <c r="D665" t="s">
        <v>111</v>
      </c>
      <c r="E665">
        <v>18</v>
      </c>
      <c r="F665">
        <v>1018</v>
      </c>
      <c r="G665" t="s">
        <v>112</v>
      </c>
      <c r="J665" t="s">
        <v>113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R665" t="s">
        <v>114</v>
      </c>
      <c r="S665" t="str">
        <f>"18:45:41.977"</f>
        <v>18:45:41.977</v>
      </c>
      <c r="T665" t="str">
        <f>"18:45:41.977"</f>
        <v>18:45:41.977</v>
      </c>
      <c r="U665" t="str">
        <f t="shared" si="31"/>
        <v>a1cdbe</v>
      </c>
      <c r="V665">
        <v>0</v>
      </c>
      <c r="W665">
        <v>0</v>
      </c>
      <c r="X665">
        <v>1</v>
      </c>
      <c r="Y665">
        <v>0</v>
      </c>
      <c r="Z665">
        <v>0</v>
      </c>
      <c r="AB665">
        <v>0</v>
      </c>
      <c r="AC665">
        <v>9</v>
      </c>
      <c r="AD665">
        <v>3</v>
      </c>
      <c r="AE665">
        <v>0</v>
      </c>
      <c r="AF665">
        <v>9</v>
      </c>
      <c r="AG665" t="s">
        <v>158</v>
      </c>
      <c r="AH665">
        <v>0</v>
      </c>
      <c r="AI665">
        <v>3</v>
      </c>
      <c r="AJ665">
        <v>1</v>
      </c>
      <c r="AK665">
        <v>0</v>
      </c>
      <c r="AL665" t="s">
        <v>1400</v>
      </c>
      <c r="AM665">
        <v>46.900827999999997</v>
      </c>
      <c r="AN665" t="s">
        <v>1401</v>
      </c>
      <c r="AO665">
        <v>-122.364757</v>
      </c>
      <c r="AP665">
        <v>100</v>
      </c>
      <c r="AQ665">
        <v>2000</v>
      </c>
      <c r="AR665" t="s">
        <v>118</v>
      </c>
      <c r="AS665">
        <v>-43</v>
      </c>
      <c r="AT665">
        <v>-67</v>
      </c>
      <c r="AU665">
        <v>256</v>
      </c>
      <c r="BC665">
        <v>1200</v>
      </c>
      <c r="BD665">
        <v>1</v>
      </c>
      <c r="BE665" t="str">
        <f t="shared" si="32"/>
        <v xml:space="preserve">N215T   </v>
      </c>
      <c r="BF665">
        <v>1</v>
      </c>
      <c r="BH665">
        <v>0</v>
      </c>
      <c r="BI665">
        <v>0</v>
      </c>
      <c r="BJ665">
        <v>0</v>
      </c>
      <c r="BK665">
        <v>2350</v>
      </c>
      <c r="BL665">
        <v>350</v>
      </c>
      <c r="BM665" t="s">
        <v>119</v>
      </c>
      <c r="BN665">
        <v>1</v>
      </c>
      <c r="BO665">
        <v>1</v>
      </c>
      <c r="BP665">
        <v>1</v>
      </c>
      <c r="BQ665">
        <v>0</v>
      </c>
      <c r="BT665">
        <v>0</v>
      </c>
      <c r="BU665">
        <v>0</v>
      </c>
      <c r="BV665">
        <v>0</v>
      </c>
      <c r="CC665" t="str">
        <f>"18:45:41.977"</f>
        <v>18:45:41.977</v>
      </c>
      <c r="CD665" t="str">
        <f>"978634741"</f>
        <v>978634741</v>
      </c>
      <c r="CQ665">
        <v>0</v>
      </c>
      <c r="CR665">
        <v>2</v>
      </c>
      <c r="CS665">
        <v>0</v>
      </c>
      <c r="CT665">
        <v>2</v>
      </c>
      <c r="CU665">
        <v>0</v>
      </c>
      <c r="CV665">
        <v>3</v>
      </c>
      <c r="CW665" t="s">
        <v>120</v>
      </c>
      <c r="CX665">
        <v>261</v>
      </c>
      <c r="CY665">
        <v>2</v>
      </c>
      <c r="CZ665" t="s">
        <v>121</v>
      </c>
      <c r="DA665" t="s">
        <v>122</v>
      </c>
      <c r="DD665">
        <v>14597378</v>
      </c>
      <c r="DE665" t="s">
        <v>123</v>
      </c>
    </row>
    <row r="666" spans="1:109" x14ac:dyDescent="0.3">
      <c r="A666" t="str">
        <f>"18:45:43.133"</f>
        <v>18:45:43.133</v>
      </c>
      <c r="B666" t="s">
        <v>110</v>
      </c>
      <c r="C666" t="str">
        <f t="shared" si="30"/>
        <v>ffdfd3c0</v>
      </c>
      <c r="D666" t="s">
        <v>111</v>
      </c>
      <c r="E666">
        <v>18</v>
      </c>
      <c r="F666">
        <v>1018</v>
      </c>
      <c r="G666" t="s">
        <v>112</v>
      </c>
      <c r="J666" t="s">
        <v>113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R666" t="s">
        <v>114</v>
      </c>
      <c r="S666" t="str">
        <f>"18:45:42.906"</f>
        <v>18:45:42.906</v>
      </c>
      <c r="T666" t="str">
        <f>"18:45:42.906"</f>
        <v>18:45:42.906</v>
      </c>
      <c r="U666" t="str">
        <f t="shared" si="31"/>
        <v>a1cdbe</v>
      </c>
      <c r="V666">
        <v>0</v>
      </c>
      <c r="W666">
        <v>0</v>
      </c>
      <c r="X666">
        <v>1</v>
      </c>
      <c r="Y666">
        <v>0</v>
      </c>
      <c r="Z666">
        <v>0</v>
      </c>
      <c r="AB666">
        <v>0</v>
      </c>
      <c r="AC666">
        <v>9</v>
      </c>
      <c r="AD666">
        <v>3</v>
      </c>
      <c r="AE666">
        <v>0</v>
      </c>
      <c r="AF666">
        <v>9</v>
      </c>
      <c r="AG666" t="s">
        <v>158</v>
      </c>
      <c r="AH666">
        <v>0</v>
      </c>
      <c r="AI666">
        <v>3</v>
      </c>
      <c r="AJ666">
        <v>1</v>
      </c>
      <c r="AK666">
        <v>0</v>
      </c>
      <c r="AL666" t="s">
        <v>1402</v>
      </c>
      <c r="AM666">
        <v>46.900548999999998</v>
      </c>
      <c r="AN666" t="s">
        <v>1403</v>
      </c>
      <c r="AO666">
        <v>-122.36497199999999</v>
      </c>
      <c r="AP666">
        <v>100</v>
      </c>
      <c r="AQ666">
        <v>2000</v>
      </c>
      <c r="AR666" t="s">
        <v>118</v>
      </c>
      <c r="AS666">
        <v>-44</v>
      </c>
      <c r="AT666">
        <v>-67</v>
      </c>
      <c r="AU666">
        <v>384</v>
      </c>
      <c r="BC666">
        <v>1200</v>
      </c>
      <c r="BD666">
        <v>1</v>
      </c>
      <c r="BE666" t="str">
        <f t="shared" si="32"/>
        <v xml:space="preserve">N215T   </v>
      </c>
      <c r="BF666">
        <v>1</v>
      </c>
      <c r="BH666">
        <v>0</v>
      </c>
      <c r="BI666">
        <v>0</v>
      </c>
      <c r="BJ666">
        <v>0</v>
      </c>
      <c r="BK666">
        <v>2350</v>
      </c>
      <c r="BL666">
        <v>350</v>
      </c>
      <c r="BM666" t="s">
        <v>119</v>
      </c>
      <c r="BN666">
        <v>1</v>
      </c>
      <c r="BO666">
        <v>1</v>
      </c>
      <c r="BP666">
        <v>1</v>
      </c>
      <c r="BQ666">
        <v>0</v>
      </c>
      <c r="BT666">
        <v>0</v>
      </c>
      <c r="BU666">
        <v>0</v>
      </c>
      <c r="BV666">
        <v>0</v>
      </c>
      <c r="CC666" t="str">
        <f>"18:45:42.906"</f>
        <v>18:45:42.906</v>
      </c>
      <c r="CD666" t="str">
        <f>"908503540"</f>
        <v>908503540</v>
      </c>
      <c r="CQ666">
        <v>0</v>
      </c>
      <c r="CR666">
        <v>2</v>
      </c>
      <c r="CS666">
        <v>0</v>
      </c>
      <c r="CT666">
        <v>2</v>
      </c>
      <c r="CU666">
        <v>0</v>
      </c>
      <c r="CV666">
        <v>2</v>
      </c>
      <c r="CW666" t="s">
        <v>172</v>
      </c>
      <c r="CX666">
        <v>326</v>
      </c>
      <c r="CY666">
        <v>0</v>
      </c>
      <c r="CZ666" t="s">
        <v>173</v>
      </c>
      <c r="DA666" t="s">
        <v>174</v>
      </c>
      <c r="DD666">
        <v>5948113</v>
      </c>
      <c r="DE666" t="s">
        <v>123</v>
      </c>
    </row>
    <row r="667" spans="1:109" x14ac:dyDescent="0.3">
      <c r="A667" t="str">
        <f>"18:45:44.445"</f>
        <v>18:45:44.445</v>
      </c>
      <c r="B667" t="s">
        <v>110</v>
      </c>
      <c r="C667" t="str">
        <f t="shared" si="30"/>
        <v>ffdfd3c0</v>
      </c>
      <c r="D667" t="s">
        <v>111</v>
      </c>
      <c r="E667">
        <v>18</v>
      </c>
      <c r="F667">
        <v>1018</v>
      </c>
      <c r="G667" t="s">
        <v>112</v>
      </c>
      <c r="J667" t="s">
        <v>113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R667" t="s">
        <v>114</v>
      </c>
      <c r="S667" t="str">
        <f>"18:45:43.906"</f>
        <v>18:45:43.906</v>
      </c>
      <c r="T667" t="str">
        <f>"18:45:43.508"</f>
        <v>18:45:43.508</v>
      </c>
      <c r="U667" t="str">
        <f t="shared" si="31"/>
        <v>a1cdbe</v>
      </c>
      <c r="V667">
        <v>0</v>
      </c>
      <c r="W667">
        <v>0</v>
      </c>
      <c r="X667">
        <v>1</v>
      </c>
      <c r="Y667">
        <v>0</v>
      </c>
      <c r="Z667">
        <v>0</v>
      </c>
      <c r="AB667">
        <v>0</v>
      </c>
      <c r="AC667">
        <v>9</v>
      </c>
      <c r="AD667">
        <v>3</v>
      </c>
      <c r="AE667">
        <v>0</v>
      </c>
      <c r="AF667">
        <v>9</v>
      </c>
      <c r="AG667" t="s">
        <v>158</v>
      </c>
      <c r="AH667">
        <v>0</v>
      </c>
      <c r="AI667">
        <v>3</v>
      </c>
      <c r="AJ667">
        <v>1</v>
      </c>
      <c r="AK667">
        <v>0</v>
      </c>
      <c r="AL667" t="s">
        <v>1404</v>
      </c>
      <c r="AM667">
        <v>46.900205999999997</v>
      </c>
      <c r="AN667" t="s">
        <v>1405</v>
      </c>
      <c r="AO667">
        <v>-122.36529400000001</v>
      </c>
      <c r="AP667">
        <v>100</v>
      </c>
      <c r="AQ667">
        <v>2000</v>
      </c>
      <c r="AR667" t="s">
        <v>118</v>
      </c>
      <c r="AS667">
        <v>-44</v>
      </c>
      <c r="AT667">
        <v>-67</v>
      </c>
      <c r="AU667">
        <v>384</v>
      </c>
      <c r="BC667">
        <v>1200</v>
      </c>
      <c r="BD667">
        <v>1</v>
      </c>
      <c r="BE667" t="str">
        <f t="shared" si="32"/>
        <v xml:space="preserve">N215T   </v>
      </c>
      <c r="BF667">
        <v>1</v>
      </c>
      <c r="BH667">
        <v>0</v>
      </c>
      <c r="BI667">
        <v>0</v>
      </c>
      <c r="BJ667">
        <v>0</v>
      </c>
      <c r="BK667">
        <v>2350</v>
      </c>
      <c r="BL667">
        <v>350</v>
      </c>
      <c r="BM667" t="s">
        <v>119</v>
      </c>
      <c r="BN667">
        <v>1</v>
      </c>
      <c r="BO667">
        <v>1</v>
      </c>
      <c r="BP667">
        <v>1</v>
      </c>
      <c r="BQ667">
        <v>0</v>
      </c>
      <c r="BT667">
        <v>0</v>
      </c>
      <c r="BU667">
        <v>0</v>
      </c>
      <c r="BV667">
        <v>0</v>
      </c>
      <c r="CC667" t="str">
        <f>"18:45:43.914"</f>
        <v>18:45:43.914</v>
      </c>
      <c r="CD667" t="str">
        <f>"913609358"</f>
        <v>913609358</v>
      </c>
      <c r="CQ667">
        <v>0</v>
      </c>
      <c r="CR667">
        <v>2</v>
      </c>
      <c r="CS667">
        <v>0</v>
      </c>
      <c r="CT667">
        <v>2</v>
      </c>
      <c r="CU667">
        <v>0</v>
      </c>
      <c r="CV667">
        <v>1</v>
      </c>
      <c r="CW667" t="s">
        <v>120</v>
      </c>
      <c r="CX667">
        <v>257</v>
      </c>
      <c r="CY667">
        <v>1</v>
      </c>
      <c r="CZ667" t="s">
        <v>615</v>
      </c>
      <c r="DA667" t="s">
        <v>616</v>
      </c>
      <c r="DD667">
        <v>10896584</v>
      </c>
      <c r="DE667" t="s">
        <v>123</v>
      </c>
    </row>
    <row r="668" spans="1:109" x14ac:dyDescent="0.3">
      <c r="A668" t="str">
        <f>"18:45:45.250"</f>
        <v>18:45:45.250</v>
      </c>
      <c r="B668" t="s">
        <v>110</v>
      </c>
      <c r="C668" t="str">
        <f t="shared" si="30"/>
        <v>ffdfd3c0</v>
      </c>
      <c r="D668" t="s">
        <v>111</v>
      </c>
      <c r="E668">
        <v>18</v>
      </c>
      <c r="F668">
        <v>1018</v>
      </c>
      <c r="G668" t="s">
        <v>112</v>
      </c>
      <c r="J668" t="s">
        <v>113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R668" t="s">
        <v>114</v>
      </c>
      <c r="S668" t="str">
        <f>"18:45:45.008"</f>
        <v>18:45:45.008</v>
      </c>
      <c r="T668" t="str">
        <f>"18:45:44.109"</f>
        <v>18:45:44.109</v>
      </c>
      <c r="U668" t="str">
        <f t="shared" si="31"/>
        <v>a1cdbe</v>
      </c>
      <c r="V668">
        <v>0</v>
      </c>
      <c r="W668">
        <v>0</v>
      </c>
      <c r="X668">
        <v>1</v>
      </c>
      <c r="Y668">
        <v>0</v>
      </c>
      <c r="Z668">
        <v>0</v>
      </c>
      <c r="AB668">
        <v>0</v>
      </c>
      <c r="AC668">
        <v>9</v>
      </c>
      <c r="AD668">
        <v>3</v>
      </c>
      <c r="AE668">
        <v>0</v>
      </c>
      <c r="AF668">
        <v>9</v>
      </c>
      <c r="AG668" t="s">
        <v>158</v>
      </c>
      <c r="AH668">
        <v>0</v>
      </c>
      <c r="AI668">
        <v>3</v>
      </c>
      <c r="AJ668">
        <v>1</v>
      </c>
      <c r="AK668">
        <v>0</v>
      </c>
      <c r="AL668" t="s">
        <v>1406</v>
      </c>
      <c r="AM668">
        <v>46.899884</v>
      </c>
      <c r="AN668" t="s">
        <v>1407</v>
      </c>
      <c r="AO668">
        <v>-122.365658</v>
      </c>
      <c r="AP668">
        <v>100</v>
      </c>
      <c r="AQ668">
        <v>2000</v>
      </c>
      <c r="AR668" t="s">
        <v>118</v>
      </c>
      <c r="AS668">
        <v>-45</v>
      </c>
      <c r="AT668">
        <v>-67</v>
      </c>
      <c r="AU668">
        <v>256</v>
      </c>
      <c r="BC668">
        <v>1200</v>
      </c>
      <c r="BD668">
        <v>1</v>
      </c>
      <c r="BE668" t="str">
        <f t="shared" si="32"/>
        <v xml:space="preserve">N215T   </v>
      </c>
      <c r="BF668">
        <v>1</v>
      </c>
      <c r="BH668">
        <v>0</v>
      </c>
      <c r="BI668">
        <v>0</v>
      </c>
      <c r="BJ668">
        <v>0</v>
      </c>
      <c r="BK668">
        <v>2375</v>
      </c>
      <c r="BL668">
        <v>375</v>
      </c>
      <c r="BM668" t="s">
        <v>119</v>
      </c>
      <c r="BN668">
        <v>1</v>
      </c>
      <c r="BO668">
        <v>1</v>
      </c>
      <c r="BP668">
        <v>1</v>
      </c>
      <c r="BQ668">
        <v>0</v>
      </c>
      <c r="BT668">
        <v>0</v>
      </c>
      <c r="BU668">
        <v>0</v>
      </c>
      <c r="BV668">
        <v>0</v>
      </c>
      <c r="CC668" t="str">
        <f>"18:45:45.008"</f>
        <v>18:45:45.008</v>
      </c>
      <c r="CD668" t="str">
        <f>"008296982"</f>
        <v>008296982</v>
      </c>
      <c r="CQ668">
        <v>0</v>
      </c>
      <c r="CR668">
        <v>2</v>
      </c>
      <c r="CS668">
        <v>0</v>
      </c>
      <c r="CT668">
        <v>2</v>
      </c>
      <c r="CU668">
        <v>0</v>
      </c>
      <c r="CV668">
        <v>2</v>
      </c>
      <c r="CW668" t="s">
        <v>172</v>
      </c>
      <c r="CX668">
        <v>326</v>
      </c>
      <c r="CY668">
        <v>0</v>
      </c>
      <c r="CZ668" t="s">
        <v>173</v>
      </c>
      <c r="DA668" t="s">
        <v>174</v>
      </c>
      <c r="DD668">
        <v>5949182</v>
      </c>
      <c r="DE668" t="s">
        <v>123</v>
      </c>
    </row>
    <row r="669" spans="1:109" x14ac:dyDescent="0.3">
      <c r="A669" t="str">
        <f>"18:45:46.250"</f>
        <v>18:45:46.250</v>
      </c>
      <c r="B669" t="s">
        <v>110</v>
      </c>
      <c r="C669" t="str">
        <f t="shared" si="30"/>
        <v>ffdfd3c0</v>
      </c>
      <c r="D669" t="s">
        <v>111</v>
      </c>
      <c r="E669">
        <v>18</v>
      </c>
      <c r="F669">
        <v>1018</v>
      </c>
      <c r="G669" t="s">
        <v>112</v>
      </c>
      <c r="J669" t="s">
        <v>113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R669" t="s">
        <v>114</v>
      </c>
      <c r="S669" t="str">
        <f>"18:45:46.023"</f>
        <v>18:45:46.023</v>
      </c>
      <c r="T669" t="str">
        <f>"18:45:46.023"</f>
        <v>18:45:46.023</v>
      </c>
      <c r="U669" t="str">
        <f t="shared" si="31"/>
        <v>a1cdbe</v>
      </c>
      <c r="V669">
        <v>0</v>
      </c>
      <c r="W669">
        <v>0</v>
      </c>
      <c r="X669">
        <v>1</v>
      </c>
      <c r="Y669">
        <v>0</v>
      </c>
      <c r="Z669">
        <v>0</v>
      </c>
      <c r="AB669">
        <v>0</v>
      </c>
      <c r="AC669">
        <v>9</v>
      </c>
      <c r="AD669">
        <v>3</v>
      </c>
      <c r="AE669">
        <v>0</v>
      </c>
      <c r="AF669">
        <v>9</v>
      </c>
      <c r="AG669" t="s">
        <v>158</v>
      </c>
      <c r="AH669">
        <v>0</v>
      </c>
      <c r="AI669">
        <v>3</v>
      </c>
      <c r="AJ669">
        <v>1</v>
      </c>
      <c r="AK669">
        <v>0</v>
      </c>
      <c r="AL669" t="s">
        <v>1408</v>
      </c>
      <c r="AM669">
        <v>46.899583</v>
      </c>
      <c r="AN669" t="s">
        <v>1409</v>
      </c>
      <c r="AO669">
        <v>-122.36600199999999</v>
      </c>
      <c r="AP669">
        <v>100</v>
      </c>
      <c r="AQ669">
        <v>2000</v>
      </c>
      <c r="AR669" t="s">
        <v>118</v>
      </c>
      <c r="AS669">
        <v>-45</v>
      </c>
      <c r="AT669">
        <v>-67</v>
      </c>
      <c r="AU669">
        <v>192</v>
      </c>
      <c r="BC669">
        <v>1200</v>
      </c>
      <c r="BD669">
        <v>1</v>
      </c>
      <c r="BE669" t="str">
        <f t="shared" si="32"/>
        <v xml:space="preserve">N215T   </v>
      </c>
      <c r="BF669">
        <v>1</v>
      </c>
      <c r="BH669">
        <v>0</v>
      </c>
      <c r="BI669">
        <v>0</v>
      </c>
      <c r="BJ669">
        <v>0</v>
      </c>
      <c r="BK669">
        <v>2375</v>
      </c>
      <c r="BL669">
        <v>375</v>
      </c>
      <c r="BM669" t="s">
        <v>119</v>
      </c>
      <c r="BN669">
        <v>1</v>
      </c>
      <c r="BO669">
        <v>1</v>
      </c>
      <c r="BP669">
        <v>1</v>
      </c>
      <c r="BQ669">
        <v>0</v>
      </c>
      <c r="BT669">
        <v>0</v>
      </c>
      <c r="BU669">
        <v>0</v>
      </c>
      <c r="BV669">
        <v>0</v>
      </c>
      <c r="CC669" t="str">
        <f>"18:45:46.031"</f>
        <v>18:45:46.031</v>
      </c>
      <c r="CD669" t="str">
        <f>"028236335"</f>
        <v>028236335</v>
      </c>
      <c r="CQ669">
        <v>0</v>
      </c>
      <c r="CR669">
        <v>2</v>
      </c>
      <c r="CS669">
        <v>0</v>
      </c>
      <c r="CT669">
        <v>2</v>
      </c>
      <c r="CU669">
        <v>0</v>
      </c>
      <c r="CV669">
        <v>2</v>
      </c>
      <c r="CW669" t="s">
        <v>120</v>
      </c>
      <c r="CX669">
        <v>261</v>
      </c>
      <c r="CY669">
        <v>2</v>
      </c>
      <c r="CZ669" t="s">
        <v>121</v>
      </c>
      <c r="DA669" t="s">
        <v>122</v>
      </c>
      <c r="DD669">
        <v>14599419</v>
      </c>
      <c r="DE669" t="s">
        <v>123</v>
      </c>
    </row>
    <row r="670" spans="1:109" x14ac:dyDescent="0.3">
      <c r="A670" t="str">
        <f>"18:45:47.211"</f>
        <v>18:45:47.211</v>
      </c>
      <c r="B670" t="s">
        <v>110</v>
      </c>
      <c r="C670" t="str">
        <f t="shared" si="30"/>
        <v>ffdfd3c0</v>
      </c>
      <c r="D670" t="s">
        <v>111</v>
      </c>
      <c r="E670">
        <v>18</v>
      </c>
      <c r="F670">
        <v>1018</v>
      </c>
      <c r="G670" t="s">
        <v>112</v>
      </c>
      <c r="J670" t="s">
        <v>113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R670" t="s">
        <v>114</v>
      </c>
      <c r="S670" t="str">
        <f>"18:45:46.984"</f>
        <v>18:45:46.984</v>
      </c>
      <c r="T670" t="str">
        <f>"18:45:46.984"</f>
        <v>18:45:46.984</v>
      </c>
      <c r="U670" t="str">
        <f t="shared" si="31"/>
        <v>a1cdbe</v>
      </c>
      <c r="V670">
        <v>0</v>
      </c>
      <c r="W670">
        <v>0</v>
      </c>
      <c r="X670">
        <v>1</v>
      </c>
      <c r="Y670">
        <v>0</v>
      </c>
      <c r="Z670">
        <v>0</v>
      </c>
      <c r="AB670">
        <v>0</v>
      </c>
      <c r="AC670">
        <v>9</v>
      </c>
      <c r="AD670">
        <v>3</v>
      </c>
      <c r="AE670">
        <v>0</v>
      </c>
      <c r="AF670">
        <v>9</v>
      </c>
      <c r="AG670" t="s">
        <v>158</v>
      </c>
      <c r="AH670">
        <v>0</v>
      </c>
      <c r="AI670">
        <v>3</v>
      </c>
      <c r="AJ670">
        <v>1</v>
      </c>
      <c r="AK670">
        <v>0</v>
      </c>
      <c r="AL670" t="s">
        <v>1410</v>
      </c>
      <c r="AM670">
        <v>46.899282999999997</v>
      </c>
      <c r="AN670" t="s">
        <v>1411</v>
      </c>
      <c r="AO670">
        <v>-122.366281</v>
      </c>
      <c r="AP670">
        <v>100</v>
      </c>
      <c r="AQ670">
        <v>2000</v>
      </c>
      <c r="AR670" t="s">
        <v>118</v>
      </c>
      <c r="AS670">
        <v>-45</v>
      </c>
      <c r="AT670">
        <v>-67</v>
      </c>
      <c r="AU670">
        <v>0</v>
      </c>
      <c r="BC670">
        <v>1200</v>
      </c>
      <c r="BD670">
        <v>1</v>
      </c>
      <c r="BE670" t="str">
        <f t="shared" si="32"/>
        <v xml:space="preserve">N215T   </v>
      </c>
      <c r="BF670">
        <v>1</v>
      </c>
      <c r="BH670">
        <v>0</v>
      </c>
      <c r="BI670">
        <v>0</v>
      </c>
      <c r="BJ670">
        <v>0</v>
      </c>
      <c r="BK670">
        <v>2375</v>
      </c>
      <c r="BL670">
        <v>375</v>
      </c>
      <c r="BM670" t="s">
        <v>119</v>
      </c>
      <c r="BN670">
        <v>1</v>
      </c>
      <c r="BO670">
        <v>1</v>
      </c>
      <c r="BP670">
        <v>1</v>
      </c>
      <c r="BQ670">
        <v>0</v>
      </c>
      <c r="BT670">
        <v>0</v>
      </c>
      <c r="BU670">
        <v>0</v>
      </c>
      <c r="BV670">
        <v>0</v>
      </c>
      <c r="CC670" t="str">
        <f>"18:45:46.984"</f>
        <v>18:45:46.984</v>
      </c>
      <c r="CD670" t="str">
        <f>"988102371"</f>
        <v>988102371</v>
      </c>
      <c r="CQ670">
        <v>0</v>
      </c>
      <c r="CR670">
        <v>2</v>
      </c>
      <c r="CS670">
        <v>0</v>
      </c>
      <c r="CT670">
        <v>2</v>
      </c>
      <c r="CU670">
        <v>0</v>
      </c>
      <c r="CV670">
        <v>2</v>
      </c>
      <c r="CW670" t="s">
        <v>172</v>
      </c>
      <c r="CX670">
        <v>326</v>
      </c>
      <c r="CY670">
        <v>0</v>
      </c>
      <c r="CZ670" t="s">
        <v>173</v>
      </c>
      <c r="DA670" t="s">
        <v>174</v>
      </c>
      <c r="DD670">
        <v>5950180</v>
      </c>
      <c r="DE670" t="s">
        <v>123</v>
      </c>
    </row>
    <row r="671" spans="1:109" x14ac:dyDescent="0.3">
      <c r="A671" t="str">
        <f>"18:45:48.109"</f>
        <v>18:45:48.109</v>
      </c>
      <c r="B671" t="s">
        <v>110</v>
      </c>
      <c r="C671" t="str">
        <f t="shared" si="30"/>
        <v>ffdfd3c0</v>
      </c>
      <c r="D671" t="s">
        <v>111</v>
      </c>
      <c r="E671">
        <v>18</v>
      </c>
      <c r="F671">
        <v>1018</v>
      </c>
      <c r="G671" t="s">
        <v>112</v>
      </c>
      <c r="J671" t="s">
        <v>113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R671" t="s">
        <v>114</v>
      </c>
      <c r="S671" t="str">
        <f>"18:45:47.867"</f>
        <v>18:45:47.867</v>
      </c>
      <c r="T671" t="str">
        <f>"18:45:47.469"</f>
        <v>18:45:47.469</v>
      </c>
      <c r="U671" t="str">
        <f t="shared" si="31"/>
        <v>a1cdbe</v>
      </c>
      <c r="V671">
        <v>0</v>
      </c>
      <c r="W671">
        <v>0</v>
      </c>
      <c r="X671">
        <v>1</v>
      </c>
      <c r="Y671">
        <v>0</v>
      </c>
      <c r="Z671">
        <v>0</v>
      </c>
      <c r="AB671">
        <v>0</v>
      </c>
      <c r="AC671">
        <v>9</v>
      </c>
      <c r="AD671">
        <v>3</v>
      </c>
      <c r="AE671">
        <v>0</v>
      </c>
      <c r="AF671">
        <v>9</v>
      </c>
      <c r="AG671" t="s">
        <v>158</v>
      </c>
      <c r="AH671">
        <v>0</v>
      </c>
      <c r="AI671">
        <v>3</v>
      </c>
      <c r="AJ671">
        <v>1</v>
      </c>
      <c r="AK671">
        <v>0</v>
      </c>
      <c r="AL671" t="s">
        <v>1412</v>
      </c>
      <c r="AM671">
        <v>46.899003999999998</v>
      </c>
      <c r="AN671" t="s">
        <v>1413</v>
      </c>
      <c r="AO671">
        <v>-122.366495</v>
      </c>
      <c r="AP671">
        <v>100</v>
      </c>
      <c r="AQ671">
        <v>2000</v>
      </c>
      <c r="AR671" t="s">
        <v>118</v>
      </c>
      <c r="AS671">
        <v>-45</v>
      </c>
      <c r="AT671">
        <v>-68</v>
      </c>
      <c r="AU671">
        <v>0</v>
      </c>
      <c r="BC671">
        <v>1200</v>
      </c>
      <c r="BD671">
        <v>1</v>
      </c>
      <c r="BE671" t="str">
        <f t="shared" si="32"/>
        <v xml:space="preserve">N215T   </v>
      </c>
      <c r="BF671">
        <v>1</v>
      </c>
      <c r="BH671">
        <v>0</v>
      </c>
      <c r="BI671">
        <v>0</v>
      </c>
      <c r="BJ671">
        <v>0</v>
      </c>
      <c r="BK671">
        <v>2375</v>
      </c>
      <c r="BL671">
        <v>375</v>
      </c>
      <c r="BM671" t="s">
        <v>119</v>
      </c>
      <c r="BN671">
        <v>1</v>
      </c>
      <c r="BO671">
        <v>1</v>
      </c>
      <c r="BP671">
        <v>1</v>
      </c>
      <c r="BQ671">
        <v>0</v>
      </c>
      <c r="BT671">
        <v>0</v>
      </c>
      <c r="BU671">
        <v>0</v>
      </c>
      <c r="BV671">
        <v>0</v>
      </c>
      <c r="CC671" t="str">
        <f>"18:45:47.875"</f>
        <v>18:45:47.875</v>
      </c>
      <c r="CD671" t="str">
        <f>"873015367"</f>
        <v>873015367</v>
      </c>
      <c r="CQ671">
        <v>0</v>
      </c>
      <c r="CR671">
        <v>2</v>
      </c>
      <c r="CS671">
        <v>0</v>
      </c>
      <c r="CT671">
        <v>2</v>
      </c>
      <c r="CU671">
        <v>0</v>
      </c>
      <c r="CV671">
        <v>2</v>
      </c>
      <c r="CW671" t="s">
        <v>172</v>
      </c>
      <c r="CX671">
        <v>326</v>
      </c>
      <c r="CY671">
        <v>0</v>
      </c>
      <c r="CZ671" t="s">
        <v>173</v>
      </c>
      <c r="DA671" t="s">
        <v>174</v>
      </c>
      <c r="DD671">
        <v>5950610</v>
      </c>
      <c r="DE671" t="s">
        <v>123</v>
      </c>
    </row>
    <row r="672" spans="1:109" x14ac:dyDescent="0.3">
      <c r="A672" t="str">
        <f>"18:45:49.070"</f>
        <v>18:45:49.070</v>
      </c>
      <c r="B672" t="s">
        <v>110</v>
      </c>
      <c r="C672" t="str">
        <f t="shared" si="30"/>
        <v>ffdfd3c0</v>
      </c>
      <c r="D672" t="s">
        <v>111</v>
      </c>
      <c r="E672">
        <v>18</v>
      </c>
      <c r="F672">
        <v>1018</v>
      </c>
      <c r="G672" t="s">
        <v>112</v>
      </c>
      <c r="J672" t="s">
        <v>113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R672" t="s">
        <v>114</v>
      </c>
      <c r="S672" t="str">
        <f>"18:45:48.859"</f>
        <v>18:45:48.859</v>
      </c>
      <c r="T672" t="str">
        <f>"18:45:48.563"</f>
        <v>18:45:48.563</v>
      </c>
      <c r="U672" t="str">
        <f t="shared" si="31"/>
        <v>a1cdbe</v>
      </c>
      <c r="V672">
        <v>0</v>
      </c>
      <c r="W672">
        <v>0</v>
      </c>
      <c r="X672">
        <v>1</v>
      </c>
      <c r="Y672">
        <v>0</v>
      </c>
      <c r="Z672">
        <v>0</v>
      </c>
      <c r="AB672">
        <v>0</v>
      </c>
      <c r="AC672">
        <v>9</v>
      </c>
      <c r="AD672">
        <v>3</v>
      </c>
      <c r="AE672">
        <v>0</v>
      </c>
      <c r="AF672">
        <v>9</v>
      </c>
      <c r="AG672" t="s">
        <v>158</v>
      </c>
      <c r="AH672">
        <v>0</v>
      </c>
      <c r="AI672">
        <v>3</v>
      </c>
      <c r="AJ672">
        <v>1</v>
      </c>
      <c r="AK672">
        <v>0</v>
      </c>
      <c r="AL672" t="s">
        <v>1414</v>
      </c>
      <c r="AM672">
        <v>46.898660999999997</v>
      </c>
      <c r="AN672" t="s">
        <v>1415</v>
      </c>
      <c r="AO672">
        <v>-122.366817</v>
      </c>
      <c r="AP672">
        <v>100</v>
      </c>
      <c r="AQ672">
        <v>2000</v>
      </c>
      <c r="AR672" t="s">
        <v>118</v>
      </c>
      <c r="AS672">
        <v>-44</v>
      </c>
      <c r="AT672">
        <v>-68</v>
      </c>
      <c r="AU672">
        <v>0</v>
      </c>
      <c r="BC672">
        <v>1200</v>
      </c>
      <c r="BD672">
        <v>1</v>
      </c>
      <c r="BE672" t="str">
        <f t="shared" si="32"/>
        <v xml:space="preserve">N215T   </v>
      </c>
      <c r="BF672">
        <v>1</v>
      </c>
      <c r="BH672">
        <v>0</v>
      </c>
      <c r="BI672">
        <v>0</v>
      </c>
      <c r="BJ672">
        <v>0</v>
      </c>
      <c r="BK672">
        <v>2375</v>
      </c>
      <c r="BL672">
        <v>375</v>
      </c>
      <c r="BM672" t="s">
        <v>119</v>
      </c>
      <c r="BN672">
        <v>1</v>
      </c>
      <c r="BO672">
        <v>1</v>
      </c>
      <c r="BP672">
        <v>1</v>
      </c>
      <c r="BQ672">
        <v>0</v>
      </c>
      <c r="BT672">
        <v>0</v>
      </c>
      <c r="BU672">
        <v>0</v>
      </c>
      <c r="BV672">
        <v>0</v>
      </c>
      <c r="CC672" t="str">
        <f>"18:45:48.859"</f>
        <v>18:45:48.859</v>
      </c>
      <c r="CD672" t="str">
        <f>"862918058"</f>
        <v>862918058</v>
      </c>
      <c r="CQ672">
        <v>0</v>
      </c>
      <c r="CR672">
        <v>2</v>
      </c>
      <c r="CS672">
        <v>0</v>
      </c>
      <c r="CT672">
        <v>2</v>
      </c>
      <c r="CU672">
        <v>0</v>
      </c>
      <c r="CV672">
        <v>1</v>
      </c>
      <c r="CW672" t="s">
        <v>172</v>
      </c>
      <c r="CX672">
        <v>326</v>
      </c>
      <c r="CY672">
        <v>0</v>
      </c>
      <c r="CZ672" t="s">
        <v>173</v>
      </c>
      <c r="DA672" t="s">
        <v>174</v>
      </c>
      <c r="DD672">
        <v>5951095</v>
      </c>
      <c r="DE672" t="s">
        <v>123</v>
      </c>
    </row>
    <row r="673" spans="1:109" x14ac:dyDescent="0.3">
      <c r="A673" t="str">
        <f>"18:45:50.477"</f>
        <v>18:45:50.477</v>
      </c>
      <c r="B673" t="s">
        <v>110</v>
      </c>
      <c r="C673" t="str">
        <f t="shared" si="30"/>
        <v>ffdfd3c0</v>
      </c>
      <c r="D673" t="s">
        <v>111</v>
      </c>
      <c r="E673">
        <v>18</v>
      </c>
      <c r="F673">
        <v>1018</v>
      </c>
      <c r="G673" t="s">
        <v>112</v>
      </c>
      <c r="J673" t="s">
        <v>113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R673" t="s">
        <v>114</v>
      </c>
      <c r="S673" t="str">
        <f>"18:45:49.938"</f>
        <v>18:45:49.938</v>
      </c>
      <c r="T673" t="str">
        <f>"18:45:49.641"</f>
        <v>18:45:49.641</v>
      </c>
      <c r="U673" t="str">
        <f t="shared" si="31"/>
        <v>a1cdbe</v>
      </c>
      <c r="V673">
        <v>0</v>
      </c>
      <c r="W673">
        <v>0</v>
      </c>
      <c r="X673">
        <v>1</v>
      </c>
      <c r="Y673">
        <v>0</v>
      </c>
      <c r="Z673">
        <v>0</v>
      </c>
      <c r="AB673">
        <v>0</v>
      </c>
      <c r="AC673">
        <v>9</v>
      </c>
      <c r="AD673">
        <v>3</v>
      </c>
      <c r="AE673">
        <v>0</v>
      </c>
      <c r="AF673">
        <v>9</v>
      </c>
      <c r="AG673" t="s">
        <v>158</v>
      </c>
      <c r="AH673">
        <v>0</v>
      </c>
      <c r="AI673">
        <v>3</v>
      </c>
      <c r="AJ673">
        <v>1</v>
      </c>
      <c r="AK673">
        <v>0</v>
      </c>
      <c r="AL673" t="s">
        <v>1416</v>
      </c>
      <c r="AM673">
        <v>46.898359999999997</v>
      </c>
      <c r="AN673" t="s">
        <v>1417</v>
      </c>
      <c r="AO673">
        <v>-122.36713899999999</v>
      </c>
      <c r="AP673">
        <v>100</v>
      </c>
      <c r="AQ673">
        <v>2000</v>
      </c>
      <c r="AR673" t="s">
        <v>118</v>
      </c>
      <c r="AS673">
        <v>-44</v>
      </c>
      <c r="AT673">
        <v>-69</v>
      </c>
      <c r="AU673">
        <v>-64</v>
      </c>
      <c r="BC673">
        <v>1200</v>
      </c>
      <c r="BD673">
        <v>1</v>
      </c>
      <c r="BE673" t="str">
        <f t="shared" si="32"/>
        <v xml:space="preserve">N215T   </v>
      </c>
      <c r="BF673">
        <v>1</v>
      </c>
      <c r="BH673">
        <v>0</v>
      </c>
      <c r="BI673">
        <v>0</v>
      </c>
      <c r="BJ673">
        <v>0</v>
      </c>
      <c r="BK673">
        <v>2375</v>
      </c>
      <c r="BL673">
        <v>375</v>
      </c>
      <c r="BM673" t="s">
        <v>119</v>
      </c>
      <c r="BN673">
        <v>1</v>
      </c>
      <c r="BO673">
        <v>1</v>
      </c>
      <c r="BP673">
        <v>1</v>
      </c>
      <c r="BQ673">
        <v>0</v>
      </c>
      <c r="BT673">
        <v>0</v>
      </c>
      <c r="BU673">
        <v>0</v>
      </c>
      <c r="BV673">
        <v>0</v>
      </c>
      <c r="CC673" t="str">
        <f>"18:45:49.945"</f>
        <v>18:45:49.945</v>
      </c>
      <c r="CD673" t="str">
        <f>"943015100"</f>
        <v>943015100</v>
      </c>
      <c r="CQ673">
        <v>0</v>
      </c>
      <c r="CR673">
        <v>2</v>
      </c>
      <c r="CS673">
        <v>0</v>
      </c>
      <c r="CT673">
        <v>2</v>
      </c>
      <c r="CU673">
        <v>0</v>
      </c>
      <c r="CV673">
        <v>1</v>
      </c>
      <c r="CW673" t="s">
        <v>120</v>
      </c>
      <c r="CX673">
        <v>257</v>
      </c>
      <c r="CY673">
        <v>1</v>
      </c>
      <c r="CZ673" t="s">
        <v>615</v>
      </c>
      <c r="DA673" t="s">
        <v>616</v>
      </c>
      <c r="DD673">
        <v>10900426</v>
      </c>
      <c r="DE673" t="s">
        <v>123</v>
      </c>
    </row>
    <row r="674" spans="1:109" x14ac:dyDescent="0.3">
      <c r="A674" t="str">
        <f>"18:45:51.227"</f>
        <v>18:45:51.227</v>
      </c>
      <c r="B674" t="s">
        <v>110</v>
      </c>
      <c r="C674" t="str">
        <f t="shared" si="30"/>
        <v>ffdfd3c0</v>
      </c>
      <c r="D674" t="s">
        <v>111</v>
      </c>
      <c r="E674">
        <v>18</v>
      </c>
      <c r="F674">
        <v>1018</v>
      </c>
      <c r="G674" t="s">
        <v>112</v>
      </c>
      <c r="J674" t="s">
        <v>113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R674" t="s">
        <v>114</v>
      </c>
      <c r="S674" t="str">
        <f>"18:45:50.977"</f>
        <v>18:45:50.977</v>
      </c>
      <c r="T674" t="str">
        <f>"18:45:48.477"</f>
        <v>18:45:48.477</v>
      </c>
      <c r="U674" t="str">
        <f t="shared" si="31"/>
        <v>a1cdbe</v>
      </c>
      <c r="V674">
        <v>0</v>
      </c>
      <c r="W674">
        <v>0</v>
      </c>
      <c r="X674">
        <v>1</v>
      </c>
      <c r="Y674">
        <v>0</v>
      </c>
      <c r="Z674">
        <v>0</v>
      </c>
      <c r="AB674">
        <v>0</v>
      </c>
      <c r="AC674">
        <v>9</v>
      </c>
      <c r="AD674">
        <v>3</v>
      </c>
      <c r="AE674">
        <v>0</v>
      </c>
      <c r="AF674">
        <v>9</v>
      </c>
      <c r="AG674" t="s">
        <v>158</v>
      </c>
      <c r="AH674">
        <v>0</v>
      </c>
      <c r="AI674">
        <v>3</v>
      </c>
      <c r="AJ674">
        <v>1</v>
      </c>
      <c r="AK674">
        <v>0</v>
      </c>
      <c r="AL674" t="s">
        <v>1418</v>
      </c>
      <c r="AM674">
        <v>46.897973999999998</v>
      </c>
      <c r="AN674" t="s">
        <v>1419</v>
      </c>
      <c r="AO674">
        <v>-122.367482</v>
      </c>
      <c r="AP674">
        <v>100</v>
      </c>
      <c r="AQ674">
        <v>2000</v>
      </c>
      <c r="AR674" t="s">
        <v>118</v>
      </c>
      <c r="AS674">
        <v>-44</v>
      </c>
      <c r="AT674">
        <v>-68</v>
      </c>
      <c r="AU674">
        <v>0</v>
      </c>
      <c r="BC674">
        <v>1200</v>
      </c>
      <c r="BD674">
        <v>1</v>
      </c>
      <c r="BE674" t="str">
        <f t="shared" si="32"/>
        <v xml:space="preserve">N215T   </v>
      </c>
      <c r="BF674">
        <v>1</v>
      </c>
      <c r="BH674">
        <v>0</v>
      </c>
      <c r="BI674">
        <v>0</v>
      </c>
      <c r="BJ674">
        <v>0</v>
      </c>
      <c r="BK674">
        <v>2375</v>
      </c>
      <c r="BL674">
        <v>375</v>
      </c>
      <c r="BM674" t="s">
        <v>119</v>
      </c>
      <c r="BN674">
        <v>1</v>
      </c>
      <c r="BO674">
        <v>1</v>
      </c>
      <c r="BP674">
        <v>1</v>
      </c>
      <c r="BQ674">
        <v>0</v>
      </c>
      <c r="BT674">
        <v>0</v>
      </c>
      <c r="BU674">
        <v>0</v>
      </c>
      <c r="BV674">
        <v>0</v>
      </c>
      <c r="CC674" t="str">
        <f>"18:45:50.977"</f>
        <v>18:45:50.977</v>
      </c>
      <c r="CD674" t="str">
        <f>"977710081"</f>
        <v>977710081</v>
      </c>
      <c r="CQ674">
        <v>0</v>
      </c>
      <c r="CR674">
        <v>2</v>
      </c>
      <c r="CS674">
        <v>0</v>
      </c>
      <c r="CT674">
        <v>2</v>
      </c>
      <c r="CU674">
        <v>0</v>
      </c>
      <c r="CV674">
        <v>2</v>
      </c>
      <c r="CW674" t="s">
        <v>172</v>
      </c>
      <c r="CX674">
        <v>326</v>
      </c>
      <c r="CY674">
        <v>0</v>
      </c>
      <c r="CZ674" t="s">
        <v>173</v>
      </c>
      <c r="DA674" t="s">
        <v>174</v>
      </c>
      <c r="DD674">
        <v>5952171</v>
      </c>
      <c r="DE674" t="s">
        <v>123</v>
      </c>
    </row>
    <row r="675" spans="1:109" x14ac:dyDescent="0.3">
      <c r="A675" t="str">
        <f>"18:45:52.289"</f>
        <v>18:45:52.289</v>
      </c>
      <c r="B675" t="s">
        <v>110</v>
      </c>
      <c r="C675" t="str">
        <f t="shared" si="30"/>
        <v>ffdfd3c0</v>
      </c>
      <c r="D675" t="s">
        <v>111</v>
      </c>
      <c r="E675">
        <v>18</v>
      </c>
      <c r="F675">
        <v>1018</v>
      </c>
      <c r="G675" t="s">
        <v>112</v>
      </c>
      <c r="J675" t="s">
        <v>113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R675" t="s">
        <v>114</v>
      </c>
      <c r="S675" t="str">
        <f>"18:45:52.023"</f>
        <v>18:45:52.023</v>
      </c>
      <c r="T675" t="str">
        <f>"18:45:51.727"</f>
        <v>18:45:51.727</v>
      </c>
      <c r="U675" t="str">
        <f t="shared" si="31"/>
        <v>a1cdbe</v>
      </c>
      <c r="V675">
        <v>0</v>
      </c>
      <c r="W675">
        <v>0</v>
      </c>
      <c r="X675">
        <v>1</v>
      </c>
      <c r="Y675">
        <v>0</v>
      </c>
      <c r="Z675">
        <v>0</v>
      </c>
      <c r="AB675">
        <v>0</v>
      </c>
      <c r="AC675">
        <v>9</v>
      </c>
      <c r="AD675">
        <v>3</v>
      </c>
      <c r="AE675">
        <v>0</v>
      </c>
      <c r="AF675">
        <v>9</v>
      </c>
      <c r="AG675" t="s">
        <v>158</v>
      </c>
      <c r="AH675">
        <v>0</v>
      </c>
      <c r="AI675">
        <v>3</v>
      </c>
      <c r="AJ675">
        <v>1</v>
      </c>
      <c r="AK675">
        <v>0</v>
      </c>
      <c r="AL675" t="s">
        <v>1420</v>
      </c>
      <c r="AM675">
        <v>46.897652000000001</v>
      </c>
      <c r="AN675" t="s">
        <v>1421</v>
      </c>
      <c r="AO675">
        <v>-122.367783</v>
      </c>
      <c r="AP675">
        <v>100</v>
      </c>
      <c r="AQ675">
        <v>2000</v>
      </c>
      <c r="AR675" t="s">
        <v>118</v>
      </c>
      <c r="AS675">
        <v>-44</v>
      </c>
      <c r="AT675">
        <v>-69</v>
      </c>
      <c r="AU675">
        <v>0</v>
      </c>
      <c r="BC675">
        <v>1200</v>
      </c>
      <c r="BD675">
        <v>1</v>
      </c>
      <c r="BE675" t="str">
        <f t="shared" si="32"/>
        <v xml:space="preserve">N215T   </v>
      </c>
      <c r="BF675">
        <v>1</v>
      </c>
      <c r="BH675">
        <v>0</v>
      </c>
      <c r="BI675">
        <v>0</v>
      </c>
      <c r="BJ675">
        <v>0</v>
      </c>
      <c r="BK675">
        <v>2375</v>
      </c>
      <c r="BL675">
        <v>375</v>
      </c>
      <c r="BM675" t="s">
        <v>119</v>
      </c>
      <c r="BN675">
        <v>1</v>
      </c>
      <c r="BO675">
        <v>1</v>
      </c>
      <c r="BP675">
        <v>1</v>
      </c>
      <c r="BQ675">
        <v>0</v>
      </c>
      <c r="BT675">
        <v>0</v>
      </c>
      <c r="BU675">
        <v>0</v>
      </c>
      <c r="BV675">
        <v>0</v>
      </c>
      <c r="CC675" t="str">
        <f>"18:45:52.031"</f>
        <v>18:45:52.031</v>
      </c>
      <c r="CD675" t="str">
        <f>"027646087"</f>
        <v>027646087</v>
      </c>
      <c r="CQ675">
        <v>0</v>
      </c>
      <c r="CR675">
        <v>2</v>
      </c>
      <c r="CS675">
        <v>0</v>
      </c>
      <c r="CT675">
        <v>2</v>
      </c>
      <c r="CU675">
        <v>0</v>
      </c>
      <c r="CV675">
        <v>2</v>
      </c>
      <c r="CW675" t="s">
        <v>120</v>
      </c>
      <c r="CX675">
        <v>261</v>
      </c>
      <c r="CY675">
        <v>1</v>
      </c>
      <c r="CZ675" t="s">
        <v>121</v>
      </c>
      <c r="DA675" t="s">
        <v>122</v>
      </c>
      <c r="DD675">
        <v>3504922</v>
      </c>
      <c r="DE675" t="s">
        <v>123</v>
      </c>
    </row>
    <row r="676" spans="1:109" x14ac:dyDescent="0.3">
      <c r="A676" t="str">
        <f>"18:45:53.242"</f>
        <v>18:45:53.242</v>
      </c>
      <c r="B676" t="s">
        <v>110</v>
      </c>
      <c r="C676" t="str">
        <f t="shared" si="30"/>
        <v>ffdfd3c0</v>
      </c>
      <c r="D676" t="s">
        <v>111</v>
      </c>
      <c r="E676">
        <v>18</v>
      </c>
      <c r="F676">
        <v>1018</v>
      </c>
      <c r="G676" t="s">
        <v>112</v>
      </c>
      <c r="J676" t="s">
        <v>113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R676" t="s">
        <v>114</v>
      </c>
      <c r="S676" t="str">
        <f>"18:45:53.016"</f>
        <v>18:45:53.016</v>
      </c>
      <c r="T676" t="str">
        <f>"18:45:52.617"</f>
        <v>18:45:52.617</v>
      </c>
      <c r="U676" t="str">
        <f t="shared" si="31"/>
        <v>a1cdbe</v>
      </c>
      <c r="V676">
        <v>0</v>
      </c>
      <c r="W676">
        <v>0</v>
      </c>
      <c r="X676">
        <v>1</v>
      </c>
      <c r="Y676">
        <v>0</v>
      </c>
      <c r="Z676">
        <v>0</v>
      </c>
      <c r="AB676">
        <v>0</v>
      </c>
      <c r="AC676">
        <v>9</v>
      </c>
      <c r="AD676">
        <v>3</v>
      </c>
      <c r="AE676">
        <v>0</v>
      </c>
      <c r="AF676">
        <v>9</v>
      </c>
      <c r="AG676" t="s">
        <v>158</v>
      </c>
      <c r="AH676">
        <v>0</v>
      </c>
      <c r="AI676">
        <v>3</v>
      </c>
      <c r="AJ676">
        <v>1</v>
      </c>
      <c r="AK676">
        <v>0</v>
      </c>
      <c r="AL676" t="s">
        <v>1422</v>
      </c>
      <c r="AM676">
        <v>46.897373000000002</v>
      </c>
      <c r="AN676" t="s">
        <v>1423</v>
      </c>
      <c r="AO676">
        <v>-122.36803999999999</v>
      </c>
      <c r="AP676">
        <v>100</v>
      </c>
      <c r="AQ676">
        <v>2000</v>
      </c>
      <c r="AR676" t="s">
        <v>118</v>
      </c>
      <c r="AS676">
        <v>-44</v>
      </c>
      <c r="AT676">
        <v>-69</v>
      </c>
      <c r="AU676">
        <v>0</v>
      </c>
      <c r="BC676">
        <v>1200</v>
      </c>
      <c r="BD676">
        <v>1</v>
      </c>
      <c r="BE676" t="str">
        <f t="shared" si="32"/>
        <v xml:space="preserve">N215T   </v>
      </c>
      <c r="BF676">
        <v>1</v>
      </c>
      <c r="BH676">
        <v>0</v>
      </c>
      <c r="BI676">
        <v>0</v>
      </c>
      <c r="BJ676">
        <v>0</v>
      </c>
      <c r="BK676">
        <v>2375</v>
      </c>
      <c r="BL676">
        <v>375</v>
      </c>
      <c r="BM676" t="s">
        <v>119</v>
      </c>
      <c r="BN676">
        <v>1</v>
      </c>
      <c r="BO676">
        <v>1</v>
      </c>
      <c r="BP676">
        <v>1</v>
      </c>
      <c r="BQ676">
        <v>0</v>
      </c>
      <c r="BT676">
        <v>0</v>
      </c>
      <c r="BU676">
        <v>0</v>
      </c>
      <c r="BV676">
        <v>0</v>
      </c>
      <c r="CC676" t="str">
        <f>"18:45:53.016"</f>
        <v>18:45:53.016</v>
      </c>
      <c r="CD676" t="str">
        <f>"017548736"</f>
        <v>017548736</v>
      </c>
      <c r="CQ676">
        <v>0</v>
      </c>
      <c r="CR676">
        <v>2</v>
      </c>
      <c r="CS676">
        <v>0</v>
      </c>
      <c r="CT676">
        <v>2</v>
      </c>
      <c r="CU676">
        <v>0</v>
      </c>
      <c r="CV676">
        <v>3</v>
      </c>
      <c r="CW676" t="s">
        <v>120</v>
      </c>
      <c r="CX676">
        <v>261</v>
      </c>
      <c r="CY676">
        <v>1</v>
      </c>
      <c r="CZ676" t="s">
        <v>121</v>
      </c>
      <c r="DA676" t="s">
        <v>122</v>
      </c>
      <c r="DD676">
        <v>3505514</v>
      </c>
      <c r="DE676" t="s">
        <v>123</v>
      </c>
    </row>
    <row r="677" spans="1:109" x14ac:dyDescent="0.3">
      <c r="A677" t="str">
        <f>"18:45:54.297"</f>
        <v>18:45:54.297</v>
      </c>
      <c r="B677" t="s">
        <v>110</v>
      </c>
      <c r="C677" t="str">
        <f t="shared" si="30"/>
        <v>ffdfd3c0</v>
      </c>
      <c r="D677" t="s">
        <v>111</v>
      </c>
      <c r="E677">
        <v>18</v>
      </c>
      <c r="F677">
        <v>1018</v>
      </c>
      <c r="G677" t="s">
        <v>112</v>
      </c>
      <c r="J677" t="s">
        <v>113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R677" t="s">
        <v>114</v>
      </c>
      <c r="S677" t="str">
        <f>"18:45:54.078"</f>
        <v>18:45:54.078</v>
      </c>
      <c r="T677" t="str">
        <f>"18:45:53.977"</f>
        <v>18:45:53.977</v>
      </c>
      <c r="U677" t="str">
        <f t="shared" si="31"/>
        <v>a1cdbe</v>
      </c>
      <c r="V677">
        <v>0</v>
      </c>
      <c r="W677">
        <v>0</v>
      </c>
      <c r="X677">
        <v>1</v>
      </c>
      <c r="Y677">
        <v>0</v>
      </c>
      <c r="Z677">
        <v>0</v>
      </c>
      <c r="AB677">
        <v>0</v>
      </c>
      <c r="AC677">
        <v>9</v>
      </c>
      <c r="AD677">
        <v>3</v>
      </c>
      <c r="AE677">
        <v>0</v>
      </c>
      <c r="AF677">
        <v>9</v>
      </c>
      <c r="AG677" t="s">
        <v>158</v>
      </c>
      <c r="AH677">
        <v>0</v>
      </c>
      <c r="AI677">
        <v>3</v>
      </c>
      <c r="AJ677">
        <v>1</v>
      </c>
      <c r="AK677">
        <v>0</v>
      </c>
      <c r="AL677" t="s">
        <v>1424</v>
      </c>
      <c r="AM677">
        <v>46.897008</v>
      </c>
      <c r="AN677" t="s">
        <v>1425</v>
      </c>
      <c r="AO677">
        <v>-122.368405</v>
      </c>
      <c r="AP677">
        <v>100</v>
      </c>
      <c r="AQ677">
        <v>2000</v>
      </c>
      <c r="AR677" t="s">
        <v>118</v>
      </c>
      <c r="AS677">
        <v>-46</v>
      </c>
      <c r="AT677">
        <v>-68</v>
      </c>
      <c r="AU677">
        <v>-64</v>
      </c>
      <c r="BC677">
        <v>1200</v>
      </c>
      <c r="BD677">
        <v>1</v>
      </c>
      <c r="BE677" t="str">
        <f t="shared" si="32"/>
        <v xml:space="preserve">N215T   </v>
      </c>
      <c r="BF677">
        <v>1</v>
      </c>
      <c r="BH677">
        <v>0</v>
      </c>
      <c r="BI677">
        <v>0</v>
      </c>
      <c r="BJ677">
        <v>0</v>
      </c>
      <c r="BK677">
        <v>2375</v>
      </c>
      <c r="BL677">
        <v>375</v>
      </c>
      <c r="BM677" t="s">
        <v>119</v>
      </c>
      <c r="BN677">
        <v>1</v>
      </c>
      <c r="BO677">
        <v>1</v>
      </c>
      <c r="BP677">
        <v>1</v>
      </c>
      <c r="BQ677">
        <v>0</v>
      </c>
      <c r="BT677">
        <v>0</v>
      </c>
      <c r="BU677">
        <v>0</v>
      </c>
      <c r="BV677">
        <v>0</v>
      </c>
      <c r="CC677" t="str">
        <f>"18:45:54.086"</f>
        <v>18:45:54.086</v>
      </c>
      <c r="CD677" t="str">
        <f>"082443978"</f>
        <v>082443978</v>
      </c>
      <c r="CQ677">
        <v>0</v>
      </c>
      <c r="CR677">
        <v>2</v>
      </c>
      <c r="CS677">
        <v>0</v>
      </c>
      <c r="CT677">
        <v>2</v>
      </c>
      <c r="CU677">
        <v>0</v>
      </c>
      <c r="CV677">
        <v>3</v>
      </c>
      <c r="CW677" t="s">
        <v>120</v>
      </c>
      <c r="CX677">
        <v>261</v>
      </c>
      <c r="CY677">
        <v>1</v>
      </c>
      <c r="CZ677" t="s">
        <v>121</v>
      </c>
      <c r="DA677" t="s">
        <v>122</v>
      </c>
      <c r="DD677">
        <v>3506210</v>
      </c>
      <c r="DE677" t="s">
        <v>123</v>
      </c>
    </row>
    <row r="678" spans="1:109" x14ac:dyDescent="0.3">
      <c r="A678" t="str">
        <f>"18:45:55.406"</f>
        <v>18:45:55.406</v>
      </c>
      <c r="B678" t="s">
        <v>110</v>
      </c>
      <c r="C678" t="str">
        <f t="shared" si="30"/>
        <v>ffdfd3c0</v>
      </c>
      <c r="D678" t="s">
        <v>111</v>
      </c>
      <c r="E678">
        <v>18</v>
      </c>
      <c r="F678">
        <v>1018</v>
      </c>
      <c r="G678" t="s">
        <v>112</v>
      </c>
      <c r="J678" t="s">
        <v>113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R678" t="s">
        <v>114</v>
      </c>
      <c r="S678" t="str">
        <f>"18:45:55.141"</f>
        <v>18:45:55.141</v>
      </c>
      <c r="T678" t="str">
        <f>"18:45:55.039"</f>
        <v>18:45:55.039</v>
      </c>
      <c r="U678" t="str">
        <f t="shared" si="31"/>
        <v>a1cdbe</v>
      </c>
      <c r="V678">
        <v>0</v>
      </c>
      <c r="W678">
        <v>0</v>
      </c>
      <c r="X678">
        <v>1</v>
      </c>
      <c r="Y678">
        <v>0</v>
      </c>
      <c r="Z678">
        <v>0</v>
      </c>
      <c r="AB678">
        <v>0</v>
      </c>
      <c r="AC678">
        <v>9</v>
      </c>
      <c r="AD678">
        <v>3</v>
      </c>
      <c r="AE678">
        <v>0</v>
      </c>
      <c r="AF678">
        <v>9</v>
      </c>
      <c r="AG678" t="s">
        <v>158</v>
      </c>
      <c r="AH678">
        <v>0</v>
      </c>
      <c r="AI678">
        <v>3</v>
      </c>
      <c r="AJ678">
        <v>1</v>
      </c>
      <c r="AK678">
        <v>0</v>
      </c>
      <c r="AL678" t="s">
        <v>1426</v>
      </c>
      <c r="AM678">
        <v>46.896687</v>
      </c>
      <c r="AN678" t="s">
        <v>1427</v>
      </c>
      <c r="AO678">
        <v>-122.368748</v>
      </c>
      <c r="AP678">
        <v>100</v>
      </c>
      <c r="AQ678">
        <v>2000</v>
      </c>
      <c r="AR678" t="s">
        <v>118</v>
      </c>
      <c r="AS678">
        <v>-47</v>
      </c>
      <c r="AT678">
        <v>-67</v>
      </c>
      <c r="AU678">
        <v>0</v>
      </c>
      <c r="BC678">
        <v>1200</v>
      </c>
      <c r="BD678">
        <v>1</v>
      </c>
      <c r="BE678" t="str">
        <f t="shared" si="32"/>
        <v xml:space="preserve">N215T   </v>
      </c>
      <c r="BF678">
        <v>1</v>
      </c>
      <c r="BH678">
        <v>0</v>
      </c>
      <c r="BI678">
        <v>0</v>
      </c>
      <c r="BJ678">
        <v>0</v>
      </c>
      <c r="BK678">
        <v>2350</v>
      </c>
      <c r="BL678">
        <v>350</v>
      </c>
      <c r="BM678" t="s">
        <v>119</v>
      </c>
      <c r="BN678">
        <v>1</v>
      </c>
      <c r="BO678">
        <v>1</v>
      </c>
      <c r="BP678">
        <v>1</v>
      </c>
      <c r="BQ678">
        <v>0</v>
      </c>
      <c r="BT678">
        <v>0</v>
      </c>
      <c r="BU678">
        <v>0</v>
      </c>
      <c r="BV678">
        <v>0</v>
      </c>
      <c r="CC678" t="str">
        <f>"18:45:55.148"</f>
        <v>18:45:55.148</v>
      </c>
      <c r="CD678" t="str">
        <f>"147502013"</f>
        <v>147502013</v>
      </c>
      <c r="CQ678">
        <v>0</v>
      </c>
      <c r="CR678">
        <v>2</v>
      </c>
      <c r="CS678">
        <v>0</v>
      </c>
      <c r="CT678">
        <v>2</v>
      </c>
      <c r="CU678">
        <v>0</v>
      </c>
      <c r="CV678">
        <v>1</v>
      </c>
      <c r="CW678" t="s">
        <v>120</v>
      </c>
      <c r="CX678">
        <v>257</v>
      </c>
      <c r="CY678">
        <v>1</v>
      </c>
      <c r="CZ678" t="s">
        <v>615</v>
      </c>
      <c r="DA678" t="s">
        <v>616</v>
      </c>
      <c r="DD678">
        <v>10903871</v>
      </c>
      <c r="DE678" t="s">
        <v>123</v>
      </c>
    </row>
    <row r="679" spans="1:109" x14ac:dyDescent="0.3">
      <c r="A679" t="str">
        <f>"18:45:56.359"</f>
        <v>18:45:56.359</v>
      </c>
      <c r="B679" t="s">
        <v>110</v>
      </c>
      <c r="C679" t="str">
        <f t="shared" si="30"/>
        <v>ffdfd3c0</v>
      </c>
      <c r="D679" t="s">
        <v>111</v>
      </c>
      <c r="E679">
        <v>18</v>
      </c>
      <c r="F679">
        <v>1018</v>
      </c>
      <c r="G679" t="s">
        <v>112</v>
      </c>
      <c r="J679" t="s">
        <v>113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R679" t="s">
        <v>114</v>
      </c>
      <c r="S679" t="str">
        <f>"18:45:56.117"</f>
        <v>18:45:56.117</v>
      </c>
      <c r="T679" t="str">
        <f>"18:45:56.016"</f>
        <v>18:45:56.016</v>
      </c>
      <c r="U679" t="str">
        <f t="shared" si="31"/>
        <v>a1cdbe</v>
      </c>
      <c r="V679">
        <v>0</v>
      </c>
      <c r="W679">
        <v>0</v>
      </c>
      <c r="X679">
        <v>1</v>
      </c>
      <c r="Y679">
        <v>0</v>
      </c>
      <c r="Z679">
        <v>0</v>
      </c>
      <c r="AB679">
        <v>0</v>
      </c>
      <c r="AC679">
        <v>9</v>
      </c>
      <c r="AD679">
        <v>3</v>
      </c>
      <c r="AE679">
        <v>0</v>
      </c>
      <c r="AF679">
        <v>9</v>
      </c>
      <c r="AG679" t="s">
        <v>158</v>
      </c>
      <c r="AH679">
        <v>0</v>
      </c>
      <c r="AI679">
        <v>3</v>
      </c>
      <c r="AJ679">
        <v>1</v>
      </c>
      <c r="AK679">
        <v>0</v>
      </c>
      <c r="AL679" t="s">
        <v>1428</v>
      </c>
      <c r="AM679">
        <v>46.896386</v>
      </c>
      <c r="AN679" t="s">
        <v>1429</v>
      </c>
      <c r="AO679">
        <v>-122.369027</v>
      </c>
      <c r="AP679">
        <v>100</v>
      </c>
      <c r="AQ679">
        <v>2000</v>
      </c>
      <c r="AR679" t="s">
        <v>118</v>
      </c>
      <c r="AS679">
        <v>-48</v>
      </c>
      <c r="AT679">
        <v>-67</v>
      </c>
      <c r="AU679">
        <v>-128</v>
      </c>
      <c r="BC679">
        <v>1200</v>
      </c>
      <c r="BD679">
        <v>1</v>
      </c>
      <c r="BE679" t="str">
        <f t="shared" si="32"/>
        <v xml:space="preserve">N215T   </v>
      </c>
      <c r="BF679">
        <v>1</v>
      </c>
      <c r="BH679">
        <v>0</v>
      </c>
      <c r="BI679">
        <v>0</v>
      </c>
      <c r="BJ679">
        <v>0</v>
      </c>
      <c r="BK679">
        <v>2375</v>
      </c>
      <c r="BL679">
        <v>375</v>
      </c>
      <c r="BM679" t="s">
        <v>119</v>
      </c>
      <c r="BN679">
        <v>1</v>
      </c>
      <c r="BO679">
        <v>1</v>
      </c>
      <c r="BP679">
        <v>1</v>
      </c>
      <c r="BQ679">
        <v>0</v>
      </c>
      <c r="BT679">
        <v>0</v>
      </c>
      <c r="BU679">
        <v>0</v>
      </c>
      <c r="BV679">
        <v>0</v>
      </c>
      <c r="CC679" t="str">
        <f>"18:45:56.125"</f>
        <v>18:45:56.125</v>
      </c>
      <c r="CD679" t="str">
        <f>"122243194"</f>
        <v>122243194</v>
      </c>
      <c r="CQ679">
        <v>0</v>
      </c>
      <c r="CR679">
        <v>2</v>
      </c>
      <c r="CS679">
        <v>0</v>
      </c>
      <c r="CT679">
        <v>2</v>
      </c>
      <c r="CU679">
        <v>0</v>
      </c>
      <c r="CV679">
        <v>2</v>
      </c>
      <c r="CW679" t="s">
        <v>120</v>
      </c>
      <c r="CX679">
        <v>261</v>
      </c>
      <c r="CY679">
        <v>2</v>
      </c>
      <c r="CZ679" t="s">
        <v>121</v>
      </c>
      <c r="DA679" t="s">
        <v>122</v>
      </c>
      <c r="DD679">
        <v>14604839</v>
      </c>
      <c r="DE679" t="s">
        <v>123</v>
      </c>
    </row>
    <row r="680" spans="1:109" x14ac:dyDescent="0.3">
      <c r="A680" t="str">
        <f>"18:45:57.266"</f>
        <v>18:45:57.266</v>
      </c>
      <c r="B680" t="s">
        <v>110</v>
      </c>
      <c r="C680" t="str">
        <f t="shared" si="30"/>
        <v>ffdfd3c0</v>
      </c>
      <c r="D680" t="s">
        <v>111</v>
      </c>
      <c r="E680">
        <v>18</v>
      </c>
      <c r="F680">
        <v>1018</v>
      </c>
      <c r="G680" t="s">
        <v>112</v>
      </c>
      <c r="J680" t="s">
        <v>113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R680" t="s">
        <v>114</v>
      </c>
      <c r="S680" t="str">
        <f>"18:45:57.016"</f>
        <v>18:45:57.016</v>
      </c>
      <c r="T680" t="str">
        <f>"18:45:57.016"</f>
        <v>18:45:57.016</v>
      </c>
      <c r="U680" t="str">
        <f t="shared" si="31"/>
        <v>a1cdbe</v>
      </c>
      <c r="V680">
        <v>0</v>
      </c>
      <c r="W680">
        <v>0</v>
      </c>
      <c r="X680">
        <v>1</v>
      </c>
      <c r="Y680">
        <v>0</v>
      </c>
      <c r="Z680">
        <v>0</v>
      </c>
      <c r="AB680">
        <v>0</v>
      </c>
      <c r="AC680">
        <v>9</v>
      </c>
      <c r="AD680">
        <v>3</v>
      </c>
      <c r="AE680">
        <v>0</v>
      </c>
      <c r="AF680">
        <v>9</v>
      </c>
      <c r="AG680" t="s">
        <v>158</v>
      </c>
      <c r="AH680">
        <v>0</v>
      </c>
      <c r="AI680">
        <v>3</v>
      </c>
      <c r="AJ680">
        <v>1</v>
      </c>
      <c r="AK680">
        <v>0</v>
      </c>
      <c r="AL680" t="s">
        <v>1430</v>
      </c>
      <c r="AM680">
        <v>46.896129000000002</v>
      </c>
      <c r="AN680" t="s">
        <v>1431</v>
      </c>
      <c r="AO680">
        <v>-122.36930599999999</v>
      </c>
      <c r="AP680">
        <v>100</v>
      </c>
      <c r="AQ680">
        <v>2000</v>
      </c>
      <c r="AR680" t="s">
        <v>118</v>
      </c>
      <c r="AS680">
        <v>-48</v>
      </c>
      <c r="AT680">
        <v>-67</v>
      </c>
      <c r="AU680">
        <v>0</v>
      </c>
      <c r="BC680">
        <v>1200</v>
      </c>
      <c r="BD680">
        <v>1</v>
      </c>
      <c r="BE680" t="str">
        <f t="shared" si="32"/>
        <v xml:space="preserve">N215T   </v>
      </c>
      <c r="BF680">
        <v>1</v>
      </c>
      <c r="BH680">
        <v>0</v>
      </c>
      <c r="BI680">
        <v>0</v>
      </c>
      <c r="BJ680">
        <v>0</v>
      </c>
      <c r="BK680">
        <v>2350</v>
      </c>
      <c r="BL680">
        <v>350</v>
      </c>
      <c r="BM680" t="s">
        <v>119</v>
      </c>
      <c r="BN680">
        <v>1</v>
      </c>
      <c r="BO680">
        <v>1</v>
      </c>
      <c r="BP680">
        <v>1</v>
      </c>
      <c r="BQ680">
        <v>0</v>
      </c>
      <c r="BT680">
        <v>0</v>
      </c>
      <c r="BU680">
        <v>0</v>
      </c>
      <c r="BV680">
        <v>0</v>
      </c>
      <c r="CC680" t="str">
        <f>"18:45:57.023"</f>
        <v>18:45:57.023</v>
      </c>
      <c r="CD680" t="str">
        <f>"022154693"</f>
        <v>022154693</v>
      </c>
      <c r="CQ680">
        <v>0</v>
      </c>
      <c r="CR680">
        <v>2</v>
      </c>
      <c r="CS680">
        <v>0</v>
      </c>
      <c r="CT680">
        <v>2</v>
      </c>
      <c r="CU680">
        <v>0</v>
      </c>
      <c r="CV680">
        <v>1</v>
      </c>
      <c r="CW680" t="s">
        <v>120</v>
      </c>
      <c r="CX680">
        <v>261</v>
      </c>
      <c r="CY680">
        <v>2</v>
      </c>
      <c r="CZ680" t="s">
        <v>121</v>
      </c>
      <c r="DA680" t="s">
        <v>122</v>
      </c>
      <c r="DD680">
        <v>14605300</v>
      </c>
      <c r="DE680" t="s">
        <v>123</v>
      </c>
    </row>
    <row r="681" spans="1:109" x14ac:dyDescent="0.3">
      <c r="A681" t="str">
        <f>"18:45:58.367"</f>
        <v>18:45:58.367</v>
      </c>
      <c r="B681" t="s">
        <v>110</v>
      </c>
      <c r="C681" t="str">
        <f t="shared" si="30"/>
        <v>ffdfd3c0</v>
      </c>
      <c r="D681" t="s">
        <v>111</v>
      </c>
      <c r="E681">
        <v>18</v>
      </c>
      <c r="F681">
        <v>1018</v>
      </c>
      <c r="G681" t="s">
        <v>112</v>
      </c>
      <c r="J681" t="s">
        <v>113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R681" t="s">
        <v>114</v>
      </c>
      <c r="S681" t="str">
        <f>"18:45:58.141"</f>
        <v>18:45:58.141</v>
      </c>
      <c r="T681" t="str">
        <f>"18:45:58.141"</f>
        <v>18:45:58.141</v>
      </c>
      <c r="U681" t="str">
        <f t="shared" si="31"/>
        <v>a1cdbe</v>
      </c>
      <c r="V681">
        <v>0</v>
      </c>
      <c r="W681">
        <v>0</v>
      </c>
      <c r="X681">
        <v>1</v>
      </c>
      <c r="Y681">
        <v>0</v>
      </c>
      <c r="Z681">
        <v>0</v>
      </c>
      <c r="AB681">
        <v>0</v>
      </c>
      <c r="AC681">
        <v>9</v>
      </c>
      <c r="AD681">
        <v>3</v>
      </c>
      <c r="AE681">
        <v>0</v>
      </c>
      <c r="AF681">
        <v>9</v>
      </c>
      <c r="AG681" t="s">
        <v>158</v>
      </c>
      <c r="AH681">
        <v>0</v>
      </c>
      <c r="AI681">
        <v>3</v>
      </c>
      <c r="AJ681">
        <v>1</v>
      </c>
      <c r="AK681">
        <v>0</v>
      </c>
      <c r="AL681" t="s">
        <v>1432</v>
      </c>
      <c r="AM681">
        <v>46.895741999999998</v>
      </c>
      <c r="AN681" t="s">
        <v>1433</v>
      </c>
      <c r="AO681">
        <v>-122.36973500000001</v>
      </c>
      <c r="AP681">
        <v>100</v>
      </c>
      <c r="AQ681">
        <v>2000</v>
      </c>
      <c r="AR681" t="s">
        <v>118</v>
      </c>
      <c r="AS681">
        <v>-48</v>
      </c>
      <c r="AT681">
        <v>-67</v>
      </c>
      <c r="AU681">
        <v>0</v>
      </c>
      <c r="BC681">
        <v>1200</v>
      </c>
      <c r="BD681">
        <v>1</v>
      </c>
      <c r="BE681" t="str">
        <f t="shared" si="32"/>
        <v xml:space="preserve">N215T   </v>
      </c>
      <c r="BF681">
        <v>1</v>
      </c>
      <c r="BH681">
        <v>0</v>
      </c>
      <c r="BI681">
        <v>0</v>
      </c>
      <c r="BJ681">
        <v>0</v>
      </c>
      <c r="BK681">
        <v>2375</v>
      </c>
      <c r="BL681">
        <v>375</v>
      </c>
      <c r="BM681" t="s">
        <v>119</v>
      </c>
      <c r="BN681">
        <v>1</v>
      </c>
      <c r="BO681">
        <v>1</v>
      </c>
      <c r="BP681">
        <v>1</v>
      </c>
      <c r="BQ681">
        <v>0</v>
      </c>
      <c r="BT681">
        <v>0</v>
      </c>
      <c r="BU681">
        <v>0</v>
      </c>
      <c r="BV681">
        <v>0</v>
      </c>
      <c r="CC681" t="str">
        <f>"18:45:58.148"</f>
        <v>18:45:58.148</v>
      </c>
      <c r="CD681" t="str">
        <f>"147005214"</f>
        <v>147005214</v>
      </c>
      <c r="CQ681">
        <v>0</v>
      </c>
      <c r="CR681">
        <v>2</v>
      </c>
      <c r="CS681">
        <v>0</v>
      </c>
      <c r="CT681">
        <v>2</v>
      </c>
      <c r="CU681">
        <v>0</v>
      </c>
      <c r="CV681">
        <v>3</v>
      </c>
      <c r="CW681" t="s">
        <v>172</v>
      </c>
      <c r="CX681">
        <v>326</v>
      </c>
      <c r="CY681">
        <v>0</v>
      </c>
      <c r="CZ681" t="s">
        <v>173</v>
      </c>
      <c r="DA681" t="s">
        <v>174</v>
      </c>
      <c r="DD681">
        <v>5955845</v>
      </c>
      <c r="DE681" t="s">
        <v>123</v>
      </c>
    </row>
    <row r="682" spans="1:109" x14ac:dyDescent="0.3">
      <c r="A682" t="str">
        <f>"18:45:59.875"</f>
        <v>18:45:59.875</v>
      </c>
      <c r="B682" t="s">
        <v>110</v>
      </c>
      <c r="C682" t="str">
        <f t="shared" si="30"/>
        <v>ffdfd3c0</v>
      </c>
      <c r="D682" t="s">
        <v>111</v>
      </c>
      <c r="E682">
        <v>18</v>
      </c>
      <c r="F682">
        <v>1018</v>
      </c>
      <c r="G682" t="s">
        <v>112</v>
      </c>
      <c r="J682" t="s">
        <v>113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R682" t="s">
        <v>114</v>
      </c>
      <c r="S682" t="str">
        <f>"18:45:59.641"</f>
        <v>18:45:59.641</v>
      </c>
      <c r="T682" t="str">
        <f>"18:45:59.141"</f>
        <v>18:45:59.141</v>
      </c>
      <c r="U682" t="str">
        <f t="shared" si="31"/>
        <v>a1cdbe</v>
      </c>
      <c r="V682">
        <v>0</v>
      </c>
      <c r="W682">
        <v>0</v>
      </c>
      <c r="X682">
        <v>1</v>
      </c>
      <c r="Y682">
        <v>0</v>
      </c>
      <c r="Z682">
        <v>0</v>
      </c>
      <c r="AB682">
        <v>0</v>
      </c>
      <c r="AC682">
        <v>9</v>
      </c>
      <c r="AD682">
        <v>3</v>
      </c>
      <c r="AE682">
        <v>0</v>
      </c>
      <c r="AF682">
        <v>9</v>
      </c>
      <c r="AG682" t="s">
        <v>158</v>
      </c>
      <c r="AH682">
        <v>0</v>
      </c>
      <c r="AI682">
        <v>3</v>
      </c>
      <c r="AJ682">
        <v>1</v>
      </c>
      <c r="AK682">
        <v>0</v>
      </c>
      <c r="AL682" t="s">
        <v>1434</v>
      </c>
      <c r="AM682">
        <v>46.895335000000003</v>
      </c>
      <c r="AN682" t="s">
        <v>1435</v>
      </c>
      <c r="AO682">
        <v>-122.370186</v>
      </c>
      <c r="AP682">
        <v>100</v>
      </c>
      <c r="AQ682">
        <v>2000</v>
      </c>
      <c r="AR682" t="s">
        <v>118</v>
      </c>
      <c r="AS682">
        <v>-48</v>
      </c>
      <c r="AT682">
        <v>-67</v>
      </c>
      <c r="AU682">
        <v>0</v>
      </c>
      <c r="BC682">
        <v>1200</v>
      </c>
      <c r="BD682">
        <v>1</v>
      </c>
      <c r="BE682" t="str">
        <f t="shared" si="32"/>
        <v xml:space="preserve">N215T   </v>
      </c>
      <c r="BF682">
        <v>1</v>
      </c>
      <c r="BH682">
        <v>0</v>
      </c>
      <c r="BI682">
        <v>0</v>
      </c>
      <c r="BJ682">
        <v>0</v>
      </c>
      <c r="BK682">
        <v>2375</v>
      </c>
      <c r="BL682">
        <v>375</v>
      </c>
      <c r="BM682" t="s">
        <v>119</v>
      </c>
      <c r="BN682">
        <v>1</v>
      </c>
      <c r="BO682">
        <v>1</v>
      </c>
      <c r="BP682">
        <v>1</v>
      </c>
      <c r="BQ682">
        <v>0</v>
      </c>
      <c r="BT682">
        <v>0</v>
      </c>
      <c r="BU682">
        <v>0</v>
      </c>
      <c r="BV682">
        <v>0</v>
      </c>
      <c r="CC682" t="str">
        <f>"18:45:59.648"</f>
        <v>18:45:59.648</v>
      </c>
      <c r="CD682" t="str">
        <f>"646857648"</f>
        <v>646857648</v>
      </c>
      <c r="CQ682">
        <v>0</v>
      </c>
      <c r="CR682">
        <v>2</v>
      </c>
      <c r="CS682">
        <v>0</v>
      </c>
      <c r="CT682">
        <v>2</v>
      </c>
      <c r="CU682">
        <v>0</v>
      </c>
      <c r="CV682">
        <v>1</v>
      </c>
      <c r="CW682" t="s">
        <v>172</v>
      </c>
      <c r="CX682">
        <v>326</v>
      </c>
      <c r="CY682">
        <v>0</v>
      </c>
      <c r="CZ682" t="s">
        <v>173</v>
      </c>
      <c r="DA682" t="s">
        <v>174</v>
      </c>
      <c r="DD682">
        <v>5956600</v>
      </c>
      <c r="DE682" t="s">
        <v>123</v>
      </c>
    </row>
    <row r="683" spans="1:109" x14ac:dyDescent="0.3">
      <c r="A683" t="str">
        <f>"18:46:00.883"</f>
        <v>18:46:00.883</v>
      </c>
      <c r="B683" t="s">
        <v>110</v>
      </c>
      <c r="C683" t="str">
        <f t="shared" si="30"/>
        <v>ffdfd3c0</v>
      </c>
      <c r="D683" t="s">
        <v>111</v>
      </c>
      <c r="E683">
        <v>18</v>
      </c>
      <c r="F683">
        <v>1018</v>
      </c>
      <c r="G683" t="s">
        <v>112</v>
      </c>
      <c r="J683" t="s">
        <v>113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R683" t="s">
        <v>114</v>
      </c>
      <c r="S683" t="str">
        <f>"18:46:00.648"</f>
        <v>18:46:00.648</v>
      </c>
      <c r="T683" t="str">
        <f>"18:46:00.547"</f>
        <v>18:46:00.547</v>
      </c>
      <c r="U683" t="str">
        <f t="shared" si="31"/>
        <v>a1cdbe</v>
      </c>
      <c r="V683">
        <v>0</v>
      </c>
      <c r="W683">
        <v>0</v>
      </c>
      <c r="X683">
        <v>1</v>
      </c>
      <c r="Y683">
        <v>0</v>
      </c>
      <c r="Z683">
        <v>0</v>
      </c>
      <c r="AB683">
        <v>0</v>
      </c>
      <c r="AC683">
        <v>9</v>
      </c>
      <c r="AD683">
        <v>3</v>
      </c>
      <c r="AE683">
        <v>0</v>
      </c>
      <c r="AF683">
        <v>9</v>
      </c>
      <c r="AG683" t="s">
        <v>158</v>
      </c>
      <c r="AH683">
        <v>0</v>
      </c>
      <c r="AI683">
        <v>3</v>
      </c>
      <c r="AJ683">
        <v>1</v>
      </c>
      <c r="AK683">
        <v>0</v>
      </c>
      <c r="AL683" t="s">
        <v>1436</v>
      </c>
      <c r="AM683">
        <v>46.894990999999997</v>
      </c>
      <c r="AN683" t="s">
        <v>1437</v>
      </c>
      <c r="AO683">
        <v>-122.370508</v>
      </c>
      <c r="AP683">
        <v>100</v>
      </c>
      <c r="AQ683">
        <v>2000</v>
      </c>
      <c r="AR683" t="s">
        <v>118</v>
      </c>
      <c r="AS683">
        <v>-48</v>
      </c>
      <c r="AT683">
        <v>-67</v>
      </c>
      <c r="AU683">
        <v>-64</v>
      </c>
      <c r="BC683">
        <v>1200</v>
      </c>
      <c r="BD683">
        <v>1</v>
      </c>
      <c r="BE683" t="str">
        <f t="shared" si="32"/>
        <v xml:space="preserve">N215T   </v>
      </c>
      <c r="BF683">
        <v>1</v>
      </c>
      <c r="BH683">
        <v>0</v>
      </c>
      <c r="BI683">
        <v>0</v>
      </c>
      <c r="BJ683">
        <v>0</v>
      </c>
      <c r="BK683">
        <v>2350</v>
      </c>
      <c r="BL683">
        <v>350</v>
      </c>
      <c r="BM683" t="s">
        <v>119</v>
      </c>
      <c r="BN683">
        <v>1</v>
      </c>
      <c r="BO683">
        <v>1</v>
      </c>
      <c r="BP683">
        <v>1</v>
      </c>
      <c r="BQ683">
        <v>0</v>
      </c>
      <c r="BT683">
        <v>0</v>
      </c>
      <c r="BU683">
        <v>0</v>
      </c>
      <c r="BV683">
        <v>0</v>
      </c>
      <c r="CC683" t="str">
        <f>"18:46:00.648"</f>
        <v>18:46:00.648</v>
      </c>
      <c r="CD683" t="str">
        <f>"651959443"</f>
        <v>651959443</v>
      </c>
      <c r="CQ683">
        <v>0</v>
      </c>
      <c r="CR683">
        <v>2</v>
      </c>
      <c r="CS683">
        <v>0</v>
      </c>
      <c r="CT683">
        <v>2</v>
      </c>
      <c r="CU683">
        <v>0</v>
      </c>
      <c r="CV683">
        <v>2</v>
      </c>
      <c r="CW683" t="s">
        <v>120</v>
      </c>
      <c r="CX683">
        <v>257</v>
      </c>
      <c r="CY683">
        <v>1</v>
      </c>
      <c r="CZ683" t="s">
        <v>615</v>
      </c>
      <c r="DA683" t="s">
        <v>616</v>
      </c>
      <c r="DD683">
        <v>10907455</v>
      </c>
      <c r="DE683" t="s">
        <v>123</v>
      </c>
    </row>
    <row r="684" spans="1:109" x14ac:dyDescent="0.3">
      <c r="A684" t="str">
        <f>"18:46:01.789"</f>
        <v>18:46:01.789</v>
      </c>
      <c r="B684" t="s">
        <v>110</v>
      </c>
      <c r="C684" t="str">
        <f t="shared" si="30"/>
        <v>ffdfd3c0</v>
      </c>
      <c r="D684" t="s">
        <v>111</v>
      </c>
      <c r="E684">
        <v>18</v>
      </c>
      <c r="F684">
        <v>1018</v>
      </c>
      <c r="G684" t="s">
        <v>112</v>
      </c>
      <c r="J684" t="s">
        <v>113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R684" t="s">
        <v>114</v>
      </c>
      <c r="S684" t="str">
        <f>"18:46:01.578"</f>
        <v>18:46:01.578</v>
      </c>
      <c r="T684" t="str">
        <f>"18:46:01.578"</f>
        <v>18:46:01.578</v>
      </c>
      <c r="U684" t="str">
        <f t="shared" si="31"/>
        <v>a1cdbe</v>
      </c>
      <c r="V684">
        <v>0</v>
      </c>
      <c r="W684">
        <v>0</v>
      </c>
      <c r="X684">
        <v>1</v>
      </c>
      <c r="Y684">
        <v>0</v>
      </c>
      <c r="Z684">
        <v>0</v>
      </c>
      <c r="AB684">
        <v>0</v>
      </c>
      <c r="AC684">
        <v>9</v>
      </c>
      <c r="AD684">
        <v>3</v>
      </c>
      <c r="AE684">
        <v>0</v>
      </c>
      <c r="AF684">
        <v>9</v>
      </c>
      <c r="AG684" t="s">
        <v>158</v>
      </c>
      <c r="AH684">
        <v>0</v>
      </c>
      <c r="AI684">
        <v>3</v>
      </c>
      <c r="AJ684">
        <v>1</v>
      </c>
      <c r="AK684">
        <v>0</v>
      </c>
      <c r="AL684" t="s">
        <v>1438</v>
      </c>
      <c r="AM684">
        <v>46.894691000000002</v>
      </c>
      <c r="AN684" t="s">
        <v>1439</v>
      </c>
      <c r="AO684">
        <v>-122.370808</v>
      </c>
      <c r="AP684">
        <v>100</v>
      </c>
      <c r="AQ684">
        <v>2000</v>
      </c>
      <c r="AR684" t="s">
        <v>118</v>
      </c>
      <c r="AS684">
        <v>-48</v>
      </c>
      <c r="AT684">
        <v>-67</v>
      </c>
      <c r="AU684">
        <v>-64</v>
      </c>
      <c r="BC684">
        <v>1200</v>
      </c>
      <c r="BD684">
        <v>1</v>
      </c>
      <c r="BE684" t="str">
        <f t="shared" si="32"/>
        <v xml:space="preserve">N215T   </v>
      </c>
      <c r="BF684">
        <v>1</v>
      </c>
      <c r="BH684">
        <v>0</v>
      </c>
      <c r="BI684">
        <v>0</v>
      </c>
      <c r="BJ684">
        <v>0</v>
      </c>
      <c r="BK684">
        <v>2350</v>
      </c>
      <c r="BL684">
        <v>350</v>
      </c>
      <c r="BM684" t="s">
        <v>119</v>
      </c>
      <c r="BN684">
        <v>1</v>
      </c>
      <c r="BO684">
        <v>1</v>
      </c>
      <c r="BP684">
        <v>1</v>
      </c>
      <c r="BQ684">
        <v>0</v>
      </c>
      <c r="BT684">
        <v>0</v>
      </c>
      <c r="BU684">
        <v>0</v>
      </c>
      <c r="BV684">
        <v>0</v>
      </c>
      <c r="CC684" t="str">
        <f>"18:46:01.578"</f>
        <v>18:46:01.578</v>
      </c>
      <c r="CD684" t="str">
        <f>"581667344"</f>
        <v>581667344</v>
      </c>
      <c r="CQ684">
        <v>0</v>
      </c>
      <c r="CR684">
        <v>2</v>
      </c>
      <c r="CS684">
        <v>0</v>
      </c>
      <c r="CT684">
        <v>2</v>
      </c>
      <c r="CU684">
        <v>0</v>
      </c>
      <c r="CV684">
        <v>2</v>
      </c>
      <c r="CW684" t="s">
        <v>172</v>
      </c>
      <c r="CX684">
        <v>326</v>
      </c>
      <c r="CY684">
        <v>0</v>
      </c>
      <c r="CZ684" t="s">
        <v>173</v>
      </c>
      <c r="DA684" t="s">
        <v>174</v>
      </c>
      <c r="DD684">
        <v>5957666</v>
      </c>
      <c r="DE684" t="s">
        <v>123</v>
      </c>
    </row>
    <row r="685" spans="1:109" x14ac:dyDescent="0.3">
      <c r="A685" t="str">
        <f>"18:46:02.742"</f>
        <v>18:46:02.742</v>
      </c>
      <c r="B685" t="s">
        <v>110</v>
      </c>
      <c r="C685" t="str">
        <f t="shared" si="30"/>
        <v>ffdfd3c0</v>
      </c>
      <c r="D685" t="s">
        <v>111</v>
      </c>
      <c r="E685">
        <v>18</v>
      </c>
      <c r="F685">
        <v>1018</v>
      </c>
      <c r="G685" t="s">
        <v>112</v>
      </c>
      <c r="J685" t="s">
        <v>113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R685" t="s">
        <v>114</v>
      </c>
      <c r="S685" t="str">
        <f>"18:46:02.523"</f>
        <v>18:46:02.523</v>
      </c>
      <c r="T685" t="str">
        <f>"18:46:02.023"</f>
        <v>18:46:02.023</v>
      </c>
      <c r="U685" t="str">
        <f t="shared" si="31"/>
        <v>a1cdbe</v>
      </c>
      <c r="V685">
        <v>0</v>
      </c>
      <c r="W685">
        <v>0</v>
      </c>
      <c r="X685">
        <v>1</v>
      </c>
      <c r="Y685">
        <v>0</v>
      </c>
      <c r="Z685">
        <v>0</v>
      </c>
      <c r="AB685">
        <v>0</v>
      </c>
      <c r="AC685">
        <v>9</v>
      </c>
      <c r="AD685">
        <v>3</v>
      </c>
      <c r="AE685">
        <v>0</v>
      </c>
      <c r="AF685">
        <v>9</v>
      </c>
      <c r="AG685" t="s">
        <v>158</v>
      </c>
      <c r="AH685">
        <v>0</v>
      </c>
      <c r="AI685">
        <v>3</v>
      </c>
      <c r="AJ685">
        <v>1</v>
      </c>
      <c r="AK685">
        <v>0</v>
      </c>
      <c r="AL685" t="s">
        <v>1440</v>
      </c>
      <c r="AM685">
        <v>46.894412000000003</v>
      </c>
      <c r="AN685" t="s">
        <v>1441</v>
      </c>
      <c r="AO685">
        <v>-122.371151</v>
      </c>
      <c r="AP685">
        <v>100</v>
      </c>
      <c r="AQ685">
        <v>2000</v>
      </c>
      <c r="AR685" t="s">
        <v>118</v>
      </c>
      <c r="AS685">
        <v>-47</v>
      </c>
      <c r="AT685">
        <v>-67</v>
      </c>
      <c r="AU685">
        <v>-64</v>
      </c>
      <c r="BC685">
        <v>1200</v>
      </c>
      <c r="BD685">
        <v>1</v>
      </c>
      <c r="BE685" t="str">
        <f t="shared" si="32"/>
        <v xml:space="preserve">N215T   </v>
      </c>
      <c r="BF685">
        <v>1</v>
      </c>
      <c r="BH685">
        <v>0</v>
      </c>
      <c r="BI685">
        <v>0</v>
      </c>
      <c r="BJ685">
        <v>0</v>
      </c>
      <c r="BK685">
        <v>2350</v>
      </c>
      <c r="BL685">
        <v>350</v>
      </c>
      <c r="BM685" t="s">
        <v>119</v>
      </c>
      <c r="BN685">
        <v>1</v>
      </c>
      <c r="BO685">
        <v>1</v>
      </c>
      <c r="BP685">
        <v>1</v>
      </c>
      <c r="BQ685">
        <v>0</v>
      </c>
      <c r="BT685">
        <v>0</v>
      </c>
      <c r="BU685">
        <v>0</v>
      </c>
      <c r="BV685">
        <v>0</v>
      </c>
      <c r="CC685" t="str">
        <f>"18:46:02.523"</f>
        <v>18:46:02.523</v>
      </c>
      <c r="CD685" t="str">
        <f>"526574452"</f>
        <v>526574452</v>
      </c>
      <c r="CQ685">
        <v>0</v>
      </c>
      <c r="CR685">
        <v>2</v>
      </c>
      <c r="CS685">
        <v>0</v>
      </c>
      <c r="CT685">
        <v>2</v>
      </c>
      <c r="CU685">
        <v>0</v>
      </c>
      <c r="CV685">
        <v>3</v>
      </c>
      <c r="CW685" t="s">
        <v>172</v>
      </c>
      <c r="CX685">
        <v>326</v>
      </c>
      <c r="CY685">
        <v>0</v>
      </c>
      <c r="CZ685" t="s">
        <v>173</v>
      </c>
      <c r="DA685" t="s">
        <v>174</v>
      </c>
      <c r="DD685">
        <v>5958198</v>
      </c>
      <c r="DE685" t="s">
        <v>123</v>
      </c>
    </row>
    <row r="686" spans="1:109" x14ac:dyDescent="0.3">
      <c r="A686" t="str">
        <f>"18:46:03.797"</f>
        <v>18:46:03.797</v>
      </c>
      <c r="B686" t="s">
        <v>110</v>
      </c>
      <c r="C686" t="str">
        <f t="shared" si="30"/>
        <v>ffdfd3c0</v>
      </c>
      <c r="D686" t="s">
        <v>111</v>
      </c>
      <c r="E686">
        <v>18</v>
      </c>
      <c r="F686">
        <v>1018</v>
      </c>
      <c r="G686" t="s">
        <v>112</v>
      </c>
      <c r="J686" t="s">
        <v>113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R686" t="s">
        <v>114</v>
      </c>
      <c r="S686" t="str">
        <f>"18:46:03.555"</f>
        <v>18:46:03.555</v>
      </c>
      <c r="T686" t="str">
        <f>"18:46:03.555"</f>
        <v>18:46:03.555</v>
      </c>
      <c r="U686" t="str">
        <f t="shared" si="31"/>
        <v>a1cdbe</v>
      </c>
      <c r="V686">
        <v>0</v>
      </c>
      <c r="W686">
        <v>0</v>
      </c>
      <c r="X686">
        <v>1</v>
      </c>
      <c r="Y686">
        <v>0</v>
      </c>
      <c r="Z686">
        <v>0</v>
      </c>
      <c r="AB686">
        <v>0</v>
      </c>
      <c r="AC686">
        <v>9</v>
      </c>
      <c r="AD686">
        <v>3</v>
      </c>
      <c r="AE686">
        <v>0</v>
      </c>
      <c r="AF686">
        <v>9</v>
      </c>
      <c r="AG686" t="s">
        <v>158</v>
      </c>
      <c r="AH686">
        <v>0</v>
      </c>
      <c r="AI686">
        <v>3</v>
      </c>
      <c r="AJ686">
        <v>1</v>
      </c>
      <c r="AK686">
        <v>0</v>
      </c>
      <c r="AL686" t="s">
        <v>1442</v>
      </c>
      <c r="AM686">
        <v>46.894089999999998</v>
      </c>
      <c r="AN686" t="s">
        <v>1443</v>
      </c>
      <c r="AO686">
        <v>-122.37143</v>
      </c>
      <c r="AP686">
        <v>100</v>
      </c>
      <c r="AQ686">
        <v>2000</v>
      </c>
      <c r="AR686" t="s">
        <v>118</v>
      </c>
      <c r="AS686">
        <v>-46</v>
      </c>
      <c r="AT686">
        <v>-68</v>
      </c>
      <c r="AU686">
        <v>-128</v>
      </c>
      <c r="BC686">
        <v>1200</v>
      </c>
      <c r="BD686">
        <v>1</v>
      </c>
      <c r="BE686" t="str">
        <f t="shared" si="32"/>
        <v xml:space="preserve">N215T   </v>
      </c>
      <c r="BF686">
        <v>1</v>
      </c>
      <c r="BH686">
        <v>0</v>
      </c>
      <c r="BI686">
        <v>0</v>
      </c>
      <c r="BJ686">
        <v>0</v>
      </c>
      <c r="BK686">
        <v>2350</v>
      </c>
      <c r="BL686">
        <v>350</v>
      </c>
      <c r="BM686" t="s">
        <v>119</v>
      </c>
      <c r="BN686">
        <v>1</v>
      </c>
      <c r="BO686">
        <v>1</v>
      </c>
      <c r="BP686">
        <v>1</v>
      </c>
      <c r="BQ686">
        <v>0</v>
      </c>
      <c r="BT686">
        <v>0</v>
      </c>
      <c r="BU686">
        <v>0</v>
      </c>
      <c r="BV686">
        <v>0</v>
      </c>
      <c r="CC686" t="str">
        <f>"18:46:03.563"</f>
        <v>18:46:03.563</v>
      </c>
      <c r="CD686" t="str">
        <f>"561472594"</f>
        <v>561472594</v>
      </c>
      <c r="CQ686">
        <v>0</v>
      </c>
      <c r="CR686">
        <v>2</v>
      </c>
      <c r="CS686">
        <v>0</v>
      </c>
      <c r="CT686">
        <v>2</v>
      </c>
      <c r="CU686">
        <v>0</v>
      </c>
      <c r="CV686">
        <v>2</v>
      </c>
      <c r="CW686" t="s">
        <v>172</v>
      </c>
      <c r="CX686">
        <v>326</v>
      </c>
      <c r="CY686">
        <v>0</v>
      </c>
      <c r="CZ686" t="s">
        <v>173</v>
      </c>
      <c r="DA686" t="s">
        <v>174</v>
      </c>
      <c r="DD686">
        <v>5958732</v>
      </c>
      <c r="DE686" t="s">
        <v>123</v>
      </c>
    </row>
    <row r="687" spans="1:109" x14ac:dyDescent="0.3">
      <c r="A687" t="str">
        <f>"18:46:04.656"</f>
        <v>18:46:04.656</v>
      </c>
      <c r="B687" t="s">
        <v>110</v>
      </c>
      <c r="C687" t="str">
        <f t="shared" si="30"/>
        <v>ffdfd3c0</v>
      </c>
      <c r="D687" t="s">
        <v>111</v>
      </c>
      <c r="E687">
        <v>18</v>
      </c>
      <c r="F687">
        <v>1018</v>
      </c>
      <c r="G687" t="s">
        <v>112</v>
      </c>
      <c r="J687" t="s">
        <v>113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R687" t="s">
        <v>114</v>
      </c>
      <c r="S687" t="str">
        <f>"18:46:04.430"</f>
        <v>18:46:04.430</v>
      </c>
      <c r="T687" t="str">
        <f>"18:46:04.133"</f>
        <v>18:46:04.133</v>
      </c>
      <c r="U687" t="str">
        <f t="shared" si="31"/>
        <v>a1cdbe</v>
      </c>
      <c r="V687">
        <v>0</v>
      </c>
      <c r="W687">
        <v>0</v>
      </c>
      <c r="X687">
        <v>1</v>
      </c>
      <c r="Y687">
        <v>0</v>
      </c>
      <c r="Z687">
        <v>0</v>
      </c>
      <c r="AB687">
        <v>0</v>
      </c>
      <c r="AC687">
        <v>9</v>
      </c>
      <c r="AD687">
        <v>3</v>
      </c>
      <c r="AE687">
        <v>0</v>
      </c>
      <c r="AF687">
        <v>9</v>
      </c>
      <c r="AG687" t="s">
        <v>158</v>
      </c>
      <c r="AH687">
        <v>0</v>
      </c>
      <c r="AI687">
        <v>3</v>
      </c>
      <c r="AJ687">
        <v>1</v>
      </c>
      <c r="AK687">
        <v>0</v>
      </c>
      <c r="AL687" t="s">
        <v>1444</v>
      </c>
      <c r="AM687">
        <v>46.893810999999999</v>
      </c>
      <c r="AN687" t="s">
        <v>1445</v>
      </c>
      <c r="AO687">
        <v>-122.37168800000001</v>
      </c>
      <c r="AP687">
        <v>100</v>
      </c>
      <c r="AQ687">
        <v>2000</v>
      </c>
      <c r="AR687" t="s">
        <v>118</v>
      </c>
      <c r="AS687">
        <v>-45</v>
      </c>
      <c r="AT687">
        <v>-69</v>
      </c>
      <c r="AU687">
        <v>-192</v>
      </c>
      <c r="BC687">
        <v>1200</v>
      </c>
      <c r="BD687">
        <v>1</v>
      </c>
      <c r="BE687" t="str">
        <f t="shared" si="32"/>
        <v xml:space="preserve">N215T   </v>
      </c>
      <c r="BF687">
        <v>1</v>
      </c>
      <c r="BH687">
        <v>0</v>
      </c>
      <c r="BI687">
        <v>0</v>
      </c>
      <c r="BJ687">
        <v>0</v>
      </c>
      <c r="BK687">
        <v>2350</v>
      </c>
      <c r="BL687">
        <v>350</v>
      </c>
      <c r="BM687" t="s">
        <v>119</v>
      </c>
      <c r="BN687">
        <v>1</v>
      </c>
      <c r="BO687">
        <v>1</v>
      </c>
      <c r="BP687">
        <v>1</v>
      </c>
      <c r="BQ687">
        <v>0</v>
      </c>
      <c r="BT687">
        <v>0</v>
      </c>
      <c r="BU687">
        <v>0</v>
      </c>
      <c r="BV687">
        <v>0</v>
      </c>
      <c r="CC687" t="str">
        <f>"18:46:04.430"</f>
        <v>18:46:04.430</v>
      </c>
      <c r="CD687" t="str">
        <f>"431425784"</f>
        <v>431425784</v>
      </c>
      <c r="CQ687">
        <v>0</v>
      </c>
      <c r="CR687">
        <v>2</v>
      </c>
      <c r="CS687">
        <v>0</v>
      </c>
      <c r="CT687">
        <v>2</v>
      </c>
      <c r="CU687">
        <v>0</v>
      </c>
      <c r="CV687">
        <v>4</v>
      </c>
      <c r="CW687" t="s">
        <v>120</v>
      </c>
      <c r="CX687">
        <v>261</v>
      </c>
      <c r="CY687">
        <v>2</v>
      </c>
      <c r="CZ687" t="s">
        <v>121</v>
      </c>
      <c r="DA687" t="s">
        <v>122</v>
      </c>
      <c r="DD687">
        <v>14609085</v>
      </c>
      <c r="DE687" t="s">
        <v>123</v>
      </c>
    </row>
    <row r="688" spans="1:109" x14ac:dyDescent="0.3">
      <c r="A688" t="str">
        <f>"18:46:05.758"</f>
        <v>18:46:05.758</v>
      </c>
      <c r="B688" t="s">
        <v>110</v>
      </c>
      <c r="C688" t="str">
        <f t="shared" si="30"/>
        <v>ffdfd3c0</v>
      </c>
      <c r="D688" t="s">
        <v>111</v>
      </c>
      <c r="E688">
        <v>18</v>
      </c>
      <c r="F688">
        <v>1018</v>
      </c>
      <c r="G688" t="s">
        <v>112</v>
      </c>
      <c r="J688" t="s">
        <v>113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R688" t="s">
        <v>114</v>
      </c>
      <c r="S688" t="str">
        <f>"18:46:05.539"</f>
        <v>18:46:05.539</v>
      </c>
      <c r="T688" t="str">
        <f>"18:46:05.039"</f>
        <v>18:46:05.039</v>
      </c>
      <c r="U688" t="str">
        <f t="shared" si="31"/>
        <v>a1cdbe</v>
      </c>
      <c r="V688">
        <v>0</v>
      </c>
      <c r="W688">
        <v>0</v>
      </c>
      <c r="X688">
        <v>1</v>
      </c>
      <c r="Y688">
        <v>0</v>
      </c>
      <c r="Z688">
        <v>0</v>
      </c>
      <c r="AB688">
        <v>0</v>
      </c>
      <c r="AC688">
        <v>9</v>
      </c>
      <c r="AD688">
        <v>3</v>
      </c>
      <c r="AE688">
        <v>0</v>
      </c>
      <c r="AF688">
        <v>9</v>
      </c>
      <c r="AG688" t="s">
        <v>158</v>
      </c>
      <c r="AH688">
        <v>0</v>
      </c>
      <c r="AI688">
        <v>3</v>
      </c>
      <c r="AJ688">
        <v>1</v>
      </c>
      <c r="AK688">
        <v>0</v>
      </c>
      <c r="AL688" t="s">
        <v>1446</v>
      </c>
      <c r="AM688">
        <v>46.893467999999999</v>
      </c>
      <c r="AN688" t="s">
        <v>1447</v>
      </c>
      <c r="AO688">
        <v>-122.37205299999999</v>
      </c>
      <c r="AP688">
        <v>100</v>
      </c>
      <c r="AQ688">
        <v>2000</v>
      </c>
      <c r="AR688" t="s">
        <v>118</v>
      </c>
      <c r="AS688">
        <v>-44</v>
      </c>
      <c r="AT688">
        <v>-69</v>
      </c>
      <c r="AU688">
        <v>-192</v>
      </c>
      <c r="BC688">
        <v>1200</v>
      </c>
      <c r="BD688">
        <v>1</v>
      </c>
      <c r="BE688" t="str">
        <f t="shared" si="32"/>
        <v xml:space="preserve">N215T   </v>
      </c>
      <c r="BF688">
        <v>1</v>
      </c>
      <c r="BH688">
        <v>0</v>
      </c>
      <c r="BI688">
        <v>0</v>
      </c>
      <c r="BJ688">
        <v>0</v>
      </c>
      <c r="BK688">
        <v>2350</v>
      </c>
      <c r="BL688">
        <v>350</v>
      </c>
      <c r="BM688" t="s">
        <v>119</v>
      </c>
      <c r="BN688">
        <v>1</v>
      </c>
      <c r="BO688">
        <v>1</v>
      </c>
      <c r="BP688">
        <v>1</v>
      </c>
      <c r="BQ688">
        <v>0</v>
      </c>
      <c r="BT688">
        <v>0</v>
      </c>
      <c r="BU688">
        <v>0</v>
      </c>
      <c r="BV688">
        <v>0</v>
      </c>
      <c r="CC688" t="str">
        <f>"18:46:05.539"</f>
        <v>18:46:05.539</v>
      </c>
      <c r="CD688" t="str">
        <f>"541316574"</f>
        <v>541316574</v>
      </c>
      <c r="CQ688">
        <v>0</v>
      </c>
      <c r="CR688">
        <v>2</v>
      </c>
      <c r="CS688">
        <v>0</v>
      </c>
      <c r="CT688">
        <v>2</v>
      </c>
      <c r="CU688">
        <v>0</v>
      </c>
      <c r="CV688">
        <v>3</v>
      </c>
      <c r="CW688" t="s">
        <v>120</v>
      </c>
      <c r="CX688">
        <v>261</v>
      </c>
      <c r="CY688">
        <v>2</v>
      </c>
      <c r="CZ688" t="s">
        <v>121</v>
      </c>
      <c r="DA688" t="s">
        <v>122</v>
      </c>
      <c r="DD688">
        <v>14609673</v>
      </c>
      <c r="DE688" t="s">
        <v>123</v>
      </c>
    </row>
    <row r="689" spans="1:109" x14ac:dyDescent="0.3">
      <c r="A689" t="str">
        <f>"18:46:06.914"</f>
        <v>18:46:06.914</v>
      </c>
      <c r="B689" t="s">
        <v>110</v>
      </c>
      <c r="C689" t="str">
        <f t="shared" si="30"/>
        <v>ffdfd3c0</v>
      </c>
      <c r="D689" t="s">
        <v>111</v>
      </c>
      <c r="E689">
        <v>18</v>
      </c>
      <c r="F689">
        <v>1018</v>
      </c>
      <c r="G689" t="s">
        <v>112</v>
      </c>
      <c r="J689" t="s">
        <v>113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R689" t="s">
        <v>114</v>
      </c>
      <c r="S689" t="str">
        <f>"18:46:06.680"</f>
        <v>18:46:06.680</v>
      </c>
      <c r="T689" t="str">
        <f>"18:46:06.180"</f>
        <v>18:46:06.180</v>
      </c>
      <c r="U689" t="str">
        <f t="shared" si="31"/>
        <v>a1cdbe</v>
      </c>
      <c r="V689">
        <v>0</v>
      </c>
      <c r="W689">
        <v>0</v>
      </c>
      <c r="X689">
        <v>1</v>
      </c>
      <c r="Y689">
        <v>0</v>
      </c>
      <c r="Z689">
        <v>0</v>
      </c>
      <c r="AB689">
        <v>0</v>
      </c>
      <c r="AC689">
        <v>9</v>
      </c>
      <c r="AD689">
        <v>3</v>
      </c>
      <c r="AE689">
        <v>0</v>
      </c>
      <c r="AF689">
        <v>9</v>
      </c>
      <c r="AG689" t="s">
        <v>158</v>
      </c>
      <c r="AH689">
        <v>0</v>
      </c>
      <c r="AI689">
        <v>3</v>
      </c>
      <c r="AJ689">
        <v>1</v>
      </c>
      <c r="AK689">
        <v>0</v>
      </c>
      <c r="AL689" t="s">
        <v>1448</v>
      </c>
      <c r="AM689">
        <v>46.893103000000004</v>
      </c>
      <c r="AN689" t="s">
        <v>1449</v>
      </c>
      <c r="AO689">
        <v>-122.372353</v>
      </c>
      <c r="AP689">
        <v>100</v>
      </c>
      <c r="AQ689">
        <v>2000</v>
      </c>
      <c r="AR689" t="s">
        <v>118</v>
      </c>
      <c r="AS689">
        <v>-45</v>
      </c>
      <c r="AT689">
        <v>-68</v>
      </c>
      <c r="AU689">
        <v>-192</v>
      </c>
      <c r="BC689">
        <v>1200</v>
      </c>
      <c r="BD689">
        <v>1</v>
      </c>
      <c r="BE689" t="str">
        <f t="shared" si="32"/>
        <v xml:space="preserve">N215T   </v>
      </c>
      <c r="BF689">
        <v>1</v>
      </c>
      <c r="BH689">
        <v>0</v>
      </c>
      <c r="BI689">
        <v>0</v>
      </c>
      <c r="BJ689">
        <v>0</v>
      </c>
      <c r="BK689">
        <v>2350</v>
      </c>
      <c r="BL689">
        <v>350</v>
      </c>
      <c r="BM689" t="s">
        <v>119</v>
      </c>
      <c r="BN689">
        <v>1</v>
      </c>
      <c r="BO689">
        <v>1</v>
      </c>
      <c r="BP689">
        <v>1</v>
      </c>
      <c r="BQ689">
        <v>0</v>
      </c>
      <c r="BT689">
        <v>0</v>
      </c>
      <c r="BU689">
        <v>0</v>
      </c>
      <c r="BV689">
        <v>0</v>
      </c>
      <c r="CC689" t="str">
        <f>"18:46:06.680"</f>
        <v>18:46:06.680</v>
      </c>
      <c r="CD689" t="str">
        <f>"681204445"</f>
        <v>681204445</v>
      </c>
      <c r="CQ689">
        <v>0</v>
      </c>
      <c r="CR689">
        <v>2</v>
      </c>
      <c r="CS689">
        <v>0</v>
      </c>
      <c r="CT689">
        <v>2</v>
      </c>
      <c r="CU689">
        <v>0</v>
      </c>
      <c r="CV689">
        <v>4</v>
      </c>
      <c r="CW689" t="s">
        <v>120</v>
      </c>
      <c r="CX689">
        <v>261</v>
      </c>
      <c r="CY689">
        <v>2</v>
      </c>
      <c r="CZ689" t="s">
        <v>121</v>
      </c>
      <c r="DA689" t="s">
        <v>122</v>
      </c>
      <c r="DD689">
        <v>14610284</v>
      </c>
      <c r="DE689" t="s">
        <v>123</v>
      </c>
    </row>
    <row r="690" spans="1:109" x14ac:dyDescent="0.3">
      <c r="A690" t="str">
        <f>"18:46:07.922"</f>
        <v>18:46:07.922</v>
      </c>
      <c r="B690" t="s">
        <v>110</v>
      </c>
      <c r="C690" t="str">
        <f t="shared" si="30"/>
        <v>ffdfd3c0</v>
      </c>
      <c r="D690" t="s">
        <v>111</v>
      </c>
      <c r="E690">
        <v>18</v>
      </c>
      <c r="F690">
        <v>1018</v>
      </c>
      <c r="G690" t="s">
        <v>112</v>
      </c>
      <c r="J690" t="s">
        <v>113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R690" t="s">
        <v>114</v>
      </c>
      <c r="S690" t="str">
        <f>"18:46:07.711"</f>
        <v>18:46:07.711</v>
      </c>
      <c r="T690" t="str">
        <f>"18:46:07.711"</f>
        <v>18:46:07.711</v>
      </c>
      <c r="U690" t="str">
        <f t="shared" si="31"/>
        <v>a1cdbe</v>
      </c>
      <c r="V690">
        <v>0</v>
      </c>
      <c r="W690">
        <v>0</v>
      </c>
      <c r="X690">
        <v>1</v>
      </c>
      <c r="Y690">
        <v>0</v>
      </c>
      <c r="Z690">
        <v>0</v>
      </c>
      <c r="AB690">
        <v>0</v>
      </c>
      <c r="AC690">
        <v>9</v>
      </c>
      <c r="AD690">
        <v>3</v>
      </c>
      <c r="AE690">
        <v>0</v>
      </c>
      <c r="AF690">
        <v>9</v>
      </c>
      <c r="AG690" t="s">
        <v>158</v>
      </c>
      <c r="AH690">
        <v>0</v>
      </c>
      <c r="AI690">
        <v>3</v>
      </c>
      <c r="AJ690">
        <v>1</v>
      </c>
      <c r="AK690">
        <v>0</v>
      </c>
      <c r="AL690" t="s">
        <v>1450</v>
      </c>
      <c r="AM690">
        <v>46.892760000000003</v>
      </c>
      <c r="AN690" t="s">
        <v>1451</v>
      </c>
      <c r="AO690">
        <v>-122.37271800000001</v>
      </c>
      <c r="AP690">
        <v>100</v>
      </c>
      <c r="AQ690">
        <v>2000</v>
      </c>
      <c r="AR690" t="s">
        <v>118</v>
      </c>
      <c r="AS690">
        <v>-46</v>
      </c>
      <c r="AT690">
        <v>-68</v>
      </c>
      <c r="AU690">
        <v>-192</v>
      </c>
      <c r="BC690">
        <v>1200</v>
      </c>
      <c r="BD690">
        <v>1</v>
      </c>
      <c r="BE690" t="str">
        <f t="shared" si="32"/>
        <v xml:space="preserve">N215T   </v>
      </c>
      <c r="BF690">
        <v>1</v>
      </c>
      <c r="BH690">
        <v>0</v>
      </c>
      <c r="BI690">
        <v>0</v>
      </c>
      <c r="BJ690">
        <v>0</v>
      </c>
      <c r="BK690">
        <v>2350</v>
      </c>
      <c r="BL690">
        <v>350</v>
      </c>
      <c r="BM690" t="s">
        <v>119</v>
      </c>
      <c r="BN690">
        <v>1</v>
      </c>
      <c r="BO690">
        <v>1</v>
      </c>
      <c r="BP690">
        <v>1</v>
      </c>
      <c r="BQ690">
        <v>0</v>
      </c>
      <c r="BT690">
        <v>0</v>
      </c>
      <c r="BU690">
        <v>0</v>
      </c>
      <c r="BV690">
        <v>0</v>
      </c>
      <c r="CC690" t="str">
        <f>"18:46:07.719"</f>
        <v>18:46:07.719</v>
      </c>
      <c r="CD690" t="str">
        <f>"716102649"</f>
        <v>716102649</v>
      </c>
      <c r="CQ690">
        <v>0</v>
      </c>
      <c r="CR690">
        <v>2</v>
      </c>
      <c r="CS690">
        <v>0</v>
      </c>
      <c r="CT690">
        <v>2</v>
      </c>
      <c r="CU690">
        <v>0</v>
      </c>
      <c r="CV690">
        <v>4</v>
      </c>
      <c r="CW690" t="s">
        <v>120</v>
      </c>
      <c r="CX690">
        <v>261</v>
      </c>
      <c r="CY690">
        <v>2</v>
      </c>
      <c r="CZ690" t="s">
        <v>121</v>
      </c>
      <c r="DA690" t="s">
        <v>122</v>
      </c>
      <c r="DD690">
        <v>14610882</v>
      </c>
      <c r="DE690" t="s">
        <v>123</v>
      </c>
    </row>
    <row r="691" spans="1:109" x14ac:dyDescent="0.3">
      <c r="A691" t="str">
        <f>"18:46:08.773"</f>
        <v>18:46:08.773</v>
      </c>
      <c r="B691" t="s">
        <v>110</v>
      </c>
      <c r="C691" t="str">
        <f t="shared" si="30"/>
        <v>ffdfd3c0</v>
      </c>
      <c r="D691" t="s">
        <v>111</v>
      </c>
      <c r="E691">
        <v>18</v>
      </c>
      <c r="F691">
        <v>1018</v>
      </c>
      <c r="G691" t="s">
        <v>112</v>
      </c>
      <c r="J691" t="s">
        <v>113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R691" t="s">
        <v>114</v>
      </c>
      <c r="S691" t="str">
        <f>"18:46:08.555"</f>
        <v>18:46:08.555</v>
      </c>
      <c r="T691" t="str">
        <f>"18:46:08.258"</f>
        <v>18:46:08.258</v>
      </c>
      <c r="U691" t="str">
        <f t="shared" si="31"/>
        <v>a1cdbe</v>
      </c>
      <c r="V691">
        <v>0</v>
      </c>
      <c r="W691">
        <v>0</v>
      </c>
      <c r="X691">
        <v>1</v>
      </c>
      <c r="Y691">
        <v>0</v>
      </c>
      <c r="Z691">
        <v>0</v>
      </c>
      <c r="AB691">
        <v>0</v>
      </c>
      <c r="AC691">
        <v>9</v>
      </c>
      <c r="AD691">
        <v>3</v>
      </c>
      <c r="AE691">
        <v>0</v>
      </c>
      <c r="AF691">
        <v>9</v>
      </c>
      <c r="AG691" t="s">
        <v>158</v>
      </c>
      <c r="AH691">
        <v>0</v>
      </c>
      <c r="AI691">
        <v>3</v>
      </c>
      <c r="AJ691">
        <v>1</v>
      </c>
      <c r="AK691">
        <v>0</v>
      </c>
      <c r="AL691" t="s">
        <v>1452</v>
      </c>
      <c r="AM691">
        <v>46.892524000000002</v>
      </c>
      <c r="AN691" t="s">
        <v>1453</v>
      </c>
      <c r="AO691">
        <v>-122.372997</v>
      </c>
      <c r="AP691">
        <v>100</v>
      </c>
      <c r="AQ691">
        <v>2000</v>
      </c>
      <c r="AR691" t="s">
        <v>118</v>
      </c>
      <c r="AS691">
        <v>-46</v>
      </c>
      <c r="AT691">
        <v>-67</v>
      </c>
      <c r="AU691">
        <v>-192</v>
      </c>
      <c r="BC691">
        <v>1200</v>
      </c>
      <c r="BD691">
        <v>1</v>
      </c>
      <c r="BE691" t="str">
        <f t="shared" si="32"/>
        <v xml:space="preserve">N215T   </v>
      </c>
      <c r="BF691">
        <v>1</v>
      </c>
      <c r="BH691">
        <v>0</v>
      </c>
      <c r="BI691">
        <v>0</v>
      </c>
      <c r="BJ691">
        <v>0</v>
      </c>
      <c r="BK691">
        <v>2350</v>
      </c>
      <c r="BL691">
        <v>350</v>
      </c>
      <c r="BM691" t="s">
        <v>119</v>
      </c>
      <c r="BN691">
        <v>1</v>
      </c>
      <c r="BO691">
        <v>1</v>
      </c>
      <c r="BP691">
        <v>1</v>
      </c>
      <c r="BQ691">
        <v>0</v>
      </c>
      <c r="BT691">
        <v>0</v>
      </c>
      <c r="BU691">
        <v>0</v>
      </c>
      <c r="BV691">
        <v>0</v>
      </c>
      <c r="CC691" t="str">
        <f>"18:46:08.555"</f>
        <v>18:46:08.555</v>
      </c>
      <c r="CD691" t="str">
        <f>"556020015"</f>
        <v>556020015</v>
      </c>
      <c r="CQ691">
        <v>0</v>
      </c>
      <c r="CR691">
        <v>2</v>
      </c>
      <c r="CS691">
        <v>0</v>
      </c>
      <c r="CT691">
        <v>2</v>
      </c>
      <c r="CU691">
        <v>0</v>
      </c>
      <c r="CV691">
        <v>2</v>
      </c>
      <c r="CW691" t="s">
        <v>120</v>
      </c>
      <c r="CX691">
        <v>261</v>
      </c>
      <c r="CY691">
        <v>2</v>
      </c>
      <c r="CZ691" t="s">
        <v>121</v>
      </c>
      <c r="DA691" t="s">
        <v>122</v>
      </c>
      <c r="DD691">
        <v>14611298</v>
      </c>
      <c r="DE691" t="s">
        <v>123</v>
      </c>
    </row>
    <row r="692" spans="1:109" x14ac:dyDescent="0.3">
      <c r="A692" t="str">
        <f>"18:46:09.938"</f>
        <v>18:46:09.938</v>
      </c>
      <c r="B692" t="s">
        <v>110</v>
      </c>
      <c r="C692" t="str">
        <f t="shared" si="30"/>
        <v>ffdfd3c0</v>
      </c>
      <c r="D692" t="s">
        <v>111</v>
      </c>
      <c r="E692">
        <v>18</v>
      </c>
      <c r="F692">
        <v>1018</v>
      </c>
      <c r="G692" t="s">
        <v>112</v>
      </c>
      <c r="J692" t="s">
        <v>113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R692" t="s">
        <v>114</v>
      </c>
      <c r="S692" t="str">
        <f>"18:46:09.664"</f>
        <v>18:46:09.664</v>
      </c>
      <c r="T692" t="str">
        <f>"18:46:09.664"</f>
        <v>18:46:09.664</v>
      </c>
      <c r="U692" t="str">
        <f t="shared" si="31"/>
        <v>a1cdbe</v>
      </c>
      <c r="V692">
        <v>0</v>
      </c>
      <c r="W692">
        <v>0</v>
      </c>
      <c r="X692">
        <v>1</v>
      </c>
      <c r="Y692">
        <v>0</v>
      </c>
      <c r="Z692">
        <v>0</v>
      </c>
      <c r="AB692">
        <v>0</v>
      </c>
      <c r="AC692">
        <v>9</v>
      </c>
      <c r="AD692">
        <v>3</v>
      </c>
      <c r="AE692">
        <v>0</v>
      </c>
      <c r="AF692">
        <v>9</v>
      </c>
      <c r="AG692" t="s">
        <v>158</v>
      </c>
      <c r="AH692">
        <v>0</v>
      </c>
      <c r="AI692">
        <v>3</v>
      </c>
      <c r="AJ692">
        <v>1</v>
      </c>
      <c r="AK692">
        <v>0</v>
      </c>
      <c r="AL692" t="s">
        <v>1454</v>
      </c>
      <c r="AM692">
        <v>46.892158999999999</v>
      </c>
      <c r="AN692" t="s">
        <v>1455</v>
      </c>
      <c r="AO692">
        <v>-122.37334</v>
      </c>
      <c r="AP692">
        <v>100</v>
      </c>
      <c r="AQ692">
        <v>2000</v>
      </c>
      <c r="AR692" t="s">
        <v>118</v>
      </c>
      <c r="AS692">
        <v>-47</v>
      </c>
      <c r="AT692">
        <v>-66</v>
      </c>
      <c r="AU692">
        <v>-64</v>
      </c>
      <c r="BC692">
        <v>1200</v>
      </c>
      <c r="BD692">
        <v>1</v>
      </c>
      <c r="BE692" t="str">
        <f t="shared" si="32"/>
        <v xml:space="preserve">N215T   </v>
      </c>
      <c r="BF692">
        <v>1</v>
      </c>
      <c r="BH692">
        <v>0</v>
      </c>
      <c r="BI692">
        <v>0</v>
      </c>
      <c r="BJ692">
        <v>0</v>
      </c>
      <c r="BK692">
        <v>2350</v>
      </c>
      <c r="BL692">
        <v>350</v>
      </c>
      <c r="BM692" t="s">
        <v>119</v>
      </c>
      <c r="BN692">
        <v>1</v>
      </c>
      <c r="BO692">
        <v>1</v>
      </c>
      <c r="BP692">
        <v>1</v>
      </c>
      <c r="BQ692">
        <v>0</v>
      </c>
      <c r="BT692">
        <v>0</v>
      </c>
      <c r="BU692">
        <v>0</v>
      </c>
      <c r="BV692">
        <v>0</v>
      </c>
      <c r="CC692" t="str">
        <f>"18:46:09.664"</f>
        <v>18:46:09.664</v>
      </c>
      <c r="CD692" t="str">
        <f>"666070864"</f>
        <v>666070864</v>
      </c>
      <c r="CQ692">
        <v>0</v>
      </c>
      <c r="CR692">
        <v>2</v>
      </c>
      <c r="CS692">
        <v>0</v>
      </c>
      <c r="CT692">
        <v>2</v>
      </c>
      <c r="CU692">
        <v>0</v>
      </c>
      <c r="CV692">
        <v>3</v>
      </c>
      <c r="CW692" t="s">
        <v>120</v>
      </c>
      <c r="CX692">
        <v>257</v>
      </c>
      <c r="CY692">
        <v>1</v>
      </c>
      <c r="CZ692" t="s">
        <v>615</v>
      </c>
      <c r="DA692" t="s">
        <v>616</v>
      </c>
      <c r="DD692">
        <v>10913363</v>
      </c>
      <c r="DE692" t="s">
        <v>123</v>
      </c>
    </row>
    <row r="693" spans="1:109" x14ac:dyDescent="0.3">
      <c r="A693" t="str">
        <f>"18:46:10.836"</f>
        <v>18:46:10.836</v>
      </c>
      <c r="B693" t="s">
        <v>110</v>
      </c>
      <c r="C693" t="str">
        <f t="shared" si="30"/>
        <v>ffdfd3c0</v>
      </c>
      <c r="D693" t="s">
        <v>111</v>
      </c>
      <c r="E693">
        <v>18</v>
      </c>
      <c r="F693">
        <v>1018</v>
      </c>
      <c r="G693" t="s">
        <v>112</v>
      </c>
      <c r="J693" t="s">
        <v>113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R693" t="s">
        <v>114</v>
      </c>
      <c r="S693" t="str">
        <f>"18:46:10.594"</f>
        <v>18:46:10.594</v>
      </c>
      <c r="T693" t="str">
        <f>"18:46:10.297"</f>
        <v>18:46:10.297</v>
      </c>
      <c r="U693" t="str">
        <f t="shared" si="31"/>
        <v>a1cdbe</v>
      </c>
      <c r="V693">
        <v>0</v>
      </c>
      <c r="W693">
        <v>0</v>
      </c>
      <c r="X693">
        <v>1</v>
      </c>
      <c r="Y693">
        <v>0</v>
      </c>
      <c r="Z693">
        <v>0</v>
      </c>
      <c r="AB693">
        <v>0</v>
      </c>
      <c r="AC693">
        <v>9</v>
      </c>
      <c r="AD693">
        <v>3</v>
      </c>
      <c r="AE693">
        <v>0</v>
      </c>
      <c r="AF693">
        <v>9</v>
      </c>
      <c r="AG693" t="s">
        <v>158</v>
      </c>
      <c r="AH693">
        <v>0</v>
      </c>
      <c r="AI693">
        <v>3</v>
      </c>
      <c r="AJ693">
        <v>1</v>
      </c>
      <c r="AK693">
        <v>0</v>
      </c>
      <c r="AL693" t="s">
        <v>1456</v>
      </c>
      <c r="AM693">
        <v>46.89188</v>
      </c>
      <c r="AN693" t="s">
        <v>1457</v>
      </c>
      <c r="AO693">
        <v>-122.37361900000001</v>
      </c>
      <c r="AP693">
        <v>100</v>
      </c>
      <c r="AQ693">
        <v>2000</v>
      </c>
      <c r="AR693" t="s">
        <v>118</v>
      </c>
      <c r="AS693">
        <v>-47</v>
      </c>
      <c r="AT693">
        <v>-65</v>
      </c>
      <c r="AU693">
        <v>-64</v>
      </c>
      <c r="BC693">
        <v>1200</v>
      </c>
      <c r="BD693">
        <v>1</v>
      </c>
      <c r="BE693" t="str">
        <f t="shared" si="32"/>
        <v xml:space="preserve">N215T   </v>
      </c>
      <c r="BF693">
        <v>1</v>
      </c>
      <c r="BH693">
        <v>0</v>
      </c>
      <c r="BI693">
        <v>0</v>
      </c>
      <c r="BJ693">
        <v>0</v>
      </c>
      <c r="BK693">
        <v>2350</v>
      </c>
      <c r="BL693">
        <v>350</v>
      </c>
      <c r="BM693" t="s">
        <v>119</v>
      </c>
      <c r="BN693">
        <v>1</v>
      </c>
      <c r="BO693">
        <v>1</v>
      </c>
      <c r="BP693">
        <v>1</v>
      </c>
      <c r="BQ693">
        <v>0</v>
      </c>
      <c r="BT693">
        <v>0</v>
      </c>
      <c r="BU693">
        <v>0</v>
      </c>
      <c r="BV693">
        <v>0</v>
      </c>
      <c r="CC693" t="str">
        <f>"18:46:10.594"</f>
        <v>18:46:10.594</v>
      </c>
      <c r="CD693" t="str">
        <f>"595979240"</f>
        <v>595979240</v>
      </c>
      <c r="CQ693">
        <v>0</v>
      </c>
      <c r="CR693">
        <v>2</v>
      </c>
      <c r="CS693">
        <v>0</v>
      </c>
      <c r="CT693">
        <v>2</v>
      </c>
      <c r="CU693">
        <v>0</v>
      </c>
      <c r="CV693">
        <v>1</v>
      </c>
      <c r="CW693" t="s">
        <v>120</v>
      </c>
      <c r="CX693">
        <v>257</v>
      </c>
      <c r="CY693">
        <v>1</v>
      </c>
      <c r="CZ693" t="s">
        <v>615</v>
      </c>
      <c r="DA693" t="s">
        <v>616</v>
      </c>
      <c r="DD693">
        <v>10913930</v>
      </c>
      <c r="DE693" t="s">
        <v>123</v>
      </c>
    </row>
    <row r="694" spans="1:109" x14ac:dyDescent="0.3">
      <c r="A694" t="str">
        <f>"18:46:11.844"</f>
        <v>18:46:11.844</v>
      </c>
      <c r="B694" t="s">
        <v>110</v>
      </c>
      <c r="C694" t="str">
        <f t="shared" si="30"/>
        <v>ffdfd3c0</v>
      </c>
      <c r="D694" t="s">
        <v>111</v>
      </c>
      <c r="E694">
        <v>18</v>
      </c>
      <c r="F694">
        <v>1018</v>
      </c>
      <c r="G694" t="s">
        <v>112</v>
      </c>
      <c r="J694" t="s">
        <v>113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R694" t="s">
        <v>114</v>
      </c>
      <c r="S694" t="str">
        <f>"18:46:11.594"</f>
        <v>18:46:11.594</v>
      </c>
      <c r="T694" t="str">
        <f>"18:46:11.195"</f>
        <v>18:46:11.195</v>
      </c>
      <c r="U694" t="str">
        <f t="shared" si="31"/>
        <v>a1cdbe</v>
      </c>
      <c r="V694">
        <v>0</v>
      </c>
      <c r="W694">
        <v>0</v>
      </c>
      <c r="X694">
        <v>1</v>
      </c>
      <c r="Y694">
        <v>0</v>
      </c>
      <c r="Z694">
        <v>0</v>
      </c>
      <c r="AB694">
        <v>0</v>
      </c>
      <c r="AC694">
        <v>9</v>
      </c>
      <c r="AD694">
        <v>3</v>
      </c>
      <c r="AE694">
        <v>0</v>
      </c>
      <c r="AF694">
        <v>9</v>
      </c>
      <c r="AG694" t="s">
        <v>158</v>
      </c>
      <c r="AH694">
        <v>0</v>
      </c>
      <c r="AI694">
        <v>3</v>
      </c>
      <c r="AJ694">
        <v>1</v>
      </c>
      <c r="AK694">
        <v>0</v>
      </c>
      <c r="AL694" t="s">
        <v>1458</v>
      </c>
      <c r="AM694">
        <v>46.891623000000003</v>
      </c>
      <c r="AN694" t="s">
        <v>1459</v>
      </c>
      <c r="AO694">
        <v>-122.37396200000001</v>
      </c>
      <c r="AP694">
        <v>100</v>
      </c>
      <c r="AQ694">
        <v>2000</v>
      </c>
      <c r="AR694" t="s">
        <v>118</v>
      </c>
      <c r="AS694">
        <v>-47</v>
      </c>
      <c r="AT694">
        <v>-65</v>
      </c>
      <c r="AU694">
        <v>64</v>
      </c>
      <c r="BC694">
        <v>1200</v>
      </c>
      <c r="BD694">
        <v>1</v>
      </c>
      <c r="BE694" t="str">
        <f t="shared" si="32"/>
        <v xml:space="preserve">N215T   </v>
      </c>
      <c r="BF694">
        <v>1</v>
      </c>
      <c r="BH694">
        <v>0</v>
      </c>
      <c r="BI694">
        <v>0</v>
      </c>
      <c r="BJ694">
        <v>0</v>
      </c>
      <c r="BK694">
        <v>2350</v>
      </c>
      <c r="BL694">
        <v>350</v>
      </c>
      <c r="BM694" t="s">
        <v>119</v>
      </c>
      <c r="BN694">
        <v>1</v>
      </c>
      <c r="BO694">
        <v>1</v>
      </c>
      <c r="BP694">
        <v>1</v>
      </c>
      <c r="BQ694">
        <v>0</v>
      </c>
      <c r="BT694">
        <v>0</v>
      </c>
      <c r="BU694">
        <v>0</v>
      </c>
      <c r="BV694">
        <v>0</v>
      </c>
      <c r="CC694" t="str">
        <f>"18:46:11.602"</f>
        <v>18:46:11.602</v>
      </c>
      <c r="CD694" t="str">
        <f>"600720431"</f>
        <v>600720431</v>
      </c>
      <c r="CQ694">
        <v>0</v>
      </c>
      <c r="CR694">
        <v>2</v>
      </c>
      <c r="CS694">
        <v>0</v>
      </c>
      <c r="CT694">
        <v>2</v>
      </c>
      <c r="CU694">
        <v>0</v>
      </c>
      <c r="CV694">
        <v>4</v>
      </c>
      <c r="CW694" t="s">
        <v>120</v>
      </c>
      <c r="CX694">
        <v>261</v>
      </c>
      <c r="CY694">
        <v>2</v>
      </c>
      <c r="CZ694" t="s">
        <v>121</v>
      </c>
      <c r="DA694" t="s">
        <v>122</v>
      </c>
      <c r="DD694">
        <v>14612827</v>
      </c>
      <c r="DE694" t="s">
        <v>123</v>
      </c>
    </row>
    <row r="695" spans="1:109" x14ac:dyDescent="0.3">
      <c r="A695" t="str">
        <f>"18:46:12.797"</f>
        <v>18:46:12.797</v>
      </c>
      <c r="B695" t="s">
        <v>110</v>
      </c>
      <c r="C695" t="str">
        <f t="shared" si="30"/>
        <v>ffdfd3c0</v>
      </c>
      <c r="D695" t="s">
        <v>111</v>
      </c>
      <c r="E695">
        <v>18</v>
      </c>
      <c r="F695">
        <v>1018</v>
      </c>
      <c r="G695" t="s">
        <v>112</v>
      </c>
      <c r="J695" t="s">
        <v>113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R695" t="s">
        <v>114</v>
      </c>
      <c r="S695" t="str">
        <f>"18:46:12.570"</f>
        <v>18:46:12.570</v>
      </c>
      <c r="T695" t="str">
        <f>"18:46:12.172"</f>
        <v>18:46:12.172</v>
      </c>
      <c r="U695" t="str">
        <f t="shared" si="31"/>
        <v>a1cdbe</v>
      </c>
      <c r="V695">
        <v>0</v>
      </c>
      <c r="W695">
        <v>0</v>
      </c>
      <c r="X695">
        <v>1</v>
      </c>
      <c r="Y695">
        <v>0</v>
      </c>
      <c r="Z695">
        <v>0</v>
      </c>
      <c r="AB695">
        <v>0</v>
      </c>
      <c r="AC695">
        <v>9</v>
      </c>
      <c r="AD695">
        <v>3</v>
      </c>
      <c r="AE695">
        <v>0</v>
      </c>
      <c r="AF695">
        <v>9</v>
      </c>
      <c r="AG695" t="s">
        <v>158</v>
      </c>
      <c r="AH695">
        <v>0</v>
      </c>
      <c r="AI695">
        <v>3</v>
      </c>
      <c r="AJ695">
        <v>1</v>
      </c>
      <c r="AK695">
        <v>0</v>
      </c>
      <c r="AL695" t="s">
        <v>1460</v>
      </c>
      <c r="AM695">
        <v>46.891278999999997</v>
      </c>
      <c r="AN695" t="s">
        <v>1461</v>
      </c>
      <c r="AO695">
        <v>-122.374241</v>
      </c>
      <c r="AP695">
        <v>100</v>
      </c>
      <c r="AQ695">
        <v>2000</v>
      </c>
      <c r="AR695" t="s">
        <v>118</v>
      </c>
      <c r="AS695">
        <v>-47</v>
      </c>
      <c r="AT695">
        <v>-64</v>
      </c>
      <c r="AU695">
        <v>0</v>
      </c>
      <c r="BC695">
        <v>1200</v>
      </c>
      <c r="BD695">
        <v>1</v>
      </c>
      <c r="BE695" t="str">
        <f t="shared" si="32"/>
        <v xml:space="preserve">N215T   </v>
      </c>
      <c r="BF695">
        <v>1</v>
      </c>
      <c r="BH695">
        <v>0</v>
      </c>
      <c r="BI695">
        <v>0</v>
      </c>
      <c r="BJ695">
        <v>0</v>
      </c>
      <c r="BK695">
        <v>2350</v>
      </c>
      <c r="BL695">
        <v>350</v>
      </c>
      <c r="BM695" t="s">
        <v>119</v>
      </c>
      <c r="BN695">
        <v>1</v>
      </c>
      <c r="BO695">
        <v>1</v>
      </c>
      <c r="BP695">
        <v>1</v>
      </c>
      <c r="BQ695">
        <v>0</v>
      </c>
      <c r="BT695">
        <v>0</v>
      </c>
      <c r="BU695">
        <v>0</v>
      </c>
      <c r="BV695">
        <v>0</v>
      </c>
      <c r="CC695" t="str">
        <f>"18:46:12.578"</f>
        <v>18:46:12.578</v>
      </c>
      <c r="CD695" t="str">
        <f>"575624483"</f>
        <v>575624483</v>
      </c>
      <c r="CQ695">
        <v>0</v>
      </c>
      <c r="CR695">
        <v>2</v>
      </c>
      <c r="CS695">
        <v>0</v>
      </c>
      <c r="CT695">
        <v>2</v>
      </c>
      <c r="CU695">
        <v>0</v>
      </c>
      <c r="CV695">
        <v>2</v>
      </c>
      <c r="CW695" t="s">
        <v>120</v>
      </c>
      <c r="CX695">
        <v>261</v>
      </c>
      <c r="CY695">
        <v>2</v>
      </c>
      <c r="CZ695" t="s">
        <v>121</v>
      </c>
      <c r="DA695" t="s">
        <v>122</v>
      </c>
      <c r="DD695">
        <v>14613347</v>
      </c>
      <c r="DE695" t="s">
        <v>123</v>
      </c>
    </row>
    <row r="696" spans="1:109" x14ac:dyDescent="0.3">
      <c r="A696" t="str">
        <f>"18:46:13.953"</f>
        <v>18:46:13.953</v>
      </c>
      <c r="B696" t="s">
        <v>110</v>
      </c>
      <c r="C696" t="str">
        <f t="shared" si="30"/>
        <v>ffdfd3c0</v>
      </c>
      <c r="D696" t="s">
        <v>111</v>
      </c>
      <c r="E696">
        <v>18</v>
      </c>
      <c r="F696">
        <v>1018</v>
      </c>
      <c r="G696" t="s">
        <v>112</v>
      </c>
      <c r="J696" t="s">
        <v>113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R696" t="s">
        <v>114</v>
      </c>
      <c r="S696" t="str">
        <f>"18:46:13.711"</f>
        <v>18:46:13.711</v>
      </c>
      <c r="T696" t="str">
        <f>"18:46:13.211"</f>
        <v>18:46:13.211</v>
      </c>
      <c r="U696" t="str">
        <f t="shared" si="31"/>
        <v>a1cdbe</v>
      </c>
      <c r="V696">
        <v>0</v>
      </c>
      <c r="W696">
        <v>0</v>
      </c>
      <c r="X696">
        <v>1</v>
      </c>
      <c r="Y696">
        <v>0</v>
      </c>
      <c r="Z696">
        <v>0</v>
      </c>
      <c r="AB696">
        <v>0</v>
      </c>
      <c r="AC696">
        <v>9</v>
      </c>
      <c r="AD696">
        <v>3</v>
      </c>
      <c r="AE696">
        <v>0</v>
      </c>
      <c r="AF696">
        <v>9</v>
      </c>
      <c r="AG696" t="s">
        <v>158</v>
      </c>
      <c r="AH696">
        <v>0</v>
      </c>
      <c r="AI696">
        <v>3</v>
      </c>
      <c r="AJ696">
        <v>1</v>
      </c>
      <c r="AK696">
        <v>0</v>
      </c>
      <c r="AL696" t="s">
        <v>1462</v>
      </c>
      <c r="AM696">
        <v>46.890979000000002</v>
      </c>
      <c r="AN696" t="s">
        <v>1463</v>
      </c>
      <c r="AO696">
        <v>-122.374585</v>
      </c>
      <c r="AP696">
        <v>100</v>
      </c>
      <c r="AQ696">
        <v>2000</v>
      </c>
      <c r="AR696" t="s">
        <v>118</v>
      </c>
      <c r="AS696">
        <v>-47</v>
      </c>
      <c r="AT696">
        <v>-64</v>
      </c>
      <c r="AU696">
        <v>64</v>
      </c>
      <c r="BC696">
        <v>1200</v>
      </c>
      <c r="BD696">
        <v>1</v>
      </c>
      <c r="BE696" t="str">
        <f t="shared" si="32"/>
        <v xml:space="preserve">N215T   </v>
      </c>
      <c r="BF696">
        <v>1</v>
      </c>
      <c r="BH696">
        <v>0</v>
      </c>
      <c r="BI696">
        <v>0</v>
      </c>
      <c r="BJ696">
        <v>0</v>
      </c>
      <c r="BK696">
        <v>2350</v>
      </c>
      <c r="BL696">
        <v>350</v>
      </c>
      <c r="BM696" t="s">
        <v>119</v>
      </c>
      <c r="BN696">
        <v>1</v>
      </c>
      <c r="BO696">
        <v>1</v>
      </c>
      <c r="BP696">
        <v>1</v>
      </c>
      <c r="BQ696">
        <v>0</v>
      </c>
      <c r="BT696">
        <v>0</v>
      </c>
      <c r="BU696">
        <v>0</v>
      </c>
      <c r="BV696">
        <v>0</v>
      </c>
      <c r="CC696" t="str">
        <f>"18:46:13.719"</f>
        <v>18:46:13.719</v>
      </c>
      <c r="CD696" t="str">
        <f>"715671648"</f>
        <v>715671648</v>
      </c>
      <c r="CQ696">
        <v>0</v>
      </c>
      <c r="CR696">
        <v>2</v>
      </c>
      <c r="CS696">
        <v>0</v>
      </c>
      <c r="CT696">
        <v>2</v>
      </c>
      <c r="CU696">
        <v>0</v>
      </c>
      <c r="CV696">
        <v>3</v>
      </c>
      <c r="CW696" t="s">
        <v>120</v>
      </c>
      <c r="CX696">
        <v>257</v>
      </c>
      <c r="CY696">
        <v>1</v>
      </c>
      <c r="CZ696" t="s">
        <v>615</v>
      </c>
      <c r="DA696" t="s">
        <v>616</v>
      </c>
      <c r="DD696">
        <v>10915940</v>
      </c>
      <c r="DE696" t="s">
        <v>123</v>
      </c>
    </row>
    <row r="697" spans="1:109" x14ac:dyDescent="0.3">
      <c r="A697" t="str">
        <f>"18:46:14.914"</f>
        <v>18:46:14.914</v>
      </c>
      <c r="B697" t="s">
        <v>110</v>
      </c>
      <c r="C697" t="str">
        <f t="shared" si="30"/>
        <v>ffdfd3c0</v>
      </c>
      <c r="D697" t="s">
        <v>111</v>
      </c>
      <c r="E697">
        <v>18</v>
      </c>
      <c r="F697">
        <v>1018</v>
      </c>
      <c r="G697" t="s">
        <v>112</v>
      </c>
      <c r="J697" t="s">
        <v>113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R697" t="s">
        <v>114</v>
      </c>
      <c r="S697" t="str">
        <f>"18:46:14.688"</f>
        <v>18:46:14.688</v>
      </c>
      <c r="T697" t="str">
        <f>"18:46:14.289"</f>
        <v>18:46:14.289</v>
      </c>
      <c r="U697" t="str">
        <f t="shared" si="31"/>
        <v>a1cdbe</v>
      </c>
      <c r="V697">
        <v>0</v>
      </c>
      <c r="W697">
        <v>0</v>
      </c>
      <c r="X697">
        <v>1</v>
      </c>
      <c r="Y697">
        <v>0</v>
      </c>
      <c r="Z697">
        <v>0</v>
      </c>
      <c r="AB697">
        <v>0</v>
      </c>
      <c r="AC697">
        <v>9</v>
      </c>
      <c r="AD697">
        <v>3</v>
      </c>
      <c r="AE697">
        <v>0</v>
      </c>
      <c r="AF697">
        <v>9</v>
      </c>
      <c r="AG697" t="s">
        <v>158</v>
      </c>
      <c r="AH697">
        <v>0</v>
      </c>
      <c r="AI697">
        <v>3</v>
      </c>
      <c r="AJ697">
        <v>1</v>
      </c>
      <c r="AK697">
        <v>0</v>
      </c>
      <c r="AL697" t="s">
        <v>1464</v>
      </c>
      <c r="AM697">
        <v>46.890678000000001</v>
      </c>
      <c r="AN697" t="s">
        <v>1465</v>
      </c>
      <c r="AO697">
        <v>-122.37488500000001</v>
      </c>
      <c r="AP697">
        <v>100</v>
      </c>
      <c r="AQ697">
        <v>2000</v>
      </c>
      <c r="AR697" t="s">
        <v>118</v>
      </c>
      <c r="AS697">
        <v>-46</v>
      </c>
      <c r="AT697">
        <v>-63</v>
      </c>
      <c r="AU697">
        <v>64</v>
      </c>
      <c r="BC697">
        <v>1200</v>
      </c>
      <c r="BD697">
        <v>1</v>
      </c>
      <c r="BE697" t="str">
        <f t="shared" si="32"/>
        <v xml:space="preserve">N215T   </v>
      </c>
      <c r="BF697">
        <v>1</v>
      </c>
      <c r="BH697">
        <v>0</v>
      </c>
      <c r="BI697">
        <v>0</v>
      </c>
      <c r="BJ697">
        <v>0</v>
      </c>
      <c r="BK697">
        <v>2350</v>
      </c>
      <c r="BL697">
        <v>350</v>
      </c>
      <c r="BM697" t="s">
        <v>119</v>
      </c>
      <c r="BN697">
        <v>1</v>
      </c>
      <c r="BO697">
        <v>1</v>
      </c>
      <c r="BP697">
        <v>1</v>
      </c>
      <c r="BQ697">
        <v>0</v>
      </c>
      <c r="BT697">
        <v>0</v>
      </c>
      <c r="BU697">
        <v>0</v>
      </c>
      <c r="BV697">
        <v>0</v>
      </c>
      <c r="CC697" t="str">
        <f>"18:46:14.688"</f>
        <v>18:46:14.688</v>
      </c>
      <c r="CD697" t="str">
        <f>"690575543"</f>
        <v>690575543</v>
      </c>
      <c r="CQ697">
        <v>0</v>
      </c>
      <c r="CR697">
        <v>2</v>
      </c>
      <c r="CS697">
        <v>0</v>
      </c>
      <c r="CT697">
        <v>2</v>
      </c>
      <c r="CU697">
        <v>0</v>
      </c>
      <c r="CV697">
        <v>3</v>
      </c>
      <c r="CW697" t="s">
        <v>120</v>
      </c>
      <c r="CX697">
        <v>257</v>
      </c>
      <c r="CY697">
        <v>1</v>
      </c>
      <c r="CZ697" t="s">
        <v>615</v>
      </c>
      <c r="DA697" t="s">
        <v>616</v>
      </c>
      <c r="DD697">
        <v>10916545</v>
      </c>
      <c r="DE697" t="s">
        <v>123</v>
      </c>
    </row>
    <row r="698" spans="1:109" x14ac:dyDescent="0.3">
      <c r="A698" t="str">
        <f>"18:46:15.969"</f>
        <v>18:46:15.969</v>
      </c>
      <c r="B698" t="s">
        <v>110</v>
      </c>
      <c r="C698" t="str">
        <f t="shared" si="30"/>
        <v>ffdfd3c0</v>
      </c>
      <c r="D698" t="s">
        <v>111</v>
      </c>
      <c r="E698">
        <v>18</v>
      </c>
      <c r="F698">
        <v>1018</v>
      </c>
      <c r="G698" t="s">
        <v>112</v>
      </c>
      <c r="J698" t="s">
        <v>113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R698" t="s">
        <v>114</v>
      </c>
      <c r="S698" t="str">
        <f>"18:46:15.734"</f>
        <v>18:46:15.734</v>
      </c>
      <c r="T698" t="str">
        <f>"18:46:15.336"</f>
        <v>18:46:15.336</v>
      </c>
      <c r="U698" t="str">
        <f t="shared" si="31"/>
        <v>a1cdbe</v>
      </c>
      <c r="V698">
        <v>0</v>
      </c>
      <c r="W698">
        <v>0</v>
      </c>
      <c r="X698">
        <v>1</v>
      </c>
      <c r="Y698">
        <v>0</v>
      </c>
      <c r="Z698">
        <v>0</v>
      </c>
      <c r="AB698">
        <v>0</v>
      </c>
      <c r="AC698">
        <v>9</v>
      </c>
      <c r="AD698">
        <v>3</v>
      </c>
      <c r="AE698">
        <v>0</v>
      </c>
      <c r="AF698">
        <v>9</v>
      </c>
      <c r="AG698" t="s">
        <v>158</v>
      </c>
      <c r="AH698">
        <v>0</v>
      </c>
      <c r="AI698">
        <v>3</v>
      </c>
      <c r="AJ698">
        <v>1</v>
      </c>
      <c r="AK698">
        <v>0</v>
      </c>
      <c r="AL698" t="s">
        <v>1466</v>
      </c>
      <c r="AM698">
        <v>46.890377999999998</v>
      </c>
      <c r="AN698" t="s">
        <v>1467</v>
      </c>
      <c r="AO698">
        <v>-122.375207</v>
      </c>
      <c r="AP698">
        <v>100</v>
      </c>
      <c r="AQ698">
        <v>2000</v>
      </c>
      <c r="AR698" t="s">
        <v>118</v>
      </c>
      <c r="AS698">
        <v>-46</v>
      </c>
      <c r="AT698">
        <v>-63</v>
      </c>
      <c r="AU698">
        <v>64</v>
      </c>
      <c r="BC698">
        <v>1200</v>
      </c>
      <c r="BD698">
        <v>1</v>
      </c>
      <c r="BE698" t="str">
        <f t="shared" si="32"/>
        <v xml:space="preserve">N215T   </v>
      </c>
      <c r="BF698">
        <v>1</v>
      </c>
      <c r="BH698">
        <v>0</v>
      </c>
      <c r="BI698">
        <v>0</v>
      </c>
      <c r="BJ698">
        <v>0</v>
      </c>
      <c r="BK698">
        <v>2350</v>
      </c>
      <c r="BL698">
        <v>350</v>
      </c>
      <c r="BM698" t="s">
        <v>119</v>
      </c>
      <c r="BN698">
        <v>1</v>
      </c>
      <c r="BO698">
        <v>1</v>
      </c>
      <c r="BP698">
        <v>1</v>
      </c>
      <c r="BQ698">
        <v>0</v>
      </c>
      <c r="BT698">
        <v>0</v>
      </c>
      <c r="BU698">
        <v>0</v>
      </c>
      <c r="BV698">
        <v>0</v>
      </c>
      <c r="CC698" t="str">
        <f>"18:46:15.742"</f>
        <v>18:46:15.742</v>
      </c>
      <c r="CD698" t="str">
        <f>"740472063"</f>
        <v>740472063</v>
      </c>
      <c r="CQ698">
        <v>0</v>
      </c>
      <c r="CR698">
        <v>2</v>
      </c>
      <c r="CS698">
        <v>0</v>
      </c>
      <c r="CT698">
        <v>2</v>
      </c>
      <c r="CU698">
        <v>0</v>
      </c>
      <c r="CV698">
        <v>3</v>
      </c>
      <c r="CW698" t="s">
        <v>120</v>
      </c>
      <c r="CX698">
        <v>257</v>
      </c>
      <c r="CY698">
        <v>1</v>
      </c>
      <c r="CZ698" t="s">
        <v>615</v>
      </c>
      <c r="DA698" t="s">
        <v>616</v>
      </c>
      <c r="DD698">
        <v>10917188</v>
      </c>
      <c r="DE698" t="s">
        <v>123</v>
      </c>
    </row>
    <row r="699" spans="1:109" x14ac:dyDescent="0.3">
      <c r="A699" t="str">
        <f>"18:46:16.922"</f>
        <v>18:46:16.922</v>
      </c>
      <c r="B699" t="s">
        <v>110</v>
      </c>
      <c r="C699" t="str">
        <f t="shared" si="30"/>
        <v>ffdfd3c0</v>
      </c>
      <c r="D699" t="s">
        <v>111</v>
      </c>
      <c r="E699">
        <v>18</v>
      </c>
      <c r="F699">
        <v>1018</v>
      </c>
      <c r="G699" t="s">
        <v>112</v>
      </c>
      <c r="J699" t="s">
        <v>113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R699" t="s">
        <v>114</v>
      </c>
      <c r="S699" t="str">
        <f>"18:46:16.680"</f>
        <v>18:46:16.680</v>
      </c>
      <c r="T699" t="str">
        <f>"18:46:16.383"</f>
        <v>18:46:16.383</v>
      </c>
      <c r="U699" t="str">
        <f t="shared" si="31"/>
        <v>a1cdbe</v>
      </c>
      <c r="V699">
        <v>0</v>
      </c>
      <c r="W699">
        <v>0</v>
      </c>
      <c r="X699">
        <v>1</v>
      </c>
      <c r="Y699">
        <v>0</v>
      </c>
      <c r="Z699">
        <v>0</v>
      </c>
      <c r="AB699">
        <v>0</v>
      </c>
      <c r="AC699">
        <v>9</v>
      </c>
      <c r="AD699">
        <v>3</v>
      </c>
      <c r="AE699">
        <v>0</v>
      </c>
      <c r="AF699">
        <v>9</v>
      </c>
      <c r="AG699" t="s">
        <v>158</v>
      </c>
      <c r="AH699">
        <v>0</v>
      </c>
      <c r="AI699">
        <v>3</v>
      </c>
      <c r="AJ699">
        <v>1</v>
      </c>
      <c r="AK699">
        <v>0</v>
      </c>
      <c r="AL699" t="s">
        <v>1468</v>
      </c>
      <c r="AM699">
        <v>46.890121000000001</v>
      </c>
      <c r="AN699" t="s">
        <v>1469</v>
      </c>
      <c r="AO699">
        <v>-122.375507</v>
      </c>
      <c r="AP699">
        <v>100</v>
      </c>
      <c r="AQ699">
        <v>2000</v>
      </c>
      <c r="AR699" t="s">
        <v>118</v>
      </c>
      <c r="AS699">
        <v>-46</v>
      </c>
      <c r="AT699">
        <v>-63</v>
      </c>
      <c r="AU699">
        <v>0</v>
      </c>
      <c r="BC699">
        <v>1200</v>
      </c>
      <c r="BD699">
        <v>1</v>
      </c>
      <c r="BE699" t="str">
        <f t="shared" si="32"/>
        <v xml:space="preserve">N215T   </v>
      </c>
      <c r="BF699">
        <v>1</v>
      </c>
      <c r="BH699">
        <v>0</v>
      </c>
      <c r="BI699">
        <v>0</v>
      </c>
      <c r="BJ699">
        <v>0</v>
      </c>
      <c r="BK699">
        <v>2350</v>
      </c>
      <c r="BL699">
        <v>350</v>
      </c>
      <c r="BM699" t="s">
        <v>119</v>
      </c>
      <c r="BN699">
        <v>1</v>
      </c>
      <c r="BO699">
        <v>1</v>
      </c>
      <c r="BP699">
        <v>1</v>
      </c>
      <c r="BQ699">
        <v>0</v>
      </c>
      <c r="BT699">
        <v>0</v>
      </c>
      <c r="BU699">
        <v>0</v>
      </c>
      <c r="BV699">
        <v>0</v>
      </c>
      <c r="CC699" t="str">
        <f>"18:46:16.688"</f>
        <v>18:46:16.688</v>
      </c>
      <c r="CD699" t="str">
        <f>"685220162"</f>
        <v>685220162</v>
      </c>
      <c r="CQ699">
        <v>0</v>
      </c>
      <c r="CR699">
        <v>2</v>
      </c>
      <c r="CS699">
        <v>0</v>
      </c>
      <c r="CT699">
        <v>2</v>
      </c>
      <c r="CU699">
        <v>0</v>
      </c>
      <c r="CV699">
        <v>3</v>
      </c>
      <c r="CW699" t="s">
        <v>120</v>
      </c>
      <c r="CX699">
        <v>261</v>
      </c>
      <c r="CY699">
        <v>2</v>
      </c>
      <c r="CZ699" t="s">
        <v>121</v>
      </c>
      <c r="DA699" t="s">
        <v>122</v>
      </c>
      <c r="DD699">
        <v>14615393</v>
      </c>
      <c r="DE699" t="s">
        <v>123</v>
      </c>
    </row>
    <row r="700" spans="1:109" x14ac:dyDescent="0.3">
      <c r="A700" t="str">
        <f>"18:46:17.727"</f>
        <v>18:46:17.727</v>
      </c>
      <c r="B700" t="s">
        <v>110</v>
      </c>
      <c r="C700" t="str">
        <f t="shared" si="30"/>
        <v>ffdfd3c0</v>
      </c>
      <c r="D700" t="s">
        <v>111</v>
      </c>
      <c r="E700">
        <v>18</v>
      </c>
      <c r="F700">
        <v>1018</v>
      </c>
      <c r="G700" t="s">
        <v>112</v>
      </c>
      <c r="J700" t="s">
        <v>113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R700" t="s">
        <v>114</v>
      </c>
      <c r="S700" t="str">
        <f>"18:46:17.523"</f>
        <v>18:46:17.523</v>
      </c>
      <c r="T700" t="str">
        <f>"18:46:17.320"</f>
        <v>18:46:17.320</v>
      </c>
      <c r="U700" t="str">
        <f t="shared" si="31"/>
        <v>a1cdbe</v>
      </c>
      <c r="V700">
        <v>0</v>
      </c>
      <c r="W700">
        <v>0</v>
      </c>
      <c r="X700">
        <v>1</v>
      </c>
      <c r="Y700">
        <v>0</v>
      </c>
      <c r="Z700">
        <v>0</v>
      </c>
      <c r="AB700">
        <v>0</v>
      </c>
      <c r="AC700">
        <v>9</v>
      </c>
      <c r="AD700">
        <v>3</v>
      </c>
      <c r="AE700">
        <v>0</v>
      </c>
      <c r="AF700">
        <v>9</v>
      </c>
      <c r="AG700" t="s">
        <v>158</v>
      </c>
      <c r="AH700">
        <v>0</v>
      </c>
      <c r="AI700">
        <v>3</v>
      </c>
      <c r="AJ700">
        <v>1</v>
      </c>
      <c r="AK700">
        <v>0</v>
      </c>
      <c r="AL700" t="s">
        <v>1470</v>
      </c>
      <c r="AM700">
        <v>46.889884000000002</v>
      </c>
      <c r="AN700" t="s">
        <v>1471</v>
      </c>
      <c r="AO700">
        <v>-122.37578600000001</v>
      </c>
      <c r="AP700">
        <v>100</v>
      </c>
      <c r="AQ700">
        <v>2000</v>
      </c>
      <c r="AR700" t="s">
        <v>118</v>
      </c>
      <c r="AS700">
        <v>-46</v>
      </c>
      <c r="AT700">
        <v>-62</v>
      </c>
      <c r="AU700">
        <v>64</v>
      </c>
      <c r="BC700">
        <v>1200</v>
      </c>
      <c r="BD700">
        <v>1</v>
      </c>
      <c r="BE700" t="str">
        <f t="shared" si="32"/>
        <v xml:space="preserve">N215T   </v>
      </c>
      <c r="BF700">
        <v>1</v>
      </c>
      <c r="BH700">
        <v>0</v>
      </c>
      <c r="BI700">
        <v>0</v>
      </c>
      <c r="BJ700">
        <v>0</v>
      </c>
      <c r="BK700">
        <v>2350</v>
      </c>
      <c r="BL700">
        <v>350</v>
      </c>
      <c r="BM700" t="s">
        <v>119</v>
      </c>
      <c r="BN700">
        <v>1</v>
      </c>
      <c r="BO700">
        <v>1</v>
      </c>
      <c r="BP700">
        <v>1</v>
      </c>
      <c r="BQ700">
        <v>0</v>
      </c>
      <c r="BT700">
        <v>0</v>
      </c>
      <c r="BU700">
        <v>0</v>
      </c>
      <c r="BV700">
        <v>0</v>
      </c>
      <c r="CC700" t="str">
        <f>"18:46:17.523"</f>
        <v>18:46:17.523</v>
      </c>
      <c r="CD700" t="str">
        <f>"525296138"</f>
        <v>525296138</v>
      </c>
      <c r="CQ700">
        <v>0</v>
      </c>
      <c r="CR700">
        <v>2</v>
      </c>
      <c r="CS700">
        <v>0</v>
      </c>
      <c r="CT700">
        <v>2</v>
      </c>
      <c r="CU700">
        <v>0</v>
      </c>
      <c r="CV700">
        <v>3</v>
      </c>
      <c r="CW700" t="s">
        <v>120</v>
      </c>
      <c r="CX700">
        <v>257</v>
      </c>
      <c r="CY700">
        <v>1</v>
      </c>
      <c r="CZ700" t="s">
        <v>615</v>
      </c>
      <c r="DA700" t="s">
        <v>616</v>
      </c>
      <c r="DD700">
        <v>10918372</v>
      </c>
      <c r="DE700" t="s">
        <v>123</v>
      </c>
    </row>
    <row r="701" spans="1:109" x14ac:dyDescent="0.3">
      <c r="A701" t="str">
        <f>"18:46:18.781"</f>
        <v>18:46:18.781</v>
      </c>
      <c r="B701" t="s">
        <v>110</v>
      </c>
      <c r="C701" t="str">
        <f t="shared" si="30"/>
        <v>ffdfd3c0</v>
      </c>
      <c r="D701" t="s">
        <v>111</v>
      </c>
      <c r="E701">
        <v>18</v>
      </c>
      <c r="F701">
        <v>1018</v>
      </c>
      <c r="G701" t="s">
        <v>112</v>
      </c>
      <c r="J701" t="s">
        <v>113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R701" t="s">
        <v>114</v>
      </c>
      <c r="S701" t="str">
        <f>"18:46:18.555"</f>
        <v>18:46:18.555</v>
      </c>
      <c r="T701" t="str">
        <f>"18:46:18.352"</f>
        <v>18:46:18.352</v>
      </c>
      <c r="U701" t="str">
        <f t="shared" si="31"/>
        <v>a1cdbe</v>
      </c>
      <c r="V701">
        <v>0</v>
      </c>
      <c r="W701">
        <v>0</v>
      </c>
      <c r="X701">
        <v>1</v>
      </c>
      <c r="Y701">
        <v>0</v>
      </c>
      <c r="Z701">
        <v>0</v>
      </c>
      <c r="AB701">
        <v>0</v>
      </c>
      <c r="AC701">
        <v>9</v>
      </c>
      <c r="AD701">
        <v>3</v>
      </c>
      <c r="AE701">
        <v>0</v>
      </c>
      <c r="AF701">
        <v>9</v>
      </c>
      <c r="AG701" t="s">
        <v>158</v>
      </c>
      <c r="AH701">
        <v>0</v>
      </c>
      <c r="AI701">
        <v>3</v>
      </c>
      <c r="AJ701">
        <v>1</v>
      </c>
      <c r="AK701">
        <v>0</v>
      </c>
      <c r="AL701" t="s">
        <v>1472</v>
      </c>
      <c r="AM701">
        <v>46.889563000000003</v>
      </c>
      <c r="AN701" t="s">
        <v>1473</v>
      </c>
      <c r="AO701">
        <v>-122.376065</v>
      </c>
      <c r="AP701">
        <v>100</v>
      </c>
      <c r="AQ701">
        <v>2000</v>
      </c>
      <c r="AR701" t="s">
        <v>118</v>
      </c>
      <c r="AS701">
        <v>-46</v>
      </c>
      <c r="AT701">
        <v>-61</v>
      </c>
      <c r="AU701">
        <v>0</v>
      </c>
      <c r="BC701">
        <v>1200</v>
      </c>
      <c r="BD701">
        <v>1</v>
      </c>
      <c r="BE701" t="str">
        <f t="shared" si="32"/>
        <v xml:space="preserve">N215T   </v>
      </c>
      <c r="BF701">
        <v>1</v>
      </c>
      <c r="BH701">
        <v>0</v>
      </c>
      <c r="BI701">
        <v>0</v>
      </c>
      <c r="BJ701">
        <v>0</v>
      </c>
      <c r="BK701">
        <v>2350</v>
      </c>
      <c r="BL701">
        <v>350</v>
      </c>
      <c r="BM701" t="s">
        <v>119</v>
      </c>
      <c r="BN701">
        <v>1</v>
      </c>
      <c r="BO701">
        <v>1</v>
      </c>
      <c r="BP701">
        <v>1</v>
      </c>
      <c r="BQ701">
        <v>0</v>
      </c>
      <c r="BT701">
        <v>0</v>
      </c>
      <c r="BU701">
        <v>0</v>
      </c>
      <c r="BV701">
        <v>0</v>
      </c>
      <c r="CC701" t="str">
        <f>"18:46:18.563"</f>
        <v>18:46:18.563</v>
      </c>
      <c r="CD701" t="str">
        <f>"560194119"</f>
        <v>560194119</v>
      </c>
      <c r="CQ701">
        <v>0</v>
      </c>
      <c r="CR701">
        <v>2</v>
      </c>
      <c r="CS701">
        <v>0</v>
      </c>
      <c r="CT701">
        <v>2</v>
      </c>
      <c r="CU701">
        <v>0</v>
      </c>
      <c r="CV701">
        <v>3</v>
      </c>
      <c r="CW701" t="s">
        <v>120</v>
      </c>
      <c r="CX701">
        <v>257</v>
      </c>
      <c r="CY701">
        <v>1</v>
      </c>
      <c r="CZ701" t="s">
        <v>615</v>
      </c>
      <c r="DA701" t="s">
        <v>616</v>
      </c>
      <c r="DD701">
        <v>10919051</v>
      </c>
      <c r="DE701" t="s">
        <v>123</v>
      </c>
    </row>
    <row r="702" spans="1:109" x14ac:dyDescent="0.3">
      <c r="A702" t="str">
        <f>"18:46:19.891"</f>
        <v>18:46:19.891</v>
      </c>
      <c r="B702" t="s">
        <v>110</v>
      </c>
      <c r="C702" t="str">
        <f t="shared" si="30"/>
        <v>ffdfd3c0</v>
      </c>
      <c r="D702" t="s">
        <v>111</v>
      </c>
      <c r="E702">
        <v>18</v>
      </c>
      <c r="F702">
        <v>1018</v>
      </c>
      <c r="G702" t="s">
        <v>112</v>
      </c>
      <c r="J702" t="s">
        <v>113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R702" t="s">
        <v>114</v>
      </c>
      <c r="S702" t="str">
        <f>"18:46:19.664"</f>
        <v>18:46:19.664</v>
      </c>
      <c r="T702" t="str">
        <f>"18:46:19.367"</f>
        <v>18:46:19.367</v>
      </c>
      <c r="U702" t="str">
        <f t="shared" si="31"/>
        <v>a1cdbe</v>
      </c>
      <c r="V702">
        <v>0</v>
      </c>
      <c r="W702">
        <v>0</v>
      </c>
      <c r="X702">
        <v>1</v>
      </c>
      <c r="Y702">
        <v>0</v>
      </c>
      <c r="Z702">
        <v>0</v>
      </c>
      <c r="AB702">
        <v>0</v>
      </c>
      <c r="AC702">
        <v>9</v>
      </c>
      <c r="AD702">
        <v>3</v>
      </c>
      <c r="AE702">
        <v>0</v>
      </c>
      <c r="AF702">
        <v>9</v>
      </c>
      <c r="AG702" t="s">
        <v>158</v>
      </c>
      <c r="AH702">
        <v>0</v>
      </c>
      <c r="AI702">
        <v>3</v>
      </c>
      <c r="AJ702">
        <v>1</v>
      </c>
      <c r="AK702">
        <v>0</v>
      </c>
      <c r="AL702" t="s">
        <v>1474</v>
      </c>
      <c r="AM702">
        <v>46.889284000000004</v>
      </c>
      <c r="AN702" t="s">
        <v>1475</v>
      </c>
      <c r="AO702">
        <v>-122.37643</v>
      </c>
      <c r="AP702">
        <v>100</v>
      </c>
      <c r="AQ702">
        <v>2000</v>
      </c>
      <c r="AR702" t="s">
        <v>118</v>
      </c>
      <c r="AS702">
        <v>-47</v>
      </c>
      <c r="AT702">
        <v>-60</v>
      </c>
      <c r="AU702">
        <v>0</v>
      </c>
      <c r="BC702">
        <v>1200</v>
      </c>
      <c r="BD702">
        <v>1</v>
      </c>
      <c r="BE702" t="str">
        <f t="shared" si="32"/>
        <v xml:space="preserve">N215T   </v>
      </c>
      <c r="BF702">
        <v>1</v>
      </c>
      <c r="BH702">
        <v>0</v>
      </c>
      <c r="BI702">
        <v>0</v>
      </c>
      <c r="BJ702">
        <v>0</v>
      </c>
      <c r="BK702">
        <v>2350</v>
      </c>
      <c r="BL702">
        <v>350</v>
      </c>
      <c r="BM702" t="s">
        <v>119</v>
      </c>
      <c r="BN702">
        <v>1</v>
      </c>
      <c r="BO702">
        <v>1</v>
      </c>
      <c r="BP702">
        <v>1</v>
      </c>
      <c r="BQ702">
        <v>0</v>
      </c>
      <c r="BT702">
        <v>0</v>
      </c>
      <c r="BU702">
        <v>0</v>
      </c>
      <c r="BV702">
        <v>0</v>
      </c>
      <c r="CC702" t="str">
        <f>"18:46:19.672"</f>
        <v>18:46:19.672</v>
      </c>
      <c r="CD702" t="str">
        <f>"670084747"</f>
        <v>670084747</v>
      </c>
      <c r="CQ702">
        <v>0</v>
      </c>
      <c r="CR702">
        <v>2</v>
      </c>
      <c r="CS702">
        <v>0</v>
      </c>
      <c r="CT702">
        <v>2</v>
      </c>
      <c r="CU702">
        <v>0</v>
      </c>
      <c r="CV702">
        <v>4</v>
      </c>
      <c r="CW702" t="s">
        <v>120</v>
      </c>
      <c r="CX702">
        <v>257</v>
      </c>
      <c r="CY702">
        <v>1</v>
      </c>
      <c r="CZ702" t="s">
        <v>615</v>
      </c>
      <c r="DA702" t="s">
        <v>616</v>
      </c>
      <c r="DD702">
        <v>10919782</v>
      </c>
      <c r="DE702" t="s">
        <v>123</v>
      </c>
    </row>
    <row r="703" spans="1:109" x14ac:dyDescent="0.3">
      <c r="A703" t="str">
        <f>"18:46:20.992"</f>
        <v>18:46:20.992</v>
      </c>
      <c r="B703" t="s">
        <v>110</v>
      </c>
      <c r="C703" t="str">
        <f t="shared" si="30"/>
        <v>ffdfd3c0</v>
      </c>
      <c r="D703" t="s">
        <v>111</v>
      </c>
      <c r="E703">
        <v>18</v>
      </c>
      <c r="F703">
        <v>1018</v>
      </c>
      <c r="G703" t="s">
        <v>112</v>
      </c>
      <c r="J703" t="s">
        <v>113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R703" t="s">
        <v>114</v>
      </c>
      <c r="S703" t="str">
        <f>"18:46:20.742"</f>
        <v>18:46:20.742</v>
      </c>
      <c r="T703" t="str">
        <f>"18:46:20.344"</f>
        <v>18:46:20.344</v>
      </c>
      <c r="U703" t="str">
        <f t="shared" si="31"/>
        <v>a1cdbe</v>
      </c>
      <c r="V703">
        <v>0</v>
      </c>
      <c r="W703">
        <v>0</v>
      </c>
      <c r="X703">
        <v>1</v>
      </c>
      <c r="Y703">
        <v>0</v>
      </c>
      <c r="Z703">
        <v>0</v>
      </c>
      <c r="AB703">
        <v>0</v>
      </c>
      <c r="AC703">
        <v>9</v>
      </c>
      <c r="AD703">
        <v>3</v>
      </c>
      <c r="AE703">
        <v>0</v>
      </c>
      <c r="AF703">
        <v>9</v>
      </c>
      <c r="AG703" t="s">
        <v>158</v>
      </c>
      <c r="AH703">
        <v>0</v>
      </c>
      <c r="AI703">
        <v>3</v>
      </c>
      <c r="AJ703">
        <v>1</v>
      </c>
      <c r="AK703">
        <v>0</v>
      </c>
      <c r="AL703" t="s">
        <v>1476</v>
      </c>
      <c r="AM703">
        <v>46.889004999999997</v>
      </c>
      <c r="AN703" t="s">
        <v>1477</v>
      </c>
      <c r="AO703">
        <v>-122.376773</v>
      </c>
      <c r="AP703">
        <v>100</v>
      </c>
      <c r="AQ703">
        <v>2000</v>
      </c>
      <c r="AR703" t="s">
        <v>118</v>
      </c>
      <c r="AS703">
        <v>-48</v>
      </c>
      <c r="AT703">
        <v>-59</v>
      </c>
      <c r="AU703">
        <v>-192</v>
      </c>
      <c r="BC703">
        <v>1200</v>
      </c>
      <c r="BD703">
        <v>1</v>
      </c>
      <c r="BE703" t="str">
        <f t="shared" si="32"/>
        <v xml:space="preserve">N215T   </v>
      </c>
      <c r="BF703">
        <v>1</v>
      </c>
      <c r="BH703">
        <v>0</v>
      </c>
      <c r="BI703">
        <v>0</v>
      </c>
      <c r="BJ703">
        <v>0</v>
      </c>
      <c r="BK703">
        <v>2350</v>
      </c>
      <c r="BL703">
        <v>350</v>
      </c>
      <c r="BM703" t="s">
        <v>119</v>
      </c>
      <c r="BN703">
        <v>1</v>
      </c>
      <c r="BO703">
        <v>1</v>
      </c>
      <c r="BP703">
        <v>1</v>
      </c>
      <c r="BQ703">
        <v>0</v>
      </c>
      <c r="BT703">
        <v>0</v>
      </c>
      <c r="BU703">
        <v>0</v>
      </c>
      <c r="BV703">
        <v>0</v>
      </c>
      <c r="CC703" t="str">
        <f>"18:46:20.750"</f>
        <v>18:46:20.750</v>
      </c>
      <c r="CD703" t="str">
        <f>"749782448"</f>
        <v>749782448</v>
      </c>
      <c r="CQ703">
        <v>0</v>
      </c>
      <c r="CR703">
        <v>2</v>
      </c>
      <c r="CS703">
        <v>0</v>
      </c>
      <c r="CT703">
        <v>2</v>
      </c>
      <c r="CU703">
        <v>0</v>
      </c>
      <c r="CV703">
        <v>3</v>
      </c>
      <c r="CW703" t="s">
        <v>172</v>
      </c>
      <c r="CX703">
        <v>326</v>
      </c>
      <c r="CY703">
        <v>0</v>
      </c>
      <c r="CZ703" t="s">
        <v>173</v>
      </c>
      <c r="DA703" t="s">
        <v>174</v>
      </c>
      <c r="DD703">
        <v>5968181</v>
      </c>
      <c r="DE703" t="s">
        <v>123</v>
      </c>
    </row>
    <row r="704" spans="1:109" x14ac:dyDescent="0.3">
      <c r="A704" t="str">
        <f>"18:46:22.148"</f>
        <v>18:46:22.148</v>
      </c>
      <c r="B704" t="s">
        <v>110</v>
      </c>
      <c r="C704" t="str">
        <f t="shared" si="30"/>
        <v>ffdfd3c0</v>
      </c>
      <c r="D704" t="s">
        <v>111</v>
      </c>
      <c r="E704">
        <v>18</v>
      </c>
      <c r="F704">
        <v>1018</v>
      </c>
      <c r="G704" t="s">
        <v>112</v>
      </c>
      <c r="J704" t="s">
        <v>113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R704" t="s">
        <v>114</v>
      </c>
      <c r="S704" t="str">
        <f>"18:46:21.898"</f>
        <v>18:46:21.898</v>
      </c>
      <c r="T704" t="str">
        <f>"18:46:21.797"</f>
        <v>18:46:21.797</v>
      </c>
      <c r="U704" t="str">
        <f t="shared" si="31"/>
        <v>a1cdbe</v>
      </c>
      <c r="V704">
        <v>0</v>
      </c>
      <c r="W704">
        <v>0</v>
      </c>
      <c r="X704">
        <v>1</v>
      </c>
      <c r="Y704">
        <v>0</v>
      </c>
      <c r="Z704">
        <v>0</v>
      </c>
      <c r="AB704">
        <v>0</v>
      </c>
      <c r="AC704">
        <v>9</v>
      </c>
      <c r="AD704">
        <v>3</v>
      </c>
      <c r="AE704">
        <v>0</v>
      </c>
      <c r="AF704">
        <v>9</v>
      </c>
      <c r="AG704" t="s">
        <v>158</v>
      </c>
      <c r="AH704">
        <v>0</v>
      </c>
      <c r="AI704">
        <v>3</v>
      </c>
      <c r="AJ704">
        <v>1</v>
      </c>
      <c r="AK704">
        <v>0</v>
      </c>
      <c r="AL704" t="s">
        <v>1478</v>
      </c>
      <c r="AM704">
        <v>46.888618000000001</v>
      </c>
      <c r="AN704" t="s">
        <v>1479</v>
      </c>
      <c r="AO704">
        <v>-122.377138</v>
      </c>
      <c r="AP704">
        <v>100</v>
      </c>
      <c r="AQ704">
        <v>2000</v>
      </c>
      <c r="AR704" t="s">
        <v>118</v>
      </c>
      <c r="AS704">
        <v>-49</v>
      </c>
      <c r="AT704">
        <v>-58</v>
      </c>
      <c r="AU704">
        <v>-192</v>
      </c>
      <c r="BC704">
        <v>1200</v>
      </c>
      <c r="BD704">
        <v>1</v>
      </c>
      <c r="BE704" t="str">
        <f t="shared" si="32"/>
        <v xml:space="preserve">N215T   </v>
      </c>
      <c r="BF704">
        <v>1</v>
      </c>
      <c r="BH704">
        <v>0</v>
      </c>
      <c r="BI704">
        <v>0</v>
      </c>
      <c r="BJ704">
        <v>0</v>
      </c>
      <c r="BK704">
        <v>2350</v>
      </c>
      <c r="BL704">
        <v>350</v>
      </c>
      <c r="BM704" t="s">
        <v>119</v>
      </c>
      <c r="BN704">
        <v>1</v>
      </c>
      <c r="BO704">
        <v>1</v>
      </c>
      <c r="BP704">
        <v>1</v>
      </c>
      <c r="BQ704">
        <v>0</v>
      </c>
      <c r="BT704">
        <v>0</v>
      </c>
      <c r="BU704">
        <v>0</v>
      </c>
      <c r="BV704">
        <v>0</v>
      </c>
      <c r="CC704" t="str">
        <f>"18:46:21.906"</f>
        <v>18:46:21.906</v>
      </c>
      <c r="CD704" t="str">
        <f>"904706571"</f>
        <v>904706571</v>
      </c>
      <c r="CQ704">
        <v>0</v>
      </c>
      <c r="CR704">
        <v>2</v>
      </c>
      <c r="CS704">
        <v>0</v>
      </c>
      <c r="CT704">
        <v>2</v>
      </c>
      <c r="CU704">
        <v>0</v>
      </c>
      <c r="CV704">
        <v>4</v>
      </c>
      <c r="CW704" t="s">
        <v>120</v>
      </c>
      <c r="CX704">
        <v>261</v>
      </c>
      <c r="CY704">
        <v>2</v>
      </c>
      <c r="CZ704" t="s">
        <v>121</v>
      </c>
      <c r="DA704" t="s">
        <v>122</v>
      </c>
      <c r="DD704">
        <v>14618171</v>
      </c>
      <c r="DE704" t="s">
        <v>123</v>
      </c>
    </row>
    <row r="705" spans="1:109" x14ac:dyDescent="0.3">
      <c r="A705" t="str">
        <f>"18:46:22.953"</f>
        <v>18:46:22.953</v>
      </c>
      <c r="B705" t="s">
        <v>110</v>
      </c>
      <c r="C705" t="str">
        <f t="shared" si="30"/>
        <v>ffdfd3c0</v>
      </c>
      <c r="D705" t="s">
        <v>111</v>
      </c>
      <c r="E705">
        <v>18</v>
      </c>
      <c r="F705">
        <v>1018</v>
      </c>
      <c r="G705" t="s">
        <v>112</v>
      </c>
      <c r="J705" t="s">
        <v>113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R705" t="s">
        <v>114</v>
      </c>
      <c r="S705" t="str">
        <f>"18:46:22.758"</f>
        <v>18:46:22.758</v>
      </c>
      <c r="T705" t="str">
        <f>"18:46:22.758"</f>
        <v>18:46:22.758</v>
      </c>
      <c r="U705" t="str">
        <f t="shared" si="31"/>
        <v>a1cdbe</v>
      </c>
      <c r="V705">
        <v>0</v>
      </c>
      <c r="W705">
        <v>0</v>
      </c>
      <c r="X705">
        <v>1</v>
      </c>
      <c r="Y705">
        <v>0</v>
      </c>
      <c r="Z705">
        <v>0</v>
      </c>
      <c r="AB705">
        <v>0</v>
      </c>
      <c r="AC705">
        <v>9</v>
      </c>
      <c r="AD705">
        <v>3</v>
      </c>
      <c r="AE705">
        <v>0</v>
      </c>
      <c r="AF705">
        <v>9</v>
      </c>
      <c r="AG705" t="s">
        <v>158</v>
      </c>
      <c r="AH705">
        <v>0</v>
      </c>
      <c r="AI705">
        <v>3</v>
      </c>
      <c r="AJ705">
        <v>1</v>
      </c>
      <c r="AK705">
        <v>0</v>
      </c>
      <c r="AL705" t="s">
        <v>1480</v>
      </c>
      <c r="AM705">
        <v>46.888404000000001</v>
      </c>
      <c r="AN705" t="s">
        <v>1481</v>
      </c>
      <c r="AO705">
        <v>-122.37746</v>
      </c>
      <c r="AP705">
        <v>100</v>
      </c>
      <c r="AQ705">
        <v>1900</v>
      </c>
      <c r="AR705" t="s">
        <v>118</v>
      </c>
      <c r="AS705">
        <v>-50</v>
      </c>
      <c r="AT705">
        <v>-58</v>
      </c>
      <c r="AU705">
        <v>-256</v>
      </c>
      <c r="BC705">
        <v>1200</v>
      </c>
      <c r="BD705">
        <v>1</v>
      </c>
      <c r="BE705" t="str">
        <f t="shared" si="32"/>
        <v xml:space="preserve">N215T   </v>
      </c>
      <c r="BF705">
        <v>1</v>
      </c>
      <c r="BH705">
        <v>0</v>
      </c>
      <c r="BI705">
        <v>0</v>
      </c>
      <c r="BJ705">
        <v>0</v>
      </c>
      <c r="BK705">
        <v>2425</v>
      </c>
      <c r="BL705">
        <v>525</v>
      </c>
      <c r="BM705" t="s">
        <v>119</v>
      </c>
      <c r="BN705">
        <v>1</v>
      </c>
      <c r="BO705">
        <v>1</v>
      </c>
      <c r="BP705">
        <v>1</v>
      </c>
      <c r="BQ705">
        <v>0</v>
      </c>
      <c r="BT705">
        <v>0</v>
      </c>
      <c r="BU705">
        <v>0</v>
      </c>
      <c r="BV705">
        <v>0</v>
      </c>
      <c r="CC705" t="str">
        <f>"18:46:22.758"</f>
        <v>18:46:22.758</v>
      </c>
      <c r="CD705" t="str">
        <f>"759622481"</f>
        <v>759622481</v>
      </c>
      <c r="CQ705">
        <v>0</v>
      </c>
      <c r="CR705">
        <v>2</v>
      </c>
      <c r="CS705">
        <v>0</v>
      </c>
      <c r="CT705">
        <v>2</v>
      </c>
      <c r="CU705">
        <v>0</v>
      </c>
      <c r="CV705">
        <v>4</v>
      </c>
      <c r="CW705" t="s">
        <v>120</v>
      </c>
      <c r="CX705">
        <v>261</v>
      </c>
      <c r="CY705">
        <v>2</v>
      </c>
      <c r="CZ705" t="s">
        <v>121</v>
      </c>
      <c r="DA705" t="s">
        <v>122</v>
      </c>
      <c r="DD705">
        <v>14618630</v>
      </c>
      <c r="DE705" t="s">
        <v>123</v>
      </c>
    </row>
    <row r="706" spans="1:109" x14ac:dyDescent="0.3">
      <c r="A706" t="str">
        <f>"18:46:24.063"</f>
        <v>18:46:24.063</v>
      </c>
      <c r="B706" t="s">
        <v>110</v>
      </c>
      <c r="C706" t="str">
        <f t="shared" ref="C706:C769" si="33">"ffdfd3c0"</f>
        <v>ffdfd3c0</v>
      </c>
      <c r="D706" t="s">
        <v>111</v>
      </c>
      <c r="E706">
        <v>18</v>
      </c>
      <c r="F706">
        <v>1018</v>
      </c>
      <c r="G706" t="s">
        <v>112</v>
      </c>
      <c r="J706" t="s">
        <v>113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R706" t="s">
        <v>114</v>
      </c>
      <c r="S706" t="str">
        <f>"18:46:23.820"</f>
        <v>18:46:23.820</v>
      </c>
      <c r="T706" t="str">
        <f>"18:46:23.820"</f>
        <v>18:46:23.820</v>
      </c>
      <c r="U706" t="str">
        <f t="shared" ref="U706:U769" si="34">"a1cdbe"</f>
        <v>a1cdbe</v>
      </c>
      <c r="V706">
        <v>0</v>
      </c>
      <c r="W706">
        <v>0</v>
      </c>
      <c r="X706">
        <v>1</v>
      </c>
      <c r="Y706">
        <v>0</v>
      </c>
      <c r="Z706">
        <v>0</v>
      </c>
      <c r="AB706">
        <v>0</v>
      </c>
      <c r="AC706">
        <v>9</v>
      </c>
      <c r="AD706">
        <v>3</v>
      </c>
      <c r="AE706">
        <v>0</v>
      </c>
      <c r="AF706">
        <v>9</v>
      </c>
      <c r="AG706" t="s">
        <v>158</v>
      </c>
      <c r="AH706">
        <v>0</v>
      </c>
      <c r="AI706">
        <v>3</v>
      </c>
      <c r="AJ706">
        <v>1</v>
      </c>
      <c r="AK706">
        <v>0</v>
      </c>
      <c r="AL706" t="s">
        <v>1482</v>
      </c>
      <c r="AM706">
        <v>46.888168</v>
      </c>
      <c r="AN706" t="s">
        <v>1483</v>
      </c>
      <c r="AO706">
        <v>-122.37784600000001</v>
      </c>
      <c r="AP706">
        <v>100</v>
      </c>
      <c r="AQ706">
        <v>1900</v>
      </c>
      <c r="AR706" t="s">
        <v>118</v>
      </c>
      <c r="AS706">
        <v>-51</v>
      </c>
      <c r="AT706">
        <v>-58</v>
      </c>
      <c r="AU706">
        <v>-192</v>
      </c>
      <c r="BC706">
        <v>1200</v>
      </c>
      <c r="BD706">
        <v>1</v>
      </c>
      <c r="BE706" t="str">
        <f t="shared" ref="BE706:BE769" si="35">"N215T   "</f>
        <v xml:space="preserve">N215T   </v>
      </c>
      <c r="BF706">
        <v>1</v>
      </c>
      <c r="BH706">
        <v>0</v>
      </c>
      <c r="BI706">
        <v>0</v>
      </c>
      <c r="BJ706">
        <v>0</v>
      </c>
      <c r="BK706">
        <v>2325</v>
      </c>
      <c r="BL706">
        <v>425</v>
      </c>
      <c r="BM706" t="s">
        <v>119</v>
      </c>
      <c r="BN706">
        <v>1</v>
      </c>
      <c r="BO706">
        <v>1</v>
      </c>
      <c r="BP706">
        <v>1</v>
      </c>
      <c r="BQ706">
        <v>0</v>
      </c>
      <c r="BT706">
        <v>0</v>
      </c>
      <c r="BU706">
        <v>0</v>
      </c>
      <c r="BV706">
        <v>0</v>
      </c>
      <c r="CC706" t="str">
        <f>"18:46:23.828"</f>
        <v>18:46:23.828</v>
      </c>
      <c r="CD706" t="str">
        <f>"824675179"</f>
        <v>824675179</v>
      </c>
      <c r="CQ706">
        <v>0</v>
      </c>
      <c r="CR706">
        <v>2</v>
      </c>
      <c r="CS706">
        <v>0</v>
      </c>
      <c r="CT706">
        <v>2</v>
      </c>
      <c r="CU706">
        <v>0</v>
      </c>
      <c r="CV706">
        <v>2</v>
      </c>
      <c r="CW706" t="s">
        <v>120</v>
      </c>
      <c r="CX706">
        <v>257</v>
      </c>
      <c r="CY706">
        <v>1</v>
      </c>
      <c r="CZ706" t="s">
        <v>615</v>
      </c>
      <c r="DA706" t="s">
        <v>616</v>
      </c>
      <c r="DD706">
        <v>10922509</v>
      </c>
      <c r="DE706" t="s">
        <v>123</v>
      </c>
    </row>
    <row r="707" spans="1:109" x14ac:dyDescent="0.3">
      <c r="A707" t="str">
        <f>"18:46:25.117"</f>
        <v>18:46:25.117</v>
      </c>
      <c r="B707" t="s">
        <v>110</v>
      </c>
      <c r="C707" t="str">
        <f t="shared" si="33"/>
        <v>ffdfd3c0</v>
      </c>
      <c r="D707" t="s">
        <v>111</v>
      </c>
      <c r="E707">
        <v>18</v>
      </c>
      <c r="F707">
        <v>1018</v>
      </c>
      <c r="G707" t="s">
        <v>112</v>
      </c>
      <c r="J707" t="s">
        <v>113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R707" t="s">
        <v>114</v>
      </c>
      <c r="S707" t="str">
        <f>"18:46:24.914"</f>
        <v>18:46:24.914</v>
      </c>
      <c r="T707" t="str">
        <f>"18:46:24.711"</f>
        <v>18:46:24.711</v>
      </c>
      <c r="U707" t="str">
        <f t="shared" si="34"/>
        <v>a1cdbe</v>
      </c>
      <c r="V707">
        <v>0</v>
      </c>
      <c r="W707">
        <v>0</v>
      </c>
      <c r="X707">
        <v>1</v>
      </c>
      <c r="Y707">
        <v>0</v>
      </c>
      <c r="Z707">
        <v>0</v>
      </c>
      <c r="AB707">
        <v>0</v>
      </c>
      <c r="AC707">
        <v>9</v>
      </c>
      <c r="AD707">
        <v>3</v>
      </c>
      <c r="AE707">
        <v>0</v>
      </c>
      <c r="AF707">
        <v>9</v>
      </c>
      <c r="AG707" t="s">
        <v>158</v>
      </c>
      <c r="AH707">
        <v>0</v>
      </c>
      <c r="AI707">
        <v>3</v>
      </c>
      <c r="AJ707">
        <v>1</v>
      </c>
      <c r="AK707">
        <v>0</v>
      </c>
      <c r="AL707" t="s">
        <v>1484</v>
      </c>
      <c r="AM707">
        <v>46.887867</v>
      </c>
      <c r="AN707" t="s">
        <v>1485</v>
      </c>
      <c r="AO707">
        <v>-122.37821099999999</v>
      </c>
      <c r="AP707">
        <v>100</v>
      </c>
      <c r="AQ707">
        <v>1900</v>
      </c>
      <c r="AR707" t="s">
        <v>118</v>
      </c>
      <c r="AS707">
        <v>-51</v>
      </c>
      <c r="AT707">
        <v>-58</v>
      </c>
      <c r="AU707">
        <v>-192</v>
      </c>
      <c r="BC707">
        <v>1200</v>
      </c>
      <c r="BD707">
        <v>1</v>
      </c>
      <c r="BE707" t="str">
        <f t="shared" si="35"/>
        <v xml:space="preserve">N215T   </v>
      </c>
      <c r="BF707">
        <v>1</v>
      </c>
      <c r="BH707">
        <v>0</v>
      </c>
      <c r="BI707">
        <v>0</v>
      </c>
      <c r="BJ707">
        <v>0</v>
      </c>
      <c r="BK707">
        <v>2325</v>
      </c>
      <c r="BL707">
        <v>425</v>
      </c>
      <c r="BM707" t="s">
        <v>119</v>
      </c>
      <c r="BN707">
        <v>1</v>
      </c>
      <c r="BO707">
        <v>1</v>
      </c>
      <c r="BP707">
        <v>1</v>
      </c>
      <c r="BQ707">
        <v>0</v>
      </c>
      <c r="BT707">
        <v>0</v>
      </c>
      <c r="BU707">
        <v>0</v>
      </c>
      <c r="BV707">
        <v>0</v>
      </c>
      <c r="CC707" t="str">
        <f>"18:46:24.922"</f>
        <v>18:46:24.922</v>
      </c>
      <c r="CD707" t="str">
        <f>"919409966"</f>
        <v>919409966</v>
      </c>
      <c r="CQ707">
        <v>0</v>
      </c>
      <c r="CR707">
        <v>2</v>
      </c>
      <c r="CS707">
        <v>0</v>
      </c>
      <c r="CT707">
        <v>2</v>
      </c>
      <c r="CU707">
        <v>0</v>
      </c>
      <c r="CV707">
        <v>3</v>
      </c>
      <c r="CW707" t="s">
        <v>120</v>
      </c>
      <c r="CX707">
        <v>261</v>
      </c>
      <c r="CY707">
        <v>1</v>
      </c>
      <c r="CZ707" t="s">
        <v>121</v>
      </c>
      <c r="DA707" t="s">
        <v>122</v>
      </c>
      <c r="DD707">
        <v>3524391</v>
      </c>
      <c r="DE707" t="s">
        <v>123</v>
      </c>
    </row>
    <row r="708" spans="1:109" x14ac:dyDescent="0.3">
      <c r="A708" t="str">
        <f>"18:46:26.070"</f>
        <v>18:46:26.070</v>
      </c>
      <c r="B708" t="s">
        <v>110</v>
      </c>
      <c r="C708" t="str">
        <f t="shared" si="33"/>
        <v>ffdfd3c0</v>
      </c>
      <c r="D708" t="s">
        <v>111</v>
      </c>
      <c r="E708">
        <v>18</v>
      </c>
      <c r="F708">
        <v>1018</v>
      </c>
      <c r="G708" t="s">
        <v>112</v>
      </c>
      <c r="J708" t="s">
        <v>113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R708" t="s">
        <v>114</v>
      </c>
      <c r="S708" t="str">
        <f>"18:46:25.828"</f>
        <v>18:46:25.828</v>
      </c>
      <c r="T708" t="str">
        <f>"18:46:25.727"</f>
        <v>18:46:25.727</v>
      </c>
      <c r="U708" t="str">
        <f t="shared" si="34"/>
        <v>a1cdbe</v>
      </c>
      <c r="V708">
        <v>0</v>
      </c>
      <c r="W708">
        <v>0</v>
      </c>
      <c r="X708">
        <v>1</v>
      </c>
      <c r="Y708">
        <v>0</v>
      </c>
      <c r="Z708">
        <v>0</v>
      </c>
      <c r="AB708">
        <v>0</v>
      </c>
      <c r="AC708">
        <v>9</v>
      </c>
      <c r="AD708">
        <v>3</v>
      </c>
      <c r="AE708">
        <v>0</v>
      </c>
      <c r="AF708">
        <v>9</v>
      </c>
      <c r="AG708" t="s">
        <v>158</v>
      </c>
      <c r="AH708">
        <v>0</v>
      </c>
      <c r="AI708">
        <v>3</v>
      </c>
      <c r="AJ708">
        <v>1</v>
      </c>
      <c r="AK708">
        <v>0</v>
      </c>
      <c r="AL708" t="s">
        <v>1486</v>
      </c>
      <c r="AM708">
        <v>46.887610000000002</v>
      </c>
      <c r="AN708" t="s">
        <v>1487</v>
      </c>
      <c r="AO708">
        <v>-122.378469</v>
      </c>
      <c r="AP708">
        <v>100</v>
      </c>
      <c r="AQ708">
        <v>1900</v>
      </c>
      <c r="AR708" t="s">
        <v>118</v>
      </c>
      <c r="AS708">
        <v>-52</v>
      </c>
      <c r="AT708">
        <v>-58</v>
      </c>
      <c r="AU708">
        <v>-256</v>
      </c>
      <c r="BC708">
        <v>1200</v>
      </c>
      <c r="BD708">
        <v>1</v>
      </c>
      <c r="BE708" t="str">
        <f t="shared" si="35"/>
        <v xml:space="preserve">N215T   </v>
      </c>
      <c r="BF708">
        <v>1</v>
      </c>
      <c r="BH708">
        <v>0</v>
      </c>
      <c r="BI708">
        <v>0</v>
      </c>
      <c r="BJ708">
        <v>0</v>
      </c>
      <c r="BK708">
        <v>2325</v>
      </c>
      <c r="BL708">
        <v>425</v>
      </c>
      <c r="BM708" t="s">
        <v>119</v>
      </c>
      <c r="BN708">
        <v>1</v>
      </c>
      <c r="BO708">
        <v>1</v>
      </c>
      <c r="BP708">
        <v>1</v>
      </c>
      <c r="BQ708">
        <v>0</v>
      </c>
      <c r="BT708">
        <v>0</v>
      </c>
      <c r="BU708">
        <v>0</v>
      </c>
      <c r="BV708">
        <v>0</v>
      </c>
      <c r="CC708" t="str">
        <f>"18:46:25.836"</f>
        <v>18:46:25.836</v>
      </c>
      <c r="CD708" t="str">
        <f>"834451213"</f>
        <v>834451213</v>
      </c>
      <c r="CQ708">
        <v>0</v>
      </c>
      <c r="CR708">
        <v>2</v>
      </c>
      <c r="CS708">
        <v>0</v>
      </c>
      <c r="CT708">
        <v>2</v>
      </c>
      <c r="CU708">
        <v>0</v>
      </c>
      <c r="CV708">
        <v>3</v>
      </c>
      <c r="CW708" t="s">
        <v>120</v>
      </c>
      <c r="CX708">
        <v>259</v>
      </c>
      <c r="CY708">
        <v>1</v>
      </c>
      <c r="CZ708" t="s">
        <v>197</v>
      </c>
      <c r="DA708" t="s">
        <v>198</v>
      </c>
      <c r="DD708">
        <v>15099992</v>
      </c>
      <c r="DE708" t="s">
        <v>123</v>
      </c>
    </row>
    <row r="709" spans="1:109" x14ac:dyDescent="0.3">
      <c r="A709" t="str">
        <f>"18:46:26.977"</f>
        <v>18:46:26.977</v>
      </c>
      <c r="B709" t="s">
        <v>110</v>
      </c>
      <c r="C709" t="str">
        <f t="shared" si="33"/>
        <v>ffdfd3c0</v>
      </c>
      <c r="D709" t="s">
        <v>111</v>
      </c>
      <c r="E709">
        <v>18</v>
      </c>
      <c r="F709">
        <v>1018</v>
      </c>
      <c r="G709" t="s">
        <v>112</v>
      </c>
      <c r="J709" t="s">
        <v>113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R709" t="s">
        <v>114</v>
      </c>
      <c r="S709" t="str">
        <f>"18:46:26.727"</f>
        <v>18:46:26.727</v>
      </c>
      <c r="T709" t="str">
        <f>"18:46:26.328"</f>
        <v>18:46:26.328</v>
      </c>
      <c r="U709" t="str">
        <f t="shared" si="34"/>
        <v>a1cdbe</v>
      </c>
      <c r="V709">
        <v>0</v>
      </c>
      <c r="W709">
        <v>0</v>
      </c>
      <c r="X709">
        <v>1</v>
      </c>
      <c r="Y709">
        <v>0</v>
      </c>
      <c r="Z709">
        <v>0</v>
      </c>
      <c r="AB709">
        <v>0</v>
      </c>
      <c r="AC709">
        <v>9</v>
      </c>
      <c r="AD709">
        <v>3</v>
      </c>
      <c r="AE709">
        <v>0</v>
      </c>
      <c r="AF709">
        <v>9</v>
      </c>
      <c r="AG709" t="s">
        <v>158</v>
      </c>
      <c r="AH709">
        <v>0</v>
      </c>
      <c r="AI709">
        <v>3</v>
      </c>
      <c r="AJ709">
        <v>1</v>
      </c>
      <c r="AK709">
        <v>0</v>
      </c>
      <c r="AL709" t="s">
        <v>1488</v>
      </c>
      <c r="AM709">
        <v>46.887374000000001</v>
      </c>
      <c r="AN709" t="s">
        <v>1489</v>
      </c>
      <c r="AO709">
        <v>-122.378812</v>
      </c>
      <c r="AP709">
        <v>100</v>
      </c>
      <c r="AQ709">
        <v>1900</v>
      </c>
      <c r="AR709" t="s">
        <v>118</v>
      </c>
      <c r="AS709">
        <v>-52</v>
      </c>
      <c r="AT709">
        <v>-58</v>
      </c>
      <c r="AU709">
        <v>-256</v>
      </c>
      <c r="BC709">
        <v>1200</v>
      </c>
      <c r="BD709">
        <v>1</v>
      </c>
      <c r="BE709" t="str">
        <f t="shared" si="35"/>
        <v xml:space="preserve">N215T   </v>
      </c>
      <c r="BF709">
        <v>1</v>
      </c>
      <c r="BH709">
        <v>0</v>
      </c>
      <c r="BI709">
        <v>0</v>
      </c>
      <c r="BJ709">
        <v>0</v>
      </c>
      <c r="BK709">
        <v>2325</v>
      </c>
      <c r="BL709">
        <v>425</v>
      </c>
      <c r="BM709" t="s">
        <v>119</v>
      </c>
      <c r="BN709">
        <v>1</v>
      </c>
      <c r="BO709">
        <v>1</v>
      </c>
      <c r="BP709">
        <v>1</v>
      </c>
      <c r="BQ709">
        <v>0</v>
      </c>
      <c r="BT709">
        <v>0</v>
      </c>
      <c r="BU709">
        <v>0</v>
      </c>
      <c r="BV709">
        <v>0</v>
      </c>
      <c r="CC709" t="str">
        <f>"18:46:26.734"</f>
        <v>18:46:26.734</v>
      </c>
      <c r="CD709" t="str">
        <f>"734231377"</f>
        <v>734231377</v>
      </c>
      <c r="CQ709">
        <v>0</v>
      </c>
      <c r="CR709">
        <v>2</v>
      </c>
      <c r="CS709">
        <v>0</v>
      </c>
      <c r="CT709">
        <v>2</v>
      </c>
      <c r="CU709">
        <v>0</v>
      </c>
      <c r="CV709">
        <v>3</v>
      </c>
      <c r="CW709" t="s">
        <v>120</v>
      </c>
      <c r="CX709">
        <v>261</v>
      </c>
      <c r="CY709">
        <v>1</v>
      </c>
      <c r="CZ709" t="s">
        <v>121</v>
      </c>
      <c r="DA709" t="s">
        <v>122</v>
      </c>
      <c r="DD709">
        <v>3525492</v>
      </c>
      <c r="DE709" t="s">
        <v>123</v>
      </c>
    </row>
    <row r="710" spans="1:109" x14ac:dyDescent="0.3">
      <c r="A710" t="str">
        <f>"18:46:28.031"</f>
        <v>18:46:28.031</v>
      </c>
      <c r="B710" t="s">
        <v>110</v>
      </c>
      <c r="C710" t="str">
        <f t="shared" si="33"/>
        <v>ffdfd3c0</v>
      </c>
      <c r="D710" t="s">
        <v>111</v>
      </c>
      <c r="E710">
        <v>18</v>
      </c>
      <c r="F710">
        <v>1018</v>
      </c>
      <c r="G710" t="s">
        <v>112</v>
      </c>
      <c r="J710" t="s">
        <v>113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R710" t="s">
        <v>114</v>
      </c>
      <c r="S710" t="str">
        <f>"18:46:27.781"</f>
        <v>18:46:27.781</v>
      </c>
      <c r="T710" t="str">
        <f>"18:46:27.383"</f>
        <v>18:46:27.383</v>
      </c>
      <c r="U710" t="str">
        <f t="shared" si="34"/>
        <v>a1cdbe</v>
      </c>
      <c r="V710">
        <v>0</v>
      </c>
      <c r="W710">
        <v>0</v>
      </c>
      <c r="X710">
        <v>1</v>
      </c>
      <c r="Y710">
        <v>0</v>
      </c>
      <c r="Z710">
        <v>0</v>
      </c>
      <c r="AB710">
        <v>0</v>
      </c>
      <c r="AC710">
        <v>9</v>
      </c>
      <c r="AD710">
        <v>3</v>
      </c>
      <c r="AE710">
        <v>0</v>
      </c>
      <c r="AF710">
        <v>9</v>
      </c>
      <c r="AG710" t="s">
        <v>158</v>
      </c>
      <c r="AH710">
        <v>0</v>
      </c>
      <c r="AI710">
        <v>3</v>
      </c>
      <c r="AJ710">
        <v>1</v>
      </c>
      <c r="AK710">
        <v>0</v>
      </c>
      <c r="AL710" t="s">
        <v>1490</v>
      </c>
      <c r="AM710">
        <v>46.887095000000002</v>
      </c>
      <c r="AN710" t="s">
        <v>1491</v>
      </c>
      <c r="AO710">
        <v>-122.379177</v>
      </c>
      <c r="AP710">
        <v>100</v>
      </c>
      <c r="AQ710">
        <v>1900</v>
      </c>
      <c r="AR710" t="s">
        <v>118</v>
      </c>
      <c r="AS710">
        <v>-52</v>
      </c>
      <c r="AT710">
        <v>-58</v>
      </c>
      <c r="AU710">
        <v>-320</v>
      </c>
      <c r="BC710">
        <v>1200</v>
      </c>
      <c r="BD710">
        <v>1</v>
      </c>
      <c r="BE710" t="str">
        <f t="shared" si="35"/>
        <v xml:space="preserve">N215T   </v>
      </c>
      <c r="BF710">
        <v>1</v>
      </c>
      <c r="BH710">
        <v>0</v>
      </c>
      <c r="BI710">
        <v>0</v>
      </c>
      <c r="BJ710">
        <v>0</v>
      </c>
      <c r="BK710">
        <v>2325</v>
      </c>
      <c r="BL710">
        <v>425</v>
      </c>
      <c r="BM710" t="s">
        <v>119</v>
      </c>
      <c r="BN710">
        <v>1</v>
      </c>
      <c r="BO710">
        <v>1</v>
      </c>
      <c r="BP710">
        <v>1</v>
      </c>
      <c r="BQ710">
        <v>0</v>
      </c>
      <c r="BT710">
        <v>0</v>
      </c>
      <c r="BU710">
        <v>0</v>
      </c>
      <c r="BV710">
        <v>0</v>
      </c>
      <c r="CC710" t="str">
        <f>"18:46:27.781"</f>
        <v>18:46:27.781</v>
      </c>
      <c r="CD710" t="str">
        <f>"784259469"</f>
        <v>784259469</v>
      </c>
      <c r="CQ710">
        <v>0</v>
      </c>
      <c r="CR710">
        <v>2</v>
      </c>
      <c r="CS710">
        <v>0</v>
      </c>
      <c r="CT710">
        <v>2</v>
      </c>
      <c r="CU710">
        <v>0</v>
      </c>
      <c r="CV710">
        <v>3</v>
      </c>
      <c r="CW710" t="s">
        <v>120</v>
      </c>
      <c r="CX710">
        <v>259</v>
      </c>
      <c r="CY710">
        <v>1</v>
      </c>
      <c r="CZ710" t="s">
        <v>197</v>
      </c>
      <c r="DA710" t="s">
        <v>198</v>
      </c>
      <c r="DD710">
        <v>15101237</v>
      </c>
      <c r="DE710" t="s">
        <v>123</v>
      </c>
    </row>
    <row r="711" spans="1:109" x14ac:dyDescent="0.3">
      <c r="A711" t="str">
        <f>"18:46:29.039"</f>
        <v>18:46:29.039</v>
      </c>
      <c r="B711" t="s">
        <v>110</v>
      </c>
      <c r="C711" t="str">
        <f t="shared" si="33"/>
        <v>ffdfd3c0</v>
      </c>
      <c r="D711" t="s">
        <v>111</v>
      </c>
      <c r="E711">
        <v>18</v>
      </c>
      <c r="F711">
        <v>1018</v>
      </c>
      <c r="G711" t="s">
        <v>112</v>
      </c>
      <c r="J711" t="s">
        <v>113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R711" t="s">
        <v>114</v>
      </c>
      <c r="S711" t="str">
        <f>"18:46:28.781"</f>
        <v>18:46:28.781</v>
      </c>
      <c r="T711" t="str">
        <f>"18:46:28.781"</f>
        <v>18:46:28.781</v>
      </c>
      <c r="U711" t="str">
        <f t="shared" si="34"/>
        <v>a1cdbe</v>
      </c>
      <c r="V711">
        <v>0</v>
      </c>
      <c r="W711">
        <v>0</v>
      </c>
      <c r="X711">
        <v>1</v>
      </c>
      <c r="Y711">
        <v>0</v>
      </c>
      <c r="Z711">
        <v>0</v>
      </c>
      <c r="AB711">
        <v>0</v>
      </c>
      <c r="AC711">
        <v>9</v>
      </c>
      <c r="AD711">
        <v>3</v>
      </c>
      <c r="AE711">
        <v>0</v>
      </c>
      <c r="AF711">
        <v>9</v>
      </c>
      <c r="AG711" t="s">
        <v>158</v>
      </c>
      <c r="AH711">
        <v>0</v>
      </c>
      <c r="AI711">
        <v>3</v>
      </c>
      <c r="AJ711">
        <v>1</v>
      </c>
      <c r="AK711">
        <v>0</v>
      </c>
      <c r="AL711" t="s">
        <v>1492</v>
      </c>
      <c r="AM711">
        <v>46.886816000000003</v>
      </c>
      <c r="AN711" t="s">
        <v>1493</v>
      </c>
      <c r="AO711">
        <v>-122.37958399999999</v>
      </c>
      <c r="AP711">
        <v>100</v>
      </c>
      <c r="AQ711">
        <v>1900</v>
      </c>
      <c r="AR711" t="s">
        <v>118</v>
      </c>
      <c r="AS711">
        <v>-52</v>
      </c>
      <c r="AT711">
        <v>-58</v>
      </c>
      <c r="AU711">
        <v>-192</v>
      </c>
      <c r="BC711">
        <v>1200</v>
      </c>
      <c r="BD711">
        <v>1</v>
      </c>
      <c r="BE711" t="str">
        <f t="shared" si="35"/>
        <v xml:space="preserve">N215T   </v>
      </c>
      <c r="BF711">
        <v>1</v>
      </c>
      <c r="BH711">
        <v>0</v>
      </c>
      <c r="BI711">
        <v>0</v>
      </c>
      <c r="BJ711">
        <v>0</v>
      </c>
      <c r="BK711">
        <v>2300</v>
      </c>
      <c r="BL711">
        <v>400</v>
      </c>
      <c r="BM711" t="s">
        <v>119</v>
      </c>
      <c r="BN711">
        <v>1</v>
      </c>
      <c r="BO711">
        <v>1</v>
      </c>
      <c r="BP711">
        <v>1</v>
      </c>
      <c r="BQ711">
        <v>0</v>
      </c>
      <c r="BT711">
        <v>0</v>
      </c>
      <c r="BU711">
        <v>0</v>
      </c>
      <c r="BV711">
        <v>0</v>
      </c>
      <c r="CC711" t="str">
        <f>"18:46:28.789"</f>
        <v>18:46:28.789</v>
      </c>
      <c r="CD711" t="str">
        <f>"789029172"</f>
        <v>789029172</v>
      </c>
      <c r="CQ711">
        <v>0</v>
      </c>
      <c r="CR711">
        <v>2</v>
      </c>
      <c r="CS711">
        <v>0</v>
      </c>
      <c r="CT711">
        <v>2</v>
      </c>
      <c r="CU711">
        <v>0</v>
      </c>
      <c r="CV711">
        <v>3</v>
      </c>
      <c r="CW711" t="s">
        <v>120</v>
      </c>
      <c r="CX711">
        <v>261</v>
      </c>
      <c r="CY711">
        <v>1</v>
      </c>
      <c r="CZ711" t="s">
        <v>121</v>
      </c>
      <c r="DA711" t="s">
        <v>122</v>
      </c>
      <c r="DD711">
        <v>3526696</v>
      </c>
      <c r="DE711" t="s">
        <v>123</v>
      </c>
    </row>
    <row r="712" spans="1:109" x14ac:dyDescent="0.3">
      <c r="A712" t="str">
        <f>"18:46:30.047"</f>
        <v>18:46:30.047</v>
      </c>
      <c r="B712" t="s">
        <v>110</v>
      </c>
      <c r="C712" t="str">
        <f t="shared" si="33"/>
        <v>ffdfd3c0</v>
      </c>
      <c r="D712" t="s">
        <v>111</v>
      </c>
      <c r="E712">
        <v>18</v>
      </c>
      <c r="F712">
        <v>1018</v>
      </c>
      <c r="G712" t="s">
        <v>112</v>
      </c>
      <c r="J712" t="s">
        <v>113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R712" t="s">
        <v>114</v>
      </c>
      <c r="S712" t="str">
        <f>"18:46:29.805"</f>
        <v>18:46:29.805</v>
      </c>
      <c r="T712" t="str">
        <f>"18:46:29.703"</f>
        <v>18:46:29.703</v>
      </c>
      <c r="U712" t="str">
        <f t="shared" si="34"/>
        <v>a1cdbe</v>
      </c>
      <c r="V712">
        <v>0</v>
      </c>
      <c r="W712">
        <v>0</v>
      </c>
      <c r="X712">
        <v>1</v>
      </c>
      <c r="Y712">
        <v>0</v>
      </c>
      <c r="Z712">
        <v>0</v>
      </c>
      <c r="AB712">
        <v>0</v>
      </c>
      <c r="AC712">
        <v>9</v>
      </c>
      <c r="AD712">
        <v>3</v>
      </c>
      <c r="AE712">
        <v>0</v>
      </c>
      <c r="AF712">
        <v>9</v>
      </c>
      <c r="AG712" t="s">
        <v>158</v>
      </c>
      <c r="AH712">
        <v>0</v>
      </c>
      <c r="AI712">
        <v>3</v>
      </c>
      <c r="AJ712">
        <v>1</v>
      </c>
      <c r="AK712">
        <v>0</v>
      </c>
      <c r="AL712" t="s">
        <v>1494</v>
      </c>
      <c r="AM712">
        <v>46.886536999999997</v>
      </c>
      <c r="AN712" t="s">
        <v>1495</v>
      </c>
      <c r="AO712">
        <v>-122.379949</v>
      </c>
      <c r="AP712">
        <v>100</v>
      </c>
      <c r="AQ712">
        <v>1900</v>
      </c>
      <c r="AR712" t="s">
        <v>118</v>
      </c>
      <c r="AS712">
        <v>-52</v>
      </c>
      <c r="AT712">
        <v>-58</v>
      </c>
      <c r="AU712">
        <v>-256</v>
      </c>
      <c r="BC712">
        <v>1200</v>
      </c>
      <c r="BD712">
        <v>1</v>
      </c>
      <c r="BE712" t="str">
        <f t="shared" si="35"/>
        <v xml:space="preserve">N215T   </v>
      </c>
      <c r="BF712">
        <v>1</v>
      </c>
      <c r="BH712">
        <v>0</v>
      </c>
      <c r="BI712">
        <v>0</v>
      </c>
      <c r="BJ712">
        <v>0</v>
      </c>
      <c r="BK712">
        <v>2300</v>
      </c>
      <c r="BL712">
        <v>400</v>
      </c>
      <c r="BM712" t="s">
        <v>119</v>
      </c>
      <c r="BN712">
        <v>1</v>
      </c>
      <c r="BO712">
        <v>1</v>
      </c>
      <c r="BP712">
        <v>1</v>
      </c>
      <c r="BQ712">
        <v>0</v>
      </c>
      <c r="BT712">
        <v>0</v>
      </c>
      <c r="BU712">
        <v>0</v>
      </c>
      <c r="BV712">
        <v>0</v>
      </c>
      <c r="CC712" t="str">
        <f>"18:46:29.813"</f>
        <v>18:46:29.813</v>
      </c>
      <c r="CD712" t="str">
        <f>"809085226"</f>
        <v>809085226</v>
      </c>
      <c r="CQ712">
        <v>0</v>
      </c>
      <c r="CR712">
        <v>2</v>
      </c>
      <c r="CS712">
        <v>0</v>
      </c>
      <c r="CT712">
        <v>2</v>
      </c>
      <c r="CU712">
        <v>0</v>
      </c>
      <c r="CV712">
        <v>2</v>
      </c>
      <c r="CW712" t="s">
        <v>120</v>
      </c>
      <c r="CX712">
        <v>257</v>
      </c>
      <c r="CY712">
        <v>1</v>
      </c>
      <c r="CZ712" t="s">
        <v>615</v>
      </c>
      <c r="DA712" t="s">
        <v>616</v>
      </c>
      <c r="DD712">
        <v>10926398</v>
      </c>
      <c r="DE712" t="s">
        <v>123</v>
      </c>
    </row>
    <row r="713" spans="1:109" x14ac:dyDescent="0.3">
      <c r="A713" t="str">
        <f>"18:46:30.953"</f>
        <v>18:46:30.953</v>
      </c>
      <c r="B713" t="s">
        <v>110</v>
      </c>
      <c r="C713" t="str">
        <f t="shared" si="33"/>
        <v>ffdfd3c0</v>
      </c>
      <c r="D713" t="s">
        <v>111</v>
      </c>
      <c r="E713">
        <v>18</v>
      </c>
      <c r="F713">
        <v>1018</v>
      </c>
      <c r="G713" t="s">
        <v>112</v>
      </c>
      <c r="J713" t="s">
        <v>113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R713" t="s">
        <v>114</v>
      </c>
      <c r="S713" t="str">
        <f>"18:46:30.719"</f>
        <v>18:46:30.719</v>
      </c>
      <c r="T713" t="str">
        <f>"18:46:30.219"</f>
        <v>18:46:30.219</v>
      </c>
      <c r="U713" t="str">
        <f t="shared" si="34"/>
        <v>a1cdbe</v>
      </c>
      <c r="V713">
        <v>0</v>
      </c>
      <c r="W713">
        <v>0</v>
      </c>
      <c r="X713">
        <v>1</v>
      </c>
      <c r="Y713">
        <v>0</v>
      </c>
      <c r="Z713">
        <v>0</v>
      </c>
      <c r="AB713">
        <v>0</v>
      </c>
      <c r="AC713">
        <v>9</v>
      </c>
      <c r="AD713">
        <v>3</v>
      </c>
      <c r="AE713">
        <v>0</v>
      </c>
      <c r="AF713">
        <v>9</v>
      </c>
      <c r="AG713" t="s">
        <v>158</v>
      </c>
      <c r="AH713">
        <v>0</v>
      </c>
      <c r="AI713">
        <v>3</v>
      </c>
      <c r="AJ713">
        <v>1</v>
      </c>
      <c r="AK713">
        <v>0</v>
      </c>
      <c r="AL713" t="s">
        <v>1496</v>
      </c>
      <c r="AM713">
        <v>46.886301000000003</v>
      </c>
      <c r="AN713" t="s">
        <v>1497</v>
      </c>
      <c r="AO713">
        <v>-122.380228</v>
      </c>
      <c r="AP713">
        <v>100</v>
      </c>
      <c r="AQ713">
        <v>1900</v>
      </c>
      <c r="AR713" t="s">
        <v>118</v>
      </c>
      <c r="AS713">
        <v>-52</v>
      </c>
      <c r="AT713">
        <v>-58</v>
      </c>
      <c r="AU713">
        <v>-64</v>
      </c>
      <c r="BC713">
        <v>1200</v>
      </c>
      <c r="BD713">
        <v>1</v>
      </c>
      <c r="BE713" t="str">
        <f t="shared" si="35"/>
        <v xml:space="preserve">N215T   </v>
      </c>
      <c r="BF713">
        <v>1</v>
      </c>
      <c r="BH713">
        <v>0</v>
      </c>
      <c r="BI713">
        <v>0</v>
      </c>
      <c r="BJ713">
        <v>0</v>
      </c>
      <c r="BK713">
        <v>2300</v>
      </c>
      <c r="BL713">
        <v>400</v>
      </c>
      <c r="BM713" t="s">
        <v>119</v>
      </c>
      <c r="BN713">
        <v>1</v>
      </c>
      <c r="BO713">
        <v>1</v>
      </c>
      <c r="BP713">
        <v>1</v>
      </c>
      <c r="BQ713">
        <v>0</v>
      </c>
      <c r="BT713">
        <v>0</v>
      </c>
      <c r="BU713">
        <v>0</v>
      </c>
      <c r="BV713">
        <v>0</v>
      </c>
      <c r="CC713" t="str">
        <f>"18:46:30.727"</f>
        <v>18:46:30.727</v>
      </c>
      <c r="CD713" t="str">
        <f>"723838780"</f>
        <v>723838780</v>
      </c>
      <c r="CQ713">
        <v>0</v>
      </c>
      <c r="CR713">
        <v>2</v>
      </c>
      <c r="CS713">
        <v>0</v>
      </c>
      <c r="CT713">
        <v>2</v>
      </c>
      <c r="CU713">
        <v>0</v>
      </c>
      <c r="CV713">
        <v>4</v>
      </c>
      <c r="CW713" t="s">
        <v>120</v>
      </c>
      <c r="CX713">
        <v>261</v>
      </c>
      <c r="CY713">
        <v>2</v>
      </c>
      <c r="CZ713" t="s">
        <v>121</v>
      </c>
      <c r="DA713" t="s">
        <v>122</v>
      </c>
      <c r="DD713">
        <v>14622990</v>
      </c>
      <c r="DE713" t="s">
        <v>123</v>
      </c>
    </row>
    <row r="714" spans="1:109" x14ac:dyDescent="0.3">
      <c r="A714" t="str">
        <f>"18:46:31.906"</f>
        <v>18:46:31.906</v>
      </c>
      <c r="B714" t="s">
        <v>110</v>
      </c>
      <c r="C714" t="str">
        <f t="shared" si="33"/>
        <v>ffdfd3c0</v>
      </c>
      <c r="D714" t="s">
        <v>111</v>
      </c>
      <c r="E714">
        <v>18</v>
      </c>
      <c r="F714">
        <v>1018</v>
      </c>
      <c r="G714" t="s">
        <v>112</v>
      </c>
      <c r="J714" t="s">
        <v>113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R714" t="s">
        <v>114</v>
      </c>
      <c r="S714" t="str">
        <f>"18:46:31.711"</f>
        <v>18:46:31.711</v>
      </c>
      <c r="T714" t="str">
        <f>"18:46:31.211"</f>
        <v>18:46:31.211</v>
      </c>
      <c r="U714" t="str">
        <f t="shared" si="34"/>
        <v>a1cdbe</v>
      </c>
      <c r="V714">
        <v>0</v>
      </c>
      <c r="W714">
        <v>0</v>
      </c>
      <c r="X714">
        <v>1</v>
      </c>
      <c r="Y714">
        <v>0</v>
      </c>
      <c r="Z714">
        <v>0</v>
      </c>
      <c r="AB714">
        <v>0</v>
      </c>
      <c r="AC714">
        <v>9</v>
      </c>
      <c r="AD714">
        <v>3</v>
      </c>
      <c r="AE714">
        <v>0</v>
      </c>
      <c r="AF714">
        <v>9</v>
      </c>
      <c r="AG714" t="s">
        <v>158</v>
      </c>
      <c r="AH714">
        <v>0</v>
      </c>
      <c r="AI714">
        <v>3</v>
      </c>
      <c r="AJ714">
        <v>1</v>
      </c>
      <c r="AK714">
        <v>0</v>
      </c>
      <c r="AL714" t="s">
        <v>1498</v>
      </c>
      <c r="AM714">
        <v>46.886021999999997</v>
      </c>
      <c r="AN714" t="s">
        <v>1499</v>
      </c>
      <c r="AO714">
        <v>-122.38061399999999</v>
      </c>
      <c r="AP714">
        <v>100</v>
      </c>
      <c r="AQ714">
        <v>1900</v>
      </c>
      <c r="AR714" t="s">
        <v>118</v>
      </c>
      <c r="AS714">
        <v>-51</v>
      </c>
      <c r="AT714">
        <v>-59</v>
      </c>
      <c r="AU714">
        <v>64</v>
      </c>
      <c r="BC714">
        <v>1200</v>
      </c>
      <c r="BD714">
        <v>1</v>
      </c>
      <c r="BE714" t="str">
        <f t="shared" si="35"/>
        <v xml:space="preserve">N215T   </v>
      </c>
      <c r="BF714">
        <v>1</v>
      </c>
      <c r="BH714">
        <v>0</v>
      </c>
      <c r="BI714">
        <v>0</v>
      </c>
      <c r="BJ714">
        <v>0</v>
      </c>
      <c r="BK714">
        <v>2300</v>
      </c>
      <c r="BL714">
        <v>400</v>
      </c>
      <c r="BM714" t="s">
        <v>119</v>
      </c>
      <c r="BN714">
        <v>1</v>
      </c>
      <c r="BO714">
        <v>1</v>
      </c>
      <c r="BP714">
        <v>1</v>
      </c>
      <c r="BQ714">
        <v>0</v>
      </c>
      <c r="BT714">
        <v>0</v>
      </c>
      <c r="BU714">
        <v>0</v>
      </c>
      <c r="BV714">
        <v>0</v>
      </c>
      <c r="CC714" t="str">
        <f>"18:46:31.711"</f>
        <v>18:46:31.711</v>
      </c>
      <c r="CD714" t="str">
        <f>"713741363"</f>
        <v>713741363</v>
      </c>
      <c r="CQ714">
        <v>0</v>
      </c>
      <c r="CR714">
        <v>2</v>
      </c>
      <c r="CS714">
        <v>0</v>
      </c>
      <c r="CT714">
        <v>2</v>
      </c>
      <c r="CU714">
        <v>0</v>
      </c>
      <c r="CV714">
        <v>3</v>
      </c>
      <c r="CW714" t="s">
        <v>120</v>
      </c>
      <c r="CX714">
        <v>261</v>
      </c>
      <c r="CY714">
        <v>2</v>
      </c>
      <c r="CZ714" t="s">
        <v>121</v>
      </c>
      <c r="DA714" t="s">
        <v>122</v>
      </c>
      <c r="DD714">
        <v>14623503</v>
      </c>
      <c r="DE714" t="s">
        <v>123</v>
      </c>
    </row>
    <row r="715" spans="1:109" x14ac:dyDescent="0.3">
      <c r="A715" t="str">
        <f>"18:46:32.961"</f>
        <v>18:46:32.961</v>
      </c>
      <c r="B715" t="s">
        <v>110</v>
      </c>
      <c r="C715" t="str">
        <f t="shared" si="33"/>
        <v>ffdfd3c0</v>
      </c>
      <c r="D715" t="s">
        <v>111</v>
      </c>
      <c r="E715">
        <v>18</v>
      </c>
      <c r="F715">
        <v>1018</v>
      </c>
      <c r="G715" t="s">
        <v>112</v>
      </c>
      <c r="J715" t="s">
        <v>113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R715" t="s">
        <v>114</v>
      </c>
      <c r="S715" t="str">
        <f>"18:46:32.742"</f>
        <v>18:46:32.742</v>
      </c>
      <c r="T715" t="str">
        <f>"18:46:32.742"</f>
        <v>18:46:32.742</v>
      </c>
      <c r="U715" t="str">
        <f t="shared" si="34"/>
        <v>a1cdbe</v>
      </c>
      <c r="V715">
        <v>0</v>
      </c>
      <c r="W715">
        <v>0</v>
      </c>
      <c r="X715">
        <v>1</v>
      </c>
      <c r="Y715">
        <v>0</v>
      </c>
      <c r="Z715">
        <v>0</v>
      </c>
      <c r="AB715">
        <v>0</v>
      </c>
      <c r="AC715">
        <v>9</v>
      </c>
      <c r="AD715">
        <v>3</v>
      </c>
      <c r="AE715">
        <v>0</v>
      </c>
      <c r="AF715">
        <v>9</v>
      </c>
      <c r="AG715" t="s">
        <v>158</v>
      </c>
      <c r="AH715">
        <v>0</v>
      </c>
      <c r="AI715">
        <v>3</v>
      </c>
      <c r="AJ715">
        <v>1</v>
      </c>
      <c r="AK715">
        <v>0</v>
      </c>
      <c r="AL715" t="s">
        <v>1500</v>
      </c>
      <c r="AM715">
        <v>46.885742999999998</v>
      </c>
      <c r="AN715" t="s">
        <v>1501</v>
      </c>
      <c r="AO715">
        <v>-122.38093600000001</v>
      </c>
      <c r="AP715">
        <v>100</v>
      </c>
      <c r="AQ715">
        <v>1900</v>
      </c>
      <c r="AR715" t="s">
        <v>118</v>
      </c>
      <c r="AS715">
        <v>-51</v>
      </c>
      <c r="AT715">
        <v>-59</v>
      </c>
      <c r="AU715">
        <v>192</v>
      </c>
      <c r="BC715">
        <v>1200</v>
      </c>
      <c r="BD715">
        <v>1</v>
      </c>
      <c r="BE715" t="str">
        <f t="shared" si="35"/>
        <v xml:space="preserve">N215T   </v>
      </c>
      <c r="BF715">
        <v>1</v>
      </c>
      <c r="BH715">
        <v>0</v>
      </c>
      <c r="BI715">
        <v>0</v>
      </c>
      <c r="BJ715">
        <v>0</v>
      </c>
      <c r="BK715">
        <v>2300</v>
      </c>
      <c r="BL715">
        <v>400</v>
      </c>
      <c r="BM715" t="s">
        <v>119</v>
      </c>
      <c r="BN715">
        <v>1</v>
      </c>
      <c r="BO715">
        <v>1</v>
      </c>
      <c r="BP715">
        <v>1</v>
      </c>
      <c r="BQ715">
        <v>0</v>
      </c>
      <c r="BT715">
        <v>0</v>
      </c>
      <c r="BU715">
        <v>0</v>
      </c>
      <c r="BV715">
        <v>0</v>
      </c>
      <c r="CC715" t="str">
        <f>"18:46:32.750"</f>
        <v>18:46:32.750</v>
      </c>
      <c r="CD715" t="str">
        <f>"748602391"</f>
        <v>748602391</v>
      </c>
      <c r="CQ715">
        <v>0</v>
      </c>
      <c r="CR715">
        <v>2</v>
      </c>
      <c r="CS715">
        <v>0</v>
      </c>
      <c r="CT715">
        <v>2</v>
      </c>
      <c r="CU715">
        <v>0</v>
      </c>
      <c r="CV715">
        <v>3</v>
      </c>
      <c r="CW715" t="s">
        <v>172</v>
      </c>
      <c r="CX715">
        <v>326</v>
      </c>
      <c r="CY715">
        <v>0</v>
      </c>
      <c r="CZ715" t="s">
        <v>173</v>
      </c>
      <c r="DA715" t="s">
        <v>174</v>
      </c>
      <c r="DD715">
        <v>5974855</v>
      </c>
      <c r="DE715" t="s">
        <v>123</v>
      </c>
    </row>
    <row r="716" spans="1:109" x14ac:dyDescent="0.3">
      <c r="A716" t="str">
        <f>"18:46:34.117"</f>
        <v>18:46:34.117</v>
      </c>
      <c r="B716" t="s">
        <v>110</v>
      </c>
      <c r="C716" t="str">
        <f t="shared" si="33"/>
        <v>ffdfd3c0</v>
      </c>
      <c r="D716" t="s">
        <v>111</v>
      </c>
      <c r="E716">
        <v>18</v>
      </c>
      <c r="F716">
        <v>1018</v>
      </c>
      <c r="G716" t="s">
        <v>112</v>
      </c>
      <c r="J716" t="s">
        <v>113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R716" t="s">
        <v>114</v>
      </c>
      <c r="S716" t="str">
        <f>"18:46:33.867"</f>
        <v>18:46:33.867</v>
      </c>
      <c r="T716" t="str">
        <f>"18:46:33.867"</f>
        <v>18:46:33.867</v>
      </c>
      <c r="U716" t="str">
        <f t="shared" si="34"/>
        <v>a1cdbe</v>
      </c>
      <c r="V716">
        <v>0</v>
      </c>
      <c r="W716">
        <v>0</v>
      </c>
      <c r="X716">
        <v>1</v>
      </c>
      <c r="Y716">
        <v>0</v>
      </c>
      <c r="Z716">
        <v>0</v>
      </c>
      <c r="AB716">
        <v>0</v>
      </c>
      <c r="AC716">
        <v>9</v>
      </c>
      <c r="AD716">
        <v>3</v>
      </c>
      <c r="AE716">
        <v>0</v>
      </c>
      <c r="AF716">
        <v>9</v>
      </c>
      <c r="AG716" t="s">
        <v>158</v>
      </c>
      <c r="AH716">
        <v>0</v>
      </c>
      <c r="AI716">
        <v>3</v>
      </c>
      <c r="AJ716">
        <v>1</v>
      </c>
      <c r="AK716">
        <v>0</v>
      </c>
      <c r="AL716" t="s">
        <v>1502</v>
      </c>
      <c r="AM716">
        <v>46.885421000000001</v>
      </c>
      <c r="AN716" t="s">
        <v>1503</v>
      </c>
      <c r="AO716">
        <v>-122.381365</v>
      </c>
      <c r="AP716">
        <v>100</v>
      </c>
      <c r="AQ716">
        <v>1900</v>
      </c>
      <c r="AR716" t="s">
        <v>118</v>
      </c>
      <c r="AS716">
        <v>-51</v>
      </c>
      <c r="AT716">
        <v>-59</v>
      </c>
      <c r="AU716">
        <v>192</v>
      </c>
      <c r="BC716">
        <v>1200</v>
      </c>
      <c r="BD716">
        <v>1</v>
      </c>
      <c r="BE716" t="str">
        <f t="shared" si="35"/>
        <v xml:space="preserve">N215T   </v>
      </c>
      <c r="BF716">
        <v>1</v>
      </c>
      <c r="BH716">
        <v>0</v>
      </c>
      <c r="BI716">
        <v>0</v>
      </c>
      <c r="BJ716">
        <v>0</v>
      </c>
      <c r="BK716">
        <v>2300</v>
      </c>
      <c r="BL716">
        <v>400</v>
      </c>
      <c r="BM716" t="s">
        <v>119</v>
      </c>
      <c r="BN716">
        <v>1</v>
      </c>
      <c r="BO716">
        <v>1</v>
      </c>
      <c r="BP716">
        <v>1</v>
      </c>
      <c r="BQ716">
        <v>0</v>
      </c>
      <c r="BT716">
        <v>0</v>
      </c>
      <c r="BU716">
        <v>0</v>
      </c>
      <c r="BV716">
        <v>0</v>
      </c>
      <c r="CC716" t="str">
        <f>"18:46:33.875"</f>
        <v>18:46:33.875</v>
      </c>
      <c r="CD716" t="str">
        <f>"873660578"</f>
        <v>873660578</v>
      </c>
      <c r="CQ716">
        <v>0</v>
      </c>
      <c r="CR716">
        <v>2</v>
      </c>
      <c r="CS716">
        <v>0</v>
      </c>
      <c r="CT716">
        <v>2</v>
      </c>
      <c r="CU716">
        <v>0</v>
      </c>
      <c r="CV716">
        <v>3</v>
      </c>
      <c r="CW716" t="s">
        <v>120</v>
      </c>
      <c r="CX716">
        <v>259</v>
      </c>
      <c r="CY716">
        <v>1</v>
      </c>
      <c r="CZ716" t="s">
        <v>197</v>
      </c>
      <c r="DA716" t="s">
        <v>198</v>
      </c>
      <c r="DD716">
        <v>15105135</v>
      </c>
      <c r="DE716" t="s">
        <v>123</v>
      </c>
    </row>
    <row r="717" spans="1:109" x14ac:dyDescent="0.3">
      <c r="A717" t="str">
        <f>"18:46:35.070"</f>
        <v>18:46:35.070</v>
      </c>
      <c r="B717" t="s">
        <v>110</v>
      </c>
      <c r="C717" t="str">
        <f t="shared" si="33"/>
        <v>ffdfd3c0</v>
      </c>
      <c r="D717" t="s">
        <v>111</v>
      </c>
      <c r="E717">
        <v>18</v>
      </c>
      <c r="F717">
        <v>1018</v>
      </c>
      <c r="G717" t="s">
        <v>112</v>
      </c>
      <c r="J717" t="s">
        <v>113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R717" t="s">
        <v>114</v>
      </c>
      <c r="S717" t="str">
        <f>"18:46:34.813"</f>
        <v>18:46:34.813</v>
      </c>
      <c r="T717" t="str">
        <f>"18:46:34.414"</f>
        <v>18:46:34.414</v>
      </c>
      <c r="U717" t="str">
        <f t="shared" si="34"/>
        <v>a1cdbe</v>
      </c>
      <c r="V717">
        <v>0</v>
      </c>
      <c r="W717">
        <v>0</v>
      </c>
      <c r="X717">
        <v>1</v>
      </c>
      <c r="Y717">
        <v>0</v>
      </c>
      <c r="Z717">
        <v>0</v>
      </c>
      <c r="AB717">
        <v>0</v>
      </c>
      <c r="AC717">
        <v>9</v>
      </c>
      <c r="AD717">
        <v>3</v>
      </c>
      <c r="AE717">
        <v>0</v>
      </c>
      <c r="AF717">
        <v>9</v>
      </c>
      <c r="AG717" t="s">
        <v>158</v>
      </c>
      <c r="AH717">
        <v>0</v>
      </c>
      <c r="AI717">
        <v>3</v>
      </c>
      <c r="AJ717">
        <v>1</v>
      </c>
      <c r="AK717">
        <v>0</v>
      </c>
      <c r="AL717" t="s">
        <v>1504</v>
      </c>
      <c r="AM717">
        <v>46.885164000000003</v>
      </c>
      <c r="AN717" t="s">
        <v>1505</v>
      </c>
      <c r="AO717">
        <v>-122.38164399999999</v>
      </c>
      <c r="AP717">
        <v>100</v>
      </c>
      <c r="AQ717">
        <v>1900</v>
      </c>
      <c r="AR717" t="s">
        <v>118</v>
      </c>
      <c r="AS717">
        <v>-51</v>
      </c>
      <c r="AT717">
        <v>-59</v>
      </c>
      <c r="AU717">
        <v>128</v>
      </c>
      <c r="BC717">
        <v>1200</v>
      </c>
      <c r="BD717">
        <v>1</v>
      </c>
      <c r="BE717" t="str">
        <f t="shared" si="35"/>
        <v xml:space="preserve">N215T   </v>
      </c>
      <c r="BF717">
        <v>1</v>
      </c>
      <c r="BH717">
        <v>0</v>
      </c>
      <c r="BI717">
        <v>0</v>
      </c>
      <c r="BJ717">
        <v>0</v>
      </c>
      <c r="BK717">
        <v>2300</v>
      </c>
      <c r="BL717">
        <v>400</v>
      </c>
      <c r="BM717" t="s">
        <v>119</v>
      </c>
      <c r="BN717">
        <v>1</v>
      </c>
      <c r="BO717">
        <v>1</v>
      </c>
      <c r="BP717">
        <v>1</v>
      </c>
      <c r="BQ717">
        <v>0</v>
      </c>
      <c r="BT717">
        <v>0</v>
      </c>
      <c r="BU717">
        <v>0</v>
      </c>
      <c r="BV717">
        <v>0</v>
      </c>
      <c r="CC717" t="str">
        <f>"18:46:34.820"</f>
        <v>18:46:34.820</v>
      </c>
      <c r="CD717" t="str">
        <f>"818567632"</f>
        <v>818567632</v>
      </c>
      <c r="CQ717">
        <v>0</v>
      </c>
      <c r="CR717">
        <v>2</v>
      </c>
      <c r="CS717">
        <v>0</v>
      </c>
      <c r="CT717">
        <v>2</v>
      </c>
      <c r="CU717">
        <v>0</v>
      </c>
      <c r="CV717">
        <v>3</v>
      </c>
      <c r="CW717" t="s">
        <v>120</v>
      </c>
      <c r="CX717">
        <v>259</v>
      </c>
      <c r="CY717">
        <v>1</v>
      </c>
      <c r="CZ717" t="s">
        <v>197</v>
      </c>
      <c r="DA717" t="s">
        <v>198</v>
      </c>
      <c r="DD717">
        <v>15105756</v>
      </c>
      <c r="DE717" t="s">
        <v>123</v>
      </c>
    </row>
    <row r="718" spans="1:109" x14ac:dyDescent="0.3">
      <c r="A718" t="str">
        <f>"18:46:36.078"</f>
        <v>18:46:36.078</v>
      </c>
      <c r="B718" t="s">
        <v>110</v>
      </c>
      <c r="C718" t="str">
        <f t="shared" si="33"/>
        <v>ffdfd3c0</v>
      </c>
      <c r="D718" t="s">
        <v>111</v>
      </c>
      <c r="E718">
        <v>18</v>
      </c>
      <c r="F718">
        <v>1018</v>
      </c>
      <c r="G718" t="s">
        <v>112</v>
      </c>
      <c r="J718" t="s">
        <v>113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R718" t="s">
        <v>114</v>
      </c>
      <c r="S718" t="str">
        <f>"18:46:35.867"</f>
        <v>18:46:35.867</v>
      </c>
      <c r="T718" t="str">
        <f>"18:46:35.367"</f>
        <v>18:46:35.367</v>
      </c>
      <c r="U718" t="str">
        <f t="shared" si="34"/>
        <v>a1cdbe</v>
      </c>
      <c r="V718">
        <v>0</v>
      </c>
      <c r="W718">
        <v>0</v>
      </c>
      <c r="X718">
        <v>1</v>
      </c>
      <c r="Y718">
        <v>0</v>
      </c>
      <c r="Z718">
        <v>0</v>
      </c>
      <c r="AB718">
        <v>0</v>
      </c>
      <c r="AC718">
        <v>9</v>
      </c>
      <c r="AD718">
        <v>3</v>
      </c>
      <c r="AE718">
        <v>0</v>
      </c>
      <c r="AF718">
        <v>9</v>
      </c>
      <c r="AG718" t="s">
        <v>158</v>
      </c>
      <c r="AH718">
        <v>0</v>
      </c>
      <c r="AI718">
        <v>3</v>
      </c>
      <c r="AJ718">
        <v>1</v>
      </c>
      <c r="AK718">
        <v>0</v>
      </c>
      <c r="AL718" t="s">
        <v>1506</v>
      </c>
      <c r="AM718">
        <v>46.884906000000001</v>
      </c>
      <c r="AN718" t="s">
        <v>1507</v>
      </c>
      <c r="AO718">
        <v>-122.38198800000001</v>
      </c>
      <c r="AP718">
        <v>100</v>
      </c>
      <c r="AQ718">
        <v>1900</v>
      </c>
      <c r="AR718" t="s">
        <v>118</v>
      </c>
      <c r="AS718">
        <v>-51</v>
      </c>
      <c r="AT718">
        <v>-59</v>
      </c>
      <c r="AU718">
        <v>128</v>
      </c>
      <c r="BC718">
        <v>1200</v>
      </c>
      <c r="BD718">
        <v>1</v>
      </c>
      <c r="BE718" t="str">
        <f t="shared" si="35"/>
        <v xml:space="preserve">N215T   </v>
      </c>
      <c r="BF718">
        <v>1</v>
      </c>
      <c r="BH718">
        <v>0</v>
      </c>
      <c r="BI718">
        <v>0</v>
      </c>
      <c r="BJ718">
        <v>0</v>
      </c>
      <c r="BK718">
        <v>2300</v>
      </c>
      <c r="BL718">
        <v>400</v>
      </c>
      <c r="BM718" t="s">
        <v>119</v>
      </c>
      <c r="BN718">
        <v>1</v>
      </c>
      <c r="BO718">
        <v>1</v>
      </c>
      <c r="BP718">
        <v>1</v>
      </c>
      <c r="BQ718">
        <v>0</v>
      </c>
      <c r="BT718">
        <v>0</v>
      </c>
      <c r="BU718">
        <v>0</v>
      </c>
      <c r="BV718">
        <v>0</v>
      </c>
      <c r="CC718" t="str">
        <f>"18:46:35.867"</f>
        <v>18:46:35.867</v>
      </c>
      <c r="CD718" t="str">
        <f>"868295502"</f>
        <v>868295502</v>
      </c>
      <c r="CQ718">
        <v>0</v>
      </c>
      <c r="CR718">
        <v>2</v>
      </c>
      <c r="CS718">
        <v>0</v>
      </c>
      <c r="CT718">
        <v>2</v>
      </c>
      <c r="CU718">
        <v>0</v>
      </c>
      <c r="CV718">
        <v>3</v>
      </c>
      <c r="CW718" t="s">
        <v>172</v>
      </c>
      <c r="CX718">
        <v>326</v>
      </c>
      <c r="CY718">
        <v>0</v>
      </c>
      <c r="CZ718" t="s">
        <v>173</v>
      </c>
      <c r="DA718" t="s">
        <v>174</v>
      </c>
      <c r="DD718">
        <v>5976485</v>
      </c>
      <c r="DE718" t="s">
        <v>123</v>
      </c>
    </row>
    <row r="719" spans="1:109" x14ac:dyDescent="0.3">
      <c r="A719" t="str">
        <f>"18:46:36.930"</f>
        <v>18:46:36.930</v>
      </c>
      <c r="B719" t="s">
        <v>110</v>
      </c>
      <c r="C719" t="str">
        <f t="shared" si="33"/>
        <v>ffdfd3c0</v>
      </c>
      <c r="D719" t="s">
        <v>111</v>
      </c>
      <c r="E719">
        <v>18</v>
      </c>
      <c r="F719">
        <v>1018</v>
      </c>
      <c r="G719" t="s">
        <v>112</v>
      </c>
      <c r="J719" t="s">
        <v>113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R719" t="s">
        <v>114</v>
      </c>
      <c r="S719" t="str">
        <f>"18:46:36.734"</f>
        <v>18:46:36.734</v>
      </c>
      <c r="T719" t="str">
        <f>"18:46:36.531"</f>
        <v>18:46:36.531</v>
      </c>
      <c r="U719" t="str">
        <f t="shared" si="34"/>
        <v>a1cdbe</v>
      </c>
      <c r="V719">
        <v>0</v>
      </c>
      <c r="W719">
        <v>0</v>
      </c>
      <c r="X719">
        <v>1</v>
      </c>
      <c r="Y719">
        <v>0</v>
      </c>
      <c r="Z719">
        <v>0</v>
      </c>
      <c r="AB719">
        <v>0</v>
      </c>
      <c r="AC719">
        <v>9</v>
      </c>
      <c r="AD719">
        <v>3</v>
      </c>
      <c r="AE719">
        <v>0</v>
      </c>
      <c r="AF719">
        <v>9</v>
      </c>
      <c r="AG719" t="s">
        <v>158</v>
      </c>
      <c r="AH719">
        <v>0</v>
      </c>
      <c r="AI719">
        <v>3</v>
      </c>
      <c r="AJ719">
        <v>1</v>
      </c>
      <c r="AK719">
        <v>0</v>
      </c>
      <c r="AL719" t="s">
        <v>1508</v>
      </c>
      <c r="AM719">
        <v>46.884627000000002</v>
      </c>
      <c r="AN719" t="s">
        <v>1509</v>
      </c>
      <c r="AO719">
        <v>-122.382267</v>
      </c>
      <c r="AP719">
        <v>100</v>
      </c>
      <c r="AQ719">
        <v>1900</v>
      </c>
      <c r="AR719" t="s">
        <v>118</v>
      </c>
      <c r="AS719">
        <v>-51</v>
      </c>
      <c r="AT719">
        <v>-59</v>
      </c>
      <c r="AU719">
        <v>-64</v>
      </c>
      <c r="BC719">
        <v>1200</v>
      </c>
      <c r="BD719">
        <v>1</v>
      </c>
      <c r="BE719" t="str">
        <f t="shared" si="35"/>
        <v xml:space="preserve">N215T   </v>
      </c>
      <c r="BF719">
        <v>1</v>
      </c>
      <c r="BH719">
        <v>0</v>
      </c>
      <c r="BI719">
        <v>0</v>
      </c>
      <c r="BJ719">
        <v>0</v>
      </c>
      <c r="BK719">
        <v>2325</v>
      </c>
      <c r="BL719">
        <v>425</v>
      </c>
      <c r="BM719" t="s">
        <v>119</v>
      </c>
      <c r="BN719">
        <v>1</v>
      </c>
      <c r="BO719">
        <v>1</v>
      </c>
      <c r="BP719">
        <v>1</v>
      </c>
      <c r="BQ719">
        <v>0</v>
      </c>
      <c r="BT719">
        <v>0</v>
      </c>
      <c r="BU719">
        <v>0</v>
      </c>
      <c r="BV719">
        <v>0</v>
      </c>
      <c r="CC719" t="str">
        <f>"18:46:36.734"</f>
        <v>18:46:36.734</v>
      </c>
      <c r="CD719" t="str">
        <f>"738209880"</f>
        <v>738209880</v>
      </c>
      <c r="CQ719">
        <v>0</v>
      </c>
      <c r="CR719">
        <v>2</v>
      </c>
      <c r="CS719">
        <v>0</v>
      </c>
      <c r="CT719">
        <v>2</v>
      </c>
      <c r="CU719">
        <v>0</v>
      </c>
      <c r="CV719">
        <v>4</v>
      </c>
      <c r="CW719" t="s">
        <v>172</v>
      </c>
      <c r="CX719">
        <v>326</v>
      </c>
      <c r="CY719">
        <v>0</v>
      </c>
      <c r="CZ719" t="s">
        <v>173</v>
      </c>
      <c r="DA719" t="s">
        <v>174</v>
      </c>
      <c r="DD719">
        <v>5976924</v>
      </c>
      <c r="DE719" t="s">
        <v>123</v>
      </c>
    </row>
    <row r="720" spans="1:109" x14ac:dyDescent="0.3">
      <c r="A720" t="str">
        <f>"18:46:37.992"</f>
        <v>18:46:37.992</v>
      </c>
      <c r="B720" t="s">
        <v>110</v>
      </c>
      <c r="C720" t="str">
        <f t="shared" si="33"/>
        <v>ffdfd3c0</v>
      </c>
      <c r="D720" t="s">
        <v>111</v>
      </c>
      <c r="E720">
        <v>18</v>
      </c>
      <c r="F720">
        <v>1018</v>
      </c>
      <c r="G720" t="s">
        <v>112</v>
      </c>
      <c r="J720" t="s">
        <v>113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R720" t="s">
        <v>114</v>
      </c>
      <c r="S720" t="str">
        <f>"18:46:37.758"</f>
        <v>18:46:37.758</v>
      </c>
      <c r="T720" t="str">
        <f>"18:46:37.555"</f>
        <v>18:46:37.555</v>
      </c>
      <c r="U720" t="str">
        <f t="shared" si="34"/>
        <v>a1cdbe</v>
      </c>
      <c r="V720">
        <v>0</v>
      </c>
      <c r="W720">
        <v>0</v>
      </c>
      <c r="X720">
        <v>1</v>
      </c>
      <c r="Y720">
        <v>0</v>
      </c>
      <c r="Z720">
        <v>0</v>
      </c>
      <c r="AB720">
        <v>0</v>
      </c>
      <c r="AC720">
        <v>9</v>
      </c>
      <c r="AD720">
        <v>3</v>
      </c>
      <c r="AE720">
        <v>0</v>
      </c>
      <c r="AF720">
        <v>9</v>
      </c>
      <c r="AG720" t="s">
        <v>158</v>
      </c>
      <c r="AH720">
        <v>0</v>
      </c>
      <c r="AI720">
        <v>3</v>
      </c>
      <c r="AJ720">
        <v>1</v>
      </c>
      <c r="AK720">
        <v>0</v>
      </c>
      <c r="AL720" t="s">
        <v>1510</v>
      </c>
      <c r="AM720">
        <v>46.884348000000003</v>
      </c>
      <c r="AN720" t="s">
        <v>1511</v>
      </c>
      <c r="AO720">
        <v>-122.382696</v>
      </c>
      <c r="AP720">
        <v>100</v>
      </c>
      <c r="AQ720">
        <v>1900</v>
      </c>
      <c r="AR720" t="s">
        <v>118</v>
      </c>
      <c r="AS720">
        <v>-51</v>
      </c>
      <c r="AT720">
        <v>-60</v>
      </c>
      <c r="AU720">
        <v>64</v>
      </c>
      <c r="BC720">
        <v>1200</v>
      </c>
      <c r="BD720">
        <v>1</v>
      </c>
      <c r="BE720" t="str">
        <f t="shared" si="35"/>
        <v xml:space="preserve">N215T   </v>
      </c>
      <c r="BF720">
        <v>1</v>
      </c>
      <c r="BH720">
        <v>0</v>
      </c>
      <c r="BI720">
        <v>0</v>
      </c>
      <c r="BJ720">
        <v>0</v>
      </c>
      <c r="BK720">
        <v>2325</v>
      </c>
      <c r="BL720">
        <v>425</v>
      </c>
      <c r="BM720" t="s">
        <v>119</v>
      </c>
      <c r="BN720">
        <v>1</v>
      </c>
      <c r="BO720">
        <v>1</v>
      </c>
      <c r="BP720">
        <v>1</v>
      </c>
      <c r="BQ720">
        <v>0</v>
      </c>
      <c r="BT720">
        <v>0</v>
      </c>
      <c r="BU720">
        <v>0</v>
      </c>
      <c r="BV720">
        <v>0</v>
      </c>
      <c r="CC720" t="str">
        <f>"18:46:37.758"</f>
        <v>18:46:37.758</v>
      </c>
      <c r="CD720" t="str">
        <f>"758278497"</f>
        <v>758278497</v>
      </c>
      <c r="CQ720">
        <v>0</v>
      </c>
      <c r="CR720">
        <v>2</v>
      </c>
      <c r="CS720">
        <v>0</v>
      </c>
      <c r="CT720">
        <v>2</v>
      </c>
      <c r="CU720">
        <v>0</v>
      </c>
      <c r="CV720">
        <v>2</v>
      </c>
      <c r="CW720" t="s">
        <v>120</v>
      </c>
      <c r="CX720">
        <v>259</v>
      </c>
      <c r="CY720">
        <v>1</v>
      </c>
      <c r="CZ720" t="s">
        <v>197</v>
      </c>
      <c r="DA720" t="s">
        <v>198</v>
      </c>
      <c r="DD720">
        <v>15107657</v>
      </c>
      <c r="DE720" t="s">
        <v>123</v>
      </c>
    </row>
    <row r="721" spans="1:109" x14ac:dyDescent="0.3">
      <c r="A721" t="str">
        <f>"18:46:39.047"</f>
        <v>18:46:39.047</v>
      </c>
      <c r="B721" t="s">
        <v>110</v>
      </c>
      <c r="C721" t="str">
        <f t="shared" si="33"/>
        <v>ffdfd3c0</v>
      </c>
      <c r="D721" t="s">
        <v>111</v>
      </c>
      <c r="E721">
        <v>18</v>
      </c>
      <c r="F721">
        <v>1018</v>
      </c>
      <c r="G721" t="s">
        <v>112</v>
      </c>
      <c r="J721" t="s">
        <v>113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R721" t="s">
        <v>114</v>
      </c>
      <c r="S721" t="str">
        <f>"18:46:38.836"</f>
        <v>18:46:38.836</v>
      </c>
      <c r="T721" t="str">
        <f>"18:46:38.633"</f>
        <v>18:46:38.633</v>
      </c>
      <c r="U721" t="str">
        <f t="shared" si="34"/>
        <v>a1cdbe</v>
      </c>
      <c r="V721">
        <v>0</v>
      </c>
      <c r="W721">
        <v>0</v>
      </c>
      <c r="X721">
        <v>1</v>
      </c>
      <c r="Y721">
        <v>0</v>
      </c>
      <c r="Z721">
        <v>0</v>
      </c>
      <c r="AB721">
        <v>0</v>
      </c>
      <c r="AC721">
        <v>9</v>
      </c>
      <c r="AD721">
        <v>3</v>
      </c>
      <c r="AE721">
        <v>0</v>
      </c>
      <c r="AF721">
        <v>9</v>
      </c>
      <c r="AG721" t="s">
        <v>158</v>
      </c>
      <c r="AH721">
        <v>0</v>
      </c>
      <c r="AI721">
        <v>3</v>
      </c>
      <c r="AJ721">
        <v>1</v>
      </c>
      <c r="AK721">
        <v>0</v>
      </c>
      <c r="AL721" t="s">
        <v>1512</v>
      </c>
      <c r="AM721">
        <v>46.884068999999997</v>
      </c>
      <c r="AN721" t="s">
        <v>1513</v>
      </c>
      <c r="AO721">
        <v>-122.38301800000001</v>
      </c>
      <c r="AP721">
        <v>100</v>
      </c>
      <c r="AQ721">
        <v>1900</v>
      </c>
      <c r="AR721" t="s">
        <v>118</v>
      </c>
      <c r="AS721">
        <v>-51</v>
      </c>
      <c r="AT721">
        <v>-61</v>
      </c>
      <c r="AU721">
        <v>0</v>
      </c>
      <c r="BC721">
        <v>1200</v>
      </c>
      <c r="BD721">
        <v>1</v>
      </c>
      <c r="BE721" t="str">
        <f t="shared" si="35"/>
        <v xml:space="preserve">N215T   </v>
      </c>
      <c r="BF721">
        <v>1</v>
      </c>
      <c r="BH721">
        <v>0</v>
      </c>
      <c r="BI721">
        <v>0</v>
      </c>
      <c r="BJ721">
        <v>0</v>
      </c>
      <c r="BK721">
        <v>2325</v>
      </c>
      <c r="BL721">
        <v>425</v>
      </c>
      <c r="BM721" t="s">
        <v>119</v>
      </c>
      <c r="BN721">
        <v>1</v>
      </c>
      <c r="BO721">
        <v>1</v>
      </c>
      <c r="BP721">
        <v>1</v>
      </c>
      <c r="BQ721">
        <v>0</v>
      </c>
      <c r="BT721">
        <v>0</v>
      </c>
      <c r="BU721">
        <v>0</v>
      </c>
      <c r="BV721">
        <v>0</v>
      </c>
      <c r="CC721" t="str">
        <f>"18:46:38.836"</f>
        <v>18:46:38.836</v>
      </c>
      <c r="CD721" t="str">
        <f>"838040354"</f>
        <v>838040354</v>
      </c>
      <c r="CQ721">
        <v>0</v>
      </c>
      <c r="CR721">
        <v>2</v>
      </c>
      <c r="CS721">
        <v>0</v>
      </c>
      <c r="CT721">
        <v>2</v>
      </c>
      <c r="CU721">
        <v>0</v>
      </c>
      <c r="CV721">
        <v>2</v>
      </c>
      <c r="CW721" t="s">
        <v>120</v>
      </c>
      <c r="CX721">
        <v>261</v>
      </c>
      <c r="CY721">
        <v>2</v>
      </c>
      <c r="CZ721" t="s">
        <v>121</v>
      </c>
      <c r="DA721" t="s">
        <v>122</v>
      </c>
      <c r="DD721">
        <v>14627247</v>
      </c>
      <c r="DE721" t="s">
        <v>123</v>
      </c>
    </row>
    <row r="722" spans="1:109" x14ac:dyDescent="0.3">
      <c r="A722" t="str">
        <f>"18:46:39.953"</f>
        <v>18:46:39.953</v>
      </c>
      <c r="B722" t="s">
        <v>110</v>
      </c>
      <c r="C722" t="str">
        <f t="shared" si="33"/>
        <v>ffdfd3c0</v>
      </c>
      <c r="D722" t="s">
        <v>111</v>
      </c>
      <c r="E722">
        <v>18</v>
      </c>
      <c r="F722">
        <v>1018</v>
      </c>
      <c r="G722" t="s">
        <v>112</v>
      </c>
      <c r="J722" t="s">
        <v>113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R722" t="s">
        <v>114</v>
      </c>
      <c r="S722" t="str">
        <f>"18:46:39.734"</f>
        <v>18:46:39.734</v>
      </c>
      <c r="T722" t="str">
        <f>"18:46:39.531"</f>
        <v>18:46:39.531</v>
      </c>
      <c r="U722" t="str">
        <f t="shared" si="34"/>
        <v>a1cdbe</v>
      </c>
      <c r="V722">
        <v>0</v>
      </c>
      <c r="W722">
        <v>0</v>
      </c>
      <c r="X722">
        <v>1</v>
      </c>
      <c r="Y722">
        <v>0</v>
      </c>
      <c r="Z722">
        <v>0</v>
      </c>
      <c r="AB722">
        <v>0</v>
      </c>
      <c r="AC722">
        <v>9</v>
      </c>
      <c r="AD722">
        <v>3</v>
      </c>
      <c r="AE722">
        <v>0</v>
      </c>
      <c r="AF722">
        <v>9</v>
      </c>
      <c r="AG722" t="s">
        <v>158</v>
      </c>
      <c r="AH722">
        <v>0</v>
      </c>
      <c r="AI722">
        <v>3</v>
      </c>
      <c r="AJ722">
        <v>1</v>
      </c>
      <c r="AK722">
        <v>0</v>
      </c>
      <c r="AL722" t="s">
        <v>1514</v>
      </c>
      <c r="AM722">
        <v>46.883789999999998</v>
      </c>
      <c r="AN722" t="s">
        <v>1515</v>
      </c>
      <c r="AO722">
        <v>-122.38336099999999</v>
      </c>
      <c r="AP722">
        <v>100</v>
      </c>
      <c r="AQ722">
        <v>1900</v>
      </c>
      <c r="AR722" t="s">
        <v>118</v>
      </c>
      <c r="AS722">
        <v>-51</v>
      </c>
      <c r="AT722">
        <v>-61</v>
      </c>
      <c r="AU722">
        <v>64</v>
      </c>
      <c r="BC722">
        <v>1200</v>
      </c>
      <c r="BD722">
        <v>1</v>
      </c>
      <c r="BE722" t="str">
        <f t="shared" si="35"/>
        <v xml:space="preserve">N215T   </v>
      </c>
      <c r="BF722">
        <v>1</v>
      </c>
      <c r="BH722">
        <v>0</v>
      </c>
      <c r="BI722">
        <v>0</v>
      </c>
      <c r="BJ722">
        <v>0</v>
      </c>
      <c r="BK722">
        <v>2325</v>
      </c>
      <c r="BL722">
        <v>425</v>
      </c>
      <c r="BM722" t="s">
        <v>119</v>
      </c>
      <c r="BN722">
        <v>1</v>
      </c>
      <c r="BO722">
        <v>1</v>
      </c>
      <c r="BP722">
        <v>1</v>
      </c>
      <c r="BQ722">
        <v>0</v>
      </c>
      <c r="BT722">
        <v>0</v>
      </c>
      <c r="BU722">
        <v>0</v>
      </c>
      <c r="BV722">
        <v>0</v>
      </c>
      <c r="CC722" t="str">
        <f>"18:46:39.734"</f>
        <v>18:46:39.734</v>
      </c>
      <c r="CD722" t="str">
        <f>"737914902"</f>
        <v>737914902</v>
      </c>
      <c r="CQ722">
        <v>0</v>
      </c>
      <c r="CR722">
        <v>2</v>
      </c>
      <c r="CS722">
        <v>0</v>
      </c>
      <c r="CT722">
        <v>2</v>
      </c>
      <c r="CU722">
        <v>0</v>
      </c>
      <c r="CV722">
        <v>2</v>
      </c>
      <c r="CW722" t="s">
        <v>172</v>
      </c>
      <c r="CX722">
        <v>326</v>
      </c>
      <c r="CY722">
        <v>0</v>
      </c>
      <c r="CZ722" t="s">
        <v>173</v>
      </c>
      <c r="DA722" t="s">
        <v>174</v>
      </c>
      <c r="DD722">
        <v>5978518</v>
      </c>
      <c r="DE722" t="s">
        <v>123</v>
      </c>
    </row>
    <row r="723" spans="1:109" x14ac:dyDescent="0.3">
      <c r="A723" t="str">
        <f>"18:46:41.008"</f>
        <v>18:46:41.008</v>
      </c>
      <c r="B723" t="s">
        <v>110</v>
      </c>
      <c r="C723" t="str">
        <f t="shared" si="33"/>
        <v>ffdfd3c0</v>
      </c>
      <c r="D723" t="s">
        <v>111</v>
      </c>
      <c r="E723">
        <v>18</v>
      </c>
      <c r="F723">
        <v>1018</v>
      </c>
      <c r="G723" t="s">
        <v>112</v>
      </c>
      <c r="J723" t="s">
        <v>113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R723" t="s">
        <v>114</v>
      </c>
      <c r="S723" t="str">
        <f>"18:46:40.727"</f>
        <v>18:46:40.727</v>
      </c>
      <c r="T723" t="str">
        <f>"18:46:40.523"</f>
        <v>18:46:40.523</v>
      </c>
      <c r="U723" t="str">
        <f t="shared" si="34"/>
        <v>a1cdbe</v>
      </c>
      <c r="V723">
        <v>0</v>
      </c>
      <c r="W723">
        <v>0</v>
      </c>
      <c r="X723">
        <v>1</v>
      </c>
      <c r="Y723">
        <v>0</v>
      </c>
      <c r="Z723">
        <v>0</v>
      </c>
      <c r="AB723">
        <v>0</v>
      </c>
      <c r="AC723">
        <v>9</v>
      </c>
      <c r="AD723">
        <v>3</v>
      </c>
      <c r="AE723">
        <v>0</v>
      </c>
      <c r="AF723">
        <v>9</v>
      </c>
      <c r="AG723" t="s">
        <v>158</v>
      </c>
      <c r="AH723">
        <v>0</v>
      </c>
      <c r="AI723">
        <v>3</v>
      </c>
      <c r="AJ723">
        <v>1</v>
      </c>
      <c r="AK723">
        <v>0</v>
      </c>
      <c r="AL723" t="s">
        <v>1516</v>
      </c>
      <c r="AM723">
        <v>46.883512000000003</v>
      </c>
      <c r="AN723" t="s">
        <v>1517</v>
      </c>
      <c r="AO723">
        <v>-122.383683</v>
      </c>
      <c r="AP723">
        <v>100</v>
      </c>
      <c r="AQ723">
        <v>1900</v>
      </c>
      <c r="AR723" t="s">
        <v>118</v>
      </c>
      <c r="AS723">
        <v>-50</v>
      </c>
      <c r="AT723">
        <v>-62</v>
      </c>
      <c r="AU723">
        <v>-64</v>
      </c>
      <c r="BC723">
        <v>1200</v>
      </c>
      <c r="BD723">
        <v>1</v>
      </c>
      <c r="BE723" t="str">
        <f t="shared" si="35"/>
        <v xml:space="preserve">N215T   </v>
      </c>
      <c r="BF723">
        <v>1</v>
      </c>
      <c r="BH723">
        <v>0</v>
      </c>
      <c r="BI723">
        <v>0</v>
      </c>
      <c r="BJ723">
        <v>0</v>
      </c>
      <c r="BK723">
        <v>2325</v>
      </c>
      <c r="BL723">
        <v>425</v>
      </c>
      <c r="BM723" t="s">
        <v>119</v>
      </c>
      <c r="BN723">
        <v>1</v>
      </c>
      <c r="BO723">
        <v>1</v>
      </c>
      <c r="BP723">
        <v>1</v>
      </c>
      <c r="BQ723">
        <v>0</v>
      </c>
      <c r="BT723">
        <v>0</v>
      </c>
      <c r="BU723">
        <v>0</v>
      </c>
      <c r="BV723">
        <v>0</v>
      </c>
      <c r="CC723" t="str">
        <f>"18:46:40.727"</f>
        <v>18:46:40.727</v>
      </c>
      <c r="CD723" t="str">
        <f>"727986448"</f>
        <v>727986448</v>
      </c>
      <c r="CQ723">
        <v>0</v>
      </c>
      <c r="CR723">
        <v>2</v>
      </c>
      <c r="CS723">
        <v>0</v>
      </c>
      <c r="CT723">
        <v>2</v>
      </c>
      <c r="CU723">
        <v>0</v>
      </c>
      <c r="CV723">
        <v>2</v>
      </c>
      <c r="CW723" t="s">
        <v>120</v>
      </c>
      <c r="CX723">
        <v>259</v>
      </c>
      <c r="CY723">
        <v>1</v>
      </c>
      <c r="CZ723" t="s">
        <v>197</v>
      </c>
      <c r="DA723" t="s">
        <v>198</v>
      </c>
      <c r="DD723">
        <v>15109583</v>
      </c>
      <c r="DE723" t="s">
        <v>123</v>
      </c>
    </row>
    <row r="724" spans="1:109" x14ac:dyDescent="0.3">
      <c r="A724" t="str">
        <f>"18:46:42.109"</f>
        <v>18:46:42.109</v>
      </c>
      <c r="B724" t="s">
        <v>110</v>
      </c>
      <c r="C724" t="str">
        <f t="shared" si="33"/>
        <v>ffdfd3c0</v>
      </c>
      <c r="D724" t="s">
        <v>111</v>
      </c>
      <c r="E724">
        <v>18</v>
      </c>
      <c r="F724">
        <v>1018</v>
      </c>
      <c r="G724" t="s">
        <v>112</v>
      </c>
      <c r="J724" t="s">
        <v>113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R724" t="s">
        <v>114</v>
      </c>
      <c r="S724" t="str">
        <f>"18:46:41.852"</f>
        <v>18:46:41.852</v>
      </c>
      <c r="T724" t="str">
        <f>"18:46:41.453"</f>
        <v>18:46:41.453</v>
      </c>
      <c r="U724" t="str">
        <f t="shared" si="34"/>
        <v>a1cdbe</v>
      </c>
      <c r="V724">
        <v>0</v>
      </c>
      <c r="W724">
        <v>0</v>
      </c>
      <c r="X724">
        <v>1</v>
      </c>
      <c r="Y724">
        <v>0</v>
      </c>
      <c r="Z724">
        <v>0</v>
      </c>
      <c r="AB724">
        <v>0</v>
      </c>
      <c r="AC724">
        <v>9</v>
      </c>
      <c r="AD724">
        <v>3</v>
      </c>
      <c r="AE724">
        <v>0</v>
      </c>
      <c r="AF724">
        <v>9</v>
      </c>
      <c r="AG724" t="s">
        <v>158</v>
      </c>
      <c r="AH724">
        <v>0</v>
      </c>
      <c r="AI724">
        <v>3</v>
      </c>
      <c r="AJ724">
        <v>1</v>
      </c>
      <c r="AK724">
        <v>0</v>
      </c>
      <c r="AL724" t="s">
        <v>1518</v>
      </c>
      <c r="AM724">
        <v>46.883167999999998</v>
      </c>
      <c r="AN724" t="s">
        <v>1519</v>
      </c>
      <c r="AO724">
        <v>-122.38402600000001</v>
      </c>
      <c r="AP724">
        <v>100</v>
      </c>
      <c r="AQ724">
        <v>1900</v>
      </c>
      <c r="AR724" t="s">
        <v>118</v>
      </c>
      <c r="AS724">
        <v>-50</v>
      </c>
      <c r="AT724">
        <v>-63</v>
      </c>
      <c r="AU724">
        <v>0</v>
      </c>
      <c r="BC724">
        <v>1200</v>
      </c>
      <c r="BD724">
        <v>1</v>
      </c>
      <c r="BE724" t="str">
        <f t="shared" si="35"/>
        <v xml:space="preserve">N215T   </v>
      </c>
      <c r="BF724">
        <v>1</v>
      </c>
      <c r="BH724">
        <v>0</v>
      </c>
      <c r="BI724">
        <v>0</v>
      </c>
      <c r="BJ724">
        <v>0</v>
      </c>
      <c r="BK724">
        <v>2325</v>
      </c>
      <c r="BL724">
        <v>425</v>
      </c>
      <c r="BM724" t="s">
        <v>119</v>
      </c>
      <c r="BN724">
        <v>1</v>
      </c>
      <c r="BO724">
        <v>1</v>
      </c>
      <c r="BP724">
        <v>1</v>
      </c>
      <c r="BQ724">
        <v>0</v>
      </c>
      <c r="BT724">
        <v>0</v>
      </c>
      <c r="BU724">
        <v>0</v>
      </c>
      <c r="BV724">
        <v>0</v>
      </c>
      <c r="CC724" t="str">
        <f>"18:46:41.852"</f>
        <v>18:46:41.852</v>
      </c>
      <c r="CD724" t="str">
        <f>"852897990"</f>
        <v>852897990</v>
      </c>
      <c r="CQ724">
        <v>0</v>
      </c>
      <c r="CR724">
        <v>2</v>
      </c>
      <c r="CS724">
        <v>0</v>
      </c>
      <c r="CT724">
        <v>2</v>
      </c>
      <c r="CU724">
        <v>0</v>
      </c>
      <c r="CV724">
        <v>3</v>
      </c>
      <c r="CW724" t="s">
        <v>120</v>
      </c>
      <c r="CX724">
        <v>257</v>
      </c>
      <c r="CY724">
        <v>1</v>
      </c>
      <c r="CZ724" t="s">
        <v>615</v>
      </c>
      <c r="DA724" t="s">
        <v>616</v>
      </c>
      <c r="DD724">
        <v>10934276</v>
      </c>
      <c r="DE724" t="s">
        <v>123</v>
      </c>
    </row>
    <row r="725" spans="1:109" x14ac:dyDescent="0.3">
      <c r="A725" t="str">
        <f>"18:46:43.070"</f>
        <v>18:46:43.070</v>
      </c>
      <c r="B725" t="s">
        <v>110</v>
      </c>
      <c r="C725" t="str">
        <f t="shared" si="33"/>
        <v>ffdfd3c0</v>
      </c>
      <c r="D725" t="s">
        <v>111</v>
      </c>
      <c r="E725">
        <v>18</v>
      </c>
      <c r="F725">
        <v>1018</v>
      </c>
      <c r="G725" t="s">
        <v>112</v>
      </c>
      <c r="J725" t="s">
        <v>113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R725" t="s">
        <v>114</v>
      </c>
      <c r="S725" t="str">
        <f>"18:46:42.797"</f>
        <v>18:46:42.797</v>
      </c>
      <c r="T725" t="str">
        <f>"18:46:42.797"</f>
        <v>18:46:42.797</v>
      </c>
      <c r="U725" t="str">
        <f t="shared" si="34"/>
        <v>a1cdbe</v>
      </c>
      <c r="V725">
        <v>0</v>
      </c>
      <c r="W725">
        <v>0</v>
      </c>
      <c r="X725">
        <v>1</v>
      </c>
      <c r="Y725">
        <v>0</v>
      </c>
      <c r="Z725">
        <v>0</v>
      </c>
      <c r="AB725">
        <v>0</v>
      </c>
      <c r="AC725">
        <v>9</v>
      </c>
      <c r="AD725">
        <v>3</v>
      </c>
      <c r="AE725">
        <v>0</v>
      </c>
      <c r="AF725">
        <v>9</v>
      </c>
      <c r="AG725" t="s">
        <v>158</v>
      </c>
      <c r="AH725">
        <v>0</v>
      </c>
      <c r="AI725">
        <v>3</v>
      </c>
      <c r="AJ725">
        <v>1</v>
      </c>
      <c r="AK725">
        <v>0</v>
      </c>
      <c r="AL725" t="s">
        <v>1520</v>
      </c>
      <c r="AM725">
        <v>46.882911</v>
      </c>
      <c r="AN725" t="s">
        <v>1521</v>
      </c>
      <c r="AO725">
        <v>-122.38439099999999</v>
      </c>
      <c r="AP725">
        <v>100</v>
      </c>
      <c r="AQ725">
        <v>1900</v>
      </c>
      <c r="AR725" t="s">
        <v>118</v>
      </c>
      <c r="AS725">
        <v>-50</v>
      </c>
      <c r="AT725">
        <v>-63</v>
      </c>
      <c r="AU725">
        <v>-64</v>
      </c>
      <c r="BC725">
        <v>1200</v>
      </c>
      <c r="BD725">
        <v>1</v>
      </c>
      <c r="BE725" t="str">
        <f t="shared" si="35"/>
        <v xml:space="preserve">N215T   </v>
      </c>
      <c r="BF725">
        <v>1</v>
      </c>
      <c r="BH725">
        <v>0</v>
      </c>
      <c r="BI725">
        <v>0</v>
      </c>
      <c r="BJ725">
        <v>0</v>
      </c>
      <c r="BK725">
        <v>2325</v>
      </c>
      <c r="BL725">
        <v>425</v>
      </c>
      <c r="BM725" t="s">
        <v>119</v>
      </c>
      <c r="BN725">
        <v>1</v>
      </c>
      <c r="BO725">
        <v>1</v>
      </c>
      <c r="BP725">
        <v>1</v>
      </c>
      <c r="BQ725">
        <v>0</v>
      </c>
      <c r="BT725">
        <v>0</v>
      </c>
      <c r="BU725">
        <v>0</v>
      </c>
      <c r="BV725">
        <v>0</v>
      </c>
      <c r="CC725" t="str">
        <f>"18:46:42.797"</f>
        <v>18:46:42.797</v>
      </c>
      <c r="CD725" t="str">
        <f>"797650776"</f>
        <v>797650776</v>
      </c>
      <c r="CQ725">
        <v>0</v>
      </c>
      <c r="CR725">
        <v>2</v>
      </c>
      <c r="CS725">
        <v>0</v>
      </c>
      <c r="CT725">
        <v>2</v>
      </c>
      <c r="CU725">
        <v>0</v>
      </c>
      <c r="CV725">
        <v>3</v>
      </c>
      <c r="CW725" t="s">
        <v>120</v>
      </c>
      <c r="CX725">
        <v>261</v>
      </c>
      <c r="CY725">
        <v>2</v>
      </c>
      <c r="CZ725" t="s">
        <v>121</v>
      </c>
      <c r="DA725" t="s">
        <v>122</v>
      </c>
      <c r="DD725">
        <v>14629410</v>
      </c>
      <c r="DE725" t="s">
        <v>123</v>
      </c>
    </row>
    <row r="726" spans="1:109" x14ac:dyDescent="0.3">
      <c r="A726" t="str">
        <f>"18:46:44.070"</f>
        <v>18:46:44.070</v>
      </c>
      <c r="B726" t="s">
        <v>110</v>
      </c>
      <c r="C726" t="str">
        <f t="shared" si="33"/>
        <v>ffdfd3c0</v>
      </c>
      <c r="D726" t="s">
        <v>111</v>
      </c>
      <c r="E726">
        <v>18</v>
      </c>
      <c r="F726">
        <v>1018</v>
      </c>
      <c r="G726" t="s">
        <v>112</v>
      </c>
      <c r="J726" t="s">
        <v>113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R726" t="s">
        <v>114</v>
      </c>
      <c r="S726" t="str">
        <f>"18:46:43.813"</f>
        <v>18:46:43.813</v>
      </c>
      <c r="T726" t="str">
        <f>"18:46:42.813"</f>
        <v>18:46:42.813</v>
      </c>
      <c r="U726" t="str">
        <f t="shared" si="34"/>
        <v>a1cdbe</v>
      </c>
      <c r="V726">
        <v>0</v>
      </c>
      <c r="W726">
        <v>0</v>
      </c>
      <c r="X726">
        <v>1</v>
      </c>
      <c r="Y726">
        <v>0</v>
      </c>
      <c r="Z726">
        <v>0</v>
      </c>
      <c r="AB726">
        <v>0</v>
      </c>
      <c r="AC726">
        <v>9</v>
      </c>
      <c r="AD726">
        <v>3</v>
      </c>
      <c r="AE726">
        <v>0</v>
      </c>
      <c r="AF726">
        <v>9</v>
      </c>
      <c r="AG726" t="s">
        <v>158</v>
      </c>
      <c r="AH726">
        <v>0</v>
      </c>
      <c r="AI726">
        <v>3</v>
      </c>
      <c r="AJ726">
        <v>1</v>
      </c>
      <c r="AK726">
        <v>0</v>
      </c>
      <c r="AL726" t="s">
        <v>1522</v>
      </c>
      <c r="AM726">
        <v>46.88261</v>
      </c>
      <c r="AN726" t="s">
        <v>1523</v>
      </c>
      <c r="AO726">
        <v>-122.38473399999999</v>
      </c>
      <c r="AP726">
        <v>100</v>
      </c>
      <c r="AQ726">
        <v>1900</v>
      </c>
      <c r="AR726" t="s">
        <v>118</v>
      </c>
      <c r="AS726">
        <v>-50</v>
      </c>
      <c r="AT726">
        <v>-63</v>
      </c>
      <c r="AU726">
        <v>-64</v>
      </c>
      <c r="BC726">
        <v>1200</v>
      </c>
      <c r="BD726">
        <v>1</v>
      </c>
      <c r="BE726" t="str">
        <f t="shared" si="35"/>
        <v xml:space="preserve">N215T   </v>
      </c>
      <c r="BF726">
        <v>1</v>
      </c>
      <c r="BH726">
        <v>0</v>
      </c>
      <c r="BI726">
        <v>0</v>
      </c>
      <c r="BJ726">
        <v>0</v>
      </c>
      <c r="BK726">
        <v>2325</v>
      </c>
      <c r="BL726">
        <v>425</v>
      </c>
      <c r="BM726" t="s">
        <v>119</v>
      </c>
      <c r="BN726">
        <v>1</v>
      </c>
      <c r="BO726">
        <v>1</v>
      </c>
      <c r="BP726">
        <v>1</v>
      </c>
      <c r="BQ726">
        <v>0</v>
      </c>
      <c r="BT726">
        <v>0</v>
      </c>
      <c r="BU726">
        <v>0</v>
      </c>
      <c r="BV726">
        <v>0</v>
      </c>
      <c r="CC726" t="str">
        <f>"18:46:43.820"</f>
        <v>18:46:43.820</v>
      </c>
      <c r="CD726" t="str">
        <f>"817550403"</f>
        <v>817550403</v>
      </c>
      <c r="CQ726">
        <v>0</v>
      </c>
      <c r="CR726">
        <v>2</v>
      </c>
      <c r="CS726">
        <v>0</v>
      </c>
      <c r="CT726">
        <v>2</v>
      </c>
      <c r="CU726">
        <v>0</v>
      </c>
      <c r="CV726">
        <v>3</v>
      </c>
      <c r="CW726" t="s">
        <v>120</v>
      </c>
      <c r="CX726">
        <v>261</v>
      </c>
      <c r="CY726">
        <v>2</v>
      </c>
      <c r="CZ726" t="s">
        <v>121</v>
      </c>
      <c r="DA726" t="s">
        <v>122</v>
      </c>
      <c r="DD726">
        <v>14629995</v>
      </c>
      <c r="DE726" t="s">
        <v>123</v>
      </c>
    </row>
    <row r="727" spans="1:109" x14ac:dyDescent="0.3">
      <c r="A727" t="str">
        <f>"18:46:45.031"</f>
        <v>18:46:45.031</v>
      </c>
      <c r="B727" t="s">
        <v>110</v>
      </c>
      <c r="C727" t="str">
        <f t="shared" si="33"/>
        <v>ffdfd3c0</v>
      </c>
      <c r="D727" t="s">
        <v>111</v>
      </c>
      <c r="E727">
        <v>18</v>
      </c>
      <c r="F727">
        <v>1018</v>
      </c>
      <c r="G727" t="s">
        <v>112</v>
      </c>
      <c r="J727" t="s">
        <v>113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R727" t="s">
        <v>114</v>
      </c>
      <c r="S727" t="str">
        <f>"18:46:44.820"</f>
        <v>18:46:44.820</v>
      </c>
      <c r="T727" t="str">
        <f>"18:46:44.320"</f>
        <v>18:46:44.320</v>
      </c>
      <c r="U727" t="str">
        <f t="shared" si="34"/>
        <v>a1cdbe</v>
      </c>
      <c r="V727">
        <v>0</v>
      </c>
      <c r="W727">
        <v>0</v>
      </c>
      <c r="X727">
        <v>1</v>
      </c>
      <c r="Y727">
        <v>0</v>
      </c>
      <c r="Z727">
        <v>0</v>
      </c>
      <c r="AB727">
        <v>0</v>
      </c>
      <c r="AC727">
        <v>9</v>
      </c>
      <c r="AD727">
        <v>3</v>
      </c>
      <c r="AE727">
        <v>0</v>
      </c>
      <c r="AF727">
        <v>9</v>
      </c>
      <c r="AG727" t="s">
        <v>158</v>
      </c>
      <c r="AH727">
        <v>0</v>
      </c>
      <c r="AI727">
        <v>3</v>
      </c>
      <c r="AJ727">
        <v>1</v>
      </c>
      <c r="AK727">
        <v>0</v>
      </c>
      <c r="AL727" t="s">
        <v>1524</v>
      </c>
      <c r="AM727">
        <v>46.882331000000001</v>
      </c>
      <c r="AN727" t="s">
        <v>1525</v>
      </c>
      <c r="AO727">
        <v>-122.385077</v>
      </c>
      <c r="AP727">
        <v>100</v>
      </c>
      <c r="AQ727">
        <v>1900</v>
      </c>
      <c r="AR727" t="s">
        <v>118</v>
      </c>
      <c r="AS727">
        <v>-50</v>
      </c>
      <c r="AT727">
        <v>-63</v>
      </c>
      <c r="AU727">
        <v>-192</v>
      </c>
      <c r="BC727">
        <v>1200</v>
      </c>
      <c r="BD727">
        <v>1</v>
      </c>
      <c r="BE727" t="str">
        <f t="shared" si="35"/>
        <v xml:space="preserve">N215T   </v>
      </c>
      <c r="BF727">
        <v>1</v>
      </c>
      <c r="BH727">
        <v>0</v>
      </c>
      <c r="BI727">
        <v>0</v>
      </c>
      <c r="BJ727">
        <v>0</v>
      </c>
      <c r="BK727">
        <v>2325</v>
      </c>
      <c r="BL727">
        <v>425</v>
      </c>
      <c r="BM727" t="s">
        <v>119</v>
      </c>
      <c r="BN727">
        <v>1</v>
      </c>
      <c r="BO727">
        <v>1</v>
      </c>
      <c r="BP727">
        <v>1</v>
      </c>
      <c r="BQ727">
        <v>0</v>
      </c>
      <c r="BT727">
        <v>0</v>
      </c>
      <c r="BU727">
        <v>0</v>
      </c>
      <c r="BV727">
        <v>0</v>
      </c>
      <c r="CC727" t="str">
        <f>"18:46:44.820"</f>
        <v>18:46:44.820</v>
      </c>
      <c r="CD727" t="str">
        <f>"822451501"</f>
        <v>822451501</v>
      </c>
      <c r="CQ727">
        <v>0</v>
      </c>
      <c r="CR727">
        <v>2</v>
      </c>
      <c r="CS727">
        <v>0</v>
      </c>
      <c r="CT727">
        <v>2</v>
      </c>
      <c r="CU727">
        <v>0</v>
      </c>
      <c r="CV727">
        <v>2</v>
      </c>
      <c r="CW727" t="s">
        <v>120</v>
      </c>
      <c r="CX727">
        <v>261</v>
      </c>
      <c r="CY727">
        <v>2</v>
      </c>
      <c r="CZ727" t="s">
        <v>121</v>
      </c>
      <c r="DA727" t="s">
        <v>122</v>
      </c>
      <c r="DD727">
        <v>14630558</v>
      </c>
      <c r="DE727" t="s">
        <v>123</v>
      </c>
    </row>
    <row r="728" spans="1:109" x14ac:dyDescent="0.3">
      <c r="A728" t="str">
        <f>"18:46:46.133"</f>
        <v>18:46:46.133</v>
      </c>
      <c r="B728" t="s">
        <v>110</v>
      </c>
      <c r="C728" t="str">
        <f t="shared" si="33"/>
        <v>ffdfd3c0</v>
      </c>
      <c r="D728" t="s">
        <v>111</v>
      </c>
      <c r="E728">
        <v>18</v>
      </c>
      <c r="F728">
        <v>1018</v>
      </c>
      <c r="G728" t="s">
        <v>112</v>
      </c>
      <c r="J728" t="s">
        <v>113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R728" t="s">
        <v>114</v>
      </c>
      <c r="S728" t="str">
        <f>"18:46:45.945"</f>
        <v>18:46:45.945</v>
      </c>
      <c r="T728" t="str">
        <f>"18:46:45.742"</f>
        <v>18:46:45.742</v>
      </c>
      <c r="U728" t="str">
        <f t="shared" si="34"/>
        <v>a1cdbe</v>
      </c>
      <c r="V728">
        <v>0</v>
      </c>
      <c r="W728">
        <v>0</v>
      </c>
      <c r="X728">
        <v>1</v>
      </c>
      <c r="Y728">
        <v>0</v>
      </c>
      <c r="Z728">
        <v>0</v>
      </c>
      <c r="AB728">
        <v>0</v>
      </c>
      <c r="AC728">
        <v>9</v>
      </c>
      <c r="AD728">
        <v>3</v>
      </c>
      <c r="AE728">
        <v>0</v>
      </c>
      <c r="AF728">
        <v>9</v>
      </c>
      <c r="AG728" t="s">
        <v>158</v>
      </c>
      <c r="AH728">
        <v>0</v>
      </c>
      <c r="AI728">
        <v>3</v>
      </c>
      <c r="AJ728">
        <v>1</v>
      </c>
      <c r="AK728">
        <v>0</v>
      </c>
      <c r="AL728" t="s">
        <v>1526</v>
      </c>
      <c r="AM728">
        <v>46.882010000000001</v>
      </c>
      <c r="AN728" t="s">
        <v>1527</v>
      </c>
      <c r="AO728">
        <v>-122.38542099999999</v>
      </c>
      <c r="AP728">
        <v>100</v>
      </c>
      <c r="AQ728">
        <v>1900</v>
      </c>
      <c r="AR728" t="s">
        <v>118</v>
      </c>
      <c r="AS728">
        <v>-51</v>
      </c>
      <c r="AT728">
        <v>-62</v>
      </c>
      <c r="AU728">
        <v>-192</v>
      </c>
      <c r="BC728">
        <v>1200</v>
      </c>
      <c r="BD728">
        <v>1</v>
      </c>
      <c r="BE728" t="str">
        <f t="shared" si="35"/>
        <v xml:space="preserve">N215T   </v>
      </c>
      <c r="BF728">
        <v>1</v>
      </c>
      <c r="BH728">
        <v>0</v>
      </c>
      <c r="BI728">
        <v>0</v>
      </c>
      <c r="BJ728">
        <v>0</v>
      </c>
      <c r="BK728">
        <v>2325</v>
      </c>
      <c r="BL728">
        <v>425</v>
      </c>
      <c r="BM728" t="s">
        <v>119</v>
      </c>
      <c r="BN728">
        <v>1</v>
      </c>
      <c r="BO728">
        <v>1</v>
      </c>
      <c r="BP728">
        <v>1</v>
      </c>
      <c r="BQ728">
        <v>0</v>
      </c>
      <c r="BT728">
        <v>0</v>
      </c>
      <c r="BU728">
        <v>0</v>
      </c>
      <c r="BV728">
        <v>0</v>
      </c>
      <c r="CC728" t="str">
        <f>"18:46:45.945"</f>
        <v>18:46:45.945</v>
      </c>
      <c r="CD728" t="str">
        <f>"947304308"</f>
        <v>947304308</v>
      </c>
      <c r="CQ728">
        <v>0</v>
      </c>
      <c r="CR728">
        <v>2</v>
      </c>
      <c r="CS728">
        <v>0</v>
      </c>
      <c r="CT728">
        <v>2</v>
      </c>
      <c r="CU728">
        <v>0</v>
      </c>
      <c r="CV728">
        <v>3</v>
      </c>
      <c r="CW728" t="s">
        <v>172</v>
      </c>
      <c r="CX728">
        <v>326</v>
      </c>
      <c r="CY728">
        <v>0</v>
      </c>
      <c r="CZ728" t="s">
        <v>173</v>
      </c>
      <c r="DA728" t="s">
        <v>174</v>
      </c>
      <c r="DD728">
        <v>5981811</v>
      </c>
      <c r="DE728" t="s">
        <v>123</v>
      </c>
    </row>
    <row r="729" spans="1:109" x14ac:dyDescent="0.3">
      <c r="A729" t="str">
        <f>"18:46:47.242"</f>
        <v>18:46:47.242</v>
      </c>
      <c r="B729" t="s">
        <v>110</v>
      </c>
      <c r="C729" t="str">
        <f t="shared" si="33"/>
        <v>ffdfd3c0</v>
      </c>
      <c r="D729" t="s">
        <v>111</v>
      </c>
      <c r="E729">
        <v>18</v>
      </c>
      <c r="F729">
        <v>1018</v>
      </c>
      <c r="G729" t="s">
        <v>112</v>
      </c>
      <c r="J729" t="s">
        <v>113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R729" t="s">
        <v>114</v>
      </c>
      <c r="S729" t="str">
        <f>"18:46:46.992"</f>
        <v>18:46:46.992</v>
      </c>
      <c r="T729" t="str">
        <f>"18:46:46.789"</f>
        <v>18:46:46.789</v>
      </c>
      <c r="U729" t="str">
        <f t="shared" si="34"/>
        <v>a1cdbe</v>
      </c>
      <c r="V729">
        <v>0</v>
      </c>
      <c r="W729">
        <v>0</v>
      </c>
      <c r="X729">
        <v>1</v>
      </c>
      <c r="Y729">
        <v>0</v>
      </c>
      <c r="Z729">
        <v>0</v>
      </c>
      <c r="AB729">
        <v>0</v>
      </c>
      <c r="AC729">
        <v>9</v>
      </c>
      <c r="AD729">
        <v>3</v>
      </c>
      <c r="AE729">
        <v>0</v>
      </c>
      <c r="AF729">
        <v>9</v>
      </c>
      <c r="AG729" t="s">
        <v>158</v>
      </c>
      <c r="AH729">
        <v>0</v>
      </c>
      <c r="AI729">
        <v>3</v>
      </c>
      <c r="AJ729">
        <v>1</v>
      </c>
      <c r="AK729">
        <v>0</v>
      </c>
      <c r="AL729" t="s">
        <v>1528</v>
      </c>
      <c r="AM729">
        <v>46.881687999999997</v>
      </c>
      <c r="AN729" t="s">
        <v>1529</v>
      </c>
      <c r="AO729">
        <v>-122.385786</v>
      </c>
      <c r="AP729">
        <v>100</v>
      </c>
      <c r="AQ729">
        <v>1900</v>
      </c>
      <c r="AR729" t="s">
        <v>118</v>
      </c>
      <c r="AS729">
        <v>-52</v>
      </c>
      <c r="AT729">
        <v>-60</v>
      </c>
      <c r="AU729">
        <v>-256</v>
      </c>
      <c r="BC729">
        <v>1200</v>
      </c>
      <c r="BD729">
        <v>1</v>
      </c>
      <c r="BE729" t="str">
        <f t="shared" si="35"/>
        <v xml:space="preserve">N215T   </v>
      </c>
      <c r="BF729">
        <v>1</v>
      </c>
      <c r="BH729">
        <v>0</v>
      </c>
      <c r="BI729">
        <v>0</v>
      </c>
      <c r="BJ729">
        <v>0</v>
      </c>
      <c r="BK729">
        <v>2300</v>
      </c>
      <c r="BL729">
        <v>400</v>
      </c>
      <c r="BM729" t="s">
        <v>119</v>
      </c>
      <c r="BN729">
        <v>1</v>
      </c>
      <c r="BO729">
        <v>1</v>
      </c>
      <c r="BP729">
        <v>1</v>
      </c>
      <c r="BQ729">
        <v>0</v>
      </c>
      <c r="BT729">
        <v>0</v>
      </c>
      <c r="BU729">
        <v>0</v>
      </c>
      <c r="BV729">
        <v>0</v>
      </c>
      <c r="CC729" t="str">
        <f>"18:46:47.000"</f>
        <v>18:46:47.000</v>
      </c>
      <c r="CD729" t="str">
        <f>"997201074"</f>
        <v>997201074</v>
      </c>
      <c r="CQ729">
        <v>0</v>
      </c>
      <c r="CR729">
        <v>2</v>
      </c>
      <c r="CS729">
        <v>0</v>
      </c>
      <c r="CT729">
        <v>2</v>
      </c>
      <c r="CU729">
        <v>0</v>
      </c>
      <c r="CV729">
        <v>3</v>
      </c>
      <c r="CW729" t="s">
        <v>172</v>
      </c>
      <c r="CX729">
        <v>326</v>
      </c>
      <c r="CY729">
        <v>0</v>
      </c>
      <c r="CZ729" t="s">
        <v>173</v>
      </c>
      <c r="DA729" t="s">
        <v>174</v>
      </c>
      <c r="DD729">
        <v>5982417</v>
      </c>
      <c r="DE729" t="s">
        <v>123</v>
      </c>
    </row>
    <row r="730" spans="1:109" x14ac:dyDescent="0.3">
      <c r="A730" t="str">
        <f>"18:46:48.297"</f>
        <v>18:46:48.297</v>
      </c>
      <c r="B730" t="s">
        <v>110</v>
      </c>
      <c r="C730" t="str">
        <f t="shared" si="33"/>
        <v>ffdfd3c0</v>
      </c>
      <c r="D730" t="s">
        <v>111</v>
      </c>
      <c r="E730">
        <v>18</v>
      </c>
      <c r="F730">
        <v>1018</v>
      </c>
      <c r="G730" t="s">
        <v>112</v>
      </c>
      <c r="J730" t="s">
        <v>113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R730" t="s">
        <v>114</v>
      </c>
      <c r="S730" t="str">
        <f>"18:46:48.047"</f>
        <v>18:46:48.047</v>
      </c>
      <c r="T730" t="str">
        <f>"18:46:47.844"</f>
        <v>18:46:47.844</v>
      </c>
      <c r="U730" t="str">
        <f t="shared" si="34"/>
        <v>a1cdbe</v>
      </c>
      <c r="V730">
        <v>0</v>
      </c>
      <c r="W730">
        <v>0</v>
      </c>
      <c r="X730">
        <v>1</v>
      </c>
      <c r="Y730">
        <v>0</v>
      </c>
      <c r="Z730">
        <v>0</v>
      </c>
      <c r="AB730">
        <v>0</v>
      </c>
      <c r="AC730">
        <v>9</v>
      </c>
      <c r="AD730">
        <v>3</v>
      </c>
      <c r="AE730">
        <v>0</v>
      </c>
      <c r="AF730">
        <v>9</v>
      </c>
      <c r="AG730" t="s">
        <v>158</v>
      </c>
      <c r="AH730">
        <v>0</v>
      </c>
      <c r="AI730">
        <v>3</v>
      </c>
      <c r="AJ730">
        <v>1</v>
      </c>
      <c r="AK730">
        <v>0</v>
      </c>
      <c r="AL730" t="s">
        <v>1530</v>
      </c>
      <c r="AM730">
        <v>46.881408999999998</v>
      </c>
      <c r="AN730" t="s">
        <v>1531</v>
      </c>
      <c r="AO730">
        <v>-122.38619300000001</v>
      </c>
      <c r="AP730">
        <v>100</v>
      </c>
      <c r="AQ730">
        <v>1900</v>
      </c>
      <c r="AR730" t="s">
        <v>118</v>
      </c>
      <c r="AS730">
        <v>-55</v>
      </c>
      <c r="AT730">
        <v>-58</v>
      </c>
      <c r="AU730">
        <v>-192</v>
      </c>
      <c r="BC730">
        <v>1200</v>
      </c>
      <c r="BD730">
        <v>1</v>
      </c>
      <c r="BE730" t="str">
        <f t="shared" si="35"/>
        <v xml:space="preserve">N215T   </v>
      </c>
      <c r="BF730">
        <v>1</v>
      </c>
      <c r="BH730">
        <v>0</v>
      </c>
      <c r="BI730">
        <v>0</v>
      </c>
      <c r="BJ730">
        <v>0</v>
      </c>
      <c r="BK730">
        <v>2300</v>
      </c>
      <c r="BL730">
        <v>400</v>
      </c>
      <c r="BM730" t="s">
        <v>119</v>
      </c>
      <c r="BN730">
        <v>1</v>
      </c>
      <c r="BO730">
        <v>1</v>
      </c>
      <c r="BP730">
        <v>1</v>
      </c>
      <c r="BQ730">
        <v>0</v>
      </c>
      <c r="BT730">
        <v>0</v>
      </c>
      <c r="BU730">
        <v>0</v>
      </c>
      <c r="BV730">
        <v>0</v>
      </c>
      <c r="CC730" t="str">
        <f>"18:46:48.047"</f>
        <v>18:46:48.047</v>
      </c>
      <c r="CD730" t="str">
        <f>"047134280"</f>
        <v>047134280</v>
      </c>
      <c r="CQ730">
        <v>0</v>
      </c>
      <c r="CR730">
        <v>2</v>
      </c>
      <c r="CS730">
        <v>0</v>
      </c>
      <c r="CT730">
        <v>2</v>
      </c>
      <c r="CU730">
        <v>0</v>
      </c>
      <c r="CV730">
        <v>3</v>
      </c>
      <c r="CW730" t="s">
        <v>120</v>
      </c>
      <c r="CX730">
        <v>261</v>
      </c>
      <c r="CY730">
        <v>2</v>
      </c>
      <c r="CZ730" t="s">
        <v>121</v>
      </c>
      <c r="DA730" t="s">
        <v>122</v>
      </c>
      <c r="DD730">
        <v>14632301</v>
      </c>
      <c r="DE730" t="s">
        <v>123</v>
      </c>
    </row>
    <row r="731" spans="1:109" x14ac:dyDescent="0.3">
      <c r="A731" t="str">
        <f>"18:46:49.102"</f>
        <v>18:46:49.102</v>
      </c>
      <c r="B731" t="s">
        <v>110</v>
      </c>
      <c r="C731" t="str">
        <f t="shared" si="33"/>
        <v>ffdfd3c0</v>
      </c>
      <c r="D731" t="s">
        <v>111</v>
      </c>
      <c r="E731">
        <v>18</v>
      </c>
      <c r="F731">
        <v>1018</v>
      </c>
      <c r="G731" t="s">
        <v>112</v>
      </c>
      <c r="J731" t="s">
        <v>113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R731" t="s">
        <v>114</v>
      </c>
      <c r="S731" t="str">
        <f>"18:46:48.883"</f>
        <v>18:46:48.883</v>
      </c>
      <c r="T731" t="str">
        <f>"18:46:48.383"</f>
        <v>18:46:48.383</v>
      </c>
      <c r="U731" t="str">
        <f t="shared" si="34"/>
        <v>a1cdbe</v>
      </c>
      <c r="V731">
        <v>0</v>
      </c>
      <c r="W731">
        <v>0</v>
      </c>
      <c r="X731">
        <v>1</v>
      </c>
      <c r="Y731">
        <v>0</v>
      </c>
      <c r="Z731">
        <v>0</v>
      </c>
      <c r="AB731">
        <v>0</v>
      </c>
      <c r="AC731">
        <v>9</v>
      </c>
      <c r="AD731">
        <v>3</v>
      </c>
      <c r="AE731">
        <v>0</v>
      </c>
      <c r="AF731">
        <v>9</v>
      </c>
      <c r="AG731" t="s">
        <v>158</v>
      </c>
      <c r="AH731">
        <v>0</v>
      </c>
      <c r="AI731">
        <v>3</v>
      </c>
      <c r="AJ731">
        <v>1</v>
      </c>
      <c r="AK731">
        <v>0</v>
      </c>
      <c r="AL731" t="s">
        <v>1532</v>
      </c>
      <c r="AM731">
        <v>46.881172999999997</v>
      </c>
      <c r="AN731" t="s">
        <v>1533</v>
      </c>
      <c r="AO731">
        <v>-122.386537</v>
      </c>
      <c r="AP731">
        <v>100</v>
      </c>
      <c r="AQ731">
        <v>1900</v>
      </c>
      <c r="AR731" t="s">
        <v>118</v>
      </c>
      <c r="AS731">
        <v>-55</v>
      </c>
      <c r="AT731">
        <v>-57</v>
      </c>
      <c r="AU731">
        <v>-192</v>
      </c>
      <c r="BC731">
        <v>1200</v>
      </c>
      <c r="BD731">
        <v>1</v>
      </c>
      <c r="BE731" t="str">
        <f t="shared" si="35"/>
        <v xml:space="preserve">N215T   </v>
      </c>
      <c r="BF731">
        <v>1</v>
      </c>
      <c r="BH731">
        <v>0</v>
      </c>
      <c r="BI731">
        <v>0</v>
      </c>
      <c r="BJ731">
        <v>0</v>
      </c>
      <c r="BK731">
        <v>2300</v>
      </c>
      <c r="BL731">
        <v>400</v>
      </c>
      <c r="BM731" t="s">
        <v>119</v>
      </c>
      <c r="BN731">
        <v>1</v>
      </c>
      <c r="BO731">
        <v>1</v>
      </c>
      <c r="BP731">
        <v>1</v>
      </c>
      <c r="BQ731">
        <v>0</v>
      </c>
      <c r="BT731">
        <v>0</v>
      </c>
      <c r="BU731">
        <v>0</v>
      </c>
      <c r="BV731">
        <v>0</v>
      </c>
      <c r="CC731" t="str">
        <f>"18:46:48.891"</f>
        <v>18:46:48.891</v>
      </c>
      <c r="CD731" t="str">
        <f>"887015198"</f>
        <v>887015198</v>
      </c>
      <c r="CQ731">
        <v>0</v>
      </c>
      <c r="CR731">
        <v>2</v>
      </c>
      <c r="CS731">
        <v>0</v>
      </c>
      <c r="CT731">
        <v>2</v>
      </c>
      <c r="CU731">
        <v>0</v>
      </c>
      <c r="CV731">
        <v>4</v>
      </c>
      <c r="CW731" t="s">
        <v>172</v>
      </c>
      <c r="CX731">
        <v>326</v>
      </c>
      <c r="CY731">
        <v>0</v>
      </c>
      <c r="CZ731" t="s">
        <v>173</v>
      </c>
      <c r="DA731" t="s">
        <v>174</v>
      </c>
      <c r="DD731">
        <v>5983384</v>
      </c>
      <c r="DE731" t="s">
        <v>123</v>
      </c>
    </row>
    <row r="732" spans="1:109" x14ac:dyDescent="0.3">
      <c r="A732" t="str">
        <f>"18:46:50.109"</f>
        <v>18:46:50.109</v>
      </c>
      <c r="B732" t="s">
        <v>110</v>
      </c>
      <c r="C732" t="str">
        <f t="shared" si="33"/>
        <v>ffdfd3c0</v>
      </c>
      <c r="D732" t="s">
        <v>111</v>
      </c>
      <c r="E732">
        <v>18</v>
      </c>
      <c r="F732">
        <v>1018</v>
      </c>
      <c r="G732" t="s">
        <v>112</v>
      </c>
      <c r="J732" t="s">
        <v>113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R732" t="s">
        <v>114</v>
      </c>
      <c r="S732" t="str">
        <f>"18:46:49.922"</f>
        <v>18:46:49.922</v>
      </c>
      <c r="T732" t="str">
        <f>"18:46:49.820"</f>
        <v>18:46:49.820</v>
      </c>
      <c r="U732" t="str">
        <f t="shared" si="34"/>
        <v>a1cdbe</v>
      </c>
      <c r="V732">
        <v>0</v>
      </c>
      <c r="W732">
        <v>0</v>
      </c>
      <c r="X732">
        <v>1</v>
      </c>
      <c r="Y732">
        <v>0</v>
      </c>
      <c r="Z732">
        <v>0</v>
      </c>
      <c r="AB732">
        <v>0</v>
      </c>
      <c r="AC732">
        <v>9</v>
      </c>
      <c r="AD732">
        <v>3</v>
      </c>
      <c r="AE732">
        <v>0</v>
      </c>
      <c r="AF732">
        <v>9</v>
      </c>
      <c r="AG732" t="s">
        <v>158</v>
      </c>
      <c r="AH732">
        <v>0</v>
      </c>
      <c r="AI732">
        <v>3</v>
      </c>
      <c r="AJ732">
        <v>1</v>
      </c>
      <c r="AK732">
        <v>0</v>
      </c>
      <c r="AL732" t="s">
        <v>1534</v>
      </c>
      <c r="AM732">
        <v>46.880937000000003</v>
      </c>
      <c r="AN732" t="s">
        <v>1535</v>
      </c>
      <c r="AO732">
        <v>-122.386923</v>
      </c>
      <c r="AP732">
        <v>100</v>
      </c>
      <c r="AQ732">
        <v>1900</v>
      </c>
      <c r="AR732" t="s">
        <v>118</v>
      </c>
      <c r="AS732">
        <v>-57</v>
      </c>
      <c r="AT732">
        <v>-56</v>
      </c>
      <c r="AU732">
        <v>-256</v>
      </c>
      <c r="BC732">
        <v>1200</v>
      </c>
      <c r="BD732">
        <v>1</v>
      </c>
      <c r="BE732" t="str">
        <f t="shared" si="35"/>
        <v xml:space="preserve">N215T   </v>
      </c>
      <c r="BF732">
        <v>1</v>
      </c>
      <c r="BH732">
        <v>0</v>
      </c>
      <c r="BI732">
        <v>0</v>
      </c>
      <c r="BJ732">
        <v>0</v>
      </c>
      <c r="BK732">
        <v>2300</v>
      </c>
      <c r="BL732">
        <v>400</v>
      </c>
      <c r="BM732" t="s">
        <v>119</v>
      </c>
      <c r="BN732">
        <v>1</v>
      </c>
      <c r="BO732">
        <v>1</v>
      </c>
      <c r="BP732">
        <v>1</v>
      </c>
      <c r="BQ732">
        <v>0</v>
      </c>
      <c r="BT732">
        <v>0</v>
      </c>
      <c r="BU732">
        <v>0</v>
      </c>
      <c r="BV732">
        <v>0</v>
      </c>
      <c r="CC732" t="str">
        <f>"18:46:49.922"</f>
        <v>18:46:49.922</v>
      </c>
      <c r="CD732" t="str">
        <f>"922102476"</f>
        <v>922102476</v>
      </c>
      <c r="CQ732">
        <v>0</v>
      </c>
      <c r="CR732">
        <v>2</v>
      </c>
      <c r="CS732">
        <v>0</v>
      </c>
      <c r="CT732">
        <v>2</v>
      </c>
      <c r="CU732">
        <v>0</v>
      </c>
      <c r="CV732">
        <v>2</v>
      </c>
      <c r="CW732" t="s">
        <v>120</v>
      </c>
      <c r="CX732">
        <v>257</v>
      </c>
      <c r="CY732">
        <v>1</v>
      </c>
      <c r="CZ732" t="s">
        <v>615</v>
      </c>
      <c r="DA732" t="s">
        <v>616</v>
      </c>
      <c r="DD732">
        <v>10939588</v>
      </c>
      <c r="DE732" t="s">
        <v>123</v>
      </c>
    </row>
    <row r="733" spans="1:109" x14ac:dyDescent="0.3">
      <c r="A733" t="str">
        <f>"18:46:51.164"</f>
        <v>18:46:51.164</v>
      </c>
      <c r="B733" t="s">
        <v>110</v>
      </c>
      <c r="C733" t="str">
        <f t="shared" si="33"/>
        <v>ffdfd3c0</v>
      </c>
      <c r="D733" t="s">
        <v>111</v>
      </c>
      <c r="E733">
        <v>18</v>
      </c>
      <c r="F733">
        <v>1018</v>
      </c>
      <c r="G733" t="s">
        <v>112</v>
      </c>
      <c r="J733" t="s">
        <v>113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R733" t="s">
        <v>114</v>
      </c>
      <c r="S733" t="str">
        <f>"18:46:50.953"</f>
        <v>18:46:50.953</v>
      </c>
      <c r="T733" t="str">
        <f>"18:46:50.750"</f>
        <v>18:46:50.750</v>
      </c>
      <c r="U733" t="str">
        <f t="shared" si="34"/>
        <v>a1cdbe</v>
      </c>
      <c r="V733">
        <v>0</v>
      </c>
      <c r="W733">
        <v>0</v>
      </c>
      <c r="X733">
        <v>1</v>
      </c>
      <c r="Y733">
        <v>0</v>
      </c>
      <c r="Z733">
        <v>0</v>
      </c>
      <c r="AB733">
        <v>0</v>
      </c>
      <c r="AC733">
        <v>9</v>
      </c>
      <c r="AD733">
        <v>3</v>
      </c>
      <c r="AE733">
        <v>0</v>
      </c>
      <c r="AF733">
        <v>9</v>
      </c>
      <c r="AG733" t="s">
        <v>158</v>
      </c>
      <c r="AH733">
        <v>0</v>
      </c>
      <c r="AI733">
        <v>3</v>
      </c>
      <c r="AJ733">
        <v>1</v>
      </c>
      <c r="AK733">
        <v>0</v>
      </c>
      <c r="AL733" t="s">
        <v>1536</v>
      </c>
      <c r="AM733">
        <v>46.880679000000001</v>
      </c>
      <c r="AN733" t="s">
        <v>1537</v>
      </c>
      <c r="AO733">
        <v>-122.38735200000001</v>
      </c>
      <c r="AP733">
        <v>100</v>
      </c>
      <c r="AQ733">
        <v>1900</v>
      </c>
      <c r="AR733" t="s">
        <v>118</v>
      </c>
      <c r="AS733">
        <v>-57</v>
      </c>
      <c r="AT733">
        <v>-55</v>
      </c>
      <c r="AU733">
        <v>-64</v>
      </c>
      <c r="BC733">
        <v>1200</v>
      </c>
      <c r="BD733">
        <v>1</v>
      </c>
      <c r="BE733" t="str">
        <f t="shared" si="35"/>
        <v xml:space="preserve">N215T   </v>
      </c>
      <c r="BF733">
        <v>1</v>
      </c>
      <c r="BH733">
        <v>0</v>
      </c>
      <c r="BI733">
        <v>0</v>
      </c>
      <c r="BJ733">
        <v>0</v>
      </c>
      <c r="BK733">
        <v>2300</v>
      </c>
      <c r="BL733">
        <v>400</v>
      </c>
      <c r="BM733" t="s">
        <v>119</v>
      </c>
      <c r="BN733">
        <v>1</v>
      </c>
      <c r="BO733">
        <v>1</v>
      </c>
      <c r="BP733">
        <v>1</v>
      </c>
      <c r="BQ733">
        <v>0</v>
      </c>
      <c r="BT733">
        <v>0</v>
      </c>
      <c r="BU733">
        <v>0</v>
      </c>
      <c r="BV733">
        <v>0</v>
      </c>
      <c r="CC733" t="str">
        <f>"18:46:50.953"</f>
        <v>18:46:50.953</v>
      </c>
      <c r="CD733" t="str">
        <f>"956811650"</f>
        <v>956811650</v>
      </c>
      <c r="CQ733">
        <v>0</v>
      </c>
      <c r="CR733">
        <v>2</v>
      </c>
      <c r="CS733">
        <v>0</v>
      </c>
      <c r="CT733">
        <v>2</v>
      </c>
      <c r="CU733">
        <v>0</v>
      </c>
      <c r="CV733">
        <v>3</v>
      </c>
      <c r="CW733" t="s">
        <v>172</v>
      </c>
      <c r="CX733">
        <v>326</v>
      </c>
      <c r="CY733">
        <v>0</v>
      </c>
      <c r="CZ733" t="s">
        <v>173</v>
      </c>
      <c r="DA733" t="s">
        <v>174</v>
      </c>
      <c r="DD733">
        <v>5984462</v>
      </c>
      <c r="DE733" t="s">
        <v>123</v>
      </c>
    </row>
    <row r="734" spans="1:109" x14ac:dyDescent="0.3">
      <c r="A734" t="str">
        <f>"18:46:52.320"</f>
        <v>18:46:52.320</v>
      </c>
      <c r="B734" t="s">
        <v>110</v>
      </c>
      <c r="C734" t="str">
        <f t="shared" si="33"/>
        <v>ffdfd3c0</v>
      </c>
      <c r="D734" t="s">
        <v>111</v>
      </c>
      <c r="E734">
        <v>18</v>
      </c>
      <c r="F734">
        <v>1018</v>
      </c>
      <c r="G734" t="s">
        <v>112</v>
      </c>
      <c r="J734" t="s">
        <v>113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R734" t="s">
        <v>114</v>
      </c>
      <c r="S734" t="str">
        <f>"18:46:52.094"</f>
        <v>18:46:52.094</v>
      </c>
      <c r="T734" t="str">
        <f>"18:46:51.797"</f>
        <v>18:46:51.797</v>
      </c>
      <c r="U734" t="str">
        <f t="shared" si="34"/>
        <v>a1cdbe</v>
      </c>
      <c r="V734">
        <v>0</v>
      </c>
      <c r="W734">
        <v>0</v>
      </c>
      <c r="X734">
        <v>1</v>
      </c>
      <c r="Y734">
        <v>0</v>
      </c>
      <c r="Z734">
        <v>0</v>
      </c>
      <c r="AB734">
        <v>0</v>
      </c>
      <c r="AC734">
        <v>9</v>
      </c>
      <c r="AD734">
        <v>3</v>
      </c>
      <c r="AE734">
        <v>0</v>
      </c>
      <c r="AF734">
        <v>9</v>
      </c>
      <c r="AG734" t="s">
        <v>158</v>
      </c>
      <c r="AH734">
        <v>0</v>
      </c>
      <c r="AI734">
        <v>3</v>
      </c>
      <c r="AJ734">
        <v>1</v>
      </c>
      <c r="AK734">
        <v>0</v>
      </c>
      <c r="AL734" t="s">
        <v>1538</v>
      </c>
      <c r="AM734">
        <v>46.880400000000002</v>
      </c>
      <c r="AN734" t="s">
        <v>1539</v>
      </c>
      <c r="AO734">
        <v>-122.38776</v>
      </c>
      <c r="AP734">
        <v>100</v>
      </c>
      <c r="AQ734">
        <v>1900</v>
      </c>
      <c r="AR734" t="s">
        <v>118</v>
      </c>
      <c r="AS734">
        <v>-58</v>
      </c>
      <c r="AT734">
        <v>-54</v>
      </c>
      <c r="AU734">
        <v>0</v>
      </c>
      <c r="BC734">
        <v>1200</v>
      </c>
      <c r="BD734">
        <v>1</v>
      </c>
      <c r="BE734" t="str">
        <f t="shared" si="35"/>
        <v xml:space="preserve">N215T   </v>
      </c>
      <c r="BF734">
        <v>1</v>
      </c>
      <c r="BH734">
        <v>0</v>
      </c>
      <c r="BI734">
        <v>0</v>
      </c>
      <c r="BJ734">
        <v>0</v>
      </c>
      <c r="BK734">
        <v>2300</v>
      </c>
      <c r="BL734">
        <v>400</v>
      </c>
      <c r="BM734" t="s">
        <v>119</v>
      </c>
      <c r="BN734">
        <v>1</v>
      </c>
      <c r="BO734">
        <v>1</v>
      </c>
      <c r="BP734">
        <v>1</v>
      </c>
      <c r="BQ734">
        <v>0</v>
      </c>
      <c r="BT734">
        <v>0</v>
      </c>
      <c r="BU734">
        <v>0</v>
      </c>
      <c r="BV734">
        <v>0</v>
      </c>
      <c r="CC734" t="str">
        <f>"18:46:52.094"</f>
        <v>18:46:52.094</v>
      </c>
      <c r="CD734" t="str">
        <f>"096735720"</f>
        <v>096735720</v>
      </c>
      <c r="CQ734">
        <v>0</v>
      </c>
      <c r="CR734">
        <v>2</v>
      </c>
      <c r="CS734">
        <v>0</v>
      </c>
      <c r="CT734">
        <v>2</v>
      </c>
      <c r="CU734">
        <v>0</v>
      </c>
      <c r="CV734">
        <v>4</v>
      </c>
      <c r="CW734" t="s">
        <v>120</v>
      </c>
      <c r="CX734">
        <v>261</v>
      </c>
      <c r="CY734">
        <v>2</v>
      </c>
      <c r="CZ734" t="s">
        <v>121</v>
      </c>
      <c r="DA734" t="s">
        <v>122</v>
      </c>
      <c r="DD734">
        <v>14634458</v>
      </c>
      <c r="DE734" t="s">
        <v>123</v>
      </c>
    </row>
    <row r="735" spans="1:109" x14ac:dyDescent="0.3">
      <c r="A735" t="str">
        <f>"18:46:53.172"</f>
        <v>18:46:53.172</v>
      </c>
      <c r="B735" t="s">
        <v>110</v>
      </c>
      <c r="C735" t="str">
        <f t="shared" si="33"/>
        <v>ffdfd3c0</v>
      </c>
      <c r="D735" t="s">
        <v>111</v>
      </c>
      <c r="E735">
        <v>18</v>
      </c>
      <c r="F735">
        <v>1018</v>
      </c>
      <c r="G735" t="s">
        <v>112</v>
      </c>
      <c r="J735" t="s">
        <v>113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R735" t="s">
        <v>114</v>
      </c>
      <c r="S735" t="str">
        <f>"18:46:52.945"</f>
        <v>18:46:52.945</v>
      </c>
      <c r="T735" t="str">
        <f>"18:46:52.844"</f>
        <v>18:46:52.844</v>
      </c>
      <c r="U735" t="str">
        <f t="shared" si="34"/>
        <v>a1cdbe</v>
      </c>
      <c r="V735">
        <v>0</v>
      </c>
      <c r="W735">
        <v>0</v>
      </c>
      <c r="X735">
        <v>1</v>
      </c>
      <c r="Y735">
        <v>0</v>
      </c>
      <c r="Z735">
        <v>0</v>
      </c>
      <c r="AB735">
        <v>0</v>
      </c>
      <c r="AC735">
        <v>9</v>
      </c>
      <c r="AD735">
        <v>3</v>
      </c>
      <c r="AE735">
        <v>0</v>
      </c>
      <c r="AF735">
        <v>9</v>
      </c>
      <c r="AG735" t="s">
        <v>158</v>
      </c>
      <c r="AH735">
        <v>0</v>
      </c>
      <c r="AI735">
        <v>3</v>
      </c>
      <c r="AJ735">
        <v>1</v>
      </c>
      <c r="AK735">
        <v>0</v>
      </c>
      <c r="AL735" t="s">
        <v>1540</v>
      </c>
      <c r="AM735">
        <v>46.880164000000001</v>
      </c>
      <c r="AN735" t="s">
        <v>1541</v>
      </c>
      <c r="AO735">
        <v>-122.388103</v>
      </c>
      <c r="AP735">
        <v>100</v>
      </c>
      <c r="AQ735">
        <v>1900</v>
      </c>
      <c r="AR735" t="s">
        <v>118</v>
      </c>
      <c r="AS735">
        <v>-57</v>
      </c>
      <c r="AT735">
        <v>-54</v>
      </c>
      <c r="AU735">
        <v>0</v>
      </c>
      <c r="BC735">
        <v>1200</v>
      </c>
      <c r="BD735">
        <v>1</v>
      </c>
      <c r="BE735" t="str">
        <f t="shared" si="35"/>
        <v xml:space="preserve">N215T   </v>
      </c>
      <c r="BF735">
        <v>1</v>
      </c>
      <c r="BH735">
        <v>0</v>
      </c>
      <c r="BI735">
        <v>0</v>
      </c>
      <c r="BJ735">
        <v>0</v>
      </c>
      <c r="BK735">
        <v>2300</v>
      </c>
      <c r="BL735">
        <v>400</v>
      </c>
      <c r="BM735" t="s">
        <v>119</v>
      </c>
      <c r="BN735">
        <v>1</v>
      </c>
      <c r="BO735">
        <v>1</v>
      </c>
      <c r="BP735">
        <v>1</v>
      </c>
      <c r="BQ735">
        <v>0</v>
      </c>
      <c r="BT735">
        <v>0</v>
      </c>
      <c r="BU735">
        <v>0</v>
      </c>
      <c r="BV735">
        <v>0</v>
      </c>
      <c r="CC735" t="str">
        <f>"18:46:52.953"</f>
        <v>18:46:52.953</v>
      </c>
      <c r="CD735" t="str">
        <f>"951651597"</f>
        <v>951651597</v>
      </c>
      <c r="CQ735">
        <v>0</v>
      </c>
      <c r="CR735">
        <v>2</v>
      </c>
      <c r="CS735">
        <v>0</v>
      </c>
      <c r="CT735">
        <v>2</v>
      </c>
      <c r="CU735">
        <v>0</v>
      </c>
      <c r="CV735">
        <v>3</v>
      </c>
      <c r="CW735" t="s">
        <v>120</v>
      </c>
      <c r="CX735">
        <v>261</v>
      </c>
      <c r="CY735">
        <v>2</v>
      </c>
      <c r="CZ735" t="s">
        <v>121</v>
      </c>
      <c r="DA735" t="s">
        <v>122</v>
      </c>
      <c r="DD735">
        <v>14634946</v>
      </c>
      <c r="DE735" t="s">
        <v>123</v>
      </c>
    </row>
    <row r="736" spans="1:109" x14ac:dyDescent="0.3">
      <c r="A736" t="str">
        <f>"18:46:54.180"</f>
        <v>18:46:54.180</v>
      </c>
      <c r="B736" t="s">
        <v>110</v>
      </c>
      <c r="C736" t="str">
        <f t="shared" si="33"/>
        <v>ffdfd3c0</v>
      </c>
      <c r="D736" t="s">
        <v>111</v>
      </c>
      <c r="E736">
        <v>18</v>
      </c>
      <c r="F736">
        <v>1018</v>
      </c>
      <c r="G736" t="s">
        <v>112</v>
      </c>
      <c r="J736" t="s">
        <v>113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R736" t="s">
        <v>114</v>
      </c>
      <c r="S736" t="str">
        <f>"18:46:53.938"</f>
        <v>18:46:53.938</v>
      </c>
      <c r="T736" t="str">
        <f>"18:46:53.938"</f>
        <v>18:46:53.938</v>
      </c>
      <c r="U736" t="str">
        <f t="shared" si="34"/>
        <v>a1cdbe</v>
      </c>
      <c r="V736">
        <v>0</v>
      </c>
      <c r="W736">
        <v>0</v>
      </c>
      <c r="X736">
        <v>1</v>
      </c>
      <c r="Y736">
        <v>0</v>
      </c>
      <c r="Z736">
        <v>0</v>
      </c>
      <c r="AB736">
        <v>0</v>
      </c>
      <c r="AC736">
        <v>9</v>
      </c>
      <c r="AD736">
        <v>3</v>
      </c>
      <c r="AE736">
        <v>0</v>
      </c>
      <c r="AF736">
        <v>9</v>
      </c>
      <c r="AG736" t="s">
        <v>158</v>
      </c>
      <c r="AH736">
        <v>0</v>
      </c>
      <c r="AI736">
        <v>3</v>
      </c>
      <c r="AJ736">
        <v>1</v>
      </c>
      <c r="AK736">
        <v>0</v>
      </c>
      <c r="AL736" t="s">
        <v>1542</v>
      </c>
      <c r="AM736">
        <v>46.879928</v>
      </c>
      <c r="AN736" t="s">
        <v>1543</v>
      </c>
      <c r="AO736">
        <v>-122.388468</v>
      </c>
      <c r="AP736">
        <v>100</v>
      </c>
      <c r="AQ736">
        <v>1900</v>
      </c>
      <c r="AR736" t="s">
        <v>118</v>
      </c>
      <c r="AS736">
        <v>-56</v>
      </c>
      <c r="AT736">
        <v>-55</v>
      </c>
      <c r="AU736">
        <v>64</v>
      </c>
      <c r="BC736">
        <v>1200</v>
      </c>
      <c r="BD736">
        <v>1</v>
      </c>
      <c r="BE736" t="str">
        <f t="shared" si="35"/>
        <v xml:space="preserve">N215T   </v>
      </c>
      <c r="BF736">
        <v>1</v>
      </c>
      <c r="BH736">
        <v>0</v>
      </c>
      <c r="BI736">
        <v>0</v>
      </c>
      <c r="BJ736">
        <v>0</v>
      </c>
      <c r="BK736">
        <v>2300</v>
      </c>
      <c r="BL736">
        <v>400</v>
      </c>
      <c r="BM736" t="s">
        <v>119</v>
      </c>
      <c r="BN736">
        <v>1</v>
      </c>
      <c r="BO736">
        <v>1</v>
      </c>
      <c r="BP736">
        <v>1</v>
      </c>
      <c r="BQ736">
        <v>0</v>
      </c>
      <c r="BT736">
        <v>0</v>
      </c>
      <c r="BU736">
        <v>0</v>
      </c>
      <c r="BV736">
        <v>0</v>
      </c>
      <c r="CC736" t="str">
        <f>"18:46:53.945"</f>
        <v>18:46:53.945</v>
      </c>
      <c r="CD736" t="str">
        <f>"941518090"</f>
        <v>941518090</v>
      </c>
      <c r="CQ736">
        <v>0</v>
      </c>
      <c r="CR736">
        <v>2</v>
      </c>
      <c r="CS736">
        <v>0</v>
      </c>
      <c r="CT736">
        <v>2</v>
      </c>
      <c r="CU736">
        <v>0</v>
      </c>
      <c r="CV736">
        <v>3</v>
      </c>
      <c r="CW736" t="s">
        <v>172</v>
      </c>
      <c r="CX736">
        <v>326</v>
      </c>
      <c r="CY736">
        <v>0</v>
      </c>
      <c r="CZ736" t="s">
        <v>173</v>
      </c>
      <c r="DA736" t="s">
        <v>174</v>
      </c>
      <c r="DD736">
        <v>5986007</v>
      </c>
      <c r="DE736" t="s">
        <v>123</v>
      </c>
    </row>
    <row r="737" spans="1:109" x14ac:dyDescent="0.3">
      <c r="A737" t="str">
        <f>"18:46:55.086"</f>
        <v>18:46:55.086</v>
      </c>
      <c r="B737" t="s">
        <v>110</v>
      </c>
      <c r="C737" t="str">
        <f t="shared" si="33"/>
        <v>ffdfd3c0</v>
      </c>
      <c r="D737" t="s">
        <v>111</v>
      </c>
      <c r="E737">
        <v>18</v>
      </c>
      <c r="F737">
        <v>1018</v>
      </c>
      <c r="G737" t="s">
        <v>112</v>
      </c>
      <c r="J737" t="s">
        <v>113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R737" t="s">
        <v>114</v>
      </c>
      <c r="S737" t="str">
        <f>"18:46:54.836"</f>
        <v>18:46:54.836</v>
      </c>
      <c r="T737" t="str">
        <f>"18:46:54.438"</f>
        <v>18:46:54.438</v>
      </c>
      <c r="U737" t="str">
        <f t="shared" si="34"/>
        <v>a1cdbe</v>
      </c>
      <c r="V737">
        <v>0</v>
      </c>
      <c r="W737">
        <v>0</v>
      </c>
      <c r="X737">
        <v>1</v>
      </c>
      <c r="Y737">
        <v>0</v>
      </c>
      <c r="Z737">
        <v>0</v>
      </c>
      <c r="AB737">
        <v>0</v>
      </c>
      <c r="AC737">
        <v>9</v>
      </c>
      <c r="AD737">
        <v>3</v>
      </c>
      <c r="AE737">
        <v>0</v>
      </c>
      <c r="AF737">
        <v>9</v>
      </c>
      <c r="AG737" t="s">
        <v>158</v>
      </c>
      <c r="AH737">
        <v>0</v>
      </c>
      <c r="AI737">
        <v>3</v>
      </c>
      <c r="AJ737">
        <v>1</v>
      </c>
      <c r="AK737">
        <v>0</v>
      </c>
      <c r="AL737" t="s">
        <v>1544</v>
      </c>
      <c r="AM737">
        <v>46.879714</v>
      </c>
      <c r="AN737" t="s">
        <v>1545</v>
      </c>
      <c r="AO737">
        <v>-122.38879</v>
      </c>
      <c r="AP737">
        <v>100</v>
      </c>
      <c r="AQ737">
        <v>1900</v>
      </c>
      <c r="AR737" t="s">
        <v>118</v>
      </c>
      <c r="AS737">
        <v>-56</v>
      </c>
      <c r="AT737">
        <v>-55</v>
      </c>
      <c r="AU737">
        <v>0</v>
      </c>
      <c r="BC737">
        <v>1200</v>
      </c>
      <c r="BD737">
        <v>1</v>
      </c>
      <c r="BE737" t="str">
        <f t="shared" si="35"/>
        <v xml:space="preserve">N215T   </v>
      </c>
      <c r="BF737">
        <v>1</v>
      </c>
      <c r="BH737">
        <v>0</v>
      </c>
      <c r="BI737">
        <v>0</v>
      </c>
      <c r="BJ737">
        <v>0</v>
      </c>
      <c r="BK737">
        <v>2300</v>
      </c>
      <c r="BL737">
        <v>400</v>
      </c>
      <c r="BM737" t="s">
        <v>119</v>
      </c>
      <c r="BN737">
        <v>1</v>
      </c>
      <c r="BO737">
        <v>1</v>
      </c>
      <c r="BP737">
        <v>1</v>
      </c>
      <c r="BQ737">
        <v>0</v>
      </c>
      <c r="BT737">
        <v>0</v>
      </c>
      <c r="BU737">
        <v>0</v>
      </c>
      <c r="BV737">
        <v>0</v>
      </c>
      <c r="CC737" t="str">
        <f>"18:46:54.844"</f>
        <v>18:46:54.844</v>
      </c>
      <c r="CD737" t="str">
        <f>"841465611"</f>
        <v>841465611</v>
      </c>
      <c r="CQ737">
        <v>0</v>
      </c>
      <c r="CR737">
        <v>2</v>
      </c>
      <c r="CS737">
        <v>0</v>
      </c>
      <c r="CT737">
        <v>2</v>
      </c>
      <c r="CU737">
        <v>0</v>
      </c>
      <c r="CV737">
        <v>3</v>
      </c>
      <c r="CW737" t="s">
        <v>120</v>
      </c>
      <c r="CX737">
        <v>261</v>
      </c>
      <c r="CY737">
        <v>2</v>
      </c>
      <c r="CZ737" t="s">
        <v>121</v>
      </c>
      <c r="DA737" t="s">
        <v>122</v>
      </c>
      <c r="DD737">
        <v>14636021</v>
      </c>
      <c r="DE737" t="s">
        <v>123</v>
      </c>
    </row>
    <row r="738" spans="1:109" x14ac:dyDescent="0.3">
      <c r="A738" t="str">
        <f>"18:46:56.141"</f>
        <v>18:46:56.141</v>
      </c>
      <c r="B738" t="s">
        <v>110</v>
      </c>
      <c r="C738" t="str">
        <f t="shared" si="33"/>
        <v>ffdfd3c0</v>
      </c>
      <c r="D738" t="s">
        <v>111</v>
      </c>
      <c r="E738">
        <v>18</v>
      </c>
      <c r="F738">
        <v>1018</v>
      </c>
      <c r="G738" t="s">
        <v>112</v>
      </c>
      <c r="J738" t="s">
        <v>113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R738" t="s">
        <v>114</v>
      </c>
      <c r="S738" t="str">
        <f>"18:46:55.914"</f>
        <v>18:46:55.914</v>
      </c>
      <c r="T738" t="str">
        <f>"18:46:55.516"</f>
        <v>18:46:55.516</v>
      </c>
      <c r="U738" t="str">
        <f t="shared" si="34"/>
        <v>a1cdbe</v>
      </c>
      <c r="V738">
        <v>0</v>
      </c>
      <c r="W738">
        <v>0</v>
      </c>
      <c r="X738">
        <v>1</v>
      </c>
      <c r="Y738">
        <v>0</v>
      </c>
      <c r="Z738">
        <v>0</v>
      </c>
      <c r="AB738">
        <v>0</v>
      </c>
      <c r="AC738">
        <v>9</v>
      </c>
      <c r="AD738">
        <v>3</v>
      </c>
      <c r="AE738">
        <v>0</v>
      </c>
      <c r="AF738">
        <v>9</v>
      </c>
      <c r="AG738" t="s">
        <v>158</v>
      </c>
      <c r="AH738">
        <v>0</v>
      </c>
      <c r="AI738">
        <v>3</v>
      </c>
      <c r="AJ738">
        <v>1</v>
      </c>
      <c r="AK738">
        <v>0</v>
      </c>
      <c r="AL738" t="s">
        <v>1546</v>
      </c>
      <c r="AM738">
        <v>46.879455999999998</v>
      </c>
      <c r="AN738" t="s">
        <v>1547</v>
      </c>
      <c r="AO738">
        <v>-122.38924</v>
      </c>
      <c r="AP738">
        <v>100</v>
      </c>
      <c r="AQ738">
        <v>1900</v>
      </c>
      <c r="AR738" t="s">
        <v>118</v>
      </c>
      <c r="AS738">
        <v>-55</v>
      </c>
      <c r="AT738">
        <v>-54</v>
      </c>
      <c r="AU738">
        <v>-64</v>
      </c>
      <c r="BC738">
        <v>1200</v>
      </c>
      <c r="BD738">
        <v>1</v>
      </c>
      <c r="BE738" t="str">
        <f t="shared" si="35"/>
        <v xml:space="preserve">N215T   </v>
      </c>
      <c r="BF738">
        <v>1</v>
      </c>
      <c r="BH738">
        <v>0</v>
      </c>
      <c r="BI738">
        <v>0</v>
      </c>
      <c r="BJ738">
        <v>0</v>
      </c>
      <c r="BK738">
        <v>2300</v>
      </c>
      <c r="BL738">
        <v>400</v>
      </c>
      <c r="BM738" t="s">
        <v>119</v>
      </c>
      <c r="BN738">
        <v>1</v>
      </c>
      <c r="BO738">
        <v>1</v>
      </c>
      <c r="BP738">
        <v>1</v>
      </c>
      <c r="BQ738">
        <v>0</v>
      </c>
      <c r="BT738">
        <v>0</v>
      </c>
      <c r="BU738">
        <v>0</v>
      </c>
      <c r="BV738">
        <v>0</v>
      </c>
      <c r="CC738" t="str">
        <f>"18:46:55.922"</f>
        <v>18:46:55.922</v>
      </c>
      <c r="CD738" t="str">
        <f>"921323368"</f>
        <v>921323368</v>
      </c>
      <c r="CQ738">
        <v>0</v>
      </c>
      <c r="CR738">
        <v>2</v>
      </c>
      <c r="CS738">
        <v>0</v>
      </c>
      <c r="CT738">
        <v>2</v>
      </c>
      <c r="CU738">
        <v>0</v>
      </c>
      <c r="CV738">
        <v>4</v>
      </c>
      <c r="CW738" t="s">
        <v>172</v>
      </c>
      <c r="CX738">
        <v>326</v>
      </c>
      <c r="CY738">
        <v>0</v>
      </c>
      <c r="CZ738" t="s">
        <v>173</v>
      </c>
      <c r="DA738" t="s">
        <v>174</v>
      </c>
      <c r="DD738">
        <v>5987011</v>
      </c>
      <c r="DE738" t="s">
        <v>123</v>
      </c>
    </row>
    <row r="739" spans="1:109" x14ac:dyDescent="0.3">
      <c r="A739" t="str">
        <f>"18:46:57.148"</f>
        <v>18:46:57.148</v>
      </c>
      <c r="B739" t="s">
        <v>110</v>
      </c>
      <c r="C739" t="str">
        <f t="shared" si="33"/>
        <v>ffdfd3c0</v>
      </c>
      <c r="D739" t="s">
        <v>111</v>
      </c>
      <c r="E739">
        <v>18</v>
      </c>
      <c r="F739">
        <v>1018</v>
      </c>
      <c r="G739" t="s">
        <v>112</v>
      </c>
      <c r="J739" t="s">
        <v>113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R739" t="s">
        <v>114</v>
      </c>
      <c r="S739" t="str">
        <f>"18:46:56.922"</f>
        <v>18:46:56.922</v>
      </c>
      <c r="T739" t="str">
        <f>"18:46:56.523"</f>
        <v>18:46:56.523</v>
      </c>
      <c r="U739" t="str">
        <f t="shared" si="34"/>
        <v>a1cdbe</v>
      </c>
      <c r="V739">
        <v>0</v>
      </c>
      <c r="W739">
        <v>0</v>
      </c>
      <c r="X739">
        <v>1</v>
      </c>
      <c r="Y739">
        <v>0</v>
      </c>
      <c r="Z739">
        <v>0</v>
      </c>
      <c r="AB739">
        <v>0</v>
      </c>
      <c r="AC739">
        <v>9</v>
      </c>
      <c r="AD739">
        <v>3</v>
      </c>
      <c r="AE739">
        <v>0</v>
      </c>
      <c r="AF739">
        <v>9</v>
      </c>
      <c r="AG739" t="s">
        <v>158</v>
      </c>
      <c r="AH739">
        <v>0</v>
      </c>
      <c r="AI739">
        <v>3</v>
      </c>
      <c r="AJ739">
        <v>1</v>
      </c>
      <c r="AK739">
        <v>0</v>
      </c>
      <c r="AL739" t="s">
        <v>1548</v>
      </c>
      <c r="AM739">
        <v>46.879156000000002</v>
      </c>
      <c r="AN739" t="s">
        <v>1549</v>
      </c>
      <c r="AO739">
        <v>-122.389627</v>
      </c>
      <c r="AP739">
        <v>100</v>
      </c>
      <c r="AQ739">
        <v>1900</v>
      </c>
      <c r="AR739" t="s">
        <v>118</v>
      </c>
      <c r="AS739">
        <v>-55</v>
      </c>
      <c r="AT739">
        <v>-54</v>
      </c>
      <c r="AU739">
        <v>0</v>
      </c>
      <c r="BC739">
        <v>1200</v>
      </c>
      <c r="BD739">
        <v>1</v>
      </c>
      <c r="BE739" t="str">
        <f t="shared" si="35"/>
        <v xml:space="preserve">N215T   </v>
      </c>
      <c r="BF739">
        <v>1</v>
      </c>
      <c r="BH739">
        <v>0</v>
      </c>
      <c r="BI739">
        <v>0</v>
      </c>
      <c r="BJ739">
        <v>0</v>
      </c>
      <c r="BK739">
        <v>2300</v>
      </c>
      <c r="BL739">
        <v>400</v>
      </c>
      <c r="BM739" t="s">
        <v>119</v>
      </c>
      <c r="BN739">
        <v>1</v>
      </c>
      <c r="BO739">
        <v>1</v>
      </c>
      <c r="BP739">
        <v>1</v>
      </c>
      <c r="BQ739">
        <v>0</v>
      </c>
      <c r="BT739">
        <v>0</v>
      </c>
      <c r="BU739">
        <v>0</v>
      </c>
      <c r="BV739">
        <v>0</v>
      </c>
      <c r="CC739" t="str">
        <f>"18:46:56.930"</f>
        <v>18:46:56.930</v>
      </c>
      <c r="CD739" t="str">
        <f>"926411977"</f>
        <v>926411977</v>
      </c>
      <c r="CQ739">
        <v>0</v>
      </c>
      <c r="CR739">
        <v>2</v>
      </c>
      <c r="CS739">
        <v>0</v>
      </c>
      <c r="CT739">
        <v>2</v>
      </c>
      <c r="CU739">
        <v>0</v>
      </c>
      <c r="CV739">
        <v>3</v>
      </c>
      <c r="CW739" t="s">
        <v>120</v>
      </c>
      <c r="CX739">
        <v>257</v>
      </c>
      <c r="CY739">
        <v>1</v>
      </c>
      <c r="CZ739" t="s">
        <v>615</v>
      </c>
      <c r="DA739" t="s">
        <v>616</v>
      </c>
      <c r="DD739">
        <v>10944248</v>
      </c>
      <c r="DE739" t="s">
        <v>123</v>
      </c>
    </row>
    <row r="740" spans="1:109" x14ac:dyDescent="0.3">
      <c r="A740" t="str">
        <f>"18:46:58.102"</f>
        <v>18:46:58.102</v>
      </c>
      <c r="B740" t="s">
        <v>110</v>
      </c>
      <c r="C740" t="str">
        <f t="shared" si="33"/>
        <v>ffdfd3c0</v>
      </c>
      <c r="D740" t="s">
        <v>111</v>
      </c>
      <c r="E740">
        <v>18</v>
      </c>
      <c r="F740">
        <v>1018</v>
      </c>
      <c r="G740" t="s">
        <v>112</v>
      </c>
      <c r="J740" t="s">
        <v>113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R740" t="s">
        <v>114</v>
      </c>
      <c r="S740" t="str">
        <f>"18:46:57.898"</f>
        <v>18:46:57.898</v>
      </c>
      <c r="T740" t="str">
        <f>"18:46:57.602"</f>
        <v>18:46:57.602</v>
      </c>
      <c r="U740" t="str">
        <f t="shared" si="34"/>
        <v>a1cdbe</v>
      </c>
      <c r="V740">
        <v>0</v>
      </c>
      <c r="W740">
        <v>0</v>
      </c>
      <c r="X740">
        <v>1</v>
      </c>
      <c r="Y740">
        <v>0</v>
      </c>
      <c r="Z740">
        <v>0</v>
      </c>
      <c r="AB740">
        <v>0</v>
      </c>
      <c r="AC740">
        <v>9</v>
      </c>
      <c r="AD740">
        <v>3</v>
      </c>
      <c r="AE740">
        <v>0</v>
      </c>
      <c r="AF740">
        <v>9</v>
      </c>
      <c r="AG740" t="s">
        <v>158</v>
      </c>
      <c r="AH740">
        <v>0</v>
      </c>
      <c r="AI740">
        <v>3</v>
      </c>
      <c r="AJ740">
        <v>1</v>
      </c>
      <c r="AK740">
        <v>0</v>
      </c>
      <c r="AL740" t="s">
        <v>1550</v>
      </c>
      <c r="AM740">
        <v>46.878940999999998</v>
      </c>
      <c r="AN740" t="s">
        <v>1551</v>
      </c>
      <c r="AO740">
        <v>-122.389948</v>
      </c>
      <c r="AP740">
        <v>100</v>
      </c>
      <c r="AQ740">
        <v>1900</v>
      </c>
      <c r="AR740" t="s">
        <v>118</v>
      </c>
      <c r="AS740">
        <v>-55</v>
      </c>
      <c r="AT740">
        <v>-54</v>
      </c>
      <c r="AU740">
        <v>64</v>
      </c>
      <c r="BC740">
        <v>1200</v>
      </c>
      <c r="BD740">
        <v>1</v>
      </c>
      <c r="BE740" t="str">
        <f t="shared" si="35"/>
        <v xml:space="preserve">N215T   </v>
      </c>
      <c r="BF740">
        <v>1</v>
      </c>
      <c r="BH740">
        <v>0</v>
      </c>
      <c r="BI740">
        <v>0</v>
      </c>
      <c r="BJ740">
        <v>0</v>
      </c>
      <c r="BK740">
        <v>2275</v>
      </c>
      <c r="BL740">
        <v>375</v>
      </c>
      <c r="BM740" t="s">
        <v>119</v>
      </c>
      <c r="BN740">
        <v>1</v>
      </c>
      <c r="BO740">
        <v>1</v>
      </c>
      <c r="BP740">
        <v>1</v>
      </c>
      <c r="BQ740">
        <v>0</v>
      </c>
      <c r="BT740">
        <v>0</v>
      </c>
      <c r="BU740">
        <v>0</v>
      </c>
      <c r="BV740">
        <v>0</v>
      </c>
      <c r="CC740" t="str">
        <f>"18:46:57.898"</f>
        <v>18:46:57.898</v>
      </c>
      <c r="CD740" t="str">
        <f>"901315857"</f>
        <v>901315857</v>
      </c>
      <c r="CQ740">
        <v>0</v>
      </c>
      <c r="CR740">
        <v>2</v>
      </c>
      <c r="CS740">
        <v>0</v>
      </c>
      <c r="CT740">
        <v>2</v>
      </c>
      <c r="CU740">
        <v>0</v>
      </c>
      <c r="CV740">
        <v>4</v>
      </c>
      <c r="CW740" t="s">
        <v>120</v>
      </c>
      <c r="CX740">
        <v>257</v>
      </c>
      <c r="CY740">
        <v>1</v>
      </c>
      <c r="CZ740" t="s">
        <v>615</v>
      </c>
      <c r="DA740" t="s">
        <v>616</v>
      </c>
      <c r="DD740">
        <v>10944927</v>
      </c>
      <c r="DE740" t="s">
        <v>123</v>
      </c>
    </row>
    <row r="741" spans="1:109" x14ac:dyDescent="0.3">
      <c r="A741" t="str">
        <f>"18:46:59.109"</f>
        <v>18:46:59.109</v>
      </c>
      <c r="B741" t="s">
        <v>110</v>
      </c>
      <c r="C741" t="str">
        <f t="shared" si="33"/>
        <v>ffdfd3c0</v>
      </c>
      <c r="D741" t="s">
        <v>111</v>
      </c>
      <c r="E741">
        <v>18</v>
      </c>
      <c r="F741">
        <v>1018</v>
      </c>
      <c r="G741" t="s">
        <v>112</v>
      </c>
      <c r="J741" t="s">
        <v>113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R741" t="s">
        <v>114</v>
      </c>
      <c r="S741" t="str">
        <f>"18:46:58.875"</f>
        <v>18:46:58.875</v>
      </c>
      <c r="T741" t="str">
        <f>"18:46:58.477"</f>
        <v>18:46:58.477</v>
      </c>
      <c r="U741" t="str">
        <f t="shared" si="34"/>
        <v>a1cdbe</v>
      </c>
      <c r="V741">
        <v>0</v>
      </c>
      <c r="W741">
        <v>0</v>
      </c>
      <c r="X741">
        <v>1</v>
      </c>
      <c r="Y741">
        <v>0</v>
      </c>
      <c r="Z741">
        <v>0</v>
      </c>
      <c r="AB741">
        <v>0</v>
      </c>
      <c r="AC741">
        <v>9</v>
      </c>
      <c r="AD741">
        <v>3</v>
      </c>
      <c r="AE741">
        <v>0</v>
      </c>
      <c r="AF741">
        <v>9</v>
      </c>
      <c r="AG741" t="s">
        <v>158</v>
      </c>
      <c r="AH741">
        <v>0</v>
      </c>
      <c r="AI741">
        <v>3</v>
      </c>
      <c r="AJ741">
        <v>1</v>
      </c>
      <c r="AK741">
        <v>0</v>
      </c>
      <c r="AL741" t="s">
        <v>1552</v>
      </c>
      <c r="AM741">
        <v>46.878704999999997</v>
      </c>
      <c r="AN741" t="s">
        <v>1553</v>
      </c>
      <c r="AO741">
        <v>-122.39031300000001</v>
      </c>
      <c r="AP741">
        <v>100</v>
      </c>
      <c r="AQ741">
        <v>1900</v>
      </c>
      <c r="AR741" t="s">
        <v>118</v>
      </c>
      <c r="AS741">
        <v>-55</v>
      </c>
      <c r="AT741">
        <v>-54</v>
      </c>
      <c r="AU741">
        <v>192</v>
      </c>
      <c r="BC741">
        <v>1200</v>
      </c>
      <c r="BD741">
        <v>1</v>
      </c>
      <c r="BE741" t="str">
        <f t="shared" si="35"/>
        <v xml:space="preserve">N215T   </v>
      </c>
      <c r="BF741">
        <v>1</v>
      </c>
      <c r="BH741">
        <v>0</v>
      </c>
      <c r="BI741">
        <v>0</v>
      </c>
      <c r="BJ741">
        <v>0</v>
      </c>
      <c r="BK741">
        <v>2300</v>
      </c>
      <c r="BL741">
        <v>400</v>
      </c>
      <c r="BM741" t="s">
        <v>119</v>
      </c>
      <c r="BN741">
        <v>1</v>
      </c>
      <c r="BO741">
        <v>1</v>
      </c>
      <c r="BP741">
        <v>1</v>
      </c>
      <c r="BQ741">
        <v>0</v>
      </c>
      <c r="BT741">
        <v>0</v>
      </c>
      <c r="BU741">
        <v>0</v>
      </c>
      <c r="BV741">
        <v>0</v>
      </c>
      <c r="CC741" t="str">
        <f>"18:46:58.875"</f>
        <v>18:46:58.875</v>
      </c>
      <c r="CD741" t="str">
        <f>"876068561"</f>
        <v>876068561</v>
      </c>
      <c r="CQ741">
        <v>0</v>
      </c>
      <c r="CR741">
        <v>2</v>
      </c>
      <c r="CS741">
        <v>0</v>
      </c>
      <c r="CT741">
        <v>2</v>
      </c>
      <c r="CU741">
        <v>0</v>
      </c>
      <c r="CV741">
        <v>3</v>
      </c>
      <c r="CW741" t="s">
        <v>120</v>
      </c>
      <c r="CX741">
        <v>261</v>
      </c>
      <c r="CY741">
        <v>2</v>
      </c>
      <c r="CZ741" t="s">
        <v>121</v>
      </c>
      <c r="DA741" t="s">
        <v>122</v>
      </c>
      <c r="DD741">
        <v>14638231</v>
      </c>
      <c r="DE741" t="s">
        <v>123</v>
      </c>
    </row>
    <row r="742" spans="1:109" x14ac:dyDescent="0.3">
      <c r="A742" t="str">
        <f>"18:47:00.008"</f>
        <v>18:47:00.008</v>
      </c>
      <c r="B742" t="s">
        <v>110</v>
      </c>
      <c r="C742" t="str">
        <f t="shared" si="33"/>
        <v>ffdfd3c0</v>
      </c>
      <c r="D742" t="s">
        <v>111</v>
      </c>
      <c r="E742">
        <v>18</v>
      </c>
      <c r="F742">
        <v>1018</v>
      </c>
      <c r="G742" t="s">
        <v>112</v>
      </c>
      <c r="J742" t="s">
        <v>113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R742" t="s">
        <v>114</v>
      </c>
      <c r="S742" t="str">
        <f>"18:46:59.773"</f>
        <v>18:46:59.773</v>
      </c>
      <c r="T742" t="str">
        <f>"18:46:59.375"</f>
        <v>18:46:59.375</v>
      </c>
      <c r="U742" t="str">
        <f t="shared" si="34"/>
        <v>a1cdbe</v>
      </c>
      <c r="V742">
        <v>0</v>
      </c>
      <c r="W742">
        <v>0</v>
      </c>
      <c r="X742">
        <v>1</v>
      </c>
      <c r="Y742">
        <v>0</v>
      </c>
      <c r="Z742">
        <v>0</v>
      </c>
      <c r="AB742">
        <v>0</v>
      </c>
      <c r="AC742">
        <v>9</v>
      </c>
      <c r="AD742">
        <v>3</v>
      </c>
      <c r="AE742">
        <v>0</v>
      </c>
      <c r="AF742">
        <v>9</v>
      </c>
      <c r="AG742" t="s">
        <v>158</v>
      </c>
      <c r="AH742">
        <v>0</v>
      </c>
      <c r="AI742">
        <v>3</v>
      </c>
      <c r="AJ742">
        <v>1</v>
      </c>
      <c r="AK742">
        <v>0</v>
      </c>
      <c r="AL742" t="s">
        <v>1554</v>
      </c>
      <c r="AM742">
        <v>46.878469000000003</v>
      </c>
      <c r="AN742" t="s">
        <v>1555</v>
      </c>
      <c r="AO742">
        <v>-122.39065600000001</v>
      </c>
      <c r="AP742">
        <v>100</v>
      </c>
      <c r="AQ742">
        <v>1900</v>
      </c>
      <c r="AR742" t="s">
        <v>118</v>
      </c>
      <c r="AS742">
        <v>-55</v>
      </c>
      <c r="AT742">
        <v>-54</v>
      </c>
      <c r="AU742">
        <v>192</v>
      </c>
      <c r="BC742">
        <v>1200</v>
      </c>
      <c r="BD742">
        <v>1</v>
      </c>
      <c r="BE742" t="str">
        <f t="shared" si="35"/>
        <v xml:space="preserve">N215T   </v>
      </c>
      <c r="BF742">
        <v>1</v>
      </c>
      <c r="BH742">
        <v>0</v>
      </c>
      <c r="BI742">
        <v>0</v>
      </c>
      <c r="BJ742">
        <v>0</v>
      </c>
      <c r="BK742">
        <v>2300</v>
      </c>
      <c r="BL742">
        <v>400</v>
      </c>
      <c r="BM742" t="s">
        <v>119</v>
      </c>
      <c r="BN742">
        <v>1</v>
      </c>
      <c r="BO742">
        <v>1</v>
      </c>
      <c r="BP742">
        <v>1</v>
      </c>
      <c r="BQ742">
        <v>0</v>
      </c>
      <c r="BT742">
        <v>0</v>
      </c>
      <c r="BU742">
        <v>0</v>
      </c>
      <c r="BV742">
        <v>0</v>
      </c>
      <c r="CC742" t="str">
        <f>"18:46:59.773"</f>
        <v>18:46:59.773</v>
      </c>
      <c r="CD742" t="str">
        <f>"775944234"</f>
        <v>775944234</v>
      </c>
      <c r="CQ742">
        <v>0</v>
      </c>
      <c r="CR742">
        <v>2</v>
      </c>
      <c r="CS742">
        <v>0</v>
      </c>
      <c r="CT742">
        <v>2</v>
      </c>
      <c r="CU742">
        <v>0</v>
      </c>
      <c r="CV742">
        <v>3</v>
      </c>
      <c r="CW742" t="s">
        <v>172</v>
      </c>
      <c r="CX742">
        <v>326</v>
      </c>
      <c r="CY742">
        <v>0</v>
      </c>
      <c r="CZ742" t="s">
        <v>173</v>
      </c>
      <c r="DA742" t="s">
        <v>174</v>
      </c>
      <c r="DD742">
        <v>5989067</v>
      </c>
      <c r="DE742" t="s">
        <v>123</v>
      </c>
    </row>
    <row r="743" spans="1:109" x14ac:dyDescent="0.3">
      <c r="A743" t="str">
        <f>"18:47:01.117"</f>
        <v>18:47:01.117</v>
      </c>
      <c r="B743" t="s">
        <v>110</v>
      </c>
      <c r="C743" t="str">
        <f t="shared" si="33"/>
        <v>ffdfd3c0</v>
      </c>
      <c r="D743" t="s">
        <v>111</v>
      </c>
      <c r="E743">
        <v>18</v>
      </c>
      <c r="F743">
        <v>1018</v>
      </c>
      <c r="G743" t="s">
        <v>112</v>
      </c>
      <c r="J743" t="s">
        <v>113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R743" t="s">
        <v>114</v>
      </c>
      <c r="S743" t="str">
        <f>"18:47:00.883"</f>
        <v>18:47:00.883</v>
      </c>
      <c r="T743" t="str">
        <f>"18:47:00.883"</f>
        <v>18:47:00.883</v>
      </c>
      <c r="U743" t="str">
        <f t="shared" si="34"/>
        <v>a1cdbe</v>
      </c>
      <c r="V743">
        <v>0</v>
      </c>
      <c r="W743">
        <v>0</v>
      </c>
      <c r="X743">
        <v>1</v>
      </c>
      <c r="Y743">
        <v>0</v>
      </c>
      <c r="Z743">
        <v>0</v>
      </c>
      <c r="AB743">
        <v>0</v>
      </c>
      <c r="AC743">
        <v>9</v>
      </c>
      <c r="AD743">
        <v>3</v>
      </c>
      <c r="AE743">
        <v>0</v>
      </c>
      <c r="AF743">
        <v>9</v>
      </c>
      <c r="AG743" t="s">
        <v>158</v>
      </c>
      <c r="AH743">
        <v>0</v>
      </c>
      <c r="AI743">
        <v>3</v>
      </c>
      <c r="AJ743">
        <v>1</v>
      </c>
      <c r="AK743">
        <v>0</v>
      </c>
      <c r="AL743" t="s">
        <v>1556</v>
      </c>
      <c r="AM743">
        <v>46.878211</v>
      </c>
      <c r="AN743" t="s">
        <v>1557</v>
      </c>
      <c r="AO743">
        <v>-122.391064</v>
      </c>
      <c r="AP743">
        <v>100</v>
      </c>
      <c r="AQ743">
        <v>1900</v>
      </c>
      <c r="AR743" t="s">
        <v>118</v>
      </c>
      <c r="AS743">
        <v>-54</v>
      </c>
      <c r="AT743">
        <v>-53</v>
      </c>
      <c r="AU743">
        <v>64</v>
      </c>
      <c r="BC743">
        <v>1200</v>
      </c>
      <c r="BD743">
        <v>1</v>
      </c>
      <c r="BE743" t="str">
        <f t="shared" si="35"/>
        <v xml:space="preserve">N215T   </v>
      </c>
      <c r="BF743">
        <v>1</v>
      </c>
      <c r="BH743">
        <v>0</v>
      </c>
      <c r="BI743">
        <v>0</v>
      </c>
      <c r="BJ743">
        <v>0</v>
      </c>
      <c r="BK743">
        <v>2300</v>
      </c>
      <c r="BL743">
        <v>400</v>
      </c>
      <c r="BM743" t="s">
        <v>119</v>
      </c>
      <c r="BN743">
        <v>1</v>
      </c>
      <c r="BO743">
        <v>1</v>
      </c>
      <c r="BP743">
        <v>1</v>
      </c>
      <c r="BQ743">
        <v>0</v>
      </c>
      <c r="BT743">
        <v>0</v>
      </c>
      <c r="BU743">
        <v>0</v>
      </c>
      <c r="BV743">
        <v>0</v>
      </c>
      <c r="CC743" t="str">
        <f>"18:47:00.883"</f>
        <v>18:47:00.883</v>
      </c>
      <c r="CD743" t="str">
        <f>"885835033"</f>
        <v>885835033</v>
      </c>
      <c r="CQ743">
        <v>0</v>
      </c>
      <c r="CR743">
        <v>2</v>
      </c>
      <c r="CS743">
        <v>0</v>
      </c>
      <c r="CT743">
        <v>2</v>
      </c>
      <c r="CU743">
        <v>0</v>
      </c>
      <c r="CV743">
        <v>3</v>
      </c>
      <c r="CW743" t="s">
        <v>172</v>
      </c>
      <c r="CX743">
        <v>326</v>
      </c>
      <c r="CY743">
        <v>0</v>
      </c>
      <c r="CZ743" t="s">
        <v>173</v>
      </c>
      <c r="DA743" t="s">
        <v>174</v>
      </c>
      <c r="DD743">
        <v>5989667</v>
      </c>
      <c r="DE743" t="s">
        <v>123</v>
      </c>
    </row>
    <row r="744" spans="1:109" x14ac:dyDescent="0.3">
      <c r="A744" t="str">
        <f>"18:47:02.070"</f>
        <v>18:47:02.070</v>
      </c>
      <c r="B744" t="s">
        <v>110</v>
      </c>
      <c r="C744" t="str">
        <f t="shared" si="33"/>
        <v>ffdfd3c0</v>
      </c>
      <c r="D744" t="s">
        <v>111</v>
      </c>
      <c r="E744">
        <v>18</v>
      </c>
      <c r="F744">
        <v>1018</v>
      </c>
      <c r="G744" t="s">
        <v>112</v>
      </c>
      <c r="J744" t="s">
        <v>113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R744" t="s">
        <v>114</v>
      </c>
      <c r="S744" t="str">
        <f>"18:47:01.875"</f>
        <v>18:47:01.875</v>
      </c>
      <c r="T744" t="str">
        <f>"18:47:01.875"</f>
        <v>18:47:01.875</v>
      </c>
      <c r="U744" t="str">
        <f t="shared" si="34"/>
        <v>a1cdbe</v>
      </c>
      <c r="V744">
        <v>0</v>
      </c>
      <c r="W744">
        <v>0</v>
      </c>
      <c r="X744">
        <v>1</v>
      </c>
      <c r="Y744">
        <v>0</v>
      </c>
      <c r="Z744">
        <v>0</v>
      </c>
      <c r="AB744">
        <v>0</v>
      </c>
      <c r="AC744">
        <v>9</v>
      </c>
      <c r="AD744">
        <v>3</v>
      </c>
      <c r="AE744">
        <v>0</v>
      </c>
      <c r="AF744">
        <v>9</v>
      </c>
      <c r="AG744" t="s">
        <v>158</v>
      </c>
      <c r="AH744">
        <v>0</v>
      </c>
      <c r="AI744">
        <v>3</v>
      </c>
      <c r="AJ744">
        <v>1</v>
      </c>
      <c r="AK744">
        <v>0</v>
      </c>
      <c r="AL744" t="s">
        <v>1558</v>
      </c>
      <c r="AM744">
        <v>46.877954000000003</v>
      </c>
      <c r="AN744" t="s">
        <v>1559</v>
      </c>
      <c r="AO744">
        <v>-122.391429</v>
      </c>
      <c r="AP744">
        <v>100</v>
      </c>
      <c r="AQ744">
        <v>1900</v>
      </c>
      <c r="AR744" t="s">
        <v>118</v>
      </c>
      <c r="AS744">
        <v>-54</v>
      </c>
      <c r="AT744">
        <v>-53</v>
      </c>
      <c r="AU744">
        <v>320</v>
      </c>
      <c r="BC744">
        <v>1200</v>
      </c>
      <c r="BD744">
        <v>1</v>
      </c>
      <c r="BE744" t="str">
        <f t="shared" si="35"/>
        <v xml:space="preserve">N215T   </v>
      </c>
      <c r="BF744">
        <v>1</v>
      </c>
      <c r="BH744">
        <v>0</v>
      </c>
      <c r="BI744">
        <v>0</v>
      </c>
      <c r="BJ744">
        <v>0</v>
      </c>
      <c r="BK744">
        <v>2300</v>
      </c>
      <c r="BL744">
        <v>400</v>
      </c>
      <c r="BM744" t="s">
        <v>119</v>
      </c>
      <c r="BN744">
        <v>1</v>
      </c>
      <c r="BO744">
        <v>1</v>
      </c>
      <c r="BP744">
        <v>1</v>
      </c>
      <c r="BQ744">
        <v>0</v>
      </c>
      <c r="BT744">
        <v>0</v>
      </c>
      <c r="BU744">
        <v>0</v>
      </c>
      <c r="BV744">
        <v>0</v>
      </c>
      <c r="CC744" t="str">
        <f>"18:47:01.875"</f>
        <v>18:47:01.875</v>
      </c>
      <c r="CD744" t="str">
        <f>"875924058"</f>
        <v>875924058</v>
      </c>
      <c r="CQ744">
        <v>0</v>
      </c>
      <c r="CR744">
        <v>2</v>
      </c>
      <c r="CS744">
        <v>0</v>
      </c>
      <c r="CT744">
        <v>2</v>
      </c>
      <c r="CU744">
        <v>0</v>
      </c>
      <c r="CV744">
        <v>3</v>
      </c>
      <c r="CW744" t="s">
        <v>120</v>
      </c>
      <c r="CX744">
        <v>257</v>
      </c>
      <c r="CY744">
        <v>1</v>
      </c>
      <c r="CZ744" t="s">
        <v>615</v>
      </c>
      <c r="DA744" t="s">
        <v>616</v>
      </c>
      <c r="DD744">
        <v>10947569</v>
      </c>
      <c r="DE744" t="s">
        <v>123</v>
      </c>
    </row>
    <row r="745" spans="1:109" x14ac:dyDescent="0.3">
      <c r="A745" t="str">
        <f>"18:47:03.180"</f>
        <v>18:47:03.180</v>
      </c>
      <c r="B745" t="s">
        <v>110</v>
      </c>
      <c r="C745" t="str">
        <f t="shared" si="33"/>
        <v>ffdfd3c0</v>
      </c>
      <c r="D745" t="s">
        <v>111</v>
      </c>
      <c r="E745">
        <v>18</v>
      </c>
      <c r="F745">
        <v>1018</v>
      </c>
      <c r="G745" t="s">
        <v>112</v>
      </c>
      <c r="J745" t="s">
        <v>113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R745" t="s">
        <v>114</v>
      </c>
      <c r="S745" t="str">
        <f>"18:47:02.953"</f>
        <v>18:47:02.953</v>
      </c>
      <c r="T745" t="str">
        <f>"18:47:02.453"</f>
        <v>18:47:02.453</v>
      </c>
      <c r="U745" t="str">
        <f t="shared" si="34"/>
        <v>a1cdbe</v>
      </c>
      <c r="V745">
        <v>0</v>
      </c>
      <c r="W745">
        <v>0</v>
      </c>
      <c r="X745">
        <v>1</v>
      </c>
      <c r="Y745">
        <v>0</v>
      </c>
      <c r="Z745">
        <v>0</v>
      </c>
      <c r="AB745">
        <v>0</v>
      </c>
      <c r="AC745">
        <v>9</v>
      </c>
      <c r="AD745">
        <v>3</v>
      </c>
      <c r="AE745">
        <v>0</v>
      </c>
      <c r="AF745">
        <v>9</v>
      </c>
      <c r="AG745" t="s">
        <v>158</v>
      </c>
      <c r="AH745">
        <v>0</v>
      </c>
      <c r="AI745">
        <v>3</v>
      </c>
      <c r="AJ745">
        <v>1</v>
      </c>
      <c r="AK745">
        <v>0</v>
      </c>
      <c r="AL745" t="s">
        <v>1560</v>
      </c>
      <c r="AM745">
        <v>46.877675000000004</v>
      </c>
      <c r="AN745" t="s">
        <v>1561</v>
      </c>
      <c r="AO745">
        <v>-122.391772</v>
      </c>
      <c r="AP745">
        <v>100</v>
      </c>
      <c r="AQ745">
        <v>1900</v>
      </c>
      <c r="AR745" t="s">
        <v>118</v>
      </c>
      <c r="AS745">
        <v>-54</v>
      </c>
      <c r="AT745">
        <v>-53</v>
      </c>
      <c r="AU745">
        <v>320</v>
      </c>
      <c r="BC745">
        <v>1200</v>
      </c>
      <c r="BD745">
        <v>1</v>
      </c>
      <c r="BE745" t="str">
        <f t="shared" si="35"/>
        <v xml:space="preserve">N215T   </v>
      </c>
      <c r="BF745">
        <v>1</v>
      </c>
      <c r="BH745">
        <v>0</v>
      </c>
      <c r="BI745">
        <v>0</v>
      </c>
      <c r="BJ745">
        <v>0</v>
      </c>
      <c r="BK745">
        <v>2300</v>
      </c>
      <c r="BL745">
        <v>400</v>
      </c>
      <c r="BM745" t="s">
        <v>119</v>
      </c>
      <c r="BN745">
        <v>1</v>
      </c>
      <c r="BO745">
        <v>1</v>
      </c>
      <c r="BP745">
        <v>1</v>
      </c>
      <c r="BQ745">
        <v>0</v>
      </c>
      <c r="BT745">
        <v>0</v>
      </c>
      <c r="BU745">
        <v>0</v>
      </c>
      <c r="BV745">
        <v>0</v>
      </c>
      <c r="CC745" t="str">
        <f>"18:47:02.953"</f>
        <v>18:47:02.953</v>
      </c>
      <c r="CD745" t="str">
        <f>"955817594"</f>
        <v>955817594</v>
      </c>
      <c r="CQ745">
        <v>0</v>
      </c>
      <c r="CR745">
        <v>2</v>
      </c>
      <c r="CS745">
        <v>0</v>
      </c>
      <c r="CT745">
        <v>2</v>
      </c>
      <c r="CU745">
        <v>0</v>
      </c>
      <c r="CV745">
        <v>4</v>
      </c>
      <c r="CW745" t="s">
        <v>120</v>
      </c>
      <c r="CX745">
        <v>257</v>
      </c>
      <c r="CY745">
        <v>1</v>
      </c>
      <c r="CZ745" t="s">
        <v>615</v>
      </c>
      <c r="DA745" t="s">
        <v>616</v>
      </c>
      <c r="DD745">
        <v>10948324</v>
      </c>
      <c r="DE745" t="s">
        <v>123</v>
      </c>
    </row>
    <row r="746" spans="1:109" x14ac:dyDescent="0.3">
      <c r="A746" t="str">
        <f>"18:47:04.133"</f>
        <v>18:47:04.133</v>
      </c>
      <c r="B746" t="s">
        <v>110</v>
      </c>
      <c r="C746" t="str">
        <f t="shared" si="33"/>
        <v>ffdfd3c0</v>
      </c>
      <c r="D746" t="s">
        <v>111</v>
      </c>
      <c r="E746">
        <v>18</v>
      </c>
      <c r="F746">
        <v>1018</v>
      </c>
      <c r="G746" t="s">
        <v>112</v>
      </c>
      <c r="J746" t="s">
        <v>113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R746" t="s">
        <v>114</v>
      </c>
      <c r="S746" t="str">
        <f>"18:47:03.898"</f>
        <v>18:47:03.898</v>
      </c>
      <c r="T746" t="str">
        <f>"18:47:03.500"</f>
        <v>18:47:03.500</v>
      </c>
      <c r="U746" t="str">
        <f t="shared" si="34"/>
        <v>a1cdbe</v>
      </c>
      <c r="V746">
        <v>0</v>
      </c>
      <c r="W746">
        <v>0</v>
      </c>
      <c r="X746">
        <v>1</v>
      </c>
      <c r="Y746">
        <v>0</v>
      </c>
      <c r="Z746">
        <v>0</v>
      </c>
      <c r="AB746">
        <v>0</v>
      </c>
      <c r="AC746">
        <v>9</v>
      </c>
      <c r="AD746">
        <v>3</v>
      </c>
      <c r="AE746">
        <v>0</v>
      </c>
      <c r="AF746">
        <v>9</v>
      </c>
      <c r="AG746" t="s">
        <v>158</v>
      </c>
      <c r="AH746">
        <v>0</v>
      </c>
      <c r="AI746">
        <v>3</v>
      </c>
      <c r="AJ746">
        <v>1</v>
      </c>
      <c r="AK746">
        <v>0</v>
      </c>
      <c r="AL746" t="s">
        <v>1562</v>
      </c>
      <c r="AM746">
        <v>46.877459999999999</v>
      </c>
      <c r="AN746" t="s">
        <v>1563</v>
      </c>
      <c r="AO746">
        <v>-122.39213700000001</v>
      </c>
      <c r="AP746">
        <v>100</v>
      </c>
      <c r="AQ746">
        <v>1900</v>
      </c>
      <c r="AR746" t="s">
        <v>118</v>
      </c>
      <c r="AS746">
        <v>-54</v>
      </c>
      <c r="AT746">
        <v>-53</v>
      </c>
      <c r="AU746">
        <v>384</v>
      </c>
      <c r="BC746">
        <v>1200</v>
      </c>
      <c r="BD746">
        <v>1</v>
      </c>
      <c r="BE746" t="str">
        <f t="shared" si="35"/>
        <v xml:space="preserve">N215T   </v>
      </c>
      <c r="BF746">
        <v>1</v>
      </c>
      <c r="BH746">
        <v>0</v>
      </c>
      <c r="BI746">
        <v>0</v>
      </c>
      <c r="BJ746">
        <v>0</v>
      </c>
      <c r="BK746">
        <v>2325</v>
      </c>
      <c r="BL746">
        <v>425</v>
      </c>
      <c r="BM746" t="s">
        <v>119</v>
      </c>
      <c r="BN746">
        <v>1</v>
      </c>
      <c r="BO746">
        <v>1</v>
      </c>
      <c r="BP746">
        <v>1</v>
      </c>
      <c r="BQ746">
        <v>0</v>
      </c>
      <c r="BT746">
        <v>0</v>
      </c>
      <c r="BU746">
        <v>0</v>
      </c>
      <c r="BV746">
        <v>0</v>
      </c>
      <c r="CC746" t="str">
        <f>"18:47:03.898"</f>
        <v>18:47:03.898</v>
      </c>
      <c r="CD746" t="str">
        <f>"900538529"</f>
        <v>900538529</v>
      </c>
      <c r="CQ746">
        <v>0</v>
      </c>
      <c r="CR746">
        <v>2</v>
      </c>
      <c r="CS746">
        <v>0</v>
      </c>
      <c r="CT746">
        <v>2</v>
      </c>
      <c r="CU746">
        <v>0</v>
      </c>
      <c r="CV746">
        <v>3</v>
      </c>
      <c r="CW746" t="s">
        <v>172</v>
      </c>
      <c r="CX746">
        <v>326</v>
      </c>
      <c r="CY746">
        <v>0</v>
      </c>
      <c r="CZ746" t="s">
        <v>173</v>
      </c>
      <c r="DA746" t="s">
        <v>174</v>
      </c>
      <c r="DD746">
        <v>5991306</v>
      </c>
      <c r="DE746" t="s">
        <v>123</v>
      </c>
    </row>
    <row r="747" spans="1:109" x14ac:dyDescent="0.3">
      <c r="A747" t="str">
        <f>"18:47:05.086"</f>
        <v>18:47:05.086</v>
      </c>
      <c r="B747" t="s">
        <v>110</v>
      </c>
      <c r="C747" t="str">
        <f t="shared" si="33"/>
        <v>ffdfd3c0</v>
      </c>
      <c r="D747" t="s">
        <v>111</v>
      </c>
      <c r="E747">
        <v>18</v>
      </c>
      <c r="F747">
        <v>1018</v>
      </c>
      <c r="G747" t="s">
        <v>112</v>
      </c>
      <c r="J747" t="s">
        <v>113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R747" t="s">
        <v>114</v>
      </c>
      <c r="S747" t="str">
        <f>"18:47:04.875"</f>
        <v>18:47:04.875</v>
      </c>
      <c r="T747" t="str">
        <f>"18:47:04.672"</f>
        <v>18:47:04.672</v>
      </c>
      <c r="U747" t="str">
        <f t="shared" si="34"/>
        <v>a1cdbe</v>
      </c>
      <c r="V747">
        <v>0</v>
      </c>
      <c r="W747">
        <v>0</v>
      </c>
      <c r="X747">
        <v>1</v>
      </c>
      <c r="Y747">
        <v>0</v>
      </c>
      <c r="Z747">
        <v>0</v>
      </c>
      <c r="AB747">
        <v>0</v>
      </c>
      <c r="AC747">
        <v>9</v>
      </c>
      <c r="AD747">
        <v>3</v>
      </c>
      <c r="AE747">
        <v>0</v>
      </c>
      <c r="AF747">
        <v>9</v>
      </c>
      <c r="AG747" t="s">
        <v>158</v>
      </c>
      <c r="AH747">
        <v>0</v>
      </c>
      <c r="AI747">
        <v>3</v>
      </c>
      <c r="AJ747">
        <v>1</v>
      </c>
      <c r="AK747">
        <v>0</v>
      </c>
      <c r="AL747" t="s">
        <v>1564</v>
      </c>
      <c r="AM747">
        <v>46.877246</v>
      </c>
      <c r="AN747" t="s">
        <v>1565</v>
      </c>
      <c r="AO747">
        <v>-122.39250199999999</v>
      </c>
      <c r="AP747">
        <v>100</v>
      </c>
      <c r="AQ747">
        <v>1900</v>
      </c>
      <c r="AR747" t="s">
        <v>118</v>
      </c>
      <c r="AS747">
        <v>-54</v>
      </c>
      <c r="AT747">
        <v>-53</v>
      </c>
      <c r="AU747">
        <v>320</v>
      </c>
      <c r="BC747">
        <v>1200</v>
      </c>
      <c r="BD747">
        <v>1</v>
      </c>
      <c r="BE747" t="str">
        <f t="shared" si="35"/>
        <v xml:space="preserve">N215T   </v>
      </c>
      <c r="BF747">
        <v>1</v>
      </c>
      <c r="BH747">
        <v>0</v>
      </c>
      <c r="BI747">
        <v>0</v>
      </c>
      <c r="BJ747">
        <v>0</v>
      </c>
      <c r="BK747">
        <v>2325</v>
      </c>
      <c r="BL747">
        <v>425</v>
      </c>
      <c r="BM747" t="s">
        <v>119</v>
      </c>
      <c r="BN747">
        <v>1</v>
      </c>
      <c r="BO747">
        <v>1</v>
      </c>
      <c r="BP747">
        <v>1</v>
      </c>
      <c r="BQ747">
        <v>0</v>
      </c>
      <c r="BT747">
        <v>0</v>
      </c>
      <c r="BU747">
        <v>0</v>
      </c>
      <c r="BV747">
        <v>0</v>
      </c>
      <c r="CC747" t="str">
        <f>"18:47:04.875"</f>
        <v>18:47:04.875</v>
      </c>
      <c r="CD747" t="str">
        <f>"875442678"</f>
        <v>875442678</v>
      </c>
      <c r="CQ747">
        <v>0</v>
      </c>
      <c r="CR747">
        <v>2</v>
      </c>
      <c r="CS747">
        <v>0</v>
      </c>
      <c r="CT747">
        <v>2</v>
      </c>
      <c r="CU747">
        <v>0</v>
      </c>
      <c r="CV747">
        <v>3</v>
      </c>
      <c r="CW747" t="s">
        <v>172</v>
      </c>
      <c r="CX747">
        <v>326</v>
      </c>
      <c r="CY747">
        <v>0</v>
      </c>
      <c r="CZ747" t="s">
        <v>173</v>
      </c>
      <c r="DA747" t="s">
        <v>174</v>
      </c>
      <c r="DD747">
        <v>5991828</v>
      </c>
      <c r="DE747" t="s">
        <v>123</v>
      </c>
    </row>
    <row r="748" spans="1:109" x14ac:dyDescent="0.3">
      <c r="A748" t="str">
        <f>"18:47:06.047"</f>
        <v>18:47:06.047</v>
      </c>
      <c r="B748" t="s">
        <v>110</v>
      </c>
      <c r="C748" t="str">
        <f t="shared" si="33"/>
        <v>ffdfd3c0</v>
      </c>
      <c r="D748" t="s">
        <v>111</v>
      </c>
      <c r="E748">
        <v>18</v>
      </c>
      <c r="F748">
        <v>1018</v>
      </c>
      <c r="G748" t="s">
        <v>112</v>
      </c>
      <c r="J748" t="s">
        <v>113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R748" t="s">
        <v>114</v>
      </c>
      <c r="S748" t="str">
        <f>"18:47:05.820"</f>
        <v>18:47:05.820</v>
      </c>
      <c r="T748" t="str">
        <f>"18:47:05.523"</f>
        <v>18:47:05.523</v>
      </c>
      <c r="U748" t="str">
        <f t="shared" si="34"/>
        <v>a1cdbe</v>
      </c>
      <c r="V748">
        <v>0</v>
      </c>
      <c r="W748">
        <v>0</v>
      </c>
      <c r="X748">
        <v>1</v>
      </c>
      <c r="Y748">
        <v>0</v>
      </c>
      <c r="Z748">
        <v>0</v>
      </c>
      <c r="AB748">
        <v>0</v>
      </c>
      <c r="AC748">
        <v>9</v>
      </c>
      <c r="AD748">
        <v>3</v>
      </c>
      <c r="AE748">
        <v>0</v>
      </c>
      <c r="AF748">
        <v>9</v>
      </c>
      <c r="AG748" t="s">
        <v>158</v>
      </c>
      <c r="AH748">
        <v>0</v>
      </c>
      <c r="AI748">
        <v>3</v>
      </c>
      <c r="AJ748">
        <v>1</v>
      </c>
      <c r="AK748">
        <v>0</v>
      </c>
      <c r="AL748" t="s">
        <v>1566</v>
      </c>
      <c r="AM748">
        <v>46.876987999999997</v>
      </c>
      <c r="AN748" t="s">
        <v>1567</v>
      </c>
      <c r="AO748">
        <v>-122.39284499999999</v>
      </c>
      <c r="AP748">
        <v>100</v>
      </c>
      <c r="AQ748">
        <v>1900</v>
      </c>
      <c r="AR748" t="s">
        <v>118</v>
      </c>
      <c r="AS748">
        <v>-54</v>
      </c>
      <c r="AT748">
        <v>-52</v>
      </c>
      <c r="AU748">
        <v>192</v>
      </c>
      <c r="BC748">
        <v>1200</v>
      </c>
      <c r="BD748">
        <v>1</v>
      </c>
      <c r="BE748" t="str">
        <f t="shared" si="35"/>
        <v xml:space="preserve">N215T   </v>
      </c>
      <c r="BF748">
        <v>1</v>
      </c>
      <c r="BH748">
        <v>0</v>
      </c>
      <c r="BI748">
        <v>0</v>
      </c>
      <c r="BJ748">
        <v>0</v>
      </c>
      <c r="BK748">
        <v>2325</v>
      </c>
      <c r="BL748">
        <v>425</v>
      </c>
      <c r="BM748" t="s">
        <v>119</v>
      </c>
      <c r="BN748">
        <v>1</v>
      </c>
      <c r="BO748">
        <v>1</v>
      </c>
      <c r="BP748">
        <v>1</v>
      </c>
      <c r="BQ748">
        <v>0</v>
      </c>
      <c r="BT748">
        <v>0</v>
      </c>
      <c r="BU748">
        <v>0</v>
      </c>
      <c r="BV748">
        <v>0</v>
      </c>
      <c r="CC748" t="str">
        <f>"18:47:05.820"</f>
        <v>18:47:05.820</v>
      </c>
      <c r="CD748" t="str">
        <f>"820385162"</f>
        <v>820385162</v>
      </c>
      <c r="CQ748">
        <v>0</v>
      </c>
      <c r="CR748">
        <v>2</v>
      </c>
      <c r="CS748">
        <v>0</v>
      </c>
      <c r="CT748">
        <v>2</v>
      </c>
      <c r="CU748">
        <v>0</v>
      </c>
      <c r="CV748">
        <v>3</v>
      </c>
      <c r="CW748" t="s">
        <v>120</v>
      </c>
      <c r="CX748">
        <v>261</v>
      </c>
      <c r="CY748">
        <v>2</v>
      </c>
      <c r="CZ748" t="s">
        <v>121</v>
      </c>
      <c r="DA748" t="s">
        <v>122</v>
      </c>
      <c r="DD748">
        <v>14641977</v>
      </c>
      <c r="DE748" t="s">
        <v>123</v>
      </c>
    </row>
    <row r="749" spans="1:109" x14ac:dyDescent="0.3">
      <c r="A749" t="str">
        <f>"18:47:07.102"</f>
        <v>18:47:07.102</v>
      </c>
      <c r="B749" t="s">
        <v>110</v>
      </c>
      <c r="C749" t="str">
        <f t="shared" si="33"/>
        <v>ffdfd3c0</v>
      </c>
      <c r="D749" t="s">
        <v>111</v>
      </c>
      <c r="E749">
        <v>18</v>
      </c>
      <c r="F749">
        <v>1018</v>
      </c>
      <c r="G749" t="s">
        <v>112</v>
      </c>
      <c r="J749" t="s">
        <v>113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R749" t="s">
        <v>114</v>
      </c>
      <c r="S749" t="str">
        <f>"18:47:06.852"</f>
        <v>18:47:06.852</v>
      </c>
      <c r="T749" t="str">
        <f>"18:47:06.648"</f>
        <v>18:47:06.648</v>
      </c>
      <c r="U749" t="str">
        <f t="shared" si="34"/>
        <v>a1cdbe</v>
      </c>
      <c r="V749">
        <v>0</v>
      </c>
      <c r="W749">
        <v>0</v>
      </c>
      <c r="X749">
        <v>1</v>
      </c>
      <c r="Y749">
        <v>0</v>
      </c>
      <c r="Z749">
        <v>0</v>
      </c>
      <c r="AB749">
        <v>0</v>
      </c>
      <c r="AC749">
        <v>9</v>
      </c>
      <c r="AD749">
        <v>3</v>
      </c>
      <c r="AE749">
        <v>0</v>
      </c>
      <c r="AF749">
        <v>9</v>
      </c>
      <c r="AG749" t="s">
        <v>158</v>
      </c>
      <c r="AH749">
        <v>0</v>
      </c>
      <c r="AI749">
        <v>3</v>
      </c>
      <c r="AJ749">
        <v>1</v>
      </c>
      <c r="AK749">
        <v>0</v>
      </c>
      <c r="AL749" t="s">
        <v>1568</v>
      </c>
      <c r="AM749">
        <v>46.876730999999999</v>
      </c>
      <c r="AN749" t="s">
        <v>1569</v>
      </c>
      <c r="AO749">
        <v>-122.393253</v>
      </c>
      <c r="AP749">
        <v>100</v>
      </c>
      <c r="AQ749">
        <v>1900</v>
      </c>
      <c r="AR749" t="s">
        <v>118</v>
      </c>
      <c r="AS749">
        <v>-55</v>
      </c>
      <c r="AT749">
        <v>-52</v>
      </c>
      <c r="AU749">
        <v>192</v>
      </c>
      <c r="BC749">
        <v>1200</v>
      </c>
      <c r="BD749">
        <v>1</v>
      </c>
      <c r="BE749" t="str">
        <f t="shared" si="35"/>
        <v xml:space="preserve">N215T   </v>
      </c>
      <c r="BF749">
        <v>1</v>
      </c>
      <c r="BH749">
        <v>0</v>
      </c>
      <c r="BI749">
        <v>0</v>
      </c>
      <c r="BJ749">
        <v>0</v>
      </c>
      <c r="BK749">
        <v>2325</v>
      </c>
      <c r="BL749">
        <v>425</v>
      </c>
      <c r="BM749" t="s">
        <v>119</v>
      </c>
      <c r="BN749">
        <v>1</v>
      </c>
      <c r="BO749">
        <v>1</v>
      </c>
      <c r="BP749">
        <v>1</v>
      </c>
      <c r="BQ749">
        <v>0</v>
      </c>
      <c r="BT749">
        <v>0</v>
      </c>
      <c r="BU749">
        <v>0</v>
      </c>
      <c r="BV749">
        <v>0</v>
      </c>
      <c r="CC749" t="str">
        <f>"18:47:06.852"</f>
        <v>18:47:06.852</v>
      </c>
      <c r="CD749" t="str">
        <f>"855283316"</f>
        <v>855283316</v>
      </c>
      <c r="CQ749">
        <v>0</v>
      </c>
      <c r="CR749">
        <v>2</v>
      </c>
      <c r="CS749">
        <v>0</v>
      </c>
      <c r="CT749">
        <v>2</v>
      </c>
      <c r="CU749">
        <v>0</v>
      </c>
      <c r="CV749">
        <v>3</v>
      </c>
      <c r="CW749" t="s">
        <v>120</v>
      </c>
      <c r="CX749">
        <v>261</v>
      </c>
      <c r="CY749">
        <v>2</v>
      </c>
      <c r="CZ749" t="s">
        <v>121</v>
      </c>
      <c r="DA749" t="s">
        <v>122</v>
      </c>
      <c r="DD749">
        <v>14642577</v>
      </c>
      <c r="DE749" t="s">
        <v>123</v>
      </c>
    </row>
    <row r="750" spans="1:109" x14ac:dyDescent="0.3">
      <c r="A750" t="str">
        <f>"18:47:08.258"</f>
        <v>18:47:08.258</v>
      </c>
      <c r="B750" t="s">
        <v>110</v>
      </c>
      <c r="C750" t="str">
        <f t="shared" si="33"/>
        <v>ffdfd3c0</v>
      </c>
      <c r="D750" t="s">
        <v>111</v>
      </c>
      <c r="E750">
        <v>18</v>
      </c>
      <c r="F750">
        <v>1018</v>
      </c>
      <c r="G750" t="s">
        <v>112</v>
      </c>
      <c r="J750" t="s">
        <v>113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R750" t="s">
        <v>114</v>
      </c>
      <c r="S750" t="str">
        <f>"18:47:08.008"</f>
        <v>18:47:08.008</v>
      </c>
      <c r="T750" t="str">
        <f>"18:47:07.711"</f>
        <v>18:47:07.711</v>
      </c>
      <c r="U750" t="str">
        <f t="shared" si="34"/>
        <v>a1cdbe</v>
      </c>
      <c r="V750">
        <v>0</v>
      </c>
      <c r="W750">
        <v>0</v>
      </c>
      <c r="X750">
        <v>1</v>
      </c>
      <c r="Y750">
        <v>0</v>
      </c>
      <c r="Z750">
        <v>0</v>
      </c>
      <c r="AB750">
        <v>0</v>
      </c>
      <c r="AC750">
        <v>9</v>
      </c>
      <c r="AD750">
        <v>3</v>
      </c>
      <c r="AE750">
        <v>0</v>
      </c>
      <c r="AF750">
        <v>9</v>
      </c>
      <c r="AG750" t="s">
        <v>158</v>
      </c>
      <c r="AH750">
        <v>0</v>
      </c>
      <c r="AI750">
        <v>3</v>
      </c>
      <c r="AJ750">
        <v>1</v>
      </c>
      <c r="AK750">
        <v>0</v>
      </c>
      <c r="AL750" t="s">
        <v>1570</v>
      </c>
      <c r="AM750">
        <v>46.876472999999997</v>
      </c>
      <c r="AN750" t="s">
        <v>1571</v>
      </c>
      <c r="AO750">
        <v>-122.39366099999999</v>
      </c>
      <c r="AP750">
        <v>100</v>
      </c>
      <c r="AQ750">
        <v>1900</v>
      </c>
      <c r="AR750" t="s">
        <v>118</v>
      </c>
      <c r="AS750">
        <v>-56</v>
      </c>
      <c r="AT750">
        <v>-51</v>
      </c>
      <c r="AU750">
        <v>-64</v>
      </c>
      <c r="BC750">
        <v>1200</v>
      </c>
      <c r="BD750">
        <v>1</v>
      </c>
      <c r="BE750" t="str">
        <f t="shared" si="35"/>
        <v xml:space="preserve">N215T   </v>
      </c>
      <c r="BF750">
        <v>1</v>
      </c>
      <c r="BH750">
        <v>0</v>
      </c>
      <c r="BI750">
        <v>0</v>
      </c>
      <c r="BJ750">
        <v>0</v>
      </c>
      <c r="BK750">
        <v>2325</v>
      </c>
      <c r="BL750">
        <v>425</v>
      </c>
      <c r="BM750" t="s">
        <v>119</v>
      </c>
      <c r="BN750">
        <v>1</v>
      </c>
      <c r="BO750">
        <v>1</v>
      </c>
      <c r="BP750">
        <v>1</v>
      </c>
      <c r="BQ750">
        <v>0</v>
      </c>
      <c r="BT750">
        <v>0</v>
      </c>
      <c r="BU750">
        <v>0</v>
      </c>
      <c r="BV750">
        <v>0</v>
      </c>
      <c r="CC750" t="str">
        <f>"18:47:08.008"</f>
        <v>18:47:08.008</v>
      </c>
      <c r="CD750" t="str">
        <f>"010169706"</f>
        <v>010169706</v>
      </c>
      <c r="CQ750">
        <v>0</v>
      </c>
      <c r="CR750">
        <v>2</v>
      </c>
      <c r="CS750">
        <v>0</v>
      </c>
      <c r="CT750">
        <v>2</v>
      </c>
      <c r="CU750">
        <v>0</v>
      </c>
      <c r="CV750">
        <v>3</v>
      </c>
      <c r="CW750" t="s">
        <v>120</v>
      </c>
      <c r="CX750">
        <v>261</v>
      </c>
      <c r="CY750">
        <v>1</v>
      </c>
      <c r="CZ750" t="s">
        <v>121</v>
      </c>
      <c r="DA750" t="s">
        <v>122</v>
      </c>
      <c r="DD750">
        <v>3550641</v>
      </c>
      <c r="DE750" t="s">
        <v>123</v>
      </c>
    </row>
    <row r="751" spans="1:109" x14ac:dyDescent="0.3">
      <c r="A751" t="str">
        <f>"18:47:09.313"</f>
        <v>18:47:09.313</v>
      </c>
      <c r="B751" t="s">
        <v>110</v>
      </c>
      <c r="C751" t="str">
        <f t="shared" si="33"/>
        <v>ffdfd3c0</v>
      </c>
      <c r="D751" t="s">
        <v>111</v>
      </c>
      <c r="E751">
        <v>18</v>
      </c>
      <c r="F751">
        <v>1018</v>
      </c>
      <c r="G751" t="s">
        <v>112</v>
      </c>
      <c r="J751" t="s">
        <v>113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R751" t="s">
        <v>114</v>
      </c>
      <c r="S751" t="str">
        <f>"18:47:09.086"</f>
        <v>18:47:09.086</v>
      </c>
      <c r="T751" t="str">
        <f>"18:47:09.086"</f>
        <v>18:47:09.086</v>
      </c>
      <c r="U751" t="str">
        <f t="shared" si="34"/>
        <v>a1cdbe</v>
      </c>
      <c r="V751">
        <v>0</v>
      </c>
      <c r="W751">
        <v>0</v>
      </c>
      <c r="X751">
        <v>1</v>
      </c>
      <c r="Y751">
        <v>0</v>
      </c>
      <c r="Z751">
        <v>0</v>
      </c>
      <c r="AB751">
        <v>0</v>
      </c>
      <c r="AC751">
        <v>9</v>
      </c>
      <c r="AD751">
        <v>3</v>
      </c>
      <c r="AE751">
        <v>0</v>
      </c>
      <c r="AF751">
        <v>9</v>
      </c>
      <c r="AG751" t="s">
        <v>158</v>
      </c>
      <c r="AH751">
        <v>0</v>
      </c>
      <c r="AI751">
        <v>3</v>
      </c>
      <c r="AJ751">
        <v>1</v>
      </c>
      <c r="AK751">
        <v>0</v>
      </c>
      <c r="AL751" t="s">
        <v>1572</v>
      </c>
      <c r="AM751">
        <v>46.876237000000003</v>
      </c>
      <c r="AN751" t="s">
        <v>1573</v>
      </c>
      <c r="AO751">
        <v>-122.394111</v>
      </c>
      <c r="AP751">
        <v>100</v>
      </c>
      <c r="AQ751">
        <v>1900</v>
      </c>
      <c r="AR751" t="s">
        <v>118</v>
      </c>
      <c r="AS751">
        <v>-57</v>
      </c>
      <c r="AT751">
        <v>-50</v>
      </c>
      <c r="AU751">
        <v>-64</v>
      </c>
      <c r="BC751">
        <v>1200</v>
      </c>
      <c r="BD751">
        <v>1</v>
      </c>
      <c r="BE751" t="str">
        <f t="shared" si="35"/>
        <v xml:space="preserve">N215T   </v>
      </c>
      <c r="BF751">
        <v>1</v>
      </c>
      <c r="BH751">
        <v>0</v>
      </c>
      <c r="BI751">
        <v>0</v>
      </c>
      <c r="BJ751">
        <v>0</v>
      </c>
      <c r="BK751">
        <v>2325</v>
      </c>
      <c r="BL751">
        <v>425</v>
      </c>
      <c r="BM751" t="s">
        <v>119</v>
      </c>
      <c r="BN751">
        <v>1</v>
      </c>
      <c r="BO751">
        <v>1</v>
      </c>
      <c r="BP751">
        <v>1</v>
      </c>
      <c r="BQ751">
        <v>0</v>
      </c>
      <c r="BT751">
        <v>0</v>
      </c>
      <c r="BU751">
        <v>0</v>
      </c>
      <c r="BV751">
        <v>0</v>
      </c>
      <c r="CC751" t="str">
        <f>"18:47:09.094"</f>
        <v>18:47:09.094</v>
      </c>
      <c r="CD751" t="str">
        <f>"090212855"</f>
        <v>090212855</v>
      </c>
      <c r="CQ751">
        <v>0</v>
      </c>
      <c r="CR751">
        <v>2</v>
      </c>
      <c r="CS751">
        <v>0</v>
      </c>
      <c r="CT751">
        <v>2</v>
      </c>
      <c r="CU751">
        <v>0</v>
      </c>
      <c r="CV751">
        <v>3</v>
      </c>
      <c r="CW751" t="s">
        <v>120</v>
      </c>
      <c r="CX751">
        <v>257</v>
      </c>
      <c r="CY751">
        <v>1</v>
      </c>
      <c r="CZ751" t="s">
        <v>615</v>
      </c>
      <c r="DA751" t="s">
        <v>616</v>
      </c>
      <c r="DD751">
        <v>10952473</v>
      </c>
      <c r="DE751" t="s">
        <v>123</v>
      </c>
    </row>
    <row r="752" spans="1:109" x14ac:dyDescent="0.3">
      <c r="A752" t="str">
        <f>"18:47:10.219"</f>
        <v>18:47:10.219</v>
      </c>
      <c r="B752" t="s">
        <v>110</v>
      </c>
      <c r="C752" t="str">
        <f t="shared" si="33"/>
        <v>ffdfd3c0</v>
      </c>
      <c r="D752" t="s">
        <v>111</v>
      </c>
      <c r="E752">
        <v>18</v>
      </c>
      <c r="F752">
        <v>1018</v>
      </c>
      <c r="G752" t="s">
        <v>112</v>
      </c>
      <c r="J752" t="s">
        <v>113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R752" t="s">
        <v>114</v>
      </c>
      <c r="S752" t="str">
        <f>"18:47:09.984"</f>
        <v>18:47:09.984</v>
      </c>
      <c r="T752" t="str">
        <f>"18:47:09.484"</f>
        <v>18:47:09.484</v>
      </c>
      <c r="U752" t="str">
        <f t="shared" si="34"/>
        <v>a1cdbe</v>
      </c>
      <c r="V752">
        <v>0</v>
      </c>
      <c r="W752">
        <v>0</v>
      </c>
      <c r="X752">
        <v>1</v>
      </c>
      <c r="Y752">
        <v>0</v>
      </c>
      <c r="Z752">
        <v>0</v>
      </c>
      <c r="AB752">
        <v>0</v>
      </c>
      <c r="AC752">
        <v>9</v>
      </c>
      <c r="AD752">
        <v>3</v>
      </c>
      <c r="AE752">
        <v>0</v>
      </c>
      <c r="AF752">
        <v>9</v>
      </c>
      <c r="AG752" t="s">
        <v>158</v>
      </c>
      <c r="AH752">
        <v>0</v>
      </c>
      <c r="AI752">
        <v>3</v>
      </c>
      <c r="AJ752">
        <v>1</v>
      </c>
      <c r="AK752">
        <v>0</v>
      </c>
      <c r="AL752" t="s">
        <v>1574</v>
      </c>
      <c r="AM752">
        <v>46.876001000000002</v>
      </c>
      <c r="AN752" t="s">
        <v>1575</v>
      </c>
      <c r="AO752">
        <v>-122.39443300000001</v>
      </c>
      <c r="AP752">
        <v>100</v>
      </c>
      <c r="AQ752">
        <v>1900</v>
      </c>
      <c r="AR752" t="s">
        <v>118</v>
      </c>
      <c r="AS752">
        <v>-57</v>
      </c>
      <c r="AT752">
        <v>-49</v>
      </c>
      <c r="AU752">
        <v>-64</v>
      </c>
      <c r="BC752">
        <v>1200</v>
      </c>
      <c r="BD752">
        <v>1</v>
      </c>
      <c r="BE752" t="str">
        <f t="shared" si="35"/>
        <v xml:space="preserve">N215T   </v>
      </c>
      <c r="BF752">
        <v>1</v>
      </c>
      <c r="BH752">
        <v>0</v>
      </c>
      <c r="BI752">
        <v>0</v>
      </c>
      <c r="BJ752">
        <v>0</v>
      </c>
      <c r="BK752">
        <v>2325</v>
      </c>
      <c r="BL752">
        <v>425</v>
      </c>
      <c r="BM752" t="s">
        <v>119</v>
      </c>
      <c r="BN752">
        <v>1</v>
      </c>
      <c r="BO752">
        <v>1</v>
      </c>
      <c r="BP752">
        <v>1</v>
      </c>
      <c r="BQ752">
        <v>0</v>
      </c>
      <c r="BT752">
        <v>0</v>
      </c>
      <c r="BU752">
        <v>0</v>
      </c>
      <c r="BV752">
        <v>0</v>
      </c>
      <c r="CC752" t="str">
        <f>"18:47:09.992"</f>
        <v>18:47:09.992</v>
      </c>
      <c r="CD752" t="str">
        <f>"990124147"</f>
        <v>990124147</v>
      </c>
      <c r="CQ752">
        <v>0</v>
      </c>
      <c r="CR752">
        <v>2</v>
      </c>
      <c r="CS752">
        <v>0</v>
      </c>
      <c r="CT752">
        <v>2</v>
      </c>
      <c r="CU752">
        <v>0</v>
      </c>
      <c r="CV752">
        <v>3</v>
      </c>
      <c r="CW752" t="s">
        <v>120</v>
      </c>
      <c r="CX752">
        <v>257</v>
      </c>
      <c r="CY752">
        <v>1</v>
      </c>
      <c r="CZ752" t="s">
        <v>615</v>
      </c>
      <c r="DA752" t="s">
        <v>616</v>
      </c>
      <c r="DD752">
        <v>10953037</v>
      </c>
      <c r="DE752" t="s">
        <v>123</v>
      </c>
    </row>
    <row r="753" spans="1:109" x14ac:dyDescent="0.3">
      <c r="A753" t="str">
        <f>"18:47:11.172"</f>
        <v>18:47:11.172</v>
      </c>
      <c r="B753" t="s">
        <v>110</v>
      </c>
      <c r="C753" t="str">
        <f t="shared" si="33"/>
        <v>ffdfd3c0</v>
      </c>
      <c r="D753" t="s">
        <v>111</v>
      </c>
      <c r="E753">
        <v>18</v>
      </c>
      <c r="F753">
        <v>1018</v>
      </c>
      <c r="G753" t="s">
        <v>112</v>
      </c>
      <c r="J753" t="s">
        <v>113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R753" t="s">
        <v>114</v>
      </c>
      <c r="S753" t="str">
        <f>"18:47:10.945"</f>
        <v>18:47:10.945</v>
      </c>
      <c r="T753" t="str">
        <f>"18:47:10.445"</f>
        <v>18:47:10.445</v>
      </c>
      <c r="U753" t="str">
        <f t="shared" si="34"/>
        <v>a1cdbe</v>
      </c>
      <c r="V753">
        <v>0</v>
      </c>
      <c r="W753">
        <v>0</v>
      </c>
      <c r="X753">
        <v>1</v>
      </c>
      <c r="Y753">
        <v>0</v>
      </c>
      <c r="Z753">
        <v>0</v>
      </c>
      <c r="AB753">
        <v>0</v>
      </c>
      <c r="AC753">
        <v>9</v>
      </c>
      <c r="AD753">
        <v>3</v>
      </c>
      <c r="AE753">
        <v>0</v>
      </c>
      <c r="AF753">
        <v>9</v>
      </c>
      <c r="AG753" t="s">
        <v>158</v>
      </c>
      <c r="AH753">
        <v>0</v>
      </c>
      <c r="AI753">
        <v>3</v>
      </c>
      <c r="AJ753">
        <v>1</v>
      </c>
      <c r="AK753">
        <v>0</v>
      </c>
      <c r="AL753" t="s">
        <v>1576</v>
      </c>
      <c r="AM753">
        <v>46.875830000000001</v>
      </c>
      <c r="AN753" t="s">
        <v>1577</v>
      </c>
      <c r="AO753">
        <v>-122.394841</v>
      </c>
      <c r="AP753">
        <v>100</v>
      </c>
      <c r="AQ753">
        <v>1900</v>
      </c>
      <c r="AR753" t="s">
        <v>118</v>
      </c>
      <c r="AS753">
        <v>-57</v>
      </c>
      <c r="AT753">
        <v>-49</v>
      </c>
      <c r="AU753">
        <v>-64</v>
      </c>
      <c r="BC753">
        <v>1200</v>
      </c>
      <c r="BD753">
        <v>1</v>
      </c>
      <c r="BE753" t="str">
        <f t="shared" si="35"/>
        <v xml:space="preserve">N215T   </v>
      </c>
      <c r="BF753">
        <v>1</v>
      </c>
      <c r="BH753">
        <v>0</v>
      </c>
      <c r="BI753">
        <v>0</v>
      </c>
      <c r="BJ753">
        <v>0</v>
      </c>
      <c r="BK753">
        <v>2325</v>
      </c>
      <c r="BL753">
        <v>425</v>
      </c>
      <c r="BM753" t="s">
        <v>119</v>
      </c>
      <c r="BN753">
        <v>1</v>
      </c>
      <c r="BO753">
        <v>1</v>
      </c>
      <c r="BP753">
        <v>1</v>
      </c>
      <c r="BQ753">
        <v>0</v>
      </c>
      <c r="BT753">
        <v>0</v>
      </c>
      <c r="BU753">
        <v>0</v>
      </c>
      <c r="BV753">
        <v>0</v>
      </c>
      <c r="CC753" t="str">
        <f>"18:47:10.953"</f>
        <v>18:47:10.953</v>
      </c>
      <c r="CD753" t="str">
        <f>"949880351"</f>
        <v>949880351</v>
      </c>
      <c r="CQ753">
        <v>0</v>
      </c>
      <c r="CR753">
        <v>2</v>
      </c>
      <c r="CS753">
        <v>0</v>
      </c>
      <c r="CT753">
        <v>2</v>
      </c>
      <c r="CU753">
        <v>0</v>
      </c>
      <c r="CV753">
        <v>4</v>
      </c>
      <c r="CW753" t="s">
        <v>120</v>
      </c>
      <c r="CX753">
        <v>261</v>
      </c>
      <c r="CY753">
        <v>2</v>
      </c>
      <c r="CZ753" t="s">
        <v>121</v>
      </c>
      <c r="DA753" t="s">
        <v>122</v>
      </c>
      <c r="DD753">
        <v>14644796</v>
      </c>
      <c r="DE753" t="s">
        <v>123</v>
      </c>
    </row>
    <row r="754" spans="1:109" x14ac:dyDescent="0.3">
      <c r="A754" t="str">
        <f>"18:47:12.281"</f>
        <v>18:47:12.281</v>
      </c>
      <c r="B754" t="s">
        <v>110</v>
      </c>
      <c r="C754" t="str">
        <f t="shared" si="33"/>
        <v>ffdfd3c0</v>
      </c>
      <c r="D754" t="s">
        <v>111</v>
      </c>
      <c r="E754">
        <v>18</v>
      </c>
      <c r="F754">
        <v>1018</v>
      </c>
      <c r="G754" t="s">
        <v>112</v>
      </c>
      <c r="J754" t="s">
        <v>113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R754" t="s">
        <v>114</v>
      </c>
      <c r="S754" t="str">
        <f>"18:47:12.055"</f>
        <v>18:47:12.055</v>
      </c>
      <c r="T754" t="str">
        <f>"18:47:12.055"</f>
        <v>18:47:12.055</v>
      </c>
      <c r="U754" t="str">
        <f t="shared" si="34"/>
        <v>a1cdbe</v>
      </c>
      <c r="V754">
        <v>0</v>
      </c>
      <c r="W754">
        <v>0</v>
      </c>
      <c r="X754">
        <v>1</v>
      </c>
      <c r="Y754">
        <v>0</v>
      </c>
      <c r="Z754">
        <v>0</v>
      </c>
      <c r="AB754">
        <v>0</v>
      </c>
      <c r="AC754">
        <v>9</v>
      </c>
      <c r="AD754">
        <v>3</v>
      </c>
      <c r="AE754">
        <v>0</v>
      </c>
      <c r="AF754">
        <v>9</v>
      </c>
      <c r="AG754" t="s">
        <v>158</v>
      </c>
      <c r="AH754">
        <v>0</v>
      </c>
      <c r="AI754">
        <v>3</v>
      </c>
      <c r="AJ754">
        <v>1</v>
      </c>
      <c r="AK754">
        <v>0</v>
      </c>
      <c r="AL754" t="s">
        <v>1578</v>
      </c>
      <c r="AM754">
        <v>46.875551000000002</v>
      </c>
      <c r="AN754" t="s">
        <v>1579</v>
      </c>
      <c r="AO754">
        <v>-122.395248</v>
      </c>
      <c r="AP754">
        <v>100</v>
      </c>
      <c r="AQ754">
        <v>1900</v>
      </c>
      <c r="AR754" t="s">
        <v>118</v>
      </c>
      <c r="AS754">
        <v>-57</v>
      </c>
      <c r="AT754">
        <v>-50</v>
      </c>
      <c r="AU754">
        <v>-128</v>
      </c>
      <c r="BC754">
        <v>1200</v>
      </c>
      <c r="BD754">
        <v>1</v>
      </c>
      <c r="BE754" t="str">
        <f t="shared" si="35"/>
        <v xml:space="preserve">N215T   </v>
      </c>
      <c r="BF754">
        <v>1</v>
      </c>
      <c r="BH754">
        <v>0</v>
      </c>
      <c r="BI754">
        <v>0</v>
      </c>
      <c r="BJ754">
        <v>0</v>
      </c>
      <c r="BK754">
        <v>2325</v>
      </c>
      <c r="BL754">
        <v>425</v>
      </c>
      <c r="BM754" t="s">
        <v>119</v>
      </c>
      <c r="BN754">
        <v>1</v>
      </c>
      <c r="BO754">
        <v>1</v>
      </c>
      <c r="BP754">
        <v>1</v>
      </c>
      <c r="BQ754">
        <v>0</v>
      </c>
      <c r="BT754">
        <v>0</v>
      </c>
      <c r="BU754">
        <v>0</v>
      </c>
      <c r="BV754">
        <v>0</v>
      </c>
      <c r="CC754" t="str">
        <f>"18:47:12.063"</f>
        <v>18:47:12.063</v>
      </c>
      <c r="CD754" t="str">
        <f>"059771118"</f>
        <v>059771118</v>
      </c>
      <c r="CQ754">
        <v>0</v>
      </c>
      <c r="CR754">
        <v>2</v>
      </c>
      <c r="CS754">
        <v>0</v>
      </c>
      <c r="CT754">
        <v>2</v>
      </c>
      <c r="CU754">
        <v>0</v>
      </c>
      <c r="CV754">
        <v>4</v>
      </c>
      <c r="CW754" t="s">
        <v>120</v>
      </c>
      <c r="CX754">
        <v>261</v>
      </c>
      <c r="CY754">
        <v>2</v>
      </c>
      <c r="CZ754" t="s">
        <v>121</v>
      </c>
      <c r="DA754" t="s">
        <v>122</v>
      </c>
      <c r="DD754">
        <v>14645459</v>
      </c>
      <c r="DE754" t="s">
        <v>123</v>
      </c>
    </row>
    <row r="755" spans="1:109" x14ac:dyDescent="0.3">
      <c r="A755" t="str">
        <f>"18:47:13.180"</f>
        <v>18:47:13.180</v>
      </c>
      <c r="B755" t="s">
        <v>110</v>
      </c>
      <c r="C755" t="str">
        <f t="shared" si="33"/>
        <v>ffdfd3c0</v>
      </c>
      <c r="D755" t="s">
        <v>111</v>
      </c>
      <c r="E755">
        <v>18</v>
      </c>
      <c r="F755">
        <v>1018</v>
      </c>
      <c r="G755" t="s">
        <v>112</v>
      </c>
      <c r="J755" t="s">
        <v>113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R755" t="s">
        <v>114</v>
      </c>
      <c r="S755" t="str">
        <f>"18:47:12.898"</f>
        <v>18:47:12.898</v>
      </c>
      <c r="T755" t="str">
        <f>"18:47:12.500"</f>
        <v>18:47:12.500</v>
      </c>
      <c r="U755" t="str">
        <f t="shared" si="34"/>
        <v>a1cdbe</v>
      </c>
      <c r="V755">
        <v>0</v>
      </c>
      <c r="W755">
        <v>0</v>
      </c>
      <c r="X755">
        <v>1</v>
      </c>
      <c r="Y755">
        <v>0</v>
      </c>
      <c r="Z755">
        <v>0</v>
      </c>
      <c r="AB755">
        <v>0</v>
      </c>
      <c r="AC755">
        <v>9</v>
      </c>
      <c r="AD755">
        <v>3</v>
      </c>
      <c r="AE755">
        <v>0</v>
      </c>
      <c r="AF755">
        <v>9</v>
      </c>
      <c r="AG755" t="s">
        <v>158</v>
      </c>
      <c r="AH755">
        <v>0</v>
      </c>
      <c r="AI755">
        <v>3</v>
      </c>
      <c r="AJ755">
        <v>1</v>
      </c>
      <c r="AK755">
        <v>0</v>
      </c>
      <c r="AL755" t="s">
        <v>1580</v>
      </c>
      <c r="AM755">
        <v>46.875357999999999</v>
      </c>
      <c r="AN755" t="s">
        <v>1581</v>
      </c>
      <c r="AO755">
        <v>-122.39559199999999</v>
      </c>
      <c r="AP755">
        <v>100</v>
      </c>
      <c r="AQ755">
        <v>1900</v>
      </c>
      <c r="AR755" t="s">
        <v>118</v>
      </c>
      <c r="AS755">
        <v>-56</v>
      </c>
      <c r="AT755">
        <v>-51</v>
      </c>
      <c r="AU755">
        <v>-192</v>
      </c>
      <c r="BC755">
        <v>1200</v>
      </c>
      <c r="BD755">
        <v>1</v>
      </c>
      <c r="BE755" t="str">
        <f t="shared" si="35"/>
        <v xml:space="preserve">N215T   </v>
      </c>
      <c r="BF755">
        <v>1</v>
      </c>
      <c r="BH755">
        <v>0</v>
      </c>
      <c r="BI755">
        <v>0</v>
      </c>
      <c r="BJ755">
        <v>0</v>
      </c>
      <c r="BK755">
        <v>2325</v>
      </c>
      <c r="BL755">
        <v>425</v>
      </c>
      <c r="BM755" t="s">
        <v>119</v>
      </c>
      <c r="BN755">
        <v>1</v>
      </c>
      <c r="BO755">
        <v>1</v>
      </c>
      <c r="BP755">
        <v>1</v>
      </c>
      <c r="BQ755">
        <v>0</v>
      </c>
      <c r="BT755">
        <v>0</v>
      </c>
      <c r="BU755">
        <v>0</v>
      </c>
      <c r="BV755">
        <v>0</v>
      </c>
      <c r="CC755" t="str">
        <f>"18:47:12.898"</f>
        <v>18:47:12.898</v>
      </c>
      <c r="CD755" t="str">
        <f>"899688471"</f>
        <v>899688471</v>
      </c>
      <c r="CQ755">
        <v>0</v>
      </c>
      <c r="CR755">
        <v>2</v>
      </c>
      <c r="CS755">
        <v>0</v>
      </c>
      <c r="CT755">
        <v>2</v>
      </c>
      <c r="CU755">
        <v>0</v>
      </c>
      <c r="CV755">
        <v>5</v>
      </c>
      <c r="CW755" t="s">
        <v>120</v>
      </c>
      <c r="CX755">
        <v>261</v>
      </c>
      <c r="CY755">
        <v>2</v>
      </c>
      <c r="CZ755" t="s">
        <v>121</v>
      </c>
      <c r="DA755" t="s">
        <v>122</v>
      </c>
      <c r="DD755">
        <v>14645922</v>
      </c>
      <c r="DE755" t="s">
        <v>123</v>
      </c>
    </row>
    <row r="756" spans="1:109" x14ac:dyDescent="0.3">
      <c r="A756" t="str">
        <f>"18:47:14.141"</f>
        <v>18:47:14.141</v>
      </c>
      <c r="B756" t="s">
        <v>110</v>
      </c>
      <c r="C756" t="str">
        <f t="shared" si="33"/>
        <v>ffdfd3c0</v>
      </c>
      <c r="D756" t="s">
        <v>111</v>
      </c>
      <c r="E756">
        <v>18</v>
      </c>
      <c r="F756">
        <v>1018</v>
      </c>
      <c r="G756" t="s">
        <v>112</v>
      </c>
      <c r="J756" t="s">
        <v>113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R756" t="s">
        <v>114</v>
      </c>
      <c r="S756" t="str">
        <f>"18:47:13.898"</f>
        <v>18:47:13.898</v>
      </c>
      <c r="T756" t="str">
        <f>"18:47:13.602"</f>
        <v>18:47:13.602</v>
      </c>
      <c r="U756" t="str">
        <f t="shared" si="34"/>
        <v>a1cdbe</v>
      </c>
      <c r="V756">
        <v>0</v>
      </c>
      <c r="W756">
        <v>0</v>
      </c>
      <c r="X756">
        <v>1</v>
      </c>
      <c r="Y756">
        <v>0</v>
      </c>
      <c r="Z756">
        <v>0</v>
      </c>
      <c r="AB756">
        <v>0</v>
      </c>
      <c r="AC756">
        <v>9</v>
      </c>
      <c r="AD756">
        <v>3</v>
      </c>
      <c r="AE756">
        <v>0</v>
      </c>
      <c r="AF756">
        <v>9</v>
      </c>
      <c r="AG756" t="s">
        <v>158</v>
      </c>
      <c r="AH756">
        <v>0</v>
      </c>
      <c r="AI756">
        <v>3</v>
      </c>
      <c r="AJ756">
        <v>1</v>
      </c>
      <c r="AK756">
        <v>0</v>
      </c>
      <c r="AL756" t="s">
        <v>1582</v>
      </c>
      <c r="AM756">
        <v>46.875121999999998</v>
      </c>
      <c r="AN756" t="s">
        <v>1583</v>
      </c>
      <c r="AO756">
        <v>-122.39593499999999</v>
      </c>
      <c r="AP756">
        <v>100</v>
      </c>
      <c r="AQ756">
        <v>1900</v>
      </c>
      <c r="AR756" t="s">
        <v>118</v>
      </c>
      <c r="AS756">
        <v>-56</v>
      </c>
      <c r="AT756">
        <v>-52</v>
      </c>
      <c r="AU756">
        <v>-320</v>
      </c>
      <c r="BC756">
        <v>1200</v>
      </c>
      <c r="BD756">
        <v>1</v>
      </c>
      <c r="BE756" t="str">
        <f t="shared" si="35"/>
        <v xml:space="preserve">N215T   </v>
      </c>
      <c r="BF756">
        <v>1</v>
      </c>
      <c r="BH756">
        <v>0</v>
      </c>
      <c r="BI756">
        <v>0</v>
      </c>
      <c r="BJ756">
        <v>0</v>
      </c>
      <c r="BK756">
        <v>2325</v>
      </c>
      <c r="BL756">
        <v>425</v>
      </c>
      <c r="BM756" t="s">
        <v>119</v>
      </c>
      <c r="BN756">
        <v>1</v>
      </c>
      <c r="BO756">
        <v>1</v>
      </c>
      <c r="BP756">
        <v>1</v>
      </c>
      <c r="BQ756">
        <v>0</v>
      </c>
      <c r="BT756">
        <v>0</v>
      </c>
      <c r="BU756">
        <v>0</v>
      </c>
      <c r="BV756">
        <v>0</v>
      </c>
      <c r="CC756" t="str">
        <f>"18:47:13.906"</f>
        <v>18:47:13.906</v>
      </c>
      <c r="CD756" t="str">
        <f>"904589550"</f>
        <v>904589550</v>
      </c>
      <c r="CQ756">
        <v>0</v>
      </c>
      <c r="CR756">
        <v>2</v>
      </c>
      <c r="CS756">
        <v>0</v>
      </c>
      <c r="CT756">
        <v>2</v>
      </c>
      <c r="CU756">
        <v>0</v>
      </c>
      <c r="CV756">
        <v>4</v>
      </c>
      <c r="CW756" t="s">
        <v>120</v>
      </c>
      <c r="CX756">
        <v>261</v>
      </c>
      <c r="CY756">
        <v>2</v>
      </c>
      <c r="CZ756" t="s">
        <v>121</v>
      </c>
      <c r="DA756" t="s">
        <v>122</v>
      </c>
      <c r="DD756">
        <v>14646448</v>
      </c>
      <c r="DE756" t="s">
        <v>123</v>
      </c>
    </row>
    <row r="757" spans="1:109" x14ac:dyDescent="0.3">
      <c r="A757" t="str">
        <f>"18:47:15.141"</f>
        <v>18:47:15.141</v>
      </c>
      <c r="B757" t="s">
        <v>110</v>
      </c>
      <c r="C757" t="str">
        <f t="shared" si="33"/>
        <v>ffdfd3c0</v>
      </c>
      <c r="D757" t="s">
        <v>111</v>
      </c>
      <c r="E757">
        <v>18</v>
      </c>
      <c r="F757">
        <v>1018</v>
      </c>
      <c r="G757" t="s">
        <v>112</v>
      </c>
      <c r="J757" t="s">
        <v>113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R757" t="s">
        <v>114</v>
      </c>
      <c r="S757" t="str">
        <f>"18:47:14.938"</f>
        <v>18:47:14.938</v>
      </c>
      <c r="T757" t="str">
        <f>"18:47:14.539"</f>
        <v>18:47:14.539</v>
      </c>
      <c r="U757" t="str">
        <f t="shared" si="34"/>
        <v>a1cdbe</v>
      </c>
      <c r="V757">
        <v>0</v>
      </c>
      <c r="W757">
        <v>0</v>
      </c>
      <c r="X757">
        <v>1</v>
      </c>
      <c r="Y757">
        <v>0</v>
      </c>
      <c r="Z757">
        <v>0</v>
      </c>
      <c r="AB757">
        <v>0</v>
      </c>
      <c r="AC757">
        <v>9</v>
      </c>
      <c r="AD757">
        <v>3</v>
      </c>
      <c r="AE757">
        <v>0</v>
      </c>
      <c r="AF757">
        <v>9</v>
      </c>
      <c r="AG757" t="s">
        <v>158</v>
      </c>
      <c r="AH757">
        <v>0</v>
      </c>
      <c r="AI757">
        <v>3</v>
      </c>
      <c r="AJ757">
        <v>1</v>
      </c>
      <c r="AK757">
        <v>0</v>
      </c>
      <c r="AL757" t="s">
        <v>1584</v>
      </c>
      <c r="AM757">
        <v>46.874864000000002</v>
      </c>
      <c r="AN757" t="s">
        <v>1585</v>
      </c>
      <c r="AO757">
        <v>-122.396343</v>
      </c>
      <c r="AP757">
        <v>100</v>
      </c>
      <c r="AQ757">
        <v>1900</v>
      </c>
      <c r="AR757" t="s">
        <v>118</v>
      </c>
      <c r="AS757">
        <v>-56</v>
      </c>
      <c r="AT757">
        <v>-53</v>
      </c>
      <c r="AU757">
        <v>-384</v>
      </c>
      <c r="BC757">
        <v>1200</v>
      </c>
      <c r="BD757">
        <v>1</v>
      </c>
      <c r="BE757" t="str">
        <f t="shared" si="35"/>
        <v xml:space="preserve">N215T   </v>
      </c>
      <c r="BF757">
        <v>1</v>
      </c>
      <c r="BH757">
        <v>0</v>
      </c>
      <c r="BI757">
        <v>0</v>
      </c>
      <c r="BJ757">
        <v>0</v>
      </c>
      <c r="BK757">
        <v>2300</v>
      </c>
      <c r="BL757">
        <v>400</v>
      </c>
      <c r="BM757" t="s">
        <v>119</v>
      </c>
      <c r="BN757">
        <v>1</v>
      </c>
      <c r="BO757">
        <v>1</v>
      </c>
      <c r="BP757">
        <v>1</v>
      </c>
      <c r="BQ757">
        <v>0</v>
      </c>
      <c r="BT757">
        <v>0</v>
      </c>
      <c r="BU757">
        <v>0</v>
      </c>
      <c r="BV757">
        <v>0</v>
      </c>
      <c r="CC757" t="str">
        <f>"18:47:14.938"</f>
        <v>18:47:14.938</v>
      </c>
      <c r="CD757" t="str">
        <f>"939452797"</f>
        <v>939452797</v>
      </c>
      <c r="CQ757">
        <v>0</v>
      </c>
      <c r="CR757">
        <v>2</v>
      </c>
      <c r="CS757">
        <v>0</v>
      </c>
      <c r="CT757">
        <v>2</v>
      </c>
      <c r="CU757">
        <v>0</v>
      </c>
      <c r="CV757">
        <v>4</v>
      </c>
      <c r="CW757" t="s">
        <v>172</v>
      </c>
      <c r="CX757">
        <v>326</v>
      </c>
      <c r="CY757">
        <v>0</v>
      </c>
      <c r="CZ757" t="s">
        <v>173</v>
      </c>
      <c r="DA757" t="s">
        <v>174</v>
      </c>
      <c r="DD757">
        <v>5997312</v>
      </c>
      <c r="DE757" t="s">
        <v>123</v>
      </c>
    </row>
    <row r="758" spans="1:109" x14ac:dyDescent="0.3">
      <c r="A758" t="str">
        <f>"18:47:16.102"</f>
        <v>18:47:16.102</v>
      </c>
      <c r="B758" t="s">
        <v>110</v>
      </c>
      <c r="C758" t="str">
        <f t="shared" si="33"/>
        <v>ffdfd3c0</v>
      </c>
      <c r="D758" t="s">
        <v>111</v>
      </c>
      <c r="E758">
        <v>18</v>
      </c>
      <c r="F758">
        <v>1018</v>
      </c>
      <c r="G758" t="s">
        <v>112</v>
      </c>
      <c r="J758" t="s">
        <v>113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R758" t="s">
        <v>114</v>
      </c>
      <c r="S758" t="str">
        <f>"18:47:15.867"</f>
        <v>18:47:15.867</v>
      </c>
      <c r="T758" t="str">
        <f>"18:47:15.469"</f>
        <v>18:47:15.469</v>
      </c>
      <c r="U758" t="str">
        <f t="shared" si="34"/>
        <v>a1cdbe</v>
      </c>
      <c r="V758">
        <v>0</v>
      </c>
      <c r="W758">
        <v>0</v>
      </c>
      <c r="X758">
        <v>1</v>
      </c>
      <c r="Y758">
        <v>0</v>
      </c>
      <c r="Z758">
        <v>0</v>
      </c>
      <c r="AB758">
        <v>0</v>
      </c>
      <c r="AC758">
        <v>9</v>
      </c>
      <c r="AD758">
        <v>3</v>
      </c>
      <c r="AE758">
        <v>0</v>
      </c>
      <c r="AF758">
        <v>9</v>
      </c>
      <c r="AG758" t="s">
        <v>158</v>
      </c>
      <c r="AH758">
        <v>0</v>
      </c>
      <c r="AI758">
        <v>3</v>
      </c>
      <c r="AJ758">
        <v>1</v>
      </c>
      <c r="AK758">
        <v>0</v>
      </c>
      <c r="AL758" t="s">
        <v>1586</v>
      </c>
      <c r="AM758">
        <v>46.874606999999997</v>
      </c>
      <c r="AN758" t="s">
        <v>1587</v>
      </c>
      <c r="AO758">
        <v>-122.396708</v>
      </c>
      <c r="AP758">
        <v>100</v>
      </c>
      <c r="AQ758">
        <v>1900</v>
      </c>
      <c r="AR758" t="s">
        <v>118</v>
      </c>
      <c r="AS758">
        <v>-56</v>
      </c>
      <c r="AT758">
        <v>-54</v>
      </c>
      <c r="AU758">
        <v>-384</v>
      </c>
      <c r="BC758">
        <v>1200</v>
      </c>
      <c r="BD758">
        <v>1</v>
      </c>
      <c r="BE758" t="str">
        <f t="shared" si="35"/>
        <v xml:space="preserve">N215T   </v>
      </c>
      <c r="BF758">
        <v>1</v>
      </c>
      <c r="BH758">
        <v>0</v>
      </c>
      <c r="BI758">
        <v>0</v>
      </c>
      <c r="BJ758">
        <v>0</v>
      </c>
      <c r="BK758">
        <v>2300</v>
      </c>
      <c r="BL758">
        <v>400</v>
      </c>
      <c r="BM758" t="s">
        <v>119</v>
      </c>
      <c r="BN758">
        <v>1</v>
      </c>
      <c r="BO758">
        <v>1</v>
      </c>
      <c r="BP758">
        <v>1</v>
      </c>
      <c r="BQ758">
        <v>0</v>
      </c>
      <c r="BT758">
        <v>0</v>
      </c>
      <c r="BU758">
        <v>0</v>
      </c>
      <c r="BV758">
        <v>0</v>
      </c>
      <c r="CC758" t="str">
        <f>"18:47:15.867"</f>
        <v>18:47:15.867</v>
      </c>
      <c r="CD758" t="str">
        <f>"869396217"</f>
        <v>869396217</v>
      </c>
      <c r="CQ758">
        <v>0</v>
      </c>
      <c r="CR758">
        <v>2</v>
      </c>
      <c r="CS758">
        <v>0</v>
      </c>
      <c r="CT758">
        <v>2</v>
      </c>
      <c r="CU758">
        <v>0</v>
      </c>
      <c r="CV758">
        <v>4</v>
      </c>
      <c r="CW758" t="s">
        <v>120</v>
      </c>
      <c r="CX758">
        <v>261</v>
      </c>
      <c r="CY758">
        <v>2</v>
      </c>
      <c r="CZ758" t="s">
        <v>121</v>
      </c>
      <c r="DA758" t="s">
        <v>122</v>
      </c>
      <c r="DD758">
        <v>14647508</v>
      </c>
      <c r="DE758" t="s">
        <v>123</v>
      </c>
    </row>
    <row r="759" spans="1:109" x14ac:dyDescent="0.3">
      <c r="A759" t="str">
        <f>"18:47:17.258"</f>
        <v>18:47:17.258</v>
      </c>
      <c r="B759" t="s">
        <v>110</v>
      </c>
      <c r="C759" t="str">
        <f t="shared" si="33"/>
        <v>ffdfd3c0</v>
      </c>
      <c r="D759" t="s">
        <v>111</v>
      </c>
      <c r="E759">
        <v>18</v>
      </c>
      <c r="F759">
        <v>1018</v>
      </c>
      <c r="G759" t="s">
        <v>112</v>
      </c>
      <c r="J759" t="s">
        <v>113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R759" t="s">
        <v>114</v>
      </c>
      <c r="S759" t="str">
        <f>"18:47:17.023"</f>
        <v>18:47:17.023</v>
      </c>
      <c r="T759" t="str">
        <f>"18:47:16.523"</f>
        <v>18:47:16.523</v>
      </c>
      <c r="U759" t="str">
        <f t="shared" si="34"/>
        <v>a1cdbe</v>
      </c>
      <c r="V759">
        <v>0</v>
      </c>
      <c r="W759">
        <v>0</v>
      </c>
      <c r="X759">
        <v>1</v>
      </c>
      <c r="Y759">
        <v>0</v>
      </c>
      <c r="Z759">
        <v>0</v>
      </c>
      <c r="AB759">
        <v>0</v>
      </c>
      <c r="AC759">
        <v>9</v>
      </c>
      <c r="AD759">
        <v>3</v>
      </c>
      <c r="AE759">
        <v>0</v>
      </c>
      <c r="AF759">
        <v>9</v>
      </c>
      <c r="AG759" t="s">
        <v>158</v>
      </c>
      <c r="AH759">
        <v>0</v>
      </c>
      <c r="AI759">
        <v>3</v>
      </c>
      <c r="AJ759">
        <v>1</v>
      </c>
      <c r="AK759">
        <v>0</v>
      </c>
      <c r="AL759" t="s">
        <v>1588</v>
      </c>
      <c r="AM759">
        <v>46.874327999999998</v>
      </c>
      <c r="AN759" t="s">
        <v>1589</v>
      </c>
      <c r="AO759">
        <v>-122.397137</v>
      </c>
      <c r="AP759">
        <v>100</v>
      </c>
      <c r="AQ759">
        <v>1900</v>
      </c>
      <c r="AR759" t="s">
        <v>118</v>
      </c>
      <c r="AS759">
        <v>-56</v>
      </c>
      <c r="AT759">
        <v>-55</v>
      </c>
      <c r="AU759">
        <v>-384</v>
      </c>
      <c r="BC759">
        <v>1200</v>
      </c>
      <c r="BD759">
        <v>1</v>
      </c>
      <c r="BE759" t="str">
        <f t="shared" si="35"/>
        <v xml:space="preserve">N215T   </v>
      </c>
      <c r="BF759">
        <v>1</v>
      </c>
      <c r="BH759">
        <v>0</v>
      </c>
      <c r="BI759">
        <v>0</v>
      </c>
      <c r="BJ759">
        <v>0</v>
      </c>
      <c r="BK759">
        <v>2300</v>
      </c>
      <c r="BL759">
        <v>400</v>
      </c>
      <c r="BM759" t="s">
        <v>119</v>
      </c>
      <c r="BN759">
        <v>1</v>
      </c>
      <c r="BO759">
        <v>1</v>
      </c>
      <c r="BP759">
        <v>1</v>
      </c>
      <c r="BQ759">
        <v>0</v>
      </c>
      <c r="BT759">
        <v>0</v>
      </c>
      <c r="BU759">
        <v>0</v>
      </c>
      <c r="BV759">
        <v>0</v>
      </c>
      <c r="CC759" t="str">
        <f>"18:47:17.023"</f>
        <v>18:47:17.023</v>
      </c>
      <c r="CD759" t="str">
        <f>"024282537"</f>
        <v>024282537</v>
      </c>
      <c r="CQ759">
        <v>0</v>
      </c>
      <c r="CR759">
        <v>2</v>
      </c>
      <c r="CS759">
        <v>0</v>
      </c>
      <c r="CT759">
        <v>2</v>
      </c>
      <c r="CU759">
        <v>0</v>
      </c>
      <c r="CV759">
        <v>3</v>
      </c>
      <c r="CW759" t="s">
        <v>120</v>
      </c>
      <c r="CX759">
        <v>261</v>
      </c>
      <c r="CY759">
        <v>2</v>
      </c>
      <c r="CZ759" t="s">
        <v>121</v>
      </c>
      <c r="DA759" t="s">
        <v>122</v>
      </c>
      <c r="DD759">
        <v>14648159</v>
      </c>
      <c r="DE759" t="s">
        <v>123</v>
      </c>
    </row>
    <row r="760" spans="1:109" x14ac:dyDescent="0.3">
      <c r="A760" t="str">
        <f>"18:47:18.164"</f>
        <v>18:47:18.164</v>
      </c>
      <c r="B760" t="s">
        <v>110</v>
      </c>
      <c r="C760" t="str">
        <f t="shared" si="33"/>
        <v>ffdfd3c0</v>
      </c>
      <c r="D760" t="s">
        <v>111</v>
      </c>
      <c r="E760">
        <v>18</v>
      </c>
      <c r="F760">
        <v>1018</v>
      </c>
      <c r="G760" t="s">
        <v>112</v>
      </c>
      <c r="J760" t="s">
        <v>113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R760" t="s">
        <v>114</v>
      </c>
      <c r="S760" t="str">
        <f>"18:47:17.969"</f>
        <v>18:47:17.969</v>
      </c>
      <c r="T760" t="str">
        <f>"18:47:17.570"</f>
        <v>18:47:17.570</v>
      </c>
      <c r="U760" t="str">
        <f t="shared" si="34"/>
        <v>a1cdbe</v>
      </c>
      <c r="V760">
        <v>0</v>
      </c>
      <c r="W760">
        <v>0</v>
      </c>
      <c r="X760">
        <v>1</v>
      </c>
      <c r="Y760">
        <v>0</v>
      </c>
      <c r="Z760">
        <v>0</v>
      </c>
      <c r="AB760">
        <v>0</v>
      </c>
      <c r="AC760">
        <v>9</v>
      </c>
      <c r="AD760">
        <v>3</v>
      </c>
      <c r="AE760">
        <v>0</v>
      </c>
      <c r="AF760">
        <v>9</v>
      </c>
      <c r="AG760" t="s">
        <v>158</v>
      </c>
      <c r="AH760">
        <v>0</v>
      </c>
      <c r="AI760">
        <v>3</v>
      </c>
      <c r="AJ760">
        <v>1</v>
      </c>
      <c r="AK760">
        <v>0</v>
      </c>
      <c r="AL760" t="s">
        <v>1590</v>
      </c>
      <c r="AM760">
        <v>46.874091999999997</v>
      </c>
      <c r="AN760" t="s">
        <v>1591</v>
      </c>
      <c r="AO760">
        <v>-122.39752300000001</v>
      </c>
      <c r="AP760">
        <v>100</v>
      </c>
      <c r="AQ760">
        <v>1900</v>
      </c>
      <c r="AR760" t="s">
        <v>118</v>
      </c>
      <c r="AS760">
        <v>-56</v>
      </c>
      <c r="AT760">
        <v>-55</v>
      </c>
      <c r="AU760">
        <v>-448</v>
      </c>
      <c r="BC760">
        <v>1200</v>
      </c>
      <c r="BD760">
        <v>1</v>
      </c>
      <c r="BE760" t="str">
        <f t="shared" si="35"/>
        <v xml:space="preserve">N215T   </v>
      </c>
      <c r="BF760">
        <v>1</v>
      </c>
      <c r="BH760">
        <v>0</v>
      </c>
      <c r="BI760">
        <v>0</v>
      </c>
      <c r="BJ760">
        <v>0</v>
      </c>
      <c r="BK760">
        <v>2275</v>
      </c>
      <c r="BL760">
        <v>375</v>
      </c>
      <c r="BM760" t="s">
        <v>119</v>
      </c>
      <c r="BN760">
        <v>1</v>
      </c>
      <c r="BO760">
        <v>1</v>
      </c>
      <c r="BP760">
        <v>1</v>
      </c>
      <c r="BQ760">
        <v>0</v>
      </c>
      <c r="BT760">
        <v>0</v>
      </c>
      <c r="BU760">
        <v>0</v>
      </c>
      <c r="BV760">
        <v>0</v>
      </c>
      <c r="CC760" t="str">
        <f>"18:47:17.969"</f>
        <v>18:47:17.969</v>
      </c>
      <c r="CD760" t="str">
        <f>"969189580"</f>
        <v>969189580</v>
      </c>
      <c r="CQ760">
        <v>0</v>
      </c>
      <c r="CR760">
        <v>2</v>
      </c>
      <c r="CS760">
        <v>0</v>
      </c>
      <c r="CT760">
        <v>2</v>
      </c>
      <c r="CU760">
        <v>0</v>
      </c>
      <c r="CV760">
        <v>3</v>
      </c>
      <c r="CW760" t="s">
        <v>120</v>
      </c>
      <c r="CX760">
        <v>261</v>
      </c>
      <c r="CY760">
        <v>1</v>
      </c>
      <c r="CZ760" t="s">
        <v>121</v>
      </c>
      <c r="DA760" t="s">
        <v>122</v>
      </c>
      <c r="DD760">
        <v>3556861</v>
      </c>
      <c r="DE760" t="s">
        <v>123</v>
      </c>
    </row>
    <row r="761" spans="1:109" x14ac:dyDescent="0.3">
      <c r="A761" t="str">
        <f>"18:47:19.164"</f>
        <v>18:47:19.164</v>
      </c>
      <c r="B761" t="s">
        <v>110</v>
      </c>
      <c r="C761" t="str">
        <f t="shared" si="33"/>
        <v>ffdfd3c0</v>
      </c>
      <c r="D761" t="s">
        <v>111</v>
      </c>
      <c r="E761">
        <v>18</v>
      </c>
      <c r="F761">
        <v>1018</v>
      </c>
      <c r="G761" t="s">
        <v>112</v>
      </c>
      <c r="J761" t="s">
        <v>113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R761" t="s">
        <v>114</v>
      </c>
      <c r="S761" t="str">
        <f>"18:47:18.938"</f>
        <v>18:47:18.938</v>
      </c>
      <c r="T761" t="str">
        <f>"18:47:18.938"</f>
        <v>18:47:18.938</v>
      </c>
      <c r="U761" t="str">
        <f t="shared" si="34"/>
        <v>a1cdbe</v>
      </c>
      <c r="V761">
        <v>0</v>
      </c>
      <c r="W761">
        <v>0</v>
      </c>
      <c r="X761">
        <v>1</v>
      </c>
      <c r="Y761">
        <v>0</v>
      </c>
      <c r="Z761">
        <v>0</v>
      </c>
      <c r="AB761">
        <v>0</v>
      </c>
      <c r="AC761">
        <v>9</v>
      </c>
      <c r="AD761">
        <v>3</v>
      </c>
      <c r="AE761">
        <v>0</v>
      </c>
      <c r="AF761">
        <v>9</v>
      </c>
      <c r="AG761" t="s">
        <v>158</v>
      </c>
      <c r="AH761">
        <v>0</v>
      </c>
      <c r="AI761">
        <v>3</v>
      </c>
      <c r="AJ761">
        <v>1</v>
      </c>
      <c r="AK761">
        <v>0</v>
      </c>
      <c r="AL761" t="s">
        <v>1592</v>
      </c>
      <c r="AM761">
        <v>46.873812999999998</v>
      </c>
      <c r="AN761" t="s">
        <v>1593</v>
      </c>
      <c r="AO761">
        <v>-122.397845</v>
      </c>
      <c r="AP761">
        <v>100</v>
      </c>
      <c r="AQ761">
        <v>1900</v>
      </c>
      <c r="AR761" t="s">
        <v>118</v>
      </c>
      <c r="AS761">
        <v>-56</v>
      </c>
      <c r="AT761">
        <v>-56</v>
      </c>
      <c r="AU761">
        <v>-256</v>
      </c>
      <c r="BC761">
        <v>1200</v>
      </c>
      <c r="BD761">
        <v>1</v>
      </c>
      <c r="BE761" t="str">
        <f t="shared" si="35"/>
        <v xml:space="preserve">N215T   </v>
      </c>
      <c r="BF761">
        <v>1</v>
      </c>
      <c r="BH761">
        <v>0</v>
      </c>
      <c r="BI761">
        <v>0</v>
      </c>
      <c r="BJ761">
        <v>0</v>
      </c>
      <c r="BK761">
        <v>2275</v>
      </c>
      <c r="BL761">
        <v>375</v>
      </c>
      <c r="BM761" t="s">
        <v>119</v>
      </c>
      <c r="BN761">
        <v>1</v>
      </c>
      <c r="BO761">
        <v>1</v>
      </c>
      <c r="BP761">
        <v>1</v>
      </c>
      <c r="BQ761">
        <v>0</v>
      </c>
      <c r="BT761">
        <v>0</v>
      </c>
      <c r="BU761">
        <v>0</v>
      </c>
      <c r="BV761">
        <v>0</v>
      </c>
      <c r="CC761" t="str">
        <f>"18:47:18.945"</f>
        <v>18:47:18.945</v>
      </c>
      <c r="CD761" t="str">
        <f>"944058907"</f>
        <v>944058907</v>
      </c>
      <c r="CQ761">
        <v>0</v>
      </c>
      <c r="CR761">
        <v>2</v>
      </c>
      <c r="CS761">
        <v>0</v>
      </c>
      <c r="CT761">
        <v>2</v>
      </c>
      <c r="CU761">
        <v>0</v>
      </c>
      <c r="CV761">
        <v>3</v>
      </c>
      <c r="CW761" t="s">
        <v>172</v>
      </c>
      <c r="CX761">
        <v>326</v>
      </c>
      <c r="CY761">
        <v>0</v>
      </c>
      <c r="CZ761" t="s">
        <v>173</v>
      </c>
      <c r="DA761" t="s">
        <v>174</v>
      </c>
      <c r="DD761">
        <v>5999508</v>
      </c>
      <c r="DE761" t="s">
        <v>123</v>
      </c>
    </row>
    <row r="762" spans="1:109" x14ac:dyDescent="0.3">
      <c r="A762" t="str">
        <f>"18:47:20.117"</f>
        <v>18:47:20.117</v>
      </c>
      <c r="B762" t="s">
        <v>110</v>
      </c>
      <c r="C762" t="str">
        <f t="shared" si="33"/>
        <v>ffdfd3c0</v>
      </c>
      <c r="D762" t="s">
        <v>111</v>
      </c>
      <c r="E762">
        <v>18</v>
      </c>
      <c r="F762">
        <v>1018</v>
      </c>
      <c r="G762" t="s">
        <v>112</v>
      </c>
      <c r="J762" t="s">
        <v>113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R762" t="s">
        <v>114</v>
      </c>
      <c r="S762" t="str">
        <f>"18:47:19.883"</f>
        <v>18:47:19.883</v>
      </c>
      <c r="T762" t="str">
        <f>"18:47:19.883"</f>
        <v>18:47:19.883</v>
      </c>
      <c r="U762" t="str">
        <f t="shared" si="34"/>
        <v>a1cdbe</v>
      </c>
      <c r="V762">
        <v>0</v>
      </c>
      <c r="W762">
        <v>0</v>
      </c>
      <c r="X762">
        <v>1</v>
      </c>
      <c r="Y762">
        <v>0</v>
      </c>
      <c r="Z762">
        <v>0</v>
      </c>
      <c r="AB762">
        <v>0</v>
      </c>
      <c r="AC762">
        <v>9</v>
      </c>
      <c r="AD762">
        <v>3</v>
      </c>
      <c r="AE762">
        <v>0</v>
      </c>
      <c r="AF762">
        <v>9</v>
      </c>
      <c r="AG762" t="s">
        <v>158</v>
      </c>
      <c r="AH762">
        <v>0</v>
      </c>
      <c r="AI762">
        <v>3</v>
      </c>
      <c r="AJ762">
        <v>1</v>
      </c>
      <c r="AK762">
        <v>0</v>
      </c>
      <c r="AL762" t="s">
        <v>1594</v>
      </c>
      <c r="AM762">
        <v>46.873598000000001</v>
      </c>
      <c r="AN762" t="s">
        <v>1595</v>
      </c>
      <c r="AO762">
        <v>-122.398188</v>
      </c>
      <c r="AP762">
        <v>100</v>
      </c>
      <c r="AQ762">
        <v>1900</v>
      </c>
      <c r="AR762" t="s">
        <v>118</v>
      </c>
      <c r="AS762">
        <v>-56</v>
      </c>
      <c r="AT762">
        <v>-56</v>
      </c>
      <c r="AU762">
        <v>-192</v>
      </c>
      <c r="BC762">
        <v>1200</v>
      </c>
      <c r="BD762">
        <v>1</v>
      </c>
      <c r="BE762" t="str">
        <f t="shared" si="35"/>
        <v xml:space="preserve">N215T   </v>
      </c>
      <c r="BF762">
        <v>1</v>
      </c>
      <c r="BH762">
        <v>0</v>
      </c>
      <c r="BI762">
        <v>0</v>
      </c>
      <c r="BJ762">
        <v>0</v>
      </c>
      <c r="BK762">
        <v>2275</v>
      </c>
      <c r="BL762">
        <v>375</v>
      </c>
      <c r="BM762" t="s">
        <v>119</v>
      </c>
      <c r="BN762">
        <v>1</v>
      </c>
      <c r="BO762">
        <v>1</v>
      </c>
      <c r="BP762">
        <v>1</v>
      </c>
      <c r="BQ762">
        <v>0</v>
      </c>
      <c r="BT762">
        <v>0</v>
      </c>
      <c r="BU762">
        <v>0</v>
      </c>
      <c r="BV762">
        <v>0</v>
      </c>
      <c r="CC762" t="str">
        <f>"18:47:19.891"</f>
        <v>18:47:19.891</v>
      </c>
      <c r="CD762" t="str">
        <f>"889148238"</f>
        <v>889148238</v>
      </c>
      <c r="CQ762">
        <v>0</v>
      </c>
      <c r="CR762">
        <v>2</v>
      </c>
      <c r="CS762">
        <v>0</v>
      </c>
      <c r="CT762">
        <v>2</v>
      </c>
      <c r="CU762">
        <v>0</v>
      </c>
      <c r="CV762">
        <v>3</v>
      </c>
      <c r="CW762" t="s">
        <v>120</v>
      </c>
      <c r="CX762">
        <v>257</v>
      </c>
      <c r="CY762">
        <v>1</v>
      </c>
      <c r="CZ762" t="s">
        <v>615</v>
      </c>
      <c r="DA762" t="s">
        <v>616</v>
      </c>
      <c r="DD762">
        <v>10959876</v>
      </c>
      <c r="DE762" t="s">
        <v>123</v>
      </c>
    </row>
    <row r="763" spans="1:109" x14ac:dyDescent="0.3">
      <c r="A763" t="str">
        <f>"18:47:21.281"</f>
        <v>18:47:21.281</v>
      </c>
      <c r="B763" t="s">
        <v>110</v>
      </c>
      <c r="C763" t="str">
        <f t="shared" si="33"/>
        <v>ffdfd3c0</v>
      </c>
      <c r="D763" t="s">
        <v>111</v>
      </c>
      <c r="E763">
        <v>18</v>
      </c>
      <c r="F763">
        <v>1018</v>
      </c>
      <c r="G763" t="s">
        <v>112</v>
      </c>
      <c r="J763" t="s">
        <v>113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R763" t="s">
        <v>114</v>
      </c>
      <c r="S763" t="str">
        <f>"18:47:21.039"</f>
        <v>18:47:21.039</v>
      </c>
      <c r="T763" t="str">
        <f>"18:47:20.938"</f>
        <v>18:47:20.938</v>
      </c>
      <c r="U763" t="str">
        <f t="shared" si="34"/>
        <v>a1cdbe</v>
      </c>
      <c r="V763">
        <v>0</v>
      </c>
      <c r="W763">
        <v>0</v>
      </c>
      <c r="X763">
        <v>1</v>
      </c>
      <c r="Y763">
        <v>0</v>
      </c>
      <c r="Z763">
        <v>0</v>
      </c>
      <c r="AB763">
        <v>0</v>
      </c>
      <c r="AC763">
        <v>9</v>
      </c>
      <c r="AD763">
        <v>3</v>
      </c>
      <c r="AE763">
        <v>0</v>
      </c>
      <c r="AF763">
        <v>9</v>
      </c>
      <c r="AG763" t="s">
        <v>158</v>
      </c>
      <c r="AH763">
        <v>0</v>
      </c>
      <c r="AI763">
        <v>3</v>
      </c>
      <c r="AJ763">
        <v>1</v>
      </c>
      <c r="AK763">
        <v>0</v>
      </c>
      <c r="AL763" t="s">
        <v>1596</v>
      </c>
      <c r="AM763">
        <v>46.873255</v>
      </c>
      <c r="AN763" t="s">
        <v>1597</v>
      </c>
      <c r="AO763">
        <v>-122.398617</v>
      </c>
      <c r="AP763">
        <v>100</v>
      </c>
      <c r="AQ763">
        <v>1900</v>
      </c>
      <c r="AR763" t="s">
        <v>118</v>
      </c>
      <c r="AS763">
        <v>-56</v>
      </c>
      <c r="AT763">
        <v>-55</v>
      </c>
      <c r="AU763">
        <v>-128</v>
      </c>
      <c r="BC763">
        <v>1200</v>
      </c>
      <c r="BD763">
        <v>1</v>
      </c>
      <c r="BE763" t="str">
        <f t="shared" si="35"/>
        <v xml:space="preserve">N215T   </v>
      </c>
      <c r="BF763">
        <v>1</v>
      </c>
      <c r="BH763">
        <v>0</v>
      </c>
      <c r="BI763">
        <v>0</v>
      </c>
      <c r="BJ763">
        <v>0</v>
      </c>
      <c r="BK763">
        <v>2275</v>
      </c>
      <c r="BL763">
        <v>375</v>
      </c>
      <c r="BM763" t="s">
        <v>119</v>
      </c>
      <c r="BN763">
        <v>1</v>
      </c>
      <c r="BO763">
        <v>1</v>
      </c>
      <c r="BP763">
        <v>1</v>
      </c>
      <c r="BQ763">
        <v>0</v>
      </c>
      <c r="BT763">
        <v>0</v>
      </c>
      <c r="BU763">
        <v>0</v>
      </c>
      <c r="BV763">
        <v>0</v>
      </c>
      <c r="CC763" t="str">
        <f>"18:47:21.047"</f>
        <v>18:47:21.047</v>
      </c>
      <c r="CD763" t="str">
        <f>"043887008"</f>
        <v>043887008</v>
      </c>
      <c r="CQ763">
        <v>0</v>
      </c>
      <c r="CR763">
        <v>2</v>
      </c>
      <c r="CS763">
        <v>0</v>
      </c>
      <c r="CT763">
        <v>2</v>
      </c>
      <c r="CU763">
        <v>0</v>
      </c>
      <c r="CV763">
        <v>2</v>
      </c>
      <c r="CW763" t="s">
        <v>120</v>
      </c>
      <c r="CX763">
        <v>261</v>
      </c>
      <c r="CY763">
        <v>2</v>
      </c>
      <c r="CZ763" t="s">
        <v>121</v>
      </c>
      <c r="DA763" t="s">
        <v>122</v>
      </c>
      <c r="DD763">
        <v>14650373</v>
      </c>
      <c r="DE763" t="s">
        <v>123</v>
      </c>
    </row>
    <row r="764" spans="1:109" x14ac:dyDescent="0.3">
      <c r="A764" t="str">
        <f>"18:47:22.281"</f>
        <v>18:47:22.281</v>
      </c>
      <c r="B764" t="s">
        <v>110</v>
      </c>
      <c r="C764" t="str">
        <f t="shared" si="33"/>
        <v>ffdfd3c0</v>
      </c>
      <c r="D764" t="s">
        <v>111</v>
      </c>
      <c r="E764">
        <v>18</v>
      </c>
      <c r="F764">
        <v>1018</v>
      </c>
      <c r="G764" t="s">
        <v>112</v>
      </c>
      <c r="J764" t="s">
        <v>113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R764" t="s">
        <v>114</v>
      </c>
      <c r="S764" t="str">
        <f>"18:47:22.078"</f>
        <v>18:47:22.078</v>
      </c>
      <c r="T764" t="str">
        <f>"18:47:21.977"</f>
        <v>18:47:21.977</v>
      </c>
      <c r="U764" t="str">
        <f t="shared" si="34"/>
        <v>a1cdbe</v>
      </c>
      <c r="V764">
        <v>0</v>
      </c>
      <c r="W764">
        <v>0</v>
      </c>
      <c r="X764">
        <v>1</v>
      </c>
      <c r="Y764">
        <v>0</v>
      </c>
      <c r="Z764">
        <v>0</v>
      </c>
      <c r="AB764">
        <v>0</v>
      </c>
      <c r="AC764">
        <v>9</v>
      </c>
      <c r="AD764">
        <v>3</v>
      </c>
      <c r="AE764">
        <v>0</v>
      </c>
      <c r="AF764">
        <v>9</v>
      </c>
      <c r="AG764" t="s">
        <v>158</v>
      </c>
      <c r="AH764">
        <v>0</v>
      </c>
      <c r="AI764">
        <v>3</v>
      </c>
      <c r="AJ764">
        <v>1</v>
      </c>
      <c r="AK764">
        <v>0</v>
      </c>
      <c r="AL764" t="s">
        <v>1598</v>
      </c>
      <c r="AM764">
        <v>46.873040000000003</v>
      </c>
      <c r="AN764" t="s">
        <v>1599</v>
      </c>
      <c r="AO764">
        <v>-122.39902499999999</v>
      </c>
      <c r="AP764">
        <v>100</v>
      </c>
      <c r="AQ764">
        <v>1900</v>
      </c>
      <c r="AR764" t="s">
        <v>118</v>
      </c>
      <c r="AS764">
        <v>-56</v>
      </c>
      <c r="AT764">
        <v>-55</v>
      </c>
      <c r="AU764">
        <v>64</v>
      </c>
      <c r="BC764">
        <v>1200</v>
      </c>
      <c r="BD764">
        <v>1</v>
      </c>
      <c r="BE764" t="str">
        <f t="shared" si="35"/>
        <v xml:space="preserve">N215T   </v>
      </c>
      <c r="BF764">
        <v>1</v>
      </c>
      <c r="BH764">
        <v>0</v>
      </c>
      <c r="BI764">
        <v>0</v>
      </c>
      <c r="BJ764">
        <v>0</v>
      </c>
      <c r="BK764">
        <v>2275</v>
      </c>
      <c r="BL764">
        <v>375</v>
      </c>
      <c r="BM764" t="s">
        <v>119</v>
      </c>
      <c r="BN764">
        <v>1</v>
      </c>
      <c r="BO764">
        <v>1</v>
      </c>
      <c r="BP764">
        <v>1</v>
      </c>
      <c r="BQ764">
        <v>0</v>
      </c>
      <c r="BT764">
        <v>0</v>
      </c>
      <c r="BU764">
        <v>0</v>
      </c>
      <c r="BV764">
        <v>0</v>
      </c>
      <c r="CC764" t="str">
        <f>"18:47:22.078"</f>
        <v>18:47:22.078</v>
      </c>
      <c r="CD764" t="str">
        <f>"078932408"</f>
        <v>078932408</v>
      </c>
      <c r="CQ764">
        <v>0</v>
      </c>
      <c r="CR764">
        <v>2</v>
      </c>
      <c r="CS764">
        <v>0</v>
      </c>
      <c r="CT764">
        <v>2</v>
      </c>
      <c r="CU764">
        <v>0</v>
      </c>
      <c r="CV764">
        <v>4</v>
      </c>
      <c r="CW764" t="s">
        <v>120</v>
      </c>
      <c r="CX764">
        <v>257</v>
      </c>
      <c r="CY764">
        <v>1</v>
      </c>
      <c r="CZ764" t="s">
        <v>615</v>
      </c>
      <c r="DA764" t="s">
        <v>616</v>
      </c>
      <c r="DD764">
        <v>10961303</v>
      </c>
      <c r="DE764" t="s">
        <v>123</v>
      </c>
    </row>
    <row r="765" spans="1:109" x14ac:dyDescent="0.3">
      <c r="A765" t="str">
        <f>"18:47:23.336"</f>
        <v>18:47:23.336</v>
      </c>
      <c r="B765" t="s">
        <v>110</v>
      </c>
      <c r="C765" t="str">
        <f t="shared" si="33"/>
        <v>ffdfd3c0</v>
      </c>
      <c r="D765" t="s">
        <v>111</v>
      </c>
      <c r="E765">
        <v>18</v>
      </c>
      <c r="F765">
        <v>1018</v>
      </c>
      <c r="G765" t="s">
        <v>112</v>
      </c>
      <c r="J765" t="s">
        <v>113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R765" t="s">
        <v>114</v>
      </c>
      <c r="S765" t="str">
        <f>"18:47:23.109"</f>
        <v>18:47:23.109</v>
      </c>
      <c r="T765" t="str">
        <f>"18:47:23.008"</f>
        <v>18:47:23.008</v>
      </c>
      <c r="U765" t="str">
        <f t="shared" si="34"/>
        <v>a1cdbe</v>
      </c>
      <c r="V765">
        <v>0</v>
      </c>
      <c r="W765">
        <v>0</v>
      </c>
      <c r="X765">
        <v>1</v>
      </c>
      <c r="Y765">
        <v>0</v>
      </c>
      <c r="Z765">
        <v>0</v>
      </c>
      <c r="AB765">
        <v>0</v>
      </c>
      <c r="AC765">
        <v>9</v>
      </c>
      <c r="AD765">
        <v>3</v>
      </c>
      <c r="AE765">
        <v>0</v>
      </c>
      <c r="AF765">
        <v>9</v>
      </c>
      <c r="AG765" t="s">
        <v>158</v>
      </c>
      <c r="AH765">
        <v>0</v>
      </c>
      <c r="AI765">
        <v>3</v>
      </c>
      <c r="AJ765">
        <v>1</v>
      </c>
      <c r="AK765">
        <v>0</v>
      </c>
      <c r="AL765" t="s">
        <v>1600</v>
      </c>
      <c r="AM765">
        <v>46.87274</v>
      </c>
      <c r="AN765" t="s">
        <v>1601</v>
      </c>
      <c r="AO765">
        <v>-122.39945400000001</v>
      </c>
      <c r="AP765">
        <v>100</v>
      </c>
      <c r="AQ765">
        <v>1900</v>
      </c>
      <c r="AR765" t="s">
        <v>118</v>
      </c>
      <c r="AS765">
        <v>-55</v>
      </c>
      <c r="AT765">
        <v>-55</v>
      </c>
      <c r="AU765">
        <v>64</v>
      </c>
      <c r="BC765">
        <v>1200</v>
      </c>
      <c r="BD765">
        <v>1</v>
      </c>
      <c r="BE765" t="str">
        <f t="shared" si="35"/>
        <v xml:space="preserve">N215T   </v>
      </c>
      <c r="BF765">
        <v>1</v>
      </c>
      <c r="BH765">
        <v>0</v>
      </c>
      <c r="BI765">
        <v>0</v>
      </c>
      <c r="BJ765">
        <v>0</v>
      </c>
      <c r="BK765">
        <v>2275</v>
      </c>
      <c r="BL765">
        <v>375</v>
      </c>
      <c r="BM765" t="s">
        <v>119</v>
      </c>
      <c r="BN765">
        <v>1</v>
      </c>
      <c r="BO765">
        <v>1</v>
      </c>
      <c r="BP765">
        <v>1</v>
      </c>
      <c r="BQ765">
        <v>0</v>
      </c>
      <c r="BT765">
        <v>0</v>
      </c>
      <c r="BU765">
        <v>0</v>
      </c>
      <c r="BV765">
        <v>0</v>
      </c>
      <c r="CC765" t="str">
        <f>"18:47:23.117"</f>
        <v>18:47:23.117</v>
      </c>
      <c r="CD765" t="str">
        <f>"113830351"</f>
        <v>113830351</v>
      </c>
      <c r="CQ765">
        <v>0</v>
      </c>
      <c r="CR765">
        <v>2</v>
      </c>
      <c r="CS765">
        <v>0</v>
      </c>
      <c r="CT765">
        <v>2</v>
      </c>
      <c r="CU765">
        <v>0</v>
      </c>
      <c r="CV765">
        <v>4</v>
      </c>
      <c r="CW765" t="s">
        <v>120</v>
      </c>
      <c r="CX765">
        <v>257</v>
      </c>
      <c r="CY765">
        <v>1</v>
      </c>
      <c r="CZ765" t="s">
        <v>615</v>
      </c>
      <c r="DA765" t="s">
        <v>616</v>
      </c>
      <c r="DD765">
        <v>10962012</v>
      </c>
      <c r="DE765" t="s">
        <v>123</v>
      </c>
    </row>
    <row r="766" spans="1:109" x14ac:dyDescent="0.3">
      <c r="A766" t="str">
        <f>"18:47:24.297"</f>
        <v>18:47:24.297</v>
      </c>
      <c r="B766" t="s">
        <v>110</v>
      </c>
      <c r="C766" t="str">
        <f t="shared" si="33"/>
        <v>ffdfd3c0</v>
      </c>
      <c r="D766" t="s">
        <v>111</v>
      </c>
      <c r="E766">
        <v>18</v>
      </c>
      <c r="F766">
        <v>1018</v>
      </c>
      <c r="G766" t="s">
        <v>112</v>
      </c>
      <c r="J766" t="s">
        <v>113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R766" t="s">
        <v>114</v>
      </c>
      <c r="S766" t="str">
        <f>"18:47:24.055"</f>
        <v>18:47:24.055</v>
      </c>
      <c r="T766" t="str">
        <f>"18:47:23.555"</f>
        <v>18:47:23.555</v>
      </c>
      <c r="U766" t="str">
        <f t="shared" si="34"/>
        <v>a1cdbe</v>
      </c>
      <c r="V766">
        <v>0</v>
      </c>
      <c r="W766">
        <v>0</v>
      </c>
      <c r="X766">
        <v>1</v>
      </c>
      <c r="Y766">
        <v>0</v>
      </c>
      <c r="Z766">
        <v>0</v>
      </c>
      <c r="AB766">
        <v>0</v>
      </c>
      <c r="AC766">
        <v>9</v>
      </c>
      <c r="AD766">
        <v>3</v>
      </c>
      <c r="AE766">
        <v>0</v>
      </c>
      <c r="AF766">
        <v>9</v>
      </c>
      <c r="AG766" t="s">
        <v>158</v>
      </c>
      <c r="AH766">
        <v>0</v>
      </c>
      <c r="AI766">
        <v>3</v>
      </c>
      <c r="AJ766">
        <v>1</v>
      </c>
      <c r="AK766">
        <v>0</v>
      </c>
      <c r="AL766" t="s">
        <v>1602</v>
      </c>
      <c r="AM766">
        <v>46.872525000000003</v>
      </c>
      <c r="AN766" t="s">
        <v>1603</v>
      </c>
      <c r="AO766">
        <v>-122.399776</v>
      </c>
      <c r="AP766">
        <v>100</v>
      </c>
      <c r="AQ766">
        <v>1900</v>
      </c>
      <c r="AR766" t="s">
        <v>118</v>
      </c>
      <c r="AS766">
        <v>-55</v>
      </c>
      <c r="AT766">
        <v>-54</v>
      </c>
      <c r="AU766">
        <v>0</v>
      </c>
      <c r="BC766">
        <v>1200</v>
      </c>
      <c r="BD766">
        <v>1</v>
      </c>
      <c r="BE766" t="str">
        <f t="shared" si="35"/>
        <v xml:space="preserve">N215T   </v>
      </c>
      <c r="BF766">
        <v>1</v>
      </c>
      <c r="BH766">
        <v>0</v>
      </c>
      <c r="BI766">
        <v>0</v>
      </c>
      <c r="BJ766">
        <v>0</v>
      </c>
      <c r="BK766">
        <v>2275</v>
      </c>
      <c r="BL766">
        <v>375</v>
      </c>
      <c r="BM766" t="s">
        <v>119</v>
      </c>
      <c r="BN766">
        <v>1</v>
      </c>
      <c r="BO766">
        <v>1</v>
      </c>
      <c r="BP766">
        <v>1</v>
      </c>
      <c r="BQ766">
        <v>0</v>
      </c>
      <c r="BT766">
        <v>0</v>
      </c>
      <c r="BU766">
        <v>0</v>
      </c>
      <c r="BV766">
        <v>0</v>
      </c>
      <c r="CC766" t="str">
        <f>"18:47:24.063"</f>
        <v>18:47:24.063</v>
      </c>
      <c r="CD766" t="str">
        <f>"058737190"</f>
        <v>058737190</v>
      </c>
      <c r="CQ766">
        <v>0</v>
      </c>
      <c r="CR766">
        <v>2</v>
      </c>
      <c r="CS766">
        <v>0</v>
      </c>
      <c r="CT766">
        <v>2</v>
      </c>
      <c r="CU766">
        <v>0</v>
      </c>
      <c r="CV766">
        <v>4</v>
      </c>
      <c r="CW766" t="s">
        <v>120</v>
      </c>
      <c r="CX766">
        <v>257</v>
      </c>
      <c r="CY766">
        <v>1</v>
      </c>
      <c r="CZ766" t="s">
        <v>615</v>
      </c>
      <c r="DA766" t="s">
        <v>616</v>
      </c>
      <c r="DD766">
        <v>10962657</v>
      </c>
      <c r="DE766" t="s">
        <v>123</v>
      </c>
    </row>
    <row r="767" spans="1:109" x14ac:dyDescent="0.3">
      <c r="A767" t="str">
        <f>"18:47:25.297"</f>
        <v>18:47:25.297</v>
      </c>
      <c r="B767" t="s">
        <v>110</v>
      </c>
      <c r="C767" t="str">
        <f t="shared" si="33"/>
        <v>ffdfd3c0</v>
      </c>
      <c r="D767" t="s">
        <v>111</v>
      </c>
      <c r="E767">
        <v>18</v>
      </c>
      <c r="F767">
        <v>1018</v>
      </c>
      <c r="G767" t="s">
        <v>112</v>
      </c>
      <c r="J767" t="s">
        <v>113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R767" t="s">
        <v>114</v>
      </c>
      <c r="S767" t="str">
        <f>"18:47:25.063"</f>
        <v>18:47:25.063</v>
      </c>
      <c r="T767" t="str">
        <f>"18:47:24.664"</f>
        <v>18:47:24.664</v>
      </c>
      <c r="U767" t="str">
        <f t="shared" si="34"/>
        <v>a1cdbe</v>
      </c>
      <c r="V767">
        <v>0</v>
      </c>
      <c r="W767">
        <v>0</v>
      </c>
      <c r="X767">
        <v>1</v>
      </c>
      <c r="Y767">
        <v>0</v>
      </c>
      <c r="Z767">
        <v>0</v>
      </c>
      <c r="AB767">
        <v>0</v>
      </c>
      <c r="AC767">
        <v>9</v>
      </c>
      <c r="AD767">
        <v>3</v>
      </c>
      <c r="AE767">
        <v>0</v>
      </c>
      <c r="AF767">
        <v>9</v>
      </c>
      <c r="AG767" t="s">
        <v>158</v>
      </c>
      <c r="AH767">
        <v>0</v>
      </c>
      <c r="AI767">
        <v>3</v>
      </c>
      <c r="AJ767">
        <v>1</v>
      </c>
      <c r="AK767">
        <v>0</v>
      </c>
      <c r="AL767" t="s">
        <v>1604</v>
      </c>
      <c r="AM767">
        <v>46.872289000000002</v>
      </c>
      <c r="AN767" t="s">
        <v>1605</v>
      </c>
      <c r="AO767">
        <v>-122.40016199999999</v>
      </c>
      <c r="AP767">
        <v>100</v>
      </c>
      <c r="AQ767">
        <v>1900</v>
      </c>
      <c r="AR767" t="s">
        <v>118</v>
      </c>
      <c r="AS767">
        <v>-55</v>
      </c>
      <c r="AT767">
        <v>-54</v>
      </c>
      <c r="AU767">
        <v>0</v>
      </c>
      <c r="BC767">
        <v>1200</v>
      </c>
      <c r="BD767">
        <v>1</v>
      </c>
      <c r="BE767" t="str">
        <f t="shared" si="35"/>
        <v xml:space="preserve">N215T   </v>
      </c>
      <c r="BF767">
        <v>1</v>
      </c>
      <c r="BH767">
        <v>0</v>
      </c>
      <c r="BI767">
        <v>0</v>
      </c>
      <c r="BJ767">
        <v>0</v>
      </c>
      <c r="BK767">
        <v>2275</v>
      </c>
      <c r="BL767">
        <v>375</v>
      </c>
      <c r="BM767" t="s">
        <v>119</v>
      </c>
      <c r="BN767">
        <v>1</v>
      </c>
      <c r="BO767">
        <v>1</v>
      </c>
      <c r="BP767">
        <v>1</v>
      </c>
      <c r="BQ767">
        <v>0</v>
      </c>
      <c r="BT767">
        <v>0</v>
      </c>
      <c r="BU767">
        <v>0</v>
      </c>
      <c r="BV767">
        <v>0</v>
      </c>
      <c r="CC767" t="str">
        <f>"18:47:25.063"</f>
        <v>18:47:25.063</v>
      </c>
      <c r="CD767" t="str">
        <f>"063457011"</f>
        <v>063457011</v>
      </c>
      <c r="CQ767">
        <v>0</v>
      </c>
      <c r="CR767">
        <v>2</v>
      </c>
      <c r="CS767">
        <v>0</v>
      </c>
      <c r="CT767">
        <v>2</v>
      </c>
      <c r="CU767">
        <v>0</v>
      </c>
      <c r="CV767">
        <v>3</v>
      </c>
      <c r="CW767" t="s">
        <v>172</v>
      </c>
      <c r="CX767">
        <v>326</v>
      </c>
      <c r="CY767">
        <v>0</v>
      </c>
      <c r="CZ767" t="s">
        <v>173</v>
      </c>
      <c r="DA767" t="s">
        <v>174</v>
      </c>
      <c r="DD767">
        <v>6003074</v>
      </c>
      <c r="DE767" t="s">
        <v>123</v>
      </c>
    </row>
    <row r="768" spans="1:109" x14ac:dyDescent="0.3">
      <c r="A768" t="str">
        <f>"18:47:26.406"</f>
        <v>18:47:26.406</v>
      </c>
      <c r="B768" t="s">
        <v>110</v>
      </c>
      <c r="C768" t="str">
        <f t="shared" si="33"/>
        <v>ffdfd3c0</v>
      </c>
      <c r="D768" t="s">
        <v>111</v>
      </c>
      <c r="E768">
        <v>18</v>
      </c>
      <c r="F768">
        <v>1018</v>
      </c>
      <c r="G768" t="s">
        <v>112</v>
      </c>
      <c r="J768" t="s">
        <v>113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R768" t="s">
        <v>114</v>
      </c>
      <c r="S768" t="str">
        <f>"18:47:26.188"</f>
        <v>18:47:26.188</v>
      </c>
      <c r="T768" t="str">
        <f>"18:47:25.984"</f>
        <v>18:47:25.984</v>
      </c>
      <c r="U768" t="str">
        <f t="shared" si="34"/>
        <v>a1cdbe</v>
      </c>
      <c r="V768">
        <v>0</v>
      </c>
      <c r="W768">
        <v>0</v>
      </c>
      <c r="X768">
        <v>1</v>
      </c>
      <c r="Y768">
        <v>0</v>
      </c>
      <c r="Z768">
        <v>0</v>
      </c>
      <c r="AB768">
        <v>0</v>
      </c>
      <c r="AC768">
        <v>9</v>
      </c>
      <c r="AD768">
        <v>3</v>
      </c>
      <c r="AE768">
        <v>0</v>
      </c>
      <c r="AF768">
        <v>9</v>
      </c>
      <c r="AG768" t="s">
        <v>158</v>
      </c>
      <c r="AH768">
        <v>0</v>
      </c>
      <c r="AI768">
        <v>3</v>
      </c>
      <c r="AJ768">
        <v>1</v>
      </c>
      <c r="AK768">
        <v>0</v>
      </c>
      <c r="AL768" t="s">
        <v>1606</v>
      </c>
      <c r="AM768">
        <v>46.872010000000003</v>
      </c>
      <c r="AN768" t="s">
        <v>1607</v>
      </c>
      <c r="AO768">
        <v>-122.40059100000001</v>
      </c>
      <c r="AP768">
        <v>100</v>
      </c>
      <c r="AQ768">
        <v>1900</v>
      </c>
      <c r="AR768" t="s">
        <v>118</v>
      </c>
      <c r="AS768">
        <v>-54</v>
      </c>
      <c r="AT768">
        <v>-55</v>
      </c>
      <c r="AU768">
        <v>-64</v>
      </c>
      <c r="BC768">
        <v>1200</v>
      </c>
      <c r="BD768">
        <v>1</v>
      </c>
      <c r="BE768" t="str">
        <f t="shared" si="35"/>
        <v xml:space="preserve">N215T   </v>
      </c>
      <c r="BF768">
        <v>1</v>
      </c>
      <c r="BH768">
        <v>0</v>
      </c>
      <c r="BI768">
        <v>0</v>
      </c>
      <c r="BJ768">
        <v>0</v>
      </c>
      <c r="BK768">
        <v>2275</v>
      </c>
      <c r="BL768">
        <v>375</v>
      </c>
      <c r="BM768" t="s">
        <v>119</v>
      </c>
      <c r="BN768">
        <v>1</v>
      </c>
      <c r="BO768">
        <v>1</v>
      </c>
      <c r="BP768">
        <v>1</v>
      </c>
      <c r="BQ768">
        <v>0</v>
      </c>
      <c r="BT768">
        <v>0</v>
      </c>
      <c r="BU768">
        <v>0</v>
      </c>
      <c r="BV768">
        <v>0</v>
      </c>
      <c r="CC768" t="str">
        <f>"18:47:26.188"</f>
        <v>18:47:26.188</v>
      </c>
      <c r="CD768" t="str">
        <f>"188380731"</f>
        <v>188380731</v>
      </c>
      <c r="CQ768">
        <v>0</v>
      </c>
      <c r="CR768">
        <v>2</v>
      </c>
      <c r="CS768">
        <v>0</v>
      </c>
      <c r="CT768">
        <v>2</v>
      </c>
      <c r="CU768">
        <v>0</v>
      </c>
      <c r="CV768">
        <v>4</v>
      </c>
      <c r="CW768" t="s">
        <v>120</v>
      </c>
      <c r="CX768">
        <v>261</v>
      </c>
      <c r="CY768">
        <v>2</v>
      </c>
      <c r="CZ768" t="s">
        <v>121</v>
      </c>
      <c r="DA768" t="s">
        <v>122</v>
      </c>
      <c r="DD768">
        <v>14653208</v>
      </c>
      <c r="DE768" t="s">
        <v>123</v>
      </c>
    </row>
    <row r="769" spans="1:109" x14ac:dyDescent="0.3">
      <c r="A769" t="str">
        <f>"18:47:27.359"</f>
        <v>18:47:27.359</v>
      </c>
      <c r="B769" t="s">
        <v>110</v>
      </c>
      <c r="C769" t="str">
        <f t="shared" si="33"/>
        <v>ffdfd3c0</v>
      </c>
      <c r="D769" t="s">
        <v>111</v>
      </c>
      <c r="E769">
        <v>18</v>
      </c>
      <c r="F769">
        <v>1018</v>
      </c>
      <c r="G769" t="s">
        <v>112</v>
      </c>
      <c r="J769" t="s">
        <v>113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R769" t="s">
        <v>114</v>
      </c>
      <c r="S769" t="str">
        <f>"18:47:27.133"</f>
        <v>18:47:27.133</v>
      </c>
      <c r="T769" t="str">
        <f>"18:47:26.930"</f>
        <v>18:47:26.930</v>
      </c>
      <c r="U769" t="str">
        <f t="shared" si="34"/>
        <v>a1cdbe</v>
      </c>
      <c r="V769">
        <v>0</v>
      </c>
      <c r="W769">
        <v>0</v>
      </c>
      <c r="X769">
        <v>1</v>
      </c>
      <c r="Y769">
        <v>0</v>
      </c>
      <c r="Z769">
        <v>0</v>
      </c>
      <c r="AB769">
        <v>0</v>
      </c>
      <c r="AC769">
        <v>9</v>
      </c>
      <c r="AD769">
        <v>3</v>
      </c>
      <c r="AE769">
        <v>0</v>
      </c>
      <c r="AF769">
        <v>9</v>
      </c>
      <c r="AG769" t="s">
        <v>158</v>
      </c>
      <c r="AH769">
        <v>0</v>
      </c>
      <c r="AI769">
        <v>3</v>
      </c>
      <c r="AJ769">
        <v>1</v>
      </c>
      <c r="AK769">
        <v>0</v>
      </c>
      <c r="AL769" t="s">
        <v>1608</v>
      </c>
      <c r="AM769">
        <v>46.871730999999997</v>
      </c>
      <c r="AN769" t="s">
        <v>1609</v>
      </c>
      <c r="AO769">
        <v>-122.40087</v>
      </c>
      <c r="AP769">
        <v>100</v>
      </c>
      <c r="AQ769">
        <v>1900</v>
      </c>
      <c r="AR769" t="s">
        <v>118</v>
      </c>
      <c r="AS769">
        <v>-54</v>
      </c>
      <c r="AT769">
        <v>-55</v>
      </c>
      <c r="AU769">
        <v>-64</v>
      </c>
      <c r="BC769">
        <v>1200</v>
      </c>
      <c r="BD769">
        <v>1</v>
      </c>
      <c r="BE769" t="str">
        <f t="shared" si="35"/>
        <v xml:space="preserve">N215T   </v>
      </c>
      <c r="BF769">
        <v>1</v>
      </c>
      <c r="BH769">
        <v>0</v>
      </c>
      <c r="BI769">
        <v>0</v>
      </c>
      <c r="BJ769">
        <v>0</v>
      </c>
      <c r="BK769">
        <v>2275</v>
      </c>
      <c r="BL769">
        <v>375</v>
      </c>
      <c r="BM769" t="s">
        <v>119</v>
      </c>
      <c r="BN769">
        <v>1</v>
      </c>
      <c r="BO769">
        <v>1</v>
      </c>
      <c r="BP769">
        <v>1</v>
      </c>
      <c r="BQ769">
        <v>0</v>
      </c>
      <c r="BT769">
        <v>0</v>
      </c>
      <c r="BU769">
        <v>0</v>
      </c>
      <c r="BV769">
        <v>0</v>
      </c>
      <c r="CC769" t="str">
        <f>"18:47:27.133"</f>
        <v>18:47:27.133</v>
      </c>
      <c r="CD769" t="str">
        <f>"133253435"</f>
        <v>133253435</v>
      </c>
      <c r="CQ769">
        <v>0</v>
      </c>
      <c r="CR769">
        <v>2</v>
      </c>
      <c r="CS769">
        <v>0</v>
      </c>
      <c r="CT769">
        <v>2</v>
      </c>
      <c r="CU769">
        <v>0</v>
      </c>
      <c r="CV769">
        <v>3</v>
      </c>
      <c r="CW769" t="s">
        <v>172</v>
      </c>
      <c r="CX769">
        <v>326</v>
      </c>
      <c r="CY769">
        <v>0</v>
      </c>
      <c r="CZ769" t="s">
        <v>173</v>
      </c>
      <c r="DA769" t="s">
        <v>174</v>
      </c>
      <c r="DD769">
        <v>6004268</v>
      </c>
      <c r="DE769" t="s">
        <v>123</v>
      </c>
    </row>
    <row r="770" spans="1:109" x14ac:dyDescent="0.3">
      <c r="A770" t="str">
        <f>"18:47:28.469"</f>
        <v>18:47:28.469</v>
      </c>
      <c r="B770" t="s">
        <v>110</v>
      </c>
      <c r="C770" t="str">
        <f t="shared" ref="C770:C833" si="36">"ffdfd3c0"</f>
        <v>ffdfd3c0</v>
      </c>
      <c r="D770" t="s">
        <v>111</v>
      </c>
      <c r="E770">
        <v>18</v>
      </c>
      <c r="F770">
        <v>1018</v>
      </c>
      <c r="G770" t="s">
        <v>112</v>
      </c>
      <c r="J770" t="s">
        <v>113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R770" t="s">
        <v>114</v>
      </c>
      <c r="S770" t="str">
        <f>"18:47:28.258"</f>
        <v>18:47:28.258</v>
      </c>
      <c r="T770" t="str">
        <f>"18:47:28.055"</f>
        <v>18:47:28.055</v>
      </c>
      <c r="U770" t="str">
        <f t="shared" ref="U770:U833" si="37">"a1cdbe"</f>
        <v>a1cdbe</v>
      </c>
      <c r="V770">
        <v>0</v>
      </c>
      <c r="W770">
        <v>0</v>
      </c>
      <c r="X770">
        <v>1</v>
      </c>
      <c r="Y770">
        <v>0</v>
      </c>
      <c r="Z770">
        <v>0</v>
      </c>
      <c r="AB770">
        <v>0</v>
      </c>
      <c r="AC770">
        <v>9</v>
      </c>
      <c r="AD770">
        <v>3</v>
      </c>
      <c r="AE770">
        <v>0</v>
      </c>
      <c r="AF770">
        <v>9</v>
      </c>
      <c r="AG770" t="s">
        <v>158</v>
      </c>
      <c r="AH770">
        <v>0</v>
      </c>
      <c r="AI770">
        <v>3</v>
      </c>
      <c r="AJ770">
        <v>1</v>
      </c>
      <c r="AK770">
        <v>0</v>
      </c>
      <c r="AL770" t="s">
        <v>1610</v>
      </c>
      <c r="AM770">
        <v>46.871495000000003</v>
      </c>
      <c r="AN770" t="s">
        <v>1611</v>
      </c>
      <c r="AO770">
        <v>-122.401278</v>
      </c>
      <c r="AP770">
        <v>100</v>
      </c>
      <c r="AQ770">
        <v>1900</v>
      </c>
      <c r="AR770" t="s">
        <v>118</v>
      </c>
      <c r="AS770">
        <v>-55</v>
      </c>
      <c r="AT770">
        <v>-54</v>
      </c>
      <c r="AU770">
        <v>128</v>
      </c>
      <c r="BC770">
        <v>1200</v>
      </c>
      <c r="BD770">
        <v>1</v>
      </c>
      <c r="BE770" t="str">
        <f t="shared" ref="BE770:BE833" si="38">"N215T   "</f>
        <v xml:space="preserve">N215T   </v>
      </c>
      <c r="BF770">
        <v>1</v>
      </c>
      <c r="BH770">
        <v>0</v>
      </c>
      <c r="BI770">
        <v>0</v>
      </c>
      <c r="BJ770">
        <v>0</v>
      </c>
      <c r="BK770">
        <v>2275</v>
      </c>
      <c r="BL770">
        <v>375</v>
      </c>
      <c r="BM770" t="s">
        <v>119</v>
      </c>
      <c r="BN770">
        <v>1</v>
      </c>
      <c r="BO770">
        <v>1</v>
      </c>
      <c r="BP770">
        <v>1</v>
      </c>
      <c r="BQ770">
        <v>0</v>
      </c>
      <c r="BT770">
        <v>0</v>
      </c>
      <c r="BU770">
        <v>0</v>
      </c>
      <c r="BV770">
        <v>0</v>
      </c>
      <c r="CC770" t="str">
        <f>"18:47:28.258"</f>
        <v>18:47:28.258</v>
      </c>
      <c r="CD770" t="str">
        <f>"258177046"</f>
        <v>258177046</v>
      </c>
      <c r="CQ770">
        <v>0</v>
      </c>
      <c r="CR770">
        <v>2</v>
      </c>
      <c r="CS770">
        <v>0</v>
      </c>
      <c r="CT770">
        <v>2</v>
      </c>
      <c r="CU770">
        <v>0</v>
      </c>
      <c r="CV770">
        <v>4</v>
      </c>
      <c r="CW770" t="s">
        <v>120</v>
      </c>
      <c r="CX770">
        <v>261</v>
      </c>
      <c r="CY770">
        <v>2</v>
      </c>
      <c r="CZ770" t="s">
        <v>121</v>
      </c>
      <c r="DA770" t="s">
        <v>122</v>
      </c>
      <c r="DD770">
        <v>14654350</v>
      </c>
      <c r="DE770" t="s">
        <v>123</v>
      </c>
    </row>
    <row r="771" spans="1:109" x14ac:dyDescent="0.3">
      <c r="A771" t="str">
        <f>"18:47:29.523"</f>
        <v>18:47:29.523</v>
      </c>
      <c r="B771" t="s">
        <v>110</v>
      </c>
      <c r="C771" t="str">
        <f t="shared" si="36"/>
        <v>ffdfd3c0</v>
      </c>
      <c r="D771" t="s">
        <v>111</v>
      </c>
      <c r="E771">
        <v>18</v>
      </c>
      <c r="F771">
        <v>1018</v>
      </c>
      <c r="G771" t="s">
        <v>112</v>
      </c>
      <c r="J771" t="s">
        <v>113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R771" t="s">
        <v>114</v>
      </c>
      <c r="S771" t="str">
        <f>"18:47:29.289"</f>
        <v>18:47:29.289</v>
      </c>
      <c r="T771" t="str">
        <f>"18:47:28.992"</f>
        <v>18:47:28.992</v>
      </c>
      <c r="U771" t="str">
        <f t="shared" si="37"/>
        <v>a1cdbe</v>
      </c>
      <c r="V771">
        <v>0</v>
      </c>
      <c r="W771">
        <v>0</v>
      </c>
      <c r="X771">
        <v>1</v>
      </c>
      <c r="Y771">
        <v>0</v>
      </c>
      <c r="Z771">
        <v>0</v>
      </c>
      <c r="AB771">
        <v>0</v>
      </c>
      <c r="AC771">
        <v>9</v>
      </c>
      <c r="AD771">
        <v>3</v>
      </c>
      <c r="AE771">
        <v>0</v>
      </c>
      <c r="AF771">
        <v>9</v>
      </c>
      <c r="AG771" t="s">
        <v>158</v>
      </c>
      <c r="AH771">
        <v>0</v>
      </c>
      <c r="AI771">
        <v>3</v>
      </c>
      <c r="AJ771">
        <v>1</v>
      </c>
      <c r="AK771">
        <v>0</v>
      </c>
      <c r="AL771" t="s">
        <v>1612</v>
      </c>
      <c r="AM771">
        <v>46.871195</v>
      </c>
      <c r="AN771" t="s">
        <v>1613</v>
      </c>
      <c r="AO771">
        <v>-122.401707</v>
      </c>
      <c r="AP771">
        <v>100</v>
      </c>
      <c r="AQ771">
        <v>1900</v>
      </c>
      <c r="AR771" t="s">
        <v>118</v>
      </c>
      <c r="AS771">
        <v>-55</v>
      </c>
      <c r="AT771">
        <v>-54</v>
      </c>
      <c r="AU771">
        <v>-64</v>
      </c>
      <c r="BC771">
        <v>1200</v>
      </c>
      <c r="BD771">
        <v>1</v>
      </c>
      <c r="BE771" t="str">
        <f t="shared" si="38"/>
        <v xml:space="preserve">N215T   </v>
      </c>
      <c r="BF771">
        <v>1</v>
      </c>
      <c r="BH771">
        <v>0</v>
      </c>
      <c r="BI771">
        <v>0</v>
      </c>
      <c r="BJ771">
        <v>0</v>
      </c>
      <c r="BK771">
        <v>2275</v>
      </c>
      <c r="BL771">
        <v>375</v>
      </c>
      <c r="BM771" t="s">
        <v>119</v>
      </c>
      <c r="BN771">
        <v>1</v>
      </c>
      <c r="BO771">
        <v>1</v>
      </c>
      <c r="BP771">
        <v>1</v>
      </c>
      <c r="BQ771">
        <v>0</v>
      </c>
      <c r="BT771">
        <v>0</v>
      </c>
      <c r="BU771">
        <v>0</v>
      </c>
      <c r="BV771">
        <v>0</v>
      </c>
      <c r="CC771" t="str">
        <f>"18:47:29.297"</f>
        <v>18:47:29.297</v>
      </c>
      <c r="CD771" t="str">
        <f>"293075195"</f>
        <v>293075195</v>
      </c>
      <c r="CQ771">
        <v>0</v>
      </c>
      <c r="CR771">
        <v>2</v>
      </c>
      <c r="CS771">
        <v>0</v>
      </c>
      <c r="CT771">
        <v>2</v>
      </c>
      <c r="CU771">
        <v>0</v>
      </c>
      <c r="CV771">
        <v>3</v>
      </c>
      <c r="CW771" t="s">
        <v>120</v>
      </c>
      <c r="CX771">
        <v>261</v>
      </c>
      <c r="CY771">
        <v>2</v>
      </c>
      <c r="CZ771" t="s">
        <v>121</v>
      </c>
      <c r="DA771" t="s">
        <v>122</v>
      </c>
      <c r="DD771">
        <v>14654954</v>
      </c>
      <c r="DE771" t="s">
        <v>123</v>
      </c>
    </row>
    <row r="772" spans="1:109" x14ac:dyDescent="0.3">
      <c r="A772" t="str">
        <f>"18:47:30.375"</f>
        <v>18:47:30.375</v>
      </c>
      <c r="B772" t="s">
        <v>110</v>
      </c>
      <c r="C772" t="str">
        <f t="shared" si="36"/>
        <v>ffdfd3c0</v>
      </c>
      <c r="D772" t="s">
        <v>111</v>
      </c>
      <c r="E772">
        <v>18</v>
      </c>
      <c r="F772">
        <v>1018</v>
      </c>
      <c r="G772" t="s">
        <v>112</v>
      </c>
      <c r="J772" t="s">
        <v>113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R772" t="s">
        <v>114</v>
      </c>
      <c r="S772" t="str">
        <f>"18:47:30.172"</f>
        <v>18:47:30.172</v>
      </c>
      <c r="T772" t="str">
        <f>"18:47:30.070"</f>
        <v>18:47:30.070</v>
      </c>
      <c r="U772" t="str">
        <f t="shared" si="37"/>
        <v>a1cdbe</v>
      </c>
      <c r="V772">
        <v>0</v>
      </c>
      <c r="W772">
        <v>0</v>
      </c>
      <c r="X772">
        <v>1</v>
      </c>
      <c r="Y772">
        <v>0</v>
      </c>
      <c r="Z772">
        <v>0</v>
      </c>
      <c r="AB772">
        <v>0</v>
      </c>
      <c r="AC772">
        <v>9</v>
      </c>
      <c r="AD772">
        <v>3</v>
      </c>
      <c r="AE772">
        <v>0</v>
      </c>
      <c r="AF772">
        <v>9</v>
      </c>
      <c r="AG772" t="s">
        <v>158</v>
      </c>
      <c r="AH772">
        <v>0</v>
      </c>
      <c r="AI772">
        <v>3</v>
      </c>
      <c r="AJ772">
        <v>1</v>
      </c>
      <c r="AK772">
        <v>0</v>
      </c>
      <c r="AL772" t="s">
        <v>1614</v>
      </c>
      <c r="AM772">
        <v>46.871023000000001</v>
      </c>
      <c r="AN772" t="s">
        <v>1615</v>
      </c>
      <c r="AO772">
        <v>-122.40198599999999</v>
      </c>
      <c r="AP772">
        <v>100</v>
      </c>
      <c r="AQ772">
        <v>1900</v>
      </c>
      <c r="AR772" t="s">
        <v>118</v>
      </c>
      <c r="AS772">
        <v>-55</v>
      </c>
      <c r="AT772">
        <v>-54</v>
      </c>
      <c r="AU772">
        <v>-192</v>
      </c>
      <c r="BC772">
        <v>1200</v>
      </c>
      <c r="BD772">
        <v>1</v>
      </c>
      <c r="BE772" t="str">
        <f t="shared" si="38"/>
        <v xml:space="preserve">N215T   </v>
      </c>
      <c r="BF772">
        <v>1</v>
      </c>
      <c r="BH772">
        <v>0</v>
      </c>
      <c r="BI772">
        <v>0</v>
      </c>
      <c r="BJ772">
        <v>0</v>
      </c>
      <c r="BK772">
        <v>2275</v>
      </c>
      <c r="BL772">
        <v>375</v>
      </c>
      <c r="BM772" t="s">
        <v>119</v>
      </c>
      <c r="BN772">
        <v>1</v>
      </c>
      <c r="BO772">
        <v>1</v>
      </c>
      <c r="BP772">
        <v>1</v>
      </c>
      <c r="BQ772">
        <v>0</v>
      </c>
      <c r="BT772">
        <v>0</v>
      </c>
      <c r="BU772">
        <v>0</v>
      </c>
      <c r="BV772">
        <v>0</v>
      </c>
      <c r="CC772" t="str">
        <f>"18:47:30.180"</f>
        <v>18:47:30.180</v>
      </c>
      <c r="CD772" t="str">
        <f>"177988126"</f>
        <v>177988126</v>
      </c>
      <c r="CQ772">
        <v>0</v>
      </c>
      <c r="CR772">
        <v>2</v>
      </c>
      <c r="CS772">
        <v>0</v>
      </c>
      <c r="CT772">
        <v>2</v>
      </c>
      <c r="CU772">
        <v>0</v>
      </c>
      <c r="CV772">
        <v>4</v>
      </c>
      <c r="CW772" t="s">
        <v>120</v>
      </c>
      <c r="CX772">
        <v>261</v>
      </c>
      <c r="CY772">
        <v>2</v>
      </c>
      <c r="CZ772" t="s">
        <v>121</v>
      </c>
      <c r="DA772" t="s">
        <v>122</v>
      </c>
      <c r="DD772">
        <v>14655463</v>
      </c>
      <c r="DE772" t="s">
        <v>123</v>
      </c>
    </row>
    <row r="773" spans="1:109" x14ac:dyDescent="0.3">
      <c r="A773" t="str">
        <f>"18:47:31.336"</f>
        <v>18:47:31.336</v>
      </c>
      <c r="B773" t="s">
        <v>110</v>
      </c>
      <c r="C773" t="str">
        <f t="shared" si="36"/>
        <v>ffdfd3c0</v>
      </c>
      <c r="D773" t="s">
        <v>111</v>
      </c>
      <c r="E773">
        <v>18</v>
      </c>
      <c r="F773">
        <v>1018</v>
      </c>
      <c r="G773" t="s">
        <v>112</v>
      </c>
      <c r="J773" t="s">
        <v>113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R773" t="s">
        <v>114</v>
      </c>
      <c r="S773" t="str">
        <f>"18:47:31.086"</f>
        <v>18:47:31.086</v>
      </c>
      <c r="T773" t="str">
        <f>"18:47:30.688"</f>
        <v>18:47:30.688</v>
      </c>
      <c r="U773" t="str">
        <f t="shared" si="37"/>
        <v>a1cdbe</v>
      </c>
      <c r="V773">
        <v>0</v>
      </c>
      <c r="W773">
        <v>0</v>
      </c>
      <c r="X773">
        <v>1</v>
      </c>
      <c r="Y773">
        <v>0</v>
      </c>
      <c r="Z773">
        <v>0</v>
      </c>
      <c r="AB773">
        <v>0</v>
      </c>
      <c r="AC773">
        <v>9</v>
      </c>
      <c r="AD773">
        <v>3</v>
      </c>
      <c r="AE773">
        <v>0</v>
      </c>
      <c r="AF773">
        <v>9</v>
      </c>
      <c r="AG773" t="s">
        <v>158</v>
      </c>
      <c r="AH773">
        <v>0</v>
      </c>
      <c r="AI773">
        <v>3</v>
      </c>
      <c r="AJ773">
        <v>1</v>
      </c>
      <c r="AK773">
        <v>0</v>
      </c>
      <c r="AL773" t="s">
        <v>1616</v>
      </c>
      <c r="AM773">
        <v>46.870787</v>
      </c>
      <c r="AN773" t="s">
        <v>1617</v>
      </c>
      <c r="AO773">
        <v>-122.402351</v>
      </c>
      <c r="AP773">
        <v>100</v>
      </c>
      <c r="AQ773">
        <v>1900</v>
      </c>
      <c r="AR773" t="s">
        <v>118</v>
      </c>
      <c r="AS773">
        <v>-56</v>
      </c>
      <c r="AT773">
        <v>-53</v>
      </c>
      <c r="AU773">
        <v>-128</v>
      </c>
      <c r="BC773">
        <v>1200</v>
      </c>
      <c r="BD773">
        <v>1</v>
      </c>
      <c r="BE773" t="str">
        <f t="shared" si="38"/>
        <v xml:space="preserve">N215T   </v>
      </c>
      <c r="BF773">
        <v>1</v>
      </c>
      <c r="BH773">
        <v>0</v>
      </c>
      <c r="BI773">
        <v>0</v>
      </c>
      <c r="BJ773">
        <v>0</v>
      </c>
      <c r="BK773">
        <v>2275</v>
      </c>
      <c r="BL773">
        <v>375</v>
      </c>
      <c r="BM773" t="s">
        <v>119</v>
      </c>
      <c r="BN773">
        <v>1</v>
      </c>
      <c r="BO773">
        <v>1</v>
      </c>
      <c r="BP773">
        <v>1</v>
      </c>
      <c r="BQ773">
        <v>0</v>
      </c>
      <c r="BT773">
        <v>0</v>
      </c>
      <c r="BU773">
        <v>0</v>
      </c>
      <c r="BV773">
        <v>0</v>
      </c>
      <c r="CC773" t="str">
        <f>"18:47:31.094"</f>
        <v>18:47:31.094</v>
      </c>
      <c r="CD773" t="str">
        <f>"092863988"</f>
        <v>092863988</v>
      </c>
      <c r="CQ773">
        <v>0</v>
      </c>
      <c r="CR773">
        <v>2</v>
      </c>
      <c r="CS773">
        <v>0</v>
      </c>
      <c r="CT773">
        <v>2</v>
      </c>
      <c r="CU773">
        <v>0</v>
      </c>
      <c r="CV773">
        <v>4</v>
      </c>
      <c r="CW773" t="s">
        <v>172</v>
      </c>
      <c r="CX773">
        <v>326</v>
      </c>
      <c r="CY773">
        <v>0</v>
      </c>
      <c r="CZ773" t="s">
        <v>173</v>
      </c>
      <c r="DA773" t="s">
        <v>174</v>
      </c>
      <c r="DD773">
        <v>6006617</v>
      </c>
      <c r="DE773" t="s">
        <v>123</v>
      </c>
    </row>
    <row r="774" spans="1:109" x14ac:dyDescent="0.3">
      <c r="A774" t="str">
        <f>"18:47:32.188"</f>
        <v>18:47:32.188</v>
      </c>
      <c r="B774" t="s">
        <v>110</v>
      </c>
      <c r="C774" t="str">
        <f t="shared" si="36"/>
        <v>ffdfd3c0</v>
      </c>
      <c r="D774" t="s">
        <v>111</v>
      </c>
      <c r="E774">
        <v>18</v>
      </c>
      <c r="F774">
        <v>1018</v>
      </c>
      <c r="G774" t="s">
        <v>112</v>
      </c>
      <c r="J774" t="s">
        <v>113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R774" t="s">
        <v>114</v>
      </c>
      <c r="S774" t="str">
        <f>"18:47:31.992"</f>
        <v>18:47:31.992</v>
      </c>
      <c r="T774" t="str">
        <f>"18:47:31.594"</f>
        <v>18:47:31.594</v>
      </c>
      <c r="U774" t="str">
        <f t="shared" si="37"/>
        <v>a1cdbe</v>
      </c>
      <c r="V774">
        <v>0</v>
      </c>
      <c r="W774">
        <v>0</v>
      </c>
      <c r="X774">
        <v>1</v>
      </c>
      <c r="Y774">
        <v>0</v>
      </c>
      <c r="Z774">
        <v>0</v>
      </c>
      <c r="AB774">
        <v>0</v>
      </c>
      <c r="AC774">
        <v>9</v>
      </c>
      <c r="AD774">
        <v>3</v>
      </c>
      <c r="AE774">
        <v>0</v>
      </c>
      <c r="AF774">
        <v>9</v>
      </c>
      <c r="AG774" t="s">
        <v>158</v>
      </c>
      <c r="AH774">
        <v>0</v>
      </c>
      <c r="AI774">
        <v>3</v>
      </c>
      <c r="AJ774">
        <v>1</v>
      </c>
      <c r="AK774">
        <v>0</v>
      </c>
      <c r="AL774" t="s">
        <v>1618</v>
      </c>
      <c r="AM774">
        <v>46.870550999999999</v>
      </c>
      <c r="AN774" t="s">
        <v>1619</v>
      </c>
      <c r="AO774">
        <v>-122.40267299999999</v>
      </c>
      <c r="AP774">
        <v>100</v>
      </c>
      <c r="AQ774">
        <v>1900</v>
      </c>
      <c r="AR774" t="s">
        <v>118</v>
      </c>
      <c r="AS774">
        <v>-56</v>
      </c>
      <c r="AT774">
        <v>-53</v>
      </c>
      <c r="AU774">
        <v>-256</v>
      </c>
      <c r="BC774">
        <v>1200</v>
      </c>
      <c r="BD774">
        <v>1</v>
      </c>
      <c r="BE774" t="str">
        <f t="shared" si="38"/>
        <v xml:space="preserve">N215T   </v>
      </c>
      <c r="BF774">
        <v>1</v>
      </c>
      <c r="BH774">
        <v>0</v>
      </c>
      <c r="BI774">
        <v>0</v>
      </c>
      <c r="BJ774">
        <v>0</v>
      </c>
      <c r="BK774">
        <v>2275</v>
      </c>
      <c r="BL774">
        <v>375</v>
      </c>
      <c r="BM774" t="s">
        <v>119</v>
      </c>
      <c r="BN774">
        <v>1</v>
      </c>
      <c r="BO774">
        <v>1</v>
      </c>
      <c r="BP774">
        <v>1</v>
      </c>
      <c r="BQ774">
        <v>0</v>
      </c>
      <c r="BT774">
        <v>0</v>
      </c>
      <c r="BU774">
        <v>0</v>
      </c>
      <c r="BV774">
        <v>0</v>
      </c>
      <c r="CC774" t="str">
        <f>"18:47:31.992"</f>
        <v>18:47:31.992</v>
      </c>
      <c r="CD774" t="str">
        <f>"992775479"</f>
        <v>992775479</v>
      </c>
      <c r="CQ774">
        <v>0</v>
      </c>
      <c r="CR774">
        <v>2</v>
      </c>
      <c r="CS774">
        <v>0</v>
      </c>
      <c r="CT774">
        <v>2</v>
      </c>
      <c r="CU774">
        <v>0</v>
      </c>
      <c r="CV774">
        <v>4</v>
      </c>
      <c r="CW774" t="s">
        <v>172</v>
      </c>
      <c r="CX774">
        <v>326</v>
      </c>
      <c r="CY774">
        <v>0</v>
      </c>
      <c r="CZ774" t="s">
        <v>173</v>
      </c>
      <c r="DA774" t="s">
        <v>174</v>
      </c>
      <c r="DD774">
        <v>6007144</v>
      </c>
      <c r="DE774" t="s">
        <v>123</v>
      </c>
    </row>
    <row r="775" spans="1:109" x14ac:dyDescent="0.3">
      <c r="A775" t="str">
        <f>"18:47:33.344"</f>
        <v>18:47:33.344</v>
      </c>
      <c r="B775" t="s">
        <v>110</v>
      </c>
      <c r="C775" t="str">
        <f t="shared" si="36"/>
        <v>ffdfd3c0</v>
      </c>
      <c r="D775" t="s">
        <v>111</v>
      </c>
      <c r="E775">
        <v>18</v>
      </c>
      <c r="F775">
        <v>1018</v>
      </c>
      <c r="G775" t="s">
        <v>112</v>
      </c>
      <c r="J775" t="s">
        <v>113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R775" t="s">
        <v>114</v>
      </c>
      <c r="S775" t="str">
        <f>"18:47:33.070"</f>
        <v>18:47:33.070</v>
      </c>
      <c r="T775" t="str">
        <f>"18:47:33.070"</f>
        <v>18:47:33.070</v>
      </c>
      <c r="U775" t="str">
        <f t="shared" si="37"/>
        <v>a1cdbe</v>
      </c>
      <c r="V775">
        <v>0</v>
      </c>
      <c r="W775">
        <v>0</v>
      </c>
      <c r="X775">
        <v>1</v>
      </c>
      <c r="Y775">
        <v>0</v>
      </c>
      <c r="Z775">
        <v>0</v>
      </c>
      <c r="AB775">
        <v>0</v>
      </c>
      <c r="AC775">
        <v>9</v>
      </c>
      <c r="AD775">
        <v>3</v>
      </c>
      <c r="AE775">
        <v>0</v>
      </c>
      <c r="AF775">
        <v>9</v>
      </c>
      <c r="AG775" t="s">
        <v>158</v>
      </c>
      <c r="AH775">
        <v>0</v>
      </c>
      <c r="AI775">
        <v>3</v>
      </c>
      <c r="AJ775">
        <v>1</v>
      </c>
      <c r="AK775">
        <v>0</v>
      </c>
      <c r="AL775" t="s">
        <v>1620</v>
      </c>
      <c r="AM775">
        <v>46.870272</v>
      </c>
      <c r="AN775" t="s">
        <v>1621</v>
      </c>
      <c r="AO775">
        <v>-122.40312299999999</v>
      </c>
      <c r="AP775">
        <v>100</v>
      </c>
      <c r="AQ775">
        <v>1900</v>
      </c>
      <c r="AR775" t="s">
        <v>118</v>
      </c>
      <c r="AS775">
        <v>-57</v>
      </c>
      <c r="AT775">
        <v>-51</v>
      </c>
      <c r="AU775">
        <v>-192</v>
      </c>
      <c r="BC775">
        <v>1200</v>
      </c>
      <c r="BD775">
        <v>1</v>
      </c>
      <c r="BE775" t="str">
        <f t="shared" si="38"/>
        <v xml:space="preserve">N215T   </v>
      </c>
      <c r="BF775">
        <v>1</v>
      </c>
      <c r="BH775">
        <v>0</v>
      </c>
      <c r="BI775">
        <v>0</v>
      </c>
      <c r="BJ775">
        <v>0</v>
      </c>
      <c r="BK775">
        <v>2250</v>
      </c>
      <c r="BL775">
        <v>350</v>
      </c>
      <c r="BM775" t="s">
        <v>119</v>
      </c>
      <c r="BN775">
        <v>1</v>
      </c>
      <c r="BO775">
        <v>1</v>
      </c>
      <c r="BP775">
        <v>1</v>
      </c>
      <c r="BQ775">
        <v>0</v>
      </c>
      <c r="BT775">
        <v>0</v>
      </c>
      <c r="BU775">
        <v>0</v>
      </c>
      <c r="BV775">
        <v>0</v>
      </c>
      <c r="CC775" t="str">
        <f>"18:47:33.070"</f>
        <v>18:47:33.070</v>
      </c>
      <c r="CD775" t="str">
        <f>"072848537"</f>
        <v>072848537</v>
      </c>
      <c r="CQ775">
        <v>0</v>
      </c>
      <c r="CR775">
        <v>2</v>
      </c>
      <c r="CS775">
        <v>0</v>
      </c>
      <c r="CT775">
        <v>2</v>
      </c>
      <c r="CU775">
        <v>0</v>
      </c>
      <c r="CV775">
        <v>4</v>
      </c>
      <c r="CW775" t="s">
        <v>120</v>
      </c>
      <c r="CX775">
        <v>257</v>
      </c>
      <c r="CY775">
        <v>1</v>
      </c>
      <c r="CZ775" t="s">
        <v>615</v>
      </c>
      <c r="DA775" t="s">
        <v>616</v>
      </c>
      <c r="DD775">
        <v>10968775</v>
      </c>
      <c r="DE775" t="s">
        <v>123</v>
      </c>
    </row>
    <row r="776" spans="1:109" x14ac:dyDescent="0.3">
      <c r="A776" t="str">
        <f>"18:47:34.297"</f>
        <v>18:47:34.297</v>
      </c>
      <c r="B776" t="s">
        <v>110</v>
      </c>
      <c r="C776" t="str">
        <f t="shared" si="36"/>
        <v>ffdfd3c0</v>
      </c>
      <c r="D776" t="s">
        <v>111</v>
      </c>
      <c r="E776">
        <v>18</v>
      </c>
      <c r="F776">
        <v>1018</v>
      </c>
      <c r="G776" t="s">
        <v>112</v>
      </c>
      <c r="J776" t="s">
        <v>113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R776" t="s">
        <v>114</v>
      </c>
      <c r="S776" t="str">
        <f>"18:47:34.063"</f>
        <v>18:47:34.063</v>
      </c>
      <c r="T776" t="str">
        <f>"18:47:33.563"</f>
        <v>18:47:33.563</v>
      </c>
      <c r="U776" t="str">
        <f t="shared" si="37"/>
        <v>a1cdbe</v>
      </c>
      <c r="V776">
        <v>0</v>
      </c>
      <c r="W776">
        <v>0</v>
      </c>
      <c r="X776">
        <v>1</v>
      </c>
      <c r="Y776">
        <v>0</v>
      </c>
      <c r="Z776">
        <v>0</v>
      </c>
      <c r="AB776">
        <v>0</v>
      </c>
      <c r="AC776">
        <v>9</v>
      </c>
      <c r="AD776">
        <v>3</v>
      </c>
      <c r="AE776">
        <v>0</v>
      </c>
      <c r="AF776">
        <v>9</v>
      </c>
      <c r="AG776" t="s">
        <v>158</v>
      </c>
      <c r="AH776">
        <v>0</v>
      </c>
      <c r="AI776">
        <v>3</v>
      </c>
      <c r="AJ776">
        <v>1</v>
      </c>
      <c r="AK776">
        <v>0</v>
      </c>
      <c r="AL776" t="s">
        <v>1622</v>
      </c>
      <c r="AM776">
        <v>46.870058</v>
      </c>
      <c r="AN776" t="s">
        <v>1623</v>
      </c>
      <c r="AO776">
        <v>-122.403488</v>
      </c>
      <c r="AP776">
        <v>100</v>
      </c>
      <c r="AQ776">
        <v>1900</v>
      </c>
      <c r="AR776" t="s">
        <v>118</v>
      </c>
      <c r="AS776">
        <v>-57</v>
      </c>
      <c r="AT776">
        <v>-51</v>
      </c>
      <c r="AU776">
        <v>-192</v>
      </c>
      <c r="BC776">
        <v>1200</v>
      </c>
      <c r="BD776">
        <v>1</v>
      </c>
      <c r="BE776" t="str">
        <f t="shared" si="38"/>
        <v xml:space="preserve">N215T   </v>
      </c>
      <c r="BF776">
        <v>1</v>
      </c>
      <c r="BH776">
        <v>0</v>
      </c>
      <c r="BI776">
        <v>0</v>
      </c>
      <c r="BJ776">
        <v>0</v>
      </c>
      <c r="BK776">
        <v>2250</v>
      </c>
      <c r="BL776">
        <v>350</v>
      </c>
      <c r="BM776" t="s">
        <v>119</v>
      </c>
      <c r="BN776">
        <v>1</v>
      </c>
      <c r="BO776">
        <v>1</v>
      </c>
      <c r="BP776">
        <v>1</v>
      </c>
      <c r="BQ776">
        <v>0</v>
      </c>
      <c r="BT776">
        <v>0</v>
      </c>
      <c r="BU776">
        <v>0</v>
      </c>
      <c r="BV776">
        <v>0</v>
      </c>
      <c r="CC776" t="str">
        <f>"18:47:34.063"</f>
        <v>18:47:34.063</v>
      </c>
      <c r="CD776" t="str">
        <f>"062750950"</f>
        <v>062750950</v>
      </c>
      <c r="CQ776">
        <v>0</v>
      </c>
      <c r="CR776">
        <v>2</v>
      </c>
      <c r="CS776">
        <v>0</v>
      </c>
      <c r="CT776">
        <v>2</v>
      </c>
      <c r="CU776">
        <v>0</v>
      </c>
      <c r="CV776">
        <v>4</v>
      </c>
      <c r="CW776" t="s">
        <v>120</v>
      </c>
      <c r="CX776">
        <v>257</v>
      </c>
      <c r="CY776">
        <v>1</v>
      </c>
      <c r="CZ776" t="s">
        <v>615</v>
      </c>
      <c r="DA776" t="s">
        <v>616</v>
      </c>
      <c r="DD776">
        <v>10969404</v>
      </c>
      <c r="DE776" t="s">
        <v>123</v>
      </c>
    </row>
    <row r="777" spans="1:109" x14ac:dyDescent="0.3">
      <c r="A777" t="str">
        <f>"18:47:35.203"</f>
        <v>18:47:35.203</v>
      </c>
      <c r="B777" t="s">
        <v>110</v>
      </c>
      <c r="C777" t="str">
        <f t="shared" si="36"/>
        <v>ffdfd3c0</v>
      </c>
      <c r="D777" t="s">
        <v>111</v>
      </c>
      <c r="E777">
        <v>18</v>
      </c>
      <c r="F777">
        <v>1018</v>
      </c>
      <c r="G777" t="s">
        <v>112</v>
      </c>
      <c r="J777" t="s">
        <v>113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R777" t="s">
        <v>114</v>
      </c>
      <c r="S777" t="str">
        <f>"18:47:34.977"</f>
        <v>18:47:34.977</v>
      </c>
      <c r="T777" t="str">
        <f>"18:47:34.578"</f>
        <v>18:47:34.578</v>
      </c>
      <c r="U777" t="str">
        <f t="shared" si="37"/>
        <v>a1cdbe</v>
      </c>
      <c r="V777">
        <v>0</v>
      </c>
      <c r="W777">
        <v>0</v>
      </c>
      <c r="X777">
        <v>1</v>
      </c>
      <c r="Y777">
        <v>0</v>
      </c>
      <c r="Z777">
        <v>0</v>
      </c>
      <c r="AB777">
        <v>0</v>
      </c>
      <c r="AC777">
        <v>9</v>
      </c>
      <c r="AD777">
        <v>3</v>
      </c>
      <c r="AE777">
        <v>0</v>
      </c>
      <c r="AF777">
        <v>9</v>
      </c>
      <c r="AG777" t="s">
        <v>158</v>
      </c>
      <c r="AH777">
        <v>0</v>
      </c>
      <c r="AI777">
        <v>3</v>
      </c>
      <c r="AJ777">
        <v>1</v>
      </c>
      <c r="AK777">
        <v>0</v>
      </c>
      <c r="AL777" t="s">
        <v>1624</v>
      </c>
      <c r="AM777">
        <v>46.869864</v>
      </c>
      <c r="AN777" t="s">
        <v>1625</v>
      </c>
      <c r="AO777">
        <v>-122.403831</v>
      </c>
      <c r="AP777">
        <v>100</v>
      </c>
      <c r="AQ777">
        <v>1900</v>
      </c>
      <c r="AR777" t="s">
        <v>118</v>
      </c>
      <c r="AS777">
        <v>-57</v>
      </c>
      <c r="AT777">
        <v>-51</v>
      </c>
      <c r="AU777">
        <v>-256</v>
      </c>
      <c r="BC777">
        <v>1200</v>
      </c>
      <c r="BD777">
        <v>1</v>
      </c>
      <c r="BE777" t="str">
        <f t="shared" si="38"/>
        <v xml:space="preserve">N215T   </v>
      </c>
      <c r="BF777">
        <v>1</v>
      </c>
      <c r="BH777">
        <v>0</v>
      </c>
      <c r="BI777">
        <v>0</v>
      </c>
      <c r="BJ777">
        <v>0</v>
      </c>
      <c r="BK777">
        <v>2250</v>
      </c>
      <c r="BL777">
        <v>350</v>
      </c>
      <c r="BM777" t="s">
        <v>119</v>
      </c>
      <c r="BN777">
        <v>1</v>
      </c>
      <c r="BO777">
        <v>1</v>
      </c>
      <c r="BP777">
        <v>1</v>
      </c>
      <c r="BQ777">
        <v>0</v>
      </c>
      <c r="BT777">
        <v>0</v>
      </c>
      <c r="BU777">
        <v>0</v>
      </c>
      <c r="BV777">
        <v>0</v>
      </c>
      <c r="CC777" t="str">
        <f>"18:47:34.977"</f>
        <v>18:47:34.977</v>
      </c>
      <c r="CD777" t="str">
        <f>"977660737"</f>
        <v>977660737</v>
      </c>
      <c r="CQ777">
        <v>0</v>
      </c>
      <c r="CR777">
        <v>2</v>
      </c>
      <c r="CS777">
        <v>0</v>
      </c>
      <c r="CT777">
        <v>2</v>
      </c>
      <c r="CU777">
        <v>0</v>
      </c>
      <c r="CV777">
        <v>4</v>
      </c>
      <c r="CW777" t="s">
        <v>120</v>
      </c>
      <c r="CX777">
        <v>257</v>
      </c>
      <c r="CY777">
        <v>1</v>
      </c>
      <c r="CZ777" t="s">
        <v>615</v>
      </c>
      <c r="DA777" t="s">
        <v>616</v>
      </c>
      <c r="DD777">
        <v>10970062</v>
      </c>
      <c r="DE777" t="s">
        <v>123</v>
      </c>
    </row>
    <row r="778" spans="1:109" x14ac:dyDescent="0.3">
      <c r="A778" t="str">
        <f>"18:47:36.258"</f>
        <v>18:47:36.258</v>
      </c>
      <c r="B778" t="s">
        <v>110</v>
      </c>
      <c r="C778" t="str">
        <f t="shared" si="36"/>
        <v>ffdfd3c0</v>
      </c>
      <c r="D778" t="s">
        <v>111</v>
      </c>
      <c r="E778">
        <v>18</v>
      </c>
      <c r="F778">
        <v>1018</v>
      </c>
      <c r="G778" t="s">
        <v>112</v>
      </c>
      <c r="J778" t="s">
        <v>113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R778" t="s">
        <v>114</v>
      </c>
      <c r="S778" t="str">
        <f>"18:47:36.055"</f>
        <v>18:47:36.055</v>
      </c>
      <c r="T778" t="str">
        <f>"18:47:35.656"</f>
        <v>18:47:35.656</v>
      </c>
      <c r="U778" t="str">
        <f t="shared" si="37"/>
        <v>a1cdbe</v>
      </c>
      <c r="V778">
        <v>0</v>
      </c>
      <c r="W778">
        <v>0</v>
      </c>
      <c r="X778">
        <v>1</v>
      </c>
      <c r="Y778">
        <v>0</v>
      </c>
      <c r="Z778">
        <v>0</v>
      </c>
      <c r="AB778">
        <v>0</v>
      </c>
      <c r="AC778">
        <v>9</v>
      </c>
      <c r="AD778">
        <v>3</v>
      </c>
      <c r="AE778">
        <v>0</v>
      </c>
      <c r="AF778">
        <v>9</v>
      </c>
      <c r="AG778" t="s">
        <v>158</v>
      </c>
      <c r="AH778">
        <v>0</v>
      </c>
      <c r="AI778">
        <v>3</v>
      </c>
      <c r="AJ778">
        <v>1</v>
      </c>
      <c r="AK778">
        <v>0</v>
      </c>
      <c r="AL778" t="s">
        <v>1626</v>
      </c>
      <c r="AM778">
        <v>46.869607000000002</v>
      </c>
      <c r="AN778" t="s">
        <v>1627</v>
      </c>
      <c r="AO778">
        <v>-122.404239</v>
      </c>
      <c r="AP778">
        <v>100</v>
      </c>
      <c r="AQ778">
        <v>1900</v>
      </c>
      <c r="AR778" t="s">
        <v>118</v>
      </c>
      <c r="AS778">
        <v>-56</v>
      </c>
      <c r="AT778">
        <v>-51</v>
      </c>
      <c r="AU778">
        <v>-128</v>
      </c>
      <c r="BC778">
        <v>1200</v>
      </c>
      <c r="BD778">
        <v>1</v>
      </c>
      <c r="BE778" t="str">
        <f t="shared" si="38"/>
        <v xml:space="preserve">N215T   </v>
      </c>
      <c r="BF778">
        <v>1</v>
      </c>
      <c r="BH778">
        <v>0</v>
      </c>
      <c r="BI778">
        <v>0</v>
      </c>
      <c r="BJ778">
        <v>0</v>
      </c>
      <c r="BK778">
        <v>2250</v>
      </c>
      <c r="BL778">
        <v>350</v>
      </c>
      <c r="BM778" t="s">
        <v>119</v>
      </c>
      <c r="BN778">
        <v>1</v>
      </c>
      <c r="BO778">
        <v>1</v>
      </c>
      <c r="BP778">
        <v>1</v>
      </c>
      <c r="BQ778">
        <v>0</v>
      </c>
      <c r="BT778">
        <v>0</v>
      </c>
      <c r="BU778">
        <v>0</v>
      </c>
      <c r="BV778">
        <v>0</v>
      </c>
      <c r="CC778" t="str">
        <f>"18:47:36.055"</f>
        <v>18:47:36.055</v>
      </c>
      <c r="CD778" t="str">
        <f>"057554302"</f>
        <v>057554302</v>
      </c>
      <c r="CQ778">
        <v>0</v>
      </c>
      <c r="CR778">
        <v>2</v>
      </c>
      <c r="CS778">
        <v>0</v>
      </c>
      <c r="CT778">
        <v>2</v>
      </c>
      <c r="CU778">
        <v>0</v>
      </c>
      <c r="CV778">
        <v>4</v>
      </c>
      <c r="CW778" t="s">
        <v>120</v>
      </c>
      <c r="CX778">
        <v>257</v>
      </c>
      <c r="CY778">
        <v>1</v>
      </c>
      <c r="CZ778" t="s">
        <v>615</v>
      </c>
      <c r="DA778" t="s">
        <v>616</v>
      </c>
      <c r="DD778">
        <v>10970793</v>
      </c>
      <c r="DE778" t="s">
        <v>123</v>
      </c>
    </row>
    <row r="779" spans="1:109" x14ac:dyDescent="0.3">
      <c r="A779" t="str">
        <f>"18:47:37.219"</f>
        <v>18:47:37.219</v>
      </c>
      <c r="B779" t="s">
        <v>110</v>
      </c>
      <c r="C779" t="str">
        <f t="shared" si="36"/>
        <v>ffdfd3c0</v>
      </c>
      <c r="D779" t="s">
        <v>111</v>
      </c>
      <c r="E779">
        <v>18</v>
      </c>
      <c r="F779">
        <v>1018</v>
      </c>
      <c r="G779" t="s">
        <v>112</v>
      </c>
      <c r="J779" t="s">
        <v>113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R779" t="s">
        <v>114</v>
      </c>
      <c r="S779" t="str">
        <f>"18:47:36.953"</f>
        <v>18:47:36.953</v>
      </c>
      <c r="T779" t="str">
        <f>"18:47:36.656"</f>
        <v>18:47:36.656</v>
      </c>
      <c r="U779" t="str">
        <f t="shared" si="37"/>
        <v>a1cdbe</v>
      </c>
      <c r="V779">
        <v>0</v>
      </c>
      <c r="W779">
        <v>0</v>
      </c>
      <c r="X779">
        <v>1</v>
      </c>
      <c r="Y779">
        <v>0</v>
      </c>
      <c r="Z779">
        <v>0</v>
      </c>
      <c r="AB779">
        <v>0</v>
      </c>
      <c r="AC779">
        <v>9</v>
      </c>
      <c r="AD779">
        <v>3</v>
      </c>
      <c r="AE779">
        <v>0</v>
      </c>
      <c r="AF779">
        <v>9</v>
      </c>
      <c r="AG779" t="s">
        <v>158</v>
      </c>
      <c r="AH779">
        <v>0</v>
      </c>
      <c r="AI779">
        <v>3</v>
      </c>
      <c r="AJ779">
        <v>1</v>
      </c>
      <c r="AK779">
        <v>0</v>
      </c>
      <c r="AL779" t="s">
        <v>1628</v>
      </c>
      <c r="AM779">
        <v>46.869413999999999</v>
      </c>
      <c r="AN779" t="s">
        <v>1629</v>
      </c>
      <c r="AO779">
        <v>-122.404583</v>
      </c>
      <c r="AP779">
        <v>100</v>
      </c>
      <c r="AQ779">
        <v>1900</v>
      </c>
      <c r="AR779" t="s">
        <v>118</v>
      </c>
      <c r="AS779">
        <v>-56</v>
      </c>
      <c r="AT779">
        <v>-50</v>
      </c>
      <c r="AU779">
        <v>0</v>
      </c>
      <c r="BC779">
        <v>1200</v>
      </c>
      <c r="BD779">
        <v>1</v>
      </c>
      <c r="BE779" t="str">
        <f t="shared" si="38"/>
        <v xml:space="preserve">N215T   </v>
      </c>
      <c r="BF779">
        <v>1</v>
      </c>
      <c r="BH779">
        <v>0</v>
      </c>
      <c r="BI779">
        <v>0</v>
      </c>
      <c r="BJ779">
        <v>0</v>
      </c>
      <c r="BK779">
        <v>2250</v>
      </c>
      <c r="BL779">
        <v>350</v>
      </c>
      <c r="BM779" t="s">
        <v>119</v>
      </c>
      <c r="BN779">
        <v>1</v>
      </c>
      <c r="BO779">
        <v>1</v>
      </c>
      <c r="BP779">
        <v>1</v>
      </c>
      <c r="BQ779">
        <v>0</v>
      </c>
      <c r="BT779">
        <v>0</v>
      </c>
      <c r="BU779">
        <v>0</v>
      </c>
      <c r="BV779">
        <v>0</v>
      </c>
      <c r="CC779" t="str">
        <f>"18:47:36.961"</f>
        <v>18:47:36.961</v>
      </c>
      <c r="CD779" t="str">
        <f>"957465576"</f>
        <v>957465576</v>
      </c>
      <c r="CQ779">
        <v>0</v>
      </c>
      <c r="CR779">
        <v>2</v>
      </c>
      <c r="CS779">
        <v>0</v>
      </c>
      <c r="CT779">
        <v>2</v>
      </c>
      <c r="CU779">
        <v>0</v>
      </c>
      <c r="CV779">
        <v>4</v>
      </c>
      <c r="CW779" t="s">
        <v>120</v>
      </c>
      <c r="CX779">
        <v>257</v>
      </c>
      <c r="CY779">
        <v>1</v>
      </c>
      <c r="CZ779" t="s">
        <v>615</v>
      </c>
      <c r="DA779" t="s">
        <v>616</v>
      </c>
      <c r="DD779">
        <v>10971380</v>
      </c>
      <c r="DE779" t="s">
        <v>123</v>
      </c>
    </row>
    <row r="780" spans="1:109" x14ac:dyDescent="0.3">
      <c r="A780" t="str">
        <f>"18:47:38.375"</f>
        <v>18:47:38.375</v>
      </c>
      <c r="B780" t="s">
        <v>110</v>
      </c>
      <c r="C780" t="str">
        <f t="shared" si="36"/>
        <v>ffdfd3c0</v>
      </c>
      <c r="D780" t="s">
        <v>111</v>
      </c>
      <c r="E780">
        <v>18</v>
      </c>
      <c r="F780">
        <v>1018</v>
      </c>
      <c r="G780" t="s">
        <v>112</v>
      </c>
      <c r="J780" t="s">
        <v>113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R780" t="s">
        <v>114</v>
      </c>
      <c r="S780" t="str">
        <f>"18:47:38.125"</f>
        <v>18:47:38.125</v>
      </c>
      <c r="T780" t="str">
        <f>"18:47:37.625"</f>
        <v>18:47:37.625</v>
      </c>
      <c r="U780" t="str">
        <f t="shared" si="37"/>
        <v>a1cdbe</v>
      </c>
      <c r="V780">
        <v>0</v>
      </c>
      <c r="W780">
        <v>0</v>
      </c>
      <c r="X780">
        <v>1</v>
      </c>
      <c r="Y780">
        <v>0</v>
      </c>
      <c r="Z780">
        <v>0</v>
      </c>
      <c r="AB780">
        <v>0</v>
      </c>
      <c r="AC780">
        <v>9</v>
      </c>
      <c r="AD780">
        <v>3</v>
      </c>
      <c r="AE780">
        <v>0</v>
      </c>
      <c r="AF780">
        <v>9</v>
      </c>
      <c r="AG780" t="s">
        <v>158</v>
      </c>
      <c r="AH780">
        <v>0</v>
      </c>
      <c r="AI780">
        <v>3</v>
      </c>
      <c r="AJ780">
        <v>1</v>
      </c>
      <c r="AK780">
        <v>0</v>
      </c>
      <c r="AL780" t="s">
        <v>1630</v>
      </c>
      <c r="AM780">
        <v>46.869135</v>
      </c>
      <c r="AN780" t="s">
        <v>1631</v>
      </c>
      <c r="AO780">
        <v>-122.40499</v>
      </c>
      <c r="AP780">
        <v>100</v>
      </c>
      <c r="AQ780">
        <v>1900</v>
      </c>
      <c r="AR780" t="s">
        <v>118</v>
      </c>
      <c r="AS780">
        <v>-56</v>
      </c>
      <c r="AT780">
        <v>-50</v>
      </c>
      <c r="AU780">
        <v>-64</v>
      </c>
      <c r="BC780">
        <v>1200</v>
      </c>
      <c r="BD780">
        <v>1</v>
      </c>
      <c r="BE780" t="str">
        <f t="shared" si="38"/>
        <v xml:space="preserve">N215T   </v>
      </c>
      <c r="BF780">
        <v>1</v>
      </c>
      <c r="BH780">
        <v>0</v>
      </c>
      <c r="BI780">
        <v>0</v>
      </c>
      <c r="BJ780">
        <v>0</v>
      </c>
      <c r="BK780">
        <v>2250</v>
      </c>
      <c r="BL780">
        <v>350</v>
      </c>
      <c r="BM780" t="s">
        <v>119</v>
      </c>
      <c r="BN780">
        <v>1</v>
      </c>
      <c r="BO780">
        <v>1</v>
      </c>
      <c r="BP780">
        <v>1</v>
      </c>
      <c r="BQ780">
        <v>0</v>
      </c>
      <c r="BT780">
        <v>0</v>
      </c>
      <c r="BU780">
        <v>0</v>
      </c>
      <c r="BV780">
        <v>0</v>
      </c>
      <c r="CC780" t="str">
        <f>"18:47:38.125"</f>
        <v>18:47:38.125</v>
      </c>
      <c r="CD780" t="str">
        <f>"127205810"</f>
        <v>127205810</v>
      </c>
      <c r="CQ780">
        <v>0</v>
      </c>
      <c r="CR780">
        <v>2</v>
      </c>
      <c r="CS780">
        <v>0</v>
      </c>
      <c r="CT780">
        <v>2</v>
      </c>
      <c r="CU780">
        <v>0</v>
      </c>
      <c r="CV780">
        <v>4</v>
      </c>
      <c r="CW780" t="s">
        <v>120</v>
      </c>
      <c r="CX780">
        <v>261</v>
      </c>
      <c r="CY780">
        <v>2</v>
      </c>
      <c r="CZ780" t="s">
        <v>121</v>
      </c>
      <c r="DA780" t="s">
        <v>122</v>
      </c>
      <c r="DD780">
        <v>14659799</v>
      </c>
      <c r="DE780" t="s">
        <v>123</v>
      </c>
    </row>
    <row r="781" spans="1:109" x14ac:dyDescent="0.3">
      <c r="A781" t="str">
        <f>"18:47:39.375"</f>
        <v>18:47:39.375</v>
      </c>
      <c r="B781" t="s">
        <v>110</v>
      </c>
      <c r="C781" t="str">
        <f t="shared" si="36"/>
        <v>ffdfd3c0</v>
      </c>
      <c r="D781" t="s">
        <v>111</v>
      </c>
      <c r="E781">
        <v>18</v>
      </c>
      <c r="F781">
        <v>1018</v>
      </c>
      <c r="G781" t="s">
        <v>112</v>
      </c>
      <c r="J781" t="s">
        <v>113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R781" t="s">
        <v>114</v>
      </c>
      <c r="S781" t="str">
        <f>"18:47:39.117"</f>
        <v>18:47:39.117</v>
      </c>
      <c r="T781" t="str">
        <f>"18:47:39.117"</f>
        <v>18:47:39.117</v>
      </c>
      <c r="U781" t="str">
        <f t="shared" si="37"/>
        <v>a1cdbe</v>
      </c>
      <c r="V781">
        <v>0</v>
      </c>
      <c r="W781">
        <v>0</v>
      </c>
      <c r="X781">
        <v>1</v>
      </c>
      <c r="Y781">
        <v>0</v>
      </c>
      <c r="Z781">
        <v>0</v>
      </c>
      <c r="AB781">
        <v>0</v>
      </c>
      <c r="AC781">
        <v>9</v>
      </c>
      <c r="AD781">
        <v>3</v>
      </c>
      <c r="AE781">
        <v>0</v>
      </c>
      <c r="AF781">
        <v>9</v>
      </c>
      <c r="AG781" t="s">
        <v>158</v>
      </c>
      <c r="AH781">
        <v>0</v>
      </c>
      <c r="AI781">
        <v>3</v>
      </c>
      <c r="AJ781">
        <v>1</v>
      </c>
      <c r="AK781">
        <v>0</v>
      </c>
      <c r="AL781" t="s">
        <v>1632</v>
      </c>
      <c r="AM781">
        <v>46.868876999999998</v>
      </c>
      <c r="AN781" t="s">
        <v>1633</v>
      </c>
      <c r="AO781">
        <v>-122.405441</v>
      </c>
      <c r="AP781">
        <v>100</v>
      </c>
      <c r="AQ781">
        <v>1900</v>
      </c>
      <c r="AR781" t="s">
        <v>118</v>
      </c>
      <c r="AS781">
        <v>-57</v>
      </c>
      <c r="AT781">
        <v>-48</v>
      </c>
      <c r="AU781">
        <v>-128</v>
      </c>
      <c r="BC781">
        <v>1200</v>
      </c>
      <c r="BD781">
        <v>1</v>
      </c>
      <c r="BE781" t="str">
        <f t="shared" si="38"/>
        <v xml:space="preserve">N215T   </v>
      </c>
      <c r="BF781">
        <v>1</v>
      </c>
      <c r="BH781">
        <v>0</v>
      </c>
      <c r="BI781">
        <v>0</v>
      </c>
      <c r="BJ781">
        <v>0</v>
      </c>
      <c r="BK781">
        <v>2250</v>
      </c>
      <c r="BL781">
        <v>350</v>
      </c>
      <c r="BM781" t="s">
        <v>119</v>
      </c>
      <c r="BN781">
        <v>1</v>
      </c>
      <c r="BO781">
        <v>1</v>
      </c>
      <c r="BP781">
        <v>1</v>
      </c>
      <c r="BQ781">
        <v>0</v>
      </c>
      <c r="BT781">
        <v>0</v>
      </c>
      <c r="BU781">
        <v>0</v>
      </c>
      <c r="BV781">
        <v>0</v>
      </c>
      <c r="CC781" t="str">
        <f>"18:47:39.117"</f>
        <v>18:47:39.117</v>
      </c>
      <c r="CD781" t="str">
        <f>"117252654"</f>
        <v>117252654</v>
      </c>
      <c r="CQ781">
        <v>0</v>
      </c>
      <c r="CR781">
        <v>2</v>
      </c>
      <c r="CS781">
        <v>0</v>
      </c>
      <c r="CT781">
        <v>2</v>
      </c>
      <c r="CU781">
        <v>0</v>
      </c>
      <c r="CV781">
        <v>5</v>
      </c>
      <c r="CW781" t="s">
        <v>120</v>
      </c>
      <c r="CX781">
        <v>257</v>
      </c>
      <c r="CY781">
        <v>1</v>
      </c>
      <c r="CZ781" t="s">
        <v>615</v>
      </c>
      <c r="DA781" t="s">
        <v>616</v>
      </c>
      <c r="DD781">
        <v>10972756</v>
      </c>
      <c r="DE781" t="s">
        <v>123</v>
      </c>
    </row>
    <row r="782" spans="1:109" x14ac:dyDescent="0.3">
      <c r="A782" t="str">
        <f>"18:47:40.281"</f>
        <v>18:47:40.281</v>
      </c>
      <c r="B782" t="s">
        <v>110</v>
      </c>
      <c r="C782" t="str">
        <f t="shared" si="36"/>
        <v>ffdfd3c0</v>
      </c>
      <c r="D782" t="s">
        <v>111</v>
      </c>
      <c r="E782">
        <v>18</v>
      </c>
      <c r="F782">
        <v>1018</v>
      </c>
      <c r="G782" t="s">
        <v>112</v>
      </c>
      <c r="J782" t="s">
        <v>113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R782" t="s">
        <v>114</v>
      </c>
      <c r="S782" t="str">
        <f>"18:47:40.070"</f>
        <v>18:47:40.070</v>
      </c>
      <c r="T782" t="str">
        <f>"18:47:39.570"</f>
        <v>18:47:39.570</v>
      </c>
      <c r="U782" t="str">
        <f t="shared" si="37"/>
        <v>a1cdbe</v>
      </c>
      <c r="V782">
        <v>0</v>
      </c>
      <c r="W782">
        <v>0</v>
      </c>
      <c r="X782">
        <v>1</v>
      </c>
      <c r="Y782">
        <v>0</v>
      </c>
      <c r="Z782">
        <v>0</v>
      </c>
      <c r="AB782">
        <v>0</v>
      </c>
      <c r="AC782">
        <v>9</v>
      </c>
      <c r="AD782">
        <v>3</v>
      </c>
      <c r="AE782">
        <v>0</v>
      </c>
      <c r="AF782">
        <v>9</v>
      </c>
      <c r="AG782" t="s">
        <v>158</v>
      </c>
      <c r="AH782">
        <v>0</v>
      </c>
      <c r="AI782">
        <v>3</v>
      </c>
      <c r="AJ782">
        <v>1</v>
      </c>
      <c r="AK782">
        <v>0</v>
      </c>
      <c r="AL782" t="s">
        <v>1634</v>
      </c>
      <c r="AM782">
        <v>46.868684000000002</v>
      </c>
      <c r="AN782" t="s">
        <v>1635</v>
      </c>
      <c r="AO782">
        <v>-122.40576299999999</v>
      </c>
      <c r="AP782">
        <v>100</v>
      </c>
      <c r="AQ782">
        <v>1900</v>
      </c>
      <c r="AR782" t="s">
        <v>118</v>
      </c>
      <c r="AS782">
        <v>-57</v>
      </c>
      <c r="AT782">
        <v>-48</v>
      </c>
      <c r="AU782">
        <v>-128</v>
      </c>
      <c r="BC782">
        <v>1200</v>
      </c>
      <c r="BD782">
        <v>1</v>
      </c>
      <c r="BE782" t="str">
        <f t="shared" si="38"/>
        <v xml:space="preserve">N215T   </v>
      </c>
      <c r="BF782">
        <v>1</v>
      </c>
      <c r="BH782">
        <v>0</v>
      </c>
      <c r="BI782">
        <v>0</v>
      </c>
      <c r="BJ782">
        <v>0</v>
      </c>
      <c r="BK782">
        <v>2250</v>
      </c>
      <c r="BL782">
        <v>350</v>
      </c>
      <c r="BM782" t="s">
        <v>119</v>
      </c>
      <c r="BN782">
        <v>1</v>
      </c>
      <c r="BO782">
        <v>1</v>
      </c>
      <c r="BP782">
        <v>1</v>
      </c>
      <c r="BQ782">
        <v>0</v>
      </c>
      <c r="BT782">
        <v>0</v>
      </c>
      <c r="BU782">
        <v>0</v>
      </c>
      <c r="BV782">
        <v>0</v>
      </c>
      <c r="CC782" t="str">
        <f>"18:47:40.078"</f>
        <v>18:47:40.078</v>
      </c>
      <c r="CD782" t="str">
        <f>"077158033"</f>
        <v>077158033</v>
      </c>
      <c r="CQ782">
        <v>0</v>
      </c>
      <c r="CR782">
        <v>2</v>
      </c>
      <c r="CS782">
        <v>0</v>
      </c>
      <c r="CT782">
        <v>2</v>
      </c>
      <c r="CU782">
        <v>0</v>
      </c>
      <c r="CV782">
        <v>4</v>
      </c>
      <c r="CW782" t="s">
        <v>120</v>
      </c>
      <c r="CX782">
        <v>257</v>
      </c>
      <c r="CY782">
        <v>1</v>
      </c>
      <c r="CZ782" t="s">
        <v>615</v>
      </c>
      <c r="DA782" t="s">
        <v>616</v>
      </c>
      <c r="DD782">
        <v>10973381</v>
      </c>
      <c r="DE782" t="s">
        <v>123</v>
      </c>
    </row>
    <row r="783" spans="1:109" x14ac:dyDescent="0.3">
      <c r="A783" t="str">
        <f>"18:47:41.438"</f>
        <v>18:47:41.438</v>
      </c>
      <c r="B783" t="s">
        <v>110</v>
      </c>
      <c r="C783" t="str">
        <f t="shared" si="36"/>
        <v>ffdfd3c0</v>
      </c>
      <c r="D783" t="s">
        <v>111</v>
      </c>
      <c r="E783">
        <v>18</v>
      </c>
      <c r="F783">
        <v>1018</v>
      </c>
      <c r="G783" t="s">
        <v>112</v>
      </c>
      <c r="J783" t="s">
        <v>113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R783" t="s">
        <v>114</v>
      </c>
      <c r="S783" t="str">
        <f>"18:47:41.180"</f>
        <v>18:47:41.180</v>
      </c>
      <c r="T783" t="str">
        <f>"18:47:40.977"</f>
        <v>18:47:40.977</v>
      </c>
      <c r="U783" t="str">
        <f t="shared" si="37"/>
        <v>a1cdbe</v>
      </c>
      <c r="V783">
        <v>0</v>
      </c>
      <c r="W783">
        <v>0</v>
      </c>
      <c r="X783">
        <v>1</v>
      </c>
      <c r="Y783">
        <v>0</v>
      </c>
      <c r="Z783">
        <v>0</v>
      </c>
      <c r="AB783">
        <v>0</v>
      </c>
      <c r="AC783">
        <v>9</v>
      </c>
      <c r="AD783">
        <v>3</v>
      </c>
      <c r="AE783">
        <v>0</v>
      </c>
      <c r="AF783">
        <v>9</v>
      </c>
      <c r="AG783" t="s">
        <v>158</v>
      </c>
      <c r="AH783">
        <v>0</v>
      </c>
      <c r="AI783">
        <v>3</v>
      </c>
      <c r="AJ783">
        <v>1</v>
      </c>
      <c r="AK783">
        <v>0</v>
      </c>
      <c r="AL783" t="s">
        <v>1636</v>
      </c>
      <c r="AM783">
        <v>46.868448000000001</v>
      </c>
      <c r="AN783" t="s">
        <v>1637</v>
      </c>
      <c r="AO783">
        <v>-122.406235</v>
      </c>
      <c r="AP783">
        <v>100</v>
      </c>
      <c r="AQ783">
        <v>1900</v>
      </c>
      <c r="AR783" t="s">
        <v>118</v>
      </c>
      <c r="AS783">
        <v>-57</v>
      </c>
      <c r="AT783">
        <v>-47</v>
      </c>
      <c r="AU783">
        <v>-64</v>
      </c>
      <c r="BC783">
        <v>1200</v>
      </c>
      <c r="BD783">
        <v>1</v>
      </c>
      <c r="BE783" t="str">
        <f t="shared" si="38"/>
        <v xml:space="preserve">N215T   </v>
      </c>
      <c r="BF783">
        <v>1</v>
      </c>
      <c r="BH783">
        <v>0</v>
      </c>
      <c r="BI783">
        <v>0</v>
      </c>
      <c r="BJ783">
        <v>0</v>
      </c>
      <c r="BK783">
        <v>2250</v>
      </c>
      <c r="BL783">
        <v>350</v>
      </c>
      <c r="BM783" t="s">
        <v>119</v>
      </c>
      <c r="BN783">
        <v>1</v>
      </c>
      <c r="BO783">
        <v>1</v>
      </c>
      <c r="BP783">
        <v>1</v>
      </c>
      <c r="BQ783">
        <v>0</v>
      </c>
      <c r="BT783">
        <v>0</v>
      </c>
      <c r="BU783">
        <v>0</v>
      </c>
      <c r="BV783">
        <v>0</v>
      </c>
      <c r="CC783" t="str">
        <f>"18:47:41.188"</f>
        <v>18:47:41.188</v>
      </c>
      <c r="CD783" t="str">
        <f>"187048606"</f>
        <v>187048606</v>
      </c>
      <c r="CQ783">
        <v>0</v>
      </c>
      <c r="CR783">
        <v>2</v>
      </c>
      <c r="CS783">
        <v>0</v>
      </c>
      <c r="CT783">
        <v>2</v>
      </c>
      <c r="CU783">
        <v>0</v>
      </c>
      <c r="CV783">
        <v>5</v>
      </c>
      <c r="CW783" t="s">
        <v>120</v>
      </c>
      <c r="CX783">
        <v>257</v>
      </c>
      <c r="CY783">
        <v>1</v>
      </c>
      <c r="CZ783" t="s">
        <v>615</v>
      </c>
      <c r="DA783" t="s">
        <v>616</v>
      </c>
      <c r="DD783">
        <v>10974108</v>
      </c>
      <c r="DE783" t="s">
        <v>123</v>
      </c>
    </row>
    <row r="784" spans="1:109" x14ac:dyDescent="0.3">
      <c r="A784" t="str">
        <f>"18:47:42.344"</f>
        <v>18:47:42.344</v>
      </c>
      <c r="B784" t="s">
        <v>110</v>
      </c>
      <c r="C784" t="str">
        <f t="shared" si="36"/>
        <v>ffdfd3c0</v>
      </c>
      <c r="D784" t="s">
        <v>111</v>
      </c>
      <c r="E784">
        <v>18</v>
      </c>
      <c r="F784">
        <v>1018</v>
      </c>
      <c r="G784" t="s">
        <v>112</v>
      </c>
      <c r="J784" t="s">
        <v>113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R784" t="s">
        <v>114</v>
      </c>
      <c r="S784" t="str">
        <f>"18:47:42.141"</f>
        <v>18:47:42.141</v>
      </c>
      <c r="T784" t="str">
        <f>"18:47:42.039"</f>
        <v>18:47:42.039</v>
      </c>
      <c r="U784" t="str">
        <f t="shared" si="37"/>
        <v>a1cdbe</v>
      </c>
      <c r="V784">
        <v>0</v>
      </c>
      <c r="W784">
        <v>0</v>
      </c>
      <c r="X784">
        <v>1</v>
      </c>
      <c r="Y784">
        <v>0</v>
      </c>
      <c r="Z784">
        <v>0</v>
      </c>
      <c r="AB784">
        <v>0</v>
      </c>
      <c r="AC784">
        <v>9</v>
      </c>
      <c r="AD784">
        <v>3</v>
      </c>
      <c r="AE784">
        <v>0</v>
      </c>
      <c r="AF784">
        <v>9</v>
      </c>
      <c r="AG784" t="s">
        <v>158</v>
      </c>
      <c r="AH784">
        <v>0</v>
      </c>
      <c r="AI784">
        <v>3</v>
      </c>
      <c r="AJ784">
        <v>1</v>
      </c>
      <c r="AK784">
        <v>0</v>
      </c>
      <c r="AL784" t="s">
        <v>1638</v>
      </c>
      <c r="AM784">
        <v>46.868234000000001</v>
      </c>
      <c r="AN784" t="s">
        <v>1639</v>
      </c>
      <c r="AO784">
        <v>-122.406578</v>
      </c>
      <c r="AP784">
        <v>100</v>
      </c>
      <c r="AQ784">
        <v>1900</v>
      </c>
      <c r="AR784" t="s">
        <v>118</v>
      </c>
      <c r="AS784">
        <v>-57</v>
      </c>
      <c r="AT784">
        <v>-47</v>
      </c>
      <c r="AU784">
        <v>0</v>
      </c>
      <c r="BC784">
        <v>1200</v>
      </c>
      <c r="BD784">
        <v>1</v>
      </c>
      <c r="BE784" t="str">
        <f t="shared" si="38"/>
        <v xml:space="preserve">N215T   </v>
      </c>
      <c r="BF784">
        <v>1</v>
      </c>
      <c r="BH784">
        <v>0</v>
      </c>
      <c r="BI784">
        <v>0</v>
      </c>
      <c r="BJ784">
        <v>0</v>
      </c>
      <c r="BK784">
        <v>2250</v>
      </c>
      <c r="BL784">
        <v>350</v>
      </c>
      <c r="BM784" t="s">
        <v>119</v>
      </c>
      <c r="BN784">
        <v>1</v>
      </c>
      <c r="BO784">
        <v>1</v>
      </c>
      <c r="BP784">
        <v>1</v>
      </c>
      <c r="BQ784">
        <v>0</v>
      </c>
      <c r="BT784">
        <v>0</v>
      </c>
      <c r="BU784">
        <v>0</v>
      </c>
      <c r="BV784">
        <v>0</v>
      </c>
      <c r="CC784" t="str">
        <f>"18:47:42.148"</f>
        <v>18:47:42.148</v>
      </c>
      <c r="CD784" t="str">
        <f>"146953978"</f>
        <v>146953978</v>
      </c>
      <c r="CQ784">
        <v>0</v>
      </c>
      <c r="CR784">
        <v>2</v>
      </c>
      <c r="CS784">
        <v>0</v>
      </c>
      <c r="CT784">
        <v>2</v>
      </c>
      <c r="CU784">
        <v>0</v>
      </c>
      <c r="CV784">
        <v>4</v>
      </c>
      <c r="CW784" t="s">
        <v>120</v>
      </c>
      <c r="CX784">
        <v>257</v>
      </c>
      <c r="CY784">
        <v>1</v>
      </c>
      <c r="CZ784" t="s">
        <v>615</v>
      </c>
      <c r="DA784" t="s">
        <v>616</v>
      </c>
      <c r="DD784">
        <v>10974768</v>
      </c>
      <c r="DE784" t="s">
        <v>123</v>
      </c>
    </row>
    <row r="785" spans="1:109" x14ac:dyDescent="0.3">
      <c r="A785" t="str">
        <f>"18:47:43.445"</f>
        <v>18:47:43.445</v>
      </c>
      <c r="B785" t="s">
        <v>110</v>
      </c>
      <c r="C785" t="str">
        <f t="shared" si="36"/>
        <v>ffdfd3c0</v>
      </c>
      <c r="D785" t="s">
        <v>111</v>
      </c>
      <c r="E785">
        <v>18</v>
      </c>
      <c r="F785">
        <v>1018</v>
      </c>
      <c r="G785" t="s">
        <v>112</v>
      </c>
      <c r="J785" t="s">
        <v>113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R785" t="s">
        <v>114</v>
      </c>
      <c r="S785" t="str">
        <f>"18:47:43.211"</f>
        <v>18:47:43.211</v>
      </c>
      <c r="T785" t="str">
        <f>"18:47:43.109"</f>
        <v>18:47:43.109</v>
      </c>
      <c r="U785" t="str">
        <f t="shared" si="37"/>
        <v>a1cdbe</v>
      </c>
      <c r="V785">
        <v>0</v>
      </c>
      <c r="W785">
        <v>0</v>
      </c>
      <c r="X785">
        <v>1</v>
      </c>
      <c r="Y785">
        <v>0</v>
      </c>
      <c r="Z785">
        <v>0</v>
      </c>
      <c r="AB785">
        <v>0</v>
      </c>
      <c r="AC785">
        <v>9</v>
      </c>
      <c r="AD785">
        <v>3</v>
      </c>
      <c r="AE785">
        <v>0</v>
      </c>
      <c r="AF785">
        <v>9</v>
      </c>
      <c r="AG785" t="s">
        <v>158</v>
      </c>
      <c r="AH785">
        <v>0</v>
      </c>
      <c r="AI785">
        <v>3</v>
      </c>
      <c r="AJ785">
        <v>1</v>
      </c>
      <c r="AK785">
        <v>0</v>
      </c>
      <c r="AL785" t="s">
        <v>1640</v>
      </c>
      <c r="AM785">
        <v>46.867998</v>
      </c>
      <c r="AN785" t="s">
        <v>1641</v>
      </c>
      <c r="AO785">
        <v>-122.406986</v>
      </c>
      <c r="AP785">
        <v>100</v>
      </c>
      <c r="AQ785">
        <v>1900</v>
      </c>
      <c r="AR785" t="s">
        <v>118</v>
      </c>
      <c r="AS785">
        <v>-57</v>
      </c>
      <c r="AT785">
        <v>-47</v>
      </c>
      <c r="AU785">
        <v>0</v>
      </c>
      <c r="BC785">
        <v>1200</v>
      </c>
      <c r="BD785">
        <v>1</v>
      </c>
      <c r="BE785" t="str">
        <f t="shared" si="38"/>
        <v xml:space="preserve">N215T   </v>
      </c>
      <c r="BF785">
        <v>1</v>
      </c>
      <c r="BH785">
        <v>0</v>
      </c>
      <c r="BI785">
        <v>0</v>
      </c>
      <c r="BJ785">
        <v>0</v>
      </c>
      <c r="BK785">
        <v>2250</v>
      </c>
      <c r="BL785">
        <v>350</v>
      </c>
      <c r="BM785" t="s">
        <v>119</v>
      </c>
      <c r="BN785">
        <v>1</v>
      </c>
      <c r="BO785">
        <v>1</v>
      </c>
      <c r="BP785">
        <v>1</v>
      </c>
      <c r="BQ785">
        <v>0</v>
      </c>
      <c r="BT785">
        <v>0</v>
      </c>
      <c r="BU785">
        <v>0</v>
      </c>
      <c r="BV785">
        <v>0</v>
      </c>
      <c r="CC785" t="str">
        <f>"18:47:43.211"</f>
        <v>18:47:43.211</v>
      </c>
      <c r="CD785" t="str">
        <f>"211849003"</f>
        <v>211849003</v>
      </c>
      <c r="CQ785">
        <v>0</v>
      </c>
      <c r="CR785">
        <v>2</v>
      </c>
      <c r="CS785">
        <v>0</v>
      </c>
      <c r="CT785">
        <v>2</v>
      </c>
      <c r="CU785">
        <v>0</v>
      </c>
      <c r="CV785">
        <v>4</v>
      </c>
      <c r="CW785" t="s">
        <v>120</v>
      </c>
      <c r="CX785">
        <v>257</v>
      </c>
      <c r="CY785">
        <v>1</v>
      </c>
      <c r="CZ785" t="s">
        <v>615</v>
      </c>
      <c r="DA785" t="s">
        <v>616</v>
      </c>
      <c r="DD785">
        <v>10975456</v>
      </c>
      <c r="DE785" t="s">
        <v>123</v>
      </c>
    </row>
    <row r="786" spans="1:109" x14ac:dyDescent="0.3">
      <c r="A786" t="str">
        <f>"18:47:44.352"</f>
        <v>18:47:44.352</v>
      </c>
      <c r="B786" t="s">
        <v>110</v>
      </c>
      <c r="C786" t="str">
        <f t="shared" si="36"/>
        <v>ffdfd3c0</v>
      </c>
      <c r="D786" t="s">
        <v>111</v>
      </c>
      <c r="E786">
        <v>18</v>
      </c>
      <c r="F786">
        <v>1018</v>
      </c>
      <c r="G786" t="s">
        <v>112</v>
      </c>
      <c r="J786" t="s">
        <v>113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R786" t="s">
        <v>114</v>
      </c>
      <c r="S786" t="str">
        <f>"18:47:44.109"</f>
        <v>18:47:44.109</v>
      </c>
      <c r="T786" t="str">
        <f>"18:47:43.711"</f>
        <v>18:47:43.711</v>
      </c>
      <c r="U786" t="str">
        <f t="shared" si="37"/>
        <v>a1cdbe</v>
      </c>
      <c r="V786">
        <v>0</v>
      </c>
      <c r="W786">
        <v>0</v>
      </c>
      <c r="X786">
        <v>1</v>
      </c>
      <c r="Y786">
        <v>0</v>
      </c>
      <c r="Z786">
        <v>0</v>
      </c>
      <c r="AB786">
        <v>0</v>
      </c>
      <c r="AC786">
        <v>9</v>
      </c>
      <c r="AD786">
        <v>3</v>
      </c>
      <c r="AE786">
        <v>0</v>
      </c>
      <c r="AF786">
        <v>9</v>
      </c>
      <c r="AG786" t="s">
        <v>158</v>
      </c>
      <c r="AH786">
        <v>0</v>
      </c>
      <c r="AI786">
        <v>3</v>
      </c>
      <c r="AJ786">
        <v>1</v>
      </c>
      <c r="AK786">
        <v>0</v>
      </c>
      <c r="AL786" t="s">
        <v>1642</v>
      </c>
      <c r="AM786">
        <v>46.867804999999997</v>
      </c>
      <c r="AN786" t="s">
        <v>1643</v>
      </c>
      <c r="AO786">
        <v>-122.407329</v>
      </c>
      <c r="AP786">
        <v>100</v>
      </c>
      <c r="AQ786">
        <v>1900</v>
      </c>
      <c r="AR786" t="s">
        <v>118</v>
      </c>
      <c r="AS786">
        <v>-57</v>
      </c>
      <c r="AT786">
        <v>-46</v>
      </c>
      <c r="AU786">
        <v>0</v>
      </c>
      <c r="BC786">
        <v>1200</v>
      </c>
      <c r="BD786">
        <v>1</v>
      </c>
      <c r="BE786" t="str">
        <f t="shared" si="38"/>
        <v xml:space="preserve">N215T   </v>
      </c>
      <c r="BF786">
        <v>1</v>
      </c>
      <c r="BH786">
        <v>0</v>
      </c>
      <c r="BI786">
        <v>0</v>
      </c>
      <c r="BJ786">
        <v>0</v>
      </c>
      <c r="BK786">
        <v>2250</v>
      </c>
      <c r="BL786">
        <v>350</v>
      </c>
      <c r="BM786" t="s">
        <v>119</v>
      </c>
      <c r="BN786">
        <v>1</v>
      </c>
      <c r="BO786">
        <v>1</v>
      </c>
      <c r="BP786">
        <v>1</v>
      </c>
      <c r="BQ786">
        <v>0</v>
      </c>
      <c r="BT786">
        <v>0</v>
      </c>
      <c r="BU786">
        <v>0</v>
      </c>
      <c r="BV786">
        <v>0</v>
      </c>
      <c r="CC786" t="str">
        <f>"18:47:44.109"</f>
        <v>18:47:44.109</v>
      </c>
      <c r="CD786" t="str">
        <f>"111583365"</f>
        <v>111583365</v>
      </c>
      <c r="CQ786">
        <v>0</v>
      </c>
      <c r="CR786">
        <v>2</v>
      </c>
      <c r="CS786">
        <v>0</v>
      </c>
      <c r="CT786">
        <v>2</v>
      </c>
      <c r="CU786">
        <v>0</v>
      </c>
      <c r="CV786">
        <v>2</v>
      </c>
      <c r="CW786" t="s">
        <v>172</v>
      </c>
      <c r="CX786">
        <v>326</v>
      </c>
      <c r="CY786">
        <v>0</v>
      </c>
      <c r="CZ786" t="s">
        <v>173</v>
      </c>
      <c r="DA786" t="s">
        <v>174</v>
      </c>
      <c r="DD786">
        <v>6014394</v>
      </c>
      <c r="DE786" t="s">
        <v>123</v>
      </c>
    </row>
    <row r="787" spans="1:109" x14ac:dyDescent="0.3">
      <c r="A787" t="str">
        <f>"18:47:45.406"</f>
        <v>18:47:45.406</v>
      </c>
      <c r="B787" t="s">
        <v>110</v>
      </c>
      <c r="C787" t="str">
        <f t="shared" si="36"/>
        <v>ffdfd3c0</v>
      </c>
      <c r="D787" t="s">
        <v>111</v>
      </c>
      <c r="E787">
        <v>18</v>
      </c>
      <c r="F787">
        <v>1018</v>
      </c>
      <c r="G787" t="s">
        <v>112</v>
      </c>
      <c r="J787" t="s">
        <v>113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R787" t="s">
        <v>114</v>
      </c>
      <c r="S787" t="str">
        <f>"18:47:45.156"</f>
        <v>18:47:45.156</v>
      </c>
      <c r="T787" t="str">
        <f>"18:47:44.758"</f>
        <v>18:47:44.758</v>
      </c>
      <c r="U787" t="str">
        <f t="shared" si="37"/>
        <v>a1cdbe</v>
      </c>
      <c r="V787">
        <v>0</v>
      </c>
      <c r="W787">
        <v>0</v>
      </c>
      <c r="X787">
        <v>1</v>
      </c>
      <c r="Y787">
        <v>0</v>
      </c>
      <c r="Z787">
        <v>0</v>
      </c>
      <c r="AB787">
        <v>0</v>
      </c>
      <c r="AC787">
        <v>9</v>
      </c>
      <c r="AD787">
        <v>3</v>
      </c>
      <c r="AE787">
        <v>0</v>
      </c>
      <c r="AF787">
        <v>9</v>
      </c>
      <c r="AG787" t="s">
        <v>158</v>
      </c>
      <c r="AH787">
        <v>0</v>
      </c>
      <c r="AI787">
        <v>3</v>
      </c>
      <c r="AJ787">
        <v>1</v>
      </c>
      <c r="AK787">
        <v>0</v>
      </c>
      <c r="AL787" t="s">
        <v>1644</v>
      </c>
      <c r="AM787">
        <v>46.86759</v>
      </c>
      <c r="AN787" t="s">
        <v>1645</v>
      </c>
      <c r="AO787">
        <v>-122.407737</v>
      </c>
      <c r="AP787">
        <v>100</v>
      </c>
      <c r="AQ787">
        <v>1900</v>
      </c>
      <c r="AR787" t="s">
        <v>118</v>
      </c>
      <c r="AS787">
        <v>-57</v>
      </c>
      <c r="AT787">
        <v>-46</v>
      </c>
      <c r="AU787">
        <v>-64</v>
      </c>
      <c r="BC787">
        <v>1200</v>
      </c>
      <c r="BD787">
        <v>1</v>
      </c>
      <c r="BE787" t="str">
        <f t="shared" si="38"/>
        <v xml:space="preserve">N215T   </v>
      </c>
      <c r="BF787">
        <v>1</v>
      </c>
      <c r="BH787">
        <v>0</v>
      </c>
      <c r="BI787">
        <v>0</v>
      </c>
      <c r="BJ787">
        <v>0</v>
      </c>
      <c r="BK787">
        <v>2250</v>
      </c>
      <c r="BL787">
        <v>350</v>
      </c>
      <c r="BM787" t="s">
        <v>119</v>
      </c>
      <c r="BN787">
        <v>1</v>
      </c>
      <c r="BO787">
        <v>1</v>
      </c>
      <c r="BP787">
        <v>1</v>
      </c>
      <c r="BQ787">
        <v>0</v>
      </c>
      <c r="BT787">
        <v>0</v>
      </c>
      <c r="BU787">
        <v>0</v>
      </c>
      <c r="BV787">
        <v>0</v>
      </c>
      <c r="CC787" t="str">
        <f>"18:47:45.164"</f>
        <v>18:47:45.164</v>
      </c>
      <c r="CD787" t="str">
        <f>"161656783"</f>
        <v>161656783</v>
      </c>
      <c r="CQ787">
        <v>0</v>
      </c>
      <c r="CR787">
        <v>2</v>
      </c>
      <c r="CS787">
        <v>0</v>
      </c>
      <c r="CT787">
        <v>2</v>
      </c>
      <c r="CU787">
        <v>0</v>
      </c>
      <c r="CV787">
        <v>4</v>
      </c>
      <c r="CW787" t="s">
        <v>120</v>
      </c>
      <c r="CX787">
        <v>257</v>
      </c>
      <c r="CY787">
        <v>1</v>
      </c>
      <c r="CZ787" t="s">
        <v>615</v>
      </c>
      <c r="DA787" t="s">
        <v>616</v>
      </c>
      <c r="DD787">
        <v>10976756</v>
      </c>
      <c r="DE787" t="s">
        <v>123</v>
      </c>
    </row>
    <row r="788" spans="1:109" x14ac:dyDescent="0.3">
      <c r="A788" t="str">
        <f>"18:47:46.414"</f>
        <v>18:47:46.414</v>
      </c>
      <c r="B788" t="s">
        <v>110</v>
      </c>
      <c r="C788" t="str">
        <f t="shared" si="36"/>
        <v>ffdfd3c0</v>
      </c>
      <c r="D788" t="s">
        <v>111</v>
      </c>
      <c r="E788">
        <v>18</v>
      </c>
      <c r="F788">
        <v>1018</v>
      </c>
      <c r="G788" t="s">
        <v>112</v>
      </c>
      <c r="J788" t="s">
        <v>113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R788" t="s">
        <v>114</v>
      </c>
      <c r="S788" t="str">
        <f>"18:47:46.211"</f>
        <v>18:47:46.211</v>
      </c>
      <c r="T788" t="str">
        <f>"18:47:46.109"</f>
        <v>18:47:46.109</v>
      </c>
      <c r="U788" t="str">
        <f t="shared" si="37"/>
        <v>a1cdbe</v>
      </c>
      <c r="V788">
        <v>0</v>
      </c>
      <c r="W788">
        <v>0</v>
      </c>
      <c r="X788">
        <v>1</v>
      </c>
      <c r="Y788">
        <v>0</v>
      </c>
      <c r="Z788">
        <v>0</v>
      </c>
      <c r="AB788">
        <v>0</v>
      </c>
      <c r="AC788">
        <v>9</v>
      </c>
      <c r="AD788">
        <v>3</v>
      </c>
      <c r="AE788">
        <v>0</v>
      </c>
      <c r="AF788">
        <v>9</v>
      </c>
      <c r="AG788" t="s">
        <v>158</v>
      </c>
      <c r="AH788">
        <v>0</v>
      </c>
      <c r="AI788">
        <v>3</v>
      </c>
      <c r="AJ788">
        <v>1</v>
      </c>
      <c r="AK788">
        <v>0</v>
      </c>
      <c r="AL788" t="s">
        <v>1646</v>
      </c>
      <c r="AM788">
        <v>46.867353999999999</v>
      </c>
      <c r="AN788" t="s">
        <v>1647</v>
      </c>
      <c r="AO788">
        <v>-122.408123</v>
      </c>
      <c r="AP788">
        <v>100</v>
      </c>
      <c r="AQ788">
        <v>1900</v>
      </c>
      <c r="AR788" t="s">
        <v>118</v>
      </c>
      <c r="AS788">
        <v>-58</v>
      </c>
      <c r="AT788">
        <v>-46</v>
      </c>
      <c r="AU788">
        <v>0</v>
      </c>
      <c r="BC788">
        <v>1200</v>
      </c>
      <c r="BD788">
        <v>1</v>
      </c>
      <c r="BE788" t="str">
        <f t="shared" si="38"/>
        <v xml:space="preserve">N215T   </v>
      </c>
      <c r="BF788">
        <v>1</v>
      </c>
      <c r="BH788">
        <v>0</v>
      </c>
      <c r="BI788">
        <v>0</v>
      </c>
      <c r="BJ788">
        <v>0</v>
      </c>
      <c r="BK788">
        <v>2250</v>
      </c>
      <c r="BL788">
        <v>350</v>
      </c>
      <c r="BM788" t="s">
        <v>119</v>
      </c>
      <c r="BN788">
        <v>1</v>
      </c>
      <c r="BO788">
        <v>1</v>
      </c>
      <c r="BP788">
        <v>1</v>
      </c>
      <c r="BQ788">
        <v>0</v>
      </c>
      <c r="BT788">
        <v>0</v>
      </c>
      <c r="BU788">
        <v>0</v>
      </c>
      <c r="BV788">
        <v>0</v>
      </c>
      <c r="CC788" t="str">
        <f>"18:47:46.211"</f>
        <v>18:47:46.211</v>
      </c>
      <c r="CD788" t="str">
        <f>"211553265"</f>
        <v>211553265</v>
      </c>
      <c r="CQ788">
        <v>0</v>
      </c>
      <c r="CR788">
        <v>2</v>
      </c>
      <c r="CS788">
        <v>0</v>
      </c>
      <c r="CT788">
        <v>2</v>
      </c>
      <c r="CU788">
        <v>0</v>
      </c>
      <c r="CV788">
        <v>4</v>
      </c>
      <c r="CW788" t="s">
        <v>120</v>
      </c>
      <c r="CX788">
        <v>257</v>
      </c>
      <c r="CY788">
        <v>1</v>
      </c>
      <c r="CZ788" t="s">
        <v>615</v>
      </c>
      <c r="DA788" t="s">
        <v>616</v>
      </c>
      <c r="DD788">
        <v>10977434</v>
      </c>
      <c r="DE788" t="s">
        <v>123</v>
      </c>
    </row>
    <row r="789" spans="1:109" x14ac:dyDescent="0.3">
      <c r="A789" t="str">
        <f>"18:47:47.320"</f>
        <v>18:47:47.320</v>
      </c>
      <c r="B789" t="s">
        <v>110</v>
      </c>
      <c r="C789" t="str">
        <f t="shared" si="36"/>
        <v>ffdfd3c0</v>
      </c>
      <c r="D789" t="s">
        <v>111</v>
      </c>
      <c r="E789">
        <v>18</v>
      </c>
      <c r="F789">
        <v>1018</v>
      </c>
      <c r="G789" t="s">
        <v>112</v>
      </c>
      <c r="J789" t="s">
        <v>113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R789" t="s">
        <v>114</v>
      </c>
      <c r="S789" t="str">
        <f>"18:47:47.063"</f>
        <v>18:47:47.063</v>
      </c>
      <c r="T789" t="str">
        <f>"18:47:47.063"</f>
        <v>18:47:47.063</v>
      </c>
      <c r="U789" t="str">
        <f t="shared" si="37"/>
        <v>a1cdbe</v>
      </c>
      <c r="V789">
        <v>0</v>
      </c>
      <c r="W789">
        <v>0</v>
      </c>
      <c r="X789">
        <v>1</v>
      </c>
      <c r="Y789">
        <v>0</v>
      </c>
      <c r="Z789">
        <v>0</v>
      </c>
      <c r="AB789">
        <v>0</v>
      </c>
      <c r="AC789">
        <v>9</v>
      </c>
      <c r="AD789">
        <v>3</v>
      </c>
      <c r="AE789">
        <v>0</v>
      </c>
      <c r="AF789">
        <v>9</v>
      </c>
      <c r="AG789" t="s">
        <v>158</v>
      </c>
      <c r="AH789">
        <v>0</v>
      </c>
      <c r="AI789">
        <v>3</v>
      </c>
      <c r="AJ789">
        <v>1</v>
      </c>
      <c r="AK789">
        <v>0</v>
      </c>
      <c r="AL789" t="s">
        <v>1648</v>
      </c>
      <c r="AM789">
        <v>46.867161000000003</v>
      </c>
      <c r="AN789" t="s">
        <v>1649</v>
      </c>
      <c r="AO789">
        <v>-122.408509</v>
      </c>
      <c r="AP789">
        <v>100</v>
      </c>
      <c r="AQ789">
        <v>1900</v>
      </c>
      <c r="AR789" t="s">
        <v>118</v>
      </c>
      <c r="AS789">
        <v>-58</v>
      </c>
      <c r="AT789">
        <v>-45</v>
      </c>
      <c r="AU789">
        <v>-64</v>
      </c>
      <c r="BC789">
        <v>1200</v>
      </c>
      <c r="BD789">
        <v>1</v>
      </c>
      <c r="BE789" t="str">
        <f t="shared" si="38"/>
        <v xml:space="preserve">N215T   </v>
      </c>
      <c r="BF789">
        <v>1</v>
      </c>
      <c r="BH789">
        <v>0</v>
      </c>
      <c r="BI789">
        <v>0</v>
      </c>
      <c r="BJ789">
        <v>0</v>
      </c>
      <c r="BK789">
        <v>2250</v>
      </c>
      <c r="BL789">
        <v>350</v>
      </c>
      <c r="BM789" t="s">
        <v>119</v>
      </c>
      <c r="BN789">
        <v>1</v>
      </c>
      <c r="BO789">
        <v>1</v>
      </c>
      <c r="BP789">
        <v>1</v>
      </c>
      <c r="BQ789">
        <v>0</v>
      </c>
      <c r="BT789">
        <v>0</v>
      </c>
      <c r="BU789">
        <v>0</v>
      </c>
      <c r="BV789">
        <v>0</v>
      </c>
      <c r="CC789" t="str">
        <f>"18:47:47.070"</f>
        <v>18:47:47.070</v>
      </c>
      <c r="CD789" t="str">
        <f>"066469003"</f>
        <v>066469003</v>
      </c>
      <c r="CQ789">
        <v>0</v>
      </c>
      <c r="CR789">
        <v>2</v>
      </c>
      <c r="CS789">
        <v>0</v>
      </c>
      <c r="CT789">
        <v>2</v>
      </c>
      <c r="CU789">
        <v>0</v>
      </c>
      <c r="CV789">
        <v>4</v>
      </c>
      <c r="CW789" t="s">
        <v>120</v>
      </c>
      <c r="CX789">
        <v>257</v>
      </c>
      <c r="CY789">
        <v>1</v>
      </c>
      <c r="CZ789" t="s">
        <v>615</v>
      </c>
      <c r="DA789" t="s">
        <v>616</v>
      </c>
      <c r="DD789">
        <v>10978036</v>
      </c>
      <c r="DE789" t="s">
        <v>123</v>
      </c>
    </row>
    <row r="790" spans="1:109" x14ac:dyDescent="0.3">
      <c r="A790" t="str">
        <f>"18:47:48.328"</f>
        <v>18:47:48.328</v>
      </c>
      <c r="B790" t="s">
        <v>110</v>
      </c>
      <c r="C790" t="str">
        <f t="shared" si="36"/>
        <v>ffdfd3c0</v>
      </c>
      <c r="D790" t="s">
        <v>111</v>
      </c>
      <c r="E790">
        <v>18</v>
      </c>
      <c r="F790">
        <v>1018</v>
      </c>
      <c r="G790" t="s">
        <v>112</v>
      </c>
      <c r="J790" t="s">
        <v>113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R790" t="s">
        <v>114</v>
      </c>
      <c r="S790" t="str">
        <f>"18:47:48.094"</f>
        <v>18:47:48.094</v>
      </c>
      <c r="T790" t="str">
        <f>"18:47:48.094"</f>
        <v>18:47:48.094</v>
      </c>
      <c r="U790" t="str">
        <f t="shared" si="37"/>
        <v>a1cdbe</v>
      </c>
      <c r="V790">
        <v>0</v>
      </c>
      <c r="W790">
        <v>0</v>
      </c>
      <c r="X790">
        <v>1</v>
      </c>
      <c r="Y790">
        <v>0</v>
      </c>
      <c r="Z790">
        <v>0</v>
      </c>
      <c r="AB790">
        <v>0</v>
      </c>
      <c r="AC790">
        <v>9</v>
      </c>
      <c r="AD790">
        <v>3</v>
      </c>
      <c r="AE790">
        <v>0</v>
      </c>
      <c r="AF790">
        <v>9</v>
      </c>
      <c r="AG790" t="s">
        <v>158</v>
      </c>
      <c r="AH790">
        <v>0</v>
      </c>
      <c r="AI790">
        <v>3</v>
      </c>
      <c r="AJ790">
        <v>1</v>
      </c>
      <c r="AK790">
        <v>0</v>
      </c>
      <c r="AL790" t="s">
        <v>1650</v>
      </c>
      <c r="AM790">
        <v>46.866988999999997</v>
      </c>
      <c r="AN790" t="s">
        <v>1651</v>
      </c>
      <c r="AO790">
        <v>-122.40893800000001</v>
      </c>
      <c r="AP790">
        <v>100</v>
      </c>
      <c r="AQ790">
        <v>1900</v>
      </c>
      <c r="AR790" t="s">
        <v>118</v>
      </c>
      <c r="AS790">
        <v>-58</v>
      </c>
      <c r="AT790">
        <v>-45</v>
      </c>
      <c r="AU790">
        <v>-128</v>
      </c>
      <c r="BC790">
        <v>1200</v>
      </c>
      <c r="BD790">
        <v>1</v>
      </c>
      <c r="BE790" t="str">
        <f t="shared" si="38"/>
        <v xml:space="preserve">N215T   </v>
      </c>
      <c r="BF790">
        <v>1</v>
      </c>
      <c r="BH790">
        <v>0</v>
      </c>
      <c r="BI790">
        <v>0</v>
      </c>
      <c r="BJ790">
        <v>0</v>
      </c>
      <c r="BK790">
        <v>2250</v>
      </c>
      <c r="BL790">
        <v>350</v>
      </c>
      <c r="BM790" t="s">
        <v>119</v>
      </c>
      <c r="BN790">
        <v>1</v>
      </c>
      <c r="BO790">
        <v>1</v>
      </c>
      <c r="BP790">
        <v>1</v>
      </c>
      <c r="BQ790">
        <v>0</v>
      </c>
      <c r="BT790">
        <v>0</v>
      </c>
      <c r="BU790">
        <v>0</v>
      </c>
      <c r="BV790">
        <v>0</v>
      </c>
      <c r="CC790" t="str">
        <f>"18:47:48.102"</f>
        <v>18:47:48.102</v>
      </c>
      <c r="CD790" t="str">
        <f>"101366976"</f>
        <v>101366976</v>
      </c>
      <c r="CQ790">
        <v>0</v>
      </c>
      <c r="CR790">
        <v>2</v>
      </c>
      <c r="CS790">
        <v>0</v>
      </c>
      <c r="CT790">
        <v>2</v>
      </c>
      <c r="CU790">
        <v>0</v>
      </c>
      <c r="CV790">
        <v>4</v>
      </c>
      <c r="CW790" t="s">
        <v>120</v>
      </c>
      <c r="CX790">
        <v>257</v>
      </c>
      <c r="CY790">
        <v>1</v>
      </c>
      <c r="CZ790" t="s">
        <v>615</v>
      </c>
      <c r="DA790" t="s">
        <v>616</v>
      </c>
      <c r="DD790">
        <v>10978755</v>
      </c>
      <c r="DE790" t="s">
        <v>123</v>
      </c>
    </row>
    <row r="791" spans="1:109" x14ac:dyDescent="0.3">
      <c r="A791" t="str">
        <f>"18:47:49.484"</f>
        <v>18:47:49.484</v>
      </c>
      <c r="B791" t="s">
        <v>110</v>
      </c>
      <c r="C791" t="str">
        <f t="shared" si="36"/>
        <v>ffdfd3c0</v>
      </c>
      <c r="D791" t="s">
        <v>111</v>
      </c>
      <c r="E791">
        <v>18</v>
      </c>
      <c r="F791">
        <v>1018</v>
      </c>
      <c r="G791" t="s">
        <v>112</v>
      </c>
      <c r="J791" t="s">
        <v>113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R791" t="s">
        <v>114</v>
      </c>
      <c r="S791" t="str">
        <f>"18:47:49.250"</f>
        <v>18:47:49.250</v>
      </c>
      <c r="T791" t="str">
        <f>"18:47:49.047"</f>
        <v>18:47:49.047</v>
      </c>
      <c r="U791" t="str">
        <f t="shared" si="37"/>
        <v>a1cdbe</v>
      </c>
      <c r="V791">
        <v>0</v>
      </c>
      <c r="W791">
        <v>0</v>
      </c>
      <c r="X791">
        <v>1</v>
      </c>
      <c r="Y791">
        <v>0</v>
      </c>
      <c r="Z791">
        <v>0</v>
      </c>
      <c r="AB791">
        <v>0</v>
      </c>
      <c r="AC791">
        <v>9</v>
      </c>
      <c r="AD791">
        <v>3</v>
      </c>
      <c r="AE791">
        <v>0</v>
      </c>
      <c r="AF791">
        <v>9</v>
      </c>
      <c r="AG791" t="s">
        <v>158</v>
      </c>
      <c r="AH791">
        <v>0</v>
      </c>
      <c r="AI791">
        <v>3</v>
      </c>
      <c r="AJ791">
        <v>1</v>
      </c>
      <c r="AK791">
        <v>0</v>
      </c>
      <c r="AL791" t="s">
        <v>1652</v>
      </c>
      <c r="AM791">
        <v>46.866709999999998</v>
      </c>
      <c r="AN791" t="s">
        <v>1653</v>
      </c>
      <c r="AO791">
        <v>-122.40940999999999</v>
      </c>
      <c r="AP791">
        <v>100</v>
      </c>
      <c r="AQ791">
        <v>1900</v>
      </c>
      <c r="AR791" t="s">
        <v>118</v>
      </c>
      <c r="AS791">
        <v>-58</v>
      </c>
      <c r="AT791">
        <v>-45</v>
      </c>
      <c r="AU791">
        <v>-64</v>
      </c>
      <c r="BC791">
        <v>1200</v>
      </c>
      <c r="BD791">
        <v>1</v>
      </c>
      <c r="BE791" t="str">
        <f t="shared" si="38"/>
        <v xml:space="preserve">N215T   </v>
      </c>
      <c r="BF791">
        <v>1</v>
      </c>
      <c r="BH791">
        <v>0</v>
      </c>
      <c r="BI791">
        <v>0</v>
      </c>
      <c r="BJ791">
        <v>0</v>
      </c>
      <c r="BK791">
        <v>2250</v>
      </c>
      <c r="BL791">
        <v>350</v>
      </c>
      <c r="BM791" t="s">
        <v>119</v>
      </c>
      <c r="BN791">
        <v>1</v>
      </c>
      <c r="BO791">
        <v>1</v>
      </c>
      <c r="BP791">
        <v>1</v>
      </c>
      <c r="BQ791">
        <v>0</v>
      </c>
      <c r="BT791">
        <v>0</v>
      </c>
      <c r="BU791">
        <v>0</v>
      </c>
      <c r="BV791">
        <v>0</v>
      </c>
      <c r="CC791" t="str">
        <f>"18:47:49.258"</f>
        <v>18:47:49.258</v>
      </c>
      <c r="CD791" t="str">
        <f>"256253141"</f>
        <v>256253141</v>
      </c>
      <c r="CQ791">
        <v>0</v>
      </c>
      <c r="CR791">
        <v>2</v>
      </c>
      <c r="CS791">
        <v>0</v>
      </c>
      <c r="CT791">
        <v>2</v>
      </c>
      <c r="CU791">
        <v>0</v>
      </c>
      <c r="CV791">
        <v>4</v>
      </c>
      <c r="CW791" t="s">
        <v>120</v>
      </c>
      <c r="CX791">
        <v>257</v>
      </c>
      <c r="CY791">
        <v>1</v>
      </c>
      <c r="CZ791" t="s">
        <v>615</v>
      </c>
      <c r="DA791" t="s">
        <v>616</v>
      </c>
      <c r="DD791">
        <v>10979537</v>
      </c>
      <c r="DE791" t="s">
        <v>123</v>
      </c>
    </row>
    <row r="792" spans="1:109" x14ac:dyDescent="0.3">
      <c r="A792" t="str">
        <f>"18:47:50.391"</f>
        <v>18:47:50.391</v>
      </c>
      <c r="B792" t="s">
        <v>110</v>
      </c>
      <c r="C792" t="str">
        <f t="shared" si="36"/>
        <v>ffdfd3c0</v>
      </c>
      <c r="D792" t="s">
        <v>111</v>
      </c>
      <c r="E792">
        <v>18</v>
      </c>
      <c r="F792">
        <v>1018</v>
      </c>
      <c r="G792" t="s">
        <v>112</v>
      </c>
      <c r="J792" t="s">
        <v>113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R792" t="s">
        <v>114</v>
      </c>
      <c r="S792" t="str">
        <f>"18:47:50.148"</f>
        <v>18:47:50.148</v>
      </c>
      <c r="T792" t="str">
        <f>"18:47:50.148"</f>
        <v>18:47:50.148</v>
      </c>
      <c r="U792" t="str">
        <f t="shared" si="37"/>
        <v>a1cdbe</v>
      </c>
      <c r="V792">
        <v>0</v>
      </c>
      <c r="W792">
        <v>0</v>
      </c>
      <c r="X792">
        <v>1</v>
      </c>
      <c r="Y792">
        <v>0</v>
      </c>
      <c r="Z792">
        <v>0</v>
      </c>
      <c r="AB792">
        <v>0</v>
      </c>
      <c r="AC792">
        <v>9</v>
      </c>
      <c r="AD792">
        <v>3</v>
      </c>
      <c r="AE792">
        <v>0</v>
      </c>
      <c r="AF792">
        <v>9</v>
      </c>
      <c r="AG792" t="s">
        <v>158</v>
      </c>
      <c r="AH792">
        <v>0</v>
      </c>
      <c r="AI792">
        <v>3</v>
      </c>
      <c r="AJ792">
        <v>1</v>
      </c>
      <c r="AK792">
        <v>0</v>
      </c>
      <c r="AL792" t="s">
        <v>1654</v>
      </c>
      <c r="AM792">
        <v>46.86656</v>
      </c>
      <c r="AN792" t="s">
        <v>1655</v>
      </c>
      <c r="AO792">
        <v>-122.409668</v>
      </c>
      <c r="AP792">
        <v>100</v>
      </c>
      <c r="AQ792">
        <v>1900</v>
      </c>
      <c r="AR792" t="s">
        <v>118</v>
      </c>
      <c r="AS792">
        <v>-58</v>
      </c>
      <c r="AT792">
        <v>-45</v>
      </c>
      <c r="AU792">
        <v>-64</v>
      </c>
      <c r="BC792">
        <v>1200</v>
      </c>
      <c r="BD792">
        <v>1</v>
      </c>
      <c r="BE792" t="str">
        <f t="shared" si="38"/>
        <v xml:space="preserve">N215T   </v>
      </c>
      <c r="BF792">
        <v>1</v>
      </c>
      <c r="BH792">
        <v>0</v>
      </c>
      <c r="BI792">
        <v>0</v>
      </c>
      <c r="BJ792">
        <v>0</v>
      </c>
      <c r="BK792">
        <v>2225</v>
      </c>
      <c r="BL792">
        <v>325</v>
      </c>
      <c r="BM792" t="s">
        <v>119</v>
      </c>
      <c r="BN792">
        <v>1</v>
      </c>
      <c r="BO792">
        <v>1</v>
      </c>
      <c r="BP792">
        <v>1</v>
      </c>
      <c r="BQ792">
        <v>0</v>
      </c>
      <c r="BT792">
        <v>0</v>
      </c>
      <c r="BU792">
        <v>0</v>
      </c>
      <c r="BV792">
        <v>0</v>
      </c>
      <c r="CC792" t="str">
        <f>"18:47:50.156"</f>
        <v>18:47:50.156</v>
      </c>
      <c r="CD792" t="str">
        <f>"156164409"</f>
        <v>156164409</v>
      </c>
      <c r="CQ792">
        <v>0</v>
      </c>
      <c r="CR792">
        <v>2</v>
      </c>
      <c r="CS792">
        <v>0</v>
      </c>
      <c r="CT792">
        <v>2</v>
      </c>
      <c r="CU792">
        <v>0</v>
      </c>
      <c r="CV792">
        <v>5</v>
      </c>
      <c r="CW792" t="s">
        <v>120</v>
      </c>
      <c r="CX792">
        <v>257</v>
      </c>
      <c r="CY792">
        <v>1</v>
      </c>
      <c r="CZ792" t="s">
        <v>615</v>
      </c>
      <c r="DA792" t="s">
        <v>616</v>
      </c>
      <c r="DD792">
        <v>10980138</v>
      </c>
      <c r="DE792" t="s">
        <v>123</v>
      </c>
    </row>
    <row r="793" spans="1:109" x14ac:dyDescent="0.3">
      <c r="A793" t="str">
        <f>"18:47:51.445"</f>
        <v>18:47:51.445</v>
      </c>
      <c r="B793" t="s">
        <v>110</v>
      </c>
      <c r="C793" t="str">
        <f t="shared" si="36"/>
        <v>ffdfd3c0</v>
      </c>
      <c r="D793" t="s">
        <v>111</v>
      </c>
      <c r="E793">
        <v>18</v>
      </c>
      <c r="F793">
        <v>1018</v>
      </c>
      <c r="G793" t="s">
        <v>112</v>
      </c>
      <c r="J793" t="s">
        <v>113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R793" t="s">
        <v>114</v>
      </c>
      <c r="S793" t="str">
        <f>"18:47:51.188"</f>
        <v>18:47:51.188</v>
      </c>
      <c r="T793" t="str">
        <f>"18:47:51.188"</f>
        <v>18:47:51.188</v>
      </c>
      <c r="U793" t="str">
        <f t="shared" si="37"/>
        <v>a1cdbe</v>
      </c>
      <c r="V793">
        <v>0</v>
      </c>
      <c r="W793">
        <v>0</v>
      </c>
      <c r="X793">
        <v>1</v>
      </c>
      <c r="Y793">
        <v>0</v>
      </c>
      <c r="Z793">
        <v>0</v>
      </c>
      <c r="AB793">
        <v>0</v>
      </c>
      <c r="AC793">
        <v>9</v>
      </c>
      <c r="AD793">
        <v>3</v>
      </c>
      <c r="AE793">
        <v>0</v>
      </c>
      <c r="AF793">
        <v>9</v>
      </c>
      <c r="AG793" t="s">
        <v>158</v>
      </c>
      <c r="AH793">
        <v>0</v>
      </c>
      <c r="AI793">
        <v>3</v>
      </c>
      <c r="AJ793">
        <v>1</v>
      </c>
      <c r="AK793">
        <v>0</v>
      </c>
      <c r="AL793" t="s">
        <v>1656</v>
      </c>
      <c r="AM793">
        <v>46.866345000000003</v>
      </c>
      <c r="AN793" t="s">
        <v>1657</v>
      </c>
      <c r="AO793">
        <v>-122.41014</v>
      </c>
      <c r="AP793">
        <v>100</v>
      </c>
      <c r="AQ793">
        <v>1900</v>
      </c>
      <c r="AR793" t="s">
        <v>118</v>
      </c>
      <c r="AS793">
        <v>-58</v>
      </c>
      <c r="AT793">
        <v>-45</v>
      </c>
      <c r="AU793">
        <v>0</v>
      </c>
      <c r="BC793">
        <v>1200</v>
      </c>
      <c r="BD793">
        <v>1</v>
      </c>
      <c r="BE793" t="str">
        <f t="shared" si="38"/>
        <v xml:space="preserve">N215T   </v>
      </c>
      <c r="BF793">
        <v>1</v>
      </c>
      <c r="BH793">
        <v>0</v>
      </c>
      <c r="BI793">
        <v>0</v>
      </c>
      <c r="BJ793">
        <v>0</v>
      </c>
      <c r="BK793">
        <v>2225</v>
      </c>
      <c r="BL793">
        <v>325</v>
      </c>
      <c r="BM793" t="s">
        <v>119</v>
      </c>
      <c r="BN793">
        <v>1</v>
      </c>
      <c r="BO793">
        <v>1</v>
      </c>
      <c r="BP793">
        <v>1</v>
      </c>
      <c r="BQ793">
        <v>0</v>
      </c>
      <c r="BT793">
        <v>0</v>
      </c>
      <c r="BU793">
        <v>0</v>
      </c>
      <c r="BV793">
        <v>0</v>
      </c>
      <c r="CC793" t="str">
        <f>"18:47:51.188"</f>
        <v>18:47:51.188</v>
      </c>
      <c r="CD793" t="str">
        <f>"191062384"</f>
        <v>191062384</v>
      </c>
      <c r="CQ793">
        <v>0</v>
      </c>
      <c r="CR793">
        <v>2</v>
      </c>
      <c r="CS793">
        <v>0</v>
      </c>
      <c r="CT793">
        <v>2</v>
      </c>
      <c r="CU793">
        <v>0</v>
      </c>
      <c r="CV793">
        <v>4</v>
      </c>
      <c r="CW793" t="s">
        <v>120</v>
      </c>
      <c r="CX793">
        <v>257</v>
      </c>
      <c r="CY793">
        <v>1</v>
      </c>
      <c r="CZ793" t="s">
        <v>615</v>
      </c>
      <c r="DA793" t="s">
        <v>616</v>
      </c>
      <c r="DD793">
        <v>10980820</v>
      </c>
      <c r="DE793" t="s">
        <v>123</v>
      </c>
    </row>
    <row r="794" spans="1:109" x14ac:dyDescent="0.3">
      <c r="A794" t="str">
        <f>"18:47:52.398"</f>
        <v>18:47:52.398</v>
      </c>
      <c r="B794" t="s">
        <v>110</v>
      </c>
      <c r="C794" t="str">
        <f t="shared" si="36"/>
        <v>ffdfd3c0</v>
      </c>
      <c r="D794" t="s">
        <v>111</v>
      </c>
      <c r="E794">
        <v>18</v>
      </c>
      <c r="F794">
        <v>1018</v>
      </c>
      <c r="G794" t="s">
        <v>112</v>
      </c>
      <c r="J794" t="s">
        <v>113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R794" t="s">
        <v>114</v>
      </c>
      <c r="S794" t="str">
        <f>"18:47:52.195"</f>
        <v>18:47:52.195</v>
      </c>
      <c r="T794" t="str">
        <f>"18:47:51.797"</f>
        <v>18:47:51.797</v>
      </c>
      <c r="U794" t="str">
        <f t="shared" si="37"/>
        <v>a1cdbe</v>
      </c>
      <c r="V794">
        <v>0</v>
      </c>
      <c r="W794">
        <v>0</v>
      </c>
      <c r="X794">
        <v>1</v>
      </c>
      <c r="Y794">
        <v>0</v>
      </c>
      <c r="Z794">
        <v>0</v>
      </c>
      <c r="AB794">
        <v>0</v>
      </c>
      <c r="AC794">
        <v>9</v>
      </c>
      <c r="AD794">
        <v>3</v>
      </c>
      <c r="AE794">
        <v>0</v>
      </c>
      <c r="AF794">
        <v>9</v>
      </c>
      <c r="AG794" t="s">
        <v>158</v>
      </c>
      <c r="AH794">
        <v>0</v>
      </c>
      <c r="AI794">
        <v>3</v>
      </c>
      <c r="AJ794">
        <v>1</v>
      </c>
      <c r="AK794">
        <v>0</v>
      </c>
      <c r="AL794" t="s">
        <v>1658</v>
      </c>
      <c r="AM794">
        <v>46.866131000000003</v>
      </c>
      <c r="AN794" t="s">
        <v>1659</v>
      </c>
      <c r="AO794">
        <v>-122.410483</v>
      </c>
      <c r="AP794">
        <v>100</v>
      </c>
      <c r="AQ794">
        <v>1900</v>
      </c>
      <c r="AR794" t="s">
        <v>118</v>
      </c>
      <c r="AS794">
        <v>-58</v>
      </c>
      <c r="AT794">
        <v>-45</v>
      </c>
      <c r="AU794">
        <v>-64</v>
      </c>
      <c r="BC794">
        <v>1200</v>
      </c>
      <c r="BD794">
        <v>1</v>
      </c>
      <c r="BE794" t="str">
        <f t="shared" si="38"/>
        <v xml:space="preserve">N215T   </v>
      </c>
      <c r="BF794">
        <v>1</v>
      </c>
      <c r="BH794">
        <v>0</v>
      </c>
      <c r="BI794">
        <v>0</v>
      </c>
      <c r="BJ794">
        <v>0</v>
      </c>
      <c r="BK794">
        <v>2225</v>
      </c>
      <c r="BL794">
        <v>325</v>
      </c>
      <c r="BM794" t="s">
        <v>119</v>
      </c>
      <c r="BN794">
        <v>1</v>
      </c>
      <c r="BO794">
        <v>1</v>
      </c>
      <c r="BP794">
        <v>1</v>
      </c>
      <c r="BQ794">
        <v>0</v>
      </c>
      <c r="BT794">
        <v>0</v>
      </c>
      <c r="BU794">
        <v>0</v>
      </c>
      <c r="BV794">
        <v>0</v>
      </c>
      <c r="CC794" t="str">
        <f>"18:47:52.195"</f>
        <v>18:47:52.195</v>
      </c>
      <c r="CD794" t="str">
        <f>"195963331"</f>
        <v>195963331</v>
      </c>
      <c r="CQ794">
        <v>0</v>
      </c>
      <c r="CR794">
        <v>2</v>
      </c>
      <c r="CS794">
        <v>0</v>
      </c>
      <c r="CT794">
        <v>2</v>
      </c>
      <c r="CU794">
        <v>0</v>
      </c>
      <c r="CV794">
        <v>4</v>
      </c>
      <c r="CW794" t="s">
        <v>120</v>
      </c>
      <c r="CX794">
        <v>257</v>
      </c>
      <c r="CY794">
        <v>1</v>
      </c>
      <c r="CZ794" t="s">
        <v>615</v>
      </c>
      <c r="DA794" t="s">
        <v>616</v>
      </c>
      <c r="DD794">
        <v>10981477</v>
      </c>
      <c r="DE794" t="s">
        <v>123</v>
      </c>
    </row>
    <row r="795" spans="1:109" x14ac:dyDescent="0.3">
      <c r="A795" t="str">
        <f>"18:47:53.305"</f>
        <v>18:47:53.305</v>
      </c>
      <c r="B795" t="s">
        <v>110</v>
      </c>
      <c r="C795" t="str">
        <f t="shared" si="36"/>
        <v>ffdfd3c0</v>
      </c>
      <c r="D795" t="s">
        <v>111</v>
      </c>
      <c r="E795">
        <v>18</v>
      </c>
      <c r="F795">
        <v>1018</v>
      </c>
      <c r="G795" t="s">
        <v>112</v>
      </c>
      <c r="J795" t="s">
        <v>113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R795" t="s">
        <v>114</v>
      </c>
      <c r="S795" t="str">
        <f>"18:47:53.109"</f>
        <v>18:47:53.109</v>
      </c>
      <c r="T795" t="str">
        <f>"18:47:52.813"</f>
        <v>18:47:52.813</v>
      </c>
      <c r="U795" t="str">
        <f t="shared" si="37"/>
        <v>a1cdbe</v>
      </c>
      <c r="V795">
        <v>0</v>
      </c>
      <c r="W795">
        <v>0</v>
      </c>
      <c r="X795">
        <v>1</v>
      </c>
      <c r="Y795">
        <v>0</v>
      </c>
      <c r="Z795">
        <v>0</v>
      </c>
      <c r="AB795">
        <v>0</v>
      </c>
      <c r="AC795">
        <v>9</v>
      </c>
      <c r="AD795">
        <v>3</v>
      </c>
      <c r="AE795">
        <v>0</v>
      </c>
      <c r="AF795">
        <v>9</v>
      </c>
      <c r="AG795" t="s">
        <v>158</v>
      </c>
      <c r="AH795">
        <v>0</v>
      </c>
      <c r="AI795">
        <v>3</v>
      </c>
      <c r="AJ795">
        <v>1</v>
      </c>
      <c r="AK795">
        <v>0</v>
      </c>
      <c r="AL795" t="s">
        <v>1660</v>
      </c>
      <c r="AM795">
        <v>46.865958999999997</v>
      </c>
      <c r="AN795" t="s">
        <v>1661</v>
      </c>
      <c r="AO795">
        <v>-122.410827</v>
      </c>
      <c r="AP795">
        <v>100</v>
      </c>
      <c r="AQ795">
        <v>1800</v>
      </c>
      <c r="AR795" t="s">
        <v>118</v>
      </c>
      <c r="AS795">
        <v>-58</v>
      </c>
      <c r="AT795">
        <v>-45</v>
      </c>
      <c r="AU795">
        <v>-128</v>
      </c>
      <c r="BC795">
        <v>1200</v>
      </c>
      <c r="BD795">
        <v>1</v>
      </c>
      <c r="BE795" t="str">
        <f t="shared" si="38"/>
        <v xml:space="preserve">N215T   </v>
      </c>
      <c r="BF795">
        <v>1</v>
      </c>
      <c r="BH795">
        <v>0</v>
      </c>
      <c r="BI795">
        <v>0</v>
      </c>
      <c r="BJ795">
        <v>0</v>
      </c>
      <c r="BK795">
        <v>2325</v>
      </c>
      <c r="BL795">
        <v>525</v>
      </c>
      <c r="BM795" t="s">
        <v>119</v>
      </c>
      <c r="BN795">
        <v>1</v>
      </c>
      <c r="BO795">
        <v>1</v>
      </c>
      <c r="BP795">
        <v>1</v>
      </c>
      <c r="BQ795">
        <v>0</v>
      </c>
      <c r="BT795">
        <v>0</v>
      </c>
      <c r="BU795">
        <v>0</v>
      </c>
      <c r="BV795">
        <v>0</v>
      </c>
      <c r="CC795" t="str">
        <f>"18:47:53.109"</f>
        <v>18:47:53.109</v>
      </c>
      <c r="CD795" t="str">
        <f>"110873098"</f>
        <v>110873098</v>
      </c>
      <c r="CQ795">
        <v>0</v>
      </c>
      <c r="CR795">
        <v>2</v>
      </c>
      <c r="CS795">
        <v>0</v>
      </c>
      <c r="CT795">
        <v>2</v>
      </c>
      <c r="CU795">
        <v>0</v>
      </c>
      <c r="CV795">
        <v>4</v>
      </c>
      <c r="CW795" t="s">
        <v>120</v>
      </c>
      <c r="CX795">
        <v>257</v>
      </c>
      <c r="CY795">
        <v>1</v>
      </c>
      <c r="CZ795" t="s">
        <v>615</v>
      </c>
      <c r="DA795" t="s">
        <v>616</v>
      </c>
      <c r="DD795">
        <v>10982100</v>
      </c>
      <c r="DE795" t="s">
        <v>123</v>
      </c>
    </row>
    <row r="796" spans="1:109" x14ac:dyDescent="0.3">
      <c r="A796" t="str">
        <f>"18:47:54.313"</f>
        <v>18:47:54.313</v>
      </c>
      <c r="B796" t="s">
        <v>110</v>
      </c>
      <c r="C796" t="str">
        <f t="shared" si="36"/>
        <v>ffdfd3c0</v>
      </c>
      <c r="D796" t="s">
        <v>111</v>
      </c>
      <c r="E796">
        <v>18</v>
      </c>
      <c r="F796">
        <v>1018</v>
      </c>
      <c r="G796" t="s">
        <v>112</v>
      </c>
      <c r="J796" t="s">
        <v>113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R796" t="s">
        <v>114</v>
      </c>
      <c r="S796" t="str">
        <f>"18:47:54.109"</f>
        <v>18:47:54.109</v>
      </c>
      <c r="T796" t="str">
        <f>"18:47:53.711"</f>
        <v>18:47:53.711</v>
      </c>
      <c r="U796" t="str">
        <f t="shared" si="37"/>
        <v>a1cdbe</v>
      </c>
      <c r="V796">
        <v>0</v>
      </c>
      <c r="W796">
        <v>0</v>
      </c>
      <c r="X796">
        <v>1</v>
      </c>
      <c r="Y796">
        <v>0</v>
      </c>
      <c r="Z796">
        <v>0</v>
      </c>
      <c r="AB796">
        <v>0</v>
      </c>
      <c r="AC796">
        <v>9</v>
      </c>
      <c r="AD796">
        <v>3</v>
      </c>
      <c r="AE796">
        <v>0</v>
      </c>
      <c r="AF796">
        <v>9</v>
      </c>
      <c r="AG796" t="s">
        <v>158</v>
      </c>
      <c r="AH796">
        <v>0</v>
      </c>
      <c r="AI796">
        <v>3</v>
      </c>
      <c r="AJ796">
        <v>1</v>
      </c>
      <c r="AK796">
        <v>0</v>
      </c>
      <c r="AL796" t="s">
        <v>1662</v>
      </c>
      <c r="AM796">
        <v>46.865701999999999</v>
      </c>
      <c r="AN796" t="s">
        <v>1663</v>
      </c>
      <c r="AO796">
        <v>-122.411277</v>
      </c>
      <c r="AP796">
        <v>100</v>
      </c>
      <c r="AQ796">
        <v>1800</v>
      </c>
      <c r="AR796" t="s">
        <v>118</v>
      </c>
      <c r="AS796">
        <v>-58</v>
      </c>
      <c r="AT796">
        <v>-46</v>
      </c>
      <c r="AU796">
        <v>-128</v>
      </c>
      <c r="BC796">
        <v>1200</v>
      </c>
      <c r="BD796">
        <v>1</v>
      </c>
      <c r="BE796" t="str">
        <f t="shared" si="38"/>
        <v xml:space="preserve">N215T   </v>
      </c>
      <c r="BF796">
        <v>1</v>
      </c>
      <c r="BH796">
        <v>0</v>
      </c>
      <c r="BI796">
        <v>0</v>
      </c>
      <c r="BJ796">
        <v>0</v>
      </c>
      <c r="BK796">
        <v>2225</v>
      </c>
      <c r="BL796">
        <v>425</v>
      </c>
      <c r="BM796" t="s">
        <v>119</v>
      </c>
      <c r="BN796">
        <v>1</v>
      </c>
      <c r="BO796">
        <v>1</v>
      </c>
      <c r="BP796">
        <v>1</v>
      </c>
      <c r="BQ796">
        <v>0</v>
      </c>
      <c r="BT796">
        <v>0</v>
      </c>
      <c r="BU796">
        <v>0</v>
      </c>
      <c r="BV796">
        <v>0</v>
      </c>
      <c r="CC796" t="str">
        <f>"18:47:54.117"</f>
        <v>18:47:54.117</v>
      </c>
      <c r="CD796" t="str">
        <f>"115774067"</f>
        <v>115774067</v>
      </c>
      <c r="CQ796">
        <v>0</v>
      </c>
      <c r="CR796">
        <v>2</v>
      </c>
      <c r="CS796">
        <v>0</v>
      </c>
      <c r="CT796">
        <v>2</v>
      </c>
      <c r="CU796">
        <v>0</v>
      </c>
      <c r="CV796">
        <v>4</v>
      </c>
      <c r="CW796" t="s">
        <v>120</v>
      </c>
      <c r="CX796">
        <v>257</v>
      </c>
      <c r="CY796">
        <v>1</v>
      </c>
      <c r="CZ796" t="s">
        <v>615</v>
      </c>
      <c r="DA796" t="s">
        <v>616</v>
      </c>
      <c r="DD796">
        <v>10982783</v>
      </c>
      <c r="DE796" t="s">
        <v>123</v>
      </c>
    </row>
    <row r="797" spans="1:109" x14ac:dyDescent="0.3">
      <c r="A797" t="str">
        <f>"18:47:55.367"</f>
        <v>18:47:55.367</v>
      </c>
      <c r="B797" t="s">
        <v>110</v>
      </c>
      <c r="C797" t="str">
        <f t="shared" si="36"/>
        <v>ffdfd3c0</v>
      </c>
      <c r="D797" t="s">
        <v>111</v>
      </c>
      <c r="E797">
        <v>18</v>
      </c>
      <c r="F797">
        <v>1018</v>
      </c>
      <c r="G797" t="s">
        <v>112</v>
      </c>
      <c r="J797" t="s">
        <v>113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R797" t="s">
        <v>114</v>
      </c>
      <c r="S797" t="str">
        <f>"18:47:55.133"</f>
        <v>18:47:55.133</v>
      </c>
      <c r="T797" t="str">
        <f>"18:47:55.133"</f>
        <v>18:47:55.133</v>
      </c>
      <c r="U797" t="str">
        <f t="shared" si="37"/>
        <v>a1cdbe</v>
      </c>
      <c r="V797">
        <v>0</v>
      </c>
      <c r="W797">
        <v>0</v>
      </c>
      <c r="X797">
        <v>1</v>
      </c>
      <c r="Y797">
        <v>0</v>
      </c>
      <c r="Z797">
        <v>0</v>
      </c>
      <c r="AB797">
        <v>0</v>
      </c>
      <c r="AC797">
        <v>9</v>
      </c>
      <c r="AD797">
        <v>3</v>
      </c>
      <c r="AE797">
        <v>0</v>
      </c>
      <c r="AF797">
        <v>9</v>
      </c>
      <c r="AG797" t="s">
        <v>158</v>
      </c>
      <c r="AH797">
        <v>0</v>
      </c>
      <c r="AI797">
        <v>3</v>
      </c>
      <c r="AJ797">
        <v>1</v>
      </c>
      <c r="AK797">
        <v>0</v>
      </c>
      <c r="AL797" t="s">
        <v>1664</v>
      </c>
      <c r="AM797">
        <v>46.865487000000002</v>
      </c>
      <c r="AN797" t="s">
        <v>1665</v>
      </c>
      <c r="AO797">
        <v>-122.411664</v>
      </c>
      <c r="AP797">
        <v>100</v>
      </c>
      <c r="AQ797">
        <v>1800</v>
      </c>
      <c r="AR797" t="s">
        <v>118</v>
      </c>
      <c r="AS797">
        <v>-57</v>
      </c>
      <c r="AT797">
        <v>-47</v>
      </c>
      <c r="AU797">
        <v>-64</v>
      </c>
      <c r="BC797">
        <v>1200</v>
      </c>
      <c r="BD797">
        <v>1</v>
      </c>
      <c r="BE797" t="str">
        <f t="shared" si="38"/>
        <v xml:space="preserve">N215T   </v>
      </c>
      <c r="BF797">
        <v>1</v>
      </c>
      <c r="BH797">
        <v>0</v>
      </c>
      <c r="BI797">
        <v>0</v>
      </c>
      <c r="BJ797">
        <v>0</v>
      </c>
      <c r="BK797">
        <v>2225</v>
      </c>
      <c r="BL797">
        <v>425</v>
      </c>
      <c r="BM797" t="s">
        <v>119</v>
      </c>
      <c r="BN797">
        <v>1</v>
      </c>
      <c r="BO797">
        <v>1</v>
      </c>
      <c r="BP797">
        <v>1</v>
      </c>
      <c r="BQ797">
        <v>0</v>
      </c>
      <c r="BT797">
        <v>0</v>
      </c>
      <c r="BU797">
        <v>0</v>
      </c>
      <c r="BV797">
        <v>0</v>
      </c>
      <c r="CC797" t="str">
        <f>"18:47:55.133"</f>
        <v>18:47:55.133</v>
      </c>
      <c r="CD797" t="str">
        <f>"135673504"</f>
        <v>135673504</v>
      </c>
      <c r="CQ797">
        <v>0</v>
      </c>
      <c r="CR797">
        <v>2</v>
      </c>
      <c r="CS797">
        <v>0</v>
      </c>
      <c r="CT797">
        <v>2</v>
      </c>
      <c r="CU797">
        <v>0</v>
      </c>
      <c r="CV797">
        <v>4</v>
      </c>
      <c r="CW797" t="s">
        <v>120</v>
      </c>
      <c r="CX797">
        <v>257</v>
      </c>
      <c r="CY797">
        <v>1</v>
      </c>
      <c r="CZ797" t="s">
        <v>615</v>
      </c>
      <c r="DA797" t="s">
        <v>616</v>
      </c>
      <c r="DD797">
        <v>10983462</v>
      </c>
      <c r="DE797" t="s">
        <v>123</v>
      </c>
    </row>
    <row r="798" spans="1:109" x14ac:dyDescent="0.3">
      <c r="A798" t="str">
        <f>"18:47:56.469"</f>
        <v>18:47:56.469</v>
      </c>
      <c r="B798" t="s">
        <v>110</v>
      </c>
      <c r="C798" t="str">
        <f t="shared" si="36"/>
        <v>ffdfd3c0</v>
      </c>
      <c r="D798" t="s">
        <v>111</v>
      </c>
      <c r="E798">
        <v>18</v>
      </c>
      <c r="F798">
        <v>1018</v>
      </c>
      <c r="G798" t="s">
        <v>112</v>
      </c>
      <c r="J798" t="s">
        <v>113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R798" t="s">
        <v>114</v>
      </c>
      <c r="S798" t="str">
        <f>"18:47:56.258"</f>
        <v>18:47:56.258</v>
      </c>
      <c r="T798" t="str">
        <f>"18:47:56.156"</f>
        <v>18:47:56.156</v>
      </c>
      <c r="U798" t="str">
        <f t="shared" si="37"/>
        <v>a1cdbe</v>
      </c>
      <c r="V798">
        <v>0</v>
      </c>
      <c r="W798">
        <v>0</v>
      </c>
      <c r="X798">
        <v>1</v>
      </c>
      <c r="Y798">
        <v>0</v>
      </c>
      <c r="Z798">
        <v>0</v>
      </c>
      <c r="AB798">
        <v>0</v>
      </c>
      <c r="AC798">
        <v>9</v>
      </c>
      <c r="AD798">
        <v>3</v>
      </c>
      <c r="AE798">
        <v>0</v>
      </c>
      <c r="AF798">
        <v>9</v>
      </c>
      <c r="AG798" t="s">
        <v>158</v>
      </c>
      <c r="AH798">
        <v>0</v>
      </c>
      <c r="AI798">
        <v>3</v>
      </c>
      <c r="AJ798">
        <v>1</v>
      </c>
      <c r="AK798">
        <v>0</v>
      </c>
      <c r="AL798" t="s">
        <v>1666</v>
      </c>
      <c r="AM798">
        <v>46.865251000000001</v>
      </c>
      <c r="AN798" t="s">
        <v>1667</v>
      </c>
      <c r="AO798">
        <v>-122.412071</v>
      </c>
      <c r="AP798">
        <v>100</v>
      </c>
      <c r="AQ798">
        <v>1800</v>
      </c>
      <c r="AR798" t="s">
        <v>118</v>
      </c>
      <c r="AS798">
        <v>-56</v>
      </c>
      <c r="AT798">
        <v>-47</v>
      </c>
      <c r="AU798">
        <v>0</v>
      </c>
      <c r="BC798">
        <v>1200</v>
      </c>
      <c r="BD798">
        <v>1</v>
      </c>
      <c r="BE798" t="str">
        <f t="shared" si="38"/>
        <v xml:space="preserve">N215T   </v>
      </c>
      <c r="BF798">
        <v>1</v>
      </c>
      <c r="BH798">
        <v>0</v>
      </c>
      <c r="BI798">
        <v>0</v>
      </c>
      <c r="BJ798">
        <v>0</v>
      </c>
      <c r="BK798">
        <v>2225</v>
      </c>
      <c r="BL798">
        <v>425</v>
      </c>
      <c r="BM798" t="s">
        <v>119</v>
      </c>
      <c r="BN798">
        <v>1</v>
      </c>
      <c r="BO798">
        <v>1</v>
      </c>
      <c r="BP798">
        <v>1</v>
      </c>
      <c r="BQ798">
        <v>0</v>
      </c>
      <c r="BT798">
        <v>0</v>
      </c>
      <c r="BU798">
        <v>0</v>
      </c>
      <c r="BV798">
        <v>0</v>
      </c>
      <c r="CC798" t="str">
        <f>"18:47:56.258"</f>
        <v>18:47:56.258</v>
      </c>
      <c r="CD798" t="str">
        <f>"260562625"</f>
        <v>260562625</v>
      </c>
      <c r="CQ798">
        <v>0</v>
      </c>
      <c r="CR798">
        <v>2</v>
      </c>
      <c r="CS798">
        <v>0</v>
      </c>
      <c r="CT798">
        <v>2</v>
      </c>
      <c r="CU798">
        <v>0</v>
      </c>
      <c r="CV798">
        <v>4</v>
      </c>
      <c r="CW798" t="s">
        <v>120</v>
      </c>
      <c r="CX798">
        <v>257</v>
      </c>
      <c r="CY798">
        <v>1</v>
      </c>
      <c r="CZ798" t="s">
        <v>615</v>
      </c>
      <c r="DA798" t="s">
        <v>616</v>
      </c>
      <c r="DD798">
        <v>10984189</v>
      </c>
      <c r="DE798" t="s">
        <v>123</v>
      </c>
    </row>
    <row r="799" spans="1:109" x14ac:dyDescent="0.3">
      <c r="A799" t="str">
        <f>"18:47:57.477"</f>
        <v>18:47:57.477</v>
      </c>
      <c r="B799" t="s">
        <v>110</v>
      </c>
      <c r="C799" t="str">
        <f t="shared" si="36"/>
        <v>ffdfd3c0</v>
      </c>
      <c r="D799" t="s">
        <v>111</v>
      </c>
      <c r="E799">
        <v>18</v>
      </c>
      <c r="F799">
        <v>1018</v>
      </c>
      <c r="G799" t="s">
        <v>112</v>
      </c>
      <c r="J799" t="s">
        <v>113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R799" t="s">
        <v>114</v>
      </c>
      <c r="S799" t="str">
        <f>"18:47:57.234"</f>
        <v>18:47:57.234</v>
      </c>
      <c r="T799" t="str">
        <f>"18:47:57.133"</f>
        <v>18:47:57.133</v>
      </c>
      <c r="U799" t="str">
        <f t="shared" si="37"/>
        <v>a1cdbe</v>
      </c>
      <c r="V799">
        <v>0</v>
      </c>
      <c r="W799">
        <v>0</v>
      </c>
      <c r="X799">
        <v>1</v>
      </c>
      <c r="Y799">
        <v>0</v>
      </c>
      <c r="Z799">
        <v>0</v>
      </c>
      <c r="AB799">
        <v>0</v>
      </c>
      <c r="AC799">
        <v>9</v>
      </c>
      <c r="AD799">
        <v>3</v>
      </c>
      <c r="AE799">
        <v>0</v>
      </c>
      <c r="AF799">
        <v>9</v>
      </c>
      <c r="AG799" t="s">
        <v>158</v>
      </c>
      <c r="AH799">
        <v>0</v>
      </c>
      <c r="AI799">
        <v>3</v>
      </c>
      <c r="AJ799">
        <v>1</v>
      </c>
      <c r="AK799">
        <v>0</v>
      </c>
      <c r="AL799" t="s">
        <v>1668</v>
      </c>
      <c r="AM799">
        <v>46.865015</v>
      </c>
      <c r="AN799" t="s">
        <v>1669</v>
      </c>
      <c r="AO799">
        <v>-122.412415</v>
      </c>
      <c r="AP799">
        <v>100</v>
      </c>
      <c r="AQ799">
        <v>1800</v>
      </c>
      <c r="AR799" t="s">
        <v>118</v>
      </c>
      <c r="AS799">
        <v>-56</v>
      </c>
      <c r="AT799">
        <v>-47</v>
      </c>
      <c r="AU799">
        <v>64</v>
      </c>
      <c r="BC799">
        <v>1200</v>
      </c>
      <c r="BD799">
        <v>1</v>
      </c>
      <c r="BE799" t="str">
        <f t="shared" si="38"/>
        <v xml:space="preserve">N215T   </v>
      </c>
      <c r="BF799">
        <v>1</v>
      </c>
      <c r="BH799">
        <v>0</v>
      </c>
      <c r="BI799">
        <v>0</v>
      </c>
      <c r="BJ799">
        <v>0</v>
      </c>
      <c r="BK799">
        <v>2225</v>
      </c>
      <c r="BL799">
        <v>425</v>
      </c>
      <c r="BM799" t="s">
        <v>119</v>
      </c>
      <c r="BN799">
        <v>1</v>
      </c>
      <c r="BO799">
        <v>1</v>
      </c>
      <c r="BP799">
        <v>1</v>
      </c>
      <c r="BQ799">
        <v>0</v>
      </c>
      <c r="BT799">
        <v>0</v>
      </c>
      <c r="BU799">
        <v>0</v>
      </c>
      <c r="BV799">
        <v>0</v>
      </c>
      <c r="CC799" t="str">
        <f>"18:47:57.234"</f>
        <v>18:47:57.234</v>
      </c>
      <c r="CD799" t="str">
        <f>"235466506"</f>
        <v>235466506</v>
      </c>
      <c r="CQ799">
        <v>0</v>
      </c>
      <c r="CR799">
        <v>2</v>
      </c>
      <c r="CS799">
        <v>0</v>
      </c>
      <c r="CT799">
        <v>2</v>
      </c>
      <c r="CU799">
        <v>0</v>
      </c>
      <c r="CV799">
        <v>4</v>
      </c>
      <c r="CW799" t="s">
        <v>120</v>
      </c>
      <c r="CX799">
        <v>257</v>
      </c>
      <c r="CY799">
        <v>1</v>
      </c>
      <c r="CZ799" t="s">
        <v>615</v>
      </c>
      <c r="DA799" t="s">
        <v>616</v>
      </c>
      <c r="DD799">
        <v>10984779</v>
      </c>
      <c r="DE799" t="s">
        <v>123</v>
      </c>
    </row>
    <row r="800" spans="1:109" x14ac:dyDescent="0.3">
      <c r="A800" t="str">
        <f>"18:47:58.383"</f>
        <v>18:47:58.383</v>
      </c>
      <c r="B800" t="s">
        <v>110</v>
      </c>
      <c r="C800" t="str">
        <f t="shared" si="36"/>
        <v>ffdfd3c0</v>
      </c>
      <c r="D800" t="s">
        <v>111</v>
      </c>
      <c r="E800">
        <v>18</v>
      </c>
      <c r="F800">
        <v>1018</v>
      </c>
      <c r="G800" t="s">
        <v>112</v>
      </c>
      <c r="J800" t="s">
        <v>113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R800" t="s">
        <v>114</v>
      </c>
      <c r="S800" t="str">
        <f>"18:47:58.180"</f>
        <v>18:47:58.180</v>
      </c>
      <c r="T800" t="str">
        <f>"18:47:58.180"</f>
        <v>18:47:58.180</v>
      </c>
      <c r="U800" t="str">
        <f t="shared" si="37"/>
        <v>a1cdbe</v>
      </c>
      <c r="V800">
        <v>0</v>
      </c>
      <c r="W800">
        <v>0</v>
      </c>
      <c r="X800">
        <v>1</v>
      </c>
      <c r="Y800">
        <v>0</v>
      </c>
      <c r="Z800">
        <v>0</v>
      </c>
      <c r="AB800">
        <v>0</v>
      </c>
      <c r="AC800">
        <v>9</v>
      </c>
      <c r="AD800">
        <v>3</v>
      </c>
      <c r="AE800">
        <v>0</v>
      </c>
      <c r="AF800">
        <v>9</v>
      </c>
      <c r="AG800" t="s">
        <v>158</v>
      </c>
      <c r="AH800">
        <v>0</v>
      </c>
      <c r="AI800">
        <v>3</v>
      </c>
      <c r="AJ800">
        <v>1</v>
      </c>
      <c r="AK800">
        <v>0</v>
      </c>
      <c r="AL800" t="s">
        <v>1670</v>
      </c>
      <c r="AM800">
        <v>46.864843</v>
      </c>
      <c r="AN800" t="s">
        <v>1671</v>
      </c>
      <c r="AO800">
        <v>-122.412758</v>
      </c>
      <c r="AP800">
        <v>100</v>
      </c>
      <c r="AQ800">
        <v>1800</v>
      </c>
      <c r="AR800" t="s">
        <v>118</v>
      </c>
      <c r="AS800">
        <v>-55</v>
      </c>
      <c r="AT800">
        <v>-47</v>
      </c>
      <c r="AU800">
        <v>128</v>
      </c>
      <c r="BC800">
        <v>1200</v>
      </c>
      <c r="BD800">
        <v>1</v>
      </c>
      <c r="BE800" t="str">
        <f t="shared" si="38"/>
        <v xml:space="preserve">N215T   </v>
      </c>
      <c r="BF800">
        <v>1</v>
      </c>
      <c r="BH800">
        <v>0</v>
      </c>
      <c r="BI800">
        <v>0</v>
      </c>
      <c r="BJ800">
        <v>0</v>
      </c>
      <c r="BK800">
        <v>2225</v>
      </c>
      <c r="BL800">
        <v>425</v>
      </c>
      <c r="BM800" t="s">
        <v>119</v>
      </c>
      <c r="BN800">
        <v>1</v>
      </c>
      <c r="BO800">
        <v>1</v>
      </c>
      <c r="BP800">
        <v>1</v>
      </c>
      <c r="BQ800">
        <v>0</v>
      </c>
      <c r="BT800">
        <v>0</v>
      </c>
      <c r="BU800">
        <v>0</v>
      </c>
      <c r="BV800">
        <v>0</v>
      </c>
      <c r="CC800" t="str">
        <f>"18:47:58.180"</f>
        <v>18:47:58.180</v>
      </c>
      <c r="CD800" t="str">
        <f>"180373368"</f>
        <v>180373368</v>
      </c>
      <c r="CQ800">
        <v>0</v>
      </c>
      <c r="CR800">
        <v>2</v>
      </c>
      <c r="CS800">
        <v>0</v>
      </c>
      <c r="CT800">
        <v>2</v>
      </c>
      <c r="CU800">
        <v>0</v>
      </c>
      <c r="CV800">
        <v>5</v>
      </c>
      <c r="CW800" t="s">
        <v>120</v>
      </c>
      <c r="CX800">
        <v>257</v>
      </c>
      <c r="CY800">
        <v>1</v>
      </c>
      <c r="CZ800" t="s">
        <v>615</v>
      </c>
      <c r="DA800" t="s">
        <v>616</v>
      </c>
      <c r="DD800">
        <v>10985399</v>
      </c>
      <c r="DE800" t="s">
        <v>123</v>
      </c>
    </row>
    <row r="801" spans="1:109" x14ac:dyDescent="0.3">
      <c r="A801" t="str">
        <f>"18:47:59.438"</f>
        <v>18:47:59.438</v>
      </c>
      <c r="B801" t="s">
        <v>110</v>
      </c>
      <c r="C801" t="str">
        <f t="shared" si="36"/>
        <v>ffdfd3c0</v>
      </c>
      <c r="D801" t="s">
        <v>111</v>
      </c>
      <c r="E801">
        <v>18</v>
      </c>
      <c r="F801">
        <v>1018</v>
      </c>
      <c r="G801" t="s">
        <v>112</v>
      </c>
      <c r="J801" t="s">
        <v>113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R801" t="s">
        <v>114</v>
      </c>
      <c r="S801" t="str">
        <f>"18:47:59.227"</f>
        <v>18:47:59.227</v>
      </c>
      <c r="T801" t="str">
        <f>"18:47:58.727"</f>
        <v>18:47:58.727</v>
      </c>
      <c r="U801" t="str">
        <f t="shared" si="37"/>
        <v>a1cdbe</v>
      </c>
      <c r="V801">
        <v>0</v>
      </c>
      <c r="W801">
        <v>0</v>
      </c>
      <c r="X801">
        <v>1</v>
      </c>
      <c r="Y801">
        <v>0</v>
      </c>
      <c r="Z801">
        <v>0</v>
      </c>
      <c r="AB801">
        <v>0</v>
      </c>
      <c r="AC801">
        <v>9</v>
      </c>
      <c r="AD801">
        <v>3</v>
      </c>
      <c r="AE801">
        <v>0</v>
      </c>
      <c r="AF801">
        <v>9</v>
      </c>
      <c r="AG801" t="s">
        <v>158</v>
      </c>
      <c r="AH801">
        <v>0</v>
      </c>
      <c r="AI801">
        <v>3</v>
      </c>
      <c r="AJ801">
        <v>1</v>
      </c>
      <c r="AK801">
        <v>0</v>
      </c>
      <c r="AL801" t="s">
        <v>1672</v>
      </c>
      <c r="AM801">
        <v>46.864606999999999</v>
      </c>
      <c r="AN801" t="s">
        <v>1673</v>
      </c>
      <c r="AO801">
        <v>-122.413208</v>
      </c>
      <c r="AP801">
        <v>100</v>
      </c>
      <c r="AQ801">
        <v>1900</v>
      </c>
      <c r="AR801" t="s">
        <v>118</v>
      </c>
      <c r="AS801">
        <v>-55</v>
      </c>
      <c r="AT801">
        <v>-47</v>
      </c>
      <c r="AU801">
        <v>192</v>
      </c>
      <c r="BC801">
        <v>1200</v>
      </c>
      <c r="BD801">
        <v>1</v>
      </c>
      <c r="BE801" t="str">
        <f t="shared" si="38"/>
        <v xml:space="preserve">N215T   </v>
      </c>
      <c r="BF801">
        <v>1</v>
      </c>
      <c r="BH801">
        <v>0</v>
      </c>
      <c r="BI801">
        <v>0</v>
      </c>
      <c r="BJ801">
        <v>0</v>
      </c>
      <c r="BK801">
        <v>2250</v>
      </c>
      <c r="BL801">
        <v>350</v>
      </c>
      <c r="BM801" t="s">
        <v>119</v>
      </c>
      <c r="BN801">
        <v>1</v>
      </c>
      <c r="BO801">
        <v>1</v>
      </c>
      <c r="BP801">
        <v>1</v>
      </c>
      <c r="BQ801">
        <v>0</v>
      </c>
      <c r="BT801">
        <v>0</v>
      </c>
      <c r="BU801">
        <v>0</v>
      </c>
      <c r="BV801">
        <v>0</v>
      </c>
      <c r="CC801" t="str">
        <f>"18:47:59.227"</f>
        <v>18:47:59.227</v>
      </c>
      <c r="CD801" t="str">
        <f>"230269860"</f>
        <v>230269860</v>
      </c>
      <c r="CQ801">
        <v>0</v>
      </c>
      <c r="CR801">
        <v>2</v>
      </c>
      <c r="CS801">
        <v>0</v>
      </c>
      <c r="CT801">
        <v>2</v>
      </c>
      <c r="CU801">
        <v>0</v>
      </c>
      <c r="CV801">
        <v>5</v>
      </c>
      <c r="CW801" t="s">
        <v>120</v>
      </c>
      <c r="CX801">
        <v>257</v>
      </c>
      <c r="CY801">
        <v>1</v>
      </c>
      <c r="CZ801" t="s">
        <v>615</v>
      </c>
      <c r="DA801" t="s">
        <v>616</v>
      </c>
      <c r="DD801">
        <v>10986119</v>
      </c>
      <c r="DE801" t="s">
        <v>123</v>
      </c>
    </row>
    <row r="802" spans="1:109" x14ac:dyDescent="0.3">
      <c r="A802" t="str">
        <f>"18:48:00.289"</f>
        <v>18:48:00.289</v>
      </c>
      <c r="B802" t="s">
        <v>110</v>
      </c>
      <c r="C802" t="str">
        <f t="shared" si="36"/>
        <v>ffdfd3c0</v>
      </c>
      <c r="D802" t="s">
        <v>111</v>
      </c>
      <c r="E802">
        <v>18</v>
      </c>
      <c r="F802">
        <v>1018</v>
      </c>
      <c r="G802" t="s">
        <v>112</v>
      </c>
      <c r="J802" t="s">
        <v>113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R802" t="s">
        <v>114</v>
      </c>
      <c r="S802" t="str">
        <f>"18:48:00.078"</f>
        <v>18:48:00.078</v>
      </c>
      <c r="T802" t="str">
        <f>"18:47:59.781"</f>
        <v>18:47:59.781</v>
      </c>
      <c r="U802" t="str">
        <f t="shared" si="37"/>
        <v>a1cdbe</v>
      </c>
      <c r="V802">
        <v>0</v>
      </c>
      <c r="W802">
        <v>0</v>
      </c>
      <c r="X802">
        <v>1</v>
      </c>
      <c r="Y802">
        <v>0</v>
      </c>
      <c r="Z802">
        <v>0</v>
      </c>
      <c r="AB802">
        <v>0</v>
      </c>
      <c r="AC802">
        <v>9</v>
      </c>
      <c r="AD802">
        <v>3</v>
      </c>
      <c r="AE802">
        <v>0</v>
      </c>
      <c r="AF802">
        <v>9</v>
      </c>
      <c r="AG802" t="s">
        <v>158</v>
      </c>
      <c r="AH802">
        <v>0</v>
      </c>
      <c r="AI802">
        <v>3</v>
      </c>
      <c r="AJ802">
        <v>1</v>
      </c>
      <c r="AK802">
        <v>0</v>
      </c>
      <c r="AL802" t="s">
        <v>1674</v>
      </c>
      <c r="AM802">
        <v>46.864435999999998</v>
      </c>
      <c r="AN802" t="s">
        <v>1675</v>
      </c>
      <c r="AO802">
        <v>-122.413487</v>
      </c>
      <c r="AP802">
        <v>100</v>
      </c>
      <c r="AQ802">
        <v>1900</v>
      </c>
      <c r="AR802" t="s">
        <v>118</v>
      </c>
      <c r="AS802">
        <v>-55</v>
      </c>
      <c r="AT802">
        <v>-46</v>
      </c>
      <c r="AU802">
        <v>128</v>
      </c>
      <c r="BC802">
        <v>1200</v>
      </c>
      <c r="BD802">
        <v>1</v>
      </c>
      <c r="BE802" t="str">
        <f t="shared" si="38"/>
        <v xml:space="preserve">N215T   </v>
      </c>
      <c r="BF802">
        <v>1</v>
      </c>
      <c r="BH802">
        <v>0</v>
      </c>
      <c r="BI802">
        <v>0</v>
      </c>
      <c r="BJ802">
        <v>0</v>
      </c>
      <c r="BK802">
        <v>2250</v>
      </c>
      <c r="BL802">
        <v>350</v>
      </c>
      <c r="BM802" t="s">
        <v>119</v>
      </c>
      <c r="BN802">
        <v>1</v>
      </c>
      <c r="BO802">
        <v>1</v>
      </c>
      <c r="BP802">
        <v>1</v>
      </c>
      <c r="BQ802">
        <v>0</v>
      </c>
      <c r="BT802">
        <v>0</v>
      </c>
      <c r="BU802">
        <v>0</v>
      </c>
      <c r="BV802">
        <v>0</v>
      </c>
      <c r="CC802" t="str">
        <f>"18:48:00.086"</f>
        <v>18:48:00.086</v>
      </c>
      <c r="CD802" t="str">
        <f>"085185601"</f>
        <v>085185601</v>
      </c>
      <c r="CQ802">
        <v>0</v>
      </c>
      <c r="CR802">
        <v>2</v>
      </c>
      <c r="CS802">
        <v>0</v>
      </c>
      <c r="CT802">
        <v>2</v>
      </c>
      <c r="CU802">
        <v>0</v>
      </c>
      <c r="CV802">
        <v>5</v>
      </c>
      <c r="CW802" t="s">
        <v>120</v>
      </c>
      <c r="CX802">
        <v>257</v>
      </c>
      <c r="CY802">
        <v>1</v>
      </c>
      <c r="CZ802" t="s">
        <v>615</v>
      </c>
      <c r="DA802" t="s">
        <v>616</v>
      </c>
      <c r="DD802">
        <v>10986705</v>
      </c>
      <c r="DE802" t="s">
        <v>123</v>
      </c>
    </row>
    <row r="803" spans="1:109" x14ac:dyDescent="0.3">
      <c r="A803" t="str">
        <f>"18:48:01.305"</f>
        <v>18:48:01.305</v>
      </c>
      <c r="B803" t="s">
        <v>110</v>
      </c>
      <c r="C803" t="str">
        <f t="shared" si="36"/>
        <v>ffdfd3c0</v>
      </c>
      <c r="D803" t="s">
        <v>111</v>
      </c>
      <c r="E803">
        <v>18</v>
      </c>
      <c r="F803">
        <v>1018</v>
      </c>
      <c r="G803" t="s">
        <v>112</v>
      </c>
      <c r="J803" t="s">
        <v>113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R803" t="s">
        <v>114</v>
      </c>
      <c r="S803" t="str">
        <f>"18:48:01.055"</f>
        <v>18:48:01.055</v>
      </c>
      <c r="T803" t="str">
        <f>"18:48:00.852"</f>
        <v>18:48:00.852</v>
      </c>
      <c r="U803" t="str">
        <f t="shared" si="37"/>
        <v>a1cdbe</v>
      </c>
      <c r="V803">
        <v>0</v>
      </c>
      <c r="W803">
        <v>0</v>
      </c>
      <c r="X803">
        <v>1</v>
      </c>
      <c r="Y803">
        <v>0</v>
      </c>
      <c r="Z803">
        <v>0</v>
      </c>
      <c r="AB803">
        <v>0</v>
      </c>
      <c r="AC803">
        <v>9</v>
      </c>
      <c r="AD803">
        <v>3</v>
      </c>
      <c r="AE803">
        <v>0</v>
      </c>
      <c r="AF803">
        <v>9</v>
      </c>
      <c r="AG803" t="s">
        <v>158</v>
      </c>
      <c r="AH803">
        <v>0</v>
      </c>
      <c r="AI803">
        <v>3</v>
      </c>
      <c r="AJ803">
        <v>1</v>
      </c>
      <c r="AK803">
        <v>0</v>
      </c>
      <c r="AL803" t="s">
        <v>1676</v>
      </c>
      <c r="AM803">
        <v>46.864221000000001</v>
      </c>
      <c r="AN803" t="s">
        <v>1677</v>
      </c>
      <c r="AO803">
        <v>-122.41385200000001</v>
      </c>
      <c r="AP803">
        <v>100</v>
      </c>
      <c r="AQ803">
        <v>1900</v>
      </c>
      <c r="AR803" t="s">
        <v>118</v>
      </c>
      <c r="AS803">
        <v>-54</v>
      </c>
      <c r="AT803">
        <v>-46</v>
      </c>
      <c r="AU803">
        <v>64</v>
      </c>
      <c r="BC803">
        <v>1200</v>
      </c>
      <c r="BD803">
        <v>1</v>
      </c>
      <c r="BE803" t="str">
        <f t="shared" si="38"/>
        <v xml:space="preserve">N215T   </v>
      </c>
      <c r="BF803">
        <v>1</v>
      </c>
      <c r="BH803">
        <v>0</v>
      </c>
      <c r="BI803">
        <v>0</v>
      </c>
      <c r="BJ803">
        <v>0</v>
      </c>
      <c r="BK803">
        <v>2250</v>
      </c>
      <c r="BL803">
        <v>350</v>
      </c>
      <c r="BM803" t="s">
        <v>119</v>
      </c>
      <c r="BN803">
        <v>1</v>
      </c>
      <c r="BO803">
        <v>1</v>
      </c>
      <c r="BP803">
        <v>1</v>
      </c>
      <c r="BQ803">
        <v>0</v>
      </c>
      <c r="BT803">
        <v>0</v>
      </c>
      <c r="BU803">
        <v>0</v>
      </c>
      <c r="BV803">
        <v>0</v>
      </c>
      <c r="CC803" t="str">
        <f>"18:48:01.063"</f>
        <v>18:48:01.063</v>
      </c>
      <c r="CD803" t="str">
        <f>"060089497"</f>
        <v>060089497</v>
      </c>
      <c r="CQ803">
        <v>0</v>
      </c>
      <c r="CR803">
        <v>2</v>
      </c>
      <c r="CS803">
        <v>0</v>
      </c>
      <c r="CT803">
        <v>2</v>
      </c>
      <c r="CU803">
        <v>0</v>
      </c>
      <c r="CV803">
        <v>5</v>
      </c>
      <c r="CW803" t="s">
        <v>120</v>
      </c>
      <c r="CX803">
        <v>257</v>
      </c>
      <c r="CY803">
        <v>1</v>
      </c>
      <c r="CZ803" t="s">
        <v>615</v>
      </c>
      <c r="DA803" t="s">
        <v>616</v>
      </c>
      <c r="DD803">
        <v>10987313</v>
      </c>
      <c r="DE803" t="s">
        <v>123</v>
      </c>
    </row>
    <row r="804" spans="1:109" x14ac:dyDescent="0.3">
      <c r="A804" t="str">
        <f>"18:48:02.406"</f>
        <v>18:48:02.406</v>
      </c>
      <c r="B804" t="s">
        <v>110</v>
      </c>
      <c r="C804" t="str">
        <f t="shared" si="36"/>
        <v>ffdfd3c0</v>
      </c>
      <c r="D804" t="s">
        <v>111</v>
      </c>
      <c r="E804">
        <v>18</v>
      </c>
      <c r="F804">
        <v>1018</v>
      </c>
      <c r="G804" t="s">
        <v>112</v>
      </c>
      <c r="J804" t="s">
        <v>113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R804" t="s">
        <v>114</v>
      </c>
      <c r="S804" t="str">
        <f>"18:48:02.148"</f>
        <v>18:48:02.148</v>
      </c>
      <c r="T804" t="str">
        <f>"18:48:02.148"</f>
        <v>18:48:02.148</v>
      </c>
      <c r="U804" t="str">
        <f t="shared" si="37"/>
        <v>a1cdbe</v>
      </c>
      <c r="V804">
        <v>0</v>
      </c>
      <c r="W804">
        <v>0</v>
      </c>
      <c r="X804">
        <v>1</v>
      </c>
      <c r="Y804">
        <v>0</v>
      </c>
      <c r="Z804">
        <v>0</v>
      </c>
      <c r="AB804">
        <v>0</v>
      </c>
      <c r="AC804">
        <v>9</v>
      </c>
      <c r="AD804">
        <v>3</v>
      </c>
      <c r="AE804">
        <v>0</v>
      </c>
      <c r="AF804">
        <v>9</v>
      </c>
      <c r="AG804" t="s">
        <v>158</v>
      </c>
      <c r="AH804">
        <v>0</v>
      </c>
      <c r="AI804">
        <v>3</v>
      </c>
      <c r="AJ804">
        <v>1</v>
      </c>
      <c r="AK804">
        <v>0</v>
      </c>
      <c r="AL804" t="s">
        <v>1678</v>
      </c>
      <c r="AM804">
        <v>46.863942000000002</v>
      </c>
      <c r="AN804" t="s">
        <v>1679</v>
      </c>
      <c r="AO804">
        <v>-122.41426</v>
      </c>
      <c r="AP804">
        <v>100</v>
      </c>
      <c r="AQ804">
        <v>1900</v>
      </c>
      <c r="AR804" t="s">
        <v>118</v>
      </c>
      <c r="AS804">
        <v>-54</v>
      </c>
      <c r="AT804">
        <v>-46</v>
      </c>
      <c r="AU804">
        <v>128</v>
      </c>
      <c r="BC804">
        <v>1200</v>
      </c>
      <c r="BD804">
        <v>1</v>
      </c>
      <c r="BE804" t="str">
        <f t="shared" si="38"/>
        <v xml:space="preserve">N215T   </v>
      </c>
      <c r="BF804">
        <v>1</v>
      </c>
      <c r="BH804">
        <v>0</v>
      </c>
      <c r="BI804">
        <v>0</v>
      </c>
      <c r="BJ804">
        <v>0</v>
      </c>
      <c r="BK804">
        <v>2250</v>
      </c>
      <c r="BL804">
        <v>350</v>
      </c>
      <c r="BM804" t="s">
        <v>119</v>
      </c>
      <c r="BN804">
        <v>1</v>
      </c>
      <c r="BO804">
        <v>1</v>
      </c>
      <c r="BP804">
        <v>1</v>
      </c>
      <c r="BQ804">
        <v>0</v>
      </c>
      <c r="BT804">
        <v>0</v>
      </c>
      <c r="BU804">
        <v>0</v>
      </c>
      <c r="BV804">
        <v>0</v>
      </c>
      <c r="CC804" t="str">
        <f>"18:48:02.156"</f>
        <v>18:48:02.156</v>
      </c>
      <c r="CD804" t="str">
        <f>"154981556"</f>
        <v>154981556</v>
      </c>
      <c r="CQ804">
        <v>0</v>
      </c>
      <c r="CR804">
        <v>2</v>
      </c>
      <c r="CS804">
        <v>0</v>
      </c>
      <c r="CT804">
        <v>2</v>
      </c>
      <c r="CU804">
        <v>0</v>
      </c>
      <c r="CV804">
        <v>5</v>
      </c>
      <c r="CW804" t="s">
        <v>120</v>
      </c>
      <c r="CX804">
        <v>257</v>
      </c>
      <c r="CY804">
        <v>1</v>
      </c>
      <c r="CZ804" t="s">
        <v>615</v>
      </c>
      <c r="DA804" t="s">
        <v>616</v>
      </c>
      <c r="DD804">
        <v>10988021</v>
      </c>
      <c r="DE804" t="s">
        <v>123</v>
      </c>
    </row>
    <row r="805" spans="1:109" x14ac:dyDescent="0.3">
      <c r="A805" t="str">
        <f>"18:48:03.406"</f>
        <v>18:48:03.406</v>
      </c>
      <c r="B805" t="s">
        <v>110</v>
      </c>
      <c r="C805" t="str">
        <f t="shared" si="36"/>
        <v>ffdfd3c0</v>
      </c>
      <c r="D805" t="s">
        <v>111</v>
      </c>
      <c r="E805">
        <v>18</v>
      </c>
      <c r="F805">
        <v>1018</v>
      </c>
      <c r="G805" t="s">
        <v>112</v>
      </c>
      <c r="J805" t="s">
        <v>113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R805" t="s">
        <v>114</v>
      </c>
      <c r="S805" t="str">
        <f>"18:48:03.172"</f>
        <v>18:48:03.172</v>
      </c>
      <c r="T805" t="str">
        <f>"18:48:02.773"</f>
        <v>18:48:02.773</v>
      </c>
      <c r="U805" t="str">
        <f t="shared" si="37"/>
        <v>a1cdbe</v>
      </c>
      <c r="V805">
        <v>0</v>
      </c>
      <c r="W805">
        <v>0</v>
      </c>
      <c r="X805">
        <v>1</v>
      </c>
      <c r="Y805">
        <v>0</v>
      </c>
      <c r="Z805">
        <v>0</v>
      </c>
      <c r="AB805">
        <v>0</v>
      </c>
      <c r="AC805">
        <v>9</v>
      </c>
      <c r="AD805">
        <v>3</v>
      </c>
      <c r="AE805">
        <v>0</v>
      </c>
      <c r="AF805">
        <v>9</v>
      </c>
      <c r="AG805" t="s">
        <v>158</v>
      </c>
      <c r="AH805">
        <v>0</v>
      </c>
      <c r="AI805">
        <v>3</v>
      </c>
      <c r="AJ805">
        <v>1</v>
      </c>
      <c r="AK805">
        <v>0</v>
      </c>
      <c r="AL805" t="s">
        <v>1680</v>
      </c>
      <c r="AM805">
        <v>46.863748999999999</v>
      </c>
      <c r="AN805" t="s">
        <v>1681</v>
      </c>
      <c r="AO805">
        <v>-122.414625</v>
      </c>
      <c r="AP805">
        <v>100</v>
      </c>
      <c r="AQ805">
        <v>1900</v>
      </c>
      <c r="AR805" t="s">
        <v>118</v>
      </c>
      <c r="AS805">
        <v>-53</v>
      </c>
      <c r="AT805">
        <v>-46</v>
      </c>
      <c r="AU805">
        <v>128</v>
      </c>
      <c r="BC805">
        <v>1200</v>
      </c>
      <c r="BD805">
        <v>1</v>
      </c>
      <c r="BE805" t="str">
        <f t="shared" si="38"/>
        <v xml:space="preserve">N215T   </v>
      </c>
      <c r="BF805">
        <v>1</v>
      </c>
      <c r="BH805">
        <v>0</v>
      </c>
      <c r="BI805">
        <v>0</v>
      </c>
      <c r="BJ805">
        <v>0</v>
      </c>
      <c r="BK805">
        <v>2250</v>
      </c>
      <c r="BL805">
        <v>350</v>
      </c>
      <c r="BM805" t="s">
        <v>119</v>
      </c>
      <c r="BN805">
        <v>1</v>
      </c>
      <c r="BO805">
        <v>1</v>
      </c>
      <c r="BP805">
        <v>1</v>
      </c>
      <c r="BQ805">
        <v>0</v>
      </c>
      <c r="BT805">
        <v>0</v>
      </c>
      <c r="BU805">
        <v>0</v>
      </c>
      <c r="BV805">
        <v>0</v>
      </c>
      <c r="CC805" t="str">
        <f>"18:48:03.172"</f>
        <v>18:48:03.172</v>
      </c>
      <c r="CD805" t="str">
        <f>"174881028"</f>
        <v>174881028</v>
      </c>
      <c r="CQ805">
        <v>0</v>
      </c>
      <c r="CR805">
        <v>2</v>
      </c>
      <c r="CS805">
        <v>0</v>
      </c>
      <c r="CT805">
        <v>2</v>
      </c>
      <c r="CU805">
        <v>0</v>
      </c>
      <c r="CV805">
        <v>5</v>
      </c>
      <c r="CW805" t="s">
        <v>120</v>
      </c>
      <c r="CX805">
        <v>257</v>
      </c>
      <c r="CY805">
        <v>1</v>
      </c>
      <c r="CZ805" t="s">
        <v>615</v>
      </c>
      <c r="DA805" t="s">
        <v>616</v>
      </c>
      <c r="DD805">
        <v>10988711</v>
      </c>
      <c r="DE805" t="s">
        <v>123</v>
      </c>
    </row>
    <row r="806" spans="1:109" x14ac:dyDescent="0.3">
      <c r="A806" t="str">
        <f>"18:48:04.414"</f>
        <v>18:48:04.414</v>
      </c>
      <c r="B806" t="s">
        <v>110</v>
      </c>
      <c r="C806" t="str">
        <f t="shared" si="36"/>
        <v>ffdfd3c0</v>
      </c>
      <c r="D806" t="s">
        <v>111</v>
      </c>
      <c r="E806">
        <v>18</v>
      </c>
      <c r="F806">
        <v>1018</v>
      </c>
      <c r="G806" t="s">
        <v>112</v>
      </c>
      <c r="J806" t="s">
        <v>113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R806" t="s">
        <v>114</v>
      </c>
      <c r="S806" t="str">
        <f>"18:48:04.180"</f>
        <v>18:48:04.180</v>
      </c>
      <c r="T806" t="str">
        <f>"18:48:03.781"</f>
        <v>18:48:03.781</v>
      </c>
      <c r="U806" t="str">
        <f t="shared" si="37"/>
        <v>a1cdbe</v>
      </c>
      <c r="V806">
        <v>0</v>
      </c>
      <c r="W806">
        <v>0</v>
      </c>
      <c r="X806">
        <v>1</v>
      </c>
      <c r="Y806">
        <v>0</v>
      </c>
      <c r="Z806">
        <v>0</v>
      </c>
      <c r="AB806">
        <v>0</v>
      </c>
      <c r="AC806">
        <v>9</v>
      </c>
      <c r="AD806">
        <v>3</v>
      </c>
      <c r="AE806">
        <v>0</v>
      </c>
      <c r="AF806">
        <v>9</v>
      </c>
      <c r="AG806" t="s">
        <v>158</v>
      </c>
      <c r="AH806">
        <v>0</v>
      </c>
      <c r="AI806">
        <v>3</v>
      </c>
      <c r="AJ806">
        <v>1</v>
      </c>
      <c r="AK806">
        <v>0</v>
      </c>
      <c r="AL806" t="s">
        <v>1682</v>
      </c>
      <c r="AM806">
        <v>46.863534000000001</v>
      </c>
      <c r="AN806" t="s">
        <v>1683</v>
      </c>
      <c r="AO806">
        <v>-122.414947</v>
      </c>
      <c r="AP806">
        <v>100</v>
      </c>
      <c r="AQ806">
        <v>1900</v>
      </c>
      <c r="AR806" t="s">
        <v>118</v>
      </c>
      <c r="AS806">
        <v>-54</v>
      </c>
      <c r="AT806">
        <v>-44</v>
      </c>
      <c r="AU806">
        <v>320</v>
      </c>
      <c r="BC806">
        <v>1200</v>
      </c>
      <c r="BD806">
        <v>1</v>
      </c>
      <c r="BE806" t="str">
        <f t="shared" si="38"/>
        <v xml:space="preserve">N215T   </v>
      </c>
      <c r="BF806">
        <v>1</v>
      </c>
      <c r="BH806">
        <v>0</v>
      </c>
      <c r="BI806">
        <v>0</v>
      </c>
      <c r="BJ806">
        <v>0</v>
      </c>
      <c r="BK806">
        <v>2250</v>
      </c>
      <c r="BL806">
        <v>350</v>
      </c>
      <c r="BM806" t="s">
        <v>119</v>
      </c>
      <c r="BN806">
        <v>1</v>
      </c>
      <c r="BO806">
        <v>1</v>
      </c>
      <c r="BP806">
        <v>1</v>
      </c>
      <c r="BQ806">
        <v>0</v>
      </c>
      <c r="BT806">
        <v>0</v>
      </c>
      <c r="BU806">
        <v>0</v>
      </c>
      <c r="BV806">
        <v>0</v>
      </c>
      <c r="CC806" t="str">
        <f>"18:48:04.180"</f>
        <v>18:48:04.180</v>
      </c>
      <c r="CD806" t="str">
        <f>"179781962"</f>
        <v>179781962</v>
      </c>
      <c r="CQ806">
        <v>0</v>
      </c>
      <c r="CR806">
        <v>2</v>
      </c>
      <c r="CS806">
        <v>0</v>
      </c>
      <c r="CT806">
        <v>2</v>
      </c>
      <c r="CU806">
        <v>0</v>
      </c>
      <c r="CV806">
        <v>5</v>
      </c>
      <c r="CW806" t="s">
        <v>120</v>
      </c>
      <c r="CX806">
        <v>257</v>
      </c>
      <c r="CY806">
        <v>1</v>
      </c>
      <c r="CZ806" t="s">
        <v>615</v>
      </c>
      <c r="DA806" t="s">
        <v>616</v>
      </c>
      <c r="DD806">
        <v>10989351</v>
      </c>
      <c r="DE806" t="s">
        <v>123</v>
      </c>
    </row>
    <row r="807" spans="1:109" x14ac:dyDescent="0.3">
      <c r="A807" t="str">
        <f>"18:48:05.469"</f>
        <v>18:48:05.469</v>
      </c>
      <c r="B807" t="s">
        <v>110</v>
      </c>
      <c r="C807" t="str">
        <f t="shared" si="36"/>
        <v>ffdfd3c0</v>
      </c>
      <c r="D807" t="s">
        <v>111</v>
      </c>
      <c r="E807">
        <v>18</v>
      </c>
      <c r="F807">
        <v>1018</v>
      </c>
      <c r="G807" t="s">
        <v>112</v>
      </c>
      <c r="J807" t="s">
        <v>113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R807" t="s">
        <v>114</v>
      </c>
      <c r="S807" t="str">
        <f>"18:48:05.242"</f>
        <v>18:48:05.242</v>
      </c>
      <c r="T807" t="str">
        <f>"18:48:04.945"</f>
        <v>18:48:04.945</v>
      </c>
      <c r="U807" t="str">
        <f t="shared" si="37"/>
        <v>a1cdbe</v>
      </c>
      <c r="V807">
        <v>0</v>
      </c>
      <c r="W807">
        <v>0</v>
      </c>
      <c r="X807">
        <v>1</v>
      </c>
      <c r="Y807">
        <v>0</v>
      </c>
      <c r="Z807">
        <v>0</v>
      </c>
      <c r="AB807">
        <v>0</v>
      </c>
      <c r="AC807">
        <v>9</v>
      </c>
      <c r="AD807">
        <v>3</v>
      </c>
      <c r="AE807">
        <v>0</v>
      </c>
      <c r="AF807">
        <v>9</v>
      </c>
      <c r="AG807" t="s">
        <v>158</v>
      </c>
      <c r="AH807">
        <v>0</v>
      </c>
      <c r="AI807">
        <v>3</v>
      </c>
      <c r="AJ807">
        <v>1</v>
      </c>
      <c r="AK807">
        <v>0</v>
      </c>
      <c r="AL807" t="s">
        <v>1684</v>
      </c>
      <c r="AM807">
        <v>46.863320000000002</v>
      </c>
      <c r="AN807" t="s">
        <v>1685</v>
      </c>
      <c r="AO807">
        <v>-122.41535399999999</v>
      </c>
      <c r="AP807">
        <v>100</v>
      </c>
      <c r="AQ807">
        <v>1900</v>
      </c>
      <c r="AR807" t="s">
        <v>118</v>
      </c>
      <c r="AS807">
        <v>-53</v>
      </c>
      <c r="AT807">
        <v>-44</v>
      </c>
      <c r="AU807">
        <v>320</v>
      </c>
      <c r="BC807">
        <v>1200</v>
      </c>
      <c r="BD807">
        <v>1</v>
      </c>
      <c r="BE807" t="str">
        <f t="shared" si="38"/>
        <v xml:space="preserve">N215T   </v>
      </c>
      <c r="BF807">
        <v>1</v>
      </c>
      <c r="BH807">
        <v>0</v>
      </c>
      <c r="BI807">
        <v>0</v>
      </c>
      <c r="BJ807">
        <v>0</v>
      </c>
      <c r="BK807">
        <v>2250</v>
      </c>
      <c r="BL807">
        <v>350</v>
      </c>
      <c r="BM807" t="s">
        <v>119</v>
      </c>
      <c r="BN807">
        <v>1</v>
      </c>
      <c r="BO807">
        <v>1</v>
      </c>
      <c r="BP807">
        <v>1</v>
      </c>
      <c r="BQ807">
        <v>0</v>
      </c>
      <c r="BT807">
        <v>0</v>
      </c>
      <c r="BU807">
        <v>0</v>
      </c>
      <c r="BV807">
        <v>0</v>
      </c>
      <c r="CC807" t="str">
        <f>"18:48:05.242"</f>
        <v>18:48:05.242</v>
      </c>
      <c r="CD807" t="str">
        <f>"244536862"</f>
        <v>244536862</v>
      </c>
      <c r="CQ807">
        <v>0</v>
      </c>
      <c r="CR807">
        <v>2</v>
      </c>
      <c r="CS807">
        <v>0</v>
      </c>
      <c r="CT807">
        <v>2</v>
      </c>
      <c r="CU807">
        <v>0</v>
      </c>
      <c r="CV807">
        <v>5</v>
      </c>
      <c r="CW807" t="s">
        <v>120</v>
      </c>
      <c r="CX807">
        <v>261</v>
      </c>
      <c r="CY807">
        <v>2</v>
      </c>
      <c r="CZ807" t="s">
        <v>121</v>
      </c>
      <c r="DA807" t="s">
        <v>122</v>
      </c>
      <c r="DD807">
        <v>14675096</v>
      </c>
      <c r="DE807" t="s">
        <v>123</v>
      </c>
    </row>
    <row r="808" spans="1:109" x14ac:dyDescent="0.3">
      <c r="A808" t="str">
        <f>"18:48:06.523"</f>
        <v>18:48:06.523</v>
      </c>
      <c r="B808" t="s">
        <v>110</v>
      </c>
      <c r="C808" t="str">
        <f t="shared" si="36"/>
        <v>ffdfd3c0</v>
      </c>
      <c r="D808" t="s">
        <v>111</v>
      </c>
      <c r="E808">
        <v>18</v>
      </c>
      <c r="F808">
        <v>1018</v>
      </c>
      <c r="G808" t="s">
        <v>112</v>
      </c>
      <c r="J808" t="s">
        <v>113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R808" t="s">
        <v>114</v>
      </c>
      <c r="S808" t="str">
        <f>"18:48:06.258"</f>
        <v>18:48:06.258</v>
      </c>
      <c r="T808" t="str">
        <f>"18:48:05.859"</f>
        <v>18:48:05.859</v>
      </c>
      <c r="U808" t="str">
        <f t="shared" si="37"/>
        <v>a1cdbe</v>
      </c>
      <c r="V808">
        <v>0</v>
      </c>
      <c r="W808">
        <v>0</v>
      </c>
      <c r="X808">
        <v>1</v>
      </c>
      <c r="Y808">
        <v>0</v>
      </c>
      <c r="Z808">
        <v>0</v>
      </c>
      <c r="AB808">
        <v>0</v>
      </c>
      <c r="AC808">
        <v>9</v>
      </c>
      <c r="AD808">
        <v>3</v>
      </c>
      <c r="AE808">
        <v>0</v>
      </c>
      <c r="AF808">
        <v>9</v>
      </c>
      <c r="AG808" t="s">
        <v>158</v>
      </c>
      <c r="AH808">
        <v>0</v>
      </c>
      <c r="AI808">
        <v>3</v>
      </c>
      <c r="AJ808">
        <v>1</v>
      </c>
      <c r="AK808">
        <v>0</v>
      </c>
      <c r="AL808" t="s">
        <v>1686</v>
      </c>
      <c r="AM808">
        <v>46.863104999999997</v>
      </c>
      <c r="AN808" t="s">
        <v>1687</v>
      </c>
      <c r="AO808">
        <v>-122.415719</v>
      </c>
      <c r="AP808">
        <v>100</v>
      </c>
      <c r="AQ808">
        <v>1900</v>
      </c>
      <c r="AR808" t="s">
        <v>118</v>
      </c>
      <c r="AS808">
        <v>-52</v>
      </c>
      <c r="AT808">
        <v>-45</v>
      </c>
      <c r="AU808">
        <v>64</v>
      </c>
      <c r="BC808">
        <v>1200</v>
      </c>
      <c r="BD808">
        <v>1</v>
      </c>
      <c r="BE808" t="str">
        <f t="shared" si="38"/>
        <v xml:space="preserve">N215T   </v>
      </c>
      <c r="BF808">
        <v>1</v>
      </c>
      <c r="BH808">
        <v>0</v>
      </c>
      <c r="BI808">
        <v>0</v>
      </c>
      <c r="BJ808">
        <v>0</v>
      </c>
      <c r="BK808">
        <v>2250</v>
      </c>
      <c r="BL808">
        <v>350</v>
      </c>
      <c r="BM808" t="s">
        <v>119</v>
      </c>
      <c r="BN808">
        <v>1</v>
      </c>
      <c r="BO808">
        <v>1</v>
      </c>
      <c r="BP808">
        <v>1</v>
      </c>
      <c r="BQ808">
        <v>0</v>
      </c>
      <c r="BT808">
        <v>0</v>
      </c>
      <c r="BU808">
        <v>0</v>
      </c>
      <c r="BV808">
        <v>0</v>
      </c>
      <c r="CC808" t="str">
        <f>"18:48:06.266"</f>
        <v>18:48:06.266</v>
      </c>
      <c r="CD808" t="str">
        <f>"264576449"</f>
        <v>264576449</v>
      </c>
      <c r="CQ808">
        <v>0</v>
      </c>
      <c r="CR808">
        <v>2</v>
      </c>
      <c r="CS808">
        <v>0</v>
      </c>
      <c r="CT808">
        <v>2</v>
      </c>
      <c r="CU808">
        <v>0</v>
      </c>
      <c r="CV808">
        <v>5</v>
      </c>
      <c r="CW808" t="s">
        <v>120</v>
      </c>
      <c r="CX808">
        <v>257</v>
      </c>
      <c r="CY808">
        <v>1</v>
      </c>
      <c r="CZ808" t="s">
        <v>615</v>
      </c>
      <c r="DA808" t="s">
        <v>616</v>
      </c>
      <c r="DD808">
        <v>10990737</v>
      </c>
      <c r="DE808" t="s">
        <v>123</v>
      </c>
    </row>
    <row r="809" spans="1:109" x14ac:dyDescent="0.3">
      <c r="A809" t="str">
        <f>"18:48:07.531"</f>
        <v>18:48:07.531</v>
      </c>
      <c r="B809" t="s">
        <v>110</v>
      </c>
      <c r="C809" t="str">
        <f t="shared" si="36"/>
        <v>ffdfd3c0</v>
      </c>
      <c r="D809" t="s">
        <v>111</v>
      </c>
      <c r="E809">
        <v>18</v>
      </c>
      <c r="F809">
        <v>1018</v>
      </c>
      <c r="G809" t="s">
        <v>112</v>
      </c>
      <c r="J809" t="s">
        <v>113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R809" t="s">
        <v>114</v>
      </c>
      <c r="S809" t="str">
        <f>"18:48:07.297"</f>
        <v>18:48:07.297</v>
      </c>
      <c r="T809" t="str">
        <f>"18:48:06.898"</f>
        <v>18:48:06.898</v>
      </c>
      <c r="U809" t="str">
        <f t="shared" si="37"/>
        <v>a1cdbe</v>
      </c>
      <c r="V809">
        <v>0</v>
      </c>
      <c r="W809">
        <v>0</v>
      </c>
      <c r="X809">
        <v>1</v>
      </c>
      <c r="Y809">
        <v>0</v>
      </c>
      <c r="Z809">
        <v>0</v>
      </c>
      <c r="AB809">
        <v>0</v>
      </c>
      <c r="AC809">
        <v>9</v>
      </c>
      <c r="AD809">
        <v>3</v>
      </c>
      <c r="AE809">
        <v>0</v>
      </c>
      <c r="AF809">
        <v>9</v>
      </c>
      <c r="AG809" t="s">
        <v>158</v>
      </c>
      <c r="AH809">
        <v>0</v>
      </c>
      <c r="AI809">
        <v>3</v>
      </c>
      <c r="AJ809">
        <v>1</v>
      </c>
      <c r="AK809">
        <v>0</v>
      </c>
      <c r="AL809" t="s">
        <v>1688</v>
      </c>
      <c r="AM809">
        <v>46.862912000000001</v>
      </c>
      <c r="AN809" t="s">
        <v>1689</v>
      </c>
      <c r="AO809">
        <v>-122.41604100000001</v>
      </c>
      <c r="AP809">
        <v>100</v>
      </c>
      <c r="AQ809">
        <v>1900</v>
      </c>
      <c r="AR809" t="s">
        <v>118</v>
      </c>
      <c r="AS809">
        <v>-50</v>
      </c>
      <c r="AT809">
        <v>-45</v>
      </c>
      <c r="AU809">
        <v>64</v>
      </c>
      <c r="BC809">
        <v>1200</v>
      </c>
      <c r="BD809">
        <v>1</v>
      </c>
      <c r="BE809" t="str">
        <f t="shared" si="38"/>
        <v xml:space="preserve">N215T   </v>
      </c>
      <c r="BF809">
        <v>1</v>
      </c>
      <c r="BH809">
        <v>0</v>
      </c>
      <c r="BI809">
        <v>0</v>
      </c>
      <c r="BJ809">
        <v>0</v>
      </c>
      <c r="BK809">
        <v>2250</v>
      </c>
      <c r="BL809">
        <v>350</v>
      </c>
      <c r="BM809" t="s">
        <v>119</v>
      </c>
      <c r="BN809">
        <v>1</v>
      </c>
      <c r="BO809">
        <v>1</v>
      </c>
      <c r="BP809">
        <v>1</v>
      </c>
      <c r="BQ809">
        <v>0</v>
      </c>
      <c r="BT809">
        <v>0</v>
      </c>
      <c r="BU809">
        <v>0</v>
      </c>
      <c r="BV809">
        <v>0</v>
      </c>
      <c r="CC809" t="str">
        <f>"18:48:07.297"</f>
        <v>18:48:07.297</v>
      </c>
      <c r="CD809" t="str">
        <f>"299474503"</f>
        <v>299474503</v>
      </c>
      <c r="CQ809">
        <v>0</v>
      </c>
      <c r="CR809">
        <v>2</v>
      </c>
      <c r="CS809">
        <v>0</v>
      </c>
      <c r="CT809">
        <v>2</v>
      </c>
      <c r="CU809">
        <v>0</v>
      </c>
      <c r="CV809">
        <v>5</v>
      </c>
      <c r="CW809" t="s">
        <v>120</v>
      </c>
      <c r="CX809">
        <v>257</v>
      </c>
      <c r="CY809">
        <v>1</v>
      </c>
      <c r="CZ809" t="s">
        <v>615</v>
      </c>
      <c r="DA809" t="s">
        <v>616</v>
      </c>
      <c r="DD809">
        <v>10991444</v>
      </c>
      <c r="DE809" t="s">
        <v>123</v>
      </c>
    </row>
    <row r="810" spans="1:109" x14ac:dyDescent="0.3">
      <c r="A810" t="str">
        <f>"18:48:08.586"</f>
        <v>18:48:08.586</v>
      </c>
      <c r="B810" t="s">
        <v>110</v>
      </c>
      <c r="C810" t="str">
        <f t="shared" si="36"/>
        <v>ffdfd3c0</v>
      </c>
      <c r="D810" t="s">
        <v>111</v>
      </c>
      <c r="E810">
        <v>18</v>
      </c>
      <c r="F810">
        <v>1018</v>
      </c>
      <c r="G810" t="s">
        <v>112</v>
      </c>
      <c r="J810" t="s">
        <v>113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R810" t="s">
        <v>114</v>
      </c>
      <c r="S810" t="str">
        <f>"18:48:08.359"</f>
        <v>18:48:08.359</v>
      </c>
      <c r="T810" t="str">
        <f>"18:48:07.961"</f>
        <v>18:48:07.961</v>
      </c>
      <c r="U810" t="str">
        <f t="shared" si="37"/>
        <v>a1cdbe</v>
      </c>
      <c r="V810">
        <v>0</v>
      </c>
      <c r="W810">
        <v>0</v>
      </c>
      <c r="X810">
        <v>1</v>
      </c>
      <c r="Y810">
        <v>0</v>
      </c>
      <c r="Z810">
        <v>0</v>
      </c>
      <c r="AB810">
        <v>0</v>
      </c>
      <c r="AC810">
        <v>9</v>
      </c>
      <c r="AD810">
        <v>3</v>
      </c>
      <c r="AE810">
        <v>0</v>
      </c>
      <c r="AF810">
        <v>9</v>
      </c>
      <c r="AG810" t="s">
        <v>158</v>
      </c>
      <c r="AH810">
        <v>0</v>
      </c>
      <c r="AI810">
        <v>3</v>
      </c>
      <c r="AJ810">
        <v>1</v>
      </c>
      <c r="AK810">
        <v>0</v>
      </c>
      <c r="AL810" t="s">
        <v>1690</v>
      </c>
      <c r="AM810">
        <v>46.862676</v>
      </c>
      <c r="AN810" t="s">
        <v>1691</v>
      </c>
      <c r="AO810">
        <v>-122.416427</v>
      </c>
      <c r="AP810">
        <v>100</v>
      </c>
      <c r="AQ810">
        <v>1900</v>
      </c>
      <c r="AR810" t="s">
        <v>118</v>
      </c>
      <c r="AS810">
        <v>-49</v>
      </c>
      <c r="AT810">
        <v>-46</v>
      </c>
      <c r="AU810">
        <v>256</v>
      </c>
      <c r="BC810">
        <v>1200</v>
      </c>
      <c r="BD810">
        <v>1</v>
      </c>
      <c r="BE810" t="str">
        <f t="shared" si="38"/>
        <v xml:space="preserve">N215T   </v>
      </c>
      <c r="BF810">
        <v>1</v>
      </c>
      <c r="BH810">
        <v>0</v>
      </c>
      <c r="BI810">
        <v>0</v>
      </c>
      <c r="BJ810">
        <v>0</v>
      </c>
      <c r="BK810">
        <v>2250</v>
      </c>
      <c r="BL810">
        <v>350</v>
      </c>
      <c r="BM810" t="s">
        <v>119</v>
      </c>
      <c r="BN810">
        <v>1</v>
      </c>
      <c r="BO810">
        <v>1</v>
      </c>
      <c r="BP810">
        <v>1</v>
      </c>
      <c r="BQ810">
        <v>0</v>
      </c>
      <c r="BT810">
        <v>0</v>
      </c>
      <c r="BU810">
        <v>0</v>
      </c>
      <c r="BV810">
        <v>0</v>
      </c>
      <c r="CC810" t="str">
        <f>"18:48:08.367"</f>
        <v>18:48:08.367</v>
      </c>
      <c r="CD810" t="str">
        <f>"364369466"</f>
        <v>364369466</v>
      </c>
      <c r="CQ810">
        <v>0</v>
      </c>
      <c r="CR810">
        <v>2</v>
      </c>
      <c r="CS810">
        <v>0</v>
      </c>
      <c r="CT810">
        <v>2</v>
      </c>
      <c r="CU810">
        <v>0</v>
      </c>
      <c r="CV810">
        <v>5</v>
      </c>
      <c r="CW810" t="s">
        <v>120</v>
      </c>
      <c r="CX810">
        <v>257</v>
      </c>
      <c r="CY810">
        <v>1</v>
      </c>
      <c r="CZ810" t="s">
        <v>615</v>
      </c>
      <c r="DA810" t="s">
        <v>616</v>
      </c>
      <c r="DD810">
        <v>10992124</v>
      </c>
      <c r="DE810" t="s">
        <v>123</v>
      </c>
    </row>
    <row r="811" spans="1:109" x14ac:dyDescent="0.3">
      <c r="A811" t="str">
        <f>"18:48:09.594"</f>
        <v>18:48:09.594</v>
      </c>
      <c r="B811" t="s">
        <v>110</v>
      </c>
      <c r="C811" t="str">
        <f t="shared" si="36"/>
        <v>ffdfd3c0</v>
      </c>
      <c r="D811" t="s">
        <v>111</v>
      </c>
      <c r="E811">
        <v>18</v>
      </c>
      <c r="F811">
        <v>1018</v>
      </c>
      <c r="G811" t="s">
        <v>112</v>
      </c>
      <c r="J811" t="s">
        <v>113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R811" t="s">
        <v>114</v>
      </c>
      <c r="S811" t="str">
        <f>"18:48:09.398"</f>
        <v>18:48:09.398</v>
      </c>
      <c r="T811" t="str">
        <f>"18:48:09.398"</f>
        <v>18:48:09.398</v>
      </c>
      <c r="U811" t="str">
        <f t="shared" si="37"/>
        <v>a1cdbe</v>
      </c>
      <c r="V811">
        <v>0</v>
      </c>
      <c r="W811">
        <v>0</v>
      </c>
      <c r="X811">
        <v>1</v>
      </c>
      <c r="Y811">
        <v>0</v>
      </c>
      <c r="Z811">
        <v>0</v>
      </c>
      <c r="AB811">
        <v>0</v>
      </c>
      <c r="AC811">
        <v>9</v>
      </c>
      <c r="AD811">
        <v>3</v>
      </c>
      <c r="AE811">
        <v>0</v>
      </c>
      <c r="AF811">
        <v>9</v>
      </c>
      <c r="AG811" t="s">
        <v>158</v>
      </c>
      <c r="AH811">
        <v>0</v>
      </c>
      <c r="AI811">
        <v>3</v>
      </c>
      <c r="AJ811">
        <v>1</v>
      </c>
      <c r="AK811">
        <v>0</v>
      </c>
      <c r="AL811" t="s">
        <v>1692</v>
      </c>
      <c r="AM811">
        <v>46.862462000000001</v>
      </c>
      <c r="AN811" t="s">
        <v>1693</v>
      </c>
      <c r="AO811">
        <v>-122.416749</v>
      </c>
      <c r="AP811">
        <v>100</v>
      </c>
      <c r="AQ811">
        <v>1900</v>
      </c>
      <c r="AR811" t="s">
        <v>118</v>
      </c>
      <c r="AS811">
        <v>-48</v>
      </c>
      <c r="AT811">
        <v>-46</v>
      </c>
      <c r="AU811">
        <v>0</v>
      </c>
      <c r="BC811">
        <v>1200</v>
      </c>
      <c r="BD811">
        <v>1</v>
      </c>
      <c r="BE811" t="str">
        <f t="shared" si="38"/>
        <v xml:space="preserve">N215T   </v>
      </c>
      <c r="BF811">
        <v>1</v>
      </c>
      <c r="BH811">
        <v>0</v>
      </c>
      <c r="BI811">
        <v>0</v>
      </c>
      <c r="BJ811">
        <v>0</v>
      </c>
      <c r="BK811">
        <v>2250</v>
      </c>
      <c r="BL811">
        <v>350</v>
      </c>
      <c r="BM811" t="s">
        <v>119</v>
      </c>
      <c r="BN811">
        <v>1</v>
      </c>
      <c r="BO811">
        <v>1</v>
      </c>
      <c r="BP811">
        <v>1</v>
      </c>
      <c r="BQ811">
        <v>0</v>
      </c>
      <c r="BT811">
        <v>0</v>
      </c>
      <c r="BU811">
        <v>0</v>
      </c>
      <c r="BV811">
        <v>0</v>
      </c>
      <c r="CC811" t="str">
        <f>"18:48:09.398"</f>
        <v>18:48:09.398</v>
      </c>
      <c r="CD811" t="str">
        <f>"399095806"</f>
        <v>399095806</v>
      </c>
      <c r="CQ811">
        <v>0</v>
      </c>
      <c r="CR811">
        <v>2</v>
      </c>
      <c r="CS811">
        <v>0</v>
      </c>
      <c r="CT811">
        <v>2</v>
      </c>
      <c r="CU811">
        <v>0</v>
      </c>
      <c r="CV811">
        <v>3</v>
      </c>
      <c r="CW811" t="s">
        <v>172</v>
      </c>
      <c r="CX811">
        <v>326</v>
      </c>
      <c r="CY811">
        <v>0</v>
      </c>
      <c r="CZ811" t="s">
        <v>173</v>
      </c>
      <c r="DA811" t="s">
        <v>174</v>
      </c>
      <c r="DD811">
        <v>6029624</v>
      </c>
      <c r="DE811" t="s">
        <v>123</v>
      </c>
    </row>
    <row r="812" spans="1:109" x14ac:dyDescent="0.3">
      <c r="A812" t="str">
        <f>"18:48:10.445"</f>
        <v>18:48:10.445</v>
      </c>
      <c r="B812" t="s">
        <v>110</v>
      </c>
      <c r="C812" t="str">
        <f t="shared" si="36"/>
        <v>ffdfd3c0</v>
      </c>
      <c r="D812" t="s">
        <v>111</v>
      </c>
      <c r="E812">
        <v>18</v>
      </c>
      <c r="F812">
        <v>1018</v>
      </c>
      <c r="G812" t="s">
        <v>112</v>
      </c>
      <c r="J812" t="s">
        <v>113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R812" t="s">
        <v>114</v>
      </c>
      <c r="S812" t="str">
        <f>"18:48:10.234"</f>
        <v>18:48:10.234</v>
      </c>
      <c r="T812" t="str">
        <f>"18:48:10.234"</f>
        <v>18:48:10.234</v>
      </c>
      <c r="U812" t="str">
        <f t="shared" si="37"/>
        <v>a1cdbe</v>
      </c>
      <c r="V812">
        <v>0</v>
      </c>
      <c r="W812">
        <v>0</v>
      </c>
      <c r="X812">
        <v>1</v>
      </c>
      <c r="Y812">
        <v>0</v>
      </c>
      <c r="Z812">
        <v>0</v>
      </c>
      <c r="AB812">
        <v>0</v>
      </c>
      <c r="AC812">
        <v>9</v>
      </c>
      <c r="AD812">
        <v>3</v>
      </c>
      <c r="AE812">
        <v>0</v>
      </c>
      <c r="AF812">
        <v>9</v>
      </c>
      <c r="AG812" t="s">
        <v>158</v>
      </c>
      <c r="AH812">
        <v>0</v>
      </c>
      <c r="AI812">
        <v>3</v>
      </c>
      <c r="AJ812">
        <v>1</v>
      </c>
      <c r="AK812">
        <v>0</v>
      </c>
      <c r="AL812" t="s">
        <v>1694</v>
      </c>
      <c r="AM812">
        <v>46.862268</v>
      </c>
      <c r="AN812" t="s">
        <v>1695</v>
      </c>
      <c r="AO812">
        <v>-122.417006</v>
      </c>
      <c r="AP812">
        <v>100</v>
      </c>
      <c r="AQ812">
        <v>1900</v>
      </c>
      <c r="AR812" t="s">
        <v>118</v>
      </c>
      <c r="AS812">
        <v>-47</v>
      </c>
      <c r="AT812">
        <v>-46</v>
      </c>
      <c r="AU812">
        <v>0</v>
      </c>
      <c r="BC812">
        <v>1200</v>
      </c>
      <c r="BD812">
        <v>1</v>
      </c>
      <c r="BE812" t="str">
        <f t="shared" si="38"/>
        <v xml:space="preserve">N215T   </v>
      </c>
      <c r="BF812">
        <v>1</v>
      </c>
      <c r="BH812">
        <v>0</v>
      </c>
      <c r="BI812">
        <v>0</v>
      </c>
      <c r="BJ812">
        <v>0</v>
      </c>
      <c r="BK812">
        <v>2250</v>
      </c>
      <c r="BL812">
        <v>350</v>
      </c>
      <c r="BM812" t="s">
        <v>119</v>
      </c>
      <c r="BN812">
        <v>1</v>
      </c>
      <c r="BO812">
        <v>1</v>
      </c>
      <c r="BP812">
        <v>1</v>
      </c>
      <c r="BQ812">
        <v>0</v>
      </c>
      <c r="BT812">
        <v>0</v>
      </c>
      <c r="BU812">
        <v>0</v>
      </c>
      <c r="BV812">
        <v>0</v>
      </c>
      <c r="CC812" t="str">
        <f>"18:48:10.242"</f>
        <v>18:48:10.242</v>
      </c>
      <c r="CD812" t="str">
        <f>"239184665"</f>
        <v>239184665</v>
      </c>
      <c r="CQ812">
        <v>0</v>
      </c>
      <c r="CR812">
        <v>2</v>
      </c>
      <c r="CS812">
        <v>0</v>
      </c>
      <c r="CT812">
        <v>2</v>
      </c>
      <c r="CU812">
        <v>0</v>
      </c>
      <c r="CV812">
        <v>5</v>
      </c>
      <c r="CW812" t="s">
        <v>120</v>
      </c>
      <c r="CX812">
        <v>257</v>
      </c>
      <c r="CY812">
        <v>1</v>
      </c>
      <c r="CZ812" t="s">
        <v>615</v>
      </c>
      <c r="DA812" t="s">
        <v>616</v>
      </c>
      <c r="DD812">
        <v>10993241</v>
      </c>
      <c r="DE812" t="s">
        <v>123</v>
      </c>
    </row>
    <row r="813" spans="1:109" x14ac:dyDescent="0.3">
      <c r="A813" t="str">
        <f>"18:48:11.602"</f>
        <v>18:48:11.602</v>
      </c>
      <c r="B813" t="s">
        <v>110</v>
      </c>
      <c r="C813" t="str">
        <f t="shared" si="36"/>
        <v>ffdfd3c0</v>
      </c>
      <c r="D813" t="s">
        <v>111</v>
      </c>
      <c r="E813">
        <v>18</v>
      </c>
      <c r="F813">
        <v>1018</v>
      </c>
      <c r="G813" t="s">
        <v>112</v>
      </c>
      <c r="J813" t="s">
        <v>113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R813" t="s">
        <v>114</v>
      </c>
      <c r="S813" t="str">
        <f>"18:48:11.344"</f>
        <v>18:48:11.344</v>
      </c>
      <c r="T813" t="str">
        <f>"18:48:11.242"</f>
        <v>18:48:11.242</v>
      </c>
      <c r="U813" t="str">
        <f t="shared" si="37"/>
        <v>a1cdbe</v>
      </c>
      <c r="V813">
        <v>0</v>
      </c>
      <c r="W813">
        <v>0</v>
      </c>
      <c r="X813">
        <v>1</v>
      </c>
      <c r="Y813">
        <v>0</v>
      </c>
      <c r="Z813">
        <v>0</v>
      </c>
      <c r="AB813">
        <v>0</v>
      </c>
      <c r="AC813">
        <v>9</v>
      </c>
      <c r="AD813">
        <v>3</v>
      </c>
      <c r="AE813">
        <v>0</v>
      </c>
      <c r="AF813">
        <v>9</v>
      </c>
      <c r="AG813" t="s">
        <v>158</v>
      </c>
      <c r="AH813">
        <v>0</v>
      </c>
      <c r="AI813">
        <v>3</v>
      </c>
      <c r="AJ813">
        <v>1</v>
      </c>
      <c r="AK813">
        <v>0</v>
      </c>
      <c r="AL813" t="s">
        <v>1696</v>
      </c>
      <c r="AM813">
        <v>46.862031999999999</v>
      </c>
      <c r="AN813" t="s">
        <v>1697</v>
      </c>
      <c r="AO813">
        <v>-122.41735</v>
      </c>
      <c r="AP813">
        <v>100</v>
      </c>
      <c r="AQ813">
        <v>1900</v>
      </c>
      <c r="AR813" t="s">
        <v>118</v>
      </c>
      <c r="AS813">
        <v>-48</v>
      </c>
      <c r="AT813">
        <v>-46</v>
      </c>
      <c r="AU813">
        <v>-64</v>
      </c>
      <c r="BC813">
        <v>1200</v>
      </c>
      <c r="BD813">
        <v>1</v>
      </c>
      <c r="BE813" t="str">
        <f t="shared" si="38"/>
        <v xml:space="preserve">N215T   </v>
      </c>
      <c r="BF813">
        <v>1</v>
      </c>
      <c r="BH813">
        <v>0</v>
      </c>
      <c r="BI813">
        <v>0</v>
      </c>
      <c r="BJ813">
        <v>0</v>
      </c>
      <c r="BK813">
        <v>2250</v>
      </c>
      <c r="BL813">
        <v>350</v>
      </c>
      <c r="BM813" t="s">
        <v>119</v>
      </c>
      <c r="BN813">
        <v>1</v>
      </c>
      <c r="BO813">
        <v>1</v>
      </c>
      <c r="BP813">
        <v>1</v>
      </c>
      <c r="BQ813">
        <v>0</v>
      </c>
      <c r="BT813">
        <v>0</v>
      </c>
      <c r="BU813">
        <v>0</v>
      </c>
      <c r="BV813">
        <v>0</v>
      </c>
      <c r="CC813" t="str">
        <f>"18:48:11.352"</f>
        <v>18:48:11.352</v>
      </c>
      <c r="CD813" t="str">
        <f>"349075274"</f>
        <v>349075274</v>
      </c>
      <c r="CQ813">
        <v>0</v>
      </c>
      <c r="CR813">
        <v>2</v>
      </c>
      <c r="CS813">
        <v>0</v>
      </c>
      <c r="CT813">
        <v>2</v>
      </c>
      <c r="CU813">
        <v>0</v>
      </c>
      <c r="CV813">
        <v>4</v>
      </c>
      <c r="CW813" t="s">
        <v>120</v>
      </c>
      <c r="CX813">
        <v>257</v>
      </c>
      <c r="CY813">
        <v>1</v>
      </c>
      <c r="CZ813" t="s">
        <v>615</v>
      </c>
      <c r="DA813" t="s">
        <v>616</v>
      </c>
      <c r="DD813">
        <v>10993978</v>
      </c>
      <c r="DE813" t="s">
        <v>123</v>
      </c>
    </row>
    <row r="814" spans="1:109" x14ac:dyDescent="0.3">
      <c r="A814" t="str">
        <f>"18:48:12.609"</f>
        <v>18:48:12.609</v>
      </c>
      <c r="B814" t="s">
        <v>110</v>
      </c>
      <c r="C814" t="str">
        <f t="shared" si="36"/>
        <v>ffdfd3c0</v>
      </c>
      <c r="D814" t="s">
        <v>111</v>
      </c>
      <c r="E814">
        <v>18</v>
      </c>
      <c r="F814">
        <v>1018</v>
      </c>
      <c r="G814" t="s">
        <v>112</v>
      </c>
      <c r="J814" t="s">
        <v>113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R814" t="s">
        <v>114</v>
      </c>
      <c r="S814" t="str">
        <f>"18:48:12.367"</f>
        <v>18:48:12.367</v>
      </c>
      <c r="T814" t="str">
        <f>"18:48:12.367"</f>
        <v>18:48:12.367</v>
      </c>
      <c r="U814" t="str">
        <f t="shared" si="37"/>
        <v>a1cdbe</v>
      </c>
      <c r="V814">
        <v>0</v>
      </c>
      <c r="W814">
        <v>0</v>
      </c>
      <c r="X814">
        <v>1</v>
      </c>
      <c r="Y814">
        <v>0</v>
      </c>
      <c r="Z814">
        <v>0</v>
      </c>
      <c r="AB814">
        <v>0</v>
      </c>
      <c r="AC814">
        <v>9</v>
      </c>
      <c r="AD814">
        <v>3</v>
      </c>
      <c r="AE814">
        <v>0</v>
      </c>
      <c r="AF814">
        <v>9</v>
      </c>
      <c r="AG814" t="s">
        <v>158</v>
      </c>
      <c r="AH814">
        <v>0</v>
      </c>
      <c r="AI814">
        <v>3</v>
      </c>
      <c r="AJ814">
        <v>1</v>
      </c>
      <c r="AK814">
        <v>0</v>
      </c>
      <c r="AL814" t="s">
        <v>1698</v>
      </c>
      <c r="AM814">
        <v>46.861818</v>
      </c>
      <c r="AN814" t="s">
        <v>1699</v>
      </c>
      <c r="AO814">
        <v>-122.417715</v>
      </c>
      <c r="AP814">
        <v>100</v>
      </c>
      <c r="AQ814">
        <v>1900</v>
      </c>
      <c r="AR814" t="s">
        <v>118</v>
      </c>
      <c r="AS814">
        <v>-49</v>
      </c>
      <c r="AT814">
        <v>-45</v>
      </c>
      <c r="AU814">
        <v>0</v>
      </c>
      <c r="BC814">
        <v>1200</v>
      </c>
      <c r="BD814">
        <v>1</v>
      </c>
      <c r="BE814" t="str">
        <f t="shared" si="38"/>
        <v xml:space="preserve">N215T   </v>
      </c>
      <c r="BF814">
        <v>1</v>
      </c>
      <c r="BH814">
        <v>0</v>
      </c>
      <c r="BI814">
        <v>0</v>
      </c>
      <c r="BJ814">
        <v>0</v>
      </c>
      <c r="BK814">
        <v>2250</v>
      </c>
      <c r="BL814">
        <v>350</v>
      </c>
      <c r="BM814" t="s">
        <v>119</v>
      </c>
      <c r="BN814">
        <v>1</v>
      </c>
      <c r="BO814">
        <v>1</v>
      </c>
      <c r="BP814">
        <v>1</v>
      </c>
      <c r="BQ814">
        <v>0</v>
      </c>
      <c r="BT814">
        <v>0</v>
      </c>
      <c r="BU814">
        <v>0</v>
      </c>
      <c r="BV814">
        <v>0</v>
      </c>
      <c r="CC814" t="str">
        <f>"18:48:12.367"</f>
        <v>18:48:12.367</v>
      </c>
      <c r="CD814" t="str">
        <f>"368974753"</f>
        <v>368974753</v>
      </c>
      <c r="CQ814">
        <v>0</v>
      </c>
      <c r="CR814">
        <v>2</v>
      </c>
      <c r="CS814">
        <v>0</v>
      </c>
      <c r="CT814">
        <v>2</v>
      </c>
      <c r="CU814">
        <v>0</v>
      </c>
      <c r="CV814">
        <v>5</v>
      </c>
      <c r="CW814" t="s">
        <v>120</v>
      </c>
      <c r="CX814">
        <v>257</v>
      </c>
      <c r="CY814">
        <v>1</v>
      </c>
      <c r="CZ814" t="s">
        <v>615</v>
      </c>
      <c r="DA814" t="s">
        <v>616</v>
      </c>
      <c r="DD814">
        <v>10994700</v>
      </c>
      <c r="DE814" t="s">
        <v>123</v>
      </c>
    </row>
    <row r="815" spans="1:109" x14ac:dyDescent="0.3">
      <c r="A815" t="str">
        <f>"18:48:13.516"</f>
        <v>18:48:13.516</v>
      </c>
      <c r="B815" t="s">
        <v>110</v>
      </c>
      <c r="C815" t="str">
        <f t="shared" si="36"/>
        <v>ffdfd3c0</v>
      </c>
      <c r="D815" t="s">
        <v>111</v>
      </c>
      <c r="E815">
        <v>18</v>
      </c>
      <c r="F815">
        <v>1018</v>
      </c>
      <c r="G815" t="s">
        <v>112</v>
      </c>
      <c r="J815" t="s">
        <v>113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R815" t="s">
        <v>114</v>
      </c>
      <c r="S815" t="str">
        <f>"18:48:13.297"</f>
        <v>18:48:13.297</v>
      </c>
      <c r="T815" t="str">
        <f>"18:48:12.898"</f>
        <v>18:48:12.898</v>
      </c>
      <c r="U815" t="str">
        <f t="shared" si="37"/>
        <v>a1cdbe</v>
      </c>
      <c r="V815">
        <v>0</v>
      </c>
      <c r="W815">
        <v>0</v>
      </c>
      <c r="X815">
        <v>1</v>
      </c>
      <c r="Y815">
        <v>0</v>
      </c>
      <c r="Z815">
        <v>0</v>
      </c>
      <c r="AB815">
        <v>0</v>
      </c>
      <c r="AC815">
        <v>9</v>
      </c>
      <c r="AD815">
        <v>3</v>
      </c>
      <c r="AE815">
        <v>0</v>
      </c>
      <c r="AF815">
        <v>9</v>
      </c>
      <c r="AG815" t="s">
        <v>158</v>
      </c>
      <c r="AH815">
        <v>0</v>
      </c>
      <c r="AI815">
        <v>3</v>
      </c>
      <c r="AJ815">
        <v>1</v>
      </c>
      <c r="AK815">
        <v>0</v>
      </c>
      <c r="AL815" t="s">
        <v>1700</v>
      </c>
      <c r="AM815">
        <v>46.861624999999997</v>
      </c>
      <c r="AN815" t="s">
        <v>1701</v>
      </c>
      <c r="AO815">
        <v>-122.418036</v>
      </c>
      <c r="AP815">
        <v>100</v>
      </c>
      <c r="AQ815">
        <v>1900</v>
      </c>
      <c r="AR815" t="s">
        <v>118</v>
      </c>
      <c r="AS815">
        <v>-49</v>
      </c>
      <c r="AT815">
        <v>-44</v>
      </c>
      <c r="AU815">
        <v>0</v>
      </c>
      <c r="BC815">
        <v>1200</v>
      </c>
      <c r="BD815">
        <v>1</v>
      </c>
      <c r="BE815" t="str">
        <f t="shared" si="38"/>
        <v xml:space="preserve">N215T   </v>
      </c>
      <c r="BF815">
        <v>1</v>
      </c>
      <c r="BH815">
        <v>0</v>
      </c>
      <c r="BI815">
        <v>0</v>
      </c>
      <c r="BJ815">
        <v>0</v>
      </c>
      <c r="BK815">
        <v>2250</v>
      </c>
      <c r="BL815">
        <v>350</v>
      </c>
      <c r="BM815" t="s">
        <v>119</v>
      </c>
      <c r="BN815">
        <v>1</v>
      </c>
      <c r="BO815">
        <v>1</v>
      </c>
      <c r="BP815">
        <v>1</v>
      </c>
      <c r="BQ815">
        <v>0</v>
      </c>
      <c r="BT815">
        <v>0</v>
      </c>
      <c r="BU815">
        <v>0</v>
      </c>
      <c r="BV815">
        <v>0</v>
      </c>
      <c r="CC815" t="str">
        <f>"18:48:13.297"</f>
        <v>18:48:13.297</v>
      </c>
      <c r="CD815" t="str">
        <f>"298883082"</f>
        <v>298883082</v>
      </c>
      <c r="CQ815">
        <v>0</v>
      </c>
      <c r="CR815">
        <v>2</v>
      </c>
      <c r="CS815">
        <v>0</v>
      </c>
      <c r="CT815">
        <v>2</v>
      </c>
      <c r="CU815">
        <v>0</v>
      </c>
      <c r="CV815">
        <v>5</v>
      </c>
      <c r="CW815" t="s">
        <v>120</v>
      </c>
      <c r="CX815">
        <v>257</v>
      </c>
      <c r="CY815">
        <v>1</v>
      </c>
      <c r="CZ815" t="s">
        <v>615</v>
      </c>
      <c r="DA815" t="s">
        <v>616</v>
      </c>
      <c r="DD815">
        <v>10995265</v>
      </c>
      <c r="DE815" t="s">
        <v>123</v>
      </c>
    </row>
    <row r="816" spans="1:109" x14ac:dyDescent="0.3">
      <c r="A816" t="str">
        <f>"18:48:14.469"</f>
        <v>18:48:14.469</v>
      </c>
      <c r="B816" t="s">
        <v>110</v>
      </c>
      <c r="C816" t="str">
        <f t="shared" si="36"/>
        <v>ffdfd3c0</v>
      </c>
      <c r="D816" t="s">
        <v>111</v>
      </c>
      <c r="E816">
        <v>18</v>
      </c>
      <c r="F816">
        <v>1018</v>
      </c>
      <c r="G816" t="s">
        <v>112</v>
      </c>
      <c r="J816" t="s">
        <v>113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R816" t="s">
        <v>114</v>
      </c>
      <c r="S816" t="str">
        <f>"18:48:14.227"</f>
        <v>18:48:14.227</v>
      </c>
      <c r="T816" t="str">
        <f>"18:48:13.930"</f>
        <v>18:48:13.930</v>
      </c>
      <c r="U816" t="str">
        <f t="shared" si="37"/>
        <v>a1cdbe</v>
      </c>
      <c r="V816">
        <v>0</v>
      </c>
      <c r="W816">
        <v>0</v>
      </c>
      <c r="X816">
        <v>1</v>
      </c>
      <c r="Y816">
        <v>0</v>
      </c>
      <c r="Z816">
        <v>0</v>
      </c>
      <c r="AB816">
        <v>0</v>
      </c>
      <c r="AC816">
        <v>9</v>
      </c>
      <c r="AD816">
        <v>3</v>
      </c>
      <c r="AE816">
        <v>0</v>
      </c>
      <c r="AF816">
        <v>9</v>
      </c>
      <c r="AG816" t="s">
        <v>158</v>
      </c>
      <c r="AH816">
        <v>0</v>
      </c>
      <c r="AI816">
        <v>3</v>
      </c>
      <c r="AJ816">
        <v>1</v>
      </c>
      <c r="AK816">
        <v>0</v>
      </c>
      <c r="AL816" t="s">
        <v>1702</v>
      </c>
      <c r="AM816">
        <v>46.861432000000001</v>
      </c>
      <c r="AN816" t="s">
        <v>1703</v>
      </c>
      <c r="AO816">
        <v>-122.41831500000001</v>
      </c>
      <c r="AP816">
        <v>100</v>
      </c>
      <c r="AQ816">
        <v>1900</v>
      </c>
      <c r="AR816" t="s">
        <v>118</v>
      </c>
      <c r="AS816">
        <v>-50</v>
      </c>
      <c r="AT816">
        <v>-44</v>
      </c>
      <c r="AU816">
        <v>0</v>
      </c>
      <c r="BC816">
        <v>1200</v>
      </c>
      <c r="BD816">
        <v>1</v>
      </c>
      <c r="BE816" t="str">
        <f t="shared" si="38"/>
        <v xml:space="preserve">N215T   </v>
      </c>
      <c r="BF816">
        <v>1</v>
      </c>
      <c r="BH816">
        <v>0</v>
      </c>
      <c r="BI816">
        <v>0</v>
      </c>
      <c r="BJ816">
        <v>0</v>
      </c>
      <c r="BK816">
        <v>2275</v>
      </c>
      <c r="BL816">
        <v>375</v>
      </c>
      <c r="BM816" t="s">
        <v>119</v>
      </c>
      <c r="BN816">
        <v>1</v>
      </c>
      <c r="BO816">
        <v>1</v>
      </c>
      <c r="BP816">
        <v>1</v>
      </c>
      <c r="BQ816">
        <v>0</v>
      </c>
      <c r="BT816">
        <v>0</v>
      </c>
      <c r="BU816">
        <v>0</v>
      </c>
      <c r="BV816">
        <v>0</v>
      </c>
      <c r="CC816" t="str">
        <f>"18:48:14.227"</f>
        <v>18:48:14.227</v>
      </c>
      <c r="CD816" t="str">
        <f>"228791412"</f>
        <v>228791412</v>
      </c>
      <c r="CQ816">
        <v>0</v>
      </c>
      <c r="CR816">
        <v>2</v>
      </c>
      <c r="CS816">
        <v>0</v>
      </c>
      <c r="CT816">
        <v>2</v>
      </c>
      <c r="CU816">
        <v>0</v>
      </c>
      <c r="CV816">
        <v>5</v>
      </c>
      <c r="CW816" t="s">
        <v>120</v>
      </c>
      <c r="CX816">
        <v>257</v>
      </c>
      <c r="CY816">
        <v>1</v>
      </c>
      <c r="CZ816" t="s">
        <v>615</v>
      </c>
      <c r="DA816" t="s">
        <v>616</v>
      </c>
      <c r="DD816">
        <v>10995879</v>
      </c>
      <c r="DE816" t="s">
        <v>123</v>
      </c>
    </row>
    <row r="817" spans="1:109" x14ac:dyDescent="0.3">
      <c r="A817" t="str">
        <f>"18:48:15.422"</f>
        <v>18:48:15.422</v>
      </c>
      <c r="B817" t="s">
        <v>110</v>
      </c>
      <c r="C817" t="str">
        <f t="shared" si="36"/>
        <v>ffdfd3c0</v>
      </c>
      <c r="D817" t="s">
        <v>111</v>
      </c>
      <c r="E817">
        <v>18</v>
      </c>
      <c r="F817">
        <v>1018</v>
      </c>
      <c r="G817" t="s">
        <v>112</v>
      </c>
      <c r="J817" t="s">
        <v>113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R817" t="s">
        <v>114</v>
      </c>
      <c r="S817" t="str">
        <f>"18:48:15.203"</f>
        <v>18:48:15.203</v>
      </c>
      <c r="T817" t="str">
        <f>"18:48:14.703"</f>
        <v>18:48:14.703</v>
      </c>
      <c r="U817" t="str">
        <f t="shared" si="37"/>
        <v>a1cdbe</v>
      </c>
      <c r="V817">
        <v>0</v>
      </c>
      <c r="W817">
        <v>0</v>
      </c>
      <c r="X817">
        <v>1</v>
      </c>
      <c r="Y817">
        <v>0</v>
      </c>
      <c r="Z817">
        <v>0</v>
      </c>
      <c r="AB817">
        <v>0</v>
      </c>
      <c r="AC817">
        <v>9</v>
      </c>
      <c r="AD817">
        <v>3</v>
      </c>
      <c r="AE817">
        <v>0</v>
      </c>
      <c r="AF817">
        <v>9</v>
      </c>
      <c r="AG817" t="s">
        <v>158</v>
      </c>
      <c r="AH817">
        <v>0</v>
      </c>
      <c r="AI817">
        <v>3</v>
      </c>
      <c r="AJ817">
        <v>1</v>
      </c>
      <c r="AK817">
        <v>0</v>
      </c>
      <c r="AL817" t="s">
        <v>1704</v>
      </c>
      <c r="AM817">
        <v>46.861260000000001</v>
      </c>
      <c r="AN817" t="s">
        <v>1705</v>
      </c>
      <c r="AO817">
        <v>-122.418702</v>
      </c>
      <c r="AP817">
        <v>100</v>
      </c>
      <c r="AQ817">
        <v>1900</v>
      </c>
      <c r="AR817" t="s">
        <v>118</v>
      </c>
      <c r="AS817">
        <v>-51</v>
      </c>
      <c r="AT817">
        <v>-44</v>
      </c>
      <c r="AU817">
        <v>64</v>
      </c>
      <c r="BC817">
        <v>1200</v>
      </c>
      <c r="BD817">
        <v>1</v>
      </c>
      <c r="BE817" t="str">
        <f t="shared" si="38"/>
        <v xml:space="preserve">N215T   </v>
      </c>
      <c r="BF817">
        <v>1</v>
      </c>
      <c r="BH817">
        <v>0</v>
      </c>
      <c r="BI817">
        <v>0</v>
      </c>
      <c r="BJ817">
        <v>0</v>
      </c>
      <c r="BK817">
        <v>2250</v>
      </c>
      <c r="BL817">
        <v>350</v>
      </c>
      <c r="BM817" t="s">
        <v>119</v>
      </c>
      <c r="BN817">
        <v>1</v>
      </c>
      <c r="BO817">
        <v>1</v>
      </c>
      <c r="BP817">
        <v>1</v>
      </c>
      <c r="BQ817">
        <v>0</v>
      </c>
      <c r="BT817">
        <v>0</v>
      </c>
      <c r="BU817">
        <v>0</v>
      </c>
      <c r="BV817">
        <v>0</v>
      </c>
      <c r="CC817" t="str">
        <f>"18:48:15.203"</f>
        <v>18:48:15.203</v>
      </c>
      <c r="CD817" t="str">
        <f>"203695318"</f>
        <v>203695318</v>
      </c>
      <c r="CQ817">
        <v>0</v>
      </c>
      <c r="CR817">
        <v>2</v>
      </c>
      <c r="CS817">
        <v>0</v>
      </c>
      <c r="CT817">
        <v>2</v>
      </c>
      <c r="CU817">
        <v>0</v>
      </c>
      <c r="CV817">
        <v>5</v>
      </c>
      <c r="CW817" t="s">
        <v>120</v>
      </c>
      <c r="CX817">
        <v>257</v>
      </c>
      <c r="CY817">
        <v>1</v>
      </c>
      <c r="CZ817" t="s">
        <v>615</v>
      </c>
      <c r="DA817" t="s">
        <v>616</v>
      </c>
      <c r="DD817">
        <v>10996463</v>
      </c>
      <c r="DE817" t="s">
        <v>123</v>
      </c>
    </row>
    <row r="818" spans="1:109" x14ac:dyDescent="0.3">
      <c r="A818" t="str">
        <f>"18:48:16.383"</f>
        <v>18:48:16.383</v>
      </c>
      <c r="B818" t="s">
        <v>110</v>
      </c>
      <c r="C818" t="str">
        <f t="shared" si="36"/>
        <v>ffdfd3c0</v>
      </c>
      <c r="D818" t="s">
        <v>111</v>
      </c>
      <c r="E818">
        <v>18</v>
      </c>
      <c r="F818">
        <v>1018</v>
      </c>
      <c r="G818" t="s">
        <v>112</v>
      </c>
      <c r="J818" t="s">
        <v>113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R818" t="s">
        <v>114</v>
      </c>
      <c r="S818" t="str">
        <f>"18:48:16.156"</f>
        <v>18:48:16.156</v>
      </c>
      <c r="T818" t="str">
        <f>"18:48:15.859"</f>
        <v>18:48:15.859</v>
      </c>
      <c r="U818" t="str">
        <f t="shared" si="37"/>
        <v>a1cdbe</v>
      </c>
      <c r="V818">
        <v>0</v>
      </c>
      <c r="W818">
        <v>0</v>
      </c>
      <c r="X818">
        <v>1</v>
      </c>
      <c r="Y818">
        <v>0</v>
      </c>
      <c r="Z818">
        <v>0</v>
      </c>
      <c r="AB818">
        <v>0</v>
      </c>
      <c r="AC818">
        <v>9</v>
      </c>
      <c r="AD818">
        <v>3</v>
      </c>
      <c r="AE818">
        <v>0</v>
      </c>
      <c r="AF818">
        <v>9</v>
      </c>
      <c r="AG818" t="s">
        <v>158</v>
      </c>
      <c r="AH818">
        <v>0</v>
      </c>
      <c r="AI818">
        <v>3</v>
      </c>
      <c r="AJ818">
        <v>1</v>
      </c>
      <c r="AK818">
        <v>0</v>
      </c>
      <c r="AL818" t="s">
        <v>1706</v>
      </c>
      <c r="AM818">
        <v>46.861066999999998</v>
      </c>
      <c r="AN818" t="s">
        <v>1707</v>
      </c>
      <c r="AO818">
        <v>-122.41900200000001</v>
      </c>
      <c r="AP818">
        <v>100</v>
      </c>
      <c r="AQ818">
        <v>1900</v>
      </c>
      <c r="AR818" t="s">
        <v>118</v>
      </c>
      <c r="AS818">
        <v>-51</v>
      </c>
      <c r="AT818">
        <v>-45</v>
      </c>
      <c r="AU818">
        <v>64</v>
      </c>
      <c r="BC818">
        <v>1200</v>
      </c>
      <c r="BD818">
        <v>1</v>
      </c>
      <c r="BE818" t="str">
        <f t="shared" si="38"/>
        <v xml:space="preserve">N215T   </v>
      </c>
      <c r="BF818">
        <v>1</v>
      </c>
      <c r="BH818">
        <v>0</v>
      </c>
      <c r="BI818">
        <v>0</v>
      </c>
      <c r="BJ818">
        <v>0</v>
      </c>
      <c r="BK818">
        <v>2250</v>
      </c>
      <c r="BL818">
        <v>350</v>
      </c>
      <c r="BM818" t="s">
        <v>119</v>
      </c>
      <c r="BN818">
        <v>1</v>
      </c>
      <c r="BO818">
        <v>1</v>
      </c>
      <c r="BP818">
        <v>1</v>
      </c>
      <c r="BQ818">
        <v>0</v>
      </c>
      <c r="BT818">
        <v>0</v>
      </c>
      <c r="BU818">
        <v>0</v>
      </c>
      <c r="BV818">
        <v>0</v>
      </c>
      <c r="CC818" t="str">
        <f>"18:48:16.164"</f>
        <v>18:48:16.164</v>
      </c>
      <c r="CD818" t="str">
        <f>"163600692"</f>
        <v>163600692</v>
      </c>
      <c r="CQ818">
        <v>0</v>
      </c>
      <c r="CR818">
        <v>2</v>
      </c>
      <c r="CS818">
        <v>0</v>
      </c>
      <c r="CT818">
        <v>2</v>
      </c>
      <c r="CU818">
        <v>0</v>
      </c>
      <c r="CV818">
        <v>4</v>
      </c>
      <c r="CW818" t="s">
        <v>120</v>
      </c>
      <c r="CX818">
        <v>257</v>
      </c>
      <c r="CY818">
        <v>1</v>
      </c>
      <c r="CZ818" t="s">
        <v>615</v>
      </c>
      <c r="DA818" t="s">
        <v>616</v>
      </c>
      <c r="DD818">
        <v>10997094</v>
      </c>
      <c r="DE818" t="s">
        <v>123</v>
      </c>
    </row>
    <row r="819" spans="1:109" x14ac:dyDescent="0.3">
      <c r="A819" t="str">
        <f>"18:48:17.438"</f>
        <v>18:48:17.438</v>
      </c>
      <c r="B819" t="s">
        <v>110</v>
      </c>
      <c r="C819" t="str">
        <f t="shared" si="36"/>
        <v>ffdfd3c0</v>
      </c>
      <c r="D819" t="s">
        <v>111</v>
      </c>
      <c r="E819">
        <v>18</v>
      </c>
      <c r="F819">
        <v>1018</v>
      </c>
      <c r="G819" t="s">
        <v>112</v>
      </c>
      <c r="J819" t="s">
        <v>113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R819" t="s">
        <v>114</v>
      </c>
      <c r="S819" t="str">
        <f>"18:48:17.180"</f>
        <v>18:48:17.180</v>
      </c>
      <c r="T819" t="str">
        <f>"18:48:16.883"</f>
        <v>18:48:16.883</v>
      </c>
      <c r="U819" t="str">
        <f t="shared" si="37"/>
        <v>a1cdbe</v>
      </c>
      <c r="V819">
        <v>0</v>
      </c>
      <c r="W819">
        <v>0</v>
      </c>
      <c r="X819">
        <v>1</v>
      </c>
      <c r="Y819">
        <v>0</v>
      </c>
      <c r="Z819">
        <v>0</v>
      </c>
      <c r="AB819">
        <v>0</v>
      </c>
      <c r="AC819">
        <v>9</v>
      </c>
      <c r="AD819">
        <v>3</v>
      </c>
      <c r="AE819">
        <v>0</v>
      </c>
      <c r="AF819">
        <v>9</v>
      </c>
      <c r="AG819" t="s">
        <v>158</v>
      </c>
      <c r="AH819">
        <v>0</v>
      </c>
      <c r="AI819">
        <v>3</v>
      </c>
      <c r="AJ819">
        <v>1</v>
      </c>
      <c r="AK819">
        <v>0</v>
      </c>
      <c r="AL819" t="s">
        <v>1708</v>
      </c>
      <c r="AM819">
        <v>46.860852000000001</v>
      </c>
      <c r="AN819" t="s">
        <v>1709</v>
      </c>
      <c r="AO819">
        <v>-122.419388</v>
      </c>
      <c r="AP819">
        <v>100</v>
      </c>
      <c r="AQ819">
        <v>1900</v>
      </c>
      <c r="AR819" t="s">
        <v>118</v>
      </c>
      <c r="AS819">
        <v>-52</v>
      </c>
      <c r="AT819">
        <v>-46</v>
      </c>
      <c r="AU819">
        <v>64</v>
      </c>
      <c r="BC819">
        <v>1200</v>
      </c>
      <c r="BD819">
        <v>1</v>
      </c>
      <c r="BE819" t="str">
        <f t="shared" si="38"/>
        <v xml:space="preserve">N215T   </v>
      </c>
      <c r="BF819">
        <v>1</v>
      </c>
      <c r="BH819">
        <v>0</v>
      </c>
      <c r="BI819">
        <v>0</v>
      </c>
      <c r="BJ819">
        <v>0</v>
      </c>
      <c r="BK819">
        <v>2250</v>
      </c>
      <c r="BL819">
        <v>350</v>
      </c>
      <c r="BM819" t="s">
        <v>119</v>
      </c>
      <c r="BN819">
        <v>1</v>
      </c>
      <c r="BO819">
        <v>1</v>
      </c>
      <c r="BP819">
        <v>1</v>
      </c>
      <c r="BQ819">
        <v>0</v>
      </c>
      <c r="BT819">
        <v>0</v>
      </c>
      <c r="BU819">
        <v>0</v>
      </c>
      <c r="BV819">
        <v>0</v>
      </c>
      <c r="CC819" t="str">
        <f>"18:48:17.180"</f>
        <v>18:48:17.180</v>
      </c>
      <c r="CD819" t="str">
        <f>"183500171"</f>
        <v>183500171</v>
      </c>
      <c r="CQ819">
        <v>0</v>
      </c>
      <c r="CR819">
        <v>2</v>
      </c>
      <c r="CS819">
        <v>0</v>
      </c>
      <c r="CT819">
        <v>2</v>
      </c>
      <c r="CU819">
        <v>0</v>
      </c>
      <c r="CV819">
        <v>5</v>
      </c>
      <c r="CW819" t="s">
        <v>120</v>
      </c>
      <c r="CX819">
        <v>257</v>
      </c>
      <c r="CY819">
        <v>1</v>
      </c>
      <c r="CZ819" t="s">
        <v>615</v>
      </c>
      <c r="DA819" t="s">
        <v>616</v>
      </c>
      <c r="DD819">
        <v>10997788</v>
      </c>
      <c r="DE819" t="s">
        <v>123</v>
      </c>
    </row>
    <row r="820" spans="1:109" x14ac:dyDescent="0.3">
      <c r="A820" t="str">
        <f>"18:48:18.445"</f>
        <v>18:48:18.445</v>
      </c>
      <c r="B820" t="s">
        <v>110</v>
      </c>
      <c r="C820" t="str">
        <f t="shared" si="36"/>
        <v>ffdfd3c0</v>
      </c>
      <c r="D820" t="s">
        <v>111</v>
      </c>
      <c r="E820">
        <v>18</v>
      </c>
      <c r="F820">
        <v>1018</v>
      </c>
      <c r="G820" t="s">
        <v>112</v>
      </c>
      <c r="J820" t="s">
        <v>113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R820" t="s">
        <v>114</v>
      </c>
      <c r="S820" t="str">
        <f>"18:48:18.203"</f>
        <v>18:48:18.203</v>
      </c>
      <c r="T820" t="str">
        <f>"18:48:18.203"</f>
        <v>18:48:18.203</v>
      </c>
      <c r="U820" t="str">
        <f t="shared" si="37"/>
        <v>a1cdbe</v>
      </c>
      <c r="V820">
        <v>0</v>
      </c>
      <c r="W820">
        <v>0</v>
      </c>
      <c r="X820">
        <v>1</v>
      </c>
      <c r="Y820">
        <v>0</v>
      </c>
      <c r="Z820">
        <v>0</v>
      </c>
      <c r="AB820">
        <v>0</v>
      </c>
      <c r="AC820">
        <v>9</v>
      </c>
      <c r="AD820">
        <v>3</v>
      </c>
      <c r="AE820">
        <v>0</v>
      </c>
      <c r="AF820">
        <v>9</v>
      </c>
      <c r="AG820" t="s">
        <v>158</v>
      </c>
      <c r="AH820">
        <v>0</v>
      </c>
      <c r="AI820">
        <v>3</v>
      </c>
      <c r="AJ820">
        <v>1</v>
      </c>
      <c r="AK820">
        <v>0</v>
      </c>
      <c r="AL820" t="s">
        <v>1710</v>
      </c>
      <c r="AM820">
        <v>46.860638000000002</v>
      </c>
      <c r="AN820" t="s">
        <v>1711</v>
      </c>
      <c r="AO820">
        <v>-122.41968900000001</v>
      </c>
      <c r="AP820">
        <v>100</v>
      </c>
      <c r="AQ820">
        <v>1900</v>
      </c>
      <c r="AR820" t="s">
        <v>118</v>
      </c>
      <c r="AS820">
        <v>-53</v>
      </c>
      <c r="AT820">
        <v>-47</v>
      </c>
      <c r="AU820">
        <v>256</v>
      </c>
      <c r="BC820">
        <v>1200</v>
      </c>
      <c r="BD820">
        <v>1</v>
      </c>
      <c r="BE820" t="str">
        <f t="shared" si="38"/>
        <v xml:space="preserve">N215T   </v>
      </c>
      <c r="BF820">
        <v>1</v>
      </c>
      <c r="BH820">
        <v>0</v>
      </c>
      <c r="BI820">
        <v>0</v>
      </c>
      <c r="BJ820">
        <v>0</v>
      </c>
      <c r="BK820">
        <v>2275</v>
      </c>
      <c r="BL820">
        <v>375</v>
      </c>
      <c r="BM820" t="s">
        <v>119</v>
      </c>
      <c r="BN820">
        <v>1</v>
      </c>
      <c r="BO820">
        <v>1</v>
      </c>
      <c r="BP820">
        <v>1</v>
      </c>
      <c r="BQ820">
        <v>0</v>
      </c>
      <c r="BT820">
        <v>0</v>
      </c>
      <c r="BU820">
        <v>0</v>
      </c>
      <c r="BV820">
        <v>0</v>
      </c>
      <c r="CC820" t="str">
        <f>"18:48:18.203"</f>
        <v>18:48:18.203</v>
      </c>
      <c r="CD820" t="str">
        <f>"203399645"</f>
        <v>203399645</v>
      </c>
      <c r="CQ820">
        <v>0</v>
      </c>
      <c r="CR820">
        <v>2</v>
      </c>
      <c r="CS820">
        <v>0</v>
      </c>
      <c r="CT820">
        <v>2</v>
      </c>
      <c r="CU820">
        <v>0</v>
      </c>
      <c r="CV820">
        <v>5</v>
      </c>
      <c r="CW820" t="s">
        <v>120</v>
      </c>
      <c r="CX820">
        <v>257</v>
      </c>
      <c r="CY820">
        <v>1</v>
      </c>
      <c r="CZ820" t="s">
        <v>615</v>
      </c>
      <c r="DA820" t="s">
        <v>616</v>
      </c>
      <c r="DD820">
        <v>10998474</v>
      </c>
      <c r="DE820" t="s">
        <v>123</v>
      </c>
    </row>
    <row r="821" spans="1:109" x14ac:dyDescent="0.3">
      <c r="A821" t="str">
        <f>"18:48:19.398"</f>
        <v>18:48:19.398</v>
      </c>
      <c r="B821" t="s">
        <v>110</v>
      </c>
      <c r="C821" t="str">
        <f t="shared" si="36"/>
        <v>ffdfd3c0</v>
      </c>
      <c r="D821" t="s">
        <v>111</v>
      </c>
      <c r="E821">
        <v>18</v>
      </c>
      <c r="F821">
        <v>1018</v>
      </c>
      <c r="G821" t="s">
        <v>112</v>
      </c>
      <c r="J821" t="s">
        <v>113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R821" t="s">
        <v>114</v>
      </c>
      <c r="S821" t="str">
        <f>"18:48:19.141"</f>
        <v>18:48:19.141</v>
      </c>
      <c r="T821" t="str">
        <f>"18:48:18.742"</f>
        <v>18:48:18.742</v>
      </c>
      <c r="U821" t="str">
        <f t="shared" si="37"/>
        <v>a1cdbe</v>
      </c>
      <c r="V821">
        <v>0</v>
      </c>
      <c r="W821">
        <v>0</v>
      </c>
      <c r="X821">
        <v>1</v>
      </c>
      <c r="Y821">
        <v>0</v>
      </c>
      <c r="Z821">
        <v>0</v>
      </c>
      <c r="AB821">
        <v>0</v>
      </c>
      <c r="AC821">
        <v>9</v>
      </c>
      <c r="AD821">
        <v>3</v>
      </c>
      <c r="AE821">
        <v>0</v>
      </c>
      <c r="AF821">
        <v>9</v>
      </c>
      <c r="AG821" t="s">
        <v>158</v>
      </c>
      <c r="AH821">
        <v>0</v>
      </c>
      <c r="AI821">
        <v>3</v>
      </c>
      <c r="AJ821">
        <v>1</v>
      </c>
      <c r="AK821">
        <v>0</v>
      </c>
      <c r="AL821" t="s">
        <v>1712</v>
      </c>
      <c r="AM821">
        <v>46.860422999999997</v>
      </c>
      <c r="AN821" t="s">
        <v>1713</v>
      </c>
      <c r="AO821">
        <v>-122.42003200000001</v>
      </c>
      <c r="AP821">
        <v>100</v>
      </c>
      <c r="AQ821">
        <v>1900</v>
      </c>
      <c r="AR821" t="s">
        <v>118</v>
      </c>
      <c r="AS821">
        <v>-53</v>
      </c>
      <c r="AT821">
        <v>-47</v>
      </c>
      <c r="AU821">
        <v>384</v>
      </c>
      <c r="BC821">
        <v>1200</v>
      </c>
      <c r="BD821">
        <v>1</v>
      </c>
      <c r="BE821" t="str">
        <f t="shared" si="38"/>
        <v xml:space="preserve">N215T   </v>
      </c>
      <c r="BF821">
        <v>1</v>
      </c>
      <c r="BH821">
        <v>0</v>
      </c>
      <c r="BI821">
        <v>0</v>
      </c>
      <c r="BJ821">
        <v>0</v>
      </c>
      <c r="BK821">
        <v>2275</v>
      </c>
      <c r="BL821">
        <v>375</v>
      </c>
      <c r="BM821" t="s">
        <v>119</v>
      </c>
      <c r="BN821">
        <v>1</v>
      </c>
      <c r="BO821">
        <v>1</v>
      </c>
      <c r="BP821">
        <v>1</v>
      </c>
      <c r="BQ821">
        <v>0</v>
      </c>
      <c r="BT821">
        <v>0</v>
      </c>
      <c r="BU821">
        <v>0</v>
      </c>
      <c r="BV821">
        <v>0</v>
      </c>
      <c r="CC821" t="str">
        <f>"18:48:19.148"</f>
        <v>18:48:19.148</v>
      </c>
      <c r="CD821" t="str">
        <f>"148306479"</f>
        <v>148306479</v>
      </c>
      <c r="CQ821">
        <v>0</v>
      </c>
      <c r="CR821">
        <v>2</v>
      </c>
      <c r="CS821">
        <v>0</v>
      </c>
      <c r="CT821">
        <v>2</v>
      </c>
      <c r="CU821">
        <v>0</v>
      </c>
      <c r="CV821">
        <v>5</v>
      </c>
      <c r="CW821" t="s">
        <v>120</v>
      </c>
      <c r="CX821">
        <v>257</v>
      </c>
      <c r="CY821">
        <v>1</v>
      </c>
      <c r="CZ821" t="s">
        <v>615</v>
      </c>
      <c r="DA821" t="s">
        <v>616</v>
      </c>
      <c r="DD821">
        <v>10999054</v>
      </c>
      <c r="DE821" t="s">
        <v>123</v>
      </c>
    </row>
    <row r="822" spans="1:109" x14ac:dyDescent="0.3">
      <c r="A822" t="str">
        <f>"18:48:20.555"</f>
        <v>18:48:20.555</v>
      </c>
      <c r="B822" t="s">
        <v>110</v>
      </c>
      <c r="C822" t="str">
        <f t="shared" si="36"/>
        <v>ffdfd3c0</v>
      </c>
      <c r="D822" t="s">
        <v>111</v>
      </c>
      <c r="E822">
        <v>18</v>
      </c>
      <c r="F822">
        <v>1018</v>
      </c>
      <c r="G822" t="s">
        <v>112</v>
      </c>
      <c r="J822" t="s">
        <v>113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R822" t="s">
        <v>114</v>
      </c>
      <c r="S822" t="str">
        <f>"18:48:20.328"</f>
        <v>18:48:20.328</v>
      </c>
      <c r="T822" t="str">
        <f>"18:48:19.828"</f>
        <v>18:48:19.828</v>
      </c>
      <c r="U822" t="str">
        <f t="shared" si="37"/>
        <v>a1cdbe</v>
      </c>
      <c r="V822">
        <v>0</v>
      </c>
      <c r="W822">
        <v>0</v>
      </c>
      <c r="X822">
        <v>1</v>
      </c>
      <c r="Y822">
        <v>0</v>
      </c>
      <c r="Z822">
        <v>0</v>
      </c>
      <c r="AB822">
        <v>0</v>
      </c>
      <c r="AC822">
        <v>9</v>
      </c>
      <c r="AD822">
        <v>3</v>
      </c>
      <c r="AE822">
        <v>0</v>
      </c>
      <c r="AF822">
        <v>9</v>
      </c>
      <c r="AG822" t="s">
        <v>158</v>
      </c>
      <c r="AH822">
        <v>0</v>
      </c>
      <c r="AI822">
        <v>3</v>
      </c>
      <c r="AJ822">
        <v>1</v>
      </c>
      <c r="AK822">
        <v>0</v>
      </c>
      <c r="AL822" t="s">
        <v>1714</v>
      </c>
      <c r="AM822">
        <v>46.860187000000003</v>
      </c>
      <c r="AN822" t="s">
        <v>1715</v>
      </c>
      <c r="AO822">
        <v>-122.42044</v>
      </c>
      <c r="AP822">
        <v>100</v>
      </c>
      <c r="AQ822">
        <v>1900</v>
      </c>
      <c r="AR822" t="s">
        <v>118</v>
      </c>
      <c r="AS822">
        <v>-53</v>
      </c>
      <c r="AT822">
        <v>-47</v>
      </c>
      <c r="AU822">
        <v>512</v>
      </c>
      <c r="BC822">
        <v>1200</v>
      </c>
      <c r="BD822">
        <v>1</v>
      </c>
      <c r="BE822" t="str">
        <f t="shared" si="38"/>
        <v xml:space="preserve">N215T   </v>
      </c>
      <c r="BF822">
        <v>1</v>
      </c>
      <c r="BH822">
        <v>0</v>
      </c>
      <c r="BI822">
        <v>0</v>
      </c>
      <c r="BJ822">
        <v>0</v>
      </c>
      <c r="BK822">
        <v>2275</v>
      </c>
      <c r="BL822">
        <v>375</v>
      </c>
      <c r="BM822" t="s">
        <v>119</v>
      </c>
      <c r="BN822">
        <v>1</v>
      </c>
      <c r="BO822">
        <v>1</v>
      </c>
      <c r="BP822">
        <v>1</v>
      </c>
      <c r="BQ822">
        <v>0</v>
      </c>
      <c r="BT822">
        <v>0</v>
      </c>
      <c r="BU822">
        <v>0</v>
      </c>
      <c r="BV822">
        <v>0</v>
      </c>
      <c r="CC822" t="str">
        <f>"18:48:20.336"</f>
        <v>18:48:20.336</v>
      </c>
      <c r="CD822" t="str">
        <f>"333189665"</f>
        <v>333189665</v>
      </c>
      <c r="CQ822">
        <v>0</v>
      </c>
      <c r="CR822">
        <v>2</v>
      </c>
      <c r="CS822">
        <v>0</v>
      </c>
      <c r="CT822">
        <v>2</v>
      </c>
      <c r="CU822">
        <v>0</v>
      </c>
      <c r="CV822">
        <v>5</v>
      </c>
      <c r="CW822" t="s">
        <v>120</v>
      </c>
      <c r="CX822">
        <v>257</v>
      </c>
      <c r="CY822">
        <v>1</v>
      </c>
      <c r="CZ822" t="s">
        <v>615</v>
      </c>
      <c r="DA822" t="s">
        <v>616</v>
      </c>
      <c r="DD822">
        <v>10999805</v>
      </c>
      <c r="DE822" t="s">
        <v>123</v>
      </c>
    </row>
    <row r="823" spans="1:109" x14ac:dyDescent="0.3">
      <c r="A823" t="str">
        <f>"18:48:21.563"</f>
        <v>18:48:21.563</v>
      </c>
      <c r="B823" t="s">
        <v>110</v>
      </c>
      <c r="C823" t="str">
        <f t="shared" si="36"/>
        <v>ffdfd3c0</v>
      </c>
      <c r="D823" t="s">
        <v>111</v>
      </c>
      <c r="E823">
        <v>18</v>
      </c>
      <c r="F823">
        <v>1018</v>
      </c>
      <c r="G823" t="s">
        <v>112</v>
      </c>
      <c r="J823" t="s">
        <v>113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R823" t="s">
        <v>114</v>
      </c>
      <c r="S823" t="str">
        <f>"18:48:21.320"</f>
        <v>18:48:21.320</v>
      </c>
      <c r="T823" t="str">
        <f>"18:48:20.820"</f>
        <v>18:48:20.820</v>
      </c>
      <c r="U823" t="str">
        <f t="shared" si="37"/>
        <v>a1cdbe</v>
      </c>
      <c r="V823">
        <v>0</v>
      </c>
      <c r="W823">
        <v>0</v>
      </c>
      <c r="X823">
        <v>1</v>
      </c>
      <c r="Y823">
        <v>0</v>
      </c>
      <c r="Z823">
        <v>0</v>
      </c>
      <c r="AB823">
        <v>0</v>
      </c>
      <c r="AC823">
        <v>9</v>
      </c>
      <c r="AD823">
        <v>3</v>
      </c>
      <c r="AE823">
        <v>0</v>
      </c>
      <c r="AF823">
        <v>9</v>
      </c>
      <c r="AG823" t="s">
        <v>158</v>
      </c>
      <c r="AH823">
        <v>0</v>
      </c>
      <c r="AI823">
        <v>3</v>
      </c>
      <c r="AJ823">
        <v>1</v>
      </c>
      <c r="AK823">
        <v>0</v>
      </c>
      <c r="AL823" t="s">
        <v>1716</v>
      </c>
      <c r="AM823">
        <v>46.859929999999999</v>
      </c>
      <c r="AN823" t="s">
        <v>1717</v>
      </c>
      <c r="AO823">
        <v>-122.420783</v>
      </c>
      <c r="AP823">
        <v>100</v>
      </c>
      <c r="AQ823">
        <v>1900</v>
      </c>
      <c r="AR823" t="s">
        <v>118</v>
      </c>
      <c r="AS823">
        <v>-54</v>
      </c>
      <c r="AT823">
        <v>-47</v>
      </c>
      <c r="AU823">
        <v>448</v>
      </c>
      <c r="BC823">
        <v>1200</v>
      </c>
      <c r="BD823">
        <v>1</v>
      </c>
      <c r="BE823" t="str">
        <f t="shared" si="38"/>
        <v xml:space="preserve">N215T   </v>
      </c>
      <c r="BF823">
        <v>1</v>
      </c>
      <c r="BH823">
        <v>0</v>
      </c>
      <c r="BI823">
        <v>0</v>
      </c>
      <c r="BJ823">
        <v>0</v>
      </c>
      <c r="BK823">
        <v>2275</v>
      </c>
      <c r="BL823">
        <v>375</v>
      </c>
      <c r="BM823" t="s">
        <v>119</v>
      </c>
      <c r="BN823">
        <v>1</v>
      </c>
      <c r="BO823">
        <v>1</v>
      </c>
      <c r="BP823">
        <v>1</v>
      </c>
      <c r="BQ823">
        <v>0</v>
      </c>
      <c r="BT823">
        <v>0</v>
      </c>
      <c r="BU823">
        <v>0</v>
      </c>
      <c r="BV823">
        <v>0</v>
      </c>
      <c r="CC823" t="str">
        <f>"18:48:21.320"</f>
        <v>18:48:21.320</v>
      </c>
      <c r="CD823" t="str">
        <f>"323092097"</f>
        <v>323092097</v>
      </c>
      <c r="CQ823">
        <v>0</v>
      </c>
      <c r="CR823">
        <v>2</v>
      </c>
      <c r="CS823">
        <v>0</v>
      </c>
      <c r="CT823">
        <v>2</v>
      </c>
      <c r="CU823">
        <v>0</v>
      </c>
      <c r="CV823">
        <v>5</v>
      </c>
      <c r="CW823" t="s">
        <v>120</v>
      </c>
      <c r="CX823">
        <v>257</v>
      </c>
      <c r="CY823">
        <v>1</v>
      </c>
      <c r="CZ823" t="s">
        <v>615</v>
      </c>
      <c r="DA823" t="s">
        <v>616</v>
      </c>
      <c r="DD823">
        <v>11000434</v>
      </c>
      <c r="DE823" t="s">
        <v>123</v>
      </c>
    </row>
    <row r="824" spans="1:109" x14ac:dyDescent="0.3">
      <c r="A824" t="str">
        <f>"18:48:22.516"</f>
        <v>18:48:22.516</v>
      </c>
      <c r="B824" t="s">
        <v>110</v>
      </c>
      <c r="C824" t="str">
        <f t="shared" si="36"/>
        <v>ffdfd3c0</v>
      </c>
      <c r="D824" t="s">
        <v>111</v>
      </c>
      <c r="E824">
        <v>18</v>
      </c>
      <c r="F824">
        <v>1018</v>
      </c>
      <c r="G824" t="s">
        <v>112</v>
      </c>
      <c r="J824" t="s">
        <v>113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R824" t="s">
        <v>114</v>
      </c>
      <c r="S824" t="str">
        <f>"18:48:22.281"</f>
        <v>18:48:22.281</v>
      </c>
      <c r="T824" t="str">
        <f>"18:48:21.984"</f>
        <v>18:48:21.984</v>
      </c>
      <c r="U824" t="str">
        <f t="shared" si="37"/>
        <v>a1cdbe</v>
      </c>
      <c r="V824">
        <v>0</v>
      </c>
      <c r="W824">
        <v>0</v>
      </c>
      <c r="X824">
        <v>1</v>
      </c>
      <c r="Y824">
        <v>0</v>
      </c>
      <c r="Z824">
        <v>0</v>
      </c>
      <c r="AB824">
        <v>0</v>
      </c>
      <c r="AC824">
        <v>9</v>
      </c>
      <c r="AD824">
        <v>3</v>
      </c>
      <c r="AE824">
        <v>0</v>
      </c>
      <c r="AF824">
        <v>9</v>
      </c>
      <c r="AG824" t="s">
        <v>158</v>
      </c>
      <c r="AH824">
        <v>0</v>
      </c>
      <c r="AI824">
        <v>3</v>
      </c>
      <c r="AJ824">
        <v>1</v>
      </c>
      <c r="AK824">
        <v>0</v>
      </c>
      <c r="AL824" t="s">
        <v>1718</v>
      </c>
      <c r="AM824">
        <v>46.859715000000001</v>
      </c>
      <c r="AN824" t="s">
        <v>1719</v>
      </c>
      <c r="AO824">
        <v>-122.421212</v>
      </c>
      <c r="AP824">
        <v>100</v>
      </c>
      <c r="AQ824">
        <v>1900</v>
      </c>
      <c r="AR824" t="s">
        <v>118</v>
      </c>
      <c r="AS824">
        <v>-54</v>
      </c>
      <c r="AT824">
        <v>-48</v>
      </c>
      <c r="AU824">
        <v>512</v>
      </c>
      <c r="BC824">
        <v>1200</v>
      </c>
      <c r="BD824">
        <v>1</v>
      </c>
      <c r="BE824" t="str">
        <f t="shared" si="38"/>
        <v xml:space="preserve">N215T   </v>
      </c>
      <c r="BF824">
        <v>1</v>
      </c>
      <c r="BH824">
        <v>0</v>
      </c>
      <c r="BI824">
        <v>0</v>
      </c>
      <c r="BJ824">
        <v>0</v>
      </c>
      <c r="BK824">
        <v>2300</v>
      </c>
      <c r="BL824">
        <v>400</v>
      </c>
      <c r="BM824" t="s">
        <v>119</v>
      </c>
      <c r="BN824">
        <v>1</v>
      </c>
      <c r="BO824">
        <v>1</v>
      </c>
      <c r="BP824">
        <v>1</v>
      </c>
      <c r="BQ824">
        <v>0</v>
      </c>
      <c r="BT824">
        <v>0</v>
      </c>
      <c r="BU824">
        <v>0</v>
      </c>
      <c r="BV824">
        <v>0</v>
      </c>
      <c r="CC824" t="str">
        <f>"18:48:22.281"</f>
        <v>18:48:22.281</v>
      </c>
      <c r="CD824" t="str">
        <f>"282997458"</f>
        <v>282997458</v>
      </c>
      <c r="CQ824">
        <v>0</v>
      </c>
      <c r="CR824">
        <v>2</v>
      </c>
      <c r="CS824">
        <v>0</v>
      </c>
      <c r="CT824">
        <v>2</v>
      </c>
      <c r="CU824">
        <v>0</v>
      </c>
      <c r="CV824">
        <v>5</v>
      </c>
      <c r="CW824" t="s">
        <v>120</v>
      </c>
      <c r="CX824">
        <v>257</v>
      </c>
      <c r="CY824">
        <v>1</v>
      </c>
      <c r="CZ824" t="s">
        <v>615</v>
      </c>
      <c r="DA824" t="s">
        <v>616</v>
      </c>
      <c r="DD824">
        <v>11001035</v>
      </c>
      <c r="DE824" t="s">
        <v>123</v>
      </c>
    </row>
    <row r="825" spans="1:109" x14ac:dyDescent="0.3">
      <c r="A825" t="str">
        <f>"18:48:23.523"</f>
        <v>18:48:23.523</v>
      </c>
      <c r="B825" t="s">
        <v>110</v>
      </c>
      <c r="C825" t="str">
        <f t="shared" si="36"/>
        <v>ffdfd3c0</v>
      </c>
      <c r="D825" t="s">
        <v>111</v>
      </c>
      <c r="E825">
        <v>18</v>
      </c>
      <c r="F825">
        <v>1018</v>
      </c>
      <c r="G825" t="s">
        <v>112</v>
      </c>
      <c r="J825" t="s">
        <v>113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R825" t="s">
        <v>114</v>
      </c>
      <c r="S825" t="str">
        <f>"18:48:23.297"</f>
        <v>18:48:23.297</v>
      </c>
      <c r="T825" t="str">
        <f>"18:48:22.898"</f>
        <v>18:48:22.898</v>
      </c>
      <c r="U825" t="str">
        <f t="shared" si="37"/>
        <v>a1cdbe</v>
      </c>
      <c r="V825">
        <v>0</v>
      </c>
      <c r="W825">
        <v>0</v>
      </c>
      <c r="X825">
        <v>1</v>
      </c>
      <c r="Y825">
        <v>0</v>
      </c>
      <c r="Z825">
        <v>0</v>
      </c>
      <c r="AB825">
        <v>0</v>
      </c>
      <c r="AC825">
        <v>9</v>
      </c>
      <c r="AD825">
        <v>3</v>
      </c>
      <c r="AE825">
        <v>0</v>
      </c>
      <c r="AF825">
        <v>9</v>
      </c>
      <c r="AG825" t="s">
        <v>158</v>
      </c>
      <c r="AH825">
        <v>0</v>
      </c>
      <c r="AI825">
        <v>3</v>
      </c>
      <c r="AJ825">
        <v>1</v>
      </c>
      <c r="AK825">
        <v>0</v>
      </c>
      <c r="AL825" t="s">
        <v>1720</v>
      </c>
      <c r="AM825">
        <v>46.859479</v>
      </c>
      <c r="AN825" t="s">
        <v>1721</v>
      </c>
      <c r="AO825">
        <v>-122.42153399999999</v>
      </c>
      <c r="AP825">
        <v>100</v>
      </c>
      <c r="AQ825">
        <v>1900</v>
      </c>
      <c r="AR825" t="s">
        <v>118</v>
      </c>
      <c r="AS825">
        <v>-54</v>
      </c>
      <c r="AT825">
        <v>-49</v>
      </c>
      <c r="AU825">
        <v>704</v>
      </c>
      <c r="BC825">
        <v>1200</v>
      </c>
      <c r="BD825">
        <v>1</v>
      </c>
      <c r="BE825" t="str">
        <f t="shared" si="38"/>
        <v xml:space="preserve">N215T   </v>
      </c>
      <c r="BF825">
        <v>1</v>
      </c>
      <c r="BH825">
        <v>0</v>
      </c>
      <c r="BI825">
        <v>0</v>
      </c>
      <c r="BJ825">
        <v>0</v>
      </c>
      <c r="BK825">
        <v>2300</v>
      </c>
      <c r="BL825">
        <v>400</v>
      </c>
      <c r="BM825" t="s">
        <v>119</v>
      </c>
      <c r="BN825">
        <v>1</v>
      </c>
      <c r="BO825">
        <v>1</v>
      </c>
      <c r="BP825">
        <v>1</v>
      </c>
      <c r="BQ825">
        <v>0</v>
      </c>
      <c r="BT825">
        <v>0</v>
      </c>
      <c r="BU825">
        <v>0</v>
      </c>
      <c r="BV825">
        <v>0</v>
      </c>
      <c r="CC825" t="str">
        <f>"18:48:23.305"</f>
        <v>18:48:23.305</v>
      </c>
      <c r="CD825" t="str">
        <f>"302896917"</f>
        <v>302896917</v>
      </c>
      <c r="CQ825">
        <v>0</v>
      </c>
      <c r="CR825">
        <v>2</v>
      </c>
      <c r="CS825">
        <v>0</v>
      </c>
      <c r="CT825">
        <v>2</v>
      </c>
      <c r="CU825">
        <v>0</v>
      </c>
      <c r="CV825">
        <v>5</v>
      </c>
      <c r="CW825" t="s">
        <v>120</v>
      </c>
      <c r="CX825">
        <v>257</v>
      </c>
      <c r="CY825">
        <v>1</v>
      </c>
      <c r="CZ825" t="s">
        <v>615</v>
      </c>
      <c r="DA825" t="s">
        <v>616</v>
      </c>
      <c r="DD825">
        <v>11001697</v>
      </c>
      <c r="DE825" t="s">
        <v>123</v>
      </c>
    </row>
    <row r="826" spans="1:109" x14ac:dyDescent="0.3">
      <c r="A826" t="str">
        <f>"18:48:24.477"</f>
        <v>18:48:24.477</v>
      </c>
      <c r="B826" t="s">
        <v>110</v>
      </c>
      <c r="C826" t="str">
        <f t="shared" si="36"/>
        <v>ffdfd3c0</v>
      </c>
      <c r="D826" t="s">
        <v>111</v>
      </c>
      <c r="E826">
        <v>18</v>
      </c>
      <c r="F826">
        <v>1018</v>
      </c>
      <c r="G826" t="s">
        <v>112</v>
      </c>
      <c r="J826" t="s">
        <v>113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R826" t="s">
        <v>114</v>
      </c>
      <c r="S826" t="str">
        <f>"18:48:24.258"</f>
        <v>18:48:24.258</v>
      </c>
      <c r="T826" t="str">
        <f>"18:48:24.055"</f>
        <v>18:48:24.055</v>
      </c>
      <c r="U826" t="str">
        <f t="shared" si="37"/>
        <v>a1cdbe</v>
      </c>
      <c r="V826">
        <v>0</v>
      </c>
      <c r="W826">
        <v>0</v>
      </c>
      <c r="X826">
        <v>1</v>
      </c>
      <c r="Y826">
        <v>0</v>
      </c>
      <c r="Z826">
        <v>0</v>
      </c>
      <c r="AB826">
        <v>0</v>
      </c>
      <c r="AC826">
        <v>9</v>
      </c>
      <c r="AD826">
        <v>3</v>
      </c>
      <c r="AE826">
        <v>0</v>
      </c>
      <c r="AF826">
        <v>9</v>
      </c>
      <c r="AG826" t="s">
        <v>158</v>
      </c>
      <c r="AH826">
        <v>0</v>
      </c>
      <c r="AI826">
        <v>3</v>
      </c>
      <c r="AJ826">
        <v>1</v>
      </c>
      <c r="AK826">
        <v>0</v>
      </c>
      <c r="AL826" t="s">
        <v>1722</v>
      </c>
      <c r="AM826">
        <v>46.859242999999999</v>
      </c>
      <c r="AN826" t="s">
        <v>1723</v>
      </c>
      <c r="AO826">
        <v>-122.421899</v>
      </c>
      <c r="AP826">
        <v>100</v>
      </c>
      <c r="AQ826">
        <v>1900</v>
      </c>
      <c r="AR826" t="s">
        <v>118</v>
      </c>
      <c r="AS826">
        <v>-55</v>
      </c>
      <c r="AT826">
        <v>-49</v>
      </c>
      <c r="AU826">
        <v>768</v>
      </c>
      <c r="BC826">
        <v>1200</v>
      </c>
      <c r="BD826">
        <v>1</v>
      </c>
      <c r="BE826" t="str">
        <f t="shared" si="38"/>
        <v xml:space="preserve">N215T   </v>
      </c>
      <c r="BF826">
        <v>1</v>
      </c>
      <c r="BH826">
        <v>0</v>
      </c>
      <c r="BI826">
        <v>0</v>
      </c>
      <c r="BJ826">
        <v>0</v>
      </c>
      <c r="BK826">
        <v>2325</v>
      </c>
      <c r="BL826">
        <v>425</v>
      </c>
      <c r="BM826" t="s">
        <v>119</v>
      </c>
      <c r="BN826">
        <v>1</v>
      </c>
      <c r="BO826">
        <v>1</v>
      </c>
      <c r="BP826">
        <v>1</v>
      </c>
      <c r="BQ826">
        <v>0</v>
      </c>
      <c r="BT826">
        <v>0</v>
      </c>
      <c r="BU826">
        <v>0</v>
      </c>
      <c r="BV826">
        <v>0</v>
      </c>
      <c r="CC826" t="str">
        <f>"18:48:24.266"</f>
        <v>18:48:24.266</v>
      </c>
      <c r="CD826" t="str">
        <f>"262802281"</f>
        <v>262802281</v>
      </c>
      <c r="CQ826">
        <v>0</v>
      </c>
      <c r="CR826">
        <v>2</v>
      </c>
      <c r="CS826">
        <v>0</v>
      </c>
      <c r="CT826">
        <v>2</v>
      </c>
      <c r="CU826">
        <v>0</v>
      </c>
      <c r="CV826">
        <v>5</v>
      </c>
      <c r="CW826" t="s">
        <v>120</v>
      </c>
      <c r="CX826">
        <v>257</v>
      </c>
      <c r="CY826">
        <v>1</v>
      </c>
      <c r="CZ826" t="s">
        <v>615</v>
      </c>
      <c r="DA826" t="s">
        <v>616</v>
      </c>
      <c r="DD826">
        <v>11002338</v>
      </c>
      <c r="DE826" t="s">
        <v>123</v>
      </c>
    </row>
    <row r="827" spans="1:109" x14ac:dyDescent="0.3">
      <c r="A827" t="str">
        <f>"18:48:25.430"</f>
        <v>18:48:25.430</v>
      </c>
      <c r="B827" t="s">
        <v>110</v>
      </c>
      <c r="C827" t="str">
        <f t="shared" si="36"/>
        <v>ffdfd3c0</v>
      </c>
      <c r="D827" t="s">
        <v>111</v>
      </c>
      <c r="E827">
        <v>18</v>
      </c>
      <c r="F827">
        <v>1018</v>
      </c>
      <c r="G827" t="s">
        <v>112</v>
      </c>
      <c r="J827" t="s">
        <v>113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R827" t="s">
        <v>114</v>
      </c>
      <c r="S827" t="str">
        <f>"18:48:25.234"</f>
        <v>18:48:25.234</v>
      </c>
      <c r="T827" t="str">
        <f>"18:48:25.133"</f>
        <v>18:48:25.133</v>
      </c>
      <c r="U827" t="str">
        <f t="shared" si="37"/>
        <v>a1cdbe</v>
      </c>
      <c r="V827">
        <v>0</v>
      </c>
      <c r="W827">
        <v>0</v>
      </c>
      <c r="X827">
        <v>1</v>
      </c>
      <c r="Y827">
        <v>0</v>
      </c>
      <c r="Z827">
        <v>0</v>
      </c>
      <c r="AB827">
        <v>0</v>
      </c>
      <c r="AC827">
        <v>9</v>
      </c>
      <c r="AD827">
        <v>3</v>
      </c>
      <c r="AE827">
        <v>0</v>
      </c>
      <c r="AF827">
        <v>9</v>
      </c>
      <c r="AG827" t="s">
        <v>158</v>
      </c>
      <c r="AH827">
        <v>0</v>
      </c>
      <c r="AI827">
        <v>3</v>
      </c>
      <c r="AJ827">
        <v>1</v>
      </c>
      <c r="AK827">
        <v>0</v>
      </c>
      <c r="AL827" t="s">
        <v>1724</v>
      </c>
      <c r="AM827">
        <v>46.859071</v>
      </c>
      <c r="AN827" t="s">
        <v>1725</v>
      </c>
      <c r="AO827">
        <v>-122.422264</v>
      </c>
      <c r="AP827">
        <v>100</v>
      </c>
      <c r="AQ827">
        <v>2000</v>
      </c>
      <c r="AR827" t="s">
        <v>118</v>
      </c>
      <c r="AS827">
        <v>-57</v>
      </c>
      <c r="AT827">
        <v>-49</v>
      </c>
      <c r="AU827">
        <v>768</v>
      </c>
      <c r="BC827">
        <v>1200</v>
      </c>
      <c r="BD827">
        <v>1</v>
      </c>
      <c r="BE827" t="str">
        <f t="shared" si="38"/>
        <v xml:space="preserve">N215T   </v>
      </c>
      <c r="BF827">
        <v>1</v>
      </c>
      <c r="BH827">
        <v>0</v>
      </c>
      <c r="BI827">
        <v>0</v>
      </c>
      <c r="BJ827">
        <v>0</v>
      </c>
      <c r="BK827">
        <v>2225</v>
      </c>
      <c r="BL827">
        <v>225</v>
      </c>
      <c r="BM827" t="s">
        <v>119</v>
      </c>
      <c r="BN827">
        <v>1</v>
      </c>
      <c r="BO827">
        <v>1</v>
      </c>
      <c r="BP827">
        <v>1</v>
      </c>
      <c r="BQ827">
        <v>0</v>
      </c>
      <c r="BT827">
        <v>0</v>
      </c>
      <c r="BU827">
        <v>0</v>
      </c>
      <c r="BV827">
        <v>0</v>
      </c>
      <c r="CC827" t="str">
        <f>"18:48:25.234"</f>
        <v>18:48:25.234</v>
      </c>
      <c r="CD827" t="str">
        <f>"237706172"</f>
        <v>237706172</v>
      </c>
      <c r="CQ827">
        <v>0</v>
      </c>
      <c r="CR827">
        <v>2</v>
      </c>
      <c r="CS827">
        <v>0</v>
      </c>
      <c r="CT827">
        <v>2</v>
      </c>
      <c r="CU827">
        <v>0</v>
      </c>
      <c r="CV827">
        <v>5</v>
      </c>
      <c r="CW827" t="s">
        <v>120</v>
      </c>
      <c r="CX827">
        <v>257</v>
      </c>
      <c r="CY827">
        <v>1</v>
      </c>
      <c r="CZ827" t="s">
        <v>615</v>
      </c>
      <c r="DA827" t="s">
        <v>616</v>
      </c>
      <c r="DD827">
        <v>11002960</v>
      </c>
      <c r="DE827" t="s">
        <v>123</v>
      </c>
    </row>
    <row r="828" spans="1:109" x14ac:dyDescent="0.3">
      <c r="A828" t="str">
        <f>"18:48:26.641"</f>
        <v>18:48:26.641</v>
      </c>
      <c r="B828" t="s">
        <v>110</v>
      </c>
      <c r="C828" t="str">
        <f t="shared" si="36"/>
        <v>ffdfd3c0</v>
      </c>
      <c r="D828" t="s">
        <v>111</v>
      </c>
      <c r="E828">
        <v>18</v>
      </c>
      <c r="F828">
        <v>1018</v>
      </c>
      <c r="G828" t="s">
        <v>112</v>
      </c>
      <c r="J828" t="s">
        <v>113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R828" t="s">
        <v>114</v>
      </c>
      <c r="S828" t="str">
        <f>"18:48:26.406"</f>
        <v>18:48:26.406</v>
      </c>
      <c r="T828" t="str">
        <f>"18:48:26.406"</f>
        <v>18:48:26.406</v>
      </c>
      <c r="U828" t="str">
        <f t="shared" si="37"/>
        <v>a1cdbe</v>
      </c>
      <c r="V828">
        <v>0</v>
      </c>
      <c r="W828">
        <v>0</v>
      </c>
      <c r="X828">
        <v>1</v>
      </c>
      <c r="Y828">
        <v>0</v>
      </c>
      <c r="Z828">
        <v>0</v>
      </c>
      <c r="AB828">
        <v>0</v>
      </c>
      <c r="AC828">
        <v>9</v>
      </c>
      <c r="AD828">
        <v>3</v>
      </c>
      <c r="AE828">
        <v>0</v>
      </c>
      <c r="AF828">
        <v>9</v>
      </c>
      <c r="AG828" t="s">
        <v>158</v>
      </c>
      <c r="AH828">
        <v>0</v>
      </c>
      <c r="AI828">
        <v>3</v>
      </c>
      <c r="AJ828">
        <v>1</v>
      </c>
      <c r="AK828">
        <v>0</v>
      </c>
      <c r="AL828" t="s">
        <v>1726</v>
      </c>
      <c r="AM828">
        <v>46.858792000000001</v>
      </c>
      <c r="AN828" t="s">
        <v>1727</v>
      </c>
      <c r="AO828">
        <v>-122.422736</v>
      </c>
      <c r="AP828">
        <v>100</v>
      </c>
      <c r="AQ828">
        <v>2000</v>
      </c>
      <c r="AR828" t="s">
        <v>118</v>
      </c>
      <c r="AS828">
        <v>-58</v>
      </c>
      <c r="AT828">
        <v>-48</v>
      </c>
      <c r="AU828">
        <v>832</v>
      </c>
      <c r="BC828">
        <v>1200</v>
      </c>
      <c r="BD828">
        <v>1</v>
      </c>
      <c r="BE828" t="str">
        <f t="shared" si="38"/>
        <v xml:space="preserve">N215T   </v>
      </c>
      <c r="BF828">
        <v>1</v>
      </c>
      <c r="BH828">
        <v>0</v>
      </c>
      <c r="BI828">
        <v>0</v>
      </c>
      <c r="BJ828">
        <v>0</v>
      </c>
      <c r="BK828">
        <v>2350</v>
      </c>
      <c r="BL828">
        <v>350</v>
      </c>
      <c r="BM828" t="s">
        <v>119</v>
      </c>
      <c r="BN828">
        <v>1</v>
      </c>
      <c r="BO828">
        <v>1</v>
      </c>
      <c r="BP828">
        <v>1</v>
      </c>
      <c r="BQ828">
        <v>0</v>
      </c>
      <c r="BT828">
        <v>0</v>
      </c>
      <c r="BU828">
        <v>0</v>
      </c>
      <c r="BV828">
        <v>0</v>
      </c>
      <c r="CC828" t="str">
        <f>"18:48:26.406"</f>
        <v>18:48:26.406</v>
      </c>
      <c r="CD828" t="str">
        <f>"407422756"</f>
        <v>407422756</v>
      </c>
      <c r="CQ828">
        <v>0</v>
      </c>
      <c r="CR828">
        <v>2</v>
      </c>
      <c r="CS828">
        <v>0</v>
      </c>
      <c r="CT828">
        <v>2</v>
      </c>
      <c r="CU828">
        <v>0</v>
      </c>
      <c r="CV828">
        <v>3</v>
      </c>
      <c r="CW828" t="s">
        <v>172</v>
      </c>
      <c r="CX828">
        <v>326</v>
      </c>
      <c r="CY828">
        <v>0</v>
      </c>
      <c r="CZ828" t="s">
        <v>173</v>
      </c>
      <c r="DA828" t="s">
        <v>174</v>
      </c>
      <c r="DD828">
        <v>6040047</v>
      </c>
      <c r="DE828" t="s">
        <v>123</v>
      </c>
    </row>
    <row r="829" spans="1:109" x14ac:dyDescent="0.3">
      <c r="A829" t="str">
        <f>"18:48:27.594"</f>
        <v>18:48:27.594</v>
      </c>
      <c r="B829" t="s">
        <v>110</v>
      </c>
      <c r="C829" t="str">
        <f t="shared" si="36"/>
        <v>ffdfd3c0</v>
      </c>
      <c r="D829" t="s">
        <v>111</v>
      </c>
      <c r="E829">
        <v>18</v>
      </c>
      <c r="F829">
        <v>1018</v>
      </c>
      <c r="G829" t="s">
        <v>112</v>
      </c>
      <c r="J829" t="s">
        <v>113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R829" t="s">
        <v>114</v>
      </c>
      <c r="S829" t="str">
        <f>"18:48:27.367"</f>
        <v>18:48:27.367</v>
      </c>
      <c r="T829" t="str">
        <f>"18:48:26.469"</f>
        <v>18:48:26.469</v>
      </c>
      <c r="U829" t="str">
        <f t="shared" si="37"/>
        <v>a1cdbe</v>
      </c>
      <c r="V829">
        <v>0</v>
      </c>
      <c r="W829">
        <v>0</v>
      </c>
      <c r="X829">
        <v>1</v>
      </c>
      <c r="Y829">
        <v>0</v>
      </c>
      <c r="Z829">
        <v>0</v>
      </c>
      <c r="AB829">
        <v>0</v>
      </c>
      <c r="AC829">
        <v>9</v>
      </c>
      <c r="AD829">
        <v>3</v>
      </c>
      <c r="AE829">
        <v>0</v>
      </c>
      <c r="AF829">
        <v>9</v>
      </c>
      <c r="AG829" t="s">
        <v>158</v>
      </c>
      <c r="AH829">
        <v>0</v>
      </c>
      <c r="AI829">
        <v>3</v>
      </c>
      <c r="AJ829">
        <v>1</v>
      </c>
      <c r="AK829">
        <v>0</v>
      </c>
      <c r="AL829" t="s">
        <v>1728</v>
      </c>
      <c r="AM829">
        <v>46.858598999999998</v>
      </c>
      <c r="AN829" t="s">
        <v>1729</v>
      </c>
      <c r="AO829">
        <v>-122.42312200000001</v>
      </c>
      <c r="AP829">
        <v>100</v>
      </c>
      <c r="AQ829">
        <v>2000</v>
      </c>
      <c r="AR829" t="s">
        <v>118</v>
      </c>
      <c r="AS829">
        <v>-58</v>
      </c>
      <c r="AT829">
        <v>-48</v>
      </c>
      <c r="AU829">
        <v>832</v>
      </c>
      <c r="BC829">
        <v>1200</v>
      </c>
      <c r="BD829">
        <v>1</v>
      </c>
      <c r="BE829" t="str">
        <f t="shared" si="38"/>
        <v xml:space="preserve">N215T   </v>
      </c>
      <c r="BF829">
        <v>1</v>
      </c>
      <c r="BH829">
        <v>0</v>
      </c>
      <c r="BI829">
        <v>0</v>
      </c>
      <c r="BJ829">
        <v>0</v>
      </c>
      <c r="BK829">
        <v>2250</v>
      </c>
      <c r="BL829">
        <v>250</v>
      </c>
      <c r="BM829" t="s">
        <v>119</v>
      </c>
      <c r="BN829">
        <v>1</v>
      </c>
      <c r="BO829">
        <v>1</v>
      </c>
      <c r="BP829">
        <v>1</v>
      </c>
      <c r="BQ829">
        <v>0</v>
      </c>
      <c r="BT829">
        <v>0</v>
      </c>
      <c r="BU829">
        <v>0</v>
      </c>
      <c r="BV829">
        <v>0</v>
      </c>
      <c r="CC829" t="str">
        <f>"18:48:27.367"</f>
        <v>18:48:27.367</v>
      </c>
      <c r="CD829" t="str">
        <f>"367359567"</f>
        <v>367359567</v>
      </c>
      <c r="CQ829">
        <v>0</v>
      </c>
      <c r="CR829">
        <v>2</v>
      </c>
      <c r="CS829">
        <v>0</v>
      </c>
      <c r="CT829">
        <v>2</v>
      </c>
      <c r="CU829">
        <v>0</v>
      </c>
      <c r="CV829">
        <v>4</v>
      </c>
      <c r="CW829" t="s">
        <v>120</v>
      </c>
      <c r="CX829">
        <v>261</v>
      </c>
      <c r="CY829">
        <v>2</v>
      </c>
      <c r="CZ829" t="s">
        <v>121</v>
      </c>
      <c r="DA829" t="s">
        <v>122</v>
      </c>
      <c r="DD829">
        <v>14687717</v>
      </c>
      <c r="DE829" t="s">
        <v>123</v>
      </c>
    </row>
    <row r="830" spans="1:109" x14ac:dyDescent="0.3">
      <c r="A830" t="str">
        <f>"18:48:28.547"</f>
        <v>18:48:28.547</v>
      </c>
      <c r="B830" t="s">
        <v>110</v>
      </c>
      <c r="C830" t="str">
        <f t="shared" si="36"/>
        <v>ffdfd3c0</v>
      </c>
      <c r="D830" t="s">
        <v>111</v>
      </c>
      <c r="E830">
        <v>18</v>
      </c>
      <c r="F830">
        <v>1018</v>
      </c>
      <c r="G830" t="s">
        <v>112</v>
      </c>
      <c r="J830" t="s">
        <v>113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R830" t="s">
        <v>114</v>
      </c>
      <c r="S830" t="str">
        <f>"18:48:28.336"</f>
        <v>18:48:28.336</v>
      </c>
      <c r="T830" t="str">
        <f>"18:48:27.836"</f>
        <v>18:48:27.836</v>
      </c>
      <c r="U830" t="str">
        <f t="shared" si="37"/>
        <v>a1cdbe</v>
      </c>
      <c r="V830">
        <v>0</v>
      </c>
      <c r="W830">
        <v>0</v>
      </c>
      <c r="X830">
        <v>1</v>
      </c>
      <c r="Y830">
        <v>0</v>
      </c>
      <c r="Z830">
        <v>0</v>
      </c>
      <c r="AB830">
        <v>0</v>
      </c>
      <c r="AC830">
        <v>9</v>
      </c>
      <c r="AD830">
        <v>3</v>
      </c>
      <c r="AE830">
        <v>0</v>
      </c>
      <c r="AF830">
        <v>9</v>
      </c>
      <c r="AG830" t="s">
        <v>158</v>
      </c>
      <c r="AH830">
        <v>0</v>
      </c>
      <c r="AI830">
        <v>3</v>
      </c>
      <c r="AJ830">
        <v>1</v>
      </c>
      <c r="AK830">
        <v>0</v>
      </c>
      <c r="AL830" t="s">
        <v>1730</v>
      </c>
      <c r="AM830">
        <v>46.858362999999997</v>
      </c>
      <c r="AN830" t="s">
        <v>1731</v>
      </c>
      <c r="AO830">
        <v>-122.42346499999999</v>
      </c>
      <c r="AP830">
        <v>100</v>
      </c>
      <c r="AQ830">
        <v>2000</v>
      </c>
      <c r="AR830" t="s">
        <v>118</v>
      </c>
      <c r="AS830">
        <v>-60</v>
      </c>
      <c r="AT830">
        <v>-47</v>
      </c>
      <c r="AU830">
        <v>768</v>
      </c>
      <c r="BC830">
        <v>1200</v>
      </c>
      <c r="BD830">
        <v>1</v>
      </c>
      <c r="BE830" t="str">
        <f t="shared" si="38"/>
        <v xml:space="preserve">N215T   </v>
      </c>
      <c r="BF830">
        <v>1</v>
      </c>
      <c r="BH830">
        <v>0</v>
      </c>
      <c r="BI830">
        <v>0</v>
      </c>
      <c r="BJ830">
        <v>0</v>
      </c>
      <c r="BK830">
        <v>2375</v>
      </c>
      <c r="BL830">
        <v>375</v>
      </c>
      <c r="BM830" t="s">
        <v>119</v>
      </c>
      <c r="BN830">
        <v>1</v>
      </c>
      <c r="BO830">
        <v>1</v>
      </c>
      <c r="BP830">
        <v>1</v>
      </c>
      <c r="BQ830">
        <v>0</v>
      </c>
      <c r="BT830">
        <v>0</v>
      </c>
      <c r="BU830">
        <v>0</v>
      </c>
      <c r="BV830">
        <v>0</v>
      </c>
      <c r="CC830" t="str">
        <f>"18:48:28.344"</f>
        <v>18:48:28.344</v>
      </c>
      <c r="CD830" t="str">
        <f>"342400094"</f>
        <v>342400094</v>
      </c>
      <c r="CQ830">
        <v>0</v>
      </c>
      <c r="CR830">
        <v>2</v>
      </c>
      <c r="CS830">
        <v>0</v>
      </c>
      <c r="CT830">
        <v>2</v>
      </c>
      <c r="CU830">
        <v>0</v>
      </c>
      <c r="CV830">
        <v>5</v>
      </c>
      <c r="CW830" t="s">
        <v>120</v>
      </c>
      <c r="CX830">
        <v>257</v>
      </c>
      <c r="CY830">
        <v>1</v>
      </c>
      <c r="CZ830" t="s">
        <v>615</v>
      </c>
      <c r="DA830" t="s">
        <v>616</v>
      </c>
      <c r="DD830">
        <v>11004994</v>
      </c>
      <c r="DE830" t="s">
        <v>123</v>
      </c>
    </row>
    <row r="831" spans="1:109" x14ac:dyDescent="0.3">
      <c r="A831" t="str">
        <f>"18:48:29.555"</f>
        <v>18:48:29.555</v>
      </c>
      <c r="B831" t="s">
        <v>110</v>
      </c>
      <c r="C831" t="str">
        <f t="shared" si="36"/>
        <v>ffdfd3c0</v>
      </c>
      <c r="D831" t="s">
        <v>111</v>
      </c>
      <c r="E831">
        <v>18</v>
      </c>
      <c r="F831">
        <v>1018</v>
      </c>
      <c r="G831" t="s">
        <v>112</v>
      </c>
      <c r="J831" t="s">
        <v>113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R831" t="s">
        <v>114</v>
      </c>
      <c r="S831" t="str">
        <f>"18:48:29.313"</f>
        <v>18:48:29.313</v>
      </c>
      <c r="T831" t="str">
        <f>"18:48:28.914"</f>
        <v>18:48:28.914</v>
      </c>
      <c r="U831" t="str">
        <f t="shared" si="37"/>
        <v>a1cdbe</v>
      </c>
      <c r="V831">
        <v>0</v>
      </c>
      <c r="W831">
        <v>0</v>
      </c>
      <c r="X831">
        <v>1</v>
      </c>
      <c r="Y831">
        <v>0</v>
      </c>
      <c r="Z831">
        <v>0</v>
      </c>
      <c r="AB831">
        <v>0</v>
      </c>
      <c r="AC831">
        <v>9</v>
      </c>
      <c r="AD831">
        <v>3</v>
      </c>
      <c r="AE831">
        <v>0</v>
      </c>
      <c r="AF831">
        <v>9</v>
      </c>
      <c r="AG831" t="s">
        <v>158</v>
      </c>
      <c r="AH831">
        <v>0</v>
      </c>
      <c r="AI831">
        <v>3</v>
      </c>
      <c r="AJ831">
        <v>1</v>
      </c>
      <c r="AK831">
        <v>0</v>
      </c>
      <c r="AL831" t="s">
        <v>1732</v>
      </c>
      <c r="AM831">
        <v>46.858148999999997</v>
      </c>
      <c r="AN831" t="s">
        <v>1733</v>
      </c>
      <c r="AO831">
        <v>-122.423937</v>
      </c>
      <c r="AP831">
        <v>100</v>
      </c>
      <c r="AQ831">
        <v>2000</v>
      </c>
      <c r="AR831" t="s">
        <v>118</v>
      </c>
      <c r="AS831">
        <v>-61</v>
      </c>
      <c r="AT831">
        <v>-45</v>
      </c>
      <c r="AU831">
        <v>640</v>
      </c>
      <c r="BC831">
        <v>1200</v>
      </c>
      <c r="BD831">
        <v>1</v>
      </c>
      <c r="BE831" t="str">
        <f t="shared" si="38"/>
        <v xml:space="preserve">N215T   </v>
      </c>
      <c r="BF831">
        <v>1</v>
      </c>
      <c r="BH831">
        <v>0</v>
      </c>
      <c r="BI831">
        <v>0</v>
      </c>
      <c r="BJ831">
        <v>0</v>
      </c>
      <c r="BK831">
        <v>2375</v>
      </c>
      <c r="BL831">
        <v>375</v>
      </c>
      <c r="BM831" t="s">
        <v>119</v>
      </c>
      <c r="BN831">
        <v>1</v>
      </c>
      <c r="BO831">
        <v>1</v>
      </c>
      <c r="BP831">
        <v>1</v>
      </c>
      <c r="BQ831">
        <v>0</v>
      </c>
      <c r="BT831">
        <v>0</v>
      </c>
      <c r="BU831">
        <v>0</v>
      </c>
      <c r="BV831">
        <v>0</v>
      </c>
      <c r="CC831" t="str">
        <f>"18:48:29.320"</f>
        <v>18:48:29.320</v>
      </c>
      <c r="CD831" t="str">
        <f>"317303978"</f>
        <v>317303978</v>
      </c>
      <c r="CQ831">
        <v>0</v>
      </c>
      <c r="CR831">
        <v>2</v>
      </c>
      <c r="CS831">
        <v>0</v>
      </c>
      <c r="CT831">
        <v>2</v>
      </c>
      <c r="CU831">
        <v>0</v>
      </c>
      <c r="CV831">
        <v>5</v>
      </c>
      <c r="CW831" t="s">
        <v>120</v>
      </c>
      <c r="CX831">
        <v>257</v>
      </c>
      <c r="CY831">
        <v>1</v>
      </c>
      <c r="CZ831" t="s">
        <v>615</v>
      </c>
      <c r="DA831" t="s">
        <v>616</v>
      </c>
      <c r="DD831">
        <v>11005658</v>
      </c>
      <c r="DE831" t="s">
        <v>123</v>
      </c>
    </row>
    <row r="832" spans="1:109" x14ac:dyDescent="0.3">
      <c r="A832" t="str">
        <f>"18:48:30.609"</f>
        <v>18:48:30.609</v>
      </c>
      <c r="B832" t="s">
        <v>110</v>
      </c>
      <c r="C832" t="str">
        <f t="shared" si="36"/>
        <v>ffdfd3c0</v>
      </c>
      <c r="D832" t="s">
        <v>111</v>
      </c>
      <c r="E832">
        <v>18</v>
      </c>
      <c r="F832">
        <v>1018</v>
      </c>
      <c r="G832" t="s">
        <v>112</v>
      </c>
      <c r="J832" t="s">
        <v>113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R832" t="s">
        <v>114</v>
      </c>
      <c r="S832" t="str">
        <f>"18:48:30.336"</f>
        <v>18:48:30.336</v>
      </c>
      <c r="T832" t="str">
        <f>"18:48:29.938"</f>
        <v>18:48:29.938</v>
      </c>
      <c r="U832" t="str">
        <f t="shared" si="37"/>
        <v>a1cdbe</v>
      </c>
      <c r="V832">
        <v>0</v>
      </c>
      <c r="W832">
        <v>0</v>
      </c>
      <c r="X832">
        <v>1</v>
      </c>
      <c r="Y832">
        <v>0</v>
      </c>
      <c r="Z832">
        <v>0</v>
      </c>
      <c r="AB832">
        <v>0</v>
      </c>
      <c r="AC832">
        <v>9</v>
      </c>
      <c r="AD832">
        <v>3</v>
      </c>
      <c r="AE832">
        <v>0</v>
      </c>
      <c r="AF832">
        <v>9</v>
      </c>
      <c r="AG832" t="s">
        <v>158</v>
      </c>
      <c r="AH832">
        <v>0</v>
      </c>
      <c r="AI832">
        <v>3</v>
      </c>
      <c r="AJ832">
        <v>1</v>
      </c>
      <c r="AK832">
        <v>0</v>
      </c>
      <c r="AL832" t="s">
        <v>1734</v>
      </c>
      <c r="AM832">
        <v>46.857954999999997</v>
      </c>
      <c r="AN832" t="s">
        <v>1735</v>
      </c>
      <c r="AO832">
        <v>-122.42436600000001</v>
      </c>
      <c r="AP832">
        <v>100</v>
      </c>
      <c r="AQ832">
        <v>2000</v>
      </c>
      <c r="AR832" t="s">
        <v>118</v>
      </c>
      <c r="AS832">
        <v>-62</v>
      </c>
      <c r="AT832">
        <v>-44</v>
      </c>
      <c r="AU832">
        <v>512</v>
      </c>
      <c r="BC832">
        <v>1200</v>
      </c>
      <c r="BD832">
        <v>1</v>
      </c>
      <c r="BE832" t="str">
        <f t="shared" si="38"/>
        <v xml:space="preserve">N215T   </v>
      </c>
      <c r="BF832">
        <v>1</v>
      </c>
      <c r="BH832">
        <v>0</v>
      </c>
      <c r="BI832">
        <v>0</v>
      </c>
      <c r="BJ832">
        <v>0</v>
      </c>
      <c r="BK832">
        <v>2400</v>
      </c>
      <c r="BL832">
        <v>400</v>
      </c>
      <c r="BM832" t="s">
        <v>119</v>
      </c>
      <c r="BN832">
        <v>1</v>
      </c>
      <c r="BO832">
        <v>1</v>
      </c>
      <c r="BP832">
        <v>1</v>
      </c>
      <c r="BQ832">
        <v>0</v>
      </c>
      <c r="BT832">
        <v>0</v>
      </c>
      <c r="BU832">
        <v>0</v>
      </c>
      <c r="BV832">
        <v>0</v>
      </c>
      <c r="CC832" t="str">
        <f>"18:48:30.336"</f>
        <v>18:48:30.336</v>
      </c>
      <c r="CD832" t="str">
        <f>"337203427"</f>
        <v>337203427</v>
      </c>
      <c r="CQ832">
        <v>0</v>
      </c>
      <c r="CR832">
        <v>2</v>
      </c>
      <c r="CS832">
        <v>0</v>
      </c>
      <c r="CT832">
        <v>2</v>
      </c>
      <c r="CU832">
        <v>0</v>
      </c>
      <c r="CV832">
        <v>5</v>
      </c>
      <c r="CW832" t="s">
        <v>120</v>
      </c>
      <c r="CX832">
        <v>257</v>
      </c>
      <c r="CY832">
        <v>1</v>
      </c>
      <c r="CZ832" t="s">
        <v>615</v>
      </c>
      <c r="DA832" t="s">
        <v>616</v>
      </c>
      <c r="DD832">
        <v>11006345</v>
      </c>
      <c r="DE832" t="s">
        <v>123</v>
      </c>
    </row>
    <row r="833" spans="1:109" x14ac:dyDescent="0.3">
      <c r="A833" t="str">
        <f>"18:48:31.563"</f>
        <v>18:48:31.563</v>
      </c>
      <c r="B833" t="s">
        <v>110</v>
      </c>
      <c r="C833" t="str">
        <f t="shared" si="36"/>
        <v>ffdfd3c0</v>
      </c>
      <c r="D833" t="s">
        <v>111</v>
      </c>
      <c r="E833">
        <v>18</v>
      </c>
      <c r="F833">
        <v>1018</v>
      </c>
      <c r="G833" t="s">
        <v>112</v>
      </c>
      <c r="J833" t="s">
        <v>113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R833" t="s">
        <v>114</v>
      </c>
      <c r="S833" t="str">
        <f>"18:48:31.336"</f>
        <v>18:48:31.336</v>
      </c>
      <c r="T833" t="str">
        <f>"18:48:30.836"</f>
        <v>18:48:30.836</v>
      </c>
      <c r="U833" t="str">
        <f t="shared" si="37"/>
        <v>a1cdbe</v>
      </c>
      <c r="V833">
        <v>0</v>
      </c>
      <c r="W833">
        <v>0</v>
      </c>
      <c r="X833">
        <v>1</v>
      </c>
      <c r="Y833">
        <v>0</v>
      </c>
      <c r="Z833">
        <v>0</v>
      </c>
      <c r="AB833">
        <v>0</v>
      </c>
      <c r="AC833">
        <v>9</v>
      </c>
      <c r="AD833">
        <v>3</v>
      </c>
      <c r="AE833">
        <v>0</v>
      </c>
      <c r="AF833">
        <v>9</v>
      </c>
      <c r="AG833" t="s">
        <v>158</v>
      </c>
      <c r="AH833">
        <v>0</v>
      </c>
      <c r="AI833">
        <v>3</v>
      </c>
      <c r="AJ833">
        <v>1</v>
      </c>
      <c r="AK833">
        <v>0</v>
      </c>
      <c r="AL833" t="s">
        <v>1736</v>
      </c>
      <c r="AM833">
        <v>46.857784000000002</v>
      </c>
      <c r="AN833" t="s">
        <v>1737</v>
      </c>
      <c r="AO833">
        <v>-122.42473099999999</v>
      </c>
      <c r="AP833">
        <v>100</v>
      </c>
      <c r="AQ833">
        <v>2000</v>
      </c>
      <c r="AR833" t="s">
        <v>118</v>
      </c>
      <c r="AS833">
        <v>-63</v>
      </c>
      <c r="AT833">
        <v>-43</v>
      </c>
      <c r="AU833">
        <v>512</v>
      </c>
      <c r="BC833">
        <v>1200</v>
      </c>
      <c r="BD833">
        <v>1</v>
      </c>
      <c r="BE833" t="str">
        <f t="shared" si="38"/>
        <v xml:space="preserve">N215T   </v>
      </c>
      <c r="BF833">
        <v>1</v>
      </c>
      <c r="BH833">
        <v>0</v>
      </c>
      <c r="BI833">
        <v>0</v>
      </c>
      <c r="BJ833">
        <v>0</v>
      </c>
      <c r="BK833">
        <v>2400</v>
      </c>
      <c r="BL833">
        <v>400</v>
      </c>
      <c r="BM833" t="s">
        <v>119</v>
      </c>
      <c r="BN833">
        <v>1</v>
      </c>
      <c r="BO833">
        <v>1</v>
      </c>
      <c r="BP833">
        <v>1</v>
      </c>
      <c r="BQ833">
        <v>0</v>
      </c>
      <c r="BT833">
        <v>0</v>
      </c>
      <c r="BU833">
        <v>0</v>
      </c>
      <c r="BV833">
        <v>0</v>
      </c>
      <c r="CC833" t="str">
        <f>"18:48:31.344"</f>
        <v>18:48:31.344</v>
      </c>
      <c r="CD833" t="str">
        <f>"342104366"</f>
        <v>342104366</v>
      </c>
      <c r="CQ833">
        <v>0</v>
      </c>
      <c r="CR833">
        <v>2</v>
      </c>
      <c r="CS833">
        <v>0</v>
      </c>
      <c r="CT833">
        <v>2</v>
      </c>
      <c r="CU833">
        <v>0</v>
      </c>
      <c r="CV833">
        <v>5</v>
      </c>
      <c r="CW833" t="s">
        <v>120</v>
      </c>
      <c r="CX833">
        <v>257</v>
      </c>
      <c r="CY833">
        <v>1</v>
      </c>
      <c r="CZ833" t="s">
        <v>615</v>
      </c>
      <c r="DA833" t="s">
        <v>616</v>
      </c>
      <c r="DD833">
        <v>11007006</v>
      </c>
      <c r="DE833" t="s">
        <v>123</v>
      </c>
    </row>
    <row r="834" spans="1:109" x14ac:dyDescent="0.3">
      <c r="A834" t="str">
        <f>"18:48:32.570"</f>
        <v>18:48:32.570</v>
      </c>
      <c r="B834" t="s">
        <v>110</v>
      </c>
      <c r="C834" t="str">
        <f t="shared" ref="C834:C897" si="39">"ffdfd3c0"</f>
        <v>ffdfd3c0</v>
      </c>
      <c r="D834" t="s">
        <v>111</v>
      </c>
      <c r="E834">
        <v>18</v>
      </c>
      <c r="F834">
        <v>1018</v>
      </c>
      <c r="G834" t="s">
        <v>112</v>
      </c>
      <c r="J834" t="s">
        <v>113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R834" t="s">
        <v>114</v>
      </c>
      <c r="S834" t="str">
        <f>"18:48:32.328"</f>
        <v>18:48:32.328</v>
      </c>
      <c r="T834" t="str">
        <f>"18:48:32.328"</f>
        <v>18:48:32.328</v>
      </c>
      <c r="U834" t="str">
        <f t="shared" ref="U834:U897" si="40">"a1cdbe"</f>
        <v>a1cdbe</v>
      </c>
      <c r="V834">
        <v>0</v>
      </c>
      <c r="W834">
        <v>0</v>
      </c>
      <c r="X834">
        <v>1</v>
      </c>
      <c r="Y834">
        <v>0</v>
      </c>
      <c r="Z834">
        <v>0</v>
      </c>
      <c r="AB834">
        <v>0</v>
      </c>
      <c r="AC834">
        <v>9</v>
      </c>
      <c r="AD834">
        <v>3</v>
      </c>
      <c r="AE834">
        <v>0</v>
      </c>
      <c r="AF834">
        <v>9</v>
      </c>
      <c r="AG834" t="s">
        <v>158</v>
      </c>
      <c r="AH834">
        <v>0</v>
      </c>
      <c r="AI834">
        <v>3</v>
      </c>
      <c r="AJ834">
        <v>1</v>
      </c>
      <c r="AK834">
        <v>0</v>
      </c>
      <c r="AL834" t="s">
        <v>1738</v>
      </c>
      <c r="AM834">
        <v>46.857568999999998</v>
      </c>
      <c r="AN834" t="s">
        <v>1739</v>
      </c>
      <c r="AO834">
        <v>-122.42518200000001</v>
      </c>
      <c r="AP834">
        <v>100</v>
      </c>
      <c r="AQ834">
        <v>2000</v>
      </c>
      <c r="AR834" t="s">
        <v>118</v>
      </c>
      <c r="AS834">
        <v>-64</v>
      </c>
      <c r="AT834">
        <v>-43</v>
      </c>
      <c r="AU834">
        <v>512</v>
      </c>
      <c r="BC834">
        <v>1200</v>
      </c>
      <c r="BD834">
        <v>1</v>
      </c>
      <c r="BE834" t="str">
        <f t="shared" ref="BE834:BE897" si="41">"N215T   "</f>
        <v xml:space="preserve">N215T   </v>
      </c>
      <c r="BF834">
        <v>1</v>
      </c>
      <c r="BH834">
        <v>0</v>
      </c>
      <c r="BI834">
        <v>0</v>
      </c>
      <c r="BJ834">
        <v>0</v>
      </c>
      <c r="BK834">
        <v>2425</v>
      </c>
      <c r="BL834">
        <v>425</v>
      </c>
      <c r="BM834" t="s">
        <v>119</v>
      </c>
      <c r="BN834">
        <v>1</v>
      </c>
      <c r="BO834">
        <v>1</v>
      </c>
      <c r="BP834">
        <v>1</v>
      </c>
      <c r="BQ834">
        <v>0</v>
      </c>
      <c r="BT834">
        <v>0</v>
      </c>
      <c r="BU834">
        <v>0</v>
      </c>
      <c r="BV834">
        <v>0</v>
      </c>
      <c r="CC834" t="str">
        <f>"18:48:32.328"</f>
        <v>18:48:32.328</v>
      </c>
      <c r="CD834" t="str">
        <f>"332006756"</f>
        <v>332006756</v>
      </c>
      <c r="CQ834">
        <v>0</v>
      </c>
      <c r="CR834">
        <v>2</v>
      </c>
      <c r="CS834">
        <v>0</v>
      </c>
      <c r="CT834">
        <v>2</v>
      </c>
      <c r="CU834">
        <v>0</v>
      </c>
      <c r="CV834">
        <v>5</v>
      </c>
      <c r="CW834" t="s">
        <v>120</v>
      </c>
      <c r="CX834">
        <v>257</v>
      </c>
      <c r="CY834">
        <v>1</v>
      </c>
      <c r="CZ834" t="s">
        <v>615</v>
      </c>
      <c r="DA834" t="s">
        <v>616</v>
      </c>
      <c r="DD834">
        <v>11007665</v>
      </c>
      <c r="DE834" t="s">
        <v>123</v>
      </c>
    </row>
    <row r="835" spans="1:109" x14ac:dyDescent="0.3">
      <c r="A835" t="str">
        <f>"18:48:33.727"</f>
        <v>18:48:33.727</v>
      </c>
      <c r="B835" t="s">
        <v>110</v>
      </c>
      <c r="C835" t="str">
        <f t="shared" si="39"/>
        <v>ffdfd3c0</v>
      </c>
      <c r="D835" t="s">
        <v>111</v>
      </c>
      <c r="E835">
        <v>18</v>
      </c>
      <c r="F835">
        <v>1018</v>
      </c>
      <c r="G835" t="s">
        <v>112</v>
      </c>
      <c r="J835" t="s">
        <v>113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R835" t="s">
        <v>114</v>
      </c>
      <c r="S835" t="str">
        <f>"18:48:33.469"</f>
        <v>18:48:33.469</v>
      </c>
      <c r="T835" t="str">
        <f>"18:48:32.867"</f>
        <v>18:48:32.867</v>
      </c>
      <c r="U835" t="str">
        <f t="shared" si="40"/>
        <v>a1cdbe</v>
      </c>
      <c r="V835">
        <v>0</v>
      </c>
      <c r="W835">
        <v>0</v>
      </c>
      <c r="X835">
        <v>1</v>
      </c>
      <c r="Y835">
        <v>0</v>
      </c>
      <c r="Z835">
        <v>0</v>
      </c>
      <c r="AB835">
        <v>0</v>
      </c>
      <c r="AC835">
        <v>9</v>
      </c>
      <c r="AD835">
        <v>3</v>
      </c>
      <c r="AE835">
        <v>0</v>
      </c>
      <c r="AF835">
        <v>9</v>
      </c>
      <c r="AG835" t="s">
        <v>158</v>
      </c>
      <c r="AH835">
        <v>0</v>
      </c>
      <c r="AI835">
        <v>3</v>
      </c>
      <c r="AJ835">
        <v>1</v>
      </c>
      <c r="AK835">
        <v>0</v>
      </c>
      <c r="AL835" t="s">
        <v>1740</v>
      </c>
      <c r="AM835">
        <v>46.857332999999997</v>
      </c>
      <c r="AN835" t="s">
        <v>1741</v>
      </c>
      <c r="AO835">
        <v>-122.425675</v>
      </c>
      <c r="AP835">
        <v>100</v>
      </c>
      <c r="AQ835">
        <v>2000</v>
      </c>
      <c r="AR835" t="s">
        <v>118</v>
      </c>
      <c r="AS835">
        <v>-64</v>
      </c>
      <c r="AT835">
        <v>-42</v>
      </c>
      <c r="AU835">
        <v>512</v>
      </c>
      <c r="BC835">
        <v>1200</v>
      </c>
      <c r="BD835">
        <v>1</v>
      </c>
      <c r="BE835" t="str">
        <f t="shared" si="41"/>
        <v xml:space="preserve">N215T   </v>
      </c>
      <c r="BF835">
        <v>1</v>
      </c>
      <c r="BH835">
        <v>0</v>
      </c>
      <c r="BI835">
        <v>0</v>
      </c>
      <c r="BJ835">
        <v>0</v>
      </c>
      <c r="BK835">
        <v>2425</v>
      </c>
      <c r="BL835">
        <v>425</v>
      </c>
      <c r="BM835" t="s">
        <v>119</v>
      </c>
      <c r="BN835">
        <v>1</v>
      </c>
      <c r="BO835">
        <v>1</v>
      </c>
      <c r="BP835">
        <v>1</v>
      </c>
      <c r="BQ835">
        <v>0</v>
      </c>
      <c r="BT835">
        <v>0</v>
      </c>
      <c r="BU835">
        <v>0</v>
      </c>
      <c r="BV835">
        <v>0</v>
      </c>
      <c r="CC835" t="str">
        <f>"18:48:33.469"</f>
        <v>18:48:33.469</v>
      </c>
      <c r="CD835" t="str">
        <f>"471758703"</f>
        <v>471758703</v>
      </c>
      <c r="CQ835">
        <v>0</v>
      </c>
      <c r="CR835">
        <v>2</v>
      </c>
      <c r="CS835">
        <v>0</v>
      </c>
      <c r="CT835">
        <v>2</v>
      </c>
      <c r="CU835">
        <v>0</v>
      </c>
      <c r="CV835">
        <v>3</v>
      </c>
      <c r="CW835" t="s">
        <v>120</v>
      </c>
      <c r="CX835">
        <v>261</v>
      </c>
      <c r="CY835">
        <v>2</v>
      </c>
      <c r="CZ835" t="s">
        <v>121</v>
      </c>
      <c r="DA835" t="s">
        <v>122</v>
      </c>
      <c r="DD835">
        <v>14691328</v>
      </c>
      <c r="DE835" t="s">
        <v>123</v>
      </c>
    </row>
    <row r="836" spans="1:109" x14ac:dyDescent="0.3">
      <c r="A836" t="str">
        <f>"18:48:34.633"</f>
        <v>18:48:34.633</v>
      </c>
      <c r="B836" t="s">
        <v>110</v>
      </c>
      <c r="C836" t="str">
        <f t="shared" si="39"/>
        <v>ffdfd3c0</v>
      </c>
      <c r="D836" t="s">
        <v>111</v>
      </c>
      <c r="E836">
        <v>18</v>
      </c>
      <c r="F836">
        <v>1018</v>
      </c>
      <c r="G836" t="s">
        <v>112</v>
      </c>
      <c r="J836" t="s">
        <v>113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R836" t="s">
        <v>114</v>
      </c>
      <c r="S836" t="str">
        <f>"18:48:34.398"</f>
        <v>18:48:34.398</v>
      </c>
      <c r="T836" t="str">
        <f>"18:48:33.898"</f>
        <v>18:48:33.898</v>
      </c>
      <c r="U836" t="str">
        <f t="shared" si="40"/>
        <v>a1cdbe</v>
      </c>
      <c r="V836">
        <v>0</v>
      </c>
      <c r="W836">
        <v>0</v>
      </c>
      <c r="X836">
        <v>1</v>
      </c>
      <c r="Y836">
        <v>0</v>
      </c>
      <c r="Z836">
        <v>0</v>
      </c>
      <c r="AB836">
        <v>0</v>
      </c>
      <c r="AC836">
        <v>9</v>
      </c>
      <c r="AD836">
        <v>3</v>
      </c>
      <c r="AE836">
        <v>0</v>
      </c>
      <c r="AF836">
        <v>9</v>
      </c>
      <c r="AG836" t="s">
        <v>158</v>
      </c>
      <c r="AH836">
        <v>0</v>
      </c>
      <c r="AI836">
        <v>3</v>
      </c>
      <c r="AJ836">
        <v>1</v>
      </c>
      <c r="AK836">
        <v>0</v>
      </c>
      <c r="AL836" t="s">
        <v>1742</v>
      </c>
      <c r="AM836">
        <v>46.857140000000001</v>
      </c>
      <c r="AN836" t="s">
        <v>1743</v>
      </c>
      <c r="AO836">
        <v>-122.42608300000001</v>
      </c>
      <c r="AP836">
        <v>100</v>
      </c>
      <c r="AQ836">
        <v>2100</v>
      </c>
      <c r="AR836" t="s">
        <v>118</v>
      </c>
      <c r="AS836">
        <v>-65</v>
      </c>
      <c r="AT836">
        <v>-43</v>
      </c>
      <c r="AU836">
        <v>512</v>
      </c>
      <c r="BC836">
        <v>1200</v>
      </c>
      <c r="BD836">
        <v>1</v>
      </c>
      <c r="BE836" t="str">
        <f t="shared" si="41"/>
        <v xml:space="preserve">N215T   </v>
      </c>
      <c r="BF836">
        <v>1</v>
      </c>
      <c r="BH836">
        <v>0</v>
      </c>
      <c r="BI836">
        <v>0</v>
      </c>
      <c r="BJ836">
        <v>0</v>
      </c>
      <c r="BK836">
        <v>2425</v>
      </c>
      <c r="BL836">
        <v>325</v>
      </c>
      <c r="BM836" t="s">
        <v>119</v>
      </c>
      <c r="BN836">
        <v>1</v>
      </c>
      <c r="BO836">
        <v>1</v>
      </c>
      <c r="BP836">
        <v>1</v>
      </c>
      <c r="BQ836">
        <v>0</v>
      </c>
      <c r="BT836">
        <v>0</v>
      </c>
      <c r="BU836">
        <v>0</v>
      </c>
      <c r="BV836">
        <v>0</v>
      </c>
      <c r="CC836" t="str">
        <f>"18:48:34.398"</f>
        <v>18:48:34.398</v>
      </c>
      <c r="CD836" t="str">
        <f>"401802681"</f>
        <v>401802681</v>
      </c>
      <c r="CQ836">
        <v>0</v>
      </c>
      <c r="CR836">
        <v>2</v>
      </c>
      <c r="CS836">
        <v>0</v>
      </c>
      <c r="CT836">
        <v>2</v>
      </c>
      <c r="CU836">
        <v>0</v>
      </c>
      <c r="CV836">
        <v>5</v>
      </c>
      <c r="CW836" t="s">
        <v>120</v>
      </c>
      <c r="CX836">
        <v>257</v>
      </c>
      <c r="CY836">
        <v>1</v>
      </c>
      <c r="CZ836" t="s">
        <v>615</v>
      </c>
      <c r="DA836" t="s">
        <v>616</v>
      </c>
      <c r="DD836">
        <v>11008978</v>
      </c>
      <c r="DE836" t="s">
        <v>123</v>
      </c>
    </row>
    <row r="837" spans="1:109" x14ac:dyDescent="0.3">
      <c r="A837" t="str">
        <f>"18:48:35.789"</f>
        <v>18:48:35.789</v>
      </c>
      <c r="B837" t="s">
        <v>110</v>
      </c>
      <c r="C837" t="str">
        <f t="shared" si="39"/>
        <v>ffdfd3c0</v>
      </c>
      <c r="D837" t="s">
        <v>111</v>
      </c>
      <c r="E837">
        <v>18</v>
      </c>
      <c r="F837">
        <v>1018</v>
      </c>
      <c r="G837" t="s">
        <v>112</v>
      </c>
      <c r="J837" t="s">
        <v>113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R837" t="s">
        <v>114</v>
      </c>
      <c r="S837" t="str">
        <f>"18:48:35.539"</f>
        <v>18:48:35.539</v>
      </c>
      <c r="T837" t="str">
        <f>"18:48:35.039"</f>
        <v>18:48:35.039</v>
      </c>
      <c r="U837" t="str">
        <f t="shared" si="40"/>
        <v>a1cdbe</v>
      </c>
      <c r="V837">
        <v>0</v>
      </c>
      <c r="W837">
        <v>0</v>
      </c>
      <c r="X837">
        <v>1</v>
      </c>
      <c r="Y837">
        <v>0</v>
      </c>
      <c r="Z837">
        <v>0</v>
      </c>
      <c r="AB837">
        <v>0</v>
      </c>
      <c r="AC837">
        <v>9</v>
      </c>
      <c r="AD837">
        <v>3</v>
      </c>
      <c r="AE837">
        <v>0</v>
      </c>
      <c r="AF837">
        <v>9</v>
      </c>
      <c r="AG837" t="s">
        <v>158</v>
      </c>
      <c r="AH837">
        <v>0</v>
      </c>
      <c r="AI837">
        <v>3</v>
      </c>
      <c r="AJ837">
        <v>1</v>
      </c>
      <c r="AK837">
        <v>0</v>
      </c>
      <c r="AL837" t="s">
        <v>1744</v>
      </c>
      <c r="AM837">
        <v>46.856924999999997</v>
      </c>
      <c r="AN837" t="s">
        <v>1745</v>
      </c>
      <c r="AO837">
        <v>-122.42662</v>
      </c>
      <c r="AP837">
        <v>100</v>
      </c>
      <c r="AQ837">
        <v>2100</v>
      </c>
      <c r="AR837" t="s">
        <v>118</v>
      </c>
      <c r="AS837">
        <v>-65</v>
      </c>
      <c r="AT837">
        <v>-43</v>
      </c>
      <c r="AU837">
        <v>384</v>
      </c>
      <c r="BC837">
        <v>1200</v>
      </c>
      <c r="BD837">
        <v>1</v>
      </c>
      <c r="BE837" t="str">
        <f t="shared" si="41"/>
        <v xml:space="preserve">N215T   </v>
      </c>
      <c r="BF837">
        <v>1</v>
      </c>
      <c r="BH837">
        <v>0</v>
      </c>
      <c r="BI837">
        <v>0</v>
      </c>
      <c r="BJ837">
        <v>0</v>
      </c>
      <c r="BK837">
        <v>2425</v>
      </c>
      <c r="BL837">
        <v>325</v>
      </c>
      <c r="BM837" t="s">
        <v>119</v>
      </c>
      <c r="BN837">
        <v>1</v>
      </c>
      <c r="BO837">
        <v>1</v>
      </c>
      <c r="BP837">
        <v>1</v>
      </c>
      <c r="BQ837">
        <v>0</v>
      </c>
      <c r="BT837">
        <v>0</v>
      </c>
      <c r="BU837">
        <v>0</v>
      </c>
      <c r="BV837">
        <v>0</v>
      </c>
      <c r="CC837" t="str">
        <f>"18:48:35.539"</f>
        <v>18:48:35.539</v>
      </c>
      <c r="CD837" t="str">
        <f>"541690310"</f>
        <v>541690310</v>
      </c>
      <c r="CQ837">
        <v>0</v>
      </c>
      <c r="CR837">
        <v>2</v>
      </c>
      <c r="CS837">
        <v>0</v>
      </c>
      <c r="CT837">
        <v>2</v>
      </c>
      <c r="CU837">
        <v>0</v>
      </c>
      <c r="CV837">
        <v>5</v>
      </c>
      <c r="CW837" t="s">
        <v>120</v>
      </c>
      <c r="CX837">
        <v>257</v>
      </c>
      <c r="CY837">
        <v>1</v>
      </c>
      <c r="CZ837" t="s">
        <v>615</v>
      </c>
      <c r="DA837" t="s">
        <v>616</v>
      </c>
      <c r="DD837">
        <v>11009780</v>
      </c>
      <c r="DE837" t="s">
        <v>123</v>
      </c>
    </row>
    <row r="838" spans="1:109" x14ac:dyDescent="0.3">
      <c r="A838" t="str">
        <f>"18:48:36.742"</f>
        <v>18:48:36.742</v>
      </c>
      <c r="B838" t="s">
        <v>110</v>
      </c>
      <c r="C838" t="str">
        <f t="shared" si="39"/>
        <v>ffdfd3c0</v>
      </c>
      <c r="D838" t="s">
        <v>111</v>
      </c>
      <c r="E838">
        <v>18</v>
      </c>
      <c r="F838">
        <v>1018</v>
      </c>
      <c r="G838" t="s">
        <v>112</v>
      </c>
      <c r="J838" t="s">
        <v>113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R838" t="s">
        <v>114</v>
      </c>
      <c r="S838" t="str">
        <f>"18:48:36.500"</f>
        <v>18:48:36.500</v>
      </c>
      <c r="T838" t="str">
        <f>"18:48:36.102"</f>
        <v>18:48:36.102</v>
      </c>
      <c r="U838" t="str">
        <f t="shared" si="40"/>
        <v>a1cdbe</v>
      </c>
      <c r="V838">
        <v>0</v>
      </c>
      <c r="W838">
        <v>0</v>
      </c>
      <c r="X838">
        <v>1</v>
      </c>
      <c r="Y838">
        <v>0</v>
      </c>
      <c r="Z838">
        <v>0</v>
      </c>
      <c r="AB838">
        <v>0</v>
      </c>
      <c r="AC838">
        <v>9</v>
      </c>
      <c r="AD838">
        <v>3</v>
      </c>
      <c r="AE838">
        <v>0</v>
      </c>
      <c r="AF838">
        <v>9</v>
      </c>
      <c r="AG838" t="s">
        <v>158</v>
      </c>
      <c r="AH838">
        <v>0</v>
      </c>
      <c r="AI838">
        <v>3</v>
      </c>
      <c r="AJ838">
        <v>1</v>
      </c>
      <c r="AK838">
        <v>0</v>
      </c>
      <c r="AL838" t="s">
        <v>1746</v>
      </c>
      <c r="AM838">
        <v>46.856732000000001</v>
      </c>
      <c r="AN838" t="s">
        <v>1747</v>
      </c>
      <c r="AO838">
        <v>-122.427027</v>
      </c>
      <c r="AP838">
        <v>100</v>
      </c>
      <c r="AQ838">
        <v>2100</v>
      </c>
      <c r="AR838" t="s">
        <v>118</v>
      </c>
      <c r="AS838">
        <v>-66</v>
      </c>
      <c r="AT838">
        <v>-43</v>
      </c>
      <c r="AU838">
        <v>256</v>
      </c>
      <c r="BC838">
        <v>1200</v>
      </c>
      <c r="BD838">
        <v>1</v>
      </c>
      <c r="BE838" t="str">
        <f t="shared" si="41"/>
        <v xml:space="preserve">N215T   </v>
      </c>
      <c r="BF838">
        <v>1</v>
      </c>
      <c r="BH838">
        <v>0</v>
      </c>
      <c r="BI838">
        <v>0</v>
      </c>
      <c r="BJ838">
        <v>0</v>
      </c>
      <c r="BK838">
        <v>2450</v>
      </c>
      <c r="BL838">
        <v>350</v>
      </c>
      <c r="BM838" t="s">
        <v>119</v>
      </c>
      <c r="BN838">
        <v>1</v>
      </c>
      <c r="BO838">
        <v>1</v>
      </c>
      <c r="BP838">
        <v>1</v>
      </c>
      <c r="BQ838">
        <v>0</v>
      </c>
      <c r="BT838">
        <v>0</v>
      </c>
      <c r="BU838">
        <v>0</v>
      </c>
      <c r="BV838">
        <v>0</v>
      </c>
      <c r="CC838" t="str">
        <f>"18:48:36.500"</f>
        <v>18:48:36.500</v>
      </c>
      <c r="CD838" t="str">
        <f>"501595653"</f>
        <v>501595653</v>
      </c>
      <c r="CQ838">
        <v>0</v>
      </c>
      <c r="CR838">
        <v>2</v>
      </c>
      <c r="CS838">
        <v>0</v>
      </c>
      <c r="CT838">
        <v>2</v>
      </c>
      <c r="CU838">
        <v>0</v>
      </c>
      <c r="CV838">
        <v>5</v>
      </c>
      <c r="CW838" t="s">
        <v>120</v>
      </c>
      <c r="CX838">
        <v>257</v>
      </c>
      <c r="CY838">
        <v>1</v>
      </c>
      <c r="CZ838" t="s">
        <v>615</v>
      </c>
      <c r="DA838" t="s">
        <v>616</v>
      </c>
      <c r="DD838">
        <v>11010406</v>
      </c>
      <c r="DE838" t="s">
        <v>123</v>
      </c>
    </row>
    <row r="839" spans="1:109" x14ac:dyDescent="0.3">
      <c r="A839" t="str">
        <f>"18:48:37.648"</f>
        <v>18:48:37.648</v>
      </c>
      <c r="B839" t="s">
        <v>110</v>
      </c>
      <c r="C839" t="str">
        <f t="shared" si="39"/>
        <v>ffdfd3c0</v>
      </c>
      <c r="D839" t="s">
        <v>111</v>
      </c>
      <c r="E839">
        <v>18</v>
      </c>
      <c r="F839">
        <v>1018</v>
      </c>
      <c r="G839" t="s">
        <v>112</v>
      </c>
      <c r="J839" t="s">
        <v>113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R839" t="s">
        <v>114</v>
      </c>
      <c r="S839" t="str">
        <f>"18:48:37.445"</f>
        <v>18:48:37.445</v>
      </c>
      <c r="T839" t="str">
        <f>"18:48:37.148"</f>
        <v>18:48:37.148</v>
      </c>
      <c r="U839" t="str">
        <f t="shared" si="40"/>
        <v>a1cdbe</v>
      </c>
      <c r="V839">
        <v>0</v>
      </c>
      <c r="W839">
        <v>0</v>
      </c>
      <c r="X839">
        <v>1</v>
      </c>
      <c r="Y839">
        <v>0</v>
      </c>
      <c r="Z839">
        <v>0</v>
      </c>
      <c r="AB839">
        <v>0</v>
      </c>
      <c r="AC839">
        <v>9</v>
      </c>
      <c r="AD839">
        <v>3</v>
      </c>
      <c r="AE839">
        <v>0</v>
      </c>
      <c r="AF839">
        <v>9</v>
      </c>
      <c r="AG839" t="s">
        <v>158</v>
      </c>
      <c r="AH839">
        <v>0</v>
      </c>
      <c r="AI839">
        <v>3</v>
      </c>
      <c r="AJ839">
        <v>1</v>
      </c>
      <c r="AK839">
        <v>0</v>
      </c>
      <c r="AL839" t="s">
        <v>1748</v>
      </c>
      <c r="AM839">
        <v>46.856538999999998</v>
      </c>
      <c r="AN839" t="s">
        <v>1749</v>
      </c>
      <c r="AO839">
        <v>-122.42745600000001</v>
      </c>
      <c r="AP839">
        <v>100</v>
      </c>
      <c r="AQ839">
        <v>2100</v>
      </c>
      <c r="AR839" t="s">
        <v>118</v>
      </c>
      <c r="AS839">
        <v>-67</v>
      </c>
      <c r="AT839">
        <v>-42</v>
      </c>
      <c r="AU839">
        <v>256</v>
      </c>
      <c r="BC839">
        <v>1200</v>
      </c>
      <c r="BD839">
        <v>1</v>
      </c>
      <c r="BE839" t="str">
        <f t="shared" si="41"/>
        <v xml:space="preserve">N215T   </v>
      </c>
      <c r="BF839">
        <v>1</v>
      </c>
      <c r="BH839">
        <v>0</v>
      </c>
      <c r="BI839">
        <v>0</v>
      </c>
      <c r="BJ839">
        <v>0</v>
      </c>
      <c r="BK839">
        <v>2450</v>
      </c>
      <c r="BL839">
        <v>350</v>
      </c>
      <c r="BM839" t="s">
        <v>119</v>
      </c>
      <c r="BN839">
        <v>1</v>
      </c>
      <c r="BO839">
        <v>1</v>
      </c>
      <c r="BP839">
        <v>1</v>
      </c>
      <c r="BQ839">
        <v>0</v>
      </c>
      <c r="BT839">
        <v>0</v>
      </c>
      <c r="BU839">
        <v>0</v>
      </c>
      <c r="BV839">
        <v>0</v>
      </c>
      <c r="CC839" t="str">
        <f>"18:48:37.445"</f>
        <v>18:48:37.445</v>
      </c>
      <c r="CD839" t="str">
        <f>"446502499"</f>
        <v>446502499</v>
      </c>
      <c r="CQ839">
        <v>0</v>
      </c>
      <c r="CR839">
        <v>2</v>
      </c>
      <c r="CS839">
        <v>0</v>
      </c>
      <c r="CT839">
        <v>2</v>
      </c>
      <c r="CU839">
        <v>0</v>
      </c>
      <c r="CV839">
        <v>5</v>
      </c>
      <c r="CW839" t="s">
        <v>120</v>
      </c>
      <c r="CX839">
        <v>257</v>
      </c>
      <c r="CY839">
        <v>1</v>
      </c>
      <c r="CZ839" t="s">
        <v>615</v>
      </c>
      <c r="DA839" t="s">
        <v>616</v>
      </c>
      <c r="DD839">
        <v>11011031</v>
      </c>
      <c r="DE839" t="s">
        <v>123</v>
      </c>
    </row>
    <row r="840" spans="1:109" x14ac:dyDescent="0.3">
      <c r="A840" t="str">
        <f>"18:48:38.656"</f>
        <v>18:48:38.656</v>
      </c>
      <c r="B840" t="s">
        <v>110</v>
      </c>
      <c r="C840" t="str">
        <f t="shared" si="39"/>
        <v>ffdfd3c0</v>
      </c>
      <c r="D840" t="s">
        <v>111</v>
      </c>
      <c r="E840">
        <v>18</v>
      </c>
      <c r="F840">
        <v>1018</v>
      </c>
      <c r="G840" t="s">
        <v>112</v>
      </c>
      <c r="J840" t="s">
        <v>113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R840" t="s">
        <v>114</v>
      </c>
      <c r="S840" t="str">
        <f>"18:48:38.414"</f>
        <v>18:48:38.414</v>
      </c>
      <c r="T840" t="str">
        <f>"18:48:38.117"</f>
        <v>18:48:38.117</v>
      </c>
      <c r="U840" t="str">
        <f t="shared" si="40"/>
        <v>a1cdbe</v>
      </c>
      <c r="V840">
        <v>0</v>
      </c>
      <c r="W840">
        <v>0</v>
      </c>
      <c r="X840">
        <v>1</v>
      </c>
      <c r="Y840">
        <v>0</v>
      </c>
      <c r="Z840">
        <v>0</v>
      </c>
      <c r="AB840">
        <v>0</v>
      </c>
      <c r="AC840">
        <v>9</v>
      </c>
      <c r="AD840">
        <v>3</v>
      </c>
      <c r="AE840">
        <v>0</v>
      </c>
      <c r="AF840">
        <v>9</v>
      </c>
      <c r="AG840" t="s">
        <v>158</v>
      </c>
      <c r="AH840">
        <v>0</v>
      </c>
      <c r="AI840">
        <v>3</v>
      </c>
      <c r="AJ840">
        <v>1</v>
      </c>
      <c r="AK840">
        <v>0</v>
      </c>
      <c r="AL840" t="s">
        <v>1750</v>
      </c>
      <c r="AM840">
        <v>46.856368000000003</v>
      </c>
      <c r="AN840" t="s">
        <v>1751</v>
      </c>
      <c r="AO840">
        <v>-122.427886</v>
      </c>
      <c r="AP840">
        <v>100</v>
      </c>
      <c r="AQ840">
        <v>2100</v>
      </c>
      <c r="AR840" t="s">
        <v>118</v>
      </c>
      <c r="AS840">
        <v>-69</v>
      </c>
      <c r="AT840">
        <v>-41</v>
      </c>
      <c r="AU840">
        <v>256</v>
      </c>
      <c r="BC840">
        <v>1200</v>
      </c>
      <c r="BD840">
        <v>1</v>
      </c>
      <c r="BE840" t="str">
        <f t="shared" si="41"/>
        <v xml:space="preserve">N215T   </v>
      </c>
      <c r="BF840">
        <v>1</v>
      </c>
      <c r="BH840">
        <v>0</v>
      </c>
      <c r="BI840">
        <v>0</v>
      </c>
      <c r="BJ840">
        <v>0</v>
      </c>
      <c r="BK840">
        <v>2450</v>
      </c>
      <c r="BL840">
        <v>350</v>
      </c>
      <c r="BM840" t="s">
        <v>119</v>
      </c>
      <c r="BN840">
        <v>1</v>
      </c>
      <c r="BO840">
        <v>1</v>
      </c>
      <c r="BP840">
        <v>1</v>
      </c>
      <c r="BQ840">
        <v>0</v>
      </c>
      <c r="BT840">
        <v>0</v>
      </c>
      <c r="BU840">
        <v>0</v>
      </c>
      <c r="BV840">
        <v>0</v>
      </c>
      <c r="CC840" t="str">
        <f>"18:48:38.422"</f>
        <v>18:48:38.422</v>
      </c>
      <c r="CD840" t="str">
        <f>"421406386"</f>
        <v>421406386</v>
      </c>
      <c r="CQ840">
        <v>0</v>
      </c>
      <c r="CR840">
        <v>2</v>
      </c>
      <c r="CS840">
        <v>0</v>
      </c>
      <c r="CT840">
        <v>2</v>
      </c>
      <c r="CU840">
        <v>0</v>
      </c>
      <c r="CV840">
        <v>5</v>
      </c>
      <c r="CW840" t="s">
        <v>120</v>
      </c>
      <c r="CX840">
        <v>257</v>
      </c>
      <c r="CY840">
        <v>1</v>
      </c>
      <c r="CZ840" t="s">
        <v>615</v>
      </c>
      <c r="DA840" t="s">
        <v>616</v>
      </c>
      <c r="DD840">
        <v>11011651</v>
      </c>
      <c r="DE840" t="s">
        <v>123</v>
      </c>
    </row>
    <row r="841" spans="1:109" x14ac:dyDescent="0.3">
      <c r="A841" t="str">
        <f>"18:48:39.555"</f>
        <v>18:48:39.555</v>
      </c>
      <c r="B841" t="s">
        <v>110</v>
      </c>
      <c r="C841" t="str">
        <f t="shared" si="39"/>
        <v>ffdfd3c0</v>
      </c>
      <c r="D841" t="s">
        <v>111</v>
      </c>
      <c r="E841">
        <v>18</v>
      </c>
      <c r="F841">
        <v>1018</v>
      </c>
      <c r="G841" t="s">
        <v>112</v>
      </c>
      <c r="J841" t="s">
        <v>113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R841" t="s">
        <v>114</v>
      </c>
      <c r="S841" t="str">
        <f>"18:48:39.320"</f>
        <v>18:48:39.320</v>
      </c>
      <c r="T841" t="str">
        <f>"18:48:39.117"</f>
        <v>18:48:39.117</v>
      </c>
      <c r="U841" t="str">
        <f t="shared" si="40"/>
        <v>a1cdbe</v>
      </c>
      <c r="V841">
        <v>0</v>
      </c>
      <c r="W841">
        <v>0</v>
      </c>
      <c r="X841">
        <v>1</v>
      </c>
      <c r="Y841">
        <v>0</v>
      </c>
      <c r="Z841">
        <v>0</v>
      </c>
      <c r="AB841">
        <v>0</v>
      </c>
      <c r="AC841">
        <v>9</v>
      </c>
      <c r="AD841">
        <v>3</v>
      </c>
      <c r="AE841">
        <v>0</v>
      </c>
      <c r="AF841">
        <v>9</v>
      </c>
      <c r="AG841" t="s">
        <v>158</v>
      </c>
      <c r="AH841">
        <v>0</v>
      </c>
      <c r="AI841">
        <v>3</v>
      </c>
      <c r="AJ841">
        <v>1</v>
      </c>
      <c r="AK841">
        <v>0</v>
      </c>
      <c r="AL841" t="s">
        <v>1752</v>
      </c>
      <c r="AM841">
        <v>46.856239000000002</v>
      </c>
      <c r="AN841" t="s">
        <v>1753</v>
      </c>
      <c r="AO841">
        <v>-122.428358</v>
      </c>
      <c r="AP841">
        <v>100</v>
      </c>
      <c r="AQ841">
        <v>2100</v>
      </c>
      <c r="AR841" t="s">
        <v>118</v>
      </c>
      <c r="AS841">
        <v>-70</v>
      </c>
      <c r="AT841">
        <v>-40</v>
      </c>
      <c r="AU841">
        <v>256</v>
      </c>
      <c r="BC841">
        <v>1200</v>
      </c>
      <c r="BD841">
        <v>1</v>
      </c>
      <c r="BE841" t="str">
        <f t="shared" si="41"/>
        <v xml:space="preserve">N215T   </v>
      </c>
      <c r="BF841">
        <v>1</v>
      </c>
      <c r="BH841">
        <v>0</v>
      </c>
      <c r="BI841">
        <v>0</v>
      </c>
      <c r="BJ841">
        <v>0</v>
      </c>
      <c r="BK841">
        <v>2450</v>
      </c>
      <c r="BL841">
        <v>350</v>
      </c>
      <c r="BM841" t="s">
        <v>119</v>
      </c>
      <c r="BN841">
        <v>1</v>
      </c>
      <c r="BO841">
        <v>1</v>
      </c>
      <c r="BP841">
        <v>1</v>
      </c>
      <c r="BQ841">
        <v>0</v>
      </c>
      <c r="BT841">
        <v>0</v>
      </c>
      <c r="BU841">
        <v>0</v>
      </c>
      <c r="BV841">
        <v>0</v>
      </c>
      <c r="CC841" t="str">
        <f>"18:48:39.320"</f>
        <v>18:48:39.320</v>
      </c>
      <c r="CD841" t="str">
        <f>"321317645"</f>
        <v>321317645</v>
      </c>
      <c r="CQ841">
        <v>0</v>
      </c>
      <c r="CR841">
        <v>2</v>
      </c>
      <c r="CS841">
        <v>0</v>
      </c>
      <c r="CT841">
        <v>2</v>
      </c>
      <c r="CU841">
        <v>0</v>
      </c>
      <c r="CV841">
        <v>5</v>
      </c>
      <c r="CW841" t="s">
        <v>120</v>
      </c>
      <c r="CX841">
        <v>257</v>
      </c>
      <c r="CY841">
        <v>1</v>
      </c>
      <c r="CZ841" t="s">
        <v>615</v>
      </c>
      <c r="DA841" t="s">
        <v>616</v>
      </c>
      <c r="DD841">
        <v>11012252</v>
      </c>
      <c r="DE841" t="s">
        <v>123</v>
      </c>
    </row>
    <row r="842" spans="1:109" x14ac:dyDescent="0.3">
      <c r="A842" t="str">
        <f>"18:48:40.516"</f>
        <v>18:48:40.516</v>
      </c>
      <c r="B842" t="s">
        <v>110</v>
      </c>
      <c r="C842" t="str">
        <f t="shared" si="39"/>
        <v>ffdfd3c0</v>
      </c>
      <c r="D842" t="s">
        <v>111</v>
      </c>
      <c r="E842">
        <v>18</v>
      </c>
      <c r="F842">
        <v>1018</v>
      </c>
      <c r="G842" t="s">
        <v>112</v>
      </c>
      <c r="J842" t="s">
        <v>113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R842" t="s">
        <v>114</v>
      </c>
      <c r="S842" t="str">
        <f>"18:48:40.273"</f>
        <v>18:48:40.273</v>
      </c>
      <c r="T842" t="str">
        <f>"18:48:39.977"</f>
        <v>18:48:39.977</v>
      </c>
      <c r="U842" t="str">
        <f t="shared" si="40"/>
        <v>a1cdbe</v>
      </c>
      <c r="V842">
        <v>0</v>
      </c>
      <c r="W842">
        <v>0</v>
      </c>
      <c r="X842">
        <v>1</v>
      </c>
      <c r="Y842">
        <v>0</v>
      </c>
      <c r="Z842">
        <v>0</v>
      </c>
      <c r="AB842">
        <v>0</v>
      </c>
      <c r="AC842">
        <v>9</v>
      </c>
      <c r="AD842">
        <v>3</v>
      </c>
      <c r="AE842">
        <v>0</v>
      </c>
      <c r="AF842">
        <v>9</v>
      </c>
      <c r="AG842" t="s">
        <v>158</v>
      </c>
      <c r="AH842">
        <v>0</v>
      </c>
      <c r="AI842">
        <v>3</v>
      </c>
      <c r="AJ842">
        <v>1</v>
      </c>
      <c r="AK842">
        <v>0</v>
      </c>
      <c r="AL842" t="s">
        <v>1754</v>
      </c>
      <c r="AM842">
        <v>46.856045999999999</v>
      </c>
      <c r="AN842" t="s">
        <v>1755</v>
      </c>
      <c r="AO842">
        <v>-122.428765</v>
      </c>
      <c r="AP842">
        <v>100</v>
      </c>
      <c r="AQ842">
        <v>2100</v>
      </c>
      <c r="AR842" t="s">
        <v>118</v>
      </c>
      <c r="AS842">
        <v>-70</v>
      </c>
      <c r="AT842">
        <v>-39</v>
      </c>
      <c r="AU842">
        <v>256</v>
      </c>
      <c r="BC842">
        <v>1200</v>
      </c>
      <c r="BD842">
        <v>1</v>
      </c>
      <c r="BE842" t="str">
        <f t="shared" si="41"/>
        <v xml:space="preserve">N215T   </v>
      </c>
      <c r="BF842">
        <v>1</v>
      </c>
      <c r="BH842">
        <v>0</v>
      </c>
      <c r="BI842">
        <v>0</v>
      </c>
      <c r="BJ842">
        <v>0</v>
      </c>
      <c r="BK842">
        <v>2450</v>
      </c>
      <c r="BL842">
        <v>350</v>
      </c>
      <c r="BM842" t="s">
        <v>119</v>
      </c>
      <c r="BN842">
        <v>1</v>
      </c>
      <c r="BO842">
        <v>1</v>
      </c>
      <c r="BP842">
        <v>1</v>
      </c>
      <c r="BQ842">
        <v>0</v>
      </c>
      <c r="BT842">
        <v>0</v>
      </c>
      <c r="BU842">
        <v>0</v>
      </c>
      <c r="BV842">
        <v>0</v>
      </c>
      <c r="CC842" t="str">
        <f>"18:48:40.281"</f>
        <v>18:48:40.281</v>
      </c>
      <c r="CD842" t="str">
        <f>"281222972"</f>
        <v>281222972</v>
      </c>
      <c r="CQ842">
        <v>0</v>
      </c>
      <c r="CR842">
        <v>2</v>
      </c>
      <c r="CS842">
        <v>0</v>
      </c>
      <c r="CT842">
        <v>2</v>
      </c>
      <c r="CU842">
        <v>0</v>
      </c>
      <c r="CV842">
        <v>6</v>
      </c>
      <c r="CW842" t="s">
        <v>120</v>
      </c>
      <c r="CX842">
        <v>257</v>
      </c>
      <c r="CY842">
        <v>1</v>
      </c>
      <c r="CZ842" t="s">
        <v>615</v>
      </c>
      <c r="DA842" t="s">
        <v>616</v>
      </c>
      <c r="DD842">
        <v>11012870</v>
      </c>
      <c r="DE842" t="s">
        <v>123</v>
      </c>
    </row>
    <row r="843" spans="1:109" x14ac:dyDescent="0.3">
      <c r="A843" t="str">
        <f>"18:48:41.672"</f>
        <v>18:48:41.672</v>
      </c>
      <c r="B843" t="s">
        <v>110</v>
      </c>
      <c r="C843" t="str">
        <f t="shared" si="39"/>
        <v>ffdfd3c0</v>
      </c>
      <c r="D843" t="s">
        <v>111</v>
      </c>
      <c r="E843">
        <v>18</v>
      </c>
      <c r="F843">
        <v>1018</v>
      </c>
      <c r="G843" t="s">
        <v>112</v>
      </c>
      <c r="J843" t="s">
        <v>113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R843" t="s">
        <v>114</v>
      </c>
      <c r="S843" t="str">
        <f>"18:48:41.430"</f>
        <v>18:48:41.430</v>
      </c>
      <c r="T843" t="str">
        <f>"18:48:41.031"</f>
        <v>18:48:41.031</v>
      </c>
      <c r="U843" t="str">
        <f t="shared" si="40"/>
        <v>a1cdbe</v>
      </c>
      <c r="V843">
        <v>0</v>
      </c>
      <c r="W843">
        <v>0</v>
      </c>
      <c r="X843">
        <v>1</v>
      </c>
      <c r="Y843">
        <v>0</v>
      </c>
      <c r="Z843">
        <v>0</v>
      </c>
      <c r="AB843">
        <v>0</v>
      </c>
      <c r="AC843">
        <v>9</v>
      </c>
      <c r="AD843">
        <v>3</v>
      </c>
      <c r="AE843">
        <v>0</v>
      </c>
      <c r="AF843">
        <v>9</v>
      </c>
      <c r="AG843" t="s">
        <v>158</v>
      </c>
      <c r="AH843">
        <v>0</v>
      </c>
      <c r="AI843">
        <v>3</v>
      </c>
      <c r="AJ843">
        <v>1</v>
      </c>
      <c r="AK843">
        <v>0</v>
      </c>
      <c r="AL843" t="s">
        <v>1756</v>
      </c>
      <c r="AM843">
        <v>46.855853000000003</v>
      </c>
      <c r="AN843" t="s">
        <v>1757</v>
      </c>
      <c r="AO843">
        <v>-122.42930200000001</v>
      </c>
      <c r="AP843">
        <v>100</v>
      </c>
      <c r="AQ843">
        <v>2100</v>
      </c>
      <c r="AR843" t="s">
        <v>118</v>
      </c>
      <c r="AS843">
        <v>-71</v>
      </c>
      <c r="AT843">
        <v>-39</v>
      </c>
      <c r="AU843">
        <v>128</v>
      </c>
      <c r="BC843">
        <v>1200</v>
      </c>
      <c r="BD843">
        <v>1</v>
      </c>
      <c r="BE843" t="str">
        <f t="shared" si="41"/>
        <v xml:space="preserve">N215T   </v>
      </c>
      <c r="BF843">
        <v>1</v>
      </c>
      <c r="BH843">
        <v>0</v>
      </c>
      <c r="BI843">
        <v>0</v>
      </c>
      <c r="BJ843">
        <v>0</v>
      </c>
      <c r="BK843">
        <v>2475</v>
      </c>
      <c r="BL843">
        <v>375</v>
      </c>
      <c r="BM843" t="s">
        <v>119</v>
      </c>
      <c r="BN843">
        <v>1</v>
      </c>
      <c r="BO843">
        <v>1</v>
      </c>
      <c r="BP843">
        <v>1</v>
      </c>
      <c r="BQ843">
        <v>0</v>
      </c>
      <c r="BT843">
        <v>0</v>
      </c>
      <c r="BU843">
        <v>0</v>
      </c>
      <c r="BV843">
        <v>0</v>
      </c>
      <c r="CC843" t="str">
        <f>"18:48:41.438"</f>
        <v>18:48:41.438</v>
      </c>
      <c r="CD843" t="str">
        <f>"436109135"</f>
        <v>436109135</v>
      </c>
      <c r="CQ843">
        <v>0</v>
      </c>
      <c r="CR843">
        <v>2</v>
      </c>
      <c r="CS843">
        <v>0</v>
      </c>
      <c r="CT843">
        <v>2</v>
      </c>
      <c r="CU843">
        <v>0</v>
      </c>
      <c r="CV843">
        <v>6</v>
      </c>
      <c r="CW843" t="s">
        <v>120</v>
      </c>
      <c r="CX843">
        <v>257</v>
      </c>
      <c r="CY843">
        <v>1</v>
      </c>
      <c r="CZ843" t="s">
        <v>615</v>
      </c>
      <c r="DA843" t="s">
        <v>616</v>
      </c>
      <c r="DD843">
        <v>11013663</v>
      </c>
      <c r="DE843" t="s">
        <v>123</v>
      </c>
    </row>
    <row r="844" spans="1:109" x14ac:dyDescent="0.3">
      <c r="A844" t="str">
        <f>"18:48:42.875"</f>
        <v>18:48:42.875</v>
      </c>
      <c r="B844" t="s">
        <v>110</v>
      </c>
      <c r="C844" t="str">
        <f t="shared" si="39"/>
        <v>ffdfd3c0</v>
      </c>
      <c r="D844" t="s">
        <v>111</v>
      </c>
      <c r="E844">
        <v>18</v>
      </c>
      <c r="F844">
        <v>1018</v>
      </c>
      <c r="G844" t="s">
        <v>112</v>
      </c>
      <c r="J844" t="s">
        <v>113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R844" t="s">
        <v>114</v>
      </c>
      <c r="S844" t="str">
        <f>"18:48:42.602"</f>
        <v>18:48:42.602</v>
      </c>
      <c r="T844" t="str">
        <f>"18:48:42.398"</f>
        <v>18:48:42.398</v>
      </c>
      <c r="U844" t="str">
        <f t="shared" si="40"/>
        <v>a1cdbe</v>
      </c>
      <c r="V844">
        <v>0</v>
      </c>
      <c r="W844">
        <v>0</v>
      </c>
      <c r="X844">
        <v>1</v>
      </c>
      <c r="Y844">
        <v>0</v>
      </c>
      <c r="Z844">
        <v>0</v>
      </c>
      <c r="AB844">
        <v>0</v>
      </c>
      <c r="AC844">
        <v>9</v>
      </c>
      <c r="AD844">
        <v>3</v>
      </c>
      <c r="AE844">
        <v>0</v>
      </c>
      <c r="AF844">
        <v>9</v>
      </c>
      <c r="AG844" t="s">
        <v>158</v>
      </c>
      <c r="AH844">
        <v>0</v>
      </c>
      <c r="AI844">
        <v>3</v>
      </c>
      <c r="AJ844">
        <v>1</v>
      </c>
      <c r="AK844">
        <v>0</v>
      </c>
      <c r="AL844" t="s">
        <v>1758</v>
      </c>
      <c r="AM844">
        <v>46.855617000000002</v>
      </c>
      <c r="AN844" t="s">
        <v>1759</v>
      </c>
      <c r="AO844">
        <v>-122.429924</v>
      </c>
      <c r="AP844">
        <v>100</v>
      </c>
      <c r="AQ844">
        <v>2100</v>
      </c>
      <c r="AR844" t="s">
        <v>118</v>
      </c>
      <c r="AS844">
        <v>-71</v>
      </c>
      <c r="AT844">
        <v>-39</v>
      </c>
      <c r="AU844">
        <v>128</v>
      </c>
      <c r="BC844">
        <v>1200</v>
      </c>
      <c r="BD844">
        <v>1</v>
      </c>
      <c r="BE844" t="str">
        <f t="shared" si="41"/>
        <v xml:space="preserve">N215T   </v>
      </c>
      <c r="BF844">
        <v>1</v>
      </c>
      <c r="BH844">
        <v>0</v>
      </c>
      <c r="BI844">
        <v>0</v>
      </c>
      <c r="BJ844">
        <v>0</v>
      </c>
      <c r="BK844">
        <v>2475</v>
      </c>
      <c r="BL844">
        <v>375</v>
      </c>
      <c r="BM844" t="s">
        <v>119</v>
      </c>
      <c r="BN844">
        <v>1</v>
      </c>
      <c r="BO844">
        <v>1</v>
      </c>
      <c r="BP844">
        <v>1</v>
      </c>
      <c r="BQ844">
        <v>0</v>
      </c>
      <c r="BT844">
        <v>0</v>
      </c>
      <c r="BU844">
        <v>0</v>
      </c>
      <c r="BV844">
        <v>0</v>
      </c>
      <c r="CC844" t="str">
        <f>"18:48:42.609"</f>
        <v>18:48:42.609</v>
      </c>
      <c r="CD844" t="str">
        <f>"605993770"</f>
        <v>605993770</v>
      </c>
      <c r="CQ844">
        <v>0</v>
      </c>
      <c r="CR844">
        <v>2</v>
      </c>
      <c r="CS844">
        <v>0</v>
      </c>
      <c r="CT844">
        <v>2</v>
      </c>
      <c r="CU844">
        <v>0</v>
      </c>
      <c r="CV844">
        <v>5</v>
      </c>
      <c r="CW844" t="s">
        <v>120</v>
      </c>
      <c r="CX844">
        <v>257</v>
      </c>
      <c r="CY844">
        <v>1</v>
      </c>
      <c r="CZ844" t="s">
        <v>615</v>
      </c>
      <c r="DA844" t="s">
        <v>616</v>
      </c>
      <c r="DD844">
        <v>11014436</v>
      </c>
      <c r="DE844" t="s">
        <v>123</v>
      </c>
    </row>
    <row r="845" spans="1:109" x14ac:dyDescent="0.3">
      <c r="A845" t="str">
        <f>"18:48:43.828"</f>
        <v>18:48:43.828</v>
      </c>
      <c r="B845" t="s">
        <v>110</v>
      </c>
      <c r="C845" t="str">
        <f t="shared" si="39"/>
        <v>ffdfd3c0</v>
      </c>
      <c r="D845" t="s">
        <v>111</v>
      </c>
      <c r="E845">
        <v>18</v>
      </c>
      <c r="F845">
        <v>1018</v>
      </c>
      <c r="G845" t="s">
        <v>112</v>
      </c>
      <c r="J845" t="s">
        <v>113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R845" t="s">
        <v>114</v>
      </c>
      <c r="S845" t="str">
        <f>"18:48:43.594"</f>
        <v>18:48:43.594</v>
      </c>
      <c r="T845" t="str">
        <f>"18:48:43.492"</f>
        <v>18:48:43.492</v>
      </c>
      <c r="U845" t="str">
        <f t="shared" si="40"/>
        <v>a1cdbe</v>
      </c>
      <c r="V845">
        <v>0</v>
      </c>
      <c r="W845">
        <v>0</v>
      </c>
      <c r="X845">
        <v>1</v>
      </c>
      <c r="Y845">
        <v>0</v>
      </c>
      <c r="Z845">
        <v>0</v>
      </c>
      <c r="AB845">
        <v>0</v>
      </c>
      <c r="AC845">
        <v>9</v>
      </c>
      <c r="AD845">
        <v>3</v>
      </c>
      <c r="AE845">
        <v>0</v>
      </c>
      <c r="AF845">
        <v>9</v>
      </c>
      <c r="AG845" t="s">
        <v>158</v>
      </c>
      <c r="AH845">
        <v>0</v>
      </c>
      <c r="AI845">
        <v>3</v>
      </c>
      <c r="AJ845">
        <v>1</v>
      </c>
      <c r="AK845">
        <v>0</v>
      </c>
      <c r="AL845" t="s">
        <v>1760</v>
      </c>
      <c r="AM845">
        <v>46.855445000000003</v>
      </c>
      <c r="AN845" t="s">
        <v>1761</v>
      </c>
      <c r="AO845">
        <v>-122.430375</v>
      </c>
      <c r="AP845">
        <v>100</v>
      </c>
      <c r="AQ845">
        <v>2100</v>
      </c>
      <c r="AR845" t="s">
        <v>118</v>
      </c>
      <c r="AS845">
        <v>-71</v>
      </c>
      <c r="AT845">
        <v>-39</v>
      </c>
      <c r="AU845">
        <v>128</v>
      </c>
      <c r="BC845">
        <v>1200</v>
      </c>
      <c r="BD845">
        <v>1</v>
      </c>
      <c r="BE845" t="str">
        <f t="shared" si="41"/>
        <v xml:space="preserve">N215T   </v>
      </c>
      <c r="BF845">
        <v>1</v>
      </c>
      <c r="BH845">
        <v>0</v>
      </c>
      <c r="BI845">
        <v>0</v>
      </c>
      <c r="BJ845">
        <v>0</v>
      </c>
      <c r="BK845">
        <v>2450</v>
      </c>
      <c r="BL845">
        <v>350</v>
      </c>
      <c r="BM845" t="s">
        <v>119</v>
      </c>
      <c r="BN845">
        <v>1</v>
      </c>
      <c r="BO845">
        <v>1</v>
      </c>
      <c r="BP845">
        <v>1</v>
      </c>
      <c r="BQ845">
        <v>0</v>
      </c>
      <c r="BT845">
        <v>0</v>
      </c>
      <c r="BU845">
        <v>0</v>
      </c>
      <c r="BV845">
        <v>0</v>
      </c>
      <c r="CC845" t="str">
        <f>"18:48:43.594"</f>
        <v>18:48:43.594</v>
      </c>
      <c r="CD845" t="str">
        <f>"595896171"</f>
        <v>595896171</v>
      </c>
      <c r="CQ845">
        <v>0</v>
      </c>
      <c r="CR845">
        <v>2</v>
      </c>
      <c r="CS845">
        <v>0</v>
      </c>
      <c r="CT845">
        <v>2</v>
      </c>
      <c r="CU845">
        <v>0</v>
      </c>
      <c r="CV845">
        <v>5</v>
      </c>
      <c r="CW845" t="s">
        <v>120</v>
      </c>
      <c r="CX845">
        <v>257</v>
      </c>
      <c r="CY845">
        <v>1</v>
      </c>
      <c r="CZ845" t="s">
        <v>615</v>
      </c>
      <c r="DA845" t="s">
        <v>616</v>
      </c>
      <c r="DD845">
        <v>11015065</v>
      </c>
      <c r="DE845" t="s">
        <v>123</v>
      </c>
    </row>
    <row r="846" spans="1:109" x14ac:dyDescent="0.3">
      <c r="A846" t="str">
        <f>"18:48:44.836"</f>
        <v>18:48:44.836</v>
      </c>
      <c r="B846" t="s">
        <v>110</v>
      </c>
      <c r="C846" t="str">
        <f t="shared" si="39"/>
        <v>ffdfd3c0</v>
      </c>
      <c r="D846" t="s">
        <v>111</v>
      </c>
      <c r="E846">
        <v>18</v>
      </c>
      <c r="F846">
        <v>1018</v>
      </c>
      <c r="G846" t="s">
        <v>112</v>
      </c>
      <c r="J846" t="s">
        <v>113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R846" t="s">
        <v>114</v>
      </c>
      <c r="S846" t="str">
        <f>"18:48:44.570"</f>
        <v>18:48:44.570</v>
      </c>
      <c r="T846" t="str">
        <f>"18:48:44.367"</f>
        <v>18:48:44.367</v>
      </c>
      <c r="U846" t="str">
        <f t="shared" si="40"/>
        <v>a1cdbe</v>
      </c>
      <c r="V846">
        <v>0</v>
      </c>
      <c r="W846">
        <v>0</v>
      </c>
      <c r="X846">
        <v>1</v>
      </c>
      <c r="Y846">
        <v>0</v>
      </c>
      <c r="Z846">
        <v>0</v>
      </c>
      <c r="AB846">
        <v>0</v>
      </c>
      <c r="AC846">
        <v>9</v>
      </c>
      <c r="AD846">
        <v>3</v>
      </c>
      <c r="AE846">
        <v>0</v>
      </c>
      <c r="AF846">
        <v>9</v>
      </c>
      <c r="AG846" t="s">
        <v>158</v>
      </c>
      <c r="AH846">
        <v>0</v>
      </c>
      <c r="AI846">
        <v>3</v>
      </c>
      <c r="AJ846">
        <v>1</v>
      </c>
      <c r="AK846">
        <v>0</v>
      </c>
      <c r="AL846" t="s">
        <v>1762</v>
      </c>
      <c r="AM846">
        <v>46.855294999999998</v>
      </c>
      <c r="AN846" t="s">
        <v>1763</v>
      </c>
      <c r="AO846">
        <v>-122.430825</v>
      </c>
      <c r="AP846">
        <v>100</v>
      </c>
      <c r="AQ846">
        <v>2100</v>
      </c>
      <c r="AR846" t="s">
        <v>118</v>
      </c>
      <c r="AS846">
        <v>-72</v>
      </c>
      <c r="AT846">
        <v>-39</v>
      </c>
      <c r="AU846">
        <v>0</v>
      </c>
      <c r="BC846">
        <v>1200</v>
      </c>
      <c r="BD846">
        <v>1</v>
      </c>
      <c r="BE846" t="str">
        <f t="shared" si="41"/>
        <v xml:space="preserve">N215T   </v>
      </c>
      <c r="BF846">
        <v>1</v>
      </c>
      <c r="BH846">
        <v>0</v>
      </c>
      <c r="BI846">
        <v>0</v>
      </c>
      <c r="BJ846">
        <v>0</v>
      </c>
      <c r="BK846">
        <v>2475</v>
      </c>
      <c r="BL846">
        <v>375</v>
      </c>
      <c r="BM846" t="s">
        <v>119</v>
      </c>
      <c r="BN846">
        <v>1</v>
      </c>
      <c r="BO846">
        <v>1</v>
      </c>
      <c r="BP846">
        <v>1</v>
      </c>
      <c r="BQ846">
        <v>0</v>
      </c>
      <c r="BT846">
        <v>0</v>
      </c>
      <c r="BU846">
        <v>0</v>
      </c>
      <c r="BV846">
        <v>0</v>
      </c>
      <c r="CC846" t="str">
        <f>"18:48:44.570"</f>
        <v>18:48:44.570</v>
      </c>
      <c r="CD846" t="str">
        <f>"570666170"</f>
        <v>570666170</v>
      </c>
      <c r="CQ846">
        <v>0</v>
      </c>
      <c r="CR846">
        <v>2</v>
      </c>
      <c r="CS846">
        <v>0</v>
      </c>
      <c r="CT846">
        <v>2</v>
      </c>
      <c r="CU846">
        <v>0</v>
      </c>
      <c r="CV846">
        <v>5</v>
      </c>
      <c r="CW846" t="s">
        <v>120</v>
      </c>
      <c r="CX846">
        <v>261</v>
      </c>
      <c r="CY846">
        <v>2</v>
      </c>
      <c r="CZ846" t="s">
        <v>121</v>
      </c>
      <c r="DA846" t="s">
        <v>122</v>
      </c>
      <c r="DD846">
        <v>14697781</v>
      </c>
      <c r="DE846" t="s">
        <v>123</v>
      </c>
    </row>
    <row r="847" spans="1:109" x14ac:dyDescent="0.3">
      <c r="A847" t="str">
        <f>"18:48:45.797"</f>
        <v>18:48:45.797</v>
      </c>
      <c r="B847" t="s">
        <v>110</v>
      </c>
      <c r="C847" t="str">
        <f t="shared" si="39"/>
        <v>ffdfd3c0</v>
      </c>
      <c r="D847" t="s">
        <v>111</v>
      </c>
      <c r="E847">
        <v>18</v>
      </c>
      <c r="F847">
        <v>1018</v>
      </c>
      <c r="G847" t="s">
        <v>112</v>
      </c>
      <c r="J847" t="s">
        <v>113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R847" t="s">
        <v>114</v>
      </c>
      <c r="S847" t="str">
        <f>"18:48:45.586"</f>
        <v>18:48:45.586</v>
      </c>
      <c r="T847" t="str">
        <f>"18:48:45.289"</f>
        <v>18:48:45.289</v>
      </c>
      <c r="U847" t="str">
        <f t="shared" si="40"/>
        <v>a1cdbe</v>
      </c>
      <c r="V847">
        <v>0</v>
      </c>
      <c r="W847">
        <v>0</v>
      </c>
      <c r="X847">
        <v>1</v>
      </c>
      <c r="Y847">
        <v>0</v>
      </c>
      <c r="Z847">
        <v>0</v>
      </c>
      <c r="AB847">
        <v>0</v>
      </c>
      <c r="AC847">
        <v>9</v>
      </c>
      <c r="AD847">
        <v>3</v>
      </c>
      <c r="AE847">
        <v>0</v>
      </c>
      <c r="AF847">
        <v>9</v>
      </c>
      <c r="AG847" t="s">
        <v>158</v>
      </c>
      <c r="AH847">
        <v>0</v>
      </c>
      <c r="AI847">
        <v>3</v>
      </c>
      <c r="AJ847">
        <v>1</v>
      </c>
      <c r="AK847">
        <v>0</v>
      </c>
      <c r="AL847" t="s">
        <v>1764</v>
      </c>
      <c r="AM847">
        <v>46.855080000000001</v>
      </c>
      <c r="AN847" t="s">
        <v>1765</v>
      </c>
      <c r="AO847">
        <v>-122.431383</v>
      </c>
      <c r="AP847">
        <v>100</v>
      </c>
      <c r="AQ847">
        <v>2100</v>
      </c>
      <c r="AR847" t="s">
        <v>118</v>
      </c>
      <c r="AS847">
        <v>-72</v>
      </c>
      <c r="AT847">
        <v>-39</v>
      </c>
      <c r="AU847">
        <v>-64</v>
      </c>
      <c r="BC847">
        <v>1200</v>
      </c>
      <c r="BD847">
        <v>1</v>
      </c>
      <c r="BE847" t="str">
        <f t="shared" si="41"/>
        <v xml:space="preserve">N215T   </v>
      </c>
      <c r="BF847">
        <v>1</v>
      </c>
      <c r="BH847">
        <v>0</v>
      </c>
      <c r="BI847">
        <v>0</v>
      </c>
      <c r="BJ847">
        <v>0</v>
      </c>
      <c r="BK847">
        <v>2450</v>
      </c>
      <c r="BL847">
        <v>350</v>
      </c>
      <c r="BM847" t="s">
        <v>119</v>
      </c>
      <c r="BN847">
        <v>1</v>
      </c>
      <c r="BO847">
        <v>1</v>
      </c>
      <c r="BP847">
        <v>1</v>
      </c>
      <c r="BQ847">
        <v>0</v>
      </c>
      <c r="BT847">
        <v>0</v>
      </c>
      <c r="BU847">
        <v>0</v>
      </c>
      <c r="BV847">
        <v>0</v>
      </c>
      <c r="CC847" t="str">
        <f>"18:48:45.594"</f>
        <v>18:48:45.594</v>
      </c>
      <c r="CD847" t="str">
        <f>"590699479"</f>
        <v>590699479</v>
      </c>
      <c r="CQ847">
        <v>0</v>
      </c>
      <c r="CR847">
        <v>2</v>
      </c>
      <c r="CS847">
        <v>0</v>
      </c>
      <c r="CT847">
        <v>2</v>
      </c>
      <c r="CU847">
        <v>0</v>
      </c>
      <c r="CV847">
        <v>6</v>
      </c>
      <c r="CW847" t="s">
        <v>120</v>
      </c>
      <c r="CX847">
        <v>257</v>
      </c>
      <c r="CY847">
        <v>1</v>
      </c>
      <c r="CZ847" t="s">
        <v>615</v>
      </c>
      <c r="DA847" t="s">
        <v>616</v>
      </c>
      <c r="DD847">
        <v>11016362</v>
      </c>
      <c r="DE847" t="s">
        <v>123</v>
      </c>
    </row>
    <row r="848" spans="1:109" x14ac:dyDescent="0.3">
      <c r="A848" t="str">
        <f>"18:48:46.695"</f>
        <v>18:48:46.695</v>
      </c>
      <c r="B848" t="s">
        <v>110</v>
      </c>
      <c r="C848" t="str">
        <f t="shared" si="39"/>
        <v>ffdfd3c0</v>
      </c>
      <c r="D848" t="s">
        <v>111</v>
      </c>
      <c r="E848">
        <v>18</v>
      </c>
      <c r="F848">
        <v>1018</v>
      </c>
      <c r="G848" t="s">
        <v>112</v>
      </c>
      <c r="J848" t="s">
        <v>113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R848" t="s">
        <v>114</v>
      </c>
      <c r="S848" t="str">
        <f>"18:48:46.469"</f>
        <v>18:48:46.469</v>
      </c>
      <c r="T848" t="str">
        <f>"18:48:46.367"</f>
        <v>18:48:46.367</v>
      </c>
      <c r="U848" t="str">
        <f t="shared" si="40"/>
        <v>a1cdbe</v>
      </c>
      <c r="V848">
        <v>0</v>
      </c>
      <c r="W848">
        <v>0</v>
      </c>
      <c r="X848">
        <v>1</v>
      </c>
      <c r="Y848">
        <v>0</v>
      </c>
      <c r="Z848">
        <v>0</v>
      </c>
      <c r="AB848">
        <v>0</v>
      </c>
      <c r="AC848">
        <v>9</v>
      </c>
      <c r="AD848">
        <v>3</v>
      </c>
      <c r="AE848">
        <v>0</v>
      </c>
      <c r="AF848">
        <v>9</v>
      </c>
      <c r="AG848" t="s">
        <v>158</v>
      </c>
      <c r="AH848">
        <v>0</v>
      </c>
      <c r="AI848">
        <v>3</v>
      </c>
      <c r="AJ848">
        <v>1</v>
      </c>
      <c r="AK848">
        <v>0</v>
      </c>
      <c r="AL848" t="s">
        <v>1766</v>
      </c>
      <c r="AM848">
        <v>46.854908000000002</v>
      </c>
      <c r="AN848" t="s">
        <v>1767</v>
      </c>
      <c r="AO848">
        <v>-122.431769</v>
      </c>
      <c r="AP848">
        <v>100</v>
      </c>
      <c r="AQ848">
        <v>2100</v>
      </c>
      <c r="AR848" t="s">
        <v>118</v>
      </c>
      <c r="AS848">
        <v>-73</v>
      </c>
      <c r="AT848">
        <v>-40</v>
      </c>
      <c r="AU848">
        <v>-128</v>
      </c>
      <c r="BC848">
        <v>1200</v>
      </c>
      <c r="BD848">
        <v>1</v>
      </c>
      <c r="BE848" t="str">
        <f t="shared" si="41"/>
        <v xml:space="preserve">N215T   </v>
      </c>
      <c r="BF848">
        <v>1</v>
      </c>
      <c r="BH848">
        <v>0</v>
      </c>
      <c r="BI848">
        <v>0</v>
      </c>
      <c r="BJ848">
        <v>0</v>
      </c>
      <c r="BK848">
        <v>2450</v>
      </c>
      <c r="BL848">
        <v>350</v>
      </c>
      <c r="BM848" t="s">
        <v>119</v>
      </c>
      <c r="BN848">
        <v>1</v>
      </c>
      <c r="BO848">
        <v>1</v>
      </c>
      <c r="BP848">
        <v>1</v>
      </c>
      <c r="BQ848">
        <v>0</v>
      </c>
      <c r="BT848">
        <v>0</v>
      </c>
      <c r="BU848">
        <v>0</v>
      </c>
      <c r="BV848">
        <v>0</v>
      </c>
      <c r="CC848" t="str">
        <f>"18:48:46.477"</f>
        <v>18:48:46.477</v>
      </c>
      <c r="CD848" t="str">
        <f>"475612216"</f>
        <v>475612216</v>
      </c>
      <c r="CQ848">
        <v>0</v>
      </c>
      <c r="CR848">
        <v>2</v>
      </c>
      <c r="CS848">
        <v>0</v>
      </c>
      <c r="CT848">
        <v>2</v>
      </c>
      <c r="CU848">
        <v>0</v>
      </c>
      <c r="CV848">
        <v>5</v>
      </c>
      <c r="CW848" t="s">
        <v>120</v>
      </c>
      <c r="CX848">
        <v>257</v>
      </c>
      <c r="CY848">
        <v>1</v>
      </c>
      <c r="CZ848" t="s">
        <v>615</v>
      </c>
      <c r="DA848" t="s">
        <v>616</v>
      </c>
      <c r="DD848">
        <v>11016897</v>
      </c>
      <c r="DE848" t="s">
        <v>123</v>
      </c>
    </row>
    <row r="849" spans="1:109" x14ac:dyDescent="0.3">
      <c r="A849" t="str">
        <f>"18:48:47.656"</f>
        <v>18:48:47.656</v>
      </c>
      <c r="B849" t="s">
        <v>110</v>
      </c>
      <c r="C849" t="str">
        <f t="shared" si="39"/>
        <v>ffdfd3c0</v>
      </c>
      <c r="D849" t="s">
        <v>111</v>
      </c>
      <c r="E849">
        <v>18</v>
      </c>
      <c r="F849">
        <v>1018</v>
      </c>
      <c r="G849" t="s">
        <v>112</v>
      </c>
      <c r="J849" t="s">
        <v>113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R849" t="s">
        <v>114</v>
      </c>
      <c r="S849" t="str">
        <f>"18:48:47.430"</f>
        <v>18:48:47.430</v>
      </c>
      <c r="T849" t="str">
        <f>"18:48:47.430"</f>
        <v>18:48:47.430</v>
      </c>
      <c r="U849" t="str">
        <f t="shared" si="40"/>
        <v>a1cdbe</v>
      </c>
      <c r="V849">
        <v>0</v>
      </c>
      <c r="W849">
        <v>0</v>
      </c>
      <c r="X849">
        <v>1</v>
      </c>
      <c r="Y849">
        <v>0</v>
      </c>
      <c r="Z849">
        <v>0</v>
      </c>
      <c r="AB849">
        <v>0</v>
      </c>
      <c r="AC849">
        <v>9</v>
      </c>
      <c r="AD849">
        <v>3</v>
      </c>
      <c r="AE849">
        <v>0</v>
      </c>
      <c r="AF849">
        <v>9</v>
      </c>
      <c r="AG849" t="s">
        <v>158</v>
      </c>
      <c r="AH849">
        <v>0</v>
      </c>
      <c r="AI849">
        <v>3</v>
      </c>
      <c r="AJ849">
        <v>1</v>
      </c>
      <c r="AK849">
        <v>0</v>
      </c>
      <c r="AL849" t="s">
        <v>1768</v>
      </c>
      <c r="AM849">
        <v>46.854737</v>
      </c>
      <c r="AN849" t="s">
        <v>1769</v>
      </c>
      <c r="AO849">
        <v>-122.43226300000001</v>
      </c>
      <c r="AP849">
        <v>100</v>
      </c>
      <c r="AQ849">
        <v>2100</v>
      </c>
      <c r="AR849" t="s">
        <v>118</v>
      </c>
      <c r="AS849">
        <v>-73</v>
      </c>
      <c r="AT849">
        <v>-40</v>
      </c>
      <c r="AU849">
        <v>-128</v>
      </c>
      <c r="BC849">
        <v>1200</v>
      </c>
      <c r="BD849">
        <v>1</v>
      </c>
      <c r="BE849" t="str">
        <f t="shared" si="41"/>
        <v xml:space="preserve">N215T   </v>
      </c>
      <c r="BF849">
        <v>1</v>
      </c>
      <c r="BH849">
        <v>0</v>
      </c>
      <c r="BI849">
        <v>0</v>
      </c>
      <c r="BJ849">
        <v>0</v>
      </c>
      <c r="BK849">
        <v>2450</v>
      </c>
      <c r="BL849">
        <v>350</v>
      </c>
      <c r="BM849" t="s">
        <v>119</v>
      </c>
      <c r="BN849">
        <v>1</v>
      </c>
      <c r="BO849">
        <v>1</v>
      </c>
      <c r="BP849">
        <v>1</v>
      </c>
      <c r="BQ849">
        <v>0</v>
      </c>
      <c r="BT849">
        <v>0</v>
      </c>
      <c r="BU849">
        <v>0</v>
      </c>
      <c r="BV849">
        <v>0</v>
      </c>
      <c r="CC849" t="str">
        <f>"18:48:47.438"</f>
        <v>18:48:47.438</v>
      </c>
      <c r="CD849" t="str">
        <f>"435384182"</f>
        <v>435384182</v>
      </c>
      <c r="CQ849">
        <v>0</v>
      </c>
      <c r="CR849">
        <v>2</v>
      </c>
      <c r="CS849">
        <v>0</v>
      </c>
      <c r="CT849">
        <v>2</v>
      </c>
      <c r="CU849">
        <v>0</v>
      </c>
      <c r="CV849">
        <v>5</v>
      </c>
      <c r="CW849" t="s">
        <v>120</v>
      </c>
      <c r="CX849">
        <v>261</v>
      </c>
      <c r="CY849">
        <v>2</v>
      </c>
      <c r="CZ849" t="s">
        <v>121</v>
      </c>
      <c r="DA849" t="s">
        <v>122</v>
      </c>
      <c r="DD849">
        <v>14699387</v>
      </c>
      <c r="DE849" t="s">
        <v>123</v>
      </c>
    </row>
    <row r="850" spans="1:109" x14ac:dyDescent="0.3">
      <c r="A850" t="str">
        <f>"18:48:48.711"</f>
        <v>18:48:48.711</v>
      </c>
      <c r="B850" t="s">
        <v>110</v>
      </c>
      <c r="C850" t="str">
        <f t="shared" si="39"/>
        <v>ffdfd3c0</v>
      </c>
      <c r="D850" t="s">
        <v>111</v>
      </c>
      <c r="E850">
        <v>18</v>
      </c>
      <c r="F850">
        <v>1018</v>
      </c>
      <c r="G850" t="s">
        <v>112</v>
      </c>
      <c r="J850" t="s">
        <v>113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R850" t="s">
        <v>114</v>
      </c>
      <c r="S850" t="str">
        <f>"18:48:48.469"</f>
        <v>18:48:48.469</v>
      </c>
      <c r="T850" t="str">
        <f>"18:48:47.969"</f>
        <v>18:48:47.969</v>
      </c>
      <c r="U850" t="str">
        <f t="shared" si="40"/>
        <v>a1cdbe</v>
      </c>
      <c r="V850">
        <v>0</v>
      </c>
      <c r="W850">
        <v>0</v>
      </c>
      <c r="X850">
        <v>1</v>
      </c>
      <c r="Y850">
        <v>0</v>
      </c>
      <c r="Z850">
        <v>0</v>
      </c>
      <c r="AB850">
        <v>0</v>
      </c>
      <c r="AC850">
        <v>9</v>
      </c>
      <c r="AD850">
        <v>3</v>
      </c>
      <c r="AE850">
        <v>0</v>
      </c>
      <c r="AF850">
        <v>9</v>
      </c>
      <c r="AG850" t="s">
        <v>158</v>
      </c>
      <c r="AH850">
        <v>0</v>
      </c>
      <c r="AI850">
        <v>3</v>
      </c>
      <c r="AJ850">
        <v>1</v>
      </c>
      <c r="AK850">
        <v>0</v>
      </c>
      <c r="AL850" t="s">
        <v>1770</v>
      </c>
      <c r="AM850">
        <v>46.854543999999997</v>
      </c>
      <c r="AN850" t="s">
        <v>1771</v>
      </c>
      <c r="AO850">
        <v>-122.432778</v>
      </c>
      <c r="AP850">
        <v>100</v>
      </c>
      <c r="AQ850">
        <v>2100</v>
      </c>
      <c r="AR850" t="s">
        <v>118</v>
      </c>
      <c r="AS850">
        <v>-73</v>
      </c>
      <c r="AT850">
        <v>-40</v>
      </c>
      <c r="AU850">
        <v>-128</v>
      </c>
      <c r="BC850">
        <v>1200</v>
      </c>
      <c r="BD850">
        <v>1</v>
      </c>
      <c r="BE850" t="str">
        <f t="shared" si="41"/>
        <v xml:space="preserve">N215T   </v>
      </c>
      <c r="BF850">
        <v>1</v>
      </c>
      <c r="BH850">
        <v>0</v>
      </c>
      <c r="BI850">
        <v>0</v>
      </c>
      <c r="BJ850">
        <v>0</v>
      </c>
      <c r="BK850">
        <v>2450</v>
      </c>
      <c r="BL850">
        <v>350</v>
      </c>
      <c r="BM850" t="s">
        <v>119</v>
      </c>
      <c r="BN850">
        <v>1</v>
      </c>
      <c r="BO850">
        <v>1</v>
      </c>
      <c r="BP850">
        <v>1</v>
      </c>
      <c r="BQ850">
        <v>0</v>
      </c>
      <c r="BT850">
        <v>0</v>
      </c>
      <c r="BU850">
        <v>0</v>
      </c>
      <c r="BV850">
        <v>0</v>
      </c>
      <c r="CC850" t="str">
        <f>"18:48:48.469"</f>
        <v>18:48:48.469</v>
      </c>
      <c r="CD850" t="str">
        <f>"470282274"</f>
        <v>470282274</v>
      </c>
      <c r="CQ850">
        <v>0</v>
      </c>
      <c r="CR850">
        <v>2</v>
      </c>
      <c r="CS850">
        <v>0</v>
      </c>
      <c r="CT850">
        <v>2</v>
      </c>
      <c r="CU850">
        <v>0</v>
      </c>
      <c r="CV850">
        <v>5</v>
      </c>
      <c r="CW850" t="s">
        <v>120</v>
      </c>
      <c r="CX850">
        <v>261</v>
      </c>
      <c r="CY850">
        <v>2</v>
      </c>
      <c r="CZ850" t="s">
        <v>121</v>
      </c>
      <c r="DA850" t="s">
        <v>122</v>
      </c>
      <c r="DD850">
        <v>14699989</v>
      </c>
      <c r="DE850" t="s">
        <v>123</v>
      </c>
    </row>
    <row r="851" spans="1:109" x14ac:dyDescent="0.3">
      <c r="A851" t="str">
        <f>"18:48:49.766"</f>
        <v>18:48:49.766</v>
      </c>
      <c r="B851" t="s">
        <v>110</v>
      </c>
      <c r="C851" t="str">
        <f t="shared" si="39"/>
        <v>ffdfd3c0</v>
      </c>
      <c r="D851" t="s">
        <v>111</v>
      </c>
      <c r="E851">
        <v>18</v>
      </c>
      <c r="F851">
        <v>1018</v>
      </c>
      <c r="G851" t="s">
        <v>112</v>
      </c>
      <c r="J851" t="s">
        <v>113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R851" t="s">
        <v>114</v>
      </c>
      <c r="S851" t="str">
        <f>"18:48:49.547"</f>
        <v>18:48:49.547</v>
      </c>
      <c r="T851" t="str">
        <f>"18:48:49.445"</f>
        <v>18:48:49.445</v>
      </c>
      <c r="U851" t="str">
        <f t="shared" si="40"/>
        <v>a1cdbe</v>
      </c>
      <c r="V851">
        <v>0</v>
      </c>
      <c r="W851">
        <v>0</v>
      </c>
      <c r="X851">
        <v>1</v>
      </c>
      <c r="Y851">
        <v>0</v>
      </c>
      <c r="Z851">
        <v>0</v>
      </c>
      <c r="AB851">
        <v>0</v>
      </c>
      <c r="AC851">
        <v>9</v>
      </c>
      <c r="AD851">
        <v>3</v>
      </c>
      <c r="AE851">
        <v>0</v>
      </c>
      <c r="AF851">
        <v>9</v>
      </c>
      <c r="AG851" t="s">
        <v>158</v>
      </c>
      <c r="AH851">
        <v>0</v>
      </c>
      <c r="AI851">
        <v>3</v>
      </c>
      <c r="AJ851">
        <v>1</v>
      </c>
      <c r="AK851">
        <v>0</v>
      </c>
      <c r="AL851" t="s">
        <v>1772</v>
      </c>
      <c r="AM851">
        <v>46.854351000000001</v>
      </c>
      <c r="AN851" t="s">
        <v>1773</v>
      </c>
      <c r="AO851">
        <v>-122.433314</v>
      </c>
      <c r="AP851">
        <v>100</v>
      </c>
      <c r="AQ851">
        <v>2100</v>
      </c>
      <c r="AR851" t="s">
        <v>118</v>
      </c>
      <c r="AS851">
        <v>-73</v>
      </c>
      <c r="AT851">
        <v>-40</v>
      </c>
      <c r="AU851">
        <v>-64</v>
      </c>
      <c r="BC851">
        <v>1200</v>
      </c>
      <c r="BD851">
        <v>1</v>
      </c>
      <c r="BE851" t="str">
        <f t="shared" si="41"/>
        <v xml:space="preserve">N215T   </v>
      </c>
      <c r="BF851">
        <v>1</v>
      </c>
      <c r="BH851">
        <v>0</v>
      </c>
      <c r="BI851">
        <v>0</v>
      </c>
      <c r="BJ851">
        <v>0</v>
      </c>
      <c r="BK851">
        <v>2450</v>
      </c>
      <c r="BL851">
        <v>350</v>
      </c>
      <c r="BM851" t="s">
        <v>119</v>
      </c>
      <c r="BN851">
        <v>1</v>
      </c>
      <c r="BO851">
        <v>1</v>
      </c>
      <c r="BP851">
        <v>1</v>
      </c>
      <c r="BQ851">
        <v>0</v>
      </c>
      <c r="BT851">
        <v>0</v>
      </c>
      <c r="BU851">
        <v>0</v>
      </c>
      <c r="BV851">
        <v>0</v>
      </c>
      <c r="CC851" t="str">
        <f>"18:48:49.547"</f>
        <v>18:48:49.547</v>
      </c>
      <c r="CD851" t="str">
        <f>"550309039"</f>
        <v>550309039</v>
      </c>
      <c r="CQ851">
        <v>0</v>
      </c>
      <c r="CR851">
        <v>2</v>
      </c>
      <c r="CS851">
        <v>0</v>
      </c>
      <c r="CT851">
        <v>2</v>
      </c>
      <c r="CU851">
        <v>0</v>
      </c>
      <c r="CV851">
        <v>5</v>
      </c>
      <c r="CW851" t="s">
        <v>120</v>
      </c>
      <c r="CX851">
        <v>257</v>
      </c>
      <c r="CY851">
        <v>1</v>
      </c>
      <c r="CZ851" t="s">
        <v>615</v>
      </c>
      <c r="DA851" t="s">
        <v>616</v>
      </c>
      <c r="DD851">
        <v>11018942</v>
      </c>
      <c r="DE851" t="s">
        <v>123</v>
      </c>
    </row>
    <row r="852" spans="1:109" x14ac:dyDescent="0.3">
      <c r="A852" t="str">
        <f>"18:48:50.672"</f>
        <v>18:48:50.672</v>
      </c>
      <c r="B852" t="s">
        <v>110</v>
      </c>
      <c r="C852" t="str">
        <f t="shared" si="39"/>
        <v>ffdfd3c0</v>
      </c>
      <c r="D852" t="s">
        <v>111</v>
      </c>
      <c r="E852">
        <v>18</v>
      </c>
      <c r="F852">
        <v>1018</v>
      </c>
      <c r="G852" t="s">
        <v>112</v>
      </c>
      <c r="J852" t="s">
        <v>113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R852" t="s">
        <v>114</v>
      </c>
      <c r="S852" t="str">
        <f>"18:48:50.430"</f>
        <v>18:48:50.430</v>
      </c>
      <c r="T852" t="str">
        <f>"18:48:50.430"</f>
        <v>18:48:50.430</v>
      </c>
      <c r="U852" t="str">
        <f t="shared" si="40"/>
        <v>a1cdbe</v>
      </c>
      <c r="V852">
        <v>0</v>
      </c>
      <c r="W852">
        <v>0</v>
      </c>
      <c r="X852">
        <v>1</v>
      </c>
      <c r="Y852">
        <v>0</v>
      </c>
      <c r="Z852">
        <v>0</v>
      </c>
      <c r="AB852">
        <v>0</v>
      </c>
      <c r="AC852">
        <v>9</v>
      </c>
      <c r="AD852">
        <v>3</v>
      </c>
      <c r="AE852">
        <v>0</v>
      </c>
      <c r="AF852">
        <v>9</v>
      </c>
      <c r="AG852" t="s">
        <v>158</v>
      </c>
      <c r="AH852">
        <v>0</v>
      </c>
      <c r="AI852">
        <v>3</v>
      </c>
      <c r="AJ852">
        <v>1</v>
      </c>
      <c r="AK852">
        <v>0</v>
      </c>
      <c r="AL852" t="s">
        <v>1774</v>
      </c>
      <c r="AM852">
        <v>46.854222</v>
      </c>
      <c r="AN852" t="s">
        <v>1775</v>
      </c>
      <c r="AO852">
        <v>-122.433722</v>
      </c>
      <c r="AP852">
        <v>100</v>
      </c>
      <c r="AQ852">
        <v>2100</v>
      </c>
      <c r="AR852" t="s">
        <v>118</v>
      </c>
      <c r="AS852">
        <v>-73</v>
      </c>
      <c r="AT852">
        <v>-40</v>
      </c>
      <c r="AU852">
        <v>-64</v>
      </c>
      <c r="BC852">
        <v>1200</v>
      </c>
      <c r="BD852">
        <v>1</v>
      </c>
      <c r="BE852" t="str">
        <f t="shared" si="41"/>
        <v xml:space="preserve">N215T   </v>
      </c>
      <c r="BF852">
        <v>1</v>
      </c>
      <c r="BH852">
        <v>0</v>
      </c>
      <c r="BI852">
        <v>0</v>
      </c>
      <c r="BJ852">
        <v>0</v>
      </c>
      <c r="BK852">
        <v>2450</v>
      </c>
      <c r="BL852">
        <v>350</v>
      </c>
      <c r="BM852" t="s">
        <v>119</v>
      </c>
      <c r="BN852">
        <v>1</v>
      </c>
      <c r="BO852">
        <v>1</v>
      </c>
      <c r="BP852">
        <v>1</v>
      </c>
      <c r="BQ852">
        <v>0</v>
      </c>
      <c r="BT852">
        <v>0</v>
      </c>
      <c r="BU852">
        <v>0</v>
      </c>
      <c r="BV852">
        <v>0</v>
      </c>
      <c r="CC852" t="str">
        <f>"18:48:50.438"</f>
        <v>18:48:50.438</v>
      </c>
      <c r="CD852" t="str">
        <f>"435221786"</f>
        <v>435221786</v>
      </c>
      <c r="CQ852">
        <v>0</v>
      </c>
      <c r="CR852">
        <v>2</v>
      </c>
      <c r="CS852">
        <v>0</v>
      </c>
      <c r="CT852">
        <v>2</v>
      </c>
      <c r="CU852">
        <v>0</v>
      </c>
      <c r="CV852">
        <v>5</v>
      </c>
      <c r="CW852" t="s">
        <v>120</v>
      </c>
      <c r="CX852">
        <v>257</v>
      </c>
      <c r="CY852">
        <v>1</v>
      </c>
      <c r="CZ852" t="s">
        <v>615</v>
      </c>
      <c r="DA852" t="s">
        <v>616</v>
      </c>
      <c r="DD852">
        <v>11019522</v>
      </c>
      <c r="DE852" t="s">
        <v>123</v>
      </c>
    </row>
    <row r="853" spans="1:109" x14ac:dyDescent="0.3">
      <c r="A853" t="str">
        <f>"18:48:51.727"</f>
        <v>18:48:51.727</v>
      </c>
      <c r="B853" t="s">
        <v>110</v>
      </c>
      <c r="C853" t="str">
        <f t="shared" si="39"/>
        <v>ffdfd3c0</v>
      </c>
      <c r="D853" t="s">
        <v>111</v>
      </c>
      <c r="E853">
        <v>18</v>
      </c>
      <c r="F853">
        <v>1018</v>
      </c>
      <c r="G853" t="s">
        <v>112</v>
      </c>
      <c r="J853" t="s">
        <v>113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R853" t="s">
        <v>114</v>
      </c>
      <c r="S853" t="str">
        <f>"18:48:51.484"</f>
        <v>18:48:51.484</v>
      </c>
      <c r="T853" t="str">
        <f>"18:48:51.383"</f>
        <v>18:48:51.383</v>
      </c>
      <c r="U853" t="str">
        <f t="shared" si="40"/>
        <v>a1cdbe</v>
      </c>
      <c r="V853">
        <v>0</v>
      </c>
      <c r="W853">
        <v>0</v>
      </c>
      <c r="X853">
        <v>1</v>
      </c>
      <c r="Y853">
        <v>0</v>
      </c>
      <c r="Z853">
        <v>0</v>
      </c>
      <c r="AB853">
        <v>0</v>
      </c>
      <c r="AC853">
        <v>9</v>
      </c>
      <c r="AD853">
        <v>3</v>
      </c>
      <c r="AE853">
        <v>0</v>
      </c>
      <c r="AF853">
        <v>9</v>
      </c>
      <c r="AG853" t="s">
        <v>158</v>
      </c>
      <c r="AH853">
        <v>0</v>
      </c>
      <c r="AI853">
        <v>3</v>
      </c>
      <c r="AJ853">
        <v>1</v>
      </c>
      <c r="AK853">
        <v>0</v>
      </c>
      <c r="AL853" t="s">
        <v>1776</v>
      </c>
      <c r="AM853">
        <v>46.853985999999999</v>
      </c>
      <c r="AN853" t="s">
        <v>1777</v>
      </c>
      <c r="AO853">
        <v>-122.434258</v>
      </c>
      <c r="AP853">
        <v>100</v>
      </c>
      <c r="AQ853">
        <v>2100</v>
      </c>
      <c r="AR853" t="s">
        <v>118</v>
      </c>
      <c r="AS853">
        <v>-72</v>
      </c>
      <c r="AT853">
        <v>-40</v>
      </c>
      <c r="AU853">
        <v>-64</v>
      </c>
      <c r="BC853">
        <v>1200</v>
      </c>
      <c r="BD853">
        <v>1</v>
      </c>
      <c r="BE853" t="str">
        <f t="shared" si="41"/>
        <v xml:space="preserve">N215T   </v>
      </c>
      <c r="BF853">
        <v>1</v>
      </c>
      <c r="BH853">
        <v>0</v>
      </c>
      <c r="BI853">
        <v>0</v>
      </c>
      <c r="BJ853">
        <v>0</v>
      </c>
      <c r="BK853">
        <v>2450</v>
      </c>
      <c r="BL853">
        <v>350</v>
      </c>
      <c r="BM853" t="s">
        <v>119</v>
      </c>
      <c r="BN853">
        <v>1</v>
      </c>
      <c r="BO853">
        <v>1</v>
      </c>
      <c r="BP853">
        <v>1</v>
      </c>
      <c r="BQ853">
        <v>0</v>
      </c>
      <c r="BT853">
        <v>0</v>
      </c>
      <c r="BU853">
        <v>0</v>
      </c>
      <c r="BV853">
        <v>0</v>
      </c>
      <c r="CC853" t="str">
        <f>"18:48:51.484"</f>
        <v>18:48:51.484</v>
      </c>
      <c r="CD853" t="str">
        <f>"485118268"</f>
        <v>485118268</v>
      </c>
      <c r="CQ853">
        <v>0</v>
      </c>
      <c r="CR853">
        <v>2</v>
      </c>
      <c r="CS853">
        <v>0</v>
      </c>
      <c r="CT853">
        <v>2</v>
      </c>
      <c r="CU853">
        <v>0</v>
      </c>
      <c r="CV853">
        <v>5</v>
      </c>
      <c r="CW853" t="s">
        <v>120</v>
      </c>
      <c r="CX853">
        <v>257</v>
      </c>
      <c r="CY853">
        <v>1</v>
      </c>
      <c r="CZ853" t="s">
        <v>615</v>
      </c>
      <c r="DA853" t="s">
        <v>616</v>
      </c>
      <c r="DD853">
        <v>11020214</v>
      </c>
      <c r="DE853" t="s">
        <v>123</v>
      </c>
    </row>
    <row r="854" spans="1:109" x14ac:dyDescent="0.3">
      <c r="A854" t="str">
        <f>"18:48:52.578"</f>
        <v>18:48:52.578</v>
      </c>
      <c r="B854" t="s">
        <v>110</v>
      </c>
      <c r="C854" t="str">
        <f t="shared" si="39"/>
        <v>ffdfd3c0</v>
      </c>
      <c r="D854" t="s">
        <v>111</v>
      </c>
      <c r="E854">
        <v>18</v>
      </c>
      <c r="F854">
        <v>1018</v>
      </c>
      <c r="G854" t="s">
        <v>112</v>
      </c>
      <c r="J854" t="s">
        <v>113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R854" t="s">
        <v>114</v>
      </c>
      <c r="S854" t="str">
        <f>"18:48:52.320"</f>
        <v>18:48:52.320</v>
      </c>
      <c r="T854" t="str">
        <f>"18:48:51.922"</f>
        <v>18:48:51.922</v>
      </c>
      <c r="U854" t="str">
        <f t="shared" si="40"/>
        <v>a1cdbe</v>
      </c>
      <c r="V854">
        <v>0</v>
      </c>
      <c r="W854">
        <v>0</v>
      </c>
      <c r="X854">
        <v>1</v>
      </c>
      <c r="Y854">
        <v>0</v>
      </c>
      <c r="Z854">
        <v>0</v>
      </c>
      <c r="AB854">
        <v>0</v>
      </c>
      <c r="AC854">
        <v>9</v>
      </c>
      <c r="AD854">
        <v>3</v>
      </c>
      <c r="AE854">
        <v>0</v>
      </c>
      <c r="AF854">
        <v>9</v>
      </c>
      <c r="AG854" t="s">
        <v>158</v>
      </c>
      <c r="AH854">
        <v>0</v>
      </c>
      <c r="AI854">
        <v>3</v>
      </c>
      <c r="AJ854">
        <v>1</v>
      </c>
      <c r="AK854">
        <v>0</v>
      </c>
      <c r="AL854" t="s">
        <v>1778</v>
      </c>
      <c r="AM854">
        <v>46.853856999999998</v>
      </c>
      <c r="AN854" t="s">
        <v>1779</v>
      </c>
      <c r="AO854">
        <v>-122.43466600000001</v>
      </c>
      <c r="AP854">
        <v>100</v>
      </c>
      <c r="AQ854">
        <v>2100</v>
      </c>
      <c r="AR854" t="s">
        <v>118</v>
      </c>
      <c r="AS854">
        <v>-72</v>
      </c>
      <c r="AT854">
        <v>-40</v>
      </c>
      <c r="AU854">
        <v>-64</v>
      </c>
      <c r="BC854">
        <v>1200</v>
      </c>
      <c r="BD854">
        <v>1</v>
      </c>
      <c r="BE854" t="str">
        <f t="shared" si="41"/>
        <v xml:space="preserve">N215T   </v>
      </c>
      <c r="BF854">
        <v>1</v>
      </c>
      <c r="BH854">
        <v>0</v>
      </c>
      <c r="BI854">
        <v>0</v>
      </c>
      <c r="BJ854">
        <v>0</v>
      </c>
      <c r="BK854">
        <v>2450</v>
      </c>
      <c r="BL854">
        <v>350</v>
      </c>
      <c r="BM854" t="s">
        <v>119</v>
      </c>
      <c r="BN854">
        <v>1</v>
      </c>
      <c r="BO854">
        <v>1</v>
      </c>
      <c r="BP854">
        <v>1</v>
      </c>
      <c r="BQ854">
        <v>0</v>
      </c>
      <c r="BT854">
        <v>0</v>
      </c>
      <c r="BU854">
        <v>0</v>
      </c>
      <c r="BV854">
        <v>0</v>
      </c>
      <c r="CC854" t="str">
        <f>"18:48:52.328"</f>
        <v>18:48:52.328</v>
      </c>
      <c r="CD854" t="str">
        <f>"324902838"</f>
        <v>324902838</v>
      </c>
      <c r="CQ854">
        <v>0</v>
      </c>
      <c r="CR854">
        <v>2</v>
      </c>
      <c r="CS854">
        <v>0</v>
      </c>
      <c r="CT854">
        <v>2</v>
      </c>
      <c r="CU854">
        <v>0</v>
      </c>
      <c r="CV854">
        <v>5</v>
      </c>
      <c r="CW854" t="s">
        <v>120</v>
      </c>
      <c r="CX854">
        <v>261</v>
      </c>
      <c r="CY854">
        <v>2</v>
      </c>
      <c r="CZ854" t="s">
        <v>121</v>
      </c>
      <c r="DA854" t="s">
        <v>122</v>
      </c>
      <c r="DD854">
        <v>14702156</v>
      </c>
      <c r="DE854" t="s">
        <v>123</v>
      </c>
    </row>
    <row r="855" spans="1:109" x14ac:dyDescent="0.3">
      <c r="A855" t="str">
        <f>"18:48:53.641"</f>
        <v>18:48:53.641</v>
      </c>
      <c r="B855" t="s">
        <v>110</v>
      </c>
      <c r="C855" t="str">
        <f t="shared" si="39"/>
        <v>ffdfd3c0</v>
      </c>
      <c r="D855" t="s">
        <v>111</v>
      </c>
      <c r="E855">
        <v>18</v>
      </c>
      <c r="F855">
        <v>1018</v>
      </c>
      <c r="G855" t="s">
        <v>112</v>
      </c>
      <c r="J855" t="s">
        <v>113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R855" t="s">
        <v>114</v>
      </c>
      <c r="S855" t="str">
        <f>"18:48:53.445"</f>
        <v>18:48:53.445</v>
      </c>
      <c r="T855" t="str">
        <f>"18:48:53.445"</f>
        <v>18:48:53.445</v>
      </c>
      <c r="U855" t="str">
        <f t="shared" si="40"/>
        <v>a1cdbe</v>
      </c>
      <c r="V855">
        <v>0</v>
      </c>
      <c r="W855">
        <v>0</v>
      </c>
      <c r="X855">
        <v>1</v>
      </c>
      <c r="Y855">
        <v>0</v>
      </c>
      <c r="Z855">
        <v>0</v>
      </c>
      <c r="AB855">
        <v>0</v>
      </c>
      <c r="AC855">
        <v>9</v>
      </c>
      <c r="AD855">
        <v>3</v>
      </c>
      <c r="AE855">
        <v>0</v>
      </c>
      <c r="AF855">
        <v>9</v>
      </c>
      <c r="AG855" t="s">
        <v>158</v>
      </c>
      <c r="AH855">
        <v>0</v>
      </c>
      <c r="AI855">
        <v>3</v>
      </c>
      <c r="AJ855">
        <v>1</v>
      </c>
      <c r="AK855">
        <v>0</v>
      </c>
      <c r="AL855" t="s">
        <v>1780</v>
      </c>
      <c r="AM855">
        <v>46.853664000000002</v>
      </c>
      <c r="AN855" t="s">
        <v>1781</v>
      </c>
      <c r="AO855">
        <v>-122.435203</v>
      </c>
      <c r="AP855">
        <v>100</v>
      </c>
      <c r="AQ855">
        <v>2100</v>
      </c>
      <c r="AR855" t="s">
        <v>118</v>
      </c>
      <c r="AS855">
        <v>-72</v>
      </c>
      <c r="AT855">
        <v>-40</v>
      </c>
      <c r="AU855">
        <v>-128</v>
      </c>
      <c r="BC855">
        <v>1200</v>
      </c>
      <c r="BD855">
        <v>1</v>
      </c>
      <c r="BE855" t="str">
        <f t="shared" si="41"/>
        <v xml:space="preserve">N215T   </v>
      </c>
      <c r="BF855">
        <v>1</v>
      </c>
      <c r="BH855">
        <v>0</v>
      </c>
      <c r="BI855">
        <v>0</v>
      </c>
      <c r="BJ855">
        <v>0</v>
      </c>
      <c r="BK855">
        <v>2450</v>
      </c>
      <c r="BL855">
        <v>350</v>
      </c>
      <c r="BM855" t="s">
        <v>119</v>
      </c>
      <c r="BN855">
        <v>1</v>
      </c>
      <c r="BO855">
        <v>1</v>
      </c>
      <c r="BP855">
        <v>1</v>
      </c>
      <c r="BQ855">
        <v>0</v>
      </c>
      <c r="BT855">
        <v>0</v>
      </c>
      <c r="BU855">
        <v>0</v>
      </c>
      <c r="BV855">
        <v>0</v>
      </c>
      <c r="CC855" t="str">
        <f>"18:48:53.453"</f>
        <v>18:48:53.453</v>
      </c>
      <c r="CD855" t="str">
        <f>"449792111"</f>
        <v>449792111</v>
      </c>
      <c r="CQ855">
        <v>0</v>
      </c>
      <c r="CR855">
        <v>2</v>
      </c>
      <c r="CS855">
        <v>0</v>
      </c>
      <c r="CT855">
        <v>2</v>
      </c>
      <c r="CU855">
        <v>0</v>
      </c>
      <c r="CV855">
        <v>5</v>
      </c>
      <c r="CW855" t="s">
        <v>120</v>
      </c>
      <c r="CX855">
        <v>261</v>
      </c>
      <c r="CY855">
        <v>2</v>
      </c>
      <c r="CZ855" t="s">
        <v>121</v>
      </c>
      <c r="DA855" t="s">
        <v>122</v>
      </c>
      <c r="DD855">
        <v>14702826</v>
      </c>
      <c r="DE855" t="s">
        <v>123</v>
      </c>
    </row>
    <row r="856" spans="1:109" x14ac:dyDescent="0.3">
      <c r="A856" t="str">
        <f>"18:48:54.641"</f>
        <v>18:48:54.641</v>
      </c>
      <c r="B856" t="s">
        <v>110</v>
      </c>
      <c r="C856" t="str">
        <f t="shared" si="39"/>
        <v>ffdfd3c0</v>
      </c>
      <c r="D856" t="s">
        <v>111</v>
      </c>
      <c r="E856">
        <v>18</v>
      </c>
      <c r="F856">
        <v>1018</v>
      </c>
      <c r="G856" t="s">
        <v>112</v>
      </c>
      <c r="J856" t="s">
        <v>113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R856" t="s">
        <v>114</v>
      </c>
      <c r="S856" t="str">
        <f>"18:48:54.422"</f>
        <v>18:48:54.422</v>
      </c>
      <c r="T856" t="str">
        <f>"18:48:54.422"</f>
        <v>18:48:54.422</v>
      </c>
      <c r="U856" t="str">
        <f t="shared" si="40"/>
        <v>a1cdbe</v>
      </c>
      <c r="V856">
        <v>0</v>
      </c>
      <c r="W856">
        <v>0</v>
      </c>
      <c r="X856">
        <v>1</v>
      </c>
      <c r="Y856">
        <v>0</v>
      </c>
      <c r="Z856">
        <v>0</v>
      </c>
      <c r="AB856">
        <v>0</v>
      </c>
      <c r="AC856">
        <v>9</v>
      </c>
      <c r="AD856">
        <v>3</v>
      </c>
      <c r="AE856">
        <v>0</v>
      </c>
      <c r="AF856">
        <v>9</v>
      </c>
      <c r="AG856" t="s">
        <v>158</v>
      </c>
      <c r="AH856">
        <v>0</v>
      </c>
      <c r="AI856">
        <v>3</v>
      </c>
      <c r="AJ856">
        <v>1</v>
      </c>
      <c r="AK856">
        <v>0</v>
      </c>
      <c r="AL856" t="s">
        <v>1782</v>
      </c>
      <c r="AM856">
        <v>46.853448999999998</v>
      </c>
      <c r="AN856" t="s">
        <v>1783</v>
      </c>
      <c r="AO856">
        <v>-122.435653</v>
      </c>
      <c r="AP856">
        <v>100</v>
      </c>
      <c r="AQ856">
        <v>2100</v>
      </c>
      <c r="AR856" t="s">
        <v>118</v>
      </c>
      <c r="AS856">
        <v>-72</v>
      </c>
      <c r="AT856">
        <v>-40</v>
      </c>
      <c r="AU856">
        <v>-128</v>
      </c>
      <c r="BC856">
        <v>1200</v>
      </c>
      <c r="BD856">
        <v>1</v>
      </c>
      <c r="BE856" t="str">
        <f t="shared" si="41"/>
        <v xml:space="preserve">N215T   </v>
      </c>
      <c r="BF856">
        <v>1</v>
      </c>
      <c r="BH856">
        <v>0</v>
      </c>
      <c r="BI856">
        <v>0</v>
      </c>
      <c r="BJ856">
        <v>0</v>
      </c>
      <c r="BK856">
        <v>2450</v>
      </c>
      <c r="BL856">
        <v>350</v>
      </c>
      <c r="BM856" t="s">
        <v>119</v>
      </c>
      <c r="BN856">
        <v>1</v>
      </c>
      <c r="BO856">
        <v>1</v>
      </c>
      <c r="BP856">
        <v>1</v>
      </c>
      <c r="BQ856">
        <v>0</v>
      </c>
      <c r="BT856">
        <v>0</v>
      </c>
      <c r="BU856">
        <v>0</v>
      </c>
      <c r="BV856">
        <v>0</v>
      </c>
      <c r="CC856" t="str">
        <f>"18:48:54.422"</f>
        <v>18:48:54.422</v>
      </c>
      <c r="CD856" t="str">
        <f>"424696130"</f>
        <v>424696130</v>
      </c>
      <c r="CQ856">
        <v>0</v>
      </c>
      <c r="CR856">
        <v>2</v>
      </c>
      <c r="CS856">
        <v>0</v>
      </c>
      <c r="CT856">
        <v>2</v>
      </c>
      <c r="CU856">
        <v>0</v>
      </c>
      <c r="CV856">
        <v>5</v>
      </c>
      <c r="CW856" t="s">
        <v>120</v>
      </c>
      <c r="CX856">
        <v>261</v>
      </c>
      <c r="CY856">
        <v>2</v>
      </c>
      <c r="CZ856" t="s">
        <v>121</v>
      </c>
      <c r="DA856" t="s">
        <v>122</v>
      </c>
      <c r="DD856">
        <v>14703398</v>
      </c>
      <c r="DE856" t="s">
        <v>123</v>
      </c>
    </row>
    <row r="857" spans="1:109" x14ac:dyDescent="0.3">
      <c r="A857" t="str">
        <f>"18:48:55.750"</f>
        <v>18:48:55.750</v>
      </c>
      <c r="B857" t="s">
        <v>110</v>
      </c>
      <c r="C857" t="str">
        <f t="shared" si="39"/>
        <v>ffdfd3c0</v>
      </c>
      <c r="D857" t="s">
        <v>111</v>
      </c>
      <c r="E857">
        <v>18</v>
      </c>
      <c r="F857">
        <v>1018</v>
      </c>
      <c r="G857" t="s">
        <v>112</v>
      </c>
      <c r="J857" t="s">
        <v>113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R857" t="s">
        <v>114</v>
      </c>
      <c r="S857" t="str">
        <f>"18:48:55.500"</f>
        <v>18:48:55.500</v>
      </c>
      <c r="T857" t="str">
        <f>"18:48:55.000"</f>
        <v>18:48:55.000</v>
      </c>
      <c r="U857" t="str">
        <f t="shared" si="40"/>
        <v>a1cdbe</v>
      </c>
      <c r="V857">
        <v>0</v>
      </c>
      <c r="W857">
        <v>0</v>
      </c>
      <c r="X857">
        <v>1</v>
      </c>
      <c r="Y857">
        <v>0</v>
      </c>
      <c r="Z857">
        <v>0</v>
      </c>
      <c r="AB857">
        <v>0</v>
      </c>
      <c r="AC857">
        <v>9</v>
      </c>
      <c r="AD857">
        <v>3</v>
      </c>
      <c r="AE857">
        <v>0</v>
      </c>
      <c r="AF857">
        <v>9</v>
      </c>
      <c r="AG857" t="s">
        <v>158</v>
      </c>
      <c r="AH857">
        <v>0</v>
      </c>
      <c r="AI857">
        <v>3</v>
      </c>
      <c r="AJ857">
        <v>1</v>
      </c>
      <c r="AK857">
        <v>0</v>
      </c>
      <c r="AL857" t="s">
        <v>1784</v>
      </c>
      <c r="AM857">
        <v>46.853234999999998</v>
      </c>
      <c r="AN857" t="s">
        <v>1785</v>
      </c>
      <c r="AO857">
        <v>-122.436168</v>
      </c>
      <c r="AP857">
        <v>100</v>
      </c>
      <c r="AQ857">
        <v>2100</v>
      </c>
      <c r="AR857" t="s">
        <v>118</v>
      </c>
      <c r="AS857">
        <v>-72</v>
      </c>
      <c r="AT857">
        <v>-41</v>
      </c>
      <c r="AU857">
        <v>-128</v>
      </c>
      <c r="BC857">
        <v>1200</v>
      </c>
      <c r="BD857">
        <v>1</v>
      </c>
      <c r="BE857" t="str">
        <f t="shared" si="41"/>
        <v xml:space="preserve">N215T   </v>
      </c>
      <c r="BF857">
        <v>1</v>
      </c>
      <c r="BH857">
        <v>0</v>
      </c>
      <c r="BI857">
        <v>0</v>
      </c>
      <c r="BJ857">
        <v>0</v>
      </c>
      <c r="BK857">
        <v>2450</v>
      </c>
      <c r="BL857">
        <v>350</v>
      </c>
      <c r="BM857" t="s">
        <v>119</v>
      </c>
      <c r="BN857">
        <v>1</v>
      </c>
      <c r="BO857">
        <v>1</v>
      </c>
      <c r="BP857">
        <v>1</v>
      </c>
      <c r="BQ857">
        <v>0</v>
      </c>
      <c r="BT857">
        <v>0</v>
      </c>
      <c r="BU857">
        <v>0</v>
      </c>
      <c r="BV857">
        <v>0</v>
      </c>
      <c r="CC857" t="str">
        <f>"18:48:55.508"</f>
        <v>18:48:55.508</v>
      </c>
      <c r="CD857" t="str">
        <f>"504721912"</f>
        <v>504721912</v>
      </c>
      <c r="CQ857">
        <v>0</v>
      </c>
      <c r="CR857">
        <v>2</v>
      </c>
      <c r="CS857">
        <v>0</v>
      </c>
      <c r="CT857">
        <v>2</v>
      </c>
      <c r="CU857">
        <v>0</v>
      </c>
      <c r="CV857">
        <v>5</v>
      </c>
      <c r="CW857" t="s">
        <v>120</v>
      </c>
      <c r="CX857">
        <v>257</v>
      </c>
      <c r="CY857">
        <v>1</v>
      </c>
      <c r="CZ857" t="s">
        <v>615</v>
      </c>
      <c r="DA857" t="s">
        <v>616</v>
      </c>
      <c r="DD857">
        <v>11022865</v>
      </c>
      <c r="DE857" t="s">
        <v>123</v>
      </c>
    </row>
    <row r="858" spans="1:109" x14ac:dyDescent="0.3">
      <c r="A858" t="str">
        <f>"18:48:56.805"</f>
        <v>18:48:56.805</v>
      </c>
      <c r="B858" t="s">
        <v>110</v>
      </c>
      <c r="C858" t="str">
        <f t="shared" si="39"/>
        <v>ffdfd3c0</v>
      </c>
      <c r="D858" t="s">
        <v>111</v>
      </c>
      <c r="E858">
        <v>18</v>
      </c>
      <c r="F858">
        <v>1018</v>
      </c>
      <c r="G858" t="s">
        <v>112</v>
      </c>
      <c r="J858" t="s">
        <v>113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R858" t="s">
        <v>114</v>
      </c>
      <c r="S858" t="str">
        <f>"18:48:56.563"</f>
        <v>18:48:56.563</v>
      </c>
      <c r="T858" t="str">
        <f>"18:48:56.563"</f>
        <v>18:48:56.563</v>
      </c>
      <c r="U858" t="str">
        <f t="shared" si="40"/>
        <v>a1cdbe</v>
      </c>
      <c r="V858">
        <v>0</v>
      </c>
      <c r="W858">
        <v>0</v>
      </c>
      <c r="X858">
        <v>1</v>
      </c>
      <c r="Y858">
        <v>0</v>
      </c>
      <c r="Z858">
        <v>0</v>
      </c>
      <c r="AB858">
        <v>0</v>
      </c>
      <c r="AC858">
        <v>9</v>
      </c>
      <c r="AD858">
        <v>3</v>
      </c>
      <c r="AE858">
        <v>0</v>
      </c>
      <c r="AF858">
        <v>9</v>
      </c>
      <c r="AG858" t="s">
        <v>158</v>
      </c>
      <c r="AH858">
        <v>0</v>
      </c>
      <c r="AI858">
        <v>3</v>
      </c>
      <c r="AJ858">
        <v>1</v>
      </c>
      <c r="AK858">
        <v>0</v>
      </c>
      <c r="AL858" t="s">
        <v>1786</v>
      </c>
      <c r="AM858">
        <v>46.853062999999999</v>
      </c>
      <c r="AN858" t="s">
        <v>1787</v>
      </c>
      <c r="AO858">
        <v>-122.43672599999999</v>
      </c>
      <c r="AP858">
        <v>100</v>
      </c>
      <c r="AQ858">
        <v>2100</v>
      </c>
      <c r="AR858" t="s">
        <v>118</v>
      </c>
      <c r="AS858">
        <v>-72</v>
      </c>
      <c r="AT858">
        <v>-40</v>
      </c>
      <c r="AU858">
        <v>-128</v>
      </c>
      <c r="BC858">
        <v>1200</v>
      </c>
      <c r="BD858">
        <v>1</v>
      </c>
      <c r="BE858" t="str">
        <f t="shared" si="41"/>
        <v xml:space="preserve">N215T   </v>
      </c>
      <c r="BF858">
        <v>1</v>
      </c>
      <c r="BH858">
        <v>0</v>
      </c>
      <c r="BI858">
        <v>0</v>
      </c>
      <c r="BJ858">
        <v>0</v>
      </c>
      <c r="BK858">
        <v>2425</v>
      </c>
      <c r="BL858">
        <v>325</v>
      </c>
      <c r="BM858" t="s">
        <v>119</v>
      </c>
      <c r="BN858">
        <v>1</v>
      </c>
      <c r="BO858">
        <v>1</v>
      </c>
      <c r="BP858">
        <v>1</v>
      </c>
      <c r="BQ858">
        <v>0</v>
      </c>
      <c r="BT858">
        <v>0</v>
      </c>
      <c r="BU858">
        <v>0</v>
      </c>
      <c r="BV858">
        <v>0</v>
      </c>
      <c r="CC858" t="str">
        <f>"18:48:56.570"</f>
        <v>18:48:56.570</v>
      </c>
      <c r="CD858" t="str">
        <f>"569616915"</f>
        <v>569616915</v>
      </c>
      <c r="CQ858">
        <v>0</v>
      </c>
      <c r="CR858">
        <v>2</v>
      </c>
      <c r="CS858">
        <v>0</v>
      </c>
      <c r="CT858">
        <v>2</v>
      </c>
      <c r="CU858">
        <v>0</v>
      </c>
      <c r="CV858">
        <v>5</v>
      </c>
      <c r="CW858" t="s">
        <v>120</v>
      </c>
      <c r="CX858">
        <v>257</v>
      </c>
      <c r="CY858">
        <v>1</v>
      </c>
      <c r="CZ858" t="s">
        <v>615</v>
      </c>
      <c r="DA858" t="s">
        <v>616</v>
      </c>
      <c r="DD858">
        <v>11023567</v>
      </c>
      <c r="DE858" t="s">
        <v>123</v>
      </c>
    </row>
    <row r="859" spans="1:109" x14ac:dyDescent="0.3">
      <c r="A859" t="str">
        <f>"18:48:57.758"</f>
        <v>18:48:57.758</v>
      </c>
      <c r="B859" t="s">
        <v>110</v>
      </c>
      <c r="C859" t="str">
        <f t="shared" si="39"/>
        <v>ffdfd3c0</v>
      </c>
      <c r="D859" t="s">
        <v>111</v>
      </c>
      <c r="E859">
        <v>18</v>
      </c>
      <c r="F859">
        <v>1018</v>
      </c>
      <c r="G859" t="s">
        <v>112</v>
      </c>
      <c r="J859" t="s">
        <v>113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R859" t="s">
        <v>114</v>
      </c>
      <c r="S859" t="str">
        <f>"18:48:57.539"</f>
        <v>18:48:57.539</v>
      </c>
      <c r="T859" t="str">
        <f>"18:48:57.141"</f>
        <v>18:48:57.141</v>
      </c>
      <c r="U859" t="str">
        <f t="shared" si="40"/>
        <v>a1cdbe</v>
      </c>
      <c r="V859">
        <v>0</v>
      </c>
      <c r="W859">
        <v>0</v>
      </c>
      <c r="X859">
        <v>1</v>
      </c>
      <c r="Y859">
        <v>0</v>
      </c>
      <c r="Z859">
        <v>0</v>
      </c>
      <c r="AB859">
        <v>0</v>
      </c>
      <c r="AC859">
        <v>9</v>
      </c>
      <c r="AD859">
        <v>3</v>
      </c>
      <c r="AE859">
        <v>0</v>
      </c>
      <c r="AF859">
        <v>9</v>
      </c>
      <c r="AG859" t="s">
        <v>158</v>
      </c>
      <c r="AH859">
        <v>0</v>
      </c>
      <c r="AI859">
        <v>3</v>
      </c>
      <c r="AJ859">
        <v>1</v>
      </c>
      <c r="AK859">
        <v>0</v>
      </c>
      <c r="AL859" t="s">
        <v>1788</v>
      </c>
      <c r="AM859">
        <v>46.852870000000003</v>
      </c>
      <c r="AN859" t="s">
        <v>1789</v>
      </c>
      <c r="AO859">
        <v>-122.437198</v>
      </c>
      <c r="AP859">
        <v>100</v>
      </c>
      <c r="AQ859">
        <v>2100</v>
      </c>
      <c r="AR859" t="s">
        <v>118</v>
      </c>
      <c r="AS859">
        <v>-72</v>
      </c>
      <c r="AT859">
        <v>-40</v>
      </c>
      <c r="AU859">
        <v>-128</v>
      </c>
      <c r="BC859">
        <v>1200</v>
      </c>
      <c r="BD859">
        <v>1</v>
      </c>
      <c r="BE859" t="str">
        <f t="shared" si="41"/>
        <v xml:space="preserve">N215T   </v>
      </c>
      <c r="BF859">
        <v>1</v>
      </c>
      <c r="BH859">
        <v>0</v>
      </c>
      <c r="BI859">
        <v>0</v>
      </c>
      <c r="BJ859">
        <v>0</v>
      </c>
      <c r="BK859">
        <v>2425</v>
      </c>
      <c r="BL859">
        <v>325</v>
      </c>
      <c r="BM859" t="s">
        <v>119</v>
      </c>
      <c r="BN859">
        <v>1</v>
      </c>
      <c r="BO859">
        <v>1</v>
      </c>
      <c r="BP859">
        <v>1</v>
      </c>
      <c r="BQ859">
        <v>0</v>
      </c>
      <c r="BT859">
        <v>0</v>
      </c>
      <c r="BU859">
        <v>0</v>
      </c>
      <c r="BV859">
        <v>0</v>
      </c>
      <c r="CC859" t="str">
        <f>"18:48:57.547"</f>
        <v>18:48:57.547</v>
      </c>
      <c r="CD859" t="str">
        <f>"544389031"</f>
        <v>544389031</v>
      </c>
      <c r="CQ859">
        <v>0</v>
      </c>
      <c r="CR859">
        <v>2</v>
      </c>
      <c r="CS859">
        <v>0</v>
      </c>
      <c r="CT859">
        <v>2</v>
      </c>
      <c r="CU859">
        <v>0</v>
      </c>
      <c r="CV859">
        <v>5</v>
      </c>
      <c r="CW859" t="s">
        <v>120</v>
      </c>
      <c r="CX859">
        <v>261</v>
      </c>
      <c r="CY859">
        <v>2</v>
      </c>
      <c r="CZ859" t="s">
        <v>121</v>
      </c>
      <c r="DA859" t="s">
        <v>122</v>
      </c>
      <c r="DD859">
        <v>14705150</v>
      </c>
      <c r="DE859" t="s">
        <v>123</v>
      </c>
    </row>
    <row r="860" spans="1:109" x14ac:dyDescent="0.3">
      <c r="A860" t="str">
        <f>"18:48:59.117"</f>
        <v>18:48:59.117</v>
      </c>
      <c r="B860" t="s">
        <v>110</v>
      </c>
      <c r="C860" t="str">
        <f t="shared" si="39"/>
        <v>ffdfd3c0</v>
      </c>
      <c r="D860" t="s">
        <v>111</v>
      </c>
      <c r="E860">
        <v>18</v>
      </c>
      <c r="F860">
        <v>1018</v>
      </c>
      <c r="G860" t="s">
        <v>112</v>
      </c>
      <c r="J860" t="s">
        <v>113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R860" t="s">
        <v>114</v>
      </c>
      <c r="S860" t="str">
        <f>"18:48:58.891"</f>
        <v>18:48:58.891</v>
      </c>
      <c r="T860" t="str">
        <f>"18:48:58.492"</f>
        <v>18:48:58.492</v>
      </c>
      <c r="U860" t="str">
        <f t="shared" si="40"/>
        <v>a1cdbe</v>
      </c>
      <c r="V860">
        <v>0</v>
      </c>
      <c r="W860">
        <v>0</v>
      </c>
      <c r="X860">
        <v>1</v>
      </c>
      <c r="Y860">
        <v>0</v>
      </c>
      <c r="Z860">
        <v>0</v>
      </c>
      <c r="AB860">
        <v>0</v>
      </c>
      <c r="AC860">
        <v>9</v>
      </c>
      <c r="AD860">
        <v>3</v>
      </c>
      <c r="AE860">
        <v>0</v>
      </c>
      <c r="AF860">
        <v>9</v>
      </c>
      <c r="AG860" t="s">
        <v>158</v>
      </c>
      <c r="AH860">
        <v>0</v>
      </c>
      <c r="AI860">
        <v>3</v>
      </c>
      <c r="AJ860">
        <v>1</v>
      </c>
      <c r="AK860">
        <v>0</v>
      </c>
      <c r="AL860" t="s">
        <v>1790</v>
      </c>
      <c r="AM860">
        <v>46.852612000000001</v>
      </c>
      <c r="AN860" t="s">
        <v>1791</v>
      </c>
      <c r="AO860">
        <v>-122.43786299999999</v>
      </c>
      <c r="AP860">
        <v>100</v>
      </c>
      <c r="AQ860">
        <v>2100</v>
      </c>
      <c r="AR860" t="s">
        <v>118</v>
      </c>
      <c r="AS860">
        <v>-72</v>
      </c>
      <c r="AT860">
        <v>-39</v>
      </c>
      <c r="AU860">
        <v>-64</v>
      </c>
      <c r="BC860">
        <v>1200</v>
      </c>
      <c r="BD860">
        <v>1</v>
      </c>
      <c r="BE860" t="str">
        <f t="shared" si="41"/>
        <v xml:space="preserve">N215T   </v>
      </c>
      <c r="BF860">
        <v>1</v>
      </c>
      <c r="BH860">
        <v>0</v>
      </c>
      <c r="BI860">
        <v>0</v>
      </c>
      <c r="BJ860">
        <v>0</v>
      </c>
      <c r="BK860">
        <v>2425</v>
      </c>
      <c r="BL860">
        <v>325</v>
      </c>
      <c r="BM860" t="s">
        <v>119</v>
      </c>
      <c r="BN860">
        <v>1</v>
      </c>
      <c r="BO860">
        <v>1</v>
      </c>
      <c r="BP860">
        <v>1</v>
      </c>
      <c r="BQ860">
        <v>0</v>
      </c>
      <c r="BT860">
        <v>0</v>
      </c>
      <c r="BU860">
        <v>0</v>
      </c>
      <c r="BV860">
        <v>0</v>
      </c>
      <c r="CC860" t="str">
        <f>"18:48:58.891"</f>
        <v>18:48:58.891</v>
      </c>
      <c r="CD860" t="str">
        <f>"894256163"</f>
        <v>894256163</v>
      </c>
      <c r="CQ860">
        <v>0</v>
      </c>
      <c r="CR860">
        <v>2</v>
      </c>
      <c r="CS860">
        <v>0</v>
      </c>
      <c r="CT860">
        <v>2</v>
      </c>
      <c r="CU860">
        <v>0</v>
      </c>
      <c r="CV860">
        <v>5</v>
      </c>
      <c r="CW860" t="s">
        <v>120</v>
      </c>
      <c r="CX860">
        <v>261</v>
      </c>
      <c r="CY860">
        <v>2</v>
      </c>
      <c r="CZ860" t="s">
        <v>121</v>
      </c>
      <c r="DA860" t="s">
        <v>122</v>
      </c>
      <c r="DD860">
        <v>14705928</v>
      </c>
      <c r="DE860" t="s">
        <v>123</v>
      </c>
    </row>
    <row r="861" spans="1:109" x14ac:dyDescent="0.3">
      <c r="A861" t="str">
        <f>"18:49:00.172"</f>
        <v>18:49:00.172</v>
      </c>
      <c r="B861" t="s">
        <v>110</v>
      </c>
      <c r="C861" t="str">
        <f t="shared" si="39"/>
        <v>ffdfd3c0</v>
      </c>
      <c r="D861" t="s">
        <v>111</v>
      </c>
      <c r="E861">
        <v>18</v>
      </c>
      <c r="F861">
        <v>1018</v>
      </c>
      <c r="G861" t="s">
        <v>112</v>
      </c>
      <c r="J861" t="s">
        <v>113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R861" t="s">
        <v>114</v>
      </c>
      <c r="S861" t="str">
        <f>"18:48:59.953"</f>
        <v>18:48:59.953</v>
      </c>
      <c r="T861" t="str">
        <f>"18:48:59.656"</f>
        <v>18:48:59.656</v>
      </c>
      <c r="U861" t="str">
        <f t="shared" si="40"/>
        <v>a1cdbe</v>
      </c>
      <c r="V861">
        <v>0</v>
      </c>
      <c r="W861">
        <v>0</v>
      </c>
      <c r="X861">
        <v>1</v>
      </c>
      <c r="Y861">
        <v>0</v>
      </c>
      <c r="Z861">
        <v>0</v>
      </c>
      <c r="AB861">
        <v>0</v>
      </c>
      <c r="AC861">
        <v>9</v>
      </c>
      <c r="AD861">
        <v>3</v>
      </c>
      <c r="AE861">
        <v>0</v>
      </c>
      <c r="AF861">
        <v>9</v>
      </c>
      <c r="AG861" t="s">
        <v>158</v>
      </c>
      <c r="AH861">
        <v>0</v>
      </c>
      <c r="AI861">
        <v>3</v>
      </c>
      <c r="AJ861">
        <v>1</v>
      </c>
      <c r="AK861">
        <v>0</v>
      </c>
      <c r="AL861" t="s">
        <v>1792</v>
      </c>
      <c r="AM861">
        <v>46.852462000000003</v>
      </c>
      <c r="AN861" t="s">
        <v>1793</v>
      </c>
      <c r="AO861">
        <v>-122.438378</v>
      </c>
      <c r="AP861">
        <v>100</v>
      </c>
      <c r="AQ861">
        <v>2100</v>
      </c>
      <c r="AR861" t="s">
        <v>118</v>
      </c>
      <c r="AS861">
        <v>-72</v>
      </c>
      <c r="AT861">
        <v>-38</v>
      </c>
      <c r="AU861">
        <v>0</v>
      </c>
      <c r="BC861">
        <v>1200</v>
      </c>
      <c r="BD861">
        <v>1</v>
      </c>
      <c r="BE861" t="str">
        <f t="shared" si="41"/>
        <v xml:space="preserve">N215T   </v>
      </c>
      <c r="BF861">
        <v>1</v>
      </c>
      <c r="BH861">
        <v>0</v>
      </c>
      <c r="BI861">
        <v>0</v>
      </c>
      <c r="BJ861">
        <v>0</v>
      </c>
      <c r="BK861">
        <v>2425</v>
      </c>
      <c r="BL861">
        <v>325</v>
      </c>
      <c r="BM861" t="s">
        <v>119</v>
      </c>
      <c r="BN861">
        <v>1</v>
      </c>
      <c r="BO861">
        <v>1</v>
      </c>
      <c r="BP861">
        <v>1</v>
      </c>
      <c r="BQ861">
        <v>0</v>
      </c>
      <c r="BT861">
        <v>0</v>
      </c>
      <c r="BU861">
        <v>0</v>
      </c>
      <c r="BV861">
        <v>0</v>
      </c>
      <c r="CC861" t="str">
        <f>"18:48:59.961"</f>
        <v>18:48:59.961</v>
      </c>
      <c r="CD861" t="str">
        <f>"959282681"</f>
        <v>959282681</v>
      </c>
      <c r="CQ861">
        <v>0</v>
      </c>
      <c r="CR861">
        <v>2</v>
      </c>
      <c r="CS861">
        <v>0</v>
      </c>
      <c r="CT861">
        <v>2</v>
      </c>
      <c r="CU861">
        <v>0</v>
      </c>
      <c r="CV861">
        <v>5</v>
      </c>
      <c r="CW861" t="s">
        <v>120</v>
      </c>
      <c r="CX861">
        <v>257</v>
      </c>
      <c r="CY861">
        <v>1</v>
      </c>
      <c r="CZ861" t="s">
        <v>615</v>
      </c>
      <c r="DA861" t="s">
        <v>616</v>
      </c>
      <c r="DD861">
        <v>11025828</v>
      </c>
      <c r="DE861" t="s">
        <v>123</v>
      </c>
    </row>
    <row r="862" spans="1:109" x14ac:dyDescent="0.3">
      <c r="A862" t="str">
        <f>"18:49:01.227"</f>
        <v>18:49:01.227</v>
      </c>
      <c r="B862" t="s">
        <v>110</v>
      </c>
      <c r="C862" t="str">
        <f t="shared" si="39"/>
        <v>ffdfd3c0</v>
      </c>
      <c r="D862" t="s">
        <v>111</v>
      </c>
      <c r="E862">
        <v>18</v>
      </c>
      <c r="F862">
        <v>1018</v>
      </c>
      <c r="G862" t="s">
        <v>112</v>
      </c>
      <c r="J862" t="s">
        <v>113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R862" t="s">
        <v>114</v>
      </c>
      <c r="S862" t="str">
        <f>"18:49:00.992"</f>
        <v>18:49:00.992</v>
      </c>
      <c r="T862" t="str">
        <f>"18:49:00.789"</f>
        <v>18:49:00.789</v>
      </c>
      <c r="U862" t="str">
        <f t="shared" si="40"/>
        <v>a1cdbe</v>
      </c>
      <c r="V862">
        <v>0</v>
      </c>
      <c r="W862">
        <v>0</v>
      </c>
      <c r="X862">
        <v>1</v>
      </c>
      <c r="Y862">
        <v>0</v>
      </c>
      <c r="Z862">
        <v>0</v>
      </c>
      <c r="AB862">
        <v>0</v>
      </c>
      <c r="AC862">
        <v>9</v>
      </c>
      <c r="AD862">
        <v>3</v>
      </c>
      <c r="AE862">
        <v>0</v>
      </c>
      <c r="AF862">
        <v>9</v>
      </c>
      <c r="AG862" t="s">
        <v>158</v>
      </c>
      <c r="AH862">
        <v>0</v>
      </c>
      <c r="AI862">
        <v>3</v>
      </c>
      <c r="AJ862">
        <v>1</v>
      </c>
      <c r="AK862">
        <v>0</v>
      </c>
      <c r="AL862" t="s">
        <v>1794</v>
      </c>
      <c r="AM862">
        <v>46.852269</v>
      </c>
      <c r="AN862" t="s">
        <v>1795</v>
      </c>
      <c r="AO862">
        <v>-122.43885</v>
      </c>
      <c r="AP862">
        <v>100</v>
      </c>
      <c r="AQ862">
        <v>2100</v>
      </c>
      <c r="AR862" t="s">
        <v>118</v>
      </c>
      <c r="AS862">
        <v>-73</v>
      </c>
      <c r="AT862">
        <v>-37</v>
      </c>
      <c r="AU862">
        <v>0</v>
      </c>
      <c r="BC862">
        <v>1200</v>
      </c>
      <c r="BD862">
        <v>1</v>
      </c>
      <c r="BE862" t="str">
        <f t="shared" si="41"/>
        <v xml:space="preserve">N215T   </v>
      </c>
      <c r="BF862">
        <v>1</v>
      </c>
      <c r="BH862">
        <v>0</v>
      </c>
      <c r="BI862">
        <v>0</v>
      </c>
      <c r="BJ862">
        <v>0</v>
      </c>
      <c r="BK862">
        <v>2425</v>
      </c>
      <c r="BL862">
        <v>325</v>
      </c>
      <c r="BM862" t="s">
        <v>119</v>
      </c>
      <c r="BN862">
        <v>1</v>
      </c>
      <c r="BO862">
        <v>1</v>
      </c>
      <c r="BP862">
        <v>1</v>
      </c>
      <c r="BQ862">
        <v>0</v>
      </c>
      <c r="BT862">
        <v>0</v>
      </c>
      <c r="BU862">
        <v>0</v>
      </c>
      <c r="BV862">
        <v>0</v>
      </c>
      <c r="CC862" t="str">
        <f>"18:49:00.992"</f>
        <v>18:49:00.992</v>
      </c>
      <c r="CD862" t="str">
        <f>"994049455"</f>
        <v>994049455</v>
      </c>
      <c r="CQ862">
        <v>0</v>
      </c>
      <c r="CR862">
        <v>2</v>
      </c>
      <c r="CS862">
        <v>0</v>
      </c>
      <c r="CT862">
        <v>2</v>
      </c>
      <c r="CU862">
        <v>0</v>
      </c>
      <c r="CV862">
        <v>5</v>
      </c>
      <c r="CW862" t="s">
        <v>120</v>
      </c>
      <c r="CX862">
        <v>261</v>
      </c>
      <c r="CY862">
        <v>2</v>
      </c>
      <c r="CZ862" t="s">
        <v>121</v>
      </c>
      <c r="DA862" t="s">
        <v>122</v>
      </c>
      <c r="DD862">
        <v>14707088</v>
      </c>
      <c r="DE862" t="s">
        <v>123</v>
      </c>
    </row>
    <row r="863" spans="1:109" x14ac:dyDescent="0.3">
      <c r="A863" t="str">
        <f>"18:49:02.336"</f>
        <v>18:49:02.336</v>
      </c>
      <c r="B863" t="s">
        <v>110</v>
      </c>
      <c r="C863" t="str">
        <f t="shared" si="39"/>
        <v>ffdfd3c0</v>
      </c>
      <c r="D863" t="s">
        <v>111</v>
      </c>
      <c r="E863">
        <v>18</v>
      </c>
      <c r="F863">
        <v>1018</v>
      </c>
      <c r="G863" t="s">
        <v>112</v>
      </c>
      <c r="J863" t="s">
        <v>113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R863" t="s">
        <v>114</v>
      </c>
      <c r="S863" t="str">
        <f>"18:49:02.117"</f>
        <v>18:49:02.117</v>
      </c>
      <c r="T863" t="str">
        <f>"18:49:01.617"</f>
        <v>18:49:01.617</v>
      </c>
      <c r="U863" t="str">
        <f t="shared" si="40"/>
        <v>a1cdbe</v>
      </c>
      <c r="V863">
        <v>0</v>
      </c>
      <c r="W863">
        <v>0</v>
      </c>
      <c r="X863">
        <v>1</v>
      </c>
      <c r="Y863">
        <v>0</v>
      </c>
      <c r="Z863">
        <v>0</v>
      </c>
      <c r="AB863">
        <v>0</v>
      </c>
      <c r="AC863">
        <v>9</v>
      </c>
      <c r="AD863">
        <v>3</v>
      </c>
      <c r="AE863">
        <v>0</v>
      </c>
      <c r="AF863">
        <v>9</v>
      </c>
      <c r="AG863" t="s">
        <v>158</v>
      </c>
      <c r="AH863">
        <v>0</v>
      </c>
      <c r="AI863">
        <v>3</v>
      </c>
      <c r="AJ863">
        <v>1</v>
      </c>
      <c r="AK863">
        <v>0</v>
      </c>
      <c r="AL863" t="s">
        <v>1796</v>
      </c>
      <c r="AM863">
        <v>46.852075999999997</v>
      </c>
      <c r="AN863" t="s">
        <v>1797</v>
      </c>
      <c r="AO863">
        <v>-122.43947300000001</v>
      </c>
      <c r="AP863">
        <v>100</v>
      </c>
      <c r="AQ863">
        <v>2100</v>
      </c>
      <c r="AR863" t="s">
        <v>118</v>
      </c>
      <c r="AS863">
        <v>-73</v>
      </c>
      <c r="AT863">
        <v>-36</v>
      </c>
      <c r="AU863">
        <v>0</v>
      </c>
      <c r="BC863">
        <v>1200</v>
      </c>
      <c r="BD863">
        <v>1</v>
      </c>
      <c r="BE863" t="str">
        <f t="shared" si="41"/>
        <v xml:space="preserve">N215T   </v>
      </c>
      <c r="BF863">
        <v>1</v>
      </c>
      <c r="BH863">
        <v>0</v>
      </c>
      <c r="BI863">
        <v>0</v>
      </c>
      <c r="BJ863">
        <v>0</v>
      </c>
      <c r="BK863">
        <v>2450</v>
      </c>
      <c r="BL863">
        <v>350</v>
      </c>
      <c r="BM863" t="s">
        <v>119</v>
      </c>
      <c r="BN863">
        <v>1</v>
      </c>
      <c r="BO863">
        <v>1</v>
      </c>
      <c r="BP863">
        <v>1</v>
      </c>
      <c r="BQ863">
        <v>0</v>
      </c>
      <c r="BT863">
        <v>0</v>
      </c>
      <c r="BU863">
        <v>0</v>
      </c>
      <c r="BV863">
        <v>0</v>
      </c>
      <c r="CC863" t="str">
        <f>"18:49:02.117"</f>
        <v>18:49:02.117</v>
      </c>
      <c r="CD863" t="str">
        <f>"119069726"</f>
        <v>119069726</v>
      </c>
      <c r="CQ863">
        <v>0</v>
      </c>
      <c r="CR863">
        <v>2</v>
      </c>
      <c r="CS863">
        <v>0</v>
      </c>
      <c r="CT863">
        <v>2</v>
      </c>
      <c r="CU863">
        <v>0</v>
      </c>
      <c r="CV863">
        <v>5</v>
      </c>
      <c r="CW863" t="s">
        <v>120</v>
      </c>
      <c r="CX863">
        <v>257</v>
      </c>
      <c r="CY863">
        <v>1</v>
      </c>
      <c r="CZ863" t="s">
        <v>615</v>
      </c>
      <c r="DA863" t="s">
        <v>616</v>
      </c>
      <c r="DD863">
        <v>11027189</v>
      </c>
      <c r="DE863" t="s">
        <v>123</v>
      </c>
    </row>
    <row r="864" spans="1:109" x14ac:dyDescent="0.3">
      <c r="A864" t="str">
        <f>"18:49:03.242"</f>
        <v>18:49:03.242</v>
      </c>
      <c r="B864" t="s">
        <v>110</v>
      </c>
      <c r="C864" t="str">
        <f t="shared" si="39"/>
        <v>ffdfd3c0</v>
      </c>
      <c r="D864" t="s">
        <v>111</v>
      </c>
      <c r="E864">
        <v>18</v>
      </c>
      <c r="F864">
        <v>1018</v>
      </c>
      <c r="G864" t="s">
        <v>112</v>
      </c>
      <c r="J864" t="s">
        <v>113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R864" t="s">
        <v>114</v>
      </c>
      <c r="S864" t="str">
        <f>"18:49:03.000"</f>
        <v>18:49:03.000</v>
      </c>
      <c r="T864" t="str">
        <f>"18:49:02.602"</f>
        <v>18:49:02.602</v>
      </c>
      <c r="U864" t="str">
        <f t="shared" si="40"/>
        <v>a1cdbe</v>
      </c>
      <c r="V864">
        <v>0</v>
      </c>
      <c r="W864">
        <v>0</v>
      </c>
      <c r="X864">
        <v>1</v>
      </c>
      <c r="Y864">
        <v>0</v>
      </c>
      <c r="Z864">
        <v>0</v>
      </c>
      <c r="AB864">
        <v>0</v>
      </c>
      <c r="AC864">
        <v>9</v>
      </c>
      <c r="AD864">
        <v>3</v>
      </c>
      <c r="AE864">
        <v>0</v>
      </c>
      <c r="AF864">
        <v>9</v>
      </c>
      <c r="AG864" t="s">
        <v>158</v>
      </c>
      <c r="AH864">
        <v>0</v>
      </c>
      <c r="AI864">
        <v>3</v>
      </c>
      <c r="AJ864">
        <v>1</v>
      </c>
      <c r="AK864">
        <v>0</v>
      </c>
      <c r="AL864" t="s">
        <v>1798</v>
      </c>
      <c r="AM864">
        <v>46.851947000000003</v>
      </c>
      <c r="AN864" t="s">
        <v>1799</v>
      </c>
      <c r="AO864">
        <v>-122.43988</v>
      </c>
      <c r="AP864">
        <v>100</v>
      </c>
      <c r="AQ864">
        <v>2100</v>
      </c>
      <c r="AR864" t="s">
        <v>118</v>
      </c>
      <c r="AS864">
        <v>-73</v>
      </c>
      <c r="AT864">
        <v>-36</v>
      </c>
      <c r="AU864">
        <v>128</v>
      </c>
      <c r="BC864">
        <v>1200</v>
      </c>
      <c r="BD864">
        <v>1</v>
      </c>
      <c r="BE864" t="str">
        <f t="shared" si="41"/>
        <v xml:space="preserve">N215T   </v>
      </c>
      <c r="BF864">
        <v>1</v>
      </c>
      <c r="BH864">
        <v>0</v>
      </c>
      <c r="BI864">
        <v>0</v>
      </c>
      <c r="BJ864">
        <v>0</v>
      </c>
      <c r="BK864">
        <v>2425</v>
      </c>
      <c r="BL864">
        <v>325</v>
      </c>
      <c r="BM864" t="s">
        <v>119</v>
      </c>
      <c r="BN864">
        <v>1</v>
      </c>
      <c r="BO864">
        <v>1</v>
      </c>
      <c r="BP864">
        <v>1</v>
      </c>
      <c r="BQ864">
        <v>0</v>
      </c>
      <c r="BT864">
        <v>0</v>
      </c>
      <c r="BU864">
        <v>0</v>
      </c>
      <c r="BV864">
        <v>0</v>
      </c>
      <c r="CC864" t="str">
        <f>"18:49:03.008"</f>
        <v>18:49:03.008</v>
      </c>
      <c r="CD864" t="str">
        <f>"003982481"</f>
        <v>003982481</v>
      </c>
      <c r="CQ864">
        <v>0</v>
      </c>
      <c r="CR864">
        <v>2</v>
      </c>
      <c r="CS864">
        <v>0</v>
      </c>
      <c r="CT864">
        <v>2</v>
      </c>
      <c r="CU864">
        <v>0</v>
      </c>
      <c r="CV864">
        <v>6</v>
      </c>
      <c r="CW864" t="s">
        <v>120</v>
      </c>
      <c r="CX864">
        <v>257</v>
      </c>
      <c r="CY864">
        <v>1</v>
      </c>
      <c r="CZ864" t="s">
        <v>615</v>
      </c>
      <c r="DA864" t="s">
        <v>616</v>
      </c>
      <c r="DD864">
        <v>11027775</v>
      </c>
      <c r="DE864" t="s">
        <v>123</v>
      </c>
    </row>
    <row r="865" spans="1:109" x14ac:dyDescent="0.3">
      <c r="A865" t="str">
        <f>"18:49:04.094"</f>
        <v>18:49:04.094</v>
      </c>
      <c r="B865" t="s">
        <v>110</v>
      </c>
      <c r="C865" t="str">
        <f t="shared" si="39"/>
        <v>ffdfd3c0</v>
      </c>
      <c r="D865" t="s">
        <v>111</v>
      </c>
      <c r="E865">
        <v>18</v>
      </c>
      <c r="F865">
        <v>1018</v>
      </c>
      <c r="G865" t="s">
        <v>112</v>
      </c>
      <c r="J865" t="s">
        <v>113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R865" t="s">
        <v>114</v>
      </c>
      <c r="S865" t="str">
        <f>"18:49:03.898"</f>
        <v>18:49:03.898</v>
      </c>
      <c r="T865" t="str">
        <f>"18:49:03.797"</f>
        <v>18:49:03.797</v>
      </c>
      <c r="U865" t="str">
        <f t="shared" si="40"/>
        <v>a1cdbe</v>
      </c>
      <c r="V865">
        <v>0</v>
      </c>
      <c r="W865">
        <v>0</v>
      </c>
      <c r="X865">
        <v>1</v>
      </c>
      <c r="Y865">
        <v>0</v>
      </c>
      <c r="Z865">
        <v>0</v>
      </c>
      <c r="AB865">
        <v>0</v>
      </c>
      <c r="AC865">
        <v>9</v>
      </c>
      <c r="AD865">
        <v>3</v>
      </c>
      <c r="AE865">
        <v>0</v>
      </c>
      <c r="AF865">
        <v>9</v>
      </c>
      <c r="AG865" t="s">
        <v>158</v>
      </c>
      <c r="AH865">
        <v>0</v>
      </c>
      <c r="AI865">
        <v>3</v>
      </c>
      <c r="AJ865">
        <v>1</v>
      </c>
      <c r="AK865">
        <v>0</v>
      </c>
      <c r="AL865" t="s">
        <v>1800</v>
      </c>
      <c r="AM865">
        <v>46.851796999999998</v>
      </c>
      <c r="AN865" t="s">
        <v>1801</v>
      </c>
      <c r="AO865">
        <v>-122.440288</v>
      </c>
      <c r="AP865">
        <v>100</v>
      </c>
      <c r="AQ865">
        <v>2100</v>
      </c>
      <c r="AR865" t="s">
        <v>118</v>
      </c>
      <c r="AS865">
        <v>-74</v>
      </c>
      <c r="AT865">
        <v>-36</v>
      </c>
      <c r="AU865">
        <v>128</v>
      </c>
      <c r="BC865">
        <v>1200</v>
      </c>
      <c r="BD865">
        <v>1</v>
      </c>
      <c r="BE865" t="str">
        <f t="shared" si="41"/>
        <v xml:space="preserve">N215T   </v>
      </c>
      <c r="BF865">
        <v>1</v>
      </c>
      <c r="BH865">
        <v>0</v>
      </c>
      <c r="BI865">
        <v>0</v>
      </c>
      <c r="BJ865">
        <v>0</v>
      </c>
      <c r="BK865">
        <v>2450</v>
      </c>
      <c r="BL865">
        <v>350</v>
      </c>
      <c r="BM865" t="s">
        <v>119</v>
      </c>
      <c r="BN865">
        <v>1</v>
      </c>
      <c r="BO865">
        <v>1</v>
      </c>
      <c r="BP865">
        <v>1</v>
      </c>
      <c r="BQ865">
        <v>0</v>
      </c>
      <c r="BT865">
        <v>0</v>
      </c>
      <c r="BU865">
        <v>0</v>
      </c>
      <c r="BV865">
        <v>0</v>
      </c>
      <c r="CC865" t="str">
        <f>"18:49:03.906"</f>
        <v>18:49:03.906</v>
      </c>
      <c r="CD865" t="str">
        <f>"903763013"</f>
        <v>903763013</v>
      </c>
      <c r="CQ865">
        <v>0</v>
      </c>
      <c r="CR865">
        <v>2</v>
      </c>
      <c r="CS865">
        <v>0</v>
      </c>
      <c r="CT865">
        <v>2</v>
      </c>
      <c r="CU865">
        <v>0</v>
      </c>
      <c r="CV865">
        <v>5</v>
      </c>
      <c r="CW865" t="s">
        <v>120</v>
      </c>
      <c r="CX865">
        <v>261</v>
      </c>
      <c r="CY865">
        <v>2</v>
      </c>
      <c r="CZ865" t="s">
        <v>121</v>
      </c>
      <c r="DA865" t="s">
        <v>122</v>
      </c>
      <c r="DD865">
        <v>14708744</v>
      </c>
      <c r="DE865" t="s">
        <v>123</v>
      </c>
    </row>
    <row r="866" spans="1:109" x14ac:dyDescent="0.3">
      <c r="A866" t="str">
        <f>"18:49:05.250"</f>
        <v>18:49:05.250</v>
      </c>
      <c r="B866" t="s">
        <v>110</v>
      </c>
      <c r="C866" t="str">
        <f t="shared" si="39"/>
        <v>ffdfd3c0</v>
      </c>
      <c r="D866" t="s">
        <v>111</v>
      </c>
      <c r="E866">
        <v>18</v>
      </c>
      <c r="F866">
        <v>1018</v>
      </c>
      <c r="G866" t="s">
        <v>112</v>
      </c>
      <c r="J866" t="s">
        <v>113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R866" t="s">
        <v>114</v>
      </c>
      <c r="S866" t="str">
        <f>"18:49:05.008"</f>
        <v>18:49:05.008</v>
      </c>
      <c r="T866" t="str">
        <f>"18:49:04.711"</f>
        <v>18:49:04.711</v>
      </c>
      <c r="U866" t="str">
        <f t="shared" si="40"/>
        <v>a1cdbe</v>
      </c>
      <c r="V866">
        <v>0</v>
      </c>
      <c r="W866">
        <v>0</v>
      </c>
      <c r="X866">
        <v>1</v>
      </c>
      <c r="Y866">
        <v>0</v>
      </c>
      <c r="Z866">
        <v>0</v>
      </c>
      <c r="AB866">
        <v>0</v>
      </c>
      <c r="AC866">
        <v>9</v>
      </c>
      <c r="AD866">
        <v>3</v>
      </c>
      <c r="AE866">
        <v>0</v>
      </c>
      <c r="AF866">
        <v>9</v>
      </c>
      <c r="AG866" t="s">
        <v>158</v>
      </c>
      <c r="AH866">
        <v>0</v>
      </c>
      <c r="AI866">
        <v>3</v>
      </c>
      <c r="AJ866">
        <v>1</v>
      </c>
      <c r="AK866">
        <v>0</v>
      </c>
      <c r="AL866" t="s">
        <v>1802</v>
      </c>
      <c r="AM866">
        <v>46.851624999999999</v>
      </c>
      <c r="AN866" t="s">
        <v>1803</v>
      </c>
      <c r="AO866">
        <v>-122.44084599999999</v>
      </c>
      <c r="AP866">
        <v>100</v>
      </c>
      <c r="AQ866">
        <v>2100</v>
      </c>
      <c r="AR866" t="s">
        <v>118</v>
      </c>
      <c r="AS866">
        <v>-74</v>
      </c>
      <c r="AT866">
        <v>-35</v>
      </c>
      <c r="AU866">
        <v>0</v>
      </c>
      <c r="BC866">
        <v>1200</v>
      </c>
      <c r="BD866">
        <v>1</v>
      </c>
      <c r="BE866" t="str">
        <f t="shared" si="41"/>
        <v xml:space="preserve">N215T   </v>
      </c>
      <c r="BF866">
        <v>1</v>
      </c>
      <c r="BH866">
        <v>0</v>
      </c>
      <c r="BI866">
        <v>0</v>
      </c>
      <c r="BJ866">
        <v>0</v>
      </c>
      <c r="BK866">
        <v>2450</v>
      </c>
      <c r="BL866">
        <v>350</v>
      </c>
      <c r="BM866" t="s">
        <v>119</v>
      </c>
      <c r="BN866">
        <v>1</v>
      </c>
      <c r="BO866">
        <v>1</v>
      </c>
      <c r="BP866">
        <v>1</v>
      </c>
      <c r="BQ866">
        <v>0</v>
      </c>
      <c r="BT866">
        <v>0</v>
      </c>
      <c r="BU866">
        <v>0</v>
      </c>
      <c r="BV866">
        <v>0</v>
      </c>
      <c r="CC866" t="str">
        <f>"18:49:05.016"</f>
        <v>18:49:05.016</v>
      </c>
      <c r="CD866" t="str">
        <f>"013784308"</f>
        <v>013784308</v>
      </c>
      <c r="CQ866">
        <v>0</v>
      </c>
      <c r="CR866">
        <v>2</v>
      </c>
      <c r="CS866">
        <v>0</v>
      </c>
      <c r="CT866">
        <v>2</v>
      </c>
      <c r="CU866">
        <v>0</v>
      </c>
      <c r="CV866">
        <v>6</v>
      </c>
      <c r="CW866" t="s">
        <v>120</v>
      </c>
      <c r="CX866">
        <v>257</v>
      </c>
      <c r="CY866">
        <v>1</v>
      </c>
      <c r="CZ866" t="s">
        <v>615</v>
      </c>
      <c r="DA866" t="s">
        <v>616</v>
      </c>
      <c r="DD866">
        <v>11029041</v>
      </c>
      <c r="DE866" t="s">
        <v>123</v>
      </c>
    </row>
    <row r="867" spans="1:109" x14ac:dyDescent="0.3">
      <c r="A867" t="str">
        <f>"18:49:06.203"</f>
        <v>18:49:06.203</v>
      </c>
      <c r="B867" t="s">
        <v>110</v>
      </c>
      <c r="C867" t="str">
        <f t="shared" si="39"/>
        <v>ffdfd3c0</v>
      </c>
      <c r="D867" t="s">
        <v>111</v>
      </c>
      <c r="E867">
        <v>18</v>
      </c>
      <c r="F867">
        <v>1018</v>
      </c>
      <c r="G867" t="s">
        <v>112</v>
      </c>
      <c r="J867" t="s">
        <v>113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R867" t="s">
        <v>114</v>
      </c>
      <c r="S867" t="str">
        <f>"18:49:05.969"</f>
        <v>18:49:05.969</v>
      </c>
      <c r="T867" t="str">
        <f>"18:49:05.570"</f>
        <v>18:49:05.570</v>
      </c>
      <c r="U867" t="str">
        <f t="shared" si="40"/>
        <v>a1cdbe</v>
      </c>
      <c r="V867">
        <v>0</v>
      </c>
      <c r="W867">
        <v>0</v>
      </c>
      <c r="X867">
        <v>1</v>
      </c>
      <c r="Y867">
        <v>0</v>
      </c>
      <c r="Z867">
        <v>0</v>
      </c>
      <c r="AB867">
        <v>0</v>
      </c>
      <c r="AC867">
        <v>9</v>
      </c>
      <c r="AD867">
        <v>3</v>
      </c>
      <c r="AE867">
        <v>0</v>
      </c>
      <c r="AF867">
        <v>9</v>
      </c>
      <c r="AG867" t="s">
        <v>158</v>
      </c>
      <c r="AH867">
        <v>0</v>
      </c>
      <c r="AI867">
        <v>3</v>
      </c>
      <c r="AJ867">
        <v>1</v>
      </c>
      <c r="AK867">
        <v>0</v>
      </c>
      <c r="AL867" t="s">
        <v>1804</v>
      </c>
      <c r="AM867">
        <v>46.851432000000003</v>
      </c>
      <c r="AN867" t="s">
        <v>1805</v>
      </c>
      <c r="AO867">
        <v>-122.441361</v>
      </c>
      <c r="AP867">
        <v>100</v>
      </c>
      <c r="AQ867">
        <v>2100</v>
      </c>
      <c r="AR867" t="s">
        <v>118</v>
      </c>
      <c r="AS867">
        <v>-75</v>
      </c>
      <c r="AT867">
        <v>-35</v>
      </c>
      <c r="AU867">
        <v>0</v>
      </c>
      <c r="BC867">
        <v>1200</v>
      </c>
      <c r="BD867">
        <v>1</v>
      </c>
      <c r="BE867" t="str">
        <f t="shared" si="41"/>
        <v xml:space="preserve">N215T   </v>
      </c>
      <c r="BF867">
        <v>1</v>
      </c>
      <c r="BH867">
        <v>0</v>
      </c>
      <c r="BI867">
        <v>0</v>
      </c>
      <c r="BJ867">
        <v>0</v>
      </c>
      <c r="BK867">
        <v>2450</v>
      </c>
      <c r="BL867">
        <v>350</v>
      </c>
      <c r="BM867" t="s">
        <v>119</v>
      </c>
      <c r="BN867">
        <v>1</v>
      </c>
      <c r="BO867">
        <v>1</v>
      </c>
      <c r="BP867">
        <v>1</v>
      </c>
      <c r="BQ867">
        <v>0</v>
      </c>
      <c r="BT867">
        <v>0</v>
      </c>
      <c r="BU867">
        <v>0</v>
      </c>
      <c r="BV867">
        <v>0</v>
      </c>
      <c r="CC867" t="str">
        <f>"18:49:05.977"</f>
        <v>18:49:05.977</v>
      </c>
      <c r="CD867" t="str">
        <f>"973689654"</f>
        <v>973689654</v>
      </c>
      <c r="CQ867">
        <v>0</v>
      </c>
      <c r="CR867">
        <v>2</v>
      </c>
      <c r="CS867">
        <v>0</v>
      </c>
      <c r="CT867">
        <v>2</v>
      </c>
      <c r="CU867">
        <v>0</v>
      </c>
      <c r="CV867">
        <v>6</v>
      </c>
      <c r="CW867" t="s">
        <v>120</v>
      </c>
      <c r="CX867">
        <v>257</v>
      </c>
      <c r="CY867">
        <v>1</v>
      </c>
      <c r="CZ867" t="s">
        <v>615</v>
      </c>
      <c r="DA867" t="s">
        <v>616</v>
      </c>
      <c r="DD867">
        <v>11029699</v>
      </c>
      <c r="DE867" t="s">
        <v>123</v>
      </c>
    </row>
    <row r="868" spans="1:109" x14ac:dyDescent="0.3">
      <c r="A868" t="str">
        <f>"18:49:07.266"</f>
        <v>18:49:07.266</v>
      </c>
      <c r="B868" t="s">
        <v>110</v>
      </c>
      <c r="C868" t="str">
        <f t="shared" si="39"/>
        <v>ffdfd3c0</v>
      </c>
      <c r="D868" t="s">
        <v>111</v>
      </c>
      <c r="E868">
        <v>18</v>
      </c>
      <c r="F868">
        <v>1018</v>
      </c>
      <c r="G868" t="s">
        <v>112</v>
      </c>
      <c r="J868" t="s">
        <v>113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R868" t="s">
        <v>114</v>
      </c>
      <c r="S868" t="str">
        <f>"18:49:07.008"</f>
        <v>18:49:07.008</v>
      </c>
      <c r="T868" t="str">
        <f>"18:49:06.609"</f>
        <v>18:49:06.609</v>
      </c>
      <c r="U868" t="str">
        <f t="shared" si="40"/>
        <v>a1cdbe</v>
      </c>
      <c r="V868">
        <v>0</v>
      </c>
      <c r="W868">
        <v>0</v>
      </c>
      <c r="X868">
        <v>1</v>
      </c>
      <c r="Y868">
        <v>0</v>
      </c>
      <c r="Z868">
        <v>0</v>
      </c>
      <c r="AB868">
        <v>0</v>
      </c>
      <c r="AC868">
        <v>9</v>
      </c>
      <c r="AD868">
        <v>3</v>
      </c>
      <c r="AE868">
        <v>0</v>
      </c>
      <c r="AF868">
        <v>9</v>
      </c>
      <c r="AG868" t="s">
        <v>158</v>
      </c>
      <c r="AH868">
        <v>0</v>
      </c>
      <c r="AI868">
        <v>3</v>
      </c>
      <c r="AJ868">
        <v>1</v>
      </c>
      <c r="AK868">
        <v>0</v>
      </c>
      <c r="AL868" t="s">
        <v>1806</v>
      </c>
      <c r="AM868">
        <v>46.851281999999998</v>
      </c>
      <c r="AN868" t="s">
        <v>1807</v>
      </c>
      <c r="AO868">
        <v>-122.44187599999999</v>
      </c>
      <c r="AP868">
        <v>100</v>
      </c>
      <c r="AQ868">
        <v>2100</v>
      </c>
      <c r="AR868" t="s">
        <v>118</v>
      </c>
      <c r="AS868">
        <v>-75</v>
      </c>
      <c r="AT868">
        <v>-36</v>
      </c>
      <c r="AU868">
        <v>64</v>
      </c>
      <c r="BC868">
        <v>1200</v>
      </c>
      <c r="BD868">
        <v>1</v>
      </c>
      <c r="BE868" t="str">
        <f t="shared" si="41"/>
        <v xml:space="preserve">N215T   </v>
      </c>
      <c r="BF868">
        <v>1</v>
      </c>
      <c r="BH868">
        <v>0</v>
      </c>
      <c r="BI868">
        <v>0</v>
      </c>
      <c r="BJ868">
        <v>0</v>
      </c>
      <c r="BK868">
        <v>2450</v>
      </c>
      <c r="BL868">
        <v>350</v>
      </c>
      <c r="BM868" t="s">
        <v>119</v>
      </c>
      <c r="BN868">
        <v>1</v>
      </c>
      <c r="BO868">
        <v>1</v>
      </c>
      <c r="BP868">
        <v>1</v>
      </c>
      <c r="BQ868">
        <v>0</v>
      </c>
      <c r="BT868">
        <v>0</v>
      </c>
      <c r="BU868">
        <v>0</v>
      </c>
      <c r="BV868">
        <v>0</v>
      </c>
      <c r="CC868" t="str">
        <f>"18:49:07.008"</f>
        <v>18:49:07.008</v>
      </c>
      <c r="CD868" t="str">
        <f>"008428574"</f>
        <v>008428574</v>
      </c>
      <c r="CQ868">
        <v>0</v>
      </c>
      <c r="CR868">
        <v>2</v>
      </c>
      <c r="CS868">
        <v>0</v>
      </c>
      <c r="CT868">
        <v>2</v>
      </c>
      <c r="CU868">
        <v>0</v>
      </c>
      <c r="CV868">
        <v>4</v>
      </c>
      <c r="CW868" t="s">
        <v>172</v>
      </c>
      <c r="CX868">
        <v>326</v>
      </c>
      <c r="CY868">
        <v>0</v>
      </c>
      <c r="CZ868" t="s">
        <v>173</v>
      </c>
      <c r="DA868" t="s">
        <v>174</v>
      </c>
      <c r="DD868">
        <v>6063490</v>
      </c>
      <c r="DE868" t="s">
        <v>123</v>
      </c>
    </row>
    <row r="869" spans="1:109" x14ac:dyDescent="0.3">
      <c r="A869" t="str">
        <f>"18:49:08.266"</f>
        <v>18:49:08.266</v>
      </c>
      <c r="B869" t="s">
        <v>110</v>
      </c>
      <c r="C869" t="str">
        <f t="shared" si="39"/>
        <v>ffdfd3c0</v>
      </c>
      <c r="D869" t="s">
        <v>111</v>
      </c>
      <c r="E869">
        <v>18</v>
      </c>
      <c r="F869">
        <v>1018</v>
      </c>
      <c r="G869" t="s">
        <v>112</v>
      </c>
      <c r="J869" t="s">
        <v>113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R869" t="s">
        <v>114</v>
      </c>
      <c r="S869" t="str">
        <f>"18:49:08.023"</f>
        <v>18:49:08.023</v>
      </c>
      <c r="T869" t="str">
        <f>"18:49:07.625"</f>
        <v>18:49:07.625</v>
      </c>
      <c r="U869" t="str">
        <f t="shared" si="40"/>
        <v>a1cdbe</v>
      </c>
      <c r="V869">
        <v>0</v>
      </c>
      <c r="W869">
        <v>0</v>
      </c>
      <c r="X869">
        <v>1</v>
      </c>
      <c r="Y869">
        <v>0</v>
      </c>
      <c r="Z869">
        <v>0</v>
      </c>
      <c r="AB869">
        <v>0</v>
      </c>
      <c r="AC869">
        <v>9</v>
      </c>
      <c r="AD869">
        <v>3</v>
      </c>
      <c r="AE869">
        <v>0</v>
      </c>
      <c r="AF869">
        <v>9</v>
      </c>
      <c r="AG869" t="s">
        <v>158</v>
      </c>
      <c r="AH869">
        <v>0</v>
      </c>
      <c r="AI869">
        <v>3</v>
      </c>
      <c r="AJ869">
        <v>1</v>
      </c>
      <c r="AK869">
        <v>0</v>
      </c>
      <c r="AL869" t="s">
        <v>1808</v>
      </c>
      <c r="AM869">
        <v>46.851109999999998</v>
      </c>
      <c r="AN869" t="s">
        <v>1809</v>
      </c>
      <c r="AO869">
        <v>-122.44243400000001</v>
      </c>
      <c r="AP869">
        <v>100</v>
      </c>
      <c r="AQ869">
        <v>2100</v>
      </c>
      <c r="AR869" t="s">
        <v>118</v>
      </c>
      <c r="AS869">
        <v>-75</v>
      </c>
      <c r="AT869">
        <v>-36</v>
      </c>
      <c r="AU869">
        <v>64</v>
      </c>
      <c r="BC869">
        <v>1200</v>
      </c>
      <c r="BD869">
        <v>1</v>
      </c>
      <c r="BE869" t="str">
        <f t="shared" si="41"/>
        <v xml:space="preserve">N215T   </v>
      </c>
      <c r="BF869">
        <v>1</v>
      </c>
      <c r="BH869">
        <v>0</v>
      </c>
      <c r="BI869">
        <v>0</v>
      </c>
      <c r="BJ869">
        <v>0</v>
      </c>
      <c r="BK869">
        <v>2450</v>
      </c>
      <c r="BL869">
        <v>350</v>
      </c>
      <c r="BM869" t="s">
        <v>119</v>
      </c>
      <c r="BN869">
        <v>1</v>
      </c>
      <c r="BO869">
        <v>1</v>
      </c>
      <c r="BP869">
        <v>1</v>
      </c>
      <c r="BQ869">
        <v>0</v>
      </c>
      <c r="BT869">
        <v>0</v>
      </c>
      <c r="BU869">
        <v>0</v>
      </c>
      <c r="BV869">
        <v>0</v>
      </c>
      <c r="CC869" t="str">
        <f>"18:49:08.031"</f>
        <v>18:49:08.031</v>
      </c>
      <c r="CD869" t="str">
        <f>"028487047"</f>
        <v>028487047</v>
      </c>
      <c r="CQ869">
        <v>0</v>
      </c>
      <c r="CR869">
        <v>2</v>
      </c>
      <c r="CS869">
        <v>0</v>
      </c>
      <c r="CT869">
        <v>2</v>
      </c>
      <c r="CU869">
        <v>0</v>
      </c>
      <c r="CV869">
        <v>5</v>
      </c>
      <c r="CW869" t="s">
        <v>120</v>
      </c>
      <c r="CX869">
        <v>257</v>
      </c>
      <c r="CY869">
        <v>1</v>
      </c>
      <c r="CZ869" t="s">
        <v>615</v>
      </c>
      <c r="DA869" t="s">
        <v>616</v>
      </c>
      <c r="DD869">
        <v>11031024</v>
      </c>
      <c r="DE869" t="s">
        <v>123</v>
      </c>
    </row>
    <row r="870" spans="1:109" x14ac:dyDescent="0.3">
      <c r="A870" t="str">
        <f>"18:49:09.273"</f>
        <v>18:49:09.273</v>
      </c>
      <c r="B870" t="s">
        <v>110</v>
      </c>
      <c r="C870" t="str">
        <f t="shared" si="39"/>
        <v>ffdfd3c0</v>
      </c>
      <c r="D870" t="s">
        <v>111</v>
      </c>
      <c r="E870">
        <v>18</v>
      </c>
      <c r="F870">
        <v>1018</v>
      </c>
      <c r="G870" t="s">
        <v>112</v>
      </c>
      <c r="J870" t="s">
        <v>113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R870" t="s">
        <v>114</v>
      </c>
      <c r="S870" t="str">
        <f>"18:49:09.047"</f>
        <v>18:49:09.047</v>
      </c>
      <c r="T870" t="str">
        <f>"18:49:08.547"</f>
        <v>18:49:08.547</v>
      </c>
      <c r="U870" t="str">
        <f t="shared" si="40"/>
        <v>a1cdbe</v>
      </c>
      <c r="V870">
        <v>0</v>
      </c>
      <c r="W870">
        <v>0</v>
      </c>
      <c r="X870">
        <v>1</v>
      </c>
      <c r="Y870">
        <v>0</v>
      </c>
      <c r="Z870">
        <v>0</v>
      </c>
      <c r="AB870">
        <v>0</v>
      </c>
      <c r="AC870">
        <v>9</v>
      </c>
      <c r="AD870">
        <v>3</v>
      </c>
      <c r="AE870">
        <v>0</v>
      </c>
      <c r="AF870">
        <v>9</v>
      </c>
      <c r="AG870" t="s">
        <v>158</v>
      </c>
      <c r="AH870">
        <v>0</v>
      </c>
      <c r="AI870">
        <v>3</v>
      </c>
      <c r="AJ870">
        <v>1</v>
      </c>
      <c r="AK870">
        <v>0</v>
      </c>
      <c r="AL870" t="s">
        <v>1810</v>
      </c>
      <c r="AM870">
        <v>46.850917000000003</v>
      </c>
      <c r="AN870" t="s">
        <v>1811</v>
      </c>
      <c r="AO870">
        <v>-122.44290599999999</v>
      </c>
      <c r="AP870">
        <v>100</v>
      </c>
      <c r="AQ870">
        <v>2100</v>
      </c>
      <c r="AR870" t="s">
        <v>118</v>
      </c>
      <c r="AS870">
        <v>-75</v>
      </c>
      <c r="AT870">
        <v>-35</v>
      </c>
      <c r="AU870">
        <v>192</v>
      </c>
      <c r="BC870">
        <v>1200</v>
      </c>
      <c r="BD870">
        <v>1</v>
      </c>
      <c r="BE870" t="str">
        <f t="shared" si="41"/>
        <v xml:space="preserve">N215T   </v>
      </c>
      <c r="BF870">
        <v>1</v>
      </c>
      <c r="BH870">
        <v>0</v>
      </c>
      <c r="BI870">
        <v>0</v>
      </c>
      <c r="BJ870">
        <v>0</v>
      </c>
      <c r="BK870">
        <v>2450</v>
      </c>
      <c r="BL870">
        <v>350</v>
      </c>
      <c r="BM870" t="s">
        <v>119</v>
      </c>
      <c r="BN870">
        <v>1</v>
      </c>
      <c r="BO870">
        <v>1</v>
      </c>
      <c r="BP870">
        <v>1</v>
      </c>
      <c r="BQ870">
        <v>0</v>
      </c>
      <c r="BT870">
        <v>0</v>
      </c>
      <c r="BU870">
        <v>0</v>
      </c>
      <c r="BV870">
        <v>0</v>
      </c>
      <c r="CC870" t="str">
        <f>"18:49:09.047"</f>
        <v>18:49:09.047</v>
      </c>
      <c r="CD870" t="str">
        <f>"048256529"</f>
        <v>048256529</v>
      </c>
      <c r="CQ870">
        <v>0</v>
      </c>
      <c r="CR870">
        <v>2</v>
      </c>
      <c r="CS870">
        <v>0</v>
      </c>
      <c r="CT870">
        <v>2</v>
      </c>
      <c r="CU870">
        <v>0</v>
      </c>
      <c r="CV870">
        <v>6</v>
      </c>
      <c r="CW870" t="s">
        <v>120</v>
      </c>
      <c r="CX870">
        <v>261</v>
      </c>
      <c r="CY870">
        <v>2</v>
      </c>
      <c r="CZ870" t="s">
        <v>121</v>
      </c>
      <c r="DA870" t="s">
        <v>122</v>
      </c>
      <c r="DD870">
        <v>14711781</v>
      </c>
      <c r="DE870" t="s">
        <v>123</v>
      </c>
    </row>
    <row r="871" spans="1:109" x14ac:dyDescent="0.3">
      <c r="A871" t="str">
        <f>"18:49:10.227"</f>
        <v>18:49:10.227</v>
      </c>
      <c r="B871" t="s">
        <v>110</v>
      </c>
      <c r="C871" t="str">
        <f t="shared" si="39"/>
        <v>ffdfd3c0</v>
      </c>
      <c r="D871" t="s">
        <v>111</v>
      </c>
      <c r="E871">
        <v>18</v>
      </c>
      <c r="F871">
        <v>1018</v>
      </c>
      <c r="G871" t="s">
        <v>112</v>
      </c>
      <c r="J871" t="s">
        <v>113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R871" t="s">
        <v>114</v>
      </c>
      <c r="S871" t="str">
        <f>"18:49:10.016"</f>
        <v>18:49:10.016</v>
      </c>
      <c r="T871" t="str">
        <f>"18:49:10.016"</f>
        <v>18:49:10.016</v>
      </c>
      <c r="U871" t="str">
        <f t="shared" si="40"/>
        <v>a1cdbe</v>
      </c>
      <c r="V871">
        <v>0</v>
      </c>
      <c r="W871">
        <v>0</v>
      </c>
      <c r="X871">
        <v>1</v>
      </c>
      <c r="Y871">
        <v>0</v>
      </c>
      <c r="Z871">
        <v>0</v>
      </c>
      <c r="AB871">
        <v>0</v>
      </c>
      <c r="AC871">
        <v>9</v>
      </c>
      <c r="AD871">
        <v>3</v>
      </c>
      <c r="AE871">
        <v>0</v>
      </c>
      <c r="AF871">
        <v>9</v>
      </c>
      <c r="AG871" t="s">
        <v>158</v>
      </c>
      <c r="AH871">
        <v>0</v>
      </c>
      <c r="AI871">
        <v>3</v>
      </c>
      <c r="AJ871">
        <v>1</v>
      </c>
      <c r="AK871">
        <v>0</v>
      </c>
      <c r="AL871" t="s">
        <v>1812</v>
      </c>
      <c r="AM871">
        <v>46.850788999999999</v>
      </c>
      <c r="AN871" t="s">
        <v>1813</v>
      </c>
      <c r="AO871">
        <v>-122.443421</v>
      </c>
      <c r="AP871">
        <v>100</v>
      </c>
      <c r="AQ871">
        <v>2100</v>
      </c>
      <c r="AR871" t="s">
        <v>118</v>
      </c>
      <c r="AS871">
        <v>-75</v>
      </c>
      <c r="AT871">
        <v>-36</v>
      </c>
      <c r="AU871">
        <v>192</v>
      </c>
      <c r="BC871">
        <v>1200</v>
      </c>
      <c r="BD871">
        <v>1</v>
      </c>
      <c r="BE871" t="str">
        <f t="shared" si="41"/>
        <v xml:space="preserve">N215T   </v>
      </c>
      <c r="BF871">
        <v>1</v>
      </c>
      <c r="BH871">
        <v>0</v>
      </c>
      <c r="BI871">
        <v>0</v>
      </c>
      <c r="BJ871">
        <v>0</v>
      </c>
      <c r="BK871">
        <v>2450</v>
      </c>
      <c r="BL871">
        <v>350</v>
      </c>
      <c r="BM871" t="s">
        <v>119</v>
      </c>
      <c r="BN871">
        <v>1</v>
      </c>
      <c r="BO871">
        <v>1</v>
      </c>
      <c r="BP871">
        <v>1</v>
      </c>
      <c r="BQ871">
        <v>0</v>
      </c>
      <c r="BT871">
        <v>0</v>
      </c>
      <c r="BU871">
        <v>0</v>
      </c>
      <c r="BV871">
        <v>0</v>
      </c>
      <c r="CC871" t="str">
        <f>"18:49:10.023"</f>
        <v>18:49:10.023</v>
      </c>
      <c r="CD871" t="str">
        <f>"023160556"</f>
        <v>023160556</v>
      </c>
      <c r="CQ871">
        <v>0</v>
      </c>
      <c r="CR871">
        <v>2</v>
      </c>
      <c r="CS871">
        <v>0</v>
      </c>
      <c r="CT871">
        <v>2</v>
      </c>
      <c r="CU871">
        <v>0</v>
      </c>
      <c r="CV871">
        <v>6</v>
      </c>
      <c r="CW871" t="s">
        <v>120</v>
      </c>
      <c r="CX871">
        <v>261</v>
      </c>
      <c r="CY871">
        <v>2</v>
      </c>
      <c r="CZ871" t="s">
        <v>121</v>
      </c>
      <c r="DA871" t="s">
        <v>122</v>
      </c>
      <c r="DD871">
        <v>14712335</v>
      </c>
      <c r="DE871" t="s">
        <v>123</v>
      </c>
    </row>
    <row r="872" spans="1:109" x14ac:dyDescent="0.3">
      <c r="A872" t="str">
        <f>"18:49:11.188"</f>
        <v>18:49:11.188</v>
      </c>
      <c r="B872" t="s">
        <v>110</v>
      </c>
      <c r="C872" t="str">
        <f t="shared" si="39"/>
        <v>ffdfd3c0</v>
      </c>
      <c r="D872" t="s">
        <v>111</v>
      </c>
      <c r="E872">
        <v>18</v>
      </c>
      <c r="F872">
        <v>1018</v>
      </c>
      <c r="G872" t="s">
        <v>112</v>
      </c>
      <c r="J872" t="s">
        <v>113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R872" t="s">
        <v>114</v>
      </c>
      <c r="S872" t="str">
        <f>"18:49:10.938"</f>
        <v>18:49:10.938</v>
      </c>
      <c r="T872" t="str">
        <f>"18:49:10.938"</f>
        <v>18:49:10.938</v>
      </c>
      <c r="U872" t="str">
        <f t="shared" si="40"/>
        <v>a1cdbe</v>
      </c>
      <c r="V872">
        <v>0</v>
      </c>
      <c r="W872">
        <v>0</v>
      </c>
      <c r="X872">
        <v>1</v>
      </c>
      <c r="Y872">
        <v>0</v>
      </c>
      <c r="Z872">
        <v>0</v>
      </c>
      <c r="AB872">
        <v>0</v>
      </c>
      <c r="AC872">
        <v>9</v>
      </c>
      <c r="AD872">
        <v>3</v>
      </c>
      <c r="AE872">
        <v>0</v>
      </c>
      <c r="AF872">
        <v>9</v>
      </c>
      <c r="AG872" t="s">
        <v>158</v>
      </c>
      <c r="AH872">
        <v>0</v>
      </c>
      <c r="AI872">
        <v>3</v>
      </c>
      <c r="AJ872">
        <v>1</v>
      </c>
      <c r="AK872">
        <v>0</v>
      </c>
      <c r="AL872" t="s">
        <v>1814</v>
      </c>
      <c r="AM872">
        <v>46.850637999999996</v>
      </c>
      <c r="AN872" t="s">
        <v>1815</v>
      </c>
      <c r="AO872">
        <v>-122.44382899999999</v>
      </c>
      <c r="AP872">
        <v>100</v>
      </c>
      <c r="AQ872">
        <v>2100</v>
      </c>
      <c r="AR872" t="s">
        <v>118</v>
      </c>
      <c r="AS872">
        <v>-75</v>
      </c>
      <c r="AT872">
        <v>-36</v>
      </c>
      <c r="AU872">
        <v>192</v>
      </c>
      <c r="BC872">
        <v>1200</v>
      </c>
      <c r="BD872">
        <v>1</v>
      </c>
      <c r="BE872" t="str">
        <f t="shared" si="41"/>
        <v xml:space="preserve">N215T   </v>
      </c>
      <c r="BF872">
        <v>1</v>
      </c>
      <c r="BH872">
        <v>0</v>
      </c>
      <c r="BI872">
        <v>0</v>
      </c>
      <c r="BJ872">
        <v>0</v>
      </c>
      <c r="BK872">
        <v>2450</v>
      </c>
      <c r="BL872">
        <v>350</v>
      </c>
      <c r="BM872" t="s">
        <v>119</v>
      </c>
      <c r="BN872">
        <v>1</v>
      </c>
      <c r="BO872">
        <v>1</v>
      </c>
      <c r="BP872">
        <v>1</v>
      </c>
      <c r="BQ872">
        <v>0</v>
      </c>
      <c r="BT872">
        <v>0</v>
      </c>
      <c r="BU872">
        <v>0</v>
      </c>
      <c r="BV872">
        <v>0</v>
      </c>
      <c r="CC872" t="str">
        <f>"18:49:10.938"</f>
        <v>18:49:10.938</v>
      </c>
      <c r="CD872" t="str">
        <f>"938200121"</f>
        <v>938200121</v>
      </c>
      <c r="CQ872">
        <v>0</v>
      </c>
      <c r="CR872">
        <v>2</v>
      </c>
      <c r="CS872">
        <v>0</v>
      </c>
      <c r="CT872">
        <v>2</v>
      </c>
      <c r="CU872">
        <v>0</v>
      </c>
      <c r="CV872">
        <v>6</v>
      </c>
      <c r="CW872" t="s">
        <v>120</v>
      </c>
      <c r="CX872">
        <v>257</v>
      </c>
      <c r="CY872">
        <v>1</v>
      </c>
      <c r="CZ872" t="s">
        <v>615</v>
      </c>
      <c r="DA872" t="s">
        <v>616</v>
      </c>
      <c r="DD872">
        <v>11032833</v>
      </c>
      <c r="DE872" t="s">
        <v>123</v>
      </c>
    </row>
    <row r="873" spans="1:109" x14ac:dyDescent="0.3">
      <c r="A873" t="str">
        <f>"18:49:12.242"</f>
        <v>18:49:12.242</v>
      </c>
      <c r="B873" t="s">
        <v>110</v>
      </c>
      <c r="C873" t="str">
        <f t="shared" si="39"/>
        <v>ffdfd3c0</v>
      </c>
      <c r="D873" t="s">
        <v>111</v>
      </c>
      <c r="E873">
        <v>18</v>
      </c>
      <c r="F873">
        <v>1018</v>
      </c>
      <c r="G873" t="s">
        <v>112</v>
      </c>
      <c r="J873" t="s">
        <v>113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R873" t="s">
        <v>114</v>
      </c>
      <c r="S873" t="str">
        <f>"18:49:12.031"</f>
        <v>18:49:12.031</v>
      </c>
      <c r="T873" t="str">
        <f>"18:49:11.828"</f>
        <v>18:49:11.828</v>
      </c>
      <c r="U873" t="str">
        <f t="shared" si="40"/>
        <v>a1cdbe</v>
      </c>
      <c r="V873">
        <v>0</v>
      </c>
      <c r="W873">
        <v>0</v>
      </c>
      <c r="X873">
        <v>1</v>
      </c>
      <c r="Y873">
        <v>0</v>
      </c>
      <c r="Z873">
        <v>0</v>
      </c>
      <c r="AB873">
        <v>0</v>
      </c>
      <c r="AC873">
        <v>9</v>
      </c>
      <c r="AD873">
        <v>3</v>
      </c>
      <c r="AE873">
        <v>0</v>
      </c>
      <c r="AF873">
        <v>9</v>
      </c>
      <c r="AG873" t="s">
        <v>158</v>
      </c>
      <c r="AH873">
        <v>0</v>
      </c>
      <c r="AI873">
        <v>3</v>
      </c>
      <c r="AJ873">
        <v>1</v>
      </c>
      <c r="AK873">
        <v>0</v>
      </c>
      <c r="AL873" t="s">
        <v>1816</v>
      </c>
      <c r="AM873">
        <v>46.850423999999997</v>
      </c>
      <c r="AN873" t="s">
        <v>1817</v>
      </c>
      <c r="AO873">
        <v>-122.444429</v>
      </c>
      <c r="AP873">
        <v>100</v>
      </c>
      <c r="AQ873">
        <v>2100</v>
      </c>
      <c r="AR873" t="s">
        <v>118</v>
      </c>
      <c r="AS873">
        <v>-74</v>
      </c>
      <c r="AT873">
        <v>-36</v>
      </c>
      <c r="AU873">
        <v>256</v>
      </c>
      <c r="BC873">
        <v>1200</v>
      </c>
      <c r="BD873">
        <v>1</v>
      </c>
      <c r="BE873" t="str">
        <f t="shared" si="41"/>
        <v xml:space="preserve">N215T   </v>
      </c>
      <c r="BF873">
        <v>1</v>
      </c>
      <c r="BH873">
        <v>0</v>
      </c>
      <c r="BI873">
        <v>0</v>
      </c>
      <c r="BJ873">
        <v>0</v>
      </c>
      <c r="BK873">
        <v>2475</v>
      </c>
      <c r="BL873">
        <v>375</v>
      </c>
      <c r="BM873" t="s">
        <v>119</v>
      </c>
      <c r="BN873">
        <v>1</v>
      </c>
      <c r="BO873">
        <v>1</v>
      </c>
      <c r="BP873">
        <v>1</v>
      </c>
      <c r="BQ873">
        <v>0</v>
      </c>
      <c r="BT873">
        <v>0</v>
      </c>
      <c r="BU873">
        <v>0</v>
      </c>
      <c r="BV873">
        <v>0</v>
      </c>
      <c r="CC873" t="str">
        <f>"18:49:12.031"</f>
        <v>18:49:12.031</v>
      </c>
      <c r="CD873" t="str">
        <f>"032962689"</f>
        <v>032962689</v>
      </c>
      <c r="CQ873">
        <v>0</v>
      </c>
      <c r="CR873">
        <v>2</v>
      </c>
      <c r="CS873">
        <v>0</v>
      </c>
      <c r="CT873">
        <v>2</v>
      </c>
      <c r="CU873">
        <v>0</v>
      </c>
      <c r="CV873">
        <v>5</v>
      </c>
      <c r="CW873" t="s">
        <v>120</v>
      </c>
      <c r="CX873">
        <v>261</v>
      </c>
      <c r="CY873">
        <v>2</v>
      </c>
      <c r="CZ873" t="s">
        <v>121</v>
      </c>
      <c r="DA873" t="s">
        <v>122</v>
      </c>
      <c r="DD873">
        <v>14713539</v>
      </c>
      <c r="DE873" t="s">
        <v>123</v>
      </c>
    </row>
    <row r="874" spans="1:109" x14ac:dyDescent="0.3">
      <c r="A874" t="str">
        <f>"18:49:13.297"</f>
        <v>18:49:13.297</v>
      </c>
      <c r="B874" t="s">
        <v>110</v>
      </c>
      <c r="C874" t="str">
        <f t="shared" si="39"/>
        <v>ffdfd3c0</v>
      </c>
      <c r="D874" t="s">
        <v>111</v>
      </c>
      <c r="E874">
        <v>18</v>
      </c>
      <c r="F874">
        <v>1018</v>
      </c>
      <c r="G874" t="s">
        <v>112</v>
      </c>
      <c r="J874" t="s">
        <v>113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R874" t="s">
        <v>114</v>
      </c>
      <c r="S874" t="str">
        <f>"18:49:13.078"</f>
        <v>18:49:13.078</v>
      </c>
      <c r="T874" t="str">
        <f>"18:49:12.977"</f>
        <v>18:49:12.977</v>
      </c>
      <c r="U874" t="str">
        <f t="shared" si="40"/>
        <v>a1cdbe</v>
      </c>
      <c r="V874">
        <v>0</v>
      </c>
      <c r="W874">
        <v>0</v>
      </c>
      <c r="X874">
        <v>1</v>
      </c>
      <c r="Y874">
        <v>0</v>
      </c>
      <c r="Z874">
        <v>0</v>
      </c>
      <c r="AB874">
        <v>0</v>
      </c>
      <c r="AC874">
        <v>9</v>
      </c>
      <c r="AD874">
        <v>3</v>
      </c>
      <c r="AE874">
        <v>0</v>
      </c>
      <c r="AF874">
        <v>9</v>
      </c>
      <c r="AG874" t="s">
        <v>158</v>
      </c>
      <c r="AH874">
        <v>0</v>
      </c>
      <c r="AI874">
        <v>3</v>
      </c>
      <c r="AJ874">
        <v>1</v>
      </c>
      <c r="AK874">
        <v>0</v>
      </c>
      <c r="AL874" t="s">
        <v>1818</v>
      </c>
      <c r="AM874">
        <v>46.850273999999999</v>
      </c>
      <c r="AN874" t="s">
        <v>1819</v>
      </c>
      <c r="AO874">
        <v>-122.44496599999999</v>
      </c>
      <c r="AP874">
        <v>100</v>
      </c>
      <c r="AQ874">
        <v>2100</v>
      </c>
      <c r="AR874" t="s">
        <v>118</v>
      </c>
      <c r="AS874">
        <v>-74</v>
      </c>
      <c r="AT874">
        <v>-37</v>
      </c>
      <c r="AU874">
        <v>256</v>
      </c>
      <c r="BC874">
        <v>1200</v>
      </c>
      <c r="BD874">
        <v>1</v>
      </c>
      <c r="BE874" t="str">
        <f t="shared" si="41"/>
        <v xml:space="preserve">N215T   </v>
      </c>
      <c r="BF874">
        <v>1</v>
      </c>
      <c r="BH874">
        <v>0</v>
      </c>
      <c r="BI874">
        <v>0</v>
      </c>
      <c r="BJ874">
        <v>0</v>
      </c>
      <c r="BK874">
        <v>2475</v>
      </c>
      <c r="BL874">
        <v>375</v>
      </c>
      <c r="BM874" t="s">
        <v>119</v>
      </c>
      <c r="BN874">
        <v>1</v>
      </c>
      <c r="BO874">
        <v>1</v>
      </c>
      <c r="BP874">
        <v>1</v>
      </c>
      <c r="BQ874">
        <v>0</v>
      </c>
      <c r="BT874">
        <v>0</v>
      </c>
      <c r="BU874">
        <v>0</v>
      </c>
      <c r="BV874">
        <v>0</v>
      </c>
      <c r="CC874" t="str">
        <f>"18:49:13.086"</f>
        <v>18:49:13.086</v>
      </c>
      <c r="CD874" t="str">
        <f>"082988635"</f>
        <v>082988635</v>
      </c>
      <c r="CQ874">
        <v>0</v>
      </c>
      <c r="CR874">
        <v>2</v>
      </c>
      <c r="CS874">
        <v>0</v>
      </c>
      <c r="CT874">
        <v>2</v>
      </c>
      <c r="CU874">
        <v>0</v>
      </c>
      <c r="CV874">
        <v>6</v>
      </c>
      <c r="CW874" t="s">
        <v>120</v>
      </c>
      <c r="CX874">
        <v>257</v>
      </c>
      <c r="CY874">
        <v>1</v>
      </c>
      <c r="CZ874" t="s">
        <v>615</v>
      </c>
      <c r="DA874" t="s">
        <v>616</v>
      </c>
      <c r="DD874">
        <v>11034214</v>
      </c>
      <c r="DE874" t="s">
        <v>123</v>
      </c>
    </row>
    <row r="875" spans="1:109" x14ac:dyDescent="0.3">
      <c r="A875" t="str">
        <f>"18:49:14.398"</f>
        <v>18:49:14.398</v>
      </c>
      <c r="B875" t="s">
        <v>110</v>
      </c>
      <c r="C875" t="str">
        <f t="shared" si="39"/>
        <v>ffdfd3c0</v>
      </c>
      <c r="D875" t="s">
        <v>111</v>
      </c>
      <c r="E875">
        <v>18</v>
      </c>
      <c r="F875">
        <v>1018</v>
      </c>
      <c r="G875" t="s">
        <v>112</v>
      </c>
      <c r="J875" t="s">
        <v>113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R875" t="s">
        <v>114</v>
      </c>
      <c r="S875" t="str">
        <f>"18:49:14.141"</f>
        <v>18:49:14.141</v>
      </c>
      <c r="T875" t="str">
        <f>"18:49:14.039"</f>
        <v>18:49:14.039</v>
      </c>
      <c r="U875" t="str">
        <f t="shared" si="40"/>
        <v>a1cdbe</v>
      </c>
      <c r="V875">
        <v>0</v>
      </c>
      <c r="W875">
        <v>0</v>
      </c>
      <c r="X875">
        <v>1</v>
      </c>
      <c r="Y875">
        <v>0</v>
      </c>
      <c r="Z875">
        <v>0</v>
      </c>
      <c r="AB875">
        <v>0</v>
      </c>
      <c r="AC875">
        <v>9</v>
      </c>
      <c r="AD875">
        <v>3</v>
      </c>
      <c r="AE875">
        <v>0</v>
      </c>
      <c r="AF875">
        <v>9</v>
      </c>
      <c r="AG875" t="s">
        <v>158</v>
      </c>
      <c r="AH875">
        <v>0</v>
      </c>
      <c r="AI875">
        <v>3</v>
      </c>
      <c r="AJ875">
        <v>1</v>
      </c>
      <c r="AK875">
        <v>0</v>
      </c>
      <c r="AL875" t="s">
        <v>1820</v>
      </c>
      <c r="AM875">
        <v>46.850079999999998</v>
      </c>
      <c r="AN875" t="s">
        <v>1821</v>
      </c>
      <c r="AO875">
        <v>-122.445438</v>
      </c>
      <c r="AP875">
        <v>100</v>
      </c>
      <c r="AQ875">
        <v>2100</v>
      </c>
      <c r="AR875" t="s">
        <v>118</v>
      </c>
      <c r="AS875">
        <v>-73</v>
      </c>
      <c r="AT875">
        <v>-38</v>
      </c>
      <c r="AU875">
        <v>192</v>
      </c>
      <c r="BC875">
        <v>1200</v>
      </c>
      <c r="BD875">
        <v>1</v>
      </c>
      <c r="BE875" t="str">
        <f t="shared" si="41"/>
        <v xml:space="preserve">N215T   </v>
      </c>
      <c r="BF875">
        <v>1</v>
      </c>
      <c r="BH875">
        <v>0</v>
      </c>
      <c r="BI875">
        <v>0</v>
      </c>
      <c r="BJ875">
        <v>0</v>
      </c>
      <c r="BK875">
        <v>2475</v>
      </c>
      <c r="BL875">
        <v>375</v>
      </c>
      <c r="BM875" t="s">
        <v>119</v>
      </c>
      <c r="BN875">
        <v>1</v>
      </c>
      <c r="BO875">
        <v>1</v>
      </c>
      <c r="BP875">
        <v>1</v>
      </c>
      <c r="BQ875">
        <v>0</v>
      </c>
      <c r="BT875">
        <v>0</v>
      </c>
      <c r="BU875">
        <v>0</v>
      </c>
      <c r="BV875">
        <v>0</v>
      </c>
      <c r="CC875" t="str">
        <f>"18:49:14.148"</f>
        <v>18:49:14.148</v>
      </c>
      <c r="CD875" t="str">
        <f>"147883624"</f>
        <v>147883624</v>
      </c>
      <c r="CQ875">
        <v>0</v>
      </c>
      <c r="CR875">
        <v>2</v>
      </c>
      <c r="CS875">
        <v>0</v>
      </c>
      <c r="CT875">
        <v>2</v>
      </c>
      <c r="CU875">
        <v>0</v>
      </c>
      <c r="CV875">
        <v>6</v>
      </c>
      <c r="CW875" t="s">
        <v>120</v>
      </c>
      <c r="CX875">
        <v>257</v>
      </c>
      <c r="CY875">
        <v>1</v>
      </c>
      <c r="CZ875" t="s">
        <v>615</v>
      </c>
      <c r="DA875" t="s">
        <v>616</v>
      </c>
      <c r="DD875">
        <v>11034871</v>
      </c>
      <c r="DE875" t="s">
        <v>123</v>
      </c>
    </row>
    <row r="876" spans="1:109" x14ac:dyDescent="0.3">
      <c r="A876" t="str">
        <f>"18:49:15.203"</f>
        <v>18:49:15.203</v>
      </c>
      <c r="B876" t="s">
        <v>110</v>
      </c>
      <c r="C876" t="str">
        <f t="shared" si="39"/>
        <v>ffdfd3c0</v>
      </c>
      <c r="D876" t="s">
        <v>111</v>
      </c>
      <c r="E876">
        <v>18</v>
      </c>
      <c r="F876">
        <v>1018</v>
      </c>
      <c r="G876" t="s">
        <v>112</v>
      </c>
      <c r="J876" t="s">
        <v>113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R876" t="s">
        <v>114</v>
      </c>
      <c r="S876" t="str">
        <f>"18:49:14.969"</f>
        <v>18:49:14.969</v>
      </c>
      <c r="T876" t="str">
        <f>"18:49:14.570"</f>
        <v>18:49:14.570</v>
      </c>
      <c r="U876" t="str">
        <f t="shared" si="40"/>
        <v>a1cdbe</v>
      </c>
      <c r="V876">
        <v>0</v>
      </c>
      <c r="W876">
        <v>0</v>
      </c>
      <c r="X876">
        <v>1</v>
      </c>
      <c r="Y876">
        <v>0</v>
      </c>
      <c r="Z876">
        <v>0</v>
      </c>
      <c r="AB876">
        <v>0</v>
      </c>
      <c r="AC876">
        <v>9</v>
      </c>
      <c r="AD876">
        <v>3</v>
      </c>
      <c r="AE876">
        <v>0</v>
      </c>
      <c r="AF876">
        <v>9</v>
      </c>
      <c r="AG876" t="s">
        <v>158</v>
      </c>
      <c r="AH876">
        <v>0</v>
      </c>
      <c r="AI876">
        <v>3</v>
      </c>
      <c r="AJ876">
        <v>1</v>
      </c>
      <c r="AK876">
        <v>0</v>
      </c>
      <c r="AL876" t="s">
        <v>1822</v>
      </c>
      <c r="AM876">
        <v>46.849930000000001</v>
      </c>
      <c r="AN876" t="s">
        <v>1823</v>
      </c>
      <c r="AO876">
        <v>-122.445846</v>
      </c>
      <c r="AP876">
        <v>100</v>
      </c>
      <c r="AQ876">
        <v>2100</v>
      </c>
      <c r="AR876" t="s">
        <v>118</v>
      </c>
      <c r="AS876">
        <v>-73</v>
      </c>
      <c r="AT876">
        <v>-39</v>
      </c>
      <c r="AU876">
        <v>128</v>
      </c>
      <c r="BC876">
        <v>1200</v>
      </c>
      <c r="BD876">
        <v>1</v>
      </c>
      <c r="BE876" t="str">
        <f t="shared" si="41"/>
        <v xml:space="preserve">N215T   </v>
      </c>
      <c r="BF876">
        <v>1</v>
      </c>
      <c r="BH876">
        <v>0</v>
      </c>
      <c r="BI876">
        <v>0</v>
      </c>
      <c r="BJ876">
        <v>0</v>
      </c>
      <c r="BK876">
        <v>2475</v>
      </c>
      <c r="BL876">
        <v>375</v>
      </c>
      <c r="BM876" t="s">
        <v>119</v>
      </c>
      <c r="BN876">
        <v>1</v>
      </c>
      <c r="BO876">
        <v>1</v>
      </c>
      <c r="BP876">
        <v>1</v>
      </c>
      <c r="BQ876">
        <v>0</v>
      </c>
      <c r="BT876">
        <v>0</v>
      </c>
      <c r="BU876">
        <v>0</v>
      </c>
      <c r="BV876">
        <v>0</v>
      </c>
      <c r="CC876" t="str">
        <f>"18:49:14.977"</f>
        <v>18:49:14.977</v>
      </c>
      <c r="CD876" t="str">
        <f>"972802279"</f>
        <v>972802279</v>
      </c>
      <c r="CQ876">
        <v>0</v>
      </c>
      <c r="CR876">
        <v>2</v>
      </c>
      <c r="CS876">
        <v>0</v>
      </c>
      <c r="CT876">
        <v>2</v>
      </c>
      <c r="CU876">
        <v>0</v>
      </c>
      <c r="CV876">
        <v>6</v>
      </c>
      <c r="CW876" t="s">
        <v>120</v>
      </c>
      <c r="CX876">
        <v>257</v>
      </c>
      <c r="CY876">
        <v>1</v>
      </c>
      <c r="CZ876" t="s">
        <v>615</v>
      </c>
      <c r="DA876" t="s">
        <v>616</v>
      </c>
      <c r="DD876">
        <v>11035395</v>
      </c>
      <c r="DE876" t="s">
        <v>123</v>
      </c>
    </row>
    <row r="877" spans="1:109" x14ac:dyDescent="0.3">
      <c r="A877" t="str">
        <f>"18:49:16.266"</f>
        <v>18:49:16.266</v>
      </c>
      <c r="B877" t="s">
        <v>110</v>
      </c>
      <c r="C877" t="str">
        <f t="shared" si="39"/>
        <v>ffdfd3c0</v>
      </c>
      <c r="D877" t="s">
        <v>111</v>
      </c>
      <c r="E877">
        <v>18</v>
      </c>
      <c r="F877">
        <v>1018</v>
      </c>
      <c r="G877" t="s">
        <v>112</v>
      </c>
      <c r="J877" t="s">
        <v>113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R877" t="s">
        <v>114</v>
      </c>
      <c r="S877" t="str">
        <f>"18:49:16.031"</f>
        <v>18:49:16.031</v>
      </c>
      <c r="T877" t="str">
        <f>"18:49:15.633"</f>
        <v>18:49:15.633</v>
      </c>
      <c r="U877" t="str">
        <f t="shared" si="40"/>
        <v>a1cdbe</v>
      </c>
      <c r="V877">
        <v>0</v>
      </c>
      <c r="W877">
        <v>0</v>
      </c>
      <c r="X877">
        <v>1</v>
      </c>
      <c r="Y877">
        <v>0</v>
      </c>
      <c r="Z877">
        <v>0</v>
      </c>
      <c r="AB877">
        <v>0</v>
      </c>
      <c r="AC877">
        <v>9</v>
      </c>
      <c r="AD877">
        <v>3</v>
      </c>
      <c r="AE877">
        <v>0</v>
      </c>
      <c r="AF877">
        <v>9</v>
      </c>
      <c r="AG877" t="s">
        <v>158</v>
      </c>
      <c r="AH877">
        <v>0</v>
      </c>
      <c r="AI877">
        <v>3</v>
      </c>
      <c r="AJ877">
        <v>1</v>
      </c>
      <c r="AK877">
        <v>0</v>
      </c>
      <c r="AL877" t="s">
        <v>1824</v>
      </c>
      <c r="AM877">
        <v>46.849736999999998</v>
      </c>
      <c r="AN877" t="s">
        <v>1825</v>
      </c>
      <c r="AO877">
        <v>-122.446382</v>
      </c>
      <c r="AP877">
        <v>100</v>
      </c>
      <c r="AQ877">
        <v>2100</v>
      </c>
      <c r="AR877" t="s">
        <v>118</v>
      </c>
      <c r="AS877">
        <v>-73</v>
      </c>
      <c r="AT877">
        <v>-39</v>
      </c>
      <c r="AU877">
        <v>64</v>
      </c>
      <c r="BC877">
        <v>1200</v>
      </c>
      <c r="BD877">
        <v>1</v>
      </c>
      <c r="BE877" t="str">
        <f t="shared" si="41"/>
        <v xml:space="preserve">N215T   </v>
      </c>
      <c r="BF877">
        <v>1</v>
      </c>
      <c r="BH877">
        <v>0</v>
      </c>
      <c r="BI877">
        <v>0</v>
      </c>
      <c r="BJ877">
        <v>0</v>
      </c>
      <c r="BK877">
        <v>2475</v>
      </c>
      <c r="BL877">
        <v>375</v>
      </c>
      <c r="BM877" t="s">
        <v>119</v>
      </c>
      <c r="BN877">
        <v>1</v>
      </c>
      <c r="BO877">
        <v>1</v>
      </c>
      <c r="BP877">
        <v>1</v>
      </c>
      <c r="BQ877">
        <v>0</v>
      </c>
      <c r="BT877">
        <v>0</v>
      </c>
      <c r="BU877">
        <v>0</v>
      </c>
      <c r="BV877">
        <v>0</v>
      </c>
      <c r="CC877" t="str">
        <f>"18:49:16.039"</f>
        <v>18:49:16.039</v>
      </c>
      <c r="CD877" t="str">
        <f>"037568477"</f>
        <v>037568477</v>
      </c>
      <c r="CQ877">
        <v>0</v>
      </c>
      <c r="CR877">
        <v>2</v>
      </c>
      <c r="CS877">
        <v>0</v>
      </c>
      <c r="CT877">
        <v>2</v>
      </c>
      <c r="CU877">
        <v>0</v>
      </c>
      <c r="CV877">
        <v>6</v>
      </c>
      <c r="CW877" t="s">
        <v>120</v>
      </c>
      <c r="CX877">
        <v>261</v>
      </c>
      <c r="CY877">
        <v>2</v>
      </c>
      <c r="CZ877" t="s">
        <v>121</v>
      </c>
      <c r="DA877" t="s">
        <v>122</v>
      </c>
      <c r="DD877">
        <v>14715774</v>
      </c>
      <c r="DE877" t="s">
        <v>123</v>
      </c>
    </row>
    <row r="878" spans="1:109" x14ac:dyDescent="0.3">
      <c r="A878" t="str">
        <f>"18:49:17.266"</f>
        <v>18:49:17.266</v>
      </c>
      <c r="B878" t="s">
        <v>110</v>
      </c>
      <c r="C878" t="str">
        <f t="shared" si="39"/>
        <v>ffdfd3c0</v>
      </c>
      <c r="D878" t="s">
        <v>111</v>
      </c>
      <c r="E878">
        <v>18</v>
      </c>
      <c r="F878">
        <v>1018</v>
      </c>
      <c r="G878" t="s">
        <v>112</v>
      </c>
      <c r="J878" t="s">
        <v>113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R878" t="s">
        <v>114</v>
      </c>
      <c r="S878" t="str">
        <f>"18:49:17.023"</f>
        <v>18:49:17.023</v>
      </c>
      <c r="T878" t="str">
        <f>"18:49:16.625"</f>
        <v>18:49:16.625</v>
      </c>
      <c r="U878" t="str">
        <f t="shared" si="40"/>
        <v>a1cdbe</v>
      </c>
      <c r="V878">
        <v>0</v>
      </c>
      <c r="W878">
        <v>0</v>
      </c>
      <c r="X878">
        <v>1</v>
      </c>
      <c r="Y878">
        <v>0</v>
      </c>
      <c r="Z878">
        <v>0</v>
      </c>
      <c r="AB878">
        <v>0</v>
      </c>
      <c r="AC878">
        <v>9</v>
      </c>
      <c r="AD878">
        <v>3</v>
      </c>
      <c r="AE878">
        <v>0</v>
      </c>
      <c r="AF878">
        <v>9</v>
      </c>
      <c r="AG878" t="s">
        <v>158</v>
      </c>
      <c r="AH878">
        <v>0</v>
      </c>
      <c r="AI878">
        <v>3</v>
      </c>
      <c r="AJ878">
        <v>1</v>
      </c>
      <c r="AK878">
        <v>0</v>
      </c>
      <c r="AL878" t="s">
        <v>1826</v>
      </c>
      <c r="AM878">
        <v>46.849566000000003</v>
      </c>
      <c r="AN878" t="s">
        <v>1827</v>
      </c>
      <c r="AO878">
        <v>-122.446876</v>
      </c>
      <c r="AP878">
        <v>100</v>
      </c>
      <c r="AQ878">
        <v>2100</v>
      </c>
      <c r="AR878" t="s">
        <v>118</v>
      </c>
      <c r="AS878">
        <v>-74</v>
      </c>
      <c r="AT878">
        <v>-38</v>
      </c>
      <c r="AU878">
        <v>-128</v>
      </c>
      <c r="BC878">
        <v>1200</v>
      </c>
      <c r="BD878">
        <v>1</v>
      </c>
      <c r="BE878" t="str">
        <f t="shared" si="41"/>
        <v xml:space="preserve">N215T   </v>
      </c>
      <c r="BF878">
        <v>1</v>
      </c>
      <c r="BH878">
        <v>0</v>
      </c>
      <c r="BI878">
        <v>0</v>
      </c>
      <c r="BJ878">
        <v>0</v>
      </c>
      <c r="BK878">
        <v>2475</v>
      </c>
      <c r="BL878">
        <v>375</v>
      </c>
      <c r="BM878" t="s">
        <v>119</v>
      </c>
      <c r="BN878">
        <v>1</v>
      </c>
      <c r="BO878">
        <v>1</v>
      </c>
      <c r="BP878">
        <v>1</v>
      </c>
      <c r="BQ878">
        <v>0</v>
      </c>
      <c r="BT878">
        <v>0</v>
      </c>
      <c r="BU878">
        <v>0</v>
      </c>
      <c r="BV878">
        <v>0</v>
      </c>
      <c r="CC878" t="str">
        <f>"18:49:17.031"</f>
        <v>18:49:17.031</v>
      </c>
      <c r="CD878" t="str">
        <f>"027599653"</f>
        <v>027599653</v>
      </c>
      <c r="CQ878">
        <v>0</v>
      </c>
      <c r="CR878">
        <v>2</v>
      </c>
      <c r="CS878">
        <v>0</v>
      </c>
      <c r="CT878">
        <v>2</v>
      </c>
      <c r="CU878">
        <v>0</v>
      </c>
      <c r="CV878">
        <v>6</v>
      </c>
      <c r="CW878" t="s">
        <v>120</v>
      </c>
      <c r="CX878">
        <v>257</v>
      </c>
      <c r="CY878">
        <v>1</v>
      </c>
      <c r="CZ878" t="s">
        <v>615</v>
      </c>
      <c r="DA878" t="s">
        <v>616</v>
      </c>
      <c r="DD878">
        <v>11036726</v>
      </c>
      <c r="DE878" t="s">
        <v>123</v>
      </c>
    </row>
    <row r="879" spans="1:109" x14ac:dyDescent="0.3">
      <c r="A879" t="str">
        <f>"18:49:18.070"</f>
        <v>18:49:18.070</v>
      </c>
      <c r="B879" t="s">
        <v>110</v>
      </c>
      <c r="C879" t="str">
        <f t="shared" si="39"/>
        <v>ffdfd3c0</v>
      </c>
      <c r="D879" t="s">
        <v>111</v>
      </c>
      <c r="E879">
        <v>18</v>
      </c>
      <c r="F879">
        <v>1018</v>
      </c>
      <c r="G879" t="s">
        <v>112</v>
      </c>
      <c r="J879" t="s">
        <v>113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R879" t="s">
        <v>114</v>
      </c>
      <c r="S879" t="str">
        <f>"18:49:17.867"</f>
        <v>18:49:17.867</v>
      </c>
      <c r="T879" t="str">
        <f>"18:49:17.570"</f>
        <v>18:49:17.570</v>
      </c>
      <c r="U879" t="str">
        <f t="shared" si="40"/>
        <v>a1cdbe</v>
      </c>
      <c r="V879">
        <v>0</v>
      </c>
      <c r="W879">
        <v>0</v>
      </c>
      <c r="X879">
        <v>1</v>
      </c>
      <c r="Y879">
        <v>0</v>
      </c>
      <c r="Z879">
        <v>0</v>
      </c>
      <c r="AB879">
        <v>0</v>
      </c>
      <c r="AC879">
        <v>9</v>
      </c>
      <c r="AD879">
        <v>3</v>
      </c>
      <c r="AE879">
        <v>0</v>
      </c>
      <c r="AF879">
        <v>9</v>
      </c>
      <c r="AG879" t="s">
        <v>158</v>
      </c>
      <c r="AH879">
        <v>0</v>
      </c>
      <c r="AI879">
        <v>3</v>
      </c>
      <c r="AJ879">
        <v>1</v>
      </c>
      <c r="AK879">
        <v>0</v>
      </c>
      <c r="AL879" t="s">
        <v>1828</v>
      </c>
      <c r="AM879">
        <v>46.849437000000002</v>
      </c>
      <c r="AN879" t="s">
        <v>1829</v>
      </c>
      <c r="AO879">
        <v>-122.447305</v>
      </c>
      <c r="AP879">
        <v>100</v>
      </c>
      <c r="AQ879">
        <v>2100</v>
      </c>
      <c r="AR879" t="s">
        <v>118</v>
      </c>
      <c r="AS879">
        <v>-75</v>
      </c>
      <c r="AT879">
        <v>-38</v>
      </c>
      <c r="AU879">
        <v>0</v>
      </c>
      <c r="BC879">
        <v>1200</v>
      </c>
      <c r="BD879">
        <v>1</v>
      </c>
      <c r="BE879" t="str">
        <f t="shared" si="41"/>
        <v xml:space="preserve">N215T   </v>
      </c>
      <c r="BF879">
        <v>1</v>
      </c>
      <c r="BH879">
        <v>0</v>
      </c>
      <c r="BI879">
        <v>0</v>
      </c>
      <c r="BJ879">
        <v>0</v>
      </c>
      <c r="BK879">
        <v>2475</v>
      </c>
      <c r="BL879">
        <v>375</v>
      </c>
      <c r="BM879" t="s">
        <v>119</v>
      </c>
      <c r="BN879">
        <v>1</v>
      </c>
      <c r="BO879">
        <v>1</v>
      </c>
      <c r="BP879">
        <v>1</v>
      </c>
      <c r="BQ879">
        <v>0</v>
      </c>
      <c r="BT879">
        <v>0</v>
      </c>
      <c r="BU879">
        <v>0</v>
      </c>
      <c r="BV879">
        <v>0</v>
      </c>
      <c r="CC879" t="str">
        <f>"18:49:17.867"</f>
        <v>18:49:17.867</v>
      </c>
      <c r="CD879" t="str">
        <f>"867516844"</f>
        <v>867516844</v>
      </c>
      <c r="CQ879">
        <v>0</v>
      </c>
      <c r="CR879">
        <v>2</v>
      </c>
      <c r="CS879">
        <v>0</v>
      </c>
      <c r="CT879">
        <v>2</v>
      </c>
      <c r="CU879">
        <v>0</v>
      </c>
      <c r="CV879">
        <v>6</v>
      </c>
      <c r="CW879" t="s">
        <v>120</v>
      </c>
      <c r="CX879">
        <v>257</v>
      </c>
      <c r="CY879">
        <v>1</v>
      </c>
      <c r="CZ879" t="s">
        <v>615</v>
      </c>
      <c r="DA879" t="s">
        <v>616</v>
      </c>
      <c r="DD879">
        <v>11037288</v>
      </c>
      <c r="DE879" t="s">
        <v>123</v>
      </c>
    </row>
    <row r="880" spans="1:109" x14ac:dyDescent="0.3">
      <c r="A880" t="str">
        <f>"18:49:19.031"</f>
        <v>18:49:19.031</v>
      </c>
      <c r="B880" t="s">
        <v>110</v>
      </c>
      <c r="C880" t="str">
        <f t="shared" si="39"/>
        <v>ffdfd3c0</v>
      </c>
      <c r="D880" t="s">
        <v>111</v>
      </c>
      <c r="E880">
        <v>18</v>
      </c>
      <c r="F880">
        <v>1018</v>
      </c>
      <c r="G880" t="s">
        <v>112</v>
      </c>
      <c r="J880" t="s">
        <v>113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R880" t="s">
        <v>114</v>
      </c>
      <c r="S880" t="str">
        <f>"18:49:18.805"</f>
        <v>18:49:18.805</v>
      </c>
      <c r="T880" t="str">
        <f>"18:49:18.602"</f>
        <v>18:49:18.602</v>
      </c>
      <c r="U880" t="str">
        <f t="shared" si="40"/>
        <v>a1cdbe</v>
      </c>
      <c r="V880">
        <v>0</v>
      </c>
      <c r="W880">
        <v>0</v>
      </c>
      <c r="X880">
        <v>1</v>
      </c>
      <c r="Y880">
        <v>0</v>
      </c>
      <c r="Z880">
        <v>0</v>
      </c>
      <c r="AB880">
        <v>0</v>
      </c>
      <c r="AC880">
        <v>9</v>
      </c>
      <c r="AD880">
        <v>3</v>
      </c>
      <c r="AE880">
        <v>0</v>
      </c>
      <c r="AF880">
        <v>9</v>
      </c>
      <c r="AG880" t="s">
        <v>158</v>
      </c>
      <c r="AH880">
        <v>0</v>
      </c>
      <c r="AI880">
        <v>3</v>
      </c>
      <c r="AJ880">
        <v>1</v>
      </c>
      <c r="AK880">
        <v>0</v>
      </c>
      <c r="AL880" t="s">
        <v>1830</v>
      </c>
      <c r="AM880">
        <v>46.849221999999997</v>
      </c>
      <c r="AN880" t="s">
        <v>1831</v>
      </c>
      <c r="AO880">
        <v>-122.447777</v>
      </c>
      <c r="AP880">
        <v>100</v>
      </c>
      <c r="AQ880">
        <v>2100</v>
      </c>
      <c r="AR880" t="s">
        <v>118</v>
      </c>
      <c r="AS880">
        <v>-75</v>
      </c>
      <c r="AT880">
        <v>-37</v>
      </c>
      <c r="AU880">
        <v>0</v>
      </c>
      <c r="BC880">
        <v>1200</v>
      </c>
      <c r="BD880">
        <v>1</v>
      </c>
      <c r="BE880" t="str">
        <f t="shared" si="41"/>
        <v xml:space="preserve">N215T   </v>
      </c>
      <c r="BF880">
        <v>1</v>
      </c>
      <c r="BH880">
        <v>0</v>
      </c>
      <c r="BI880">
        <v>0</v>
      </c>
      <c r="BJ880">
        <v>0</v>
      </c>
      <c r="BK880">
        <v>2475</v>
      </c>
      <c r="BL880">
        <v>375</v>
      </c>
      <c r="BM880" t="s">
        <v>119</v>
      </c>
      <c r="BN880">
        <v>1</v>
      </c>
      <c r="BO880">
        <v>1</v>
      </c>
      <c r="BP880">
        <v>1</v>
      </c>
      <c r="BQ880">
        <v>0</v>
      </c>
      <c r="BT880">
        <v>0</v>
      </c>
      <c r="BU880">
        <v>0</v>
      </c>
      <c r="BV880">
        <v>0</v>
      </c>
      <c r="CC880" t="str">
        <f>"18:49:18.813"</f>
        <v>18:49:18.813</v>
      </c>
      <c r="CD880" t="str">
        <f>"812423656"</f>
        <v>812423656</v>
      </c>
      <c r="CQ880">
        <v>0</v>
      </c>
      <c r="CR880">
        <v>2</v>
      </c>
      <c r="CS880">
        <v>0</v>
      </c>
      <c r="CT880">
        <v>2</v>
      </c>
      <c r="CU880">
        <v>0</v>
      </c>
      <c r="CV880">
        <v>6</v>
      </c>
      <c r="CW880" t="s">
        <v>120</v>
      </c>
      <c r="CX880">
        <v>257</v>
      </c>
      <c r="CY880">
        <v>1</v>
      </c>
      <c r="CZ880" t="s">
        <v>615</v>
      </c>
      <c r="DA880" t="s">
        <v>616</v>
      </c>
      <c r="DD880">
        <v>11037895</v>
      </c>
      <c r="DE880" t="s">
        <v>123</v>
      </c>
    </row>
    <row r="881" spans="1:109" x14ac:dyDescent="0.3">
      <c r="A881" t="str">
        <f>"18:49:20.086"</f>
        <v>18:49:20.086</v>
      </c>
      <c r="B881" t="s">
        <v>110</v>
      </c>
      <c r="C881" t="str">
        <f t="shared" si="39"/>
        <v>ffdfd3c0</v>
      </c>
      <c r="D881" t="s">
        <v>111</v>
      </c>
      <c r="E881">
        <v>18</v>
      </c>
      <c r="F881">
        <v>1018</v>
      </c>
      <c r="G881" t="s">
        <v>112</v>
      </c>
      <c r="J881" t="s">
        <v>113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R881" t="s">
        <v>114</v>
      </c>
      <c r="S881" t="str">
        <f>"18:49:19.875"</f>
        <v>18:49:19.875</v>
      </c>
      <c r="T881" t="str">
        <f>"18:49:19.477"</f>
        <v>18:49:19.477</v>
      </c>
      <c r="U881" t="str">
        <f t="shared" si="40"/>
        <v>a1cdbe</v>
      </c>
      <c r="V881">
        <v>0</v>
      </c>
      <c r="W881">
        <v>0</v>
      </c>
      <c r="X881">
        <v>1</v>
      </c>
      <c r="Y881">
        <v>0</v>
      </c>
      <c r="Z881">
        <v>0</v>
      </c>
      <c r="AB881">
        <v>0</v>
      </c>
      <c r="AC881">
        <v>9</v>
      </c>
      <c r="AD881">
        <v>3</v>
      </c>
      <c r="AE881">
        <v>0</v>
      </c>
      <c r="AF881">
        <v>9</v>
      </c>
      <c r="AG881" t="s">
        <v>158</v>
      </c>
      <c r="AH881">
        <v>0</v>
      </c>
      <c r="AI881">
        <v>3</v>
      </c>
      <c r="AJ881">
        <v>1</v>
      </c>
      <c r="AK881">
        <v>0</v>
      </c>
      <c r="AL881" t="s">
        <v>1832</v>
      </c>
      <c r="AM881">
        <v>46.849051000000003</v>
      </c>
      <c r="AN881" t="s">
        <v>1833</v>
      </c>
      <c r="AO881">
        <v>-122.448335</v>
      </c>
      <c r="AP881">
        <v>100</v>
      </c>
      <c r="AQ881">
        <v>2100</v>
      </c>
      <c r="AR881" t="s">
        <v>118</v>
      </c>
      <c r="AS881">
        <v>-76</v>
      </c>
      <c r="AT881">
        <v>-36</v>
      </c>
      <c r="AU881">
        <v>64</v>
      </c>
      <c r="BC881">
        <v>1200</v>
      </c>
      <c r="BD881">
        <v>1</v>
      </c>
      <c r="BE881" t="str">
        <f t="shared" si="41"/>
        <v xml:space="preserve">N215T   </v>
      </c>
      <c r="BF881">
        <v>1</v>
      </c>
      <c r="BH881">
        <v>0</v>
      </c>
      <c r="BI881">
        <v>0</v>
      </c>
      <c r="BJ881">
        <v>0</v>
      </c>
      <c r="BK881">
        <v>2475</v>
      </c>
      <c r="BL881">
        <v>375</v>
      </c>
      <c r="BM881" t="s">
        <v>119</v>
      </c>
      <c r="BN881">
        <v>1</v>
      </c>
      <c r="BO881">
        <v>1</v>
      </c>
      <c r="BP881">
        <v>1</v>
      </c>
      <c r="BQ881">
        <v>0</v>
      </c>
      <c r="BT881">
        <v>0</v>
      </c>
      <c r="BU881">
        <v>0</v>
      </c>
      <c r="BV881">
        <v>0</v>
      </c>
      <c r="CC881" t="str">
        <f>"18:49:19.875"</f>
        <v>18:49:19.875</v>
      </c>
      <c r="CD881" t="str">
        <f>"877318649"</f>
        <v>877318649</v>
      </c>
      <c r="CQ881">
        <v>0</v>
      </c>
      <c r="CR881">
        <v>2</v>
      </c>
      <c r="CS881">
        <v>0</v>
      </c>
      <c r="CT881">
        <v>2</v>
      </c>
      <c r="CU881">
        <v>0</v>
      </c>
      <c r="CV881">
        <v>6</v>
      </c>
      <c r="CW881" t="s">
        <v>120</v>
      </c>
      <c r="CX881">
        <v>257</v>
      </c>
      <c r="CY881">
        <v>1</v>
      </c>
      <c r="CZ881" t="s">
        <v>615</v>
      </c>
      <c r="DA881" t="s">
        <v>616</v>
      </c>
      <c r="DD881">
        <v>11038594</v>
      </c>
      <c r="DE881" t="s">
        <v>123</v>
      </c>
    </row>
    <row r="882" spans="1:109" x14ac:dyDescent="0.3">
      <c r="A882" t="str">
        <f>"18:49:21.594"</f>
        <v>18:49:21.594</v>
      </c>
      <c r="B882" t="s">
        <v>110</v>
      </c>
      <c r="C882" t="str">
        <f t="shared" si="39"/>
        <v>ffdfd3c0</v>
      </c>
      <c r="D882" t="s">
        <v>111</v>
      </c>
      <c r="E882">
        <v>18</v>
      </c>
      <c r="F882">
        <v>1018</v>
      </c>
      <c r="G882" t="s">
        <v>112</v>
      </c>
      <c r="J882" t="s">
        <v>113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R882" t="s">
        <v>114</v>
      </c>
      <c r="S882" t="str">
        <f>"18:49:21.391"</f>
        <v>18:49:21.391</v>
      </c>
      <c r="T882" t="str">
        <f>"18:49:20.992"</f>
        <v>18:49:20.992</v>
      </c>
      <c r="U882" t="str">
        <f t="shared" si="40"/>
        <v>a1cdbe</v>
      </c>
      <c r="V882">
        <v>0</v>
      </c>
      <c r="W882">
        <v>0</v>
      </c>
      <c r="X882">
        <v>1</v>
      </c>
      <c r="Y882">
        <v>0</v>
      </c>
      <c r="Z882">
        <v>0</v>
      </c>
      <c r="AB882">
        <v>0</v>
      </c>
      <c r="AC882">
        <v>9</v>
      </c>
      <c r="AD882">
        <v>3</v>
      </c>
      <c r="AE882">
        <v>0</v>
      </c>
      <c r="AF882">
        <v>9</v>
      </c>
      <c r="AG882" t="s">
        <v>158</v>
      </c>
      <c r="AH882">
        <v>0</v>
      </c>
      <c r="AI882">
        <v>3</v>
      </c>
      <c r="AJ882">
        <v>1</v>
      </c>
      <c r="AK882">
        <v>0</v>
      </c>
      <c r="AL882" t="s">
        <v>1834</v>
      </c>
      <c r="AM882">
        <v>46.848813999999997</v>
      </c>
      <c r="AN882" t="s">
        <v>1835</v>
      </c>
      <c r="AO882">
        <v>-122.44915</v>
      </c>
      <c r="AP882">
        <v>100</v>
      </c>
      <c r="AQ882">
        <v>2100</v>
      </c>
      <c r="AR882" t="s">
        <v>118</v>
      </c>
      <c r="AS882">
        <v>-77</v>
      </c>
      <c r="AT882">
        <v>-35</v>
      </c>
      <c r="AU882">
        <v>64</v>
      </c>
      <c r="BC882">
        <v>1200</v>
      </c>
      <c r="BD882">
        <v>1</v>
      </c>
      <c r="BE882" t="str">
        <f t="shared" si="41"/>
        <v xml:space="preserve">N215T   </v>
      </c>
      <c r="BF882">
        <v>1</v>
      </c>
      <c r="BH882">
        <v>0</v>
      </c>
      <c r="BI882">
        <v>0</v>
      </c>
      <c r="BJ882">
        <v>0</v>
      </c>
      <c r="BK882">
        <v>2475</v>
      </c>
      <c r="BL882">
        <v>375</v>
      </c>
      <c r="BM882" t="s">
        <v>119</v>
      </c>
      <c r="BN882">
        <v>1</v>
      </c>
      <c r="BO882">
        <v>1</v>
      </c>
      <c r="BP882">
        <v>1</v>
      </c>
      <c r="BQ882">
        <v>0</v>
      </c>
      <c r="BT882">
        <v>0</v>
      </c>
      <c r="BU882">
        <v>0</v>
      </c>
      <c r="BV882">
        <v>0</v>
      </c>
      <c r="CC882" t="str">
        <f>"18:49:21.391"</f>
        <v>18:49:21.391</v>
      </c>
      <c r="CD882" t="str">
        <f>"392169272"</f>
        <v>392169272</v>
      </c>
      <c r="CQ882">
        <v>0</v>
      </c>
      <c r="CR882">
        <v>2</v>
      </c>
      <c r="CS882">
        <v>0</v>
      </c>
      <c r="CT882">
        <v>2</v>
      </c>
      <c r="CU882">
        <v>0</v>
      </c>
      <c r="CV882">
        <v>6</v>
      </c>
      <c r="CW882" t="s">
        <v>120</v>
      </c>
      <c r="CX882">
        <v>257</v>
      </c>
      <c r="CY882">
        <v>1</v>
      </c>
      <c r="CZ882" t="s">
        <v>615</v>
      </c>
      <c r="DA882" t="s">
        <v>616</v>
      </c>
      <c r="DD882">
        <v>11039587</v>
      </c>
      <c r="DE882" t="s">
        <v>123</v>
      </c>
    </row>
    <row r="883" spans="1:109" x14ac:dyDescent="0.3">
      <c r="A883" t="str">
        <f>"18:49:22.695"</f>
        <v>18:49:22.695</v>
      </c>
      <c r="B883" t="s">
        <v>110</v>
      </c>
      <c r="C883" t="str">
        <f t="shared" si="39"/>
        <v>ffdfd3c0</v>
      </c>
      <c r="D883" t="s">
        <v>111</v>
      </c>
      <c r="E883">
        <v>18</v>
      </c>
      <c r="F883">
        <v>1018</v>
      </c>
      <c r="G883" t="s">
        <v>112</v>
      </c>
      <c r="J883" t="s">
        <v>113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R883" t="s">
        <v>114</v>
      </c>
      <c r="S883" t="str">
        <f>"18:49:22.484"</f>
        <v>18:49:22.484</v>
      </c>
      <c r="T883" t="str">
        <f>"18:49:21.984"</f>
        <v>18:49:21.984</v>
      </c>
      <c r="U883" t="str">
        <f t="shared" si="40"/>
        <v>a1cdbe</v>
      </c>
      <c r="V883">
        <v>0</v>
      </c>
      <c r="W883">
        <v>0</v>
      </c>
      <c r="X883">
        <v>1</v>
      </c>
      <c r="Y883">
        <v>0</v>
      </c>
      <c r="Z883">
        <v>0</v>
      </c>
      <c r="AB883">
        <v>0</v>
      </c>
      <c r="AC883">
        <v>9</v>
      </c>
      <c r="AD883">
        <v>3</v>
      </c>
      <c r="AE883">
        <v>0</v>
      </c>
      <c r="AF883">
        <v>9</v>
      </c>
      <c r="AG883" t="s">
        <v>158</v>
      </c>
      <c r="AH883">
        <v>0</v>
      </c>
      <c r="AI883">
        <v>3</v>
      </c>
      <c r="AJ883">
        <v>1</v>
      </c>
      <c r="AK883">
        <v>0</v>
      </c>
      <c r="AL883" t="s">
        <v>1836</v>
      </c>
      <c r="AM883">
        <v>46.848643000000003</v>
      </c>
      <c r="AN883" t="s">
        <v>1837</v>
      </c>
      <c r="AO883">
        <v>-122.449729</v>
      </c>
      <c r="AP883">
        <v>100</v>
      </c>
      <c r="AQ883">
        <v>2100</v>
      </c>
      <c r="AR883" t="s">
        <v>118</v>
      </c>
      <c r="AS883">
        <v>-77</v>
      </c>
      <c r="AT883">
        <v>-34</v>
      </c>
      <c r="AU883">
        <v>0</v>
      </c>
      <c r="BC883">
        <v>1200</v>
      </c>
      <c r="BD883">
        <v>1</v>
      </c>
      <c r="BE883" t="str">
        <f t="shared" si="41"/>
        <v xml:space="preserve">N215T   </v>
      </c>
      <c r="BF883">
        <v>1</v>
      </c>
      <c r="BH883">
        <v>0</v>
      </c>
      <c r="BI883">
        <v>0</v>
      </c>
      <c r="BJ883">
        <v>0</v>
      </c>
      <c r="BK883">
        <v>2475</v>
      </c>
      <c r="BL883">
        <v>375</v>
      </c>
      <c r="BM883" t="s">
        <v>119</v>
      </c>
      <c r="BN883">
        <v>1</v>
      </c>
      <c r="BO883">
        <v>1</v>
      </c>
      <c r="BP883">
        <v>1</v>
      </c>
      <c r="BQ883">
        <v>0</v>
      </c>
      <c r="BT883">
        <v>0</v>
      </c>
      <c r="BU883">
        <v>0</v>
      </c>
      <c r="BV883">
        <v>0</v>
      </c>
      <c r="CC883" t="str">
        <f>"18:49:22.484"</f>
        <v>18:49:22.484</v>
      </c>
      <c r="CD883" t="str">
        <f>"487061313"</f>
        <v>487061313</v>
      </c>
      <c r="CQ883">
        <v>0</v>
      </c>
      <c r="CR883">
        <v>2</v>
      </c>
      <c r="CS883">
        <v>0</v>
      </c>
      <c r="CT883">
        <v>2</v>
      </c>
      <c r="CU883">
        <v>0</v>
      </c>
      <c r="CV883">
        <v>5</v>
      </c>
      <c r="CW883" t="s">
        <v>120</v>
      </c>
      <c r="CX883">
        <v>257</v>
      </c>
      <c r="CY883">
        <v>1</v>
      </c>
      <c r="CZ883" t="s">
        <v>615</v>
      </c>
      <c r="DA883" t="s">
        <v>616</v>
      </c>
      <c r="DD883">
        <v>11040268</v>
      </c>
      <c r="DE883" t="s">
        <v>123</v>
      </c>
    </row>
    <row r="884" spans="1:109" x14ac:dyDescent="0.3">
      <c r="A884" t="str">
        <f>"18:49:23.852"</f>
        <v>18:49:23.852</v>
      </c>
      <c r="B884" t="s">
        <v>110</v>
      </c>
      <c r="C884" t="str">
        <f t="shared" si="39"/>
        <v>ffdfd3c0</v>
      </c>
      <c r="D884" t="s">
        <v>111</v>
      </c>
      <c r="E884">
        <v>18</v>
      </c>
      <c r="F884">
        <v>1018</v>
      </c>
      <c r="G884" t="s">
        <v>112</v>
      </c>
      <c r="J884" t="s">
        <v>113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R884" t="s">
        <v>114</v>
      </c>
      <c r="S884" t="str">
        <f>"18:49:23.641"</f>
        <v>18:49:23.641</v>
      </c>
      <c r="T884" t="str">
        <f>"18:49:23.141"</f>
        <v>18:49:23.141</v>
      </c>
      <c r="U884" t="str">
        <f t="shared" si="40"/>
        <v>a1cdbe</v>
      </c>
      <c r="V884">
        <v>0</v>
      </c>
      <c r="W884">
        <v>0</v>
      </c>
      <c r="X884">
        <v>1</v>
      </c>
      <c r="Y884">
        <v>0</v>
      </c>
      <c r="Z884">
        <v>0</v>
      </c>
      <c r="AB884">
        <v>0</v>
      </c>
      <c r="AC884">
        <v>9</v>
      </c>
      <c r="AD884">
        <v>3</v>
      </c>
      <c r="AE884">
        <v>0</v>
      </c>
      <c r="AF884">
        <v>9</v>
      </c>
      <c r="AG884" t="s">
        <v>158</v>
      </c>
      <c r="AH884">
        <v>0</v>
      </c>
      <c r="AI884">
        <v>3</v>
      </c>
      <c r="AJ884">
        <v>1</v>
      </c>
      <c r="AK884">
        <v>0</v>
      </c>
      <c r="AL884" t="s">
        <v>1838</v>
      </c>
      <c r="AM884">
        <v>46.848492999999998</v>
      </c>
      <c r="AN884" t="s">
        <v>1839</v>
      </c>
      <c r="AO884">
        <v>-122.45032999999999</v>
      </c>
      <c r="AP884">
        <v>100</v>
      </c>
      <c r="AQ884">
        <v>2100</v>
      </c>
      <c r="AR884" t="s">
        <v>118</v>
      </c>
      <c r="AS884">
        <v>-78</v>
      </c>
      <c r="AT884">
        <v>-32</v>
      </c>
      <c r="AU884">
        <v>-64</v>
      </c>
      <c r="BC884">
        <v>1200</v>
      </c>
      <c r="BD884">
        <v>1</v>
      </c>
      <c r="BE884" t="str">
        <f t="shared" si="41"/>
        <v xml:space="preserve">N215T   </v>
      </c>
      <c r="BF884">
        <v>1</v>
      </c>
      <c r="BH884">
        <v>0</v>
      </c>
      <c r="BI884">
        <v>0</v>
      </c>
      <c r="BJ884">
        <v>0</v>
      </c>
      <c r="BK884">
        <v>2475</v>
      </c>
      <c r="BL884">
        <v>375</v>
      </c>
      <c r="BM884" t="s">
        <v>119</v>
      </c>
      <c r="BN884">
        <v>1</v>
      </c>
      <c r="BO884">
        <v>1</v>
      </c>
      <c r="BP884">
        <v>1</v>
      </c>
      <c r="BQ884">
        <v>0</v>
      </c>
      <c r="BT884">
        <v>0</v>
      </c>
      <c r="BU884">
        <v>0</v>
      </c>
      <c r="BV884">
        <v>0</v>
      </c>
      <c r="CC884" t="str">
        <f>"18:49:23.641"</f>
        <v>18:49:23.641</v>
      </c>
      <c r="CD884" t="str">
        <f>"641947419"</f>
        <v>641947419</v>
      </c>
      <c r="CQ884">
        <v>0</v>
      </c>
      <c r="CR884">
        <v>2</v>
      </c>
      <c r="CS884">
        <v>0</v>
      </c>
      <c r="CT884">
        <v>2</v>
      </c>
      <c r="CU884">
        <v>0</v>
      </c>
      <c r="CV884">
        <v>5</v>
      </c>
      <c r="CW884" t="s">
        <v>120</v>
      </c>
      <c r="CX884">
        <v>257</v>
      </c>
      <c r="CY884">
        <v>1</v>
      </c>
      <c r="CZ884" t="s">
        <v>615</v>
      </c>
      <c r="DA884" t="s">
        <v>616</v>
      </c>
      <c r="DD884">
        <v>11041032</v>
      </c>
      <c r="DE884" t="s">
        <v>123</v>
      </c>
    </row>
    <row r="885" spans="1:109" x14ac:dyDescent="0.3">
      <c r="A885" t="str">
        <f>"18:49:25.008"</f>
        <v>18:49:25.008</v>
      </c>
      <c r="B885" t="s">
        <v>110</v>
      </c>
      <c r="C885" t="str">
        <f t="shared" si="39"/>
        <v>ffdfd3c0</v>
      </c>
      <c r="D885" t="s">
        <v>111</v>
      </c>
      <c r="E885">
        <v>18</v>
      </c>
      <c r="F885">
        <v>1018</v>
      </c>
      <c r="G885" t="s">
        <v>112</v>
      </c>
      <c r="J885" t="s">
        <v>113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R885" t="s">
        <v>114</v>
      </c>
      <c r="S885" t="str">
        <f>"18:49:24.781"</f>
        <v>18:49:24.781</v>
      </c>
      <c r="T885" t="str">
        <f>"18:49:24.680"</f>
        <v>18:49:24.680</v>
      </c>
      <c r="U885" t="str">
        <f t="shared" si="40"/>
        <v>a1cdbe</v>
      </c>
      <c r="V885">
        <v>0</v>
      </c>
      <c r="W885">
        <v>0</v>
      </c>
      <c r="X885">
        <v>1</v>
      </c>
      <c r="Y885">
        <v>0</v>
      </c>
      <c r="Z885">
        <v>0</v>
      </c>
      <c r="AB885">
        <v>0</v>
      </c>
      <c r="AC885">
        <v>9</v>
      </c>
      <c r="AD885">
        <v>3</v>
      </c>
      <c r="AE885">
        <v>0</v>
      </c>
      <c r="AF885">
        <v>9</v>
      </c>
      <c r="AG885" t="s">
        <v>158</v>
      </c>
      <c r="AH885">
        <v>0</v>
      </c>
      <c r="AI885">
        <v>3</v>
      </c>
      <c r="AJ885">
        <v>1</v>
      </c>
      <c r="AK885">
        <v>0</v>
      </c>
      <c r="AL885" t="s">
        <v>1840</v>
      </c>
      <c r="AM885">
        <v>46.848320999999999</v>
      </c>
      <c r="AN885" t="s">
        <v>1841</v>
      </c>
      <c r="AO885">
        <v>-122.450931</v>
      </c>
      <c r="AP885">
        <v>100</v>
      </c>
      <c r="AQ885">
        <v>2100</v>
      </c>
      <c r="AR885" t="s">
        <v>118</v>
      </c>
      <c r="AS885">
        <v>-79</v>
      </c>
      <c r="AT885">
        <v>-29</v>
      </c>
      <c r="AU885">
        <v>128</v>
      </c>
      <c r="BC885">
        <v>1200</v>
      </c>
      <c r="BD885">
        <v>1</v>
      </c>
      <c r="BE885" t="str">
        <f t="shared" si="41"/>
        <v xml:space="preserve">N215T   </v>
      </c>
      <c r="BF885">
        <v>1</v>
      </c>
      <c r="BH885">
        <v>0</v>
      </c>
      <c r="BI885">
        <v>0</v>
      </c>
      <c r="BJ885">
        <v>0</v>
      </c>
      <c r="BK885">
        <v>2475</v>
      </c>
      <c r="BL885">
        <v>375</v>
      </c>
      <c r="BM885" t="s">
        <v>119</v>
      </c>
      <c r="BN885">
        <v>1</v>
      </c>
      <c r="BO885">
        <v>1</v>
      </c>
      <c r="BP885">
        <v>1</v>
      </c>
      <c r="BQ885">
        <v>0</v>
      </c>
      <c r="BT885">
        <v>0</v>
      </c>
      <c r="BU885">
        <v>0</v>
      </c>
      <c r="BV885">
        <v>0</v>
      </c>
      <c r="CC885" t="str">
        <f>"18:49:24.781"</f>
        <v>18:49:24.781</v>
      </c>
      <c r="CD885" t="str">
        <f>"781835013"</f>
        <v>781835013</v>
      </c>
      <c r="CQ885">
        <v>0</v>
      </c>
      <c r="CR885">
        <v>2</v>
      </c>
      <c r="CS885">
        <v>0</v>
      </c>
      <c r="CT885">
        <v>2</v>
      </c>
      <c r="CU885">
        <v>0</v>
      </c>
      <c r="CV885">
        <v>5</v>
      </c>
      <c r="CW885" t="s">
        <v>120</v>
      </c>
      <c r="CX885">
        <v>257</v>
      </c>
      <c r="CY885">
        <v>1</v>
      </c>
      <c r="CZ885" t="s">
        <v>615</v>
      </c>
      <c r="DA885" t="s">
        <v>616</v>
      </c>
      <c r="DD885">
        <v>11041751</v>
      </c>
      <c r="DE885" t="s">
        <v>123</v>
      </c>
    </row>
    <row r="886" spans="1:109" x14ac:dyDescent="0.3">
      <c r="A886" t="str">
        <f>"18:49:25.914"</f>
        <v>18:49:25.914</v>
      </c>
      <c r="B886" t="s">
        <v>110</v>
      </c>
      <c r="C886" t="str">
        <f t="shared" si="39"/>
        <v>ffdfd3c0</v>
      </c>
      <c r="D886" t="s">
        <v>111</v>
      </c>
      <c r="E886">
        <v>18</v>
      </c>
      <c r="F886">
        <v>1018</v>
      </c>
      <c r="G886" t="s">
        <v>112</v>
      </c>
      <c r="J886" t="s">
        <v>113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R886" t="s">
        <v>114</v>
      </c>
      <c r="S886" t="str">
        <f>"18:49:25.664"</f>
        <v>18:49:25.664</v>
      </c>
      <c r="T886" t="str">
        <f>"18:49:25.563"</f>
        <v>18:49:25.563</v>
      </c>
      <c r="U886" t="str">
        <f t="shared" si="40"/>
        <v>a1cdbe</v>
      </c>
      <c r="V886">
        <v>0</v>
      </c>
      <c r="W886">
        <v>0</v>
      </c>
      <c r="X886">
        <v>1</v>
      </c>
      <c r="Y886">
        <v>0</v>
      </c>
      <c r="Z886">
        <v>0</v>
      </c>
      <c r="AB886">
        <v>0</v>
      </c>
      <c r="AC886">
        <v>9</v>
      </c>
      <c r="AD886">
        <v>3</v>
      </c>
      <c r="AE886">
        <v>0</v>
      </c>
      <c r="AF886">
        <v>9</v>
      </c>
      <c r="AG886" t="s">
        <v>158</v>
      </c>
      <c r="AH886">
        <v>0</v>
      </c>
      <c r="AI886">
        <v>3</v>
      </c>
      <c r="AJ886">
        <v>1</v>
      </c>
      <c r="AK886">
        <v>0</v>
      </c>
      <c r="AL886" t="s">
        <v>1842</v>
      </c>
      <c r="AM886">
        <v>46.848213999999999</v>
      </c>
      <c r="AN886" t="s">
        <v>1843</v>
      </c>
      <c r="AO886">
        <v>-122.451403</v>
      </c>
      <c r="AP886">
        <v>100</v>
      </c>
      <c r="AQ886">
        <v>2100</v>
      </c>
      <c r="AR886" t="s">
        <v>118</v>
      </c>
      <c r="AS886">
        <v>-79</v>
      </c>
      <c r="AT886">
        <v>-29</v>
      </c>
      <c r="AU886">
        <v>128</v>
      </c>
      <c r="BC886">
        <v>1200</v>
      </c>
      <c r="BD886">
        <v>1</v>
      </c>
      <c r="BE886" t="str">
        <f t="shared" si="41"/>
        <v xml:space="preserve">N215T   </v>
      </c>
      <c r="BF886">
        <v>1</v>
      </c>
      <c r="BH886">
        <v>0</v>
      </c>
      <c r="BI886">
        <v>0</v>
      </c>
      <c r="BJ886">
        <v>0</v>
      </c>
      <c r="BK886">
        <v>2475</v>
      </c>
      <c r="BL886">
        <v>375</v>
      </c>
      <c r="BM886" t="s">
        <v>119</v>
      </c>
      <c r="BN886">
        <v>1</v>
      </c>
      <c r="BO886">
        <v>1</v>
      </c>
      <c r="BP886">
        <v>1</v>
      </c>
      <c r="BQ886">
        <v>0</v>
      </c>
      <c r="BT886">
        <v>0</v>
      </c>
      <c r="BU886">
        <v>0</v>
      </c>
      <c r="BV886">
        <v>0</v>
      </c>
      <c r="CC886" t="str">
        <f>"18:49:25.664"</f>
        <v>18:49:25.664</v>
      </c>
      <c r="CD886" t="str">
        <f>"666747759"</f>
        <v>666747759</v>
      </c>
      <c r="CQ886">
        <v>0</v>
      </c>
      <c r="CR886">
        <v>2</v>
      </c>
      <c r="CS886">
        <v>0</v>
      </c>
      <c r="CT886">
        <v>2</v>
      </c>
      <c r="CU886">
        <v>0</v>
      </c>
      <c r="CV886">
        <v>5</v>
      </c>
      <c r="CW886" t="s">
        <v>120</v>
      </c>
      <c r="CX886">
        <v>257</v>
      </c>
      <c r="CY886">
        <v>1</v>
      </c>
      <c r="CZ886" t="s">
        <v>615</v>
      </c>
      <c r="DA886" t="s">
        <v>616</v>
      </c>
      <c r="DD886">
        <v>11042348</v>
      </c>
      <c r="DE886" t="s">
        <v>123</v>
      </c>
    </row>
    <row r="887" spans="1:109" x14ac:dyDescent="0.3">
      <c r="A887" t="str">
        <f>"18:49:26.875"</f>
        <v>18:49:26.875</v>
      </c>
      <c r="B887" t="s">
        <v>110</v>
      </c>
      <c r="C887" t="str">
        <f t="shared" si="39"/>
        <v>ffdfd3c0</v>
      </c>
      <c r="D887" t="s">
        <v>111</v>
      </c>
      <c r="E887">
        <v>18</v>
      </c>
      <c r="F887">
        <v>1018</v>
      </c>
      <c r="G887" t="s">
        <v>112</v>
      </c>
      <c r="J887" t="s">
        <v>113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R887" t="s">
        <v>114</v>
      </c>
      <c r="S887" t="str">
        <f>"18:49:26.664"</f>
        <v>18:49:26.664</v>
      </c>
      <c r="T887" t="str">
        <f>"18:49:26.664"</f>
        <v>18:49:26.664</v>
      </c>
      <c r="U887" t="str">
        <f t="shared" si="40"/>
        <v>a1cdbe</v>
      </c>
      <c r="V887">
        <v>0</v>
      </c>
      <c r="W887">
        <v>0</v>
      </c>
      <c r="X887">
        <v>1</v>
      </c>
      <c r="Y887">
        <v>0</v>
      </c>
      <c r="Z887">
        <v>0</v>
      </c>
      <c r="AB887">
        <v>0</v>
      </c>
      <c r="AC887">
        <v>9</v>
      </c>
      <c r="AD887">
        <v>3</v>
      </c>
      <c r="AE887">
        <v>0</v>
      </c>
      <c r="AF887">
        <v>9</v>
      </c>
      <c r="AG887" t="s">
        <v>158</v>
      </c>
      <c r="AH887">
        <v>0</v>
      </c>
      <c r="AI887">
        <v>3</v>
      </c>
      <c r="AJ887">
        <v>1</v>
      </c>
      <c r="AK887">
        <v>0</v>
      </c>
      <c r="AL887" t="s">
        <v>1844</v>
      </c>
      <c r="AM887">
        <v>46.848084999999998</v>
      </c>
      <c r="AN887" t="s">
        <v>1845</v>
      </c>
      <c r="AO887">
        <v>-122.451897</v>
      </c>
      <c r="AP887">
        <v>100</v>
      </c>
      <c r="AQ887">
        <v>2100</v>
      </c>
      <c r="AR887" t="s">
        <v>118</v>
      </c>
      <c r="AS887">
        <v>-78</v>
      </c>
      <c r="AT887">
        <v>-29</v>
      </c>
      <c r="AU887">
        <v>64</v>
      </c>
      <c r="BC887">
        <v>1200</v>
      </c>
      <c r="BD887">
        <v>1</v>
      </c>
      <c r="BE887" t="str">
        <f t="shared" si="41"/>
        <v xml:space="preserve">N215T   </v>
      </c>
      <c r="BF887">
        <v>1</v>
      </c>
      <c r="BH887">
        <v>0</v>
      </c>
      <c r="BI887">
        <v>0</v>
      </c>
      <c r="BJ887">
        <v>0</v>
      </c>
      <c r="BK887">
        <v>2475</v>
      </c>
      <c r="BL887">
        <v>375</v>
      </c>
      <c r="BM887" t="s">
        <v>119</v>
      </c>
      <c r="BN887">
        <v>1</v>
      </c>
      <c r="BO887">
        <v>1</v>
      </c>
      <c r="BP887">
        <v>1</v>
      </c>
      <c r="BQ887">
        <v>0</v>
      </c>
      <c r="BT887">
        <v>0</v>
      </c>
      <c r="BU887">
        <v>0</v>
      </c>
      <c r="BV887">
        <v>0</v>
      </c>
      <c r="CC887" t="str">
        <f>"18:49:26.672"</f>
        <v>18:49:26.672</v>
      </c>
      <c r="CD887" t="str">
        <f>"671648672"</f>
        <v>671648672</v>
      </c>
      <c r="CQ887">
        <v>0</v>
      </c>
      <c r="CR887">
        <v>2</v>
      </c>
      <c r="CS887">
        <v>0</v>
      </c>
      <c r="CT887">
        <v>2</v>
      </c>
      <c r="CU887">
        <v>0</v>
      </c>
      <c r="CV887">
        <v>5</v>
      </c>
      <c r="CW887" t="s">
        <v>120</v>
      </c>
      <c r="CX887">
        <v>257</v>
      </c>
      <c r="CY887">
        <v>1</v>
      </c>
      <c r="CZ887" t="s">
        <v>615</v>
      </c>
      <c r="DA887" t="s">
        <v>616</v>
      </c>
      <c r="DD887">
        <v>11042987</v>
      </c>
      <c r="DE887" t="s">
        <v>123</v>
      </c>
    </row>
    <row r="888" spans="1:109" x14ac:dyDescent="0.3">
      <c r="A888" t="str">
        <f>"18:49:27.828"</f>
        <v>18:49:27.828</v>
      </c>
      <c r="B888" t="s">
        <v>110</v>
      </c>
      <c r="C888" t="str">
        <f t="shared" si="39"/>
        <v>ffdfd3c0</v>
      </c>
      <c r="D888" t="s">
        <v>111</v>
      </c>
      <c r="E888">
        <v>18</v>
      </c>
      <c r="F888">
        <v>1018</v>
      </c>
      <c r="G888" t="s">
        <v>112</v>
      </c>
      <c r="J888" t="s">
        <v>113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R888" t="s">
        <v>114</v>
      </c>
      <c r="S888" t="str">
        <f>"18:49:27.609"</f>
        <v>18:49:27.609</v>
      </c>
      <c r="T888" t="str">
        <f>"18:49:27.211"</f>
        <v>18:49:27.211</v>
      </c>
      <c r="U888" t="str">
        <f t="shared" si="40"/>
        <v>a1cdbe</v>
      </c>
      <c r="V888">
        <v>0</v>
      </c>
      <c r="W888">
        <v>0</v>
      </c>
      <c r="X888">
        <v>1</v>
      </c>
      <c r="Y888">
        <v>0</v>
      </c>
      <c r="Z888">
        <v>0</v>
      </c>
      <c r="AB888">
        <v>0</v>
      </c>
      <c r="AC888">
        <v>9</v>
      </c>
      <c r="AD888">
        <v>3</v>
      </c>
      <c r="AE888">
        <v>0</v>
      </c>
      <c r="AF888">
        <v>9</v>
      </c>
      <c r="AG888" t="s">
        <v>158</v>
      </c>
      <c r="AH888">
        <v>0</v>
      </c>
      <c r="AI888">
        <v>3</v>
      </c>
      <c r="AJ888">
        <v>1</v>
      </c>
      <c r="AK888">
        <v>0</v>
      </c>
      <c r="AL888" t="s">
        <v>1846</v>
      </c>
      <c r="AM888">
        <v>46.847956000000003</v>
      </c>
      <c r="AN888" t="s">
        <v>1847</v>
      </c>
      <c r="AO888">
        <v>-122.452412</v>
      </c>
      <c r="AP888">
        <v>100</v>
      </c>
      <c r="AQ888">
        <v>2100</v>
      </c>
      <c r="AR888" t="s">
        <v>118</v>
      </c>
      <c r="AS888">
        <v>-78</v>
      </c>
      <c r="AT888">
        <v>-29</v>
      </c>
      <c r="AU888">
        <v>128</v>
      </c>
      <c r="BC888">
        <v>1200</v>
      </c>
      <c r="BD888">
        <v>1</v>
      </c>
      <c r="BE888" t="str">
        <f t="shared" si="41"/>
        <v xml:space="preserve">N215T   </v>
      </c>
      <c r="BF888">
        <v>1</v>
      </c>
      <c r="BH888">
        <v>0</v>
      </c>
      <c r="BI888">
        <v>0</v>
      </c>
      <c r="BJ888">
        <v>0</v>
      </c>
      <c r="BK888">
        <v>2475</v>
      </c>
      <c r="BL888">
        <v>375</v>
      </c>
      <c r="BM888" t="s">
        <v>119</v>
      </c>
      <c r="BN888">
        <v>1</v>
      </c>
      <c r="BO888">
        <v>1</v>
      </c>
      <c r="BP888">
        <v>1</v>
      </c>
      <c r="BQ888">
        <v>0</v>
      </c>
      <c r="BT888">
        <v>0</v>
      </c>
      <c r="BU888">
        <v>0</v>
      </c>
      <c r="BV888">
        <v>0</v>
      </c>
      <c r="CC888" t="str">
        <f>"18:49:27.617"</f>
        <v>18:49:27.617</v>
      </c>
      <c r="CD888" t="str">
        <f>"616428483"</f>
        <v>616428483</v>
      </c>
      <c r="CQ888">
        <v>0</v>
      </c>
      <c r="CR888">
        <v>2</v>
      </c>
      <c r="CS888">
        <v>0</v>
      </c>
      <c r="CT888">
        <v>2</v>
      </c>
      <c r="CU888">
        <v>0</v>
      </c>
      <c r="CV888">
        <v>5</v>
      </c>
      <c r="CW888" t="s">
        <v>120</v>
      </c>
      <c r="CX888">
        <v>261</v>
      </c>
      <c r="CY888">
        <v>2</v>
      </c>
      <c r="CZ888" t="s">
        <v>121</v>
      </c>
      <c r="DA888" t="s">
        <v>122</v>
      </c>
      <c r="DD888">
        <v>14722604</v>
      </c>
      <c r="DE888" t="s">
        <v>123</v>
      </c>
    </row>
    <row r="889" spans="1:109" x14ac:dyDescent="0.3">
      <c r="A889" t="str">
        <f>"18:49:28.781"</f>
        <v>18:49:28.781</v>
      </c>
      <c r="B889" t="s">
        <v>110</v>
      </c>
      <c r="C889" t="str">
        <f t="shared" si="39"/>
        <v>ffdfd3c0</v>
      </c>
      <c r="D889" t="s">
        <v>111</v>
      </c>
      <c r="E889">
        <v>18</v>
      </c>
      <c r="F889">
        <v>1018</v>
      </c>
      <c r="G889" t="s">
        <v>112</v>
      </c>
      <c r="J889" t="s">
        <v>113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R889" t="s">
        <v>114</v>
      </c>
      <c r="S889" t="str">
        <f>"18:49:28.539"</f>
        <v>18:49:28.539</v>
      </c>
      <c r="T889" t="str">
        <f>"18:49:28.242"</f>
        <v>18:49:28.242</v>
      </c>
      <c r="U889" t="str">
        <f t="shared" si="40"/>
        <v>a1cdbe</v>
      </c>
      <c r="V889">
        <v>0</v>
      </c>
      <c r="W889">
        <v>0</v>
      </c>
      <c r="X889">
        <v>1</v>
      </c>
      <c r="Y889">
        <v>0</v>
      </c>
      <c r="Z889">
        <v>0</v>
      </c>
      <c r="AB889">
        <v>0</v>
      </c>
      <c r="AC889">
        <v>9</v>
      </c>
      <c r="AD889">
        <v>3</v>
      </c>
      <c r="AE889">
        <v>0</v>
      </c>
      <c r="AF889">
        <v>9</v>
      </c>
      <c r="AG889" t="s">
        <v>158</v>
      </c>
      <c r="AH889">
        <v>0</v>
      </c>
      <c r="AI889">
        <v>3</v>
      </c>
      <c r="AJ889">
        <v>1</v>
      </c>
      <c r="AK889">
        <v>0</v>
      </c>
      <c r="AL889" t="s">
        <v>1848</v>
      </c>
      <c r="AM889">
        <v>46.847805999999999</v>
      </c>
      <c r="AN889" t="s">
        <v>1849</v>
      </c>
      <c r="AO889">
        <v>-122.45294800000001</v>
      </c>
      <c r="AP889">
        <v>100</v>
      </c>
      <c r="AQ889">
        <v>2100</v>
      </c>
      <c r="AR889" t="s">
        <v>118</v>
      </c>
      <c r="AS889">
        <v>-78</v>
      </c>
      <c r="AT889">
        <v>-30</v>
      </c>
      <c r="AU889">
        <v>256</v>
      </c>
      <c r="BC889">
        <v>1200</v>
      </c>
      <c r="BD889">
        <v>1</v>
      </c>
      <c r="BE889" t="str">
        <f t="shared" si="41"/>
        <v xml:space="preserve">N215T   </v>
      </c>
      <c r="BF889">
        <v>1</v>
      </c>
      <c r="BH889">
        <v>0</v>
      </c>
      <c r="BI889">
        <v>0</v>
      </c>
      <c r="BJ889">
        <v>0</v>
      </c>
      <c r="BK889">
        <v>2475</v>
      </c>
      <c r="BL889">
        <v>375</v>
      </c>
      <c r="BM889" t="s">
        <v>119</v>
      </c>
      <c r="BN889">
        <v>1</v>
      </c>
      <c r="BO889">
        <v>1</v>
      </c>
      <c r="BP889">
        <v>1</v>
      </c>
      <c r="BQ889">
        <v>0</v>
      </c>
      <c r="BT889">
        <v>0</v>
      </c>
      <c r="BU889">
        <v>0</v>
      </c>
      <c r="BV889">
        <v>0</v>
      </c>
      <c r="CC889" t="str">
        <f>"18:49:28.547"</f>
        <v>18:49:28.547</v>
      </c>
      <c r="CD889" t="str">
        <f>"546336945"</f>
        <v>546336945</v>
      </c>
      <c r="CQ889">
        <v>0</v>
      </c>
      <c r="CR889">
        <v>2</v>
      </c>
      <c r="CS889">
        <v>0</v>
      </c>
      <c r="CT889">
        <v>2</v>
      </c>
      <c r="CU889">
        <v>0</v>
      </c>
      <c r="CV889">
        <v>5</v>
      </c>
      <c r="CW889" t="s">
        <v>120</v>
      </c>
      <c r="CX889">
        <v>261</v>
      </c>
      <c r="CY889">
        <v>2</v>
      </c>
      <c r="CZ889" t="s">
        <v>121</v>
      </c>
      <c r="DA889" t="s">
        <v>122</v>
      </c>
      <c r="DD889">
        <v>14723179</v>
      </c>
      <c r="DE889" t="s">
        <v>123</v>
      </c>
    </row>
    <row r="890" spans="1:109" x14ac:dyDescent="0.3">
      <c r="A890" t="str">
        <f>"18:49:29.938"</f>
        <v>18:49:29.938</v>
      </c>
      <c r="B890" t="s">
        <v>110</v>
      </c>
      <c r="C890" t="str">
        <f t="shared" si="39"/>
        <v>ffdfd3c0</v>
      </c>
      <c r="D890" t="s">
        <v>111</v>
      </c>
      <c r="E890">
        <v>18</v>
      </c>
      <c r="F890">
        <v>1018</v>
      </c>
      <c r="G890" t="s">
        <v>112</v>
      </c>
      <c r="J890" t="s">
        <v>113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R890" t="s">
        <v>114</v>
      </c>
      <c r="S890" t="str">
        <f>"18:49:29.711"</f>
        <v>18:49:29.711</v>
      </c>
      <c r="T890" t="str">
        <f>"18:49:29.711"</f>
        <v>18:49:29.711</v>
      </c>
      <c r="U890" t="str">
        <f t="shared" si="40"/>
        <v>a1cdbe</v>
      </c>
      <c r="V890">
        <v>0</v>
      </c>
      <c r="W890">
        <v>0</v>
      </c>
      <c r="X890">
        <v>1</v>
      </c>
      <c r="Y890">
        <v>0</v>
      </c>
      <c r="Z890">
        <v>0</v>
      </c>
      <c r="AB890">
        <v>0</v>
      </c>
      <c r="AC890">
        <v>9</v>
      </c>
      <c r="AD890">
        <v>3</v>
      </c>
      <c r="AE890">
        <v>0</v>
      </c>
      <c r="AF890">
        <v>9</v>
      </c>
      <c r="AG890" t="s">
        <v>158</v>
      </c>
      <c r="AH890">
        <v>0</v>
      </c>
      <c r="AI890">
        <v>3</v>
      </c>
      <c r="AJ890">
        <v>1</v>
      </c>
      <c r="AK890">
        <v>0</v>
      </c>
      <c r="AL890" t="s">
        <v>1850</v>
      </c>
      <c r="AM890">
        <v>46.847676999999997</v>
      </c>
      <c r="AN890" t="s">
        <v>1851</v>
      </c>
      <c r="AO890">
        <v>-122.453549</v>
      </c>
      <c r="AP890">
        <v>100</v>
      </c>
      <c r="AQ890">
        <v>2100</v>
      </c>
      <c r="AR890" t="s">
        <v>118</v>
      </c>
      <c r="AS890">
        <v>-77</v>
      </c>
      <c r="AT890">
        <v>-30</v>
      </c>
      <c r="AU890">
        <v>192</v>
      </c>
      <c r="BC890">
        <v>1200</v>
      </c>
      <c r="BD890">
        <v>1</v>
      </c>
      <c r="BE890" t="str">
        <f t="shared" si="41"/>
        <v xml:space="preserve">N215T   </v>
      </c>
      <c r="BF890">
        <v>1</v>
      </c>
      <c r="BH890">
        <v>0</v>
      </c>
      <c r="BI890">
        <v>0</v>
      </c>
      <c r="BJ890">
        <v>0</v>
      </c>
      <c r="BK890">
        <v>2475</v>
      </c>
      <c r="BL890">
        <v>375</v>
      </c>
      <c r="BM890" t="s">
        <v>119</v>
      </c>
      <c r="BN890">
        <v>1</v>
      </c>
      <c r="BO890">
        <v>1</v>
      </c>
      <c r="BP890">
        <v>1</v>
      </c>
      <c r="BQ890">
        <v>0</v>
      </c>
      <c r="BT890">
        <v>0</v>
      </c>
      <c r="BU890">
        <v>0</v>
      </c>
      <c r="BV890">
        <v>0</v>
      </c>
      <c r="CC890" t="str">
        <f>"18:49:29.719"</f>
        <v>18:49:29.719</v>
      </c>
      <c r="CD890" t="str">
        <f>"716221761"</f>
        <v>716221761</v>
      </c>
      <c r="CQ890">
        <v>0</v>
      </c>
      <c r="CR890">
        <v>2</v>
      </c>
      <c r="CS890">
        <v>0</v>
      </c>
      <c r="CT890">
        <v>2</v>
      </c>
      <c r="CU890">
        <v>0</v>
      </c>
      <c r="CV890">
        <v>5</v>
      </c>
      <c r="CW890" t="s">
        <v>120</v>
      </c>
      <c r="CX890">
        <v>261</v>
      </c>
      <c r="CY890">
        <v>2</v>
      </c>
      <c r="CZ890" t="s">
        <v>121</v>
      </c>
      <c r="DA890" t="s">
        <v>122</v>
      </c>
      <c r="DD890">
        <v>14723882</v>
      </c>
      <c r="DE890" t="s">
        <v>123</v>
      </c>
    </row>
    <row r="891" spans="1:109" x14ac:dyDescent="0.3">
      <c r="A891" t="str">
        <f>"18:49:30.891"</f>
        <v>18:49:30.891</v>
      </c>
      <c r="B891" t="s">
        <v>110</v>
      </c>
      <c r="C891" t="str">
        <f t="shared" si="39"/>
        <v>ffdfd3c0</v>
      </c>
      <c r="D891" t="s">
        <v>111</v>
      </c>
      <c r="E891">
        <v>18</v>
      </c>
      <c r="F891">
        <v>1018</v>
      </c>
      <c r="G891" t="s">
        <v>112</v>
      </c>
      <c r="J891" t="s">
        <v>113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R891" t="s">
        <v>114</v>
      </c>
      <c r="S891" t="str">
        <f>"18:49:30.672"</f>
        <v>18:49:30.672</v>
      </c>
      <c r="T891" t="str">
        <f>"18:49:30.172"</f>
        <v>18:49:30.172</v>
      </c>
      <c r="U891" t="str">
        <f t="shared" si="40"/>
        <v>a1cdbe</v>
      </c>
      <c r="V891">
        <v>0</v>
      </c>
      <c r="W891">
        <v>0</v>
      </c>
      <c r="X891">
        <v>1</v>
      </c>
      <c r="Y891">
        <v>0</v>
      </c>
      <c r="Z891">
        <v>0</v>
      </c>
      <c r="AB891">
        <v>0</v>
      </c>
      <c r="AC891">
        <v>9</v>
      </c>
      <c r="AD891">
        <v>3</v>
      </c>
      <c r="AE891">
        <v>0</v>
      </c>
      <c r="AF891">
        <v>9</v>
      </c>
      <c r="AG891" t="s">
        <v>158</v>
      </c>
      <c r="AH891">
        <v>0</v>
      </c>
      <c r="AI891">
        <v>3</v>
      </c>
      <c r="AJ891">
        <v>1</v>
      </c>
      <c r="AK891">
        <v>0</v>
      </c>
      <c r="AL891" t="s">
        <v>1852</v>
      </c>
      <c r="AM891">
        <v>46.847526999999999</v>
      </c>
      <c r="AN891" t="s">
        <v>1853</v>
      </c>
      <c r="AO891">
        <v>-122.454021</v>
      </c>
      <c r="AP891">
        <v>100</v>
      </c>
      <c r="AQ891">
        <v>2100</v>
      </c>
      <c r="AR891" t="s">
        <v>118</v>
      </c>
      <c r="AS891">
        <v>-77</v>
      </c>
      <c r="AT891">
        <v>-30</v>
      </c>
      <c r="AU891">
        <v>256</v>
      </c>
      <c r="BC891">
        <v>1200</v>
      </c>
      <c r="BD891">
        <v>1</v>
      </c>
      <c r="BE891" t="str">
        <f t="shared" si="41"/>
        <v xml:space="preserve">N215T   </v>
      </c>
      <c r="BF891">
        <v>1</v>
      </c>
      <c r="BH891">
        <v>0</v>
      </c>
      <c r="BI891">
        <v>0</v>
      </c>
      <c r="BJ891">
        <v>0</v>
      </c>
      <c r="BK891">
        <v>2500</v>
      </c>
      <c r="BL891">
        <v>400</v>
      </c>
      <c r="BM891" t="s">
        <v>119</v>
      </c>
      <c r="BN891">
        <v>1</v>
      </c>
      <c r="BO891">
        <v>1</v>
      </c>
      <c r="BP891">
        <v>1</v>
      </c>
      <c r="BQ891">
        <v>0</v>
      </c>
      <c r="BT891">
        <v>0</v>
      </c>
      <c r="BU891">
        <v>0</v>
      </c>
      <c r="BV891">
        <v>0</v>
      </c>
      <c r="CC891" t="str">
        <f>"18:49:30.680"</f>
        <v>18:49:30.680</v>
      </c>
      <c r="CD891" t="str">
        <f>"676253810"</f>
        <v>676253810</v>
      </c>
      <c r="CQ891">
        <v>0</v>
      </c>
      <c r="CR891">
        <v>2</v>
      </c>
      <c r="CS891">
        <v>0</v>
      </c>
      <c r="CT891">
        <v>2</v>
      </c>
      <c r="CU891">
        <v>0</v>
      </c>
      <c r="CV891">
        <v>6</v>
      </c>
      <c r="CW891" t="s">
        <v>120</v>
      </c>
      <c r="CX891">
        <v>257</v>
      </c>
      <c r="CY891">
        <v>1</v>
      </c>
      <c r="CZ891" t="s">
        <v>615</v>
      </c>
      <c r="DA891" t="s">
        <v>616</v>
      </c>
      <c r="DD891">
        <v>11045631</v>
      </c>
      <c r="DE891" t="s">
        <v>123</v>
      </c>
    </row>
    <row r="892" spans="1:109" x14ac:dyDescent="0.3">
      <c r="A892" t="str">
        <f>"18:49:31.750"</f>
        <v>18:49:31.750</v>
      </c>
      <c r="B892" t="s">
        <v>110</v>
      </c>
      <c r="C892" t="str">
        <f t="shared" si="39"/>
        <v>ffdfd3c0</v>
      </c>
      <c r="D892" t="s">
        <v>111</v>
      </c>
      <c r="E892">
        <v>18</v>
      </c>
      <c r="F892">
        <v>1018</v>
      </c>
      <c r="G892" t="s">
        <v>112</v>
      </c>
      <c r="J892" t="s">
        <v>113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R892" t="s">
        <v>114</v>
      </c>
      <c r="S892" t="str">
        <f>"18:49:31.500"</f>
        <v>18:49:31.500</v>
      </c>
      <c r="T892" t="str">
        <f>"18:49:31.297"</f>
        <v>18:49:31.297</v>
      </c>
      <c r="U892" t="str">
        <f t="shared" si="40"/>
        <v>a1cdbe</v>
      </c>
      <c r="V892">
        <v>0</v>
      </c>
      <c r="W892">
        <v>0</v>
      </c>
      <c r="X892">
        <v>1</v>
      </c>
      <c r="Y892">
        <v>0</v>
      </c>
      <c r="Z892">
        <v>0</v>
      </c>
      <c r="AB892">
        <v>0</v>
      </c>
      <c r="AC892">
        <v>9</v>
      </c>
      <c r="AD892">
        <v>3</v>
      </c>
      <c r="AE892">
        <v>0</v>
      </c>
      <c r="AF892">
        <v>9</v>
      </c>
      <c r="AG892" t="s">
        <v>158</v>
      </c>
      <c r="AH892">
        <v>0</v>
      </c>
      <c r="AI892">
        <v>3</v>
      </c>
      <c r="AJ892">
        <v>1</v>
      </c>
      <c r="AK892">
        <v>0</v>
      </c>
      <c r="AL892" t="s">
        <v>1854</v>
      </c>
      <c r="AM892">
        <v>46.84742</v>
      </c>
      <c r="AN892" t="s">
        <v>1855</v>
      </c>
      <c r="AO892">
        <v>-122.454429</v>
      </c>
      <c r="AP892">
        <v>100</v>
      </c>
      <c r="AQ892">
        <v>2100</v>
      </c>
      <c r="AR892" t="s">
        <v>118</v>
      </c>
      <c r="AS892">
        <v>-77</v>
      </c>
      <c r="AT892">
        <v>-29</v>
      </c>
      <c r="AU892">
        <v>192</v>
      </c>
      <c r="BC892">
        <v>1200</v>
      </c>
      <c r="BD892">
        <v>1</v>
      </c>
      <c r="BE892" t="str">
        <f t="shared" si="41"/>
        <v xml:space="preserve">N215T   </v>
      </c>
      <c r="BF892">
        <v>1</v>
      </c>
      <c r="BH892">
        <v>0</v>
      </c>
      <c r="BI892">
        <v>0</v>
      </c>
      <c r="BJ892">
        <v>0</v>
      </c>
      <c r="BK892">
        <v>2500</v>
      </c>
      <c r="BL892">
        <v>400</v>
      </c>
      <c r="BM892" t="s">
        <v>119</v>
      </c>
      <c r="BN892">
        <v>1</v>
      </c>
      <c r="BO892">
        <v>1</v>
      </c>
      <c r="BP892">
        <v>1</v>
      </c>
      <c r="BQ892">
        <v>0</v>
      </c>
      <c r="BT892">
        <v>0</v>
      </c>
      <c r="BU892">
        <v>0</v>
      </c>
      <c r="BV892">
        <v>0</v>
      </c>
      <c r="CC892" t="str">
        <f>"18:49:31.500"</f>
        <v>18:49:31.500</v>
      </c>
      <c r="CD892" t="str">
        <f>"501172468"</f>
        <v>501172468</v>
      </c>
      <c r="CQ892">
        <v>0</v>
      </c>
      <c r="CR892">
        <v>2</v>
      </c>
      <c r="CS892">
        <v>0</v>
      </c>
      <c r="CT892">
        <v>2</v>
      </c>
      <c r="CU892">
        <v>0</v>
      </c>
      <c r="CV892">
        <v>6</v>
      </c>
      <c r="CW892" t="s">
        <v>120</v>
      </c>
      <c r="CX892">
        <v>257</v>
      </c>
      <c r="CY892">
        <v>1</v>
      </c>
      <c r="CZ892" t="s">
        <v>615</v>
      </c>
      <c r="DA892" t="s">
        <v>616</v>
      </c>
      <c r="DD892">
        <v>11046133</v>
      </c>
      <c r="DE892" t="s">
        <v>123</v>
      </c>
    </row>
    <row r="893" spans="1:109" x14ac:dyDescent="0.3">
      <c r="A893" t="str">
        <f>"18:49:32.805"</f>
        <v>18:49:32.805</v>
      </c>
      <c r="B893" t="s">
        <v>110</v>
      </c>
      <c r="C893" t="str">
        <f t="shared" si="39"/>
        <v>ffdfd3c0</v>
      </c>
      <c r="D893" t="s">
        <v>111</v>
      </c>
      <c r="E893">
        <v>18</v>
      </c>
      <c r="F893">
        <v>1018</v>
      </c>
      <c r="G893" t="s">
        <v>112</v>
      </c>
      <c r="J893" t="s">
        <v>113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R893" t="s">
        <v>114</v>
      </c>
      <c r="S893" t="str">
        <f>"18:49:32.563"</f>
        <v>18:49:32.563</v>
      </c>
      <c r="T893" t="str">
        <f>"18:49:32.266"</f>
        <v>18:49:32.266</v>
      </c>
      <c r="U893" t="str">
        <f t="shared" si="40"/>
        <v>a1cdbe</v>
      </c>
      <c r="V893">
        <v>0</v>
      </c>
      <c r="W893">
        <v>0</v>
      </c>
      <c r="X893">
        <v>1</v>
      </c>
      <c r="Y893">
        <v>0</v>
      </c>
      <c r="Z893">
        <v>0</v>
      </c>
      <c r="AB893">
        <v>0</v>
      </c>
      <c r="AC893">
        <v>9</v>
      </c>
      <c r="AD893">
        <v>3</v>
      </c>
      <c r="AE893">
        <v>0</v>
      </c>
      <c r="AF893">
        <v>9</v>
      </c>
      <c r="AG893" t="s">
        <v>158</v>
      </c>
      <c r="AH893">
        <v>0</v>
      </c>
      <c r="AI893">
        <v>3</v>
      </c>
      <c r="AJ893">
        <v>1</v>
      </c>
      <c r="AK893">
        <v>0</v>
      </c>
      <c r="AL893" t="s">
        <v>1856</v>
      </c>
      <c r="AM893">
        <v>46.847290999999998</v>
      </c>
      <c r="AN893" t="s">
        <v>1857</v>
      </c>
      <c r="AO893">
        <v>-122.454987</v>
      </c>
      <c r="AP893">
        <v>100</v>
      </c>
      <c r="AQ893">
        <v>2100</v>
      </c>
      <c r="AR893" t="s">
        <v>118</v>
      </c>
      <c r="AS893">
        <v>-76</v>
      </c>
      <c r="AT893">
        <v>-27</v>
      </c>
      <c r="AU893">
        <v>192</v>
      </c>
      <c r="BC893">
        <v>1200</v>
      </c>
      <c r="BD893">
        <v>1</v>
      </c>
      <c r="BE893" t="str">
        <f t="shared" si="41"/>
        <v xml:space="preserve">N215T   </v>
      </c>
      <c r="BF893">
        <v>1</v>
      </c>
      <c r="BH893">
        <v>0</v>
      </c>
      <c r="BI893">
        <v>0</v>
      </c>
      <c r="BJ893">
        <v>0</v>
      </c>
      <c r="BK893">
        <v>2500</v>
      </c>
      <c r="BL893">
        <v>400</v>
      </c>
      <c r="BM893" t="s">
        <v>119</v>
      </c>
      <c r="BN893">
        <v>1</v>
      </c>
      <c r="BO893">
        <v>1</v>
      </c>
      <c r="BP893">
        <v>1</v>
      </c>
      <c r="BQ893">
        <v>0</v>
      </c>
      <c r="BT893">
        <v>0</v>
      </c>
      <c r="BU893">
        <v>0</v>
      </c>
      <c r="BV893">
        <v>0</v>
      </c>
      <c r="CC893" t="str">
        <f>"18:49:32.563"</f>
        <v>18:49:32.563</v>
      </c>
      <c r="CD893" t="str">
        <f>"565941170"</f>
        <v>565941170</v>
      </c>
      <c r="CQ893">
        <v>0</v>
      </c>
      <c r="CR893">
        <v>2</v>
      </c>
      <c r="CS893">
        <v>0</v>
      </c>
      <c r="CT893">
        <v>2</v>
      </c>
      <c r="CU893">
        <v>0</v>
      </c>
      <c r="CV893">
        <v>5</v>
      </c>
      <c r="CW893" t="s">
        <v>120</v>
      </c>
      <c r="CX893">
        <v>261</v>
      </c>
      <c r="CY893">
        <v>2</v>
      </c>
      <c r="CZ893" t="s">
        <v>121</v>
      </c>
      <c r="DA893" t="s">
        <v>122</v>
      </c>
      <c r="DD893">
        <v>14725554</v>
      </c>
      <c r="DE893" t="s">
        <v>123</v>
      </c>
    </row>
    <row r="894" spans="1:109" x14ac:dyDescent="0.3">
      <c r="A894" t="str">
        <f>"18:49:33.914"</f>
        <v>18:49:33.914</v>
      </c>
      <c r="B894" t="s">
        <v>110</v>
      </c>
      <c r="C894" t="str">
        <f t="shared" si="39"/>
        <v>ffdfd3c0</v>
      </c>
      <c r="D894" t="s">
        <v>111</v>
      </c>
      <c r="E894">
        <v>18</v>
      </c>
      <c r="F894">
        <v>1018</v>
      </c>
      <c r="G894" t="s">
        <v>112</v>
      </c>
      <c r="J894" t="s">
        <v>113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R894" t="s">
        <v>114</v>
      </c>
      <c r="S894" t="str">
        <f>"18:49:33.641"</f>
        <v>18:49:33.641</v>
      </c>
      <c r="T894" t="str">
        <f>"18:49:33.242"</f>
        <v>18:49:33.242</v>
      </c>
      <c r="U894" t="str">
        <f t="shared" si="40"/>
        <v>a1cdbe</v>
      </c>
      <c r="V894">
        <v>0</v>
      </c>
      <c r="W894">
        <v>0</v>
      </c>
      <c r="X894">
        <v>1</v>
      </c>
      <c r="Y894">
        <v>0</v>
      </c>
      <c r="Z894">
        <v>0</v>
      </c>
      <c r="AB894">
        <v>0</v>
      </c>
      <c r="AC894">
        <v>9</v>
      </c>
      <c r="AD894">
        <v>3</v>
      </c>
      <c r="AE894">
        <v>0</v>
      </c>
      <c r="AF894">
        <v>9</v>
      </c>
      <c r="AG894" t="s">
        <v>158</v>
      </c>
      <c r="AH894">
        <v>0</v>
      </c>
      <c r="AI894">
        <v>3</v>
      </c>
      <c r="AJ894">
        <v>1</v>
      </c>
      <c r="AK894">
        <v>0</v>
      </c>
      <c r="AL894" t="s">
        <v>1858</v>
      </c>
      <c r="AM894">
        <v>46.847161999999997</v>
      </c>
      <c r="AN894" t="s">
        <v>1859</v>
      </c>
      <c r="AO894">
        <v>-122.455566</v>
      </c>
      <c r="AP894">
        <v>100</v>
      </c>
      <c r="AQ894">
        <v>2100</v>
      </c>
      <c r="AR894" t="s">
        <v>118</v>
      </c>
      <c r="AS894">
        <v>-77</v>
      </c>
      <c r="AT894">
        <v>-26</v>
      </c>
      <c r="AU894">
        <v>128</v>
      </c>
      <c r="BC894">
        <v>1200</v>
      </c>
      <c r="BD894">
        <v>1</v>
      </c>
      <c r="BE894" t="str">
        <f t="shared" si="41"/>
        <v xml:space="preserve">N215T   </v>
      </c>
      <c r="BF894">
        <v>1</v>
      </c>
      <c r="BH894">
        <v>0</v>
      </c>
      <c r="BI894">
        <v>0</v>
      </c>
      <c r="BJ894">
        <v>0</v>
      </c>
      <c r="BK894">
        <v>2500</v>
      </c>
      <c r="BL894">
        <v>400</v>
      </c>
      <c r="BM894" t="s">
        <v>119</v>
      </c>
      <c r="BN894">
        <v>1</v>
      </c>
      <c r="BO894">
        <v>1</v>
      </c>
      <c r="BP894">
        <v>1</v>
      </c>
      <c r="BQ894">
        <v>0</v>
      </c>
      <c r="BT894">
        <v>0</v>
      </c>
      <c r="BU894">
        <v>0</v>
      </c>
      <c r="BV894">
        <v>0</v>
      </c>
      <c r="CC894" t="str">
        <f>"18:49:33.648"</f>
        <v>18:49:33.648</v>
      </c>
      <c r="CD894" t="str">
        <f>"645960977"</f>
        <v>645960977</v>
      </c>
      <c r="CQ894">
        <v>0</v>
      </c>
      <c r="CR894">
        <v>2</v>
      </c>
      <c r="CS894">
        <v>0</v>
      </c>
      <c r="CT894">
        <v>2</v>
      </c>
      <c r="CU894">
        <v>0</v>
      </c>
      <c r="CV894">
        <v>6</v>
      </c>
      <c r="CW894" t="s">
        <v>120</v>
      </c>
      <c r="CX894">
        <v>257</v>
      </c>
      <c r="CY894">
        <v>1</v>
      </c>
      <c r="CZ894" t="s">
        <v>615</v>
      </c>
      <c r="DA894" t="s">
        <v>616</v>
      </c>
      <c r="DD894">
        <v>11047423</v>
      </c>
      <c r="DE894" t="s">
        <v>123</v>
      </c>
    </row>
    <row r="895" spans="1:109" x14ac:dyDescent="0.3">
      <c r="A895" t="str">
        <f>"18:49:34.914"</f>
        <v>18:49:34.914</v>
      </c>
      <c r="B895" t="s">
        <v>110</v>
      </c>
      <c r="C895" t="str">
        <f t="shared" si="39"/>
        <v>ffdfd3c0</v>
      </c>
      <c r="D895" t="s">
        <v>111</v>
      </c>
      <c r="E895">
        <v>18</v>
      </c>
      <c r="F895">
        <v>1018</v>
      </c>
      <c r="G895" t="s">
        <v>112</v>
      </c>
      <c r="J895" t="s">
        <v>113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R895" t="s">
        <v>114</v>
      </c>
      <c r="S895" t="str">
        <f>"18:49:34.648"</f>
        <v>18:49:34.648</v>
      </c>
      <c r="T895" t="str">
        <f>"18:49:34.352"</f>
        <v>18:49:34.352</v>
      </c>
      <c r="U895" t="str">
        <f t="shared" si="40"/>
        <v>a1cdbe</v>
      </c>
      <c r="V895">
        <v>0</v>
      </c>
      <c r="W895">
        <v>0</v>
      </c>
      <c r="X895">
        <v>1</v>
      </c>
      <c r="Y895">
        <v>0</v>
      </c>
      <c r="Z895">
        <v>0</v>
      </c>
      <c r="AB895">
        <v>0</v>
      </c>
      <c r="AC895">
        <v>9</v>
      </c>
      <c r="AD895">
        <v>3</v>
      </c>
      <c r="AE895">
        <v>0</v>
      </c>
      <c r="AF895">
        <v>9</v>
      </c>
      <c r="AG895" t="s">
        <v>158</v>
      </c>
      <c r="AH895">
        <v>0</v>
      </c>
      <c r="AI895">
        <v>3</v>
      </c>
      <c r="AJ895">
        <v>1</v>
      </c>
      <c r="AK895">
        <v>0</v>
      </c>
      <c r="AL895" t="s">
        <v>1860</v>
      </c>
      <c r="AM895">
        <v>46.847054999999997</v>
      </c>
      <c r="AN895" t="s">
        <v>1861</v>
      </c>
      <c r="AO895">
        <v>-122.456081</v>
      </c>
      <c r="AP895">
        <v>100</v>
      </c>
      <c r="AQ895">
        <v>2100</v>
      </c>
      <c r="AR895" t="s">
        <v>118</v>
      </c>
      <c r="AS895">
        <v>-77</v>
      </c>
      <c r="AT895">
        <v>-24</v>
      </c>
      <c r="AU895">
        <v>-64</v>
      </c>
      <c r="BC895">
        <v>1200</v>
      </c>
      <c r="BD895">
        <v>1</v>
      </c>
      <c r="BE895" t="str">
        <f t="shared" si="41"/>
        <v xml:space="preserve">N215T   </v>
      </c>
      <c r="BF895">
        <v>1</v>
      </c>
      <c r="BH895">
        <v>0</v>
      </c>
      <c r="BI895">
        <v>0</v>
      </c>
      <c r="BJ895">
        <v>0</v>
      </c>
      <c r="BK895">
        <v>2500</v>
      </c>
      <c r="BL895">
        <v>400</v>
      </c>
      <c r="BM895" t="s">
        <v>119</v>
      </c>
      <c r="BN895">
        <v>1</v>
      </c>
      <c r="BO895">
        <v>1</v>
      </c>
      <c r="BP895">
        <v>1</v>
      </c>
      <c r="BQ895">
        <v>0</v>
      </c>
      <c r="BT895">
        <v>0</v>
      </c>
      <c r="BU895">
        <v>0</v>
      </c>
      <c r="BV895">
        <v>0</v>
      </c>
      <c r="CC895" t="str">
        <f>"18:49:34.648"</f>
        <v>18:49:34.648</v>
      </c>
      <c r="CD895" t="str">
        <f>"650861901"</f>
        <v>650861901</v>
      </c>
      <c r="CQ895">
        <v>0</v>
      </c>
      <c r="CR895">
        <v>2</v>
      </c>
      <c r="CS895">
        <v>0</v>
      </c>
      <c r="CT895">
        <v>2</v>
      </c>
      <c r="CU895">
        <v>0</v>
      </c>
      <c r="CV895">
        <v>6</v>
      </c>
      <c r="CW895" t="s">
        <v>120</v>
      </c>
      <c r="CX895">
        <v>257</v>
      </c>
      <c r="CY895">
        <v>1</v>
      </c>
      <c r="CZ895" t="s">
        <v>615</v>
      </c>
      <c r="DA895" t="s">
        <v>616</v>
      </c>
      <c r="DD895">
        <v>11048085</v>
      </c>
      <c r="DE895" t="s">
        <v>123</v>
      </c>
    </row>
    <row r="896" spans="1:109" x14ac:dyDescent="0.3">
      <c r="A896" t="str">
        <f>"18:49:35.969"</f>
        <v>18:49:35.969</v>
      </c>
      <c r="B896" t="s">
        <v>110</v>
      </c>
      <c r="C896" t="str">
        <f t="shared" si="39"/>
        <v>ffdfd3c0</v>
      </c>
      <c r="D896" t="s">
        <v>111</v>
      </c>
      <c r="E896">
        <v>18</v>
      </c>
      <c r="F896">
        <v>1018</v>
      </c>
      <c r="G896" t="s">
        <v>112</v>
      </c>
      <c r="J896" t="s">
        <v>113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R896" t="s">
        <v>114</v>
      </c>
      <c r="S896" t="str">
        <f>"18:49:35.727"</f>
        <v>18:49:35.727</v>
      </c>
      <c r="T896" t="str">
        <f>"18:49:35.430"</f>
        <v>18:49:35.430</v>
      </c>
      <c r="U896" t="str">
        <f t="shared" si="40"/>
        <v>a1cdbe</v>
      </c>
      <c r="V896">
        <v>0</v>
      </c>
      <c r="W896">
        <v>0</v>
      </c>
      <c r="X896">
        <v>1</v>
      </c>
      <c r="Y896">
        <v>0</v>
      </c>
      <c r="Z896">
        <v>0</v>
      </c>
      <c r="AB896">
        <v>0</v>
      </c>
      <c r="AC896">
        <v>9</v>
      </c>
      <c r="AD896">
        <v>3</v>
      </c>
      <c r="AE896">
        <v>0</v>
      </c>
      <c r="AF896">
        <v>9</v>
      </c>
      <c r="AG896" t="s">
        <v>158</v>
      </c>
      <c r="AH896">
        <v>0</v>
      </c>
      <c r="AI896">
        <v>3</v>
      </c>
      <c r="AJ896">
        <v>1</v>
      </c>
      <c r="AK896">
        <v>0</v>
      </c>
      <c r="AL896" t="s">
        <v>1862</v>
      </c>
      <c r="AM896">
        <v>46.846947999999998</v>
      </c>
      <c r="AN896" t="s">
        <v>1863</v>
      </c>
      <c r="AO896">
        <v>-122.45661699999999</v>
      </c>
      <c r="AP896">
        <v>100</v>
      </c>
      <c r="AQ896">
        <v>2100</v>
      </c>
      <c r="AR896" t="s">
        <v>118</v>
      </c>
      <c r="AS896">
        <v>-78</v>
      </c>
      <c r="AT896">
        <v>-22</v>
      </c>
      <c r="AU896">
        <v>-128</v>
      </c>
      <c r="BC896">
        <v>1200</v>
      </c>
      <c r="BD896">
        <v>1</v>
      </c>
      <c r="BE896" t="str">
        <f t="shared" si="41"/>
        <v xml:space="preserve">N215T   </v>
      </c>
      <c r="BF896">
        <v>1</v>
      </c>
      <c r="BH896">
        <v>0</v>
      </c>
      <c r="BI896">
        <v>0</v>
      </c>
      <c r="BJ896">
        <v>0</v>
      </c>
      <c r="BK896">
        <v>2500</v>
      </c>
      <c r="BL896">
        <v>400</v>
      </c>
      <c r="BM896" t="s">
        <v>119</v>
      </c>
      <c r="BN896">
        <v>1</v>
      </c>
      <c r="BO896">
        <v>1</v>
      </c>
      <c r="BP896">
        <v>1</v>
      </c>
      <c r="BQ896">
        <v>0</v>
      </c>
      <c r="BT896">
        <v>0</v>
      </c>
      <c r="BU896">
        <v>0</v>
      </c>
      <c r="BV896">
        <v>0</v>
      </c>
      <c r="CC896" t="str">
        <f>"18:49:35.734"</f>
        <v>18:49:35.734</v>
      </c>
      <c r="CD896" t="str">
        <f>"730755409"</f>
        <v>730755409</v>
      </c>
      <c r="CQ896">
        <v>0</v>
      </c>
      <c r="CR896">
        <v>2</v>
      </c>
      <c r="CS896">
        <v>0</v>
      </c>
      <c r="CT896">
        <v>2</v>
      </c>
      <c r="CU896">
        <v>0</v>
      </c>
      <c r="CV896">
        <v>6</v>
      </c>
      <c r="CW896" t="s">
        <v>120</v>
      </c>
      <c r="CX896">
        <v>257</v>
      </c>
      <c r="CY896">
        <v>1</v>
      </c>
      <c r="CZ896" t="s">
        <v>615</v>
      </c>
      <c r="DA896" t="s">
        <v>616</v>
      </c>
      <c r="DD896">
        <v>11048830</v>
      </c>
      <c r="DE896" t="s">
        <v>123</v>
      </c>
    </row>
    <row r="897" spans="1:109" x14ac:dyDescent="0.3">
      <c r="A897" t="str">
        <f>"18:49:36.930"</f>
        <v>18:49:36.930</v>
      </c>
      <c r="B897" t="s">
        <v>110</v>
      </c>
      <c r="C897" t="str">
        <f t="shared" si="39"/>
        <v>ffdfd3c0</v>
      </c>
      <c r="D897" t="s">
        <v>111</v>
      </c>
      <c r="E897">
        <v>18</v>
      </c>
      <c r="F897">
        <v>1018</v>
      </c>
      <c r="G897" t="s">
        <v>112</v>
      </c>
      <c r="J897" t="s">
        <v>113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R897" t="s">
        <v>114</v>
      </c>
      <c r="S897" t="str">
        <f>"18:49:36.688"</f>
        <v>18:49:36.688</v>
      </c>
      <c r="T897" t="str">
        <f>"18:49:36.289"</f>
        <v>18:49:36.289</v>
      </c>
      <c r="U897" t="str">
        <f t="shared" si="40"/>
        <v>a1cdbe</v>
      </c>
      <c r="V897">
        <v>0</v>
      </c>
      <c r="W897">
        <v>0</v>
      </c>
      <c r="X897">
        <v>1</v>
      </c>
      <c r="Y897">
        <v>0</v>
      </c>
      <c r="Z897">
        <v>0</v>
      </c>
      <c r="AB897">
        <v>0</v>
      </c>
      <c r="AC897">
        <v>9</v>
      </c>
      <c r="AD897">
        <v>3</v>
      </c>
      <c r="AE897">
        <v>0</v>
      </c>
      <c r="AF897">
        <v>9</v>
      </c>
      <c r="AG897" t="s">
        <v>158</v>
      </c>
      <c r="AH897">
        <v>0</v>
      </c>
      <c r="AI897">
        <v>3</v>
      </c>
      <c r="AJ897">
        <v>1</v>
      </c>
      <c r="AK897">
        <v>0</v>
      </c>
      <c r="AL897" t="s">
        <v>1864</v>
      </c>
      <c r="AM897">
        <v>46.846862000000002</v>
      </c>
      <c r="AN897" t="s">
        <v>1865</v>
      </c>
      <c r="AO897">
        <v>-122.457111</v>
      </c>
      <c r="AP897">
        <v>100</v>
      </c>
      <c r="AQ897">
        <v>2100</v>
      </c>
      <c r="AR897" t="s">
        <v>118</v>
      </c>
      <c r="AS897">
        <v>-78</v>
      </c>
      <c r="AT897">
        <v>-21</v>
      </c>
      <c r="AU897">
        <v>-64</v>
      </c>
      <c r="BC897">
        <v>1200</v>
      </c>
      <c r="BD897">
        <v>1</v>
      </c>
      <c r="BE897" t="str">
        <f t="shared" si="41"/>
        <v xml:space="preserve">N215T   </v>
      </c>
      <c r="BF897">
        <v>1</v>
      </c>
      <c r="BH897">
        <v>0</v>
      </c>
      <c r="BI897">
        <v>0</v>
      </c>
      <c r="BJ897">
        <v>0</v>
      </c>
      <c r="BK897">
        <v>2500</v>
      </c>
      <c r="BL897">
        <v>400</v>
      </c>
      <c r="BM897" t="s">
        <v>119</v>
      </c>
      <c r="BN897">
        <v>1</v>
      </c>
      <c r="BO897">
        <v>1</v>
      </c>
      <c r="BP897">
        <v>1</v>
      </c>
      <c r="BQ897">
        <v>0</v>
      </c>
      <c r="BT897">
        <v>0</v>
      </c>
      <c r="BU897">
        <v>0</v>
      </c>
      <c r="BV897">
        <v>0</v>
      </c>
      <c r="CC897" t="str">
        <f>"18:49:36.688"</f>
        <v>18:49:36.688</v>
      </c>
      <c r="CD897" t="str">
        <f>"690660769"</f>
        <v>690660769</v>
      </c>
      <c r="CQ897">
        <v>0</v>
      </c>
      <c r="CR897">
        <v>2</v>
      </c>
      <c r="CS897">
        <v>0</v>
      </c>
      <c r="CT897">
        <v>2</v>
      </c>
      <c r="CU897">
        <v>0</v>
      </c>
      <c r="CV897">
        <v>5</v>
      </c>
      <c r="CW897" t="s">
        <v>120</v>
      </c>
      <c r="CX897">
        <v>257</v>
      </c>
      <c r="CY897">
        <v>1</v>
      </c>
      <c r="CZ897" t="s">
        <v>615</v>
      </c>
      <c r="DA897" t="s">
        <v>616</v>
      </c>
      <c r="DD897">
        <v>11049440</v>
      </c>
      <c r="DE897" t="s">
        <v>123</v>
      </c>
    </row>
    <row r="898" spans="1:109" x14ac:dyDescent="0.3">
      <c r="A898" t="str">
        <f>"18:49:37.930"</f>
        <v>18:49:37.930</v>
      </c>
      <c r="B898" t="s">
        <v>110</v>
      </c>
      <c r="C898" t="str">
        <f t="shared" ref="C898:C961" si="42">"ffdfd3c0"</f>
        <v>ffdfd3c0</v>
      </c>
      <c r="D898" t="s">
        <v>111</v>
      </c>
      <c r="E898">
        <v>18</v>
      </c>
      <c r="F898">
        <v>1018</v>
      </c>
      <c r="G898" t="s">
        <v>112</v>
      </c>
      <c r="J898" t="s">
        <v>113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R898" t="s">
        <v>114</v>
      </c>
      <c r="S898" t="str">
        <f>"18:49:37.703"</f>
        <v>18:49:37.703</v>
      </c>
      <c r="T898" t="str">
        <f>"18:49:37.203"</f>
        <v>18:49:37.203</v>
      </c>
      <c r="U898" t="str">
        <f t="shared" ref="U898:U961" si="43">"a1cdbe"</f>
        <v>a1cdbe</v>
      </c>
      <c r="V898">
        <v>0</v>
      </c>
      <c r="W898">
        <v>0</v>
      </c>
      <c r="X898">
        <v>1</v>
      </c>
      <c r="Y898">
        <v>0</v>
      </c>
      <c r="Z898">
        <v>0</v>
      </c>
      <c r="AB898">
        <v>0</v>
      </c>
      <c r="AC898">
        <v>9</v>
      </c>
      <c r="AD898">
        <v>3</v>
      </c>
      <c r="AE898">
        <v>0</v>
      </c>
      <c r="AF898">
        <v>9</v>
      </c>
      <c r="AG898" t="s">
        <v>158</v>
      </c>
      <c r="AH898">
        <v>0</v>
      </c>
      <c r="AI898">
        <v>3</v>
      </c>
      <c r="AJ898">
        <v>1</v>
      </c>
      <c r="AK898">
        <v>0</v>
      </c>
      <c r="AL898" t="s">
        <v>1866</v>
      </c>
      <c r="AM898">
        <v>46.846755000000002</v>
      </c>
      <c r="AN898" t="s">
        <v>1867</v>
      </c>
      <c r="AO898">
        <v>-122.45769</v>
      </c>
      <c r="AP898">
        <v>100</v>
      </c>
      <c r="AQ898">
        <v>2100</v>
      </c>
      <c r="AR898" t="s">
        <v>118</v>
      </c>
      <c r="AS898">
        <v>-78</v>
      </c>
      <c r="AT898">
        <v>-20</v>
      </c>
      <c r="AU898">
        <v>-128</v>
      </c>
      <c r="BC898">
        <v>1200</v>
      </c>
      <c r="BD898">
        <v>1</v>
      </c>
      <c r="BE898" t="str">
        <f t="shared" ref="BE898:BE961" si="44">"N215T   "</f>
        <v xml:space="preserve">N215T   </v>
      </c>
      <c r="BF898">
        <v>1</v>
      </c>
      <c r="BH898">
        <v>0</v>
      </c>
      <c r="BI898">
        <v>0</v>
      </c>
      <c r="BJ898">
        <v>0</v>
      </c>
      <c r="BK898">
        <v>2500</v>
      </c>
      <c r="BL898">
        <v>400</v>
      </c>
      <c r="BM898" t="s">
        <v>119</v>
      </c>
      <c r="BN898">
        <v>1</v>
      </c>
      <c r="BO898">
        <v>1</v>
      </c>
      <c r="BP898">
        <v>1</v>
      </c>
      <c r="BQ898">
        <v>0</v>
      </c>
      <c r="BT898">
        <v>0</v>
      </c>
      <c r="BU898">
        <v>0</v>
      </c>
      <c r="BV898">
        <v>0</v>
      </c>
      <c r="CC898" t="str">
        <f>"18:49:37.711"</f>
        <v>18:49:37.711</v>
      </c>
      <c r="CD898" t="str">
        <f>"710434614"</f>
        <v>710434614</v>
      </c>
      <c r="CQ898">
        <v>0</v>
      </c>
      <c r="CR898">
        <v>2</v>
      </c>
      <c r="CS898">
        <v>0</v>
      </c>
      <c r="CT898">
        <v>2</v>
      </c>
      <c r="CU898">
        <v>0</v>
      </c>
      <c r="CV898">
        <v>5</v>
      </c>
      <c r="CW898" t="s">
        <v>120</v>
      </c>
      <c r="CX898">
        <v>261</v>
      </c>
      <c r="CY898">
        <v>2</v>
      </c>
      <c r="CZ898" t="s">
        <v>121</v>
      </c>
      <c r="DA898" t="s">
        <v>122</v>
      </c>
      <c r="DD898">
        <v>14728541</v>
      </c>
      <c r="DE898" t="s">
        <v>123</v>
      </c>
    </row>
    <row r="899" spans="1:109" x14ac:dyDescent="0.3">
      <c r="A899" t="str">
        <f>"18:49:38.992"</f>
        <v>18:49:38.992</v>
      </c>
      <c r="B899" t="s">
        <v>110</v>
      </c>
      <c r="C899" t="str">
        <f t="shared" si="42"/>
        <v>ffdfd3c0</v>
      </c>
      <c r="D899" t="s">
        <v>111</v>
      </c>
      <c r="E899">
        <v>18</v>
      </c>
      <c r="F899">
        <v>1018</v>
      </c>
      <c r="G899" t="s">
        <v>112</v>
      </c>
      <c r="J899" t="s">
        <v>113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R899" t="s">
        <v>114</v>
      </c>
      <c r="S899" t="str">
        <f>"18:49:38.758"</f>
        <v>18:49:38.758</v>
      </c>
      <c r="T899" t="str">
        <f>"18:49:38.656"</f>
        <v>18:49:38.656</v>
      </c>
      <c r="U899" t="str">
        <f t="shared" si="43"/>
        <v>a1cdbe</v>
      </c>
      <c r="V899">
        <v>0</v>
      </c>
      <c r="W899">
        <v>0</v>
      </c>
      <c r="X899">
        <v>1</v>
      </c>
      <c r="Y899">
        <v>0</v>
      </c>
      <c r="Z899">
        <v>0</v>
      </c>
      <c r="AB899">
        <v>0</v>
      </c>
      <c r="AC899">
        <v>9</v>
      </c>
      <c r="AD899">
        <v>3</v>
      </c>
      <c r="AE899">
        <v>0</v>
      </c>
      <c r="AF899">
        <v>9</v>
      </c>
      <c r="AG899" t="s">
        <v>158</v>
      </c>
      <c r="AH899">
        <v>0</v>
      </c>
      <c r="AI899">
        <v>3</v>
      </c>
      <c r="AJ899">
        <v>1</v>
      </c>
      <c r="AK899">
        <v>0</v>
      </c>
      <c r="AL899" t="s">
        <v>1868</v>
      </c>
      <c r="AM899">
        <v>46.846668999999999</v>
      </c>
      <c r="AN899" t="s">
        <v>1869</v>
      </c>
      <c r="AO899">
        <v>-122.45822699999999</v>
      </c>
      <c r="AP899">
        <v>100</v>
      </c>
      <c r="AQ899">
        <v>2100</v>
      </c>
      <c r="AR899" t="s">
        <v>118</v>
      </c>
      <c r="AS899">
        <v>-78</v>
      </c>
      <c r="AT899">
        <v>-19</v>
      </c>
      <c r="AU899">
        <v>-64</v>
      </c>
      <c r="BC899">
        <v>1200</v>
      </c>
      <c r="BD899">
        <v>1</v>
      </c>
      <c r="BE899" t="str">
        <f t="shared" si="44"/>
        <v xml:space="preserve">N215T   </v>
      </c>
      <c r="BF899">
        <v>1</v>
      </c>
      <c r="BH899">
        <v>0</v>
      </c>
      <c r="BI899">
        <v>0</v>
      </c>
      <c r="BJ899">
        <v>0</v>
      </c>
      <c r="BK899">
        <v>2500</v>
      </c>
      <c r="BL899">
        <v>400</v>
      </c>
      <c r="BM899" t="s">
        <v>119</v>
      </c>
      <c r="BN899">
        <v>1</v>
      </c>
      <c r="BO899">
        <v>1</v>
      </c>
      <c r="BP899">
        <v>1</v>
      </c>
      <c r="BQ899">
        <v>0</v>
      </c>
      <c r="BT899">
        <v>0</v>
      </c>
      <c r="BU899">
        <v>0</v>
      </c>
      <c r="BV899">
        <v>0</v>
      </c>
      <c r="CC899" t="str">
        <f>"18:49:38.758"</f>
        <v>18:49:38.758</v>
      </c>
      <c r="CD899" t="str">
        <f>"760456710"</f>
        <v>760456710</v>
      </c>
      <c r="CQ899">
        <v>0</v>
      </c>
      <c r="CR899">
        <v>2</v>
      </c>
      <c r="CS899">
        <v>0</v>
      </c>
      <c r="CT899">
        <v>2</v>
      </c>
      <c r="CU899">
        <v>0</v>
      </c>
      <c r="CV899">
        <v>5</v>
      </c>
      <c r="CW899" t="s">
        <v>120</v>
      </c>
      <c r="CX899">
        <v>257</v>
      </c>
      <c r="CY899">
        <v>1</v>
      </c>
      <c r="CZ899" t="s">
        <v>615</v>
      </c>
      <c r="DA899" t="s">
        <v>616</v>
      </c>
      <c r="DD899">
        <v>11050775</v>
      </c>
      <c r="DE899" t="s">
        <v>123</v>
      </c>
    </row>
    <row r="900" spans="1:109" x14ac:dyDescent="0.3">
      <c r="A900" t="str">
        <f>"18:49:39.945"</f>
        <v>18:49:39.945</v>
      </c>
      <c r="B900" t="s">
        <v>110</v>
      </c>
      <c r="C900" t="str">
        <f t="shared" si="42"/>
        <v>ffdfd3c0</v>
      </c>
      <c r="D900" t="s">
        <v>111</v>
      </c>
      <c r="E900">
        <v>18</v>
      </c>
      <c r="F900">
        <v>1018</v>
      </c>
      <c r="G900" t="s">
        <v>112</v>
      </c>
      <c r="J900" t="s">
        <v>113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R900" t="s">
        <v>114</v>
      </c>
      <c r="S900" t="str">
        <f>"18:49:39.719"</f>
        <v>18:49:39.719</v>
      </c>
      <c r="T900" t="str">
        <f>"18:49:39.219"</f>
        <v>18:49:39.219</v>
      </c>
      <c r="U900" t="str">
        <f t="shared" si="43"/>
        <v>a1cdbe</v>
      </c>
      <c r="V900">
        <v>0</v>
      </c>
      <c r="W900">
        <v>0</v>
      </c>
      <c r="X900">
        <v>1</v>
      </c>
      <c r="Y900">
        <v>0</v>
      </c>
      <c r="Z900">
        <v>0</v>
      </c>
      <c r="AB900">
        <v>0</v>
      </c>
      <c r="AC900">
        <v>9</v>
      </c>
      <c r="AD900">
        <v>3</v>
      </c>
      <c r="AE900">
        <v>0</v>
      </c>
      <c r="AF900">
        <v>9</v>
      </c>
      <c r="AG900" t="s">
        <v>158</v>
      </c>
      <c r="AH900">
        <v>0</v>
      </c>
      <c r="AI900">
        <v>3</v>
      </c>
      <c r="AJ900">
        <v>1</v>
      </c>
      <c r="AK900">
        <v>0</v>
      </c>
      <c r="AL900" t="s">
        <v>1870</v>
      </c>
      <c r="AM900">
        <v>46.846583000000003</v>
      </c>
      <c r="AN900" t="s">
        <v>1871</v>
      </c>
      <c r="AO900">
        <v>-122.458699</v>
      </c>
      <c r="AP900">
        <v>100</v>
      </c>
      <c r="AQ900">
        <v>2100</v>
      </c>
      <c r="AR900" t="s">
        <v>118</v>
      </c>
      <c r="AS900">
        <v>-78</v>
      </c>
      <c r="AT900">
        <v>-19</v>
      </c>
      <c r="AU900">
        <v>0</v>
      </c>
      <c r="BC900">
        <v>1200</v>
      </c>
      <c r="BD900">
        <v>1</v>
      </c>
      <c r="BE900" t="str">
        <f t="shared" si="44"/>
        <v xml:space="preserve">N215T   </v>
      </c>
      <c r="BF900">
        <v>1</v>
      </c>
      <c r="BH900">
        <v>0</v>
      </c>
      <c r="BI900">
        <v>0</v>
      </c>
      <c r="BJ900">
        <v>0</v>
      </c>
      <c r="BK900">
        <v>2500</v>
      </c>
      <c r="BL900">
        <v>400</v>
      </c>
      <c r="BM900" t="s">
        <v>119</v>
      </c>
      <c r="BN900">
        <v>1</v>
      </c>
      <c r="BO900">
        <v>1</v>
      </c>
      <c r="BP900">
        <v>1</v>
      </c>
      <c r="BQ900">
        <v>0</v>
      </c>
      <c r="BT900">
        <v>0</v>
      </c>
      <c r="BU900">
        <v>0</v>
      </c>
      <c r="BV900">
        <v>0</v>
      </c>
      <c r="CC900" t="str">
        <f>"18:49:39.719"</f>
        <v>18:49:39.719</v>
      </c>
      <c r="CD900" t="str">
        <f>"720236689"</f>
        <v>720236689</v>
      </c>
      <c r="CQ900">
        <v>0</v>
      </c>
      <c r="CR900">
        <v>2</v>
      </c>
      <c r="CS900">
        <v>0</v>
      </c>
      <c r="CT900">
        <v>2</v>
      </c>
      <c r="CU900">
        <v>0</v>
      </c>
      <c r="CV900">
        <v>5</v>
      </c>
      <c r="CW900" t="s">
        <v>120</v>
      </c>
      <c r="CX900">
        <v>261</v>
      </c>
      <c r="CY900">
        <v>2</v>
      </c>
      <c r="CZ900" t="s">
        <v>121</v>
      </c>
      <c r="DA900" t="s">
        <v>122</v>
      </c>
      <c r="DD900">
        <v>14729728</v>
      </c>
      <c r="DE900" t="s">
        <v>123</v>
      </c>
    </row>
    <row r="901" spans="1:109" x14ac:dyDescent="0.3">
      <c r="A901" t="str">
        <f>"18:49:40.953"</f>
        <v>18:49:40.953</v>
      </c>
      <c r="B901" t="s">
        <v>110</v>
      </c>
      <c r="C901" t="str">
        <f t="shared" si="42"/>
        <v>ffdfd3c0</v>
      </c>
      <c r="D901" t="s">
        <v>111</v>
      </c>
      <c r="E901">
        <v>18</v>
      </c>
      <c r="F901">
        <v>1018</v>
      </c>
      <c r="G901" t="s">
        <v>112</v>
      </c>
      <c r="J901" t="s">
        <v>113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R901" t="s">
        <v>114</v>
      </c>
      <c r="S901" t="str">
        <f>"18:49:40.719"</f>
        <v>18:49:40.719</v>
      </c>
      <c r="T901" t="str">
        <f>"18:49:40.219"</f>
        <v>18:49:40.219</v>
      </c>
      <c r="U901" t="str">
        <f t="shared" si="43"/>
        <v>a1cdbe</v>
      </c>
      <c r="V901">
        <v>0</v>
      </c>
      <c r="W901">
        <v>0</v>
      </c>
      <c r="X901">
        <v>1</v>
      </c>
      <c r="Y901">
        <v>0</v>
      </c>
      <c r="Z901">
        <v>0</v>
      </c>
      <c r="AB901">
        <v>0</v>
      </c>
      <c r="AC901">
        <v>9</v>
      </c>
      <c r="AD901">
        <v>3</v>
      </c>
      <c r="AE901">
        <v>0</v>
      </c>
      <c r="AF901">
        <v>9</v>
      </c>
      <c r="AG901" t="s">
        <v>158</v>
      </c>
      <c r="AH901">
        <v>0</v>
      </c>
      <c r="AI901">
        <v>3</v>
      </c>
      <c r="AJ901">
        <v>1</v>
      </c>
      <c r="AK901">
        <v>0</v>
      </c>
      <c r="AL901" t="s">
        <v>1872</v>
      </c>
      <c r="AM901">
        <v>46.846496999999999</v>
      </c>
      <c r="AN901" t="s">
        <v>1873</v>
      </c>
      <c r="AO901">
        <v>-122.45923500000001</v>
      </c>
      <c r="AP901">
        <v>100</v>
      </c>
      <c r="AQ901">
        <v>2100</v>
      </c>
      <c r="AR901" t="s">
        <v>118</v>
      </c>
      <c r="AS901">
        <v>-78</v>
      </c>
      <c r="AT901">
        <v>-20</v>
      </c>
      <c r="AU901">
        <v>0</v>
      </c>
      <c r="BC901">
        <v>1200</v>
      </c>
      <c r="BD901">
        <v>1</v>
      </c>
      <c r="BE901" t="str">
        <f t="shared" si="44"/>
        <v xml:space="preserve">N215T   </v>
      </c>
      <c r="BF901">
        <v>1</v>
      </c>
      <c r="BH901">
        <v>0</v>
      </c>
      <c r="BI901">
        <v>0</v>
      </c>
      <c r="BJ901">
        <v>0</v>
      </c>
      <c r="BK901">
        <v>2500</v>
      </c>
      <c r="BL901">
        <v>400</v>
      </c>
      <c r="BM901" t="s">
        <v>119</v>
      </c>
      <c r="BN901">
        <v>1</v>
      </c>
      <c r="BO901">
        <v>1</v>
      </c>
      <c r="BP901">
        <v>1</v>
      </c>
      <c r="BQ901">
        <v>0</v>
      </c>
      <c r="BT901">
        <v>0</v>
      </c>
      <c r="BU901">
        <v>0</v>
      </c>
      <c r="BV901">
        <v>0</v>
      </c>
      <c r="CC901" t="str">
        <f>"18:49:40.727"</f>
        <v>18:49:40.727</v>
      </c>
      <c r="CD901" t="str">
        <f>"725137726"</f>
        <v>725137726</v>
      </c>
      <c r="CQ901">
        <v>0</v>
      </c>
      <c r="CR901">
        <v>2</v>
      </c>
      <c r="CS901">
        <v>0</v>
      </c>
      <c r="CT901">
        <v>2</v>
      </c>
      <c r="CU901">
        <v>0</v>
      </c>
      <c r="CV901">
        <v>5</v>
      </c>
      <c r="CW901" t="s">
        <v>120</v>
      </c>
      <c r="CX901">
        <v>261</v>
      </c>
      <c r="CY901">
        <v>2</v>
      </c>
      <c r="CZ901" t="s">
        <v>121</v>
      </c>
      <c r="DA901" t="s">
        <v>122</v>
      </c>
      <c r="DD901">
        <v>14730326</v>
      </c>
      <c r="DE901" t="s">
        <v>123</v>
      </c>
    </row>
    <row r="902" spans="1:109" x14ac:dyDescent="0.3">
      <c r="A902" t="str">
        <f>"18:49:41.906"</f>
        <v>18:49:41.906</v>
      </c>
      <c r="B902" t="s">
        <v>110</v>
      </c>
      <c r="C902" t="str">
        <f t="shared" si="42"/>
        <v>ffdfd3c0</v>
      </c>
      <c r="D902" t="s">
        <v>111</v>
      </c>
      <c r="E902">
        <v>18</v>
      </c>
      <c r="F902">
        <v>1018</v>
      </c>
      <c r="G902" t="s">
        <v>112</v>
      </c>
      <c r="J902" t="s">
        <v>113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R902" t="s">
        <v>114</v>
      </c>
      <c r="S902" t="str">
        <f>"18:49:41.664"</f>
        <v>18:49:41.664</v>
      </c>
      <c r="T902" t="str">
        <f>"18:49:41.266"</f>
        <v>18:49:41.266</v>
      </c>
      <c r="U902" t="str">
        <f t="shared" si="43"/>
        <v>a1cdbe</v>
      </c>
      <c r="V902">
        <v>0</v>
      </c>
      <c r="W902">
        <v>0</v>
      </c>
      <c r="X902">
        <v>1</v>
      </c>
      <c r="Y902">
        <v>0</v>
      </c>
      <c r="Z902">
        <v>0</v>
      </c>
      <c r="AB902">
        <v>0</v>
      </c>
      <c r="AC902">
        <v>9</v>
      </c>
      <c r="AD902">
        <v>3</v>
      </c>
      <c r="AE902">
        <v>0</v>
      </c>
      <c r="AF902">
        <v>9</v>
      </c>
      <c r="AG902" t="s">
        <v>158</v>
      </c>
      <c r="AH902">
        <v>0</v>
      </c>
      <c r="AI902">
        <v>3</v>
      </c>
      <c r="AJ902">
        <v>1</v>
      </c>
      <c r="AK902">
        <v>0</v>
      </c>
      <c r="AL902" t="s">
        <v>1874</v>
      </c>
      <c r="AM902">
        <v>46.84639</v>
      </c>
      <c r="AN902" t="s">
        <v>1875</v>
      </c>
      <c r="AO902">
        <v>-122.459772</v>
      </c>
      <c r="AP902">
        <v>100</v>
      </c>
      <c r="AQ902">
        <v>2100</v>
      </c>
      <c r="AR902" t="s">
        <v>118</v>
      </c>
      <c r="AS902">
        <v>-78</v>
      </c>
      <c r="AT902">
        <v>-20</v>
      </c>
      <c r="AU902">
        <v>-64</v>
      </c>
      <c r="BC902">
        <v>1200</v>
      </c>
      <c r="BD902">
        <v>1</v>
      </c>
      <c r="BE902" t="str">
        <f t="shared" si="44"/>
        <v xml:space="preserve">N215T   </v>
      </c>
      <c r="BF902">
        <v>1</v>
      </c>
      <c r="BH902">
        <v>0</v>
      </c>
      <c r="BI902">
        <v>0</v>
      </c>
      <c r="BJ902">
        <v>0</v>
      </c>
      <c r="BK902">
        <v>2500</v>
      </c>
      <c r="BL902">
        <v>400</v>
      </c>
      <c r="BM902" t="s">
        <v>119</v>
      </c>
      <c r="BN902">
        <v>1</v>
      </c>
      <c r="BO902">
        <v>1</v>
      </c>
      <c r="BP902">
        <v>1</v>
      </c>
      <c r="BQ902">
        <v>0</v>
      </c>
      <c r="BT902">
        <v>0</v>
      </c>
      <c r="BU902">
        <v>0</v>
      </c>
      <c r="BV902">
        <v>0</v>
      </c>
      <c r="CC902" t="str">
        <f>"18:49:41.672"</f>
        <v>18:49:41.672</v>
      </c>
      <c r="CD902" t="str">
        <f>"670169802"</f>
        <v>670169802</v>
      </c>
      <c r="CQ902">
        <v>0</v>
      </c>
      <c r="CR902">
        <v>2</v>
      </c>
      <c r="CS902">
        <v>0</v>
      </c>
      <c r="CT902">
        <v>2</v>
      </c>
      <c r="CU902">
        <v>0</v>
      </c>
      <c r="CV902">
        <v>5</v>
      </c>
      <c r="CW902" t="s">
        <v>120</v>
      </c>
      <c r="CX902">
        <v>257</v>
      </c>
      <c r="CY902">
        <v>1</v>
      </c>
      <c r="CZ902" t="s">
        <v>615</v>
      </c>
      <c r="DA902" t="s">
        <v>616</v>
      </c>
      <c r="DD902">
        <v>11052756</v>
      </c>
      <c r="DE902" t="s">
        <v>123</v>
      </c>
    </row>
    <row r="903" spans="1:109" x14ac:dyDescent="0.3">
      <c r="A903" t="str">
        <f>"18:49:42.859"</f>
        <v>18:49:42.859</v>
      </c>
      <c r="B903" t="s">
        <v>110</v>
      </c>
      <c r="C903" t="str">
        <f t="shared" si="42"/>
        <v>ffdfd3c0</v>
      </c>
      <c r="D903" t="s">
        <v>111</v>
      </c>
      <c r="E903">
        <v>18</v>
      </c>
      <c r="F903">
        <v>1018</v>
      </c>
      <c r="G903" t="s">
        <v>112</v>
      </c>
      <c r="J903" t="s">
        <v>113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R903" t="s">
        <v>114</v>
      </c>
      <c r="S903" t="str">
        <f>"18:49:42.656"</f>
        <v>18:49:42.656</v>
      </c>
      <c r="T903" t="str">
        <f>"18:49:42.656"</f>
        <v>18:49:42.656</v>
      </c>
      <c r="U903" t="str">
        <f t="shared" si="43"/>
        <v>a1cdbe</v>
      </c>
      <c r="V903">
        <v>0</v>
      </c>
      <c r="W903">
        <v>0</v>
      </c>
      <c r="X903">
        <v>1</v>
      </c>
      <c r="Y903">
        <v>0</v>
      </c>
      <c r="Z903">
        <v>0</v>
      </c>
      <c r="AB903">
        <v>0</v>
      </c>
      <c r="AC903">
        <v>9</v>
      </c>
      <c r="AD903">
        <v>3</v>
      </c>
      <c r="AE903">
        <v>0</v>
      </c>
      <c r="AF903">
        <v>9</v>
      </c>
      <c r="AG903" t="s">
        <v>158</v>
      </c>
      <c r="AH903">
        <v>0</v>
      </c>
      <c r="AI903">
        <v>3</v>
      </c>
      <c r="AJ903">
        <v>1</v>
      </c>
      <c r="AK903">
        <v>0</v>
      </c>
      <c r="AL903" t="s">
        <v>1876</v>
      </c>
      <c r="AM903">
        <v>46.846304000000003</v>
      </c>
      <c r="AN903" t="s">
        <v>1877</v>
      </c>
      <c r="AO903">
        <v>-122.46026500000001</v>
      </c>
      <c r="AP903">
        <v>100</v>
      </c>
      <c r="AQ903">
        <v>2100</v>
      </c>
      <c r="AR903" t="s">
        <v>118</v>
      </c>
      <c r="AS903">
        <v>-78</v>
      </c>
      <c r="AT903">
        <v>-20</v>
      </c>
      <c r="AU903">
        <v>-64</v>
      </c>
      <c r="BC903">
        <v>1200</v>
      </c>
      <c r="BD903">
        <v>1</v>
      </c>
      <c r="BE903" t="str">
        <f t="shared" si="44"/>
        <v xml:space="preserve">N215T   </v>
      </c>
      <c r="BF903">
        <v>1</v>
      </c>
      <c r="BH903">
        <v>0</v>
      </c>
      <c r="BI903">
        <v>0</v>
      </c>
      <c r="BJ903">
        <v>0</v>
      </c>
      <c r="BK903">
        <v>2500</v>
      </c>
      <c r="BL903">
        <v>400</v>
      </c>
      <c r="BM903" t="s">
        <v>119</v>
      </c>
      <c r="BN903">
        <v>1</v>
      </c>
      <c r="BO903">
        <v>1</v>
      </c>
      <c r="BP903">
        <v>1</v>
      </c>
      <c r="BQ903">
        <v>0</v>
      </c>
      <c r="BT903">
        <v>0</v>
      </c>
      <c r="BU903">
        <v>0</v>
      </c>
      <c r="BV903">
        <v>0</v>
      </c>
      <c r="CC903" t="str">
        <f>"18:49:42.656"</f>
        <v>18:49:42.656</v>
      </c>
      <c r="CD903" t="str">
        <f>"659947172"</f>
        <v>659947172</v>
      </c>
      <c r="CQ903">
        <v>0</v>
      </c>
      <c r="CR903">
        <v>2</v>
      </c>
      <c r="CS903">
        <v>0</v>
      </c>
      <c r="CT903">
        <v>2</v>
      </c>
      <c r="CU903">
        <v>0</v>
      </c>
      <c r="CV903">
        <v>4</v>
      </c>
      <c r="CW903" t="s">
        <v>120</v>
      </c>
      <c r="CX903">
        <v>261</v>
      </c>
      <c r="CY903">
        <v>1</v>
      </c>
      <c r="CZ903" t="s">
        <v>121</v>
      </c>
      <c r="DA903" t="s">
        <v>122</v>
      </c>
      <c r="DD903">
        <v>3650731</v>
      </c>
      <c r="DE903" t="s">
        <v>123</v>
      </c>
    </row>
    <row r="904" spans="1:109" x14ac:dyDescent="0.3">
      <c r="A904" t="str">
        <f>"18:49:44.070"</f>
        <v>18:49:44.070</v>
      </c>
      <c r="B904" t="s">
        <v>110</v>
      </c>
      <c r="C904" t="str">
        <f t="shared" si="42"/>
        <v>ffdfd3c0</v>
      </c>
      <c r="D904" t="s">
        <v>111</v>
      </c>
      <c r="E904">
        <v>18</v>
      </c>
      <c r="F904">
        <v>1018</v>
      </c>
      <c r="G904" t="s">
        <v>112</v>
      </c>
      <c r="J904" t="s">
        <v>113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R904" t="s">
        <v>114</v>
      </c>
      <c r="S904" t="str">
        <f>"18:49:43.828"</f>
        <v>18:49:43.828</v>
      </c>
      <c r="T904" t="str">
        <f>"18:49:43.828"</f>
        <v>18:49:43.828</v>
      </c>
      <c r="U904" t="str">
        <f t="shared" si="43"/>
        <v>a1cdbe</v>
      </c>
      <c r="V904">
        <v>0</v>
      </c>
      <c r="W904">
        <v>0</v>
      </c>
      <c r="X904">
        <v>1</v>
      </c>
      <c r="Y904">
        <v>0</v>
      </c>
      <c r="Z904">
        <v>0</v>
      </c>
      <c r="AB904">
        <v>0</v>
      </c>
      <c r="AC904">
        <v>9</v>
      </c>
      <c r="AD904">
        <v>3</v>
      </c>
      <c r="AE904">
        <v>0</v>
      </c>
      <c r="AF904">
        <v>9</v>
      </c>
      <c r="AG904" t="s">
        <v>158</v>
      </c>
      <c r="AH904">
        <v>0</v>
      </c>
      <c r="AI904">
        <v>3</v>
      </c>
      <c r="AJ904">
        <v>1</v>
      </c>
      <c r="AK904">
        <v>0</v>
      </c>
      <c r="AL904" t="s">
        <v>1878</v>
      </c>
      <c r="AM904">
        <v>46.846218</v>
      </c>
      <c r="AN904" t="s">
        <v>1879</v>
      </c>
      <c r="AO904">
        <v>-122.460887</v>
      </c>
      <c r="AP904">
        <v>100</v>
      </c>
      <c r="AQ904">
        <v>2100</v>
      </c>
      <c r="AR904" t="s">
        <v>118</v>
      </c>
      <c r="AS904">
        <v>-79</v>
      </c>
      <c r="AT904">
        <v>-19</v>
      </c>
      <c r="AU904">
        <v>-128</v>
      </c>
      <c r="BC904">
        <v>1200</v>
      </c>
      <c r="BD904">
        <v>1</v>
      </c>
      <c r="BE904" t="str">
        <f t="shared" si="44"/>
        <v xml:space="preserve">N215T   </v>
      </c>
      <c r="BF904">
        <v>1</v>
      </c>
      <c r="BH904">
        <v>0</v>
      </c>
      <c r="BI904">
        <v>0</v>
      </c>
      <c r="BJ904">
        <v>0</v>
      </c>
      <c r="BK904">
        <v>2500</v>
      </c>
      <c r="BL904">
        <v>400</v>
      </c>
      <c r="BM904" t="s">
        <v>119</v>
      </c>
      <c r="BN904">
        <v>1</v>
      </c>
      <c r="BO904">
        <v>1</v>
      </c>
      <c r="BP904">
        <v>1</v>
      </c>
      <c r="BQ904">
        <v>0</v>
      </c>
      <c r="BT904">
        <v>0</v>
      </c>
      <c r="BU904">
        <v>0</v>
      </c>
      <c r="BV904">
        <v>0</v>
      </c>
      <c r="CC904" t="str">
        <f>"18:49:43.828"</f>
        <v>18:49:43.828</v>
      </c>
      <c r="CD904" t="str">
        <f>"829832006"</f>
        <v>829832006</v>
      </c>
      <c r="CQ904">
        <v>0</v>
      </c>
      <c r="CR904">
        <v>2</v>
      </c>
      <c r="CS904">
        <v>0</v>
      </c>
      <c r="CT904">
        <v>2</v>
      </c>
      <c r="CU904">
        <v>0</v>
      </c>
      <c r="CV904">
        <v>5</v>
      </c>
      <c r="CW904" t="s">
        <v>120</v>
      </c>
      <c r="CX904">
        <v>261</v>
      </c>
      <c r="CY904">
        <v>2</v>
      </c>
      <c r="CZ904" t="s">
        <v>121</v>
      </c>
      <c r="DA904" t="s">
        <v>122</v>
      </c>
      <c r="DD904">
        <v>14732202</v>
      </c>
      <c r="DE904" t="s">
        <v>123</v>
      </c>
    </row>
    <row r="905" spans="1:109" x14ac:dyDescent="0.3">
      <c r="A905" t="str">
        <f>"18:49:44.977"</f>
        <v>18:49:44.977</v>
      </c>
      <c r="B905" t="s">
        <v>110</v>
      </c>
      <c r="C905" t="str">
        <f t="shared" si="42"/>
        <v>ffdfd3c0</v>
      </c>
      <c r="D905" t="s">
        <v>111</v>
      </c>
      <c r="E905">
        <v>18</v>
      </c>
      <c r="F905">
        <v>1018</v>
      </c>
      <c r="G905" t="s">
        <v>112</v>
      </c>
      <c r="J905" t="s">
        <v>113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R905" t="s">
        <v>114</v>
      </c>
      <c r="S905" t="str">
        <f>"18:49:44.742"</f>
        <v>18:49:44.742</v>
      </c>
      <c r="T905" t="str">
        <f>"18:49:44.344"</f>
        <v>18:49:44.344</v>
      </c>
      <c r="U905" t="str">
        <f t="shared" si="43"/>
        <v>a1cdbe</v>
      </c>
      <c r="V905">
        <v>0</v>
      </c>
      <c r="W905">
        <v>0</v>
      </c>
      <c r="X905">
        <v>1</v>
      </c>
      <c r="Y905">
        <v>0</v>
      </c>
      <c r="Z905">
        <v>0</v>
      </c>
      <c r="AB905">
        <v>0</v>
      </c>
      <c r="AC905">
        <v>9</v>
      </c>
      <c r="AD905">
        <v>3</v>
      </c>
      <c r="AE905">
        <v>0</v>
      </c>
      <c r="AF905">
        <v>9</v>
      </c>
      <c r="AG905" t="s">
        <v>158</v>
      </c>
      <c r="AH905">
        <v>0</v>
      </c>
      <c r="AI905">
        <v>3</v>
      </c>
      <c r="AJ905">
        <v>1</v>
      </c>
      <c r="AK905">
        <v>0</v>
      </c>
      <c r="AL905" t="s">
        <v>1880</v>
      </c>
      <c r="AM905">
        <v>46.846131999999997</v>
      </c>
      <c r="AN905" t="s">
        <v>1881</v>
      </c>
      <c r="AO905">
        <v>-122.461381</v>
      </c>
      <c r="AP905">
        <v>100</v>
      </c>
      <c r="AQ905">
        <v>2100</v>
      </c>
      <c r="AR905" t="s">
        <v>118</v>
      </c>
      <c r="AS905">
        <v>-79</v>
      </c>
      <c r="AT905">
        <v>-18</v>
      </c>
      <c r="AU905">
        <v>-128</v>
      </c>
      <c r="BC905">
        <v>1200</v>
      </c>
      <c r="BD905">
        <v>1</v>
      </c>
      <c r="BE905" t="str">
        <f t="shared" si="44"/>
        <v xml:space="preserve">N215T   </v>
      </c>
      <c r="BF905">
        <v>1</v>
      </c>
      <c r="BH905">
        <v>0</v>
      </c>
      <c r="BI905">
        <v>0</v>
      </c>
      <c r="BJ905">
        <v>0</v>
      </c>
      <c r="BK905">
        <v>2500</v>
      </c>
      <c r="BL905">
        <v>400</v>
      </c>
      <c r="BM905" t="s">
        <v>119</v>
      </c>
      <c r="BN905">
        <v>1</v>
      </c>
      <c r="BO905">
        <v>1</v>
      </c>
      <c r="BP905">
        <v>1</v>
      </c>
      <c r="BQ905">
        <v>0</v>
      </c>
      <c r="BT905">
        <v>0</v>
      </c>
      <c r="BU905">
        <v>0</v>
      </c>
      <c r="BV905">
        <v>0</v>
      </c>
      <c r="CC905" t="str">
        <f>"18:49:44.742"</f>
        <v>18:49:44.742</v>
      </c>
      <c r="CD905" t="str">
        <f>"744866633"</f>
        <v>744866633</v>
      </c>
      <c r="CQ905">
        <v>0</v>
      </c>
      <c r="CR905">
        <v>2</v>
      </c>
      <c r="CS905">
        <v>0</v>
      </c>
      <c r="CT905">
        <v>2</v>
      </c>
      <c r="CU905">
        <v>0</v>
      </c>
      <c r="CV905">
        <v>6</v>
      </c>
      <c r="CW905" t="s">
        <v>120</v>
      </c>
      <c r="CX905">
        <v>257</v>
      </c>
      <c r="CY905">
        <v>1</v>
      </c>
      <c r="CZ905" t="s">
        <v>615</v>
      </c>
      <c r="DA905" t="s">
        <v>616</v>
      </c>
      <c r="DD905">
        <v>11054763</v>
      </c>
      <c r="DE905" t="s">
        <v>123</v>
      </c>
    </row>
    <row r="906" spans="1:109" x14ac:dyDescent="0.3">
      <c r="A906" t="str">
        <f>"18:49:46.133"</f>
        <v>18:49:46.133</v>
      </c>
      <c r="B906" t="s">
        <v>110</v>
      </c>
      <c r="C906" t="str">
        <f t="shared" si="42"/>
        <v>ffdfd3c0</v>
      </c>
      <c r="D906" t="s">
        <v>111</v>
      </c>
      <c r="E906">
        <v>18</v>
      </c>
      <c r="F906">
        <v>1018</v>
      </c>
      <c r="G906" t="s">
        <v>112</v>
      </c>
      <c r="J906" t="s">
        <v>113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R906" t="s">
        <v>114</v>
      </c>
      <c r="S906" t="str">
        <f>"18:49:45.852"</f>
        <v>18:49:45.852</v>
      </c>
      <c r="T906" t="str">
        <f>"18:49:45.648"</f>
        <v>18:49:45.648</v>
      </c>
      <c r="U906" t="str">
        <f t="shared" si="43"/>
        <v>a1cdbe</v>
      </c>
      <c r="V906">
        <v>0</v>
      </c>
      <c r="W906">
        <v>0</v>
      </c>
      <c r="X906">
        <v>1</v>
      </c>
      <c r="Y906">
        <v>0</v>
      </c>
      <c r="Z906">
        <v>0</v>
      </c>
      <c r="AB906">
        <v>0</v>
      </c>
      <c r="AC906">
        <v>9</v>
      </c>
      <c r="AD906">
        <v>3</v>
      </c>
      <c r="AE906">
        <v>0</v>
      </c>
      <c r="AF906">
        <v>9</v>
      </c>
      <c r="AG906" t="s">
        <v>158</v>
      </c>
      <c r="AH906">
        <v>0</v>
      </c>
      <c r="AI906">
        <v>3</v>
      </c>
      <c r="AJ906">
        <v>1</v>
      </c>
      <c r="AK906">
        <v>0</v>
      </c>
      <c r="AL906" t="s">
        <v>1882</v>
      </c>
      <c r="AM906">
        <v>46.846024999999997</v>
      </c>
      <c r="AN906" t="s">
        <v>1883</v>
      </c>
      <c r="AO906">
        <v>-122.461917</v>
      </c>
      <c r="AP906">
        <v>100</v>
      </c>
      <c r="AQ906">
        <v>2100</v>
      </c>
      <c r="AR906" t="s">
        <v>118</v>
      </c>
      <c r="AS906">
        <v>-79</v>
      </c>
      <c r="AT906">
        <v>-16</v>
      </c>
      <c r="AU906">
        <v>-192</v>
      </c>
      <c r="BC906">
        <v>1200</v>
      </c>
      <c r="BD906">
        <v>1</v>
      </c>
      <c r="BE906" t="str">
        <f t="shared" si="44"/>
        <v xml:space="preserve">N215T   </v>
      </c>
      <c r="BF906">
        <v>1</v>
      </c>
      <c r="BH906">
        <v>0</v>
      </c>
      <c r="BI906">
        <v>0</v>
      </c>
      <c r="BJ906">
        <v>0</v>
      </c>
      <c r="BK906">
        <v>2475</v>
      </c>
      <c r="BL906">
        <v>375</v>
      </c>
      <c r="BM906" t="s">
        <v>119</v>
      </c>
      <c r="BN906">
        <v>1</v>
      </c>
      <c r="BO906">
        <v>1</v>
      </c>
      <c r="BP906">
        <v>1</v>
      </c>
      <c r="BQ906">
        <v>0</v>
      </c>
      <c r="BT906">
        <v>0</v>
      </c>
      <c r="BU906">
        <v>0</v>
      </c>
      <c r="BV906">
        <v>0</v>
      </c>
      <c r="CC906" t="str">
        <f>"18:49:45.852"</f>
        <v>18:49:45.852</v>
      </c>
      <c r="CD906" t="str">
        <f>"854757198"</f>
        <v>854757198</v>
      </c>
      <c r="CQ906">
        <v>0</v>
      </c>
      <c r="CR906">
        <v>2</v>
      </c>
      <c r="CS906">
        <v>0</v>
      </c>
      <c r="CT906">
        <v>2</v>
      </c>
      <c r="CU906">
        <v>0</v>
      </c>
      <c r="CV906">
        <v>6</v>
      </c>
      <c r="CW906" t="s">
        <v>120</v>
      </c>
      <c r="CX906">
        <v>257</v>
      </c>
      <c r="CY906">
        <v>1</v>
      </c>
      <c r="CZ906" t="s">
        <v>615</v>
      </c>
      <c r="DA906" t="s">
        <v>616</v>
      </c>
      <c r="DD906">
        <v>11055434</v>
      </c>
      <c r="DE906" t="s">
        <v>123</v>
      </c>
    </row>
    <row r="907" spans="1:109" x14ac:dyDescent="0.3">
      <c r="A907" t="str">
        <f>"18:49:46.938"</f>
        <v>18:49:46.938</v>
      </c>
      <c r="B907" t="s">
        <v>110</v>
      </c>
      <c r="C907" t="str">
        <f t="shared" si="42"/>
        <v>ffdfd3c0</v>
      </c>
      <c r="D907" t="s">
        <v>111</v>
      </c>
      <c r="E907">
        <v>18</v>
      </c>
      <c r="F907">
        <v>1018</v>
      </c>
      <c r="G907" t="s">
        <v>112</v>
      </c>
      <c r="J907" t="s">
        <v>113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R907" t="s">
        <v>114</v>
      </c>
      <c r="S907" t="str">
        <f>"18:49:46.719"</f>
        <v>18:49:46.719</v>
      </c>
      <c r="T907" t="str">
        <f>"18:49:46.719"</f>
        <v>18:49:46.719</v>
      </c>
      <c r="U907" t="str">
        <f t="shared" si="43"/>
        <v>a1cdbe</v>
      </c>
      <c r="V907">
        <v>0</v>
      </c>
      <c r="W907">
        <v>0</v>
      </c>
      <c r="X907">
        <v>1</v>
      </c>
      <c r="Y907">
        <v>0</v>
      </c>
      <c r="Z907">
        <v>0</v>
      </c>
      <c r="AB907">
        <v>0</v>
      </c>
      <c r="AC907">
        <v>9</v>
      </c>
      <c r="AD907">
        <v>3</v>
      </c>
      <c r="AE907">
        <v>0</v>
      </c>
      <c r="AF907">
        <v>9</v>
      </c>
      <c r="AG907" t="s">
        <v>158</v>
      </c>
      <c r="AH907">
        <v>0</v>
      </c>
      <c r="AI907">
        <v>3</v>
      </c>
      <c r="AJ907">
        <v>1</v>
      </c>
      <c r="AK907">
        <v>0</v>
      </c>
      <c r="AL907" t="s">
        <v>1884</v>
      </c>
      <c r="AM907">
        <v>46.845981999999999</v>
      </c>
      <c r="AN907" t="s">
        <v>1885</v>
      </c>
      <c r="AO907">
        <v>-122.462411</v>
      </c>
      <c r="AP907">
        <v>100</v>
      </c>
      <c r="AQ907">
        <v>2100</v>
      </c>
      <c r="AR907" t="s">
        <v>118</v>
      </c>
      <c r="AS907">
        <v>-80</v>
      </c>
      <c r="AT907">
        <v>-15</v>
      </c>
      <c r="AU907">
        <v>-192</v>
      </c>
      <c r="BC907">
        <v>1200</v>
      </c>
      <c r="BD907">
        <v>1</v>
      </c>
      <c r="BE907" t="str">
        <f t="shared" si="44"/>
        <v xml:space="preserve">N215T   </v>
      </c>
      <c r="BF907">
        <v>1</v>
      </c>
      <c r="BH907">
        <v>0</v>
      </c>
      <c r="BI907">
        <v>0</v>
      </c>
      <c r="BJ907">
        <v>0</v>
      </c>
      <c r="BK907">
        <v>2475</v>
      </c>
      <c r="BL907">
        <v>375</v>
      </c>
      <c r="BM907" t="s">
        <v>119</v>
      </c>
      <c r="BN907">
        <v>1</v>
      </c>
      <c r="BO907">
        <v>1</v>
      </c>
      <c r="BP907">
        <v>1</v>
      </c>
      <c r="BQ907">
        <v>0</v>
      </c>
      <c r="BT907">
        <v>0</v>
      </c>
      <c r="BU907">
        <v>0</v>
      </c>
      <c r="BV907">
        <v>0</v>
      </c>
      <c r="CC907" t="str">
        <f>"18:49:46.727"</f>
        <v>18:49:46.727</v>
      </c>
      <c r="CD907" t="str">
        <f>"724671439"</f>
        <v>724671439</v>
      </c>
      <c r="CQ907">
        <v>0</v>
      </c>
      <c r="CR907">
        <v>2</v>
      </c>
      <c r="CS907">
        <v>0</v>
      </c>
      <c r="CT907">
        <v>2</v>
      </c>
      <c r="CU907">
        <v>0</v>
      </c>
      <c r="CV907">
        <v>6</v>
      </c>
      <c r="CW907" t="s">
        <v>120</v>
      </c>
      <c r="CX907">
        <v>257</v>
      </c>
      <c r="CY907">
        <v>1</v>
      </c>
      <c r="CZ907" t="s">
        <v>615</v>
      </c>
      <c r="DA907" t="s">
        <v>616</v>
      </c>
      <c r="DD907">
        <v>11055985</v>
      </c>
      <c r="DE907" t="s">
        <v>123</v>
      </c>
    </row>
    <row r="908" spans="1:109" x14ac:dyDescent="0.3">
      <c r="A908" t="str">
        <f>"18:49:47.992"</f>
        <v>18:49:47.992</v>
      </c>
      <c r="B908" t="s">
        <v>110</v>
      </c>
      <c r="C908" t="str">
        <f t="shared" si="42"/>
        <v>ffdfd3c0</v>
      </c>
      <c r="D908" t="s">
        <v>111</v>
      </c>
      <c r="E908">
        <v>18</v>
      </c>
      <c r="F908">
        <v>1018</v>
      </c>
      <c r="G908" t="s">
        <v>112</v>
      </c>
      <c r="J908" t="s">
        <v>113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R908" t="s">
        <v>114</v>
      </c>
      <c r="S908" t="str">
        <f>"18:49:47.758"</f>
        <v>18:49:47.758</v>
      </c>
      <c r="T908" t="str">
        <f>"18:49:47.656"</f>
        <v>18:49:47.656</v>
      </c>
      <c r="U908" t="str">
        <f t="shared" si="43"/>
        <v>a1cdbe</v>
      </c>
      <c r="V908">
        <v>0</v>
      </c>
      <c r="W908">
        <v>0</v>
      </c>
      <c r="X908">
        <v>1</v>
      </c>
      <c r="Y908">
        <v>0</v>
      </c>
      <c r="Z908">
        <v>0</v>
      </c>
      <c r="AB908">
        <v>0</v>
      </c>
      <c r="AC908">
        <v>9</v>
      </c>
      <c r="AD908">
        <v>3</v>
      </c>
      <c r="AE908">
        <v>0</v>
      </c>
      <c r="AF908">
        <v>9</v>
      </c>
      <c r="AG908" t="s">
        <v>158</v>
      </c>
      <c r="AH908">
        <v>0</v>
      </c>
      <c r="AI908">
        <v>3</v>
      </c>
      <c r="AJ908">
        <v>1</v>
      </c>
      <c r="AK908">
        <v>0</v>
      </c>
      <c r="AL908" t="s">
        <v>1886</v>
      </c>
      <c r="AM908">
        <v>46.845896000000003</v>
      </c>
      <c r="AN908" t="s">
        <v>1887</v>
      </c>
      <c r="AO908">
        <v>-122.46301200000001</v>
      </c>
      <c r="AP908">
        <v>100</v>
      </c>
      <c r="AQ908">
        <v>2100</v>
      </c>
      <c r="AR908" t="s">
        <v>118</v>
      </c>
      <c r="AS908">
        <v>-81</v>
      </c>
      <c r="AT908">
        <v>-14</v>
      </c>
      <c r="AU908">
        <v>-192</v>
      </c>
      <c r="BC908">
        <v>1200</v>
      </c>
      <c r="BD908">
        <v>1</v>
      </c>
      <c r="BE908" t="str">
        <f t="shared" si="44"/>
        <v xml:space="preserve">N215T   </v>
      </c>
      <c r="BF908">
        <v>1</v>
      </c>
      <c r="BH908">
        <v>0</v>
      </c>
      <c r="BI908">
        <v>0</v>
      </c>
      <c r="BJ908">
        <v>0</v>
      </c>
      <c r="BK908">
        <v>2475</v>
      </c>
      <c r="BL908">
        <v>375</v>
      </c>
      <c r="BM908" t="s">
        <v>119</v>
      </c>
      <c r="BN908">
        <v>1</v>
      </c>
      <c r="BO908">
        <v>1</v>
      </c>
      <c r="BP908">
        <v>1</v>
      </c>
      <c r="BQ908">
        <v>0</v>
      </c>
      <c r="BT908">
        <v>0</v>
      </c>
      <c r="BU908">
        <v>0</v>
      </c>
      <c r="BV908">
        <v>0</v>
      </c>
      <c r="CC908" t="str">
        <f>"18:49:47.758"</f>
        <v>18:49:47.758</v>
      </c>
      <c r="CD908" t="str">
        <f>"759569383"</f>
        <v>759569383</v>
      </c>
      <c r="CQ908">
        <v>0</v>
      </c>
      <c r="CR908">
        <v>2</v>
      </c>
      <c r="CS908">
        <v>0</v>
      </c>
      <c r="CT908">
        <v>2</v>
      </c>
      <c r="CU908">
        <v>0</v>
      </c>
      <c r="CV908">
        <v>6</v>
      </c>
      <c r="CW908" t="s">
        <v>120</v>
      </c>
      <c r="CX908">
        <v>257</v>
      </c>
      <c r="CY908">
        <v>1</v>
      </c>
      <c r="CZ908" t="s">
        <v>615</v>
      </c>
      <c r="DA908" t="s">
        <v>616</v>
      </c>
      <c r="DD908">
        <v>11056661</v>
      </c>
      <c r="DE908" t="s">
        <v>123</v>
      </c>
    </row>
    <row r="909" spans="1:109" x14ac:dyDescent="0.3">
      <c r="A909" t="str">
        <f>"18:49:48.945"</f>
        <v>18:49:48.945</v>
      </c>
      <c r="B909" t="s">
        <v>110</v>
      </c>
      <c r="C909" t="str">
        <f t="shared" si="42"/>
        <v>ffdfd3c0</v>
      </c>
      <c r="D909" t="s">
        <v>111</v>
      </c>
      <c r="E909">
        <v>18</v>
      </c>
      <c r="F909">
        <v>1018</v>
      </c>
      <c r="G909" t="s">
        <v>112</v>
      </c>
      <c r="J909" t="s">
        <v>113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R909" t="s">
        <v>114</v>
      </c>
      <c r="S909" t="str">
        <f>"18:49:48.742"</f>
        <v>18:49:48.742</v>
      </c>
      <c r="T909" t="str">
        <f>"18:49:48.742"</f>
        <v>18:49:48.742</v>
      </c>
      <c r="U909" t="str">
        <f t="shared" si="43"/>
        <v>a1cdbe</v>
      </c>
      <c r="V909">
        <v>0</v>
      </c>
      <c r="W909">
        <v>0</v>
      </c>
      <c r="X909">
        <v>1</v>
      </c>
      <c r="Y909">
        <v>0</v>
      </c>
      <c r="Z909">
        <v>0</v>
      </c>
      <c r="AB909">
        <v>0</v>
      </c>
      <c r="AC909">
        <v>9</v>
      </c>
      <c r="AD909">
        <v>3</v>
      </c>
      <c r="AE909">
        <v>0</v>
      </c>
      <c r="AF909">
        <v>9</v>
      </c>
      <c r="AG909" t="s">
        <v>158</v>
      </c>
      <c r="AH909">
        <v>0</v>
      </c>
      <c r="AI909">
        <v>3</v>
      </c>
      <c r="AJ909">
        <v>1</v>
      </c>
      <c r="AK909">
        <v>0</v>
      </c>
      <c r="AL909" t="s">
        <v>1888</v>
      </c>
      <c r="AM909">
        <v>46.845852999999998</v>
      </c>
      <c r="AN909" t="s">
        <v>1889</v>
      </c>
      <c r="AO909">
        <v>-122.463505</v>
      </c>
      <c r="AP909">
        <v>100</v>
      </c>
      <c r="AQ909">
        <v>2100</v>
      </c>
      <c r="AR909" t="s">
        <v>118</v>
      </c>
      <c r="AS909">
        <v>-81</v>
      </c>
      <c r="AT909">
        <v>-13</v>
      </c>
      <c r="AU909">
        <v>-192</v>
      </c>
      <c r="BC909">
        <v>1200</v>
      </c>
      <c r="BD909">
        <v>1</v>
      </c>
      <c r="BE909" t="str">
        <f t="shared" si="44"/>
        <v xml:space="preserve">N215T   </v>
      </c>
      <c r="BF909">
        <v>1</v>
      </c>
      <c r="BH909">
        <v>0</v>
      </c>
      <c r="BI909">
        <v>0</v>
      </c>
      <c r="BJ909">
        <v>0</v>
      </c>
      <c r="BK909">
        <v>2475</v>
      </c>
      <c r="BL909">
        <v>375</v>
      </c>
      <c r="BM909" t="s">
        <v>119</v>
      </c>
      <c r="BN909">
        <v>1</v>
      </c>
      <c r="BO909">
        <v>1</v>
      </c>
      <c r="BP909">
        <v>1</v>
      </c>
      <c r="BQ909">
        <v>0</v>
      </c>
      <c r="BT909">
        <v>0</v>
      </c>
      <c r="BU909">
        <v>0</v>
      </c>
      <c r="BV909">
        <v>0</v>
      </c>
      <c r="CC909" t="str">
        <f>"18:49:48.750"</f>
        <v>18:49:48.750</v>
      </c>
      <c r="CD909" t="str">
        <f>"749471787"</f>
        <v>749471787</v>
      </c>
      <c r="CQ909">
        <v>0</v>
      </c>
      <c r="CR909">
        <v>2</v>
      </c>
      <c r="CS909">
        <v>0</v>
      </c>
      <c r="CT909">
        <v>2</v>
      </c>
      <c r="CU909">
        <v>0</v>
      </c>
      <c r="CV909">
        <v>6</v>
      </c>
      <c r="CW909" t="s">
        <v>120</v>
      </c>
      <c r="CX909">
        <v>257</v>
      </c>
      <c r="CY909">
        <v>1</v>
      </c>
      <c r="CZ909" t="s">
        <v>615</v>
      </c>
      <c r="DA909" t="s">
        <v>616</v>
      </c>
      <c r="DD909">
        <v>11057330</v>
      </c>
      <c r="DE909" t="s">
        <v>123</v>
      </c>
    </row>
    <row r="910" spans="1:109" x14ac:dyDescent="0.3">
      <c r="A910" t="str">
        <f>"18:49:50.055"</f>
        <v>18:49:50.055</v>
      </c>
      <c r="B910" t="s">
        <v>110</v>
      </c>
      <c r="C910" t="str">
        <f t="shared" si="42"/>
        <v>ffdfd3c0</v>
      </c>
      <c r="D910" t="s">
        <v>111</v>
      </c>
      <c r="E910">
        <v>18</v>
      </c>
      <c r="F910">
        <v>1018</v>
      </c>
      <c r="G910" t="s">
        <v>112</v>
      </c>
      <c r="J910" t="s">
        <v>113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R910" t="s">
        <v>114</v>
      </c>
      <c r="S910" t="str">
        <f>"18:49:49.797"</f>
        <v>18:49:49.797</v>
      </c>
      <c r="T910" t="str">
        <f>"18:49:49.695"</f>
        <v>18:49:49.695</v>
      </c>
      <c r="U910" t="str">
        <f t="shared" si="43"/>
        <v>a1cdbe</v>
      </c>
      <c r="V910">
        <v>0</v>
      </c>
      <c r="W910">
        <v>0</v>
      </c>
      <c r="X910">
        <v>1</v>
      </c>
      <c r="Y910">
        <v>0</v>
      </c>
      <c r="Z910">
        <v>0</v>
      </c>
      <c r="AB910">
        <v>0</v>
      </c>
      <c r="AC910">
        <v>9</v>
      </c>
      <c r="AD910">
        <v>3</v>
      </c>
      <c r="AE910">
        <v>0</v>
      </c>
      <c r="AF910">
        <v>9</v>
      </c>
      <c r="AG910" t="s">
        <v>158</v>
      </c>
      <c r="AH910">
        <v>0</v>
      </c>
      <c r="AI910">
        <v>3</v>
      </c>
      <c r="AJ910">
        <v>1</v>
      </c>
      <c r="AK910">
        <v>0</v>
      </c>
      <c r="AL910" t="s">
        <v>1890</v>
      </c>
      <c r="AM910">
        <v>46.845789000000003</v>
      </c>
      <c r="AN910" t="s">
        <v>1891</v>
      </c>
      <c r="AO910">
        <v>-122.464128</v>
      </c>
      <c r="AP910">
        <v>100</v>
      </c>
      <c r="AQ910">
        <v>2100</v>
      </c>
      <c r="AR910" t="s">
        <v>118</v>
      </c>
      <c r="AS910">
        <v>-82</v>
      </c>
      <c r="AT910">
        <v>-12</v>
      </c>
      <c r="AU910">
        <v>-128</v>
      </c>
      <c r="BC910">
        <v>1200</v>
      </c>
      <c r="BD910">
        <v>1</v>
      </c>
      <c r="BE910" t="str">
        <f t="shared" si="44"/>
        <v xml:space="preserve">N215T   </v>
      </c>
      <c r="BF910">
        <v>1</v>
      </c>
      <c r="BH910">
        <v>0</v>
      </c>
      <c r="BI910">
        <v>0</v>
      </c>
      <c r="BJ910">
        <v>0</v>
      </c>
      <c r="BK910">
        <v>2475</v>
      </c>
      <c r="BL910">
        <v>375</v>
      </c>
      <c r="BM910" t="s">
        <v>119</v>
      </c>
      <c r="BN910">
        <v>1</v>
      </c>
      <c r="BO910">
        <v>1</v>
      </c>
      <c r="BP910">
        <v>1</v>
      </c>
      <c r="BQ910">
        <v>0</v>
      </c>
      <c r="BT910">
        <v>0</v>
      </c>
      <c r="BU910">
        <v>0</v>
      </c>
      <c r="BV910">
        <v>0</v>
      </c>
      <c r="CC910" t="str">
        <f>"18:49:49.797"</f>
        <v>18:49:49.797</v>
      </c>
      <c r="CD910" t="str">
        <f>"799244131"</f>
        <v>799244131</v>
      </c>
      <c r="CQ910">
        <v>0</v>
      </c>
      <c r="CR910">
        <v>2</v>
      </c>
      <c r="CS910">
        <v>0</v>
      </c>
      <c r="CT910">
        <v>2</v>
      </c>
      <c r="CU910">
        <v>0</v>
      </c>
      <c r="CV910">
        <v>6</v>
      </c>
      <c r="CW910" t="s">
        <v>120</v>
      </c>
      <c r="CX910">
        <v>261</v>
      </c>
      <c r="CY910">
        <v>2</v>
      </c>
      <c r="CZ910" t="s">
        <v>121</v>
      </c>
      <c r="DA910" t="s">
        <v>122</v>
      </c>
      <c r="DD910">
        <v>14735680</v>
      </c>
      <c r="DE910" t="s">
        <v>123</v>
      </c>
    </row>
    <row r="911" spans="1:109" x14ac:dyDescent="0.3">
      <c r="A911" t="str">
        <f>"18:49:51.008"</f>
        <v>18:49:51.008</v>
      </c>
      <c r="B911" t="s">
        <v>110</v>
      </c>
      <c r="C911" t="str">
        <f t="shared" si="42"/>
        <v>ffdfd3c0</v>
      </c>
      <c r="D911" t="s">
        <v>111</v>
      </c>
      <c r="E911">
        <v>18</v>
      </c>
      <c r="F911">
        <v>1018</v>
      </c>
      <c r="G911" t="s">
        <v>112</v>
      </c>
      <c r="J911" t="s">
        <v>113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R911" t="s">
        <v>114</v>
      </c>
      <c r="S911" t="str">
        <f>"18:49:50.773"</f>
        <v>18:49:50.773</v>
      </c>
      <c r="T911" t="str">
        <f>"18:49:50.773"</f>
        <v>18:49:50.773</v>
      </c>
      <c r="U911" t="str">
        <f t="shared" si="43"/>
        <v>a1cdbe</v>
      </c>
      <c r="V911">
        <v>0</v>
      </c>
      <c r="W911">
        <v>0</v>
      </c>
      <c r="X911">
        <v>1</v>
      </c>
      <c r="Y911">
        <v>0</v>
      </c>
      <c r="Z911">
        <v>0</v>
      </c>
      <c r="AB911">
        <v>0</v>
      </c>
      <c r="AC911">
        <v>9</v>
      </c>
      <c r="AD911">
        <v>3</v>
      </c>
      <c r="AE911">
        <v>0</v>
      </c>
      <c r="AF911">
        <v>9</v>
      </c>
      <c r="AG911" t="s">
        <v>158</v>
      </c>
      <c r="AH911">
        <v>0</v>
      </c>
      <c r="AI911">
        <v>3</v>
      </c>
      <c r="AJ911">
        <v>1</v>
      </c>
      <c r="AK911">
        <v>0</v>
      </c>
      <c r="AL911" t="s">
        <v>1892</v>
      </c>
      <c r="AM911">
        <v>46.845745999999998</v>
      </c>
      <c r="AN911" t="s">
        <v>1893</v>
      </c>
      <c r="AO911">
        <v>-122.464664</v>
      </c>
      <c r="AP911">
        <v>100</v>
      </c>
      <c r="AQ911">
        <v>2100</v>
      </c>
      <c r="AR911" t="s">
        <v>118</v>
      </c>
      <c r="AS911">
        <v>-82</v>
      </c>
      <c r="AT911">
        <v>-11</v>
      </c>
      <c r="AU911">
        <v>-128</v>
      </c>
      <c r="BC911">
        <v>1200</v>
      </c>
      <c r="BD911">
        <v>1</v>
      </c>
      <c r="BE911" t="str">
        <f t="shared" si="44"/>
        <v xml:space="preserve">N215T   </v>
      </c>
      <c r="BF911">
        <v>1</v>
      </c>
      <c r="BH911">
        <v>0</v>
      </c>
      <c r="BI911">
        <v>0</v>
      </c>
      <c r="BJ911">
        <v>0</v>
      </c>
      <c r="BK911">
        <v>2475</v>
      </c>
      <c r="BL911">
        <v>375</v>
      </c>
      <c r="BM911" t="s">
        <v>119</v>
      </c>
      <c r="BN911">
        <v>1</v>
      </c>
      <c r="BO911">
        <v>1</v>
      </c>
      <c r="BP911">
        <v>1</v>
      </c>
      <c r="BQ911">
        <v>0</v>
      </c>
      <c r="BT911">
        <v>0</v>
      </c>
      <c r="BU911">
        <v>0</v>
      </c>
      <c r="BV911">
        <v>0</v>
      </c>
      <c r="CC911" t="str">
        <f>"18:49:50.773"</f>
        <v>18:49:50.773</v>
      </c>
      <c r="CD911" t="str">
        <f>"774272151"</f>
        <v>774272151</v>
      </c>
      <c r="CQ911">
        <v>0</v>
      </c>
      <c r="CR911">
        <v>2</v>
      </c>
      <c r="CS911">
        <v>0</v>
      </c>
      <c r="CT911">
        <v>2</v>
      </c>
      <c r="CU911">
        <v>0</v>
      </c>
      <c r="CV911">
        <v>6</v>
      </c>
      <c r="CW911" t="s">
        <v>120</v>
      </c>
      <c r="CX911">
        <v>257</v>
      </c>
      <c r="CY911">
        <v>1</v>
      </c>
      <c r="CZ911" t="s">
        <v>615</v>
      </c>
      <c r="DA911" t="s">
        <v>616</v>
      </c>
      <c r="DD911">
        <v>11058641</v>
      </c>
      <c r="DE911" t="s">
        <v>123</v>
      </c>
    </row>
    <row r="912" spans="1:109" x14ac:dyDescent="0.3">
      <c r="A912" t="str">
        <f>"18:49:52.016"</f>
        <v>18:49:52.016</v>
      </c>
      <c r="B912" t="s">
        <v>110</v>
      </c>
      <c r="C912" t="str">
        <f t="shared" si="42"/>
        <v>ffdfd3c0</v>
      </c>
      <c r="D912" t="s">
        <v>111</v>
      </c>
      <c r="E912">
        <v>18</v>
      </c>
      <c r="F912">
        <v>1018</v>
      </c>
      <c r="G912" t="s">
        <v>112</v>
      </c>
      <c r="J912" t="s">
        <v>113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R912" t="s">
        <v>114</v>
      </c>
      <c r="S912" t="str">
        <f>"18:49:51.773"</f>
        <v>18:49:51.773</v>
      </c>
      <c r="T912" t="str">
        <f>"18:49:51.273"</f>
        <v>18:49:51.273</v>
      </c>
      <c r="U912" t="str">
        <f t="shared" si="43"/>
        <v>a1cdbe</v>
      </c>
      <c r="V912">
        <v>0</v>
      </c>
      <c r="W912">
        <v>0</v>
      </c>
      <c r="X912">
        <v>1</v>
      </c>
      <c r="Y912">
        <v>0</v>
      </c>
      <c r="Z912">
        <v>0</v>
      </c>
      <c r="AB912">
        <v>0</v>
      </c>
      <c r="AC912">
        <v>9</v>
      </c>
      <c r="AD912">
        <v>3</v>
      </c>
      <c r="AE912">
        <v>0</v>
      </c>
      <c r="AF912">
        <v>9</v>
      </c>
      <c r="AG912" t="s">
        <v>158</v>
      </c>
      <c r="AH912">
        <v>0</v>
      </c>
      <c r="AI912">
        <v>3</v>
      </c>
      <c r="AJ912">
        <v>1</v>
      </c>
      <c r="AK912">
        <v>0</v>
      </c>
      <c r="AL912" t="s">
        <v>1894</v>
      </c>
      <c r="AM912">
        <v>46.845703</v>
      </c>
      <c r="AN912" t="s">
        <v>1895</v>
      </c>
      <c r="AO912">
        <v>-122.465222</v>
      </c>
      <c r="AP912">
        <v>100</v>
      </c>
      <c r="AQ912">
        <v>2100</v>
      </c>
      <c r="AR912" t="s">
        <v>118</v>
      </c>
      <c r="AS912">
        <v>-82</v>
      </c>
      <c r="AT912">
        <v>-11</v>
      </c>
      <c r="AU912">
        <v>-64</v>
      </c>
      <c r="BC912">
        <v>1200</v>
      </c>
      <c r="BD912">
        <v>1</v>
      </c>
      <c r="BE912" t="str">
        <f t="shared" si="44"/>
        <v xml:space="preserve">N215T   </v>
      </c>
      <c r="BF912">
        <v>1</v>
      </c>
      <c r="BH912">
        <v>0</v>
      </c>
      <c r="BI912">
        <v>0</v>
      </c>
      <c r="BJ912">
        <v>0</v>
      </c>
      <c r="BK912">
        <v>2475</v>
      </c>
      <c r="BL912">
        <v>375</v>
      </c>
      <c r="BM912" t="s">
        <v>119</v>
      </c>
      <c r="BN912">
        <v>1</v>
      </c>
      <c r="BO912">
        <v>1</v>
      </c>
      <c r="BP912">
        <v>1</v>
      </c>
      <c r="BQ912">
        <v>0</v>
      </c>
      <c r="BT912">
        <v>0</v>
      </c>
      <c r="BU912">
        <v>0</v>
      </c>
      <c r="BV912">
        <v>0</v>
      </c>
      <c r="CC912" t="str">
        <f>"18:49:51.781"</f>
        <v>18:49:51.781</v>
      </c>
      <c r="CD912" t="str">
        <f>"779173062"</f>
        <v>779173062</v>
      </c>
      <c r="CQ912">
        <v>0</v>
      </c>
      <c r="CR912">
        <v>2</v>
      </c>
      <c r="CS912">
        <v>0</v>
      </c>
      <c r="CT912">
        <v>2</v>
      </c>
      <c r="CU912">
        <v>0</v>
      </c>
      <c r="CV912">
        <v>6</v>
      </c>
      <c r="CW912" t="s">
        <v>120</v>
      </c>
      <c r="CX912">
        <v>257</v>
      </c>
      <c r="CY912">
        <v>1</v>
      </c>
      <c r="CZ912" t="s">
        <v>615</v>
      </c>
      <c r="DA912" t="s">
        <v>616</v>
      </c>
      <c r="DD912">
        <v>11059279</v>
      </c>
      <c r="DE912" t="s">
        <v>123</v>
      </c>
    </row>
    <row r="913" spans="1:109" x14ac:dyDescent="0.3">
      <c r="A913" t="str">
        <f>"18:49:53.016"</f>
        <v>18:49:53.016</v>
      </c>
      <c r="B913" t="s">
        <v>110</v>
      </c>
      <c r="C913" t="str">
        <f t="shared" si="42"/>
        <v>ffdfd3c0</v>
      </c>
      <c r="D913" t="s">
        <v>111</v>
      </c>
      <c r="E913">
        <v>18</v>
      </c>
      <c r="F913">
        <v>1018</v>
      </c>
      <c r="G913" t="s">
        <v>112</v>
      </c>
      <c r="J913" t="s">
        <v>113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R913" t="s">
        <v>114</v>
      </c>
      <c r="S913" t="str">
        <f>"18:49:52.813"</f>
        <v>18:49:52.813</v>
      </c>
      <c r="T913" t="str">
        <f>"18:49:52.609"</f>
        <v>18:49:52.609</v>
      </c>
      <c r="U913" t="str">
        <f t="shared" si="43"/>
        <v>a1cdbe</v>
      </c>
      <c r="V913">
        <v>0</v>
      </c>
      <c r="W913">
        <v>0</v>
      </c>
      <c r="X913">
        <v>1</v>
      </c>
      <c r="Y913">
        <v>0</v>
      </c>
      <c r="Z913">
        <v>0</v>
      </c>
      <c r="AB913">
        <v>0</v>
      </c>
      <c r="AC913">
        <v>9</v>
      </c>
      <c r="AD913">
        <v>3</v>
      </c>
      <c r="AE913">
        <v>0</v>
      </c>
      <c r="AF913">
        <v>9</v>
      </c>
      <c r="AG913" t="s">
        <v>158</v>
      </c>
      <c r="AH913">
        <v>0</v>
      </c>
      <c r="AI913">
        <v>3</v>
      </c>
      <c r="AJ913">
        <v>1</v>
      </c>
      <c r="AK913">
        <v>0</v>
      </c>
      <c r="AL913" t="s">
        <v>1896</v>
      </c>
      <c r="AM913">
        <v>46.845660000000002</v>
      </c>
      <c r="AN913" t="s">
        <v>1897</v>
      </c>
      <c r="AO913">
        <v>-122.465801</v>
      </c>
      <c r="AP913">
        <v>100</v>
      </c>
      <c r="AQ913">
        <v>2100</v>
      </c>
      <c r="AR913" t="s">
        <v>118</v>
      </c>
      <c r="AS913">
        <v>-82</v>
      </c>
      <c r="AT913">
        <v>-10</v>
      </c>
      <c r="AU913">
        <v>0</v>
      </c>
      <c r="BC913">
        <v>1200</v>
      </c>
      <c r="BD913">
        <v>1</v>
      </c>
      <c r="BE913" t="str">
        <f t="shared" si="44"/>
        <v xml:space="preserve">N215T   </v>
      </c>
      <c r="BF913">
        <v>1</v>
      </c>
      <c r="BH913">
        <v>0</v>
      </c>
      <c r="BI913">
        <v>0</v>
      </c>
      <c r="BJ913">
        <v>0</v>
      </c>
      <c r="BK913">
        <v>2475</v>
      </c>
      <c r="BL913">
        <v>375</v>
      </c>
      <c r="BM913" t="s">
        <v>119</v>
      </c>
      <c r="BN913">
        <v>1</v>
      </c>
      <c r="BO913">
        <v>1</v>
      </c>
      <c r="BP913">
        <v>1</v>
      </c>
      <c r="BQ913">
        <v>0</v>
      </c>
      <c r="BT913">
        <v>0</v>
      </c>
      <c r="BU913">
        <v>0</v>
      </c>
      <c r="BV913">
        <v>0</v>
      </c>
      <c r="CC913" t="str">
        <f>"18:49:52.813"</f>
        <v>18:49:52.813</v>
      </c>
      <c r="CD913" t="str">
        <f>"814071019"</f>
        <v>814071019</v>
      </c>
      <c r="CQ913">
        <v>0</v>
      </c>
      <c r="CR913">
        <v>2</v>
      </c>
      <c r="CS913">
        <v>0</v>
      </c>
      <c r="CT913">
        <v>2</v>
      </c>
      <c r="CU913">
        <v>0</v>
      </c>
      <c r="CV913">
        <v>6</v>
      </c>
      <c r="CW913" t="s">
        <v>120</v>
      </c>
      <c r="CX913">
        <v>257</v>
      </c>
      <c r="CY913">
        <v>1</v>
      </c>
      <c r="CZ913" t="s">
        <v>615</v>
      </c>
      <c r="DA913" t="s">
        <v>616</v>
      </c>
      <c r="DD913">
        <v>11059933</v>
      </c>
      <c r="DE913" t="s">
        <v>123</v>
      </c>
    </row>
    <row r="914" spans="1:109" x14ac:dyDescent="0.3">
      <c r="A914" t="str">
        <f>"18:49:53.922"</f>
        <v>18:49:53.922</v>
      </c>
      <c r="B914" t="s">
        <v>110</v>
      </c>
      <c r="C914" t="str">
        <f t="shared" si="42"/>
        <v>ffdfd3c0</v>
      </c>
      <c r="D914" t="s">
        <v>111</v>
      </c>
      <c r="E914">
        <v>18</v>
      </c>
      <c r="F914">
        <v>1018</v>
      </c>
      <c r="G914" t="s">
        <v>112</v>
      </c>
      <c r="J914" t="s">
        <v>113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R914" t="s">
        <v>114</v>
      </c>
      <c r="S914" t="str">
        <f>"18:49:53.664"</f>
        <v>18:49:53.664</v>
      </c>
      <c r="T914" t="str">
        <f>"18:49:53.664"</f>
        <v>18:49:53.664</v>
      </c>
      <c r="U914" t="str">
        <f t="shared" si="43"/>
        <v>a1cdbe</v>
      </c>
      <c r="V914">
        <v>0</v>
      </c>
      <c r="W914">
        <v>0</v>
      </c>
      <c r="X914">
        <v>1</v>
      </c>
      <c r="Y914">
        <v>0</v>
      </c>
      <c r="Z914">
        <v>0</v>
      </c>
      <c r="AB914">
        <v>0</v>
      </c>
      <c r="AC914">
        <v>9</v>
      </c>
      <c r="AD914">
        <v>3</v>
      </c>
      <c r="AE914">
        <v>0</v>
      </c>
      <c r="AF914">
        <v>9</v>
      </c>
      <c r="AG914" t="s">
        <v>158</v>
      </c>
      <c r="AH914">
        <v>0</v>
      </c>
      <c r="AI914">
        <v>3</v>
      </c>
      <c r="AJ914">
        <v>1</v>
      </c>
      <c r="AK914">
        <v>0</v>
      </c>
      <c r="AL914" t="s">
        <v>1898</v>
      </c>
      <c r="AM914">
        <v>46.845616999999997</v>
      </c>
      <c r="AN914" t="s">
        <v>1899</v>
      </c>
      <c r="AO914">
        <v>-122.466273</v>
      </c>
      <c r="AP914">
        <v>100</v>
      </c>
      <c r="AQ914">
        <v>2100</v>
      </c>
      <c r="AR914" t="s">
        <v>118</v>
      </c>
      <c r="AS914">
        <v>-82</v>
      </c>
      <c r="AT914">
        <v>-10</v>
      </c>
      <c r="AU914">
        <v>64</v>
      </c>
      <c r="BC914">
        <v>1200</v>
      </c>
      <c r="BD914">
        <v>1</v>
      </c>
      <c r="BE914" t="str">
        <f t="shared" si="44"/>
        <v xml:space="preserve">N215T   </v>
      </c>
      <c r="BF914">
        <v>1</v>
      </c>
      <c r="BH914">
        <v>0</v>
      </c>
      <c r="BI914">
        <v>0</v>
      </c>
      <c r="BJ914">
        <v>0</v>
      </c>
      <c r="BK914">
        <v>2475</v>
      </c>
      <c r="BL914">
        <v>375</v>
      </c>
      <c r="BM914" t="s">
        <v>119</v>
      </c>
      <c r="BN914">
        <v>1</v>
      </c>
      <c r="BO914">
        <v>1</v>
      </c>
      <c r="BP914">
        <v>1</v>
      </c>
      <c r="BQ914">
        <v>0</v>
      </c>
      <c r="BT914">
        <v>0</v>
      </c>
      <c r="BU914">
        <v>0</v>
      </c>
      <c r="BV914">
        <v>0</v>
      </c>
      <c r="CC914" t="str">
        <f>"18:49:53.672"</f>
        <v>18:49:53.672</v>
      </c>
      <c r="CD914" t="str">
        <f>"668986732"</f>
        <v>668986732</v>
      </c>
      <c r="CQ914">
        <v>0</v>
      </c>
      <c r="CR914">
        <v>2</v>
      </c>
      <c r="CS914">
        <v>0</v>
      </c>
      <c r="CT914">
        <v>2</v>
      </c>
      <c r="CU914">
        <v>0</v>
      </c>
      <c r="CV914">
        <v>6</v>
      </c>
      <c r="CW914" t="s">
        <v>120</v>
      </c>
      <c r="CX914">
        <v>257</v>
      </c>
      <c r="CY914">
        <v>1</v>
      </c>
      <c r="CZ914" t="s">
        <v>615</v>
      </c>
      <c r="DA914" t="s">
        <v>616</v>
      </c>
      <c r="DD914">
        <v>11060545</v>
      </c>
      <c r="DE914" t="s">
        <v>123</v>
      </c>
    </row>
    <row r="915" spans="1:109" x14ac:dyDescent="0.3">
      <c r="A915" t="str">
        <f>"18:49:54.930"</f>
        <v>18:49:54.930</v>
      </c>
      <c r="B915" t="s">
        <v>110</v>
      </c>
      <c r="C915" t="str">
        <f t="shared" si="42"/>
        <v>ffdfd3c0</v>
      </c>
      <c r="D915" t="s">
        <v>111</v>
      </c>
      <c r="E915">
        <v>18</v>
      </c>
      <c r="F915">
        <v>1018</v>
      </c>
      <c r="G915" t="s">
        <v>112</v>
      </c>
      <c r="J915" t="s">
        <v>113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R915" t="s">
        <v>114</v>
      </c>
      <c r="S915" t="str">
        <f>"18:49:54.672"</f>
        <v>18:49:54.672</v>
      </c>
      <c r="T915" t="str">
        <f>"18:49:54.672"</f>
        <v>18:49:54.672</v>
      </c>
      <c r="U915" t="str">
        <f t="shared" si="43"/>
        <v>a1cdbe</v>
      </c>
      <c r="V915">
        <v>0</v>
      </c>
      <c r="W915">
        <v>0</v>
      </c>
      <c r="X915">
        <v>1</v>
      </c>
      <c r="Y915">
        <v>0</v>
      </c>
      <c r="Z915">
        <v>0</v>
      </c>
      <c r="AB915">
        <v>0</v>
      </c>
      <c r="AC915">
        <v>9</v>
      </c>
      <c r="AD915">
        <v>3</v>
      </c>
      <c r="AE915">
        <v>0</v>
      </c>
      <c r="AF915">
        <v>9</v>
      </c>
      <c r="AG915" t="s">
        <v>158</v>
      </c>
      <c r="AH915">
        <v>0</v>
      </c>
      <c r="AI915">
        <v>3</v>
      </c>
      <c r="AJ915">
        <v>1</v>
      </c>
      <c r="AK915">
        <v>0</v>
      </c>
      <c r="AL915" t="s">
        <v>1900</v>
      </c>
      <c r="AM915">
        <v>46.845553000000002</v>
      </c>
      <c r="AN915" t="s">
        <v>1901</v>
      </c>
      <c r="AO915">
        <v>-122.46678799999999</v>
      </c>
      <c r="AP915">
        <v>100</v>
      </c>
      <c r="AQ915">
        <v>2100</v>
      </c>
      <c r="AR915" t="s">
        <v>118</v>
      </c>
      <c r="AS915">
        <v>-82</v>
      </c>
      <c r="AT915">
        <v>-10</v>
      </c>
      <c r="AU915">
        <v>128</v>
      </c>
      <c r="BC915">
        <v>1200</v>
      </c>
      <c r="BD915">
        <v>1</v>
      </c>
      <c r="BE915" t="str">
        <f t="shared" si="44"/>
        <v xml:space="preserve">N215T   </v>
      </c>
      <c r="BF915">
        <v>1</v>
      </c>
      <c r="BH915">
        <v>0</v>
      </c>
      <c r="BI915">
        <v>0</v>
      </c>
      <c r="BJ915">
        <v>0</v>
      </c>
      <c r="BK915">
        <v>2475</v>
      </c>
      <c r="BL915">
        <v>375</v>
      </c>
      <c r="BM915" t="s">
        <v>119</v>
      </c>
      <c r="BN915">
        <v>1</v>
      </c>
      <c r="BO915">
        <v>1</v>
      </c>
      <c r="BP915">
        <v>1</v>
      </c>
      <c r="BQ915">
        <v>0</v>
      </c>
      <c r="BT915">
        <v>0</v>
      </c>
      <c r="BU915">
        <v>0</v>
      </c>
      <c r="BV915">
        <v>0</v>
      </c>
      <c r="CC915" t="str">
        <f>"18:49:54.672"</f>
        <v>18:49:54.672</v>
      </c>
      <c r="CD915" t="str">
        <f>"673887649"</f>
        <v>673887649</v>
      </c>
      <c r="CQ915">
        <v>0</v>
      </c>
      <c r="CR915">
        <v>2</v>
      </c>
      <c r="CS915">
        <v>0</v>
      </c>
      <c r="CT915">
        <v>2</v>
      </c>
      <c r="CU915">
        <v>0</v>
      </c>
      <c r="CV915">
        <v>6</v>
      </c>
      <c r="CW915" t="s">
        <v>120</v>
      </c>
      <c r="CX915">
        <v>257</v>
      </c>
      <c r="CY915">
        <v>1</v>
      </c>
      <c r="CZ915" t="s">
        <v>615</v>
      </c>
      <c r="DA915" t="s">
        <v>616</v>
      </c>
      <c r="DD915">
        <v>11061193</v>
      </c>
      <c r="DE915" t="s">
        <v>123</v>
      </c>
    </row>
    <row r="916" spans="1:109" x14ac:dyDescent="0.3">
      <c r="A916" t="str">
        <f>"18:49:55.883"</f>
        <v>18:49:55.883</v>
      </c>
      <c r="B916" t="s">
        <v>110</v>
      </c>
      <c r="C916" t="str">
        <f t="shared" si="42"/>
        <v>ffdfd3c0</v>
      </c>
      <c r="D916" t="s">
        <v>111</v>
      </c>
      <c r="E916">
        <v>18</v>
      </c>
      <c r="F916">
        <v>1018</v>
      </c>
      <c r="G916" t="s">
        <v>112</v>
      </c>
      <c r="J916" t="s">
        <v>113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R916" t="s">
        <v>114</v>
      </c>
      <c r="S916" t="str">
        <f>"18:49:55.648"</f>
        <v>18:49:55.648</v>
      </c>
      <c r="T916" t="str">
        <f>"18:49:55.250"</f>
        <v>18:49:55.250</v>
      </c>
      <c r="U916" t="str">
        <f t="shared" si="43"/>
        <v>a1cdbe</v>
      </c>
      <c r="V916">
        <v>0</v>
      </c>
      <c r="W916">
        <v>0</v>
      </c>
      <c r="X916">
        <v>1</v>
      </c>
      <c r="Y916">
        <v>0</v>
      </c>
      <c r="Z916">
        <v>0</v>
      </c>
      <c r="AB916">
        <v>0</v>
      </c>
      <c r="AC916">
        <v>9</v>
      </c>
      <c r="AD916">
        <v>3</v>
      </c>
      <c r="AE916">
        <v>0</v>
      </c>
      <c r="AF916">
        <v>9</v>
      </c>
      <c r="AG916" t="s">
        <v>158</v>
      </c>
      <c r="AH916">
        <v>0</v>
      </c>
      <c r="AI916">
        <v>3</v>
      </c>
      <c r="AJ916">
        <v>1</v>
      </c>
      <c r="AK916">
        <v>0</v>
      </c>
      <c r="AL916" t="s">
        <v>1902</v>
      </c>
      <c r="AM916">
        <v>46.845509999999997</v>
      </c>
      <c r="AN916" t="s">
        <v>1903</v>
      </c>
      <c r="AO916">
        <v>-122.46734600000001</v>
      </c>
      <c r="AP916">
        <v>100</v>
      </c>
      <c r="AQ916">
        <v>2100</v>
      </c>
      <c r="AR916" t="s">
        <v>118</v>
      </c>
      <c r="AS916">
        <v>-82</v>
      </c>
      <c r="AT916">
        <v>-10</v>
      </c>
      <c r="AU916">
        <v>128</v>
      </c>
      <c r="BC916">
        <v>1200</v>
      </c>
      <c r="BD916">
        <v>1</v>
      </c>
      <c r="BE916" t="str">
        <f t="shared" si="44"/>
        <v xml:space="preserve">N215T   </v>
      </c>
      <c r="BF916">
        <v>1</v>
      </c>
      <c r="BH916">
        <v>0</v>
      </c>
      <c r="BI916">
        <v>0</v>
      </c>
      <c r="BJ916">
        <v>0</v>
      </c>
      <c r="BK916">
        <v>2475</v>
      </c>
      <c r="BL916">
        <v>375</v>
      </c>
      <c r="BM916" t="s">
        <v>119</v>
      </c>
      <c r="BN916">
        <v>1</v>
      </c>
      <c r="BO916">
        <v>1</v>
      </c>
      <c r="BP916">
        <v>1</v>
      </c>
      <c r="BQ916">
        <v>0</v>
      </c>
      <c r="BT916">
        <v>0</v>
      </c>
      <c r="BU916">
        <v>0</v>
      </c>
      <c r="BV916">
        <v>0</v>
      </c>
      <c r="CC916" t="str">
        <f>"18:49:55.648"</f>
        <v>18:49:55.648</v>
      </c>
      <c r="CD916" t="str">
        <f>"648791536"</f>
        <v>648791536</v>
      </c>
      <c r="CQ916">
        <v>0</v>
      </c>
      <c r="CR916">
        <v>2</v>
      </c>
      <c r="CS916">
        <v>0</v>
      </c>
      <c r="CT916">
        <v>2</v>
      </c>
      <c r="CU916">
        <v>0</v>
      </c>
      <c r="CV916">
        <v>6</v>
      </c>
      <c r="CW916" t="s">
        <v>120</v>
      </c>
      <c r="CX916">
        <v>257</v>
      </c>
      <c r="CY916">
        <v>1</v>
      </c>
      <c r="CZ916" t="s">
        <v>615</v>
      </c>
      <c r="DA916" t="s">
        <v>616</v>
      </c>
      <c r="DD916">
        <v>11061841</v>
      </c>
      <c r="DE916" t="s">
        <v>123</v>
      </c>
    </row>
    <row r="917" spans="1:109" x14ac:dyDescent="0.3">
      <c r="A917" t="str">
        <f>"18:49:56.992"</f>
        <v>18:49:56.992</v>
      </c>
      <c r="B917" t="s">
        <v>110</v>
      </c>
      <c r="C917" t="str">
        <f t="shared" si="42"/>
        <v>ffdfd3c0</v>
      </c>
      <c r="D917" t="s">
        <v>111</v>
      </c>
      <c r="E917">
        <v>18</v>
      </c>
      <c r="F917">
        <v>1018</v>
      </c>
      <c r="G917" t="s">
        <v>112</v>
      </c>
      <c r="J917" t="s">
        <v>113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R917" t="s">
        <v>114</v>
      </c>
      <c r="S917" t="str">
        <f>"18:49:56.727"</f>
        <v>18:49:56.727</v>
      </c>
      <c r="T917" t="str">
        <f>"18:49:56.727"</f>
        <v>18:49:56.727</v>
      </c>
      <c r="U917" t="str">
        <f t="shared" si="43"/>
        <v>a1cdbe</v>
      </c>
      <c r="V917">
        <v>0</v>
      </c>
      <c r="W917">
        <v>0</v>
      </c>
      <c r="X917">
        <v>1</v>
      </c>
      <c r="Y917">
        <v>0</v>
      </c>
      <c r="Z917">
        <v>0</v>
      </c>
      <c r="AB917">
        <v>0</v>
      </c>
      <c r="AC917">
        <v>9</v>
      </c>
      <c r="AD917">
        <v>3</v>
      </c>
      <c r="AE917">
        <v>0</v>
      </c>
      <c r="AF917">
        <v>9</v>
      </c>
      <c r="AG917" t="s">
        <v>158</v>
      </c>
      <c r="AH917">
        <v>0</v>
      </c>
      <c r="AI917">
        <v>3</v>
      </c>
      <c r="AJ917">
        <v>1</v>
      </c>
      <c r="AK917">
        <v>0</v>
      </c>
      <c r="AL917" t="s">
        <v>1904</v>
      </c>
      <c r="AM917">
        <v>46.845466999999999</v>
      </c>
      <c r="AN917" t="s">
        <v>1905</v>
      </c>
      <c r="AO917">
        <v>-122.467968</v>
      </c>
      <c r="AP917">
        <v>100</v>
      </c>
      <c r="AQ917">
        <v>2100</v>
      </c>
      <c r="AR917" t="s">
        <v>118</v>
      </c>
      <c r="AS917">
        <v>-82</v>
      </c>
      <c r="AT917">
        <v>-10</v>
      </c>
      <c r="AU917">
        <v>128</v>
      </c>
      <c r="BC917">
        <v>1200</v>
      </c>
      <c r="BD917">
        <v>1</v>
      </c>
      <c r="BE917" t="str">
        <f t="shared" si="44"/>
        <v xml:space="preserve">N215T   </v>
      </c>
      <c r="BF917">
        <v>1</v>
      </c>
      <c r="BH917">
        <v>0</v>
      </c>
      <c r="BI917">
        <v>0</v>
      </c>
      <c r="BJ917">
        <v>0</v>
      </c>
      <c r="BK917">
        <v>2475</v>
      </c>
      <c r="BL917">
        <v>375</v>
      </c>
      <c r="BM917" t="s">
        <v>119</v>
      </c>
      <c r="BN917">
        <v>1</v>
      </c>
      <c r="BO917">
        <v>1</v>
      </c>
      <c r="BP917">
        <v>1</v>
      </c>
      <c r="BQ917">
        <v>0</v>
      </c>
      <c r="BT917">
        <v>0</v>
      </c>
      <c r="BU917">
        <v>0</v>
      </c>
      <c r="BV917">
        <v>0</v>
      </c>
      <c r="CC917" t="str">
        <f>"18:49:56.727"</f>
        <v>18:49:56.727</v>
      </c>
      <c r="CD917" t="str">
        <f>"728685050"</f>
        <v>728685050</v>
      </c>
      <c r="CQ917">
        <v>0</v>
      </c>
      <c r="CR917">
        <v>2</v>
      </c>
      <c r="CS917">
        <v>0</v>
      </c>
      <c r="CT917">
        <v>2</v>
      </c>
      <c r="CU917">
        <v>0</v>
      </c>
      <c r="CV917">
        <v>6</v>
      </c>
      <c r="CW917" t="s">
        <v>120</v>
      </c>
      <c r="CX917">
        <v>257</v>
      </c>
      <c r="CY917">
        <v>1</v>
      </c>
      <c r="CZ917" t="s">
        <v>615</v>
      </c>
      <c r="DA917" t="s">
        <v>616</v>
      </c>
      <c r="DD917">
        <v>11062522</v>
      </c>
      <c r="DE917" t="s">
        <v>123</v>
      </c>
    </row>
    <row r="918" spans="1:109" x14ac:dyDescent="0.3">
      <c r="A918" t="str">
        <f>"18:49:58.000"</f>
        <v>18:49:58.000</v>
      </c>
      <c r="B918" t="s">
        <v>110</v>
      </c>
      <c r="C918" t="str">
        <f t="shared" si="42"/>
        <v>ffdfd3c0</v>
      </c>
      <c r="D918" t="s">
        <v>111</v>
      </c>
      <c r="E918">
        <v>18</v>
      </c>
      <c r="F918">
        <v>1018</v>
      </c>
      <c r="G918" t="s">
        <v>112</v>
      </c>
      <c r="J918" t="s">
        <v>113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R918" t="s">
        <v>114</v>
      </c>
      <c r="S918" t="str">
        <f>"18:49:57.773"</f>
        <v>18:49:57.773</v>
      </c>
      <c r="T918" t="str">
        <f>"18:49:57.672"</f>
        <v>18:49:57.672</v>
      </c>
      <c r="U918" t="str">
        <f t="shared" si="43"/>
        <v>a1cdbe</v>
      </c>
      <c r="V918">
        <v>0</v>
      </c>
      <c r="W918">
        <v>0</v>
      </c>
      <c r="X918">
        <v>1</v>
      </c>
      <c r="Y918">
        <v>0</v>
      </c>
      <c r="Z918">
        <v>0</v>
      </c>
      <c r="AB918">
        <v>0</v>
      </c>
      <c r="AC918">
        <v>9</v>
      </c>
      <c r="AD918">
        <v>3</v>
      </c>
      <c r="AE918">
        <v>0</v>
      </c>
      <c r="AF918">
        <v>9</v>
      </c>
      <c r="AG918" t="s">
        <v>158</v>
      </c>
      <c r="AH918">
        <v>0</v>
      </c>
      <c r="AI918">
        <v>3</v>
      </c>
      <c r="AJ918">
        <v>1</v>
      </c>
      <c r="AK918">
        <v>0</v>
      </c>
      <c r="AL918" t="s">
        <v>1906</v>
      </c>
      <c r="AM918">
        <v>46.845424000000001</v>
      </c>
      <c r="AN918" t="s">
        <v>1907</v>
      </c>
      <c r="AO918">
        <v>-122.46850499999999</v>
      </c>
      <c r="AP918">
        <v>100</v>
      </c>
      <c r="AQ918">
        <v>2100</v>
      </c>
      <c r="AR918" t="s">
        <v>118</v>
      </c>
      <c r="AS918">
        <v>-81</v>
      </c>
      <c r="AT918">
        <v>-10</v>
      </c>
      <c r="AU918">
        <v>192</v>
      </c>
      <c r="BC918">
        <v>1200</v>
      </c>
      <c r="BD918">
        <v>1</v>
      </c>
      <c r="BE918" t="str">
        <f t="shared" si="44"/>
        <v xml:space="preserve">N215T   </v>
      </c>
      <c r="BF918">
        <v>1</v>
      </c>
      <c r="BH918">
        <v>0</v>
      </c>
      <c r="BI918">
        <v>0</v>
      </c>
      <c r="BJ918">
        <v>0</v>
      </c>
      <c r="BK918">
        <v>2475</v>
      </c>
      <c r="BL918">
        <v>375</v>
      </c>
      <c r="BM918" t="s">
        <v>119</v>
      </c>
      <c r="BN918">
        <v>1</v>
      </c>
      <c r="BO918">
        <v>1</v>
      </c>
      <c r="BP918">
        <v>1</v>
      </c>
      <c r="BQ918">
        <v>0</v>
      </c>
      <c r="BT918">
        <v>0</v>
      </c>
      <c r="BU918">
        <v>0</v>
      </c>
      <c r="BV918">
        <v>0</v>
      </c>
      <c r="CC918" t="str">
        <f>"18:49:57.781"</f>
        <v>18:49:57.781</v>
      </c>
      <c r="CD918" t="str">
        <f>"778581530"</f>
        <v>778581530</v>
      </c>
      <c r="CQ918">
        <v>0</v>
      </c>
      <c r="CR918">
        <v>2</v>
      </c>
      <c r="CS918">
        <v>0</v>
      </c>
      <c r="CT918">
        <v>2</v>
      </c>
      <c r="CU918">
        <v>0</v>
      </c>
      <c r="CV918">
        <v>6</v>
      </c>
      <c r="CW918" t="s">
        <v>120</v>
      </c>
      <c r="CX918">
        <v>257</v>
      </c>
      <c r="CY918">
        <v>1</v>
      </c>
      <c r="CZ918" t="s">
        <v>615</v>
      </c>
      <c r="DA918" t="s">
        <v>616</v>
      </c>
      <c r="DD918">
        <v>11063180</v>
      </c>
      <c r="DE918" t="s">
        <v>123</v>
      </c>
    </row>
    <row r="919" spans="1:109" x14ac:dyDescent="0.3">
      <c r="A919" t="str">
        <f>"18:49:59.055"</f>
        <v>18:49:59.055</v>
      </c>
      <c r="B919" t="s">
        <v>110</v>
      </c>
      <c r="C919" t="str">
        <f t="shared" si="42"/>
        <v>ffdfd3c0</v>
      </c>
      <c r="D919" t="s">
        <v>111</v>
      </c>
      <c r="E919">
        <v>18</v>
      </c>
      <c r="F919">
        <v>1018</v>
      </c>
      <c r="G919" t="s">
        <v>112</v>
      </c>
      <c r="J919" t="s">
        <v>113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R919" t="s">
        <v>114</v>
      </c>
      <c r="S919" t="str">
        <f>"18:49:58.813"</f>
        <v>18:49:58.813</v>
      </c>
      <c r="T919" t="str">
        <f>"18:49:58.313"</f>
        <v>18:49:58.313</v>
      </c>
      <c r="U919" t="str">
        <f t="shared" si="43"/>
        <v>a1cdbe</v>
      </c>
      <c r="V919">
        <v>0</v>
      </c>
      <c r="W919">
        <v>0</v>
      </c>
      <c r="X919">
        <v>1</v>
      </c>
      <c r="Y919">
        <v>0</v>
      </c>
      <c r="Z919">
        <v>0</v>
      </c>
      <c r="AB919">
        <v>0</v>
      </c>
      <c r="AC919">
        <v>9</v>
      </c>
      <c r="AD919">
        <v>3</v>
      </c>
      <c r="AE919">
        <v>0</v>
      </c>
      <c r="AF919">
        <v>9</v>
      </c>
      <c r="AG919" t="s">
        <v>158</v>
      </c>
      <c r="AH919">
        <v>0</v>
      </c>
      <c r="AI919">
        <v>3</v>
      </c>
      <c r="AJ919">
        <v>1</v>
      </c>
      <c r="AK919">
        <v>0</v>
      </c>
      <c r="AL919" t="s">
        <v>1908</v>
      </c>
      <c r="AM919">
        <v>46.845381000000003</v>
      </c>
      <c r="AN919" t="s">
        <v>1909</v>
      </c>
      <c r="AO919">
        <v>-122.469084</v>
      </c>
      <c r="AP919">
        <v>100</v>
      </c>
      <c r="AQ919">
        <v>2100</v>
      </c>
      <c r="AR919" t="s">
        <v>118</v>
      </c>
      <c r="AS919">
        <v>-81</v>
      </c>
      <c r="AT919">
        <v>-9</v>
      </c>
      <c r="AU919">
        <v>384</v>
      </c>
      <c r="BC919">
        <v>1200</v>
      </c>
      <c r="BD919">
        <v>1</v>
      </c>
      <c r="BE919" t="str">
        <f t="shared" si="44"/>
        <v xml:space="preserve">N215T   </v>
      </c>
      <c r="BF919">
        <v>1</v>
      </c>
      <c r="BH919">
        <v>0</v>
      </c>
      <c r="BI919">
        <v>0</v>
      </c>
      <c r="BJ919">
        <v>0</v>
      </c>
      <c r="BK919">
        <v>2475</v>
      </c>
      <c r="BL919">
        <v>375</v>
      </c>
      <c r="BM919" t="s">
        <v>119</v>
      </c>
      <c r="BN919">
        <v>1</v>
      </c>
      <c r="BO919">
        <v>1</v>
      </c>
      <c r="BP919">
        <v>1</v>
      </c>
      <c r="BQ919">
        <v>0</v>
      </c>
      <c r="BT919">
        <v>0</v>
      </c>
      <c r="BU919">
        <v>0</v>
      </c>
      <c r="BV919">
        <v>0</v>
      </c>
      <c r="CC919" t="str">
        <f>"18:49:58.813"</f>
        <v>18:49:58.813</v>
      </c>
      <c r="CD919" t="str">
        <f>"813479503"</f>
        <v>813479503</v>
      </c>
      <c r="CQ919">
        <v>0</v>
      </c>
      <c r="CR919">
        <v>2</v>
      </c>
      <c r="CS919">
        <v>0</v>
      </c>
      <c r="CT919">
        <v>2</v>
      </c>
      <c r="CU919">
        <v>0</v>
      </c>
      <c r="CV919">
        <v>6</v>
      </c>
      <c r="CW919" t="s">
        <v>120</v>
      </c>
      <c r="CX919">
        <v>257</v>
      </c>
      <c r="CY919">
        <v>1</v>
      </c>
      <c r="CZ919" t="s">
        <v>615</v>
      </c>
      <c r="DA919" t="s">
        <v>616</v>
      </c>
      <c r="DD919">
        <v>11063856</v>
      </c>
      <c r="DE919" t="s">
        <v>123</v>
      </c>
    </row>
    <row r="920" spans="1:109" x14ac:dyDescent="0.3">
      <c r="A920" t="str">
        <f>"18:50:00.055"</f>
        <v>18:50:00.055</v>
      </c>
      <c r="B920" t="s">
        <v>110</v>
      </c>
      <c r="C920" t="str">
        <f t="shared" si="42"/>
        <v>ffdfd3c0</v>
      </c>
      <c r="D920" t="s">
        <v>111</v>
      </c>
      <c r="E920">
        <v>18</v>
      </c>
      <c r="F920">
        <v>1018</v>
      </c>
      <c r="G920" t="s">
        <v>112</v>
      </c>
      <c r="J920" t="s">
        <v>113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R920" t="s">
        <v>114</v>
      </c>
      <c r="S920" t="str">
        <f>"18:49:59.797"</f>
        <v>18:49:59.797</v>
      </c>
      <c r="T920" t="str">
        <f>"18:49:59.695"</f>
        <v>18:49:59.695</v>
      </c>
      <c r="U920" t="str">
        <f t="shared" si="43"/>
        <v>a1cdbe</v>
      </c>
      <c r="V920">
        <v>0</v>
      </c>
      <c r="W920">
        <v>0</v>
      </c>
      <c r="X920">
        <v>1</v>
      </c>
      <c r="Y920">
        <v>0</v>
      </c>
      <c r="Z920">
        <v>0</v>
      </c>
      <c r="AB920">
        <v>0</v>
      </c>
      <c r="AC920">
        <v>9</v>
      </c>
      <c r="AD920">
        <v>3</v>
      </c>
      <c r="AE920">
        <v>0</v>
      </c>
      <c r="AF920">
        <v>9</v>
      </c>
      <c r="AG920" t="s">
        <v>158</v>
      </c>
      <c r="AH920">
        <v>0</v>
      </c>
      <c r="AI920">
        <v>3</v>
      </c>
      <c r="AJ920">
        <v>1</v>
      </c>
      <c r="AK920">
        <v>0</v>
      </c>
      <c r="AL920" t="s">
        <v>1910</v>
      </c>
      <c r="AM920">
        <v>46.845337999999998</v>
      </c>
      <c r="AN920" t="s">
        <v>1911</v>
      </c>
      <c r="AO920">
        <v>-122.469621</v>
      </c>
      <c r="AP920">
        <v>100</v>
      </c>
      <c r="AQ920">
        <v>2100</v>
      </c>
      <c r="AR920" t="s">
        <v>118</v>
      </c>
      <c r="AS920">
        <v>-80</v>
      </c>
      <c r="AT920">
        <v>-9</v>
      </c>
      <c r="AU920">
        <v>448</v>
      </c>
      <c r="BC920">
        <v>1200</v>
      </c>
      <c r="BD920">
        <v>1</v>
      </c>
      <c r="BE920" t="str">
        <f t="shared" si="44"/>
        <v xml:space="preserve">N215T   </v>
      </c>
      <c r="BF920">
        <v>1</v>
      </c>
      <c r="BH920">
        <v>0</v>
      </c>
      <c r="BI920">
        <v>0</v>
      </c>
      <c r="BJ920">
        <v>0</v>
      </c>
      <c r="BK920">
        <v>2500</v>
      </c>
      <c r="BL920">
        <v>400</v>
      </c>
      <c r="BM920" t="s">
        <v>119</v>
      </c>
      <c r="BN920">
        <v>1</v>
      </c>
      <c r="BO920">
        <v>1</v>
      </c>
      <c r="BP920">
        <v>1</v>
      </c>
      <c r="BQ920">
        <v>0</v>
      </c>
      <c r="BT920">
        <v>0</v>
      </c>
      <c r="BU920">
        <v>0</v>
      </c>
      <c r="BV920">
        <v>0</v>
      </c>
      <c r="CC920" t="str">
        <f>"18:49:59.805"</f>
        <v>18:49:59.805</v>
      </c>
      <c r="CD920" t="str">
        <f>"803381863"</f>
        <v>803381863</v>
      </c>
      <c r="CQ920">
        <v>0</v>
      </c>
      <c r="CR920">
        <v>2</v>
      </c>
      <c r="CS920">
        <v>0</v>
      </c>
      <c r="CT920">
        <v>2</v>
      </c>
      <c r="CU920">
        <v>0</v>
      </c>
      <c r="CV920">
        <v>5</v>
      </c>
      <c r="CW920" t="s">
        <v>120</v>
      </c>
      <c r="CX920">
        <v>257</v>
      </c>
      <c r="CY920">
        <v>0</v>
      </c>
      <c r="CZ920" t="s">
        <v>615</v>
      </c>
      <c r="DA920" t="s">
        <v>616</v>
      </c>
      <c r="DD920">
        <v>15002204</v>
      </c>
      <c r="DE920" t="s">
        <v>123</v>
      </c>
    </row>
    <row r="921" spans="1:109" x14ac:dyDescent="0.3">
      <c r="A921" t="str">
        <f>"18:50:00.914"</f>
        <v>18:50:00.914</v>
      </c>
      <c r="B921" t="s">
        <v>110</v>
      </c>
      <c r="C921" t="str">
        <f t="shared" si="42"/>
        <v>ffdfd3c0</v>
      </c>
      <c r="D921" t="s">
        <v>111</v>
      </c>
      <c r="E921">
        <v>18</v>
      </c>
      <c r="F921">
        <v>1018</v>
      </c>
      <c r="G921" t="s">
        <v>112</v>
      </c>
      <c r="J921" t="s">
        <v>113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R921" t="s">
        <v>114</v>
      </c>
      <c r="S921" t="str">
        <f>"18:50:00.688"</f>
        <v>18:50:00.688</v>
      </c>
      <c r="T921" t="str">
        <f>"18:50:00.586"</f>
        <v>18:50:00.586</v>
      </c>
      <c r="U921" t="str">
        <f t="shared" si="43"/>
        <v>a1cdbe</v>
      </c>
      <c r="V921">
        <v>0</v>
      </c>
      <c r="W921">
        <v>0</v>
      </c>
      <c r="X921">
        <v>1</v>
      </c>
      <c r="Y921">
        <v>0</v>
      </c>
      <c r="Z921">
        <v>0</v>
      </c>
      <c r="AB921">
        <v>0</v>
      </c>
      <c r="AC921">
        <v>9</v>
      </c>
      <c r="AD921">
        <v>3</v>
      </c>
      <c r="AE921">
        <v>0</v>
      </c>
      <c r="AF921">
        <v>9</v>
      </c>
      <c r="AG921" t="s">
        <v>158</v>
      </c>
      <c r="AH921">
        <v>0</v>
      </c>
      <c r="AI921">
        <v>3</v>
      </c>
      <c r="AJ921">
        <v>1</v>
      </c>
      <c r="AK921">
        <v>0</v>
      </c>
      <c r="AL921" t="s">
        <v>1912</v>
      </c>
      <c r="AM921">
        <v>46.845274000000003</v>
      </c>
      <c r="AN921" t="s">
        <v>1913</v>
      </c>
      <c r="AO921">
        <v>-122.47009300000001</v>
      </c>
      <c r="AP921">
        <v>100</v>
      </c>
      <c r="AQ921">
        <v>2100</v>
      </c>
      <c r="AR921" t="s">
        <v>118</v>
      </c>
      <c r="AS921">
        <v>-79</v>
      </c>
      <c r="AT921">
        <v>-8</v>
      </c>
      <c r="AU921">
        <v>384</v>
      </c>
      <c r="BC921">
        <v>1200</v>
      </c>
      <c r="BD921">
        <v>1</v>
      </c>
      <c r="BE921" t="str">
        <f t="shared" si="44"/>
        <v xml:space="preserve">N215T   </v>
      </c>
      <c r="BF921">
        <v>1</v>
      </c>
      <c r="BH921">
        <v>0</v>
      </c>
      <c r="BI921">
        <v>0</v>
      </c>
      <c r="BJ921">
        <v>0</v>
      </c>
      <c r="BK921">
        <v>2500</v>
      </c>
      <c r="BL921">
        <v>400</v>
      </c>
      <c r="BM921" t="s">
        <v>119</v>
      </c>
      <c r="BN921">
        <v>1</v>
      </c>
      <c r="BO921">
        <v>1</v>
      </c>
      <c r="BP921">
        <v>1</v>
      </c>
      <c r="BQ921">
        <v>0</v>
      </c>
      <c r="BT921">
        <v>0</v>
      </c>
      <c r="BU921">
        <v>0</v>
      </c>
      <c r="BV921">
        <v>0</v>
      </c>
      <c r="CC921" t="str">
        <f>"18:50:00.688"</f>
        <v>18:50:00.688</v>
      </c>
      <c r="CD921" t="str">
        <f>"688171677"</f>
        <v>688171677</v>
      </c>
      <c r="CQ921">
        <v>0</v>
      </c>
      <c r="CR921">
        <v>2</v>
      </c>
      <c r="CS921">
        <v>0</v>
      </c>
      <c r="CT921">
        <v>2</v>
      </c>
      <c r="CU921">
        <v>0</v>
      </c>
      <c r="CV921">
        <v>6</v>
      </c>
      <c r="CW921" t="s">
        <v>120</v>
      </c>
      <c r="CX921">
        <v>261</v>
      </c>
      <c r="CY921">
        <v>2</v>
      </c>
      <c r="CZ921" t="s">
        <v>121</v>
      </c>
      <c r="DA921" t="s">
        <v>122</v>
      </c>
      <c r="DD921">
        <v>14741831</v>
      </c>
      <c r="DE921" t="s">
        <v>123</v>
      </c>
    </row>
    <row r="922" spans="1:109" x14ac:dyDescent="0.3">
      <c r="A922" t="str">
        <f>"18:50:01.922"</f>
        <v>18:50:01.922</v>
      </c>
      <c r="B922" t="s">
        <v>110</v>
      </c>
      <c r="C922" t="str">
        <f t="shared" si="42"/>
        <v>ffdfd3c0</v>
      </c>
      <c r="D922" t="s">
        <v>111</v>
      </c>
      <c r="E922">
        <v>18</v>
      </c>
      <c r="F922">
        <v>1018</v>
      </c>
      <c r="G922" t="s">
        <v>112</v>
      </c>
      <c r="J922" t="s">
        <v>113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R922" t="s">
        <v>114</v>
      </c>
      <c r="S922" t="str">
        <f>"18:50:01.641"</f>
        <v>18:50:01.641</v>
      </c>
      <c r="T922" t="str">
        <f>"18:50:01.141"</f>
        <v>18:50:01.141</v>
      </c>
      <c r="U922" t="str">
        <f t="shared" si="43"/>
        <v>a1cdbe</v>
      </c>
      <c r="V922">
        <v>0</v>
      </c>
      <c r="W922">
        <v>0</v>
      </c>
      <c r="X922">
        <v>1</v>
      </c>
      <c r="Y922">
        <v>0</v>
      </c>
      <c r="Z922">
        <v>0</v>
      </c>
      <c r="AB922">
        <v>0</v>
      </c>
      <c r="AC922">
        <v>9</v>
      </c>
      <c r="AD922">
        <v>3</v>
      </c>
      <c r="AE922">
        <v>0</v>
      </c>
      <c r="AF922">
        <v>9</v>
      </c>
      <c r="AG922" t="s">
        <v>158</v>
      </c>
      <c r="AH922">
        <v>0</v>
      </c>
      <c r="AI922">
        <v>3</v>
      </c>
      <c r="AJ922">
        <v>1</v>
      </c>
      <c r="AK922">
        <v>0</v>
      </c>
      <c r="AL922" t="s">
        <v>1914</v>
      </c>
      <c r="AM922">
        <v>46.845295</v>
      </c>
      <c r="AN922" t="s">
        <v>1915</v>
      </c>
      <c r="AO922">
        <v>-122.470629</v>
      </c>
      <c r="AP922">
        <v>100</v>
      </c>
      <c r="AQ922">
        <v>2100</v>
      </c>
      <c r="AR922" t="s">
        <v>118</v>
      </c>
      <c r="AS922">
        <v>-79</v>
      </c>
      <c r="AT922">
        <v>-8</v>
      </c>
      <c r="AU922">
        <v>384</v>
      </c>
      <c r="BC922">
        <v>1200</v>
      </c>
      <c r="BD922">
        <v>1</v>
      </c>
      <c r="BE922" t="str">
        <f t="shared" si="44"/>
        <v xml:space="preserve">N215T   </v>
      </c>
      <c r="BF922">
        <v>1</v>
      </c>
      <c r="BH922">
        <v>0</v>
      </c>
      <c r="BI922">
        <v>0</v>
      </c>
      <c r="BJ922">
        <v>0</v>
      </c>
      <c r="BK922">
        <v>2500</v>
      </c>
      <c r="BL922">
        <v>400</v>
      </c>
      <c r="BM922" t="s">
        <v>119</v>
      </c>
      <c r="BN922">
        <v>1</v>
      </c>
      <c r="BO922">
        <v>1</v>
      </c>
      <c r="BP922">
        <v>1</v>
      </c>
      <c r="BQ922">
        <v>0</v>
      </c>
      <c r="BT922">
        <v>0</v>
      </c>
      <c r="BU922">
        <v>0</v>
      </c>
      <c r="BV922">
        <v>0</v>
      </c>
      <c r="CC922" t="str">
        <f>"18:50:01.648"</f>
        <v>18:50:01.648</v>
      </c>
      <c r="CD922" t="str">
        <f>"648077134"</f>
        <v>648077134</v>
      </c>
      <c r="CQ922">
        <v>0</v>
      </c>
      <c r="CR922">
        <v>2</v>
      </c>
      <c r="CS922">
        <v>0</v>
      </c>
      <c r="CT922">
        <v>2</v>
      </c>
      <c r="CU922">
        <v>0</v>
      </c>
      <c r="CV922">
        <v>6</v>
      </c>
      <c r="CW922" t="s">
        <v>120</v>
      </c>
      <c r="CX922">
        <v>261</v>
      </c>
      <c r="CY922">
        <v>2</v>
      </c>
      <c r="CZ922" t="s">
        <v>121</v>
      </c>
      <c r="DA922" t="s">
        <v>122</v>
      </c>
      <c r="DD922">
        <v>14742353</v>
      </c>
      <c r="DE922" t="s">
        <v>123</v>
      </c>
    </row>
    <row r="923" spans="1:109" x14ac:dyDescent="0.3">
      <c r="A923" t="str">
        <f>"18:50:02.977"</f>
        <v>18:50:02.977</v>
      </c>
      <c r="B923" t="s">
        <v>110</v>
      </c>
      <c r="C923" t="str">
        <f t="shared" si="42"/>
        <v>ffdfd3c0</v>
      </c>
      <c r="D923" t="s">
        <v>111</v>
      </c>
      <c r="E923">
        <v>18</v>
      </c>
      <c r="F923">
        <v>1018</v>
      </c>
      <c r="G923" t="s">
        <v>112</v>
      </c>
      <c r="J923" t="s">
        <v>113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R923" t="s">
        <v>114</v>
      </c>
      <c r="S923" t="str">
        <f>"18:50:02.766"</f>
        <v>18:50:02.766</v>
      </c>
      <c r="T923" t="str">
        <f>"18:50:02.766"</f>
        <v>18:50:02.766</v>
      </c>
      <c r="U923" t="str">
        <f t="shared" si="43"/>
        <v>a1cdbe</v>
      </c>
      <c r="V923">
        <v>0</v>
      </c>
      <c r="W923">
        <v>0</v>
      </c>
      <c r="X923">
        <v>1</v>
      </c>
      <c r="Y923">
        <v>0</v>
      </c>
      <c r="Z923">
        <v>0</v>
      </c>
      <c r="AB923">
        <v>0</v>
      </c>
      <c r="AC923">
        <v>9</v>
      </c>
      <c r="AD923">
        <v>3</v>
      </c>
      <c r="AE923">
        <v>0</v>
      </c>
      <c r="AF923">
        <v>9</v>
      </c>
      <c r="AG923" t="s">
        <v>158</v>
      </c>
      <c r="AH923">
        <v>0</v>
      </c>
      <c r="AI923">
        <v>3</v>
      </c>
      <c r="AJ923">
        <v>1</v>
      </c>
      <c r="AK923">
        <v>0</v>
      </c>
      <c r="AL923" t="s">
        <v>1916</v>
      </c>
      <c r="AM923">
        <v>46.845253</v>
      </c>
      <c r="AN923" t="s">
        <v>1917</v>
      </c>
      <c r="AO923">
        <v>-122.47123000000001</v>
      </c>
      <c r="AP923">
        <v>100</v>
      </c>
      <c r="AQ923">
        <v>2100</v>
      </c>
      <c r="AR923" t="s">
        <v>118</v>
      </c>
      <c r="AS923">
        <v>-78</v>
      </c>
      <c r="AT923">
        <v>-8</v>
      </c>
      <c r="AU923">
        <v>384</v>
      </c>
      <c r="BC923">
        <v>1200</v>
      </c>
      <c r="BD923">
        <v>1</v>
      </c>
      <c r="BE923" t="str">
        <f t="shared" si="44"/>
        <v xml:space="preserve">N215T   </v>
      </c>
      <c r="BF923">
        <v>1</v>
      </c>
      <c r="BH923">
        <v>0</v>
      </c>
      <c r="BI923">
        <v>0</v>
      </c>
      <c r="BJ923">
        <v>0</v>
      </c>
      <c r="BK923">
        <v>2525</v>
      </c>
      <c r="BL923">
        <v>425</v>
      </c>
      <c r="BM923" t="s">
        <v>119</v>
      </c>
      <c r="BN923">
        <v>1</v>
      </c>
      <c r="BO923">
        <v>1</v>
      </c>
      <c r="BP923">
        <v>1</v>
      </c>
      <c r="BQ923">
        <v>0</v>
      </c>
      <c r="BT923">
        <v>0</v>
      </c>
      <c r="BU923">
        <v>0</v>
      </c>
      <c r="BV923">
        <v>0</v>
      </c>
      <c r="CC923" t="str">
        <f>"18:50:02.773"</f>
        <v>18:50:02.773</v>
      </c>
      <c r="CD923" t="str">
        <f>"772966347"</f>
        <v>772966347</v>
      </c>
      <c r="CQ923">
        <v>0</v>
      </c>
      <c r="CR923">
        <v>2</v>
      </c>
      <c r="CS923">
        <v>0</v>
      </c>
      <c r="CT923">
        <v>2</v>
      </c>
      <c r="CU923">
        <v>0</v>
      </c>
      <c r="CV923">
        <v>6</v>
      </c>
      <c r="CW923" t="s">
        <v>120</v>
      </c>
      <c r="CX923">
        <v>261</v>
      </c>
      <c r="CY923">
        <v>2</v>
      </c>
      <c r="CZ923" t="s">
        <v>121</v>
      </c>
      <c r="DA923" t="s">
        <v>122</v>
      </c>
      <c r="DD923">
        <v>14742979</v>
      </c>
      <c r="DE923" t="s">
        <v>123</v>
      </c>
    </row>
    <row r="924" spans="1:109" x14ac:dyDescent="0.3">
      <c r="A924" t="str">
        <f>"18:50:03.930"</f>
        <v>18:50:03.930</v>
      </c>
      <c r="B924" t="s">
        <v>110</v>
      </c>
      <c r="C924" t="str">
        <f t="shared" si="42"/>
        <v>ffdfd3c0</v>
      </c>
      <c r="D924" t="s">
        <v>111</v>
      </c>
      <c r="E924">
        <v>18</v>
      </c>
      <c r="F924">
        <v>1018</v>
      </c>
      <c r="G924" t="s">
        <v>112</v>
      </c>
      <c r="J924" t="s">
        <v>113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R924" t="s">
        <v>114</v>
      </c>
      <c r="S924" t="str">
        <f>"18:50:03.656"</f>
        <v>18:50:03.656</v>
      </c>
      <c r="T924" t="str">
        <f>"18:50:03.258"</f>
        <v>18:50:03.258</v>
      </c>
      <c r="U924" t="str">
        <f t="shared" si="43"/>
        <v>a1cdbe</v>
      </c>
      <c r="V924">
        <v>0</v>
      </c>
      <c r="W924">
        <v>0</v>
      </c>
      <c r="X924">
        <v>1</v>
      </c>
      <c r="Y924">
        <v>0</v>
      </c>
      <c r="Z924">
        <v>0</v>
      </c>
      <c r="AB924">
        <v>0</v>
      </c>
      <c r="AC924">
        <v>9</v>
      </c>
      <c r="AD924">
        <v>3</v>
      </c>
      <c r="AE924">
        <v>0</v>
      </c>
      <c r="AF924">
        <v>9</v>
      </c>
      <c r="AG924" t="s">
        <v>158</v>
      </c>
      <c r="AH924">
        <v>0</v>
      </c>
      <c r="AI924">
        <v>3</v>
      </c>
      <c r="AJ924">
        <v>1</v>
      </c>
      <c r="AK924">
        <v>0</v>
      </c>
      <c r="AL924" t="s">
        <v>1918</v>
      </c>
      <c r="AM924">
        <v>46.845210000000002</v>
      </c>
      <c r="AN924" t="s">
        <v>1919</v>
      </c>
      <c r="AO924">
        <v>-122.471638</v>
      </c>
      <c r="AP924">
        <v>100</v>
      </c>
      <c r="AQ924">
        <v>2100</v>
      </c>
      <c r="AR924" t="s">
        <v>118</v>
      </c>
      <c r="AS924">
        <v>-78</v>
      </c>
      <c r="AT924">
        <v>-8</v>
      </c>
      <c r="AU924">
        <v>448</v>
      </c>
      <c r="BC924">
        <v>1200</v>
      </c>
      <c r="BD924">
        <v>1</v>
      </c>
      <c r="BE924" t="str">
        <f t="shared" si="44"/>
        <v xml:space="preserve">N215T   </v>
      </c>
      <c r="BF924">
        <v>1</v>
      </c>
      <c r="BH924">
        <v>0</v>
      </c>
      <c r="BI924">
        <v>0</v>
      </c>
      <c r="BJ924">
        <v>0</v>
      </c>
      <c r="BK924">
        <v>2525</v>
      </c>
      <c r="BL924">
        <v>425</v>
      </c>
      <c r="BM924" t="s">
        <v>119</v>
      </c>
      <c r="BN924">
        <v>1</v>
      </c>
      <c r="BO924">
        <v>1</v>
      </c>
      <c r="BP924">
        <v>1</v>
      </c>
      <c r="BQ924">
        <v>0</v>
      </c>
      <c r="BT924">
        <v>0</v>
      </c>
      <c r="BU924">
        <v>0</v>
      </c>
      <c r="BV924">
        <v>0</v>
      </c>
      <c r="CC924" t="str">
        <f>"18:50:03.656"</f>
        <v>18:50:03.656</v>
      </c>
      <c r="CD924" t="str">
        <f>"658001860"</f>
        <v>658001860</v>
      </c>
      <c r="CQ924">
        <v>0</v>
      </c>
      <c r="CR924">
        <v>2</v>
      </c>
      <c r="CS924">
        <v>0</v>
      </c>
      <c r="CT924">
        <v>2</v>
      </c>
      <c r="CU924">
        <v>0</v>
      </c>
      <c r="CV924">
        <v>6</v>
      </c>
      <c r="CW924" t="s">
        <v>120</v>
      </c>
      <c r="CX924">
        <v>257</v>
      </c>
      <c r="CY924">
        <v>1</v>
      </c>
      <c r="CZ924" t="s">
        <v>615</v>
      </c>
      <c r="DA924" t="s">
        <v>616</v>
      </c>
      <c r="DD924">
        <v>11067102</v>
      </c>
      <c r="DE924" t="s">
        <v>123</v>
      </c>
    </row>
    <row r="925" spans="1:109" x14ac:dyDescent="0.3">
      <c r="A925" t="str">
        <f>"18:50:04.984"</f>
        <v>18:50:04.984</v>
      </c>
      <c r="B925" t="s">
        <v>110</v>
      </c>
      <c r="C925" t="str">
        <f t="shared" si="42"/>
        <v>ffdfd3c0</v>
      </c>
      <c r="D925" t="s">
        <v>111</v>
      </c>
      <c r="E925">
        <v>18</v>
      </c>
      <c r="F925">
        <v>1018</v>
      </c>
      <c r="G925" t="s">
        <v>112</v>
      </c>
      <c r="J925" t="s">
        <v>113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R925" t="s">
        <v>114</v>
      </c>
      <c r="S925" t="str">
        <f>"18:50:04.734"</f>
        <v>18:50:04.734</v>
      </c>
      <c r="T925" t="str">
        <f>"18:50:04.336"</f>
        <v>18:50:04.336</v>
      </c>
      <c r="U925" t="str">
        <f t="shared" si="43"/>
        <v>a1cdbe</v>
      </c>
      <c r="V925">
        <v>0</v>
      </c>
      <c r="W925">
        <v>0</v>
      </c>
      <c r="X925">
        <v>1</v>
      </c>
      <c r="Y925">
        <v>0</v>
      </c>
      <c r="Z925">
        <v>0</v>
      </c>
      <c r="AB925">
        <v>0</v>
      </c>
      <c r="AC925">
        <v>9</v>
      </c>
      <c r="AD925">
        <v>3</v>
      </c>
      <c r="AE925">
        <v>0</v>
      </c>
      <c r="AF925">
        <v>9</v>
      </c>
      <c r="AG925" t="s">
        <v>158</v>
      </c>
      <c r="AH925">
        <v>0</v>
      </c>
      <c r="AI925">
        <v>3</v>
      </c>
      <c r="AJ925">
        <v>1</v>
      </c>
      <c r="AK925">
        <v>0</v>
      </c>
      <c r="AL925" t="s">
        <v>1920</v>
      </c>
      <c r="AM925">
        <v>46.845145000000002</v>
      </c>
      <c r="AN925" t="s">
        <v>1921</v>
      </c>
      <c r="AO925">
        <v>-122.472217</v>
      </c>
      <c r="AP925">
        <v>100</v>
      </c>
      <c r="AQ925">
        <v>2100</v>
      </c>
      <c r="AR925" t="s">
        <v>118</v>
      </c>
      <c r="AS925">
        <v>-78</v>
      </c>
      <c r="AT925">
        <v>-8</v>
      </c>
      <c r="AU925">
        <v>384</v>
      </c>
      <c r="BC925">
        <v>1200</v>
      </c>
      <c r="BD925">
        <v>1</v>
      </c>
      <c r="BE925" t="str">
        <f t="shared" si="44"/>
        <v xml:space="preserve">N215T   </v>
      </c>
      <c r="BF925">
        <v>1</v>
      </c>
      <c r="BH925">
        <v>0</v>
      </c>
      <c r="BI925">
        <v>0</v>
      </c>
      <c r="BJ925">
        <v>0</v>
      </c>
      <c r="BK925">
        <v>2525</v>
      </c>
      <c r="BL925">
        <v>425</v>
      </c>
      <c r="BM925" t="s">
        <v>119</v>
      </c>
      <c r="BN925">
        <v>1</v>
      </c>
      <c r="BO925">
        <v>1</v>
      </c>
      <c r="BP925">
        <v>1</v>
      </c>
      <c r="BQ925">
        <v>0</v>
      </c>
      <c r="BT925">
        <v>0</v>
      </c>
      <c r="BU925">
        <v>0</v>
      </c>
      <c r="BV925">
        <v>0</v>
      </c>
      <c r="CC925" t="str">
        <f>"18:50:04.734"</f>
        <v>18:50:04.734</v>
      </c>
      <c r="CD925" t="str">
        <f>"737895392"</f>
        <v>737895392</v>
      </c>
      <c r="CQ925">
        <v>0</v>
      </c>
      <c r="CR925">
        <v>2</v>
      </c>
      <c r="CS925">
        <v>0</v>
      </c>
      <c r="CT925">
        <v>2</v>
      </c>
      <c r="CU925">
        <v>0</v>
      </c>
      <c r="CV925">
        <v>6</v>
      </c>
      <c r="CW925" t="s">
        <v>120</v>
      </c>
      <c r="CX925">
        <v>257</v>
      </c>
      <c r="CY925">
        <v>1</v>
      </c>
      <c r="CZ925" t="s">
        <v>615</v>
      </c>
      <c r="DA925" t="s">
        <v>616</v>
      </c>
      <c r="DD925">
        <v>11067811</v>
      </c>
      <c r="DE925" t="s">
        <v>123</v>
      </c>
    </row>
    <row r="926" spans="1:109" x14ac:dyDescent="0.3">
      <c r="A926" t="str">
        <f>"18:50:06.094"</f>
        <v>18:50:06.094</v>
      </c>
      <c r="B926" t="s">
        <v>110</v>
      </c>
      <c r="C926" t="str">
        <f t="shared" si="42"/>
        <v>ffdfd3c0</v>
      </c>
      <c r="D926" t="s">
        <v>111</v>
      </c>
      <c r="E926">
        <v>18</v>
      </c>
      <c r="F926">
        <v>1018</v>
      </c>
      <c r="G926" t="s">
        <v>112</v>
      </c>
      <c r="J926" t="s">
        <v>113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R926" t="s">
        <v>114</v>
      </c>
      <c r="S926" t="str">
        <f>"18:50:05.844"</f>
        <v>18:50:05.844</v>
      </c>
      <c r="T926" t="str">
        <f>"18:50:05.344"</f>
        <v>18:50:05.344</v>
      </c>
      <c r="U926" t="str">
        <f t="shared" si="43"/>
        <v>a1cdbe</v>
      </c>
      <c r="V926">
        <v>0</v>
      </c>
      <c r="W926">
        <v>0</v>
      </c>
      <c r="X926">
        <v>1</v>
      </c>
      <c r="Y926">
        <v>0</v>
      </c>
      <c r="Z926">
        <v>0</v>
      </c>
      <c r="AB926">
        <v>0</v>
      </c>
      <c r="AC926">
        <v>9</v>
      </c>
      <c r="AD926">
        <v>3</v>
      </c>
      <c r="AE926">
        <v>0</v>
      </c>
      <c r="AF926">
        <v>9</v>
      </c>
      <c r="AG926" t="s">
        <v>158</v>
      </c>
      <c r="AH926">
        <v>0</v>
      </c>
      <c r="AI926">
        <v>3</v>
      </c>
      <c r="AJ926">
        <v>1</v>
      </c>
      <c r="AK926">
        <v>0</v>
      </c>
      <c r="AL926" t="s">
        <v>1920</v>
      </c>
      <c r="AM926">
        <v>46.845145000000002</v>
      </c>
      <c r="AN926" t="s">
        <v>1922</v>
      </c>
      <c r="AO926">
        <v>-122.472775</v>
      </c>
      <c r="AP926">
        <v>100</v>
      </c>
      <c r="AQ926">
        <v>2200</v>
      </c>
      <c r="AR926" t="s">
        <v>118</v>
      </c>
      <c r="AS926">
        <v>-78</v>
      </c>
      <c r="AT926">
        <v>-7</v>
      </c>
      <c r="AU926">
        <v>320</v>
      </c>
      <c r="BC926">
        <v>1200</v>
      </c>
      <c r="BD926">
        <v>1</v>
      </c>
      <c r="BE926" t="str">
        <f t="shared" si="44"/>
        <v xml:space="preserve">N215T   </v>
      </c>
      <c r="BF926">
        <v>1</v>
      </c>
      <c r="BH926">
        <v>0</v>
      </c>
      <c r="BI926">
        <v>0</v>
      </c>
      <c r="BJ926">
        <v>0</v>
      </c>
      <c r="BK926">
        <v>2525</v>
      </c>
      <c r="BL926">
        <v>325</v>
      </c>
      <c r="BM926" t="s">
        <v>119</v>
      </c>
      <c r="BN926">
        <v>1</v>
      </c>
      <c r="BO926">
        <v>1</v>
      </c>
      <c r="BP926">
        <v>1</v>
      </c>
      <c r="BQ926">
        <v>0</v>
      </c>
      <c r="BT926">
        <v>0</v>
      </c>
      <c r="BU926">
        <v>0</v>
      </c>
      <c r="BV926">
        <v>0</v>
      </c>
      <c r="CC926" t="str">
        <f>"18:50:05.852"</f>
        <v>18:50:05.852</v>
      </c>
      <c r="CD926" t="str">
        <f>"847785967"</f>
        <v>847785967</v>
      </c>
      <c r="CQ926">
        <v>0</v>
      </c>
      <c r="CR926">
        <v>2</v>
      </c>
      <c r="CS926">
        <v>0</v>
      </c>
      <c r="CT926">
        <v>2</v>
      </c>
      <c r="CU926">
        <v>0</v>
      </c>
      <c r="CV926">
        <v>6</v>
      </c>
      <c r="CW926" t="s">
        <v>120</v>
      </c>
      <c r="CX926">
        <v>257</v>
      </c>
      <c r="CY926">
        <v>1</v>
      </c>
      <c r="CZ926" t="s">
        <v>615</v>
      </c>
      <c r="DA926" t="s">
        <v>616</v>
      </c>
      <c r="DD926">
        <v>11068581</v>
      </c>
      <c r="DE926" t="s">
        <v>123</v>
      </c>
    </row>
    <row r="927" spans="1:109" x14ac:dyDescent="0.3">
      <c r="A927" t="str">
        <f>"18:50:07.047"</f>
        <v>18:50:07.047</v>
      </c>
      <c r="B927" t="s">
        <v>110</v>
      </c>
      <c r="C927" t="str">
        <f t="shared" si="42"/>
        <v>ffdfd3c0</v>
      </c>
      <c r="D927" t="s">
        <v>111</v>
      </c>
      <c r="E927">
        <v>18</v>
      </c>
      <c r="F927">
        <v>1018</v>
      </c>
      <c r="G927" t="s">
        <v>112</v>
      </c>
      <c r="J927" t="s">
        <v>113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R927" t="s">
        <v>114</v>
      </c>
      <c r="S927" t="str">
        <f>"18:50:06.789"</f>
        <v>18:50:06.789</v>
      </c>
      <c r="T927" t="str">
        <f>"18:50:06.789"</f>
        <v>18:50:06.789</v>
      </c>
      <c r="U927" t="str">
        <f t="shared" si="43"/>
        <v>a1cdbe</v>
      </c>
      <c r="V927">
        <v>0</v>
      </c>
      <c r="W927">
        <v>0</v>
      </c>
      <c r="X927">
        <v>1</v>
      </c>
      <c r="Y927">
        <v>0</v>
      </c>
      <c r="Z927">
        <v>0</v>
      </c>
      <c r="AB927">
        <v>0</v>
      </c>
      <c r="AC927">
        <v>9</v>
      </c>
      <c r="AD927">
        <v>3</v>
      </c>
      <c r="AE927">
        <v>0</v>
      </c>
      <c r="AF927">
        <v>9</v>
      </c>
      <c r="AG927" t="s">
        <v>158</v>
      </c>
      <c r="AH927">
        <v>0</v>
      </c>
      <c r="AI927">
        <v>3</v>
      </c>
      <c r="AJ927">
        <v>1</v>
      </c>
      <c r="AK927">
        <v>0</v>
      </c>
      <c r="AL927" t="s">
        <v>1923</v>
      </c>
      <c r="AM927">
        <v>46.845101999999997</v>
      </c>
      <c r="AN927" t="s">
        <v>1924</v>
      </c>
      <c r="AO927">
        <v>-122.473311</v>
      </c>
      <c r="AP927">
        <v>100</v>
      </c>
      <c r="AQ927">
        <v>2200</v>
      </c>
      <c r="AR927" t="s">
        <v>118</v>
      </c>
      <c r="AS927">
        <v>-78</v>
      </c>
      <c r="AT927">
        <v>-7</v>
      </c>
      <c r="AU927">
        <v>64</v>
      </c>
      <c r="BC927">
        <v>1200</v>
      </c>
      <c r="BD927">
        <v>1</v>
      </c>
      <c r="BE927" t="str">
        <f t="shared" si="44"/>
        <v xml:space="preserve">N215T   </v>
      </c>
      <c r="BF927">
        <v>1</v>
      </c>
      <c r="BH927">
        <v>0</v>
      </c>
      <c r="BI927">
        <v>0</v>
      </c>
      <c r="BJ927">
        <v>0</v>
      </c>
      <c r="BK927">
        <v>2525</v>
      </c>
      <c r="BL927">
        <v>325</v>
      </c>
      <c r="BM927" t="s">
        <v>119</v>
      </c>
      <c r="BN927">
        <v>1</v>
      </c>
      <c r="BO927">
        <v>1</v>
      </c>
      <c r="BP927">
        <v>1</v>
      </c>
      <c r="BQ927">
        <v>0</v>
      </c>
      <c r="BT927">
        <v>0</v>
      </c>
      <c r="BU927">
        <v>0</v>
      </c>
      <c r="BV927">
        <v>0</v>
      </c>
      <c r="CC927" t="str">
        <f>"18:50:06.789"</f>
        <v>18:50:06.789</v>
      </c>
      <c r="CD927" t="str">
        <f>"792570455"</f>
        <v>792570455</v>
      </c>
      <c r="CQ927">
        <v>0</v>
      </c>
      <c r="CR927">
        <v>2</v>
      </c>
      <c r="CS927">
        <v>0</v>
      </c>
      <c r="CT927">
        <v>2</v>
      </c>
      <c r="CU927">
        <v>0</v>
      </c>
      <c r="CV927">
        <v>6</v>
      </c>
      <c r="CW927" t="s">
        <v>120</v>
      </c>
      <c r="CX927">
        <v>261</v>
      </c>
      <c r="CY927">
        <v>2</v>
      </c>
      <c r="CZ927" t="s">
        <v>121</v>
      </c>
      <c r="DA927" t="s">
        <v>122</v>
      </c>
      <c r="DD927">
        <v>14745248</v>
      </c>
      <c r="DE927" t="s">
        <v>123</v>
      </c>
    </row>
    <row r="928" spans="1:109" x14ac:dyDescent="0.3">
      <c r="A928" t="str">
        <f>"18:50:07.953"</f>
        <v>18:50:07.953</v>
      </c>
      <c r="B928" t="s">
        <v>110</v>
      </c>
      <c r="C928" t="str">
        <f t="shared" si="42"/>
        <v>ffdfd3c0</v>
      </c>
      <c r="D928" t="s">
        <v>111</v>
      </c>
      <c r="E928">
        <v>18</v>
      </c>
      <c r="F928">
        <v>1018</v>
      </c>
      <c r="G928" t="s">
        <v>112</v>
      </c>
      <c r="J928" t="s">
        <v>113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R928" t="s">
        <v>114</v>
      </c>
      <c r="S928" t="str">
        <f>"18:50:07.719"</f>
        <v>18:50:07.719</v>
      </c>
      <c r="T928" t="str">
        <f>"18:50:07.219"</f>
        <v>18:50:07.219</v>
      </c>
      <c r="U928" t="str">
        <f t="shared" si="43"/>
        <v>a1cdbe</v>
      </c>
      <c r="V928">
        <v>0</v>
      </c>
      <c r="W928">
        <v>0</v>
      </c>
      <c r="X928">
        <v>1</v>
      </c>
      <c r="Y928">
        <v>0</v>
      </c>
      <c r="Z928">
        <v>0</v>
      </c>
      <c r="AB928">
        <v>0</v>
      </c>
      <c r="AC928">
        <v>9</v>
      </c>
      <c r="AD928">
        <v>3</v>
      </c>
      <c r="AE928">
        <v>0</v>
      </c>
      <c r="AF928">
        <v>9</v>
      </c>
      <c r="AG928" t="s">
        <v>158</v>
      </c>
      <c r="AH928">
        <v>0</v>
      </c>
      <c r="AI928">
        <v>3</v>
      </c>
      <c r="AJ928">
        <v>1</v>
      </c>
      <c r="AK928">
        <v>0</v>
      </c>
      <c r="AL928" t="s">
        <v>1925</v>
      </c>
      <c r="AM928">
        <v>46.845058999999999</v>
      </c>
      <c r="AN928" t="s">
        <v>1926</v>
      </c>
      <c r="AO928">
        <v>-122.473783</v>
      </c>
      <c r="AP928">
        <v>100</v>
      </c>
      <c r="AQ928">
        <v>2200</v>
      </c>
      <c r="AR928" t="s">
        <v>118</v>
      </c>
      <c r="AS928">
        <v>-78</v>
      </c>
      <c r="AT928">
        <v>-7</v>
      </c>
      <c r="AU928">
        <v>-128</v>
      </c>
      <c r="BC928">
        <v>1200</v>
      </c>
      <c r="BD928">
        <v>1</v>
      </c>
      <c r="BE928" t="str">
        <f t="shared" si="44"/>
        <v xml:space="preserve">N215T   </v>
      </c>
      <c r="BF928">
        <v>1</v>
      </c>
      <c r="BH928">
        <v>0</v>
      </c>
      <c r="BI928">
        <v>0</v>
      </c>
      <c r="BJ928">
        <v>0</v>
      </c>
      <c r="BK928">
        <v>2625</v>
      </c>
      <c r="BL928">
        <v>425</v>
      </c>
      <c r="BM928" t="s">
        <v>119</v>
      </c>
      <c r="BN928">
        <v>1</v>
      </c>
      <c r="BO928">
        <v>1</v>
      </c>
      <c r="BP928">
        <v>1</v>
      </c>
      <c r="BQ928">
        <v>0</v>
      </c>
      <c r="BT928">
        <v>0</v>
      </c>
      <c r="BU928">
        <v>0</v>
      </c>
      <c r="BV928">
        <v>0</v>
      </c>
      <c r="CC928" t="str">
        <f>"18:50:07.719"</f>
        <v>18:50:07.719</v>
      </c>
      <c r="CD928" t="str">
        <f>"722601137"</f>
        <v>722601137</v>
      </c>
      <c r="CQ928">
        <v>0</v>
      </c>
      <c r="CR928">
        <v>2</v>
      </c>
      <c r="CS928">
        <v>0</v>
      </c>
      <c r="CT928">
        <v>2</v>
      </c>
      <c r="CU928">
        <v>0</v>
      </c>
      <c r="CV928">
        <v>6</v>
      </c>
      <c r="CW928" t="s">
        <v>120</v>
      </c>
      <c r="CX928">
        <v>257</v>
      </c>
      <c r="CY928">
        <v>1</v>
      </c>
      <c r="CZ928" t="s">
        <v>615</v>
      </c>
      <c r="DA928" t="s">
        <v>616</v>
      </c>
      <c r="DD928">
        <v>11069890</v>
      </c>
      <c r="DE928" t="s">
        <v>123</v>
      </c>
    </row>
    <row r="929" spans="1:109" x14ac:dyDescent="0.3">
      <c r="A929" t="str">
        <f>"18:50:09.063"</f>
        <v>18:50:09.063</v>
      </c>
      <c r="B929" t="s">
        <v>110</v>
      </c>
      <c r="C929" t="str">
        <f t="shared" si="42"/>
        <v>ffdfd3c0</v>
      </c>
      <c r="D929" t="s">
        <v>111</v>
      </c>
      <c r="E929">
        <v>18</v>
      </c>
      <c r="F929">
        <v>1018</v>
      </c>
      <c r="G929" t="s">
        <v>112</v>
      </c>
      <c r="J929" t="s">
        <v>113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R929" t="s">
        <v>114</v>
      </c>
      <c r="S929" t="str">
        <f>"18:50:08.828"</f>
        <v>18:50:08.828</v>
      </c>
      <c r="T929" t="str">
        <f>"18:50:08.727"</f>
        <v>18:50:08.727</v>
      </c>
      <c r="U929" t="str">
        <f t="shared" si="43"/>
        <v>a1cdbe</v>
      </c>
      <c r="V929">
        <v>0</v>
      </c>
      <c r="W929">
        <v>0</v>
      </c>
      <c r="X929">
        <v>1</v>
      </c>
      <c r="Y929">
        <v>0</v>
      </c>
      <c r="Z929">
        <v>0</v>
      </c>
      <c r="AB929">
        <v>0</v>
      </c>
      <c r="AC929">
        <v>9</v>
      </c>
      <c r="AD929">
        <v>3</v>
      </c>
      <c r="AE929">
        <v>0</v>
      </c>
      <c r="AF929">
        <v>9</v>
      </c>
      <c r="AG929" t="s">
        <v>158</v>
      </c>
      <c r="AH929">
        <v>0</v>
      </c>
      <c r="AI929">
        <v>3</v>
      </c>
      <c r="AJ929">
        <v>1</v>
      </c>
      <c r="AK929">
        <v>0</v>
      </c>
      <c r="AL929" t="s">
        <v>1927</v>
      </c>
      <c r="AM929">
        <v>46.845016000000001</v>
      </c>
      <c r="AN929" t="s">
        <v>1928</v>
      </c>
      <c r="AO929">
        <v>-122.474384</v>
      </c>
      <c r="AP929">
        <v>100</v>
      </c>
      <c r="AQ929">
        <v>2100</v>
      </c>
      <c r="AR929" t="s">
        <v>118</v>
      </c>
      <c r="AS929">
        <v>-78</v>
      </c>
      <c r="AT929">
        <v>-6</v>
      </c>
      <c r="AU929">
        <v>-256</v>
      </c>
      <c r="BC929">
        <v>1200</v>
      </c>
      <c r="BD929">
        <v>1</v>
      </c>
      <c r="BE929" t="str">
        <f t="shared" si="44"/>
        <v xml:space="preserve">N215T   </v>
      </c>
      <c r="BF929">
        <v>1</v>
      </c>
      <c r="BH929">
        <v>0</v>
      </c>
      <c r="BI929">
        <v>0</v>
      </c>
      <c r="BJ929">
        <v>0</v>
      </c>
      <c r="BK929">
        <v>2625</v>
      </c>
      <c r="BL929">
        <v>525</v>
      </c>
      <c r="BM929" t="s">
        <v>119</v>
      </c>
      <c r="BN929">
        <v>1</v>
      </c>
      <c r="BO929">
        <v>1</v>
      </c>
      <c r="BP929">
        <v>1</v>
      </c>
      <c r="BQ929">
        <v>0</v>
      </c>
      <c r="BT929">
        <v>0</v>
      </c>
      <c r="BU929">
        <v>0</v>
      </c>
      <c r="BV929">
        <v>0</v>
      </c>
      <c r="CC929" t="str">
        <f>"18:50:08.836"</f>
        <v>18:50:08.836</v>
      </c>
      <c r="CD929" t="str">
        <f>"832369548"</f>
        <v>832369548</v>
      </c>
      <c r="CQ929">
        <v>0</v>
      </c>
      <c r="CR929">
        <v>2</v>
      </c>
      <c r="CS929">
        <v>0</v>
      </c>
      <c r="CT929">
        <v>2</v>
      </c>
      <c r="CU929">
        <v>0</v>
      </c>
      <c r="CV929">
        <v>6</v>
      </c>
      <c r="CW929" t="s">
        <v>120</v>
      </c>
      <c r="CX929">
        <v>261</v>
      </c>
      <c r="CY929">
        <v>2</v>
      </c>
      <c r="CZ929" t="s">
        <v>121</v>
      </c>
      <c r="DA929" t="s">
        <v>122</v>
      </c>
      <c r="DD929">
        <v>14746372</v>
      </c>
      <c r="DE929" t="s">
        <v>123</v>
      </c>
    </row>
    <row r="930" spans="1:109" x14ac:dyDescent="0.3">
      <c r="A930" t="str">
        <f>"18:50:10.016"</f>
        <v>18:50:10.016</v>
      </c>
      <c r="B930" t="s">
        <v>110</v>
      </c>
      <c r="C930" t="str">
        <f t="shared" si="42"/>
        <v>ffdfd3c0</v>
      </c>
      <c r="D930" t="s">
        <v>111</v>
      </c>
      <c r="E930">
        <v>18</v>
      </c>
      <c r="F930">
        <v>1018</v>
      </c>
      <c r="G930" t="s">
        <v>112</v>
      </c>
      <c r="J930" t="s">
        <v>113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R930" t="s">
        <v>114</v>
      </c>
      <c r="S930" t="str">
        <f>"18:50:09.789"</f>
        <v>18:50:09.789</v>
      </c>
      <c r="T930" t="str">
        <f>"18:50:09.789"</f>
        <v>18:50:09.789</v>
      </c>
      <c r="U930" t="str">
        <f t="shared" si="43"/>
        <v>a1cdbe</v>
      </c>
      <c r="V930">
        <v>0</v>
      </c>
      <c r="W930">
        <v>0</v>
      </c>
      <c r="X930">
        <v>1</v>
      </c>
      <c r="Y930">
        <v>0</v>
      </c>
      <c r="Z930">
        <v>0</v>
      </c>
      <c r="AB930">
        <v>0</v>
      </c>
      <c r="AC930">
        <v>9</v>
      </c>
      <c r="AD930">
        <v>3</v>
      </c>
      <c r="AE930">
        <v>0</v>
      </c>
      <c r="AF930">
        <v>9</v>
      </c>
      <c r="AG930" t="s">
        <v>158</v>
      </c>
      <c r="AH930">
        <v>0</v>
      </c>
      <c r="AI930">
        <v>3</v>
      </c>
      <c r="AJ930">
        <v>1</v>
      </c>
      <c r="AK930">
        <v>0</v>
      </c>
      <c r="AL930" t="s">
        <v>1929</v>
      </c>
      <c r="AM930">
        <v>46.844994999999997</v>
      </c>
      <c r="AN930" t="s">
        <v>1930</v>
      </c>
      <c r="AO930">
        <v>-122.47489899999999</v>
      </c>
      <c r="AP930">
        <v>100</v>
      </c>
      <c r="AQ930">
        <v>2100</v>
      </c>
      <c r="AR930" t="s">
        <v>118</v>
      </c>
      <c r="AS930">
        <v>-78</v>
      </c>
      <c r="AT930">
        <v>-5</v>
      </c>
      <c r="AU930">
        <v>-256</v>
      </c>
      <c r="BC930">
        <v>1200</v>
      </c>
      <c r="BD930">
        <v>1</v>
      </c>
      <c r="BE930" t="str">
        <f t="shared" si="44"/>
        <v xml:space="preserve">N215T   </v>
      </c>
      <c r="BF930">
        <v>1</v>
      </c>
      <c r="BH930">
        <v>0</v>
      </c>
      <c r="BI930">
        <v>0</v>
      </c>
      <c r="BJ930">
        <v>0</v>
      </c>
      <c r="BK930">
        <v>2525</v>
      </c>
      <c r="BL930">
        <v>425</v>
      </c>
      <c r="BM930" t="s">
        <v>119</v>
      </c>
      <c r="BN930">
        <v>1</v>
      </c>
      <c r="BO930">
        <v>1</v>
      </c>
      <c r="BP930">
        <v>1</v>
      </c>
      <c r="BQ930">
        <v>0</v>
      </c>
      <c r="BT930">
        <v>0</v>
      </c>
      <c r="BU930">
        <v>0</v>
      </c>
      <c r="BV930">
        <v>0</v>
      </c>
      <c r="CC930" t="str">
        <f>"18:50:09.789"</f>
        <v>18:50:09.789</v>
      </c>
      <c r="CD930" t="str">
        <f>"792275002"</f>
        <v>792275002</v>
      </c>
      <c r="CQ930">
        <v>0</v>
      </c>
      <c r="CR930">
        <v>2</v>
      </c>
      <c r="CS930">
        <v>0</v>
      </c>
      <c r="CT930">
        <v>2</v>
      </c>
      <c r="CU930">
        <v>0</v>
      </c>
      <c r="CV930">
        <v>6</v>
      </c>
      <c r="CW930" t="s">
        <v>120</v>
      </c>
      <c r="CX930">
        <v>261</v>
      </c>
      <c r="CY930">
        <v>2</v>
      </c>
      <c r="CZ930" t="s">
        <v>121</v>
      </c>
      <c r="DA930" t="s">
        <v>122</v>
      </c>
      <c r="DD930">
        <v>14746884</v>
      </c>
      <c r="DE930" t="s">
        <v>123</v>
      </c>
    </row>
    <row r="931" spans="1:109" x14ac:dyDescent="0.3">
      <c r="A931" t="str">
        <f>"18:50:11.023"</f>
        <v>18:50:11.023</v>
      </c>
      <c r="B931" t="s">
        <v>110</v>
      </c>
      <c r="C931" t="str">
        <f t="shared" si="42"/>
        <v>ffdfd3c0</v>
      </c>
      <c r="D931" t="s">
        <v>111</v>
      </c>
      <c r="E931">
        <v>18</v>
      </c>
      <c r="F931">
        <v>1018</v>
      </c>
      <c r="G931" t="s">
        <v>112</v>
      </c>
      <c r="J931" t="s">
        <v>113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R931" t="s">
        <v>114</v>
      </c>
      <c r="S931" t="str">
        <f>"18:50:10.797"</f>
        <v>18:50:10.797</v>
      </c>
      <c r="T931" t="str">
        <f>"18:50:10.297"</f>
        <v>18:50:10.297</v>
      </c>
      <c r="U931" t="str">
        <f t="shared" si="43"/>
        <v>a1cdbe</v>
      </c>
      <c r="V931">
        <v>0</v>
      </c>
      <c r="W931">
        <v>0</v>
      </c>
      <c r="X931">
        <v>1</v>
      </c>
      <c r="Y931">
        <v>0</v>
      </c>
      <c r="Z931">
        <v>0</v>
      </c>
      <c r="AB931">
        <v>0</v>
      </c>
      <c r="AC931">
        <v>9</v>
      </c>
      <c r="AD931">
        <v>3</v>
      </c>
      <c r="AE931">
        <v>0</v>
      </c>
      <c r="AF931">
        <v>9</v>
      </c>
      <c r="AG931" t="s">
        <v>158</v>
      </c>
      <c r="AH931">
        <v>0</v>
      </c>
      <c r="AI931">
        <v>3</v>
      </c>
      <c r="AJ931">
        <v>1</v>
      </c>
      <c r="AK931">
        <v>0</v>
      </c>
      <c r="AL931" t="s">
        <v>1927</v>
      </c>
      <c r="AM931">
        <v>46.845016000000001</v>
      </c>
      <c r="AN931" t="s">
        <v>1931</v>
      </c>
      <c r="AO931">
        <v>-122.475393</v>
      </c>
      <c r="AP931">
        <v>100</v>
      </c>
      <c r="AQ931">
        <v>2100</v>
      </c>
      <c r="AR931" t="s">
        <v>118</v>
      </c>
      <c r="AS931">
        <v>-78</v>
      </c>
      <c r="AT931">
        <v>-4</v>
      </c>
      <c r="AU931">
        <v>-320</v>
      </c>
      <c r="BC931">
        <v>1200</v>
      </c>
      <c r="BD931">
        <v>1</v>
      </c>
      <c r="BE931" t="str">
        <f t="shared" si="44"/>
        <v xml:space="preserve">N215T   </v>
      </c>
      <c r="BF931">
        <v>1</v>
      </c>
      <c r="BH931">
        <v>0</v>
      </c>
      <c r="BI931">
        <v>0</v>
      </c>
      <c r="BJ931">
        <v>0</v>
      </c>
      <c r="BK931">
        <v>2525</v>
      </c>
      <c r="BL931">
        <v>425</v>
      </c>
      <c r="BM931" t="s">
        <v>119</v>
      </c>
      <c r="BN931">
        <v>1</v>
      </c>
      <c r="BO931">
        <v>1</v>
      </c>
      <c r="BP931">
        <v>1</v>
      </c>
      <c r="BQ931">
        <v>0</v>
      </c>
      <c r="BT931">
        <v>0</v>
      </c>
      <c r="BU931">
        <v>0</v>
      </c>
      <c r="BV931">
        <v>0</v>
      </c>
      <c r="CC931" t="str">
        <f>"18:50:10.797"</f>
        <v>18:50:10.797</v>
      </c>
      <c r="CD931" t="str">
        <f>"797176023"</f>
        <v>797176023</v>
      </c>
      <c r="CQ931">
        <v>0</v>
      </c>
      <c r="CR931">
        <v>2</v>
      </c>
      <c r="CS931">
        <v>0</v>
      </c>
      <c r="CT931">
        <v>2</v>
      </c>
      <c r="CU931">
        <v>0</v>
      </c>
      <c r="CV931">
        <v>6</v>
      </c>
      <c r="CW931" t="s">
        <v>120</v>
      </c>
      <c r="CX931">
        <v>261</v>
      </c>
      <c r="CY931">
        <v>2</v>
      </c>
      <c r="CZ931" t="s">
        <v>121</v>
      </c>
      <c r="DA931" t="s">
        <v>122</v>
      </c>
      <c r="DD931">
        <v>14747414</v>
      </c>
      <c r="DE931" t="s">
        <v>123</v>
      </c>
    </row>
    <row r="932" spans="1:109" x14ac:dyDescent="0.3">
      <c r="A932" t="str">
        <f>"18:50:12.078"</f>
        <v>18:50:12.078</v>
      </c>
      <c r="B932" t="s">
        <v>110</v>
      </c>
      <c r="C932" t="str">
        <f t="shared" si="42"/>
        <v>ffdfd3c0</v>
      </c>
      <c r="D932" t="s">
        <v>111</v>
      </c>
      <c r="E932">
        <v>18</v>
      </c>
      <c r="F932">
        <v>1018</v>
      </c>
      <c r="G932" t="s">
        <v>112</v>
      </c>
      <c r="J932" t="s">
        <v>113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R932" t="s">
        <v>114</v>
      </c>
      <c r="S932" t="str">
        <f>"18:50:11.844"</f>
        <v>18:50:11.844</v>
      </c>
      <c r="T932" t="str">
        <f>"18:50:11.742"</f>
        <v>18:50:11.742</v>
      </c>
      <c r="U932" t="str">
        <f t="shared" si="43"/>
        <v>a1cdbe</v>
      </c>
      <c r="V932">
        <v>0</v>
      </c>
      <c r="W932">
        <v>0</v>
      </c>
      <c r="X932">
        <v>1</v>
      </c>
      <c r="Y932">
        <v>0</v>
      </c>
      <c r="Z932">
        <v>0</v>
      </c>
      <c r="AB932">
        <v>0</v>
      </c>
      <c r="AC932">
        <v>9</v>
      </c>
      <c r="AD932">
        <v>3</v>
      </c>
      <c r="AE932">
        <v>0</v>
      </c>
      <c r="AF932">
        <v>9</v>
      </c>
      <c r="AG932" t="s">
        <v>158</v>
      </c>
      <c r="AH932">
        <v>0</v>
      </c>
      <c r="AI932">
        <v>3</v>
      </c>
      <c r="AJ932">
        <v>1</v>
      </c>
      <c r="AK932">
        <v>0</v>
      </c>
      <c r="AL932" t="s">
        <v>1932</v>
      </c>
      <c r="AM932">
        <v>46.844951999999999</v>
      </c>
      <c r="AN932" t="s">
        <v>1933</v>
      </c>
      <c r="AO932">
        <v>-122.475994</v>
      </c>
      <c r="AP932">
        <v>100</v>
      </c>
      <c r="AQ932">
        <v>2100</v>
      </c>
      <c r="AR932" t="s">
        <v>118</v>
      </c>
      <c r="AS932">
        <v>-79</v>
      </c>
      <c r="AT932">
        <v>-3</v>
      </c>
      <c r="AU932">
        <v>-320</v>
      </c>
      <c r="BC932">
        <v>1200</v>
      </c>
      <c r="BD932">
        <v>1</v>
      </c>
      <c r="BE932" t="str">
        <f t="shared" si="44"/>
        <v xml:space="preserve">N215T   </v>
      </c>
      <c r="BF932">
        <v>1</v>
      </c>
      <c r="BH932">
        <v>0</v>
      </c>
      <c r="BI932">
        <v>0</v>
      </c>
      <c r="BJ932">
        <v>0</v>
      </c>
      <c r="BK932">
        <v>2500</v>
      </c>
      <c r="BL932">
        <v>400</v>
      </c>
      <c r="BM932" t="s">
        <v>119</v>
      </c>
      <c r="BN932">
        <v>1</v>
      </c>
      <c r="BO932">
        <v>1</v>
      </c>
      <c r="BP932">
        <v>1</v>
      </c>
      <c r="BQ932">
        <v>0</v>
      </c>
      <c r="BT932">
        <v>0</v>
      </c>
      <c r="BU932">
        <v>0</v>
      </c>
      <c r="BV932">
        <v>0</v>
      </c>
      <c r="CC932" t="str">
        <f>"18:50:11.844"</f>
        <v>18:50:11.844</v>
      </c>
      <c r="CD932" t="str">
        <f>"847072608"</f>
        <v>847072608</v>
      </c>
      <c r="CQ932">
        <v>0</v>
      </c>
      <c r="CR932">
        <v>2</v>
      </c>
      <c r="CS932">
        <v>0</v>
      </c>
      <c r="CT932">
        <v>2</v>
      </c>
      <c r="CU932">
        <v>0</v>
      </c>
      <c r="CV932">
        <v>6</v>
      </c>
      <c r="CW932" t="s">
        <v>120</v>
      </c>
      <c r="CX932">
        <v>261</v>
      </c>
      <c r="CY932">
        <v>2</v>
      </c>
      <c r="CZ932" t="s">
        <v>121</v>
      </c>
      <c r="DA932" t="s">
        <v>122</v>
      </c>
      <c r="DD932">
        <v>14748038</v>
      </c>
      <c r="DE932" t="s">
        <v>123</v>
      </c>
    </row>
    <row r="933" spans="1:109" x14ac:dyDescent="0.3">
      <c r="A933" t="str">
        <f>"18:50:13.086"</f>
        <v>18:50:13.086</v>
      </c>
      <c r="B933" t="s">
        <v>110</v>
      </c>
      <c r="C933" t="str">
        <f t="shared" si="42"/>
        <v>ffdfd3c0</v>
      </c>
      <c r="D933" t="s">
        <v>111</v>
      </c>
      <c r="E933">
        <v>18</v>
      </c>
      <c r="F933">
        <v>1018</v>
      </c>
      <c r="G933" t="s">
        <v>112</v>
      </c>
      <c r="J933" t="s">
        <v>113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R933" t="s">
        <v>114</v>
      </c>
      <c r="S933" t="str">
        <f>"18:50:12.875"</f>
        <v>18:50:12.875</v>
      </c>
      <c r="T933" t="str">
        <f>"18:50:12.375"</f>
        <v>18:50:12.375</v>
      </c>
      <c r="U933" t="str">
        <f t="shared" si="43"/>
        <v>a1cdbe</v>
      </c>
      <c r="V933">
        <v>0</v>
      </c>
      <c r="W933">
        <v>0</v>
      </c>
      <c r="X933">
        <v>1</v>
      </c>
      <c r="Y933">
        <v>0</v>
      </c>
      <c r="Z933">
        <v>0</v>
      </c>
      <c r="AB933">
        <v>0</v>
      </c>
      <c r="AC933">
        <v>9</v>
      </c>
      <c r="AD933">
        <v>3</v>
      </c>
      <c r="AE933">
        <v>0</v>
      </c>
      <c r="AF933">
        <v>9</v>
      </c>
      <c r="AG933" t="s">
        <v>158</v>
      </c>
      <c r="AH933">
        <v>0</v>
      </c>
      <c r="AI933">
        <v>3</v>
      </c>
      <c r="AJ933">
        <v>1</v>
      </c>
      <c r="AK933">
        <v>0</v>
      </c>
      <c r="AL933" t="s">
        <v>1934</v>
      </c>
      <c r="AM933">
        <v>46.844974000000001</v>
      </c>
      <c r="AN933" t="s">
        <v>1935</v>
      </c>
      <c r="AO933">
        <v>-122.47653</v>
      </c>
      <c r="AP933">
        <v>100</v>
      </c>
      <c r="AQ933">
        <v>2100</v>
      </c>
      <c r="AR933" t="s">
        <v>118</v>
      </c>
      <c r="AS933">
        <v>-79</v>
      </c>
      <c r="AT933">
        <v>-2</v>
      </c>
      <c r="AU933">
        <v>-384</v>
      </c>
      <c r="BC933">
        <v>1200</v>
      </c>
      <c r="BD933">
        <v>1</v>
      </c>
      <c r="BE933" t="str">
        <f t="shared" si="44"/>
        <v xml:space="preserve">N215T   </v>
      </c>
      <c r="BF933">
        <v>1</v>
      </c>
      <c r="BH933">
        <v>0</v>
      </c>
      <c r="BI933">
        <v>0</v>
      </c>
      <c r="BJ933">
        <v>0</v>
      </c>
      <c r="BK933">
        <v>2500</v>
      </c>
      <c r="BL933">
        <v>400</v>
      </c>
      <c r="BM933" t="s">
        <v>119</v>
      </c>
      <c r="BN933">
        <v>1</v>
      </c>
      <c r="BO933">
        <v>1</v>
      </c>
      <c r="BP933">
        <v>1</v>
      </c>
      <c r="BQ933">
        <v>0</v>
      </c>
      <c r="BT933">
        <v>0</v>
      </c>
      <c r="BU933">
        <v>0</v>
      </c>
      <c r="BV933">
        <v>0</v>
      </c>
      <c r="CC933" t="str">
        <f>"18:50:12.883"</f>
        <v>18:50:12.883</v>
      </c>
      <c r="CD933" t="str">
        <f>"882092469"</f>
        <v>882092469</v>
      </c>
      <c r="CQ933">
        <v>0</v>
      </c>
      <c r="CR933">
        <v>2</v>
      </c>
      <c r="CS933">
        <v>0</v>
      </c>
      <c r="CT933">
        <v>2</v>
      </c>
      <c r="CU933">
        <v>0</v>
      </c>
      <c r="CV933">
        <v>5</v>
      </c>
      <c r="CW933" t="s">
        <v>120</v>
      </c>
      <c r="CX933">
        <v>257</v>
      </c>
      <c r="CY933">
        <v>1</v>
      </c>
      <c r="CZ933" t="s">
        <v>615</v>
      </c>
      <c r="DA933" t="s">
        <v>616</v>
      </c>
      <c r="DD933">
        <v>11073236</v>
      </c>
      <c r="DE933" t="s">
        <v>123</v>
      </c>
    </row>
    <row r="934" spans="1:109" x14ac:dyDescent="0.3">
      <c r="A934" t="str">
        <f>"18:50:13.984"</f>
        <v>18:50:13.984</v>
      </c>
      <c r="B934" t="s">
        <v>110</v>
      </c>
      <c r="C934" t="str">
        <f t="shared" si="42"/>
        <v>ffdfd3c0</v>
      </c>
      <c r="D934" t="s">
        <v>111</v>
      </c>
      <c r="E934">
        <v>18</v>
      </c>
      <c r="F934">
        <v>1018</v>
      </c>
      <c r="G934" t="s">
        <v>112</v>
      </c>
      <c r="J934" t="s">
        <v>113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R934" t="s">
        <v>114</v>
      </c>
      <c r="S934" t="str">
        <f>"18:50:13.766"</f>
        <v>18:50:13.766</v>
      </c>
      <c r="T934" t="str">
        <f>"18:50:13.367"</f>
        <v>18:50:13.367</v>
      </c>
      <c r="U934" t="str">
        <f t="shared" si="43"/>
        <v>a1cdbe</v>
      </c>
      <c r="V934">
        <v>0</v>
      </c>
      <c r="W934">
        <v>0</v>
      </c>
      <c r="X934">
        <v>1</v>
      </c>
      <c r="Y934">
        <v>0</v>
      </c>
      <c r="Z934">
        <v>0</v>
      </c>
      <c r="AB934">
        <v>0</v>
      </c>
      <c r="AC934">
        <v>9</v>
      </c>
      <c r="AD934">
        <v>3</v>
      </c>
      <c r="AE934">
        <v>0</v>
      </c>
      <c r="AF934">
        <v>9</v>
      </c>
      <c r="AG934" t="s">
        <v>158</v>
      </c>
      <c r="AH934">
        <v>0</v>
      </c>
      <c r="AI934">
        <v>3</v>
      </c>
      <c r="AJ934">
        <v>1</v>
      </c>
      <c r="AK934">
        <v>0</v>
      </c>
      <c r="AL934" t="s">
        <v>1932</v>
      </c>
      <c r="AM934">
        <v>46.844951999999999</v>
      </c>
      <c r="AN934" t="s">
        <v>1936</v>
      </c>
      <c r="AO934">
        <v>-122.47695899999999</v>
      </c>
      <c r="AP934">
        <v>100</v>
      </c>
      <c r="AQ934">
        <v>2100</v>
      </c>
      <c r="AR934" t="s">
        <v>118</v>
      </c>
      <c r="AS934">
        <v>-80</v>
      </c>
      <c r="AT934">
        <v>-1</v>
      </c>
      <c r="AU934">
        <v>-384</v>
      </c>
      <c r="BC934">
        <v>1200</v>
      </c>
      <c r="BD934">
        <v>1</v>
      </c>
      <c r="BE934" t="str">
        <f t="shared" si="44"/>
        <v xml:space="preserve">N215T   </v>
      </c>
      <c r="BF934">
        <v>1</v>
      </c>
      <c r="BH934">
        <v>0</v>
      </c>
      <c r="BI934">
        <v>0</v>
      </c>
      <c r="BJ934">
        <v>0</v>
      </c>
      <c r="BK934">
        <v>2500</v>
      </c>
      <c r="BL934">
        <v>400</v>
      </c>
      <c r="BM934" t="s">
        <v>119</v>
      </c>
      <c r="BN934">
        <v>1</v>
      </c>
      <c r="BO934">
        <v>1</v>
      </c>
      <c r="BP934">
        <v>1</v>
      </c>
      <c r="BQ934">
        <v>0</v>
      </c>
      <c r="BT934">
        <v>0</v>
      </c>
      <c r="BU934">
        <v>0</v>
      </c>
      <c r="BV934">
        <v>0</v>
      </c>
      <c r="CC934" t="str">
        <f>"18:50:13.766"</f>
        <v>18:50:13.766</v>
      </c>
      <c r="CD934" t="str">
        <f>"767005229"</f>
        <v>767005229</v>
      </c>
      <c r="CQ934">
        <v>0</v>
      </c>
      <c r="CR934">
        <v>2</v>
      </c>
      <c r="CS934">
        <v>0</v>
      </c>
      <c r="CT934">
        <v>2</v>
      </c>
      <c r="CU934">
        <v>0</v>
      </c>
      <c r="CV934">
        <v>6</v>
      </c>
      <c r="CW934" t="s">
        <v>120</v>
      </c>
      <c r="CX934">
        <v>257</v>
      </c>
      <c r="CY934">
        <v>1</v>
      </c>
      <c r="CZ934" t="s">
        <v>615</v>
      </c>
      <c r="DA934" t="s">
        <v>616</v>
      </c>
      <c r="DD934">
        <v>11073814</v>
      </c>
      <c r="DE934" t="s">
        <v>123</v>
      </c>
    </row>
    <row r="935" spans="1:109" x14ac:dyDescent="0.3">
      <c r="A935" t="str">
        <f>"18:50:14.844"</f>
        <v>18:50:14.844</v>
      </c>
      <c r="B935" t="s">
        <v>110</v>
      </c>
      <c r="C935" t="str">
        <f t="shared" si="42"/>
        <v>ffdfd3c0</v>
      </c>
      <c r="D935" t="s">
        <v>111</v>
      </c>
      <c r="E935">
        <v>18</v>
      </c>
      <c r="F935">
        <v>1018</v>
      </c>
      <c r="G935" t="s">
        <v>112</v>
      </c>
      <c r="J935" t="s">
        <v>113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R935" t="s">
        <v>114</v>
      </c>
      <c r="S935" t="str">
        <f>"18:50:14.648"</f>
        <v>18:50:14.648</v>
      </c>
      <c r="T935" t="str">
        <f>"18:50:14.352"</f>
        <v>18:50:14.352</v>
      </c>
      <c r="U935" t="str">
        <f t="shared" si="43"/>
        <v>a1cdbe</v>
      </c>
      <c r="V935">
        <v>0</v>
      </c>
      <c r="W935">
        <v>0</v>
      </c>
      <c r="X935">
        <v>1</v>
      </c>
      <c r="Y935">
        <v>0</v>
      </c>
      <c r="Z935">
        <v>0</v>
      </c>
      <c r="AB935">
        <v>0</v>
      </c>
      <c r="AC935">
        <v>9</v>
      </c>
      <c r="AD935">
        <v>3</v>
      </c>
      <c r="AE935">
        <v>0</v>
      </c>
      <c r="AF935">
        <v>9</v>
      </c>
      <c r="AG935" t="s">
        <v>158</v>
      </c>
      <c r="AH935">
        <v>0</v>
      </c>
      <c r="AI935">
        <v>3</v>
      </c>
      <c r="AJ935">
        <v>1</v>
      </c>
      <c r="AK935">
        <v>0</v>
      </c>
      <c r="AL935" t="s">
        <v>1929</v>
      </c>
      <c r="AM935">
        <v>46.844994999999997</v>
      </c>
      <c r="AN935" t="s">
        <v>1937</v>
      </c>
      <c r="AO935">
        <v>-122.47751700000001</v>
      </c>
      <c r="AP935">
        <v>100</v>
      </c>
      <c r="AQ935">
        <v>2100</v>
      </c>
      <c r="AR935" t="s">
        <v>118</v>
      </c>
      <c r="AS935">
        <v>-81</v>
      </c>
      <c r="AT935">
        <v>1</v>
      </c>
      <c r="AU935">
        <v>-384</v>
      </c>
      <c r="BC935">
        <v>1200</v>
      </c>
      <c r="BD935">
        <v>1</v>
      </c>
      <c r="BE935" t="str">
        <f t="shared" si="44"/>
        <v xml:space="preserve">N215T   </v>
      </c>
      <c r="BF935">
        <v>1</v>
      </c>
      <c r="BH935">
        <v>0</v>
      </c>
      <c r="BI935">
        <v>0</v>
      </c>
      <c r="BJ935">
        <v>0</v>
      </c>
      <c r="BK935">
        <v>2500</v>
      </c>
      <c r="BL935">
        <v>400</v>
      </c>
      <c r="BM935" t="s">
        <v>119</v>
      </c>
      <c r="BN935">
        <v>1</v>
      </c>
      <c r="BO935">
        <v>1</v>
      </c>
      <c r="BP935">
        <v>1</v>
      </c>
      <c r="BQ935">
        <v>0</v>
      </c>
      <c r="BT935">
        <v>0</v>
      </c>
      <c r="BU935">
        <v>0</v>
      </c>
      <c r="BV935">
        <v>0</v>
      </c>
      <c r="CC935" t="str">
        <f>"18:50:14.648"</f>
        <v>18:50:14.648</v>
      </c>
      <c r="CD935" t="str">
        <f>"651796336"</f>
        <v>651796336</v>
      </c>
      <c r="CQ935">
        <v>0</v>
      </c>
      <c r="CR935">
        <v>2</v>
      </c>
      <c r="CS935">
        <v>0</v>
      </c>
      <c r="CT935">
        <v>2</v>
      </c>
      <c r="CU935">
        <v>0</v>
      </c>
      <c r="CV935">
        <v>6</v>
      </c>
      <c r="CW935" t="s">
        <v>120</v>
      </c>
      <c r="CX935">
        <v>261</v>
      </c>
      <c r="CY935">
        <v>2</v>
      </c>
      <c r="CZ935" t="s">
        <v>121</v>
      </c>
      <c r="DA935" t="s">
        <v>122</v>
      </c>
      <c r="DD935">
        <v>14749534</v>
      </c>
      <c r="DE935" t="s">
        <v>123</v>
      </c>
    </row>
    <row r="936" spans="1:109" x14ac:dyDescent="0.3">
      <c r="A936" t="str">
        <f>"18:50:15.945"</f>
        <v>18:50:15.945</v>
      </c>
      <c r="B936" t="s">
        <v>110</v>
      </c>
      <c r="C936" t="str">
        <f t="shared" si="42"/>
        <v>ffdfd3c0</v>
      </c>
      <c r="D936" t="s">
        <v>111</v>
      </c>
      <c r="E936">
        <v>18</v>
      </c>
      <c r="F936">
        <v>1018</v>
      </c>
      <c r="G936" t="s">
        <v>112</v>
      </c>
      <c r="J936" t="s">
        <v>113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R936" t="s">
        <v>114</v>
      </c>
      <c r="S936" t="str">
        <f>"18:50:15.742"</f>
        <v>18:50:15.742</v>
      </c>
      <c r="T936" t="str">
        <f>"18:50:15.445"</f>
        <v>18:50:15.445</v>
      </c>
      <c r="U936" t="str">
        <f t="shared" si="43"/>
        <v>a1cdbe</v>
      </c>
      <c r="V936">
        <v>0</v>
      </c>
      <c r="W936">
        <v>0</v>
      </c>
      <c r="X936">
        <v>1</v>
      </c>
      <c r="Y936">
        <v>0</v>
      </c>
      <c r="Z936">
        <v>0</v>
      </c>
      <c r="AB936">
        <v>0</v>
      </c>
      <c r="AC936">
        <v>9</v>
      </c>
      <c r="AD936">
        <v>3</v>
      </c>
      <c r="AE936">
        <v>0</v>
      </c>
      <c r="AF936">
        <v>9</v>
      </c>
      <c r="AG936" t="s">
        <v>158</v>
      </c>
      <c r="AH936">
        <v>0</v>
      </c>
      <c r="AI936">
        <v>3</v>
      </c>
      <c r="AJ936">
        <v>1</v>
      </c>
      <c r="AK936">
        <v>0</v>
      </c>
      <c r="AL936" t="s">
        <v>1927</v>
      </c>
      <c r="AM936">
        <v>46.845016000000001</v>
      </c>
      <c r="AN936" t="s">
        <v>1938</v>
      </c>
      <c r="AO936">
        <v>-122.478075</v>
      </c>
      <c r="AP936">
        <v>100</v>
      </c>
      <c r="AQ936">
        <v>2100</v>
      </c>
      <c r="AR936" t="s">
        <v>118</v>
      </c>
      <c r="AS936">
        <v>-81</v>
      </c>
      <c r="AT936">
        <v>2</v>
      </c>
      <c r="AU936">
        <v>-384</v>
      </c>
      <c r="BC936">
        <v>1200</v>
      </c>
      <c r="BD936">
        <v>1</v>
      </c>
      <c r="BE936" t="str">
        <f t="shared" si="44"/>
        <v xml:space="preserve">N215T   </v>
      </c>
      <c r="BF936">
        <v>1</v>
      </c>
      <c r="BH936">
        <v>0</v>
      </c>
      <c r="BI936">
        <v>0</v>
      </c>
      <c r="BJ936">
        <v>0</v>
      </c>
      <c r="BK936">
        <v>2500</v>
      </c>
      <c r="BL936">
        <v>400</v>
      </c>
      <c r="BM936" t="s">
        <v>119</v>
      </c>
      <c r="BN936">
        <v>1</v>
      </c>
      <c r="BO936">
        <v>1</v>
      </c>
      <c r="BP936">
        <v>1</v>
      </c>
      <c r="BQ936">
        <v>0</v>
      </c>
      <c r="BT936">
        <v>0</v>
      </c>
      <c r="BU936">
        <v>0</v>
      </c>
      <c r="BV936">
        <v>0</v>
      </c>
      <c r="CC936" t="str">
        <f>"18:50:15.750"</f>
        <v>18:50:15.750</v>
      </c>
      <c r="CD936" t="str">
        <f>"746688479"</f>
        <v>746688479</v>
      </c>
      <c r="CQ936">
        <v>0</v>
      </c>
      <c r="CR936">
        <v>2</v>
      </c>
      <c r="CS936">
        <v>0</v>
      </c>
      <c r="CT936">
        <v>2</v>
      </c>
      <c r="CU936">
        <v>0</v>
      </c>
      <c r="CV936">
        <v>6</v>
      </c>
      <c r="CW936" t="s">
        <v>120</v>
      </c>
      <c r="CX936">
        <v>261</v>
      </c>
      <c r="CY936">
        <v>2</v>
      </c>
      <c r="CZ936" t="s">
        <v>121</v>
      </c>
      <c r="DA936" t="s">
        <v>122</v>
      </c>
      <c r="DD936">
        <v>14750152</v>
      </c>
      <c r="DE936" t="s">
        <v>123</v>
      </c>
    </row>
    <row r="937" spans="1:109" x14ac:dyDescent="0.3">
      <c r="A937" t="str">
        <f>"18:50:16.953"</f>
        <v>18:50:16.953</v>
      </c>
      <c r="B937" t="s">
        <v>110</v>
      </c>
      <c r="C937" t="str">
        <f t="shared" si="42"/>
        <v>ffdfd3c0</v>
      </c>
      <c r="D937" t="s">
        <v>111</v>
      </c>
      <c r="E937">
        <v>18</v>
      </c>
      <c r="F937">
        <v>1018</v>
      </c>
      <c r="G937" t="s">
        <v>112</v>
      </c>
      <c r="J937" t="s">
        <v>113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R937" t="s">
        <v>114</v>
      </c>
      <c r="S937" t="str">
        <f>"18:50:16.719"</f>
        <v>18:50:16.719</v>
      </c>
      <c r="T937" t="str">
        <f>"18:50:16.320"</f>
        <v>18:50:16.320</v>
      </c>
      <c r="U937" t="str">
        <f t="shared" si="43"/>
        <v>a1cdbe</v>
      </c>
      <c r="V937">
        <v>0</v>
      </c>
      <c r="W937">
        <v>0</v>
      </c>
      <c r="X937">
        <v>1</v>
      </c>
      <c r="Y937">
        <v>0</v>
      </c>
      <c r="Z937">
        <v>0</v>
      </c>
      <c r="AB937">
        <v>0</v>
      </c>
      <c r="AC937">
        <v>9</v>
      </c>
      <c r="AD937">
        <v>3</v>
      </c>
      <c r="AE937">
        <v>0</v>
      </c>
      <c r="AF937">
        <v>9</v>
      </c>
      <c r="AG937" t="s">
        <v>158</v>
      </c>
      <c r="AH937">
        <v>0</v>
      </c>
      <c r="AI937">
        <v>3</v>
      </c>
      <c r="AJ937">
        <v>1</v>
      </c>
      <c r="AK937">
        <v>0</v>
      </c>
      <c r="AL937" t="s">
        <v>1929</v>
      </c>
      <c r="AM937">
        <v>46.844994999999997</v>
      </c>
      <c r="AN937" t="s">
        <v>1939</v>
      </c>
      <c r="AO937">
        <v>-122.478611</v>
      </c>
      <c r="AP937">
        <v>100</v>
      </c>
      <c r="AQ937">
        <v>2100</v>
      </c>
      <c r="AR937" t="s">
        <v>118</v>
      </c>
      <c r="AS937">
        <v>-82</v>
      </c>
      <c r="AT937">
        <v>3</v>
      </c>
      <c r="AU937">
        <v>-320</v>
      </c>
      <c r="BC937">
        <v>1200</v>
      </c>
      <c r="BD937">
        <v>1</v>
      </c>
      <c r="BE937" t="str">
        <f t="shared" si="44"/>
        <v xml:space="preserve">N215T   </v>
      </c>
      <c r="BF937">
        <v>1</v>
      </c>
      <c r="BH937">
        <v>0</v>
      </c>
      <c r="BI937">
        <v>0</v>
      </c>
      <c r="BJ937">
        <v>0</v>
      </c>
      <c r="BK937">
        <v>2475</v>
      </c>
      <c r="BL937">
        <v>375</v>
      </c>
      <c r="BM937" t="s">
        <v>119</v>
      </c>
      <c r="BN937">
        <v>1</v>
      </c>
      <c r="BO937">
        <v>1</v>
      </c>
      <c r="BP937">
        <v>1</v>
      </c>
      <c r="BQ937">
        <v>0</v>
      </c>
      <c r="BT937">
        <v>0</v>
      </c>
      <c r="BU937">
        <v>0</v>
      </c>
      <c r="BV937">
        <v>0</v>
      </c>
      <c r="CC937" t="str">
        <f>"18:50:16.719"</f>
        <v>18:50:16.719</v>
      </c>
      <c r="CD937" t="str">
        <f>"721713929"</f>
        <v>721713929</v>
      </c>
      <c r="CQ937">
        <v>0</v>
      </c>
      <c r="CR937">
        <v>2</v>
      </c>
      <c r="CS937">
        <v>0</v>
      </c>
      <c r="CT937">
        <v>2</v>
      </c>
      <c r="CU937">
        <v>0</v>
      </c>
      <c r="CV937">
        <v>5</v>
      </c>
      <c r="CW937" t="s">
        <v>120</v>
      </c>
      <c r="CX937">
        <v>257</v>
      </c>
      <c r="CY937">
        <v>1</v>
      </c>
      <c r="CZ937" t="s">
        <v>615</v>
      </c>
      <c r="DA937" t="s">
        <v>616</v>
      </c>
      <c r="DD937">
        <v>11075758</v>
      </c>
      <c r="DE937" t="s">
        <v>123</v>
      </c>
    </row>
    <row r="938" spans="1:109" x14ac:dyDescent="0.3">
      <c r="A938" t="str">
        <f>"18:50:18.109"</f>
        <v>18:50:18.109</v>
      </c>
      <c r="B938" t="s">
        <v>110</v>
      </c>
      <c r="C938" t="str">
        <f t="shared" si="42"/>
        <v>ffdfd3c0</v>
      </c>
      <c r="D938" t="s">
        <v>111</v>
      </c>
      <c r="E938">
        <v>18</v>
      </c>
      <c r="F938">
        <v>1018</v>
      </c>
      <c r="G938" t="s">
        <v>112</v>
      </c>
      <c r="J938" t="s">
        <v>113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R938" t="s">
        <v>114</v>
      </c>
      <c r="S938" t="str">
        <f>"18:50:17.875"</f>
        <v>18:50:17.875</v>
      </c>
      <c r="T938" t="str">
        <f>"18:50:17.773"</f>
        <v>18:50:17.773</v>
      </c>
      <c r="U938" t="str">
        <f t="shared" si="43"/>
        <v>a1cdbe</v>
      </c>
      <c r="V938">
        <v>0</v>
      </c>
      <c r="W938">
        <v>0</v>
      </c>
      <c r="X938">
        <v>1</v>
      </c>
      <c r="Y938">
        <v>0</v>
      </c>
      <c r="Z938">
        <v>0</v>
      </c>
      <c r="AB938">
        <v>0</v>
      </c>
      <c r="AC938">
        <v>9</v>
      </c>
      <c r="AD938">
        <v>3</v>
      </c>
      <c r="AE938">
        <v>0</v>
      </c>
      <c r="AF938">
        <v>9</v>
      </c>
      <c r="AG938" t="s">
        <v>158</v>
      </c>
      <c r="AH938">
        <v>0</v>
      </c>
      <c r="AI938">
        <v>3</v>
      </c>
      <c r="AJ938">
        <v>1</v>
      </c>
      <c r="AK938">
        <v>0</v>
      </c>
      <c r="AL938" t="s">
        <v>1929</v>
      </c>
      <c r="AM938">
        <v>46.844994999999997</v>
      </c>
      <c r="AN938" t="s">
        <v>1940</v>
      </c>
      <c r="AO938">
        <v>-122.479298</v>
      </c>
      <c r="AP938">
        <v>100</v>
      </c>
      <c r="AQ938">
        <v>2100</v>
      </c>
      <c r="AR938" t="s">
        <v>118</v>
      </c>
      <c r="AS938">
        <v>-83</v>
      </c>
      <c r="AT938">
        <v>4</v>
      </c>
      <c r="AU938">
        <v>-256</v>
      </c>
      <c r="BC938">
        <v>1200</v>
      </c>
      <c r="BD938">
        <v>1</v>
      </c>
      <c r="BE938" t="str">
        <f t="shared" si="44"/>
        <v xml:space="preserve">N215T   </v>
      </c>
      <c r="BF938">
        <v>1</v>
      </c>
      <c r="BH938">
        <v>0</v>
      </c>
      <c r="BI938">
        <v>0</v>
      </c>
      <c r="BJ938">
        <v>0</v>
      </c>
      <c r="BK938">
        <v>2475</v>
      </c>
      <c r="BL938">
        <v>375</v>
      </c>
      <c r="BM938" t="s">
        <v>119</v>
      </c>
      <c r="BN938">
        <v>1</v>
      </c>
      <c r="BO938">
        <v>1</v>
      </c>
      <c r="BP938">
        <v>1</v>
      </c>
      <c r="BQ938">
        <v>0</v>
      </c>
      <c r="BT938">
        <v>0</v>
      </c>
      <c r="BU938">
        <v>0</v>
      </c>
      <c r="BV938">
        <v>0</v>
      </c>
      <c r="CC938" t="str">
        <f>"18:50:17.875"</f>
        <v>18:50:17.875</v>
      </c>
      <c r="CD938" t="str">
        <f>"876600074"</f>
        <v>876600074</v>
      </c>
      <c r="CQ938">
        <v>0</v>
      </c>
      <c r="CR938">
        <v>2</v>
      </c>
      <c r="CS938">
        <v>0</v>
      </c>
      <c r="CT938">
        <v>2</v>
      </c>
      <c r="CU938">
        <v>0</v>
      </c>
      <c r="CV938">
        <v>5</v>
      </c>
      <c r="CW938" t="s">
        <v>120</v>
      </c>
      <c r="CX938">
        <v>257</v>
      </c>
      <c r="CY938">
        <v>1</v>
      </c>
      <c r="CZ938" t="s">
        <v>615</v>
      </c>
      <c r="DA938" t="s">
        <v>616</v>
      </c>
      <c r="DD938">
        <v>11076571</v>
      </c>
      <c r="DE938" t="s">
        <v>123</v>
      </c>
    </row>
    <row r="939" spans="1:109" x14ac:dyDescent="0.3">
      <c r="A939" t="str">
        <f>"18:50:19.117"</f>
        <v>18:50:19.117</v>
      </c>
      <c r="B939" t="s">
        <v>110</v>
      </c>
      <c r="C939" t="str">
        <f t="shared" si="42"/>
        <v>ffdfd3c0</v>
      </c>
      <c r="D939" t="s">
        <v>111</v>
      </c>
      <c r="E939">
        <v>18</v>
      </c>
      <c r="F939">
        <v>1018</v>
      </c>
      <c r="G939" t="s">
        <v>112</v>
      </c>
      <c r="J939" t="s">
        <v>113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R939" t="s">
        <v>114</v>
      </c>
      <c r="S939" t="str">
        <f>"18:50:18.906"</f>
        <v>18:50:18.906</v>
      </c>
      <c r="T939" t="str">
        <f>"18:50:18.906"</f>
        <v>18:50:18.906</v>
      </c>
      <c r="U939" t="str">
        <f t="shared" si="43"/>
        <v>a1cdbe</v>
      </c>
      <c r="V939">
        <v>0</v>
      </c>
      <c r="W939">
        <v>0</v>
      </c>
      <c r="X939">
        <v>1</v>
      </c>
      <c r="Y939">
        <v>0</v>
      </c>
      <c r="Z939">
        <v>0</v>
      </c>
      <c r="AB939">
        <v>0</v>
      </c>
      <c r="AC939">
        <v>9</v>
      </c>
      <c r="AD939">
        <v>3</v>
      </c>
      <c r="AE939">
        <v>0</v>
      </c>
      <c r="AF939">
        <v>9</v>
      </c>
      <c r="AG939" t="s">
        <v>158</v>
      </c>
      <c r="AH939">
        <v>0</v>
      </c>
      <c r="AI939">
        <v>3</v>
      </c>
      <c r="AJ939">
        <v>1</v>
      </c>
      <c r="AK939">
        <v>0</v>
      </c>
      <c r="AL939" t="s">
        <v>1925</v>
      </c>
      <c r="AM939">
        <v>46.845058999999999</v>
      </c>
      <c r="AN939" t="s">
        <v>1941</v>
      </c>
      <c r="AO939">
        <v>-122.47981299999999</v>
      </c>
      <c r="AP939">
        <v>100</v>
      </c>
      <c r="AQ939">
        <v>2100</v>
      </c>
      <c r="AR939" t="s">
        <v>118</v>
      </c>
      <c r="AS939">
        <v>-83</v>
      </c>
      <c r="AT939">
        <v>6</v>
      </c>
      <c r="AU939">
        <v>-192</v>
      </c>
      <c r="BC939">
        <v>1200</v>
      </c>
      <c r="BD939">
        <v>1</v>
      </c>
      <c r="BE939" t="str">
        <f t="shared" si="44"/>
        <v xml:space="preserve">N215T   </v>
      </c>
      <c r="BF939">
        <v>1</v>
      </c>
      <c r="BH939">
        <v>0</v>
      </c>
      <c r="BI939">
        <v>0</v>
      </c>
      <c r="BJ939">
        <v>0</v>
      </c>
      <c r="BK939">
        <v>2475</v>
      </c>
      <c r="BL939">
        <v>375</v>
      </c>
      <c r="BM939" t="s">
        <v>119</v>
      </c>
      <c r="BN939">
        <v>1</v>
      </c>
      <c r="BO939">
        <v>1</v>
      </c>
      <c r="BP939">
        <v>1</v>
      </c>
      <c r="BQ939">
        <v>0</v>
      </c>
      <c r="BT939">
        <v>0</v>
      </c>
      <c r="BU939">
        <v>0</v>
      </c>
      <c r="BV939">
        <v>0</v>
      </c>
      <c r="CC939" t="str">
        <f>"18:50:18.914"</f>
        <v>18:50:18.914</v>
      </c>
      <c r="CD939" t="str">
        <f>"911376723"</f>
        <v>911376723</v>
      </c>
      <c r="CQ939">
        <v>0</v>
      </c>
      <c r="CR939">
        <v>2</v>
      </c>
      <c r="CS939">
        <v>0</v>
      </c>
      <c r="CT939">
        <v>2</v>
      </c>
      <c r="CU939">
        <v>0</v>
      </c>
      <c r="CV939">
        <v>6</v>
      </c>
      <c r="CW939" t="s">
        <v>120</v>
      </c>
      <c r="CX939">
        <v>261</v>
      </c>
      <c r="CY939">
        <v>2</v>
      </c>
      <c r="CZ939" t="s">
        <v>121</v>
      </c>
      <c r="DA939" t="s">
        <v>122</v>
      </c>
      <c r="DD939">
        <v>14752007</v>
      </c>
      <c r="DE939" t="s">
        <v>123</v>
      </c>
    </row>
    <row r="940" spans="1:109" x14ac:dyDescent="0.3">
      <c r="A940" t="str">
        <f>"18:50:20.125"</f>
        <v>18:50:20.125</v>
      </c>
      <c r="B940" t="s">
        <v>110</v>
      </c>
      <c r="C940" t="str">
        <f t="shared" si="42"/>
        <v>ffdfd3c0</v>
      </c>
      <c r="D940" t="s">
        <v>111</v>
      </c>
      <c r="E940">
        <v>18</v>
      </c>
      <c r="F940">
        <v>1018</v>
      </c>
      <c r="G940" t="s">
        <v>112</v>
      </c>
      <c r="J940" t="s">
        <v>113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R940" t="s">
        <v>114</v>
      </c>
      <c r="S940" t="str">
        <f>"18:50:19.914"</f>
        <v>18:50:19.914</v>
      </c>
      <c r="T940" t="str">
        <f>"18:50:19.414"</f>
        <v>18:50:19.414</v>
      </c>
      <c r="U940" t="str">
        <f t="shared" si="43"/>
        <v>a1cdbe</v>
      </c>
      <c r="V940">
        <v>0</v>
      </c>
      <c r="W940">
        <v>0</v>
      </c>
      <c r="X940">
        <v>1</v>
      </c>
      <c r="Y940">
        <v>0</v>
      </c>
      <c r="Z940">
        <v>0</v>
      </c>
      <c r="AB940">
        <v>0</v>
      </c>
      <c r="AC940">
        <v>9</v>
      </c>
      <c r="AD940">
        <v>3</v>
      </c>
      <c r="AE940">
        <v>0</v>
      </c>
      <c r="AF940">
        <v>9</v>
      </c>
      <c r="AG940" t="s">
        <v>158</v>
      </c>
      <c r="AH940">
        <v>0</v>
      </c>
      <c r="AI940">
        <v>3</v>
      </c>
      <c r="AJ940">
        <v>1</v>
      </c>
      <c r="AK940">
        <v>0</v>
      </c>
      <c r="AL940" t="s">
        <v>1923</v>
      </c>
      <c r="AM940">
        <v>46.845101999999997</v>
      </c>
      <c r="AN940" t="s">
        <v>1942</v>
      </c>
      <c r="AO940">
        <v>-122.48039199999999</v>
      </c>
      <c r="AP940">
        <v>100</v>
      </c>
      <c r="AQ940">
        <v>2100</v>
      </c>
      <c r="AR940" t="s">
        <v>118</v>
      </c>
      <c r="AS940">
        <v>-83</v>
      </c>
      <c r="AT940">
        <v>7</v>
      </c>
      <c r="AU940">
        <v>-256</v>
      </c>
      <c r="BC940">
        <v>1200</v>
      </c>
      <c r="BD940">
        <v>1</v>
      </c>
      <c r="BE940" t="str">
        <f t="shared" si="44"/>
        <v xml:space="preserve">N215T   </v>
      </c>
      <c r="BF940">
        <v>1</v>
      </c>
      <c r="BH940">
        <v>0</v>
      </c>
      <c r="BI940">
        <v>0</v>
      </c>
      <c r="BJ940">
        <v>0</v>
      </c>
      <c r="BK940">
        <v>2475</v>
      </c>
      <c r="BL940">
        <v>375</v>
      </c>
      <c r="BM940" t="s">
        <v>119</v>
      </c>
      <c r="BN940">
        <v>1</v>
      </c>
      <c r="BO940">
        <v>1</v>
      </c>
      <c r="BP940">
        <v>1</v>
      </c>
      <c r="BQ940">
        <v>0</v>
      </c>
      <c r="BT940">
        <v>0</v>
      </c>
      <c r="BU940">
        <v>0</v>
      </c>
      <c r="BV940">
        <v>0</v>
      </c>
      <c r="CC940" t="str">
        <f>"18:50:19.914"</f>
        <v>18:50:19.914</v>
      </c>
      <c r="CD940" t="str">
        <f>"916277733"</f>
        <v>916277733</v>
      </c>
      <c r="CQ940">
        <v>0</v>
      </c>
      <c r="CR940">
        <v>2</v>
      </c>
      <c r="CS940">
        <v>0</v>
      </c>
      <c r="CT940">
        <v>2</v>
      </c>
      <c r="CU940">
        <v>0</v>
      </c>
      <c r="CV940">
        <v>5</v>
      </c>
      <c r="CW940" t="s">
        <v>120</v>
      </c>
      <c r="CX940">
        <v>261</v>
      </c>
      <c r="CY940">
        <v>1</v>
      </c>
      <c r="CZ940" t="s">
        <v>121</v>
      </c>
      <c r="DA940" t="s">
        <v>122</v>
      </c>
      <c r="DD940">
        <v>3674815</v>
      </c>
      <c r="DE940" t="s">
        <v>123</v>
      </c>
    </row>
    <row r="941" spans="1:109" x14ac:dyDescent="0.3">
      <c r="A941" t="str">
        <f>"18:50:20.977"</f>
        <v>18:50:20.977</v>
      </c>
      <c r="B941" t="s">
        <v>110</v>
      </c>
      <c r="C941" t="str">
        <f t="shared" si="42"/>
        <v>ffdfd3c0</v>
      </c>
      <c r="D941" t="s">
        <v>111</v>
      </c>
      <c r="E941">
        <v>18</v>
      </c>
      <c r="F941">
        <v>1018</v>
      </c>
      <c r="G941" t="s">
        <v>112</v>
      </c>
      <c r="J941" t="s">
        <v>113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R941" t="s">
        <v>114</v>
      </c>
      <c r="S941" t="str">
        <f>"18:50:20.734"</f>
        <v>18:50:20.734</v>
      </c>
      <c r="T941" t="str">
        <f>"18:50:20.438"</f>
        <v>18:50:20.438</v>
      </c>
      <c r="U941" t="str">
        <f t="shared" si="43"/>
        <v>a1cdbe</v>
      </c>
      <c r="V941">
        <v>0</v>
      </c>
      <c r="W941">
        <v>0</v>
      </c>
      <c r="X941">
        <v>1</v>
      </c>
      <c r="Y941">
        <v>0</v>
      </c>
      <c r="Z941">
        <v>0</v>
      </c>
      <c r="AB941">
        <v>0</v>
      </c>
      <c r="AC941">
        <v>9</v>
      </c>
      <c r="AD941">
        <v>3</v>
      </c>
      <c r="AE941">
        <v>0</v>
      </c>
      <c r="AF941">
        <v>9</v>
      </c>
      <c r="AG941" t="s">
        <v>158</v>
      </c>
      <c r="AH941">
        <v>0</v>
      </c>
      <c r="AI941">
        <v>3</v>
      </c>
      <c r="AJ941">
        <v>1</v>
      </c>
      <c r="AK941">
        <v>0</v>
      </c>
      <c r="AL941" t="s">
        <v>1920</v>
      </c>
      <c r="AM941">
        <v>46.845145000000002</v>
      </c>
      <c r="AN941" t="s">
        <v>1943</v>
      </c>
      <c r="AO941">
        <v>-122.48086499999999</v>
      </c>
      <c r="AP941">
        <v>100</v>
      </c>
      <c r="AQ941">
        <v>2100</v>
      </c>
      <c r="AR941" t="s">
        <v>118</v>
      </c>
      <c r="AS941">
        <v>-83</v>
      </c>
      <c r="AT941">
        <v>8</v>
      </c>
      <c r="AU941">
        <v>-320</v>
      </c>
      <c r="BC941">
        <v>1200</v>
      </c>
      <c r="BD941">
        <v>1</v>
      </c>
      <c r="BE941" t="str">
        <f t="shared" si="44"/>
        <v xml:space="preserve">N215T   </v>
      </c>
      <c r="BF941">
        <v>1</v>
      </c>
      <c r="BH941">
        <v>0</v>
      </c>
      <c r="BI941">
        <v>0</v>
      </c>
      <c r="BJ941">
        <v>0</v>
      </c>
      <c r="BK941">
        <v>2475</v>
      </c>
      <c r="BL941">
        <v>375</v>
      </c>
      <c r="BM941" t="s">
        <v>119</v>
      </c>
      <c r="BN941">
        <v>1</v>
      </c>
      <c r="BO941">
        <v>1</v>
      </c>
      <c r="BP941">
        <v>1</v>
      </c>
      <c r="BQ941">
        <v>0</v>
      </c>
      <c r="BT941">
        <v>0</v>
      </c>
      <c r="BU941">
        <v>0</v>
      </c>
      <c r="BV941">
        <v>0</v>
      </c>
      <c r="CC941" t="str">
        <f>"18:50:20.742"</f>
        <v>18:50:20.742</v>
      </c>
      <c r="CD941" t="str">
        <f>"741196456"</f>
        <v>741196456</v>
      </c>
      <c r="CQ941">
        <v>0</v>
      </c>
      <c r="CR941">
        <v>2</v>
      </c>
      <c r="CS941">
        <v>0</v>
      </c>
      <c r="CT941">
        <v>2</v>
      </c>
      <c r="CU941">
        <v>0</v>
      </c>
      <c r="CV941">
        <v>6</v>
      </c>
      <c r="CW941" t="s">
        <v>120</v>
      </c>
      <c r="CX941">
        <v>261</v>
      </c>
      <c r="CY941">
        <v>2</v>
      </c>
      <c r="CZ941" t="s">
        <v>121</v>
      </c>
      <c r="DA941" t="s">
        <v>122</v>
      </c>
      <c r="DD941">
        <v>14753041</v>
      </c>
      <c r="DE941" t="s">
        <v>123</v>
      </c>
    </row>
    <row r="942" spans="1:109" x14ac:dyDescent="0.3">
      <c r="A942" t="str">
        <f>"18:50:21.930"</f>
        <v>18:50:21.930</v>
      </c>
      <c r="B942" t="s">
        <v>110</v>
      </c>
      <c r="C942" t="str">
        <f t="shared" si="42"/>
        <v>ffdfd3c0</v>
      </c>
      <c r="D942" t="s">
        <v>111</v>
      </c>
      <c r="E942">
        <v>18</v>
      </c>
      <c r="F942">
        <v>1018</v>
      </c>
      <c r="G942" t="s">
        <v>112</v>
      </c>
      <c r="J942" t="s">
        <v>113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R942" t="s">
        <v>114</v>
      </c>
      <c r="S942" t="str">
        <f>"18:50:21.695"</f>
        <v>18:50:21.695</v>
      </c>
      <c r="T942" t="str">
        <f>"18:50:21.492"</f>
        <v>18:50:21.492</v>
      </c>
      <c r="U942" t="str">
        <f t="shared" si="43"/>
        <v>a1cdbe</v>
      </c>
      <c r="V942">
        <v>0</v>
      </c>
      <c r="W942">
        <v>0</v>
      </c>
      <c r="X942">
        <v>1</v>
      </c>
      <c r="Y942">
        <v>0</v>
      </c>
      <c r="Z942">
        <v>0</v>
      </c>
      <c r="AB942">
        <v>0</v>
      </c>
      <c r="AC942">
        <v>9</v>
      </c>
      <c r="AD942">
        <v>3</v>
      </c>
      <c r="AE942">
        <v>0</v>
      </c>
      <c r="AF942">
        <v>9</v>
      </c>
      <c r="AG942" t="s">
        <v>158</v>
      </c>
      <c r="AH942">
        <v>0</v>
      </c>
      <c r="AI942">
        <v>3</v>
      </c>
      <c r="AJ942">
        <v>1</v>
      </c>
      <c r="AK942">
        <v>0</v>
      </c>
      <c r="AL942" t="s">
        <v>1920</v>
      </c>
      <c r="AM942">
        <v>46.845145000000002</v>
      </c>
      <c r="AN942" t="s">
        <v>1944</v>
      </c>
      <c r="AO942">
        <v>-122.48142199999999</v>
      </c>
      <c r="AP942">
        <v>100</v>
      </c>
      <c r="AQ942">
        <v>2100</v>
      </c>
      <c r="AR942" t="s">
        <v>118</v>
      </c>
      <c r="AS942">
        <v>-83</v>
      </c>
      <c r="AT942">
        <v>9</v>
      </c>
      <c r="AU942">
        <v>-128</v>
      </c>
      <c r="BC942">
        <v>1200</v>
      </c>
      <c r="BD942">
        <v>1</v>
      </c>
      <c r="BE942" t="str">
        <f t="shared" si="44"/>
        <v xml:space="preserve">N215T   </v>
      </c>
      <c r="BF942">
        <v>1</v>
      </c>
      <c r="BH942">
        <v>0</v>
      </c>
      <c r="BI942">
        <v>0</v>
      </c>
      <c r="BJ942">
        <v>0</v>
      </c>
      <c r="BK942">
        <v>2450</v>
      </c>
      <c r="BL942">
        <v>350</v>
      </c>
      <c r="BM942" t="s">
        <v>119</v>
      </c>
      <c r="BN942">
        <v>1</v>
      </c>
      <c r="BO942">
        <v>1</v>
      </c>
      <c r="BP942">
        <v>1</v>
      </c>
      <c r="BQ942">
        <v>0</v>
      </c>
      <c r="BT942">
        <v>0</v>
      </c>
      <c r="BU942">
        <v>0</v>
      </c>
      <c r="BV942">
        <v>0</v>
      </c>
      <c r="CC942" t="str">
        <f>"18:50:21.703"</f>
        <v>18:50:21.703</v>
      </c>
      <c r="CD942" t="str">
        <f>"701222999"</f>
        <v>701222999</v>
      </c>
      <c r="CQ942">
        <v>0</v>
      </c>
      <c r="CR942">
        <v>2</v>
      </c>
      <c r="CS942">
        <v>0</v>
      </c>
      <c r="CT942">
        <v>2</v>
      </c>
      <c r="CU942">
        <v>0</v>
      </c>
      <c r="CV942">
        <v>6</v>
      </c>
      <c r="CW942" t="s">
        <v>120</v>
      </c>
      <c r="CX942">
        <v>257</v>
      </c>
      <c r="CY942">
        <v>1</v>
      </c>
      <c r="CZ942" t="s">
        <v>615</v>
      </c>
      <c r="DA942" t="s">
        <v>616</v>
      </c>
      <c r="DD942">
        <v>11079081</v>
      </c>
      <c r="DE942" t="s">
        <v>123</v>
      </c>
    </row>
    <row r="943" spans="1:109" x14ac:dyDescent="0.3">
      <c r="A943" t="str">
        <f>"18:50:23.086"</f>
        <v>18:50:23.086</v>
      </c>
      <c r="B943" t="s">
        <v>110</v>
      </c>
      <c r="C943" t="str">
        <f t="shared" si="42"/>
        <v>ffdfd3c0</v>
      </c>
      <c r="D943" t="s">
        <v>111</v>
      </c>
      <c r="E943">
        <v>18</v>
      </c>
      <c r="F943">
        <v>1018</v>
      </c>
      <c r="G943" t="s">
        <v>112</v>
      </c>
      <c r="J943" t="s">
        <v>113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R943" t="s">
        <v>114</v>
      </c>
      <c r="S943" t="str">
        <f>"18:50:22.852"</f>
        <v>18:50:22.852</v>
      </c>
      <c r="T943" t="str">
        <f>"18:50:22.453"</f>
        <v>18:50:22.453</v>
      </c>
      <c r="U943" t="str">
        <f t="shared" si="43"/>
        <v>a1cdbe</v>
      </c>
      <c r="V943">
        <v>0</v>
      </c>
      <c r="W943">
        <v>0</v>
      </c>
      <c r="X943">
        <v>1</v>
      </c>
      <c r="Y943">
        <v>0</v>
      </c>
      <c r="Z943">
        <v>0</v>
      </c>
      <c r="AB943">
        <v>0</v>
      </c>
      <c r="AC943">
        <v>9</v>
      </c>
      <c r="AD943">
        <v>3</v>
      </c>
      <c r="AE943">
        <v>0</v>
      </c>
      <c r="AF943">
        <v>9</v>
      </c>
      <c r="AG943" t="s">
        <v>158</v>
      </c>
      <c r="AH943">
        <v>0</v>
      </c>
      <c r="AI943">
        <v>3</v>
      </c>
      <c r="AJ943">
        <v>1</v>
      </c>
      <c r="AK943">
        <v>0</v>
      </c>
      <c r="AL943" t="s">
        <v>1916</v>
      </c>
      <c r="AM943">
        <v>46.845253</v>
      </c>
      <c r="AN943" t="s">
        <v>1945</v>
      </c>
      <c r="AO943">
        <v>-122.482088</v>
      </c>
      <c r="AP943">
        <v>100</v>
      </c>
      <c r="AQ943">
        <v>2100</v>
      </c>
      <c r="AR943" t="s">
        <v>118</v>
      </c>
      <c r="AS943">
        <v>-84</v>
      </c>
      <c r="AT943">
        <v>10</v>
      </c>
      <c r="AU943">
        <v>-256</v>
      </c>
      <c r="BC943">
        <v>1200</v>
      </c>
      <c r="BD943">
        <v>1</v>
      </c>
      <c r="BE943" t="str">
        <f t="shared" si="44"/>
        <v xml:space="preserve">N215T   </v>
      </c>
      <c r="BF943">
        <v>1</v>
      </c>
      <c r="BH943">
        <v>0</v>
      </c>
      <c r="BI943">
        <v>0</v>
      </c>
      <c r="BJ943">
        <v>0</v>
      </c>
      <c r="BK943">
        <v>2450</v>
      </c>
      <c r="BL943">
        <v>350</v>
      </c>
      <c r="BM943" t="s">
        <v>119</v>
      </c>
      <c r="BN943">
        <v>1</v>
      </c>
      <c r="BO943">
        <v>1</v>
      </c>
      <c r="BP943">
        <v>1</v>
      </c>
      <c r="BQ943">
        <v>0</v>
      </c>
      <c r="BT943">
        <v>0</v>
      </c>
      <c r="BU943">
        <v>0</v>
      </c>
      <c r="BV943">
        <v>0</v>
      </c>
      <c r="CC943" t="str">
        <f>"18:50:22.859"</f>
        <v>18:50:22.859</v>
      </c>
      <c r="CD943" t="str">
        <f>"855988088"</f>
        <v>855988088</v>
      </c>
      <c r="CQ943">
        <v>0</v>
      </c>
      <c r="CR943">
        <v>2</v>
      </c>
      <c r="CS943">
        <v>0</v>
      </c>
      <c r="CT943">
        <v>2</v>
      </c>
      <c r="CU943">
        <v>0</v>
      </c>
      <c r="CV943">
        <v>6</v>
      </c>
      <c r="CW943" t="s">
        <v>120</v>
      </c>
      <c r="CX943">
        <v>261</v>
      </c>
      <c r="CY943">
        <v>2</v>
      </c>
      <c r="CZ943" t="s">
        <v>121</v>
      </c>
      <c r="DA943" t="s">
        <v>122</v>
      </c>
      <c r="DD943">
        <v>14754222</v>
      </c>
      <c r="DE943" t="s">
        <v>123</v>
      </c>
    </row>
    <row r="944" spans="1:109" x14ac:dyDescent="0.3">
      <c r="A944" t="str">
        <f>"18:50:24.094"</f>
        <v>18:50:24.094</v>
      </c>
      <c r="B944" t="s">
        <v>110</v>
      </c>
      <c r="C944" t="str">
        <f t="shared" si="42"/>
        <v>ffdfd3c0</v>
      </c>
      <c r="D944" t="s">
        <v>111</v>
      </c>
      <c r="E944">
        <v>18</v>
      </c>
      <c r="F944">
        <v>1018</v>
      </c>
      <c r="G944" t="s">
        <v>112</v>
      </c>
      <c r="J944" t="s">
        <v>113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R944" t="s">
        <v>114</v>
      </c>
      <c r="S944" t="str">
        <f>"18:50:23.859"</f>
        <v>18:50:23.859</v>
      </c>
      <c r="T944" t="str">
        <f>"18:50:23.859"</f>
        <v>18:50:23.859</v>
      </c>
      <c r="U944" t="str">
        <f t="shared" si="43"/>
        <v>a1cdbe</v>
      </c>
      <c r="V944">
        <v>0</v>
      </c>
      <c r="W944">
        <v>0</v>
      </c>
      <c r="X944">
        <v>1</v>
      </c>
      <c r="Y944">
        <v>0</v>
      </c>
      <c r="Z944">
        <v>0</v>
      </c>
      <c r="AB944">
        <v>0</v>
      </c>
      <c r="AC944">
        <v>9</v>
      </c>
      <c r="AD944">
        <v>3</v>
      </c>
      <c r="AE944">
        <v>0</v>
      </c>
      <c r="AF944">
        <v>9</v>
      </c>
      <c r="AG944" t="s">
        <v>158</v>
      </c>
      <c r="AH944">
        <v>0</v>
      </c>
      <c r="AI944">
        <v>3</v>
      </c>
      <c r="AJ944">
        <v>1</v>
      </c>
      <c r="AK944">
        <v>0</v>
      </c>
      <c r="AL944" t="s">
        <v>1912</v>
      </c>
      <c r="AM944">
        <v>46.845274000000003</v>
      </c>
      <c r="AN944" t="s">
        <v>1946</v>
      </c>
      <c r="AO944">
        <v>-122.48266700000001</v>
      </c>
      <c r="AP944">
        <v>100</v>
      </c>
      <c r="AQ944">
        <v>2100</v>
      </c>
      <c r="AR944" t="s">
        <v>118</v>
      </c>
      <c r="AS944">
        <v>-84</v>
      </c>
      <c r="AT944">
        <v>11</v>
      </c>
      <c r="AU944">
        <v>64</v>
      </c>
      <c r="BC944">
        <v>1200</v>
      </c>
      <c r="BD944">
        <v>1</v>
      </c>
      <c r="BE944" t="str">
        <f t="shared" si="44"/>
        <v xml:space="preserve">N215T   </v>
      </c>
      <c r="BF944">
        <v>1</v>
      </c>
      <c r="BH944">
        <v>0</v>
      </c>
      <c r="BI944">
        <v>0</v>
      </c>
      <c r="BJ944">
        <v>0</v>
      </c>
      <c r="BK944">
        <v>2450</v>
      </c>
      <c r="BL944">
        <v>350</v>
      </c>
      <c r="BM944" t="s">
        <v>119</v>
      </c>
      <c r="BN944">
        <v>1</v>
      </c>
      <c r="BO944">
        <v>1</v>
      </c>
      <c r="BP944">
        <v>1</v>
      </c>
      <c r="BQ944">
        <v>0</v>
      </c>
      <c r="BT944">
        <v>0</v>
      </c>
      <c r="BU944">
        <v>0</v>
      </c>
      <c r="BV944">
        <v>0</v>
      </c>
      <c r="CC944" t="str">
        <f>"18:50:23.859"</f>
        <v>18:50:23.859</v>
      </c>
      <c r="CD944" t="str">
        <f>"861010079"</f>
        <v>861010079</v>
      </c>
      <c r="CQ944">
        <v>0</v>
      </c>
      <c r="CR944">
        <v>2</v>
      </c>
      <c r="CS944">
        <v>0</v>
      </c>
      <c r="CT944">
        <v>2</v>
      </c>
      <c r="CU944">
        <v>0</v>
      </c>
      <c r="CV944">
        <v>6</v>
      </c>
      <c r="CW944" t="s">
        <v>120</v>
      </c>
      <c r="CX944">
        <v>257</v>
      </c>
      <c r="CY944">
        <v>1</v>
      </c>
      <c r="CZ944" t="s">
        <v>615</v>
      </c>
      <c r="DA944" t="s">
        <v>616</v>
      </c>
      <c r="DD944">
        <v>11080583</v>
      </c>
      <c r="DE944" t="s">
        <v>123</v>
      </c>
    </row>
    <row r="945" spans="1:109" x14ac:dyDescent="0.3">
      <c r="A945" t="str">
        <f>"18:50:25.102"</f>
        <v>18:50:25.102</v>
      </c>
      <c r="B945" t="s">
        <v>110</v>
      </c>
      <c r="C945" t="str">
        <f t="shared" si="42"/>
        <v>ffdfd3c0</v>
      </c>
      <c r="D945" t="s">
        <v>111</v>
      </c>
      <c r="E945">
        <v>18</v>
      </c>
      <c r="F945">
        <v>1018</v>
      </c>
      <c r="G945" t="s">
        <v>112</v>
      </c>
      <c r="J945" t="s">
        <v>113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R945" t="s">
        <v>114</v>
      </c>
      <c r="S945" t="str">
        <f>"18:50:24.859"</f>
        <v>18:50:24.859</v>
      </c>
      <c r="T945" t="str">
        <f>"18:50:24.859"</f>
        <v>18:50:24.859</v>
      </c>
      <c r="U945" t="str">
        <f t="shared" si="43"/>
        <v>a1cdbe</v>
      </c>
      <c r="V945">
        <v>0</v>
      </c>
      <c r="W945">
        <v>0</v>
      </c>
      <c r="X945">
        <v>1</v>
      </c>
      <c r="Y945">
        <v>0</v>
      </c>
      <c r="Z945">
        <v>0</v>
      </c>
      <c r="AB945">
        <v>0</v>
      </c>
      <c r="AC945">
        <v>9</v>
      </c>
      <c r="AD945">
        <v>3</v>
      </c>
      <c r="AE945">
        <v>0</v>
      </c>
      <c r="AF945">
        <v>9</v>
      </c>
      <c r="AG945" t="s">
        <v>158</v>
      </c>
      <c r="AH945">
        <v>0</v>
      </c>
      <c r="AI945">
        <v>3</v>
      </c>
      <c r="AJ945">
        <v>1</v>
      </c>
      <c r="AK945">
        <v>0</v>
      </c>
      <c r="AL945" t="s">
        <v>1910</v>
      </c>
      <c r="AM945">
        <v>46.845337999999998</v>
      </c>
      <c r="AN945" t="s">
        <v>1947</v>
      </c>
      <c r="AO945">
        <v>-122.483225</v>
      </c>
      <c r="AP945">
        <v>100</v>
      </c>
      <c r="AQ945">
        <v>2100</v>
      </c>
      <c r="AR945" t="s">
        <v>118</v>
      </c>
      <c r="AS945">
        <v>-84</v>
      </c>
      <c r="AT945">
        <v>11</v>
      </c>
      <c r="AU945">
        <v>0</v>
      </c>
      <c r="BC945">
        <v>1200</v>
      </c>
      <c r="BD945">
        <v>1</v>
      </c>
      <c r="BE945" t="str">
        <f t="shared" si="44"/>
        <v xml:space="preserve">N215T   </v>
      </c>
      <c r="BF945">
        <v>1</v>
      </c>
      <c r="BH945">
        <v>0</v>
      </c>
      <c r="BI945">
        <v>0</v>
      </c>
      <c r="BJ945">
        <v>0</v>
      </c>
      <c r="BK945">
        <v>2450</v>
      </c>
      <c r="BL945">
        <v>350</v>
      </c>
      <c r="BM945" t="s">
        <v>119</v>
      </c>
      <c r="BN945">
        <v>1</v>
      </c>
      <c r="BO945">
        <v>1</v>
      </c>
      <c r="BP945">
        <v>1</v>
      </c>
      <c r="BQ945">
        <v>0</v>
      </c>
      <c r="BT945">
        <v>0</v>
      </c>
      <c r="BU945">
        <v>0</v>
      </c>
      <c r="BV945">
        <v>0</v>
      </c>
      <c r="CC945" t="str">
        <f>"18:50:24.867"</f>
        <v>18:50:24.867</v>
      </c>
      <c r="CD945" t="str">
        <f>"865790086"</f>
        <v>865790086</v>
      </c>
      <c r="CQ945">
        <v>0</v>
      </c>
      <c r="CR945">
        <v>2</v>
      </c>
      <c r="CS945">
        <v>0</v>
      </c>
      <c r="CT945">
        <v>2</v>
      </c>
      <c r="CU945">
        <v>0</v>
      </c>
      <c r="CV945">
        <v>6</v>
      </c>
      <c r="CW945" t="s">
        <v>120</v>
      </c>
      <c r="CX945">
        <v>261</v>
      </c>
      <c r="CY945">
        <v>2</v>
      </c>
      <c r="CZ945" t="s">
        <v>121</v>
      </c>
      <c r="DA945" t="s">
        <v>122</v>
      </c>
      <c r="DD945">
        <v>14755418</v>
      </c>
      <c r="DE945" t="s">
        <v>123</v>
      </c>
    </row>
    <row r="946" spans="1:109" x14ac:dyDescent="0.3">
      <c r="A946" t="str">
        <f>"18:50:26.008"</f>
        <v>18:50:26.008</v>
      </c>
      <c r="B946" t="s">
        <v>110</v>
      </c>
      <c r="C946" t="str">
        <f t="shared" si="42"/>
        <v>ffdfd3c0</v>
      </c>
      <c r="D946" t="s">
        <v>111</v>
      </c>
      <c r="E946">
        <v>18</v>
      </c>
      <c r="F946">
        <v>1018</v>
      </c>
      <c r="G946" t="s">
        <v>112</v>
      </c>
      <c r="J946" t="s">
        <v>113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R946" t="s">
        <v>114</v>
      </c>
      <c r="S946" t="str">
        <f>"18:50:25.789"</f>
        <v>18:50:25.789</v>
      </c>
      <c r="T946" t="str">
        <f>"18:50:25.391"</f>
        <v>18:50:25.391</v>
      </c>
      <c r="U946" t="str">
        <f t="shared" si="43"/>
        <v>a1cdbe</v>
      </c>
      <c r="V946">
        <v>0</v>
      </c>
      <c r="W946">
        <v>0</v>
      </c>
      <c r="X946">
        <v>1</v>
      </c>
      <c r="Y946">
        <v>0</v>
      </c>
      <c r="Z946">
        <v>0</v>
      </c>
      <c r="AB946">
        <v>0</v>
      </c>
      <c r="AC946">
        <v>9</v>
      </c>
      <c r="AD946">
        <v>3</v>
      </c>
      <c r="AE946">
        <v>0</v>
      </c>
      <c r="AF946">
        <v>9</v>
      </c>
      <c r="AG946" t="s">
        <v>158</v>
      </c>
      <c r="AH946">
        <v>0</v>
      </c>
      <c r="AI946">
        <v>3</v>
      </c>
      <c r="AJ946">
        <v>1</v>
      </c>
      <c r="AK946">
        <v>0</v>
      </c>
      <c r="AL946" t="s">
        <v>1908</v>
      </c>
      <c r="AM946">
        <v>46.845381000000003</v>
      </c>
      <c r="AN946" t="s">
        <v>1948</v>
      </c>
      <c r="AO946">
        <v>-122.483761</v>
      </c>
      <c r="AP946">
        <v>100</v>
      </c>
      <c r="AQ946">
        <v>2100</v>
      </c>
      <c r="AR946" t="s">
        <v>118</v>
      </c>
      <c r="AS946">
        <v>-84</v>
      </c>
      <c r="AT946">
        <v>11</v>
      </c>
      <c r="AU946">
        <v>-64</v>
      </c>
      <c r="BC946">
        <v>1200</v>
      </c>
      <c r="BD946">
        <v>1</v>
      </c>
      <c r="BE946" t="str">
        <f t="shared" si="44"/>
        <v xml:space="preserve">N215T   </v>
      </c>
      <c r="BF946">
        <v>1</v>
      </c>
      <c r="BH946">
        <v>0</v>
      </c>
      <c r="BI946">
        <v>0</v>
      </c>
      <c r="BJ946">
        <v>0</v>
      </c>
      <c r="BK946">
        <v>2450</v>
      </c>
      <c r="BL946">
        <v>350</v>
      </c>
      <c r="BM946" t="s">
        <v>119</v>
      </c>
      <c r="BN946">
        <v>1</v>
      </c>
      <c r="BO946">
        <v>1</v>
      </c>
      <c r="BP946">
        <v>1</v>
      </c>
      <c r="BQ946">
        <v>0</v>
      </c>
      <c r="BT946">
        <v>0</v>
      </c>
      <c r="BU946">
        <v>0</v>
      </c>
      <c r="BV946">
        <v>0</v>
      </c>
      <c r="CC946" t="str">
        <f>"18:50:25.797"</f>
        <v>18:50:25.797</v>
      </c>
      <c r="CD946" t="str">
        <f>"795698454"</f>
        <v>795698454</v>
      </c>
      <c r="CQ946">
        <v>0</v>
      </c>
      <c r="CR946">
        <v>2</v>
      </c>
      <c r="CS946">
        <v>0</v>
      </c>
      <c r="CT946">
        <v>2</v>
      </c>
      <c r="CU946">
        <v>0</v>
      </c>
      <c r="CV946">
        <v>6</v>
      </c>
      <c r="CW946" t="s">
        <v>120</v>
      </c>
      <c r="CX946">
        <v>261</v>
      </c>
      <c r="CY946">
        <v>2</v>
      </c>
      <c r="CZ946" t="s">
        <v>121</v>
      </c>
      <c r="DA946" t="s">
        <v>122</v>
      </c>
      <c r="DD946">
        <v>14756002</v>
      </c>
      <c r="DE946" t="s">
        <v>123</v>
      </c>
    </row>
    <row r="947" spans="1:109" x14ac:dyDescent="0.3">
      <c r="A947" t="str">
        <f>"18:50:27.211"</f>
        <v>18:50:27.211</v>
      </c>
      <c r="B947" t="s">
        <v>110</v>
      </c>
      <c r="C947" t="str">
        <f t="shared" si="42"/>
        <v>ffdfd3c0</v>
      </c>
      <c r="D947" t="s">
        <v>111</v>
      </c>
      <c r="E947">
        <v>18</v>
      </c>
      <c r="F947">
        <v>1018</v>
      </c>
      <c r="G947" t="s">
        <v>112</v>
      </c>
      <c r="J947" t="s">
        <v>113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R947" t="s">
        <v>114</v>
      </c>
      <c r="S947" t="str">
        <f>"18:50:26.945"</f>
        <v>18:50:26.945</v>
      </c>
      <c r="T947" t="str">
        <f>"18:50:26.445"</f>
        <v>18:50:26.445</v>
      </c>
      <c r="U947" t="str">
        <f t="shared" si="43"/>
        <v>a1cdbe</v>
      </c>
      <c r="V947">
        <v>0</v>
      </c>
      <c r="W947">
        <v>0</v>
      </c>
      <c r="X947">
        <v>1</v>
      </c>
      <c r="Y947">
        <v>0</v>
      </c>
      <c r="Z947">
        <v>0</v>
      </c>
      <c r="AB947">
        <v>0</v>
      </c>
      <c r="AC947">
        <v>9</v>
      </c>
      <c r="AD947">
        <v>3</v>
      </c>
      <c r="AE947">
        <v>0</v>
      </c>
      <c r="AF947">
        <v>9</v>
      </c>
      <c r="AG947" t="s">
        <v>158</v>
      </c>
      <c r="AH947">
        <v>0</v>
      </c>
      <c r="AI947">
        <v>3</v>
      </c>
      <c r="AJ947">
        <v>1</v>
      </c>
      <c r="AK947">
        <v>0</v>
      </c>
      <c r="AL947" t="s">
        <v>1906</v>
      </c>
      <c r="AM947">
        <v>46.845424000000001</v>
      </c>
      <c r="AN947" t="s">
        <v>1949</v>
      </c>
      <c r="AO947">
        <v>-122.484362</v>
      </c>
      <c r="AP947">
        <v>100</v>
      </c>
      <c r="AQ947">
        <v>2100</v>
      </c>
      <c r="AR947" t="s">
        <v>118</v>
      </c>
      <c r="AS947">
        <v>-84</v>
      </c>
      <c r="AT947">
        <v>11</v>
      </c>
      <c r="AU947">
        <v>-64</v>
      </c>
      <c r="BC947">
        <v>1200</v>
      </c>
      <c r="BD947">
        <v>1</v>
      </c>
      <c r="BE947" t="str">
        <f t="shared" si="44"/>
        <v xml:space="preserve">N215T   </v>
      </c>
      <c r="BF947">
        <v>1</v>
      </c>
      <c r="BH947">
        <v>0</v>
      </c>
      <c r="BI947">
        <v>0</v>
      </c>
      <c r="BJ947">
        <v>0</v>
      </c>
      <c r="BK947">
        <v>2450</v>
      </c>
      <c r="BL947">
        <v>350</v>
      </c>
      <c r="BM947" t="s">
        <v>119</v>
      </c>
      <c r="BN947">
        <v>1</v>
      </c>
      <c r="BO947">
        <v>1</v>
      </c>
      <c r="BP947">
        <v>1</v>
      </c>
      <c r="BQ947">
        <v>0</v>
      </c>
      <c r="BT947">
        <v>0</v>
      </c>
      <c r="BU947">
        <v>0</v>
      </c>
      <c r="BV947">
        <v>0</v>
      </c>
      <c r="CC947" t="str">
        <f>"18:50:26.953"</f>
        <v>18:50:26.953</v>
      </c>
      <c r="CD947" t="str">
        <f>"950584646"</f>
        <v>950584646</v>
      </c>
      <c r="CQ947">
        <v>0</v>
      </c>
      <c r="CR947">
        <v>2</v>
      </c>
      <c r="CS947">
        <v>0</v>
      </c>
      <c r="CT947">
        <v>2</v>
      </c>
      <c r="CU947">
        <v>0</v>
      </c>
      <c r="CV947">
        <v>6</v>
      </c>
      <c r="CW947" t="s">
        <v>120</v>
      </c>
      <c r="CX947">
        <v>261</v>
      </c>
      <c r="CY947">
        <v>2</v>
      </c>
      <c r="CZ947" t="s">
        <v>121</v>
      </c>
      <c r="DA947" t="s">
        <v>122</v>
      </c>
      <c r="DD947">
        <v>14756694</v>
      </c>
      <c r="DE947" t="s">
        <v>123</v>
      </c>
    </row>
    <row r="948" spans="1:109" x14ac:dyDescent="0.3">
      <c r="A948" t="str">
        <f>"18:50:28.063"</f>
        <v>18:50:28.063</v>
      </c>
      <c r="B948" t="s">
        <v>110</v>
      </c>
      <c r="C948" t="str">
        <f t="shared" si="42"/>
        <v>ffdfd3c0</v>
      </c>
      <c r="D948" t="s">
        <v>111</v>
      </c>
      <c r="E948">
        <v>18</v>
      </c>
      <c r="F948">
        <v>1018</v>
      </c>
      <c r="G948" t="s">
        <v>112</v>
      </c>
      <c r="J948" t="s">
        <v>113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R948" t="s">
        <v>114</v>
      </c>
      <c r="S948" t="str">
        <f>"18:50:27.859"</f>
        <v>18:50:27.859</v>
      </c>
      <c r="T948" t="str">
        <f>"18:50:27.359"</f>
        <v>18:50:27.359</v>
      </c>
      <c r="U948" t="str">
        <f t="shared" si="43"/>
        <v>a1cdbe</v>
      </c>
      <c r="V948">
        <v>0</v>
      </c>
      <c r="W948">
        <v>0</v>
      </c>
      <c r="X948">
        <v>1</v>
      </c>
      <c r="Y948">
        <v>0</v>
      </c>
      <c r="Z948">
        <v>0</v>
      </c>
      <c r="AB948">
        <v>0</v>
      </c>
      <c r="AC948">
        <v>9</v>
      </c>
      <c r="AD948">
        <v>3</v>
      </c>
      <c r="AE948">
        <v>0</v>
      </c>
      <c r="AF948">
        <v>9</v>
      </c>
      <c r="AG948" t="s">
        <v>158</v>
      </c>
      <c r="AH948">
        <v>0</v>
      </c>
      <c r="AI948">
        <v>3</v>
      </c>
      <c r="AJ948">
        <v>1</v>
      </c>
      <c r="AK948">
        <v>0</v>
      </c>
      <c r="AL948" t="s">
        <v>1904</v>
      </c>
      <c r="AM948">
        <v>46.845466999999999</v>
      </c>
      <c r="AN948" t="s">
        <v>1950</v>
      </c>
      <c r="AO948">
        <v>-122.48492</v>
      </c>
      <c r="AP948">
        <v>100</v>
      </c>
      <c r="AQ948">
        <v>2100</v>
      </c>
      <c r="AR948" t="s">
        <v>118</v>
      </c>
      <c r="AS948">
        <v>-83</v>
      </c>
      <c r="AT948">
        <v>11</v>
      </c>
      <c r="AU948">
        <v>0</v>
      </c>
      <c r="BC948">
        <v>1200</v>
      </c>
      <c r="BD948">
        <v>1</v>
      </c>
      <c r="BE948" t="str">
        <f t="shared" si="44"/>
        <v xml:space="preserve">N215T   </v>
      </c>
      <c r="BF948">
        <v>1</v>
      </c>
      <c r="BH948">
        <v>0</v>
      </c>
      <c r="BI948">
        <v>0</v>
      </c>
      <c r="BJ948">
        <v>0</v>
      </c>
      <c r="BK948">
        <v>2450</v>
      </c>
      <c r="BL948">
        <v>350</v>
      </c>
      <c r="BM948" t="s">
        <v>119</v>
      </c>
      <c r="BN948">
        <v>1</v>
      </c>
      <c r="BO948">
        <v>1</v>
      </c>
      <c r="BP948">
        <v>1</v>
      </c>
      <c r="BQ948">
        <v>0</v>
      </c>
      <c r="BT948">
        <v>0</v>
      </c>
      <c r="BU948">
        <v>0</v>
      </c>
      <c r="BV948">
        <v>0</v>
      </c>
      <c r="CC948" t="str">
        <f>"18:50:27.867"</f>
        <v>18:50:27.867</v>
      </c>
      <c r="CD948" t="str">
        <f>"865494520"</f>
        <v>865494520</v>
      </c>
      <c r="CQ948">
        <v>0</v>
      </c>
      <c r="CR948">
        <v>2</v>
      </c>
      <c r="CS948">
        <v>0</v>
      </c>
      <c r="CT948">
        <v>2</v>
      </c>
      <c r="CU948">
        <v>0</v>
      </c>
      <c r="CV948">
        <v>6</v>
      </c>
      <c r="CW948" t="s">
        <v>120</v>
      </c>
      <c r="CX948">
        <v>261</v>
      </c>
      <c r="CY948">
        <v>2</v>
      </c>
      <c r="CZ948" t="s">
        <v>121</v>
      </c>
      <c r="DA948" t="s">
        <v>122</v>
      </c>
      <c r="DD948">
        <v>14757192</v>
      </c>
      <c r="DE948" t="s">
        <v>123</v>
      </c>
    </row>
    <row r="949" spans="1:109" x14ac:dyDescent="0.3">
      <c r="A949" t="str">
        <f>"18:50:29.070"</f>
        <v>18:50:29.070</v>
      </c>
      <c r="B949" t="s">
        <v>110</v>
      </c>
      <c r="C949" t="str">
        <f t="shared" si="42"/>
        <v>ffdfd3c0</v>
      </c>
      <c r="D949" t="s">
        <v>111</v>
      </c>
      <c r="E949">
        <v>18</v>
      </c>
      <c r="F949">
        <v>1018</v>
      </c>
      <c r="G949" t="s">
        <v>112</v>
      </c>
      <c r="J949" t="s">
        <v>113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R949" t="s">
        <v>114</v>
      </c>
      <c r="S949" t="str">
        <f>"18:50:28.836"</f>
        <v>18:50:28.836</v>
      </c>
      <c r="T949" t="str">
        <f>"18:50:28.438"</f>
        <v>18:50:28.438</v>
      </c>
      <c r="U949" t="str">
        <f t="shared" si="43"/>
        <v>a1cdbe</v>
      </c>
      <c r="V949">
        <v>0</v>
      </c>
      <c r="W949">
        <v>0</v>
      </c>
      <c r="X949">
        <v>1</v>
      </c>
      <c r="Y949">
        <v>0</v>
      </c>
      <c r="Z949">
        <v>0</v>
      </c>
      <c r="AB949">
        <v>0</v>
      </c>
      <c r="AC949">
        <v>9</v>
      </c>
      <c r="AD949">
        <v>3</v>
      </c>
      <c r="AE949">
        <v>0</v>
      </c>
      <c r="AF949">
        <v>9</v>
      </c>
      <c r="AG949" t="s">
        <v>158</v>
      </c>
      <c r="AH949">
        <v>0</v>
      </c>
      <c r="AI949">
        <v>3</v>
      </c>
      <c r="AJ949">
        <v>1</v>
      </c>
      <c r="AK949">
        <v>0</v>
      </c>
      <c r="AL949" t="s">
        <v>1902</v>
      </c>
      <c r="AM949">
        <v>46.845509999999997</v>
      </c>
      <c r="AN949" t="s">
        <v>1951</v>
      </c>
      <c r="AO949">
        <v>-122.485435</v>
      </c>
      <c r="AP949">
        <v>100</v>
      </c>
      <c r="AQ949">
        <v>2100</v>
      </c>
      <c r="AR949" t="s">
        <v>118</v>
      </c>
      <c r="AS949">
        <v>-83</v>
      </c>
      <c r="AT949">
        <v>11</v>
      </c>
      <c r="AU949">
        <v>256</v>
      </c>
      <c r="BC949">
        <v>1200</v>
      </c>
      <c r="BD949">
        <v>1</v>
      </c>
      <c r="BE949" t="str">
        <f t="shared" si="44"/>
        <v xml:space="preserve">N215T   </v>
      </c>
      <c r="BF949">
        <v>1</v>
      </c>
      <c r="BH949">
        <v>0</v>
      </c>
      <c r="BI949">
        <v>0</v>
      </c>
      <c r="BJ949">
        <v>0</v>
      </c>
      <c r="BK949">
        <v>2450</v>
      </c>
      <c r="BL949">
        <v>350</v>
      </c>
      <c r="BM949" t="s">
        <v>119</v>
      </c>
      <c r="BN949">
        <v>1</v>
      </c>
      <c r="BO949">
        <v>1</v>
      </c>
      <c r="BP949">
        <v>1</v>
      </c>
      <c r="BQ949">
        <v>0</v>
      </c>
      <c r="BT949">
        <v>0</v>
      </c>
      <c r="BU949">
        <v>0</v>
      </c>
      <c r="BV949">
        <v>0</v>
      </c>
      <c r="CC949" t="str">
        <f>"18:50:28.844"</f>
        <v>18:50:28.844</v>
      </c>
      <c r="CD949" t="str">
        <f>"840398394"</f>
        <v>840398394</v>
      </c>
      <c r="CQ949">
        <v>0</v>
      </c>
      <c r="CR949">
        <v>2</v>
      </c>
      <c r="CS949">
        <v>0</v>
      </c>
      <c r="CT949">
        <v>2</v>
      </c>
      <c r="CU949">
        <v>0</v>
      </c>
      <c r="CV949">
        <v>6</v>
      </c>
      <c r="CW949" t="s">
        <v>120</v>
      </c>
      <c r="CX949">
        <v>261</v>
      </c>
      <c r="CY949">
        <v>2</v>
      </c>
      <c r="CZ949" t="s">
        <v>121</v>
      </c>
      <c r="DA949" t="s">
        <v>122</v>
      </c>
      <c r="DD949">
        <v>14757762</v>
      </c>
      <c r="DE949" t="s">
        <v>123</v>
      </c>
    </row>
    <row r="950" spans="1:109" x14ac:dyDescent="0.3">
      <c r="A950" t="str">
        <f>"18:50:30.180"</f>
        <v>18:50:30.180</v>
      </c>
      <c r="B950" t="s">
        <v>110</v>
      </c>
      <c r="C950" t="str">
        <f t="shared" si="42"/>
        <v>ffdfd3c0</v>
      </c>
      <c r="D950" t="s">
        <v>111</v>
      </c>
      <c r="E950">
        <v>18</v>
      </c>
      <c r="F950">
        <v>1018</v>
      </c>
      <c r="G950" t="s">
        <v>112</v>
      </c>
      <c r="J950" t="s">
        <v>113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R950" t="s">
        <v>114</v>
      </c>
      <c r="S950" t="str">
        <f>"18:50:29.961"</f>
        <v>18:50:29.961</v>
      </c>
      <c r="T950" t="str">
        <f>"18:50:29.359"</f>
        <v>18:50:29.359</v>
      </c>
      <c r="U950" t="str">
        <f t="shared" si="43"/>
        <v>a1cdbe</v>
      </c>
      <c r="V950">
        <v>0</v>
      </c>
      <c r="W950">
        <v>0</v>
      </c>
      <c r="X950">
        <v>1</v>
      </c>
      <c r="Y950">
        <v>0</v>
      </c>
      <c r="Z950">
        <v>0</v>
      </c>
      <c r="AB950">
        <v>0</v>
      </c>
      <c r="AC950">
        <v>9</v>
      </c>
      <c r="AD950">
        <v>3</v>
      </c>
      <c r="AE950">
        <v>0</v>
      </c>
      <c r="AF950">
        <v>9</v>
      </c>
      <c r="AG950" t="s">
        <v>158</v>
      </c>
      <c r="AH950">
        <v>0</v>
      </c>
      <c r="AI950">
        <v>3</v>
      </c>
      <c r="AJ950">
        <v>1</v>
      </c>
      <c r="AK950">
        <v>0</v>
      </c>
      <c r="AL950" t="s">
        <v>1898</v>
      </c>
      <c r="AM950">
        <v>46.845616999999997</v>
      </c>
      <c r="AN950" t="s">
        <v>1952</v>
      </c>
      <c r="AO950">
        <v>-122.486036</v>
      </c>
      <c r="AP950">
        <v>100</v>
      </c>
      <c r="AQ950">
        <v>2100</v>
      </c>
      <c r="AR950" t="s">
        <v>118</v>
      </c>
      <c r="AS950">
        <v>-82</v>
      </c>
      <c r="AT950">
        <v>12</v>
      </c>
      <c r="AU950">
        <v>320</v>
      </c>
      <c r="BC950">
        <v>1200</v>
      </c>
      <c r="BD950">
        <v>1</v>
      </c>
      <c r="BE950" t="str">
        <f t="shared" si="44"/>
        <v xml:space="preserve">N215T   </v>
      </c>
      <c r="BF950">
        <v>1</v>
      </c>
      <c r="BH950">
        <v>0</v>
      </c>
      <c r="BI950">
        <v>0</v>
      </c>
      <c r="BJ950">
        <v>0</v>
      </c>
      <c r="BK950">
        <v>2450</v>
      </c>
      <c r="BL950">
        <v>350</v>
      </c>
      <c r="BM950" t="s">
        <v>119</v>
      </c>
      <c r="BN950">
        <v>1</v>
      </c>
      <c r="BO950">
        <v>1</v>
      </c>
      <c r="BP950">
        <v>1</v>
      </c>
      <c r="BQ950">
        <v>0</v>
      </c>
      <c r="BT950">
        <v>0</v>
      </c>
      <c r="BU950">
        <v>0</v>
      </c>
      <c r="BV950">
        <v>0</v>
      </c>
      <c r="CC950" t="str">
        <f>"18:50:29.969"</f>
        <v>18:50:29.969</v>
      </c>
      <c r="CD950" t="str">
        <f>"965287631"</f>
        <v>965287631</v>
      </c>
      <c r="CQ950">
        <v>0</v>
      </c>
      <c r="CR950">
        <v>2</v>
      </c>
      <c r="CS950">
        <v>0</v>
      </c>
      <c r="CT950">
        <v>2</v>
      </c>
      <c r="CU950">
        <v>0</v>
      </c>
      <c r="CV950">
        <v>6</v>
      </c>
      <c r="CW950" t="s">
        <v>120</v>
      </c>
      <c r="CX950">
        <v>261</v>
      </c>
      <c r="CY950">
        <v>2</v>
      </c>
      <c r="CZ950" t="s">
        <v>121</v>
      </c>
      <c r="DA950" t="s">
        <v>122</v>
      </c>
      <c r="DD950">
        <v>14758449</v>
      </c>
      <c r="DE950" t="s">
        <v>123</v>
      </c>
    </row>
    <row r="951" spans="1:109" x14ac:dyDescent="0.3">
      <c r="A951" t="str">
        <f>"18:50:31.133"</f>
        <v>18:50:31.133</v>
      </c>
      <c r="B951" t="s">
        <v>110</v>
      </c>
      <c r="C951" t="str">
        <f t="shared" si="42"/>
        <v>ffdfd3c0</v>
      </c>
      <c r="D951" t="s">
        <v>111</v>
      </c>
      <c r="E951">
        <v>18</v>
      </c>
      <c r="F951">
        <v>1018</v>
      </c>
      <c r="G951" t="s">
        <v>112</v>
      </c>
      <c r="J951" t="s">
        <v>113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R951" t="s">
        <v>114</v>
      </c>
      <c r="S951" t="str">
        <f>"18:50:30.891"</f>
        <v>18:50:30.891</v>
      </c>
      <c r="T951" t="str">
        <f>"18:50:30.891"</f>
        <v>18:50:30.891</v>
      </c>
      <c r="U951" t="str">
        <f t="shared" si="43"/>
        <v>a1cdbe</v>
      </c>
      <c r="V951">
        <v>0</v>
      </c>
      <c r="W951">
        <v>0</v>
      </c>
      <c r="X951">
        <v>1</v>
      </c>
      <c r="Y951">
        <v>0</v>
      </c>
      <c r="Z951">
        <v>0</v>
      </c>
      <c r="AB951">
        <v>0</v>
      </c>
      <c r="AC951">
        <v>9</v>
      </c>
      <c r="AD951">
        <v>3</v>
      </c>
      <c r="AE951">
        <v>0</v>
      </c>
      <c r="AF951">
        <v>9</v>
      </c>
      <c r="AG951" t="s">
        <v>158</v>
      </c>
      <c r="AH951">
        <v>0</v>
      </c>
      <c r="AI951">
        <v>3</v>
      </c>
      <c r="AJ951">
        <v>1</v>
      </c>
      <c r="AK951">
        <v>0</v>
      </c>
      <c r="AL951" t="s">
        <v>1896</v>
      </c>
      <c r="AM951">
        <v>46.845660000000002</v>
      </c>
      <c r="AN951" t="s">
        <v>1953</v>
      </c>
      <c r="AO951">
        <v>-122.486572</v>
      </c>
      <c r="AP951">
        <v>100</v>
      </c>
      <c r="AQ951">
        <v>2100</v>
      </c>
      <c r="AR951" t="s">
        <v>118</v>
      </c>
      <c r="AS951">
        <v>-81</v>
      </c>
      <c r="AT951">
        <v>14</v>
      </c>
      <c r="AU951">
        <v>320</v>
      </c>
      <c r="BC951">
        <v>1200</v>
      </c>
      <c r="BD951">
        <v>1</v>
      </c>
      <c r="BE951" t="str">
        <f t="shared" si="44"/>
        <v xml:space="preserve">N215T   </v>
      </c>
      <c r="BF951">
        <v>1</v>
      </c>
      <c r="BH951">
        <v>0</v>
      </c>
      <c r="BI951">
        <v>0</v>
      </c>
      <c r="BJ951">
        <v>0</v>
      </c>
      <c r="BK951">
        <v>2475</v>
      </c>
      <c r="BL951">
        <v>375</v>
      </c>
      <c r="BM951" t="s">
        <v>119</v>
      </c>
      <c r="BN951">
        <v>1</v>
      </c>
      <c r="BO951">
        <v>1</v>
      </c>
      <c r="BP951">
        <v>1</v>
      </c>
      <c r="BQ951">
        <v>0</v>
      </c>
      <c r="BT951">
        <v>0</v>
      </c>
      <c r="BU951">
        <v>0</v>
      </c>
      <c r="BV951">
        <v>0</v>
      </c>
      <c r="CC951" t="str">
        <f>"18:50:30.898"</f>
        <v>18:50:30.898</v>
      </c>
      <c r="CD951" t="str">
        <f>"895196344"</f>
        <v>895196344</v>
      </c>
      <c r="CQ951">
        <v>0</v>
      </c>
      <c r="CR951">
        <v>2</v>
      </c>
      <c r="CS951">
        <v>0</v>
      </c>
      <c r="CT951">
        <v>2</v>
      </c>
      <c r="CU951">
        <v>0</v>
      </c>
      <c r="CV951">
        <v>5</v>
      </c>
      <c r="CW951" t="s">
        <v>120</v>
      </c>
      <c r="CX951">
        <v>261</v>
      </c>
      <c r="CY951">
        <v>1</v>
      </c>
      <c r="CZ951" t="s">
        <v>121</v>
      </c>
      <c r="DA951" t="s">
        <v>122</v>
      </c>
      <c r="DD951">
        <v>3682037</v>
      </c>
      <c r="DE951" t="s">
        <v>123</v>
      </c>
    </row>
    <row r="952" spans="1:109" x14ac:dyDescent="0.3">
      <c r="A952" t="str">
        <f>"18:50:32.188"</f>
        <v>18:50:32.188</v>
      </c>
      <c r="B952" t="s">
        <v>110</v>
      </c>
      <c r="C952" t="str">
        <f t="shared" si="42"/>
        <v>ffdfd3c0</v>
      </c>
      <c r="D952" t="s">
        <v>111</v>
      </c>
      <c r="E952">
        <v>18</v>
      </c>
      <c r="F952">
        <v>1018</v>
      </c>
      <c r="G952" t="s">
        <v>112</v>
      </c>
      <c r="J952" t="s">
        <v>113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R952" t="s">
        <v>114</v>
      </c>
      <c r="S952" t="str">
        <f>"18:50:31.938"</f>
        <v>18:50:31.938</v>
      </c>
      <c r="T952" t="str">
        <f>"18:50:31.836"</f>
        <v>18:50:31.836</v>
      </c>
      <c r="U952" t="str">
        <f t="shared" si="43"/>
        <v>a1cdbe</v>
      </c>
      <c r="V952">
        <v>0</v>
      </c>
      <c r="W952">
        <v>0</v>
      </c>
      <c r="X952">
        <v>1</v>
      </c>
      <c r="Y952">
        <v>0</v>
      </c>
      <c r="Z952">
        <v>0</v>
      </c>
      <c r="AB952">
        <v>0</v>
      </c>
      <c r="AC952">
        <v>9</v>
      </c>
      <c r="AD952">
        <v>3</v>
      </c>
      <c r="AE952">
        <v>0</v>
      </c>
      <c r="AF952">
        <v>9</v>
      </c>
      <c r="AG952" t="s">
        <v>158</v>
      </c>
      <c r="AH952">
        <v>0</v>
      </c>
      <c r="AI952">
        <v>3</v>
      </c>
      <c r="AJ952">
        <v>1</v>
      </c>
      <c r="AK952">
        <v>0</v>
      </c>
      <c r="AL952" t="s">
        <v>1892</v>
      </c>
      <c r="AM952">
        <v>46.845745999999998</v>
      </c>
      <c r="AN952" t="s">
        <v>1954</v>
      </c>
      <c r="AO952">
        <v>-122.487173</v>
      </c>
      <c r="AP952">
        <v>100</v>
      </c>
      <c r="AQ952">
        <v>2100</v>
      </c>
      <c r="AR952" t="s">
        <v>118</v>
      </c>
      <c r="AS952">
        <v>-81</v>
      </c>
      <c r="AT952">
        <v>16</v>
      </c>
      <c r="AU952">
        <v>256</v>
      </c>
      <c r="BC952">
        <v>1200</v>
      </c>
      <c r="BD952">
        <v>1</v>
      </c>
      <c r="BE952" t="str">
        <f t="shared" si="44"/>
        <v xml:space="preserve">N215T   </v>
      </c>
      <c r="BF952">
        <v>1</v>
      </c>
      <c r="BH952">
        <v>0</v>
      </c>
      <c r="BI952">
        <v>0</v>
      </c>
      <c r="BJ952">
        <v>0</v>
      </c>
      <c r="BK952">
        <v>2475</v>
      </c>
      <c r="BL952">
        <v>375</v>
      </c>
      <c r="BM952" t="s">
        <v>119</v>
      </c>
      <c r="BN952">
        <v>1</v>
      </c>
      <c r="BO952">
        <v>1</v>
      </c>
      <c r="BP952">
        <v>1</v>
      </c>
      <c r="BQ952">
        <v>0</v>
      </c>
      <c r="BT952">
        <v>0</v>
      </c>
      <c r="BU952">
        <v>0</v>
      </c>
      <c r="BV952">
        <v>0</v>
      </c>
      <c r="CC952" t="str">
        <f>"18:50:31.945"</f>
        <v>18:50:31.945</v>
      </c>
      <c r="CD952" t="str">
        <f>"945092570"</f>
        <v>945092570</v>
      </c>
      <c r="CQ952">
        <v>0</v>
      </c>
      <c r="CR952">
        <v>2</v>
      </c>
      <c r="CS952">
        <v>0</v>
      </c>
      <c r="CT952">
        <v>2</v>
      </c>
      <c r="CU952">
        <v>0</v>
      </c>
      <c r="CV952">
        <v>6</v>
      </c>
      <c r="CW952" t="s">
        <v>120</v>
      </c>
      <c r="CX952">
        <v>261</v>
      </c>
      <c r="CY952">
        <v>2</v>
      </c>
      <c r="CZ952" t="s">
        <v>121</v>
      </c>
      <c r="DA952" t="s">
        <v>122</v>
      </c>
      <c r="DD952">
        <v>14759606</v>
      </c>
      <c r="DE952" t="s">
        <v>123</v>
      </c>
    </row>
    <row r="953" spans="1:109" x14ac:dyDescent="0.3">
      <c r="A953" t="str">
        <f>"18:50:33.195"</f>
        <v>18:50:33.195</v>
      </c>
      <c r="B953" t="s">
        <v>110</v>
      </c>
      <c r="C953" t="str">
        <f t="shared" si="42"/>
        <v>ffdfd3c0</v>
      </c>
      <c r="D953" t="s">
        <v>111</v>
      </c>
      <c r="E953">
        <v>18</v>
      </c>
      <c r="F953">
        <v>1018</v>
      </c>
      <c r="G953" t="s">
        <v>112</v>
      </c>
      <c r="J953" t="s">
        <v>113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R953" t="s">
        <v>114</v>
      </c>
      <c r="S953" t="str">
        <f>"18:50:32.961"</f>
        <v>18:50:32.961</v>
      </c>
      <c r="T953" t="str">
        <f>"18:50:32.961"</f>
        <v>18:50:32.961</v>
      </c>
      <c r="U953" t="str">
        <f t="shared" si="43"/>
        <v>a1cdbe</v>
      </c>
      <c r="V953">
        <v>0</v>
      </c>
      <c r="W953">
        <v>0</v>
      </c>
      <c r="X953">
        <v>1</v>
      </c>
      <c r="Y953">
        <v>0</v>
      </c>
      <c r="Z953">
        <v>0</v>
      </c>
      <c r="AB953">
        <v>0</v>
      </c>
      <c r="AC953">
        <v>9</v>
      </c>
      <c r="AD953">
        <v>3</v>
      </c>
      <c r="AE953">
        <v>0</v>
      </c>
      <c r="AF953">
        <v>9</v>
      </c>
      <c r="AG953" t="s">
        <v>158</v>
      </c>
      <c r="AH953">
        <v>0</v>
      </c>
      <c r="AI953">
        <v>3</v>
      </c>
      <c r="AJ953">
        <v>1</v>
      </c>
      <c r="AK953">
        <v>0</v>
      </c>
      <c r="AL953" t="s">
        <v>1890</v>
      </c>
      <c r="AM953">
        <v>46.845789000000003</v>
      </c>
      <c r="AN953" t="s">
        <v>1955</v>
      </c>
      <c r="AO953">
        <v>-122.487667</v>
      </c>
      <c r="AP953">
        <v>100</v>
      </c>
      <c r="AQ953">
        <v>2100</v>
      </c>
      <c r="AR953" t="s">
        <v>118</v>
      </c>
      <c r="AS953">
        <v>-81</v>
      </c>
      <c r="AT953">
        <v>16</v>
      </c>
      <c r="AU953">
        <v>64</v>
      </c>
      <c r="BC953">
        <v>1200</v>
      </c>
      <c r="BD953">
        <v>1</v>
      </c>
      <c r="BE953" t="str">
        <f t="shared" si="44"/>
        <v xml:space="preserve">N215T   </v>
      </c>
      <c r="BF953">
        <v>1</v>
      </c>
      <c r="BH953">
        <v>0</v>
      </c>
      <c r="BI953">
        <v>0</v>
      </c>
      <c r="BJ953">
        <v>0</v>
      </c>
      <c r="BK953">
        <v>2475</v>
      </c>
      <c r="BL953">
        <v>375</v>
      </c>
      <c r="BM953" t="s">
        <v>119</v>
      </c>
      <c r="BN953">
        <v>1</v>
      </c>
      <c r="BO953">
        <v>1</v>
      </c>
      <c r="BP953">
        <v>1</v>
      </c>
      <c r="BQ953">
        <v>0</v>
      </c>
      <c r="BT953">
        <v>0</v>
      </c>
      <c r="BU953">
        <v>0</v>
      </c>
      <c r="BV953">
        <v>0</v>
      </c>
      <c r="CC953" t="str">
        <f>"18:50:32.969"</f>
        <v>18:50:32.969</v>
      </c>
      <c r="CD953" t="str">
        <f>"965112526"</f>
        <v>965112526</v>
      </c>
      <c r="CQ953">
        <v>0</v>
      </c>
      <c r="CR953">
        <v>2</v>
      </c>
      <c r="CS953">
        <v>0</v>
      </c>
      <c r="CT953">
        <v>2</v>
      </c>
      <c r="CU953">
        <v>0</v>
      </c>
      <c r="CV953">
        <v>6</v>
      </c>
      <c r="CW953" t="s">
        <v>120</v>
      </c>
      <c r="CX953">
        <v>257</v>
      </c>
      <c r="CY953">
        <v>1</v>
      </c>
      <c r="CZ953" t="s">
        <v>615</v>
      </c>
      <c r="DA953" t="s">
        <v>616</v>
      </c>
      <c r="DD953">
        <v>11086725</v>
      </c>
      <c r="DE953" t="s">
        <v>123</v>
      </c>
    </row>
    <row r="954" spans="1:109" x14ac:dyDescent="0.3">
      <c r="A954" t="str">
        <f>"18:50:34.250"</f>
        <v>18:50:34.250</v>
      </c>
      <c r="B954" t="s">
        <v>110</v>
      </c>
      <c r="C954" t="str">
        <f t="shared" si="42"/>
        <v>ffdfd3c0</v>
      </c>
      <c r="D954" t="s">
        <v>111</v>
      </c>
      <c r="E954">
        <v>18</v>
      </c>
      <c r="F954">
        <v>1018</v>
      </c>
      <c r="G954" t="s">
        <v>112</v>
      </c>
      <c r="J954" t="s">
        <v>113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R954" t="s">
        <v>114</v>
      </c>
      <c r="S954" t="str">
        <f>"18:50:33.984"</f>
        <v>18:50:33.984</v>
      </c>
      <c r="T954" t="str">
        <f>"18:50:33.484"</f>
        <v>18:50:33.484</v>
      </c>
      <c r="U954" t="str">
        <f t="shared" si="43"/>
        <v>a1cdbe</v>
      </c>
      <c r="V954">
        <v>0</v>
      </c>
      <c r="W954">
        <v>0</v>
      </c>
      <c r="X954">
        <v>1</v>
      </c>
      <c r="Y954">
        <v>0</v>
      </c>
      <c r="Z954">
        <v>0</v>
      </c>
      <c r="AB954">
        <v>0</v>
      </c>
      <c r="AC954">
        <v>9</v>
      </c>
      <c r="AD954">
        <v>3</v>
      </c>
      <c r="AE954">
        <v>0</v>
      </c>
      <c r="AF954">
        <v>9</v>
      </c>
      <c r="AG954" t="s">
        <v>158</v>
      </c>
      <c r="AH954">
        <v>0</v>
      </c>
      <c r="AI954">
        <v>3</v>
      </c>
      <c r="AJ954">
        <v>1</v>
      </c>
      <c r="AK954">
        <v>0</v>
      </c>
      <c r="AL954" t="s">
        <v>1886</v>
      </c>
      <c r="AM954">
        <v>46.845896000000003</v>
      </c>
      <c r="AN954" t="s">
        <v>1956</v>
      </c>
      <c r="AO954">
        <v>-122.488246</v>
      </c>
      <c r="AP954">
        <v>100</v>
      </c>
      <c r="AQ954">
        <v>2100</v>
      </c>
      <c r="AR954" t="s">
        <v>118</v>
      </c>
      <c r="AS954">
        <v>-81</v>
      </c>
      <c r="AT954">
        <v>15</v>
      </c>
      <c r="AU954">
        <v>0</v>
      </c>
      <c r="BC954">
        <v>1200</v>
      </c>
      <c r="BD954">
        <v>1</v>
      </c>
      <c r="BE954" t="str">
        <f t="shared" si="44"/>
        <v xml:space="preserve">N215T   </v>
      </c>
      <c r="BF954">
        <v>1</v>
      </c>
      <c r="BH954">
        <v>0</v>
      </c>
      <c r="BI954">
        <v>0</v>
      </c>
      <c r="BJ954">
        <v>0</v>
      </c>
      <c r="BK954">
        <v>2475</v>
      </c>
      <c r="BL954">
        <v>375</v>
      </c>
      <c r="BM954" t="s">
        <v>119</v>
      </c>
      <c r="BN954">
        <v>1</v>
      </c>
      <c r="BO954">
        <v>1</v>
      </c>
      <c r="BP954">
        <v>1</v>
      </c>
      <c r="BQ954">
        <v>0</v>
      </c>
      <c r="BT954">
        <v>0</v>
      </c>
      <c r="BU954">
        <v>0</v>
      </c>
      <c r="BV954">
        <v>0</v>
      </c>
      <c r="CC954" t="str">
        <f>"18:50:33.984"</f>
        <v>18:50:33.984</v>
      </c>
      <c r="CD954" t="str">
        <f>"984891587"</f>
        <v>984891587</v>
      </c>
      <c r="CQ954">
        <v>0</v>
      </c>
      <c r="CR954">
        <v>2</v>
      </c>
      <c r="CS954">
        <v>0</v>
      </c>
      <c r="CT954">
        <v>2</v>
      </c>
      <c r="CU954">
        <v>0</v>
      </c>
      <c r="CV954">
        <v>6</v>
      </c>
      <c r="CW954" t="s">
        <v>120</v>
      </c>
      <c r="CX954">
        <v>261</v>
      </c>
      <c r="CY954">
        <v>2</v>
      </c>
      <c r="CZ954" t="s">
        <v>121</v>
      </c>
      <c r="DA954" t="s">
        <v>122</v>
      </c>
      <c r="DD954">
        <v>14760745</v>
      </c>
      <c r="DE954" t="s">
        <v>123</v>
      </c>
    </row>
    <row r="955" spans="1:109" x14ac:dyDescent="0.3">
      <c r="A955" t="str">
        <f>"18:50:35.156"</f>
        <v>18:50:35.156</v>
      </c>
      <c r="B955" t="s">
        <v>110</v>
      </c>
      <c r="C955" t="str">
        <f t="shared" si="42"/>
        <v>ffdfd3c0</v>
      </c>
      <c r="D955" t="s">
        <v>111</v>
      </c>
      <c r="E955">
        <v>18</v>
      </c>
      <c r="F955">
        <v>1018</v>
      </c>
      <c r="G955" t="s">
        <v>112</v>
      </c>
      <c r="J955" t="s">
        <v>113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R955" t="s">
        <v>114</v>
      </c>
      <c r="S955" t="str">
        <f>"18:50:34.883"</f>
        <v>18:50:34.883</v>
      </c>
      <c r="T955" t="str">
        <f>"18:50:34.883"</f>
        <v>18:50:34.883</v>
      </c>
      <c r="U955" t="str">
        <f t="shared" si="43"/>
        <v>a1cdbe</v>
      </c>
      <c r="V955">
        <v>0</v>
      </c>
      <c r="W955">
        <v>0</v>
      </c>
      <c r="X955">
        <v>1</v>
      </c>
      <c r="Y955">
        <v>0</v>
      </c>
      <c r="Z955">
        <v>0</v>
      </c>
      <c r="AB955">
        <v>0</v>
      </c>
      <c r="AC955">
        <v>9</v>
      </c>
      <c r="AD955">
        <v>3</v>
      </c>
      <c r="AE955">
        <v>0</v>
      </c>
      <c r="AF955">
        <v>9</v>
      </c>
      <c r="AG955" t="s">
        <v>158</v>
      </c>
      <c r="AH955">
        <v>0</v>
      </c>
      <c r="AI955">
        <v>3</v>
      </c>
      <c r="AJ955">
        <v>1</v>
      </c>
      <c r="AK955">
        <v>0</v>
      </c>
      <c r="AL955" t="s">
        <v>1957</v>
      </c>
      <c r="AM955">
        <v>46.845939000000001</v>
      </c>
      <c r="AN955" t="s">
        <v>1958</v>
      </c>
      <c r="AO955">
        <v>-122.48871800000001</v>
      </c>
      <c r="AP955">
        <v>100</v>
      </c>
      <c r="AQ955">
        <v>2100</v>
      </c>
      <c r="AR955" t="s">
        <v>118</v>
      </c>
      <c r="AS955">
        <v>-82</v>
      </c>
      <c r="AT955">
        <v>13</v>
      </c>
      <c r="AU955">
        <v>-256</v>
      </c>
      <c r="BC955">
        <v>1200</v>
      </c>
      <c r="BD955">
        <v>1</v>
      </c>
      <c r="BE955" t="str">
        <f t="shared" si="44"/>
        <v xml:space="preserve">N215T   </v>
      </c>
      <c r="BF955">
        <v>1</v>
      </c>
      <c r="BH955">
        <v>0</v>
      </c>
      <c r="BI955">
        <v>0</v>
      </c>
      <c r="BJ955">
        <v>0</v>
      </c>
      <c r="BK955">
        <v>2475</v>
      </c>
      <c r="BL955">
        <v>375</v>
      </c>
      <c r="BM955" t="s">
        <v>119</v>
      </c>
      <c r="BN955">
        <v>1</v>
      </c>
      <c r="BO955">
        <v>1</v>
      </c>
      <c r="BP955">
        <v>1</v>
      </c>
      <c r="BQ955">
        <v>0</v>
      </c>
      <c r="BT955">
        <v>0</v>
      </c>
      <c r="BU955">
        <v>0</v>
      </c>
      <c r="BV955">
        <v>0</v>
      </c>
      <c r="CC955" t="str">
        <f>"18:50:34.883"</f>
        <v>18:50:34.883</v>
      </c>
      <c r="CD955" t="str">
        <f>"884923284"</f>
        <v>884923284</v>
      </c>
      <c r="CQ955">
        <v>0</v>
      </c>
      <c r="CR955">
        <v>2</v>
      </c>
      <c r="CS955">
        <v>0</v>
      </c>
      <c r="CT955">
        <v>2</v>
      </c>
      <c r="CU955">
        <v>0</v>
      </c>
      <c r="CV955">
        <v>6</v>
      </c>
      <c r="CW955" t="s">
        <v>120</v>
      </c>
      <c r="CX955">
        <v>257</v>
      </c>
      <c r="CY955">
        <v>1</v>
      </c>
      <c r="CZ955" t="s">
        <v>615</v>
      </c>
      <c r="DA955" t="s">
        <v>616</v>
      </c>
      <c r="DD955">
        <v>11088046</v>
      </c>
      <c r="DE955" t="s">
        <v>123</v>
      </c>
    </row>
    <row r="956" spans="1:109" x14ac:dyDescent="0.3">
      <c r="A956" t="str">
        <f>"18:50:36.008"</f>
        <v>18:50:36.008</v>
      </c>
      <c r="B956" t="s">
        <v>110</v>
      </c>
      <c r="C956" t="str">
        <f t="shared" si="42"/>
        <v>ffdfd3c0</v>
      </c>
      <c r="D956" t="s">
        <v>111</v>
      </c>
      <c r="E956">
        <v>18</v>
      </c>
      <c r="F956">
        <v>1018</v>
      </c>
      <c r="G956" t="s">
        <v>112</v>
      </c>
      <c r="J956" t="s">
        <v>113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R956" t="s">
        <v>114</v>
      </c>
      <c r="S956" t="str">
        <f>"18:50:35.797"</f>
        <v>18:50:35.797</v>
      </c>
      <c r="T956" t="str">
        <f>"18:50:35.398"</f>
        <v>18:50:35.398</v>
      </c>
      <c r="U956" t="str">
        <f t="shared" si="43"/>
        <v>a1cdbe</v>
      </c>
      <c r="V956">
        <v>0</v>
      </c>
      <c r="W956">
        <v>0</v>
      </c>
      <c r="X956">
        <v>1</v>
      </c>
      <c r="Y956">
        <v>0</v>
      </c>
      <c r="Z956">
        <v>0</v>
      </c>
      <c r="AB956">
        <v>0</v>
      </c>
      <c r="AC956">
        <v>9</v>
      </c>
      <c r="AD956">
        <v>3</v>
      </c>
      <c r="AE956">
        <v>0</v>
      </c>
      <c r="AF956">
        <v>9</v>
      </c>
      <c r="AG956" t="s">
        <v>158</v>
      </c>
      <c r="AH956">
        <v>0</v>
      </c>
      <c r="AI956">
        <v>3</v>
      </c>
      <c r="AJ956">
        <v>1</v>
      </c>
      <c r="AK956">
        <v>0</v>
      </c>
      <c r="AL956" t="s">
        <v>1884</v>
      </c>
      <c r="AM956">
        <v>46.845981999999999</v>
      </c>
      <c r="AN956" t="s">
        <v>1959</v>
      </c>
      <c r="AO956">
        <v>-122.489254</v>
      </c>
      <c r="AP956">
        <v>100</v>
      </c>
      <c r="AQ956">
        <v>2100</v>
      </c>
      <c r="AR956" t="s">
        <v>118</v>
      </c>
      <c r="AS956">
        <v>-82</v>
      </c>
      <c r="AT956">
        <v>13</v>
      </c>
      <c r="AU956">
        <v>-384</v>
      </c>
      <c r="BC956">
        <v>1200</v>
      </c>
      <c r="BD956">
        <v>1</v>
      </c>
      <c r="BE956" t="str">
        <f t="shared" si="44"/>
        <v xml:space="preserve">N215T   </v>
      </c>
      <c r="BF956">
        <v>1</v>
      </c>
      <c r="BH956">
        <v>0</v>
      </c>
      <c r="BI956">
        <v>0</v>
      </c>
      <c r="BJ956">
        <v>0</v>
      </c>
      <c r="BK956">
        <v>2475</v>
      </c>
      <c r="BL956">
        <v>375</v>
      </c>
      <c r="BM956" t="s">
        <v>119</v>
      </c>
      <c r="BN956">
        <v>1</v>
      </c>
      <c r="BO956">
        <v>1</v>
      </c>
      <c r="BP956">
        <v>1</v>
      </c>
      <c r="BQ956">
        <v>0</v>
      </c>
      <c r="BT956">
        <v>0</v>
      </c>
      <c r="BU956">
        <v>0</v>
      </c>
      <c r="BV956">
        <v>0</v>
      </c>
      <c r="CC956" t="str">
        <f>"18:50:35.797"</f>
        <v>18:50:35.797</v>
      </c>
      <c r="CD956" t="str">
        <f>"799833096"</f>
        <v>799833096</v>
      </c>
      <c r="CQ956">
        <v>0</v>
      </c>
      <c r="CR956">
        <v>2</v>
      </c>
      <c r="CS956">
        <v>0</v>
      </c>
      <c r="CT956">
        <v>2</v>
      </c>
      <c r="CU956">
        <v>0</v>
      </c>
      <c r="CV956">
        <v>6</v>
      </c>
      <c r="CW956" t="s">
        <v>120</v>
      </c>
      <c r="CX956">
        <v>257</v>
      </c>
      <c r="CY956">
        <v>1</v>
      </c>
      <c r="CZ956" t="s">
        <v>615</v>
      </c>
      <c r="DA956" t="s">
        <v>616</v>
      </c>
      <c r="DD956">
        <v>11088681</v>
      </c>
      <c r="DE956" t="s">
        <v>123</v>
      </c>
    </row>
    <row r="957" spans="1:109" x14ac:dyDescent="0.3">
      <c r="A957" t="str">
        <f>"18:50:37.063"</f>
        <v>18:50:37.063</v>
      </c>
      <c r="B957" t="s">
        <v>110</v>
      </c>
      <c r="C957" t="str">
        <f t="shared" si="42"/>
        <v>ffdfd3c0</v>
      </c>
      <c r="D957" t="s">
        <v>111</v>
      </c>
      <c r="E957">
        <v>18</v>
      </c>
      <c r="F957">
        <v>1018</v>
      </c>
      <c r="G957" t="s">
        <v>112</v>
      </c>
      <c r="J957" t="s">
        <v>113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R957" t="s">
        <v>114</v>
      </c>
      <c r="S957" t="str">
        <f>"18:50:36.828"</f>
        <v>18:50:36.828</v>
      </c>
      <c r="T957" t="str">
        <f>"18:50:36.531"</f>
        <v>18:50:36.531</v>
      </c>
      <c r="U957" t="str">
        <f t="shared" si="43"/>
        <v>a1cdbe</v>
      </c>
      <c r="V957">
        <v>0</v>
      </c>
      <c r="W957">
        <v>0</v>
      </c>
      <c r="X957">
        <v>1</v>
      </c>
      <c r="Y957">
        <v>0</v>
      </c>
      <c r="Z957">
        <v>0</v>
      </c>
      <c r="AB957">
        <v>0</v>
      </c>
      <c r="AC957">
        <v>9</v>
      </c>
      <c r="AD957">
        <v>3</v>
      </c>
      <c r="AE957">
        <v>0</v>
      </c>
      <c r="AF957">
        <v>9</v>
      </c>
      <c r="AG957" t="s">
        <v>158</v>
      </c>
      <c r="AH957">
        <v>0</v>
      </c>
      <c r="AI957">
        <v>3</v>
      </c>
      <c r="AJ957">
        <v>1</v>
      </c>
      <c r="AK957">
        <v>0</v>
      </c>
      <c r="AL957" t="s">
        <v>1960</v>
      </c>
      <c r="AM957">
        <v>46.846068000000002</v>
      </c>
      <c r="AN957" t="s">
        <v>1961</v>
      </c>
      <c r="AO957">
        <v>-122.48985500000001</v>
      </c>
      <c r="AP957">
        <v>100</v>
      </c>
      <c r="AQ957">
        <v>2100</v>
      </c>
      <c r="AR957" t="s">
        <v>118</v>
      </c>
      <c r="AS957">
        <v>-82</v>
      </c>
      <c r="AT957">
        <v>15</v>
      </c>
      <c r="AU957">
        <v>-512</v>
      </c>
      <c r="BC957">
        <v>1200</v>
      </c>
      <c r="BD957">
        <v>1</v>
      </c>
      <c r="BE957" t="str">
        <f t="shared" si="44"/>
        <v xml:space="preserve">N215T   </v>
      </c>
      <c r="BF957">
        <v>1</v>
      </c>
      <c r="BH957">
        <v>0</v>
      </c>
      <c r="BI957">
        <v>0</v>
      </c>
      <c r="BJ957">
        <v>0</v>
      </c>
      <c r="BK957">
        <v>2450</v>
      </c>
      <c r="BL957">
        <v>350</v>
      </c>
      <c r="BM957" t="s">
        <v>119</v>
      </c>
      <c r="BN957">
        <v>1</v>
      </c>
      <c r="BO957">
        <v>1</v>
      </c>
      <c r="BP957">
        <v>1</v>
      </c>
      <c r="BQ957">
        <v>0</v>
      </c>
      <c r="BT957">
        <v>0</v>
      </c>
      <c r="BU957">
        <v>0</v>
      </c>
      <c r="BV957">
        <v>0</v>
      </c>
      <c r="CC957" t="str">
        <f>"18:50:36.836"</f>
        <v>18:50:36.836</v>
      </c>
      <c r="CD957" t="str">
        <f>"834731075"</f>
        <v>834731075</v>
      </c>
      <c r="CQ957">
        <v>0</v>
      </c>
      <c r="CR957">
        <v>2</v>
      </c>
      <c r="CS957">
        <v>0</v>
      </c>
      <c r="CT957">
        <v>2</v>
      </c>
      <c r="CU957">
        <v>0</v>
      </c>
      <c r="CV957">
        <v>5</v>
      </c>
      <c r="CW957" t="s">
        <v>120</v>
      </c>
      <c r="CX957">
        <v>257</v>
      </c>
      <c r="CY957">
        <v>1</v>
      </c>
      <c r="CZ957" t="s">
        <v>615</v>
      </c>
      <c r="DA957" t="s">
        <v>616</v>
      </c>
      <c r="DD957">
        <v>11089401</v>
      </c>
      <c r="DE957" t="s">
        <v>123</v>
      </c>
    </row>
    <row r="958" spans="1:109" x14ac:dyDescent="0.3">
      <c r="A958" t="str">
        <f>"18:50:38.070"</f>
        <v>18:50:38.070</v>
      </c>
      <c r="B958" t="s">
        <v>110</v>
      </c>
      <c r="C958" t="str">
        <f t="shared" si="42"/>
        <v>ffdfd3c0</v>
      </c>
      <c r="D958" t="s">
        <v>111</v>
      </c>
      <c r="E958">
        <v>18</v>
      </c>
      <c r="F958">
        <v>1018</v>
      </c>
      <c r="G958" t="s">
        <v>112</v>
      </c>
      <c r="J958" t="s">
        <v>113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R958" t="s">
        <v>114</v>
      </c>
      <c r="S958" t="str">
        <f>"18:50:37.852"</f>
        <v>18:50:37.852</v>
      </c>
      <c r="T958" t="str">
        <f>"18:50:37.453"</f>
        <v>18:50:37.453</v>
      </c>
      <c r="U958" t="str">
        <f t="shared" si="43"/>
        <v>a1cdbe</v>
      </c>
      <c r="V958">
        <v>0</v>
      </c>
      <c r="W958">
        <v>0</v>
      </c>
      <c r="X958">
        <v>1</v>
      </c>
      <c r="Y958">
        <v>0</v>
      </c>
      <c r="Z958">
        <v>0</v>
      </c>
      <c r="AB958">
        <v>0</v>
      </c>
      <c r="AC958">
        <v>9</v>
      </c>
      <c r="AD958">
        <v>3</v>
      </c>
      <c r="AE958">
        <v>0</v>
      </c>
      <c r="AF958">
        <v>9</v>
      </c>
      <c r="AG958" t="s">
        <v>158</v>
      </c>
      <c r="AH958">
        <v>0</v>
      </c>
      <c r="AI958">
        <v>3</v>
      </c>
      <c r="AJ958">
        <v>1</v>
      </c>
      <c r="AK958">
        <v>0</v>
      </c>
      <c r="AL958" t="s">
        <v>1962</v>
      </c>
      <c r="AM958">
        <v>46.846175000000002</v>
      </c>
      <c r="AN958" t="s">
        <v>1963</v>
      </c>
      <c r="AO958">
        <v>-122.490413</v>
      </c>
      <c r="AP958">
        <v>100</v>
      </c>
      <c r="AQ958">
        <v>2100</v>
      </c>
      <c r="AR958" t="s">
        <v>118</v>
      </c>
      <c r="AS958">
        <v>-82</v>
      </c>
      <c r="AT958">
        <v>16</v>
      </c>
      <c r="AU958">
        <v>-512</v>
      </c>
      <c r="BC958">
        <v>1200</v>
      </c>
      <c r="BD958">
        <v>1</v>
      </c>
      <c r="BE958" t="str">
        <f t="shared" si="44"/>
        <v xml:space="preserve">N215T   </v>
      </c>
      <c r="BF958">
        <v>1</v>
      </c>
      <c r="BH958">
        <v>0</v>
      </c>
      <c r="BI958">
        <v>0</v>
      </c>
      <c r="BJ958">
        <v>0</v>
      </c>
      <c r="BK958">
        <v>2450</v>
      </c>
      <c r="BL958">
        <v>350</v>
      </c>
      <c r="BM958" t="s">
        <v>119</v>
      </c>
      <c r="BN958">
        <v>1</v>
      </c>
      <c r="BO958">
        <v>1</v>
      </c>
      <c r="BP958">
        <v>1</v>
      </c>
      <c r="BQ958">
        <v>0</v>
      </c>
      <c r="BT958">
        <v>0</v>
      </c>
      <c r="BU958">
        <v>0</v>
      </c>
      <c r="BV958">
        <v>0</v>
      </c>
      <c r="CC958" t="str">
        <f>"18:50:37.852"</f>
        <v>18:50:37.852</v>
      </c>
      <c r="CD958" t="str">
        <f>"854510308"</f>
        <v>854510308</v>
      </c>
      <c r="CQ958">
        <v>0</v>
      </c>
      <c r="CR958">
        <v>2</v>
      </c>
      <c r="CS958">
        <v>0</v>
      </c>
      <c r="CT958">
        <v>2</v>
      </c>
      <c r="CU958">
        <v>0</v>
      </c>
      <c r="CV958">
        <v>5</v>
      </c>
      <c r="CW958" t="s">
        <v>120</v>
      </c>
      <c r="CX958">
        <v>261</v>
      </c>
      <c r="CY958">
        <v>2</v>
      </c>
      <c r="CZ958" t="s">
        <v>121</v>
      </c>
      <c r="DA958" t="s">
        <v>122</v>
      </c>
      <c r="DD958">
        <v>14763008</v>
      </c>
      <c r="DE958" t="s">
        <v>123</v>
      </c>
    </row>
    <row r="959" spans="1:109" x14ac:dyDescent="0.3">
      <c r="A959" t="str">
        <f>"18:50:39.078"</f>
        <v>18:50:39.078</v>
      </c>
      <c r="B959" t="s">
        <v>110</v>
      </c>
      <c r="C959" t="str">
        <f t="shared" si="42"/>
        <v>ffdfd3c0</v>
      </c>
      <c r="D959" t="s">
        <v>111</v>
      </c>
      <c r="E959">
        <v>18</v>
      </c>
      <c r="F959">
        <v>1018</v>
      </c>
      <c r="G959" t="s">
        <v>112</v>
      </c>
      <c r="J959" t="s">
        <v>113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R959" t="s">
        <v>114</v>
      </c>
      <c r="S959" t="str">
        <f>"18:50:38.844"</f>
        <v>18:50:38.844</v>
      </c>
      <c r="T959" t="str">
        <f>"18:50:38.445"</f>
        <v>18:50:38.445</v>
      </c>
      <c r="U959" t="str">
        <f t="shared" si="43"/>
        <v>a1cdbe</v>
      </c>
      <c r="V959">
        <v>0</v>
      </c>
      <c r="W959">
        <v>0</v>
      </c>
      <c r="X959">
        <v>1</v>
      </c>
      <c r="Y959">
        <v>0</v>
      </c>
      <c r="Z959">
        <v>0</v>
      </c>
      <c r="AB959">
        <v>0</v>
      </c>
      <c r="AC959">
        <v>9</v>
      </c>
      <c r="AD959">
        <v>3</v>
      </c>
      <c r="AE959">
        <v>0</v>
      </c>
      <c r="AF959">
        <v>9</v>
      </c>
      <c r="AG959" t="s">
        <v>158</v>
      </c>
      <c r="AH959">
        <v>0</v>
      </c>
      <c r="AI959">
        <v>3</v>
      </c>
      <c r="AJ959">
        <v>1</v>
      </c>
      <c r="AK959">
        <v>0</v>
      </c>
      <c r="AL959" t="s">
        <v>1964</v>
      </c>
      <c r="AM959">
        <v>46.846196999999997</v>
      </c>
      <c r="AN959" t="s">
        <v>1965</v>
      </c>
      <c r="AO959">
        <v>-122.490993</v>
      </c>
      <c r="AP959">
        <v>100</v>
      </c>
      <c r="AQ959">
        <v>2100</v>
      </c>
      <c r="AR959" t="s">
        <v>118</v>
      </c>
      <c r="AS959">
        <v>-83</v>
      </c>
      <c r="AT959">
        <v>16</v>
      </c>
      <c r="AU959">
        <v>-256</v>
      </c>
      <c r="BC959">
        <v>1200</v>
      </c>
      <c r="BD959">
        <v>1</v>
      </c>
      <c r="BE959" t="str">
        <f t="shared" si="44"/>
        <v xml:space="preserve">N215T   </v>
      </c>
      <c r="BF959">
        <v>1</v>
      </c>
      <c r="BH959">
        <v>0</v>
      </c>
      <c r="BI959">
        <v>0</v>
      </c>
      <c r="BJ959">
        <v>0</v>
      </c>
      <c r="BK959">
        <v>2450</v>
      </c>
      <c r="BL959">
        <v>350</v>
      </c>
      <c r="BM959" t="s">
        <v>119</v>
      </c>
      <c r="BN959">
        <v>1</v>
      </c>
      <c r="BO959">
        <v>1</v>
      </c>
      <c r="BP959">
        <v>1</v>
      </c>
      <c r="BQ959">
        <v>0</v>
      </c>
      <c r="BT959">
        <v>0</v>
      </c>
      <c r="BU959">
        <v>0</v>
      </c>
      <c r="BV959">
        <v>0</v>
      </c>
      <c r="CC959" t="str">
        <f>"18:50:38.844"</f>
        <v>18:50:38.844</v>
      </c>
      <c r="CD959" t="str">
        <f>"844532940"</f>
        <v>844532940</v>
      </c>
      <c r="CQ959">
        <v>0</v>
      </c>
      <c r="CR959">
        <v>2</v>
      </c>
      <c r="CS959">
        <v>0</v>
      </c>
      <c r="CT959">
        <v>2</v>
      </c>
      <c r="CU959">
        <v>0</v>
      </c>
      <c r="CV959">
        <v>5</v>
      </c>
      <c r="CW959" t="s">
        <v>120</v>
      </c>
      <c r="CX959">
        <v>257</v>
      </c>
      <c r="CY959">
        <v>1</v>
      </c>
      <c r="CZ959" t="s">
        <v>615</v>
      </c>
      <c r="DA959" t="s">
        <v>616</v>
      </c>
      <c r="DD959">
        <v>11090666</v>
      </c>
      <c r="DE959" t="s">
        <v>123</v>
      </c>
    </row>
    <row r="960" spans="1:109" x14ac:dyDescent="0.3">
      <c r="A960" t="str">
        <f>"18:50:40.086"</f>
        <v>18:50:40.086</v>
      </c>
      <c r="B960" t="s">
        <v>110</v>
      </c>
      <c r="C960" t="str">
        <f t="shared" si="42"/>
        <v>ffdfd3c0</v>
      </c>
      <c r="D960" t="s">
        <v>111</v>
      </c>
      <c r="E960">
        <v>18</v>
      </c>
      <c r="F960">
        <v>1018</v>
      </c>
      <c r="G960" t="s">
        <v>112</v>
      </c>
      <c r="J960" t="s">
        <v>113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R960" t="s">
        <v>114</v>
      </c>
      <c r="S960" t="str">
        <f>"18:50:39.859"</f>
        <v>18:50:39.859</v>
      </c>
      <c r="T960" t="str">
        <f>"18:50:39.563"</f>
        <v>18:50:39.563</v>
      </c>
      <c r="U960" t="str">
        <f t="shared" si="43"/>
        <v>a1cdbe</v>
      </c>
      <c r="V960">
        <v>0</v>
      </c>
      <c r="W960">
        <v>0</v>
      </c>
      <c r="X960">
        <v>1</v>
      </c>
      <c r="Y960">
        <v>0</v>
      </c>
      <c r="Z960">
        <v>0</v>
      </c>
      <c r="AB960">
        <v>0</v>
      </c>
      <c r="AC960">
        <v>9</v>
      </c>
      <c r="AD960">
        <v>3</v>
      </c>
      <c r="AE960">
        <v>0</v>
      </c>
      <c r="AF960">
        <v>9</v>
      </c>
      <c r="AG960" t="s">
        <v>158</v>
      </c>
      <c r="AH960">
        <v>0</v>
      </c>
      <c r="AI960">
        <v>3</v>
      </c>
      <c r="AJ960">
        <v>1</v>
      </c>
      <c r="AK960">
        <v>0</v>
      </c>
      <c r="AL960" t="s">
        <v>1876</v>
      </c>
      <c r="AM960">
        <v>46.846304000000003</v>
      </c>
      <c r="AN960" t="s">
        <v>1966</v>
      </c>
      <c r="AO960">
        <v>-122.491508</v>
      </c>
      <c r="AP960">
        <v>100</v>
      </c>
      <c r="AQ960">
        <v>2100</v>
      </c>
      <c r="AR960" t="s">
        <v>118</v>
      </c>
      <c r="AS960">
        <v>-84</v>
      </c>
      <c r="AT960">
        <v>16</v>
      </c>
      <c r="AU960">
        <v>-192</v>
      </c>
      <c r="BC960">
        <v>1200</v>
      </c>
      <c r="BD960">
        <v>1</v>
      </c>
      <c r="BE960" t="str">
        <f t="shared" si="44"/>
        <v xml:space="preserve">N215T   </v>
      </c>
      <c r="BF960">
        <v>1</v>
      </c>
      <c r="BH960">
        <v>0</v>
      </c>
      <c r="BI960">
        <v>0</v>
      </c>
      <c r="BJ960">
        <v>0</v>
      </c>
      <c r="BK960">
        <v>2450</v>
      </c>
      <c r="BL960">
        <v>350</v>
      </c>
      <c r="BM960" t="s">
        <v>119</v>
      </c>
      <c r="BN960">
        <v>1</v>
      </c>
      <c r="BO960">
        <v>1</v>
      </c>
      <c r="BP960">
        <v>1</v>
      </c>
      <c r="BQ960">
        <v>0</v>
      </c>
      <c r="BT960">
        <v>0</v>
      </c>
      <c r="BU960">
        <v>0</v>
      </c>
      <c r="BV960">
        <v>0</v>
      </c>
      <c r="CC960" t="str">
        <f>"18:50:39.867"</f>
        <v>18:50:39.867</v>
      </c>
      <c r="CD960" t="str">
        <f>"864312277"</f>
        <v>864312277</v>
      </c>
      <c r="CQ960">
        <v>0</v>
      </c>
      <c r="CR960">
        <v>2</v>
      </c>
      <c r="CS960">
        <v>0</v>
      </c>
      <c r="CT960">
        <v>2</v>
      </c>
      <c r="CU960">
        <v>0</v>
      </c>
      <c r="CV960">
        <v>6</v>
      </c>
      <c r="CW960" t="s">
        <v>120</v>
      </c>
      <c r="CX960">
        <v>261</v>
      </c>
      <c r="CY960">
        <v>2</v>
      </c>
      <c r="CZ960" t="s">
        <v>121</v>
      </c>
      <c r="DA960" t="s">
        <v>122</v>
      </c>
      <c r="DD960">
        <v>14764153</v>
      </c>
      <c r="DE960" t="s">
        <v>123</v>
      </c>
    </row>
    <row r="961" spans="1:109" x14ac:dyDescent="0.3">
      <c r="A961" t="str">
        <f>"18:50:41.242"</f>
        <v>18:50:41.242</v>
      </c>
      <c r="B961" t="s">
        <v>110</v>
      </c>
      <c r="C961" t="str">
        <f t="shared" si="42"/>
        <v>ffdfd3c0</v>
      </c>
      <c r="D961" t="s">
        <v>111</v>
      </c>
      <c r="E961">
        <v>18</v>
      </c>
      <c r="F961">
        <v>1018</v>
      </c>
      <c r="G961" t="s">
        <v>112</v>
      </c>
      <c r="J961" t="s">
        <v>113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R961" t="s">
        <v>114</v>
      </c>
      <c r="S961" t="str">
        <f>"18:50:41.016"</f>
        <v>18:50:41.016</v>
      </c>
      <c r="T961" t="str">
        <f>"18:50:40.516"</f>
        <v>18:50:40.516</v>
      </c>
      <c r="U961" t="str">
        <f t="shared" si="43"/>
        <v>a1cdbe</v>
      </c>
      <c r="V961">
        <v>0</v>
      </c>
      <c r="W961">
        <v>0</v>
      </c>
      <c r="X961">
        <v>1</v>
      </c>
      <c r="Y961">
        <v>0</v>
      </c>
      <c r="Z961">
        <v>0</v>
      </c>
      <c r="AB961">
        <v>0</v>
      </c>
      <c r="AC961">
        <v>9</v>
      </c>
      <c r="AD961">
        <v>3</v>
      </c>
      <c r="AE961">
        <v>0</v>
      </c>
      <c r="AF961">
        <v>9</v>
      </c>
      <c r="AG961" t="s">
        <v>158</v>
      </c>
      <c r="AH961">
        <v>0</v>
      </c>
      <c r="AI961">
        <v>3</v>
      </c>
      <c r="AJ961">
        <v>1</v>
      </c>
      <c r="AK961">
        <v>0</v>
      </c>
      <c r="AL961" t="s">
        <v>1967</v>
      </c>
      <c r="AM961">
        <v>46.846347000000002</v>
      </c>
      <c r="AN961" t="s">
        <v>1968</v>
      </c>
      <c r="AO961">
        <v>-122.492194</v>
      </c>
      <c r="AP961">
        <v>100</v>
      </c>
      <c r="AQ961">
        <v>2100</v>
      </c>
      <c r="AR961" t="s">
        <v>118</v>
      </c>
      <c r="AS961">
        <v>-85</v>
      </c>
      <c r="AT961">
        <v>15</v>
      </c>
      <c r="AU961">
        <v>-128</v>
      </c>
      <c r="BC961">
        <v>1200</v>
      </c>
      <c r="BD961">
        <v>1</v>
      </c>
      <c r="BE961" t="str">
        <f t="shared" si="44"/>
        <v xml:space="preserve">N215T   </v>
      </c>
      <c r="BF961">
        <v>1</v>
      </c>
      <c r="BH961">
        <v>0</v>
      </c>
      <c r="BI961">
        <v>0</v>
      </c>
      <c r="BJ961">
        <v>0</v>
      </c>
      <c r="BK961">
        <v>2450</v>
      </c>
      <c r="BL961">
        <v>350</v>
      </c>
      <c r="BM961" t="s">
        <v>119</v>
      </c>
      <c r="BN961">
        <v>1</v>
      </c>
      <c r="BO961">
        <v>1</v>
      </c>
      <c r="BP961">
        <v>1</v>
      </c>
      <c r="BQ961">
        <v>0</v>
      </c>
      <c r="BT961">
        <v>0</v>
      </c>
      <c r="BU961">
        <v>0</v>
      </c>
      <c r="BV961">
        <v>0</v>
      </c>
      <c r="CC961" t="str">
        <f>"18:50:41.016"</f>
        <v>18:50:41.016</v>
      </c>
      <c r="CD961" t="str">
        <f>"019198479"</f>
        <v>019198479</v>
      </c>
      <c r="CQ961">
        <v>0</v>
      </c>
      <c r="CR961">
        <v>2</v>
      </c>
      <c r="CS961">
        <v>0</v>
      </c>
      <c r="CT961">
        <v>2</v>
      </c>
      <c r="CU961">
        <v>0</v>
      </c>
      <c r="CV961">
        <v>6</v>
      </c>
      <c r="CW961" t="s">
        <v>120</v>
      </c>
      <c r="CX961">
        <v>261</v>
      </c>
      <c r="CY961">
        <v>2</v>
      </c>
      <c r="CZ961" t="s">
        <v>121</v>
      </c>
      <c r="DA961" t="s">
        <v>122</v>
      </c>
      <c r="DD961">
        <v>14764792</v>
      </c>
      <c r="DE961" t="s">
        <v>123</v>
      </c>
    </row>
    <row r="962" spans="1:109" x14ac:dyDescent="0.3">
      <c r="A962" t="str">
        <f>"18:50:42.242"</f>
        <v>18:50:42.242</v>
      </c>
      <c r="B962" t="s">
        <v>110</v>
      </c>
      <c r="C962" t="str">
        <f t="shared" ref="C962:C1025" si="45">"ffdfd3c0"</f>
        <v>ffdfd3c0</v>
      </c>
      <c r="D962" t="s">
        <v>111</v>
      </c>
      <c r="E962">
        <v>18</v>
      </c>
      <c r="F962">
        <v>1018</v>
      </c>
      <c r="G962" t="s">
        <v>112</v>
      </c>
      <c r="J962" t="s">
        <v>113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R962" t="s">
        <v>114</v>
      </c>
      <c r="S962" t="str">
        <f>"18:50:42.008"</f>
        <v>18:50:42.008</v>
      </c>
      <c r="T962" t="str">
        <f>"18:50:41.609"</f>
        <v>18:50:41.609</v>
      </c>
      <c r="U962" t="str">
        <f t="shared" ref="U962:U1025" si="46">"a1cdbe"</f>
        <v>a1cdbe</v>
      </c>
      <c r="V962">
        <v>0</v>
      </c>
      <c r="W962">
        <v>0</v>
      </c>
      <c r="X962">
        <v>1</v>
      </c>
      <c r="Y962">
        <v>0</v>
      </c>
      <c r="Z962">
        <v>0</v>
      </c>
      <c r="AB962">
        <v>0</v>
      </c>
      <c r="AC962">
        <v>9</v>
      </c>
      <c r="AD962">
        <v>3</v>
      </c>
      <c r="AE962">
        <v>0</v>
      </c>
      <c r="AF962">
        <v>9</v>
      </c>
      <c r="AG962" t="s">
        <v>158</v>
      </c>
      <c r="AH962">
        <v>0</v>
      </c>
      <c r="AI962">
        <v>3</v>
      </c>
      <c r="AJ962">
        <v>1</v>
      </c>
      <c r="AK962">
        <v>0</v>
      </c>
      <c r="AL962" t="s">
        <v>1969</v>
      </c>
      <c r="AM962">
        <v>46.846432999999998</v>
      </c>
      <c r="AN962" t="s">
        <v>1970</v>
      </c>
      <c r="AO962">
        <v>-122.492795</v>
      </c>
      <c r="AP962">
        <v>100</v>
      </c>
      <c r="AQ962">
        <v>2100</v>
      </c>
      <c r="AR962" t="s">
        <v>118</v>
      </c>
      <c r="AS962">
        <v>-85</v>
      </c>
      <c r="AT962">
        <v>14</v>
      </c>
      <c r="AU962">
        <v>-128</v>
      </c>
      <c r="BC962">
        <v>1200</v>
      </c>
      <c r="BD962">
        <v>1</v>
      </c>
      <c r="BE962" t="str">
        <f t="shared" ref="BE962:BE1025" si="47">"N215T   "</f>
        <v xml:space="preserve">N215T   </v>
      </c>
      <c r="BF962">
        <v>1</v>
      </c>
      <c r="BH962">
        <v>0</v>
      </c>
      <c r="BI962">
        <v>0</v>
      </c>
      <c r="BJ962">
        <v>0</v>
      </c>
      <c r="BK962">
        <v>2425</v>
      </c>
      <c r="BL962">
        <v>325</v>
      </c>
      <c r="BM962" t="s">
        <v>119</v>
      </c>
      <c r="BN962">
        <v>1</v>
      </c>
      <c r="BO962">
        <v>1</v>
      </c>
      <c r="BP962">
        <v>1</v>
      </c>
      <c r="BQ962">
        <v>0</v>
      </c>
      <c r="BT962">
        <v>0</v>
      </c>
      <c r="BU962">
        <v>0</v>
      </c>
      <c r="BV962">
        <v>0</v>
      </c>
      <c r="CC962" t="str">
        <f>"18:50:42.008"</f>
        <v>18:50:42.008</v>
      </c>
      <c r="CD962" t="str">
        <f>"009100956"</f>
        <v>009100956</v>
      </c>
      <c r="CQ962">
        <v>0</v>
      </c>
      <c r="CR962">
        <v>2</v>
      </c>
      <c r="CS962">
        <v>0</v>
      </c>
      <c r="CT962">
        <v>2</v>
      </c>
      <c r="CU962">
        <v>0</v>
      </c>
      <c r="CV962">
        <v>5</v>
      </c>
      <c r="CW962" t="s">
        <v>120</v>
      </c>
      <c r="CX962">
        <v>261</v>
      </c>
      <c r="CY962">
        <v>2</v>
      </c>
      <c r="CZ962" t="s">
        <v>121</v>
      </c>
      <c r="DA962" t="s">
        <v>122</v>
      </c>
      <c r="DD962">
        <v>14765366</v>
      </c>
      <c r="DE962" t="s">
        <v>123</v>
      </c>
    </row>
    <row r="963" spans="1:109" x14ac:dyDescent="0.3">
      <c r="A963" t="str">
        <f>"18:50:43.250"</f>
        <v>18:50:43.250</v>
      </c>
      <c r="B963" t="s">
        <v>110</v>
      </c>
      <c r="C963" t="str">
        <f t="shared" si="45"/>
        <v>ffdfd3c0</v>
      </c>
      <c r="D963" t="s">
        <v>111</v>
      </c>
      <c r="E963">
        <v>18</v>
      </c>
      <c r="F963">
        <v>1018</v>
      </c>
      <c r="G963" t="s">
        <v>112</v>
      </c>
      <c r="J963" t="s">
        <v>113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R963" t="s">
        <v>114</v>
      </c>
      <c r="S963" t="str">
        <f>"18:50:42.992"</f>
        <v>18:50:42.992</v>
      </c>
      <c r="T963" t="str">
        <f>"18:50:42.594"</f>
        <v>18:50:42.594</v>
      </c>
      <c r="U963" t="str">
        <f t="shared" si="46"/>
        <v>a1cdbe</v>
      </c>
      <c r="V963">
        <v>0</v>
      </c>
      <c r="W963">
        <v>0</v>
      </c>
      <c r="X963">
        <v>1</v>
      </c>
      <c r="Y963">
        <v>0</v>
      </c>
      <c r="Z963">
        <v>0</v>
      </c>
      <c r="AB963">
        <v>0</v>
      </c>
      <c r="AC963">
        <v>9</v>
      </c>
      <c r="AD963">
        <v>3</v>
      </c>
      <c r="AE963">
        <v>0</v>
      </c>
      <c r="AF963">
        <v>9</v>
      </c>
      <c r="AG963" t="s">
        <v>158</v>
      </c>
      <c r="AH963">
        <v>0</v>
      </c>
      <c r="AI963">
        <v>3</v>
      </c>
      <c r="AJ963">
        <v>1</v>
      </c>
      <c r="AK963">
        <v>0</v>
      </c>
      <c r="AL963" t="s">
        <v>1872</v>
      </c>
      <c r="AM963">
        <v>46.846496999999999</v>
      </c>
      <c r="AN963" t="s">
        <v>1971</v>
      </c>
      <c r="AO963">
        <v>-122.493374</v>
      </c>
      <c r="AP963">
        <v>100</v>
      </c>
      <c r="AQ963">
        <v>2100</v>
      </c>
      <c r="AR963" t="s">
        <v>118</v>
      </c>
      <c r="AS963">
        <v>-85</v>
      </c>
      <c r="AT963">
        <v>15</v>
      </c>
      <c r="AU963">
        <v>-128</v>
      </c>
      <c r="BC963">
        <v>1200</v>
      </c>
      <c r="BD963">
        <v>1</v>
      </c>
      <c r="BE963" t="str">
        <f t="shared" si="47"/>
        <v xml:space="preserve">N215T   </v>
      </c>
      <c r="BF963">
        <v>1</v>
      </c>
      <c r="BH963">
        <v>0</v>
      </c>
      <c r="BI963">
        <v>0</v>
      </c>
      <c r="BJ963">
        <v>0</v>
      </c>
      <c r="BK963">
        <v>2425</v>
      </c>
      <c r="BL963">
        <v>325</v>
      </c>
      <c r="BM963" t="s">
        <v>119</v>
      </c>
      <c r="BN963">
        <v>1</v>
      </c>
      <c r="BO963">
        <v>1</v>
      </c>
      <c r="BP963">
        <v>1</v>
      </c>
      <c r="BQ963">
        <v>0</v>
      </c>
      <c r="BT963">
        <v>0</v>
      </c>
      <c r="BU963">
        <v>0</v>
      </c>
      <c r="BV963">
        <v>0</v>
      </c>
      <c r="CC963" t="str">
        <f>"18:50:43.000"</f>
        <v>18:50:43.000</v>
      </c>
      <c r="CD963" t="str">
        <f>"999003405"</f>
        <v>999003405</v>
      </c>
      <c r="CQ963">
        <v>0</v>
      </c>
      <c r="CR963">
        <v>2</v>
      </c>
      <c r="CS963">
        <v>0</v>
      </c>
      <c r="CT963">
        <v>2</v>
      </c>
      <c r="CU963">
        <v>0</v>
      </c>
      <c r="CV963">
        <v>5</v>
      </c>
      <c r="CW963" t="s">
        <v>120</v>
      </c>
      <c r="CX963">
        <v>261</v>
      </c>
      <c r="CY963">
        <v>2</v>
      </c>
      <c r="CZ963" t="s">
        <v>121</v>
      </c>
      <c r="DA963" t="s">
        <v>122</v>
      </c>
      <c r="DD963">
        <v>14765923</v>
      </c>
      <c r="DE963" t="s">
        <v>123</v>
      </c>
    </row>
    <row r="964" spans="1:109" x14ac:dyDescent="0.3">
      <c r="A964" t="str">
        <f>"18:50:44.305"</f>
        <v>18:50:44.305</v>
      </c>
      <c r="B964" t="s">
        <v>110</v>
      </c>
      <c r="C964" t="str">
        <f t="shared" si="45"/>
        <v>ffdfd3c0</v>
      </c>
      <c r="D964" t="s">
        <v>111</v>
      </c>
      <c r="E964">
        <v>18</v>
      </c>
      <c r="F964">
        <v>1018</v>
      </c>
      <c r="G964" t="s">
        <v>112</v>
      </c>
      <c r="J964" t="s">
        <v>113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R964" t="s">
        <v>114</v>
      </c>
      <c r="S964" t="str">
        <f>"18:50:44.094"</f>
        <v>18:50:44.094</v>
      </c>
      <c r="T964" t="str">
        <f>"18:50:44.094"</f>
        <v>18:50:44.094</v>
      </c>
      <c r="U964" t="str">
        <f t="shared" si="46"/>
        <v>a1cdbe</v>
      </c>
      <c r="V964">
        <v>0</v>
      </c>
      <c r="W964">
        <v>0</v>
      </c>
      <c r="X964">
        <v>1</v>
      </c>
      <c r="Y964">
        <v>0</v>
      </c>
      <c r="Z964">
        <v>0</v>
      </c>
      <c r="AB964">
        <v>0</v>
      </c>
      <c r="AC964">
        <v>9</v>
      </c>
      <c r="AD964">
        <v>3</v>
      </c>
      <c r="AE964">
        <v>0</v>
      </c>
      <c r="AF964">
        <v>9</v>
      </c>
      <c r="AG964" t="s">
        <v>158</v>
      </c>
      <c r="AH964">
        <v>0</v>
      </c>
      <c r="AI964">
        <v>3</v>
      </c>
      <c r="AJ964">
        <v>1</v>
      </c>
      <c r="AK964">
        <v>0</v>
      </c>
      <c r="AL964" t="s">
        <v>1870</v>
      </c>
      <c r="AM964">
        <v>46.846583000000003</v>
      </c>
      <c r="AN964" t="s">
        <v>1972</v>
      </c>
      <c r="AO964">
        <v>-122.494018</v>
      </c>
      <c r="AP964">
        <v>100</v>
      </c>
      <c r="AQ964">
        <v>2100</v>
      </c>
      <c r="AR964" t="s">
        <v>118</v>
      </c>
      <c r="AS964">
        <v>-85</v>
      </c>
      <c r="AT964">
        <v>15</v>
      </c>
      <c r="AU964">
        <v>0</v>
      </c>
      <c r="BC964">
        <v>1200</v>
      </c>
      <c r="BD964">
        <v>1</v>
      </c>
      <c r="BE964" t="str">
        <f t="shared" si="47"/>
        <v xml:space="preserve">N215T   </v>
      </c>
      <c r="BF964">
        <v>1</v>
      </c>
      <c r="BH964">
        <v>0</v>
      </c>
      <c r="BI964">
        <v>0</v>
      </c>
      <c r="BJ964">
        <v>0</v>
      </c>
      <c r="BK964">
        <v>2425</v>
      </c>
      <c r="BL964">
        <v>325</v>
      </c>
      <c r="BM964" t="s">
        <v>119</v>
      </c>
      <c r="BN964">
        <v>1</v>
      </c>
      <c r="BO964">
        <v>1</v>
      </c>
      <c r="BP964">
        <v>1</v>
      </c>
      <c r="BQ964">
        <v>0</v>
      </c>
      <c r="BT964">
        <v>0</v>
      </c>
      <c r="BU964">
        <v>0</v>
      </c>
      <c r="BV964">
        <v>0</v>
      </c>
      <c r="CC964" t="str">
        <f>"18:50:44.094"</f>
        <v>18:50:44.094</v>
      </c>
      <c r="CD964" t="str">
        <f>"093895520"</f>
        <v>093895520</v>
      </c>
      <c r="CQ964">
        <v>0</v>
      </c>
      <c r="CR964">
        <v>2</v>
      </c>
      <c r="CS964">
        <v>0</v>
      </c>
      <c r="CT964">
        <v>2</v>
      </c>
      <c r="CU964">
        <v>0</v>
      </c>
      <c r="CV964">
        <v>5</v>
      </c>
      <c r="CW964" t="s">
        <v>120</v>
      </c>
      <c r="CX964">
        <v>261</v>
      </c>
      <c r="CY964">
        <v>2</v>
      </c>
      <c r="CZ964" t="s">
        <v>121</v>
      </c>
      <c r="DA964" t="s">
        <v>122</v>
      </c>
      <c r="DD964">
        <v>14766575</v>
      </c>
      <c r="DE964" t="s">
        <v>123</v>
      </c>
    </row>
    <row r="965" spans="1:109" x14ac:dyDescent="0.3">
      <c r="A965" t="str">
        <f>"18:50:45.211"</f>
        <v>18:50:45.211</v>
      </c>
      <c r="B965" t="s">
        <v>110</v>
      </c>
      <c r="C965" t="str">
        <f t="shared" si="45"/>
        <v>ffdfd3c0</v>
      </c>
      <c r="D965" t="s">
        <v>111</v>
      </c>
      <c r="E965">
        <v>18</v>
      </c>
      <c r="F965">
        <v>1018</v>
      </c>
      <c r="G965" t="s">
        <v>112</v>
      </c>
      <c r="J965" t="s">
        <v>113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R965" t="s">
        <v>114</v>
      </c>
      <c r="S965" t="str">
        <f>"18:50:44.992"</f>
        <v>18:50:44.992</v>
      </c>
      <c r="T965" t="str">
        <f>"18:50:44.594"</f>
        <v>18:50:44.594</v>
      </c>
      <c r="U965" t="str">
        <f t="shared" si="46"/>
        <v>a1cdbe</v>
      </c>
      <c r="V965">
        <v>0</v>
      </c>
      <c r="W965">
        <v>0</v>
      </c>
      <c r="X965">
        <v>1</v>
      </c>
      <c r="Y965">
        <v>0</v>
      </c>
      <c r="Z965">
        <v>0</v>
      </c>
      <c r="AB965">
        <v>0</v>
      </c>
      <c r="AC965">
        <v>9</v>
      </c>
      <c r="AD965">
        <v>3</v>
      </c>
      <c r="AE965">
        <v>0</v>
      </c>
      <c r="AF965">
        <v>9</v>
      </c>
      <c r="AG965" t="s">
        <v>158</v>
      </c>
      <c r="AH965">
        <v>0</v>
      </c>
      <c r="AI965">
        <v>3</v>
      </c>
      <c r="AJ965">
        <v>1</v>
      </c>
      <c r="AK965">
        <v>0</v>
      </c>
      <c r="AL965" t="s">
        <v>1973</v>
      </c>
      <c r="AM965">
        <v>46.846626000000001</v>
      </c>
      <c r="AN965" t="s">
        <v>1974</v>
      </c>
      <c r="AO965">
        <v>-122.494469</v>
      </c>
      <c r="AP965">
        <v>100</v>
      </c>
      <c r="AQ965">
        <v>2100</v>
      </c>
      <c r="AR965" t="s">
        <v>118</v>
      </c>
      <c r="AS965">
        <v>-85</v>
      </c>
      <c r="AT965">
        <v>15</v>
      </c>
      <c r="AU965">
        <v>0</v>
      </c>
      <c r="BC965">
        <v>1200</v>
      </c>
      <c r="BD965">
        <v>1</v>
      </c>
      <c r="BE965" t="str">
        <f t="shared" si="47"/>
        <v xml:space="preserve">N215T   </v>
      </c>
      <c r="BF965">
        <v>1</v>
      </c>
      <c r="BH965">
        <v>0</v>
      </c>
      <c r="BI965">
        <v>0</v>
      </c>
      <c r="BJ965">
        <v>0</v>
      </c>
      <c r="BK965">
        <v>2425</v>
      </c>
      <c r="BL965">
        <v>325</v>
      </c>
      <c r="BM965" t="s">
        <v>119</v>
      </c>
      <c r="BN965">
        <v>1</v>
      </c>
      <c r="BO965">
        <v>1</v>
      </c>
      <c r="BP965">
        <v>1</v>
      </c>
      <c r="BQ965">
        <v>0</v>
      </c>
      <c r="BT965">
        <v>0</v>
      </c>
      <c r="BU965">
        <v>0</v>
      </c>
      <c r="BV965">
        <v>0</v>
      </c>
      <c r="CC965" t="str">
        <f>"18:50:44.992"</f>
        <v>18:50:44.992</v>
      </c>
      <c r="CD965" t="str">
        <f>"993806859"</f>
        <v>993806859</v>
      </c>
      <c r="CQ965">
        <v>0</v>
      </c>
      <c r="CR965">
        <v>2</v>
      </c>
      <c r="CS965">
        <v>0</v>
      </c>
      <c r="CT965">
        <v>2</v>
      </c>
      <c r="CU965">
        <v>0</v>
      </c>
      <c r="CV965">
        <v>6</v>
      </c>
      <c r="CW965" t="s">
        <v>120</v>
      </c>
      <c r="CX965">
        <v>261</v>
      </c>
      <c r="CY965">
        <v>2</v>
      </c>
      <c r="CZ965" t="s">
        <v>121</v>
      </c>
      <c r="DA965" t="s">
        <v>122</v>
      </c>
      <c r="DD965">
        <v>14767074</v>
      </c>
      <c r="DE965" t="s">
        <v>123</v>
      </c>
    </row>
    <row r="966" spans="1:109" x14ac:dyDescent="0.3">
      <c r="A966" t="str">
        <f>"18:50:46.320"</f>
        <v>18:50:46.320</v>
      </c>
      <c r="B966" t="s">
        <v>110</v>
      </c>
      <c r="C966" t="str">
        <f t="shared" si="45"/>
        <v>ffdfd3c0</v>
      </c>
      <c r="D966" t="s">
        <v>111</v>
      </c>
      <c r="E966">
        <v>18</v>
      </c>
      <c r="F966">
        <v>1018</v>
      </c>
      <c r="G966" t="s">
        <v>112</v>
      </c>
      <c r="J966" t="s">
        <v>113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R966" t="s">
        <v>114</v>
      </c>
      <c r="S966" t="str">
        <f>"18:50:46.086"</f>
        <v>18:50:46.086</v>
      </c>
      <c r="T966" t="str">
        <f>"18:50:45.984"</f>
        <v>18:50:45.984</v>
      </c>
      <c r="U966" t="str">
        <f t="shared" si="46"/>
        <v>a1cdbe</v>
      </c>
      <c r="V966">
        <v>0</v>
      </c>
      <c r="W966">
        <v>0</v>
      </c>
      <c r="X966">
        <v>1</v>
      </c>
      <c r="Y966">
        <v>0</v>
      </c>
      <c r="Z966">
        <v>0</v>
      </c>
      <c r="AB966">
        <v>0</v>
      </c>
      <c r="AC966">
        <v>9</v>
      </c>
      <c r="AD966">
        <v>3</v>
      </c>
      <c r="AE966">
        <v>0</v>
      </c>
      <c r="AF966">
        <v>9</v>
      </c>
      <c r="AG966" t="s">
        <v>158</v>
      </c>
      <c r="AH966">
        <v>0</v>
      </c>
      <c r="AI966">
        <v>3</v>
      </c>
      <c r="AJ966">
        <v>1</v>
      </c>
      <c r="AK966">
        <v>0</v>
      </c>
      <c r="AL966" t="s">
        <v>1975</v>
      </c>
      <c r="AM966">
        <v>46.846711999999997</v>
      </c>
      <c r="AN966" t="s">
        <v>1976</v>
      </c>
      <c r="AO966">
        <v>-122.49507</v>
      </c>
      <c r="AP966">
        <v>100</v>
      </c>
      <c r="AQ966">
        <v>2100</v>
      </c>
      <c r="AR966" t="s">
        <v>118</v>
      </c>
      <c r="AS966">
        <v>-84</v>
      </c>
      <c r="AT966">
        <v>16</v>
      </c>
      <c r="AU966">
        <v>0</v>
      </c>
      <c r="BC966">
        <v>1200</v>
      </c>
      <c r="BD966">
        <v>1</v>
      </c>
      <c r="BE966" t="str">
        <f t="shared" si="47"/>
        <v xml:space="preserve">N215T   </v>
      </c>
      <c r="BF966">
        <v>1</v>
      </c>
      <c r="BH966">
        <v>0</v>
      </c>
      <c r="BI966">
        <v>0</v>
      </c>
      <c r="BJ966">
        <v>0</v>
      </c>
      <c r="BK966">
        <v>2425</v>
      </c>
      <c r="BL966">
        <v>325</v>
      </c>
      <c r="BM966" t="s">
        <v>119</v>
      </c>
      <c r="BN966">
        <v>1</v>
      </c>
      <c r="BO966">
        <v>1</v>
      </c>
      <c r="BP966">
        <v>1</v>
      </c>
      <c r="BQ966">
        <v>0</v>
      </c>
      <c r="BT966">
        <v>0</v>
      </c>
      <c r="BU966">
        <v>0</v>
      </c>
      <c r="BV966">
        <v>0</v>
      </c>
      <c r="CC966" t="str">
        <f>"18:50:46.086"</f>
        <v>18:50:46.086</v>
      </c>
      <c r="CD966" t="str">
        <f>"088818729"</f>
        <v>088818729</v>
      </c>
      <c r="CQ966">
        <v>0</v>
      </c>
      <c r="CR966">
        <v>2</v>
      </c>
      <c r="CS966">
        <v>0</v>
      </c>
      <c r="CT966">
        <v>2</v>
      </c>
      <c r="CU966">
        <v>0</v>
      </c>
      <c r="CV966">
        <v>5</v>
      </c>
      <c r="CW966" t="s">
        <v>120</v>
      </c>
      <c r="CX966">
        <v>257</v>
      </c>
      <c r="CY966">
        <v>1</v>
      </c>
      <c r="CZ966" t="s">
        <v>615</v>
      </c>
      <c r="DA966" t="s">
        <v>616</v>
      </c>
      <c r="DD966">
        <v>11095529</v>
      </c>
      <c r="DE966" t="s">
        <v>123</v>
      </c>
    </row>
    <row r="967" spans="1:109" x14ac:dyDescent="0.3">
      <c r="A967" t="str">
        <f>"18:50:47.422"</f>
        <v>18:50:47.422</v>
      </c>
      <c r="B967" t="s">
        <v>110</v>
      </c>
      <c r="C967" t="str">
        <f t="shared" si="45"/>
        <v>ffdfd3c0</v>
      </c>
      <c r="D967" t="s">
        <v>111</v>
      </c>
      <c r="E967">
        <v>18</v>
      </c>
      <c r="F967">
        <v>1018</v>
      </c>
      <c r="G967" t="s">
        <v>112</v>
      </c>
      <c r="J967" t="s">
        <v>113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R967" t="s">
        <v>114</v>
      </c>
      <c r="S967" t="str">
        <f>"18:50:47.180"</f>
        <v>18:50:47.180</v>
      </c>
      <c r="T967" t="str">
        <f>"18:50:46.977"</f>
        <v>18:50:46.977</v>
      </c>
      <c r="U967" t="str">
        <f t="shared" si="46"/>
        <v>a1cdbe</v>
      </c>
      <c r="V967">
        <v>0</v>
      </c>
      <c r="W967">
        <v>0</v>
      </c>
      <c r="X967">
        <v>1</v>
      </c>
      <c r="Y967">
        <v>0</v>
      </c>
      <c r="Z967">
        <v>0</v>
      </c>
      <c r="AB967">
        <v>0</v>
      </c>
      <c r="AC967">
        <v>9</v>
      </c>
      <c r="AD967">
        <v>3</v>
      </c>
      <c r="AE967">
        <v>0</v>
      </c>
      <c r="AF967">
        <v>9</v>
      </c>
      <c r="AG967" t="s">
        <v>158</v>
      </c>
      <c r="AH967">
        <v>0</v>
      </c>
      <c r="AI967">
        <v>3</v>
      </c>
      <c r="AJ967">
        <v>1</v>
      </c>
      <c r="AK967">
        <v>0</v>
      </c>
      <c r="AL967" t="s">
        <v>1977</v>
      </c>
      <c r="AM967">
        <v>46.846797000000002</v>
      </c>
      <c r="AN967" t="s">
        <v>1978</v>
      </c>
      <c r="AO967">
        <v>-122.495756</v>
      </c>
      <c r="AP967">
        <v>100</v>
      </c>
      <c r="AQ967">
        <v>2100</v>
      </c>
      <c r="AR967" t="s">
        <v>118</v>
      </c>
      <c r="AS967">
        <v>-83</v>
      </c>
      <c r="AT967">
        <v>15</v>
      </c>
      <c r="AU967">
        <v>128</v>
      </c>
      <c r="BC967">
        <v>1200</v>
      </c>
      <c r="BD967">
        <v>1</v>
      </c>
      <c r="BE967" t="str">
        <f t="shared" si="47"/>
        <v xml:space="preserve">N215T   </v>
      </c>
      <c r="BF967">
        <v>1</v>
      </c>
      <c r="BH967">
        <v>0</v>
      </c>
      <c r="BI967">
        <v>0</v>
      </c>
      <c r="BJ967">
        <v>0</v>
      </c>
      <c r="BK967">
        <v>2425</v>
      </c>
      <c r="BL967">
        <v>325</v>
      </c>
      <c r="BM967" t="s">
        <v>119</v>
      </c>
      <c r="BN967">
        <v>1</v>
      </c>
      <c r="BO967">
        <v>1</v>
      </c>
      <c r="BP967">
        <v>1</v>
      </c>
      <c r="BQ967">
        <v>0</v>
      </c>
      <c r="BT967">
        <v>0</v>
      </c>
      <c r="BU967">
        <v>0</v>
      </c>
      <c r="BV967">
        <v>0</v>
      </c>
      <c r="CC967" t="str">
        <f>"18:50:47.188"</f>
        <v>18:50:47.188</v>
      </c>
      <c r="CD967" t="str">
        <f>"183710792"</f>
        <v>183710792</v>
      </c>
      <c r="CQ967">
        <v>0</v>
      </c>
      <c r="CR967">
        <v>2</v>
      </c>
      <c r="CS967">
        <v>0</v>
      </c>
      <c r="CT967">
        <v>2</v>
      </c>
      <c r="CU967">
        <v>0</v>
      </c>
      <c r="CV967">
        <v>5</v>
      </c>
      <c r="CW967" t="s">
        <v>120</v>
      </c>
      <c r="CX967">
        <v>257</v>
      </c>
      <c r="CY967">
        <v>1</v>
      </c>
      <c r="CZ967" t="s">
        <v>615</v>
      </c>
      <c r="DA967" t="s">
        <v>616</v>
      </c>
      <c r="DD967">
        <v>11096265</v>
      </c>
      <c r="DE967" t="s">
        <v>123</v>
      </c>
    </row>
    <row r="968" spans="1:109" x14ac:dyDescent="0.3">
      <c r="A968" t="str">
        <f>"18:50:48.281"</f>
        <v>18:50:48.281</v>
      </c>
      <c r="B968" t="s">
        <v>110</v>
      </c>
      <c r="C968" t="str">
        <f t="shared" si="45"/>
        <v>ffdfd3c0</v>
      </c>
      <c r="D968" t="s">
        <v>111</v>
      </c>
      <c r="E968">
        <v>18</v>
      </c>
      <c r="F968">
        <v>1018</v>
      </c>
      <c r="G968" t="s">
        <v>112</v>
      </c>
      <c r="J968" t="s">
        <v>113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R968" t="s">
        <v>114</v>
      </c>
      <c r="S968" t="str">
        <f>"18:50:48.047"</f>
        <v>18:50:48.047</v>
      </c>
      <c r="T968" t="str">
        <f>"18:50:47.547"</f>
        <v>18:50:47.547</v>
      </c>
      <c r="U968" t="str">
        <f t="shared" si="46"/>
        <v>a1cdbe</v>
      </c>
      <c r="V968">
        <v>0</v>
      </c>
      <c r="W968">
        <v>0</v>
      </c>
      <c r="X968">
        <v>1</v>
      </c>
      <c r="Y968">
        <v>0</v>
      </c>
      <c r="Z968">
        <v>0</v>
      </c>
      <c r="AB968">
        <v>0</v>
      </c>
      <c r="AC968">
        <v>9</v>
      </c>
      <c r="AD968">
        <v>3</v>
      </c>
      <c r="AE968">
        <v>0</v>
      </c>
      <c r="AF968">
        <v>9</v>
      </c>
      <c r="AG968" t="s">
        <v>158</v>
      </c>
      <c r="AH968">
        <v>0</v>
      </c>
      <c r="AI968">
        <v>3</v>
      </c>
      <c r="AJ968">
        <v>1</v>
      </c>
      <c r="AK968">
        <v>0</v>
      </c>
      <c r="AL968" t="s">
        <v>1979</v>
      </c>
      <c r="AM968">
        <v>46.84684</v>
      </c>
      <c r="AN968" t="s">
        <v>1980</v>
      </c>
      <c r="AO968">
        <v>-122.496228</v>
      </c>
      <c r="AP968">
        <v>100</v>
      </c>
      <c r="AQ968">
        <v>2100</v>
      </c>
      <c r="AR968" t="s">
        <v>118</v>
      </c>
      <c r="AS968">
        <v>-82</v>
      </c>
      <c r="AT968">
        <v>15</v>
      </c>
      <c r="AU968">
        <v>192</v>
      </c>
      <c r="BC968">
        <v>1200</v>
      </c>
      <c r="BD968">
        <v>1</v>
      </c>
      <c r="BE968" t="str">
        <f t="shared" si="47"/>
        <v xml:space="preserve">N215T   </v>
      </c>
      <c r="BF968">
        <v>1</v>
      </c>
      <c r="BH968">
        <v>0</v>
      </c>
      <c r="BI968">
        <v>0</v>
      </c>
      <c r="BJ968">
        <v>0</v>
      </c>
      <c r="BK968">
        <v>2425</v>
      </c>
      <c r="BL968">
        <v>325</v>
      </c>
      <c r="BM968" t="s">
        <v>119</v>
      </c>
      <c r="BN968">
        <v>1</v>
      </c>
      <c r="BO968">
        <v>1</v>
      </c>
      <c r="BP968">
        <v>1</v>
      </c>
      <c r="BQ968">
        <v>0</v>
      </c>
      <c r="BT968">
        <v>0</v>
      </c>
      <c r="BU968">
        <v>0</v>
      </c>
      <c r="BV968">
        <v>0</v>
      </c>
      <c r="CC968" t="str">
        <f>"18:50:48.055"</f>
        <v>18:50:48.055</v>
      </c>
      <c r="CD968" t="str">
        <f>"053625030"</f>
        <v>053625030</v>
      </c>
      <c r="CQ968">
        <v>0</v>
      </c>
      <c r="CR968">
        <v>2</v>
      </c>
      <c r="CS968">
        <v>0</v>
      </c>
      <c r="CT968">
        <v>2</v>
      </c>
      <c r="CU968">
        <v>0</v>
      </c>
      <c r="CV968">
        <v>5</v>
      </c>
      <c r="CW968" t="s">
        <v>120</v>
      </c>
      <c r="CX968">
        <v>257</v>
      </c>
      <c r="CY968">
        <v>1</v>
      </c>
      <c r="CZ968" t="s">
        <v>615</v>
      </c>
      <c r="DA968" t="s">
        <v>616</v>
      </c>
      <c r="DD968">
        <v>11096875</v>
      </c>
      <c r="DE968" t="s">
        <v>123</v>
      </c>
    </row>
    <row r="969" spans="1:109" x14ac:dyDescent="0.3">
      <c r="A969" t="str">
        <f>"18:50:49.180"</f>
        <v>18:50:49.180</v>
      </c>
      <c r="B969" t="s">
        <v>110</v>
      </c>
      <c r="C969" t="str">
        <f t="shared" si="45"/>
        <v>ffdfd3c0</v>
      </c>
      <c r="D969" t="s">
        <v>111</v>
      </c>
      <c r="E969">
        <v>18</v>
      </c>
      <c r="F969">
        <v>1018</v>
      </c>
      <c r="G969" t="s">
        <v>112</v>
      </c>
      <c r="J969" t="s">
        <v>113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R969" t="s">
        <v>114</v>
      </c>
      <c r="S969" t="str">
        <f>"18:50:48.961"</f>
        <v>18:50:48.961</v>
      </c>
      <c r="T969" t="str">
        <f>"18:50:48.563"</f>
        <v>18:50:48.563</v>
      </c>
      <c r="U969" t="str">
        <f t="shared" si="46"/>
        <v>a1cdbe</v>
      </c>
      <c r="V969">
        <v>0</v>
      </c>
      <c r="W969">
        <v>0</v>
      </c>
      <c r="X969">
        <v>1</v>
      </c>
      <c r="Y969">
        <v>0</v>
      </c>
      <c r="Z969">
        <v>0</v>
      </c>
      <c r="AB969">
        <v>0</v>
      </c>
      <c r="AC969">
        <v>9</v>
      </c>
      <c r="AD969">
        <v>3</v>
      </c>
      <c r="AE969">
        <v>0</v>
      </c>
      <c r="AF969">
        <v>9</v>
      </c>
      <c r="AG969" t="s">
        <v>158</v>
      </c>
      <c r="AH969">
        <v>0</v>
      </c>
      <c r="AI969">
        <v>3</v>
      </c>
      <c r="AJ969">
        <v>1</v>
      </c>
      <c r="AK969">
        <v>0</v>
      </c>
      <c r="AL969" t="s">
        <v>1981</v>
      </c>
      <c r="AM969">
        <v>46.846905</v>
      </c>
      <c r="AN969" t="s">
        <v>1982</v>
      </c>
      <c r="AO969">
        <v>-122.496743</v>
      </c>
      <c r="AP969">
        <v>100</v>
      </c>
      <c r="AQ969">
        <v>2100</v>
      </c>
      <c r="AR969" t="s">
        <v>118</v>
      </c>
      <c r="AS969">
        <v>-82</v>
      </c>
      <c r="AT969">
        <v>13</v>
      </c>
      <c r="AU969">
        <v>256</v>
      </c>
      <c r="BC969">
        <v>1200</v>
      </c>
      <c r="BD969">
        <v>1</v>
      </c>
      <c r="BE969" t="str">
        <f t="shared" si="47"/>
        <v xml:space="preserve">N215T   </v>
      </c>
      <c r="BF969">
        <v>1</v>
      </c>
      <c r="BH969">
        <v>0</v>
      </c>
      <c r="BI969">
        <v>0</v>
      </c>
      <c r="BJ969">
        <v>0</v>
      </c>
      <c r="BK969">
        <v>2450</v>
      </c>
      <c r="BL969">
        <v>350</v>
      </c>
      <c r="BM969" t="s">
        <v>119</v>
      </c>
      <c r="BN969">
        <v>1</v>
      </c>
      <c r="BO969">
        <v>1</v>
      </c>
      <c r="BP969">
        <v>1</v>
      </c>
      <c r="BQ969">
        <v>0</v>
      </c>
      <c r="BT969">
        <v>0</v>
      </c>
      <c r="BU969">
        <v>0</v>
      </c>
      <c r="BV969">
        <v>0</v>
      </c>
      <c r="CC969" t="str">
        <f>"18:50:48.969"</f>
        <v>18:50:48.969</v>
      </c>
      <c r="CD969" t="str">
        <f>"968415240"</f>
        <v>968415240</v>
      </c>
      <c r="CQ969">
        <v>0</v>
      </c>
      <c r="CR969">
        <v>2</v>
      </c>
      <c r="CS969">
        <v>0</v>
      </c>
      <c r="CT969">
        <v>2</v>
      </c>
      <c r="CU969">
        <v>0</v>
      </c>
      <c r="CV969">
        <v>6</v>
      </c>
      <c r="CW969" t="s">
        <v>120</v>
      </c>
      <c r="CX969">
        <v>261</v>
      </c>
      <c r="CY969">
        <v>2</v>
      </c>
      <c r="CZ969" t="s">
        <v>121</v>
      </c>
      <c r="DA969" t="s">
        <v>122</v>
      </c>
      <c r="DD969">
        <v>14769339</v>
      </c>
      <c r="DE969" t="s">
        <v>123</v>
      </c>
    </row>
    <row r="970" spans="1:109" x14ac:dyDescent="0.3">
      <c r="A970" t="str">
        <f>"18:50:50.086"</f>
        <v>18:50:50.086</v>
      </c>
      <c r="B970" t="s">
        <v>110</v>
      </c>
      <c r="C970" t="str">
        <f t="shared" si="45"/>
        <v>ffdfd3c0</v>
      </c>
      <c r="D970" t="s">
        <v>111</v>
      </c>
      <c r="E970">
        <v>18</v>
      </c>
      <c r="F970">
        <v>1018</v>
      </c>
      <c r="G970" t="s">
        <v>112</v>
      </c>
      <c r="J970" t="s">
        <v>113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R970" t="s">
        <v>114</v>
      </c>
      <c r="S970" t="str">
        <f>"18:50:49.867"</f>
        <v>18:50:49.867</v>
      </c>
      <c r="T970" t="str">
        <f>"18:50:49.469"</f>
        <v>18:50:49.469</v>
      </c>
      <c r="U970" t="str">
        <f t="shared" si="46"/>
        <v>a1cdbe</v>
      </c>
      <c r="V970">
        <v>0</v>
      </c>
      <c r="W970">
        <v>0</v>
      </c>
      <c r="X970">
        <v>1</v>
      </c>
      <c r="Y970">
        <v>0</v>
      </c>
      <c r="Z970">
        <v>0</v>
      </c>
      <c r="AB970">
        <v>0</v>
      </c>
      <c r="AC970">
        <v>9</v>
      </c>
      <c r="AD970">
        <v>3</v>
      </c>
      <c r="AE970">
        <v>0</v>
      </c>
      <c r="AF970">
        <v>9</v>
      </c>
      <c r="AG970" t="s">
        <v>158</v>
      </c>
      <c r="AH970">
        <v>0</v>
      </c>
      <c r="AI970">
        <v>3</v>
      </c>
      <c r="AJ970">
        <v>1</v>
      </c>
      <c r="AK970">
        <v>0</v>
      </c>
      <c r="AL970" t="s">
        <v>1983</v>
      </c>
      <c r="AM970">
        <v>46.846969000000001</v>
      </c>
      <c r="AN970" t="s">
        <v>1984</v>
      </c>
      <c r="AO970">
        <v>-122.497215</v>
      </c>
      <c r="AP970">
        <v>100</v>
      </c>
      <c r="AQ970">
        <v>2100</v>
      </c>
      <c r="AR970" t="s">
        <v>118</v>
      </c>
      <c r="AS970">
        <v>-82</v>
      </c>
      <c r="AT970">
        <v>12</v>
      </c>
      <c r="AU970">
        <v>256</v>
      </c>
      <c r="BC970">
        <v>1200</v>
      </c>
      <c r="BD970">
        <v>1</v>
      </c>
      <c r="BE970" t="str">
        <f t="shared" si="47"/>
        <v xml:space="preserve">N215T   </v>
      </c>
      <c r="BF970">
        <v>1</v>
      </c>
      <c r="BH970">
        <v>0</v>
      </c>
      <c r="BI970">
        <v>0</v>
      </c>
      <c r="BJ970">
        <v>0</v>
      </c>
      <c r="BK970">
        <v>2450</v>
      </c>
      <c r="BL970">
        <v>350</v>
      </c>
      <c r="BM970" t="s">
        <v>119</v>
      </c>
      <c r="BN970">
        <v>1</v>
      </c>
      <c r="BO970">
        <v>1</v>
      </c>
      <c r="BP970">
        <v>1</v>
      </c>
      <c r="BQ970">
        <v>0</v>
      </c>
      <c r="BT970">
        <v>0</v>
      </c>
      <c r="BU970">
        <v>0</v>
      </c>
      <c r="BV970">
        <v>0</v>
      </c>
      <c r="CC970" t="str">
        <f>"18:50:49.867"</f>
        <v>18:50:49.867</v>
      </c>
      <c r="CD970" t="str">
        <f>"868326565"</f>
        <v>868326565</v>
      </c>
      <c r="CQ970">
        <v>0</v>
      </c>
      <c r="CR970">
        <v>2</v>
      </c>
      <c r="CS970">
        <v>0</v>
      </c>
      <c r="CT970">
        <v>2</v>
      </c>
      <c r="CU970">
        <v>0</v>
      </c>
      <c r="CV970">
        <v>6</v>
      </c>
      <c r="CW970" t="s">
        <v>120</v>
      </c>
      <c r="CX970">
        <v>261</v>
      </c>
      <c r="CY970">
        <v>2</v>
      </c>
      <c r="CZ970" t="s">
        <v>121</v>
      </c>
      <c r="DA970" t="s">
        <v>122</v>
      </c>
      <c r="DD970">
        <v>14769824</v>
      </c>
      <c r="DE970" t="s">
        <v>123</v>
      </c>
    </row>
    <row r="971" spans="1:109" x14ac:dyDescent="0.3">
      <c r="A971" t="str">
        <f>"18:50:50.992"</f>
        <v>18:50:50.992</v>
      </c>
      <c r="B971" t="s">
        <v>110</v>
      </c>
      <c r="C971" t="str">
        <f t="shared" si="45"/>
        <v>ffdfd3c0</v>
      </c>
      <c r="D971" t="s">
        <v>111</v>
      </c>
      <c r="E971">
        <v>18</v>
      </c>
      <c r="F971">
        <v>1018</v>
      </c>
      <c r="G971" t="s">
        <v>112</v>
      </c>
      <c r="J971" t="s">
        <v>113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R971" t="s">
        <v>114</v>
      </c>
      <c r="S971" t="str">
        <f>"18:50:50.781"</f>
        <v>18:50:50.781</v>
      </c>
      <c r="T971" t="str">
        <f>"18:50:50.578"</f>
        <v>18:50:50.578</v>
      </c>
      <c r="U971" t="str">
        <f t="shared" si="46"/>
        <v>a1cdbe</v>
      </c>
      <c r="V971">
        <v>0</v>
      </c>
      <c r="W971">
        <v>0</v>
      </c>
      <c r="X971">
        <v>1</v>
      </c>
      <c r="Y971">
        <v>0</v>
      </c>
      <c r="Z971">
        <v>0</v>
      </c>
      <c r="AB971">
        <v>0</v>
      </c>
      <c r="AC971">
        <v>9</v>
      </c>
      <c r="AD971">
        <v>3</v>
      </c>
      <c r="AE971">
        <v>0</v>
      </c>
      <c r="AF971">
        <v>9</v>
      </c>
      <c r="AG971" t="s">
        <v>158</v>
      </c>
      <c r="AH971">
        <v>0</v>
      </c>
      <c r="AI971">
        <v>3</v>
      </c>
      <c r="AJ971">
        <v>1</v>
      </c>
      <c r="AK971">
        <v>0</v>
      </c>
      <c r="AL971" t="s">
        <v>1985</v>
      </c>
      <c r="AM971">
        <v>46.847034000000001</v>
      </c>
      <c r="AN971" t="s">
        <v>1986</v>
      </c>
      <c r="AO971">
        <v>-122.497687</v>
      </c>
      <c r="AP971">
        <v>100</v>
      </c>
      <c r="AQ971">
        <v>2100</v>
      </c>
      <c r="AR971" t="s">
        <v>118</v>
      </c>
      <c r="AS971">
        <v>-81</v>
      </c>
      <c r="AT971">
        <v>11</v>
      </c>
      <c r="AU971">
        <v>64</v>
      </c>
      <c r="BC971">
        <v>1200</v>
      </c>
      <c r="BD971">
        <v>1</v>
      </c>
      <c r="BE971" t="str">
        <f t="shared" si="47"/>
        <v xml:space="preserve">N215T   </v>
      </c>
      <c r="BF971">
        <v>1</v>
      </c>
      <c r="BH971">
        <v>0</v>
      </c>
      <c r="BI971">
        <v>0</v>
      </c>
      <c r="BJ971">
        <v>0</v>
      </c>
      <c r="BK971">
        <v>2450</v>
      </c>
      <c r="BL971">
        <v>350</v>
      </c>
      <c r="BM971" t="s">
        <v>119</v>
      </c>
      <c r="BN971">
        <v>1</v>
      </c>
      <c r="BO971">
        <v>1</v>
      </c>
      <c r="BP971">
        <v>1</v>
      </c>
      <c r="BQ971">
        <v>0</v>
      </c>
      <c r="BT971">
        <v>0</v>
      </c>
      <c r="BU971">
        <v>0</v>
      </c>
      <c r="BV971">
        <v>0</v>
      </c>
      <c r="CC971" t="str">
        <f>"18:50:50.781"</f>
        <v>18:50:50.781</v>
      </c>
      <c r="CD971" t="str">
        <f>"783236425"</f>
        <v>783236425</v>
      </c>
      <c r="CQ971">
        <v>0</v>
      </c>
      <c r="CR971">
        <v>2</v>
      </c>
      <c r="CS971">
        <v>0</v>
      </c>
      <c r="CT971">
        <v>2</v>
      </c>
      <c r="CU971">
        <v>0</v>
      </c>
      <c r="CV971">
        <v>6</v>
      </c>
      <c r="CW971" t="s">
        <v>120</v>
      </c>
      <c r="CX971">
        <v>261</v>
      </c>
      <c r="CY971">
        <v>2</v>
      </c>
      <c r="CZ971" t="s">
        <v>121</v>
      </c>
      <c r="DA971" t="s">
        <v>122</v>
      </c>
      <c r="DD971">
        <v>14770315</v>
      </c>
      <c r="DE971" t="s">
        <v>123</v>
      </c>
    </row>
    <row r="972" spans="1:109" x14ac:dyDescent="0.3">
      <c r="A972" t="str">
        <f>"18:50:52.102"</f>
        <v>18:50:52.102</v>
      </c>
      <c r="B972" t="s">
        <v>110</v>
      </c>
      <c r="C972" t="str">
        <f t="shared" si="45"/>
        <v>ffdfd3c0</v>
      </c>
      <c r="D972" t="s">
        <v>111</v>
      </c>
      <c r="E972">
        <v>18</v>
      </c>
      <c r="F972">
        <v>1018</v>
      </c>
      <c r="G972" t="s">
        <v>112</v>
      </c>
      <c r="J972" t="s">
        <v>113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R972" t="s">
        <v>114</v>
      </c>
      <c r="S972" t="str">
        <f>"18:50:51.875"</f>
        <v>18:50:51.875</v>
      </c>
      <c r="T972" t="str">
        <f>"18:50:51.477"</f>
        <v>18:50:51.477</v>
      </c>
      <c r="U972" t="str">
        <f t="shared" si="46"/>
        <v>a1cdbe</v>
      </c>
      <c r="V972">
        <v>0</v>
      </c>
      <c r="W972">
        <v>0</v>
      </c>
      <c r="X972">
        <v>1</v>
      </c>
      <c r="Y972">
        <v>0</v>
      </c>
      <c r="Z972">
        <v>0</v>
      </c>
      <c r="AB972">
        <v>0</v>
      </c>
      <c r="AC972">
        <v>9</v>
      </c>
      <c r="AD972">
        <v>3</v>
      </c>
      <c r="AE972">
        <v>0</v>
      </c>
      <c r="AF972">
        <v>9</v>
      </c>
      <c r="AG972" t="s">
        <v>158</v>
      </c>
      <c r="AH972">
        <v>0</v>
      </c>
      <c r="AI972">
        <v>3</v>
      </c>
      <c r="AJ972">
        <v>1</v>
      </c>
      <c r="AK972">
        <v>0</v>
      </c>
      <c r="AL972" t="s">
        <v>1860</v>
      </c>
      <c r="AM972">
        <v>46.847054999999997</v>
      </c>
      <c r="AN972" t="s">
        <v>1987</v>
      </c>
      <c r="AO972">
        <v>-122.49831</v>
      </c>
      <c r="AP972">
        <v>100</v>
      </c>
      <c r="AQ972">
        <v>2100</v>
      </c>
      <c r="AR972" t="s">
        <v>118</v>
      </c>
      <c r="AS972">
        <v>-81</v>
      </c>
      <c r="AT972">
        <v>10</v>
      </c>
      <c r="AU972">
        <v>0</v>
      </c>
      <c r="BC972">
        <v>1200</v>
      </c>
      <c r="BD972">
        <v>1</v>
      </c>
      <c r="BE972" t="str">
        <f t="shared" si="47"/>
        <v xml:space="preserve">N215T   </v>
      </c>
      <c r="BF972">
        <v>1</v>
      </c>
      <c r="BH972">
        <v>0</v>
      </c>
      <c r="BI972">
        <v>0</v>
      </c>
      <c r="BJ972">
        <v>0</v>
      </c>
      <c r="BK972">
        <v>2450</v>
      </c>
      <c r="BL972">
        <v>350</v>
      </c>
      <c r="BM972" t="s">
        <v>119</v>
      </c>
      <c r="BN972">
        <v>1</v>
      </c>
      <c r="BO972">
        <v>1</v>
      </c>
      <c r="BP972">
        <v>1</v>
      </c>
      <c r="BQ972">
        <v>0</v>
      </c>
      <c r="BT972">
        <v>0</v>
      </c>
      <c r="BU972">
        <v>0</v>
      </c>
      <c r="BV972">
        <v>0</v>
      </c>
      <c r="CC972" t="str">
        <f>"18:50:51.875"</f>
        <v>18:50:51.875</v>
      </c>
      <c r="CD972" t="str">
        <f>"878128557"</f>
        <v>878128557</v>
      </c>
      <c r="CQ972">
        <v>0</v>
      </c>
      <c r="CR972">
        <v>2</v>
      </c>
      <c r="CS972">
        <v>0</v>
      </c>
      <c r="CT972">
        <v>2</v>
      </c>
      <c r="CU972">
        <v>0</v>
      </c>
      <c r="CV972">
        <v>6</v>
      </c>
      <c r="CW972" t="s">
        <v>120</v>
      </c>
      <c r="CX972">
        <v>261</v>
      </c>
      <c r="CY972">
        <v>2</v>
      </c>
      <c r="CZ972" t="s">
        <v>121</v>
      </c>
      <c r="DA972" t="s">
        <v>122</v>
      </c>
      <c r="DD972">
        <v>14770928</v>
      </c>
      <c r="DE972" t="s">
        <v>123</v>
      </c>
    </row>
    <row r="973" spans="1:109" x14ac:dyDescent="0.3">
      <c r="A973" t="str">
        <f>"18:50:53.258"</f>
        <v>18:50:53.258</v>
      </c>
      <c r="B973" t="s">
        <v>110</v>
      </c>
      <c r="C973" t="str">
        <f t="shared" si="45"/>
        <v>ffdfd3c0</v>
      </c>
      <c r="D973" t="s">
        <v>111</v>
      </c>
      <c r="E973">
        <v>18</v>
      </c>
      <c r="F973">
        <v>1018</v>
      </c>
      <c r="G973" t="s">
        <v>112</v>
      </c>
      <c r="J973" t="s">
        <v>113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R973" t="s">
        <v>114</v>
      </c>
      <c r="S973" t="str">
        <f>"18:50:53.031"</f>
        <v>18:50:53.031</v>
      </c>
      <c r="T973" t="str">
        <f>"18:50:52.633"</f>
        <v>18:50:52.633</v>
      </c>
      <c r="U973" t="str">
        <f t="shared" si="46"/>
        <v>a1cdbe</v>
      </c>
      <c r="V973">
        <v>0</v>
      </c>
      <c r="W973">
        <v>0</v>
      </c>
      <c r="X973">
        <v>1</v>
      </c>
      <c r="Y973">
        <v>0</v>
      </c>
      <c r="Z973">
        <v>0</v>
      </c>
      <c r="AB973">
        <v>0</v>
      </c>
      <c r="AC973">
        <v>9</v>
      </c>
      <c r="AD973">
        <v>3</v>
      </c>
      <c r="AE973">
        <v>0</v>
      </c>
      <c r="AF973">
        <v>9</v>
      </c>
      <c r="AG973" t="s">
        <v>158</v>
      </c>
      <c r="AH973">
        <v>0</v>
      </c>
      <c r="AI973">
        <v>3</v>
      </c>
      <c r="AJ973">
        <v>1</v>
      </c>
      <c r="AK973">
        <v>0</v>
      </c>
      <c r="AL973" t="s">
        <v>1988</v>
      </c>
      <c r="AM973">
        <v>46.847098000000003</v>
      </c>
      <c r="AN973" t="s">
        <v>1989</v>
      </c>
      <c r="AO973">
        <v>-122.498932</v>
      </c>
      <c r="AP973">
        <v>100</v>
      </c>
      <c r="AQ973">
        <v>2100</v>
      </c>
      <c r="AR973" t="s">
        <v>118</v>
      </c>
      <c r="AS973">
        <v>-81</v>
      </c>
      <c r="AT973">
        <v>10</v>
      </c>
      <c r="AU973">
        <v>-128</v>
      </c>
      <c r="BC973">
        <v>1200</v>
      </c>
      <c r="BD973">
        <v>1</v>
      </c>
      <c r="BE973" t="str">
        <f t="shared" si="47"/>
        <v xml:space="preserve">N215T   </v>
      </c>
      <c r="BF973">
        <v>1</v>
      </c>
      <c r="BH973">
        <v>0</v>
      </c>
      <c r="BI973">
        <v>0</v>
      </c>
      <c r="BJ973">
        <v>0</v>
      </c>
      <c r="BK973">
        <v>2450</v>
      </c>
      <c r="BL973">
        <v>350</v>
      </c>
      <c r="BM973" t="s">
        <v>119</v>
      </c>
      <c r="BN973">
        <v>1</v>
      </c>
      <c r="BO973">
        <v>1</v>
      </c>
      <c r="BP973">
        <v>1</v>
      </c>
      <c r="BQ973">
        <v>0</v>
      </c>
      <c r="BT973">
        <v>0</v>
      </c>
      <c r="BU973">
        <v>0</v>
      </c>
      <c r="BV973">
        <v>0</v>
      </c>
      <c r="CC973" t="str">
        <f>"18:50:53.031"</f>
        <v>18:50:53.031</v>
      </c>
      <c r="CD973" t="str">
        <f>"033014777"</f>
        <v>033014777</v>
      </c>
      <c r="CQ973">
        <v>0</v>
      </c>
      <c r="CR973">
        <v>2</v>
      </c>
      <c r="CS973">
        <v>0</v>
      </c>
      <c r="CT973">
        <v>2</v>
      </c>
      <c r="CU973">
        <v>0</v>
      </c>
      <c r="CV973">
        <v>5</v>
      </c>
      <c r="CW973" t="s">
        <v>120</v>
      </c>
      <c r="CX973">
        <v>261</v>
      </c>
      <c r="CY973">
        <v>2</v>
      </c>
      <c r="CZ973" t="s">
        <v>121</v>
      </c>
      <c r="DA973" t="s">
        <v>122</v>
      </c>
      <c r="DD973">
        <v>14771613</v>
      </c>
      <c r="DE973" t="s">
        <v>123</v>
      </c>
    </row>
    <row r="974" spans="1:109" x14ac:dyDescent="0.3">
      <c r="A974" t="str">
        <f>"18:50:54.359"</f>
        <v>18:50:54.359</v>
      </c>
      <c r="B974" t="s">
        <v>110</v>
      </c>
      <c r="C974" t="str">
        <f t="shared" si="45"/>
        <v>ffdfd3c0</v>
      </c>
      <c r="D974" t="s">
        <v>111</v>
      </c>
      <c r="E974">
        <v>18</v>
      </c>
      <c r="F974">
        <v>1018</v>
      </c>
      <c r="G974" t="s">
        <v>112</v>
      </c>
      <c r="J974" t="s">
        <v>113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R974" t="s">
        <v>114</v>
      </c>
      <c r="S974" t="str">
        <f>"18:50:54.125"</f>
        <v>18:50:54.125</v>
      </c>
      <c r="T974" t="str">
        <f>"18:50:54.125"</f>
        <v>18:50:54.125</v>
      </c>
      <c r="U974" t="str">
        <f t="shared" si="46"/>
        <v>a1cdbe</v>
      </c>
      <c r="V974">
        <v>0</v>
      </c>
      <c r="W974">
        <v>0</v>
      </c>
      <c r="X974">
        <v>1</v>
      </c>
      <c r="Y974">
        <v>0</v>
      </c>
      <c r="Z974">
        <v>0</v>
      </c>
      <c r="AB974">
        <v>0</v>
      </c>
      <c r="AC974">
        <v>9</v>
      </c>
      <c r="AD974">
        <v>3</v>
      </c>
      <c r="AE974">
        <v>0</v>
      </c>
      <c r="AF974">
        <v>9</v>
      </c>
      <c r="AG974" t="s">
        <v>158</v>
      </c>
      <c r="AH974">
        <v>0</v>
      </c>
      <c r="AI974">
        <v>3</v>
      </c>
      <c r="AJ974">
        <v>1</v>
      </c>
      <c r="AK974">
        <v>0</v>
      </c>
      <c r="AL974" t="s">
        <v>1858</v>
      </c>
      <c r="AM974">
        <v>46.847161999999997</v>
      </c>
      <c r="AN974" t="s">
        <v>1990</v>
      </c>
      <c r="AO974">
        <v>-122.499576</v>
      </c>
      <c r="AP974">
        <v>100</v>
      </c>
      <c r="AQ974">
        <v>2100</v>
      </c>
      <c r="AR974" t="s">
        <v>118</v>
      </c>
      <c r="AS974">
        <v>-81</v>
      </c>
      <c r="AT974">
        <v>9</v>
      </c>
      <c r="AU974">
        <v>-192</v>
      </c>
      <c r="BC974">
        <v>1200</v>
      </c>
      <c r="BD974">
        <v>1</v>
      </c>
      <c r="BE974" t="str">
        <f t="shared" si="47"/>
        <v xml:space="preserve">N215T   </v>
      </c>
      <c r="BF974">
        <v>1</v>
      </c>
      <c r="BH974">
        <v>0</v>
      </c>
      <c r="BI974">
        <v>0</v>
      </c>
      <c r="BJ974">
        <v>0</v>
      </c>
      <c r="BK974">
        <v>2450</v>
      </c>
      <c r="BL974">
        <v>350</v>
      </c>
      <c r="BM974" t="s">
        <v>119</v>
      </c>
      <c r="BN974">
        <v>1</v>
      </c>
      <c r="BO974">
        <v>1</v>
      </c>
      <c r="BP974">
        <v>1</v>
      </c>
      <c r="BQ974">
        <v>0</v>
      </c>
      <c r="BT974">
        <v>0</v>
      </c>
      <c r="BU974">
        <v>0</v>
      </c>
      <c r="BV974">
        <v>0</v>
      </c>
      <c r="CC974" t="str">
        <f>"18:50:54.125"</f>
        <v>18:50:54.125</v>
      </c>
      <c r="CD974" t="str">
        <f>"128026169"</f>
        <v>128026169</v>
      </c>
      <c r="CQ974">
        <v>0</v>
      </c>
      <c r="CR974">
        <v>2</v>
      </c>
      <c r="CS974">
        <v>0</v>
      </c>
      <c r="CT974">
        <v>2</v>
      </c>
      <c r="CU974">
        <v>0</v>
      </c>
      <c r="CV974">
        <v>5</v>
      </c>
      <c r="CW974" t="s">
        <v>120</v>
      </c>
      <c r="CX974">
        <v>257</v>
      </c>
      <c r="CY974">
        <v>1</v>
      </c>
      <c r="CZ974" t="s">
        <v>615</v>
      </c>
      <c r="DA974" t="s">
        <v>616</v>
      </c>
      <c r="DD974">
        <v>11100964</v>
      </c>
      <c r="DE974" t="s">
        <v>123</v>
      </c>
    </row>
    <row r="975" spans="1:109" x14ac:dyDescent="0.3">
      <c r="A975" t="str">
        <f>"18:50:55.320"</f>
        <v>18:50:55.320</v>
      </c>
      <c r="B975" t="s">
        <v>110</v>
      </c>
      <c r="C975" t="str">
        <f t="shared" si="45"/>
        <v>ffdfd3c0</v>
      </c>
      <c r="D975" t="s">
        <v>111</v>
      </c>
      <c r="E975">
        <v>18</v>
      </c>
      <c r="F975">
        <v>1018</v>
      </c>
      <c r="G975" t="s">
        <v>112</v>
      </c>
      <c r="J975" t="s">
        <v>113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R975" t="s">
        <v>114</v>
      </c>
      <c r="S975" t="str">
        <f>"18:50:55.086"</f>
        <v>18:50:55.086</v>
      </c>
      <c r="T975" t="str">
        <f>"18:50:54.688"</f>
        <v>18:50:54.688</v>
      </c>
      <c r="U975" t="str">
        <f t="shared" si="46"/>
        <v>a1cdbe</v>
      </c>
      <c r="V975">
        <v>0</v>
      </c>
      <c r="W975">
        <v>0</v>
      </c>
      <c r="X975">
        <v>1</v>
      </c>
      <c r="Y975">
        <v>0</v>
      </c>
      <c r="Z975">
        <v>0</v>
      </c>
      <c r="AB975">
        <v>0</v>
      </c>
      <c r="AC975">
        <v>9</v>
      </c>
      <c r="AD975">
        <v>3</v>
      </c>
      <c r="AE975">
        <v>0</v>
      </c>
      <c r="AF975">
        <v>9</v>
      </c>
      <c r="AG975" t="s">
        <v>158</v>
      </c>
      <c r="AH975">
        <v>0</v>
      </c>
      <c r="AI975">
        <v>3</v>
      </c>
      <c r="AJ975">
        <v>1</v>
      </c>
      <c r="AK975">
        <v>0</v>
      </c>
      <c r="AL975" t="s">
        <v>1991</v>
      </c>
      <c r="AM975">
        <v>46.847183999999999</v>
      </c>
      <c r="AN975" t="s">
        <v>1992</v>
      </c>
      <c r="AO975">
        <v>-122.50002600000001</v>
      </c>
      <c r="AP975">
        <v>100</v>
      </c>
      <c r="AQ975">
        <v>2100</v>
      </c>
      <c r="AR975" t="s">
        <v>118</v>
      </c>
      <c r="AS975">
        <v>-81</v>
      </c>
      <c r="AT975">
        <v>9</v>
      </c>
      <c r="AU975">
        <v>-192</v>
      </c>
      <c r="BC975">
        <v>1200</v>
      </c>
      <c r="BD975">
        <v>1</v>
      </c>
      <c r="BE975" t="str">
        <f t="shared" si="47"/>
        <v xml:space="preserve">N215T   </v>
      </c>
      <c r="BF975">
        <v>1</v>
      </c>
      <c r="BH975">
        <v>0</v>
      </c>
      <c r="BI975">
        <v>0</v>
      </c>
      <c r="BJ975">
        <v>0</v>
      </c>
      <c r="BK975">
        <v>2450</v>
      </c>
      <c r="BL975">
        <v>350</v>
      </c>
      <c r="BM975" t="s">
        <v>119</v>
      </c>
      <c r="BN975">
        <v>1</v>
      </c>
      <c r="BO975">
        <v>1</v>
      </c>
      <c r="BP975">
        <v>1</v>
      </c>
      <c r="BQ975">
        <v>0</v>
      </c>
      <c r="BT975">
        <v>0</v>
      </c>
      <c r="BU975">
        <v>0</v>
      </c>
      <c r="BV975">
        <v>0</v>
      </c>
      <c r="CC975" t="str">
        <f>"18:50:55.086"</f>
        <v>18:50:55.086</v>
      </c>
      <c r="CD975" t="str">
        <f>"087812342"</f>
        <v>087812342</v>
      </c>
      <c r="CQ975">
        <v>0</v>
      </c>
      <c r="CR975">
        <v>2</v>
      </c>
      <c r="CS975">
        <v>0</v>
      </c>
      <c r="CT975">
        <v>2</v>
      </c>
      <c r="CU975">
        <v>0</v>
      </c>
      <c r="CV975">
        <v>6</v>
      </c>
      <c r="CW975" t="s">
        <v>120</v>
      </c>
      <c r="CX975">
        <v>261</v>
      </c>
      <c r="CY975">
        <v>2</v>
      </c>
      <c r="CZ975" t="s">
        <v>121</v>
      </c>
      <c r="DA975" t="s">
        <v>122</v>
      </c>
      <c r="DD975">
        <v>14772810</v>
      </c>
      <c r="DE975" t="s">
        <v>123</v>
      </c>
    </row>
    <row r="976" spans="1:109" x14ac:dyDescent="0.3">
      <c r="A976" t="str">
        <f>"18:50:56.227"</f>
        <v>18:50:56.227</v>
      </c>
      <c r="B976" t="s">
        <v>110</v>
      </c>
      <c r="C976" t="str">
        <f t="shared" si="45"/>
        <v>ffdfd3c0</v>
      </c>
      <c r="D976" t="s">
        <v>111</v>
      </c>
      <c r="E976">
        <v>18</v>
      </c>
      <c r="F976">
        <v>1018</v>
      </c>
      <c r="G976" t="s">
        <v>112</v>
      </c>
      <c r="J976" t="s">
        <v>113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R976" t="s">
        <v>114</v>
      </c>
      <c r="S976" t="str">
        <f>"18:50:55.984"</f>
        <v>18:50:55.984</v>
      </c>
      <c r="T976" t="str">
        <f>"18:50:55.586"</f>
        <v>18:50:55.586</v>
      </c>
      <c r="U976" t="str">
        <f t="shared" si="46"/>
        <v>a1cdbe</v>
      </c>
      <c r="V976">
        <v>0</v>
      </c>
      <c r="W976">
        <v>0</v>
      </c>
      <c r="X976">
        <v>1</v>
      </c>
      <c r="Y976">
        <v>0</v>
      </c>
      <c r="Z976">
        <v>0</v>
      </c>
      <c r="AB976">
        <v>0</v>
      </c>
      <c r="AC976">
        <v>9</v>
      </c>
      <c r="AD976">
        <v>3</v>
      </c>
      <c r="AE976">
        <v>0</v>
      </c>
      <c r="AF976">
        <v>9</v>
      </c>
      <c r="AG976" t="s">
        <v>158</v>
      </c>
      <c r="AH976">
        <v>0</v>
      </c>
      <c r="AI976">
        <v>3</v>
      </c>
      <c r="AJ976">
        <v>1</v>
      </c>
      <c r="AK976">
        <v>0</v>
      </c>
      <c r="AL976" t="s">
        <v>1993</v>
      </c>
      <c r="AM976">
        <v>46.847270000000002</v>
      </c>
      <c r="AN976" t="s">
        <v>1994</v>
      </c>
      <c r="AO976">
        <v>-122.500563</v>
      </c>
      <c r="AP976">
        <v>100</v>
      </c>
      <c r="AQ976">
        <v>2100</v>
      </c>
      <c r="AR976" t="s">
        <v>118</v>
      </c>
      <c r="AS976">
        <v>-81</v>
      </c>
      <c r="AT976">
        <v>9</v>
      </c>
      <c r="AU976">
        <v>-192</v>
      </c>
      <c r="BC976">
        <v>1200</v>
      </c>
      <c r="BD976">
        <v>1</v>
      </c>
      <c r="BE976" t="str">
        <f t="shared" si="47"/>
        <v xml:space="preserve">N215T   </v>
      </c>
      <c r="BF976">
        <v>1</v>
      </c>
      <c r="BH976">
        <v>0</v>
      </c>
      <c r="BI976">
        <v>0</v>
      </c>
      <c r="BJ976">
        <v>0</v>
      </c>
      <c r="BK976">
        <v>2450</v>
      </c>
      <c r="BL976">
        <v>350</v>
      </c>
      <c r="BM976" t="s">
        <v>119</v>
      </c>
      <c r="BN976">
        <v>1</v>
      </c>
      <c r="BO976">
        <v>1</v>
      </c>
      <c r="BP976">
        <v>1</v>
      </c>
      <c r="BQ976">
        <v>0</v>
      </c>
      <c r="BT976">
        <v>0</v>
      </c>
      <c r="BU976">
        <v>0</v>
      </c>
      <c r="BV976">
        <v>0</v>
      </c>
      <c r="CC976" t="str">
        <f>"18:50:55.984"</f>
        <v>18:50:55.984</v>
      </c>
      <c r="CD976" t="str">
        <f>"987723682"</f>
        <v>987723682</v>
      </c>
      <c r="CQ976">
        <v>0</v>
      </c>
      <c r="CR976">
        <v>2</v>
      </c>
      <c r="CS976">
        <v>0</v>
      </c>
      <c r="CT976">
        <v>2</v>
      </c>
      <c r="CU976">
        <v>0</v>
      </c>
      <c r="CV976">
        <v>6</v>
      </c>
      <c r="CW976" t="s">
        <v>120</v>
      </c>
      <c r="CX976">
        <v>261</v>
      </c>
      <c r="CY976">
        <v>2</v>
      </c>
      <c r="CZ976" t="s">
        <v>121</v>
      </c>
      <c r="DA976" t="s">
        <v>122</v>
      </c>
      <c r="DD976">
        <v>14773306</v>
      </c>
      <c r="DE976" t="s">
        <v>123</v>
      </c>
    </row>
    <row r="977" spans="1:109" x14ac:dyDescent="0.3">
      <c r="A977" t="str">
        <f>"18:50:57.227"</f>
        <v>18:50:57.227</v>
      </c>
      <c r="B977" t="s">
        <v>110</v>
      </c>
      <c r="C977" t="str">
        <f t="shared" si="45"/>
        <v>ffdfd3c0</v>
      </c>
      <c r="D977" t="s">
        <v>111</v>
      </c>
      <c r="E977">
        <v>18</v>
      </c>
      <c r="F977">
        <v>1018</v>
      </c>
      <c r="G977" t="s">
        <v>112</v>
      </c>
      <c r="J977" t="s">
        <v>113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R977" t="s">
        <v>114</v>
      </c>
      <c r="S977" t="str">
        <f>"18:50:57.016"</f>
        <v>18:50:57.016</v>
      </c>
      <c r="T977" t="str">
        <f>"18:50:56.719"</f>
        <v>18:50:56.719</v>
      </c>
      <c r="U977" t="str">
        <f t="shared" si="46"/>
        <v>a1cdbe</v>
      </c>
      <c r="V977">
        <v>0</v>
      </c>
      <c r="W977">
        <v>0</v>
      </c>
      <c r="X977">
        <v>1</v>
      </c>
      <c r="Y977">
        <v>0</v>
      </c>
      <c r="Z977">
        <v>0</v>
      </c>
      <c r="AB977">
        <v>0</v>
      </c>
      <c r="AC977">
        <v>9</v>
      </c>
      <c r="AD977">
        <v>3</v>
      </c>
      <c r="AE977">
        <v>0</v>
      </c>
      <c r="AF977">
        <v>9</v>
      </c>
      <c r="AG977" t="s">
        <v>158</v>
      </c>
      <c r="AH977">
        <v>0</v>
      </c>
      <c r="AI977">
        <v>3</v>
      </c>
      <c r="AJ977">
        <v>1</v>
      </c>
      <c r="AK977">
        <v>0</v>
      </c>
      <c r="AL977" t="s">
        <v>1856</v>
      </c>
      <c r="AM977">
        <v>46.847290999999998</v>
      </c>
      <c r="AN977" t="s">
        <v>1995</v>
      </c>
      <c r="AO977">
        <v>-122.501121</v>
      </c>
      <c r="AP977">
        <v>100</v>
      </c>
      <c r="AQ977">
        <v>2100</v>
      </c>
      <c r="AR977" t="s">
        <v>118</v>
      </c>
      <c r="AS977">
        <v>-81</v>
      </c>
      <c r="AT977">
        <v>9</v>
      </c>
      <c r="AU977">
        <v>-128</v>
      </c>
      <c r="BC977">
        <v>1200</v>
      </c>
      <c r="BD977">
        <v>1</v>
      </c>
      <c r="BE977" t="str">
        <f t="shared" si="47"/>
        <v xml:space="preserve">N215T   </v>
      </c>
      <c r="BF977">
        <v>1</v>
      </c>
      <c r="BH977">
        <v>0</v>
      </c>
      <c r="BI977">
        <v>0</v>
      </c>
      <c r="BJ977">
        <v>0</v>
      </c>
      <c r="BK977">
        <v>2425</v>
      </c>
      <c r="BL977">
        <v>325</v>
      </c>
      <c r="BM977" t="s">
        <v>119</v>
      </c>
      <c r="BN977">
        <v>1</v>
      </c>
      <c r="BO977">
        <v>1</v>
      </c>
      <c r="BP977">
        <v>1</v>
      </c>
      <c r="BQ977">
        <v>0</v>
      </c>
      <c r="BT977">
        <v>0</v>
      </c>
      <c r="BU977">
        <v>0</v>
      </c>
      <c r="BV977">
        <v>0</v>
      </c>
      <c r="CC977" t="str">
        <f>"18:50:57.023"</f>
        <v>18:50:57.023</v>
      </c>
      <c r="CD977" t="str">
        <f>"022740805"</f>
        <v>022740805</v>
      </c>
      <c r="CQ977">
        <v>0</v>
      </c>
      <c r="CR977">
        <v>2</v>
      </c>
      <c r="CS977">
        <v>0</v>
      </c>
      <c r="CT977">
        <v>2</v>
      </c>
      <c r="CU977">
        <v>0</v>
      </c>
      <c r="CV977">
        <v>5</v>
      </c>
      <c r="CW977" t="s">
        <v>120</v>
      </c>
      <c r="CX977">
        <v>257</v>
      </c>
      <c r="CY977">
        <v>1</v>
      </c>
      <c r="CZ977" t="s">
        <v>615</v>
      </c>
      <c r="DA977" t="s">
        <v>616</v>
      </c>
      <c r="DD977">
        <v>11102962</v>
      </c>
      <c r="DE977" t="s">
        <v>123</v>
      </c>
    </row>
    <row r="978" spans="1:109" x14ac:dyDescent="0.3">
      <c r="A978" t="str">
        <f>"18:50:58.133"</f>
        <v>18:50:58.133</v>
      </c>
      <c r="B978" t="s">
        <v>110</v>
      </c>
      <c r="C978" t="str">
        <f t="shared" si="45"/>
        <v>ffdfd3c0</v>
      </c>
      <c r="D978" t="s">
        <v>111</v>
      </c>
      <c r="E978">
        <v>18</v>
      </c>
      <c r="F978">
        <v>1018</v>
      </c>
      <c r="G978" t="s">
        <v>112</v>
      </c>
      <c r="J978" t="s">
        <v>113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R978" t="s">
        <v>114</v>
      </c>
      <c r="S978" t="str">
        <f>"18:50:57.922"</f>
        <v>18:50:57.922</v>
      </c>
      <c r="T978" t="str">
        <f>"18:50:57.719"</f>
        <v>18:50:57.719</v>
      </c>
      <c r="U978" t="str">
        <f t="shared" si="46"/>
        <v>a1cdbe</v>
      </c>
      <c r="V978">
        <v>0</v>
      </c>
      <c r="W978">
        <v>0</v>
      </c>
      <c r="X978">
        <v>1</v>
      </c>
      <c r="Y978">
        <v>0</v>
      </c>
      <c r="Z978">
        <v>0</v>
      </c>
      <c r="AB978">
        <v>0</v>
      </c>
      <c r="AC978">
        <v>9</v>
      </c>
      <c r="AD978">
        <v>3</v>
      </c>
      <c r="AE978">
        <v>0</v>
      </c>
      <c r="AF978">
        <v>9</v>
      </c>
      <c r="AG978" t="s">
        <v>158</v>
      </c>
      <c r="AH978">
        <v>0</v>
      </c>
      <c r="AI978">
        <v>3</v>
      </c>
      <c r="AJ978">
        <v>1</v>
      </c>
      <c r="AK978">
        <v>0</v>
      </c>
      <c r="AL978" t="s">
        <v>1996</v>
      </c>
      <c r="AM978">
        <v>46.847333999999996</v>
      </c>
      <c r="AN978" t="s">
        <v>1997</v>
      </c>
      <c r="AO978">
        <v>-122.501614</v>
      </c>
      <c r="AP978">
        <v>100</v>
      </c>
      <c r="AQ978">
        <v>2100</v>
      </c>
      <c r="AR978" t="s">
        <v>118</v>
      </c>
      <c r="AS978">
        <v>-81</v>
      </c>
      <c r="AT978">
        <v>8</v>
      </c>
      <c r="AU978">
        <v>-192</v>
      </c>
      <c r="BC978">
        <v>1200</v>
      </c>
      <c r="BD978">
        <v>1</v>
      </c>
      <c r="BE978" t="str">
        <f t="shared" si="47"/>
        <v xml:space="preserve">N215T   </v>
      </c>
      <c r="BF978">
        <v>1</v>
      </c>
      <c r="BH978">
        <v>0</v>
      </c>
      <c r="BI978">
        <v>0</v>
      </c>
      <c r="BJ978">
        <v>0</v>
      </c>
      <c r="BK978">
        <v>2425</v>
      </c>
      <c r="BL978">
        <v>325</v>
      </c>
      <c r="BM978" t="s">
        <v>119</v>
      </c>
      <c r="BN978">
        <v>1</v>
      </c>
      <c r="BO978">
        <v>1</v>
      </c>
      <c r="BP978">
        <v>1</v>
      </c>
      <c r="BQ978">
        <v>0</v>
      </c>
      <c r="BT978">
        <v>0</v>
      </c>
      <c r="BU978">
        <v>0</v>
      </c>
      <c r="BV978">
        <v>0</v>
      </c>
      <c r="CC978" t="str">
        <f>"18:50:57.922"</f>
        <v>18:50:57.922</v>
      </c>
      <c r="CD978" t="str">
        <f>"922532964"</f>
        <v>922532964</v>
      </c>
      <c r="CQ978">
        <v>0</v>
      </c>
      <c r="CR978">
        <v>2</v>
      </c>
      <c r="CS978">
        <v>0</v>
      </c>
      <c r="CT978">
        <v>2</v>
      </c>
      <c r="CU978">
        <v>0</v>
      </c>
      <c r="CV978">
        <v>5</v>
      </c>
      <c r="CW978" t="s">
        <v>120</v>
      </c>
      <c r="CX978">
        <v>261</v>
      </c>
      <c r="CY978">
        <v>1</v>
      </c>
      <c r="CZ978" t="s">
        <v>121</v>
      </c>
      <c r="DA978" t="s">
        <v>122</v>
      </c>
      <c r="DD978">
        <v>3699639</v>
      </c>
      <c r="DE978" t="s">
        <v>123</v>
      </c>
    </row>
    <row r="979" spans="1:109" x14ac:dyDescent="0.3">
      <c r="A979" t="str">
        <f>"18:50:59.141"</f>
        <v>18:50:59.141</v>
      </c>
      <c r="B979" t="s">
        <v>110</v>
      </c>
      <c r="C979" t="str">
        <f t="shared" si="45"/>
        <v>ffdfd3c0</v>
      </c>
      <c r="D979" t="s">
        <v>111</v>
      </c>
      <c r="E979">
        <v>18</v>
      </c>
      <c r="F979">
        <v>1018</v>
      </c>
      <c r="G979" t="s">
        <v>112</v>
      </c>
      <c r="J979" t="s">
        <v>113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R979" t="s">
        <v>114</v>
      </c>
      <c r="S979" t="str">
        <f>"18:50:58.906"</f>
        <v>18:50:58.906</v>
      </c>
      <c r="T979" t="str">
        <f>"18:50:58.703"</f>
        <v>18:50:58.703</v>
      </c>
      <c r="U979" t="str">
        <f t="shared" si="46"/>
        <v>a1cdbe</v>
      </c>
      <c r="V979">
        <v>0</v>
      </c>
      <c r="W979">
        <v>0</v>
      </c>
      <c r="X979">
        <v>1</v>
      </c>
      <c r="Y979">
        <v>0</v>
      </c>
      <c r="Z979">
        <v>0</v>
      </c>
      <c r="AB979">
        <v>0</v>
      </c>
      <c r="AC979">
        <v>9</v>
      </c>
      <c r="AD979">
        <v>3</v>
      </c>
      <c r="AE979">
        <v>0</v>
      </c>
      <c r="AF979">
        <v>9</v>
      </c>
      <c r="AG979" t="s">
        <v>158</v>
      </c>
      <c r="AH979">
        <v>0</v>
      </c>
      <c r="AI979">
        <v>3</v>
      </c>
      <c r="AJ979">
        <v>1</v>
      </c>
      <c r="AK979">
        <v>0</v>
      </c>
      <c r="AL979" t="s">
        <v>1998</v>
      </c>
      <c r="AM979">
        <v>46.847355</v>
      </c>
      <c r="AN979" t="s">
        <v>1999</v>
      </c>
      <c r="AO979">
        <v>-122.50210800000001</v>
      </c>
      <c r="AP979">
        <v>100</v>
      </c>
      <c r="AQ979">
        <v>2000</v>
      </c>
      <c r="AR979" t="s">
        <v>118</v>
      </c>
      <c r="AS979">
        <v>-81</v>
      </c>
      <c r="AT979">
        <v>7</v>
      </c>
      <c r="AU979">
        <v>-320</v>
      </c>
      <c r="BC979">
        <v>1200</v>
      </c>
      <c r="BD979">
        <v>1</v>
      </c>
      <c r="BE979" t="str">
        <f t="shared" si="47"/>
        <v xml:space="preserve">N215T   </v>
      </c>
      <c r="BF979">
        <v>1</v>
      </c>
      <c r="BH979">
        <v>0</v>
      </c>
      <c r="BI979">
        <v>0</v>
      </c>
      <c r="BJ979">
        <v>0</v>
      </c>
      <c r="BK979">
        <v>2425</v>
      </c>
      <c r="BL979">
        <v>425</v>
      </c>
      <c r="BM979" t="s">
        <v>119</v>
      </c>
      <c r="BN979">
        <v>1</v>
      </c>
      <c r="BO979">
        <v>1</v>
      </c>
      <c r="BP979">
        <v>1</v>
      </c>
      <c r="BQ979">
        <v>0</v>
      </c>
      <c r="BT979">
        <v>0</v>
      </c>
      <c r="BU979">
        <v>0</v>
      </c>
      <c r="BV979">
        <v>0</v>
      </c>
      <c r="CC979" t="str">
        <f>"18:50:58.914"</f>
        <v>18:50:58.914</v>
      </c>
      <c r="CD979" t="str">
        <f>"912414342"</f>
        <v>912414342</v>
      </c>
      <c r="CQ979">
        <v>0</v>
      </c>
      <c r="CR979">
        <v>2</v>
      </c>
      <c r="CS979">
        <v>0</v>
      </c>
      <c r="CT979">
        <v>2</v>
      </c>
      <c r="CU979">
        <v>0</v>
      </c>
      <c r="CV979">
        <v>5</v>
      </c>
      <c r="CW979" t="s">
        <v>172</v>
      </c>
      <c r="CX979">
        <v>326</v>
      </c>
      <c r="CY979">
        <v>0</v>
      </c>
      <c r="CZ979" t="s">
        <v>173</v>
      </c>
      <c r="DA979" t="s">
        <v>174</v>
      </c>
      <c r="DD979">
        <v>6129929</v>
      </c>
      <c r="DE979" t="s">
        <v>123</v>
      </c>
    </row>
    <row r="980" spans="1:109" x14ac:dyDescent="0.3">
      <c r="A980" t="str">
        <f>"18:51:00.094"</f>
        <v>18:51:00.094</v>
      </c>
      <c r="B980" t="s">
        <v>110</v>
      </c>
      <c r="C980" t="str">
        <f t="shared" si="45"/>
        <v>ffdfd3c0</v>
      </c>
      <c r="D980" t="s">
        <v>111</v>
      </c>
      <c r="E980">
        <v>18</v>
      </c>
      <c r="F980">
        <v>1018</v>
      </c>
      <c r="G980" t="s">
        <v>112</v>
      </c>
      <c r="J980" t="s">
        <v>113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R980" t="s">
        <v>114</v>
      </c>
      <c r="S980" t="str">
        <f>"18:50:59.883"</f>
        <v>18:50:59.883</v>
      </c>
      <c r="T980" t="str">
        <f>"18:50:59.680"</f>
        <v>18:50:59.680</v>
      </c>
      <c r="U980" t="str">
        <f t="shared" si="46"/>
        <v>a1cdbe</v>
      </c>
      <c r="V980">
        <v>0</v>
      </c>
      <c r="W980">
        <v>0</v>
      </c>
      <c r="X980">
        <v>1</v>
      </c>
      <c r="Y980">
        <v>0</v>
      </c>
      <c r="Z980">
        <v>0</v>
      </c>
      <c r="AB980">
        <v>0</v>
      </c>
      <c r="AC980">
        <v>9</v>
      </c>
      <c r="AD980">
        <v>3</v>
      </c>
      <c r="AE980">
        <v>0</v>
      </c>
      <c r="AF980">
        <v>9</v>
      </c>
      <c r="AG980" t="s">
        <v>158</v>
      </c>
      <c r="AH980">
        <v>0</v>
      </c>
      <c r="AI980">
        <v>3</v>
      </c>
      <c r="AJ980">
        <v>1</v>
      </c>
      <c r="AK980">
        <v>0</v>
      </c>
      <c r="AL980" t="s">
        <v>2000</v>
      </c>
      <c r="AM980">
        <v>46.847377000000002</v>
      </c>
      <c r="AN980" t="s">
        <v>2001</v>
      </c>
      <c r="AO980">
        <v>-122.502708</v>
      </c>
      <c r="AP980">
        <v>100</v>
      </c>
      <c r="AQ980">
        <v>2100</v>
      </c>
      <c r="AR980" t="s">
        <v>118</v>
      </c>
      <c r="AS980">
        <v>-82</v>
      </c>
      <c r="AT980">
        <v>6</v>
      </c>
      <c r="AU980">
        <v>-320</v>
      </c>
      <c r="BC980">
        <v>1200</v>
      </c>
      <c r="BD980">
        <v>1</v>
      </c>
      <c r="BE980" t="str">
        <f t="shared" si="47"/>
        <v xml:space="preserve">N215T   </v>
      </c>
      <c r="BF980">
        <v>1</v>
      </c>
      <c r="BH980">
        <v>0</v>
      </c>
      <c r="BI980">
        <v>0</v>
      </c>
      <c r="BJ980">
        <v>0</v>
      </c>
      <c r="BK980">
        <v>2525</v>
      </c>
      <c r="BL980">
        <v>425</v>
      </c>
      <c r="BM980" t="s">
        <v>119</v>
      </c>
      <c r="BN980">
        <v>1</v>
      </c>
      <c r="BO980">
        <v>1</v>
      </c>
      <c r="BP980">
        <v>1</v>
      </c>
      <c r="BQ980">
        <v>0</v>
      </c>
      <c r="BT980">
        <v>0</v>
      </c>
      <c r="BU980">
        <v>0</v>
      </c>
      <c r="BV980">
        <v>0</v>
      </c>
      <c r="CC980" t="str">
        <f>"18:50:59.891"</f>
        <v>18:50:59.891</v>
      </c>
      <c r="CD980" t="str">
        <f>"887339512"</f>
        <v>887339512</v>
      </c>
      <c r="CQ980">
        <v>0</v>
      </c>
      <c r="CR980">
        <v>2</v>
      </c>
      <c r="CS980">
        <v>0</v>
      </c>
      <c r="CT980">
        <v>2</v>
      </c>
      <c r="CU980">
        <v>0</v>
      </c>
      <c r="CV980">
        <v>6</v>
      </c>
      <c r="CW980" t="s">
        <v>120</v>
      </c>
      <c r="CX980">
        <v>261</v>
      </c>
      <c r="CY980">
        <v>2</v>
      </c>
      <c r="CZ980" t="s">
        <v>121</v>
      </c>
      <c r="DA980" t="s">
        <v>122</v>
      </c>
      <c r="DD980">
        <v>14775582</v>
      </c>
      <c r="DE980" t="s">
        <v>123</v>
      </c>
    </row>
    <row r="981" spans="1:109" x14ac:dyDescent="0.3">
      <c r="A981" t="str">
        <f>"18:51:01.148"</f>
        <v>18:51:01.148</v>
      </c>
      <c r="B981" t="s">
        <v>110</v>
      </c>
      <c r="C981" t="str">
        <f t="shared" si="45"/>
        <v>ffdfd3c0</v>
      </c>
      <c r="D981" t="s">
        <v>111</v>
      </c>
      <c r="E981">
        <v>18</v>
      </c>
      <c r="F981">
        <v>1018</v>
      </c>
      <c r="G981" t="s">
        <v>112</v>
      </c>
      <c r="J981" t="s">
        <v>113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R981" t="s">
        <v>114</v>
      </c>
      <c r="S981" t="str">
        <f>"18:51:00.930"</f>
        <v>18:51:00.930</v>
      </c>
      <c r="T981" t="str">
        <f>"18:51:00.633"</f>
        <v>18:51:00.633</v>
      </c>
      <c r="U981" t="str">
        <f t="shared" si="46"/>
        <v>a1cdbe</v>
      </c>
      <c r="V981">
        <v>0</v>
      </c>
      <c r="W981">
        <v>0</v>
      </c>
      <c r="X981">
        <v>1</v>
      </c>
      <c r="Y981">
        <v>0</v>
      </c>
      <c r="Z981">
        <v>0</v>
      </c>
      <c r="AB981">
        <v>0</v>
      </c>
      <c r="AC981">
        <v>9</v>
      </c>
      <c r="AD981">
        <v>3</v>
      </c>
      <c r="AE981">
        <v>0</v>
      </c>
      <c r="AF981">
        <v>9</v>
      </c>
      <c r="AG981" t="s">
        <v>158</v>
      </c>
      <c r="AH981">
        <v>0</v>
      </c>
      <c r="AI981">
        <v>3</v>
      </c>
      <c r="AJ981">
        <v>1</v>
      </c>
      <c r="AK981">
        <v>0</v>
      </c>
      <c r="AL981" t="s">
        <v>2002</v>
      </c>
      <c r="AM981">
        <v>46.847397999999998</v>
      </c>
      <c r="AN981" t="s">
        <v>2003</v>
      </c>
      <c r="AO981">
        <v>-122.50324500000001</v>
      </c>
      <c r="AP981">
        <v>100</v>
      </c>
      <c r="AQ981">
        <v>2000</v>
      </c>
      <c r="AR981" t="s">
        <v>118</v>
      </c>
      <c r="AS981">
        <v>-82</v>
      </c>
      <c r="AT981">
        <v>5</v>
      </c>
      <c r="AU981">
        <v>-320</v>
      </c>
      <c r="BC981">
        <v>1200</v>
      </c>
      <c r="BD981">
        <v>1</v>
      </c>
      <c r="BE981" t="str">
        <f t="shared" si="47"/>
        <v xml:space="preserve">N215T   </v>
      </c>
      <c r="BF981">
        <v>1</v>
      </c>
      <c r="BH981">
        <v>0</v>
      </c>
      <c r="BI981">
        <v>0</v>
      </c>
      <c r="BJ981">
        <v>0</v>
      </c>
      <c r="BK981">
        <v>2425</v>
      </c>
      <c r="BL981">
        <v>425</v>
      </c>
      <c r="BM981" t="s">
        <v>119</v>
      </c>
      <c r="BN981">
        <v>1</v>
      </c>
      <c r="BO981">
        <v>1</v>
      </c>
      <c r="BP981">
        <v>1</v>
      </c>
      <c r="BQ981">
        <v>0</v>
      </c>
      <c r="BT981">
        <v>0</v>
      </c>
      <c r="BU981">
        <v>0</v>
      </c>
      <c r="BV981">
        <v>0</v>
      </c>
      <c r="CC981" t="str">
        <f>"18:51:00.938"</f>
        <v>18:51:00.938</v>
      </c>
      <c r="CD981" t="str">
        <f>"937354868"</f>
        <v>937354868</v>
      </c>
      <c r="CQ981">
        <v>0</v>
      </c>
      <c r="CR981">
        <v>2</v>
      </c>
      <c r="CS981">
        <v>0</v>
      </c>
      <c r="CT981">
        <v>2</v>
      </c>
      <c r="CU981">
        <v>0</v>
      </c>
      <c r="CV981">
        <v>5</v>
      </c>
      <c r="CW981" t="s">
        <v>120</v>
      </c>
      <c r="CX981">
        <v>257</v>
      </c>
      <c r="CY981">
        <v>1</v>
      </c>
      <c r="CZ981" t="s">
        <v>615</v>
      </c>
      <c r="DA981" t="s">
        <v>616</v>
      </c>
      <c r="DD981">
        <v>11105624</v>
      </c>
      <c r="DE981" t="s">
        <v>123</v>
      </c>
    </row>
    <row r="982" spans="1:109" x14ac:dyDescent="0.3">
      <c r="A982" t="str">
        <f>"18:51:02.359"</f>
        <v>18:51:02.359</v>
      </c>
      <c r="B982" t="s">
        <v>110</v>
      </c>
      <c r="C982" t="str">
        <f t="shared" si="45"/>
        <v>ffdfd3c0</v>
      </c>
      <c r="D982" t="s">
        <v>111</v>
      </c>
      <c r="E982">
        <v>18</v>
      </c>
      <c r="F982">
        <v>1018</v>
      </c>
      <c r="G982" t="s">
        <v>112</v>
      </c>
      <c r="J982" t="s">
        <v>113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R982" t="s">
        <v>114</v>
      </c>
      <c r="S982" t="str">
        <f>"18:51:02.117"</f>
        <v>18:51:02.117</v>
      </c>
      <c r="T982" t="str">
        <f>"18:51:01.719"</f>
        <v>18:51:01.719</v>
      </c>
      <c r="U982" t="str">
        <f t="shared" si="46"/>
        <v>a1cdbe</v>
      </c>
      <c r="V982">
        <v>0</v>
      </c>
      <c r="W982">
        <v>0</v>
      </c>
      <c r="X982">
        <v>1</v>
      </c>
      <c r="Y982">
        <v>0</v>
      </c>
      <c r="Z982">
        <v>0</v>
      </c>
      <c r="AB982">
        <v>0</v>
      </c>
      <c r="AC982">
        <v>9</v>
      </c>
      <c r="AD982">
        <v>3</v>
      </c>
      <c r="AE982">
        <v>0</v>
      </c>
      <c r="AF982">
        <v>9</v>
      </c>
      <c r="AG982" t="s">
        <v>158</v>
      </c>
      <c r="AH982">
        <v>0</v>
      </c>
      <c r="AI982">
        <v>3</v>
      </c>
      <c r="AJ982">
        <v>1</v>
      </c>
      <c r="AK982">
        <v>0</v>
      </c>
      <c r="AL982" t="s">
        <v>2004</v>
      </c>
      <c r="AM982">
        <v>46.847441000000003</v>
      </c>
      <c r="AN982" t="s">
        <v>2005</v>
      </c>
      <c r="AO982">
        <v>-122.50393200000001</v>
      </c>
      <c r="AP982">
        <v>100</v>
      </c>
      <c r="AQ982">
        <v>2000</v>
      </c>
      <c r="AR982" t="s">
        <v>118</v>
      </c>
      <c r="AS982">
        <v>-82</v>
      </c>
      <c r="AT982">
        <v>5</v>
      </c>
      <c r="AU982">
        <v>-320</v>
      </c>
      <c r="BC982">
        <v>1200</v>
      </c>
      <c r="BD982">
        <v>1</v>
      </c>
      <c r="BE982" t="str">
        <f t="shared" si="47"/>
        <v xml:space="preserve">N215T   </v>
      </c>
      <c r="BF982">
        <v>1</v>
      </c>
      <c r="BH982">
        <v>0</v>
      </c>
      <c r="BI982">
        <v>0</v>
      </c>
      <c r="BJ982">
        <v>0</v>
      </c>
      <c r="BK982">
        <v>2425</v>
      </c>
      <c r="BL982">
        <v>425</v>
      </c>
      <c r="BM982" t="s">
        <v>119</v>
      </c>
      <c r="BN982">
        <v>1</v>
      </c>
      <c r="BO982">
        <v>1</v>
      </c>
      <c r="BP982">
        <v>1</v>
      </c>
      <c r="BQ982">
        <v>0</v>
      </c>
      <c r="BT982">
        <v>0</v>
      </c>
      <c r="BU982">
        <v>0</v>
      </c>
      <c r="BV982">
        <v>0</v>
      </c>
      <c r="CC982" t="str">
        <f>"18:51:02.125"</f>
        <v>18:51:02.125</v>
      </c>
      <c r="CD982" t="str">
        <f>"122119334"</f>
        <v>122119334</v>
      </c>
      <c r="CQ982">
        <v>0</v>
      </c>
      <c r="CR982">
        <v>2</v>
      </c>
      <c r="CS982">
        <v>0</v>
      </c>
      <c r="CT982">
        <v>2</v>
      </c>
      <c r="CU982">
        <v>0</v>
      </c>
      <c r="CV982">
        <v>5</v>
      </c>
      <c r="CW982" t="s">
        <v>120</v>
      </c>
      <c r="CX982">
        <v>261</v>
      </c>
      <c r="CY982">
        <v>2</v>
      </c>
      <c r="CZ982" t="s">
        <v>121</v>
      </c>
      <c r="DA982" t="s">
        <v>122</v>
      </c>
      <c r="DD982">
        <v>14776878</v>
      </c>
      <c r="DE982" t="s">
        <v>123</v>
      </c>
    </row>
    <row r="983" spans="1:109" x14ac:dyDescent="0.3">
      <c r="A983" t="str">
        <f>"18:51:03.414"</f>
        <v>18:51:03.414</v>
      </c>
      <c r="B983" t="s">
        <v>110</v>
      </c>
      <c r="C983" t="str">
        <f t="shared" si="45"/>
        <v>ffdfd3c0</v>
      </c>
      <c r="D983" t="s">
        <v>111</v>
      </c>
      <c r="E983">
        <v>18</v>
      </c>
      <c r="F983">
        <v>1018</v>
      </c>
      <c r="G983" t="s">
        <v>112</v>
      </c>
      <c r="J983" t="s">
        <v>113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R983" t="s">
        <v>114</v>
      </c>
      <c r="S983" t="str">
        <f>"18:51:03.156"</f>
        <v>18:51:03.156</v>
      </c>
      <c r="T983" t="str">
        <f>"18:51:03.156"</f>
        <v>18:51:03.156</v>
      </c>
      <c r="U983" t="str">
        <f t="shared" si="46"/>
        <v>a1cdbe</v>
      </c>
      <c r="V983">
        <v>0</v>
      </c>
      <c r="W983">
        <v>0</v>
      </c>
      <c r="X983">
        <v>1</v>
      </c>
      <c r="Y983">
        <v>0</v>
      </c>
      <c r="Z983">
        <v>0</v>
      </c>
      <c r="AB983">
        <v>0</v>
      </c>
      <c r="AC983">
        <v>9</v>
      </c>
      <c r="AD983">
        <v>3</v>
      </c>
      <c r="AE983">
        <v>0</v>
      </c>
      <c r="AF983">
        <v>9</v>
      </c>
      <c r="AG983" t="s">
        <v>158</v>
      </c>
      <c r="AH983">
        <v>0</v>
      </c>
      <c r="AI983">
        <v>3</v>
      </c>
      <c r="AJ983">
        <v>1</v>
      </c>
      <c r="AK983">
        <v>0</v>
      </c>
      <c r="AL983" t="s">
        <v>2004</v>
      </c>
      <c r="AM983">
        <v>46.847441000000003</v>
      </c>
      <c r="AN983" t="s">
        <v>2006</v>
      </c>
      <c r="AO983">
        <v>-122.504468</v>
      </c>
      <c r="AP983">
        <v>100</v>
      </c>
      <c r="AQ983">
        <v>2000</v>
      </c>
      <c r="AR983" t="s">
        <v>118</v>
      </c>
      <c r="AS983">
        <v>-82</v>
      </c>
      <c r="AT983">
        <v>4</v>
      </c>
      <c r="AU983">
        <v>-256</v>
      </c>
      <c r="BC983">
        <v>1200</v>
      </c>
      <c r="BD983">
        <v>1</v>
      </c>
      <c r="BE983" t="str">
        <f t="shared" si="47"/>
        <v xml:space="preserve">N215T   </v>
      </c>
      <c r="BF983">
        <v>1</v>
      </c>
      <c r="BH983">
        <v>0</v>
      </c>
      <c r="BI983">
        <v>0</v>
      </c>
      <c r="BJ983">
        <v>0</v>
      </c>
      <c r="BK983">
        <v>2400</v>
      </c>
      <c r="BL983">
        <v>400</v>
      </c>
      <c r="BM983" t="s">
        <v>119</v>
      </c>
      <c r="BN983">
        <v>1</v>
      </c>
      <c r="BO983">
        <v>1</v>
      </c>
      <c r="BP983">
        <v>1</v>
      </c>
      <c r="BQ983">
        <v>0</v>
      </c>
      <c r="BT983">
        <v>0</v>
      </c>
      <c r="BU983">
        <v>0</v>
      </c>
      <c r="BV983">
        <v>0</v>
      </c>
      <c r="CC983" t="str">
        <f>"18:51:03.156"</f>
        <v>18:51:03.156</v>
      </c>
      <c r="CD983" t="str">
        <f>"157017385"</f>
        <v>157017385</v>
      </c>
      <c r="CQ983">
        <v>0</v>
      </c>
      <c r="CR983">
        <v>2</v>
      </c>
      <c r="CS983">
        <v>0</v>
      </c>
      <c r="CT983">
        <v>2</v>
      </c>
      <c r="CU983">
        <v>0</v>
      </c>
      <c r="CV983">
        <v>5</v>
      </c>
      <c r="CW983" t="s">
        <v>120</v>
      </c>
      <c r="CX983">
        <v>261</v>
      </c>
      <c r="CY983">
        <v>2</v>
      </c>
      <c r="CZ983" t="s">
        <v>121</v>
      </c>
      <c r="DA983" t="s">
        <v>122</v>
      </c>
      <c r="DD983">
        <v>14777486</v>
      </c>
      <c r="DE983" t="s">
        <v>123</v>
      </c>
    </row>
    <row r="984" spans="1:109" x14ac:dyDescent="0.3">
      <c r="A984" t="str">
        <f>"18:51:04.367"</f>
        <v>18:51:04.367</v>
      </c>
      <c r="B984" t="s">
        <v>110</v>
      </c>
      <c r="C984" t="str">
        <f t="shared" si="45"/>
        <v>ffdfd3c0</v>
      </c>
      <c r="D984" t="s">
        <v>111</v>
      </c>
      <c r="E984">
        <v>18</v>
      </c>
      <c r="F984">
        <v>1018</v>
      </c>
      <c r="G984" t="s">
        <v>112</v>
      </c>
      <c r="J984" t="s">
        <v>113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R984" t="s">
        <v>114</v>
      </c>
      <c r="S984" t="str">
        <f>"18:51:04.156"</f>
        <v>18:51:04.156</v>
      </c>
      <c r="T984" t="str">
        <f>"18:51:04.055"</f>
        <v>18:51:04.055</v>
      </c>
      <c r="U984" t="str">
        <f t="shared" si="46"/>
        <v>a1cdbe</v>
      </c>
      <c r="V984">
        <v>0</v>
      </c>
      <c r="W984">
        <v>0</v>
      </c>
      <c r="X984">
        <v>1</v>
      </c>
      <c r="Y984">
        <v>0</v>
      </c>
      <c r="Z984">
        <v>0</v>
      </c>
      <c r="AB984">
        <v>0</v>
      </c>
      <c r="AC984">
        <v>9</v>
      </c>
      <c r="AD984">
        <v>3</v>
      </c>
      <c r="AE984">
        <v>0</v>
      </c>
      <c r="AF984">
        <v>9</v>
      </c>
      <c r="AG984" t="s">
        <v>158</v>
      </c>
      <c r="AH984">
        <v>0</v>
      </c>
      <c r="AI984">
        <v>3</v>
      </c>
      <c r="AJ984">
        <v>1</v>
      </c>
      <c r="AK984">
        <v>0</v>
      </c>
      <c r="AL984" t="s">
        <v>2007</v>
      </c>
      <c r="AM984">
        <v>46.847462999999998</v>
      </c>
      <c r="AN984" t="s">
        <v>2008</v>
      </c>
      <c r="AO984">
        <v>-122.505047</v>
      </c>
      <c r="AP984">
        <v>100</v>
      </c>
      <c r="AQ984">
        <v>2000</v>
      </c>
      <c r="AR984" t="s">
        <v>118</v>
      </c>
      <c r="AS984">
        <v>-82</v>
      </c>
      <c r="AT984">
        <v>4</v>
      </c>
      <c r="AU984">
        <v>-192</v>
      </c>
      <c r="BC984">
        <v>1200</v>
      </c>
      <c r="BD984">
        <v>1</v>
      </c>
      <c r="BE984" t="str">
        <f t="shared" si="47"/>
        <v xml:space="preserve">N215T   </v>
      </c>
      <c r="BF984">
        <v>1</v>
      </c>
      <c r="BH984">
        <v>0</v>
      </c>
      <c r="BI984">
        <v>0</v>
      </c>
      <c r="BJ984">
        <v>0</v>
      </c>
      <c r="BK984">
        <v>2400</v>
      </c>
      <c r="BL984">
        <v>400</v>
      </c>
      <c r="BM984" t="s">
        <v>119</v>
      </c>
      <c r="BN984">
        <v>1</v>
      </c>
      <c r="BO984">
        <v>1</v>
      </c>
      <c r="BP984">
        <v>1</v>
      </c>
      <c r="BQ984">
        <v>0</v>
      </c>
      <c r="BT984">
        <v>0</v>
      </c>
      <c r="BU984">
        <v>0</v>
      </c>
      <c r="BV984">
        <v>0</v>
      </c>
      <c r="CC984" t="str">
        <f>"18:51:04.164"</f>
        <v>18:51:04.164</v>
      </c>
      <c r="CD984" t="str">
        <f>"161918390"</f>
        <v>161918390</v>
      </c>
      <c r="CQ984">
        <v>0</v>
      </c>
      <c r="CR984">
        <v>2</v>
      </c>
      <c r="CS984">
        <v>0</v>
      </c>
      <c r="CT984">
        <v>2</v>
      </c>
      <c r="CU984">
        <v>0</v>
      </c>
      <c r="CV984">
        <v>6</v>
      </c>
      <c r="CW984" t="s">
        <v>120</v>
      </c>
      <c r="CX984">
        <v>261</v>
      </c>
      <c r="CY984">
        <v>2</v>
      </c>
      <c r="CZ984" t="s">
        <v>121</v>
      </c>
      <c r="DA984" t="s">
        <v>122</v>
      </c>
      <c r="DD984">
        <v>14778022</v>
      </c>
      <c r="DE984" t="s">
        <v>123</v>
      </c>
    </row>
    <row r="985" spans="1:109" x14ac:dyDescent="0.3">
      <c r="A985" t="str">
        <f>"18:51:05.273"</f>
        <v>18:51:05.273</v>
      </c>
      <c r="B985" t="s">
        <v>110</v>
      </c>
      <c r="C985" t="str">
        <f t="shared" si="45"/>
        <v>ffdfd3c0</v>
      </c>
      <c r="D985" t="s">
        <v>111</v>
      </c>
      <c r="E985">
        <v>18</v>
      </c>
      <c r="F985">
        <v>1018</v>
      </c>
      <c r="G985" t="s">
        <v>112</v>
      </c>
      <c r="J985" t="s">
        <v>113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R985" t="s">
        <v>114</v>
      </c>
      <c r="S985" t="str">
        <f>"18:51:05.070"</f>
        <v>18:51:05.070</v>
      </c>
      <c r="T985" t="str">
        <f>"18:51:04.570"</f>
        <v>18:51:04.570</v>
      </c>
      <c r="U985" t="str">
        <f t="shared" si="46"/>
        <v>a1cdbe</v>
      </c>
      <c r="V985">
        <v>0</v>
      </c>
      <c r="W985">
        <v>0</v>
      </c>
      <c r="X985">
        <v>1</v>
      </c>
      <c r="Y985">
        <v>0</v>
      </c>
      <c r="Z985">
        <v>0</v>
      </c>
      <c r="AB985">
        <v>0</v>
      </c>
      <c r="AC985">
        <v>9</v>
      </c>
      <c r="AD985">
        <v>3</v>
      </c>
      <c r="AE985">
        <v>0</v>
      </c>
      <c r="AF985">
        <v>9</v>
      </c>
      <c r="AG985" t="s">
        <v>158</v>
      </c>
      <c r="AH985">
        <v>0</v>
      </c>
      <c r="AI985">
        <v>3</v>
      </c>
      <c r="AJ985">
        <v>1</v>
      </c>
      <c r="AK985">
        <v>0</v>
      </c>
      <c r="AL985" t="s">
        <v>2007</v>
      </c>
      <c r="AM985">
        <v>46.847462999999998</v>
      </c>
      <c r="AN985" t="s">
        <v>2009</v>
      </c>
      <c r="AO985">
        <v>-122.50551900000001</v>
      </c>
      <c r="AP985">
        <v>100</v>
      </c>
      <c r="AQ985">
        <v>2000</v>
      </c>
      <c r="AR985" t="s">
        <v>118</v>
      </c>
      <c r="AS985">
        <v>-82</v>
      </c>
      <c r="AT985">
        <v>3</v>
      </c>
      <c r="AU985">
        <v>-128</v>
      </c>
      <c r="BC985">
        <v>1200</v>
      </c>
      <c r="BD985">
        <v>1</v>
      </c>
      <c r="BE985" t="str">
        <f t="shared" si="47"/>
        <v xml:space="preserve">N215T   </v>
      </c>
      <c r="BF985">
        <v>1</v>
      </c>
      <c r="BH985">
        <v>0</v>
      </c>
      <c r="BI985">
        <v>0</v>
      </c>
      <c r="BJ985">
        <v>0</v>
      </c>
      <c r="BK985">
        <v>2400</v>
      </c>
      <c r="BL985">
        <v>400</v>
      </c>
      <c r="BM985" t="s">
        <v>119</v>
      </c>
      <c r="BN985">
        <v>1</v>
      </c>
      <c r="BO985">
        <v>1</v>
      </c>
      <c r="BP985">
        <v>1</v>
      </c>
      <c r="BQ985">
        <v>0</v>
      </c>
      <c r="BT985">
        <v>0</v>
      </c>
      <c r="BU985">
        <v>0</v>
      </c>
      <c r="BV985">
        <v>0</v>
      </c>
      <c r="CC985" t="str">
        <f>"18:51:05.078"</f>
        <v>18:51:05.078</v>
      </c>
      <c r="CD985" t="str">
        <f>"076828254"</f>
        <v>076828254</v>
      </c>
      <c r="CQ985">
        <v>0</v>
      </c>
      <c r="CR985">
        <v>2</v>
      </c>
      <c r="CS985">
        <v>0</v>
      </c>
      <c r="CT985">
        <v>2</v>
      </c>
      <c r="CU985">
        <v>0</v>
      </c>
      <c r="CV985">
        <v>6</v>
      </c>
      <c r="CW985" t="s">
        <v>120</v>
      </c>
      <c r="CX985">
        <v>261</v>
      </c>
      <c r="CY985">
        <v>2</v>
      </c>
      <c r="CZ985" t="s">
        <v>121</v>
      </c>
      <c r="DA985" t="s">
        <v>122</v>
      </c>
      <c r="DD985">
        <v>14778549</v>
      </c>
      <c r="DE985" t="s">
        <v>123</v>
      </c>
    </row>
    <row r="986" spans="1:109" x14ac:dyDescent="0.3">
      <c r="A986" t="str">
        <f>"18:51:06.383"</f>
        <v>18:51:06.383</v>
      </c>
      <c r="B986" t="s">
        <v>110</v>
      </c>
      <c r="C986" t="str">
        <f t="shared" si="45"/>
        <v>ffdfd3c0</v>
      </c>
      <c r="D986" t="s">
        <v>111</v>
      </c>
      <c r="E986">
        <v>18</v>
      </c>
      <c r="F986">
        <v>1018</v>
      </c>
      <c r="G986" t="s">
        <v>112</v>
      </c>
      <c r="J986" t="s">
        <v>113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R986" t="s">
        <v>114</v>
      </c>
      <c r="S986" t="str">
        <f>"18:51:06.141"</f>
        <v>18:51:06.141</v>
      </c>
      <c r="T986" t="str">
        <f>"18:51:06.141"</f>
        <v>18:51:06.141</v>
      </c>
      <c r="U986" t="str">
        <f t="shared" si="46"/>
        <v>a1cdbe</v>
      </c>
      <c r="V986">
        <v>0</v>
      </c>
      <c r="W986">
        <v>0</v>
      </c>
      <c r="X986">
        <v>1</v>
      </c>
      <c r="Y986">
        <v>0</v>
      </c>
      <c r="Z986">
        <v>0</v>
      </c>
      <c r="AB986">
        <v>0</v>
      </c>
      <c r="AC986">
        <v>9</v>
      </c>
      <c r="AD986">
        <v>3</v>
      </c>
      <c r="AE986">
        <v>0</v>
      </c>
      <c r="AF986">
        <v>9</v>
      </c>
      <c r="AG986" t="s">
        <v>158</v>
      </c>
      <c r="AH986">
        <v>0</v>
      </c>
      <c r="AI986">
        <v>3</v>
      </c>
      <c r="AJ986">
        <v>1</v>
      </c>
      <c r="AK986">
        <v>0</v>
      </c>
      <c r="AL986" t="s">
        <v>2010</v>
      </c>
      <c r="AM986">
        <v>46.847484000000001</v>
      </c>
      <c r="AN986" t="s">
        <v>2011</v>
      </c>
      <c r="AO986">
        <v>-122.506142</v>
      </c>
      <c r="AP986">
        <v>100</v>
      </c>
      <c r="AQ986">
        <v>2000</v>
      </c>
      <c r="AR986" t="s">
        <v>118</v>
      </c>
      <c r="AS986">
        <v>-82</v>
      </c>
      <c r="AT986">
        <v>3</v>
      </c>
      <c r="AU986">
        <v>-128</v>
      </c>
      <c r="BC986">
        <v>1200</v>
      </c>
      <c r="BD986">
        <v>1</v>
      </c>
      <c r="BE986" t="str">
        <f t="shared" si="47"/>
        <v xml:space="preserve">N215T   </v>
      </c>
      <c r="BF986">
        <v>1</v>
      </c>
      <c r="BH986">
        <v>0</v>
      </c>
      <c r="BI986">
        <v>0</v>
      </c>
      <c r="BJ986">
        <v>0</v>
      </c>
      <c r="BK986">
        <v>2400</v>
      </c>
      <c r="BL986">
        <v>400</v>
      </c>
      <c r="BM986" t="s">
        <v>119</v>
      </c>
      <c r="BN986">
        <v>1</v>
      </c>
      <c r="BO986">
        <v>1</v>
      </c>
      <c r="BP986">
        <v>1</v>
      </c>
      <c r="BQ986">
        <v>0</v>
      </c>
      <c r="BT986">
        <v>0</v>
      </c>
      <c r="BU986">
        <v>0</v>
      </c>
      <c r="BV986">
        <v>0</v>
      </c>
      <c r="CC986" t="str">
        <f>"18:51:06.141"</f>
        <v>18:51:06.141</v>
      </c>
      <c r="CD986" t="str">
        <f>"141723347"</f>
        <v>141723347</v>
      </c>
      <c r="CQ986">
        <v>0</v>
      </c>
      <c r="CR986">
        <v>2</v>
      </c>
      <c r="CS986">
        <v>0</v>
      </c>
      <c r="CT986">
        <v>2</v>
      </c>
      <c r="CU986">
        <v>0</v>
      </c>
      <c r="CV986">
        <v>6</v>
      </c>
      <c r="CW986" t="s">
        <v>120</v>
      </c>
      <c r="CX986">
        <v>261</v>
      </c>
      <c r="CY986">
        <v>2</v>
      </c>
      <c r="CZ986" t="s">
        <v>121</v>
      </c>
      <c r="DA986" t="s">
        <v>122</v>
      </c>
      <c r="DD986">
        <v>14779178</v>
      </c>
      <c r="DE986" t="s">
        <v>123</v>
      </c>
    </row>
    <row r="987" spans="1:109" x14ac:dyDescent="0.3">
      <c r="A987" t="str">
        <f>"18:51:07.281"</f>
        <v>18:51:07.281</v>
      </c>
      <c r="B987" t="s">
        <v>110</v>
      </c>
      <c r="C987" t="str">
        <f t="shared" si="45"/>
        <v>ffdfd3c0</v>
      </c>
      <c r="D987" t="s">
        <v>111</v>
      </c>
      <c r="E987">
        <v>18</v>
      </c>
      <c r="F987">
        <v>1018</v>
      </c>
      <c r="G987" t="s">
        <v>112</v>
      </c>
      <c r="J987" t="s">
        <v>113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R987" t="s">
        <v>114</v>
      </c>
      <c r="S987" t="str">
        <f>"18:51:07.055"</f>
        <v>18:51:07.055</v>
      </c>
      <c r="T987" t="str">
        <f>"18:51:07.055"</f>
        <v>18:51:07.055</v>
      </c>
      <c r="U987" t="str">
        <f t="shared" si="46"/>
        <v>a1cdbe</v>
      </c>
      <c r="V987">
        <v>0</v>
      </c>
      <c r="W987">
        <v>0</v>
      </c>
      <c r="X987">
        <v>1</v>
      </c>
      <c r="Y987">
        <v>0</v>
      </c>
      <c r="Z987">
        <v>0</v>
      </c>
      <c r="AB987">
        <v>0</v>
      </c>
      <c r="AC987">
        <v>9</v>
      </c>
      <c r="AD987">
        <v>3</v>
      </c>
      <c r="AE987">
        <v>0</v>
      </c>
      <c r="AF987">
        <v>9</v>
      </c>
      <c r="AG987" t="s">
        <v>158</v>
      </c>
      <c r="AH987">
        <v>0</v>
      </c>
      <c r="AI987">
        <v>3</v>
      </c>
      <c r="AJ987">
        <v>1</v>
      </c>
      <c r="AK987">
        <v>0</v>
      </c>
      <c r="AL987" t="s">
        <v>1852</v>
      </c>
      <c r="AM987">
        <v>46.847526999999999</v>
      </c>
      <c r="AN987" t="s">
        <v>2012</v>
      </c>
      <c r="AO987">
        <v>-122.506614</v>
      </c>
      <c r="AP987">
        <v>100</v>
      </c>
      <c r="AQ987">
        <v>2000</v>
      </c>
      <c r="AR987" t="s">
        <v>118</v>
      </c>
      <c r="AS987">
        <v>-82</v>
      </c>
      <c r="AT987">
        <v>3</v>
      </c>
      <c r="AU987">
        <v>0</v>
      </c>
      <c r="BC987">
        <v>1200</v>
      </c>
      <c r="BD987">
        <v>1</v>
      </c>
      <c r="BE987" t="str">
        <f t="shared" si="47"/>
        <v xml:space="preserve">N215T   </v>
      </c>
      <c r="BF987">
        <v>1</v>
      </c>
      <c r="BH987">
        <v>0</v>
      </c>
      <c r="BI987">
        <v>0</v>
      </c>
      <c r="BJ987">
        <v>0</v>
      </c>
      <c r="BK987">
        <v>2400</v>
      </c>
      <c r="BL987">
        <v>400</v>
      </c>
      <c r="BM987" t="s">
        <v>119</v>
      </c>
      <c r="BN987">
        <v>1</v>
      </c>
      <c r="BO987">
        <v>1</v>
      </c>
      <c r="BP987">
        <v>1</v>
      </c>
      <c r="BQ987">
        <v>0</v>
      </c>
      <c r="BT987">
        <v>0</v>
      </c>
      <c r="BU987">
        <v>0</v>
      </c>
      <c r="BV987">
        <v>0</v>
      </c>
      <c r="CC987" t="str">
        <f>"18:51:07.055"</f>
        <v>18:51:07.055</v>
      </c>
      <c r="CD987" t="str">
        <f>"056633222"</f>
        <v>056633222</v>
      </c>
      <c r="CQ987">
        <v>0</v>
      </c>
      <c r="CR987">
        <v>2</v>
      </c>
      <c r="CS987">
        <v>0</v>
      </c>
      <c r="CT987">
        <v>2</v>
      </c>
      <c r="CU987">
        <v>0</v>
      </c>
      <c r="CV987">
        <v>6</v>
      </c>
      <c r="CW987" t="s">
        <v>120</v>
      </c>
      <c r="CX987">
        <v>261</v>
      </c>
      <c r="CY987">
        <v>2</v>
      </c>
      <c r="CZ987" t="s">
        <v>121</v>
      </c>
      <c r="DA987" t="s">
        <v>122</v>
      </c>
      <c r="DD987">
        <v>14779764</v>
      </c>
      <c r="DE987" t="s">
        <v>123</v>
      </c>
    </row>
    <row r="988" spans="1:109" x14ac:dyDescent="0.3">
      <c r="A988" t="str">
        <f>"18:51:08.344"</f>
        <v>18:51:08.344</v>
      </c>
      <c r="B988" t="s">
        <v>110</v>
      </c>
      <c r="C988" t="str">
        <f t="shared" si="45"/>
        <v>ffdfd3c0</v>
      </c>
      <c r="D988" t="s">
        <v>111</v>
      </c>
      <c r="E988">
        <v>18</v>
      </c>
      <c r="F988">
        <v>1018</v>
      </c>
      <c r="G988" t="s">
        <v>112</v>
      </c>
      <c r="J988" t="s">
        <v>113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R988" t="s">
        <v>114</v>
      </c>
      <c r="S988" t="str">
        <f>"18:51:08.086"</f>
        <v>18:51:08.086</v>
      </c>
      <c r="T988" t="str">
        <f>"18:51:07.984"</f>
        <v>18:51:07.984</v>
      </c>
      <c r="U988" t="str">
        <f t="shared" si="46"/>
        <v>a1cdbe</v>
      </c>
      <c r="V988">
        <v>0</v>
      </c>
      <c r="W988">
        <v>0</v>
      </c>
      <c r="X988">
        <v>1</v>
      </c>
      <c r="Y988">
        <v>0</v>
      </c>
      <c r="Z988">
        <v>0</v>
      </c>
      <c r="AB988">
        <v>0</v>
      </c>
      <c r="AC988">
        <v>9</v>
      </c>
      <c r="AD988">
        <v>3</v>
      </c>
      <c r="AE988">
        <v>0</v>
      </c>
      <c r="AF988">
        <v>9</v>
      </c>
      <c r="AG988" t="s">
        <v>158</v>
      </c>
      <c r="AH988">
        <v>0</v>
      </c>
      <c r="AI988">
        <v>3</v>
      </c>
      <c r="AJ988">
        <v>1</v>
      </c>
      <c r="AK988">
        <v>0</v>
      </c>
      <c r="AL988" t="s">
        <v>1852</v>
      </c>
      <c r="AM988">
        <v>46.847526999999999</v>
      </c>
      <c r="AN988" t="s">
        <v>2013</v>
      </c>
      <c r="AO988">
        <v>-122.507215</v>
      </c>
      <c r="AP988">
        <v>100</v>
      </c>
      <c r="AQ988">
        <v>2000</v>
      </c>
      <c r="AR988" t="s">
        <v>118</v>
      </c>
      <c r="AS988">
        <v>-82</v>
      </c>
      <c r="AT988">
        <v>2</v>
      </c>
      <c r="AU988">
        <v>64</v>
      </c>
      <c r="BC988">
        <v>1200</v>
      </c>
      <c r="BD988">
        <v>1</v>
      </c>
      <c r="BE988" t="str">
        <f t="shared" si="47"/>
        <v xml:space="preserve">N215T   </v>
      </c>
      <c r="BF988">
        <v>1</v>
      </c>
      <c r="BH988">
        <v>0</v>
      </c>
      <c r="BI988">
        <v>0</v>
      </c>
      <c r="BJ988">
        <v>0</v>
      </c>
      <c r="BK988">
        <v>2400</v>
      </c>
      <c r="BL988">
        <v>400</v>
      </c>
      <c r="BM988" t="s">
        <v>119</v>
      </c>
      <c r="BN988">
        <v>1</v>
      </c>
      <c r="BO988">
        <v>1</v>
      </c>
      <c r="BP988">
        <v>1</v>
      </c>
      <c r="BQ988">
        <v>0</v>
      </c>
      <c r="BT988">
        <v>0</v>
      </c>
      <c r="BU988">
        <v>0</v>
      </c>
      <c r="BV988">
        <v>0</v>
      </c>
      <c r="CC988" t="str">
        <f>"18:51:08.094"</f>
        <v>18:51:08.094</v>
      </c>
      <c r="CD988" t="str">
        <f>"091531269"</f>
        <v>091531269</v>
      </c>
      <c r="CQ988">
        <v>0</v>
      </c>
      <c r="CR988">
        <v>2</v>
      </c>
      <c r="CS988">
        <v>0</v>
      </c>
      <c r="CT988">
        <v>2</v>
      </c>
      <c r="CU988">
        <v>0</v>
      </c>
      <c r="CV988">
        <v>6</v>
      </c>
      <c r="CW988" t="s">
        <v>120</v>
      </c>
      <c r="CX988">
        <v>261</v>
      </c>
      <c r="CY988">
        <v>2</v>
      </c>
      <c r="CZ988" t="s">
        <v>121</v>
      </c>
      <c r="DA988" t="s">
        <v>122</v>
      </c>
      <c r="DD988">
        <v>14780354</v>
      </c>
      <c r="DE988" t="s">
        <v>123</v>
      </c>
    </row>
    <row r="989" spans="1:109" x14ac:dyDescent="0.3">
      <c r="A989" t="str">
        <f>"18:51:09.398"</f>
        <v>18:51:09.398</v>
      </c>
      <c r="B989" t="s">
        <v>110</v>
      </c>
      <c r="C989" t="str">
        <f t="shared" si="45"/>
        <v>ffdfd3c0</v>
      </c>
      <c r="D989" t="s">
        <v>111</v>
      </c>
      <c r="E989">
        <v>18</v>
      </c>
      <c r="F989">
        <v>1018</v>
      </c>
      <c r="G989" t="s">
        <v>112</v>
      </c>
      <c r="J989" t="s">
        <v>113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R989" t="s">
        <v>114</v>
      </c>
      <c r="S989" t="str">
        <f>"18:51:09.156"</f>
        <v>18:51:09.156</v>
      </c>
      <c r="T989" t="str">
        <f>"18:51:08.656"</f>
        <v>18:51:08.656</v>
      </c>
      <c r="U989" t="str">
        <f t="shared" si="46"/>
        <v>a1cdbe</v>
      </c>
      <c r="V989">
        <v>0</v>
      </c>
      <c r="W989">
        <v>0</v>
      </c>
      <c r="X989">
        <v>1</v>
      </c>
      <c r="Y989">
        <v>0</v>
      </c>
      <c r="Z989">
        <v>0</v>
      </c>
      <c r="AB989">
        <v>0</v>
      </c>
      <c r="AC989">
        <v>9</v>
      </c>
      <c r="AD989">
        <v>3</v>
      </c>
      <c r="AE989">
        <v>0</v>
      </c>
      <c r="AF989">
        <v>9</v>
      </c>
      <c r="AG989" t="s">
        <v>158</v>
      </c>
      <c r="AH989">
        <v>0</v>
      </c>
      <c r="AI989">
        <v>3</v>
      </c>
      <c r="AJ989">
        <v>1</v>
      </c>
      <c r="AK989">
        <v>0</v>
      </c>
      <c r="AL989" t="s">
        <v>1852</v>
      </c>
      <c r="AM989">
        <v>46.847526999999999</v>
      </c>
      <c r="AN989" t="s">
        <v>2014</v>
      </c>
      <c r="AO989">
        <v>-122.50781499999999</v>
      </c>
      <c r="AP989">
        <v>100</v>
      </c>
      <c r="AQ989">
        <v>2000</v>
      </c>
      <c r="AR989" t="s">
        <v>118</v>
      </c>
      <c r="AS989">
        <v>-82</v>
      </c>
      <c r="AT989">
        <v>1</v>
      </c>
      <c r="AU989">
        <v>64</v>
      </c>
      <c r="BC989">
        <v>1200</v>
      </c>
      <c r="BD989">
        <v>1</v>
      </c>
      <c r="BE989" t="str">
        <f t="shared" si="47"/>
        <v xml:space="preserve">N215T   </v>
      </c>
      <c r="BF989">
        <v>1</v>
      </c>
      <c r="BH989">
        <v>0</v>
      </c>
      <c r="BI989">
        <v>0</v>
      </c>
      <c r="BJ989">
        <v>0</v>
      </c>
      <c r="BK989">
        <v>2400</v>
      </c>
      <c r="BL989">
        <v>400</v>
      </c>
      <c r="BM989" t="s">
        <v>119</v>
      </c>
      <c r="BN989">
        <v>1</v>
      </c>
      <c r="BO989">
        <v>1</v>
      </c>
      <c r="BP989">
        <v>1</v>
      </c>
      <c r="BQ989">
        <v>0</v>
      </c>
      <c r="BT989">
        <v>0</v>
      </c>
      <c r="BU989">
        <v>0</v>
      </c>
      <c r="BV989">
        <v>0</v>
      </c>
      <c r="CC989" t="str">
        <f>"18:51:09.156"</f>
        <v>18:51:09.156</v>
      </c>
      <c r="CD989" t="str">
        <f>"156426372"</f>
        <v>156426372</v>
      </c>
      <c r="CQ989">
        <v>0</v>
      </c>
      <c r="CR989">
        <v>2</v>
      </c>
      <c r="CS989">
        <v>0</v>
      </c>
      <c r="CT989">
        <v>2</v>
      </c>
      <c r="CU989">
        <v>0</v>
      </c>
      <c r="CV989">
        <v>6</v>
      </c>
      <c r="CW989" t="s">
        <v>120</v>
      </c>
      <c r="CX989">
        <v>261</v>
      </c>
      <c r="CY989">
        <v>2</v>
      </c>
      <c r="CZ989" t="s">
        <v>121</v>
      </c>
      <c r="DA989" t="s">
        <v>122</v>
      </c>
      <c r="DD989">
        <v>14780970</v>
      </c>
      <c r="DE989" t="s">
        <v>123</v>
      </c>
    </row>
    <row r="990" spans="1:109" x14ac:dyDescent="0.3">
      <c r="A990" t="str">
        <f>"18:51:10.406"</f>
        <v>18:51:10.406</v>
      </c>
      <c r="B990" t="s">
        <v>110</v>
      </c>
      <c r="C990" t="str">
        <f t="shared" si="45"/>
        <v>ffdfd3c0</v>
      </c>
      <c r="D990" t="s">
        <v>111</v>
      </c>
      <c r="E990">
        <v>18</v>
      </c>
      <c r="F990">
        <v>1018</v>
      </c>
      <c r="G990" t="s">
        <v>112</v>
      </c>
      <c r="J990" t="s">
        <v>113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R990" t="s">
        <v>114</v>
      </c>
      <c r="S990" t="str">
        <f>"18:51:10.156"</f>
        <v>18:51:10.156</v>
      </c>
      <c r="T990" t="str">
        <f>"18:51:10.156"</f>
        <v>18:51:10.156</v>
      </c>
      <c r="U990" t="str">
        <f t="shared" si="46"/>
        <v>a1cdbe</v>
      </c>
      <c r="V990">
        <v>0</v>
      </c>
      <c r="W990">
        <v>0</v>
      </c>
      <c r="X990">
        <v>1</v>
      </c>
      <c r="Y990">
        <v>0</v>
      </c>
      <c r="Z990">
        <v>0</v>
      </c>
      <c r="AB990">
        <v>0</v>
      </c>
      <c r="AC990">
        <v>9</v>
      </c>
      <c r="AD990">
        <v>3</v>
      </c>
      <c r="AE990">
        <v>0</v>
      </c>
      <c r="AF990">
        <v>9</v>
      </c>
      <c r="AG990" t="s">
        <v>158</v>
      </c>
      <c r="AH990">
        <v>0</v>
      </c>
      <c r="AI990">
        <v>3</v>
      </c>
      <c r="AJ990">
        <v>1</v>
      </c>
      <c r="AK990">
        <v>0</v>
      </c>
      <c r="AL990" t="s">
        <v>1852</v>
      </c>
      <c r="AM990">
        <v>46.847526999999999</v>
      </c>
      <c r="AN990" t="s">
        <v>2015</v>
      </c>
      <c r="AO990">
        <v>-122.50833</v>
      </c>
      <c r="AP990">
        <v>100</v>
      </c>
      <c r="AQ990">
        <v>2000</v>
      </c>
      <c r="AR990" t="s">
        <v>118</v>
      </c>
      <c r="AS990">
        <v>-81</v>
      </c>
      <c r="AT990">
        <v>-2</v>
      </c>
      <c r="AU990">
        <v>128</v>
      </c>
      <c r="BC990">
        <v>1200</v>
      </c>
      <c r="BD990">
        <v>1</v>
      </c>
      <c r="BE990" t="str">
        <f t="shared" si="47"/>
        <v xml:space="preserve">N215T   </v>
      </c>
      <c r="BF990">
        <v>1</v>
      </c>
      <c r="BH990">
        <v>0</v>
      </c>
      <c r="BI990">
        <v>0</v>
      </c>
      <c r="BJ990">
        <v>0</v>
      </c>
      <c r="BK990">
        <v>2400</v>
      </c>
      <c r="BL990">
        <v>400</v>
      </c>
      <c r="BM990" t="s">
        <v>119</v>
      </c>
      <c r="BN990">
        <v>1</v>
      </c>
      <c r="BO990">
        <v>1</v>
      </c>
      <c r="BP990">
        <v>1</v>
      </c>
      <c r="BQ990">
        <v>0</v>
      </c>
      <c r="BT990">
        <v>0</v>
      </c>
      <c r="BU990">
        <v>0</v>
      </c>
      <c r="BV990">
        <v>0</v>
      </c>
      <c r="CC990" t="str">
        <f>"18:51:10.164"</f>
        <v>18:51:10.164</v>
      </c>
      <c r="CD990" t="str">
        <f>"161327400"</f>
        <v>161327400</v>
      </c>
      <c r="CQ990">
        <v>0</v>
      </c>
      <c r="CR990">
        <v>2</v>
      </c>
      <c r="CS990">
        <v>0</v>
      </c>
      <c r="CT990">
        <v>2</v>
      </c>
      <c r="CU990">
        <v>0</v>
      </c>
      <c r="CV990">
        <v>5</v>
      </c>
      <c r="CW990" t="s">
        <v>120</v>
      </c>
      <c r="CX990">
        <v>261</v>
      </c>
      <c r="CY990">
        <v>1</v>
      </c>
      <c r="CZ990" t="s">
        <v>121</v>
      </c>
      <c r="DA990" t="s">
        <v>122</v>
      </c>
      <c r="DD990">
        <v>3707581</v>
      </c>
      <c r="DE990" t="s">
        <v>123</v>
      </c>
    </row>
    <row r="991" spans="1:109" x14ac:dyDescent="0.3">
      <c r="A991" t="str">
        <f>"18:51:11.508"</f>
        <v>18:51:11.508</v>
      </c>
      <c r="B991" t="s">
        <v>110</v>
      </c>
      <c r="C991" t="str">
        <f t="shared" si="45"/>
        <v>ffdfd3c0</v>
      </c>
      <c r="D991" t="s">
        <v>111</v>
      </c>
      <c r="E991">
        <v>18</v>
      </c>
      <c r="F991">
        <v>1018</v>
      </c>
      <c r="G991" t="s">
        <v>112</v>
      </c>
      <c r="J991" t="s">
        <v>113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R991" t="s">
        <v>114</v>
      </c>
      <c r="S991" t="str">
        <f>"18:51:11.266"</f>
        <v>18:51:11.266</v>
      </c>
      <c r="T991" t="str">
        <f>"18:51:11.063"</f>
        <v>18:51:11.063</v>
      </c>
      <c r="U991" t="str">
        <f t="shared" si="46"/>
        <v>a1cdbe</v>
      </c>
      <c r="V991">
        <v>0</v>
      </c>
      <c r="W991">
        <v>0</v>
      </c>
      <c r="X991">
        <v>1</v>
      </c>
      <c r="Y991">
        <v>0</v>
      </c>
      <c r="Z991">
        <v>0</v>
      </c>
      <c r="AB991">
        <v>0</v>
      </c>
      <c r="AC991">
        <v>9</v>
      </c>
      <c r="AD991">
        <v>3</v>
      </c>
      <c r="AE991">
        <v>0</v>
      </c>
      <c r="AF991">
        <v>9</v>
      </c>
      <c r="AG991" t="s">
        <v>158</v>
      </c>
      <c r="AH991">
        <v>0</v>
      </c>
      <c r="AI991">
        <v>3</v>
      </c>
      <c r="AJ991">
        <v>1</v>
      </c>
      <c r="AK991">
        <v>0</v>
      </c>
      <c r="AL991" t="s">
        <v>2010</v>
      </c>
      <c r="AM991">
        <v>46.847484000000001</v>
      </c>
      <c r="AN991" t="s">
        <v>2016</v>
      </c>
      <c r="AO991">
        <v>-122.50895300000001</v>
      </c>
      <c r="AP991">
        <v>100</v>
      </c>
      <c r="AQ991">
        <v>2000</v>
      </c>
      <c r="AR991" t="s">
        <v>118</v>
      </c>
      <c r="AS991">
        <v>-81</v>
      </c>
      <c r="AT991">
        <v>-5</v>
      </c>
      <c r="AU991">
        <v>192</v>
      </c>
      <c r="BC991">
        <v>1200</v>
      </c>
      <c r="BD991">
        <v>1</v>
      </c>
      <c r="BE991" t="str">
        <f t="shared" si="47"/>
        <v xml:space="preserve">N215T   </v>
      </c>
      <c r="BF991">
        <v>1</v>
      </c>
      <c r="BH991">
        <v>0</v>
      </c>
      <c r="BI991">
        <v>0</v>
      </c>
      <c r="BJ991">
        <v>0</v>
      </c>
      <c r="BK991">
        <v>2400</v>
      </c>
      <c r="BL991">
        <v>400</v>
      </c>
      <c r="BM991" t="s">
        <v>119</v>
      </c>
      <c r="BN991">
        <v>1</v>
      </c>
      <c r="BO991">
        <v>1</v>
      </c>
      <c r="BP991">
        <v>1</v>
      </c>
      <c r="BQ991">
        <v>0</v>
      </c>
      <c r="BT991">
        <v>0</v>
      </c>
      <c r="BU991">
        <v>0</v>
      </c>
      <c r="BV991">
        <v>0</v>
      </c>
      <c r="CC991" t="str">
        <f>"18:51:11.273"</f>
        <v>18:51:11.273</v>
      </c>
      <c r="CD991" t="str">
        <f>"271218073"</f>
        <v>271218073</v>
      </c>
      <c r="CQ991">
        <v>0</v>
      </c>
      <c r="CR991">
        <v>2</v>
      </c>
      <c r="CS991">
        <v>0</v>
      </c>
      <c r="CT991">
        <v>2</v>
      </c>
      <c r="CU991">
        <v>0</v>
      </c>
      <c r="CV991">
        <v>6</v>
      </c>
      <c r="CW991" t="s">
        <v>120</v>
      </c>
      <c r="CX991">
        <v>261</v>
      </c>
      <c r="CY991">
        <v>2</v>
      </c>
      <c r="CZ991" t="s">
        <v>121</v>
      </c>
      <c r="DA991" t="s">
        <v>122</v>
      </c>
      <c r="DD991">
        <v>14782246</v>
      </c>
      <c r="DE991" t="s">
        <v>123</v>
      </c>
    </row>
    <row r="992" spans="1:109" x14ac:dyDescent="0.3">
      <c r="A992" t="str">
        <f>"18:51:12.461"</f>
        <v>18:51:12.461</v>
      </c>
      <c r="B992" t="s">
        <v>110</v>
      </c>
      <c r="C992" t="str">
        <f t="shared" si="45"/>
        <v>ffdfd3c0</v>
      </c>
      <c r="D992" t="s">
        <v>111</v>
      </c>
      <c r="E992">
        <v>18</v>
      </c>
      <c r="F992">
        <v>1018</v>
      </c>
      <c r="G992" t="s">
        <v>112</v>
      </c>
      <c r="J992" t="s">
        <v>113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R992" t="s">
        <v>114</v>
      </c>
      <c r="S992" t="str">
        <f>"18:51:12.258"</f>
        <v>18:51:12.258</v>
      </c>
      <c r="T992" t="str">
        <f>"18:51:12.055"</f>
        <v>18:51:12.055</v>
      </c>
      <c r="U992" t="str">
        <f t="shared" si="46"/>
        <v>a1cdbe</v>
      </c>
      <c r="V992">
        <v>0</v>
      </c>
      <c r="W992">
        <v>0</v>
      </c>
      <c r="X992">
        <v>1</v>
      </c>
      <c r="Y992">
        <v>0</v>
      </c>
      <c r="Z992">
        <v>0</v>
      </c>
      <c r="AB992">
        <v>0</v>
      </c>
      <c r="AC992">
        <v>9</v>
      </c>
      <c r="AD992">
        <v>3</v>
      </c>
      <c r="AE992">
        <v>0</v>
      </c>
      <c r="AF992">
        <v>9</v>
      </c>
      <c r="AG992" t="s">
        <v>158</v>
      </c>
      <c r="AH992">
        <v>0</v>
      </c>
      <c r="AI992">
        <v>3</v>
      </c>
      <c r="AJ992">
        <v>1</v>
      </c>
      <c r="AK992">
        <v>0</v>
      </c>
      <c r="AL992" t="s">
        <v>2007</v>
      </c>
      <c r="AM992">
        <v>46.847462999999998</v>
      </c>
      <c r="AN992" t="s">
        <v>2017</v>
      </c>
      <c r="AO992">
        <v>-122.509511</v>
      </c>
      <c r="AP992">
        <v>100</v>
      </c>
      <c r="AQ992">
        <v>2000</v>
      </c>
      <c r="AR992" t="s">
        <v>118</v>
      </c>
      <c r="AS992">
        <v>-81</v>
      </c>
      <c r="AT992">
        <v>-7</v>
      </c>
      <c r="AU992">
        <v>192</v>
      </c>
      <c r="BC992">
        <v>1200</v>
      </c>
      <c r="BD992">
        <v>1</v>
      </c>
      <c r="BE992" t="str">
        <f t="shared" si="47"/>
        <v xml:space="preserve">N215T   </v>
      </c>
      <c r="BF992">
        <v>1</v>
      </c>
      <c r="BH992">
        <v>0</v>
      </c>
      <c r="BI992">
        <v>0</v>
      </c>
      <c r="BJ992">
        <v>0</v>
      </c>
      <c r="BK992">
        <v>2400</v>
      </c>
      <c r="BL992">
        <v>400</v>
      </c>
      <c r="BM992" t="s">
        <v>119</v>
      </c>
      <c r="BN992">
        <v>1</v>
      </c>
      <c r="BO992">
        <v>1</v>
      </c>
      <c r="BP992">
        <v>1</v>
      </c>
      <c r="BQ992">
        <v>0</v>
      </c>
      <c r="BT992">
        <v>0</v>
      </c>
      <c r="BU992">
        <v>0</v>
      </c>
      <c r="BV992">
        <v>0</v>
      </c>
      <c r="CC992" t="str">
        <f>"18:51:12.258"</f>
        <v>18:51:12.258</v>
      </c>
      <c r="CD992" t="str">
        <f>"261238408"</f>
        <v>261238408</v>
      </c>
      <c r="CQ992">
        <v>0</v>
      </c>
      <c r="CR992">
        <v>2</v>
      </c>
      <c r="CS992">
        <v>0</v>
      </c>
      <c r="CT992">
        <v>2</v>
      </c>
      <c r="CU992">
        <v>0</v>
      </c>
      <c r="CV992">
        <v>4</v>
      </c>
      <c r="CW992" t="s">
        <v>120</v>
      </c>
      <c r="CX992">
        <v>257</v>
      </c>
      <c r="CY992">
        <v>1</v>
      </c>
      <c r="CZ992" t="s">
        <v>615</v>
      </c>
      <c r="DA992" t="s">
        <v>616</v>
      </c>
      <c r="DD992">
        <v>11113323</v>
      </c>
      <c r="DE992" t="s">
        <v>123</v>
      </c>
    </row>
    <row r="993" spans="1:109" x14ac:dyDescent="0.3">
      <c r="A993" t="str">
        <f>"18:51:13.422"</f>
        <v>18:51:13.422</v>
      </c>
      <c r="B993" t="s">
        <v>110</v>
      </c>
      <c r="C993" t="str">
        <f t="shared" si="45"/>
        <v>ffdfd3c0</v>
      </c>
      <c r="D993" t="s">
        <v>111</v>
      </c>
      <c r="E993">
        <v>18</v>
      </c>
      <c r="F993">
        <v>1018</v>
      </c>
      <c r="G993" t="s">
        <v>112</v>
      </c>
      <c r="J993" t="s">
        <v>113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R993" t="s">
        <v>114</v>
      </c>
      <c r="S993" t="str">
        <f>"18:51:13.188"</f>
        <v>18:51:13.188</v>
      </c>
      <c r="T993" t="str">
        <f>"18:51:12.984"</f>
        <v>18:51:12.984</v>
      </c>
      <c r="U993" t="str">
        <f t="shared" si="46"/>
        <v>a1cdbe</v>
      </c>
      <c r="V993">
        <v>0</v>
      </c>
      <c r="W993">
        <v>0</v>
      </c>
      <c r="X993">
        <v>1</v>
      </c>
      <c r="Y993">
        <v>0</v>
      </c>
      <c r="Z993">
        <v>0</v>
      </c>
      <c r="AB993">
        <v>0</v>
      </c>
      <c r="AC993">
        <v>9</v>
      </c>
      <c r="AD993">
        <v>3</v>
      </c>
      <c r="AE993">
        <v>0</v>
      </c>
      <c r="AF993">
        <v>9</v>
      </c>
      <c r="AG993" t="s">
        <v>158</v>
      </c>
      <c r="AH993">
        <v>0</v>
      </c>
      <c r="AI993">
        <v>3</v>
      </c>
      <c r="AJ993">
        <v>1</v>
      </c>
      <c r="AK993">
        <v>0</v>
      </c>
      <c r="AL993" t="s">
        <v>2004</v>
      </c>
      <c r="AM993">
        <v>46.847441000000003</v>
      </c>
      <c r="AN993" t="s">
        <v>2018</v>
      </c>
      <c r="AO993">
        <v>-122.510026</v>
      </c>
      <c r="AP993">
        <v>100</v>
      </c>
      <c r="AQ993">
        <v>2000</v>
      </c>
      <c r="AR993" t="s">
        <v>118</v>
      </c>
      <c r="AS993">
        <v>-80</v>
      </c>
      <c r="AT993">
        <v>-8</v>
      </c>
      <c r="AU993">
        <v>0</v>
      </c>
      <c r="BC993">
        <v>1200</v>
      </c>
      <c r="BD993">
        <v>1</v>
      </c>
      <c r="BE993" t="str">
        <f t="shared" si="47"/>
        <v xml:space="preserve">N215T   </v>
      </c>
      <c r="BF993">
        <v>1</v>
      </c>
      <c r="BH993">
        <v>0</v>
      </c>
      <c r="BI993">
        <v>0</v>
      </c>
      <c r="BJ993">
        <v>0</v>
      </c>
      <c r="BK993">
        <v>2400</v>
      </c>
      <c r="BL993">
        <v>400</v>
      </c>
      <c r="BM993" t="s">
        <v>119</v>
      </c>
      <c r="BN993">
        <v>1</v>
      </c>
      <c r="BO993">
        <v>1</v>
      </c>
      <c r="BP993">
        <v>1</v>
      </c>
      <c r="BQ993">
        <v>0</v>
      </c>
      <c r="BT993">
        <v>0</v>
      </c>
      <c r="BU993">
        <v>0</v>
      </c>
      <c r="BV993">
        <v>0</v>
      </c>
      <c r="CC993" t="str">
        <f>"18:51:13.188"</f>
        <v>18:51:13.188</v>
      </c>
      <c r="CD993" t="str">
        <f>"191028986"</f>
        <v>191028986</v>
      </c>
      <c r="CQ993">
        <v>0</v>
      </c>
      <c r="CR993">
        <v>2</v>
      </c>
      <c r="CS993">
        <v>0</v>
      </c>
      <c r="CT993">
        <v>2</v>
      </c>
      <c r="CU993">
        <v>0</v>
      </c>
      <c r="CV993">
        <v>6</v>
      </c>
      <c r="CW993" t="s">
        <v>120</v>
      </c>
      <c r="CX993">
        <v>261</v>
      </c>
      <c r="CY993">
        <v>2</v>
      </c>
      <c r="CZ993" t="s">
        <v>121</v>
      </c>
      <c r="DA993" t="s">
        <v>122</v>
      </c>
      <c r="DD993">
        <v>14783395</v>
      </c>
      <c r="DE993" t="s">
        <v>123</v>
      </c>
    </row>
    <row r="994" spans="1:109" x14ac:dyDescent="0.3">
      <c r="A994" t="str">
        <f>"18:51:14.375"</f>
        <v>18:51:14.375</v>
      </c>
      <c r="B994" t="s">
        <v>110</v>
      </c>
      <c r="C994" t="str">
        <f t="shared" si="45"/>
        <v>ffdfd3c0</v>
      </c>
      <c r="D994" t="s">
        <v>111</v>
      </c>
      <c r="E994">
        <v>18</v>
      </c>
      <c r="F994">
        <v>1018</v>
      </c>
      <c r="G994" t="s">
        <v>112</v>
      </c>
      <c r="J994" t="s">
        <v>113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R994" t="s">
        <v>114</v>
      </c>
      <c r="S994" t="str">
        <f>"18:51:14.133"</f>
        <v>18:51:14.133</v>
      </c>
      <c r="T994" t="str">
        <f>"18:51:14.031"</f>
        <v>18:51:14.031</v>
      </c>
      <c r="U994" t="str">
        <f t="shared" si="46"/>
        <v>a1cdbe</v>
      </c>
      <c r="V994">
        <v>0</v>
      </c>
      <c r="W994">
        <v>0</v>
      </c>
      <c r="X994">
        <v>1</v>
      </c>
      <c r="Y994">
        <v>0</v>
      </c>
      <c r="Z994">
        <v>0</v>
      </c>
      <c r="AB994">
        <v>0</v>
      </c>
      <c r="AC994">
        <v>9</v>
      </c>
      <c r="AD994">
        <v>3</v>
      </c>
      <c r="AE994">
        <v>0</v>
      </c>
      <c r="AF994">
        <v>9</v>
      </c>
      <c r="AG994" t="s">
        <v>158</v>
      </c>
      <c r="AH994">
        <v>0</v>
      </c>
      <c r="AI994">
        <v>3</v>
      </c>
      <c r="AJ994">
        <v>1</v>
      </c>
      <c r="AK994">
        <v>0</v>
      </c>
      <c r="AL994" t="s">
        <v>2002</v>
      </c>
      <c r="AM994">
        <v>46.847397999999998</v>
      </c>
      <c r="AN994" t="s">
        <v>2019</v>
      </c>
      <c r="AO994">
        <v>-122.510498</v>
      </c>
      <c r="AP994">
        <v>100</v>
      </c>
      <c r="AQ994">
        <v>2000</v>
      </c>
      <c r="AR994" t="s">
        <v>118</v>
      </c>
      <c r="AS994">
        <v>-80</v>
      </c>
      <c r="AT994">
        <v>-8</v>
      </c>
      <c r="AU994">
        <v>-64</v>
      </c>
      <c r="BC994">
        <v>1200</v>
      </c>
      <c r="BD994">
        <v>1</v>
      </c>
      <c r="BE994" t="str">
        <f t="shared" si="47"/>
        <v xml:space="preserve">N215T   </v>
      </c>
      <c r="BF994">
        <v>1</v>
      </c>
      <c r="BH994">
        <v>0</v>
      </c>
      <c r="BI994">
        <v>0</v>
      </c>
      <c r="BJ994">
        <v>0</v>
      </c>
      <c r="BK994">
        <v>2400</v>
      </c>
      <c r="BL994">
        <v>400</v>
      </c>
      <c r="BM994" t="s">
        <v>119</v>
      </c>
      <c r="BN994">
        <v>1</v>
      </c>
      <c r="BO994">
        <v>1</v>
      </c>
      <c r="BP994">
        <v>1</v>
      </c>
      <c r="BQ994">
        <v>0</v>
      </c>
      <c r="BT994">
        <v>0</v>
      </c>
      <c r="BU994">
        <v>0</v>
      </c>
      <c r="BV994">
        <v>0</v>
      </c>
      <c r="CC994" t="str">
        <f>"18:51:14.133"</f>
        <v>18:51:14.133</v>
      </c>
      <c r="CD994" t="str">
        <f>"135935915"</f>
        <v>135935915</v>
      </c>
      <c r="CQ994">
        <v>0</v>
      </c>
      <c r="CR994">
        <v>2</v>
      </c>
      <c r="CS994">
        <v>0</v>
      </c>
      <c r="CT994">
        <v>2</v>
      </c>
      <c r="CU994">
        <v>0</v>
      </c>
      <c r="CV994">
        <v>6</v>
      </c>
      <c r="CW994" t="s">
        <v>120</v>
      </c>
      <c r="CX994">
        <v>261</v>
      </c>
      <c r="CY994">
        <v>2</v>
      </c>
      <c r="CZ994" t="s">
        <v>121</v>
      </c>
      <c r="DA994" t="s">
        <v>122</v>
      </c>
      <c r="DD994">
        <v>14783928</v>
      </c>
      <c r="DE994" t="s">
        <v>123</v>
      </c>
    </row>
    <row r="995" spans="1:109" x14ac:dyDescent="0.3">
      <c r="A995" t="str">
        <f>"18:51:15.281"</f>
        <v>18:51:15.281</v>
      </c>
      <c r="B995" t="s">
        <v>110</v>
      </c>
      <c r="C995" t="str">
        <f t="shared" si="45"/>
        <v>ffdfd3c0</v>
      </c>
      <c r="D995" t="s">
        <v>111</v>
      </c>
      <c r="E995">
        <v>18</v>
      </c>
      <c r="F995">
        <v>1018</v>
      </c>
      <c r="G995" t="s">
        <v>112</v>
      </c>
      <c r="J995" t="s">
        <v>113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R995" t="s">
        <v>114</v>
      </c>
      <c r="S995" t="str">
        <f>"18:51:15.031"</f>
        <v>18:51:15.031</v>
      </c>
      <c r="T995" t="str">
        <f>"18:51:14.633"</f>
        <v>18:51:14.633</v>
      </c>
      <c r="U995" t="str">
        <f t="shared" si="46"/>
        <v>a1cdbe</v>
      </c>
      <c r="V995">
        <v>0</v>
      </c>
      <c r="W995">
        <v>0</v>
      </c>
      <c r="X995">
        <v>1</v>
      </c>
      <c r="Y995">
        <v>0</v>
      </c>
      <c r="Z995">
        <v>0</v>
      </c>
      <c r="AB995">
        <v>0</v>
      </c>
      <c r="AC995">
        <v>9</v>
      </c>
      <c r="AD995">
        <v>3</v>
      </c>
      <c r="AE995">
        <v>0</v>
      </c>
      <c r="AF995">
        <v>9</v>
      </c>
      <c r="AG995" t="s">
        <v>158</v>
      </c>
      <c r="AH995">
        <v>0</v>
      </c>
      <c r="AI995">
        <v>3</v>
      </c>
      <c r="AJ995">
        <v>1</v>
      </c>
      <c r="AK995">
        <v>0</v>
      </c>
      <c r="AL995" t="s">
        <v>1996</v>
      </c>
      <c r="AM995">
        <v>46.847333999999996</v>
      </c>
      <c r="AN995" t="s">
        <v>2020</v>
      </c>
      <c r="AO995">
        <v>-122.51101300000001</v>
      </c>
      <c r="AP995">
        <v>100</v>
      </c>
      <c r="AQ995">
        <v>2000</v>
      </c>
      <c r="AR995" t="s">
        <v>118</v>
      </c>
      <c r="AS995">
        <v>-80</v>
      </c>
      <c r="AT995">
        <v>-8</v>
      </c>
      <c r="AU995">
        <v>-192</v>
      </c>
      <c r="BC995">
        <v>1200</v>
      </c>
      <c r="BD995">
        <v>1</v>
      </c>
      <c r="BE995" t="str">
        <f t="shared" si="47"/>
        <v xml:space="preserve">N215T   </v>
      </c>
      <c r="BF995">
        <v>1</v>
      </c>
      <c r="BH995">
        <v>0</v>
      </c>
      <c r="BI995">
        <v>0</v>
      </c>
      <c r="BJ995">
        <v>0</v>
      </c>
      <c r="BK995">
        <v>2400</v>
      </c>
      <c r="BL995">
        <v>400</v>
      </c>
      <c r="BM995" t="s">
        <v>119</v>
      </c>
      <c r="BN995">
        <v>1</v>
      </c>
      <c r="BO995">
        <v>1</v>
      </c>
      <c r="BP995">
        <v>1</v>
      </c>
      <c r="BQ995">
        <v>0</v>
      </c>
      <c r="BT995">
        <v>0</v>
      </c>
      <c r="BU995">
        <v>0</v>
      </c>
      <c r="BV995">
        <v>0</v>
      </c>
      <c r="CC995" t="str">
        <f>"18:51:15.039"</f>
        <v>18:51:15.039</v>
      </c>
      <c r="CD995" t="str">
        <f>"035964866"</f>
        <v>035964866</v>
      </c>
      <c r="CQ995">
        <v>0</v>
      </c>
      <c r="CR995">
        <v>2</v>
      </c>
      <c r="CS995">
        <v>0</v>
      </c>
      <c r="CT995">
        <v>2</v>
      </c>
      <c r="CU995">
        <v>0</v>
      </c>
      <c r="CV995">
        <v>5</v>
      </c>
      <c r="CW995" t="s">
        <v>120</v>
      </c>
      <c r="CX995">
        <v>257</v>
      </c>
      <c r="CY995">
        <v>1</v>
      </c>
      <c r="CZ995" t="s">
        <v>615</v>
      </c>
      <c r="DA995" t="s">
        <v>616</v>
      </c>
      <c r="DD995">
        <v>11115168</v>
      </c>
      <c r="DE995" t="s">
        <v>123</v>
      </c>
    </row>
    <row r="996" spans="1:109" x14ac:dyDescent="0.3">
      <c r="A996" t="str">
        <f>"18:51:16.438"</f>
        <v>18:51:16.438</v>
      </c>
      <c r="B996" t="s">
        <v>110</v>
      </c>
      <c r="C996" t="str">
        <f t="shared" si="45"/>
        <v>ffdfd3c0</v>
      </c>
      <c r="D996" t="s">
        <v>111</v>
      </c>
      <c r="E996">
        <v>18</v>
      </c>
      <c r="F996">
        <v>1018</v>
      </c>
      <c r="G996" t="s">
        <v>112</v>
      </c>
      <c r="J996" t="s">
        <v>113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R996" t="s">
        <v>114</v>
      </c>
      <c r="S996" t="str">
        <f>"18:51:16.188"</f>
        <v>18:51:16.188</v>
      </c>
      <c r="T996" t="str">
        <f>"18:51:15.688"</f>
        <v>18:51:15.688</v>
      </c>
      <c r="U996" t="str">
        <f t="shared" si="46"/>
        <v>a1cdbe</v>
      </c>
      <c r="V996">
        <v>0</v>
      </c>
      <c r="W996">
        <v>0</v>
      </c>
      <c r="X996">
        <v>1</v>
      </c>
      <c r="Y996">
        <v>0</v>
      </c>
      <c r="Z996">
        <v>0</v>
      </c>
      <c r="AB996">
        <v>0</v>
      </c>
      <c r="AC996">
        <v>9</v>
      </c>
      <c r="AD996">
        <v>3</v>
      </c>
      <c r="AE996">
        <v>0</v>
      </c>
      <c r="AF996">
        <v>9</v>
      </c>
      <c r="AG996" t="s">
        <v>158</v>
      </c>
      <c r="AH996">
        <v>0</v>
      </c>
      <c r="AI996">
        <v>3</v>
      </c>
      <c r="AJ996">
        <v>1</v>
      </c>
      <c r="AK996">
        <v>0</v>
      </c>
      <c r="AL996" t="s">
        <v>1856</v>
      </c>
      <c r="AM996">
        <v>46.847290999999998</v>
      </c>
      <c r="AN996" t="s">
        <v>2021</v>
      </c>
      <c r="AO996">
        <v>-122.511635</v>
      </c>
      <c r="AP996">
        <v>100</v>
      </c>
      <c r="AQ996">
        <v>2000</v>
      </c>
      <c r="AR996" t="s">
        <v>118</v>
      </c>
      <c r="AS996">
        <v>-80</v>
      </c>
      <c r="AT996">
        <v>-7</v>
      </c>
      <c r="AU996">
        <v>-128</v>
      </c>
      <c r="BC996">
        <v>1200</v>
      </c>
      <c r="BD996">
        <v>1</v>
      </c>
      <c r="BE996" t="str">
        <f t="shared" si="47"/>
        <v xml:space="preserve">N215T   </v>
      </c>
      <c r="BF996">
        <v>1</v>
      </c>
      <c r="BH996">
        <v>0</v>
      </c>
      <c r="BI996">
        <v>0</v>
      </c>
      <c r="BJ996">
        <v>0</v>
      </c>
      <c r="BK996">
        <v>2400</v>
      </c>
      <c r="BL996">
        <v>400</v>
      </c>
      <c r="BM996" t="s">
        <v>119</v>
      </c>
      <c r="BN996">
        <v>1</v>
      </c>
      <c r="BO996">
        <v>1</v>
      </c>
      <c r="BP996">
        <v>1</v>
      </c>
      <c r="BQ996">
        <v>0</v>
      </c>
      <c r="BT996">
        <v>0</v>
      </c>
      <c r="BU996">
        <v>0</v>
      </c>
      <c r="BV996">
        <v>0</v>
      </c>
      <c r="CC996" t="str">
        <f>"18:51:16.188"</f>
        <v>18:51:16.188</v>
      </c>
      <c r="CD996" t="str">
        <f>"190850969"</f>
        <v>190850969</v>
      </c>
      <c r="CQ996">
        <v>0</v>
      </c>
      <c r="CR996">
        <v>2</v>
      </c>
      <c r="CS996">
        <v>0</v>
      </c>
      <c r="CT996">
        <v>2</v>
      </c>
      <c r="CU996">
        <v>0</v>
      </c>
      <c r="CV996">
        <v>5</v>
      </c>
      <c r="CW996" t="s">
        <v>120</v>
      </c>
      <c r="CX996">
        <v>257</v>
      </c>
      <c r="CY996">
        <v>1</v>
      </c>
      <c r="CZ996" t="s">
        <v>615</v>
      </c>
      <c r="DA996" t="s">
        <v>616</v>
      </c>
      <c r="DD996">
        <v>11115981</v>
      </c>
      <c r="DE996" t="s">
        <v>123</v>
      </c>
    </row>
    <row r="997" spans="1:109" x14ac:dyDescent="0.3">
      <c r="A997" t="str">
        <f>"18:51:17.391"</f>
        <v>18:51:17.391</v>
      </c>
      <c r="B997" t="s">
        <v>110</v>
      </c>
      <c r="C997" t="str">
        <f t="shared" si="45"/>
        <v>ffdfd3c0</v>
      </c>
      <c r="D997" t="s">
        <v>111</v>
      </c>
      <c r="E997">
        <v>18</v>
      </c>
      <c r="F997">
        <v>1018</v>
      </c>
      <c r="G997" t="s">
        <v>112</v>
      </c>
      <c r="J997" t="s">
        <v>113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R997" t="s">
        <v>114</v>
      </c>
      <c r="S997" t="str">
        <f>"18:51:17.195"</f>
        <v>18:51:17.195</v>
      </c>
      <c r="T997" t="str">
        <f>"18:51:17.094"</f>
        <v>18:51:17.094</v>
      </c>
      <c r="U997" t="str">
        <f t="shared" si="46"/>
        <v>a1cdbe</v>
      </c>
      <c r="V997">
        <v>0</v>
      </c>
      <c r="W997">
        <v>0</v>
      </c>
      <c r="X997">
        <v>1</v>
      </c>
      <c r="Y997">
        <v>0</v>
      </c>
      <c r="Z997">
        <v>0</v>
      </c>
      <c r="AB997">
        <v>0</v>
      </c>
      <c r="AC997">
        <v>9</v>
      </c>
      <c r="AD997">
        <v>3</v>
      </c>
      <c r="AE997">
        <v>0</v>
      </c>
      <c r="AF997">
        <v>9</v>
      </c>
      <c r="AG997" t="s">
        <v>158</v>
      </c>
      <c r="AH997">
        <v>0</v>
      </c>
      <c r="AI997">
        <v>3</v>
      </c>
      <c r="AJ997">
        <v>1</v>
      </c>
      <c r="AK997">
        <v>0</v>
      </c>
      <c r="AL997" t="s">
        <v>2022</v>
      </c>
      <c r="AM997">
        <v>46.847312000000002</v>
      </c>
      <c r="AN997" t="s">
        <v>2023</v>
      </c>
      <c r="AO997">
        <v>-122.512171</v>
      </c>
      <c r="AP997">
        <v>100</v>
      </c>
      <c r="AQ997">
        <v>2000</v>
      </c>
      <c r="AR997" t="s">
        <v>118</v>
      </c>
      <c r="AS997">
        <v>-80</v>
      </c>
      <c r="AT997">
        <v>-7</v>
      </c>
      <c r="AU997">
        <v>-320</v>
      </c>
      <c r="BC997">
        <v>1200</v>
      </c>
      <c r="BD997">
        <v>1</v>
      </c>
      <c r="BE997" t="str">
        <f t="shared" si="47"/>
        <v xml:space="preserve">N215T   </v>
      </c>
      <c r="BF997">
        <v>1</v>
      </c>
      <c r="BH997">
        <v>0</v>
      </c>
      <c r="BI997">
        <v>0</v>
      </c>
      <c r="BJ997">
        <v>0</v>
      </c>
      <c r="BK997">
        <v>2400</v>
      </c>
      <c r="BL997">
        <v>400</v>
      </c>
      <c r="BM997" t="s">
        <v>119</v>
      </c>
      <c r="BN997">
        <v>1</v>
      </c>
      <c r="BO997">
        <v>1</v>
      </c>
      <c r="BP997">
        <v>1</v>
      </c>
      <c r="BQ997">
        <v>0</v>
      </c>
      <c r="BT997">
        <v>0</v>
      </c>
      <c r="BU997">
        <v>0</v>
      </c>
      <c r="BV997">
        <v>0</v>
      </c>
      <c r="CC997" t="str">
        <f>"18:51:17.195"</f>
        <v>18:51:17.195</v>
      </c>
      <c r="CD997" t="str">
        <f>"195634570"</f>
        <v>195634570</v>
      </c>
      <c r="CQ997">
        <v>0</v>
      </c>
      <c r="CR997">
        <v>2</v>
      </c>
      <c r="CS997">
        <v>0</v>
      </c>
      <c r="CT997">
        <v>2</v>
      </c>
      <c r="CU997">
        <v>0</v>
      </c>
      <c r="CV997">
        <v>5</v>
      </c>
      <c r="CW997" t="s">
        <v>120</v>
      </c>
      <c r="CX997">
        <v>261</v>
      </c>
      <c r="CY997">
        <v>2</v>
      </c>
      <c r="CZ997" t="s">
        <v>121</v>
      </c>
      <c r="DA997" t="s">
        <v>122</v>
      </c>
      <c r="DD997">
        <v>14785797</v>
      </c>
      <c r="DE997" t="s">
        <v>123</v>
      </c>
    </row>
    <row r="998" spans="1:109" x14ac:dyDescent="0.3">
      <c r="A998" t="str">
        <f>"18:51:18.297"</f>
        <v>18:51:18.297</v>
      </c>
      <c r="B998" t="s">
        <v>110</v>
      </c>
      <c r="C998" t="str">
        <f t="shared" si="45"/>
        <v>ffdfd3c0</v>
      </c>
      <c r="D998" t="s">
        <v>111</v>
      </c>
      <c r="E998">
        <v>18</v>
      </c>
      <c r="F998">
        <v>1018</v>
      </c>
      <c r="G998" t="s">
        <v>112</v>
      </c>
      <c r="J998" t="s">
        <v>113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R998" t="s">
        <v>114</v>
      </c>
      <c r="S998" t="str">
        <f>"18:51:18.094"</f>
        <v>18:51:18.094</v>
      </c>
      <c r="T998" t="str">
        <f>"18:51:17.992"</f>
        <v>18:51:17.992</v>
      </c>
      <c r="U998" t="str">
        <f t="shared" si="46"/>
        <v>a1cdbe</v>
      </c>
      <c r="V998">
        <v>0</v>
      </c>
      <c r="W998">
        <v>0</v>
      </c>
      <c r="X998">
        <v>1</v>
      </c>
      <c r="Y998">
        <v>0</v>
      </c>
      <c r="Z998">
        <v>0</v>
      </c>
      <c r="AB998">
        <v>0</v>
      </c>
      <c r="AC998">
        <v>9</v>
      </c>
      <c r="AD998">
        <v>3</v>
      </c>
      <c r="AE998">
        <v>0</v>
      </c>
      <c r="AF998">
        <v>9</v>
      </c>
      <c r="AG998" t="s">
        <v>158</v>
      </c>
      <c r="AH998">
        <v>0</v>
      </c>
      <c r="AI998">
        <v>3</v>
      </c>
      <c r="AJ998">
        <v>1</v>
      </c>
      <c r="AK998">
        <v>0</v>
      </c>
      <c r="AL998" t="s">
        <v>1993</v>
      </c>
      <c r="AM998">
        <v>46.847270000000002</v>
      </c>
      <c r="AN998" t="s">
        <v>2024</v>
      </c>
      <c r="AO998">
        <v>-122.51262199999999</v>
      </c>
      <c r="AP998">
        <v>100</v>
      </c>
      <c r="AQ998">
        <v>2000</v>
      </c>
      <c r="AR998" t="s">
        <v>118</v>
      </c>
      <c r="AS998">
        <v>-81</v>
      </c>
      <c r="AT998">
        <v>-7</v>
      </c>
      <c r="AU998">
        <v>-256</v>
      </c>
      <c r="BC998">
        <v>1200</v>
      </c>
      <c r="BD998">
        <v>1</v>
      </c>
      <c r="BE998" t="str">
        <f t="shared" si="47"/>
        <v xml:space="preserve">N215T   </v>
      </c>
      <c r="BF998">
        <v>1</v>
      </c>
      <c r="BH998">
        <v>0</v>
      </c>
      <c r="BI998">
        <v>0</v>
      </c>
      <c r="BJ998">
        <v>0</v>
      </c>
      <c r="BK998">
        <v>2375</v>
      </c>
      <c r="BL998">
        <v>375</v>
      </c>
      <c r="BM998" t="s">
        <v>119</v>
      </c>
      <c r="BN998">
        <v>1</v>
      </c>
      <c r="BO998">
        <v>1</v>
      </c>
      <c r="BP998">
        <v>1</v>
      </c>
      <c r="BQ998">
        <v>0</v>
      </c>
      <c r="BT998">
        <v>0</v>
      </c>
      <c r="BU998">
        <v>0</v>
      </c>
      <c r="BV998">
        <v>0</v>
      </c>
      <c r="CC998" t="str">
        <f>"18:51:18.094"</f>
        <v>18:51:18.094</v>
      </c>
      <c r="CD998" t="str">
        <f>"095545959"</f>
        <v>095545959</v>
      </c>
      <c r="CQ998">
        <v>0</v>
      </c>
      <c r="CR998">
        <v>2</v>
      </c>
      <c r="CS998">
        <v>0</v>
      </c>
      <c r="CT998">
        <v>2</v>
      </c>
      <c r="CU998">
        <v>0</v>
      </c>
      <c r="CV998">
        <v>5</v>
      </c>
      <c r="CW998" t="s">
        <v>120</v>
      </c>
      <c r="CX998">
        <v>261</v>
      </c>
      <c r="CY998">
        <v>1</v>
      </c>
      <c r="CZ998" t="s">
        <v>121</v>
      </c>
      <c r="DA998" t="s">
        <v>122</v>
      </c>
      <c r="DD998">
        <v>3712761</v>
      </c>
      <c r="DE998" t="s">
        <v>123</v>
      </c>
    </row>
    <row r="999" spans="1:109" x14ac:dyDescent="0.3">
      <c r="A999" t="str">
        <f>"18:51:19.453"</f>
        <v>18:51:19.453</v>
      </c>
      <c r="B999" t="s">
        <v>110</v>
      </c>
      <c r="C999" t="str">
        <f t="shared" si="45"/>
        <v>ffdfd3c0</v>
      </c>
      <c r="D999" t="s">
        <v>111</v>
      </c>
      <c r="E999">
        <v>18</v>
      </c>
      <c r="F999">
        <v>1018</v>
      </c>
      <c r="G999" t="s">
        <v>112</v>
      </c>
      <c r="J999" t="s">
        <v>113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R999" t="s">
        <v>114</v>
      </c>
      <c r="S999" t="str">
        <f>"18:51:19.219"</f>
        <v>18:51:19.219</v>
      </c>
      <c r="T999" t="str">
        <f>"18:51:19.016"</f>
        <v>18:51:19.016</v>
      </c>
      <c r="U999" t="str">
        <f t="shared" si="46"/>
        <v>a1cdbe</v>
      </c>
      <c r="V999">
        <v>0</v>
      </c>
      <c r="W999">
        <v>0</v>
      </c>
      <c r="X999">
        <v>1</v>
      </c>
      <c r="Y999">
        <v>0</v>
      </c>
      <c r="Z999">
        <v>0</v>
      </c>
      <c r="AB999">
        <v>0</v>
      </c>
      <c r="AC999">
        <v>9</v>
      </c>
      <c r="AD999">
        <v>3</v>
      </c>
      <c r="AE999">
        <v>0</v>
      </c>
      <c r="AF999">
        <v>9</v>
      </c>
      <c r="AG999" t="s">
        <v>158</v>
      </c>
      <c r="AH999">
        <v>0</v>
      </c>
      <c r="AI999">
        <v>3</v>
      </c>
      <c r="AJ999">
        <v>1</v>
      </c>
      <c r="AK999">
        <v>0</v>
      </c>
      <c r="AL999" t="s">
        <v>2025</v>
      </c>
      <c r="AM999">
        <v>46.847205000000002</v>
      </c>
      <c r="AN999" t="s">
        <v>2026</v>
      </c>
      <c r="AO999">
        <v>-122.513244</v>
      </c>
      <c r="AP999">
        <v>100</v>
      </c>
      <c r="AQ999">
        <v>2000</v>
      </c>
      <c r="AR999" t="s">
        <v>118</v>
      </c>
      <c r="AS999">
        <v>-81</v>
      </c>
      <c r="AT999">
        <v>-6</v>
      </c>
      <c r="AU999">
        <v>-256</v>
      </c>
      <c r="BC999">
        <v>1200</v>
      </c>
      <c r="BD999">
        <v>1</v>
      </c>
      <c r="BE999" t="str">
        <f t="shared" si="47"/>
        <v xml:space="preserve">N215T   </v>
      </c>
      <c r="BF999">
        <v>1</v>
      </c>
      <c r="BH999">
        <v>0</v>
      </c>
      <c r="BI999">
        <v>0</v>
      </c>
      <c r="BJ999">
        <v>0</v>
      </c>
      <c r="BK999">
        <v>2375</v>
      </c>
      <c r="BL999">
        <v>375</v>
      </c>
      <c r="BM999" t="s">
        <v>119</v>
      </c>
      <c r="BN999">
        <v>1</v>
      </c>
      <c r="BO999">
        <v>1</v>
      </c>
      <c r="BP999">
        <v>1</v>
      </c>
      <c r="BQ999">
        <v>0</v>
      </c>
      <c r="BT999">
        <v>0</v>
      </c>
      <c r="BU999">
        <v>0</v>
      </c>
      <c r="BV999">
        <v>0</v>
      </c>
      <c r="CC999" t="str">
        <f>"18:51:19.219"</f>
        <v>18:51:19.219</v>
      </c>
      <c r="CD999" t="str">
        <f>"220435156"</f>
        <v>220435156</v>
      </c>
      <c r="CQ999">
        <v>0</v>
      </c>
      <c r="CR999">
        <v>2</v>
      </c>
      <c r="CS999">
        <v>0</v>
      </c>
      <c r="CT999">
        <v>2</v>
      </c>
      <c r="CU999">
        <v>0</v>
      </c>
      <c r="CV999">
        <v>5</v>
      </c>
      <c r="CW999" t="s">
        <v>120</v>
      </c>
      <c r="CX999">
        <v>261</v>
      </c>
      <c r="CY999">
        <v>1</v>
      </c>
      <c r="CZ999" t="s">
        <v>121</v>
      </c>
      <c r="DA999" t="s">
        <v>122</v>
      </c>
      <c r="DD999">
        <v>3713467</v>
      </c>
      <c r="DE999" t="s">
        <v>123</v>
      </c>
    </row>
    <row r="1000" spans="1:109" x14ac:dyDescent="0.3">
      <c r="A1000" t="str">
        <f>"18:51:20.508"</f>
        <v>18:51:20.508</v>
      </c>
      <c r="B1000" t="s">
        <v>110</v>
      </c>
      <c r="C1000" t="str">
        <f t="shared" si="45"/>
        <v>ffdfd3c0</v>
      </c>
      <c r="D1000" t="s">
        <v>111</v>
      </c>
      <c r="E1000">
        <v>18</v>
      </c>
      <c r="F1000">
        <v>1018</v>
      </c>
      <c r="G1000" t="s">
        <v>112</v>
      </c>
      <c r="J1000" t="s">
        <v>113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R1000" t="s">
        <v>114</v>
      </c>
      <c r="S1000" t="str">
        <f>"18:51:20.266"</f>
        <v>18:51:20.266</v>
      </c>
      <c r="T1000" t="str">
        <f>"18:51:20.164"</f>
        <v>18:51:20.164</v>
      </c>
      <c r="U1000" t="str">
        <f t="shared" si="46"/>
        <v>a1cdbe</v>
      </c>
      <c r="V1000">
        <v>0</v>
      </c>
      <c r="W1000">
        <v>0</v>
      </c>
      <c r="X1000">
        <v>1</v>
      </c>
      <c r="Y1000">
        <v>0</v>
      </c>
      <c r="Z1000">
        <v>0</v>
      </c>
      <c r="AB1000">
        <v>0</v>
      </c>
      <c r="AC1000">
        <v>9</v>
      </c>
      <c r="AD1000">
        <v>3</v>
      </c>
      <c r="AE1000">
        <v>0</v>
      </c>
      <c r="AF1000">
        <v>9</v>
      </c>
      <c r="AG1000" t="s">
        <v>158</v>
      </c>
      <c r="AH1000">
        <v>0</v>
      </c>
      <c r="AI1000">
        <v>3</v>
      </c>
      <c r="AJ1000">
        <v>1</v>
      </c>
      <c r="AK1000">
        <v>0</v>
      </c>
      <c r="AL1000" t="s">
        <v>1991</v>
      </c>
      <c r="AM1000">
        <v>46.847183999999999</v>
      </c>
      <c r="AN1000" t="s">
        <v>2027</v>
      </c>
      <c r="AO1000">
        <v>-122.513824</v>
      </c>
      <c r="AP1000">
        <v>100</v>
      </c>
      <c r="AQ1000">
        <v>2000</v>
      </c>
      <c r="AR1000" t="s">
        <v>118</v>
      </c>
      <c r="AS1000">
        <v>-82</v>
      </c>
      <c r="AT1000">
        <v>-5</v>
      </c>
      <c r="AU1000">
        <v>-256</v>
      </c>
      <c r="BC1000">
        <v>1200</v>
      </c>
      <c r="BD1000">
        <v>1</v>
      </c>
      <c r="BE1000" t="str">
        <f t="shared" si="47"/>
        <v xml:space="preserve">N215T   </v>
      </c>
      <c r="BF1000">
        <v>1</v>
      </c>
      <c r="BH1000">
        <v>0</v>
      </c>
      <c r="BI1000">
        <v>0</v>
      </c>
      <c r="BJ1000">
        <v>0</v>
      </c>
      <c r="BK1000">
        <v>2375</v>
      </c>
      <c r="BL1000">
        <v>375</v>
      </c>
      <c r="BM1000" t="s">
        <v>119</v>
      </c>
      <c r="BN1000">
        <v>1</v>
      </c>
      <c r="BO1000">
        <v>1</v>
      </c>
      <c r="BP1000">
        <v>1</v>
      </c>
      <c r="BQ1000">
        <v>0</v>
      </c>
      <c r="BT1000">
        <v>0</v>
      </c>
      <c r="BU1000">
        <v>0</v>
      </c>
      <c r="BV1000">
        <v>0</v>
      </c>
      <c r="CC1000" t="str">
        <f>"18:51:20.273"</f>
        <v>18:51:20.273</v>
      </c>
      <c r="CD1000" t="str">
        <f>"270331731"</f>
        <v>270331731</v>
      </c>
      <c r="CQ1000">
        <v>0</v>
      </c>
      <c r="CR1000">
        <v>2</v>
      </c>
      <c r="CS1000">
        <v>0</v>
      </c>
      <c r="CT1000">
        <v>2</v>
      </c>
      <c r="CU1000">
        <v>0</v>
      </c>
      <c r="CV1000">
        <v>6</v>
      </c>
      <c r="CW1000" t="s">
        <v>120</v>
      </c>
      <c r="CX1000">
        <v>261</v>
      </c>
      <c r="CY1000">
        <v>2</v>
      </c>
      <c r="CZ1000" t="s">
        <v>121</v>
      </c>
      <c r="DA1000" t="s">
        <v>122</v>
      </c>
      <c r="DD1000">
        <v>14787560</v>
      </c>
      <c r="DE1000" t="s">
        <v>123</v>
      </c>
    </row>
    <row r="1001" spans="1:109" x14ac:dyDescent="0.3">
      <c r="A1001" t="str">
        <f>"18:51:21.563"</f>
        <v>18:51:21.563</v>
      </c>
      <c r="B1001" t="s">
        <v>110</v>
      </c>
      <c r="C1001" t="str">
        <f t="shared" si="45"/>
        <v>ffdfd3c0</v>
      </c>
      <c r="D1001" t="s">
        <v>111</v>
      </c>
      <c r="E1001">
        <v>18</v>
      </c>
      <c r="F1001">
        <v>1018</v>
      </c>
      <c r="G1001" t="s">
        <v>112</v>
      </c>
      <c r="J1001" t="s">
        <v>113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R1001" t="s">
        <v>114</v>
      </c>
      <c r="S1001" t="str">
        <f>"18:51:21.313"</f>
        <v>18:51:21.313</v>
      </c>
      <c r="T1001" t="str">
        <f>"18:51:21.211"</f>
        <v>18:51:21.211</v>
      </c>
      <c r="U1001" t="str">
        <f t="shared" si="46"/>
        <v>a1cdbe</v>
      </c>
      <c r="V1001">
        <v>0</v>
      </c>
      <c r="W1001">
        <v>0</v>
      </c>
      <c r="X1001">
        <v>1</v>
      </c>
      <c r="Y1001">
        <v>0</v>
      </c>
      <c r="Z1001">
        <v>0</v>
      </c>
      <c r="AB1001">
        <v>0</v>
      </c>
      <c r="AC1001">
        <v>9</v>
      </c>
      <c r="AD1001">
        <v>3</v>
      </c>
      <c r="AE1001">
        <v>0</v>
      </c>
      <c r="AF1001">
        <v>9</v>
      </c>
      <c r="AG1001" t="s">
        <v>158</v>
      </c>
      <c r="AH1001">
        <v>0</v>
      </c>
      <c r="AI1001">
        <v>3</v>
      </c>
      <c r="AJ1001">
        <v>1</v>
      </c>
      <c r="AK1001">
        <v>0</v>
      </c>
      <c r="AL1001" t="s">
        <v>1858</v>
      </c>
      <c r="AM1001">
        <v>46.847161999999997</v>
      </c>
      <c r="AN1001" t="s">
        <v>2028</v>
      </c>
      <c r="AO1001">
        <v>-122.51444600000001</v>
      </c>
      <c r="AP1001">
        <v>100</v>
      </c>
      <c r="AQ1001">
        <v>2000</v>
      </c>
      <c r="AR1001" t="s">
        <v>118</v>
      </c>
      <c r="AS1001">
        <v>-82</v>
      </c>
      <c r="AT1001">
        <v>-3</v>
      </c>
      <c r="AU1001">
        <v>64</v>
      </c>
      <c r="BC1001">
        <v>1200</v>
      </c>
      <c r="BD1001">
        <v>1</v>
      </c>
      <c r="BE1001" t="str">
        <f t="shared" si="47"/>
        <v xml:space="preserve">N215T   </v>
      </c>
      <c r="BF1001">
        <v>1</v>
      </c>
      <c r="BH1001">
        <v>0</v>
      </c>
      <c r="BI1001">
        <v>0</v>
      </c>
      <c r="BJ1001">
        <v>0</v>
      </c>
      <c r="BK1001">
        <v>2375</v>
      </c>
      <c r="BL1001">
        <v>375</v>
      </c>
      <c r="BM1001" t="s">
        <v>119</v>
      </c>
      <c r="BN1001">
        <v>1</v>
      </c>
      <c r="BO1001">
        <v>1</v>
      </c>
      <c r="BP1001">
        <v>1</v>
      </c>
      <c r="BQ1001">
        <v>0</v>
      </c>
      <c r="BT1001">
        <v>0</v>
      </c>
      <c r="BU1001">
        <v>0</v>
      </c>
      <c r="BV1001">
        <v>0</v>
      </c>
      <c r="CC1001" t="str">
        <f>"18:51:21.320"</f>
        <v>18:51:21.320</v>
      </c>
      <c r="CD1001" t="str">
        <f>"320228322"</f>
        <v>320228322</v>
      </c>
      <c r="CQ1001">
        <v>0</v>
      </c>
      <c r="CR1001">
        <v>2</v>
      </c>
      <c r="CS1001">
        <v>0</v>
      </c>
      <c r="CT1001">
        <v>2</v>
      </c>
      <c r="CU1001">
        <v>0</v>
      </c>
      <c r="CV1001">
        <v>6</v>
      </c>
      <c r="CW1001" t="s">
        <v>120</v>
      </c>
      <c r="CX1001">
        <v>261</v>
      </c>
      <c r="CY1001">
        <v>2</v>
      </c>
      <c r="CZ1001" t="s">
        <v>121</v>
      </c>
      <c r="DA1001" t="s">
        <v>122</v>
      </c>
      <c r="DD1001">
        <v>14788194</v>
      </c>
      <c r="DE1001" t="s">
        <v>123</v>
      </c>
    </row>
    <row r="1002" spans="1:109" x14ac:dyDescent="0.3">
      <c r="A1002" t="str">
        <f>"18:51:22.523"</f>
        <v>18:51:22.523</v>
      </c>
      <c r="B1002" t="s">
        <v>110</v>
      </c>
      <c r="C1002" t="str">
        <f t="shared" si="45"/>
        <v>ffdfd3c0</v>
      </c>
      <c r="D1002" t="s">
        <v>111</v>
      </c>
      <c r="E1002">
        <v>18</v>
      </c>
      <c r="F1002">
        <v>1018</v>
      </c>
      <c r="G1002" t="s">
        <v>112</v>
      </c>
      <c r="J1002" t="s">
        <v>113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R1002" t="s">
        <v>114</v>
      </c>
      <c r="S1002" t="str">
        <f>"18:51:22.289"</f>
        <v>18:51:22.289</v>
      </c>
      <c r="T1002" t="str">
        <f>"18:51:22.188"</f>
        <v>18:51:22.188</v>
      </c>
      <c r="U1002" t="str">
        <f t="shared" si="46"/>
        <v>a1cdbe</v>
      </c>
      <c r="V1002">
        <v>0</v>
      </c>
      <c r="W1002">
        <v>0</v>
      </c>
      <c r="X1002">
        <v>1</v>
      </c>
      <c r="Y1002">
        <v>0</v>
      </c>
      <c r="Z1002">
        <v>0</v>
      </c>
      <c r="AB1002">
        <v>0</v>
      </c>
      <c r="AC1002">
        <v>9</v>
      </c>
      <c r="AD1002">
        <v>3</v>
      </c>
      <c r="AE1002">
        <v>0</v>
      </c>
      <c r="AF1002">
        <v>9</v>
      </c>
      <c r="AG1002" t="s">
        <v>158</v>
      </c>
      <c r="AH1002">
        <v>0</v>
      </c>
      <c r="AI1002">
        <v>3</v>
      </c>
      <c r="AJ1002">
        <v>1</v>
      </c>
      <c r="AK1002">
        <v>0</v>
      </c>
      <c r="AL1002" t="s">
        <v>1991</v>
      </c>
      <c r="AM1002">
        <v>46.847183999999999</v>
      </c>
      <c r="AN1002" t="s">
        <v>2029</v>
      </c>
      <c r="AO1002">
        <v>-122.514939</v>
      </c>
      <c r="AP1002">
        <v>100</v>
      </c>
      <c r="AQ1002">
        <v>2000</v>
      </c>
      <c r="AR1002" t="s">
        <v>118</v>
      </c>
      <c r="AS1002">
        <v>-82</v>
      </c>
      <c r="AT1002">
        <v>-3</v>
      </c>
      <c r="AU1002">
        <v>192</v>
      </c>
      <c r="BC1002">
        <v>1200</v>
      </c>
      <c r="BD1002">
        <v>1</v>
      </c>
      <c r="BE1002" t="str">
        <f t="shared" si="47"/>
        <v xml:space="preserve">N215T   </v>
      </c>
      <c r="BF1002">
        <v>1</v>
      </c>
      <c r="BH1002">
        <v>0</v>
      </c>
      <c r="BI1002">
        <v>0</v>
      </c>
      <c r="BJ1002">
        <v>0</v>
      </c>
      <c r="BK1002">
        <v>2375</v>
      </c>
      <c r="BL1002">
        <v>375</v>
      </c>
      <c r="BM1002" t="s">
        <v>119</v>
      </c>
      <c r="BN1002">
        <v>1</v>
      </c>
      <c r="BO1002">
        <v>1</v>
      </c>
      <c r="BP1002">
        <v>1</v>
      </c>
      <c r="BQ1002">
        <v>0</v>
      </c>
      <c r="BT1002">
        <v>0</v>
      </c>
      <c r="BU1002">
        <v>0</v>
      </c>
      <c r="BV1002">
        <v>0</v>
      </c>
      <c r="CC1002" t="str">
        <f>"18:51:22.297"</f>
        <v>18:51:22.297</v>
      </c>
      <c r="CD1002" t="str">
        <f>"295132279"</f>
        <v>295132279</v>
      </c>
      <c r="CQ1002">
        <v>0</v>
      </c>
      <c r="CR1002">
        <v>2</v>
      </c>
      <c r="CS1002">
        <v>0</v>
      </c>
      <c r="CT1002">
        <v>2</v>
      </c>
      <c r="CU1002">
        <v>0</v>
      </c>
      <c r="CV1002">
        <v>5</v>
      </c>
      <c r="CW1002" t="s">
        <v>120</v>
      </c>
      <c r="CX1002">
        <v>261</v>
      </c>
      <c r="CY1002">
        <v>2</v>
      </c>
      <c r="CZ1002" t="s">
        <v>121</v>
      </c>
      <c r="DA1002" t="s">
        <v>122</v>
      </c>
      <c r="DD1002">
        <v>14788703</v>
      </c>
      <c r="DE1002" t="s">
        <v>123</v>
      </c>
    </row>
    <row r="1003" spans="1:109" x14ac:dyDescent="0.3">
      <c r="A1003" t="str">
        <f>"18:51:23.422"</f>
        <v>18:51:23.422</v>
      </c>
      <c r="B1003" t="s">
        <v>110</v>
      </c>
      <c r="C1003" t="str">
        <f t="shared" si="45"/>
        <v>ffdfd3c0</v>
      </c>
      <c r="D1003" t="s">
        <v>111</v>
      </c>
      <c r="E1003">
        <v>18</v>
      </c>
      <c r="F1003">
        <v>1018</v>
      </c>
      <c r="G1003" t="s">
        <v>112</v>
      </c>
      <c r="J1003" t="s">
        <v>113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R1003" t="s">
        <v>114</v>
      </c>
      <c r="S1003" t="str">
        <f>"18:51:23.219"</f>
        <v>18:51:23.219</v>
      </c>
      <c r="T1003" t="str">
        <f>"18:51:22.719"</f>
        <v>18:51:22.719</v>
      </c>
      <c r="U1003" t="str">
        <f t="shared" si="46"/>
        <v>a1cdbe</v>
      </c>
      <c r="V1003">
        <v>0</v>
      </c>
      <c r="W1003">
        <v>0</v>
      </c>
      <c r="X1003">
        <v>1</v>
      </c>
      <c r="Y1003">
        <v>0</v>
      </c>
      <c r="Z1003">
        <v>0</v>
      </c>
      <c r="AB1003">
        <v>0</v>
      </c>
      <c r="AC1003">
        <v>9</v>
      </c>
      <c r="AD1003">
        <v>3</v>
      </c>
      <c r="AE1003">
        <v>0</v>
      </c>
      <c r="AF1003">
        <v>9</v>
      </c>
      <c r="AG1003" t="s">
        <v>158</v>
      </c>
      <c r="AH1003">
        <v>0</v>
      </c>
      <c r="AI1003">
        <v>3</v>
      </c>
      <c r="AJ1003">
        <v>1</v>
      </c>
      <c r="AK1003">
        <v>0</v>
      </c>
      <c r="AL1003" t="s">
        <v>1858</v>
      </c>
      <c r="AM1003">
        <v>46.847161999999997</v>
      </c>
      <c r="AN1003" t="s">
        <v>2030</v>
      </c>
      <c r="AO1003">
        <v>-122.515519</v>
      </c>
      <c r="AP1003">
        <v>100</v>
      </c>
      <c r="AQ1003">
        <v>2000</v>
      </c>
      <c r="AR1003" t="s">
        <v>118</v>
      </c>
      <c r="AS1003">
        <v>-83</v>
      </c>
      <c r="AT1003">
        <v>-3</v>
      </c>
      <c r="AU1003">
        <v>192</v>
      </c>
      <c r="BC1003">
        <v>1200</v>
      </c>
      <c r="BD1003">
        <v>1</v>
      </c>
      <c r="BE1003" t="str">
        <f t="shared" si="47"/>
        <v xml:space="preserve">N215T   </v>
      </c>
      <c r="BF1003">
        <v>1</v>
      </c>
      <c r="BH1003">
        <v>0</v>
      </c>
      <c r="BI1003">
        <v>0</v>
      </c>
      <c r="BJ1003">
        <v>0</v>
      </c>
      <c r="BK1003">
        <v>2375</v>
      </c>
      <c r="BL1003">
        <v>375</v>
      </c>
      <c r="BM1003" t="s">
        <v>119</v>
      </c>
      <c r="BN1003">
        <v>1</v>
      </c>
      <c r="BO1003">
        <v>1</v>
      </c>
      <c r="BP1003">
        <v>1</v>
      </c>
      <c r="BQ1003">
        <v>0</v>
      </c>
      <c r="BT1003">
        <v>0</v>
      </c>
      <c r="BU1003">
        <v>0</v>
      </c>
      <c r="BV1003">
        <v>0</v>
      </c>
      <c r="CC1003" t="str">
        <f>"18:51:23.227"</f>
        <v>18:51:23.227</v>
      </c>
      <c r="CD1003" t="str">
        <f>"225040692"</f>
        <v>225040692</v>
      </c>
      <c r="CQ1003">
        <v>0</v>
      </c>
      <c r="CR1003">
        <v>2</v>
      </c>
      <c r="CS1003">
        <v>0</v>
      </c>
      <c r="CT1003">
        <v>2</v>
      </c>
      <c r="CU1003">
        <v>0</v>
      </c>
      <c r="CV1003">
        <v>5</v>
      </c>
      <c r="CW1003" t="s">
        <v>120</v>
      </c>
      <c r="CX1003">
        <v>261</v>
      </c>
      <c r="CY1003">
        <v>2</v>
      </c>
      <c r="CZ1003" t="s">
        <v>121</v>
      </c>
      <c r="DA1003" t="s">
        <v>122</v>
      </c>
      <c r="DD1003">
        <v>14789219</v>
      </c>
      <c r="DE1003" t="s">
        <v>123</v>
      </c>
    </row>
    <row r="1004" spans="1:109" x14ac:dyDescent="0.3">
      <c r="A1004" t="str">
        <f>"18:51:24.383"</f>
        <v>18:51:24.383</v>
      </c>
      <c r="B1004" t="s">
        <v>110</v>
      </c>
      <c r="C1004" t="str">
        <f t="shared" si="45"/>
        <v>ffdfd3c0</v>
      </c>
      <c r="D1004" t="s">
        <v>111</v>
      </c>
      <c r="E1004">
        <v>18</v>
      </c>
      <c r="F1004">
        <v>1018</v>
      </c>
      <c r="G1004" t="s">
        <v>112</v>
      </c>
      <c r="J1004" t="s">
        <v>113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R1004" t="s">
        <v>114</v>
      </c>
      <c r="S1004" t="str">
        <f>"18:51:24.164"</f>
        <v>18:51:24.164</v>
      </c>
      <c r="T1004" t="str">
        <f>"18:51:23.766"</f>
        <v>18:51:23.766</v>
      </c>
      <c r="U1004" t="str">
        <f t="shared" si="46"/>
        <v>a1cdbe</v>
      </c>
      <c r="V1004">
        <v>0</v>
      </c>
      <c r="W1004">
        <v>0</v>
      </c>
      <c r="X1004">
        <v>1</v>
      </c>
      <c r="Y1004">
        <v>0</v>
      </c>
      <c r="Z1004">
        <v>0</v>
      </c>
      <c r="AB1004">
        <v>0</v>
      </c>
      <c r="AC1004">
        <v>9</v>
      </c>
      <c r="AD1004">
        <v>3</v>
      </c>
      <c r="AE1004">
        <v>0</v>
      </c>
      <c r="AF1004">
        <v>9</v>
      </c>
      <c r="AG1004" t="s">
        <v>158</v>
      </c>
      <c r="AH1004">
        <v>0</v>
      </c>
      <c r="AI1004">
        <v>3</v>
      </c>
      <c r="AJ1004">
        <v>1</v>
      </c>
      <c r="AK1004">
        <v>0</v>
      </c>
      <c r="AL1004" t="s">
        <v>2031</v>
      </c>
      <c r="AM1004">
        <v>46.847141000000001</v>
      </c>
      <c r="AN1004" t="s">
        <v>2032</v>
      </c>
      <c r="AO1004">
        <v>-122.516034</v>
      </c>
      <c r="AP1004">
        <v>100</v>
      </c>
      <c r="AQ1004">
        <v>2000</v>
      </c>
      <c r="AR1004" t="s">
        <v>118</v>
      </c>
      <c r="AS1004">
        <v>-83</v>
      </c>
      <c r="AT1004">
        <v>-4</v>
      </c>
      <c r="AU1004">
        <v>192</v>
      </c>
      <c r="BC1004">
        <v>1200</v>
      </c>
      <c r="BD1004">
        <v>1</v>
      </c>
      <c r="BE1004" t="str">
        <f t="shared" si="47"/>
        <v xml:space="preserve">N215T   </v>
      </c>
      <c r="BF1004">
        <v>1</v>
      </c>
      <c r="BH1004">
        <v>0</v>
      </c>
      <c r="BI1004">
        <v>0</v>
      </c>
      <c r="BJ1004">
        <v>0</v>
      </c>
      <c r="BK1004">
        <v>2375</v>
      </c>
      <c r="BL1004">
        <v>375</v>
      </c>
      <c r="BM1004" t="s">
        <v>119</v>
      </c>
      <c r="BN1004">
        <v>1</v>
      </c>
      <c r="BO1004">
        <v>1</v>
      </c>
      <c r="BP1004">
        <v>1</v>
      </c>
      <c r="BQ1004">
        <v>0</v>
      </c>
      <c r="BT1004">
        <v>0</v>
      </c>
      <c r="BU1004">
        <v>0</v>
      </c>
      <c r="BV1004">
        <v>0</v>
      </c>
      <c r="CC1004" t="str">
        <f>"18:51:24.172"</f>
        <v>18:51:24.172</v>
      </c>
      <c r="CD1004" t="str">
        <f>"169947629"</f>
        <v>169947629</v>
      </c>
      <c r="CQ1004">
        <v>0</v>
      </c>
      <c r="CR1004">
        <v>2</v>
      </c>
      <c r="CS1004">
        <v>0</v>
      </c>
      <c r="CT1004">
        <v>2</v>
      </c>
      <c r="CU1004">
        <v>0</v>
      </c>
      <c r="CV1004">
        <v>5</v>
      </c>
      <c r="CW1004" t="s">
        <v>120</v>
      </c>
      <c r="CX1004">
        <v>261</v>
      </c>
      <c r="CY1004">
        <v>2</v>
      </c>
      <c r="CZ1004" t="s">
        <v>121</v>
      </c>
      <c r="DA1004" t="s">
        <v>122</v>
      </c>
      <c r="DD1004">
        <v>14789745</v>
      </c>
      <c r="DE1004" t="s">
        <v>123</v>
      </c>
    </row>
    <row r="1005" spans="1:109" x14ac:dyDescent="0.3">
      <c r="A1005" t="str">
        <f>"18:51:25.336"</f>
        <v>18:51:25.336</v>
      </c>
      <c r="B1005" t="s">
        <v>110</v>
      </c>
      <c r="C1005" t="str">
        <f t="shared" si="45"/>
        <v>ffdfd3c0</v>
      </c>
      <c r="D1005" t="s">
        <v>111</v>
      </c>
      <c r="E1005">
        <v>18</v>
      </c>
      <c r="F1005">
        <v>1018</v>
      </c>
      <c r="G1005" t="s">
        <v>112</v>
      </c>
      <c r="J1005" t="s">
        <v>113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R1005" t="s">
        <v>114</v>
      </c>
      <c r="S1005" t="str">
        <f>"18:51:25.094"</f>
        <v>18:51:25.094</v>
      </c>
      <c r="T1005" t="str">
        <f>"18:51:24.695"</f>
        <v>18:51:24.695</v>
      </c>
      <c r="U1005" t="str">
        <f t="shared" si="46"/>
        <v>a1cdbe</v>
      </c>
      <c r="V1005">
        <v>0</v>
      </c>
      <c r="W1005">
        <v>0</v>
      </c>
      <c r="X1005">
        <v>1</v>
      </c>
      <c r="Y1005">
        <v>0</v>
      </c>
      <c r="Z1005">
        <v>0</v>
      </c>
      <c r="AB1005">
        <v>0</v>
      </c>
      <c r="AC1005">
        <v>9</v>
      </c>
      <c r="AD1005">
        <v>3</v>
      </c>
      <c r="AE1005">
        <v>0</v>
      </c>
      <c r="AF1005">
        <v>9</v>
      </c>
      <c r="AG1005" t="s">
        <v>158</v>
      </c>
      <c r="AH1005">
        <v>0</v>
      </c>
      <c r="AI1005">
        <v>3</v>
      </c>
      <c r="AJ1005">
        <v>1</v>
      </c>
      <c r="AK1005">
        <v>0</v>
      </c>
      <c r="AL1005" t="s">
        <v>1988</v>
      </c>
      <c r="AM1005">
        <v>46.847098000000003</v>
      </c>
      <c r="AN1005" t="s">
        <v>2033</v>
      </c>
      <c r="AO1005">
        <v>-122.51650600000001</v>
      </c>
      <c r="AP1005">
        <v>100</v>
      </c>
      <c r="AQ1005">
        <v>2000</v>
      </c>
      <c r="AR1005" t="s">
        <v>118</v>
      </c>
      <c r="AS1005">
        <v>-83</v>
      </c>
      <c r="AT1005">
        <v>-5</v>
      </c>
      <c r="AU1005">
        <v>-64</v>
      </c>
      <c r="BC1005">
        <v>1200</v>
      </c>
      <c r="BD1005">
        <v>1</v>
      </c>
      <c r="BE1005" t="str">
        <f t="shared" si="47"/>
        <v xml:space="preserve">N215T   </v>
      </c>
      <c r="BF1005">
        <v>1</v>
      </c>
      <c r="BH1005">
        <v>0</v>
      </c>
      <c r="BI1005">
        <v>0</v>
      </c>
      <c r="BJ1005">
        <v>0</v>
      </c>
      <c r="BK1005">
        <v>2375</v>
      </c>
      <c r="BL1005">
        <v>375</v>
      </c>
      <c r="BM1005" t="s">
        <v>119</v>
      </c>
      <c r="BN1005">
        <v>1</v>
      </c>
      <c r="BO1005">
        <v>1</v>
      </c>
      <c r="BP1005">
        <v>1</v>
      </c>
      <c r="BQ1005">
        <v>0</v>
      </c>
      <c r="BT1005">
        <v>0</v>
      </c>
      <c r="BU1005">
        <v>0</v>
      </c>
      <c r="BV1005">
        <v>0</v>
      </c>
      <c r="CC1005" t="str">
        <f>"18:51:25.102"</f>
        <v>18:51:25.102</v>
      </c>
      <c r="CD1005" t="str">
        <f>"099856020"</f>
        <v>099856020</v>
      </c>
      <c r="CQ1005">
        <v>0</v>
      </c>
      <c r="CR1005">
        <v>2</v>
      </c>
      <c r="CS1005">
        <v>0</v>
      </c>
      <c r="CT1005">
        <v>2</v>
      </c>
      <c r="CU1005">
        <v>0</v>
      </c>
      <c r="CV1005">
        <v>5</v>
      </c>
      <c r="CW1005" t="s">
        <v>120</v>
      </c>
      <c r="CX1005">
        <v>261</v>
      </c>
      <c r="CY1005">
        <v>2</v>
      </c>
      <c r="CZ1005" t="s">
        <v>121</v>
      </c>
      <c r="DA1005" t="s">
        <v>122</v>
      </c>
      <c r="DD1005">
        <v>14790294</v>
      </c>
      <c r="DE1005" t="s">
        <v>123</v>
      </c>
    </row>
    <row r="1006" spans="1:109" x14ac:dyDescent="0.3">
      <c r="A1006" t="str">
        <f>"18:51:26.492"</f>
        <v>18:51:26.492</v>
      </c>
      <c r="B1006" t="s">
        <v>110</v>
      </c>
      <c r="C1006" t="str">
        <f t="shared" si="45"/>
        <v>ffdfd3c0</v>
      </c>
      <c r="D1006" t="s">
        <v>111</v>
      </c>
      <c r="E1006">
        <v>18</v>
      </c>
      <c r="F1006">
        <v>1018</v>
      </c>
      <c r="G1006" t="s">
        <v>112</v>
      </c>
      <c r="J1006" t="s">
        <v>113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R1006" t="s">
        <v>114</v>
      </c>
      <c r="S1006" t="str">
        <f>"18:51:26.219"</f>
        <v>18:51:26.219</v>
      </c>
      <c r="T1006" t="str">
        <f>"18:51:26.219"</f>
        <v>18:51:26.219</v>
      </c>
      <c r="U1006" t="str">
        <f t="shared" si="46"/>
        <v>a1cdbe</v>
      </c>
      <c r="V1006">
        <v>0</v>
      </c>
      <c r="W1006">
        <v>0</v>
      </c>
      <c r="X1006">
        <v>1</v>
      </c>
      <c r="Y1006">
        <v>0</v>
      </c>
      <c r="Z1006">
        <v>0</v>
      </c>
      <c r="AB1006">
        <v>0</v>
      </c>
      <c r="AC1006">
        <v>9</v>
      </c>
      <c r="AD1006">
        <v>3</v>
      </c>
      <c r="AE1006">
        <v>0</v>
      </c>
      <c r="AF1006">
        <v>9</v>
      </c>
      <c r="AG1006" t="s">
        <v>158</v>
      </c>
      <c r="AH1006">
        <v>0</v>
      </c>
      <c r="AI1006">
        <v>3</v>
      </c>
      <c r="AJ1006">
        <v>1</v>
      </c>
      <c r="AK1006">
        <v>0</v>
      </c>
      <c r="AL1006" t="s">
        <v>1988</v>
      </c>
      <c r="AM1006">
        <v>46.847098000000003</v>
      </c>
      <c r="AN1006" t="s">
        <v>2034</v>
      </c>
      <c r="AO1006">
        <v>-122.51719199999999</v>
      </c>
      <c r="AP1006">
        <v>100</v>
      </c>
      <c r="AQ1006">
        <v>2000</v>
      </c>
      <c r="AR1006" t="s">
        <v>118</v>
      </c>
      <c r="AS1006">
        <v>-83</v>
      </c>
      <c r="AT1006">
        <v>-4</v>
      </c>
      <c r="AU1006">
        <v>-320</v>
      </c>
      <c r="BC1006">
        <v>1200</v>
      </c>
      <c r="BD1006">
        <v>1</v>
      </c>
      <c r="BE1006" t="str">
        <f t="shared" si="47"/>
        <v xml:space="preserve">N215T   </v>
      </c>
      <c r="BF1006">
        <v>1</v>
      </c>
      <c r="BH1006">
        <v>0</v>
      </c>
      <c r="BI1006">
        <v>0</v>
      </c>
      <c r="BJ1006">
        <v>0</v>
      </c>
      <c r="BK1006">
        <v>2375</v>
      </c>
      <c r="BL1006">
        <v>375</v>
      </c>
      <c r="BM1006" t="s">
        <v>119</v>
      </c>
      <c r="BN1006">
        <v>1</v>
      </c>
      <c r="BO1006">
        <v>1</v>
      </c>
      <c r="BP1006">
        <v>1</v>
      </c>
      <c r="BQ1006">
        <v>0</v>
      </c>
      <c r="BT1006">
        <v>0</v>
      </c>
      <c r="BU1006">
        <v>0</v>
      </c>
      <c r="BV1006">
        <v>0</v>
      </c>
      <c r="CC1006" t="str">
        <f>"18:51:26.227"</f>
        <v>18:51:26.227</v>
      </c>
      <c r="CD1006" t="str">
        <f>"224745233"</f>
        <v>224745233</v>
      </c>
      <c r="CQ1006">
        <v>0</v>
      </c>
      <c r="CR1006">
        <v>2</v>
      </c>
      <c r="CS1006">
        <v>0</v>
      </c>
      <c r="CT1006">
        <v>2</v>
      </c>
      <c r="CU1006">
        <v>0</v>
      </c>
      <c r="CV1006">
        <v>5</v>
      </c>
      <c r="CW1006" t="s">
        <v>120</v>
      </c>
      <c r="CX1006">
        <v>261</v>
      </c>
      <c r="CY1006">
        <v>2</v>
      </c>
      <c r="CZ1006" t="s">
        <v>121</v>
      </c>
      <c r="DA1006" t="s">
        <v>122</v>
      </c>
      <c r="DD1006">
        <v>14790965</v>
      </c>
      <c r="DE1006" t="s">
        <v>123</v>
      </c>
    </row>
    <row r="1007" spans="1:109" x14ac:dyDescent="0.3">
      <c r="A1007" t="str">
        <f>"18:51:27.445"</f>
        <v>18:51:27.445</v>
      </c>
      <c r="B1007" t="s">
        <v>110</v>
      </c>
      <c r="C1007" t="str">
        <f t="shared" si="45"/>
        <v>ffdfd3c0</v>
      </c>
      <c r="D1007" t="s">
        <v>111</v>
      </c>
      <c r="E1007">
        <v>18</v>
      </c>
      <c r="F1007">
        <v>1018</v>
      </c>
      <c r="G1007" t="s">
        <v>112</v>
      </c>
      <c r="J1007" t="s">
        <v>113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R1007" t="s">
        <v>114</v>
      </c>
      <c r="S1007" t="str">
        <f>"18:51:27.195"</f>
        <v>18:51:27.195</v>
      </c>
      <c r="T1007" t="str">
        <f>"18:51:26.797"</f>
        <v>18:51:26.797</v>
      </c>
      <c r="U1007" t="str">
        <f t="shared" si="46"/>
        <v>a1cdbe</v>
      </c>
      <c r="V1007">
        <v>0</v>
      </c>
      <c r="W1007">
        <v>0</v>
      </c>
      <c r="X1007">
        <v>1</v>
      </c>
      <c r="Y1007">
        <v>0</v>
      </c>
      <c r="Z1007">
        <v>0</v>
      </c>
      <c r="AB1007">
        <v>0</v>
      </c>
      <c r="AC1007">
        <v>9</v>
      </c>
      <c r="AD1007">
        <v>3</v>
      </c>
      <c r="AE1007">
        <v>0</v>
      </c>
      <c r="AF1007">
        <v>9</v>
      </c>
      <c r="AG1007" t="s">
        <v>158</v>
      </c>
      <c r="AH1007">
        <v>0</v>
      </c>
      <c r="AI1007">
        <v>3</v>
      </c>
      <c r="AJ1007">
        <v>1</v>
      </c>
      <c r="AK1007">
        <v>0</v>
      </c>
      <c r="AL1007" t="s">
        <v>2035</v>
      </c>
      <c r="AM1007">
        <v>46.847076000000001</v>
      </c>
      <c r="AN1007" t="s">
        <v>2036</v>
      </c>
      <c r="AO1007">
        <v>-122.517729</v>
      </c>
      <c r="AP1007">
        <v>100</v>
      </c>
      <c r="AQ1007">
        <v>2000</v>
      </c>
      <c r="AR1007" t="s">
        <v>118</v>
      </c>
      <c r="AS1007">
        <v>-83</v>
      </c>
      <c r="AT1007">
        <v>-3</v>
      </c>
      <c r="AU1007">
        <v>-320</v>
      </c>
      <c r="BC1007">
        <v>1200</v>
      </c>
      <c r="BD1007">
        <v>1</v>
      </c>
      <c r="BE1007" t="str">
        <f t="shared" si="47"/>
        <v xml:space="preserve">N215T   </v>
      </c>
      <c r="BF1007">
        <v>1</v>
      </c>
      <c r="BH1007">
        <v>0</v>
      </c>
      <c r="BI1007">
        <v>0</v>
      </c>
      <c r="BJ1007">
        <v>0</v>
      </c>
      <c r="BK1007">
        <v>2375</v>
      </c>
      <c r="BL1007">
        <v>375</v>
      </c>
      <c r="BM1007" t="s">
        <v>119</v>
      </c>
      <c r="BN1007">
        <v>1</v>
      </c>
      <c r="BO1007">
        <v>1</v>
      </c>
      <c r="BP1007">
        <v>1</v>
      </c>
      <c r="BQ1007">
        <v>0</v>
      </c>
      <c r="BT1007">
        <v>0</v>
      </c>
      <c r="BU1007">
        <v>0</v>
      </c>
      <c r="BV1007">
        <v>0</v>
      </c>
      <c r="CC1007" t="str">
        <f>"18:51:27.203"</f>
        <v>18:51:27.203</v>
      </c>
      <c r="CD1007" t="str">
        <f>"199649201"</f>
        <v>199649201</v>
      </c>
      <c r="CQ1007">
        <v>0</v>
      </c>
      <c r="CR1007">
        <v>2</v>
      </c>
      <c r="CS1007">
        <v>0</v>
      </c>
      <c r="CT1007">
        <v>2</v>
      </c>
      <c r="CU1007">
        <v>0</v>
      </c>
      <c r="CV1007">
        <v>6</v>
      </c>
      <c r="CW1007" t="s">
        <v>120</v>
      </c>
      <c r="CX1007">
        <v>261</v>
      </c>
      <c r="CY1007">
        <v>2</v>
      </c>
      <c r="CZ1007" t="s">
        <v>121</v>
      </c>
      <c r="DA1007" t="s">
        <v>122</v>
      </c>
      <c r="DD1007">
        <v>14791468</v>
      </c>
      <c r="DE1007" t="s">
        <v>123</v>
      </c>
    </row>
    <row r="1008" spans="1:109" x14ac:dyDescent="0.3">
      <c r="A1008" t="str">
        <f>"18:51:28.406"</f>
        <v>18:51:28.406</v>
      </c>
      <c r="B1008" t="s">
        <v>110</v>
      </c>
      <c r="C1008" t="str">
        <f t="shared" si="45"/>
        <v>ffdfd3c0</v>
      </c>
      <c r="D1008" t="s">
        <v>111</v>
      </c>
      <c r="E1008">
        <v>18</v>
      </c>
      <c r="F1008">
        <v>1018</v>
      </c>
      <c r="G1008" t="s">
        <v>112</v>
      </c>
      <c r="J1008" t="s">
        <v>113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R1008" t="s">
        <v>114</v>
      </c>
      <c r="S1008" t="str">
        <f>"18:51:28.172"</f>
        <v>18:51:28.172</v>
      </c>
      <c r="T1008" t="str">
        <f>"18:51:27.969"</f>
        <v>18:51:27.969</v>
      </c>
      <c r="U1008" t="str">
        <f t="shared" si="46"/>
        <v>a1cdbe</v>
      </c>
      <c r="V1008">
        <v>0</v>
      </c>
      <c r="W1008">
        <v>0</v>
      </c>
      <c r="X1008">
        <v>1</v>
      </c>
      <c r="Y1008">
        <v>0</v>
      </c>
      <c r="Z1008">
        <v>0</v>
      </c>
      <c r="AB1008">
        <v>0</v>
      </c>
      <c r="AC1008">
        <v>9</v>
      </c>
      <c r="AD1008">
        <v>3</v>
      </c>
      <c r="AE1008">
        <v>0</v>
      </c>
      <c r="AF1008">
        <v>9</v>
      </c>
      <c r="AG1008" t="s">
        <v>158</v>
      </c>
      <c r="AH1008">
        <v>0</v>
      </c>
      <c r="AI1008">
        <v>3</v>
      </c>
      <c r="AJ1008">
        <v>1</v>
      </c>
      <c r="AK1008">
        <v>0</v>
      </c>
      <c r="AL1008" t="s">
        <v>1860</v>
      </c>
      <c r="AM1008">
        <v>46.847054999999997</v>
      </c>
      <c r="AN1008" t="s">
        <v>2037</v>
      </c>
      <c r="AO1008">
        <v>-122.518287</v>
      </c>
      <c r="AP1008">
        <v>100</v>
      </c>
      <c r="AQ1008">
        <v>2000</v>
      </c>
      <c r="AR1008" t="s">
        <v>118</v>
      </c>
      <c r="AS1008">
        <v>-84</v>
      </c>
      <c r="AT1008">
        <v>-3</v>
      </c>
      <c r="AU1008">
        <v>-256</v>
      </c>
      <c r="BC1008">
        <v>1200</v>
      </c>
      <c r="BD1008">
        <v>1</v>
      </c>
      <c r="BE1008" t="str">
        <f t="shared" si="47"/>
        <v xml:space="preserve">N215T   </v>
      </c>
      <c r="BF1008">
        <v>1</v>
      </c>
      <c r="BH1008">
        <v>0</v>
      </c>
      <c r="BI1008">
        <v>0</v>
      </c>
      <c r="BJ1008">
        <v>0</v>
      </c>
      <c r="BK1008">
        <v>2375</v>
      </c>
      <c r="BL1008">
        <v>375</v>
      </c>
      <c r="BM1008" t="s">
        <v>119</v>
      </c>
      <c r="BN1008">
        <v>1</v>
      </c>
      <c r="BO1008">
        <v>1</v>
      </c>
      <c r="BP1008">
        <v>1</v>
      </c>
      <c r="BQ1008">
        <v>0</v>
      </c>
      <c r="BT1008">
        <v>0</v>
      </c>
      <c r="BU1008">
        <v>0</v>
      </c>
      <c r="BV1008">
        <v>0</v>
      </c>
      <c r="CC1008" t="str">
        <f>"18:51:28.172"</f>
        <v>18:51:28.172</v>
      </c>
      <c r="CD1008" t="str">
        <f>"174553180"</f>
        <v>174553180</v>
      </c>
      <c r="CQ1008">
        <v>0</v>
      </c>
      <c r="CR1008">
        <v>2</v>
      </c>
      <c r="CS1008">
        <v>0</v>
      </c>
      <c r="CT1008">
        <v>2</v>
      </c>
      <c r="CU1008">
        <v>0</v>
      </c>
      <c r="CV1008">
        <v>6</v>
      </c>
      <c r="CW1008" t="s">
        <v>120</v>
      </c>
      <c r="CX1008">
        <v>261</v>
      </c>
      <c r="CY1008">
        <v>2</v>
      </c>
      <c r="CZ1008" t="s">
        <v>121</v>
      </c>
      <c r="DA1008" t="s">
        <v>122</v>
      </c>
      <c r="DD1008">
        <v>14792033</v>
      </c>
      <c r="DE1008" t="s">
        <v>123</v>
      </c>
    </row>
    <row r="1009" spans="1:109" x14ac:dyDescent="0.3">
      <c r="A1009" t="str">
        <f>"18:51:29.508"</f>
        <v>18:51:29.508</v>
      </c>
      <c r="B1009" t="s">
        <v>110</v>
      </c>
      <c r="C1009" t="str">
        <f t="shared" si="45"/>
        <v>ffdfd3c0</v>
      </c>
      <c r="D1009" t="s">
        <v>111</v>
      </c>
      <c r="E1009">
        <v>18</v>
      </c>
      <c r="F1009">
        <v>1018</v>
      </c>
      <c r="G1009" t="s">
        <v>112</v>
      </c>
      <c r="J1009" t="s">
        <v>113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R1009" t="s">
        <v>114</v>
      </c>
      <c r="S1009" t="str">
        <f>"18:51:29.250"</f>
        <v>18:51:29.250</v>
      </c>
      <c r="T1009" t="str">
        <f>"18:51:29.250"</f>
        <v>18:51:29.250</v>
      </c>
      <c r="U1009" t="str">
        <f t="shared" si="46"/>
        <v>a1cdbe</v>
      </c>
      <c r="V1009">
        <v>0</v>
      </c>
      <c r="W1009">
        <v>0</v>
      </c>
      <c r="X1009">
        <v>1</v>
      </c>
      <c r="Y1009">
        <v>0</v>
      </c>
      <c r="Z1009">
        <v>0</v>
      </c>
      <c r="AB1009">
        <v>0</v>
      </c>
      <c r="AC1009">
        <v>9</v>
      </c>
      <c r="AD1009">
        <v>3</v>
      </c>
      <c r="AE1009">
        <v>0</v>
      </c>
      <c r="AF1009">
        <v>9</v>
      </c>
      <c r="AG1009" t="s">
        <v>158</v>
      </c>
      <c r="AH1009">
        <v>0</v>
      </c>
      <c r="AI1009">
        <v>3</v>
      </c>
      <c r="AJ1009">
        <v>1</v>
      </c>
      <c r="AK1009">
        <v>0</v>
      </c>
      <c r="AL1009" t="s">
        <v>2035</v>
      </c>
      <c r="AM1009">
        <v>46.847076000000001</v>
      </c>
      <c r="AN1009" t="s">
        <v>2038</v>
      </c>
      <c r="AO1009">
        <v>-122.518866</v>
      </c>
      <c r="AP1009">
        <v>100</v>
      </c>
      <c r="AQ1009">
        <v>2000</v>
      </c>
      <c r="AR1009" t="s">
        <v>118</v>
      </c>
      <c r="AS1009">
        <v>-84</v>
      </c>
      <c r="AT1009">
        <v>-3</v>
      </c>
      <c r="AU1009">
        <v>-192</v>
      </c>
      <c r="BC1009">
        <v>1200</v>
      </c>
      <c r="BD1009">
        <v>1</v>
      </c>
      <c r="BE1009" t="str">
        <f t="shared" si="47"/>
        <v xml:space="preserve">N215T   </v>
      </c>
      <c r="BF1009">
        <v>1</v>
      </c>
      <c r="BH1009">
        <v>0</v>
      </c>
      <c r="BI1009">
        <v>0</v>
      </c>
      <c r="BJ1009">
        <v>0</v>
      </c>
      <c r="BK1009">
        <v>2375</v>
      </c>
      <c r="BL1009">
        <v>375</v>
      </c>
      <c r="BM1009" t="s">
        <v>119</v>
      </c>
      <c r="BN1009">
        <v>1</v>
      </c>
      <c r="BO1009">
        <v>1</v>
      </c>
      <c r="BP1009">
        <v>1</v>
      </c>
      <c r="BQ1009">
        <v>0</v>
      </c>
      <c r="BT1009">
        <v>0</v>
      </c>
      <c r="BU1009">
        <v>0</v>
      </c>
      <c r="BV1009">
        <v>0</v>
      </c>
      <c r="CC1009" t="str">
        <f>"18:51:29.258"</f>
        <v>18:51:29.258</v>
      </c>
      <c r="CD1009" t="str">
        <f>"254446810"</f>
        <v>254446810</v>
      </c>
      <c r="CQ1009">
        <v>0</v>
      </c>
      <c r="CR1009">
        <v>2</v>
      </c>
      <c r="CS1009">
        <v>0</v>
      </c>
      <c r="CT1009">
        <v>2</v>
      </c>
      <c r="CU1009">
        <v>0</v>
      </c>
      <c r="CV1009">
        <v>6</v>
      </c>
      <c r="CW1009" t="s">
        <v>120</v>
      </c>
      <c r="CX1009">
        <v>261</v>
      </c>
      <c r="CY1009">
        <v>2</v>
      </c>
      <c r="CZ1009" t="s">
        <v>121</v>
      </c>
      <c r="DA1009" t="s">
        <v>122</v>
      </c>
      <c r="DD1009">
        <v>14792612</v>
      </c>
      <c r="DE1009" t="s">
        <v>123</v>
      </c>
    </row>
    <row r="1010" spans="1:109" x14ac:dyDescent="0.3">
      <c r="A1010" t="str">
        <f>"18:51:30.461"</f>
        <v>18:51:30.461</v>
      </c>
      <c r="B1010" t="s">
        <v>110</v>
      </c>
      <c r="C1010" t="str">
        <f t="shared" si="45"/>
        <v>ffdfd3c0</v>
      </c>
      <c r="D1010" t="s">
        <v>111</v>
      </c>
      <c r="E1010">
        <v>18</v>
      </c>
      <c r="F1010">
        <v>1018</v>
      </c>
      <c r="G1010" t="s">
        <v>112</v>
      </c>
      <c r="J1010" t="s">
        <v>113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R1010" t="s">
        <v>114</v>
      </c>
      <c r="S1010" t="str">
        <f>"18:51:30.258"</f>
        <v>18:51:30.258</v>
      </c>
      <c r="T1010" t="str">
        <f>"18:51:29.758"</f>
        <v>18:51:29.758</v>
      </c>
      <c r="U1010" t="str">
        <f t="shared" si="46"/>
        <v>a1cdbe</v>
      </c>
      <c r="V1010">
        <v>0</v>
      </c>
      <c r="W1010">
        <v>0</v>
      </c>
      <c r="X1010">
        <v>1</v>
      </c>
      <c r="Y1010">
        <v>0</v>
      </c>
      <c r="Z1010">
        <v>0</v>
      </c>
      <c r="AB1010">
        <v>0</v>
      </c>
      <c r="AC1010">
        <v>9</v>
      </c>
      <c r="AD1010">
        <v>3</v>
      </c>
      <c r="AE1010">
        <v>0</v>
      </c>
      <c r="AF1010">
        <v>9</v>
      </c>
      <c r="AG1010" t="s">
        <v>158</v>
      </c>
      <c r="AH1010">
        <v>0</v>
      </c>
      <c r="AI1010">
        <v>3</v>
      </c>
      <c r="AJ1010">
        <v>1</v>
      </c>
      <c r="AK1010">
        <v>0</v>
      </c>
      <c r="AL1010" t="s">
        <v>1860</v>
      </c>
      <c r="AM1010">
        <v>46.847054999999997</v>
      </c>
      <c r="AN1010" t="s">
        <v>2039</v>
      </c>
      <c r="AO1010">
        <v>-122.519403</v>
      </c>
      <c r="AP1010">
        <v>100</v>
      </c>
      <c r="AQ1010">
        <v>2000</v>
      </c>
      <c r="AR1010" t="s">
        <v>118</v>
      </c>
      <c r="AS1010">
        <v>-84</v>
      </c>
      <c r="AT1010">
        <v>-3</v>
      </c>
      <c r="AU1010">
        <v>-256</v>
      </c>
      <c r="BC1010">
        <v>1200</v>
      </c>
      <c r="BD1010">
        <v>1</v>
      </c>
      <c r="BE1010" t="str">
        <f t="shared" si="47"/>
        <v xml:space="preserve">N215T   </v>
      </c>
      <c r="BF1010">
        <v>1</v>
      </c>
      <c r="BH1010">
        <v>0</v>
      </c>
      <c r="BI1010">
        <v>0</v>
      </c>
      <c r="BJ1010">
        <v>0</v>
      </c>
      <c r="BK1010">
        <v>2375</v>
      </c>
      <c r="BL1010">
        <v>375</v>
      </c>
      <c r="BM1010" t="s">
        <v>119</v>
      </c>
      <c r="BN1010">
        <v>1</v>
      </c>
      <c r="BO1010">
        <v>1</v>
      </c>
      <c r="BP1010">
        <v>1</v>
      </c>
      <c r="BQ1010">
        <v>0</v>
      </c>
      <c r="BT1010">
        <v>0</v>
      </c>
      <c r="BU1010">
        <v>0</v>
      </c>
      <c r="BV1010">
        <v>0</v>
      </c>
      <c r="CC1010" t="str">
        <f>"18:51:30.258"</f>
        <v>18:51:30.258</v>
      </c>
      <c r="CD1010" t="str">
        <f>"259347837"</f>
        <v>259347837</v>
      </c>
      <c r="CQ1010">
        <v>0</v>
      </c>
      <c r="CR1010">
        <v>2</v>
      </c>
      <c r="CS1010">
        <v>0</v>
      </c>
      <c r="CT1010">
        <v>2</v>
      </c>
      <c r="CU1010">
        <v>0</v>
      </c>
      <c r="CV1010">
        <v>6</v>
      </c>
      <c r="CW1010" t="s">
        <v>120</v>
      </c>
      <c r="CX1010">
        <v>261</v>
      </c>
      <c r="CY1010">
        <v>2</v>
      </c>
      <c r="CZ1010" t="s">
        <v>121</v>
      </c>
      <c r="DA1010" t="s">
        <v>122</v>
      </c>
      <c r="DD1010">
        <v>14793280</v>
      </c>
      <c r="DE1010" t="s">
        <v>123</v>
      </c>
    </row>
    <row r="1011" spans="1:109" x14ac:dyDescent="0.3">
      <c r="A1011" t="str">
        <f>"18:51:31.570"</f>
        <v>18:51:31.570</v>
      </c>
      <c r="B1011" t="s">
        <v>110</v>
      </c>
      <c r="C1011" t="str">
        <f t="shared" si="45"/>
        <v>ffdfd3c0</v>
      </c>
      <c r="D1011" t="s">
        <v>111</v>
      </c>
      <c r="E1011">
        <v>18</v>
      </c>
      <c r="F1011">
        <v>1018</v>
      </c>
      <c r="G1011" t="s">
        <v>112</v>
      </c>
      <c r="J1011" t="s">
        <v>113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R1011" t="s">
        <v>114</v>
      </c>
      <c r="S1011" t="str">
        <f>"18:51:31.367"</f>
        <v>18:51:31.367</v>
      </c>
      <c r="T1011" t="str">
        <f>"18:51:31.164"</f>
        <v>18:51:31.164</v>
      </c>
      <c r="U1011" t="str">
        <f t="shared" si="46"/>
        <v>a1cdbe</v>
      </c>
      <c r="V1011">
        <v>0</v>
      </c>
      <c r="W1011">
        <v>0</v>
      </c>
      <c r="X1011">
        <v>1</v>
      </c>
      <c r="Y1011">
        <v>0</v>
      </c>
      <c r="Z1011">
        <v>0</v>
      </c>
      <c r="AB1011">
        <v>0</v>
      </c>
      <c r="AC1011">
        <v>9</v>
      </c>
      <c r="AD1011">
        <v>3</v>
      </c>
      <c r="AE1011">
        <v>0</v>
      </c>
      <c r="AF1011">
        <v>9</v>
      </c>
      <c r="AG1011" t="s">
        <v>158</v>
      </c>
      <c r="AH1011">
        <v>0</v>
      </c>
      <c r="AI1011">
        <v>3</v>
      </c>
      <c r="AJ1011">
        <v>1</v>
      </c>
      <c r="AK1011">
        <v>0</v>
      </c>
      <c r="AL1011" t="s">
        <v>2040</v>
      </c>
      <c r="AM1011">
        <v>46.847011999999999</v>
      </c>
      <c r="AN1011" t="s">
        <v>2041</v>
      </c>
      <c r="AO1011">
        <v>-122.520089</v>
      </c>
      <c r="AP1011">
        <v>100</v>
      </c>
      <c r="AQ1011">
        <v>2000</v>
      </c>
      <c r="AR1011" t="s">
        <v>118</v>
      </c>
      <c r="AS1011">
        <v>-83</v>
      </c>
      <c r="AT1011">
        <v>-3</v>
      </c>
      <c r="AU1011">
        <v>-256</v>
      </c>
      <c r="BC1011">
        <v>1200</v>
      </c>
      <c r="BD1011">
        <v>1</v>
      </c>
      <c r="BE1011" t="str">
        <f t="shared" si="47"/>
        <v xml:space="preserve">N215T   </v>
      </c>
      <c r="BF1011">
        <v>1</v>
      </c>
      <c r="BH1011">
        <v>0</v>
      </c>
      <c r="BI1011">
        <v>0</v>
      </c>
      <c r="BJ1011">
        <v>0</v>
      </c>
      <c r="BK1011">
        <v>2375</v>
      </c>
      <c r="BL1011">
        <v>375</v>
      </c>
      <c r="BM1011" t="s">
        <v>119</v>
      </c>
      <c r="BN1011">
        <v>1</v>
      </c>
      <c r="BO1011">
        <v>1</v>
      </c>
      <c r="BP1011">
        <v>1</v>
      </c>
      <c r="BQ1011">
        <v>0</v>
      </c>
      <c r="BT1011">
        <v>0</v>
      </c>
      <c r="BU1011">
        <v>0</v>
      </c>
      <c r="BV1011">
        <v>0</v>
      </c>
      <c r="CC1011" t="str">
        <f>"18:51:31.367"</f>
        <v>18:51:31.367</v>
      </c>
      <c r="CD1011" t="str">
        <f>"369238524"</f>
        <v>369238524</v>
      </c>
      <c r="CQ1011">
        <v>0</v>
      </c>
      <c r="CR1011">
        <v>2</v>
      </c>
      <c r="CS1011">
        <v>0</v>
      </c>
      <c r="CT1011">
        <v>2</v>
      </c>
      <c r="CU1011">
        <v>0</v>
      </c>
      <c r="CV1011">
        <v>6</v>
      </c>
      <c r="CW1011" t="s">
        <v>120</v>
      </c>
      <c r="CX1011">
        <v>261</v>
      </c>
      <c r="CY1011">
        <v>2</v>
      </c>
      <c r="CZ1011" t="s">
        <v>121</v>
      </c>
      <c r="DA1011" t="s">
        <v>122</v>
      </c>
      <c r="DD1011">
        <v>14793923</v>
      </c>
      <c r="DE1011" t="s">
        <v>123</v>
      </c>
    </row>
    <row r="1012" spans="1:109" x14ac:dyDescent="0.3">
      <c r="A1012" t="str">
        <f>"18:51:32.422"</f>
        <v>18:51:32.422</v>
      </c>
      <c r="B1012" t="s">
        <v>110</v>
      </c>
      <c r="C1012" t="str">
        <f t="shared" si="45"/>
        <v>ffdfd3c0</v>
      </c>
      <c r="D1012" t="s">
        <v>111</v>
      </c>
      <c r="E1012">
        <v>18</v>
      </c>
      <c r="F1012">
        <v>1018</v>
      </c>
      <c r="G1012" t="s">
        <v>112</v>
      </c>
      <c r="J1012" t="s">
        <v>113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R1012" t="s">
        <v>114</v>
      </c>
      <c r="S1012" t="str">
        <f>"18:51:32.219"</f>
        <v>18:51:32.219</v>
      </c>
      <c r="T1012" t="str">
        <f>"18:51:32.219"</f>
        <v>18:51:32.219</v>
      </c>
      <c r="U1012" t="str">
        <f t="shared" si="46"/>
        <v>a1cdbe</v>
      </c>
      <c r="V1012">
        <v>0</v>
      </c>
      <c r="W1012">
        <v>0</v>
      </c>
      <c r="X1012">
        <v>1</v>
      </c>
      <c r="Y1012">
        <v>0</v>
      </c>
      <c r="Z1012">
        <v>0</v>
      </c>
      <c r="AB1012">
        <v>0</v>
      </c>
      <c r="AC1012">
        <v>9</v>
      </c>
      <c r="AD1012">
        <v>3</v>
      </c>
      <c r="AE1012">
        <v>0</v>
      </c>
      <c r="AF1012">
        <v>9</v>
      </c>
      <c r="AG1012" t="s">
        <v>158</v>
      </c>
      <c r="AH1012">
        <v>0</v>
      </c>
      <c r="AI1012">
        <v>3</v>
      </c>
      <c r="AJ1012">
        <v>1</v>
      </c>
      <c r="AK1012">
        <v>0</v>
      </c>
      <c r="AL1012" t="s">
        <v>2040</v>
      </c>
      <c r="AM1012">
        <v>46.847011999999999</v>
      </c>
      <c r="AN1012" t="s">
        <v>2042</v>
      </c>
      <c r="AO1012">
        <v>-122.520561</v>
      </c>
      <c r="AP1012">
        <v>100</v>
      </c>
      <c r="AQ1012">
        <v>2000</v>
      </c>
      <c r="AR1012" t="s">
        <v>118</v>
      </c>
      <c r="AS1012">
        <v>-84</v>
      </c>
      <c r="AT1012">
        <v>-2</v>
      </c>
      <c r="AU1012">
        <v>-192</v>
      </c>
      <c r="BC1012">
        <v>1200</v>
      </c>
      <c r="BD1012">
        <v>1</v>
      </c>
      <c r="BE1012" t="str">
        <f t="shared" si="47"/>
        <v xml:space="preserve">N215T   </v>
      </c>
      <c r="BF1012">
        <v>1</v>
      </c>
      <c r="BH1012">
        <v>0</v>
      </c>
      <c r="BI1012">
        <v>0</v>
      </c>
      <c r="BJ1012">
        <v>0</v>
      </c>
      <c r="BK1012">
        <v>2350</v>
      </c>
      <c r="BL1012">
        <v>350</v>
      </c>
      <c r="BM1012" t="s">
        <v>119</v>
      </c>
      <c r="BN1012">
        <v>1</v>
      </c>
      <c r="BO1012">
        <v>1</v>
      </c>
      <c r="BP1012">
        <v>1</v>
      </c>
      <c r="BQ1012">
        <v>0</v>
      </c>
      <c r="BT1012">
        <v>0</v>
      </c>
      <c r="BU1012">
        <v>0</v>
      </c>
      <c r="BV1012">
        <v>0</v>
      </c>
      <c r="CC1012" t="str">
        <f>"18:51:32.227"</f>
        <v>18:51:32.227</v>
      </c>
      <c r="CD1012" t="str">
        <f>"224154298"</f>
        <v>224154298</v>
      </c>
      <c r="CQ1012">
        <v>0</v>
      </c>
      <c r="CR1012">
        <v>2</v>
      </c>
      <c r="CS1012">
        <v>0</v>
      </c>
      <c r="CT1012">
        <v>2</v>
      </c>
      <c r="CU1012">
        <v>0</v>
      </c>
      <c r="CV1012">
        <v>5</v>
      </c>
      <c r="CW1012" t="s">
        <v>120</v>
      </c>
      <c r="CX1012">
        <v>261</v>
      </c>
      <c r="CY1012">
        <v>2</v>
      </c>
      <c r="CZ1012" t="s">
        <v>121</v>
      </c>
      <c r="DA1012" t="s">
        <v>122</v>
      </c>
      <c r="DD1012">
        <v>14794388</v>
      </c>
      <c r="DE1012" t="s">
        <v>123</v>
      </c>
    </row>
    <row r="1013" spans="1:109" x14ac:dyDescent="0.3">
      <c r="A1013" t="str">
        <f>"18:51:33.328"</f>
        <v>18:51:33.328</v>
      </c>
      <c r="B1013" t="s">
        <v>110</v>
      </c>
      <c r="C1013" t="str">
        <f t="shared" si="45"/>
        <v>ffdfd3c0</v>
      </c>
      <c r="D1013" t="s">
        <v>111</v>
      </c>
      <c r="E1013">
        <v>18</v>
      </c>
      <c r="F1013">
        <v>1018</v>
      </c>
      <c r="G1013" t="s">
        <v>112</v>
      </c>
      <c r="J1013" t="s">
        <v>113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R1013" t="s">
        <v>114</v>
      </c>
      <c r="S1013" t="str">
        <f>"18:51:33.117"</f>
        <v>18:51:33.117</v>
      </c>
      <c r="T1013" t="str">
        <f>"18:51:32.719"</f>
        <v>18:51:32.719</v>
      </c>
      <c r="U1013" t="str">
        <f t="shared" si="46"/>
        <v>a1cdbe</v>
      </c>
      <c r="V1013">
        <v>0</v>
      </c>
      <c r="W1013">
        <v>0</v>
      </c>
      <c r="X1013">
        <v>1</v>
      </c>
      <c r="Y1013">
        <v>0</v>
      </c>
      <c r="Z1013">
        <v>0</v>
      </c>
      <c r="AB1013">
        <v>0</v>
      </c>
      <c r="AC1013">
        <v>9</v>
      </c>
      <c r="AD1013">
        <v>3</v>
      </c>
      <c r="AE1013">
        <v>0</v>
      </c>
      <c r="AF1013">
        <v>9</v>
      </c>
      <c r="AG1013" t="s">
        <v>158</v>
      </c>
      <c r="AH1013">
        <v>0</v>
      </c>
      <c r="AI1013">
        <v>3</v>
      </c>
      <c r="AJ1013">
        <v>1</v>
      </c>
      <c r="AK1013">
        <v>0</v>
      </c>
      <c r="AL1013" t="s">
        <v>2040</v>
      </c>
      <c r="AM1013">
        <v>46.847011999999999</v>
      </c>
      <c r="AN1013" t="s">
        <v>2043</v>
      </c>
      <c r="AO1013">
        <v>-122.521033</v>
      </c>
      <c r="AP1013">
        <v>100</v>
      </c>
      <c r="AQ1013">
        <v>2000</v>
      </c>
      <c r="AR1013" t="s">
        <v>118</v>
      </c>
      <c r="AS1013">
        <v>-84</v>
      </c>
      <c r="AT1013">
        <v>-2</v>
      </c>
      <c r="AU1013">
        <v>-256</v>
      </c>
      <c r="BC1013">
        <v>1200</v>
      </c>
      <c r="BD1013">
        <v>1</v>
      </c>
      <c r="BE1013" t="str">
        <f t="shared" si="47"/>
        <v xml:space="preserve">N215T   </v>
      </c>
      <c r="BF1013">
        <v>1</v>
      </c>
      <c r="BH1013">
        <v>0</v>
      </c>
      <c r="BI1013">
        <v>0</v>
      </c>
      <c r="BJ1013">
        <v>0</v>
      </c>
      <c r="BK1013">
        <v>2350</v>
      </c>
      <c r="BL1013">
        <v>350</v>
      </c>
      <c r="BM1013" t="s">
        <v>119</v>
      </c>
      <c r="BN1013">
        <v>1</v>
      </c>
      <c r="BO1013">
        <v>1</v>
      </c>
      <c r="BP1013">
        <v>1</v>
      </c>
      <c r="BQ1013">
        <v>0</v>
      </c>
      <c r="BT1013">
        <v>0</v>
      </c>
      <c r="BU1013">
        <v>0</v>
      </c>
      <c r="BV1013">
        <v>0</v>
      </c>
      <c r="CC1013" t="str">
        <f>"18:51:33.125"</f>
        <v>18:51:33.125</v>
      </c>
      <c r="CD1013" t="str">
        <f>"124065669"</f>
        <v>124065669</v>
      </c>
      <c r="CQ1013">
        <v>0</v>
      </c>
      <c r="CR1013">
        <v>2</v>
      </c>
      <c r="CS1013">
        <v>0</v>
      </c>
      <c r="CT1013">
        <v>2</v>
      </c>
      <c r="CU1013">
        <v>0</v>
      </c>
      <c r="CV1013">
        <v>5</v>
      </c>
      <c r="CW1013" t="s">
        <v>120</v>
      </c>
      <c r="CX1013">
        <v>261</v>
      </c>
      <c r="CY1013">
        <v>2</v>
      </c>
      <c r="CZ1013" t="s">
        <v>121</v>
      </c>
      <c r="DA1013" t="s">
        <v>122</v>
      </c>
      <c r="DD1013">
        <v>14794877</v>
      </c>
      <c r="DE1013" t="s">
        <v>123</v>
      </c>
    </row>
    <row r="1014" spans="1:109" x14ac:dyDescent="0.3">
      <c r="A1014" t="str">
        <f>"18:51:34.234"</f>
        <v>18:51:34.234</v>
      </c>
      <c r="B1014" t="s">
        <v>110</v>
      </c>
      <c r="C1014" t="str">
        <f t="shared" si="45"/>
        <v>ffdfd3c0</v>
      </c>
      <c r="D1014" t="s">
        <v>111</v>
      </c>
      <c r="E1014">
        <v>18</v>
      </c>
      <c r="F1014">
        <v>1018</v>
      </c>
      <c r="G1014" t="s">
        <v>112</v>
      </c>
      <c r="J1014" t="s">
        <v>113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R1014" t="s">
        <v>114</v>
      </c>
      <c r="S1014" t="str">
        <f>"18:51:34.023"</f>
        <v>18:51:34.023</v>
      </c>
      <c r="T1014" t="str">
        <f>"18:51:33.820"</f>
        <v>18:51:33.820</v>
      </c>
      <c r="U1014" t="str">
        <f t="shared" si="46"/>
        <v>a1cdbe</v>
      </c>
      <c r="V1014">
        <v>0</v>
      </c>
      <c r="W1014">
        <v>0</v>
      </c>
      <c r="X1014">
        <v>1</v>
      </c>
      <c r="Y1014">
        <v>0</v>
      </c>
      <c r="Z1014">
        <v>0</v>
      </c>
      <c r="AB1014">
        <v>0</v>
      </c>
      <c r="AC1014">
        <v>9</v>
      </c>
      <c r="AD1014">
        <v>3</v>
      </c>
      <c r="AE1014">
        <v>0</v>
      </c>
      <c r="AF1014">
        <v>9</v>
      </c>
      <c r="AG1014" t="s">
        <v>158</v>
      </c>
      <c r="AH1014">
        <v>0</v>
      </c>
      <c r="AI1014">
        <v>3</v>
      </c>
      <c r="AJ1014">
        <v>1</v>
      </c>
      <c r="AK1014">
        <v>0</v>
      </c>
      <c r="AL1014" t="s">
        <v>2044</v>
      </c>
      <c r="AM1014">
        <v>46.846991000000003</v>
      </c>
      <c r="AN1014" t="s">
        <v>2045</v>
      </c>
      <c r="AO1014">
        <v>-122.521613</v>
      </c>
      <c r="AP1014">
        <v>100</v>
      </c>
      <c r="AQ1014">
        <v>2000</v>
      </c>
      <c r="AR1014" t="s">
        <v>118</v>
      </c>
      <c r="AS1014">
        <v>-84</v>
      </c>
      <c r="AT1014">
        <v>-2</v>
      </c>
      <c r="AU1014">
        <v>0</v>
      </c>
      <c r="BC1014">
        <v>1200</v>
      </c>
      <c r="BD1014">
        <v>1</v>
      </c>
      <c r="BE1014" t="str">
        <f t="shared" si="47"/>
        <v xml:space="preserve">N215T   </v>
      </c>
      <c r="BF1014">
        <v>1</v>
      </c>
      <c r="BH1014">
        <v>0</v>
      </c>
      <c r="BI1014">
        <v>0</v>
      </c>
      <c r="BJ1014">
        <v>0</v>
      </c>
      <c r="BK1014">
        <v>2350</v>
      </c>
      <c r="BL1014">
        <v>350</v>
      </c>
      <c r="BM1014" t="s">
        <v>119</v>
      </c>
      <c r="BN1014">
        <v>1</v>
      </c>
      <c r="BO1014">
        <v>1</v>
      </c>
      <c r="BP1014">
        <v>1</v>
      </c>
      <c r="BQ1014">
        <v>0</v>
      </c>
      <c r="BT1014">
        <v>0</v>
      </c>
      <c r="BU1014">
        <v>0</v>
      </c>
      <c r="BV1014">
        <v>0</v>
      </c>
      <c r="CC1014" t="str">
        <f>"18:51:34.023"</f>
        <v>18:51:34.023</v>
      </c>
      <c r="CD1014" t="str">
        <f>"023977033"</f>
        <v>023977033</v>
      </c>
      <c r="CQ1014">
        <v>0</v>
      </c>
      <c r="CR1014">
        <v>2</v>
      </c>
      <c r="CS1014">
        <v>0</v>
      </c>
      <c r="CT1014">
        <v>2</v>
      </c>
      <c r="CU1014">
        <v>0</v>
      </c>
      <c r="CV1014">
        <v>5</v>
      </c>
      <c r="CW1014" t="s">
        <v>120</v>
      </c>
      <c r="CX1014">
        <v>261</v>
      </c>
      <c r="CY1014">
        <v>2</v>
      </c>
      <c r="CZ1014" t="s">
        <v>121</v>
      </c>
      <c r="DA1014" t="s">
        <v>122</v>
      </c>
      <c r="DD1014">
        <v>14795367</v>
      </c>
      <c r="DE1014" t="s">
        <v>123</v>
      </c>
    </row>
    <row r="1015" spans="1:109" x14ac:dyDescent="0.3">
      <c r="A1015" t="str">
        <f>"18:51:35.242"</f>
        <v>18:51:35.242</v>
      </c>
      <c r="B1015" t="s">
        <v>110</v>
      </c>
      <c r="C1015" t="str">
        <f t="shared" si="45"/>
        <v>ffdfd3c0</v>
      </c>
      <c r="D1015" t="s">
        <v>111</v>
      </c>
      <c r="E1015">
        <v>18</v>
      </c>
      <c r="F1015">
        <v>1018</v>
      </c>
      <c r="G1015" t="s">
        <v>112</v>
      </c>
      <c r="J1015" t="s">
        <v>113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R1015" t="s">
        <v>114</v>
      </c>
      <c r="S1015" t="str">
        <f>"18:51:35.039"</f>
        <v>18:51:35.039</v>
      </c>
      <c r="T1015" t="str">
        <f>"18:51:34.938"</f>
        <v>18:51:34.938</v>
      </c>
      <c r="U1015" t="str">
        <f t="shared" si="46"/>
        <v>a1cdbe</v>
      </c>
      <c r="V1015">
        <v>0</v>
      </c>
      <c r="W1015">
        <v>0</v>
      </c>
      <c r="X1015">
        <v>1</v>
      </c>
      <c r="Y1015">
        <v>0</v>
      </c>
      <c r="Z1015">
        <v>0</v>
      </c>
      <c r="AB1015">
        <v>0</v>
      </c>
      <c r="AC1015">
        <v>9</v>
      </c>
      <c r="AD1015">
        <v>3</v>
      </c>
      <c r="AE1015">
        <v>0</v>
      </c>
      <c r="AF1015">
        <v>9</v>
      </c>
      <c r="AG1015" t="s">
        <v>158</v>
      </c>
      <c r="AH1015">
        <v>0</v>
      </c>
      <c r="AI1015">
        <v>3</v>
      </c>
      <c r="AJ1015">
        <v>1</v>
      </c>
      <c r="AK1015">
        <v>0</v>
      </c>
      <c r="AL1015" t="s">
        <v>2040</v>
      </c>
      <c r="AM1015">
        <v>46.847011999999999</v>
      </c>
      <c r="AN1015" t="s">
        <v>2046</v>
      </c>
      <c r="AO1015">
        <v>-122.522149</v>
      </c>
      <c r="AP1015">
        <v>100</v>
      </c>
      <c r="AQ1015">
        <v>2000</v>
      </c>
      <c r="AR1015" t="s">
        <v>118</v>
      </c>
      <c r="AS1015">
        <v>-85</v>
      </c>
      <c r="AT1015">
        <v>-1</v>
      </c>
      <c r="AU1015">
        <v>0</v>
      </c>
      <c r="BC1015">
        <v>1200</v>
      </c>
      <c r="BD1015">
        <v>1</v>
      </c>
      <c r="BE1015" t="str">
        <f t="shared" si="47"/>
        <v xml:space="preserve">N215T   </v>
      </c>
      <c r="BF1015">
        <v>1</v>
      </c>
      <c r="BH1015">
        <v>0</v>
      </c>
      <c r="BI1015">
        <v>0</v>
      </c>
      <c r="BJ1015">
        <v>0</v>
      </c>
      <c r="BK1015">
        <v>2375</v>
      </c>
      <c r="BL1015">
        <v>375</v>
      </c>
      <c r="BM1015" t="s">
        <v>119</v>
      </c>
      <c r="BN1015">
        <v>1</v>
      </c>
      <c r="BO1015">
        <v>1</v>
      </c>
      <c r="BP1015">
        <v>1</v>
      </c>
      <c r="BQ1015">
        <v>0</v>
      </c>
      <c r="BT1015">
        <v>0</v>
      </c>
      <c r="BU1015">
        <v>0</v>
      </c>
      <c r="BV1015">
        <v>0</v>
      </c>
      <c r="CC1015" t="str">
        <f>"18:51:35.047"</f>
        <v>18:51:35.047</v>
      </c>
      <c r="CD1015" t="str">
        <f>"043857905"</f>
        <v>043857905</v>
      </c>
      <c r="CQ1015">
        <v>0</v>
      </c>
      <c r="CR1015">
        <v>2</v>
      </c>
      <c r="CS1015">
        <v>0</v>
      </c>
      <c r="CT1015">
        <v>2</v>
      </c>
      <c r="CU1015">
        <v>0</v>
      </c>
      <c r="CV1015">
        <v>3</v>
      </c>
      <c r="CW1015" t="s">
        <v>172</v>
      </c>
      <c r="CX1015">
        <v>326</v>
      </c>
      <c r="CY1015">
        <v>0</v>
      </c>
      <c r="CZ1015" t="s">
        <v>173</v>
      </c>
      <c r="DA1015" t="s">
        <v>174</v>
      </c>
      <c r="DD1015">
        <v>6152298</v>
      </c>
      <c r="DE1015" t="s">
        <v>123</v>
      </c>
    </row>
    <row r="1016" spans="1:109" x14ac:dyDescent="0.3">
      <c r="A1016" t="str">
        <f>"18:51:36.344"</f>
        <v>18:51:36.344</v>
      </c>
      <c r="B1016" t="s">
        <v>110</v>
      </c>
      <c r="C1016" t="str">
        <f t="shared" si="45"/>
        <v>ffdfd3c0</v>
      </c>
      <c r="D1016" t="s">
        <v>111</v>
      </c>
      <c r="E1016">
        <v>18</v>
      </c>
      <c r="F1016">
        <v>1018</v>
      </c>
      <c r="G1016" t="s">
        <v>112</v>
      </c>
      <c r="J1016" t="s">
        <v>113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R1016" t="s">
        <v>114</v>
      </c>
      <c r="S1016" t="str">
        <f>"18:51:36.133"</f>
        <v>18:51:36.133</v>
      </c>
      <c r="T1016" t="str">
        <f>"18:51:36.031"</f>
        <v>18:51:36.031</v>
      </c>
      <c r="U1016" t="str">
        <f t="shared" si="46"/>
        <v>a1cdbe</v>
      </c>
      <c r="V1016">
        <v>0</v>
      </c>
      <c r="W1016">
        <v>0</v>
      </c>
      <c r="X1016">
        <v>1</v>
      </c>
      <c r="Y1016">
        <v>0</v>
      </c>
      <c r="Z1016">
        <v>0</v>
      </c>
      <c r="AB1016">
        <v>0</v>
      </c>
      <c r="AC1016">
        <v>9</v>
      </c>
      <c r="AD1016">
        <v>3</v>
      </c>
      <c r="AE1016">
        <v>0</v>
      </c>
      <c r="AF1016">
        <v>9</v>
      </c>
      <c r="AG1016" t="s">
        <v>158</v>
      </c>
      <c r="AH1016">
        <v>0</v>
      </c>
      <c r="AI1016">
        <v>3</v>
      </c>
      <c r="AJ1016">
        <v>1</v>
      </c>
      <c r="AK1016">
        <v>0</v>
      </c>
      <c r="AL1016" t="s">
        <v>2044</v>
      </c>
      <c r="AM1016">
        <v>46.846991000000003</v>
      </c>
      <c r="AN1016" t="s">
        <v>2047</v>
      </c>
      <c r="AO1016">
        <v>-122.522814</v>
      </c>
      <c r="AP1016">
        <v>100</v>
      </c>
      <c r="AQ1016">
        <v>2000</v>
      </c>
      <c r="AR1016" t="s">
        <v>118</v>
      </c>
      <c r="AS1016">
        <v>-86</v>
      </c>
      <c r="AT1016">
        <v>-1</v>
      </c>
      <c r="AU1016">
        <v>64</v>
      </c>
      <c r="BC1016">
        <v>1200</v>
      </c>
      <c r="BD1016">
        <v>1</v>
      </c>
      <c r="BE1016" t="str">
        <f t="shared" si="47"/>
        <v xml:space="preserve">N215T   </v>
      </c>
      <c r="BF1016">
        <v>1</v>
      </c>
      <c r="BH1016">
        <v>0</v>
      </c>
      <c r="BI1016">
        <v>0</v>
      </c>
      <c r="BJ1016">
        <v>0</v>
      </c>
      <c r="BK1016">
        <v>2350</v>
      </c>
      <c r="BL1016">
        <v>350</v>
      </c>
      <c r="BM1016" t="s">
        <v>119</v>
      </c>
      <c r="BN1016">
        <v>1</v>
      </c>
      <c r="BO1016">
        <v>1</v>
      </c>
      <c r="BP1016">
        <v>1</v>
      </c>
      <c r="BQ1016">
        <v>0</v>
      </c>
      <c r="BT1016">
        <v>0</v>
      </c>
      <c r="BU1016">
        <v>0</v>
      </c>
      <c r="BV1016">
        <v>0</v>
      </c>
      <c r="CC1016" t="str">
        <f>"18:51:36.141"</f>
        <v>18:51:36.141</v>
      </c>
      <c r="CD1016" t="str">
        <f>"138768710"</f>
        <v>138768710</v>
      </c>
      <c r="CQ1016">
        <v>0</v>
      </c>
      <c r="CR1016">
        <v>2</v>
      </c>
      <c r="CS1016">
        <v>0</v>
      </c>
      <c r="CT1016">
        <v>2</v>
      </c>
      <c r="CU1016">
        <v>0</v>
      </c>
      <c r="CV1016">
        <v>6</v>
      </c>
      <c r="CW1016" t="s">
        <v>120</v>
      </c>
      <c r="CX1016">
        <v>261</v>
      </c>
      <c r="CY1016">
        <v>2</v>
      </c>
      <c r="CZ1016" t="s">
        <v>121</v>
      </c>
      <c r="DA1016" t="s">
        <v>122</v>
      </c>
      <c r="DD1016">
        <v>14796632</v>
      </c>
      <c r="DE1016" t="s">
        <v>123</v>
      </c>
    </row>
    <row r="1017" spans="1:109" x14ac:dyDescent="0.3">
      <c r="A1017" t="str">
        <f>"18:51:37.500"</f>
        <v>18:51:37.500</v>
      </c>
      <c r="B1017" t="s">
        <v>110</v>
      </c>
      <c r="C1017" t="str">
        <f t="shared" si="45"/>
        <v>ffdfd3c0</v>
      </c>
      <c r="D1017" t="s">
        <v>111</v>
      </c>
      <c r="E1017">
        <v>18</v>
      </c>
      <c r="F1017">
        <v>1018</v>
      </c>
      <c r="G1017" t="s">
        <v>112</v>
      </c>
      <c r="J1017" t="s">
        <v>113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R1017" t="s">
        <v>114</v>
      </c>
      <c r="S1017" t="str">
        <f>"18:51:37.289"</f>
        <v>18:51:37.289</v>
      </c>
      <c r="T1017" t="str">
        <f>"18:51:36.891"</f>
        <v>18:51:36.891</v>
      </c>
      <c r="U1017" t="str">
        <f t="shared" si="46"/>
        <v>a1cdbe</v>
      </c>
      <c r="V1017">
        <v>0</v>
      </c>
      <c r="W1017">
        <v>0</v>
      </c>
      <c r="X1017">
        <v>1</v>
      </c>
      <c r="Y1017">
        <v>0</v>
      </c>
      <c r="Z1017">
        <v>0</v>
      </c>
      <c r="AB1017">
        <v>0</v>
      </c>
      <c r="AC1017">
        <v>9</v>
      </c>
      <c r="AD1017">
        <v>3</v>
      </c>
      <c r="AE1017">
        <v>0</v>
      </c>
      <c r="AF1017">
        <v>9</v>
      </c>
      <c r="AG1017" t="s">
        <v>158</v>
      </c>
      <c r="AH1017">
        <v>0</v>
      </c>
      <c r="AI1017">
        <v>3</v>
      </c>
      <c r="AJ1017">
        <v>1</v>
      </c>
      <c r="AK1017">
        <v>0</v>
      </c>
      <c r="AL1017" t="s">
        <v>2044</v>
      </c>
      <c r="AM1017">
        <v>46.846991000000003</v>
      </c>
      <c r="AN1017" t="s">
        <v>2048</v>
      </c>
      <c r="AO1017">
        <v>-122.52347899999999</v>
      </c>
      <c r="AP1017">
        <v>100</v>
      </c>
      <c r="AQ1017">
        <v>2000</v>
      </c>
      <c r="AR1017" t="s">
        <v>118</v>
      </c>
      <c r="AS1017">
        <v>-86</v>
      </c>
      <c r="AT1017">
        <v>-1</v>
      </c>
      <c r="AU1017">
        <v>0</v>
      </c>
      <c r="BC1017">
        <v>1200</v>
      </c>
      <c r="BD1017">
        <v>1</v>
      </c>
      <c r="BE1017" t="str">
        <f t="shared" si="47"/>
        <v xml:space="preserve">N215T   </v>
      </c>
      <c r="BF1017">
        <v>1</v>
      </c>
      <c r="BH1017">
        <v>0</v>
      </c>
      <c r="BI1017">
        <v>0</v>
      </c>
      <c r="BJ1017">
        <v>0</v>
      </c>
      <c r="BK1017">
        <v>2350</v>
      </c>
      <c r="BL1017">
        <v>350</v>
      </c>
      <c r="BM1017" t="s">
        <v>119</v>
      </c>
      <c r="BN1017">
        <v>1</v>
      </c>
      <c r="BO1017">
        <v>1</v>
      </c>
      <c r="BP1017">
        <v>1</v>
      </c>
      <c r="BQ1017">
        <v>0</v>
      </c>
      <c r="BT1017">
        <v>0</v>
      </c>
      <c r="BU1017">
        <v>0</v>
      </c>
      <c r="BV1017">
        <v>0</v>
      </c>
      <c r="CC1017" t="str">
        <f>"18:51:37.297"</f>
        <v>18:51:37.297</v>
      </c>
      <c r="CD1017" t="str">
        <f>"293770211"</f>
        <v>293770211</v>
      </c>
      <c r="CQ1017">
        <v>0</v>
      </c>
      <c r="CR1017">
        <v>2</v>
      </c>
      <c r="CS1017">
        <v>0</v>
      </c>
      <c r="CT1017">
        <v>2</v>
      </c>
      <c r="CU1017">
        <v>0</v>
      </c>
      <c r="CV1017">
        <v>3</v>
      </c>
      <c r="CW1017" t="s">
        <v>120</v>
      </c>
      <c r="CX1017">
        <v>257</v>
      </c>
      <c r="CY1017">
        <v>1</v>
      </c>
      <c r="CZ1017" t="s">
        <v>615</v>
      </c>
      <c r="DA1017" t="s">
        <v>616</v>
      </c>
      <c r="DD1017">
        <v>11130055</v>
      </c>
      <c r="DE1017" t="s">
        <v>123</v>
      </c>
    </row>
    <row r="1018" spans="1:109" x14ac:dyDescent="0.3">
      <c r="A1018" t="str">
        <f>"18:51:38.508"</f>
        <v>18:51:38.508</v>
      </c>
      <c r="B1018" t="s">
        <v>110</v>
      </c>
      <c r="C1018" t="str">
        <f t="shared" si="45"/>
        <v>ffdfd3c0</v>
      </c>
      <c r="D1018" t="s">
        <v>111</v>
      </c>
      <c r="E1018">
        <v>18</v>
      </c>
      <c r="F1018">
        <v>1018</v>
      </c>
      <c r="G1018" t="s">
        <v>112</v>
      </c>
      <c r="J1018" t="s">
        <v>113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R1018" t="s">
        <v>114</v>
      </c>
      <c r="S1018" t="str">
        <f>"18:51:38.266"</f>
        <v>18:51:38.266</v>
      </c>
      <c r="T1018" t="str">
        <f>"18:51:37.867"</f>
        <v>18:51:37.867</v>
      </c>
      <c r="U1018" t="str">
        <f t="shared" si="46"/>
        <v>a1cdbe</v>
      </c>
      <c r="V1018">
        <v>0</v>
      </c>
      <c r="W1018">
        <v>0</v>
      </c>
      <c r="X1018">
        <v>1</v>
      </c>
      <c r="Y1018">
        <v>0</v>
      </c>
      <c r="Z1018">
        <v>0</v>
      </c>
      <c r="AB1018">
        <v>0</v>
      </c>
      <c r="AC1018">
        <v>9</v>
      </c>
      <c r="AD1018">
        <v>3</v>
      </c>
      <c r="AE1018">
        <v>0</v>
      </c>
      <c r="AF1018">
        <v>9</v>
      </c>
      <c r="AG1018" t="s">
        <v>158</v>
      </c>
      <c r="AH1018">
        <v>0</v>
      </c>
      <c r="AI1018">
        <v>3</v>
      </c>
      <c r="AJ1018">
        <v>1</v>
      </c>
      <c r="AK1018">
        <v>0</v>
      </c>
      <c r="AL1018" t="s">
        <v>1983</v>
      </c>
      <c r="AM1018">
        <v>46.846969000000001</v>
      </c>
      <c r="AN1018" t="s">
        <v>2049</v>
      </c>
      <c r="AO1018">
        <v>-122.523994</v>
      </c>
      <c r="AP1018">
        <v>100</v>
      </c>
      <c r="AQ1018">
        <v>2000</v>
      </c>
      <c r="AR1018" t="s">
        <v>118</v>
      </c>
      <c r="AS1018">
        <v>-86</v>
      </c>
      <c r="AT1018">
        <v>-2</v>
      </c>
      <c r="AU1018">
        <v>-64</v>
      </c>
      <c r="BC1018">
        <v>1200</v>
      </c>
      <c r="BD1018">
        <v>1</v>
      </c>
      <c r="BE1018" t="str">
        <f t="shared" si="47"/>
        <v xml:space="preserve">N215T   </v>
      </c>
      <c r="BF1018">
        <v>1</v>
      </c>
      <c r="BH1018">
        <v>0</v>
      </c>
      <c r="BI1018">
        <v>0</v>
      </c>
      <c r="BJ1018">
        <v>0</v>
      </c>
      <c r="BK1018">
        <v>2350</v>
      </c>
      <c r="BL1018">
        <v>350</v>
      </c>
      <c r="BM1018" t="s">
        <v>119</v>
      </c>
      <c r="BN1018">
        <v>1</v>
      </c>
      <c r="BO1018">
        <v>1</v>
      </c>
      <c r="BP1018">
        <v>1</v>
      </c>
      <c r="BQ1018">
        <v>0</v>
      </c>
      <c r="BT1018">
        <v>0</v>
      </c>
      <c r="BU1018">
        <v>0</v>
      </c>
      <c r="BV1018">
        <v>0</v>
      </c>
      <c r="CC1018" t="str">
        <f>"18:51:38.266"</f>
        <v>18:51:38.266</v>
      </c>
      <c r="CD1018" t="str">
        <f>"268558926"</f>
        <v>268558926</v>
      </c>
      <c r="CQ1018">
        <v>0</v>
      </c>
      <c r="CR1018">
        <v>2</v>
      </c>
      <c r="CS1018">
        <v>0</v>
      </c>
      <c r="CT1018">
        <v>2</v>
      </c>
      <c r="CU1018">
        <v>0</v>
      </c>
      <c r="CV1018">
        <v>6</v>
      </c>
      <c r="CW1018" t="s">
        <v>120</v>
      </c>
      <c r="CX1018">
        <v>261</v>
      </c>
      <c r="CY1018">
        <v>2</v>
      </c>
      <c r="CZ1018" t="s">
        <v>121</v>
      </c>
      <c r="DA1018" t="s">
        <v>122</v>
      </c>
      <c r="DD1018">
        <v>14797852</v>
      </c>
      <c r="DE1018" t="s">
        <v>123</v>
      </c>
    </row>
    <row r="1019" spans="1:109" x14ac:dyDescent="0.3">
      <c r="A1019" t="str">
        <f>"18:51:39.359"</f>
        <v>18:51:39.359</v>
      </c>
      <c r="B1019" t="s">
        <v>110</v>
      </c>
      <c r="C1019" t="str">
        <f t="shared" si="45"/>
        <v>ffdfd3c0</v>
      </c>
      <c r="D1019" t="s">
        <v>111</v>
      </c>
      <c r="E1019">
        <v>18</v>
      </c>
      <c r="F1019">
        <v>1018</v>
      </c>
      <c r="G1019" t="s">
        <v>112</v>
      </c>
      <c r="J1019" t="s">
        <v>113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R1019" t="s">
        <v>114</v>
      </c>
      <c r="S1019" t="str">
        <f>"18:51:39.133"</f>
        <v>18:51:39.133</v>
      </c>
      <c r="T1019" t="str">
        <f>"18:51:38.930"</f>
        <v>18:51:38.930</v>
      </c>
      <c r="U1019" t="str">
        <f t="shared" si="46"/>
        <v>a1cdbe</v>
      </c>
      <c r="V1019">
        <v>0</v>
      </c>
      <c r="W1019">
        <v>0</v>
      </c>
      <c r="X1019">
        <v>1</v>
      </c>
      <c r="Y1019">
        <v>0</v>
      </c>
      <c r="Z1019">
        <v>0</v>
      </c>
      <c r="AB1019">
        <v>0</v>
      </c>
      <c r="AC1019">
        <v>9</v>
      </c>
      <c r="AD1019">
        <v>3</v>
      </c>
      <c r="AE1019">
        <v>0</v>
      </c>
      <c r="AF1019">
        <v>9</v>
      </c>
      <c r="AG1019" t="s">
        <v>158</v>
      </c>
      <c r="AH1019">
        <v>0</v>
      </c>
      <c r="AI1019">
        <v>3</v>
      </c>
      <c r="AJ1019">
        <v>1</v>
      </c>
      <c r="AK1019">
        <v>0</v>
      </c>
      <c r="AL1019" t="s">
        <v>1983</v>
      </c>
      <c r="AM1019">
        <v>46.846969000000001</v>
      </c>
      <c r="AN1019" t="s">
        <v>2050</v>
      </c>
      <c r="AO1019">
        <v>-122.524467</v>
      </c>
      <c r="AP1019">
        <v>100</v>
      </c>
      <c r="AQ1019">
        <v>2000</v>
      </c>
      <c r="AR1019" t="s">
        <v>118</v>
      </c>
      <c r="AS1019">
        <v>-85</v>
      </c>
      <c r="AT1019">
        <v>-2</v>
      </c>
      <c r="AU1019">
        <v>-64</v>
      </c>
      <c r="BC1019">
        <v>1200</v>
      </c>
      <c r="BD1019">
        <v>1</v>
      </c>
      <c r="BE1019" t="str">
        <f t="shared" si="47"/>
        <v xml:space="preserve">N215T   </v>
      </c>
      <c r="BF1019">
        <v>1</v>
      </c>
      <c r="BH1019">
        <v>0</v>
      </c>
      <c r="BI1019">
        <v>0</v>
      </c>
      <c r="BJ1019">
        <v>0</v>
      </c>
      <c r="BK1019">
        <v>2350</v>
      </c>
      <c r="BL1019">
        <v>350</v>
      </c>
      <c r="BM1019" t="s">
        <v>119</v>
      </c>
      <c r="BN1019">
        <v>1</v>
      </c>
      <c r="BO1019">
        <v>1</v>
      </c>
      <c r="BP1019">
        <v>1</v>
      </c>
      <c r="BQ1019">
        <v>0</v>
      </c>
      <c r="BT1019">
        <v>0</v>
      </c>
      <c r="BU1019">
        <v>0</v>
      </c>
      <c r="BV1019">
        <v>0</v>
      </c>
      <c r="CC1019" t="str">
        <f>"18:51:39.141"</f>
        <v>18:51:39.141</v>
      </c>
      <c r="CD1019" t="str">
        <f>"138454842"</f>
        <v>138454842</v>
      </c>
      <c r="CQ1019">
        <v>0</v>
      </c>
      <c r="CR1019">
        <v>2</v>
      </c>
      <c r="CS1019">
        <v>0</v>
      </c>
      <c r="CT1019">
        <v>2</v>
      </c>
      <c r="CU1019">
        <v>0</v>
      </c>
      <c r="CV1019">
        <v>3</v>
      </c>
      <c r="CW1019" t="s">
        <v>172</v>
      </c>
      <c r="CX1019">
        <v>326</v>
      </c>
      <c r="CY1019">
        <v>0</v>
      </c>
      <c r="CZ1019" t="s">
        <v>173</v>
      </c>
      <c r="DA1019" t="s">
        <v>174</v>
      </c>
      <c r="DD1019">
        <v>6154820</v>
      </c>
      <c r="DE1019" t="s">
        <v>123</v>
      </c>
    </row>
    <row r="1020" spans="1:109" x14ac:dyDescent="0.3">
      <c r="A1020" t="str">
        <f>"18:51:40.320"</f>
        <v>18:51:40.320</v>
      </c>
      <c r="B1020" t="s">
        <v>110</v>
      </c>
      <c r="C1020" t="str">
        <f t="shared" si="45"/>
        <v>ffdfd3c0</v>
      </c>
      <c r="D1020" t="s">
        <v>111</v>
      </c>
      <c r="E1020">
        <v>18</v>
      </c>
      <c r="F1020">
        <v>1018</v>
      </c>
      <c r="G1020" t="s">
        <v>112</v>
      </c>
      <c r="J1020" t="s">
        <v>113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R1020" t="s">
        <v>114</v>
      </c>
      <c r="S1020" t="str">
        <f>"18:51:40.094"</f>
        <v>18:51:40.094</v>
      </c>
      <c r="T1020" t="str">
        <f>"18:51:39.797"</f>
        <v>18:51:39.797</v>
      </c>
      <c r="U1020" t="str">
        <f t="shared" si="46"/>
        <v>a1cdbe</v>
      </c>
      <c r="V1020">
        <v>0</v>
      </c>
      <c r="W1020">
        <v>0</v>
      </c>
      <c r="X1020">
        <v>1</v>
      </c>
      <c r="Y1020">
        <v>0</v>
      </c>
      <c r="Z1020">
        <v>0</v>
      </c>
      <c r="AB1020">
        <v>0</v>
      </c>
      <c r="AC1020">
        <v>9</v>
      </c>
      <c r="AD1020">
        <v>3</v>
      </c>
      <c r="AE1020">
        <v>0</v>
      </c>
      <c r="AF1020">
        <v>9</v>
      </c>
      <c r="AG1020" t="s">
        <v>158</v>
      </c>
      <c r="AH1020">
        <v>0</v>
      </c>
      <c r="AI1020">
        <v>3</v>
      </c>
      <c r="AJ1020">
        <v>1</v>
      </c>
      <c r="AK1020">
        <v>0</v>
      </c>
      <c r="AL1020" t="s">
        <v>2044</v>
      </c>
      <c r="AM1020">
        <v>46.846991000000003</v>
      </c>
      <c r="AN1020" t="s">
        <v>2051</v>
      </c>
      <c r="AO1020">
        <v>-122.52508899999999</v>
      </c>
      <c r="AP1020">
        <v>100</v>
      </c>
      <c r="AQ1020">
        <v>2000</v>
      </c>
      <c r="AR1020" t="s">
        <v>118</v>
      </c>
      <c r="AS1020">
        <v>-85</v>
      </c>
      <c r="AT1020">
        <v>-1</v>
      </c>
      <c r="AU1020">
        <v>-128</v>
      </c>
      <c r="BC1020">
        <v>1200</v>
      </c>
      <c r="BD1020">
        <v>1</v>
      </c>
      <c r="BE1020" t="str">
        <f t="shared" si="47"/>
        <v xml:space="preserve">N215T   </v>
      </c>
      <c r="BF1020">
        <v>1</v>
      </c>
      <c r="BH1020">
        <v>0</v>
      </c>
      <c r="BI1020">
        <v>0</v>
      </c>
      <c r="BJ1020">
        <v>0</v>
      </c>
      <c r="BK1020">
        <v>2350</v>
      </c>
      <c r="BL1020">
        <v>350</v>
      </c>
      <c r="BM1020" t="s">
        <v>119</v>
      </c>
      <c r="BN1020">
        <v>1</v>
      </c>
      <c r="BO1020">
        <v>1</v>
      </c>
      <c r="BP1020">
        <v>1</v>
      </c>
      <c r="BQ1020">
        <v>0</v>
      </c>
      <c r="BT1020">
        <v>0</v>
      </c>
      <c r="BU1020">
        <v>0</v>
      </c>
      <c r="BV1020">
        <v>0</v>
      </c>
      <c r="CC1020" t="str">
        <f>"18:51:40.102"</f>
        <v>18:51:40.102</v>
      </c>
      <c r="CD1020" t="str">
        <f>"098378692"</f>
        <v>098378692</v>
      </c>
      <c r="CQ1020">
        <v>0</v>
      </c>
      <c r="CR1020">
        <v>2</v>
      </c>
      <c r="CS1020">
        <v>0</v>
      </c>
      <c r="CT1020">
        <v>2</v>
      </c>
      <c r="CU1020">
        <v>0</v>
      </c>
      <c r="CV1020">
        <v>6</v>
      </c>
      <c r="CW1020" t="s">
        <v>120</v>
      </c>
      <c r="CX1020">
        <v>261</v>
      </c>
      <c r="CY1020">
        <v>2</v>
      </c>
      <c r="CZ1020" t="s">
        <v>121</v>
      </c>
      <c r="DA1020" t="s">
        <v>122</v>
      </c>
      <c r="DD1020">
        <v>14798927</v>
      </c>
      <c r="DE1020" t="s">
        <v>123</v>
      </c>
    </row>
    <row r="1021" spans="1:109" x14ac:dyDescent="0.3">
      <c r="A1021" t="str">
        <f>"18:51:41.375"</f>
        <v>18:51:41.375</v>
      </c>
      <c r="B1021" t="s">
        <v>110</v>
      </c>
      <c r="C1021" t="str">
        <f t="shared" si="45"/>
        <v>ffdfd3c0</v>
      </c>
      <c r="D1021" t="s">
        <v>111</v>
      </c>
      <c r="E1021">
        <v>18</v>
      </c>
      <c r="F1021">
        <v>1018</v>
      </c>
      <c r="G1021" t="s">
        <v>112</v>
      </c>
      <c r="J1021" t="s">
        <v>113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R1021" t="s">
        <v>114</v>
      </c>
      <c r="S1021" t="str">
        <f>"18:51:41.156"</f>
        <v>18:51:41.156</v>
      </c>
      <c r="T1021" t="str">
        <f>"18:51:40.758"</f>
        <v>18:51:40.758</v>
      </c>
      <c r="U1021" t="str">
        <f t="shared" si="46"/>
        <v>a1cdbe</v>
      </c>
      <c r="V1021">
        <v>0</v>
      </c>
      <c r="W1021">
        <v>0</v>
      </c>
      <c r="X1021">
        <v>1</v>
      </c>
      <c r="Y1021">
        <v>0</v>
      </c>
      <c r="Z1021">
        <v>0</v>
      </c>
      <c r="AB1021">
        <v>0</v>
      </c>
      <c r="AC1021">
        <v>9</v>
      </c>
      <c r="AD1021">
        <v>3</v>
      </c>
      <c r="AE1021">
        <v>0</v>
      </c>
      <c r="AF1021">
        <v>9</v>
      </c>
      <c r="AG1021" t="s">
        <v>158</v>
      </c>
      <c r="AH1021">
        <v>0</v>
      </c>
      <c r="AI1021">
        <v>3</v>
      </c>
      <c r="AJ1021">
        <v>1</v>
      </c>
      <c r="AK1021">
        <v>0</v>
      </c>
      <c r="AL1021" t="s">
        <v>2044</v>
      </c>
      <c r="AM1021">
        <v>46.846991000000003</v>
      </c>
      <c r="AN1021" t="s">
        <v>2052</v>
      </c>
      <c r="AO1021">
        <v>-122.52569</v>
      </c>
      <c r="AP1021">
        <v>100</v>
      </c>
      <c r="AQ1021">
        <v>2000</v>
      </c>
      <c r="AR1021" t="s">
        <v>118</v>
      </c>
      <c r="AS1021">
        <v>-85</v>
      </c>
      <c r="AT1021">
        <v>-1</v>
      </c>
      <c r="AU1021">
        <v>-64</v>
      </c>
      <c r="BC1021">
        <v>1200</v>
      </c>
      <c r="BD1021">
        <v>1</v>
      </c>
      <c r="BE1021" t="str">
        <f t="shared" si="47"/>
        <v xml:space="preserve">N215T   </v>
      </c>
      <c r="BF1021">
        <v>1</v>
      </c>
      <c r="BH1021">
        <v>0</v>
      </c>
      <c r="BI1021">
        <v>0</v>
      </c>
      <c r="BJ1021">
        <v>0</v>
      </c>
      <c r="BK1021">
        <v>2350</v>
      </c>
      <c r="BL1021">
        <v>350</v>
      </c>
      <c r="BM1021" t="s">
        <v>119</v>
      </c>
      <c r="BN1021">
        <v>1</v>
      </c>
      <c r="BO1021">
        <v>1</v>
      </c>
      <c r="BP1021">
        <v>1</v>
      </c>
      <c r="BQ1021">
        <v>0</v>
      </c>
      <c r="BT1021">
        <v>0</v>
      </c>
      <c r="BU1021">
        <v>0</v>
      </c>
      <c r="BV1021">
        <v>0</v>
      </c>
      <c r="CC1021" t="str">
        <f>"18:51:41.164"</f>
        <v>18:51:41.164</v>
      </c>
      <c r="CD1021" t="str">
        <f>"163273793"</f>
        <v>163273793</v>
      </c>
      <c r="CQ1021">
        <v>0</v>
      </c>
      <c r="CR1021">
        <v>2</v>
      </c>
      <c r="CS1021">
        <v>0</v>
      </c>
      <c r="CT1021">
        <v>2</v>
      </c>
      <c r="CU1021">
        <v>0</v>
      </c>
      <c r="CV1021">
        <v>6</v>
      </c>
      <c r="CW1021" t="s">
        <v>120</v>
      </c>
      <c r="CX1021">
        <v>261</v>
      </c>
      <c r="CY1021">
        <v>2</v>
      </c>
      <c r="CZ1021" t="s">
        <v>121</v>
      </c>
      <c r="DA1021" t="s">
        <v>122</v>
      </c>
      <c r="DD1021">
        <v>14799542</v>
      </c>
      <c r="DE1021" t="s">
        <v>123</v>
      </c>
    </row>
    <row r="1022" spans="1:109" x14ac:dyDescent="0.3">
      <c r="A1022" t="str">
        <f>"18:51:42.477"</f>
        <v>18:51:42.477</v>
      </c>
      <c r="B1022" t="s">
        <v>110</v>
      </c>
      <c r="C1022" t="str">
        <f t="shared" si="45"/>
        <v>ffdfd3c0</v>
      </c>
      <c r="D1022" t="s">
        <v>111</v>
      </c>
      <c r="E1022">
        <v>18</v>
      </c>
      <c r="F1022">
        <v>1018</v>
      </c>
      <c r="G1022" t="s">
        <v>112</v>
      </c>
      <c r="J1022" t="s">
        <v>113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R1022" t="s">
        <v>114</v>
      </c>
      <c r="S1022" t="str">
        <f>"18:51:42.266"</f>
        <v>18:51:42.266</v>
      </c>
      <c r="T1022" t="str">
        <f>"18:51:41.766"</f>
        <v>18:51:41.766</v>
      </c>
      <c r="U1022" t="str">
        <f t="shared" si="46"/>
        <v>a1cdbe</v>
      </c>
      <c r="V1022">
        <v>0</v>
      </c>
      <c r="W1022">
        <v>0</v>
      </c>
      <c r="X1022">
        <v>1</v>
      </c>
      <c r="Y1022">
        <v>0</v>
      </c>
      <c r="Z1022">
        <v>0</v>
      </c>
      <c r="AB1022">
        <v>0</v>
      </c>
      <c r="AC1022">
        <v>9</v>
      </c>
      <c r="AD1022">
        <v>3</v>
      </c>
      <c r="AE1022">
        <v>0</v>
      </c>
      <c r="AF1022">
        <v>9</v>
      </c>
      <c r="AG1022" t="s">
        <v>158</v>
      </c>
      <c r="AH1022">
        <v>0</v>
      </c>
      <c r="AI1022">
        <v>3</v>
      </c>
      <c r="AJ1022">
        <v>1</v>
      </c>
      <c r="AK1022">
        <v>0</v>
      </c>
      <c r="AL1022" t="s">
        <v>1983</v>
      </c>
      <c r="AM1022">
        <v>46.846969000000001</v>
      </c>
      <c r="AN1022" t="s">
        <v>2053</v>
      </c>
      <c r="AO1022">
        <v>-122.52633299999999</v>
      </c>
      <c r="AP1022">
        <v>100</v>
      </c>
      <c r="AQ1022">
        <v>2000</v>
      </c>
      <c r="AR1022" t="s">
        <v>118</v>
      </c>
      <c r="AS1022">
        <v>-85</v>
      </c>
      <c r="AT1022">
        <v>0</v>
      </c>
      <c r="AU1022">
        <v>-64</v>
      </c>
      <c r="BC1022">
        <v>1200</v>
      </c>
      <c r="BD1022">
        <v>1</v>
      </c>
      <c r="BE1022" t="str">
        <f t="shared" si="47"/>
        <v xml:space="preserve">N215T   </v>
      </c>
      <c r="BF1022">
        <v>1</v>
      </c>
      <c r="BH1022">
        <v>0</v>
      </c>
      <c r="BI1022">
        <v>0</v>
      </c>
      <c r="BJ1022">
        <v>0</v>
      </c>
      <c r="BK1022">
        <v>2350</v>
      </c>
      <c r="BL1022">
        <v>350</v>
      </c>
      <c r="BM1022" t="s">
        <v>119</v>
      </c>
      <c r="BN1022">
        <v>1</v>
      </c>
      <c r="BO1022">
        <v>1</v>
      </c>
      <c r="BP1022">
        <v>1</v>
      </c>
      <c r="BQ1022">
        <v>0</v>
      </c>
      <c r="BT1022">
        <v>0</v>
      </c>
      <c r="BU1022">
        <v>0</v>
      </c>
      <c r="BV1022">
        <v>0</v>
      </c>
      <c r="CC1022" t="str">
        <f>"18:51:42.273"</f>
        <v>18:51:42.273</v>
      </c>
      <c r="CD1022" t="str">
        <f>"273164457"</f>
        <v>273164457</v>
      </c>
      <c r="CQ1022">
        <v>0</v>
      </c>
      <c r="CR1022">
        <v>2</v>
      </c>
      <c r="CS1022">
        <v>0</v>
      </c>
      <c r="CT1022">
        <v>2</v>
      </c>
      <c r="CU1022">
        <v>0</v>
      </c>
      <c r="CV1022">
        <v>6</v>
      </c>
      <c r="CW1022" t="s">
        <v>120</v>
      </c>
      <c r="CX1022">
        <v>261</v>
      </c>
      <c r="CY1022">
        <v>2</v>
      </c>
      <c r="CZ1022" t="s">
        <v>121</v>
      </c>
      <c r="DA1022" t="s">
        <v>122</v>
      </c>
      <c r="DD1022">
        <v>14800241</v>
      </c>
      <c r="DE1022" t="s">
        <v>123</v>
      </c>
    </row>
    <row r="1023" spans="1:109" x14ac:dyDescent="0.3">
      <c r="A1023" t="str">
        <f>"18:51:43.586"</f>
        <v>18:51:43.586</v>
      </c>
      <c r="B1023" t="s">
        <v>110</v>
      </c>
      <c r="C1023" t="str">
        <f t="shared" si="45"/>
        <v>ffdfd3c0</v>
      </c>
      <c r="D1023" t="s">
        <v>111</v>
      </c>
      <c r="E1023">
        <v>18</v>
      </c>
      <c r="F1023">
        <v>1018</v>
      </c>
      <c r="G1023" t="s">
        <v>112</v>
      </c>
      <c r="J1023" t="s">
        <v>113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R1023" t="s">
        <v>114</v>
      </c>
      <c r="S1023" t="str">
        <f>"18:51:43.352"</f>
        <v>18:51:43.352</v>
      </c>
      <c r="T1023" t="str">
        <f>"18:51:42.852"</f>
        <v>18:51:42.852</v>
      </c>
      <c r="U1023" t="str">
        <f t="shared" si="46"/>
        <v>a1cdbe</v>
      </c>
      <c r="V1023">
        <v>0</v>
      </c>
      <c r="W1023">
        <v>0</v>
      </c>
      <c r="X1023">
        <v>1</v>
      </c>
      <c r="Y1023">
        <v>0</v>
      </c>
      <c r="Z1023">
        <v>0</v>
      </c>
      <c r="AB1023">
        <v>0</v>
      </c>
      <c r="AC1023">
        <v>9</v>
      </c>
      <c r="AD1023">
        <v>3</v>
      </c>
      <c r="AE1023">
        <v>0</v>
      </c>
      <c r="AF1023">
        <v>9</v>
      </c>
      <c r="AG1023" t="s">
        <v>158</v>
      </c>
      <c r="AH1023">
        <v>0</v>
      </c>
      <c r="AI1023">
        <v>3</v>
      </c>
      <c r="AJ1023">
        <v>1</v>
      </c>
      <c r="AK1023">
        <v>0</v>
      </c>
      <c r="AL1023" t="s">
        <v>1983</v>
      </c>
      <c r="AM1023">
        <v>46.846969000000001</v>
      </c>
      <c r="AN1023" t="s">
        <v>2054</v>
      </c>
      <c r="AO1023">
        <v>-122.526956</v>
      </c>
      <c r="AP1023">
        <v>100</v>
      </c>
      <c r="AQ1023">
        <v>2000</v>
      </c>
      <c r="AR1023" t="s">
        <v>118</v>
      </c>
      <c r="AS1023">
        <v>-84</v>
      </c>
      <c r="AT1023">
        <v>0</v>
      </c>
      <c r="AU1023">
        <v>-64</v>
      </c>
      <c r="BC1023">
        <v>1200</v>
      </c>
      <c r="BD1023">
        <v>1</v>
      </c>
      <c r="BE1023" t="str">
        <f t="shared" si="47"/>
        <v xml:space="preserve">N215T   </v>
      </c>
      <c r="BF1023">
        <v>1</v>
      </c>
      <c r="BH1023">
        <v>0</v>
      </c>
      <c r="BI1023">
        <v>0</v>
      </c>
      <c r="BJ1023">
        <v>0</v>
      </c>
      <c r="BK1023">
        <v>2350</v>
      </c>
      <c r="BL1023">
        <v>350</v>
      </c>
      <c r="BM1023" t="s">
        <v>119</v>
      </c>
      <c r="BN1023">
        <v>1</v>
      </c>
      <c r="BO1023">
        <v>1</v>
      </c>
      <c r="BP1023">
        <v>1</v>
      </c>
      <c r="BQ1023">
        <v>0</v>
      </c>
      <c r="BT1023">
        <v>0</v>
      </c>
      <c r="BU1023">
        <v>0</v>
      </c>
      <c r="BV1023">
        <v>0</v>
      </c>
      <c r="CC1023" t="str">
        <f>"18:51:43.352"</f>
        <v>18:51:43.352</v>
      </c>
      <c r="CD1023" t="str">
        <f>"353058093"</f>
        <v>353058093</v>
      </c>
      <c r="CQ1023">
        <v>0</v>
      </c>
      <c r="CR1023">
        <v>2</v>
      </c>
      <c r="CS1023">
        <v>0</v>
      </c>
      <c r="CT1023">
        <v>2</v>
      </c>
      <c r="CU1023">
        <v>0</v>
      </c>
      <c r="CV1023">
        <v>6</v>
      </c>
      <c r="CW1023" t="s">
        <v>120</v>
      </c>
      <c r="CX1023">
        <v>261</v>
      </c>
      <c r="CY1023">
        <v>2</v>
      </c>
      <c r="CZ1023" t="s">
        <v>121</v>
      </c>
      <c r="DA1023" t="s">
        <v>122</v>
      </c>
      <c r="DD1023">
        <v>14800882</v>
      </c>
      <c r="DE1023" t="s">
        <v>123</v>
      </c>
    </row>
    <row r="1024" spans="1:109" x14ac:dyDescent="0.3">
      <c r="A1024" t="str">
        <f>"18:51:44.539"</f>
        <v>18:51:44.539</v>
      </c>
      <c r="B1024" t="s">
        <v>110</v>
      </c>
      <c r="C1024" t="str">
        <f t="shared" si="45"/>
        <v>ffdfd3c0</v>
      </c>
      <c r="D1024" t="s">
        <v>111</v>
      </c>
      <c r="E1024">
        <v>18</v>
      </c>
      <c r="F1024">
        <v>1018</v>
      </c>
      <c r="G1024" t="s">
        <v>112</v>
      </c>
      <c r="J1024" t="s">
        <v>113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R1024" t="s">
        <v>114</v>
      </c>
      <c r="S1024" t="str">
        <f>"18:51:44.320"</f>
        <v>18:51:44.320</v>
      </c>
      <c r="T1024" t="str">
        <f>"18:51:43.922"</f>
        <v>18:51:43.922</v>
      </c>
      <c r="U1024" t="str">
        <f t="shared" si="46"/>
        <v>a1cdbe</v>
      </c>
      <c r="V1024">
        <v>0</v>
      </c>
      <c r="W1024">
        <v>0</v>
      </c>
      <c r="X1024">
        <v>1</v>
      </c>
      <c r="Y1024">
        <v>0</v>
      </c>
      <c r="Z1024">
        <v>0</v>
      </c>
      <c r="AB1024">
        <v>0</v>
      </c>
      <c r="AC1024">
        <v>9</v>
      </c>
      <c r="AD1024">
        <v>3</v>
      </c>
      <c r="AE1024">
        <v>0</v>
      </c>
      <c r="AF1024">
        <v>9</v>
      </c>
      <c r="AG1024" t="s">
        <v>158</v>
      </c>
      <c r="AH1024">
        <v>0</v>
      </c>
      <c r="AI1024">
        <v>3</v>
      </c>
      <c r="AJ1024">
        <v>1</v>
      </c>
      <c r="AK1024">
        <v>0</v>
      </c>
      <c r="AL1024" t="s">
        <v>1983</v>
      </c>
      <c r="AM1024">
        <v>46.846969000000001</v>
      </c>
      <c r="AN1024" t="s">
        <v>2055</v>
      </c>
      <c r="AO1024">
        <v>-122.527492</v>
      </c>
      <c r="AP1024">
        <v>100</v>
      </c>
      <c r="AQ1024">
        <v>2000</v>
      </c>
      <c r="AR1024" t="s">
        <v>118</v>
      </c>
      <c r="AS1024">
        <v>-84</v>
      </c>
      <c r="AT1024">
        <v>1</v>
      </c>
      <c r="AU1024">
        <v>0</v>
      </c>
      <c r="BC1024">
        <v>1200</v>
      </c>
      <c r="BD1024">
        <v>1</v>
      </c>
      <c r="BE1024" t="str">
        <f t="shared" si="47"/>
        <v xml:space="preserve">N215T   </v>
      </c>
      <c r="BF1024">
        <v>1</v>
      </c>
      <c r="BH1024">
        <v>0</v>
      </c>
      <c r="BI1024">
        <v>0</v>
      </c>
      <c r="BJ1024">
        <v>0</v>
      </c>
      <c r="BK1024">
        <v>2350</v>
      </c>
      <c r="BL1024">
        <v>350</v>
      </c>
      <c r="BM1024" t="s">
        <v>119</v>
      </c>
      <c r="BN1024">
        <v>1</v>
      </c>
      <c r="BO1024">
        <v>1</v>
      </c>
      <c r="BP1024">
        <v>1</v>
      </c>
      <c r="BQ1024">
        <v>0</v>
      </c>
      <c r="BT1024">
        <v>0</v>
      </c>
      <c r="BU1024">
        <v>0</v>
      </c>
      <c r="BV1024">
        <v>0</v>
      </c>
      <c r="CC1024" t="str">
        <f>"18:51:44.328"</f>
        <v>18:51:44.328</v>
      </c>
      <c r="CD1024" t="str">
        <f>"327962050"</f>
        <v>327962050</v>
      </c>
      <c r="CQ1024">
        <v>0</v>
      </c>
      <c r="CR1024">
        <v>2</v>
      </c>
      <c r="CS1024">
        <v>0</v>
      </c>
      <c r="CT1024">
        <v>2</v>
      </c>
      <c r="CU1024">
        <v>0</v>
      </c>
      <c r="CV1024">
        <v>6</v>
      </c>
      <c r="CW1024" t="s">
        <v>120</v>
      </c>
      <c r="CX1024">
        <v>261</v>
      </c>
      <c r="CY1024">
        <v>2</v>
      </c>
      <c r="CZ1024" t="s">
        <v>121</v>
      </c>
      <c r="DA1024" t="s">
        <v>122</v>
      </c>
      <c r="DD1024">
        <v>14801514</v>
      </c>
      <c r="DE1024" t="s">
        <v>123</v>
      </c>
    </row>
    <row r="1025" spans="1:109" x14ac:dyDescent="0.3">
      <c r="A1025" t="str">
        <f>"18:51:45.445"</f>
        <v>18:51:45.445</v>
      </c>
      <c r="B1025" t="s">
        <v>110</v>
      </c>
      <c r="C1025" t="str">
        <f t="shared" si="45"/>
        <v>ffdfd3c0</v>
      </c>
      <c r="D1025" t="s">
        <v>111</v>
      </c>
      <c r="E1025">
        <v>18</v>
      </c>
      <c r="F1025">
        <v>1018</v>
      </c>
      <c r="G1025" t="s">
        <v>112</v>
      </c>
      <c r="J1025" t="s">
        <v>113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R1025" t="s">
        <v>114</v>
      </c>
      <c r="S1025" t="str">
        <f>"18:51:45.180"</f>
        <v>18:51:45.180</v>
      </c>
      <c r="T1025" t="str">
        <f>"18:51:44.883"</f>
        <v>18:51:44.883</v>
      </c>
      <c r="U1025" t="str">
        <f t="shared" si="46"/>
        <v>a1cdbe</v>
      </c>
      <c r="V1025">
        <v>0</v>
      </c>
      <c r="W1025">
        <v>0</v>
      </c>
      <c r="X1025">
        <v>1</v>
      </c>
      <c r="Y1025">
        <v>0</v>
      </c>
      <c r="Z1025">
        <v>0</v>
      </c>
      <c r="AB1025">
        <v>0</v>
      </c>
      <c r="AC1025">
        <v>9</v>
      </c>
      <c r="AD1025">
        <v>3</v>
      </c>
      <c r="AE1025">
        <v>0</v>
      </c>
      <c r="AF1025">
        <v>9</v>
      </c>
      <c r="AG1025" t="s">
        <v>158</v>
      </c>
      <c r="AH1025">
        <v>0</v>
      </c>
      <c r="AI1025">
        <v>3</v>
      </c>
      <c r="AJ1025">
        <v>1</v>
      </c>
      <c r="AK1025">
        <v>0</v>
      </c>
      <c r="AL1025" t="s">
        <v>2044</v>
      </c>
      <c r="AM1025">
        <v>46.846991000000003</v>
      </c>
      <c r="AN1025" t="s">
        <v>2056</v>
      </c>
      <c r="AO1025">
        <v>-122.527964</v>
      </c>
      <c r="AP1025">
        <v>100</v>
      </c>
      <c r="AQ1025">
        <v>2000</v>
      </c>
      <c r="AR1025" t="s">
        <v>118</v>
      </c>
      <c r="AS1025">
        <v>-84</v>
      </c>
      <c r="AT1025">
        <v>1</v>
      </c>
      <c r="AU1025">
        <v>64</v>
      </c>
      <c r="BC1025">
        <v>1200</v>
      </c>
      <c r="BD1025">
        <v>1</v>
      </c>
      <c r="BE1025" t="str">
        <f t="shared" si="47"/>
        <v xml:space="preserve">N215T   </v>
      </c>
      <c r="BF1025">
        <v>1</v>
      </c>
      <c r="BH1025">
        <v>0</v>
      </c>
      <c r="BI1025">
        <v>0</v>
      </c>
      <c r="BJ1025">
        <v>0</v>
      </c>
      <c r="BK1025">
        <v>2350</v>
      </c>
      <c r="BL1025">
        <v>350</v>
      </c>
      <c r="BM1025" t="s">
        <v>119</v>
      </c>
      <c r="BN1025">
        <v>1</v>
      </c>
      <c r="BO1025">
        <v>1</v>
      </c>
      <c r="BP1025">
        <v>1</v>
      </c>
      <c r="BQ1025">
        <v>0</v>
      </c>
      <c r="BT1025">
        <v>0</v>
      </c>
      <c r="BU1025">
        <v>0</v>
      </c>
      <c r="BV1025">
        <v>0</v>
      </c>
      <c r="CC1025" t="str">
        <f>"18:51:45.180"</f>
        <v>18:51:45.180</v>
      </c>
      <c r="CD1025" t="str">
        <f>"182877834"</f>
        <v>182877834</v>
      </c>
      <c r="CQ1025">
        <v>0</v>
      </c>
      <c r="CR1025">
        <v>2</v>
      </c>
      <c r="CS1025">
        <v>0</v>
      </c>
      <c r="CT1025">
        <v>2</v>
      </c>
      <c r="CU1025">
        <v>0</v>
      </c>
      <c r="CV1025">
        <v>6</v>
      </c>
      <c r="CW1025" t="s">
        <v>120</v>
      </c>
      <c r="CX1025">
        <v>261</v>
      </c>
      <c r="CY1025">
        <v>2</v>
      </c>
      <c r="CZ1025" t="s">
        <v>121</v>
      </c>
      <c r="DA1025" t="s">
        <v>122</v>
      </c>
      <c r="DD1025">
        <v>14801976</v>
      </c>
      <c r="DE1025" t="s">
        <v>123</v>
      </c>
    </row>
    <row r="1026" spans="1:109" x14ac:dyDescent="0.3">
      <c r="A1026" t="str">
        <f>"18:51:46.398"</f>
        <v>18:51:46.398</v>
      </c>
      <c r="B1026" t="s">
        <v>110</v>
      </c>
      <c r="C1026" t="str">
        <f t="shared" ref="C1026:C1089" si="48">"ffdfd3c0"</f>
        <v>ffdfd3c0</v>
      </c>
      <c r="D1026" t="s">
        <v>111</v>
      </c>
      <c r="E1026">
        <v>18</v>
      </c>
      <c r="F1026">
        <v>1018</v>
      </c>
      <c r="G1026" t="s">
        <v>112</v>
      </c>
      <c r="J1026" t="s">
        <v>113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R1026" t="s">
        <v>114</v>
      </c>
      <c r="S1026" t="str">
        <f>"18:51:46.141"</f>
        <v>18:51:46.141</v>
      </c>
      <c r="T1026" t="str">
        <f>"18:51:45.844"</f>
        <v>18:51:45.844</v>
      </c>
      <c r="U1026" t="str">
        <f t="shared" ref="U1026:U1089" si="49">"a1cdbe"</f>
        <v>a1cdbe</v>
      </c>
      <c r="V1026">
        <v>0</v>
      </c>
      <c r="W1026">
        <v>0</v>
      </c>
      <c r="X1026">
        <v>1</v>
      </c>
      <c r="Y1026">
        <v>0</v>
      </c>
      <c r="Z1026">
        <v>0</v>
      </c>
      <c r="AB1026">
        <v>0</v>
      </c>
      <c r="AC1026">
        <v>9</v>
      </c>
      <c r="AD1026">
        <v>3</v>
      </c>
      <c r="AE1026">
        <v>0</v>
      </c>
      <c r="AF1026">
        <v>9</v>
      </c>
      <c r="AG1026" t="s">
        <v>158</v>
      </c>
      <c r="AH1026">
        <v>0</v>
      </c>
      <c r="AI1026">
        <v>3</v>
      </c>
      <c r="AJ1026">
        <v>1</v>
      </c>
      <c r="AK1026">
        <v>0</v>
      </c>
      <c r="AL1026" t="s">
        <v>2044</v>
      </c>
      <c r="AM1026">
        <v>46.846991000000003</v>
      </c>
      <c r="AN1026" t="s">
        <v>2057</v>
      </c>
      <c r="AO1026">
        <v>-122.52850100000001</v>
      </c>
      <c r="AP1026">
        <v>100</v>
      </c>
      <c r="AQ1026">
        <v>2000</v>
      </c>
      <c r="AR1026" t="s">
        <v>118</v>
      </c>
      <c r="AS1026">
        <v>-83</v>
      </c>
      <c r="AT1026">
        <v>1</v>
      </c>
      <c r="AU1026">
        <v>128</v>
      </c>
      <c r="BC1026">
        <v>1200</v>
      </c>
      <c r="BD1026">
        <v>1</v>
      </c>
      <c r="BE1026" t="str">
        <f t="shared" ref="BE1026:BE1089" si="50">"N215T   "</f>
        <v xml:space="preserve">N215T   </v>
      </c>
      <c r="BF1026">
        <v>1</v>
      </c>
      <c r="BH1026">
        <v>0</v>
      </c>
      <c r="BI1026">
        <v>0</v>
      </c>
      <c r="BJ1026">
        <v>0</v>
      </c>
      <c r="BK1026">
        <v>2350</v>
      </c>
      <c r="BL1026">
        <v>350</v>
      </c>
      <c r="BM1026" t="s">
        <v>119</v>
      </c>
      <c r="BN1026">
        <v>1</v>
      </c>
      <c r="BO1026">
        <v>1</v>
      </c>
      <c r="BP1026">
        <v>1</v>
      </c>
      <c r="BQ1026">
        <v>0</v>
      </c>
      <c r="BT1026">
        <v>0</v>
      </c>
      <c r="BU1026">
        <v>0</v>
      </c>
      <c r="BV1026">
        <v>0</v>
      </c>
      <c r="CC1026" t="str">
        <f>"18:51:46.141"</f>
        <v>18:51:46.141</v>
      </c>
      <c r="CD1026" t="str">
        <f>"142783283"</f>
        <v>142783283</v>
      </c>
      <c r="CQ1026">
        <v>0</v>
      </c>
      <c r="CR1026">
        <v>2</v>
      </c>
      <c r="CS1026">
        <v>0</v>
      </c>
      <c r="CT1026">
        <v>2</v>
      </c>
      <c r="CU1026">
        <v>0</v>
      </c>
      <c r="CV1026">
        <v>6</v>
      </c>
      <c r="CW1026" t="s">
        <v>120</v>
      </c>
      <c r="CX1026">
        <v>261</v>
      </c>
      <c r="CY1026">
        <v>2</v>
      </c>
      <c r="CZ1026" t="s">
        <v>121</v>
      </c>
      <c r="DA1026" t="s">
        <v>122</v>
      </c>
      <c r="DD1026">
        <v>14802493</v>
      </c>
      <c r="DE1026" t="s">
        <v>123</v>
      </c>
    </row>
    <row r="1027" spans="1:109" x14ac:dyDescent="0.3">
      <c r="A1027" t="str">
        <f>"18:51:47.461"</f>
        <v>18:51:47.461</v>
      </c>
      <c r="B1027" t="s">
        <v>110</v>
      </c>
      <c r="C1027" t="str">
        <f t="shared" si="48"/>
        <v>ffdfd3c0</v>
      </c>
      <c r="D1027" t="s">
        <v>111</v>
      </c>
      <c r="E1027">
        <v>18</v>
      </c>
      <c r="F1027">
        <v>1018</v>
      </c>
      <c r="G1027" t="s">
        <v>112</v>
      </c>
      <c r="J1027" t="s">
        <v>113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R1027" t="s">
        <v>114</v>
      </c>
      <c r="S1027" t="str">
        <f>"18:51:47.219"</f>
        <v>18:51:47.219</v>
      </c>
      <c r="T1027" t="str">
        <f>"18:51:46.820"</f>
        <v>18:51:46.820</v>
      </c>
      <c r="U1027" t="str">
        <f t="shared" si="49"/>
        <v>a1cdbe</v>
      </c>
      <c r="V1027">
        <v>0</v>
      </c>
      <c r="W1027">
        <v>0</v>
      </c>
      <c r="X1027">
        <v>1</v>
      </c>
      <c r="Y1027">
        <v>0</v>
      </c>
      <c r="Z1027">
        <v>0</v>
      </c>
      <c r="AB1027">
        <v>0</v>
      </c>
      <c r="AC1027">
        <v>9</v>
      </c>
      <c r="AD1027">
        <v>3</v>
      </c>
      <c r="AE1027">
        <v>0</v>
      </c>
      <c r="AF1027">
        <v>9</v>
      </c>
      <c r="AG1027" t="s">
        <v>158</v>
      </c>
      <c r="AH1027">
        <v>0</v>
      </c>
      <c r="AI1027">
        <v>3</v>
      </c>
      <c r="AJ1027">
        <v>1</v>
      </c>
      <c r="AK1027">
        <v>0</v>
      </c>
      <c r="AL1027" t="s">
        <v>2044</v>
      </c>
      <c r="AM1027">
        <v>46.846991000000003</v>
      </c>
      <c r="AN1027" t="s">
        <v>2058</v>
      </c>
      <c r="AO1027">
        <v>-122.529101</v>
      </c>
      <c r="AP1027">
        <v>100</v>
      </c>
      <c r="AQ1027">
        <v>2000</v>
      </c>
      <c r="AR1027" t="s">
        <v>118</v>
      </c>
      <c r="AS1027">
        <v>-82</v>
      </c>
      <c r="AT1027">
        <v>1</v>
      </c>
      <c r="AU1027">
        <v>256</v>
      </c>
      <c r="BC1027">
        <v>1200</v>
      </c>
      <c r="BD1027">
        <v>1</v>
      </c>
      <c r="BE1027" t="str">
        <f t="shared" si="50"/>
        <v xml:space="preserve">N215T   </v>
      </c>
      <c r="BF1027">
        <v>1</v>
      </c>
      <c r="BH1027">
        <v>0</v>
      </c>
      <c r="BI1027">
        <v>0</v>
      </c>
      <c r="BJ1027">
        <v>0</v>
      </c>
      <c r="BK1027">
        <v>2350</v>
      </c>
      <c r="BL1027">
        <v>350</v>
      </c>
      <c r="BM1027" t="s">
        <v>119</v>
      </c>
      <c r="BN1027">
        <v>1</v>
      </c>
      <c r="BO1027">
        <v>1</v>
      </c>
      <c r="BP1027">
        <v>1</v>
      </c>
      <c r="BQ1027">
        <v>0</v>
      </c>
      <c r="BT1027">
        <v>0</v>
      </c>
      <c r="BU1027">
        <v>0</v>
      </c>
      <c r="BV1027">
        <v>0</v>
      </c>
      <c r="CC1027" t="str">
        <f>"18:51:47.227"</f>
        <v>18:51:47.227</v>
      </c>
      <c r="CD1027" t="str">
        <f>"222676891"</f>
        <v>222676891</v>
      </c>
      <c r="CQ1027">
        <v>0</v>
      </c>
      <c r="CR1027">
        <v>2</v>
      </c>
      <c r="CS1027">
        <v>0</v>
      </c>
      <c r="CT1027">
        <v>2</v>
      </c>
      <c r="CU1027">
        <v>0</v>
      </c>
      <c r="CV1027">
        <v>6</v>
      </c>
      <c r="CW1027" t="s">
        <v>120</v>
      </c>
      <c r="CX1027">
        <v>261</v>
      </c>
      <c r="CY1027">
        <v>2</v>
      </c>
      <c r="CZ1027" t="s">
        <v>121</v>
      </c>
      <c r="DA1027" t="s">
        <v>122</v>
      </c>
      <c r="DD1027">
        <v>14803150</v>
      </c>
      <c r="DE1027" t="s">
        <v>123</v>
      </c>
    </row>
    <row r="1028" spans="1:109" x14ac:dyDescent="0.3">
      <c r="A1028" t="str">
        <f>"18:51:48.461"</f>
        <v>18:51:48.461</v>
      </c>
      <c r="B1028" t="s">
        <v>110</v>
      </c>
      <c r="C1028" t="str">
        <f t="shared" si="48"/>
        <v>ffdfd3c0</v>
      </c>
      <c r="D1028" t="s">
        <v>111</v>
      </c>
      <c r="E1028">
        <v>18</v>
      </c>
      <c r="F1028">
        <v>1018</v>
      </c>
      <c r="G1028" t="s">
        <v>112</v>
      </c>
      <c r="J1028" t="s">
        <v>113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R1028" t="s">
        <v>114</v>
      </c>
      <c r="S1028" t="str">
        <f>"18:51:48.242"</f>
        <v>18:51:48.242</v>
      </c>
      <c r="T1028" t="str">
        <f>"18:51:47.945"</f>
        <v>18:51:47.945</v>
      </c>
      <c r="U1028" t="str">
        <f t="shared" si="49"/>
        <v>a1cdbe</v>
      </c>
      <c r="V1028">
        <v>0</v>
      </c>
      <c r="W1028">
        <v>0</v>
      </c>
      <c r="X1028">
        <v>1</v>
      </c>
      <c r="Y1028">
        <v>0</v>
      </c>
      <c r="Z1028">
        <v>0</v>
      </c>
      <c r="AB1028">
        <v>0</v>
      </c>
      <c r="AC1028">
        <v>9</v>
      </c>
      <c r="AD1028">
        <v>3</v>
      </c>
      <c r="AE1028">
        <v>0</v>
      </c>
      <c r="AF1028">
        <v>9</v>
      </c>
      <c r="AG1028" t="s">
        <v>158</v>
      </c>
      <c r="AH1028">
        <v>0</v>
      </c>
      <c r="AI1028">
        <v>3</v>
      </c>
      <c r="AJ1028">
        <v>1</v>
      </c>
      <c r="AK1028">
        <v>0</v>
      </c>
      <c r="AL1028" t="s">
        <v>2040</v>
      </c>
      <c r="AM1028">
        <v>46.847011999999999</v>
      </c>
      <c r="AN1028" t="s">
        <v>2059</v>
      </c>
      <c r="AO1028">
        <v>-122.529702</v>
      </c>
      <c r="AP1028">
        <v>100</v>
      </c>
      <c r="AQ1028">
        <v>2000</v>
      </c>
      <c r="AR1028" t="s">
        <v>118</v>
      </c>
      <c r="AS1028">
        <v>-82</v>
      </c>
      <c r="AT1028">
        <v>2</v>
      </c>
      <c r="AU1028">
        <v>256</v>
      </c>
      <c r="BC1028">
        <v>1200</v>
      </c>
      <c r="BD1028">
        <v>1</v>
      </c>
      <c r="BE1028" t="str">
        <f t="shared" si="50"/>
        <v xml:space="preserve">N215T   </v>
      </c>
      <c r="BF1028">
        <v>1</v>
      </c>
      <c r="BH1028">
        <v>0</v>
      </c>
      <c r="BI1028">
        <v>0</v>
      </c>
      <c r="BJ1028">
        <v>0</v>
      </c>
      <c r="BK1028">
        <v>2350</v>
      </c>
      <c r="BL1028">
        <v>350</v>
      </c>
      <c r="BM1028" t="s">
        <v>119</v>
      </c>
      <c r="BN1028">
        <v>1</v>
      </c>
      <c r="BO1028">
        <v>1</v>
      </c>
      <c r="BP1028">
        <v>1</v>
      </c>
      <c r="BQ1028">
        <v>0</v>
      </c>
      <c r="BT1028">
        <v>0</v>
      </c>
      <c r="BU1028">
        <v>0</v>
      </c>
      <c r="BV1028">
        <v>0</v>
      </c>
      <c r="CC1028" t="str">
        <f>"18:51:48.242"</f>
        <v>18:51:48.242</v>
      </c>
      <c r="CD1028" t="str">
        <f>"242576446"</f>
        <v>242576446</v>
      </c>
      <c r="CQ1028">
        <v>0</v>
      </c>
      <c r="CR1028">
        <v>2</v>
      </c>
      <c r="CS1028">
        <v>0</v>
      </c>
      <c r="CT1028">
        <v>2</v>
      </c>
      <c r="CU1028">
        <v>0</v>
      </c>
      <c r="CV1028">
        <v>6</v>
      </c>
      <c r="CW1028" t="s">
        <v>120</v>
      </c>
      <c r="CX1028">
        <v>261</v>
      </c>
      <c r="CY1028">
        <v>2</v>
      </c>
      <c r="CZ1028" t="s">
        <v>121</v>
      </c>
      <c r="DA1028" t="s">
        <v>122</v>
      </c>
      <c r="DD1028">
        <v>14803723</v>
      </c>
      <c r="DE1028" t="s">
        <v>123</v>
      </c>
    </row>
    <row r="1029" spans="1:109" x14ac:dyDescent="0.3">
      <c r="A1029" t="str">
        <f>"18:51:49.367"</f>
        <v>18:51:49.367</v>
      </c>
      <c r="B1029" t="s">
        <v>110</v>
      </c>
      <c r="C1029" t="str">
        <f t="shared" si="48"/>
        <v>ffdfd3c0</v>
      </c>
      <c r="D1029" t="s">
        <v>111</v>
      </c>
      <c r="E1029">
        <v>18</v>
      </c>
      <c r="F1029">
        <v>1018</v>
      </c>
      <c r="G1029" t="s">
        <v>112</v>
      </c>
      <c r="J1029" t="s">
        <v>113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R1029" t="s">
        <v>114</v>
      </c>
      <c r="S1029" t="str">
        <f>"18:51:49.141"</f>
        <v>18:51:49.141</v>
      </c>
      <c r="T1029" t="str">
        <f>"18:51:48.938"</f>
        <v>18:51:48.938</v>
      </c>
      <c r="U1029" t="str">
        <f t="shared" si="49"/>
        <v>a1cdbe</v>
      </c>
      <c r="V1029">
        <v>0</v>
      </c>
      <c r="W1029">
        <v>0</v>
      </c>
      <c r="X1029">
        <v>1</v>
      </c>
      <c r="Y1029">
        <v>0</v>
      </c>
      <c r="Z1029">
        <v>0</v>
      </c>
      <c r="AB1029">
        <v>0</v>
      </c>
      <c r="AC1029">
        <v>9</v>
      </c>
      <c r="AD1029">
        <v>3</v>
      </c>
      <c r="AE1029">
        <v>0</v>
      </c>
      <c r="AF1029">
        <v>9</v>
      </c>
      <c r="AG1029" t="s">
        <v>158</v>
      </c>
      <c r="AH1029">
        <v>0</v>
      </c>
      <c r="AI1029">
        <v>3</v>
      </c>
      <c r="AJ1029">
        <v>1</v>
      </c>
      <c r="AK1029">
        <v>0</v>
      </c>
      <c r="AL1029" t="s">
        <v>2040</v>
      </c>
      <c r="AM1029">
        <v>46.847011999999999</v>
      </c>
      <c r="AN1029" t="s">
        <v>2060</v>
      </c>
      <c r="AO1029">
        <v>-122.530174</v>
      </c>
      <c r="AP1029">
        <v>100</v>
      </c>
      <c r="AQ1029">
        <v>2000</v>
      </c>
      <c r="AR1029" t="s">
        <v>118</v>
      </c>
      <c r="AS1029">
        <v>-81</v>
      </c>
      <c r="AT1029">
        <v>2</v>
      </c>
      <c r="AU1029">
        <v>384</v>
      </c>
      <c r="BC1029">
        <v>1200</v>
      </c>
      <c r="BD1029">
        <v>1</v>
      </c>
      <c r="BE1029" t="str">
        <f t="shared" si="50"/>
        <v xml:space="preserve">N215T   </v>
      </c>
      <c r="BF1029">
        <v>1</v>
      </c>
      <c r="BH1029">
        <v>0</v>
      </c>
      <c r="BI1029">
        <v>0</v>
      </c>
      <c r="BJ1029">
        <v>0</v>
      </c>
      <c r="BK1029">
        <v>2375</v>
      </c>
      <c r="BL1029">
        <v>375</v>
      </c>
      <c r="BM1029" t="s">
        <v>119</v>
      </c>
      <c r="BN1029">
        <v>1</v>
      </c>
      <c r="BO1029">
        <v>1</v>
      </c>
      <c r="BP1029">
        <v>1</v>
      </c>
      <c r="BQ1029">
        <v>0</v>
      </c>
      <c r="BT1029">
        <v>0</v>
      </c>
      <c r="BU1029">
        <v>0</v>
      </c>
      <c r="BV1029">
        <v>0</v>
      </c>
      <c r="CC1029" t="str">
        <f>"18:51:49.141"</f>
        <v>18:51:49.141</v>
      </c>
      <c r="CD1029" t="str">
        <f>"142487787"</f>
        <v>142487787</v>
      </c>
      <c r="CQ1029">
        <v>0</v>
      </c>
      <c r="CR1029">
        <v>2</v>
      </c>
      <c r="CS1029">
        <v>0</v>
      </c>
      <c r="CT1029">
        <v>2</v>
      </c>
      <c r="CU1029">
        <v>0</v>
      </c>
      <c r="CV1029">
        <v>6</v>
      </c>
      <c r="CW1029" t="s">
        <v>120</v>
      </c>
      <c r="CX1029">
        <v>261</v>
      </c>
      <c r="CY1029">
        <v>2</v>
      </c>
      <c r="CZ1029" t="s">
        <v>121</v>
      </c>
      <c r="DA1029" t="s">
        <v>122</v>
      </c>
      <c r="DD1029">
        <v>14804260</v>
      </c>
      <c r="DE1029" t="s">
        <v>123</v>
      </c>
    </row>
    <row r="1030" spans="1:109" x14ac:dyDescent="0.3">
      <c r="A1030" t="str">
        <f>"18:51:50.523"</f>
        <v>18:51:50.523</v>
      </c>
      <c r="B1030" t="s">
        <v>110</v>
      </c>
      <c r="C1030" t="str">
        <f t="shared" si="48"/>
        <v>ffdfd3c0</v>
      </c>
      <c r="D1030" t="s">
        <v>111</v>
      </c>
      <c r="E1030">
        <v>18</v>
      </c>
      <c r="F1030">
        <v>1018</v>
      </c>
      <c r="G1030" t="s">
        <v>112</v>
      </c>
      <c r="J1030" t="s">
        <v>113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R1030" t="s">
        <v>114</v>
      </c>
      <c r="S1030" t="str">
        <f>"18:51:50.281"</f>
        <v>18:51:50.281</v>
      </c>
      <c r="T1030" t="str">
        <f>"18:51:49.883"</f>
        <v>18:51:49.883</v>
      </c>
      <c r="U1030" t="str">
        <f t="shared" si="49"/>
        <v>a1cdbe</v>
      </c>
      <c r="V1030">
        <v>0</v>
      </c>
      <c r="W1030">
        <v>0</v>
      </c>
      <c r="X1030">
        <v>1</v>
      </c>
      <c r="Y1030">
        <v>0</v>
      </c>
      <c r="Z1030">
        <v>0</v>
      </c>
      <c r="AB1030">
        <v>0</v>
      </c>
      <c r="AC1030">
        <v>9</v>
      </c>
      <c r="AD1030">
        <v>3</v>
      </c>
      <c r="AE1030">
        <v>0</v>
      </c>
      <c r="AF1030">
        <v>9</v>
      </c>
      <c r="AG1030" t="s">
        <v>158</v>
      </c>
      <c r="AH1030">
        <v>0</v>
      </c>
      <c r="AI1030">
        <v>3</v>
      </c>
      <c r="AJ1030">
        <v>1</v>
      </c>
      <c r="AK1030">
        <v>0</v>
      </c>
      <c r="AL1030" t="s">
        <v>2040</v>
      </c>
      <c r="AM1030">
        <v>46.847011999999999</v>
      </c>
      <c r="AN1030" t="s">
        <v>2061</v>
      </c>
      <c r="AO1030">
        <v>-122.53079700000001</v>
      </c>
      <c r="AP1030">
        <v>100</v>
      </c>
      <c r="AQ1030">
        <v>2000</v>
      </c>
      <c r="AR1030" t="s">
        <v>118</v>
      </c>
      <c r="AS1030">
        <v>-80</v>
      </c>
      <c r="AT1030">
        <v>1</v>
      </c>
      <c r="AU1030">
        <v>320</v>
      </c>
      <c r="BC1030">
        <v>1200</v>
      </c>
      <c r="BD1030">
        <v>1</v>
      </c>
      <c r="BE1030" t="str">
        <f t="shared" si="50"/>
        <v xml:space="preserve">N215T   </v>
      </c>
      <c r="BF1030">
        <v>1</v>
      </c>
      <c r="BH1030">
        <v>0</v>
      </c>
      <c r="BI1030">
        <v>0</v>
      </c>
      <c r="BJ1030">
        <v>0</v>
      </c>
      <c r="BK1030">
        <v>2375</v>
      </c>
      <c r="BL1030">
        <v>375</v>
      </c>
      <c r="BM1030" t="s">
        <v>119</v>
      </c>
      <c r="BN1030">
        <v>1</v>
      </c>
      <c r="BO1030">
        <v>1</v>
      </c>
      <c r="BP1030">
        <v>1</v>
      </c>
      <c r="BQ1030">
        <v>0</v>
      </c>
      <c r="BT1030">
        <v>0</v>
      </c>
      <c r="BU1030">
        <v>0</v>
      </c>
      <c r="BV1030">
        <v>0</v>
      </c>
      <c r="CC1030" t="str">
        <f>"18:51:50.281"</f>
        <v>18:51:50.281</v>
      </c>
      <c r="CD1030" t="str">
        <f>"282489600"</f>
        <v>282489600</v>
      </c>
      <c r="CQ1030">
        <v>0</v>
      </c>
      <c r="CR1030">
        <v>2</v>
      </c>
      <c r="CS1030">
        <v>0</v>
      </c>
      <c r="CT1030">
        <v>2</v>
      </c>
      <c r="CU1030">
        <v>0</v>
      </c>
      <c r="CV1030">
        <v>2</v>
      </c>
      <c r="CW1030" t="s">
        <v>120</v>
      </c>
      <c r="CX1030">
        <v>257</v>
      </c>
      <c r="CY1030">
        <v>1</v>
      </c>
      <c r="CZ1030" t="s">
        <v>615</v>
      </c>
      <c r="DA1030" t="s">
        <v>616</v>
      </c>
      <c r="DD1030">
        <v>11138635</v>
      </c>
      <c r="DE1030" t="s">
        <v>123</v>
      </c>
    </row>
    <row r="1031" spans="1:109" x14ac:dyDescent="0.3">
      <c r="A1031" t="str">
        <f>"18:51:51.578"</f>
        <v>18:51:51.578</v>
      </c>
      <c r="B1031" t="s">
        <v>110</v>
      </c>
      <c r="C1031" t="str">
        <f t="shared" si="48"/>
        <v>ffdfd3c0</v>
      </c>
      <c r="D1031" t="s">
        <v>111</v>
      </c>
      <c r="E1031">
        <v>18</v>
      </c>
      <c r="F1031">
        <v>1018</v>
      </c>
      <c r="G1031" t="s">
        <v>112</v>
      </c>
      <c r="J1031" t="s">
        <v>113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R1031" t="s">
        <v>114</v>
      </c>
      <c r="S1031" t="str">
        <f>"18:51:51.359"</f>
        <v>18:51:51.359</v>
      </c>
      <c r="T1031" t="str">
        <f>"18:51:50.859"</f>
        <v>18:51:50.859</v>
      </c>
      <c r="U1031" t="str">
        <f t="shared" si="49"/>
        <v>a1cdbe</v>
      </c>
      <c r="V1031">
        <v>0</v>
      </c>
      <c r="W1031">
        <v>0</v>
      </c>
      <c r="X1031">
        <v>1</v>
      </c>
      <c r="Y1031">
        <v>0</v>
      </c>
      <c r="Z1031">
        <v>0</v>
      </c>
      <c r="AB1031">
        <v>0</v>
      </c>
      <c r="AC1031">
        <v>9</v>
      </c>
      <c r="AD1031">
        <v>3</v>
      </c>
      <c r="AE1031">
        <v>0</v>
      </c>
      <c r="AF1031">
        <v>9</v>
      </c>
      <c r="AG1031" t="s">
        <v>158</v>
      </c>
      <c r="AH1031">
        <v>0</v>
      </c>
      <c r="AI1031">
        <v>3</v>
      </c>
      <c r="AJ1031">
        <v>1</v>
      </c>
      <c r="AK1031">
        <v>0</v>
      </c>
      <c r="AL1031" t="s">
        <v>2040</v>
      </c>
      <c r="AM1031">
        <v>46.847011999999999</v>
      </c>
      <c r="AN1031" t="s">
        <v>2062</v>
      </c>
      <c r="AO1031">
        <v>-122.531333</v>
      </c>
      <c r="AP1031">
        <v>100</v>
      </c>
      <c r="AQ1031">
        <v>2000</v>
      </c>
      <c r="AR1031" t="s">
        <v>118</v>
      </c>
      <c r="AS1031">
        <v>-80</v>
      </c>
      <c r="AT1031">
        <v>-1</v>
      </c>
      <c r="AU1031">
        <v>384</v>
      </c>
      <c r="BC1031">
        <v>1200</v>
      </c>
      <c r="BD1031">
        <v>1</v>
      </c>
      <c r="BE1031" t="str">
        <f t="shared" si="50"/>
        <v xml:space="preserve">N215T   </v>
      </c>
      <c r="BF1031">
        <v>1</v>
      </c>
      <c r="BH1031">
        <v>0</v>
      </c>
      <c r="BI1031">
        <v>0</v>
      </c>
      <c r="BJ1031">
        <v>0</v>
      </c>
      <c r="BK1031">
        <v>2375</v>
      </c>
      <c r="BL1031">
        <v>375</v>
      </c>
      <c r="BM1031" t="s">
        <v>119</v>
      </c>
      <c r="BN1031">
        <v>1</v>
      </c>
      <c r="BO1031">
        <v>1</v>
      </c>
      <c r="BP1031">
        <v>1</v>
      </c>
      <c r="BQ1031">
        <v>0</v>
      </c>
      <c r="BT1031">
        <v>0</v>
      </c>
      <c r="BU1031">
        <v>0</v>
      </c>
      <c r="BV1031">
        <v>0</v>
      </c>
      <c r="CC1031" t="str">
        <f>"18:51:51.359"</f>
        <v>18:51:51.359</v>
      </c>
      <c r="CD1031" t="str">
        <f>"362269134"</f>
        <v>362269134</v>
      </c>
      <c r="CQ1031">
        <v>0</v>
      </c>
      <c r="CR1031">
        <v>2</v>
      </c>
      <c r="CS1031">
        <v>0</v>
      </c>
      <c r="CT1031">
        <v>2</v>
      </c>
      <c r="CU1031">
        <v>0</v>
      </c>
      <c r="CV1031">
        <v>6</v>
      </c>
      <c r="CW1031" t="s">
        <v>120</v>
      </c>
      <c r="CX1031">
        <v>261</v>
      </c>
      <c r="CY1031">
        <v>2</v>
      </c>
      <c r="CZ1031" t="s">
        <v>121</v>
      </c>
      <c r="DA1031" t="s">
        <v>122</v>
      </c>
      <c r="DD1031">
        <v>14805508</v>
      </c>
      <c r="DE1031" t="s">
        <v>123</v>
      </c>
    </row>
    <row r="1032" spans="1:109" x14ac:dyDescent="0.3">
      <c r="A1032" t="str">
        <f>"18:51:52.438"</f>
        <v>18:51:52.438</v>
      </c>
      <c r="B1032" t="s">
        <v>110</v>
      </c>
      <c r="C1032" t="str">
        <f t="shared" si="48"/>
        <v>ffdfd3c0</v>
      </c>
      <c r="D1032" t="s">
        <v>111</v>
      </c>
      <c r="E1032">
        <v>18</v>
      </c>
      <c r="F1032">
        <v>1018</v>
      </c>
      <c r="G1032" t="s">
        <v>112</v>
      </c>
      <c r="J1032" t="s">
        <v>113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R1032" t="s">
        <v>114</v>
      </c>
      <c r="S1032" t="str">
        <f>"18:51:52.195"</f>
        <v>18:51:52.195</v>
      </c>
      <c r="T1032" t="str">
        <f>"18:51:51.992"</f>
        <v>18:51:51.992</v>
      </c>
      <c r="U1032" t="str">
        <f t="shared" si="49"/>
        <v>a1cdbe</v>
      </c>
      <c r="V1032">
        <v>0</v>
      </c>
      <c r="W1032">
        <v>0</v>
      </c>
      <c r="X1032">
        <v>1</v>
      </c>
      <c r="Y1032">
        <v>0</v>
      </c>
      <c r="Z1032">
        <v>0</v>
      </c>
      <c r="AB1032">
        <v>0</v>
      </c>
      <c r="AC1032">
        <v>9</v>
      </c>
      <c r="AD1032">
        <v>3</v>
      </c>
      <c r="AE1032">
        <v>0</v>
      </c>
      <c r="AF1032">
        <v>9</v>
      </c>
      <c r="AG1032" t="s">
        <v>158</v>
      </c>
      <c r="AH1032">
        <v>0</v>
      </c>
      <c r="AI1032">
        <v>3</v>
      </c>
      <c r="AJ1032">
        <v>1</v>
      </c>
      <c r="AK1032">
        <v>0</v>
      </c>
      <c r="AL1032" t="s">
        <v>2040</v>
      </c>
      <c r="AM1032">
        <v>46.847011999999999</v>
      </c>
      <c r="AN1032" t="s">
        <v>2063</v>
      </c>
      <c r="AO1032">
        <v>-122.531826</v>
      </c>
      <c r="AP1032">
        <v>100</v>
      </c>
      <c r="AQ1032">
        <v>2000</v>
      </c>
      <c r="AR1032" t="s">
        <v>118</v>
      </c>
      <c r="AS1032">
        <v>-80</v>
      </c>
      <c r="AT1032">
        <v>-2</v>
      </c>
      <c r="AU1032">
        <v>192</v>
      </c>
      <c r="BC1032">
        <v>1200</v>
      </c>
      <c r="BD1032">
        <v>1</v>
      </c>
      <c r="BE1032" t="str">
        <f t="shared" si="50"/>
        <v xml:space="preserve">N215T   </v>
      </c>
      <c r="BF1032">
        <v>1</v>
      </c>
      <c r="BH1032">
        <v>0</v>
      </c>
      <c r="BI1032">
        <v>0</v>
      </c>
      <c r="BJ1032">
        <v>0</v>
      </c>
      <c r="BK1032">
        <v>2375</v>
      </c>
      <c r="BL1032">
        <v>375</v>
      </c>
      <c r="BM1032" t="s">
        <v>119</v>
      </c>
      <c r="BN1032">
        <v>1</v>
      </c>
      <c r="BO1032">
        <v>1</v>
      </c>
      <c r="BP1032">
        <v>1</v>
      </c>
      <c r="BQ1032">
        <v>0</v>
      </c>
      <c r="BT1032">
        <v>0</v>
      </c>
      <c r="BU1032">
        <v>0</v>
      </c>
      <c r="BV1032">
        <v>0</v>
      </c>
      <c r="CC1032" t="str">
        <f>"18:51:52.203"</f>
        <v>18:51:52.203</v>
      </c>
      <c r="CD1032" t="str">
        <f>"202186410"</f>
        <v>202186410</v>
      </c>
      <c r="CQ1032">
        <v>0</v>
      </c>
      <c r="CR1032">
        <v>2</v>
      </c>
      <c r="CS1032">
        <v>0</v>
      </c>
      <c r="CT1032">
        <v>2</v>
      </c>
      <c r="CU1032">
        <v>0</v>
      </c>
      <c r="CV1032">
        <v>6</v>
      </c>
      <c r="CW1032" t="s">
        <v>120</v>
      </c>
      <c r="CX1032">
        <v>261</v>
      </c>
      <c r="CY1032">
        <v>2</v>
      </c>
      <c r="CZ1032" t="s">
        <v>121</v>
      </c>
      <c r="DA1032" t="s">
        <v>122</v>
      </c>
      <c r="DD1032">
        <v>14806001</v>
      </c>
      <c r="DE1032" t="s">
        <v>123</v>
      </c>
    </row>
    <row r="1033" spans="1:109" x14ac:dyDescent="0.3">
      <c r="A1033" t="str">
        <f>"18:51:53.391"</f>
        <v>18:51:53.391</v>
      </c>
      <c r="B1033" t="s">
        <v>110</v>
      </c>
      <c r="C1033" t="str">
        <f t="shared" si="48"/>
        <v>ffdfd3c0</v>
      </c>
      <c r="D1033" t="s">
        <v>111</v>
      </c>
      <c r="E1033">
        <v>18</v>
      </c>
      <c r="F1033">
        <v>1018</v>
      </c>
      <c r="G1033" t="s">
        <v>112</v>
      </c>
      <c r="J1033" t="s">
        <v>113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R1033" t="s">
        <v>114</v>
      </c>
      <c r="S1033" t="str">
        <f>"18:51:53.156"</f>
        <v>18:51:53.156</v>
      </c>
      <c r="T1033" t="str">
        <f>"18:51:52.859"</f>
        <v>18:51:52.859</v>
      </c>
      <c r="U1033" t="str">
        <f t="shared" si="49"/>
        <v>a1cdbe</v>
      </c>
      <c r="V1033">
        <v>0</v>
      </c>
      <c r="W1033">
        <v>0</v>
      </c>
      <c r="X1033">
        <v>1</v>
      </c>
      <c r="Y1033">
        <v>0</v>
      </c>
      <c r="Z1033">
        <v>0</v>
      </c>
      <c r="AB1033">
        <v>0</v>
      </c>
      <c r="AC1033">
        <v>9</v>
      </c>
      <c r="AD1033">
        <v>3</v>
      </c>
      <c r="AE1033">
        <v>0</v>
      </c>
      <c r="AF1033">
        <v>9</v>
      </c>
      <c r="AG1033" t="s">
        <v>158</v>
      </c>
      <c r="AH1033">
        <v>0</v>
      </c>
      <c r="AI1033">
        <v>3</v>
      </c>
      <c r="AJ1033">
        <v>1</v>
      </c>
      <c r="AK1033">
        <v>0</v>
      </c>
      <c r="AL1033" t="s">
        <v>2044</v>
      </c>
      <c r="AM1033">
        <v>46.846991000000003</v>
      </c>
      <c r="AN1033" t="s">
        <v>2064</v>
      </c>
      <c r="AO1033">
        <v>-122.53232</v>
      </c>
      <c r="AP1033">
        <v>100</v>
      </c>
      <c r="AQ1033">
        <v>2000</v>
      </c>
      <c r="AR1033" t="s">
        <v>118</v>
      </c>
      <c r="AS1033">
        <v>-80</v>
      </c>
      <c r="AT1033">
        <v>-1</v>
      </c>
      <c r="AU1033">
        <v>64</v>
      </c>
      <c r="BC1033">
        <v>1200</v>
      </c>
      <c r="BD1033">
        <v>1</v>
      </c>
      <c r="BE1033" t="str">
        <f t="shared" si="50"/>
        <v xml:space="preserve">N215T   </v>
      </c>
      <c r="BF1033">
        <v>1</v>
      </c>
      <c r="BH1033">
        <v>0</v>
      </c>
      <c r="BI1033">
        <v>0</v>
      </c>
      <c r="BJ1033">
        <v>0</v>
      </c>
      <c r="BK1033">
        <v>2375</v>
      </c>
      <c r="BL1033">
        <v>375</v>
      </c>
      <c r="BM1033" t="s">
        <v>119</v>
      </c>
      <c r="BN1033">
        <v>1</v>
      </c>
      <c r="BO1033">
        <v>1</v>
      </c>
      <c r="BP1033">
        <v>1</v>
      </c>
      <c r="BQ1033">
        <v>0</v>
      </c>
      <c r="BT1033">
        <v>0</v>
      </c>
      <c r="BU1033">
        <v>0</v>
      </c>
      <c r="BV1033">
        <v>0</v>
      </c>
      <c r="CC1033" t="str">
        <f>"18:51:53.164"</f>
        <v>18:51:53.164</v>
      </c>
      <c r="CD1033" t="str">
        <f>"162091862"</f>
        <v>162091862</v>
      </c>
      <c r="CQ1033">
        <v>0</v>
      </c>
      <c r="CR1033">
        <v>2</v>
      </c>
      <c r="CS1033">
        <v>0</v>
      </c>
      <c r="CT1033">
        <v>2</v>
      </c>
      <c r="CU1033">
        <v>0</v>
      </c>
      <c r="CV1033">
        <v>6</v>
      </c>
      <c r="CW1033" t="s">
        <v>120</v>
      </c>
      <c r="CX1033">
        <v>261</v>
      </c>
      <c r="CY1033">
        <v>2</v>
      </c>
      <c r="CZ1033" t="s">
        <v>121</v>
      </c>
      <c r="DA1033" t="s">
        <v>122</v>
      </c>
      <c r="DD1033">
        <v>14806623</v>
      </c>
      <c r="DE1033" t="s">
        <v>123</v>
      </c>
    </row>
    <row r="1034" spans="1:109" x14ac:dyDescent="0.3">
      <c r="A1034" t="str">
        <f>"18:51:54.297"</f>
        <v>18:51:54.297</v>
      </c>
      <c r="B1034" t="s">
        <v>110</v>
      </c>
      <c r="C1034" t="str">
        <f t="shared" si="48"/>
        <v>ffdfd3c0</v>
      </c>
      <c r="D1034" t="s">
        <v>111</v>
      </c>
      <c r="E1034">
        <v>18</v>
      </c>
      <c r="F1034">
        <v>1018</v>
      </c>
      <c r="G1034" t="s">
        <v>112</v>
      </c>
      <c r="J1034" t="s">
        <v>113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R1034" t="s">
        <v>114</v>
      </c>
      <c r="S1034" t="str">
        <f>"18:51:54.055"</f>
        <v>18:51:54.055</v>
      </c>
      <c r="T1034" t="str">
        <f>"18:51:53.852"</f>
        <v>18:51:53.852</v>
      </c>
      <c r="U1034" t="str">
        <f t="shared" si="49"/>
        <v>a1cdbe</v>
      </c>
      <c r="V1034">
        <v>0</v>
      </c>
      <c r="W1034">
        <v>0</v>
      </c>
      <c r="X1034">
        <v>1</v>
      </c>
      <c r="Y1034">
        <v>0</v>
      </c>
      <c r="Z1034">
        <v>0</v>
      </c>
      <c r="AB1034">
        <v>0</v>
      </c>
      <c r="AC1034">
        <v>9</v>
      </c>
      <c r="AD1034">
        <v>3</v>
      </c>
      <c r="AE1034">
        <v>0</v>
      </c>
      <c r="AF1034">
        <v>9</v>
      </c>
      <c r="AG1034" t="s">
        <v>158</v>
      </c>
      <c r="AH1034">
        <v>0</v>
      </c>
      <c r="AI1034">
        <v>3</v>
      </c>
      <c r="AJ1034">
        <v>1</v>
      </c>
      <c r="AK1034">
        <v>0</v>
      </c>
      <c r="AL1034" t="s">
        <v>2044</v>
      </c>
      <c r="AM1034">
        <v>46.846991000000003</v>
      </c>
      <c r="AN1034" t="s">
        <v>2065</v>
      </c>
      <c r="AO1034">
        <v>-122.532792</v>
      </c>
      <c r="AP1034">
        <v>100</v>
      </c>
      <c r="AQ1034">
        <v>2000</v>
      </c>
      <c r="AR1034" t="s">
        <v>118</v>
      </c>
      <c r="AS1034">
        <v>-80</v>
      </c>
      <c r="AT1034">
        <v>0</v>
      </c>
      <c r="AU1034">
        <v>0</v>
      </c>
      <c r="BC1034">
        <v>1200</v>
      </c>
      <c r="BD1034">
        <v>1</v>
      </c>
      <c r="BE1034" t="str">
        <f t="shared" si="50"/>
        <v xml:space="preserve">N215T   </v>
      </c>
      <c r="BF1034">
        <v>1</v>
      </c>
      <c r="BH1034">
        <v>0</v>
      </c>
      <c r="BI1034">
        <v>0</v>
      </c>
      <c r="BJ1034">
        <v>0</v>
      </c>
      <c r="BK1034">
        <v>2375</v>
      </c>
      <c r="BL1034">
        <v>375</v>
      </c>
      <c r="BM1034" t="s">
        <v>119</v>
      </c>
      <c r="BN1034">
        <v>1</v>
      </c>
      <c r="BO1034">
        <v>1</v>
      </c>
      <c r="BP1034">
        <v>1</v>
      </c>
      <c r="BQ1034">
        <v>0</v>
      </c>
      <c r="BT1034">
        <v>0</v>
      </c>
      <c r="BU1034">
        <v>0</v>
      </c>
      <c r="BV1034">
        <v>0</v>
      </c>
      <c r="CC1034" t="str">
        <f>"18:51:54.063"</f>
        <v>18:51:54.063</v>
      </c>
      <c r="CD1034" t="str">
        <f>"062003221"</f>
        <v>062003221</v>
      </c>
      <c r="CQ1034">
        <v>0</v>
      </c>
      <c r="CR1034">
        <v>2</v>
      </c>
      <c r="CS1034">
        <v>0</v>
      </c>
      <c r="CT1034">
        <v>2</v>
      </c>
      <c r="CU1034">
        <v>0</v>
      </c>
      <c r="CV1034">
        <v>5</v>
      </c>
      <c r="CW1034" t="s">
        <v>120</v>
      </c>
      <c r="CX1034">
        <v>261</v>
      </c>
      <c r="CY1034">
        <v>2</v>
      </c>
      <c r="CZ1034" t="s">
        <v>121</v>
      </c>
      <c r="DA1034" t="s">
        <v>122</v>
      </c>
      <c r="DD1034">
        <v>14807164</v>
      </c>
      <c r="DE1034" t="s">
        <v>123</v>
      </c>
    </row>
    <row r="1035" spans="1:109" x14ac:dyDescent="0.3">
      <c r="A1035" t="str">
        <f>"18:51:55.398"</f>
        <v>18:51:55.398</v>
      </c>
      <c r="B1035" t="s">
        <v>110</v>
      </c>
      <c r="C1035" t="str">
        <f t="shared" si="48"/>
        <v>ffdfd3c0</v>
      </c>
      <c r="D1035" t="s">
        <v>111</v>
      </c>
      <c r="E1035">
        <v>18</v>
      </c>
      <c r="F1035">
        <v>1018</v>
      </c>
      <c r="G1035" t="s">
        <v>112</v>
      </c>
      <c r="J1035" t="s">
        <v>113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R1035" t="s">
        <v>114</v>
      </c>
      <c r="S1035" t="str">
        <f>"18:51:55.172"</f>
        <v>18:51:55.172</v>
      </c>
      <c r="T1035" t="str">
        <f>"18:51:54.875"</f>
        <v>18:51:54.875</v>
      </c>
      <c r="U1035" t="str">
        <f t="shared" si="49"/>
        <v>a1cdbe</v>
      </c>
      <c r="V1035">
        <v>0</v>
      </c>
      <c r="W1035">
        <v>0</v>
      </c>
      <c r="X1035">
        <v>1</v>
      </c>
      <c r="Y1035">
        <v>0</v>
      </c>
      <c r="Z1035">
        <v>0</v>
      </c>
      <c r="AB1035">
        <v>0</v>
      </c>
      <c r="AC1035">
        <v>9</v>
      </c>
      <c r="AD1035">
        <v>3</v>
      </c>
      <c r="AE1035">
        <v>0</v>
      </c>
      <c r="AF1035">
        <v>9</v>
      </c>
      <c r="AG1035" t="s">
        <v>158</v>
      </c>
      <c r="AH1035">
        <v>0</v>
      </c>
      <c r="AI1035">
        <v>3</v>
      </c>
      <c r="AJ1035">
        <v>1</v>
      </c>
      <c r="AK1035">
        <v>0</v>
      </c>
      <c r="AL1035" t="s">
        <v>2044</v>
      </c>
      <c r="AM1035">
        <v>46.846991000000003</v>
      </c>
      <c r="AN1035" t="s">
        <v>2066</v>
      </c>
      <c r="AO1035">
        <v>-122.533393</v>
      </c>
      <c r="AP1035">
        <v>100</v>
      </c>
      <c r="AQ1035">
        <v>2000</v>
      </c>
      <c r="AR1035" t="s">
        <v>118</v>
      </c>
      <c r="AS1035">
        <v>-80</v>
      </c>
      <c r="AT1035">
        <v>0</v>
      </c>
      <c r="AU1035">
        <v>0</v>
      </c>
      <c r="BC1035">
        <v>1200</v>
      </c>
      <c r="BD1035">
        <v>1</v>
      </c>
      <c r="BE1035" t="str">
        <f t="shared" si="50"/>
        <v xml:space="preserve">N215T   </v>
      </c>
      <c r="BF1035">
        <v>1</v>
      </c>
      <c r="BH1035">
        <v>0</v>
      </c>
      <c r="BI1035">
        <v>0</v>
      </c>
      <c r="BJ1035">
        <v>0</v>
      </c>
      <c r="BK1035">
        <v>2375</v>
      </c>
      <c r="BL1035">
        <v>375</v>
      </c>
      <c r="BM1035" t="s">
        <v>119</v>
      </c>
      <c r="BN1035">
        <v>1</v>
      </c>
      <c r="BO1035">
        <v>1</v>
      </c>
      <c r="BP1035">
        <v>1</v>
      </c>
      <c r="BQ1035">
        <v>0</v>
      </c>
      <c r="BT1035">
        <v>0</v>
      </c>
      <c r="BU1035">
        <v>0</v>
      </c>
      <c r="BV1035">
        <v>0</v>
      </c>
      <c r="CC1035" t="str">
        <f>"18:51:55.172"</f>
        <v>18:51:55.172</v>
      </c>
      <c r="CD1035" t="str">
        <f>"171893883"</f>
        <v>171893883</v>
      </c>
      <c r="CQ1035">
        <v>0</v>
      </c>
      <c r="CR1035">
        <v>2</v>
      </c>
      <c r="CS1035">
        <v>0</v>
      </c>
      <c r="CT1035">
        <v>2</v>
      </c>
      <c r="CU1035">
        <v>0</v>
      </c>
      <c r="CV1035">
        <v>5</v>
      </c>
      <c r="CW1035" t="s">
        <v>120</v>
      </c>
      <c r="CX1035">
        <v>261</v>
      </c>
      <c r="CY1035">
        <v>2</v>
      </c>
      <c r="CZ1035" t="s">
        <v>121</v>
      </c>
      <c r="DA1035" t="s">
        <v>122</v>
      </c>
      <c r="DD1035">
        <v>14807789</v>
      </c>
      <c r="DE1035" t="s">
        <v>123</v>
      </c>
    </row>
    <row r="1036" spans="1:109" x14ac:dyDescent="0.3">
      <c r="A1036" t="str">
        <f>"18:51:56.359"</f>
        <v>18:51:56.359</v>
      </c>
      <c r="B1036" t="s">
        <v>110</v>
      </c>
      <c r="C1036" t="str">
        <f t="shared" si="48"/>
        <v>ffdfd3c0</v>
      </c>
      <c r="D1036" t="s">
        <v>111</v>
      </c>
      <c r="E1036">
        <v>18</v>
      </c>
      <c r="F1036">
        <v>1018</v>
      </c>
      <c r="G1036" t="s">
        <v>112</v>
      </c>
      <c r="J1036" t="s">
        <v>113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R1036" t="s">
        <v>114</v>
      </c>
      <c r="S1036" t="str">
        <f>"18:51:56.125"</f>
        <v>18:51:56.125</v>
      </c>
      <c r="T1036" t="str">
        <f>"18:51:55.922"</f>
        <v>18:51:55.922</v>
      </c>
      <c r="U1036" t="str">
        <f t="shared" si="49"/>
        <v>a1cdbe</v>
      </c>
      <c r="V1036">
        <v>0</v>
      </c>
      <c r="W1036">
        <v>0</v>
      </c>
      <c r="X1036">
        <v>1</v>
      </c>
      <c r="Y1036">
        <v>0</v>
      </c>
      <c r="Z1036">
        <v>0</v>
      </c>
      <c r="AB1036">
        <v>0</v>
      </c>
      <c r="AC1036">
        <v>9</v>
      </c>
      <c r="AD1036">
        <v>3</v>
      </c>
      <c r="AE1036">
        <v>0</v>
      </c>
      <c r="AF1036">
        <v>9</v>
      </c>
      <c r="AG1036" t="s">
        <v>158</v>
      </c>
      <c r="AH1036">
        <v>0</v>
      </c>
      <c r="AI1036">
        <v>3</v>
      </c>
      <c r="AJ1036">
        <v>1</v>
      </c>
      <c r="AK1036">
        <v>0</v>
      </c>
      <c r="AL1036" t="s">
        <v>2044</v>
      </c>
      <c r="AM1036">
        <v>46.846991000000003</v>
      </c>
      <c r="AN1036" t="s">
        <v>2067</v>
      </c>
      <c r="AO1036">
        <v>-122.533929</v>
      </c>
      <c r="AP1036">
        <v>100</v>
      </c>
      <c r="AQ1036">
        <v>2000</v>
      </c>
      <c r="AR1036" t="s">
        <v>118</v>
      </c>
      <c r="AS1036">
        <v>-80</v>
      </c>
      <c r="AT1036">
        <v>0</v>
      </c>
      <c r="AU1036">
        <v>64</v>
      </c>
      <c r="BC1036">
        <v>1200</v>
      </c>
      <c r="BD1036">
        <v>1</v>
      </c>
      <c r="BE1036" t="str">
        <f t="shared" si="50"/>
        <v xml:space="preserve">N215T   </v>
      </c>
      <c r="BF1036">
        <v>1</v>
      </c>
      <c r="BH1036">
        <v>0</v>
      </c>
      <c r="BI1036">
        <v>0</v>
      </c>
      <c r="BJ1036">
        <v>0</v>
      </c>
      <c r="BK1036">
        <v>2375</v>
      </c>
      <c r="BL1036">
        <v>375</v>
      </c>
      <c r="BM1036" t="s">
        <v>119</v>
      </c>
      <c r="BN1036">
        <v>1</v>
      </c>
      <c r="BO1036">
        <v>1</v>
      </c>
      <c r="BP1036">
        <v>1</v>
      </c>
      <c r="BQ1036">
        <v>0</v>
      </c>
      <c r="BT1036">
        <v>0</v>
      </c>
      <c r="BU1036">
        <v>0</v>
      </c>
      <c r="BV1036">
        <v>0</v>
      </c>
      <c r="CC1036" t="str">
        <f>"18:51:56.133"</f>
        <v>18:51:56.133</v>
      </c>
      <c r="CD1036" t="str">
        <f>"131799345"</f>
        <v>131799345</v>
      </c>
      <c r="CQ1036">
        <v>0</v>
      </c>
      <c r="CR1036">
        <v>2</v>
      </c>
      <c r="CS1036">
        <v>0</v>
      </c>
      <c r="CT1036">
        <v>2</v>
      </c>
      <c r="CU1036">
        <v>0</v>
      </c>
      <c r="CV1036">
        <v>6</v>
      </c>
      <c r="CW1036" t="s">
        <v>120</v>
      </c>
      <c r="CX1036">
        <v>261</v>
      </c>
      <c r="CY1036">
        <v>2</v>
      </c>
      <c r="CZ1036" t="s">
        <v>121</v>
      </c>
      <c r="DA1036" t="s">
        <v>122</v>
      </c>
      <c r="DD1036">
        <v>14808345</v>
      </c>
      <c r="DE1036" t="s">
        <v>123</v>
      </c>
    </row>
    <row r="1037" spans="1:109" x14ac:dyDescent="0.3">
      <c r="A1037" t="str">
        <f>"18:51:57.516"</f>
        <v>18:51:57.516</v>
      </c>
      <c r="B1037" t="s">
        <v>110</v>
      </c>
      <c r="C1037" t="str">
        <f t="shared" si="48"/>
        <v>ffdfd3c0</v>
      </c>
      <c r="D1037" t="s">
        <v>111</v>
      </c>
      <c r="E1037">
        <v>18</v>
      </c>
      <c r="F1037">
        <v>1018</v>
      </c>
      <c r="G1037" t="s">
        <v>112</v>
      </c>
      <c r="J1037" t="s">
        <v>113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R1037" t="s">
        <v>114</v>
      </c>
      <c r="S1037" t="str">
        <f>"18:51:57.281"</f>
        <v>18:51:57.281</v>
      </c>
      <c r="T1037" t="str">
        <f>"18:51:56.883"</f>
        <v>18:51:56.883</v>
      </c>
      <c r="U1037" t="str">
        <f t="shared" si="49"/>
        <v>a1cdbe</v>
      </c>
      <c r="V1037">
        <v>0</v>
      </c>
      <c r="W1037">
        <v>0</v>
      </c>
      <c r="X1037">
        <v>1</v>
      </c>
      <c r="Y1037">
        <v>0</v>
      </c>
      <c r="Z1037">
        <v>0</v>
      </c>
      <c r="AB1037">
        <v>0</v>
      </c>
      <c r="AC1037">
        <v>9</v>
      </c>
      <c r="AD1037">
        <v>3</v>
      </c>
      <c r="AE1037">
        <v>0</v>
      </c>
      <c r="AF1037">
        <v>9</v>
      </c>
      <c r="AG1037" t="s">
        <v>158</v>
      </c>
      <c r="AH1037">
        <v>0</v>
      </c>
      <c r="AI1037">
        <v>3</v>
      </c>
      <c r="AJ1037">
        <v>1</v>
      </c>
      <c r="AK1037">
        <v>0</v>
      </c>
      <c r="AL1037" t="s">
        <v>2044</v>
      </c>
      <c r="AM1037">
        <v>46.846991000000003</v>
      </c>
      <c r="AN1037" t="s">
        <v>2068</v>
      </c>
      <c r="AO1037">
        <v>-122.53453</v>
      </c>
      <c r="AP1037">
        <v>100</v>
      </c>
      <c r="AQ1037">
        <v>2000</v>
      </c>
      <c r="AR1037" t="s">
        <v>118</v>
      </c>
      <c r="AS1037">
        <v>-80</v>
      </c>
      <c r="AT1037">
        <v>-1</v>
      </c>
      <c r="AU1037">
        <v>0</v>
      </c>
      <c r="BC1037">
        <v>1200</v>
      </c>
      <c r="BD1037">
        <v>1</v>
      </c>
      <c r="BE1037" t="str">
        <f t="shared" si="50"/>
        <v xml:space="preserve">N215T   </v>
      </c>
      <c r="BF1037">
        <v>1</v>
      </c>
      <c r="BH1037">
        <v>0</v>
      </c>
      <c r="BI1037">
        <v>0</v>
      </c>
      <c r="BJ1037">
        <v>0</v>
      </c>
      <c r="BK1037">
        <v>2375</v>
      </c>
      <c r="BL1037">
        <v>375</v>
      </c>
      <c r="BM1037" t="s">
        <v>119</v>
      </c>
      <c r="BN1037">
        <v>1</v>
      </c>
      <c r="BO1037">
        <v>1</v>
      </c>
      <c r="BP1037">
        <v>1</v>
      </c>
      <c r="BQ1037">
        <v>0</v>
      </c>
      <c r="BT1037">
        <v>0</v>
      </c>
      <c r="BU1037">
        <v>0</v>
      </c>
      <c r="BV1037">
        <v>0</v>
      </c>
      <c r="CC1037" t="str">
        <f>"18:51:57.289"</f>
        <v>18:51:57.289</v>
      </c>
      <c r="CD1037" t="str">
        <f>"286685572"</f>
        <v>286685572</v>
      </c>
      <c r="CQ1037">
        <v>0</v>
      </c>
      <c r="CR1037">
        <v>2</v>
      </c>
      <c r="CS1037">
        <v>0</v>
      </c>
      <c r="CT1037">
        <v>2</v>
      </c>
      <c r="CU1037">
        <v>0</v>
      </c>
      <c r="CV1037">
        <v>6</v>
      </c>
      <c r="CW1037" t="s">
        <v>120</v>
      </c>
      <c r="CX1037">
        <v>261</v>
      </c>
      <c r="CY1037">
        <v>2</v>
      </c>
      <c r="CZ1037" t="s">
        <v>121</v>
      </c>
      <c r="DA1037" t="s">
        <v>122</v>
      </c>
      <c r="DD1037">
        <v>14809046</v>
      </c>
      <c r="DE1037" t="s">
        <v>123</v>
      </c>
    </row>
    <row r="1038" spans="1:109" x14ac:dyDescent="0.3">
      <c r="A1038" t="str">
        <f>"18:51:58.617"</f>
        <v>18:51:58.617</v>
      </c>
      <c r="B1038" t="s">
        <v>110</v>
      </c>
      <c r="C1038" t="str">
        <f t="shared" si="48"/>
        <v>ffdfd3c0</v>
      </c>
      <c r="D1038" t="s">
        <v>111</v>
      </c>
      <c r="E1038">
        <v>18</v>
      </c>
      <c r="F1038">
        <v>1018</v>
      </c>
      <c r="G1038" t="s">
        <v>112</v>
      </c>
      <c r="J1038" t="s">
        <v>113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R1038" t="s">
        <v>114</v>
      </c>
      <c r="S1038" t="str">
        <f>"18:51:58.391"</f>
        <v>18:51:58.391</v>
      </c>
      <c r="T1038" t="str">
        <f>"18:51:57.992"</f>
        <v>18:51:57.992</v>
      </c>
      <c r="U1038" t="str">
        <f t="shared" si="49"/>
        <v>a1cdbe</v>
      </c>
      <c r="V1038">
        <v>0</v>
      </c>
      <c r="W1038">
        <v>0</v>
      </c>
      <c r="X1038">
        <v>1</v>
      </c>
      <c r="Y1038">
        <v>0</v>
      </c>
      <c r="Z1038">
        <v>0</v>
      </c>
      <c r="AB1038">
        <v>0</v>
      </c>
      <c r="AC1038">
        <v>9</v>
      </c>
      <c r="AD1038">
        <v>3</v>
      </c>
      <c r="AE1038">
        <v>0</v>
      </c>
      <c r="AF1038">
        <v>9</v>
      </c>
      <c r="AG1038" t="s">
        <v>158</v>
      </c>
      <c r="AH1038">
        <v>0</v>
      </c>
      <c r="AI1038">
        <v>3</v>
      </c>
      <c r="AJ1038">
        <v>1</v>
      </c>
      <c r="AK1038">
        <v>0</v>
      </c>
      <c r="AL1038" t="s">
        <v>2044</v>
      </c>
      <c r="AM1038">
        <v>46.846991000000003</v>
      </c>
      <c r="AN1038" t="s">
        <v>2069</v>
      </c>
      <c r="AO1038">
        <v>-122.53513100000001</v>
      </c>
      <c r="AP1038">
        <v>100</v>
      </c>
      <c r="AQ1038">
        <v>2000</v>
      </c>
      <c r="AR1038" t="s">
        <v>118</v>
      </c>
      <c r="AS1038">
        <v>-81</v>
      </c>
      <c r="AT1038">
        <v>-1</v>
      </c>
      <c r="AU1038">
        <v>0</v>
      </c>
      <c r="BC1038">
        <v>1200</v>
      </c>
      <c r="BD1038">
        <v>1</v>
      </c>
      <c r="BE1038" t="str">
        <f t="shared" si="50"/>
        <v xml:space="preserve">N215T   </v>
      </c>
      <c r="BF1038">
        <v>1</v>
      </c>
      <c r="BH1038">
        <v>0</v>
      </c>
      <c r="BI1038">
        <v>0</v>
      </c>
      <c r="BJ1038">
        <v>0</v>
      </c>
      <c r="BK1038">
        <v>2375</v>
      </c>
      <c r="BL1038">
        <v>375</v>
      </c>
      <c r="BM1038" t="s">
        <v>119</v>
      </c>
      <c r="BN1038">
        <v>1</v>
      </c>
      <c r="BO1038">
        <v>1</v>
      </c>
      <c r="BP1038">
        <v>1</v>
      </c>
      <c r="BQ1038">
        <v>0</v>
      </c>
      <c r="BT1038">
        <v>0</v>
      </c>
      <c r="BU1038">
        <v>0</v>
      </c>
      <c r="BV1038">
        <v>0</v>
      </c>
      <c r="CC1038" t="str">
        <f>"18:51:58.398"</f>
        <v>18:51:58.398</v>
      </c>
      <c r="CD1038" t="str">
        <f>"396576306"</f>
        <v>396576306</v>
      </c>
      <c r="CQ1038">
        <v>0</v>
      </c>
      <c r="CR1038">
        <v>2</v>
      </c>
      <c r="CS1038">
        <v>0</v>
      </c>
      <c r="CT1038">
        <v>2</v>
      </c>
      <c r="CU1038">
        <v>0</v>
      </c>
      <c r="CV1038">
        <v>5</v>
      </c>
      <c r="CW1038" t="s">
        <v>120</v>
      </c>
      <c r="CX1038">
        <v>261</v>
      </c>
      <c r="CY1038">
        <v>1</v>
      </c>
      <c r="CZ1038" t="s">
        <v>121</v>
      </c>
      <c r="DA1038" t="s">
        <v>122</v>
      </c>
      <c r="DD1038">
        <v>3738118</v>
      </c>
      <c r="DE1038" t="s">
        <v>123</v>
      </c>
    </row>
    <row r="1039" spans="1:109" x14ac:dyDescent="0.3">
      <c r="A1039" t="str">
        <f>"18:51:59.672"</f>
        <v>18:51:59.672</v>
      </c>
      <c r="B1039" t="s">
        <v>110</v>
      </c>
      <c r="C1039" t="str">
        <f t="shared" si="48"/>
        <v>ffdfd3c0</v>
      </c>
      <c r="D1039" t="s">
        <v>111</v>
      </c>
      <c r="E1039">
        <v>18</v>
      </c>
      <c r="F1039">
        <v>1018</v>
      </c>
      <c r="G1039" t="s">
        <v>112</v>
      </c>
      <c r="J1039" t="s">
        <v>113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R1039" t="s">
        <v>114</v>
      </c>
      <c r="S1039" t="str">
        <f>"18:51:59.461"</f>
        <v>18:51:59.461</v>
      </c>
      <c r="T1039" t="str">
        <f>"18:51:59.359"</f>
        <v>18:51:59.359</v>
      </c>
      <c r="U1039" t="str">
        <f t="shared" si="49"/>
        <v>a1cdbe</v>
      </c>
      <c r="V1039">
        <v>0</v>
      </c>
      <c r="W1039">
        <v>0</v>
      </c>
      <c r="X1039">
        <v>1</v>
      </c>
      <c r="Y1039">
        <v>0</v>
      </c>
      <c r="Z1039">
        <v>0</v>
      </c>
      <c r="AB1039">
        <v>0</v>
      </c>
      <c r="AC1039">
        <v>9</v>
      </c>
      <c r="AD1039">
        <v>3</v>
      </c>
      <c r="AE1039">
        <v>0</v>
      </c>
      <c r="AF1039">
        <v>9</v>
      </c>
      <c r="AG1039" t="s">
        <v>158</v>
      </c>
      <c r="AH1039">
        <v>0</v>
      </c>
      <c r="AI1039">
        <v>3</v>
      </c>
      <c r="AJ1039">
        <v>1</v>
      </c>
      <c r="AK1039">
        <v>0</v>
      </c>
      <c r="AL1039" t="s">
        <v>1983</v>
      </c>
      <c r="AM1039">
        <v>46.846969000000001</v>
      </c>
      <c r="AN1039" t="s">
        <v>2070</v>
      </c>
      <c r="AO1039">
        <v>-122.535732</v>
      </c>
      <c r="AP1039">
        <v>100</v>
      </c>
      <c r="AQ1039">
        <v>2000</v>
      </c>
      <c r="AR1039" t="s">
        <v>118</v>
      </c>
      <c r="AS1039">
        <v>-81</v>
      </c>
      <c r="AT1039">
        <v>-2</v>
      </c>
      <c r="AU1039">
        <v>-64</v>
      </c>
      <c r="BC1039">
        <v>1200</v>
      </c>
      <c r="BD1039">
        <v>1</v>
      </c>
      <c r="BE1039" t="str">
        <f t="shared" si="50"/>
        <v xml:space="preserve">N215T   </v>
      </c>
      <c r="BF1039">
        <v>1</v>
      </c>
      <c r="BH1039">
        <v>0</v>
      </c>
      <c r="BI1039">
        <v>0</v>
      </c>
      <c r="BJ1039">
        <v>0</v>
      </c>
      <c r="BK1039">
        <v>2375</v>
      </c>
      <c r="BL1039">
        <v>375</v>
      </c>
      <c r="BM1039" t="s">
        <v>119</v>
      </c>
      <c r="BN1039">
        <v>1</v>
      </c>
      <c r="BO1039">
        <v>1</v>
      </c>
      <c r="BP1039">
        <v>1</v>
      </c>
      <c r="BQ1039">
        <v>0</v>
      </c>
      <c r="BT1039">
        <v>0</v>
      </c>
      <c r="BU1039">
        <v>0</v>
      </c>
      <c r="BV1039">
        <v>0</v>
      </c>
      <c r="CC1039" t="str">
        <f>"18:51:59.461"</f>
        <v>18:51:59.461</v>
      </c>
      <c r="CD1039" t="str">
        <f>"461471354"</f>
        <v>461471354</v>
      </c>
      <c r="CQ1039">
        <v>0</v>
      </c>
      <c r="CR1039">
        <v>2</v>
      </c>
      <c r="CS1039">
        <v>0</v>
      </c>
      <c r="CT1039">
        <v>2</v>
      </c>
      <c r="CU1039">
        <v>0</v>
      </c>
      <c r="CV1039">
        <v>5</v>
      </c>
      <c r="CW1039" t="s">
        <v>120</v>
      </c>
      <c r="CX1039">
        <v>261</v>
      </c>
      <c r="CY1039">
        <v>2</v>
      </c>
      <c r="CZ1039" t="s">
        <v>121</v>
      </c>
      <c r="DA1039" t="s">
        <v>122</v>
      </c>
      <c r="DD1039">
        <v>14810339</v>
      </c>
      <c r="DE1039" t="s">
        <v>123</v>
      </c>
    </row>
    <row r="1040" spans="1:109" x14ac:dyDescent="0.3">
      <c r="A1040" t="str">
        <f>"18:52:00.883"</f>
        <v>18:52:00.883</v>
      </c>
      <c r="B1040" t="s">
        <v>110</v>
      </c>
      <c r="C1040" t="str">
        <f t="shared" si="48"/>
        <v>ffdfd3c0</v>
      </c>
      <c r="D1040" t="s">
        <v>111</v>
      </c>
      <c r="E1040">
        <v>18</v>
      </c>
      <c r="F1040">
        <v>1018</v>
      </c>
      <c r="G1040" t="s">
        <v>112</v>
      </c>
      <c r="J1040" t="s">
        <v>113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R1040" t="s">
        <v>114</v>
      </c>
      <c r="S1040" t="str">
        <f>"18:52:00.641"</f>
        <v>18:52:00.641</v>
      </c>
      <c r="T1040" t="str">
        <f>"18:52:00.344"</f>
        <v>18:52:00.344</v>
      </c>
      <c r="U1040" t="str">
        <f t="shared" si="49"/>
        <v>a1cdbe</v>
      </c>
      <c r="V1040">
        <v>0</v>
      </c>
      <c r="W1040">
        <v>0</v>
      </c>
      <c r="X1040">
        <v>1</v>
      </c>
      <c r="Y1040">
        <v>0</v>
      </c>
      <c r="Z1040">
        <v>0</v>
      </c>
      <c r="AB1040">
        <v>0</v>
      </c>
      <c r="AC1040">
        <v>9</v>
      </c>
      <c r="AD1040">
        <v>3</v>
      </c>
      <c r="AE1040">
        <v>0</v>
      </c>
      <c r="AF1040">
        <v>9</v>
      </c>
      <c r="AG1040" t="s">
        <v>158</v>
      </c>
      <c r="AH1040">
        <v>0</v>
      </c>
      <c r="AI1040">
        <v>3</v>
      </c>
      <c r="AJ1040">
        <v>1</v>
      </c>
      <c r="AK1040">
        <v>0</v>
      </c>
      <c r="AL1040" t="s">
        <v>1983</v>
      </c>
      <c r="AM1040">
        <v>46.846969000000001</v>
      </c>
      <c r="AN1040" t="s">
        <v>2071</v>
      </c>
      <c r="AO1040">
        <v>-122.536354</v>
      </c>
      <c r="AP1040">
        <v>100</v>
      </c>
      <c r="AQ1040">
        <v>2000</v>
      </c>
      <c r="AR1040" t="s">
        <v>118</v>
      </c>
      <c r="AS1040">
        <v>-81</v>
      </c>
      <c r="AT1040">
        <v>-2</v>
      </c>
      <c r="AU1040">
        <v>-128</v>
      </c>
      <c r="BC1040">
        <v>1200</v>
      </c>
      <c r="BD1040">
        <v>1</v>
      </c>
      <c r="BE1040" t="str">
        <f t="shared" si="50"/>
        <v xml:space="preserve">N215T   </v>
      </c>
      <c r="BF1040">
        <v>1</v>
      </c>
      <c r="BH1040">
        <v>0</v>
      </c>
      <c r="BI1040">
        <v>0</v>
      </c>
      <c r="BJ1040">
        <v>0</v>
      </c>
      <c r="BK1040">
        <v>2375</v>
      </c>
      <c r="BL1040">
        <v>375</v>
      </c>
      <c r="BM1040" t="s">
        <v>119</v>
      </c>
      <c r="BN1040">
        <v>1</v>
      </c>
      <c r="BO1040">
        <v>1</v>
      </c>
      <c r="BP1040">
        <v>1</v>
      </c>
      <c r="BQ1040">
        <v>0</v>
      </c>
      <c r="BT1040">
        <v>0</v>
      </c>
      <c r="BU1040">
        <v>0</v>
      </c>
      <c r="BV1040">
        <v>0</v>
      </c>
      <c r="CC1040" t="str">
        <f>"18:52:00.648"</f>
        <v>18:52:00.648</v>
      </c>
      <c r="CD1040" t="str">
        <f>"646467856"</f>
        <v>646467856</v>
      </c>
      <c r="CQ1040">
        <v>0</v>
      </c>
      <c r="CR1040">
        <v>2</v>
      </c>
      <c r="CS1040">
        <v>0</v>
      </c>
      <c r="CT1040">
        <v>2</v>
      </c>
      <c r="CU1040">
        <v>0</v>
      </c>
      <c r="CV1040">
        <v>3</v>
      </c>
      <c r="CW1040" t="s">
        <v>120</v>
      </c>
      <c r="CX1040">
        <v>257</v>
      </c>
      <c r="CY1040">
        <v>1</v>
      </c>
      <c r="CZ1040" t="s">
        <v>615</v>
      </c>
      <c r="DA1040" t="s">
        <v>616</v>
      </c>
      <c r="DD1040">
        <v>11145404</v>
      </c>
      <c r="DE1040" t="s">
        <v>123</v>
      </c>
    </row>
    <row r="1041" spans="1:109" x14ac:dyDescent="0.3">
      <c r="A1041" t="str">
        <f>"18:52:01.891"</f>
        <v>18:52:01.891</v>
      </c>
      <c r="B1041" t="s">
        <v>110</v>
      </c>
      <c r="C1041" t="str">
        <f t="shared" si="48"/>
        <v>ffdfd3c0</v>
      </c>
      <c r="D1041" t="s">
        <v>111</v>
      </c>
      <c r="E1041">
        <v>18</v>
      </c>
      <c r="F1041">
        <v>1018</v>
      </c>
      <c r="G1041" t="s">
        <v>112</v>
      </c>
      <c r="J1041" t="s">
        <v>113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R1041" t="s">
        <v>114</v>
      </c>
      <c r="S1041" t="str">
        <f>"18:52:01.633"</f>
        <v>18:52:01.633</v>
      </c>
      <c r="T1041" t="str">
        <f>"18:52:01.430"</f>
        <v>18:52:01.430</v>
      </c>
      <c r="U1041" t="str">
        <f t="shared" si="49"/>
        <v>a1cdbe</v>
      </c>
      <c r="V1041">
        <v>0</v>
      </c>
      <c r="W1041">
        <v>0</v>
      </c>
      <c r="X1041">
        <v>1</v>
      </c>
      <c r="Y1041">
        <v>0</v>
      </c>
      <c r="Z1041">
        <v>0</v>
      </c>
      <c r="AB1041">
        <v>0</v>
      </c>
      <c r="AC1041">
        <v>9</v>
      </c>
      <c r="AD1041">
        <v>3</v>
      </c>
      <c r="AE1041">
        <v>0</v>
      </c>
      <c r="AF1041">
        <v>9</v>
      </c>
      <c r="AG1041" t="s">
        <v>158</v>
      </c>
      <c r="AH1041">
        <v>0</v>
      </c>
      <c r="AI1041">
        <v>3</v>
      </c>
      <c r="AJ1041">
        <v>1</v>
      </c>
      <c r="AK1041">
        <v>0</v>
      </c>
      <c r="AL1041" t="s">
        <v>1862</v>
      </c>
      <c r="AM1041">
        <v>46.846947999999998</v>
      </c>
      <c r="AN1041" t="s">
        <v>2072</v>
      </c>
      <c r="AO1041">
        <v>-122.53695500000001</v>
      </c>
      <c r="AP1041">
        <v>100</v>
      </c>
      <c r="AQ1041">
        <v>2000</v>
      </c>
      <c r="AR1041" t="s">
        <v>118</v>
      </c>
      <c r="AS1041">
        <v>-82</v>
      </c>
      <c r="AT1041">
        <v>-2</v>
      </c>
      <c r="AU1041">
        <v>-64</v>
      </c>
      <c r="BC1041">
        <v>1200</v>
      </c>
      <c r="BD1041">
        <v>1</v>
      </c>
      <c r="BE1041" t="str">
        <f t="shared" si="50"/>
        <v xml:space="preserve">N215T   </v>
      </c>
      <c r="BF1041">
        <v>1</v>
      </c>
      <c r="BH1041">
        <v>0</v>
      </c>
      <c r="BI1041">
        <v>0</v>
      </c>
      <c r="BJ1041">
        <v>0</v>
      </c>
      <c r="BK1041">
        <v>2375</v>
      </c>
      <c r="BL1041">
        <v>375</v>
      </c>
      <c r="BM1041" t="s">
        <v>119</v>
      </c>
      <c r="BN1041">
        <v>1</v>
      </c>
      <c r="BO1041">
        <v>1</v>
      </c>
      <c r="BP1041">
        <v>1</v>
      </c>
      <c r="BQ1041">
        <v>0</v>
      </c>
      <c r="BT1041">
        <v>0</v>
      </c>
      <c r="BU1041">
        <v>0</v>
      </c>
      <c r="BV1041">
        <v>0</v>
      </c>
      <c r="CC1041" t="str">
        <f>"18:52:01.633"</f>
        <v>18:52:01.633</v>
      </c>
      <c r="CD1041" t="str">
        <f>"636257142"</f>
        <v>636257142</v>
      </c>
      <c r="CQ1041">
        <v>0</v>
      </c>
      <c r="CR1041">
        <v>2</v>
      </c>
      <c r="CS1041">
        <v>0</v>
      </c>
      <c r="CT1041">
        <v>2</v>
      </c>
      <c r="CU1041">
        <v>0</v>
      </c>
      <c r="CV1041">
        <v>6</v>
      </c>
      <c r="CW1041" t="s">
        <v>120</v>
      </c>
      <c r="CX1041">
        <v>261</v>
      </c>
      <c r="CY1041">
        <v>2</v>
      </c>
      <c r="CZ1041" t="s">
        <v>121</v>
      </c>
      <c r="DA1041" t="s">
        <v>122</v>
      </c>
      <c r="DD1041">
        <v>14811584</v>
      </c>
      <c r="DE1041" t="s">
        <v>123</v>
      </c>
    </row>
    <row r="1042" spans="1:109" x14ac:dyDescent="0.3">
      <c r="A1042" t="str">
        <f>"18:52:02.789"</f>
        <v>18:52:02.789</v>
      </c>
      <c r="B1042" t="s">
        <v>110</v>
      </c>
      <c r="C1042" t="str">
        <f t="shared" si="48"/>
        <v>ffdfd3c0</v>
      </c>
      <c r="D1042" t="s">
        <v>111</v>
      </c>
      <c r="E1042">
        <v>18</v>
      </c>
      <c r="F1042">
        <v>1018</v>
      </c>
      <c r="G1042" t="s">
        <v>112</v>
      </c>
      <c r="J1042" t="s">
        <v>113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R1042" t="s">
        <v>114</v>
      </c>
      <c r="S1042" t="str">
        <f>"18:52:02.531"</f>
        <v>18:52:02.531</v>
      </c>
      <c r="T1042" t="str">
        <f>"18:52:02.430"</f>
        <v>18:52:02.430</v>
      </c>
      <c r="U1042" t="str">
        <f t="shared" si="49"/>
        <v>a1cdbe</v>
      </c>
      <c r="V1042">
        <v>0</v>
      </c>
      <c r="W1042">
        <v>0</v>
      </c>
      <c r="X1042">
        <v>1</v>
      </c>
      <c r="Y1042">
        <v>0</v>
      </c>
      <c r="Z1042">
        <v>0</v>
      </c>
      <c r="AB1042">
        <v>0</v>
      </c>
      <c r="AC1042">
        <v>9</v>
      </c>
      <c r="AD1042">
        <v>3</v>
      </c>
      <c r="AE1042">
        <v>0</v>
      </c>
      <c r="AF1042">
        <v>9</v>
      </c>
      <c r="AG1042" t="s">
        <v>158</v>
      </c>
      <c r="AH1042">
        <v>0</v>
      </c>
      <c r="AI1042">
        <v>3</v>
      </c>
      <c r="AJ1042">
        <v>1</v>
      </c>
      <c r="AK1042">
        <v>0</v>
      </c>
      <c r="AL1042" t="s">
        <v>1862</v>
      </c>
      <c r="AM1042">
        <v>46.846947999999998</v>
      </c>
      <c r="AN1042" t="s">
        <v>2073</v>
      </c>
      <c r="AO1042">
        <v>-122.53742699999999</v>
      </c>
      <c r="AP1042">
        <v>100</v>
      </c>
      <c r="AQ1042">
        <v>2000</v>
      </c>
      <c r="AR1042" t="s">
        <v>118</v>
      </c>
      <c r="AS1042">
        <v>-82</v>
      </c>
      <c r="AT1042">
        <v>-2</v>
      </c>
      <c r="AU1042">
        <v>-192</v>
      </c>
      <c r="BC1042">
        <v>1200</v>
      </c>
      <c r="BD1042">
        <v>1</v>
      </c>
      <c r="BE1042" t="str">
        <f t="shared" si="50"/>
        <v xml:space="preserve">N215T   </v>
      </c>
      <c r="BF1042">
        <v>1</v>
      </c>
      <c r="BH1042">
        <v>0</v>
      </c>
      <c r="BI1042">
        <v>0</v>
      </c>
      <c r="BJ1042">
        <v>0</v>
      </c>
      <c r="BK1042">
        <v>2375</v>
      </c>
      <c r="BL1042">
        <v>375</v>
      </c>
      <c r="BM1042" t="s">
        <v>119</v>
      </c>
      <c r="BN1042">
        <v>1</v>
      </c>
      <c r="BO1042">
        <v>1</v>
      </c>
      <c r="BP1042">
        <v>1</v>
      </c>
      <c r="BQ1042">
        <v>0</v>
      </c>
      <c r="BT1042">
        <v>0</v>
      </c>
      <c r="BU1042">
        <v>0</v>
      </c>
      <c r="BV1042">
        <v>0</v>
      </c>
      <c r="CC1042" t="str">
        <f>"18:52:02.539"</f>
        <v>18:52:02.539</v>
      </c>
      <c r="CD1042" t="str">
        <f>"536168499"</f>
        <v>536168499</v>
      </c>
      <c r="CQ1042">
        <v>0</v>
      </c>
      <c r="CR1042">
        <v>2</v>
      </c>
      <c r="CS1042">
        <v>0</v>
      </c>
      <c r="CT1042">
        <v>2</v>
      </c>
      <c r="CU1042">
        <v>0</v>
      </c>
      <c r="CV1042">
        <v>5</v>
      </c>
      <c r="CW1042" t="s">
        <v>120</v>
      </c>
      <c r="CX1042">
        <v>261</v>
      </c>
      <c r="CY1042">
        <v>2</v>
      </c>
      <c r="CZ1042" t="s">
        <v>121</v>
      </c>
      <c r="DA1042" t="s">
        <v>122</v>
      </c>
      <c r="DD1042">
        <v>14812168</v>
      </c>
      <c r="DE1042" t="s">
        <v>123</v>
      </c>
    </row>
    <row r="1043" spans="1:109" x14ac:dyDescent="0.3">
      <c r="A1043" t="str">
        <f>"18:52:03.750"</f>
        <v>18:52:03.750</v>
      </c>
      <c r="B1043" t="s">
        <v>110</v>
      </c>
      <c r="C1043" t="str">
        <f t="shared" si="48"/>
        <v>ffdfd3c0</v>
      </c>
      <c r="D1043" t="s">
        <v>111</v>
      </c>
      <c r="E1043">
        <v>18</v>
      </c>
      <c r="F1043">
        <v>1018</v>
      </c>
      <c r="G1043" t="s">
        <v>112</v>
      </c>
      <c r="J1043" t="s">
        <v>113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R1043" t="s">
        <v>114</v>
      </c>
      <c r="S1043" t="str">
        <f>"18:52:03.523"</f>
        <v>18:52:03.523</v>
      </c>
      <c r="T1043" t="str">
        <f>"18:52:03.422"</f>
        <v>18:52:03.422</v>
      </c>
      <c r="U1043" t="str">
        <f t="shared" si="49"/>
        <v>a1cdbe</v>
      </c>
      <c r="V1043">
        <v>0</v>
      </c>
      <c r="W1043">
        <v>0</v>
      </c>
      <c r="X1043">
        <v>1</v>
      </c>
      <c r="Y1043">
        <v>0</v>
      </c>
      <c r="Z1043">
        <v>0</v>
      </c>
      <c r="AB1043">
        <v>0</v>
      </c>
      <c r="AC1043">
        <v>9</v>
      </c>
      <c r="AD1043">
        <v>3</v>
      </c>
      <c r="AE1043">
        <v>0</v>
      </c>
      <c r="AF1043">
        <v>9</v>
      </c>
      <c r="AG1043" t="s">
        <v>158</v>
      </c>
      <c r="AH1043">
        <v>0</v>
      </c>
      <c r="AI1043">
        <v>3</v>
      </c>
      <c r="AJ1043">
        <v>1</v>
      </c>
      <c r="AK1043">
        <v>0</v>
      </c>
      <c r="AL1043" t="s">
        <v>1981</v>
      </c>
      <c r="AM1043">
        <v>46.846905</v>
      </c>
      <c r="AN1043" t="s">
        <v>2074</v>
      </c>
      <c r="AO1043">
        <v>-122.537942</v>
      </c>
      <c r="AP1043">
        <v>100</v>
      </c>
      <c r="AQ1043">
        <v>2000</v>
      </c>
      <c r="AR1043" t="s">
        <v>118</v>
      </c>
      <c r="AS1043">
        <v>-81</v>
      </c>
      <c r="AT1043">
        <v>-2</v>
      </c>
      <c r="AU1043">
        <v>-128</v>
      </c>
      <c r="BC1043">
        <v>1200</v>
      </c>
      <c r="BD1043">
        <v>1</v>
      </c>
      <c r="BE1043" t="str">
        <f t="shared" si="50"/>
        <v xml:space="preserve">N215T   </v>
      </c>
      <c r="BF1043">
        <v>1</v>
      </c>
      <c r="BH1043">
        <v>0</v>
      </c>
      <c r="BI1043">
        <v>0</v>
      </c>
      <c r="BJ1043">
        <v>0</v>
      </c>
      <c r="BK1043">
        <v>2375</v>
      </c>
      <c r="BL1043">
        <v>375</v>
      </c>
      <c r="BM1043" t="s">
        <v>119</v>
      </c>
      <c r="BN1043">
        <v>1</v>
      </c>
      <c r="BO1043">
        <v>1</v>
      </c>
      <c r="BP1043">
        <v>1</v>
      </c>
      <c r="BQ1043">
        <v>0</v>
      </c>
      <c r="BT1043">
        <v>0</v>
      </c>
      <c r="BU1043">
        <v>0</v>
      </c>
      <c r="BV1043">
        <v>0</v>
      </c>
      <c r="CC1043" t="str">
        <f>"18:52:03.523"</f>
        <v>18:52:03.523</v>
      </c>
      <c r="CD1043" t="str">
        <f>"526070990"</f>
        <v>526070990</v>
      </c>
      <c r="CQ1043">
        <v>0</v>
      </c>
      <c r="CR1043">
        <v>2</v>
      </c>
      <c r="CS1043">
        <v>0</v>
      </c>
      <c r="CT1043">
        <v>2</v>
      </c>
      <c r="CU1043">
        <v>0</v>
      </c>
      <c r="CV1043">
        <v>6</v>
      </c>
      <c r="CW1043" t="s">
        <v>120</v>
      </c>
      <c r="CX1043">
        <v>261</v>
      </c>
      <c r="CY1043">
        <v>2</v>
      </c>
      <c r="CZ1043" t="s">
        <v>121</v>
      </c>
      <c r="DA1043" t="s">
        <v>122</v>
      </c>
      <c r="DD1043">
        <v>14812718</v>
      </c>
      <c r="DE1043" t="s">
        <v>123</v>
      </c>
    </row>
    <row r="1044" spans="1:109" x14ac:dyDescent="0.3">
      <c r="A1044" t="str">
        <f>"18:52:04.805"</f>
        <v>18:52:04.805</v>
      </c>
      <c r="B1044" t="s">
        <v>110</v>
      </c>
      <c r="C1044" t="str">
        <f t="shared" si="48"/>
        <v>ffdfd3c0</v>
      </c>
      <c r="D1044" t="s">
        <v>111</v>
      </c>
      <c r="E1044">
        <v>18</v>
      </c>
      <c r="F1044">
        <v>1018</v>
      </c>
      <c r="G1044" t="s">
        <v>112</v>
      </c>
      <c r="J1044" t="s">
        <v>113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R1044" t="s">
        <v>114</v>
      </c>
      <c r="S1044" t="str">
        <f>"18:52:04.602"</f>
        <v>18:52:04.602</v>
      </c>
      <c r="T1044" t="str">
        <f>"18:52:04.398"</f>
        <v>18:52:04.398</v>
      </c>
      <c r="U1044" t="str">
        <f t="shared" si="49"/>
        <v>a1cdbe</v>
      </c>
      <c r="V1044">
        <v>0</v>
      </c>
      <c r="W1044">
        <v>0</v>
      </c>
      <c r="X1044">
        <v>1</v>
      </c>
      <c r="Y1044">
        <v>0</v>
      </c>
      <c r="Z1044">
        <v>0</v>
      </c>
      <c r="AB1044">
        <v>0</v>
      </c>
      <c r="AC1044">
        <v>9</v>
      </c>
      <c r="AD1044">
        <v>3</v>
      </c>
      <c r="AE1044">
        <v>0</v>
      </c>
      <c r="AF1044">
        <v>9</v>
      </c>
      <c r="AG1044" t="s">
        <v>158</v>
      </c>
      <c r="AH1044">
        <v>0</v>
      </c>
      <c r="AI1044">
        <v>3</v>
      </c>
      <c r="AJ1044">
        <v>1</v>
      </c>
      <c r="AK1044">
        <v>0</v>
      </c>
      <c r="AL1044" t="s">
        <v>1981</v>
      </c>
      <c r="AM1044">
        <v>46.846905</v>
      </c>
      <c r="AN1044" t="s">
        <v>2075</v>
      </c>
      <c r="AO1044">
        <v>-122.538543</v>
      </c>
      <c r="AP1044">
        <v>100</v>
      </c>
      <c r="AQ1044">
        <v>2000</v>
      </c>
      <c r="AR1044" t="s">
        <v>118</v>
      </c>
      <c r="AS1044">
        <v>-81</v>
      </c>
      <c r="AT1044">
        <v>-1</v>
      </c>
      <c r="AU1044">
        <v>64</v>
      </c>
      <c r="BC1044">
        <v>1200</v>
      </c>
      <c r="BD1044">
        <v>1</v>
      </c>
      <c r="BE1044" t="str">
        <f t="shared" si="50"/>
        <v xml:space="preserve">N215T   </v>
      </c>
      <c r="BF1044">
        <v>1</v>
      </c>
      <c r="BH1044">
        <v>0</v>
      </c>
      <c r="BI1044">
        <v>0</v>
      </c>
      <c r="BJ1044">
        <v>0</v>
      </c>
      <c r="BK1044">
        <v>2375</v>
      </c>
      <c r="BL1044">
        <v>375</v>
      </c>
      <c r="BM1044" t="s">
        <v>119</v>
      </c>
      <c r="BN1044">
        <v>1</v>
      </c>
      <c r="BO1044">
        <v>1</v>
      </c>
      <c r="BP1044">
        <v>1</v>
      </c>
      <c r="BQ1044">
        <v>0</v>
      </c>
      <c r="BT1044">
        <v>0</v>
      </c>
      <c r="BU1044">
        <v>0</v>
      </c>
      <c r="BV1044">
        <v>0</v>
      </c>
      <c r="CC1044" t="str">
        <f>"18:52:04.609"</f>
        <v>18:52:04.609</v>
      </c>
      <c r="CD1044" t="str">
        <f>"605964638"</f>
        <v>605964638</v>
      </c>
      <c r="CQ1044">
        <v>0</v>
      </c>
      <c r="CR1044">
        <v>2</v>
      </c>
      <c r="CS1044">
        <v>0</v>
      </c>
      <c r="CT1044">
        <v>2</v>
      </c>
      <c r="CU1044">
        <v>0</v>
      </c>
      <c r="CV1044">
        <v>6</v>
      </c>
      <c r="CW1044" t="s">
        <v>120</v>
      </c>
      <c r="CX1044">
        <v>261</v>
      </c>
      <c r="CY1044">
        <v>2</v>
      </c>
      <c r="CZ1044" t="s">
        <v>121</v>
      </c>
      <c r="DA1044" t="s">
        <v>122</v>
      </c>
      <c r="DD1044">
        <v>14813358</v>
      </c>
      <c r="DE1044" t="s">
        <v>123</v>
      </c>
    </row>
    <row r="1045" spans="1:109" x14ac:dyDescent="0.3">
      <c r="A1045" t="str">
        <f>"18:52:05.656"</f>
        <v>18:52:05.656</v>
      </c>
      <c r="B1045" t="s">
        <v>110</v>
      </c>
      <c r="C1045" t="str">
        <f t="shared" si="48"/>
        <v>ffdfd3c0</v>
      </c>
      <c r="D1045" t="s">
        <v>111</v>
      </c>
      <c r="E1045">
        <v>18</v>
      </c>
      <c r="F1045">
        <v>1018</v>
      </c>
      <c r="G1045" t="s">
        <v>112</v>
      </c>
      <c r="J1045" t="s">
        <v>113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R1045" t="s">
        <v>114</v>
      </c>
      <c r="S1045" t="str">
        <f>"18:52:05.430"</f>
        <v>18:52:05.430</v>
      </c>
      <c r="T1045" t="str">
        <f>"18:52:05.031"</f>
        <v>18:52:05.031</v>
      </c>
      <c r="U1045" t="str">
        <f t="shared" si="49"/>
        <v>a1cdbe</v>
      </c>
      <c r="V1045">
        <v>0</v>
      </c>
      <c r="W1045">
        <v>0</v>
      </c>
      <c r="X1045">
        <v>1</v>
      </c>
      <c r="Y1045">
        <v>0</v>
      </c>
      <c r="Z1045">
        <v>0</v>
      </c>
      <c r="AB1045">
        <v>0</v>
      </c>
      <c r="AC1045">
        <v>9</v>
      </c>
      <c r="AD1045">
        <v>3</v>
      </c>
      <c r="AE1045">
        <v>0</v>
      </c>
      <c r="AF1045">
        <v>9</v>
      </c>
      <c r="AG1045" t="s">
        <v>158</v>
      </c>
      <c r="AH1045">
        <v>0</v>
      </c>
      <c r="AI1045">
        <v>3</v>
      </c>
      <c r="AJ1045">
        <v>1</v>
      </c>
      <c r="AK1045">
        <v>0</v>
      </c>
      <c r="AL1045" t="s">
        <v>1981</v>
      </c>
      <c r="AM1045">
        <v>46.846905</v>
      </c>
      <c r="AN1045" t="s">
        <v>2076</v>
      </c>
      <c r="AO1045">
        <v>-122.539036</v>
      </c>
      <c r="AP1045">
        <v>100</v>
      </c>
      <c r="AQ1045">
        <v>2000</v>
      </c>
      <c r="AR1045" t="s">
        <v>118</v>
      </c>
      <c r="AS1045">
        <v>-81</v>
      </c>
      <c r="AT1045">
        <v>-1</v>
      </c>
      <c r="AU1045">
        <v>64</v>
      </c>
      <c r="BC1045">
        <v>1200</v>
      </c>
      <c r="BD1045">
        <v>1</v>
      </c>
      <c r="BE1045" t="str">
        <f t="shared" si="50"/>
        <v xml:space="preserve">N215T   </v>
      </c>
      <c r="BF1045">
        <v>1</v>
      </c>
      <c r="BH1045">
        <v>0</v>
      </c>
      <c r="BI1045">
        <v>0</v>
      </c>
      <c r="BJ1045">
        <v>0</v>
      </c>
      <c r="BK1045">
        <v>2375</v>
      </c>
      <c r="BL1045">
        <v>375</v>
      </c>
      <c r="BM1045" t="s">
        <v>119</v>
      </c>
      <c r="BN1045">
        <v>1</v>
      </c>
      <c r="BO1045">
        <v>1</v>
      </c>
      <c r="BP1045">
        <v>1</v>
      </c>
      <c r="BQ1045">
        <v>0</v>
      </c>
      <c r="BT1045">
        <v>0</v>
      </c>
      <c r="BU1045">
        <v>0</v>
      </c>
      <c r="BV1045">
        <v>0</v>
      </c>
      <c r="CC1045" t="str">
        <f>"18:52:05.430"</f>
        <v>18:52:05.430</v>
      </c>
      <c r="CD1045" t="str">
        <f>"430883379"</f>
        <v>430883379</v>
      </c>
      <c r="CQ1045">
        <v>0</v>
      </c>
      <c r="CR1045">
        <v>2</v>
      </c>
      <c r="CS1045">
        <v>0</v>
      </c>
      <c r="CT1045">
        <v>2</v>
      </c>
      <c r="CU1045">
        <v>0</v>
      </c>
      <c r="CV1045">
        <v>6</v>
      </c>
      <c r="CW1045" t="s">
        <v>120</v>
      </c>
      <c r="CX1045">
        <v>261</v>
      </c>
      <c r="CY1045">
        <v>2</v>
      </c>
      <c r="CZ1045" t="s">
        <v>121</v>
      </c>
      <c r="DA1045" t="s">
        <v>122</v>
      </c>
      <c r="DD1045">
        <v>14813820</v>
      </c>
      <c r="DE1045" t="s">
        <v>123</v>
      </c>
    </row>
    <row r="1046" spans="1:109" x14ac:dyDescent="0.3">
      <c r="A1046" t="str">
        <f>"18:52:06.563"</f>
        <v>18:52:06.563</v>
      </c>
      <c r="B1046" t="s">
        <v>110</v>
      </c>
      <c r="C1046" t="str">
        <f t="shared" si="48"/>
        <v>ffdfd3c0</v>
      </c>
      <c r="D1046" t="s">
        <v>111</v>
      </c>
      <c r="E1046">
        <v>18</v>
      </c>
      <c r="F1046">
        <v>1018</v>
      </c>
      <c r="G1046" t="s">
        <v>112</v>
      </c>
      <c r="J1046" t="s">
        <v>113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R1046" t="s">
        <v>114</v>
      </c>
      <c r="S1046" t="str">
        <f>"18:52:06.344"</f>
        <v>18:52:06.344</v>
      </c>
      <c r="T1046" t="str">
        <f>"18:52:06.344"</f>
        <v>18:52:06.344</v>
      </c>
      <c r="U1046" t="str">
        <f t="shared" si="49"/>
        <v>a1cdbe</v>
      </c>
      <c r="V1046">
        <v>0</v>
      </c>
      <c r="W1046">
        <v>0</v>
      </c>
      <c r="X1046">
        <v>1</v>
      </c>
      <c r="Y1046">
        <v>0</v>
      </c>
      <c r="Z1046">
        <v>0</v>
      </c>
      <c r="AB1046">
        <v>0</v>
      </c>
      <c r="AC1046">
        <v>9</v>
      </c>
      <c r="AD1046">
        <v>3</v>
      </c>
      <c r="AE1046">
        <v>0</v>
      </c>
      <c r="AF1046">
        <v>9</v>
      </c>
      <c r="AG1046" t="s">
        <v>158</v>
      </c>
      <c r="AH1046">
        <v>0</v>
      </c>
      <c r="AI1046">
        <v>3</v>
      </c>
      <c r="AJ1046">
        <v>1</v>
      </c>
      <c r="AK1046">
        <v>0</v>
      </c>
      <c r="AL1046" t="s">
        <v>1981</v>
      </c>
      <c r="AM1046">
        <v>46.846905</v>
      </c>
      <c r="AN1046" t="s">
        <v>2077</v>
      </c>
      <c r="AO1046">
        <v>-122.539508</v>
      </c>
      <c r="AP1046">
        <v>100</v>
      </c>
      <c r="AQ1046">
        <v>2000</v>
      </c>
      <c r="AR1046" t="s">
        <v>118</v>
      </c>
      <c r="AS1046">
        <v>-81</v>
      </c>
      <c r="AT1046">
        <v>-1</v>
      </c>
      <c r="AU1046">
        <v>0</v>
      </c>
      <c r="BC1046">
        <v>1200</v>
      </c>
      <c r="BD1046">
        <v>1</v>
      </c>
      <c r="BE1046" t="str">
        <f t="shared" si="50"/>
        <v xml:space="preserve">N215T   </v>
      </c>
      <c r="BF1046">
        <v>1</v>
      </c>
      <c r="BH1046">
        <v>0</v>
      </c>
      <c r="BI1046">
        <v>0</v>
      </c>
      <c r="BJ1046">
        <v>0</v>
      </c>
      <c r="BK1046">
        <v>2375</v>
      </c>
      <c r="BL1046">
        <v>375</v>
      </c>
      <c r="BM1046" t="s">
        <v>119</v>
      </c>
      <c r="BN1046">
        <v>1</v>
      </c>
      <c r="BO1046">
        <v>1</v>
      </c>
      <c r="BP1046">
        <v>1</v>
      </c>
      <c r="BQ1046">
        <v>0</v>
      </c>
      <c r="BT1046">
        <v>0</v>
      </c>
      <c r="BU1046">
        <v>0</v>
      </c>
      <c r="BV1046">
        <v>0</v>
      </c>
      <c r="CC1046" t="str">
        <f>"18:52:06.344"</f>
        <v>18:52:06.344</v>
      </c>
      <c r="CD1046" t="str">
        <f>"345793253"</f>
        <v>345793253</v>
      </c>
      <c r="CQ1046">
        <v>0</v>
      </c>
      <c r="CR1046">
        <v>2</v>
      </c>
      <c r="CS1046">
        <v>0</v>
      </c>
      <c r="CT1046">
        <v>2</v>
      </c>
      <c r="CU1046">
        <v>0</v>
      </c>
      <c r="CV1046">
        <v>6</v>
      </c>
      <c r="CW1046" t="s">
        <v>120</v>
      </c>
      <c r="CX1046">
        <v>261</v>
      </c>
      <c r="CY1046">
        <v>2</v>
      </c>
      <c r="CZ1046" t="s">
        <v>121</v>
      </c>
      <c r="DA1046" t="s">
        <v>122</v>
      </c>
      <c r="DD1046">
        <v>14814390</v>
      </c>
      <c r="DE1046" t="s">
        <v>123</v>
      </c>
    </row>
    <row r="1047" spans="1:109" x14ac:dyDescent="0.3">
      <c r="A1047" t="str">
        <f>"18:52:07.672"</f>
        <v>18:52:07.672</v>
      </c>
      <c r="B1047" t="s">
        <v>110</v>
      </c>
      <c r="C1047" t="str">
        <f t="shared" si="48"/>
        <v>ffdfd3c0</v>
      </c>
      <c r="D1047" t="s">
        <v>111</v>
      </c>
      <c r="E1047">
        <v>18</v>
      </c>
      <c r="F1047">
        <v>1018</v>
      </c>
      <c r="G1047" t="s">
        <v>112</v>
      </c>
      <c r="J1047" t="s">
        <v>113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R1047" t="s">
        <v>114</v>
      </c>
      <c r="S1047" t="str">
        <f>"18:52:07.422"</f>
        <v>18:52:07.422</v>
      </c>
      <c r="T1047" t="str">
        <f>"18:52:07.422"</f>
        <v>18:52:07.422</v>
      </c>
      <c r="U1047" t="str">
        <f t="shared" si="49"/>
        <v>a1cdbe</v>
      </c>
      <c r="V1047">
        <v>0</v>
      </c>
      <c r="W1047">
        <v>0</v>
      </c>
      <c r="X1047">
        <v>1</v>
      </c>
      <c r="Y1047">
        <v>0</v>
      </c>
      <c r="Z1047">
        <v>0</v>
      </c>
      <c r="AB1047">
        <v>0</v>
      </c>
      <c r="AC1047">
        <v>9</v>
      </c>
      <c r="AD1047">
        <v>3</v>
      </c>
      <c r="AE1047">
        <v>0</v>
      </c>
      <c r="AF1047">
        <v>9</v>
      </c>
      <c r="AG1047" t="s">
        <v>158</v>
      </c>
      <c r="AH1047">
        <v>0</v>
      </c>
      <c r="AI1047">
        <v>3</v>
      </c>
      <c r="AJ1047">
        <v>1</v>
      </c>
      <c r="AK1047">
        <v>0</v>
      </c>
      <c r="AL1047" t="s">
        <v>1981</v>
      </c>
      <c r="AM1047">
        <v>46.846905</v>
      </c>
      <c r="AN1047" t="s">
        <v>2078</v>
      </c>
      <c r="AO1047">
        <v>-122.540131</v>
      </c>
      <c r="AP1047">
        <v>100</v>
      </c>
      <c r="AQ1047">
        <v>2000</v>
      </c>
      <c r="AR1047" t="s">
        <v>118</v>
      </c>
      <c r="AS1047">
        <v>-81</v>
      </c>
      <c r="AT1047">
        <v>0</v>
      </c>
      <c r="AU1047">
        <v>64</v>
      </c>
      <c r="BC1047">
        <v>1200</v>
      </c>
      <c r="BD1047">
        <v>1</v>
      </c>
      <c r="BE1047" t="str">
        <f t="shared" si="50"/>
        <v xml:space="preserve">N215T   </v>
      </c>
      <c r="BF1047">
        <v>1</v>
      </c>
      <c r="BH1047">
        <v>0</v>
      </c>
      <c r="BI1047">
        <v>0</v>
      </c>
      <c r="BJ1047">
        <v>0</v>
      </c>
      <c r="BK1047">
        <v>2375</v>
      </c>
      <c r="BL1047">
        <v>375</v>
      </c>
      <c r="BM1047" t="s">
        <v>119</v>
      </c>
      <c r="BN1047">
        <v>1</v>
      </c>
      <c r="BO1047">
        <v>1</v>
      </c>
      <c r="BP1047">
        <v>1</v>
      </c>
      <c r="BQ1047">
        <v>0</v>
      </c>
      <c r="BT1047">
        <v>0</v>
      </c>
      <c r="BU1047">
        <v>0</v>
      </c>
      <c r="BV1047">
        <v>0</v>
      </c>
      <c r="CC1047" t="str">
        <f>"18:52:07.422"</f>
        <v>18:52:07.422</v>
      </c>
      <c r="CD1047" t="str">
        <f>"425686874"</f>
        <v>425686874</v>
      </c>
      <c r="CQ1047">
        <v>0</v>
      </c>
      <c r="CR1047">
        <v>2</v>
      </c>
      <c r="CS1047">
        <v>0</v>
      </c>
      <c r="CT1047">
        <v>2</v>
      </c>
      <c r="CU1047">
        <v>0</v>
      </c>
      <c r="CV1047">
        <v>6</v>
      </c>
      <c r="CW1047" t="s">
        <v>120</v>
      </c>
      <c r="CX1047">
        <v>261</v>
      </c>
      <c r="CY1047">
        <v>2</v>
      </c>
      <c r="CZ1047" t="s">
        <v>121</v>
      </c>
      <c r="DA1047" t="s">
        <v>122</v>
      </c>
      <c r="DD1047">
        <v>14815070</v>
      </c>
      <c r="DE1047" t="s">
        <v>123</v>
      </c>
    </row>
    <row r="1048" spans="1:109" x14ac:dyDescent="0.3">
      <c r="A1048" t="str">
        <f>"18:52:08.570"</f>
        <v>18:52:08.570</v>
      </c>
      <c r="B1048" t="s">
        <v>110</v>
      </c>
      <c r="C1048" t="str">
        <f t="shared" si="48"/>
        <v>ffdfd3c0</v>
      </c>
      <c r="D1048" t="s">
        <v>111</v>
      </c>
      <c r="E1048">
        <v>18</v>
      </c>
      <c r="F1048">
        <v>1018</v>
      </c>
      <c r="G1048" t="s">
        <v>112</v>
      </c>
      <c r="J1048" t="s">
        <v>113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R1048" t="s">
        <v>114</v>
      </c>
      <c r="S1048" t="str">
        <f>"18:52:08.336"</f>
        <v>18:52:08.336</v>
      </c>
      <c r="T1048" t="str">
        <f>"18:52:08.039"</f>
        <v>18:52:08.039</v>
      </c>
      <c r="U1048" t="str">
        <f t="shared" si="49"/>
        <v>a1cdbe</v>
      </c>
      <c r="V1048">
        <v>0</v>
      </c>
      <c r="W1048">
        <v>0</v>
      </c>
      <c r="X1048">
        <v>1</v>
      </c>
      <c r="Y1048">
        <v>0</v>
      </c>
      <c r="Z1048">
        <v>0</v>
      </c>
      <c r="AB1048">
        <v>0</v>
      </c>
      <c r="AC1048">
        <v>9</v>
      </c>
      <c r="AD1048">
        <v>3</v>
      </c>
      <c r="AE1048">
        <v>0</v>
      </c>
      <c r="AF1048">
        <v>9</v>
      </c>
      <c r="AG1048" t="s">
        <v>158</v>
      </c>
      <c r="AH1048">
        <v>0</v>
      </c>
      <c r="AI1048">
        <v>3</v>
      </c>
      <c r="AJ1048">
        <v>1</v>
      </c>
      <c r="AK1048">
        <v>0</v>
      </c>
      <c r="AL1048" t="s">
        <v>1981</v>
      </c>
      <c r="AM1048">
        <v>46.846905</v>
      </c>
      <c r="AN1048" t="s">
        <v>2079</v>
      </c>
      <c r="AO1048">
        <v>-122.540603</v>
      </c>
      <c r="AP1048">
        <v>100</v>
      </c>
      <c r="AQ1048">
        <v>2000</v>
      </c>
      <c r="AR1048" t="s">
        <v>118</v>
      </c>
      <c r="AS1048">
        <v>-81</v>
      </c>
      <c r="AT1048">
        <v>0</v>
      </c>
      <c r="AU1048">
        <v>64</v>
      </c>
      <c r="BC1048">
        <v>1200</v>
      </c>
      <c r="BD1048">
        <v>1</v>
      </c>
      <c r="BE1048" t="str">
        <f t="shared" si="50"/>
        <v xml:space="preserve">N215T   </v>
      </c>
      <c r="BF1048">
        <v>1</v>
      </c>
      <c r="BH1048">
        <v>0</v>
      </c>
      <c r="BI1048">
        <v>0</v>
      </c>
      <c r="BJ1048">
        <v>0</v>
      </c>
      <c r="BK1048">
        <v>2375</v>
      </c>
      <c r="BL1048">
        <v>375</v>
      </c>
      <c r="BM1048" t="s">
        <v>119</v>
      </c>
      <c r="BN1048">
        <v>1</v>
      </c>
      <c r="BO1048">
        <v>1</v>
      </c>
      <c r="BP1048">
        <v>1</v>
      </c>
      <c r="BQ1048">
        <v>0</v>
      </c>
      <c r="BT1048">
        <v>0</v>
      </c>
      <c r="BU1048">
        <v>0</v>
      </c>
      <c r="BV1048">
        <v>0</v>
      </c>
      <c r="CC1048" t="str">
        <f>"18:52:08.344"</f>
        <v>18:52:08.344</v>
      </c>
      <c r="CD1048" t="str">
        <f>"340596771"</f>
        <v>340596771</v>
      </c>
      <c r="CQ1048">
        <v>0</v>
      </c>
      <c r="CR1048">
        <v>2</v>
      </c>
      <c r="CS1048">
        <v>0</v>
      </c>
      <c r="CT1048">
        <v>2</v>
      </c>
      <c r="CU1048">
        <v>0</v>
      </c>
      <c r="CV1048">
        <v>6</v>
      </c>
      <c r="CW1048" t="s">
        <v>120</v>
      </c>
      <c r="CX1048">
        <v>261</v>
      </c>
      <c r="CY1048">
        <v>2</v>
      </c>
      <c r="CZ1048" t="s">
        <v>121</v>
      </c>
      <c r="DA1048" t="s">
        <v>122</v>
      </c>
      <c r="DD1048">
        <v>14815603</v>
      </c>
      <c r="DE1048" t="s">
        <v>123</v>
      </c>
    </row>
    <row r="1049" spans="1:109" x14ac:dyDescent="0.3">
      <c r="A1049" t="str">
        <f>"18:52:09.633"</f>
        <v>18:52:09.633</v>
      </c>
      <c r="B1049" t="s">
        <v>110</v>
      </c>
      <c r="C1049" t="str">
        <f t="shared" si="48"/>
        <v>ffdfd3c0</v>
      </c>
      <c r="D1049" t="s">
        <v>111</v>
      </c>
      <c r="E1049">
        <v>18</v>
      </c>
      <c r="F1049">
        <v>1018</v>
      </c>
      <c r="G1049" t="s">
        <v>112</v>
      </c>
      <c r="J1049" t="s">
        <v>113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R1049" t="s">
        <v>114</v>
      </c>
      <c r="S1049" t="str">
        <f>"18:52:09.398"</f>
        <v>18:52:09.398</v>
      </c>
      <c r="T1049" t="str">
        <f>"18:52:08.602"</f>
        <v>18:52:08.602</v>
      </c>
      <c r="U1049" t="str">
        <f t="shared" si="49"/>
        <v>a1cdbe</v>
      </c>
      <c r="V1049">
        <v>0</v>
      </c>
      <c r="W1049">
        <v>0</v>
      </c>
      <c r="X1049">
        <v>1</v>
      </c>
      <c r="Y1049">
        <v>0</v>
      </c>
      <c r="Z1049">
        <v>0</v>
      </c>
      <c r="AB1049">
        <v>0</v>
      </c>
      <c r="AC1049">
        <v>9</v>
      </c>
      <c r="AD1049">
        <v>3</v>
      </c>
      <c r="AE1049">
        <v>0</v>
      </c>
      <c r="AF1049">
        <v>9</v>
      </c>
      <c r="AG1049" t="s">
        <v>158</v>
      </c>
      <c r="AH1049">
        <v>0</v>
      </c>
      <c r="AI1049">
        <v>3</v>
      </c>
      <c r="AJ1049">
        <v>1</v>
      </c>
      <c r="AK1049">
        <v>0</v>
      </c>
      <c r="AL1049" t="s">
        <v>1981</v>
      </c>
      <c r="AM1049">
        <v>46.846905</v>
      </c>
      <c r="AN1049" t="s">
        <v>2080</v>
      </c>
      <c r="AO1049">
        <v>-122.541161</v>
      </c>
      <c r="AP1049">
        <v>100</v>
      </c>
      <c r="AQ1049">
        <v>2000</v>
      </c>
      <c r="AR1049" t="s">
        <v>118</v>
      </c>
      <c r="AS1049">
        <v>-81</v>
      </c>
      <c r="AT1049">
        <v>0</v>
      </c>
      <c r="AU1049">
        <v>64</v>
      </c>
      <c r="BC1049">
        <v>1200</v>
      </c>
      <c r="BD1049">
        <v>1</v>
      </c>
      <c r="BE1049" t="str">
        <f t="shared" si="50"/>
        <v xml:space="preserve">N215T   </v>
      </c>
      <c r="BF1049">
        <v>1</v>
      </c>
      <c r="BH1049">
        <v>0</v>
      </c>
      <c r="BI1049">
        <v>0</v>
      </c>
      <c r="BJ1049">
        <v>0</v>
      </c>
      <c r="BK1049">
        <v>2375</v>
      </c>
      <c r="BL1049">
        <v>375</v>
      </c>
      <c r="BM1049" t="s">
        <v>119</v>
      </c>
      <c r="BN1049">
        <v>1</v>
      </c>
      <c r="BO1049">
        <v>1</v>
      </c>
      <c r="BP1049">
        <v>1</v>
      </c>
      <c r="BQ1049">
        <v>0</v>
      </c>
      <c r="BT1049">
        <v>0</v>
      </c>
      <c r="BU1049">
        <v>0</v>
      </c>
      <c r="BV1049">
        <v>0</v>
      </c>
      <c r="CC1049" t="str">
        <f>"18:52:09.406"</f>
        <v>18:52:09.406</v>
      </c>
      <c r="CD1049" t="str">
        <f>"405562138"</f>
        <v>405562138</v>
      </c>
      <c r="CQ1049">
        <v>0</v>
      </c>
      <c r="CR1049">
        <v>2</v>
      </c>
      <c r="CS1049">
        <v>0</v>
      </c>
      <c r="CT1049">
        <v>2</v>
      </c>
      <c r="CU1049">
        <v>0</v>
      </c>
      <c r="CV1049">
        <v>6</v>
      </c>
      <c r="CW1049" t="s">
        <v>120</v>
      </c>
      <c r="CX1049">
        <v>261</v>
      </c>
      <c r="CY1049">
        <v>2</v>
      </c>
      <c r="CZ1049" t="s">
        <v>121</v>
      </c>
      <c r="DA1049" t="s">
        <v>122</v>
      </c>
      <c r="DD1049">
        <v>14816190</v>
      </c>
      <c r="DE1049" t="s">
        <v>123</v>
      </c>
    </row>
    <row r="1050" spans="1:109" x14ac:dyDescent="0.3">
      <c r="A1050" t="str">
        <f>"18:52:10.734"</f>
        <v>18:52:10.734</v>
      </c>
      <c r="B1050" t="s">
        <v>110</v>
      </c>
      <c r="C1050" t="str">
        <f t="shared" si="48"/>
        <v>ffdfd3c0</v>
      </c>
      <c r="D1050" t="s">
        <v>111</v>
      </c>
      <c r="E1050">
        <v>18</v>
      </c>
      <c r="F1050">
        <v>1018</v>
      </c>
      <c r="G1050" t="s">
        <v>112</v>
      </c>
      <c r="J1050" t="s">
        <v>113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R1050" t="s">
        <v>114</v>
      </c>
      <c r="S1050" t="str">
        <f>"18:52:10.539"</f>
        <v>18:52:10.539</v>
      </c>
      <c r="T1050" t="str">
        <f>"18:52:10.039"</f>
        <v>18:52:10.039</v>
      </c>
      <c r="U1050" t="str">
        <f t="shared" si="49"/>
        <v>a1cdbe</v>
      </c>
      <c r="V1050">
        <v>0</v>
      </c>
      <c r="W1050">
        <v>0</v>
      </c>
      <c r="X1050">
        <v>1</v>
      </c>
      <c r="Y1050">
        <v>0</v>
      </c>
      <c r="Z1050">
        <v>0</v>
      </c>
      <c r="AB1050">
        <v>0</v>
      </c>
      <c r="AC1050">
        <v>9</v>
      </c>
      <c r="AD1050">
        <v>3</v>
      </c>
      <c r="AE1050">
        <v>0</v>
      </c>
      <c r="AF1050">
        <v>9</v>
      </c>
      <c r="AG1050" t="s">
        <v>158</v>
      </c>
      <c r="AH1050">
        <v>0</v>
      </c>
      <c r="AI1050">
        <v>3</v>
      </c>
      <c r="AJ1050">
        <v>1</v>
      </c>
      <c r="AK1050">
        <v>0</v>
      </c>
      <c r="AL1050" t="s">
        <v>2081</v>
      </c>
      <c r="AM1050">
        <v>46.846882999999998</v>
      </c>
      <c r="AN1050" t="s">
        <v>2082</v>
      </c>
      <c r="AO1050">
        <v>-122.54176099999999</v>
      </c>
      <c r="AP1050">
        <v>100</v>
      </c>
      <c r="AQ1050">
        <v>2000</v>
      </c>
      <c r="AR1050" t="s">
        <v>118</v>
      </c>
      <c r="AS1050">
        <v>-81</v>
      </c>
      <c r="AT1050">
        <v>0</v>
      </c>
      <c r="AU1050">
        <v>-64</v>
      </c>
      <c r="BC1050">
        <v>1200</v>
      </c>
      <c r="BD1050">
        <v>1</v>
      </c>
      <c r="BE1050" t="str">
        <f t="shared" si="50"/>
        <v xml:space="preserve">N215T   </v>
      </c>
      <c r="BF1050">
        <v>1</v>
      </c>
      <c r="BH1050">
        <v>0</v>
      </c>
      <c r="BI1050">
        <v>0</v>
      </c>
      <c r="BJ1050">
        <v>0</v>
      </c>
      <c r="BK1050">
        <v>2375</v>
      </c>
      <c r="BL1050">
        <v>375</v>
      </c>
      <c r="BM1050" t="s">
        <v>119</v>
      </c>
      <c r="BN1050">
        <v>1</v>
      </c>
      <c r="BO1050">
        <v>1</v>
      </c>
      <c r="BP1050">
        <v>1</v>
      </c>
      <c r="BQ1050">
        <v>0</v>
      </c>
      <c r="BT1050">
        <v>0</v>
      </c>
      <c r="BU1050">
        <v>0</v>
      </c>
      <c r="BV1050">
        <v>0</v>
      </c>
      <c r="CC1050" t="str">
        <f>"18:52:10.547"</f>
        <v>18:52:10.547</v>
      </c>
      <c r="CD1050" t="str">
        <f>"545449864"</f>
        <v>545449864</v>
      </c>
      <c r="CQ1050">
        <v>0</v>
      </c>
      <c r="CR1050">
        <v>2</v>
      </c>
      <c r="CS1050">
        <v>0</v>
      </c>
      <c r="CT1050">
        <v>2</v>
      </c>
      <c r="CU1050">
        <v>0</v>
      </c>
      <c r="CV1050">
        <v>6</v>
      </c>
      <c r="CW1050" t="s">
        <v>120</v>
      </c>
      <c r="CX1050">
        <v>261</v>
      </c>
      <c r="CY1050">
        <v>2</v>
      </c>
      <c r="CZ1050" t="s">
        <v>121</v>
      </c>
      <c r="DA1050" t="s">
        <v>122</v>
      </c>
      <c r="DD1050">
        <v>14816888</v>
      </c>
      <c r="DE1050" t="s">
        <v>123</v>
      </c>
    </row>
    <row r="1051" spans="1:109" x14ac:dyDescent="0.3">
      <c r="A1051" t="str">
        <f>"18:52:11.641"</f>
        <v>18:52:11.641</v>
      </c>
      <c r="B1051" t="s">
        <v>110</v>
      </c>
      <c r="C1051" t="str">
        <f t="shared" si="48"/>
        <v>ffdfd3c0</v>
      </c>
      <c r="D1051" t="s">
        <v>111</v>
      </c>
      <c r="E1051">
        <v>18</v>
      </c>
      <c r="F1051">
        <v>1018</v>
      </c>
      <c r="G1051" t="s">
        <v>112</v>
      </c>
      <c r="J1051" t="s">
        <v>113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R1051" t="s">
        <v>114</v>
      </c>
      <c r="S1051" t="str">
        <f>"18:52:11.445"</f>
        <v>18:52:11.445</v>
      </c>
      <c r="T1051" t="str">
        <f>"18:52:11.148"</f>
        <v>18:52:11.148</v>
      </c>
      <c r="U1051" t="str">
        <f t="shared" si="49"/>
        <v>a1cdbe</v>
      </c>
      <c r="V1051">
        <v>0</v>
      </c>
      <c r="W1051">
        <v>0</v>
      </c>
      <c r="X1051">
        <v>1</v>
      </c>
      <c r="Y1051">
        <v>0</v>
      </c>
      <c r="Z1051">
        <v>0</v>
      </c>
      <c r="AB1051">
        <v>0</v>
      </c>
      <c r="AC1051">
        <v>9</v>
      </c>
      <c r="AD1051">
        <v>3</v>
      </c>
      <c r="AE1051">
        <v>0</v>
      </c>
      <c r="AF1051">
        <v>9</v>
      </c>
      <c r="AG1051" t="s">
        <v>158</v>
      </c>
      <c r="AH1051">
        <v>0</v>
      </c>
      <c r="AI1051">
        <v>3</v>
      </c>
      <c r="AJ1051">
        <v>1</v>
      </c>
      <c r="AK1051">
        <v>0</v>
      </c>
      <c r="AL1051" t="s">
        <v>1981</v>
      </c>
      <c r="AM1051">
        <v>46.846905</v>
      </c>
      <c r="AN1051" t="s">
        <v>2083</v>
      </c>
      <c r="AO1051">
        <v>-122.542255</v>
      </c>
      <c r="AP1051">
        <v>100</v>
      </c>
      <c r="AQ1051">
        <v>2000</v>
      </c>
      <c r="AR1051" t="s">
        <v>118</v>
      </c>
      <c r="AS1051">
        <v>-81</v>
      </c>
      <c r="AT1051">
        <v>-1</v>
      </c>
      <c r="AU1051">
        <v>-64</v>
      </c>
      <c r="BC1051">
        <v>1200</v>
      </c>
      <c r="BD1051">
        <v>1</v>
      </c>
      <c r="BE1051" t="str">
        <f t="shared" si="50"/>
        <v xml:space="preserve">N215T   </v>
      </c>
      <c r="BF1051">
        <v>1</v>
      </c>
      <c r="BH1051">
        <v>0</v>
      </c>
      <c r="BI1051">
        <v>0</v>
      </c>
      <c r="BJ1051">
        <v>0</v>
      </c>
      <c r="BK1051">
        <v>2375</v>
      </c>
      <c r="BL1051">
        <v>375</v>
      </c>
      <c r="BM1051" t="s">
        <v>119</v>
      </c>
      <c r="BN1051">
        <v>1</v>
      </c>
      <c r="BO1051">
        <v>1</v>
      </c>
      <c r="BP1051">
        <v>1</v>
      </c>
      <c r="BQ1051">
        <v>0</v>
      </c>
      <c r="BT1051">
        <v>0</v>
      </c>
      <c r="BU1051">
        <v>0</v>
      </c>
      <c r="BV1051">
        <v>0</v>
      </c>
      <c r="CC1051" t="str">
        <f>"18:52:11.445"</f>
        <v>18:52:11.445</v>
      </c>
      <c r="CD1051" t="str">
        <f>"445361216"</f>
        <v>445361216</v>
      </c>
      <c r="CQ1051">
        <v>0</v>
      </c>
      <c r="CR1051">
        <v>2</v>
      </c>
      <c r="CS1051">
        <v>0</v>
      </c>
      <c r="CT1051">
        <v>2</v>
      </c>
      <c r="CU1051">
        <v>0</v>
      </c>
      <c r="CV1051">
        <v>6</v>
      </c>
      <c r="CW1051" t="s">
        <v>120</v>
      </c>
      <c r="CX1051">
        <v>261</v>
      </c>
      <c r="CY1051">
        <v>2</v>
      </c>
      <c r="CZ1051" t="s">
        <v>121</v>
      </c>
      <c r="DA1051" t="s">
        <v>122</v>
      </c>
      <c r="DD1051">
        <v>14817450</v>
      </c>
      <c r="DE1051" t="s">
        <v>123</v>
      </c>
    </row>
    <row r="1052" spans="1:109" x14ac:dyDescent="0.3">
      <c r="A1052" t="str">
        <f>"18:52:12.695"</f>
        <v>18:52:12.695</v>
      </c>
      <c r="B1052" t="s">
        <v>110</v>
      </c>
      <c r="C1052" t="str">
        <f t="shared" si="48"/>
        <v>ffdfd3c0</v>
      </c>
      <c r="D1052" t="s">
        <v>111</v>
      </c>
      <c r="E1052">
        <v>18</v>
      </c>
      <c r="F1052">
        <v>1018</v>
      </c>
      <c r="G1052" t="s">
        <v>112</v>
      </c>
      <c r="J1052" t="s">
        <v>113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R1052" t="s">
        <v>114</v>
      </c>
      <c r="S1052" t="str">
        <f>"18:52:12.461"</f>
        <v>18:52:12.461</v>
      </c>
      <c r="T1052" t="str">
        <f>"18:52:12.063"</f>
        <v>18:52:12.063</v>
      </c>
      <c r="U1052" t="str">
        <f t="shared" si="49"/>
        <v>a1cdbe</v>
      </c>
      <c r="V1052">
        <v>0</v>
      </c>
      <c r="W1052">
        <v>0</v>
      </c>
      <c r="X1052">
        <v>1</v>
      </c>
      <c r="Y1052">
        <v>0</v>
      </c>
      <c r="Z1052">
        <v>0</v>
      </c>
      <c r="AB1052">
        <v>0</v>
      </c>
      <c r="AC1052">
        <v>9</v>
      </c>
      <c r="AD1052">
        <v>3</v>
      </c>
      <c r="AE1052">
        <v>0</v>
      </c>
      <c r="AF1052">
        <v>9</v>
      </c>
      <c r="AG1052" t="s">
        <v>158</v>
      </c>
      <c r="AH1052">
        <v>0</v>
      </c>
      <c r="AI1052">
        <v>3</v>
      </c>
      <c r="AJ1052">
        <v>1</v>
      </c>
      <c r="AK1052">
        <v>0</v>
      </c>
      <c r="AL1052" t="s">
        <v>2081</v>
      </c>
      <c r="AM1052">
        <v>46.846882999999998</v>
      </c>
      <c r="AN1052" t="s">
        <v>2084</v>
      </c>
      <c r="AO1052">
        <v>-122.542834</v>
      </c>
      <c r="AP1052">
        <v>100</v>
      </c>
      <c r="AQ1052">
        <v>2000</v>
      </c>
      <c r="AR1052" t="s">
        <v>118</v>
      </c>
      <c r="AS1052">
        <v>-81</v>
      </c>
      <c r="AT1052">
        <v>-1</v>
      </c>
      <c r="AU1052">
        <v>0</v>
      </c>
      <c r="BC1052">
        <v>1200</v>
      </c>
      <c r="BD1052">
        <v>1</v>
      </c>
      <c r="BE1052" t="str">
        <f t="shared" si="50"/>
        <v xml:space="preserve">N215T   </v>
      </c>
      <c r="BF1052">
        <v>1</v>
      </c>
      <c r="BH1052">
        <v>0</v>
      </c>
      <c r="BI1052">
        <v>0</v>
      </c>
      <c r="BJ1052">
        <v>0</v>
      </c>
      <c r="BK1052">
        <v>2375</v>
      </c>
      <c r="BL1052">
        <v>375</v>
      </c>
      <c r="BM1052" t="s">
        <v>119</v>
      </c>
      <c r="BN1052">
        <v>1</v>
      </c>
      <c r="BO1052">
        <v>1</v>
      </c>
      <c r="BP1052">
        <v>1</v>
      </c>
      <c r="BQ1052">
        <v>0</v>
      </c>
      <c r="BT1052">
        <v>0</v>
      </c>
      <c r="BU1052">
        <v>0</v>
      </c>
      <c r="BV1052">
        <v>0</v>
      </c>
      <c r="CC1052" t="str">
        <f>"18:52:12.469"</f>
        <v>18:52:12.469</v>
      </c>
      <c r="CD1052" t="str">
        <f>"465260756"</f>
        <v>465260756</v>
      </c>
      <c r="CQ1052">
        <v>0</v>
      </c>
      <c r="CR1052">
        <v>2</v>
      </c>
      <c r="CS1052">
        <v>0</v>
      </c>
      <c r="CT1052">
        <v>2</v>
      </c>
      <c r="CU1052">
        <v>0</v>
      </c>
      <c r="CV1052">
        <v>6</v>
      </c>
      <c r="CW1052" t="s">
        <v>120</v>
      </c>
      <c r="CX1052">
        <v>261</v>
      </c>
      <c r="CY1052">
        <v>2</v>
      </c>
      <c r="CZ1052" t="s">
        <v>121</v>
      </c>
      <c r="DA1052" t="s">
        <v>122</v>
      </c>
      <c r="DD1052">
        <v>14818103</v>
      </c>
      <c r="DE1052" t="s">
        <v>123</v>
      </c>
    </row>
    <row r="1053" spans="1:109" x14ac:dyDescent="0.3">
      <c r="A1053" t="str">
        <f>"18:52:13.703"</f>
        <v>18:52:13.703</v>
      </c>
      <c r="B1053" t="s">
        <v>110</v>
      </c>
      <c r="C1053" t="str">
        <f t="shared" si="48"/>
        <v>ffdfd3c0</v>
      </c>
      <c r="D1053" t="s">
        <v>111</v>
      </c>
      <c r="E1053">
        <v>18</v>
      </c>
      <c r="F1053">
        <v>1018</v>
      </c>
      <c r="G1053" t="s">
        <v>112</v>
      </c>
      <c r="J1053" t="s">
        <v>113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R1053" t="s">
        <v>114</v>
      </c>
      <c r="S1053" t="str">
        <f>"18:52:13.469"</f>
        <v>18:52:13.469</v>
      </c>
      <c r="T1053" t="str">
        <f>"18:52:13.070"</f>
        <v>18:52:13.070</v>
      </c>
      <c r="U1053" t="str">
        <f t="shared" si="49"/>
        <v>a1cdbe</v>
      </c>
      <c r="V1053">
        <v>0</v>
      </c>
      <c r="W1053">
        <v>0</v>
      </c>
      <c r="X1053">
        <v>1</v>
      </c>
      <c r="Y1053">
        <v>0</v>
      </c>
      <c r="Z1053">
        <v>0</v>
      </c>
      <c r="AB1053">
        <v>0</v>
      </c>
      <c r="AC1053">
        <v>9</v>
      </c>
      <c r="AD1053">
        <v>3</v>
      </c>
      <c r="AE1053">
        <v>0</v>
      </c>
      <c r="AF1053">
        <v>9</v>
      </c>
      <c r="AG1053" t="s">
        <v>158</v>
      </c>
      <c r="AH1053">
        <v>0</v>
      </c>
      <c r="AI1053">
        <v>3</v>
      </c>
      <c r="AJ1053">
        <v>1</v>
      </c>
      <c r="AK1053">
        <v>0</v>
      </c>
      <c r="AL1053" t="s">
        <v>1981</v>
      </c>
      <c r="AM1053">
        <v>46.846905</v>
      </c>
      <c r="AN1053" t="s">
        <v>2085</v>
      </c>
      <c r="AO1053">
        <v>-122.543435</v>
      </c>
      <c r="AP1053">
        <v>100</v>
      </c>
      <c r="AQ1053">
        <v>2000</v>
      </c>
      <c r="AR1053" t="s">
        <v>118</v>
      </c>
      <c r="AS1053">
        <v>-81</v>
      </c>
      <c r="AT1053">
        <v>-1</v>
      </c>
      <c r="AU1053">
        <v>-64</v>
      </c>
      <c r="BC1053">
        <v>1200</v>
      </c>
      <c r="BD1053">
        <v>1</v>
      </c>
      <c r="BE1053" t="str">
        <f t="shared" si="50"/>
        <v xml:space="preserve">N215T   </v>
      </c>
      <c r="BF1053">
        <v>1</v>
      </c>
      <c r="BH1053">
        <v>0</v>
      </c>
      <c r="BI1053">
        <v>0</v>
      </c>
      <c r="BJ1053">
        <v>0</v>
      </c>
      <c r="BK1053">
        <v>2375</v>
      </c>
      <c r="BL1053">
        <v>375</v>
      </c>
      <c r="BM1053" t="s">
        <v>119</v>
      </c>
      <c r="BN1053">
        <v>1</v>
      </c>
      <c r="BO1053">
        <v>1</v>
      </c>
      <c r="BP1053">
        <v>1</v>
      </c>
      <c r="BQ1053">
        <v>0</v>
      </c>
      <c r="BT1053">
        <v>0</v>
      </c>
      <c r="BU1053">
        <v>0</v>
      </c>
      <c r="BV1053">
        <v>0</v>
      </c>
      <c r="CC1053" t="str">
        <f>"18:52:13.469"</f>
        <v>18:52:13.469</v>
      </c>
      <c r="CD1053" t="str">
        <f>"470161774"</f>
        <v>470161774</v>
      </c>
      <c r="CQ1053">
        <v>0</v>
      </c>
      <c r="CR1053">
        <v>2</v>
      </c>
      <c r="CS1053">
        <v>0</v>
      </c>
      <c r="CT1053">
        <v>2</v>
      </c>
      <c r="CU1053">
        <v>0</v>
      </c>
      <c r="CV1053">
        <v>6</v>
      </c>
      <c r="CW1053" t="s">
        <v>120</v>
      </c>
      <c r="CX1053">
        <v>261</v>
      </c>
      <c r="CY1053">
        <v>2</v>
      </c>
      <c r="CZ1053" t="s">
        <v>121</v>
      </c>
      <c r="DA1053" t="s">
        <v>122</v>
      </c>
      <c r="DD1053">
        <v>14818687</v>
      </c>
      <c r="DE1053" t="s">
        <v>123</v>
      </c>
    </row>
    <row r="1054" spans="1:109" x14ac:dyDescent="0.3">
      <c r="A1054" t="str">
        <f>"18:52:14.813"</f>
        <v>18:52:14.813</v>
      </c>
      <c r="B1054" t="s">
        <v>110</v>
      </c>
      <c r="C1054" t="str">
        <f t="shared" si="48"/>
        <v>ffdfd3c0</v>
      </c>
      <c r="D1054" t="s">
        <v>111</v>
      </c>
      <c r="E1054">
        <v>18</v>
      </c>
      <c r="F1054">
        <v>1018</v>
      </c>
      <c r="G1054" t="s">
        <v>112</v>
      </c>
      <c r="J1054" t="s">
        <v>113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R1054" t="s">
        <v>114</v>
      </c>
      <c r="S1054" t="str">
        <f>"18:52:14.563"</f>
        <v>18:52:14.563</v>
      </c>
      <c r="T1054" t="str">
        <f>"18:52:14.461"</f>
        <v>18:52:14.461</v>
      </c>
      <c r="U1054" t="str">
        <f t="shared" si="49"/>
        <v>a1cdbe</v>
      </c>
      <c r="V1054">
        <v>0</v>
      </c>
      <c r="W1054">
        <v>0</v>
      </c>
      <c r="X1054">
        <v>1</v>
      </c>
      <c r="Y1054">
        <v>0</v>
      </c>
      <c r="Z1054">
        <v>0</v>
      </c>
      <c r="AB1054">
        <v>0</v>
      </c>
      <c r="AC1054">
        <v>9</v>
      </c>
      <c r="AD1054">
        <v>3</v>
      </c>
      <c r="AE1054">
        <v>0</v>
      </c>
      <c r="AF1054">
        <v>9</v>
      </c>
      <c r="AG1054" t="s">
        <v>158</v>
      </c>
      <c r="AH1054">
        <v>0</v>
      </c>
      <c r="AI1054">
        <v>3</v>
      </c>
      <c r="AJ1054">
        <v>1</v>
      </c>
      <c r="AK1054">
        <v>0</v>
      </c>
      <c r="AL1054" t="s">
        <v>1864</v>
      </c>
      <c r="AM1054">
        <v>46.846862000000002</v>
      </c>
      <c r="AN1054" t="s">
        <v>2086</v>
      </c>
      <c r="AO1054">
        <v>-122.543972</v>
      </c>
      <c r="AP1054">
        <v>100</v>
      </c>
      <c r="AQ1054">
        <v>2000</v>
      </c>
      <c r="AR1054" t="s">
        <v>118</v>
      </c>
      <c r="AS1054">
        <v>-81</v>
      </c>
      <c r="AT1054">
        <v>-1</v>
      </c>
      <c r="AU1054">
        <v>64</v>
      </c>
      <c r="BC1054">
        <v>1200</v>
      </c>
      <c r="BD1054">
        <v>1</v>
      </c>
      <c r="BE1054" t="str">
        <f t="shared" si="50"/>
        <v xml:space="preserve">N215T   </v>
      </c>
      <c r="BF1054">
        <v>1</v>
      </c>
      <c r="BH1054">
        <v>0</v>
      </c>
      <c r="BI1054">
        <v>0</v>
      </c>
      <c r="BJ1054">
        <v>0</v>
      </c>
      <c r="BK1054">
        <v>2375</v>
      </c>
      <c r="BL1054">
        <v>375</v>
      </c>
      <c r="BM1054" t="s">
        <v>119</v>
      </c>
      <c r="BN1054">
        <v>1</v>
      </c>
      <c r="BO1054">
        <v>1</v>
      </c>
      <c r="BP1054">
        <v>1</v>
      </c>
      <c r="BQ1054">
        <v>0</v>
      </c>
      <c r="BT1054">
        <v>0</v>
      </c>
      <c r="BU1054">
        <v>0</v>
      </c>
      <c r="BV1054">
        <v>0</v>
      </c>
      <c r="CC1054" t="str">
        <f>"18:52:14.563"</f>
        <v>18:52:14.563</v>
      </c>
      <c r="CD1054" t="str">
        <f>"565053929"</f>
        <v>565053929</v>
      </c>
      <c r="CQ1054">
        <v>0</v>
      </c>
      <c r="CR1054">
        <v>2</v>
      </c>
      <c r="CS1054">
        <v>0</v>
      </c>
      <c r="CT1054">
        <v>2</v>
      </c>
      <c r="CU1054">
        <v>0</v>
      </c>
      <c r="CV1054">
        <v>6</v>
      </c>
      <c r="CW1054" t="s">
        <v>120</v>
      </c>
      <c r="CX1054">
        <v>261</v>
      </c>
      <c r="CY1054">
        <v>2</v>
      </c>
      <c r="CZ1054" t="s">
        <v>121</v>
      </c>
      <c r="DA1054" t="s">
        <v>122</v>
      </c>
      <c r="DD1054">
        <v>14819365</v>
      </c>
      <c r="DE1054" t="s">
        <v>123</v>
      </c>
    </row>
    <row r="1055" spans="1:109" x14ac:dyDescent="0.3">
      <c r="A1055" t="str">
        <f>"18:52:15.766"</f>
        <v>18:52:15.766</v>
      </c>
      <c r="B1055" t="s">
        <v>110</v>
      </c>
      <c r="C1055" t="str">
        <f t="shared" si="48"/>
        <v>ffdfd3c0</v>
      </c>
      <c r="D1055" t="s">
        <v>111</v>
      </c>
      <c r="E1055">
        <v>18</v>
      </c>
      <c r="F1055">
        <v>1018</v>
      </c>
      <c r="G1055" t="s">
        <v>112</v>
      </c>
      <c r="J1055" t="s">
        <v>113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R1055" t="s">
        <v>114</v>
      </c>
      <c r="S1055" t="str">
        <f>"18:52:15.508"</f>
        <v>18:52:15.508</v>
      </c>
      <c r="T1055" t="str">
        <f>"18:52:15.406"</f>
        <v>18:52:15.406</v>
      </c>
      <c r="U1055" t="str">
        <f t="shared" si="49"/>
        <v>a1cdbe</v>
      </c>
      <c r="V1055">
        <v>0</v>
      </c>
      <c r="W1055">
        <v>0</v>
      </c>
      <c r="X1055">
        <v>1</v>
      </c>
      <c r="Y1055">
        <v>0</v>
      </c>
      <c r="Z1055">
        <v>0</v>
      </c>
      <c r="AB1055">
        <v>0</v>
      </c>
      <c r="AC1055">
        <v>9</v>
      </c>
      <c r="AD1055">
        <v>3</v>
      </c>
      <c r="AE1055">
        <v>0</v>
      </c>
      <c r="AF1055">
        <v>9</v>
      </c>
      <c r="AG1055" t="s">
        <v>158</v>
      </c>
      <c r="AH1055">
        <v>0</v>
      </c>
      <c r="AI1055">
        <v>3</v>
      </c>
      <c r="AJ1055">
        <v>1</v>
      </c>
      <c r="AK1055">
        <v>0</v>
      </c>
      <c r="AL1055" t="s">
        <v>1864</v>
      </c>
      <c r="AM1055">
        <v>46.846862000000002</v>
      </c>
      <c r="AN1055" t="s">
        <v>2087</v>
      </c>
      <c r="AO1055">
        <v>-122.544529</v>
      </c>
      <c r="AP1055">
        <v>100</v>
      </c>
      <c r="AQ1055">
        <v>2000</v>
      </c>
      <c r="AR1055" t="s">
        <v>118</v>
      </c>
      <c r="AS1055">
        <v>-81</v>
      </c>
      <c r="AT1055">
        <v>-1</v>
      </c>
      <c r="AU1055">
        <v>64</v>
      </c>
      <c r="BC1055">
        <v>1200</v>
      </c>
      <c r="BD1055">
        <v>1</v>
      </c>
      <c r="BE1055" t="str">
        <f t="shared" si="50"/>
        <v xml:space="preserve">N215T   </v>
      </c>
      <c r="BF1055">
        <v>1</v>
      </c>
      <c r="BH1055">
        <v>0</v>
      </c>
      <c r="BI1055">
        <v>0</v>
      </c>
      <c r="BJ1055">
        <v>0</v>
      </c>
      <c r="BK1055">
        <v>2375</v>
      </c>
      <c r="BL1055">
        <v>375</v>
      </c>
      <c r="BM1055" t="s">
        <v>119</v>
      </c>
      <c r="BN1055">
        <v>1</v>
      </c>
      <c r="BO1055">
        <v>1</v>
      </c>
      <c r="BP1055">
        <v>1</v>
      </c>
      <c r="BQ1055">
        <v>0</v>
      </c>
      <c r="BT1055">
        <v>0</v>
      </c>
      <c r="BU1055">
        <v>0</v>
      </c>
      <c r="BV1055">
        <v>0</v>
      </c>
      <c r="CC1055" t="str">
        <f>"18:52:15.508"</f>
        <v>18:52:15.508</v>
      </c>
      <c r="CD1055" t="str">
        <f>"509944982"</f>
        <v>509944982</v>
      </c>
      <c r="CQ1055">
        <v>0</v>
      </c>
      <c r="CR1055">
        <v>2</v>
      </c>
      <c r="CS1055">
        <v>0</v>
      </c>
      <c r="CT1055">
        <v>2</v>
      </c>
      <c r="CU1055">
        <v>0</v>
      </c>
      <c r="CV1055">
        <v>2</v>
      </c>
      <c r="CW1055" t="s">
        <v>172</v>
      </c>
      <c r="CX1055">
        <v>326</v>
      </c>
      <c r="CY1055">
        <v>0</v>
      </c>
      <c r="CZ1055" t="s">
        <v>173</v>
      </c>
      <c r="DA1055" t="s">
        <v>174</v>
      </c>
      <c r="DD1055">
        <v>6177785</v>
      </c>
      <c r="DE1055" t="s">
        <v>123</v>
      </c>
    </row>
    <row r="1056" spans="1:109" x14ac:dyDescent="0.3">
      <c r="A1056" t="str">
        <f>"18:52:16.820"</f>
        <v>18:52:16.820</v>
      </c>
      <c r="B1056" t="s">
        <v>110</v>
      </c>
      <c r="C1056" t="str">
        <f t="shared" si="48"/>
        <v>ffdfd3c0</v>
      </c>
      <c r="D1056" t="s">
        <v>111</v>
      </c>
      <c r="E1056">
        <v>18</v>
      </c>
      <c r="F1056">
        <v>1018</v>
      </c>
      <c r="G1056" t="s">
        <v>112</v>
      </c>
      <c r="J1056" t="s">
        <v>113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R1056" t="s">
        <v>114</v>
      </c>
      <c r="S1056" t="str">
        <f>"18:52:16.617"</f>
        <v>18:52:16.617</v>
      </c>
      <c r="T1056" t="str">
        <f>"18:52:16.617"</f>
        <v>18:52:16.617</v>
      </c>
      <c r="U1056" t="str">
        <f t="shared" si="49"/>
        <v>a1cdbe</v>
      </c>
      <c r="V1056">
        <v>0</v>
      </c>
      <c r="W1056">
        <v>0</v>
      </c>
      <c r="X1056">
        <v>1</v>
      </c>
      <c r="Y1056">
        <v>0</v>
      </c>
      <c r="Z1056">
        <v>0</v>
      </c>
      <c r="AB1056">
        <v>0</v>
      </c>
      <c r="AC1056">
        <v>9</v>
      </c>
      <c r="AD1056">
        <v>3</v>
      </c>
      <c r="AE1056">
        <v>0</v>
      </c>
      <c r="AF1056">
        <v>9</v>
      </c>
      <c r="AG1056" t="s">
        <v>158</v>
      </c>
      <c r="AH1056">
        <v>0</v>
      </c>
      <c r="AI1056">
        <v>3</v>
      </c>
      <c r="AJ1056">
        <v>1</v>
      </c>
      <c r="AK1056">
        <v>0</v>
      </c>
      <c r="AL1056" t="s">
        <v>1864</v>
      </c>
      <c r="AM1056">
        <v>46.846862000000002</v>
      </c>
      <c r="AN1056" t="s">
        <v>2088</v>
      </c>
      <c r="AO1056">
        <v>-122.54506600000001</v>
      </c>
      <c r="AP1056">
        <v>100</v>
      </c>
      <c r="AQ1056">
        <v>2000</v>
      </c>
      <c r="AR1056" t="s">
        <v>118</v>
      </c>
      <c r="AS1056">
        <v>-81</v>
      </c>
      <c r="AT1056">
        <v>-2</v>
      </c>
      <c r="AU1056">
        <v>0</v>
      </c>
      <c r="BC1056">
        <v>1200</v>
      </c>
      <c r="BD1056">
        <v>1</v>
      </c>
      <c r="BE1056" t="str">
        <f t="shared" si="50"/>
        <v xml:space="preserve">N215T   </v>
      </c>
      <c r="BF1056">
        <v>1</v>
      </c>
      <c r="BH1056">
        <v>0</v>
      </c>
      <c r="BI1056">
        <v>0</v>
      </c>
      <c r="BJ1056">
        <v>0</v>
      </c>
      <c r="BK1056">
        <v>2375</v>
      </c>
      <c r="BL1056">
        <v>375</v>
      </c>
      <c r="BM1056" t="s">
        <v>119</v>
      </c>
      <c r="BN1056">
        <v>1</v>
      </c>
      <c r="BO1056">
        <v>1</v>
      </c>
      <c r="BP1056">
        <v>1</v>
      </c>
      <c r="BQ1056">
        <v>0</v>
      </c>
      <c r="BT1056">
        <v>0</v>
      </c>
      <c r="BU1056">
        <v>0</v>
      </c>
      <c r="BV1056">
        <v>0</v>
      </c>
      <c r="CC1056" t="str">
        <f>"18:52:16.617"</f>
        <v>18:52:16.617</v>
      </c>
      <c r="CD1056" t="str">
        <f>"619851538"</f>
        <v>619851538</v>
      </c>
      <c r="CQ1056">
        <v>0</v>
      </c>
      <c r="CR1056">
        <v>2</v>
      </c>
      <c r="CS1056">
        <v>0</v>
      </c>
      <c r="CT1056">
        <v>2</v>
      </c>
      <c r="CU1056">
        <v>0</v>
      </c>
      <c r="CV1056">
        <v>5</v>
      </c>
      <c r="CW1056" t="s">
        <v>120</v>
      </c>
      <c r="CX1056">
        <v>261</v>
      </c>
      <c r="CY1056">
        <v>2</v>
      </c>
      <c r="CZ1056" t="s">
        <v>121</v>
      </c>
      <c r="DA1056" t="s">
        <v>122</v>
      </c>
      <c r="DD1056">
        <v>14820670</v>
      </c>
      <c r="DE1056" t="s">
        <v>123</v>
      </c>
    </row>
    <row r="1057" spans="1:109" x14ac:dyDescent="0.3">
      <c r="A1057" t="str">
        <f>"18:52:17.875"</f>
        <v>18:52:17.875</v>
      </c>
      <c r="B1057" t="s">
        <v>110</v>
      </c>
      <c r="C1057" t="str">
        <f t="shared" si="48"/>
        <v>ffdfd3c0</v>
      </c>
      <c r="D1057" t="s">
        <v>111</v>
      </c>
      <c r="E1057">
        <v>18</v>
      </c>
      <c r="F1057">
        <v>1018</v>
      </c>
      <c r="G1057" t="s">
        <v>112</v>
      </c>
      <c r="J1057" t="s">
        <v>113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R1057" t="s">
        <v>114</v>
      </c>
      <c r="S1057" t="str">
        <f>"18:52:17.617"</f>
        <v>18:52:17.617</v>
      </c>
      <c r="T1057" t="str">
        <f>"18:52:17.516"</f>
        <v>18:52:17.516</v>
      </c>
      <c r="U1057" t="str">
        <f t="shared" si="49"/>
        <v>a1cdbe</v>
      </c>
      <c r="V1057">
        <v>0</v>
      </c>
      <c r="W1057">
        <v>0</v>
      </c>
      <c r="X1057">
        <v>1</v>
      </c>
      <c r="Y1057">
        <v>0</v>
      </c>
      <c r="Z1057">
        <v>0</v>
      </c>
      <c r="AB1057">
        <v>0</v>
      </c>
      <c r="AC1057">
        <v>9</v>
      </c>
      <c r="AD1057">
        <v>3</v>
      </c>
      <c r="AE1057">
        <v>0</v>
      </c>
      <c r="AF1057">
        <v>9</v>
      </c>
      <c r="AG1057" t="s">
        <v>158</v>
      </c>
      <c r="AH1057">
        <v>0</v>
      </c>
      <c r="AI1057">
        <v>3</v>
      </c>
      <c r="AJ1057">
        <v>1</v>
      </c>
      <c r="AK1057">
        <v>0</v>
      </c>
      <c r="AL1057" t="s">
        <v>1979</v>
      </c>
      <c r="AM1057">
        <v>46.84684</v>
      </c>
      <c r="AN1057" t="s">
        <v>2089</v>
      </c>
      <c r="AO1057">
        <v>-122.54566699999999</v>
      </c>
      <c r="AP1057">
        <v>100</v>
      </c>
      <c r="AQ1057">
        <v>2000</v>
      </c>
      <c r="AR1057" t="s">
        <v>118</v>
      </c>
      <c r="AS1057">
        <v>-81</v>
      </c>
      <c r="AT1057">
        <v>-3</v>
      </c>
      <c r="AU1057">
        <v>64</v>
      </c>
      <c r="BC1057">
        <v>1200</v>
      </c>
      <c r="BD1057">
        <v>1</v>
      </c>
      <c r="BE1057" t="str">
        <f t="shared" si="50"/>
        <v xml:space="preserve">N215T   </v>
      </c>
      <c r="BF1057">
        <v>1</v>
      </c>
      <c r="BH1057">
        <v>0</v>
      </c>
      <c r="BI1057">
        <v>0</v>
      </c>
      <c r="BJ1057">
        <v>0</v>
      </c>
      <c r="BK1057">
        <v>2375</v>
      </c>
      <c r="BL1057">
        <v>375</v>
      </c>
      <c r="BM1057" t="s">
        <v>119</v>
      </c>
      <c r="BN1057">
        <v>1</v>
      </c>
      <c r="BO1057">
        <v>1</v>
      </c>
      <c r="BP1057">
        <v>1</v>
      </c>
      <c r="BQ1057">
        <v>0</v>
      </c>
      <c r="BT1057">
        <v>0</v>
      </c>
      <c r="BU1057">
        <v>0</v>
      </c>
      <c r="BV1057">
        <v>0</v>
      </c>
      <c r="CC1057" t="str">
        <f>"18:52:17.625"</f>
        <v>18:52:17.625</v>
      </c>
      <c r="CD1057" t="str">
        <f>"624752537"</f>
        <v>624752537</v>
      </c>
      <c r="CQ1057">
        <v>0</v>
      </c>
      <c r="CR1057">
        <v>2</v>
      </c>
      <c r="CS1057">
        <v>0</v>
      </c>
      <c r="CT1057">
        <v>2</v>
      </c>
      <c r="CU1057">
        <v>0</v>
      </c>
      <c r="CV1057">
        <v>5</v>
      </c>
      <c r="CW1057" t="s">
        <v>120</v>
      </c>
      <c r="CX1057">
        <v>261</v>
      </c>
      <c r="CY1057">
        <v>2</v>
      </c>
      <c r="CZ1057" t="s">
        <v>121</v>
      </c>
      <c r="DA1057" t="s">
        <v>122</v>
      </c>
      <c r="DD1057">
        <v>14821266</v>
      </c>
      <c r="DE1057" t="s">
        <v>123</v>
      </c>
    </row>
    <row r="1058" spans="1:109" x14ac:dyDescent="0.3">
      <c r="A1058" t="str">
        <f>"18:52:18.680"</f>
        <v>18:52:18.680</v>
      </c>
      <c r="B1058" t="s">
        <v>110</v>
      </c>
      <c r="C1058" t="str">
        <f t="shared" si="48"/>
        <v>ffdfd3c0</v>
      </c>
      <c r="D1058" t="s">
        <v>111</v>
      </c>
      <c r="E1058">
        <v>18</v>
      </c>
      <c r="F1058">
        <v>1018</v>
      </c>
      <c r="G1058" t="s">
        <v>112</v>
      </c>
      <c r="J1058" t="s">
        <v>113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R1058" t="s">
        <v>114</v>
      </c>
      <c r="S1058" t="str">
        <f>"18:52:18.461"</f>
        <v>18:52:18.461</v>
      </c>
      <c r="T1058" t="str">
        <f>"18:52:18.461"</f>
        <v>18:52:18.461</v>
      </c>
      <c r="U1058" t="str">
        <f t="shared" si="49"/>
        <v>a1cdbe</v>
      </c>
      <c r="V1058">
        <v>0</v>
      </c>
      <c r="W1058">
        <v>0</v>
      </c>
      <c r="X1058">
        <v>1</v>
      </c>
      <c r="Y1058">
        <v>0</v>
      </c>
      <c r="Z1058">
        <v>0</v>
      </c>
      <c r="AB1058">
        <v>0</v>
      </c>
      <c r="AC1058">
        <v>9</v>
      </c>
      <c r="AD1058">
        <v>3</v>
      </c>
      <c r="AE1058">
        <v>0</v>
      </c>
      <c r="AF1058">
        <v>9</v>
      </c>
      <c r="AG1058" t="s">
        <v>158</v>
      </c>
      <c r="AH1058">
        <v>0</v>
      </c>
      <c r="AI1058">
        <v>3</v>
      </c>
      <c r="AJ1058">
        <v>1</v>
      </c>
      <c r="AK1058">
        <v>0</v>
      </c>
      <c r="AL1058" t="s">
        <v>1979</v>
      </c>
      <c r="AM1058">
        <v>46.84684</v>
      </c>
      <c r="AN1058" t="s">
        <v>2090</v>
      </c>
      <c r="AO1058">
        <v>-122.546117</v>
      </c>
      <c r="AP1058">
        <v>100</v>
      </c>
      <c r="AQ1058">
        <v>2000</v>
      </c>
      <c r="AR1058" t="s">
        <v>118</v>
      </c>
      <c r="AS1058">
        <v>-81</v>
      </c>
      <c r="AT1058">
        <v>-3</v>
      </c>
      <c r="AU1058">
        <v>-128</v>
      </c>
      <c r="BC1058">
        <v>1200</v>
      </c>
      <c r="BD1058">
        <v>1</v>
      </c>
      <c r="BE1058" t="str">
        <f t="shared" si="50"/>
        <v xml:space="preserve">N215T   </v>
      </c>
      <c r="BF1058">
        <v>1</v>
      </c>
      <c r="BH1058">
        <v>0</v>
      </c>
      <c r="BI1058">
        <v>0</v>
      </c>
      <c r="BJ1058">
        <v>0</v>
      </c>
      <c r="BK1058">
        <v>2375</v>
      </c>
      <c r="BL1058">
        <v>375</v>
      </c>
      <c r="BM1058" t="s">
        <v>119</v>
      </c>
      <c r="BN1058">
        <v>1</v>
      </c>
      <c r="BO1058">
        <v>1</v>
      </c>
      <c r="BP1058">
        <v>1</v>
      </c>
      <c r="BQ1058">
        <v>0</v>
      </c>
      <c r="BT1058">
        <v>0</v>
      </c>
      <c r="BU1058">
        <v>0</v>
      </c>
      <c r="BV1058">
        <v>0</v>
      </c>
      <c r="CC1058" t="str">
        <f>"18:52:18.461"</f>
        <v>18:52:18.461</v>
      </c>
      <c r="CD1058" t="str">
        <f>"464669805"</f>
        <v>464669805</v>
      </c>
      <c r="CQ1058">
        <v>0</v>
      </c>
      <c r="CR1058">
        <v>2</v>
      </c>
      <c r="CS1058">
        <v>0</v>
      </c>
      <c r="CT1058">
        <v>2</v>
      </c>
      <c r="CU1058">
        <v>0</v>
      </c>
      <c r="CV1058">
        <v>5</v>
      </c>
      <c r="CW1058" t="s">
        <v>120</v>
      </c>
      <c r="CX1058">
        <v>261</v>
      </c>
      <c r="CY1058">
        <v>2</v>
      </c>
      <c r="CZ1058" t="s">
        <v>121</v>
      </c>
      <c r="DA1058" t="s">
        <v>122</v>
      </c>
      <c r="DD1058">
        <v>14821730</v>
      </c>
      <c r="DE1058" t="s">
        <v>123</v>
      </c>
    </row>
    <row r="1059" spans="1:109" x14ac:dyDescent="0.3">
      <c r="A1059" t="str">
        <f>"18:52:19.734"</f>
        <v>18:52:19.734</v>
      </c>
      <c r="B1059" t="s">
        <v>110</v>
      </c>
      <c r="C1059" t="str">
        <f t="shared" si="48"/>
        <v>ffdfd3c0</v>
      </c>
      <c r="D1059" t="s">
        <v>111</v>
      </c>
      <c r="E1059">
        <v>18</v>
      </c>
      <c r="F1059">
        <v>1018</v>
      </c>
      <c r="G1059" t="s">
        <v>112</v>
      </c>
      <c r="J1059" t="s">
        <v>113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R1059" t="s">
        <v>114</v>
      </c>
      <c r="S1059" t="str">
        <f>"18:52:19.492"</f>
        <v>18:52:19.492</v>
      </c>
      <c r="T1059" t="str">
        <f>"18:52:18.992"</f>
        <v>18:52:18.992</v>
      </c>
      <c r="U1059" t="str">
        <f t="shared" si="49"/>
        <v>a1cdbe</v>
      </c>
      <c r="V1059">
        <v>0</v>
      </c>
      <c r="W1059">
        <v>0</v>
      </c>
      <c r="X1059">
        <v>1</v>
      </c>
      <c r="Y1059">
        <v>0</v>
      </c>
      <c r="Z1059">
        <v>0</v>
      </c>
      <c r="AB1059">
        <v>0</v>
      </c>
      <c r="AC1059">
        <v>9</v>
      </c>
      <c r="AD1059">
        <v>3</v>
      </c>
      <c r="AE1059">
        <v>0</v>
      </c>
      <c r="AF1059">
        <v>9</v>
      </c>
      <c r="AG1059" t="s">
        <v>158</v>
      </c>
      <c r="AH1059">
        <v>0</v>
      </c>
      <c r="AI1059">
        <v>3</v>
      </c>
      <c r="AJ1059">
        <v>1</v>
      </c>
      <c r="AK1059">
        <v>0</v>
      </c>
      <c r="AL1059" t="s">
        <v>2091</v>
      </c>
      <c r="AM1059">
        <v>46.846819000000004</v>
      </c>
      <c r="AN1059" t="s">
        <v>2092</v>
      </c>
      <c r="AO1059">
        <v>-122.546718</v>
      </c>
      <c r="AP1059">
        <v>100</v>
      </c>
      <c r="AQ1059">
        <v>2000</v>
      </c>
      <c r="AR1059" t="s">
        <v>118</v>
      </c>
      <c r="AS1059">
        <v>-81</v>
      </c>
      <c r="AT1059">
        <v>-3</v>
      </c>
      <c r="AU1059">
        <v>-128</v>
      </c>
      <c r="BC1059">
        <v>1200</v>
      </c>
      <c r="BD1059">
        <v>1</v>
      </c>
      <c r="BE1059" t="str">
        <f t="shared" si="50"/>
        <v xml:space="preserve">N215T   </v>
      </c>
      <c r="BF1059">
        <v>1</v>
      </c>
      <c r="BH1059">
        <v>0</v>
      </c>
      <c r="BI1059">
        <v>0</v>
      </c>
      <c r="BJ1059">
        <v>0</v>
      </c>
      <c r="BK1059">
        <v>2375</v>
      </c>
      <c r="BL1059">
        <v>375</v>
      </c>
      <c r="BM1059" t="s">
        <v>119</v>
      </c>
      <c r="BN1059">
        <v>1</v>
      </c>
      <c r="BO1059">
        <v>1</v>
      </c>
      <c r="BP1059">
        <v>1</v>
      </c>
      <c r="BQ1059">
        <v>0</v>
      </c>
      <c r="BT1059">
        <v>0</v>
      </c>
      <c r="BU1059">
        <v>0</v>
      </c>
      <c r="BV1059">
        <v>0</v>
      </c>
      <c r="CC1059" t="str">
        <f>"18:52:19.500"</f>
        <v>18:52:19.500</v>
      </c>
      <c r="CD1059" t="str">
        <f>"499552204"</f>
        <v>499552204</v>
      </c>
      <c r="CQ1059">
        <v>0</v>
      </c>
      <c r="CR1059">
        <v>2</v>
      </c>
      <c r="CS1059">
        <v>0</v>
      </c>
      <c r="CT1059">
        <v>2</v>
      </c>
      <c r="CU1059">
        <v>0</v>
      </c>
      <c r="CV1059">
        <v>2</v>
      </c>
      <c r="CW1059" t="s">
        <v>172</v>
      </c>
      <c r="CX1059">
        <v>326</v>
      </c>
      <c r="CY1059">
        <v>0</v>
      </c>
      <c r="CZ1059" t="s">
        <v>173</v>
      </c>
      <c r="DA1059" t="s">
        <v>174</v>
      </c>
      <c r="DD1059">
        <v>6180343</v>
      </c>
      <c r="DE1059" t="s">
        <v>123</v>
      </c>
    </row>
    <row r="1060" spans="1:109" x14ac:dyDescent="0.3">
      <c r="A1060" t="str">
        <f>"18:52:20.539"</f>
        <v>18:52:20.539</v>
      </c>
      <c r="B1060" t="s">
        <v>110</v>
      </c>
      <c r="C1060" t="str">
        <f t="shared" si="48"/>
        <v>ffdfd3c0</v>
      </c>
      <c r="D1060" t="s">
        <v>111</v>
      </c>
      <c r="E1060">
        <v>18</v>
      </c>
      <c r="F1060">
        <v>1018</v>
      </c>
      <c r="G1060" t="s">
        <v>112</v>
      </c>
      <c r="J1060" t="s">
        <v>113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R1060" t="s">
        <v>114</v>
      </c>
      <c r="S1060" t="str">
        <f>"18:52:20.320"</f>
        <v>18:52:20.320</v>
      </c>
      <c r="T1060" t="str">
        <f>"18:52:20.023"</f>
        <v>18:52:20.023</v>
      </c>
      <c r="U1060" t="str">
        <f t="shared" si="49"/>
        <v>a1cdbe</v>
      </c>
      <c r="V1060">
        <v>0</v>
      </c>
      <c r="W1060">
        <v>0</v>
      </c>
      <c r="X1060">
        <v>1</v>
      </c>
      <c r="Y1060">
        <v>0</v>
      </c>
      <c r="Z1060">
        <v>0</v>
      </c>
      <c r="AB1060">
        <v>0</v>
      </c>
      <c r="AC1060">
        <v>9</v>
      </c>
      <c r="AD1060">
        <v>3</v>
      </c>
      <c r="AE1060">
        <v>0</v>
      </c>
      <c r="AF1060">
        <v>9</v>
      </c>
      <c r="AG1060" t="s">
        <v>158</v>
      </c>
      <c r="AH1060">
        <v>0</v>
      </c>
      <c r="AI1060">
        <v>3</v>
      </c>
      <c r="AJ1060">
        <v>1</v>
      </c>
      <c r="AK1060">
        <v>0</v>
      </c>
      <c r="AL1060" t="s">
        <v>2091</v>
      </c>
      <c r="AM1060">
        <v>46.846819000000004</v>
      </c>
      <c r="AN1060" t="s">
        <v>2093</v>
      </c>
      <c r="AO1060">
        <v>-122.54712600000001</v>
      </c>
      <c r="AP1060">
        <v>100</v>
      </c>
      <c r="AQ1060">
        <v>2000</v>
      </c>
      <c r="AR1060" t="s">
        <v>118</v>
      </c>
      <c r="AS1060">
        <v>-81</v>
      </c>
      <c r="AT1060">
        <v>-3</v>
      </c>
      <c r="AU1060">
        <v>-192</v>
      </c>
      <c r="BC1060">
        <v>1200</v>
      </c>
      <c r="BD1060">
        <v>1</v>
      </c>
      <c r="BE1060" t="str">
        <f t="shared" si="50"/>
        <v xml:space="preserve">N215T   </v>
      </c>
      <c r="BF1060">
        <v>1</v>
      </c>
      <c r="BH1060">
        <v>0</v>
      </c>
      <c r="BI1060">
        <v>0</v>
      </c>
      <c r="BJ1060">
        <v>0</v>
      </c>
      <c r="BK1060">
        <v>2350</v>
      </c>
      <c r="BL1060">
        <v>350</v>
      </c>
      <c r="BM1060" t="s">
        <v>119</v>
      </c>
      <c r="BN1060">
        <v>1</v>
      </c>
      <c r="BO1060">
        <v>1</v>
      </c>
      <c r="BP1060">
        <v>1</v>
      </c>
      <c r="BQ1060">
        <v>0</v>
      </c>
      <c r="BT1060">
        <v>0</v>
      </c>
      <c r="BU1060">
        <v>0</v>
      </c>
      <c r="BV1060">
        <v>0</v>
      </c>
      <c r="CC1060" t="str">
        <f>"18:52:20.328"</f>
        <v>18:52:20.328</v>
      </c>
      <c r="CD1060" t="str">
        <f>"324486624"</f>
        <v>324486624</v>
      </c>
      <c r="CQ1060">
        <v>0</v>
      </c>
      <c r="CR1060">
        <v>2</v>
      </c>
      <c r="CS1060">
        <v>0</v>
      </c>
      <c r="CT1060">
        <v>2</v>
      </c>
      <c r="CU1060">
        <v>0</v>
      </c>
      <c r="CV1060">
        <v>5</v>
      </c>
      <c r="CW1060" t="s">
        <v>120</v>
      </c>
      <c r="CX1060">
        <v>261</v>
      </c>
      <c r="CY1060">
        <v>2</v>
      </c>
      <c r="CZ1060" t="s">
        <v>121</v>
      </c>
      <c r="DA1060" t="s">
        <v>122</v>
      </c>
      <c r="DD1060">
        <v>14822850</v>
      </c>
      <c r="DE1060" t="s">
        <v>123</v>
      </c>
    </row>
    <row r="1061" spans="1:109" x14ac:dyDescent="0.3">
      <c r="A1061" t="str">
        <f>"18:52:21.445"</f>
        <v>18:52:21.445</v>
      </c>
      <c r="B1061" t="s">
        <v>110</v>
      </c>
      <c r="C1061" t="str">
        <f t="shared" si="48"/>
        <v>ffdfd3c0</v>
      </c>
      <c r="D1061" t="s">
        <v>111</v>
      </c>
      <c r="E1061">
        <v>18</v>
      </c>
      <c r="F1061">
        <v>1018</v>
      </c>
      <c r="G1061" t="s">
        <v>112</v>
      </c>
      <c r="J1061" t="s">
        <v>113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R1061" t="s">
        <v>114</v>
      </c>
      <c r="S1061" t="str">
        <f>"18:52:21.234"</f>
        <v>18:52:21.234</v>
      </c>
      <c r="T1061" t="str">
        <f>"18:52:20.938"</f>
        <v>18:52:20.938</v>
      </c>
      <c r="U1061" t="str">
        <f t="shared" si="49"/>
        <v>a1cdbe</v>
      </c>
      <c r="V1061">
        <v>0</v>
      </c>
      <c r="W1061">
        <v>0</v>
      </c>
      <c r="X1061">
        <v>1</v>
      </c>
      <c r="Y1061">
        <v>0</v>
      </c>
      <c r="Z1061">
        <v>0</v>
      </c>
      <c r="AB1061">
        <v>0</v>
      </c>
      <c r="AC1061">
        <v>9</v>
      </c>
      <c r="AD1061">
        <v>3</v>
      </c>
      <c r="AE1061">
        <v>0</v>
      </c>
      <c r="AF1061">
        <v>9</v>
      </c>
      <c r="AG1061" t="s">
        <v>158</v>
      </c>
      <c r="AH1061">
        <v>0</v>
      </c>
      <c r="AI1061">
        <v>3</v>
      </c>
      <c r="AJ1061">
        <v>1</v>
      </c>
      <c r="AK1061">
        <v>0</v>
      </c>
      <c r="AL1061" t="s">
        <v>1977</v>
      </c>
      <c r="AM1061">
        <v>46.846797000000002</v>
      </c>
      <c r="AN1061" t="s">
        <v>2094</v>
      </c>
      <c r="AO1061">
        <v>-122.54759799999999</v>
      </c>
      <c r="AP1061">
        <v>100</v>
      </c>
      <c r="AQ1061">
        <v>2000</v>
      </c>
      <c r="AR1061" t="s">
        <v>118</v>
      </c>
      <c r="AS1061">
        <v>-81</v>
      </c>
      <c r="AT1061">
        <v>-4</v>
      </c>
      <c r="AU1061">
        <v>-192</v>
      </c>
      <c r="BC1061">
        <v>1200</v>
      </c>
      <c r="BD1061">
        <v>1</v>
      </c>
      <c r="BE1061" t="str">
        <f t="shared" si="50"/>
        <v xml:space="preserve">N215T   </v>
      </c>
      <c r="BF1061">
        <v>1</v>
      </c>
      <c r="BH1061">
        <v>0</v>
      </c>
      <c r="BI1061">
        <v>0</v>
      </c>
      <c r="BJ1061">
        <v>0</v>
      </c>
      <c r="BK1061">
        <v>2350</v>
      </c>
      <c r="BL1061">
        <v>350</v>
      </c>
      <c r="BM1061" t="s">
        <v>119</v>
      </c>
      <c r="BN1061">
        <v>1</v>
      </c>
      <c r="BO1061">
        <v>1</v>
      </c>
      <c r="BP1061">
        <v>1</v>
      </c>
      <c r="BQ1061">
        <v>0</v>
      </c>
      <c r="BT1061">
        <v>0</v>
      </c>
      <c r="BU1061">
        <v>0</v>
      </c>
      <c r="BV1061">
        <v>0</v>
      </c>
      <c r="CC1061" t="str">
        <f>"18:52:21.242"</f>
        <v>18:52:21.242</v>
      </c>
      <c r="CD1061" t="str">
        <f>"239396492"</f>
        <v>239396492</v>
      </c>
      <c r="CQ1061">
        <v>0</v>
      </c>
      <c r="CR1061">
        <v>2</v>
      </c>
      <c r="CS1061">
        <v>0</v>
      </c>
      <c r="CT1061">
        <v>2</v>
      </c>
      <c r="CU1061">
        <v>0</v>
      </c>
      <c r="CV1061">
        <v>5</v>
      </c>
      <c r="CW1061" t="s">
        <v>120</v>
      </c>
      <c r="CX1061">
        <v>261</v>
      </c>
      <c r="CY1061">
        <v>2</v>
      </c>
      <c r="CZ1061" t="s">
        <v>121</v>
      </c>
      <c r="DA1061" t="s">
        <v>122</v>
      </c>
      <c r="DD1061">
        <v>14823428</v>
      </c>
      <c r="DE1061" t="s">
        <v>123</v>
      </c>
    </row>
    <row r="1062" spans="1:109" x14ac:dyDescent="0.3">
      <c r="A1062" t="str">
        <f>"18:52:22.398"</f>
        <v>18:52:22.398</v>
      </c>
      <c r="B1062" t="s">
        <v>110</v>
      </c>
      <c r="C1062" t="str">
        <f t="shared" si="48"/>
        <v>ffdfd3c0</v>
      </c>
      <c r="D1062" t="s">
        <v>111</v>
      </c>
      <c r="E1062">
        <v>18</v>
      </c>
      <c r="F1062">
        <v>1018</v>
      </c>
      <c r="G1062" t="s">
        <v>112</v>
      </c>
      <c r="J1062" t="s">
        <v>113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R1062" t="s">
        <v>114</v>
      </c>
      <c r="S1062" t="str">
        <f>"18:52:22.195"</f>
        <v>18:52:22.195</v>
      </c>
      <c r="T1062" t="str">
        <f>"18:52:21.797"</f>
        <v>18:52:21.797</v>
      </c>
      <c r="U1062" t="str">
        <f t="shared" si="49"/>
        <v>a1cdbe</v>
      </c>
      <c r="V1062">
        <v>0</v>
      </c>
      <c r="W1062">
        <v>0</v>
      </c>
      <c r="X1062">
        <v>1</v>
      </c>
      <c r="Y1062">
        <v>0</v>
      </c>
      <c r="Z1062">
        <v>0</v>
      </c>
      <c r="AB1062">
        <v>0</v>
      </c>
      <c r="AC1062">
        <v>9</v>
      </c>
      <c r="AD1062">
        <v>3</v>
      </c>
      <c r="AE1062">
        <v>0</v>
      </c>
      <c r="AF1062">
        <v>9</v>
      </c>
      <c r="AG1062" t="s">
        <v>158</v>
      </c>
      <c r="AH1062">
        <v>0</v>
      </c>
      <c r="AI1062">
        <v>3</v>
      </c>
      <c r="AJ1062">
        <v>1</v>
      </c>
      <c r="AK1062">
        <v>0</v>
      </c>
      <c r="AL1062" t="s">
        <v>2095</v>
      </c>
      <c r="AM1062">
        <v>46.846775999999998</v>
      </c>
      <c r="AN1062" t="s">
        <v>2096</v>
      </c>
      <c r="AO1062">
        <v>-122.54815600000001</v>
      </c>
      <c r="AP1062">
        <v>100</v>
      </c>
      <c r="AQ1062">
        <v>2000</v>
      </c>
      <c r="AR1062" t="s">
        <v>118</v>
      </c>
      <c r="AS1062">
        <v>-81</v>
      </c>
      <c r="AT1062">
        <v>-5</v>
      </c>
      <c r="AU1062">
        <v>-192</v>
      </c>
      <c r="BC1062">
        <v>1200</v>
      </c>
      <c r="BD1062">
        <v>1</v>
      </c>
      <c r="BE1062" t="str">
        <f t="shared" si="50"/>
        <v xml:space="preserve">N215T   </v>
      </c>
      <c r="BF1062">
        <v>1</v>
      </c>
      <c r="BH1062">
        <v>0</v>
      </c>
      <c r="BI1062">
        <v>0</v>
      </c>
      <c r="BJ1062">
        <v>0</v>
      </c>
      <c r="BK1062">
        <v>2350</v>
      </c>
      <c r="BL1062">
        <v>350</v>
      </c>
      <c r="BM1062" t="s">
        <v>119</v>
      </c>
      <c r="BN1062">
        <v>1</v>
      </c>
      <c r="BO1062">
        <v>1</v>
      </c>
      <c r="BP1062">
        <v>1</v>
      </c>
      <c r="BQ1062">
        <v>0</v>
      </c>
      <c r="BT1062">
        <v>0</v>
      </c>
      <c r="BU1062">
        <v>0</v>
      </c>
      <c r="BV1062">
        <v>0</v>
      </c>
      <c r="CC1062" t="str">
        <f>"18:52:22.203"</f>
        <v>18:52:22.203</v>
      </c>
      <c r="CD1062" t="str">
        <f>"199301955"</f>
        <v>199301955</v>
      </c>
      <c r="CQ1062">
        <v>0</v>
      </c>
      <c r="CR1062">
        <v>2</v>
      </c>
      <c r="CS1062">
        <v>0</v>
      </c>
      <c r="CT1062">
        <v>2</v>
      </c>
      <c r="CU1062">
        <v>0</v>
      </c>
      <c r="CV1062">
        <v>6</v>
      </c>
      <c r="CW1062" t="s">
        <v>120</v>
      </c>
      <c r="CX1062">
        <v>261</v>
      </c>
      <c r="CY1062">
        <v>2</v>
      </c>
      <c r="CZ1062" t="s">
        <v>121</v>
      </c>
      <c r="DA1062" t="s">
        <v>122</v>
      </c>
      <c r="DD1062">
        <v>14823981</v>
      </c>
      <c r="DE1062" t="s">
        <v>123</v>
      </c>
    </row>
    <row r="1063" spans="1:109" x14ac:dyDescent="0.3">
      <c r="A1063" t="str">
        <f>"18:52:23.508"</f>
        <v>18:52:23.508</v>
      </c>
      <c r="B1063" t="s">
        <v>110</v>
      </c>
      <c r="C1063" t="str">
        <f t="shared" si="48"/>
        <v>ffdfd3c0</v>
      </c>
      <c r="D1063" t="s">
        <v>111</v>
      </c>
      <c r="E1063">
        <v>18</v>
      </c>
      <c r="F1063">
        <v>1018</v>
      </c>
      <c r="G1063" t="s">
        <v>112</v>
      </c>
      <c r="J1063" t="s">
        <v>113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R1063" t="s">
        <v>114</v>
      </c>
      <c r="S1063" t="str">
        <f>"18:52:23.289"</f>
        <v>18:52:23.289</v>
      </c>
      <c r="T1063" t="str">
        <f>"18:52:22.789"</f>
        <v>18:52:22.789</v>
      </c>
      <c r="U1063" t="str">
        <f t="shared" si="49"/>
        <v>a1cdbe</v>
      </c>
      <c r="V1063">
        <v>0</v>
      </c>
      <c r="W1063">
        <v>0</v>
      </c>
      <c r="X1063">
        <v>1</v>
      </c>
      <c r="Y1063">
        <v>0</v>
      </c>
      <c r="Z1063">
        <v>0</v>
      </c>
      <c r="AB1063">
        <v>0</v>
      </c>
      <c r="AC1063">
        <v>9</v>
      </c>
      <c r="AD1063">
        <v>3</v>
      </c>
      <c r="AE1063">
        <v>0</v>
      </c>
      <c r="AF1063">
        <v>9</v>
      </c>
      <c r="AG1063" t="s">
        <v>158</v>
      </c>
      <c r="AH1063">
        <v>0</v>
      </c>
      <c r="AI1063">
        <v>3</v>
      </c>
      <c r="AJ1063">
        <v>1</v>
      </c>
      <c r="AK1063">
        <v>0</v>
      </c>
      <c r="AL1063" t="s">
        <v>1866</v>
      </c>
      <c r="AM1063">
        <v>46.846755000000002</v>
      </c>
      <c r="AN1063" t="s">
        <v>2097</v>
      </c>
      <c r="AO1063">
        <v>-122.5488</v>
      </c>
      <c r="AP1063">
        <v>100</v>
      </c>
      <c r="AQ1063">
        <v>2000</v>
      </c>
      <c r="AR1063" t="s">
        <v>118</v>
      </c>
      <c r="AS1063">
        <v>-81</v>
      </c>
      <c r="AT1063">
        <v>-6</v>
      </c>
      <c r="AU1063">
        <v>-192</v>
      </c>
      <c r="BC1063">
        <v>1200</v>
      </c>
      <c r="BD1063">
        <v>1</v>
      </c>
      <c r="BE1063" t="str">
        <f t="shared" si="50"/>
        <v xml:space="preserve">N215T   </v>
      </c>
      <c r="BF1063">
        <v>1</v>
      </c>
      <c r="BH1063">
        <v>0</v>
      </c>
      <c r="BI1063">
        <v>0</v>
      </c>
      <c r="BJ1063">
        <v>0</v>
      </c>
      <c r="BK1063">
        <v>2350</v>
      </c>
      <c r="BL1063">
        <v>350</v>
      </c>
      <c r="BM1063" t="s">
        <v>119</v>
      </c>
      <c r="BN1063">
        <v>1</v>
      </c>
      <c r="BO1063">
        <v>1</v>
      </c>
      <c r="BP1063">
        <v>1</v>
      </c>
      <c r="BQ1063">
        <v>0</v>
      </c>
      <c r="BT1063">
        <v>0</v>
      </c>
      <c r="BU1063">
        <v>0</v>
      </c>
      <c r="BV1063">
        <v>0</v>
      </c>
      <c r="CC1063" t="str">
        <f>"18:52:23.297"</f>
        <v>18:52:23.297</v>
      </c>
      <c r="CD1063" t="str">
        <f>"294194124"</f>
        <v>294194124</v>
      </c>
      <c r="CQ1063">
        <v>0</v>
      </c>
      <c r="CR1063">
        <v>2</v>
      </c>
      <c r="CS1063">
        <v>0</v>
      </c>
      <c r="CT1063">
        <v>2</v>
      </c>
      <c r="CU1063">
        <v>0</v>
      </c>
      <c r="CV1063">
        <v>6</v>
      </c>
      <c r="CW1063" t="s">
        <v>120</v>
      </c>
      <c r="CX1063">
        <v>261</v>
      </c>
      <c r="CY1063">
        <v>2</v>
      </c>
      <c r="CZ1063" t="s">
        <v>121</v>
      </c>
      <c r="DA1063" t="s">
        <v>122</v>
      </c>
      <c r="DD1063">
        <v>14824606</v>
      </c>
      <c r="DE1063" t="s">
        <v>123</v>
      </c>
    </row>
    <row r="1064" spans="1:109" x14ac:dyDescent="0.3">
      <c r="A1064" t="str">
        <f>"18:52:24.563"</f>
        <v>18:52:24.563</v>
      </c>
      <c r="B1064" t="s">
        <v>110</v>
      </c>
      <c r="C1064" t="str">
        <f t="shared" si="48"/>
        <v>ffdfd3c0</v>
      </c>
      <c r="D1064" t="s">
        <v>111</v>
      </c>
      <c r="E1064">
        <v>18</v>
      </c>
      <c r="F1064">
        <v>1018</v>
      </c>
      <c r="G1064" t="s">
        <v>112</v>
      </c>
      <c r="J1064" t="s">
        <v>113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R1064" t="s">
        <v>114</v>
      </c>
      <c r="S1064" t="str">
        <f>"18:52:24.297"</f>
        <v>18:52:24.297</v>
      </c>
      <c r="T1064" t="str">
        <f>"18:52:23.398"</f>
        <v>18:52:23.398</v>
      </c>
      <c r="U1064" t="str">
        <f t="shared" si="49"/>
        <v>a1cdbe</v>
      </c>
      <c r="V1064">
        <v>0</v>
      </c>
      <c r="W1064">
        <v>0</v>
      </c>
      <c r="X1064">
        <v>1</v>
      </c>
      <c r="Y1064">
        <v>0</v>
      </c>
      <c r="Z1064">
        <v>0</v>
      </c>
      <c r="AB1064">
        <v>0</v>
      </c>
      <c r="AC1064">
        <v>9</v>
      </c>
      <c r="AD1064">
        <v>3</v>
      </c>
      <c r="AE1064">
        <v>0</v>
      </c>
      <c r="AF1064">
        <v>9</v>
      </c>
      <c r="AG1064" t="s">
        <v>158</v>
      </c>
      <c r="AH1064">
        <v>0</v>
      </c>
      <c r="AI1064">
        <v>3</v>
      </c>
      <c r="AJ1064">
        <v>1</v>
      </c>
      <c r="AK1064">
        <v>0</v>
      </c>
      <c r="AL1064" t="s">
        <v>2098</v>
      </c>
      <c r="AM1064">
        <v>46.846733</v>
      </c>
      <c r="AN1064" t="s">
        <v>2099</v>
      </c>
      <c r="AO1064">
        <v>-122.549336</v>
      </c>
      <c r="AP1064">
        <v>100</v>
      </c>
      <c r="AQ1064">
        <v>2000</v>
      </c>
      <c r="AR1064" t="s">
        <v>118</v>
      </c>
      <c r="AS1064">
        <v>-81</v>
      </c>
      <c r="AT1064">
        <v>-6</v>
      </c>
      <c r="AU1064">
        <v>-192</v>
      </c>
      <c r="BC1064">
        <v>1200</v>
      </c>
      <c r="BD1064">
        <v>1</v>
      </c>
      <c r="BE1064" t="str">
        <f t="shared" si="50"/>
        <v xml:space="preserve">N215T   </v>
      </c>
      <c r="BF1064">
        <v>1</v>
      </c>
      <c r="BH1064">
        <v>0</v>
      </c>
      <c r="BI1064">
        <v>0</v>
      </c>
      <c r="BJ1064">
        <v>0</v>
      </c>
      <c r="BK1064">
        <v>2350</v>
      </c>
      <c r="BL1064">
        <v>350</v>
      </c>
      <c r="BM1064" t="s">
        <v>119</v>
      </c>
      <c r="BN1064">
        <v>1</v>
      </c>
      <c r="BO1064">
        <v>1</v>
      </c>
      <c r="BP1064">
        <v>1</v>
      </c>
      <c r="BQ1064">
        <v>0</v>
      </c>
      <c r="BT1064">
        <v>0</v>
      </c>
      <c r="BU1064">
        <v>0</v>
      </c>
      <c r="BV1064">
        <v>0</v>
      </c>
      <c r="CC1064" t="str">
        <f>"18:52:24.297"</f>
        <v>18:52:24.297</v>
      </c>
      <c r="CD1064" t="str">
        <f>"299205993"</f>
        <v>299205993</v>
      </c>
      <c r="CQ1064">
        <v>0</v>
      </c>
      <c r="CR1064">
        <v>2</v>
      </c>
      <c r="CS1064">
        <v>0</v>
      </c>
      <c r="CT1064">
        <v>2</v>
      </c>
      <c r="CU1064">
        <v>0</v>
      </c>
      <c r="CV1064">
        <v>2</v>
      </c>
      <c r="CW1064" t="s">
        <v>120</v>
      </c>
      <c r="CX1064">
        <v>257</v>
      </c>
      <c r="CY1064">
        <v>1</v>
      </c>
      <c r="CZ1064" t="s">
        <v>615</v>
      </c>
      <c r="DA1064" t="s">
        <v>616</v>
      </c>
      <c r="DD1064">
        <v>11161216</v>
      </c>
      <c r="DE1064" t="s">
        <v>123</v>
      </c>
    </row>
    <row r="1065" spans="1:109" x14ac:dyDescent="0.3">
      <c r="A1065" t="str">
        <f>"18:52:25.672"</f>
        <v>18:52:25.672</v>
      </c>
      <c r="B1065" t="s">
        <v>110</v>
      </c>
      <c r="C1065" t="str">
        <f t="shared" si="48"/>
        <v>ffdfd3c0</v>
      </c>
      <c r="D1065" t="s">
        <v>111</v>
      </c>
      <c r="E1065">
        <v>18</v>
      </c>
      <c r="F1065">
        <v>1018</v>
      </c>
      <c r="G1065" t="s">
        <v>112</v>
      </c>
      <c r="J1065" t="s">
        <v>113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R1065" t="s">
        <v>114</v>
      </c>
      <c r="S1065" t="str">
        <f>"18:52:25.438"</f>
        <v>18:52:25.438</v>
      </c>
      <c r="T1065" t="str">
        <f>"18:52:25.039"</f>
        <v>18:52:25.039</v>
      </c>
      <c r="U1065" t="str">
        <f t="shared" si="49"/>
        <v>a1cdbe</v>
      </c>
      <c r="V1065">
        <v>0</v>
      </c>
      <c r="W1065">
        <v>0</v>
      </c>
      <c r="X1065">
        <v>1</v>
      </c>
      <c r="Y1065">
        <v>0</v>
      </c>
      <c r="Z1065">
        <v>0</v>
      </c>
      <c r="AB1065">
        <v>0</v>
      </c>
      <c r="AC1065">
        <v>9</v>
      </c>
      <c r="AD1065">
        <v>3</v>
      </c>
      <c r="AE1065">
        <v>0</v>
      </c>
      <c r="AF1065">
        <v>9</v>
      </c>
      <c r="AG1065" t="s">
        <v>158</v>
      </c>
      <c r="AH1065">
        <v>0</v>
      </c>
      <c r="AI1065">
        <v>3</v>
      </c>
      <c r="AJ1065">
        <v>1</v>
      </c>
      <c r="AK1065">
        <v>0</v>
      </c>
      <c r="AL1065" t="s">
        <v>2100</v>
      </c>
      <c r="AM1065">
        <v>46.846690000000002</v>
      </c>
      <c r="AN1065" t="s">
        <v>2101</v>
      </c>
      <c r="AO1065">
        <v>-122.549958</v>
      </c>
      <c r="AP1065">
        <v>100</v>
      </c>
      <c r="AQ1065">
        <v>2000</v>
      </c>
      <c r="AR1065" t="s">
        <v>118</v>
      </c>
      <c r="AS1065">
        <v>-82</v>
      </c>
      <c r="AT1065">
        <v>-9</v>
      </c>
      <c r="AU1065">
        <v>-128</v>
      </c>
      <c r="BC1065">
        <v>1200</v>
      </c>
      <c r="BD1065">
        <v>1</v>
      </c>
      <c r="BE1065" t="str">
        <f t="shared" si="50"/>
        <v xml:space="preserve">N215T   </v>
      </c>
      <c r="BF1065">
        <v>1</v>
      </c>
      <c r="BH1065">
        <v>0</v>
      </c>
      <c r="BI1065">
        <v>0</v>
      </c>
      <c r="BJ1065">
        <v>0</v>
      </c>
      <c r="BK1065">
        <v>2350</v>
      </c>
      <c r="BL1065">
        <v>350</v>
      </c>
      <c r="BM1065" t="s">
        <v>119</v>
      </c>
      <c r="BN1065">
        <v>1</v>
      </c>
      <c r="BO1065">
        <v>1</v>
      </c>
      <c r="BP1065">
        <v>1</v>
      </c>
      <c r="BQ1065">
        <v>0</v>
      </c>
      <c r="BT1065">
        <v>0</v>
      </c>
      <c r="BU1065">
        <v>0</v>
      </c>
      <c r="BV1065">
        <v>0</v>
      </c>
      <c r="CC1065" t="str">
        <f>"18:52:25.438"</f>
        <v>18:52:25.438</v>
      </c>
      <c r="CD1065" t="str">
        <f>"438982881"</f>
        <v>438982881</v>
      </c>
      <c r="CQ1065">
        <v>0</v>
      </c>
      <c r="CR1065">
        <v>2</v>
      </c>
      <c r="CS1065">
        <v>0</v>
      </c>
      <c r="CT1065">
        <v>2</v>
      </c>
      <c r="CU1065">
        <v>0</v>
      </c>
      <c r="CV1065">
        <v>5</v>
      </c>
      <c r="CW1065" t="s">
        <v>120</v>
      </c>
      <c r="CX1065">
        <v>261</v>
      </c>
      <c r="CY1065">
        <v>2</v>
      </c>
      <c r="CZ1065" t="s">
        <v>121</v>
      </c>
      <c r="DA1065" t="s">
        <v>122</v>
      </c>
      <c r="DD1065">
        <v>14825959</v>
      </c>
      <c r="DE1065" t="s">
        <v>123</v>
      </c>
    </row>
    <row r="1066" spans="1:109" x14ac:dyDescent="0.3">
      <c r="A1066" t="str">
        <f>"18:52:26.773"</f>
        <v>18:52:26.773</v>
      </c>
      <c r="B1066" t="s">
        <v>110</v>
      </c>
      <c r="C1066" t="str">
        <f t="shared" si="48"/>
        <v>ffdfd3c0</v>
      </c>
      <c r="D1066" t="s">
        <v>111</v>
      </c>
      <c r="E1066">
        <v>18</v>
      </c>
      <c r="F1066">
        <v>1018</v>
      </c>
      <c r="G1066" t="s">
        <v>112</v>
      </c>
      <c r="J1066" t="s">
        <v>113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R1066" t="s">
        <v>114</v>
      </c>
      <c r="S1066" t="str">
        <f>"18:52:26.531"</f>
        <v>18:52:26.531</v>
      </c>
      <c r="T1066" t="str">
        <f>"18:52:26.031"</f>
        <v>18:52:26.031</v>
      </c>
      <c r="U1066" t="str">
        <f t="shared" si="49"/>
        <v>a1cdbe</v>
      </c>
      <c r="V1066">
        <v>0</v>
      </c>
      <c r="W1066">
        <v>0</v>
      </c>
      <c r="X1066">
        <v>1</v>
      </c>
      <c r="Y1066">
        <v>0</v>
      </c>
      <c r="Z1066">
        <v>0</v>
      </c>
      <c r="AB1066">
        <v>0</v>
      </c>
      <c r="AC1066">
        <v>9</v>
      </c>
      <c r="AD1066">
        <v>3</v>
      </c>
      <c r="AE1066">
        <v>0</v>
      </c>
      <c r="AF1066">
        <v>9</v>
      </c>
      <c r="AG1066" t="s">
        <v>158</v>
      </c>
      <c r="AH1066">
        <v>0</v>
      </c>
      <c r="AI1066">
        <v>3</v>
      </c>
      <c r="AJ1066">
        <v>1</v>
      </c>
      <c r="AK1066">
        <v>0</v>
      </c>
      <c r="AL1066" t="s">
        <v>1973</v>
      </c>
      <c r="AM1066">
        <v>46.846626000000001</v>
      </c>
      <c r="AN1066" t="s">
        <v>2102</v>
      </c>
      <c r="AO1066">
        <v>-122.550538</v>
      </c>
      <c r="AP1066">
        <v>100</v>
      </c>
      <c r="AQ1066">
        <v>2000</v>
      </c>
      <c r="AR1066" t="s">
        <v>118</v>
      </c>
      <c r="AS1066">
        <v>-81</v>
      </c>
      <c r="AT1066">
        <v>-10</v>
      </c>
      <c r="AU1066">
        <v>-64</v>
      </c>
      <c r="BC1066">
        <v>1200</v>
      </c>
      <c r="BD1066">
        <v>1</v>
      </c>
      <c r="BE1066" t="str">
        <f t="shared" si="50"/>
        <v xml:space="preserve">N215T   </v>
      </c>
      <c r="BF1066">
        <v>1</v>
      </c>
      <c r="BH1066">
        <v>0</v>
      </c>
      <c r="BI1066">
        <v>0</v>
      </c>
      <c r="BJ1066">
        <v>0</v>
      </c>
      <c r="BK1066">
        <v>2350</v>
      </c>
      <c r="BL1066">
        <v>350</v>
      </c>
      <c r="BM1066" t="s">
        <v>119</v>
      </c>
      <c r="BN1066">
        <v>1</v>
      </c>
      <c r="BO1066">
        <v>1</v>
      </c>
      <c r="BP1066">
        <v>1</v>
      </c>
      <c r="BQ1066">
        <v>0</v>
      </c>
      <c r="BT1066">
        <v>0</v>
      </c>
      <c r="BU1066">
        <v>0</v>
      </c>
      <c r="BV1066">
        <v>0</v>
      </c>
      <c r="CC1066" t="str">
        <f>"18:52:26.531"</f>
        <v>18:52:26.531</v>
      </c>
      <c r="CD1066" t="str">
        <f>"533875067"</f>
        <v>533875067</v>
      </c>
      <c r="CQ1066">
        <v>0</v>
      </c>
      <c r="CR1066">
        <v>2</v>
      </c>
      <c r="CS1066">
        <v>0</v>
      </c>
      <c r="CT1066">
        <v>2</v>
      </c>
      <c r="CU1066">
        <v>0</v>
      </c>
      <c r="CV1066">
        <v>5</v>
      </c>
      <c r="CW1066" t="s">
        <v>120</v>
      </c>
      <c r="CX1066">
        <v>261</v>
      </c>
      <c r="CY1066">
        <v>2</v>
      </c>
      <c r="CZ1066" t="s">
        <v>121</v>
      </c>
      <c r="DA1066" t="s">
        <v>122</v>
      </c>
      <c r="DD1066">
        <v>14826628</v>
      </c>
      <c r="DE1066" t="s">
        <v>123</v>
      </c>
    </row>
    <row r="1067" spans="1:109" x14ac:dyDescent="0.3">
      <c r="A1067" t="str">
        <f>"18:52:27.781"</f>
        <v>18:52:27.781</v>
      </c>
      <c r="B1067" t="s">
        <v>110</v>
      </c>
      <c r="C1067" t="str">
        <f t="shared" si="48"/>
        <v>ffdfd3c0</v>
      </c>
      <c r="D1067" t="s">
        <v>111</v>
      </c>
      <c r="E1067">
        <v>18</v>
      </c>
      <c r="F1067">
        <v>1018</v>
      </c>
      <c r="G1067" t="s">
        <v>112</v>
      </c>
      <c r="J1067" t="s">
        <v>113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R1067" t="s">
        <v>114</v>
      </c>
      <c r="S1067" t="str">
        <f>"18:52:27.523"</f>
        <v>18:52:27.523</v>
      </c>
      <c r="T1067" t="str">
        <f>"18:52:27.125"</f>
        <v>18:52:27.125</v>
      </c>
      <c r="U1067" t="str">
        <f t="shared" si="49"/>
        <v>a1cdbe</v>
      </c>
      <c r="V1067">
        <v>0</v>
      </c>
      <c r="W1067">
        <v>0</v>
      </c>
      <c r="X1067">
        <v>1</v>
      </c>
      <c r="Y1067">
        <v>0</v>
      </c>
      <c r="Z1067">
        <v>0</v>
      </c>
      <c r="AB1067">
        <v>0</v>
      </c>
      <c r="AC1067">
        <v>9</v>
      </c>
      <c r="AD1067">
        <v>3</v>
      </c>
      <c r="AE1067">
        <v>0</v>
      </c>
      <c r="AF1067">
        <v>9</v>
      </c>
      <c r="AG1067" t="s">
        <v>158</v>
      </c>
      <c r="AH1067">
        <v>0</v>
      </c>
      <c r="AI1067">
        <v>3</v>
      </c>
      <c r="AJ1067">
        <v>1</v>
      </c>
      <c r="AK1067">
        <v>0</v>
      </c>
      <c r="AL1067" t="s">
        <v>1870</v>
      </c>
      <c r="AM1067">
        <v>46.846583000000003</v>
      </c>
      <c r="AN1067" t="s">
        <v>2103</v>
      </c>
      <c r="AO1067">
        <v>-122.551117</v>
      </c>
      <c r="AP1067">
        <v>100</v>
      </c>
      <c r="AQ1067">
        <v>2000</v>
      </c>
      <c r="AR1067" t="s">
        <v>118</v>
      </c>
      <c r="AS1067">
        <v>-81</v>
      </c>
      <c r="AT1067">
        <v>-11</v>
      </c>
      <c r="AU1067">
        <v>0</v>
      </c>
      <c r="BC1067">
        <v>1200</v>
      </c>
      <c r="BD1067">
        <v>1</v>
      </c>
      <c r="BE1067" t="str">
        <f t="shared" si="50"/>
        <v xml:space="preserve">N215T   </v>
      </c>
      <c r="BF1067">
        <v>1</v>
      </c>
      <c r="BH1067">
        <v>0</v>
      </c>
      <c r="BI1067">
        <v>0</v>
      </c>
      <c r="BJ1067">
        <v>0</v>
      </c>
      <c r="BK1067">
        <v>2350</v>
      </c>
      <c r="BL1067">
        <v>350</v>
      </c>
      <c r="BM1067" t="s">
        <v>119</v>
      </c>
      <c r="BN1067">
        <v>1</v>
      </c>
      <c r="BO1067">
        <v>1</v>
      </c>
      <c r="BP1067">
        <v>1</v>
      </c>
      <c r="BQ1067">
        <v>0</v>
      </c>
      <c r="BT1067">
        <v>0</v>
      </c>
      <c r="BU1067">
        <v>0</v>
      </c>
      <c r="BV1067">
        <v>0</v>
      </c>
      <c r="CC1067" t="str">
        <f>"18:52:27.523"</f>
        <v>18:52:27.523</v>
      </c>
      <c r="CD1067" t="str">
        <f>"523777566"</f>
        <v>523777566</v>
      </c>
      <c r="CQ1067">
        <v>0</v>
      </c>
      <c r="CR1067">
        <v>2</v>
      </c>
      <c r="CS1067">
        <v>0</v>
      </c>
      <c r="CT1067">
        <v>2</v>
      </c>
      <c r="CU1067">
        <v>0</v>
      </c>
      <c r="CV1067">
        <v>5</v>
      </c>
      <c r="CW1067" t="s">
        <v>120</v>
      </c>
      <c r="CX1067">
        <v>261</v>
      </c>
      <c r="CY1067">
        <v>2</v>
      </c>
      <c r="CZ1067" t="s">
        <v>121</v>
      </c>
      <c r="DA1067" t="s">
        <v>122</v>
      </c>
      <c r="DD1067">
        <v>14827207</v>
      </c>
      <c r="DE1067" t="s">
        <v>123</v>
      </c>
    </row>
    <row r="1068" spans="1:109" x14ac:dyDescent="0.3">
      <c r="A1068" t="str">
        <f>"18:52:28.734"</f>
        <v>18:52:28.734</v>
      </c>
      <c r="B1068" t="s">
        <v>110</v>
      </c>
      <c r="C1068" t="str">
        <f t="shared" si="48"/>
        <v>ffdfd3c0</v>
      </c>
      <c r="D1068" t="s">
        <v>111</v>
      </c>
      <c r="E1068">
        <v>18</v>
      </c>
      <c r="F1068">
        <v>1018</v>
      </c>
      <c r="G1068" t="s">
        <v>112</v>
      </c>
      <c r="J1068" t="s">
        <v>113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R1068" t="s">
        <v>114</v>
      </c>
      <c r="S1068" t="str">
        <f>"18:52:28.523"</f>
        <v>18:52:28.523</v>
      </c>
      <c r="T1068" t="str">
        <f>"18:52:28.523"</f>
        <v>18:52:28.523</v>
      </c>
      <c r="U1068" t="str">
        <f t="shared" si="49"/>
        <v>a1cdbe</v>
      </c>
      <c r="V1068">
        <v>0</v>
      </c>
      <c r="W1068">
        <v>0</v>
      </c>
      <c r="X1068">
        <v>1</v>
      </c>
      <c r="Y1068">
        <v>0</v>
      </c>
      <c r="Z1068">
        <v>0</v>
      </c>
      <c r="AB1068">
        <v>0</v>
      </c>
      <c r="AC1068">
        <v>9</v>
      </c>
      <c r="AD1068">
        <v>3</v>
      </c>
      <c r="AE1068">
        <v>0</v>
      </c>
      <c r="AF1068">
        <v>9</v>
      </c>
      <c r="AG1068" t="s">
        <v>158</v>
      </c>
      <c r="AH1068">
        <v>0</v>
      </c>
      <c r="AI1068">
        <v>3</v>
      </c>
      <c r="AJ1068">
        <v>1</v>
      </c>
      <c r="AK1068">
        <v>0</v>
      </c>
      <c r="AL1068" t="s">
        <v>2104</v>
      </c>
      <c r="AM1068">
        <v>46.846519000000001</v>
      </c>
      <c r="AN1068" t="s">
        <v>2105</v>
      </c>
      <c r="AO1068">
        <v>-122.55161</v>
      </c>
      <c r="AP1068">
        <v>100</v>
      </c>
      <c r="AQ1068">
        <v>2000</v>
      </c>
      <c r="AR1068" t="s">
        <v>118</v>
      </c>
      <c r="AS1068">
        <v>-81</v>
      </c>
      <c r="AT1068">
        <v>-12</v>
      </c>
      <c r="AU1068">
        <v>-192</v>
      </c>
      <c r="BC1068">
        <v>1200</v>
      </c>
      <c r="BD1068">
        <v>1</v>
      </c>
      <c r="BE1068" t="str">
        <f t="shared" si="50"/>
        <v xml:space="preserve">N215T   </v>
      </c>
      <c r="BF1068">
        <v>1</v>
      </c>
      <c r="BH1068">
        <v>0</v>
      </c>
      <c r="BI1068">
        <v>0</v>
      </c>
      <c r="BJ1068">
        <v>0</v>
      </c>
      <c r="BK1068">
        <v>2350</v>
      </c>
      <c r="BL1068">
        <v>350</v>
      </c>
      <c r="BM1068" t="s">
        <v>119</v>
      </c>
      <c r="BN1068">
        <v>1</v>
      </c>
      <c r="BO1068">
        <v>1</v>
      </c>
      <c r="BP1068">
        <v>1</v>
      </c>
      <c r="BQ1068">
        <v>0</v>
      </c>
      <c r="BT1068">
        <v>0</v>
      </c>
      <c r="BU1068">
        <v>0</v>
      </c>
      <c r="BV1068">
        <v>0</v>
      </c>
      <c r="CC1068" t="str">
        <f>"18:52:28.531"</f>
        <v>18:52:28.531</v>
      </c>
      <c r="CD1068" t="str">
        <f>"528678594"</f>
        <v>528678594</v>
      </c>
      <c r="CQ1068">
        <v>0</v>
      </c>
      <c r="CR1068">
        <v>2</v>
      </c>
      <c r="CS1068">
        <v>0</v>
      </c>
      <c r="CT1068">
        <v>2</v>
      </c>
      <c r="CU1068">
        <v>0</v>
      </c>
      <c r="CV1068">
        <v>4</v>
      </c>
      <c r="CW1068" t="s">
        <v>120</v>
      </c>
      <c r="CX1068">
        <v>261</v>
      </c>
      <c r="CY1068">
        <v>2</v>
      </c>
      <c r="CZ1068" t="s">
        <v>121</v>
      </c>
      <c r="DA1068" t="s">
        <v>122</v>
      </c>
      <c r="DD1068">
        <v>14827824</v>
      </c>
      <c r="DE1068" t="s">
        <v>123</v>
      </c>
    </row>
    <row r="1069" spans="1:109" x14ac:dyDescent="0.3">
      <c r="A1069" t="str">
        <f>"18:52:29.742"</f>
        <v>18:52:29.742</v>
      </c>
      <c r="B1069" t="s">
        <v>110</v>
      </c>
      <c r="C1069" t="str">
        <f t="shared" si="48"/>
        <v>ffdfd3c0</v>
      </c>
      <c r="D1069" t="s">
        <v>111</v>
      </c>
      <c r="E1069">
        <v>18</v>
      </c>
      <c r="F1069">
        <v>1018</v>
      </c>
      <c r="G1069" t="s">
        <v>112</v>
      </c>
      <c r="J1069" t="s">
        <v>113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R1069" t="s">
        <v>114</v>
      </c>
      <c r="S1069" t="str">
        <f>"18:52:29.484"</f>
        <v>18:52:29.484</v>
      </c>
      <c r="T1069" t="str">
        <f>"18:52:28.586"</f>
        <v>18:52:28.586</v>
      </c>
      <c r="U1069" t="str">
        <f t="shared" si="49"/>
        <v>a1cdbe</v>
      </c>
      <c r="V1069">
        <v>0</v>
      </c>
      <c r="W1069">
        <v>0</v>
      </c>
      <c r="X1069">
        <v>1</v>
      </c>
      <c r="Y1069">
        <v>0</v>
      </c>
      <c r="Z1069">
        <v>0</v>
      </c>
      <c r="AB1069">
        <v>0</v>
      </c>
      <c r="AC1069">
        <v>9</v>
      </c>
      <c r="AD1069">
        <v>3</v>
      </c>
      <c r="AE1069">
        <v>0</v>
      </c>
      <c r="AF1069">
        <v>9</v>
      </c>
      <c r="AG1069" t="s">
        <v>158</v>
      </c>
      <c r="AH1069">
        <v>0</v>
      </c>
      <c r="AI1069">
        <v>3</v>
      </c>
      <c r="AJ1069">
        <v>1</v>
      </c>
      <c r="AK1069">
        <v>0</v>
      </c>
      <c r="AL1069" t="s">
        <v>2106</v>
      </c>
      <c r="AM1069">
        <v>46.846454000000001</v>
      </c>
      <c r="AN1069" t="s">
        <v>2107</v>
      </c>
      <c r="AO1069">
        <v>-122.55214700000001</v>
      </c>
      <c r="AP1069">
        <v>100</v>
      </c>
      <c r="AQ1069">
        <v>2000</v>
      </c>
      <c r="AR1069" t="s">
        <v>118</v>
      </c>
      <c r="AS1069">
        <v>-81</v>
      </c>
      <c r="AT1069">
        <v>-12</v>
      </c>
      <c r="AU1069">
        <v>-192</v>
      </c>
      <c r="BC1069">
        <v>1200</v>
      </c>
      <c r="BD1069">
        <v>1</v>
      </c>
      <c r="BE1069" t="str">
        <f t="shared" si="50"/>
        <v xml:space="preserve">N215T   </v>
      </c>
      <c r="BF1069">
        <v>1</v>
      </c>
      <c r="BH1069">
        <v>0</v>
      </c>
      <c r="BI1069">
        <v>0</v>
      </c>
      <c r="BJ1069">
        <v>0</v>
      </c>
      <c r="BK1069">
        <v>2350</v>
      </c>
      <c r="BL1069">
        <v>350</v>
      </c>
      <c r="BM1069" t="s">
        <v>119</v>
      </c>
      <c r="BN1069">
        <v>1</v>
      </c>
      <c r="BO1069">
        <v>1</v>
      </c>
      <c r="BP1069">
        <v>1</v>
      </c>
      <c r="BQ1069">
        <v>0</v>
      </c>
      <c r="BT1069">
        <v>0</v>
      </c>
      <c r="BU1069">
        <v>0</v>
      </c>
      <c r="BV1069">
        <v>0</v>
      </c>
      <c r="CC1069" t="str">
        <f>"18:52:29.492"</f>
        <v>18:52:29.492</v>
      </c>
      <c r="CD1069" t="str">
        <f>"488584070"</f>
        <v>488584070</v>
      </c>
      <c r="CQ1069">
        <v>0</v>
      </c>
      <c r="CR1069">
        <v>2</v>
      </c>
      <c r="CS1069">
        <v>0</v>
      </c>
      <c r="CT1069">
        <v>2</v>
      </c>
      <c r="CU1069">
        <v>0</v>
      </c>
      <c r="CV1069">
        <v>5</v>
      </c>
      <c r="CW1069" t="s">
        <v>120</v>
      </c>
      <c r="CX1069">
        <v>261</v>
      </c>
      <c r="CY1069">
        <v>2</v>
      </c>
      <c r="CZ1069" t="s">
        <v>121</v>
      </c>
      <c r="DA1069" t="s">
        <v>122</v>
      </c>
      <c r="DD1069">
        <v>14828406</v>
      </c>
      <c r="DE1069" t="s">
        <v>123</v>
      </c>
    </row>
    <row r="1070" spans="1:109" x14ac:dyDescent="0.3">
      <c r="A1070" t="str">
        <f>"18:52:30.844"</f>
        <v>18:52:30.844</v>
      </c>
      <c r="B1070" t="s">
        <v>110</v>
      </c>
      <c r="C1070" t="str">
        <f t="shared" si="48"/>
        <v>ffdfd3c0</v>
      </c>
      <c r="D1070" t="s">
        <v>111</v>
      </c>
      <c r="E1070">
        <v>18</v>
      </c>
      <c r="F1070">
        <v>1018</v>
      </c>
      <c r="G1070" t="s">
        <v>112</v>
      </c>
      <c r="J1070" t="s">
        <v>113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R1070" t="s">
        <v>114</v>
      </c>
      <c r="S1070" t="str">
        <f>"18:52:30.625"</f>
        <v>18:52:30.625</v>
      </c>
      <c r="T1070" t="str">
        <f>"18:52:30.523"</f>
        <v>18:52:30.523</v>
      </c>
      <c r="U1070" t="str">
        <f t="shared" si="49"/>
        <v>a1cdbe</v>
      </c>
      <c r="V1070">
        <v>0</v>
      </c>
      <c r="W1070">
        <v>0</v>
      </c>
      <c r="X1070">
        <v>1</v>
      </c>
      <c r="Y1070">
        <v>0</v>
      </c>
      <c r="Z1070">
        <v>0</v>
      </c>
      <c r="AB1070">
        <v>0</v>
      </c>
      <c r="AC1070">
        <v>9</v>
      </c>
      <c r="AD1070">
        <v>3</v>
      </c>
      <c r="AE1070">
        <v>0</v>
      </c>
      <c r="AF1070">
        <v>9</v>
      </c>
      <c r="AG1070" t="s">
        <v>158</v>
      </c>
      <c r="AH1070">
        <v>0</v>
      </c>
      <c r="AI1070">
        <v>3</v>
      </c>
      <c r="AJ1070">
        <v>1</v>
      </c>
      <c r="AK1070">
        <v>0</v>
      </c>
      <c r="AL1070" t="s">
        <v>1967</v>
      </c>
      <c r="AM1070">
        <v>46.846347000000002</v>
      </c>
      <c r="AN1070" t="s">
        <v>2108</v>
      </c>
      <c r="AO1070">
        <v>-122.552769</v>
      </c>
      <c r="AP1070">
        <v>100</v>
      </c>
      <c r="AQ1070">
        <v>2000</v>
      </c>
      <c r="AR1070" t="s">
        <v>118</v>
      </c>
      <c r="AS1070">
        <v>-81</v>
      </c>
      <c r="AT1070">
        <v>-15</v>
      </c>
      <c r="AU1070">
        <v>-256</v>
      </c>
      <c r="BC1070">
        <v>1200</v>
      </c>
      <c r="BD1070">
        <v>1</v>
      </c>
      <c r="BE1070" t="str">
        <f t="shared" si="50"/>
        <v xml:space="preserve">N215T   </v>
      </c>
      <c r="BF1070">
        <v>1</v>
      </c>
      <c r="BH1070">
        <v>0</v>
      </c>
      <c r="BI1070">
        <v>0</v>
      </c>
      <c r="BJ1070">
        <v>0</v>
      </c>
      <c r="BK1070">
        <v>2325</v>
      </c>
      <c r="BL1070">
        <v>325</v>
      </c>
      <c r="BM1070" t="s">
        <v>119</v>
      </c>
      <c r="BN1070">
        <v>1</v>
      </c>
      <c r="BO1070">
        <v>1</v>
      </c>
      <c r="BP1070">
        <v>1</v>
      </c>
      <c r="BQ1070">
        <v>0</v>
      </c>
      <c r="BT1070">
        <v>0</v>
      </c>
      <c r="BU1070">
        <v>0</v>
      </c>
      <c r="BV1070">
        <v>0</v>
      </c>
      <c r="CC1070" t="str">
        <f>"18:52:30.625"</f>
        <v>18:52:30.625</v>
      </c>
      <c r="CD1070" t="str">
        <f>"628471814"</f>
        <v>628471814</v>
      </c>
      <c r="CQ1070">
        <v>0</v>
      </c>
      <c r="CR1070">
        <v>2</v>
      </c>
      <c r="CS1070">
        <v>0</v>
      </c>
      <c r="CT1070">
        <v>2</v>
      </c>
      <c r="CU1070">
        <v>0</v>
      </c>
      <c r="CV1070">
        <v>5</v>
      </c>
      <c r="CW1070" t="s">
        <v>120</v>
      </c>
      <c r="CX1070">
        <v>261</v>
      </c>
      <c r="CY1070">
        <v>2</v>
      </c>
      <c r="CZ1070" t="s">
        <v>121</v>
      </c>
      <c r="DA1070" t="s">
        <v>122</v>
      </c>
      <c r="DD1070">
        <v>14829227</v>
      </c>
      <c r="DE1070" t="s">
        <v>123</v>
      </c>
    </row>
    <row r="1071" spans="1:109" x14ac:dyDescent="0.3">
      <c r="A1071" t="str">
        <f>"18:52:31.805"</f>
        <v>18:52:31.805</v>
      </c>
      <c r="B1071" t="s">
        <v>110</v>
      </c>
      <c r="C1071" t="str">
        <f t="shared" si="48"/>
        <v>ffdfd3c0</v>
      </c>
      <c r="D1071" t="s">
        <v>111</v>
      </c>
      <c r="E1071">
        <v>18</v>
      </c>
      <c r="F1071">
        <v>1018</v>
      </c>
      <c r="G1071" t="s">
        <v>112</v>
      </c>
      <c r="J1071" t="s">
        <v>113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R1071" t="s">
        <v>114</v>
      </c>
      <c r="S1071" t="str">
        <f>"18:52:31.539"</f>
        <v>18:52:31.539</v>
      </c>
      <c r="T1071" t="str">
        <f>"18:52:31.438"</f>
        <v>18:52:31.438</v>
      </c>
      <c r="U1071" t="str">
        <f t="shared" si="49"/>
        <v>a1cdbe</v>
      </c>
      <c r="V1071">
        <v>0</v>
      </c>
      <c r="W1071">
        <v>0</v>
      </c>
      <c r="X1071">
        <v>1</v>
      </c>
      <c r="Y1071">
        <v>0</v>
      </c>
      <c r="Z1071">
        <v>0</v>
      </c>
      <c r="AB1071">
        <v>0</v>
      </c>
      <c r="AC1071">
        <v>9</v>
      </c>
      <c r="AD1071">
        <v>3</v>
      </c>
      <c r="AE1071">
        <v>0</v>
      </c>
      <c r="AF1071">
        <v>9</v>
      </c>
      <c r="AG1071" t="s">
        <v>158</v>
      </c>
      <c r="AH1071">
        <v>0</v>
      </c>
      <c r="AI1071">
        <v>3</v>
      </c>
      <c r="AJ1071">
        <v>1</v>
      </c>
      <c r="AK1071">
        <v>0</v>
      </c>
      <c r="AL1071" t="s">
        <v>1876</v>
      </c>
      <c r="AM1071">
        <v>46.846304000000003</v>
      </c>
      <c r="AN1071" t="s">
        <v>2109</v>
      </c>
      <c r="AO1071">
        <v>-122.55330600000001</v>
      </c>
      <c r="AP1071">
        <v>100</v>
      </c>
      <c r="AQ1071">
        <v>2000</v>
      </c>
      <c r="AR1071" t="s">
        <v>118</v>
      </c>
      <c r="AS1071">
        <v>-81</v>
      </c>
      <c r="AT1071">
        <v>-16</v>
      </c>
      <c r="AU1071">
        <v>-192</v>
      </c>
      <c r="BC1071">
        <v>1200</v>
      </c>
      <c r="BD1071">
        <v>1</v>
      </c>
      <c r="BE1071" t="str">
        <f t="shared" si="50"/>
        <v xml:space="preserve">N215T   </v>
      </c>
      <c r="BF1071">
        <v>1</v>
      </c>
      <c r="BH1071">
        <v>0</v>
      </c>
      <c r="BI1071">
        <v>0</v>
      </c>
      <c r="BJ1071">
        <v>0</v>
      </c>
      <c r="BK1071">
        <v>2325</v>
      </c>
      <c r="BL1071">
        <v>325</v>
      </c>
      <c r="BM1071" t="s">
        <v>119</v>
      </c>
      <c r="BN1071">
        <v>1</v>
      </c>
      <c r="BO1071">
        <v>1</v>
      </c>
      <c r="BP1071">
        <v>1</v>
      </c>
      <c r="BQ1071">
        <v>0</v>
      </c>
      <c r="BT1071">
        <v>0</v>
      </c>
      <c r="BU1071">
        <v>0</v>
      </c>
      <c r="BV1071">
        <v>0</v>
      </c>
      <c r="CC1071" t="str">
        <f>"18:52:31.547"</f>
        <v>18:52:31.547</v>
      </c>
      <c r="CD1071" t="str">
        <f>"543381715"</f>
        <v>543381715</v>
      </c>
      <c r="CQ1071">
        <v>0</v>
      </c>
      <c r="CR1071">
        <v>2</v>
      </c>
      <c r="CS1071">
        <v>0</v>
      </c>
      <c r="CT1071">
        <v>2</v>
      </c>
      <c r="CU1071">
        <v>0</v>
      </c>
      <c r="CV1071">
        <v>5</v>
      </c>
      <c r="CW1071" t="s">
        <v>120</v>
      </c>
      <c r="CX1071">
        <v>261</v>
      </c>
      <c r="CY1071">
        <v>2</v>
      </c>
      <c r="CZ1071" t="s">
        <v>121</v>
      </c>
      <c r="DA1071" t="s">
        <v>122</v>
      </c>
      <c r="DD1071">
        <v>14829786</v>
      </c>
      <c r="DE1071" t="s">
        <v>123</v>
      </c>
    </row>
    <row r="1072" spans="1:109" x14ac:dyDescent="0.3">
      <c r="A1072" t="str">
        <f>"18:52:32.805"</f>
        <v>18:52:32.805</v>
      </c>
      <c r="B1072" t="s">
        <v>110</v>
      </c>
      <c r="C1072" t="str">
        <f t="shared" si="48"/>
        <v>ffdfd3c0</v>
      </c>
      <c r="D1072" t="s">
        <v>111</v>
      </c>
      <c r="E1072">
        <v>18</v>
      </c>
      <c r="F1072">
        <v>1018</v>
      </c>
      <c r="G1072" t="s">
        <v>112</v>
      </c>
      <c r="J1072" t="s">
        <v>113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R1072" t="s">
        <v>114</v>
      </c>
      <c r="S1072" t="str">
        <f>"18:52:32.578"</f>
        <v>18:52:32.578</v>
      </c>
      <c r="T1072" t="str">
        <f>"18:52:32.578"</f>
        <v>18:52:32.578</v>
      </c>
      <c r="U1072" t="str">
        <f t="shared" si="49"/>
        <v>a1cdbe</v>
      </c>
      <c r="V1072">
        <v>0</v>
      </c>
      <c r="W1072">
        <v>0</v>
      </c>
      <c r="X1072">
        <v>1</v>
      </c>
      <c r="Y1072">
        <v>0</v>
      </c>
      <c r="Z1072">
        <v>0</v>
      </c>
      <c r="AB1072">
        <v>0</v>
      </c>
      <c r="AC1072">
        <v>9</v>
      </c>
      <c r="AD1072">
        <v>3</v>
      </c>
      <c r="AE1072">
        <v>0</v>
      </c>
      <c r="AF1072">
        <v>9</v>
      </c>
      <c r="AG1072" t="s">
        <v>158</v>
      </c>
      <c r="AH1072">
        <v>0</v>
      </c>
      <c r="AI1072">
        <v>3</v>
      </c>
      <c r="AJ1072">
        <v>1</v>
      </c>
      <c r="AK1072">
        <v>0</v>
      </c>
      <c r="AL1072" t="s">
        <v>1878</v>
      </c>
      <c r="AM1072">
        <v>46.846218</v>
      </c>
      <c r="AN1072" t="s">
        <v>2110</v>
      </c>
      <c r="AO1072">
        <v>-122.553864</v>
      </c>
      <c r="AP1072">
        <v>100</v>
      </c>
      <c r="AQ1072">
        <v>2000</v>
      </c>
      <c r="AR1072" t="s">
        <v>118</v>
      </c>
      <c r="AS1072">
        <v>-81</v>
      </c>
      <c r="AT1072">
        <v>-17</v>
      </c>
      <c r="AU1072">
        <v>-128</v>
      </c>
      <c r="BC1072">
        <v>1200</v>
      </c>
      <c r="BD1072">
        <v>1</v>
      </c>
      <c r="BE1072" t="str">
        <f t="shared" si="50"/>
        <v xml:space="preserve">N215T   </v>
      </c>
      <c r="BF1072">
        <v>1</v>
      </c>
      <c r="BH1072">
        <v>0</v>
      </c>
      <c r="BI1072">
        <v>0</v>
      </c>
      <c r="BJ1072">
        <v>0</v>
      </c>
      <c r="BK1072">
        <v>2325</v>
      </c>
      <c r="BL1072">
        <v>325</v>
      </c>
      <c r="BM1072" t="s">
        <v>119</v>
      </c>
      <c r="BN1072">
        <v>1</v>
      </c>
      <c r="BO1072">
        <v>1</v>
      </c>
      <c r="BP1072">
        <v>1</v>
      </c>
      <c r="BQ1072">
        <v>0</v>
      </c>
      <c r="BT1072">
        <v>0</v>
      </c>
      <c r="BU1072">
        <v>0</v>
      </c>
      <c r="BV1072">
        <v>0</v>
      </c>
      <c r="CC1072" t="str">
        <f>"18:52:32.578"</f>
        <v>18:52:32.578</v>
      </c>
      <c r="CD1072" t="str">
        <f>"578279801"</f>
        <v>578279801</v>
      </c>
      <c r="CQ1072">
        <v>0</v>
      </c>
      <c r="CR1072">
        <v>2</v>
      </c>
      <c r="CS1072">
        <v>0</v>
      </c>
      <c r="CT1072">
        <v>2</v>
      </c>
      <c r="CU1072">
        <v>0</v>
      </c>
      <c r="CV1072">
        <v>5</v>
      </c>
      <c r="CW1072" t="s">
        <v>120</v>
      </c>
      <c r="CX1072">
        <v>261</v>
      </c>
      <c r="CY1072">
        <v>2</v>
      </c>
      <c r="CZ1072" t="s">
        <v>121</v>
      </c>
      <c r="DA1072" t="s">
        <v>122</v>
      </c>
      <c r="DD1072">
        <v>14830404</v>
      </c>
      <c r="DE1072" t="s">
        <v>123</v>
      </c>
    </row>
    <row r="1073" spans="1:109" x14ac:dyDescent="0.3">
      <c r="A1073" t="str">
        <f>"18:52:33.813"</f>
        <v>18:52:33.813</v>
      </c>
      <c r="B1073" t="s">
        <v>110</v>
      </c>
      <c r="C1073" t="str">
        <f t="shared" si="48"/>
        <v>ffdfd3c0</v>
      </c>
      <c r="D1073" t="s">
        <v>111</v>
      </c>
      <c r="E1073">
        <v>18</v>
      </c>
      <c r="F1073">
        <v>1018</v>
      </c>
      <c r="G1073" t="s">
        <v>112</v>
      </c>
      <c r="J1073" t="s">
        <v>113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R1073" t="s">
        <v>114</v>
      </c>
      <c r="S1073" t="str">
        <f>"18:52:33.563"</f>
        <v>18:52:33.563</v>
      </c>
      <c r="T1073" t="str">
        <f>"18:52:33.063"</f>
        <v>18:52:33.063</v>
      </c>
      <c r="U1073" t="str">
        <f t="shared" si="49"/>
        <v>a1cdbe</v>
      </c>
      <c r="V1073">
        <v>0</v>
      </c>
      <c r="W1073">
        <v>0</v>
      </c>
      <c r="X1073">
        <v>1</v>
      </c>
      <c r="Y1073">
        <v>0</v>
      </c>
      <c r="Z1073">
        <v>0</v>
      </c>
      <c r="AB1073">
        <v>0</v>
      </c>
      <c r="AC1073">
        <v>9</v>
      </c>
      <c r="AD1073">
        <v>3</v>
      </c>
      <c r="AE1073">
        <v>0</v>
      </c>
      <c r="AF1073">
        <v>9</v>
      </c>
      <c r="AG1073" t="s">
        <v>158</v>
      </c>
      <c r="AH1073">
        <v>0</v>
      </c>
      <c r="AI1073">
        <v>3</v>
      </c>
      <c r="AJ1073">
        <v>1</v>
      </c>
      <c r="AK1073">
        <v>0</v>
      </c>
      <c r="AL1073" t="s">
        <v>2111</v>
      </c>
      <c r="AM1073">
        <v>46.846153999999999</v>
      </c>
      <c r="AN1073" t="s">
        <v>2112</v>
      </c>
      <c r="AO1073">
        <v>-122.554357</v>
      </c>
      <c r="AP1073">
        <v>100</v>
      </c>
      <c r="AQ1073">
        <v>2000</v>
      </c>
      <c r="AR1073" t="s">
        <v>118</v>
      </c>
      <c r="AS1073">
        <v>-81</v>
      </c>
      <c r="AT1073">
        <v>-17</v>
      </c>
      <c r="AU1073">
        <v>-192</v>
      </c>
      <c r="BC1073">
        <v>1200</v>
      </c>
      <c r="BD1073">
        <v>1</v>
      </c>
      <c r="BE1073" t="str">
        <f t="shared" si="50"/>
        <v xml:space="preserve">N215T   </v>
      </c>
      <c r="BF1073">
        <v>1</v>
      </c>
      <c r="BH1073">
        <v>0</v>
      </c>
      <c r="BI1073">
        <v>0</v>
      </c>
      <c r="BJ1073">
        <v>0</v>
      </c>
      <c r="BK1073">
        <v>2325</v>
      </c>
      <c r="BL1073">
        <v>325</v>
      </c>
      <c r="BM1073" t="s">
        <v>119</v>
      </c>
      <c r="BN1073">
        <v>1</v>
      </c>
      <c r="BO1073">
        <v>1</v>
      </c>
      <c r="BP1073">
        <v>1</v>
      </c>
      <c r="BQ1073">
        <v>0</v>
      </c>
      <c r="BT1073">
        <v>0</v>
      </c>
      <c r="BU1073">
        <v>0</v>
      </c>
      <c r="BV1073">
        <v>0</v>
      </c>
      <c r="CC1073" t="str">
        <f>"18:52:33.570"</f>
        <v>18:52:33.570</v>
      </c>
      <c r="CD1073" t="str">
        <f>"568182323"</f>
        <v>568182323</v>
      </c>
      <c r="CQ1073">
        <v>0</v>
      </c>
      <c r="CR1073">
        <v>2</v>
      </c>
      <c r="CS1073">
        <v>0</v>
      </c>
      <c r="CT1073">
        <v>2</v>
      </c>
      <c r="CU1073">
        <v>0</v>
      </c>
      <c r="CV1073">
        <v>5</v>
      </c>
      <c r="CW1073" t="s">
        <v>120</v>
      </c>
      <c r="CX1073">
        <v>261</v>
      </c>
      <c r="CY1073">
        <v>2</v>
      </c>
      <c r="CZ1073" t="s">
        <v>121</v>
      </c>
      <c r="DA1073" t="s">
        <v>122</v>
      </c>
      <c r="DD1073">
        <v>14830999</v>
      </c>
      <c r="DE1073" t="s">
        <v>123</v>
      </c>
    </row>
    <row r="1074" spans="1:109" x14ac:dyDescent="0.3">
      <c r="A1074" t="str">
        <f>"18:52:34.867"</f>
        <v>18:52:34.867</v>
      </c>
      <c r="B1074" t="s">
        <v>110</v>
      </c>
      <c r="C1074" t="str">
        <f t="shared" si="48"/>
        <v>ffdfd3c0</v>
      </c>
      <c r="D1074" t="s">
        <v>111</v>
      </c>
      <c r="E1074">
        <v>18</v>
      </c>
      <c r="F1074">
        <v>1018</v>
      </c>
      <c r="G1074" t="s">
        <v>112</v>
      </c>
      <c r="J1074" t="s">
        <v>113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R1074" t="s">
        <v>114</v>
      </c>
      <c r="S1074" t="str">
        <f>"18:52:34.633"</f>
        <v>18:52:34.633</v>
      </c>
      <c r="T1074" t="str">
        <f>"18:52:34.430"</f>
        <v>18:52:34.430</v>
      </c>
      <c r="U1074" t="str">
        <f t="shared" si="49"/>
        <v>a1cdbe</v>
      </c>
      <c r="V1074">
        <v>0</v>
      </c>
      <c r="W1074">
        <v>0</v>
      </c>
      <c r="X1074">
        <v>1</v>
      </c>
      <c r="Y1074">
        <v>0</v>
      </c>
      <c r="Z1074">
        <v>0</v>
      </c>
      <c r="AB1074">
        <v>0</v>
      </c>
      <c r="AC1074">
        <v>9</v>
      </c>
      <c r="AD1074">
        <v>3</v>
      </c>
      <c r="AE1074">
        <v>0</v>
      </c>
      <c r="AF1074">
        <v>9</v>
      </c>
      <c r="AG1074" t="s">
        <v>158</v>
      </c>
      <c r="AH1074">
        <v>0</v>
      </c>
      <c r="AI1074">
        <v>3</v>
      </c>
      <c r="AJ1074">
        <v>1</v>
      </c>
      <c r="AK1074">
        <v>0</v>
      </c>
      <c r="AL1074" t="s">
        <v>1960</v>
      </c>
      <c r="AM1074">
        <v>46.846068000000002</v>
      </c>
      <c r="AN1074" t="s">
        <v>2113</v>
      </c>
      <c r="AO1074">
        <v>-122.554958</v>
      </c>
      <c r="AP1074">
        <v>100</v>
      </c>
      <c r="AQ1074">
        <v>2000</v>
      </c>
      <c r="AR1074" t="s">
        <v>118</v>
      </c>
      <c r="AS1074">
        <v>-80</v>
      </c>
      <c r="AT1074">
        <v>-19</v>
      </c>
      <c r="AU1074">
        <v>-192</v>
      </c>
      <c r="BC1074">
        <v>1200</v>
      </c>
      <c r="BD1074">
        <v>1</v>
      </c>
      <c r="BE1074" t="str">
        <f t="shared" si="50"/>
        <v xml:space="preserve">N215T   </v>
      </c>
      <c r="BF1074">
        <v>1</v>
      </c>
      <c r="BH1074">
        <v>0</v>
      </c>
      <c r="BI1074">
        <v>0</v>
      </c>
      <c r="BJ1074">
        <v>0</v>
      </c>
      <c r="BK1074">
        <v>2325</v>
      </c>
      <c r="BL1074">
        <v>325</v>
      </c>
      <c r="BM1074" t="s">
        <v>119</v>
      </c>
      <c r="BN1074">
        <v>1</v>
      </c>
      <c r="BO1074">
        <v>1</v>
      </c>
      <c r="BP1074">
        <v>1</v>
      </c>
      <c r="BQ1074">
        <v>0</v>
      </c>
      <c r="BT1074">
        <v>0</v>
      </c>
      <c r="BU1074">
        <v>0</v>
      </c>
      <c r="BV1074">
        <v>0</v>
      </c>
      <c r="CC1074" t="str">
        <f>"18:52:34.633"</f>
        <v>18:52:34.633</v>
      </c>
      <c r="CD1074" t="str">
        <f>"633077458"</f>
        <v>633077458</v>
      </c>
      <c r="CQ1074">
        <v>0</v>
      </c>
      <c r="CR1074">
        <v>2</v>
      </c>
      <c r="CS1074">
        <v>0</v>
      </c>
      <c r="CT1074">
        <v>2</v>
      </c>
      <c r="CU1074">
        <v>0</v>
      </c>
      <c r="CV1074">
        <v>6</v>
      </c>
      <c r="CW1074" t="s">
        <v>120</v>
      </c>
      <c r="CX1074">
        <v>261</v>
      </c>
      <c r="CY1074">
        <v>2</v>
      </c>
      <c r="CZ1074" t="s">
        <v>121</v>
      </c>
      <c r="DA1074" t="s">
        <v>122</v>
      </c>
      <c r="DD1074">
        <v>14831701</v>
      </c>
      <c r="DE1074" t="s">
        <v>123</v>
      </c>
    </row>
    <row r="1075" spans="1:109" x14ac:dyDescent="0.3">
      <c r="A1075" t="str">
        <f>"18:52:35.875"</f>
        <v>18:52:35.875</v>
      </c>
      <c r="B1075" t="s">
        <v>110</v>
      </c>
      <c r="C1075" t="str">
        <f t="shared" si="48"/>
        <v>ffdfd3c0</v>
      </c>
      <c r="D1075" t="s">
        <v>111</v>
      </c>
      <c r="E1075">
        <v>18</v>
      </c>
      <c r="F1075">
        <v>1018</v>
      </c>
      <c r="G1075" t="s">
        <v>112</v>
      </c>
      <c r="J1075" t="s">
        <v>113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R1075" t="s">
        <v>114</v>
      </c>
      <c r="S1075" t="str">
        <f>"18:52:35.648"</f>
        <v>18:52:35.648</v>
      </c>
      <c r="T1075" t="str">
        <f>"18:52:35.648"</f>
        <v>18:52:35.648</v>
      </c>
      <c r="U1075" t="str">
        <f t="shared" si="49"/>
        <v>a1cdbe</v>
      </c>
      <c r="V1075">
        <v>0</v>
      </c>
      <c r="W1075">
        <v>0</v>
      </c>
      <c r="X1075">
        <v>1</v>
      </c>
      <c r="Y1075">
        <v>0</v>
      </c>
      <c r="Z1075">
        <v>0</v>
      </c>
      <c r="AB1075">
        <v>0</v>
      </c>
      <c r="AC1075">
        <v>9</v>
      </c>
      <c r="AD1075">
        <v>3</v>
      </c>
      <c r="AE1075">
        <v>0</v>
      </c>
      <c r="AF1075">
        <v>9</v>
      </c>
      <c r="AG1075" t="s">
        <v>158</v>
      </c>
      <c r="AH1075">
        <v>0</v>
      </c>
      <c r="AI1075">
        <v>3</v>
      </c>
      <c r="AJ1075">
        <v>1</v>
      </c>
      <c r="AK1075">
        <v>0</v>
      </c>
      <c r="AL1075" t="s">
        <v>1884</v>
      </c>
      <c r="AM1075">
        <v>46.845981999999999</v>
      </c>
      <c r="AN1075" t="s">
        <v>2114</v>
      </c>
      <c r="AO1075">
        <v>-122.555494</v>
      </c>
      <c r="AP1075">
        <v>100</v>
      </c>
      <c r="AQ1075">
        <v>2000</v>
      </c>
      <c r="AR1075" t="s">
        <v>118</v>
      </c>
      <c r="AS1075">
        <v>-80</v>
      </c>
      <c r="AT1075">
        <v>-21</v>
      </c>
      <c r="AU1075">
        <v>-256</v>
      </c>
      <c r="BC1075">
        <v>1200</v>
      </c>
      <c r="BD1075">
        <v>1</v>
      </c>
      <c r="BE1075" t="str">
        <f t="shared" si="50"/>
        <v xml:space="preserve">N215T   </v>
      </c>
      <c r="BF1075">
        <v>1</v>
      </c>
      <c r="BH1075">
        <v>0</v>
      </c>
      <c r="BI1075">
        <v>0</v>
      </c>
      <c r="BJ1075">
        <v>0</v>
      </c>
      <c r="BK1075">
        <v>2325</v>
      </c>
      <c r="BL1075">
        <v>325</v>
      </c>
      <c r="BM1075" t="s">
        <v>119</v>
      </c>
      <c r="BN1075">
        <v>1</v>
      </c>
      <c r="BO1075">
        <v>1</v>
      </c>
      <c r="BP1075">
        <v>1</v>
      </c>
      <c r="BQ1075">
        <v>0</v>
      </c>
      <c r="BT1075">
        <v>0</v>
      </c>
      <c r="BU1075">
        <v>0</v>
      </c>
      <c r="BV1075">
        <v>0</v>
      </c>
      <c r="CC1075" t="str">
        <f>"18:52:35.656"</f>
        <v>18:52:35.656</v>
      </c>
      <c r="CD1075" t="str">
        <f>"652977029"</f>
        <v>652977029</v>
      </c>
      <c r="CQ1075">
        <v>0</v>
      </c>
      <c r="CR1075">
        <v>2</v>
      </c>
      <c r="CS1075">
        <v>0</v>
      </c>
      <c r="CT1075">
        <v>2</v>
      </c>
      <c r="CU1075">
        <v>0</v>
      </c>
      <c r="CV1075">
        <v>6</v>
      </c>
      <c r="CW1075" t="s">
        <v>120</v>
      </c>
      <c r="CX1075">
        <v>261</v>
      </c>
      <c r="CY1075">
        <v>2</v>
      </c>
      <c r="CZ1075" t="s">
        <v>121</v>
      </c>
      <c r="DA1075" t="s">
        <v>122</v>
      </c>
      <c r="DD1075">
        <v>14832374</v>
      </c>
      <c r="DE1075" t="s">
        <v>123</v>
      </c>
    </row>
    <row r="1076" spans="1:109" x14ac:dyDescent="0.3">
      <c r="A1076" t="str">
        <f>"18:52:36.828"</f>
        <v>18:52:36.828</v>
      </c>
      <c r="B1076" t="s">
        <v>110</v>
      </c>
      <c r="C1076" t="str">
        <f t="shared" si="48"/>
        <v>ffdfd3c0</v>
      </c>
      <c r="D1076" t="s">
        <v>111</v>
      </c>
      <c r="E1076">
        <v>18</v>
      </c>
      <c r="F1076">
        <v>1018</v>
      </c>
      <c r="G1076" t="s">
        <v>112</v>
      </c>
      <c r="J1076" t="s">
        <v>113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R1076" t="s">
        <v>114</v>
      </c>
      <c r="S1076" t="str">
        <f>"18:52:36.594"</f>
        <v>18:52:36.594</v>
      </c>
      <c r="T1076" t="str">
        <f>"18:52:36.594"</f>
        <v>18:52:36.594</v>
      </c>
      <c r="U1076" t="str">
        <f t="shared" si="49"/>
        <v>a1cdbe</v>
      </c>
      <c r="V1076">
        <v>0</v>
      </c>
      <c r="W1076">
        <v>0</v>
      </c>
      <c r="X1076">
        <v>1</v>
      </c>
      <c r="Y1076">
        <v>0</v>
      </c>
      <c r="Z1076">
        <v>0</v>
      </c>
      <c r="AB1076">
        <v>0</v>
      </c>
      <c r="AC1076">
        <v>9</v>
      </c>
      <c r="AD1076">
        <v>3</v>
      </c>
      <c r="AE1076">
        <v>0</v>
      </c>
      <c r="AF1076">
        <v>9</v>
      </c>
      <c r="AG1076" t="s">
        <v>158</v>
      </c>
      <c r="AH1076">
        <v>0</v>
      </c>
      <c r="AI1076">
        <v>3</v>
      </c>
      <c r="AJ1076">
        <v>1</v>
      </c>
      <c r="AK1076">
        <v>0</v>
      </c>
      <c r="AL1076" t="s">
        <v>1888</v>
      </c>
      <c r="AM1076">
        <v>46.845852999999998</v>
      </c>
      <c r="AN1076" t="s">
        <v>2115</v>
      </c>
      <c r="AO1076">
        <v>-122.55605199999999</v>
      </c>
      <c r="AP1076">
        <v>100</v>
      </c>
      <c r="AQ1076">
        <v>1900</v>
      </c>
      <c r="AR1076" t="s">
        <v>118</v>
      </c>
      <c r="AS1076">
        <v>-80</v>
      </c>
      <c r="AT1076">
        <v>-22</v>
      </c>
      <c r="AU1076">
        <v>-192</v>
      </c>
      <c r="BC1076">
        <v>1200</v>
      </c>
      <c r="BD1076">
        <v>1</v>
      </c>
      <c r="BE1076" t="str">
        <f t="shared" si="50"/>
        <v xml:space="preserve">N215T   </v>
      </c>
      <c r="BF1076">
        <v>1</v>
      </c>
      <c r="BH1076">
        <v>0</v>
      </c>
      <c r="BI1076">
        <v>0</v>
      </c>
      <c r="BJ1076">
        <v>0</v>
      </c>
      <c r="BK1076">
        <v>2325</v>
      </c>
      <c r="BL1076">
        <v>425</v>
      </c>
      <c r="BM1076" t="s">
        <v>119</v>
      </c>
      <c r="BN1076">
        <v>1</v>
      </c>
      <c r="BO1076">
        <v>1</v>
      </c>
      <c r="BP1076">
        <v>1</v>
      </c>
      <c r="BQ1076">
        <v>0</v>
      </c>
      <c r="BT1076">
        <v>0</v>
      </c>
      <c r="BU1076">
        <v>0</v>
      </c>
      <c r="BV1076">
        <v>0</v>
      </c>
      <c r="CC1076" t="str">
        <f>"18:52:36.602"</f>
        <v>18:52:36.602</v>
      </c>
      <c r="CD1076" t="str">
        <f>"597883989"</f>
        <v>597883989</v>
      </c>
      <c r="CQ1076">
        <v>0</v>
      </c>
      <c r="CR1076">
        <v>2</v>
      </c>
      <c r="CS1076">
        <v>0</v>
      </c>
      <c r="CT1076">
        <v>2</v>
      </c>
      <c r="CU1076">
        <v>0</v>
      </c>
      <c r="CV1076">
        <v>5</v>
      </c>
      <c r="CW1076" t="s">
        <v>120</v>
      </c>
      <c r="CX1076">
        <v>261</v>
      </c>
      <c r="CY1076">
        <v>2</v>
      </c>
      <c r="CZ1076" t="s">
        <v>121</v>
      </c>
      <c r="DA1076" t="s">
        <v>122</v>
      </c>
      <c r="DD1076">
        <v>14832929</v>
      </c>
      <c r="DE1076" t="s">
        <v>123</v>
      </c>
    </row>
    <row r="1077" spans="1:109" x14ac:dyDescent="0.3">
      <c r="A1077" t="str">
        <f>"18:52:37.836"</f>
        <v>18:52:37.836</v>
      </c>
      <c r="B1077" t="s">
        <v>110</v>
      </c>
      <c r="C1077" t="str">
        <f t="shared" si="48"/>
        <v>ffdfd3c0</v>
      </c>
      <c r="D1077" t="s">
        <v>111</v>
      </c>
      <c r="E1077">
        <v>18</v>
      </c>
      <c r="F1077">
        <v>1018</v>
      </c>
      <c r="G1077" t="s">
        <v>112</v>
      </c>
      <c r="J1077" t="s">
        <v>113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R1077" t="s">
        <v>114</v>
      </c>
      <c r="S1077" t="str">
        <f>"18:52:37.625"</f>
        <v>18:52:37.625</v>
      </c>
      <c r="T1077" t="str">
        <f>"18:52:37.625"</f>
        <v>18:52:37.625</v>
      </c>
      <c r="U1077" t="str">
        <f t="shared" si="49"/>
        <v>a1cdbe</v>
      </c>
      <c r="V1077">
        <v>0</v>
      </c>
      <c r="W1077">
        <v>0</v>
      </c>
      <c r="X1077">
        <v>1</v>
      </c>
      <c r="Y1077">
        <v>0</v>
      </c>
      <c r="Z1077">
        <v>0</v>
      </c>
      <c r="AB1077">
        <v>0</v>
      </c>
      <c r="AC1077">
        <v>9</v>
      </c>
      <c r="AD1077">
        <v>3</v>
      </c>
      <c r="AE1077">
        <v>0</v>
      </c>
      <c r="AF1077">
        <v>9</v>
      </c>
      <c r="AG1077" t="s">
        <v>158</v>
      </c>
      <c r="AH1077">
        <v>0</v>
      </c>
      <c r="AI1077">
        <v>3</v>
      </c>
      <c r="AJ1077">
        <v>1</v>
      </c>
      <c r="AK1077">
        <v>0</v>
      </c>
      <c r="AL1077" t="s">
        <v>1892</v>
      </c>
      <c r="AM1077">
        <v>46.845745999999998</v>
      </c>
      <c r="AN1077" t="s">
        <v>2116</v>
      </c>
      <c r="AO1077">
        <v>-122.556567</v>
      </c>
      <c r="AP1077">
        <v>100</v>
      </c>
      <c r="AQ1077">
        <v>1900</v>
      </c>
      <c r="AR1077" t="s">
        <v>118</v>
      </c>
      <c r="AS1077">
        <v>-81</v>
      </c>
      <c r="AT1077">
        <v>-23</v>
      </c>
      <c r="AU1077">
        <v>-128</v>
      </c>
      <c r="BC1077">
        <v>1200</v>
      </c>
      <c r="BD1077">
        <v>1</v>
      </c>
      <c r="BE1077" t="str">
        <f t="shared" si="50"/>
        <v xml:space="preserve">N215T   </v>
      </c>
      <c r="BF1077">
        <v>1</v>
      </c>
      <c r="BH1077">
        <v>0</v>
      </c>
      <c r="BI1077">
        <v>0</v>
      </c>
      <c r="BJ1077">
        <v>0</v>
      </c>
      <c r="BK1077">
        <v>2325</v>
      </c>
      <c r="BL1077">
        <v>425</v>
      </c>
      <c r="BM1077" t="s">
        <v>119</v>
      </c>
      <c r="BN1077">
        <v>1</v>
      </c>
      <c r="BO1077">
        <v>1</v>
      </c>
      <c r="BP1077">
        <v>1</v>
      </c>
      <c r="BQ1077">
        <v>0</v>
      </c>
      <c r="BT1077">
        <v>0</v>
      </c>
      <c r="BU1077">
        <v>0</v>
      </c>
      <c r="BV1077">
        <v>0</v>
      </c>
      <c r="CC1077" t="str">
        <f>"18:52:37.633"</f>
        <v>18:52:37.633</v>
      </c>
      <c r="CD1077" t="str">
        <f>"632782089"</f>
        <v>632782089</v>
      </c>
      <c r="CQ1077">
        <v>0</v>
      </c>
      <c r="CR1077">
        <v>2</v>
      </c>
      <c r="CS1077">
        <v>0</v>
      </c>
      <c r="CT1077">
        <v>2</v>
      </c>
      <c r="CU1077">
        <v>0</v>
      </c>
      <c r="CV1077">
        <v>5</v>
      </c>
      <c r="CW1077" t="s">
        <v>120</v>
      </c>
      <c r="CX1077">
        <v>261</v>
      </c>
      <c r="CY1077">
        <v>1</v>
      </c>
      <c r="CZ1077" t="s">
        <v>121</v>
      </c>
      <c r="DA1077" t="s">
        <v>122</v>
      </c>
      <c r="DD1077">
        <v>3763472</v>
      </c>
      <c r="DE1077" t="s">
        <v>123</v>
      </c>
    </row>
    <row r="1078" spans="1:109" x14ac:dyDescent="0.3">
      <c r="A1078" t="str">
        <f>"18:52:38.844"</f>
        <v>18:52:38.844</v>
      </c>
      <c r="B1078" t="s">
        <v>110</v>
      </c>
      <c r="C1078" t="str">
        <f t="shared" si="48"/>
        <v>ffdfd3c0</v>
      </c>
      <c r="D1078" t="s">
        <v>111</v>
      </c>
      <c r="E1078">
        <v>18</v>
      </c>
      <c r="F1078">
        <v>1018</v>
      </c>
      <c r="G1078" t="s">
        <v>112</v>
      </c>
      <c r="J1078" t="s">
        <v>113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R1078" t="s">
        <v>114</v>
      </c>
      <c r="S1078" t="str">
        <f>"18:52:38.586"</f>
        <v>18:52:38.586</v>
      </c>
      <c r="T1078" t="str">
        <f>"18:52:38.586"</f>
        <v>18:52:38.586</v>
      </c>
      <c r="U1078" t="str">
        <f t="shared" si="49"/>
        <v>a1cdbe</v>
      </c>
      <c r="V1078">
        <v>0</v>
      </c>
      <c r="W1078">
        <v>0</v>
      </c>
      <c r="X1078">
        <v>1</v>
      </c>
      <c r="Y1078">
        <v>0</v>
      </c>
      <c r="Z1078">
        <v>0</v>
      </c>
      <c r="AB1078">
        <v>0</v>
      </c>
      <c r="AC1078">
        <v>9</v>
      </c>
      <c r="AD1078">
        <v>3</v>
      </c>
      <c r="AE1078">
        <v>0</v>
      </c>
      <c r="AF1078">
        <v>9</v>
      </c>
      <c r="AG1078" t="s">
        <v>158</v>
      </c>
      <c r="AH1078">
        <v>0</v>
      </c>
      <c r="AI1078">
        <v>3</v>
      </c>
      <c r="AJ1078">
        <v>1</v>
      </c>
      <c r="AK1078">
        <v>0</v>
      </c>
      <c r="AL1078" t="s">
        <v>1896</v>
      </c>
      <c r="AM1078">
        <v>46.845660000000002</v>
      </c>
      <c r="AN1078" t="s">
        <v>2117</v>
      </c>
      <c r="AO1078">
        <v>-122.55708199999999</v>
      </c>
      <c r="AP1078">
        <v>100</v>
      </c>
      <c r="AQ1078">
        <v>1900</v>
      </c>
      <c r="AR1078" t="s">
        <v>118</v>
      </c>
      <c r="AS1078">
        <v>-81</v>
      </c>
      <c r="AT1078">
        <v>-23</v>
      </c>
      <c r="AU1078">
        <v>-192</v>
      </c>
      <c r="BC1078">
        <v>1200</v>
      </c>
      <c r="BD1078">
        <v>1</v>
      </c>
      <c r="BE1078" t="str">
        <f t="shared" si="50"/>
        <v xml:space="preserve">N215T   </v>
      </c>
      <c r="BF1078">
        <v>1</v>
      </c>
      <c r="BH1078">
        <v>0</v>
      </c>
      <c r="BI1078">
        <v>0</v>
      </c>
      <c r="BJ1078">
        <v>0</v>
      </c>
      <c r="BK1078">
        <v>2325</v>
      </c>
      <c r="BL1078">
        <v>425</v>
      </c>
      <c r="BM1078" t="s">
        <v>119</v>
      </c>
      <c r="BN1078">
        <v>1</v>
      </c>
      <c r="BO1078">
        <v>1</v>
      </c>
      <c r="BP1078">
        <v>1</v>
      </c>
      <c r="BQ1078">
        <v>0</v>
      </c>
      <c r="BT1078">
        <v>0</v>
      </c>
      <c r="BU1078">
        <v>0</v>
      </c>
      <c r="BV1078">
        <v>0</v>
      </c>
      <c r="CC1078" t="str">
        <f>"18:52:38.594"</f>
        <v>18:52:38.594</v>
      </c>
      <c r="CD1078" t="str">
        <f>"592687567"</f>
        <v>592687567</v>
      </c>
      <c r="CQ1078">
        <v>0</v>
      </c>
      <c r="CR1078">
        <v>2</v>
      </c>
      <c r="CS1078">
        <v>0</v>
      </c>
      <c r="CT1078">
        <v>2</v>
      </c>
      <c r="CU1078">
        <v>0</v>
      </c>
      <c r="CV1078">
        <v>6</v>
      </c>
      <c r="CW1078" t="s">
        <v>120</v>
      </c>
      <c r="CX1078">
        <v>261</v>
      </c>
      <c r="CY1078">
        <v>2</v>
      </c>
      <c r="CZ1078" t="s">
        <v>121</v>
      </c>
      <c r="DA1078" t="s">
        <v>122</v>
      </c>
      <c r="DD1078">
        <v>14834143</v>
      </c>
      <c r="DE1078" t="s">
        <v>123</v>
      </c>
    </row>
    <row r="1079" spans="1:109" x14ac:dyDescent="0.3">
      <c r="A1079" t="str">
        <f>"18:52:39.750"</f>
        <v>18:52:39.750</v>
      </c>
      <c r="B1079" t="s">
        <v>110</v>
      </c>
      <c r="C1079" t="str">
        <f t="shared" si="48"/>
        <v>ffdfd3c0</v>
      </c>
      <c r="D1079" t="s">
        <v>111</v>
      </c>
      <c r="E1079">
        <v>18</v>
      </c>
      <c r="F1079">
        <v>1018</v>
      </c>
      <c r="G1079" t="s">
        <v>112</v>
      </c>
      <c r="J1079" t="s">
        <v>113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R1079" t="s">
        <v>114</v>
      </c>
      <c r="S1079" t="str">
        <f>"18:52:39.500"</f>
        <v>18:52:39.500</v>
      </c>
      <c r="T1079" t="str">
        <f>"18:52:39.000"</f>
        <v>18:52:39.000</v>
      </c>
      <c r="U1079" t="str">
        <f t="shared" si="49"/>
        <v>a1cdbe</v>
      </c>
      <c r="V1079">
        <v>0</v>
      </c>
      <c r="W1079">
        <v>0</v>
      </c>
      <c r="X1079">
        <v>1</v>
      </c>
      <c r="Y1079">
        <v>0</v>
      </c>
      <c r="Z1079">
        <v>0</v>
      </c>
      <c r="AB1079">
        <v>0</v>
      </c>
      <c r="AC1079">
        <v>9</v>
      </c>
      <c r="AD1079">
        <v>3</v>
      </c>
      <c r="AE1079">
        <v>0</v>
      </c>
      <c r="AF1079">
        <v>9</v>
      </c>
      <c r="AG1079" t="s">
        <v>158</v>
      </c>
      <c r="AH1079">
        <v>0</v>
      </c>
      <c r="AI1079">
        <v>3</v>
      </c>
      <c r="AJ1079">
        <v>1</v>
      </c>
      <c r="AK1079">
        <v>0</v>
      </c>
      <c r="AL1079" t="s">
        <v>1902</v>
      </c>
      <c r="AM1079">
        <v>46.845509999999997</v>
      </c>
      <c r="AN1079" t="s">
        <v>2118</v>
      </c>
      <c r="AO1079">
        <v>-122.557576</v>
      </c>
      <c r="AP1079">
        <v>100</v>
      </c>
      <c r="AQ1079">
        <v>1900</v>
      </c>
      <c r="AR1079" t="s">
        <v>118</v>
      </c>
      <c r="AS1079">
        <v>-81</v>
      </c>
      <c r="AT1079">
        <v>-24</v>
      </c>
      <c r="AU1079">
        <v>-320</v>
      </c>
      <c r="BC1079">
        <v>1200</v>
      </c>
      <c r="BD1079">
        <v>1</v>
      </c>
      <c r="BE1079" t="str">
        <f t="shared" si="50"/>
        <v xml:space="preserve">N215T   </v>
      </c>
      <c r="BF1079">
        <v>1</v>
      </c>
      <c r="BH1079">
        <v>0</v>
      </c>
      <c r="BI1079">
        <v>0</v>
      </c>
      <c r="BJ1079">
        <v>0</v>
      </c>
      <c r="BK1079">
        <v>2325</v>
      </c>
      <c r="BL1079">
        <v>425</v>
      </c>
      <c r="BM1079" t="s">
        <v>119</v>
      </c>
      <c r="BN1079">
        <v>1</v>
      </c>
      <c r="BO1079">
        <v>1</v>
      </c>
      <c r="BP1079">
        <v>1</v>
      </c>
      <c r="BQ1079">
        <v>0</v>
      </c>
      <c r="BT1079">
        <v>0</v>
      </c>
      <c r="BU1079">
        <v>0</v>
      </c>
      <c r="BV1079">
        <v>0</v>
      </c>
      <c r="CC1079" t="str">
        <f>"18:52:39.508"</f>
        <v>18:52:39.508</v>
      </c>
      <c r="CD1079" t="str">
        <f>"507597482"</f>
        <v>507597482</v>
      </c>
      <c r="CQ1079">
        <v>0</v>
      </c>
      <c r="CR1079">
        <v>2</v>
      </c>
      <c r="CS1079">
        <v>0</v>
      </c>
      <c r="CT1079">
        <v>2</v>
      </c>
      <c r="CU1079">
        <v>0</v>
      </c>
      <c r="CV1079">
        <v>6</v>
      </c>
      <c r="CW1079" t="s">
        <v>120</v>
      </c>
      <c r="CX1079">
        <v>261</v>
      </c>
      <c r="CY1079">
        <v>2</v>
      </c>
      <c r="CZ1079" t="s">
        <v>121</v>
      </c>
      <c r="DA1079" t="s">
        <v>122</v>
      </c>
      <c r="DD1079">
        <v>14834771</v>
      </c>
      <c r="DE1079" t="s">
        <v>123</v>
      </c>
    </row>
    <row r="1080" spans="1:109" x14ac:dyDescent="0.3">
      <c r="A1080" t="str">
        <f>"18:52:40.852"</f>
        <v>18:52:40.852</v>
      </c>
      <c r="B1080" t="s">
        <v>110</v>
      </c>
      <c r="C1080" t="str">
        <f t="shared" si="48"/>
        <v>ffdfd3c0</v>
      </c>
      <c r="D1080" t="s">
        <v>111</v>
      </c>
      <c r="E1080">
        <v>18</v>
      </c>
      <c r="F1080">
        <v>1018</v>
      </c>
      <c r="G1080" t="s">
        <v>112</v>
      </c>
      <c r="J1080" t="s">
        <v>113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R1080" t="s">
        <v>114</v>
      </c>
      <c r="S1080" t="str">
        <f>"18:52:40.602"</f>
        <v>18:52:40.602</v>
      </c>
      <c r="T1080" t="str">
        <f>"18:52:40.102"</f>
        <v>18:52:40.102</v>
      </c>
      <c r="U1080" t="str">
        <f t="shared" si="49"/>
        <v>a1cdbe</v>
      </c>
      <c r="V1080">
        <v>0</v>
      </c>
      <c r="W1080">
        <v>0</v>
      </c>
      <c r="X1080">
        <v>1</v>
      </c>
      <c r="Y1080">
        <v>0</v>
      </c>
      <c r="Z1080">
        <v>0</v>
      </c>
      <c r="AB1080">
        <v>0</v>
      </c>
      <c r="AC1080">
        <v>9</v>
      </c>
      <c r="AD1080">
        <v>3</v>
      </c>
      <c r="AE1080">
        <v>0</v>
      </c>
      <c r="AF1080">
        <v>9</v>
      </c>
      <c r="AG1080" t="s">
        <v>158</v>
      </c>
      <c r="AH1080">
        <v>0</v>
      </c>
      <c r="AI1080">
        <v>3</v>
      </c>
      <c r="AJ1080">
        <v>1</v>
      </c>
      <c r="AK1080">
        <v>0</v>
      </c>
      <c r="AL1080" t="s">
        <v>1906</v>
      </c>
      <c r="AM1080">
        <v>46.845424000000001</v>
      </c>
      <c r="AN1080" t="s">
        <v>2119</v>
      </c>
      <c r="AO1080">
        <v>-122.558198</v>
      </c>
      <c r="AP1080">
        <v>100</v>
      </c>
      <c r="AQ1080">
        <v>1900</v>
      </c>
      <c r="AR1080" t="s">
        <v>118</v>
      </c>
      <c r="AS1080">
        <v>-81</v>
      </c>
      <c r="AT1080">
        <v>-25</v>
      </c>
      <c r="AU1080">
        <v>-256</v>
      </c>
      <c r="BC1080">
        <v>1200</v>
      </c>
      <c r="BD1080">
        <v>1</v>
      </c>
      <c r="BE1080" t="str">
        <f t="shared" si="50"/>
        <v xml:space="preserve">N215T   </v>
      </c>
      <c r="BF1080">
        <v>1</v>
      </c>
      <c r="BH1080">
        <v>0</v>
      </c>
      <c r="BI1080">
        <v>0</v>
      </c>
      <c r="BJ1080">
        <v>0</v>
      </c>
      <c r="BK1080">
        <v>2300</v>
      </c>
      <c r="BL1080">
        <v>400</v>
      </c>
      <c r="BM1080" t="s">
        <v>119</v>
      </c>
      <c r="BN1080">
        <v>1</v>
      </c>
      <c r="BO1080">
        <v>1</v>
      </c>
      <c r="BP1080">
        <v>1</v>
      </c>
      <c r="BQ1080">
        <v>0</v>
      </c>
      <c r="BT1080">
        <v>0</v>
      </c>
      <c r="BU1080">
        <v>0</v>
      </c>
      <c r="BV1080">
        <v>0</v>
      </c>
      <c r="CC1080" t="str">
        <f>"18:52:40.602"</f>
        <v>18:52:40.602</v>
      </c>
      <c r="CD1080" t="str">
        <f>"602489673"</f>
        <v>602489673</v>
      </c>
      <c r="CQ1080">
        <v>0</v>
      </c>
      <c r="CR1080">
        <v>2</v>
      </c>
      <c r="CS1080">
        <v>0</v>
      </c>
      <c r="CT1080">
        <v>2</v>
      </c>
      <c r="CU1080">
        <v>0</v>
      </c>
      <c r="CV1080">
        <v>6</v>
      </c>
      <c r="CW1080" t="s">
        <v>120</v>
      </c>
      <c r="CX1080">
        <v>261</v>
      </c>
      <c r="CY1080">
        <v>2</v>
      </c>
      <c r="CZ1080" t="s">
        <v>121</v>
      </c>
      <c r="DA1080" t="s">
        <v>122</v>
      </c>
      <c r="DD1080">
        <v>14835496</v>
      </c>
      <c r="DE1080" t="s">
        <v>123</v>
      </c>
    </row>
    <row r="1081" spans="1:109" x14ac:dyDescent="0.3">
      <c r="A1081" t="str">
        <f>"18:52:41.711"</f>
        <v>18:52:41.711</v>
      </c>
      <c r="B1081" t="s">
        <v>110</v>
      </c>
      <c r="C1081" t="str">
        <f t="shared" si="48"/>
        <v>ffdfd3c0</v>
      </c>
      <c r="D1081" t="s">
        <v>111</v>
      </c>
      <c r="E1081">
        <v>18</v>
      </c>
      <c r="F1081">
        <v>1018</v>
      </c>
      <c r="G1081" t="s">
        <v>112</v>
      </c>
      <c r="J1081" t="s">
        <v>113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R1081" t="s">
        <v>114</v>
      </c>
      <c r="S1081" t="str">
        <f>"18:52:41.500"</f>
        <v>18:52:41.500</v>
      </c>
      <c r="T1081" t="str">
        <f>"18:52:41.102"</f>
        <v>18:52:41.102</v>
      </c>
      <c r="U1081" t="str">
        <f t="shared" si="49"/>
        <v>a1cdbe</v>
      </c>
      <c r="V1081">
        <v>0</v>
      </c>
      <c r="W1081">
        <v>0</v>
      </c>
      <c r="X1081">
        <v>1</v>
      </c>
      <c r="Y1081">
        <v>0</v>
      </c>
      <c r="Z1081">
        <v>0</v>
      </c>
      <c r="AB1081">
        <v>0</v>
      </c>
      <c r="AC1081">
        <v>9</v>
      </c>
      <c r="AD1081">
        <v>3</v>
      </c>
      <c r="AE1081">
        <v>0</v>
      </c>
      <c r="AF1081">
        <v>9</v>
      </c>
      <c r="AG1081" t="s">
        <v>158</v>
      </c>
      <c r="AH1081">
        <v>0</v>
      </c>
      <c r="AI1081">
        <v>3</v>
      </c>
      <c r="AJ1081">
        <v>1</v>
      </c>
      <c r="AK1081">
        <v>0</v>
      </c>
      <c r="AL1081" t="s">
        <v>1912</v>
      </c>
      <c r="AM1081">
        <v>46.845274000000003</v>
      </c>
      <c r="AN1081" t="s">
        <v>2120</v>
      </c>
      <c r="AO1081">
        <v>-122.55867000000001</v>
      </c>
      <c r="AP1081">
        <v>100</v>
      </c>
      <c r="AQ1081">
        <v>1900</v>
      </c>
      <c r="AR1081" t="s">
        <v>118</v>
      </c>
      <c r="AS1081">
        <v>-81</v>
      </c>
      <c r="AT1081">
        <v>-26</v>
      </c>
      <c r="AU1081">
        <v>-192</v>
      </c>
      <c r="BC1081">
        <v>1200</v>
      </c>
      <c r="BD1081">
        <v>1</v>
      </c>
      <c r="BE1081" t="str">
        <f t="shared" si="50"/>
        <v xml:space="preserve">N215T   </v>
      </c>
      <c r="BF1081">
        <v>1</v>
      </c>
      <c r="BH1081">
        <v>0</v>
      </c>
      <c r="BI1081">
        <v>0</v>
      </c>
      <c r="BJ1081">
        <v>0</v>
      </c>
      <c r="BK1081">
        <v>2300</v>
      </c>
      <c r="BL1081">
        <v>400</v>
      </c>
      <c r="BM1081" t="s">
        <v>119</v>
      </c>
      <c r="BN1081">
        <v>1</v>
      </c>
      <c r="BO1081">
        <v>1</v>
      </c>
      <c r="BP1081">
        <v>1</v>
      </c>
      <c r="BQ1081">
        <v>0</v>
      </c>
      <c r="BT1081">
        <v>0</v>
      </c>
      <c r="BU1081">
        <v>0</v>
      </c>
      <c r="BV1081">
        <v>0</v>
      </c>
      <c r="CC1081" t="str">
        <f>"18:52:41.500"</f>
        <v>18:52:41.500</v>
      </c>
      <c r="CD1081" t="str">
        <f>"502401076"</f>
        <v>502401076</v>
      </c>
      <c r="CQ1081">
        <v>0</v>
      </c>
      <c r="CR1081">
        <v>2</v>
      </c>
      <c r="CS1081">
        <v>0</v>
      </c>
      <c r="CT1081">
        <v>2</v>
      </c>
      <c r="CU1081">
        <v>0</v>
      </c>
      <c r="CV1081">
        <v>6</v>
      </c>
      <c r="CW1081" t="s">
        <v>120</v>
      </c>
      <c r="CX1081">
        <v>261</v>
      </c>
      <c r="CY1081">
        <v>2</v>
      </c>
      <c r="CZ1081" t="s">
        <v>121</v>
      </c>
      <c r="DA1081" t="s">
        <v>122</v>
      </c>
      <c r="DD1081">
        <v>14836021</v>
      </c>
      <c r="DE1081" t="s">
        <v>123</v>
      </c>
    </row>
    <row r="1082" spans="1:109" x14ac:dyDescent="0.3">
      <c r="A1082" t="str">
        <f>"18:52:42.766"</f>
        <v>18:52:42.766</v>
      </c>
      <c r="B1082" t="s">
        <v>110</v>
      </c>
      <c r="C1082" t="str">
        <f t="shared" si="48"/>
        <v>ffdfd3c0</v>
      </c>
      <c r="D1082" t="s">
        <v>111</v>
      </c>
      <c r="E1082">
        <v>18</v>
      </c>
      <c r="F1082">
        <v>1018</v>
      </c>
      <c r="G1082" t="s">
        <v>112</v>
      </c>
      <c r="J1082" t="s">
        <v>113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R1082" t="s">
        <v>114</v>
      </c>
      <c r="S1082" t="str">
        <f>"18:52:42.531"</f>
        <v>18:52:42.531</v>
      </c>
      <c r="T1082" t="str">
        <f>"18:52:42.430"</f>
        <v>18:52:42.430</v>
      </c>
      <c r="U1082" t="str">
        <f t="shared" si="49"/>
        <v>a1cdbe</v>
      </c>
      <c r="V1082">
        <v>0</v>
      </c>
      <c r="W1082">
        <v>0</v>
      </c>
      <c r="X1082">
        <v>1</v>
      </c>
      <c r="Y1082">
        <v>0</v>
      </c>
      <c r="Z1082">
        <v>0</v>
      </c>
      <c r="AB1082">
        <v>0</v>
      </c>
      <c r="AC1082">
        <v>9</v>
      </c>
      <c r="AD1082">
        <v>3</v>
      </c>
      <c r="AE1082">
        <v>0</v>
      </c>
      <c r="AF1082">
        <v>9</v>
      </c>
      <c r="AG1082" t="s">
        <v>158</v>
      </c>
      <c r="AH1082">
        <v>0</v>
      </c>
      <c r="AI1082">
        <v>3</v>
      </c>
      <c r="AJ1082">
        <v>1</v>
      </c>
      <c r="AK1082">
        <v>0</v>
      </c>
      <c r="AL1082" t="s">
        <v>1920</v>
      </c>
      <c r="AM1082">
        <v>46.845145000000002</v>
      </c>
      <c r="AN1082" t="s">
        <v>2121</v>
      </c>
      <c r="AO1082">
        <v>-122.55924899999999</v>
      </c>
      <c r="AP1082">
        <v>100</v>
      </c>
      <c r="AQ1082">
        <v>1900</v>
      </c>
      <c r="AR1082" t="s">
        <v>118</v>
      </c>
      <c r="AS1082">
        <v>-82</v>
      </c>
      <c r="AT1082">
        <v>-26</v>
      </c>
      <c r="AU1082">
        <v>-256</v>
      </c>
      <c r="BC1082">
        <v>1200</v>
      </c>
      <c r="BD1082">
        <v>1</v>
      </c>
      <c r="BE1082" t="str">
        <f t="shared" si="50"/>
        <v xml:space="preserve">N215T   </v>
      </c>
      <c r="BF1082">
        <v>1</v>
      </c>
      <c r="BH1082">
        <v>0</v>
      </c>
      <c r="BI1082">
        <v>0</v>
      </c>
      <c r="BJ1082">
        <v>0</v>
      </c>
      <c r="BK1082">
        <v>2300</v>
      </c>
      <c r="BL1082">
        <v>400</v>
      </c>
      <c r="BM1082" t="s">
        <v>119</v>
      </c>
      <c r="BN1082">
        <v>1</v>
      </c>
      <c r="BO1082">
        <v>1</v>
      </c>
      <c r="BP1082">
        <v>1</v>
      </c>
      <c r="BQ1082">
        <v>0</v>
      </c>
      <c r="BT1082">
        <v>0</v>
      </c>
      <c r="BU1082">
        <v>0</v>
      </c>
      <c r="BV1082">
        <v>0</v>
      </c>
      <c r="CC1082" t="str">
        <f>"18:52:42.539"</f>
        <v>18:52:42.539</v>
      </c>
      <c r="CD1082" t="str">
        <f>"537299185"</f>
        <v>537299185</v>
      </c>
      <c r="CQ1082">
        <v>0</v>
      </c>
      <c r="CR1082">
        <v>2</v>
      </c>
      <c r="CS1082">
        <v>0</v>
      </c>
      <c r="CT1082">
        <v>2</v>
      </c>
      <c r="CU1082">
        <v>0</v>
      </c>
      <c r="CV1082">
        <v>6</v>
      </c>
      <c r="CW1082" t="s">
        <v>120</v>
      </c>
      <c r="CX1082">
        <v>261</v>
      </c>
      <c r="CY1082">
        <v>2</v>
      </c>
      <c r="CZ1082" t="s">
        <v>121</v>
      </c>
      <c r="DA1082" t="s">
        <v>122</v>
      </c>
      <c r="DD1082">
        <v>14836710</v>
      </c>
      <c r="DE1082" t="s">
        <v>123</v>
      </c>
    </row>
    <row r="1083" spans="1:109" x14ac:dyDescent="0.3">
      <c r="A1083" t="str">
        <f>"18:52:43.773"</f>
        <v>18:52:43.773</v>
      </c>
      <c r="B1083" t="s">
        <v>110</v>
      </c>
      <c r="C1083" t="str">
        <f t="shared" si="48"/>
        <v>ffdfd3c0</v>
      </c>
      <c r="D1083" t="s">
        <v>111</v>
      </c>
      <c r="E1083">
        <v>18</v>
      </c>
      <c r="F1083">
        <v>1018</v>
      </c>
      <c r="G1083" t="s">
        <v>112</v>
      </c>
      <c r="J1083" t="s">
        <v>113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R1083" t="s">
        <v>114</v>
      </c>
      <c r="S1083" t="str">
        <f>"18:52:43.555"</f>
        <v>18:52:43.555</v>
      </c>
      <c r="T1083" t="str">
        <f>"18:52:43.555"</f>
        <v>18:52:43.555</v>
      </c>
      <c r="U1083" t="str">
        <f t="shared" si="49"/>
        <v>a1cdbe</v>
      </c>
      <c r="V1083">
        <v>0</v>
      </c>
      <c r="W1083">
        <v>0</v>
      </c>
      <c r="X1083">
        <v>1</v>
      </c>
      <c r="Y1083">
        <v>0</v>
      </c>
      <c r="Z1083">
        <v>0</v>
      </c>
      <c r="AB1083">
        <v>0</v>
      </c>
      <c r="AC1083">
        <v>9</v>
      </c>
      <c r="AD1083">
        <v>3</v>
      </c>
      <c r="AE1083">
        <v>0</v>
      </c>
      <c r="AF1083">
        <v>9</v>
      </c>
      <c r="AG1083" t="s">
        <v>158</v>
      </c>
      <c r="AH1083">
        <v>0</v>
      </c>
      <c r="AI1083">
        <v>3</v>
      </c>
      <c r="AJ1083">
        <v>1</v>
      </c>
      <c r="AK1083">
        <v>0</v>
      </c>
      <c r="AL1083" t="s">
        <v>1925</v>
      </c>
      <c r="AM1083">
        <v>46.845058999999999</v>
      </c>
      <c r="AN1083" t="s">
        <v>2122</v>
      </c>
      <c r="AO1083">
        <v>-122.559786</v>
      </c>
      <c r="AP1083">
        <v>100</v>
      </c>
      <c r="AQ1083">
        <v>1900</v>
      </c>
      <c r="AR1083" t="s">
        <v>118</v>
      </c>
      <c r="AS1083">
        <v>-82</v>
      </c>
      <c r="AT1083">
        <v>-26</v>
      </c>
      <c r="AU1083">
        <v>-128</v>
      </c>
      <c r="BC1083">
        <v>1200</v>
      </c>
      <c r="BD1083">
        <v>1</v>
      </c>
      <c r="BE1083" t="str">
        <f t="shared" si="50"/>
        <v xml:space="preserve">N215T   </v>
      </c>
      <c r="BF1083">
        <v>1</v>
      </c>
      <c r="BH1083">
        <v>0</v>
      </c>
      <c r="BI1083">
        <v>0</v>
      </c>
      <c r="BJ1083">
        <v>0</v>
      </c>
      <c r="BK1083">
        <v>2300</v>
      </c>
      <c r="BL1083">
        <v>400</v>
      </c>
      <c r="BM1083" t="s">
        <v>119</v>
      </c>
      <c r="BN1083">
        <v>1</v>
      </c>
      <c r="BO1083">
        <v>1</v>
      </c>
      <c r="BP1083">
        <v>1</v>
      </c>
      <c r="BQ1083">
        <v>0</v>
      </c>
      <c r="BT1083">
        <v>0</v>
      </c>
      <c r="BU1083">
        <v>0</v>
      </c>
      <c r="BV1083">
        <v>0</v>
      </c>
      <c r="CC1083" t="str">
        <f>"18:52:43.555"</f>
        <v>18:52:43.555</v>
      </c>
      <c r="CD1083" t="str">
        <f>"557198757"</f>
        <v>557198757</v>
      </c>
      <c r="CQ1083">
        <v>0</v>
      </c>
      <c r="CR1083">
        <v>2</v>
      </c>
      <c r="CS1083">
        <v>0</v>
      </c>
      <c r="CT1083">
        <v>2</v>
      </c>
      <c r="CU1083">
        <v>0</v>
      </c>
      <c r="CV1083">
        <v>6</v>
      </c>
      <c r="CW1083" t="s">
        <v>120</v>
      </c>
      <c r="CX1083">
        <v>261</v>
      </c>
      <c r="CY1083">
        <v>2</v>
      </c>
      <c r="CZ1083" t="s">
        <v>121</v>
      </c>
      <c r="DA1083" t="s">
        <v>122</v>
      </c>
      <c r="DD1083">
        <v>14837399</v>
      </c>
      <c r="DE1083" t="s">
        <v>123</v>
      </c>
    </row>
    <row r="1084" spans="1:109" x14ac:dyDescent="0.3">
      <c r="A1084" t="str">
        <f>"18:52:44.773"</f>
        <v>18:52:44.773</v>
      </c>
      <c r="B1084" t="s">
        <v>110</v>
      </c>
      <c r="C1084" t="str">
        <f t="shared" si="48"/>
        <v>ffdfd3c0</v>
      </c>
      <c r="D1084" t="s">
        <v>111</v>
      </c>
      <c r="E1084">
        <v>18</v>
      </c>
      <c r="F1084">
        <v>1018</v>
      </c>
      <c r="G1084" t="s">
        <v>112</v>
      </c>
      <c r="J1084" t="s">
        <v>113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R1084" t="s">
        <v>114</v>
      </c>
      <c r="S1084" t="str">
        <f>"18:52:44.516"</f>
        <v>18:52:44.516</v>
      </c>
      <c r="T1084" t="str">
        <f>"18:52:44.117"</f>
        <v>18:52:44.117</v>
      </c>
      <c r="U1084" t="str">
        <f t="shared" si="49"/>
        <v>a1cdbe</v>
      </c>
      <c r="V1084">
        <v>0</v>
      </c>
      <c r="W1084">
        <v>0</v>
      </c>
      <c r="X1084">
        <v>1</v>
      </c>
      <c r="Y1084">
        <v>0</v>
      </c>
      <c r="Z1084">
        <v>0</v>
      </c>
      <c r="AB1084">
        <v>0</v>
      </c>
      <c r="AC1084">
        <v>9</v>
      </c>
      <c r="AD1084">
        <v>3</v>
      </c>
      <c r="AE1084">
        <v>0</v>
      </c>
      <c r="AF1084">
        <v>9</v>
      </c>
      <c r="AG1084" t="s">
        <v>158</v>
      </c>
      <c r="AH1084">
        <v>0</v>
      </c>
      <c r="AI1084">
        <v>3</v>
      </c>
      <c r="AJ1084">
        <v>1</v>
      </c>
      <c r="AK1084">
        <v>0</v>
      </c>
      <c r="AL1084" t="s">
        <v>2123</v>
      </c>
      <c r="AM1084">
        <v>46.844931000000003</v>
      </c>
      <c r="AN1084" t="s">
        <v>2124</v>
      </c>
      <c r="AO1084">
        <v>-122.560322</v>
      </c>
      <c r="AP1084">
        <v>100</v>
      </c>
      <c r="AQ1084">
        <v>1900</v>
      </c>
      <c r="AR1084" t="s">
        <v>118</v>
      </c>
      <c r="AS1084">
        <v>-82</v>
      </c>
      <c r="AT1084">
        <v>-25</v>
      </c>
      <c r="AU1084">
        <v>-128</v>
      </c>
      <c r="BC1084">
        <v>1200</v>
      </c>
      <c r="BD1084">
        <v>1</v>
      </c>
      <c r="BE1084" t="str">
        <f t="shared" si="50"/>
        <v xml:space="preserve">N215T   </v>
      </c>
      <c r="BF1084">
        <v>1</v>
      </c>
      <c r="BH1084">
        <v>0</v>
      </c>
      <c r="BI1084">
        <v>0</v>
      </c>
      <c r="BJ1084">
        <v>0</v>
      </c>
      <c r="BK1084">
        <v>2300</v>
      </c>
      <c r="BL1084">
        <v>400</v>
      </c>
      <c r="BM1084" t="s">
        <v>119</v>
      </c>
      <c r="BN1084">
        <v>1</v>
      </c>
      <c r="BO1084">
        <v>1</v>
      </c>
      <c r="BP1084">
        <v>1</v>
      </c>
      <c r="BQ1084">
        <v>0</v>
      </c>
      <c r="BT1084">
        <v>0</v>
      </c>
      <c r="BU1084">
        <v>0</v>
      </c>
      <c r="BV1084">
        <v>0</v>
      </c>
      <c r="CC1084" t="str">
        <f>"18:52:44.516"</f>
        <v>18:52:44.516</v>
      </c>
      <c r="CD1084" t="str">
        <f>"517104260"</f>
        <v>517104260</v>
      </c>
      <c r="CQ1084">
        <v>0</v>
      </c>
      <c r="CR1084">
        <v>2</v>
      </c>
      <c r="CS1084">
        <v>0</v>
      </c>
      <c r="CT1084">
        <v>2</v>
      </c>
      <c r="CU1084">
        <v>0</v>
      </c>
      <c r="CV1084">
        <v>5</v>
      </c>
      <c r="CW1084" t="s">
        <v>120</v>
      </c>
      <c r="CX1084">
        <v>261</v>
      </c>
      <c r="CY1084">
        <v>1</v>
      </c>
      <c r="CZ1084" t="s">
        <v>121</v>
      </c>
      <c r="DA1084" t="s">
        <v>122</v>
      </c>
      <c r="DD1084">
        <v>3768266</v>
      </c>
      <c r="DE1084" t="s">
        <v>123</v>
      </c>
    </row>
    <row r="1085" spans="1:109" x14ac:dyDescent="0.3">
      <c r="A1085" t="str">
        <f>"18:52:45.930"</f>
        <v>18:52:45.930</v>
      </c>
      <c r="B1085" t="s">
        <v>110</v>
      </c>
      <c r="C1085" t="str">
        <f t="shared" si="48"/>
        <v>ffdfd3c0</v>
      </c>
      <c r="D1085" t="s">
        <v>111</v>
      </c>
      <c r="E1085">
        <v>18</v>
      </c>
      <c r="F1085">
        <v>1018</v>
      </c>
      <c r="G1085" t="s">
        <v>112</v>
      </c>
      <c r="J1085" t="s">
        <v>113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R1085" t="s">
        <v>114</v>
      </c>
      <c r="S1085" t="str">
        <f>"18:52:45.680"</f>
        <v>18:52:45.680</v>
      </c>
      <c r="T1085" t="str">
        <f>"18:52:44.578"</f>
        <v>18:52:44.578</v>
      </c>
      <c r="U1085" t="str">
        <f t="shared" si="49"/>
        <v>a1cdbe</v>
      </c>
      <c r="V1085">
        <v>0</v>
      </c>
      <c r="W1085">
        <v>0</v>
      </c>
      <c r="X1085">
        <v>1</v>
      </c>
      <c r="Y1085">
        <v>0</v>
      </c>
      <c r="Z1085">
        <v>0</v>
      </c>
      <c r="AB1085">
        <v>0</v>
      </c>
      <c r="AC1085">
        <v>9</v>
      </c>
      <c r="AD1085">
        <v>3</v>
      </c>
      <c r="AE1085">
        <v>0</v>
      </c>
      <c r="AF1085">
        <v>9</v>
      </c>
      <c r="AG1085" t="s">
        <v>158</v>
      </c>
      <c r="AH1085">
        <v>0</v>
      </c>
      <c r="AI1085">
        <v>3</v>
      </c>
      <c r="AJ1085">
        <v>1</v>
      </c>
      <c r="AK1085">
        <v>0</v>
      </c>
      <c r="AL1085" t="s">
        <v>2125</v>
      </c>
      <c r="AM1085">
        <v>46.84478</v>
      </c>
      <c r="AN1085" t="s">
        <v>2126</v>
      </c>
      <c r="AO1085">
        <v>-122.560987</v>
      </c>
      <c r="AP1085">
        <v>100</v>
      </c>
      <c r="AQ1085">
        <v>1900</v>
      </c>
      <c r="AR1085" t="s">
        <v>118</v>
      </c>
      <c r="AS1085">
        <v>-82</v>
      </c>
      <c r="AT1085">
        <v>-25</v>
      </c>
      <c r="AU1085">
        <v>-64</v>
      </c>
      <c r="BC1085">
        <v>1200</v>
      </c>
      <c r="BD1085">
        <v>1</v>
      </c>
      <c r="BE1085" t="str">
        <f t="shared" si="50"/>
        <v xml:space="preserve">N215T   </v>
      </c>
      <c r="BF1085">
        <v>1</v>
      </c>
      <c r="BH1085">
        <v>0</v>
      </c>
      <c r="BI1085">
        <v>0</v>
      </c>
      <c r="BJ1085">
        <v>0</v>
      </c>
      <c r="BK1085">
        <v>2300</v>
      </c>
      <c r="BL1085">
        <v>400</v>
      </c>
      <c r="BM1085" t="s">
        <v>119</v>
      </c>
      <c r="BN1085">
        <v>1</v>
      </c>
      <c r="BO1085">
        <v>1</v>
      </c>
      <c r="BP1085">
        <v>1</v>
      </c>
      <c r="BQ1085">
        <v>0</v>
      </c>
      <c r="BT1085">
        <v>0</v>
      </c>
      <c r="BU1085">
        <v>0</v>
      </c>
      <c r="BV1085">
        <v>0</v>
      </c>
      <c r="CC1085" t="str">
        <f>"18:52:45.688"</f>
        <v>18:52:45.688</v>
      </c>
      <c r="CD1085" t="str">
        <f>"687096875"</f>
        <v>687096875</v>
      </c>
      <c r="CQ1085">
        <v>0</v>
      </c>
      <c r="CR1085">
        <v>2</v>
      </c>
      <c r="CS1085">
        <v>0</v>
      </c>
      <c r="CT1085">
        <v>2</v>
      </c>
      <c r="CU1085">
        <v>0</v>
      </c>
      <c r="CV1085">
        <v>2</v>
      </c>
      <c r="CW1085" t="s">
        <v>120</v>
      </c>
      <c r="CX1085">
        <v>257</v>
      </c>
      <c r="CY1085">
        <v>1</v>
      </c>
      <c r="CZ1085" t="s">
        <v>615</v>
      </c>
      <c r="DA1085" t="s">
        <v>616</v>
      </c>
      <c r="DD1085">
        <v>11176275</v>
      </c>
      <c r="DE1085" t="s">
        <v>123</v>
      </c>
    </row>
    <row r="1086" spans="1:109" x14ac:dyDescent="0.3">
      <c r="A1086" t="str">
        <f>"18:52:46.891"</f>
        <v>18:52:46.891</v>
      </c>
      <c r="B1086" t="s">
        <v>110</v>
      </c>
      <c r="C1086" t="str">
        <f t="shared" si="48"/>
        <v>ffdfd3c0</v>
      </c>
      <c r="D1086" t="s">
        <v>111</v>
      </c>
      <c r="E1086">
        <v>18</v>
      </c>
      <c r="F1086">
        <v>1018</v>
      </c>
      <c r="G1086" t="s">
        <v>112</v>
      </c>
      <c r="J1086" t="s">
        <v>113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R1086" t="s">
        <v>114</v>
      </c>
      <c r="S1086" t="str">
        <f>"18:52:46.656"</f>
        <v>18:52:46.656</v>
      </c>
      <c r="T1086" t="str">
        <f>"18:52:46.156"</f>
        <v>18:52:46.156</v>
      </c>
      <c r="U1086" t="str">
        <f t="shared" si="49"/>
        <v>a1cdbe</v>
      </c>
      <c r="V1086">
        <v>0</v>
      </c>
      <c r="W1086">
        <v>0</v>
      </c>
      <c r="X1086">
        <v>1</v>
      </c>
      <c r="Y1086">
        <v>0</v>
      </c>
      <c r="Z1086">
        <v>0</v>
      </c>
      <c r="AB1086">
        <v>0</v>
      </c>
      <c r="AC1086">
        <v>9</v>
      </c>
      <c r="AD1086">
        <v>3</v>
      </c>
      <c r="AE1086">
        <v>0</v>
      </c>
      <c r="AF1086">
        <v>9</v>
      </c>
      <c r="AG1086" t="s">
        <v>158</v>
      </c>
      <c r="AH1086">
        <v>0</v>
      </c>
      <c r="AI1086">
        <v>3</v>
      </c>
      <c r="AJ1086">
        <v>1</v>
      </c>
      <c r="AK1086">
        <v>0</v>
      </c>
      <c r="AL1086" t="s">
        <v>2127</v>
      </c>
      <c r="AM1086">
        <v>46.844673</v>
      </c>
      <c r="AN1086" t="s">
        <v>2128</v>
      </c>
      <c r="AO1086">
        <v>-122.561545</v>
      </c>
      <c r="AP1086">
        <v>100</v>
      </c>
      <c r="AQ1086">
        <v>1900</v>
      </c>
      <c r="AR1086" t="s">
        <v>118</v>
      </c>
      <c r="AS1086">
        <v>-81</v>
      </c>
      <c r="AT1086">
        <v>-25</v>
      </c>
      <c r="AU1086">
        <v>64</v>
      </c>
      <c r="BC1086">
        <v>1200</v>
      </c>
      <c r="BD1086">
        <v>1</v>
      </c>
      <c r="BE1086" t="str">
        <f t="shared" si="50"/>
        <v xml:space="preserve">N215T   </v>
      </c>
      <c r="BF1086">
        <v>1</v>
      </c>
      <c r="BH1086">
        <v>0</v>
      </c>
      <c r="BI1086">
        <v>0</v>
      </c>
      <c r="BJ1086">
        <v>0</v>
      </c>
      <c r="BK1086">
        <v>2300</v>
      </c>
      <c r="BL1086">
        <v>400</v>
      </c>
      <c r="BM1086" t="s">
        <v>119</v>
      </c>
      <c r="BN1086">
        <v>1</v>
      </c>
      <c r="BO1086">
        <v>1</v>
      </c>
      <c r="BP1086">
        <v>1</v>
      </c>
      <c r="BQ1086">
        <v>0</v>
      </c>
      <c r="BT1086">
        <v>0</v>
      </c>
      <c r="BU1086">
        <v>0</v>
      </c>
      <c r="BV1086">
        <v>0</v>
      </c>
      <c r="CC1086" t="str">
        <f>"18:52:46.664"</f>
        <v>18:52:46.664</v>
      </c>
      <c r="CD1086" t="str">
        <f>"661893051"</f>
        <v>661893051</v>
      </c>
      <c r="CQ1086">
        <v>0</v>
      </c>
      <c r="CR1086">
        <v>2</v>
      </c>
      <c r="CS1086">
        <v>0</v>
      </c>
      <c r="CT1086">
        <v>2</v>
      </c>
      <c r="CU1086">
        <v>0</v>
      </c>
      <c r="CV1086">
        <v>5</v>
      </c>
      <c r="CW1086" t="s">
        <v>120</v>
      </c>
      <c r="CX1086">
        <v>261</v>
      </c>
      <c r="CY1086">
        <v>2</v>
      </c>
      <c r="CZ1086" t="s">
        <v>121</v>
      </c>
      <c r="DA1086" t="s">
        <v>122</v>
      </c>
      <c r="DD1086">
        <v>14839303</v>
      </c>
      <c r="DE1086" t="s">
        <v>123</v>
      </c>
    </row>
    <row r="1087" spans="1:109" x14ac:dyDescent="0.3">
      <c r="A1087" t="str">
        <f>"18:52:47.891"</f>
        <v>18:52:47.891</v>
      </c>
      <c r="B1087" t="s">
        <v>110</v>
      </c>
      <c r="C1087" t="str">
        <f t="shared" si="48"/>
        <v>ffdfd3c0</v>
      </c>
      <c r="D1087" t="s">
        <v>111</v>
      </c>
      <c r="E1087">
        <v>18</v>
      </c>
      <c r="F1087">
        <v>1018</v>
      </c>
      <c r="G1087" t="s">
        <v>112</v>
      </c>
      <c r="J1087" t="s">
        <v>113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R1087" t="s">
        <v>114</v>
      </c>
      <c r="S1087" t="str">
        <f>"18:52:47.633"</f>
        <v>18:52:47.633</v>
      </c>
      <c r="T1087" t="str">
        <f>"18:52:47.133"</f>
        <v>18:52:47.133</v>
      </c>
      <c r="U1087" t="str">
        <f t="shared" si="49"/>
        <v>a1cdbe</v>
      </c>
      <c r="V1087">
        <v>0</v>
      </c>
      <c r="W1087">
        <v>0</v>
      </c>
      <c r="X1087">
        <v>1</v>
      </c>
      <c r="Y1087">
        <v>0</v>
      </c>
      <c r="Z1087">
        <v>0</v>
      </c>
      <c r="AB1087">
        <v>0</v>
      </c>
      <c r="AC1087">
        <v>9</v>
      </c>
      <c r="AD1087">
        <v>3</v>
      </c>
      <c r="AE1087">
        <v>0</v>
      </c>
      <c r="AF1087">
        <v>9</v>
      </c>
      <c r="AG1087" t="s">
        <v>158</v>
      </c>
      <c r="AH1087">
        <v>0</v>
      </c>
      <c r="AI1087">
        <v>3</v>
      </c>
      <c r="AJ1087">
        <v>1</v>
      </c>
      <c r="AK1087">
        <v>0</v>
      </c>
      <c r="AL1087" t="s">
        <v>2129</v>
      </c>
      <c r="AM1087">
        <v>46.844566</v>
      </c>
      <c r="AN1087" t="s">
        <v>2130</v>
      </c>
      <c r="AO1087">
        <v>-122.56206</v>
      </c>
      <c r="AP1087">
        <v>100</v>
      </c>
      <c r="AQ1087">
        <v>1900</v>
      </c>
      <c r="AR1087" t="s">
        <v>118</v>
      </c>
      <c r="AS1087">
        <v>-81</v>
      </c>
      <c r="AT1087">
        <v>-25</v>
      </c>
      <c r="AU1087">
        <v>128</v>
      </c>
      <c r="BC1087">
        <v>1200</v>
      </c>
      <c r="BD1087">
        <v>1</v>
      </c>
      <c r="BE1087" t="str">
        <f t="shared" si="50"/>
        <v xml:space="preserve">N215T   </v>
      </c>
      <c r="BF1087">
        <v>1</v>
      </c>
      <c r="BH1087">
        <v>0</v>
      </c>
      <c r="BI1087">
        <v>0</v>
      </c>
      <c r="BJ1087">
        <v>0</v>
      </c>
      <c r="BK1087">
        <v>2300</v>
      </c>
      <c r="BL1087">
        <v>400</v>
      </c>
      <c r="BM1087" t="s">
        <v>119</v>
      </c>
      <c r="BN1087">
        <v>1</v>
      </c>
      <c r="BO1087">
        <v>1</v>
      </c>
      <c r="BP1087">
        <v>1</v>
      </c>
      <c r="BQ1087">
        <v>0</v>
      </c>
      <c r="BT1087">
        <v>0</v>
      </c>
      <c r="BU1087">
        <v>0</v>
      </c>
      <c r="BV1087">
        <v>0</v>
      </c>
      <c r="CC1087" t="str">
        <f>"18:52:47.641"</f>
        <v>18:52:47.641</v>
      </c>
      <c r="CD1087" t="str">
        <f>"636904559"</f>
        <v>636904559</v>
      </c>
      <c r="CQ1087">
        <v>0</v>
      </c>
      <c r="CR1087">
        <v>2</v>
      </c>
      <c r="CS1087">
        <v>0</v>
      </c>
      <c r="CT1087">
        <v>2</v>
      </c>
      <c r="CU1087">
        <v>0</v>
      </c>
      <c r="CV1087">
        <v>2</v>
      </c>
      <c r="CW1087" t="s">
        <v>120</v>
      </c>
      <c r="CX1087">
        <v>257</v>
      </c>
      <c r="CY1087">
        <v>1</v>
      </c>
      <c r="CZ1087" t="s">
        <v>615</v>
      </c>
      <c r="DA1087" t="s">
        <v>616</v>
      </c>
      <c r="DD1087">
        <v>11177683</v>
      </c>
      <c r="DE1087" t="s">
        <v>123</v>
      </c>
    </row>
    <row r="1088" spans="1:109" x14ac:dyDescent="0.3">
      <c r="A1088" t="str">
        <f>"18:52:48.898"</f>
        <v>18:52:48.898</v>
      </c>
      <c r="B1088" t="s">
        <v>110</v>
      </c>
      <c r="C1088" t="str">
        <f t="shared" si="48"/>
        <v>ffdfd3c0</v>
      </c>
      <c r="D1088" t="s">
        <v>111</v>
      </c>
      <c r="E1088">
        <v>18</v>
      </c>
      <c r="F1088">
        <v>1018</v>
      </c>
      <c r="G1088" t="s">
        <v>112</v>
      </c>
      <c r="J1088" t="s">
        <v>113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R1088" t="s">
        <v>114</v>
      </c>
      <c r="S1088" t="str">
        <f>"18:52:48.656"</f>
        <v>18:52:48.656</v>
      </c>
      <c r="T1088" t="str">
        <f>"18:52:48.656"</f>
        <v>18:52:48.656</v>
      </c>
      <c r="U1088" t="str">
        <f t="shared" si="49"/>
        <v>a1cdbe</v>
      </c>
      <c r="V1088">
        <v>0</v>
      </c>
      <c r="W1088">
        <v>0</v>
      </c>
      <c r="X1088">
        <v>1</v>
      </c>
      <c r="Y1088">
        <v>0</v>
      </c>
      <c r="Z1088">
        <v>0</v>
      </c>
      <c r="AB1088">
        <v>0</v>
      </c>
      <c r="AC1088">
        <v>9</v>
      </c>
      <c r="AD1088">
        <v>3</v>
      </c>
      <c r="AE1088">
        <v>0</v>
      </c>
      <c r="AF1088">
        <v>9</v>
      </c>
      <c r="AG1088" t="s">
        <v>158</v>
      </c>
      <c r="AH1088">
        <v>0</v>
      </c>
      <c r="AI1088">
        <v>3</v>
      </c>
      <c r="AJ1088">
        <v>1</v>
      </c>
      <c r="AK1088">
        <v>0</v>
      </c>
      <c r="AL1088" t="s">
        <v>2131</v>
      </c>
      <c r="AM1088">
        <v>46.844436999999999</v>
      </c>
      <c r="AN1088" t="s">
        <v>2132</v>
      </c>
      <c r="AO1088">
        <v>-122.56266100000001</v>
      </c>
      <c r="AP1088">
        <v>100</v>
      </c>
      <c r="AQ1088">
        <v>1900</v>
      </c>
      <c r="AR1088" t="s">
        <v>118</v>
      </c>
      <c r="AS1088">
        <v>-80</v>
      </c>
      <c r="AT1088">
        <v>-24</v>
      </c>
      <c r="AU1088">
        <v>192</v>
      </c>
      <c r="BC1088">
        <v>1200</v>
      </c>
      <c r="BD1088">
        <v>1</v>
      </c>
      <c r="BE1088" t="str">
        <f t="shared" si="50"/>
        <v xml:space="preserve">N215T   </v>
      </c>
      <c r="BF1088">
        <v>1</v>
      </c>
      <c r="BH1088">
        <v>0</v>
      </c>
      <c r="BI1088">
        <v>0</v>
      </c>
      <c r="BJ1088">
        <v>0</v>
      </c>
      <c r="BK1088">
        <v>2300</v>
      </c>
      <c r="BL1088">
        <v>400</v>
      </c>
      <c r="BM1088" t="s">
        <v>119</v>
      </c>
      <c r="BN1088">
        <v>1</v>
      </c>
      <c r="BO1088">
        <v>1</v>
      </c>
      <c r="BP1088">
        <v>1</v>
      </c>
      <c r="BQ1088">
        <v>0</v>
      </c>
      <c r="BT1088">
        <v>0</v>
      </c>
      <c r="BU1088">
        <v>0</v>
      </c>
      <c r="BV1088">
        <v>0</v>
      </c>
      <c r="CC1088" t="str">
        <f>"18:52:48.656"</f>
        <v>18:52:48.656</v>
      </c>
      <c r="CD1088" t="str">
        <f>"656696659"</f>
        <v>656696659</v>
      </c>
      <c r="CQ1088">
        <v>0</v>
      </c>
      <c r="CR1088">
        <v>2</v>
      </c>
      <c r="CS1088">
        <v>0</v>
      </c>
      <c r="CT1088">
        <v>2</v>
      </c>
      <c r="CU1088">
        <v>0</v>
      </c>
      <c r="CV1088">
        <v>6</v>
      </c>
      <c r="CW1088" t="s">
        <v>120</v>
      </c>
      <c r="CX1088">
        <v>261</v>
      </c>
      <c r="CY1088">
        <v>2</v>
      </c>
      <c r="CZ1088" t="s">
        <v>121</v>
      </c>
      <c r="DA1088" t="s">
        <v>122</v>
      </c>
      <c r="DD1088">
        <v>14840638</v>
      </c>
      <c r="DE1088" t="s">
        <v>123</v>
      </c>
    </row>
    <row r="1089" spans="1:109" x14ac:dyDescent="0.3">
      <c r="A1089" t="str">
        <f>"18:52:50.008"</f>
        <v>18:52:50.008</v>
      </c>
      <c r="B1089" t="s">
        <v>110</v>
      </c>
      <c r="C1089" t="str">
        <f t="shared" si="48"/>
        <v>ffdfd3c0</v>
      </c>
      <c r="D1089" t="s">
        <v>111</v>
      </c>
      <c r="E1089">
        <v>18</v>
      </c>
      <c r="F1089">
        <v>1018</v>
      </c>
      <c r="G1089" t="s">
        <v>112</v>
      </c>
      <c r="J1089" t="s">
        <v>113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R1089" t="s">
        <v>114</v>
      </c>
      <c r="S1089" t="str">
        <f>"18:52:49.734"</f>
        <v>18:52:49.734</v>
      </c>
      <c r="T1089" t="str">
        <f>"18:52:49.531"</f>
        <v>18:52:49.531</v>
      </c>
      <c r="U1089" t="str">
        <f t="shared" si="49"/>
        <v>a1cdbe</v>
      </c>
      <c r="V1089">
        <v>0</v>
      </c>
      <c r="W1089">
        <v>0</v>
      </c>
      <c r="X1089">
        <v>1</v>
      </c>
      <c r="Y1089">
        <v>0</v>
      </c>
      <c r="Z1089">
        <v>0</v>
      </c>
      <c r="AB1089">
        <v>0</v>
      </c>
      <c r="AC1089">
        <v>9</v>
      </c>
      <c r="AD1089">
        <v>3</v>
      </c>
      <c r="AE1089">
        <v>0</v>
      </c>
      <c r="AF1089">
        <v>9</v>
      </c>
      <c r="AG1089" t="s">
        <v>158</v>
      </c>
      <c r="AH1089">
        <v>0</v>
      </c>
      <c r="AI1089">
        <v>3</v>
      </c>
      <c r="AJ1089">
        <v>1</v>
      </c>
      <c r="AK1089">
        <v>0</v>
      </c>
      <c r="AL1089" t="s">
        <v>2133</v>
      </c>
      <c r="AM1089">
        <v>46.844329999999999</v>
      </c>
      <c r="AN1089" t="s">
        <v>2134</v>
      </c>
      <c r="AO1089">
        <v>-122.563219</v>
      </c>
      <c r="AP1089">
        <v>100</v>
      </c>
      <c r="AQ1089">
        <v>1900</v>
      </c>
      <c r="AR1089" t="s">
        <v>118</v>
      </c>
      <c r="AS1089">
        <v>-80</v>
      </c>
      <c r="AT1089">
        <v>-24</v>
      </c>
      <c r="AU1089">
        <v>384</v>
      </c>
      <c r="BC1089">
        <v>1200</v>
      </c>
      <c r="BD1089">
        <v>1</v>
      </c>
      <c r="BE1089" t="str">
        <f t="shared" si="50"/>
        <v xml:space="preserve">N215T   </v>
      </c>
      <c r="BF1089">
        <v>1</v>
      </c>
      <c r="BH1089">
        <v>0</v>
      </c>
      <c r="BI1089">
        <v>0</v>
      </c>
      <c r="BJ1089">
        <v>0</v>
      </c>
      <c r="BK1089">
        <v>2300</v>
      </c>
      <c r="BL1089">
        <v>400</v>
      </c>
      <c r="BM1089" t="s">
        <v>119</v>
      </c>
      <c r="BN1089">
        <v>1</v>
      </c>
      <c r="BO1089">
        <v>1</v>
      </c>
      <c r="BP1089">
        <v>1</v>
      </c>
      <c r="BQ1089">
        <v>0</v>
      </c>
      <c r="BT1089">
        <v>0</v>
      </c>
      <c r="BU1089">
        <v>0</v>
      </c>
      <c r="BV1089">
        <v>0</v>
      </c>
      <c r="CC1089" t="str">
        <f>"18:52:49.734"</f>
        <v>18:52:49.734</v>
      </c>
      <c r="CD1089" t="str">
        <f>"736697527"</f>
        <v>736697527</v>
      </c>
      <c r="CQ1089">
        <v>0</v>
      </c>
      <c r="CR1089">
        <v>2</v>
      </c>
      <c r="CS1089">
        <v>0</v>
      </c>
      <c r="CT1089">
        <v>2</v>
      </c>
      <c r="CU1089">
        <v>0</v>
      </c>
      <c r="CV1089">
        <v>1</v>
      </c>
      <c r="CW1089" t="s">
        <v>120</v>
      </c>
      <c r="CX1089">
        <v>257</v>
      </c>
      <c r="CY1089">
        <v>1</v>
      </c>
      <c r="CZ1089" t="s">
        <v>615</v>
      </c>
      <c r="DA1089" t="s">
        <v>616</v>
      </c>
      <c r="DD1089">
        <v>11179225</v>
      </c>
      <c r="DE1089" t="s">
        <v>123</v>
      </c>
    </row>
    <row r="1090" spans="1:109" x14ac:dyDescent="0.3">
      <c r="A1090" t="str">
        <f>"18:52:51.008"</f>
        <v>18:52:51.008</v>
      </c>
      <c r="B1090" t="s">
        <v>110</v>
      </c>
      <c r="C1090" t="str">
        <f t="shared" ref="C1090:C1153" si="51">"ffdfd3c0"</f>
        <v>ffdfd3c0</v>
      </c>
      <c r="D1090" t="s">
        <v>111</v>
      </c>
      <c r="E1090">
        <v>18</v>
      </c>
      <c r="F1090">
        <v>1018</v>
      </c>
      <c r="G1090" t="s">
        <v>112</v>
      </c>
      <c r="J1090" t="s">
        <v>113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R1090" t="s">
        <v>114</v>
      </c>
      <c r="S1090" t="str">
        <f>"18:52:50.766"</f>
        <v>18:52:50.766</v>
      </c>
      <c r="T1090" t="str">
        <f>"18:52:50.563"</f>
        <v>18:52:50.563</v>
      </c>
      <c r="U1090" t="str">
        <f t="shared" ref="U1090:U1153" si="52">"a1cdbe"</f>
        <v>a1cdbe</v>
      </c>
      <c r="V1090">
        <v>0</v>
      </c>
      <c r="W1090">
        <v>0</v>
      </c>
      <c r="X1090">
        <v>1</v>
      </c>
      <c r="Y1090">
        <v>0</v>
      </c>
      <c r="Z1090">
        <v>0</v>
      </c>
      <c r="AB1090">
        <v>0</v>
      </c>
      <c r="AC1090">
        <v>9</v>
      </c>
      <c r="AD1090">
        <v>3</v>
      </c>
      <c r="AE1090">
        <v>0</v>
      </c>
      <c r="AF1090">
        <v>9</v>
      </c>
      <c r="AG1090" t="s">
        <v>158</v>
      </c>
      <c r="AH1090">
        <v>0</v>
      </c>
      <c r="AI1090">
        <v>3</v>
      </c>
      <c r="AJ1090">
        <v>1</v>
      </c>
      <c r="AK1090">
        <v>0</v>
      </c>
      <c r="AL1090" t="s">
        <v>2135</v>
      </c>
      <c r="AM1090">
        <v>46.844244000000003</v>
      </c>
      <c r="AN1090" t="s">
        <v>2136</v>
      </c>
      <c r="AO1090">
        <v>-122.563734</v>
      </c>
      <c r="AP1090">
        <v>100</v>
      </c>
      <c r="AQ1090">
        <v>1900</v>
      </c>
      <c r="AR1090" t="s">
        <v>118</v>
      </c>
      <c r="AS1090">
        <v>-79</v>
      </c>
      <c r="AT1090">
        <v>-23</v>
      </c>
      <c r="AU1090">
        <v>384</v>
      </c>
      <c r="BC1090">
        <v>1200</v>
      </c>
      <c r="BD1090">
        <v>1</v>
      </c>
      <c r="BE1090" t="str">
        <f t="shared" ref="BE1090:BE1153" si="53">"N215T   "</f>
        <v xml:space="preserve">N215T   </v>
      </c>
      <c r="BF1090">
        <v>1</v>
      </c>
      <c r="BH1090">
        <v>0</v>
      </c>
      <c r="BI1090">
        <v>0</v>
      </c>
      <c r="BJ1090">
        <v>0</v>
      </c>
      <c r="BK1090">
        <v>2325</v>
      </c>
      <c r="BL1090">
        <v>425</v>
      </c>
      <c r="BM1090" t="s">
        <v>119</v>
      </c>
      <c r="BN1090">
        <v>1</v>
      </c>
      <c r="BO1090">
        <v>1</v>
      </c>
      <c r="BP1090">
        <v>1</v>
      </c>
      <c r="BQ1090">
        <v>0</v>
      </c>
      <c r="BT1090">
        <v>0</v>
      </c>
      <c r="BU1090">
        <v>0</v>
      </c>
      <c r="BV1090">
        <v>0</v>
      </c>
      <c r="CC1090" t="str">
        <f>"18:52:50.773"</f>
        <v>18:52:50.773</v>
      </c>
      <c r="CD1090" t="str">
        <f>"771595446"</f>
        <v>771595446</v>
      </c>
      <c r="CQ1090">
        <v>0</v>
      </c>
      <c r="CR1090">
        <v>2</v>
      </c>
      <c r="CS1090">
        <v>0</v>
      </c>
      <c r="CT1090">
        <v>2</v>
      </c>
      <c r="CU1090">
        <v>0</v>
      </c>
      <c r="CV1090">
        <v>1</v>
      </c>
      <c r="CW1090" t="s">
        <v>120</v>
      </c>
      <c r="CX1090">
        <v>257</v>
      </c>
      <c r="CY1090">
        <v>1</v>
      </c>
      <c r="CZ1090" t="s">
        <v>615</v>
      </c>
      <c r="DA1090" t="s">
        <v>616</v>
      </c>
      <c r="DD1090">
        <v>11179965</v>
      </c>
      <c r="DE1090" t="s">
        <v>123</v>
      </c>
    </row>
    <row r="1091" spans="1:109" x14ac:dyDescent="0.3">
      <c r="A1091" t="str">
        <f>"18:52:52.469"</f>
        <v>18:52:52.469</v>
      </c>
      <c r="B1091" t="s">
        <v>110</v>
      </c>
      <c r="C1091" t="str">
        <f t="shared" si="51"/>
        <v>ffdfd3c0</v>
      </c>
      <c r="D1091" t="s">
        <v>111</v>
      </c>
      <c r="E1091">
        <v>18</v>
      </c>
      <c r="F1091">
        <v>1018</v>
      </c>
      <c r="G1091" t="s">
        <v>112</v>
      </c>
      <c r="J1091" t="s">
        <v>113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R1091" t="s">
        <v>114</v>
      </c>
      <c r="S1091" t="str">
        <f>"18:52:52.250"</f>
        <v>18:52:52.250</v>
      </c>
      <c r="T1091" t="str">
        <f>"18:52:52.148"</f>
        <v>18:52:52.148</v>
      </c>
      <c r="U1091" t="str">
        <f t="shared" si="52"/>
        <v>a1cdbe</v>
      </c>
      <c r="V1091">
        <v>0</v>
      </c>
      <c r="W1091">
        <v>0</v>
      </c>
      <c r="X1091">
        <v>1</v>
      </c>
      <c r="Y1091">
        <v>0</v>
      </c>
      <c r="Z1091">
        <v>0</v>
      </c>
      <c r="AB1091">
        <v>0</v>
      </c>
      <c r="AC1091">
        <v>9</v>
      </c>
      <c r="AD1091">
        <v>3</v>
      </c>
      <c r="AE1091">
        <v>0</v>
      </c>
      <c r="AF1091">
        <v>9</v>
      </c>
      <c r="AG1091" t="s">
        <v>158</v>
      </c>
      <c r="AH1091">
        <v>0</v>
      </c>
      <c r="AI1091">
        <v>3</v>
      </c>
      <c r="AJ1091">
        <v>1</v>
      </c>
      <c r="AK1091">
        <v>0</v>
      </c>
      <c r="AL1091" t="s">
        <v>2137</v>
      </c>
      <c r="AM1091">
        <v>46.844071999999997</v>
      </c>
      <c r="AN1091" t="s">
        <v>2138</v>
      </c>
      <c r="AO1091">
        <v>-122.564571</v>
      </c>
      <c r="AP1091">
        <v>100</v>
      </c>
      <c r="AQ1091">
        <v>1900</v>
      </c>
      <c r="AR1091" t="s">
        <v>118</v>
      </c>
      <c r="AS1091">
        <v>-78</v>
      </c>
      <c r="AT1091">
        <v>-23</v>
      </c>
      <c r="AU1091">
        <v>320</v>
      </c>
      <c r="BC1091">
        <v>1200</v>
      </c>
      <c r="BD1091">
        <v>1</v>
      </c>
      <c r="BE1091" t="str">
        <f t="shared" si="53"/>
        <v xml:space="preserve">N215T   </v>
      </c>
      <c r="BF1091">
        <v>1</v>
      </c>
      <c r="BH1091">
        <v>0</v>
      </c>
      <c r="BI1091">
        <v>0</v>
      </c>
      <c r="BJ1091">
        <v>0</v>
      </c>
      <c r="BK1091">
        <v>2325</v>
      </c>
      <c r="BL1091">
        <v>425</v>
      </c>
      <c r="BM1091" t="s">
        <v>119</v>
      </c>
      <c r="BN1091">
        <v>1</v>
      </c>
      <c r="BO1091">
        <v>1</v>
      </c>
      <c r="BP1091">
        <v>1</v>
      </c>
      <c r="BQ1091">
        <v>0</v>
      </c>
      <c r="BT1091">
        <v>0</v>
      </c>
      <c r="BU1091">
        <v>0</v>
      </c>
      <c r="BV1091">
        <v>0</v>
      </c>
      <c r="CC1091" t="str">
        <f>"18:52:52.258"</f>
        <v>18:52:52.258</v>
      </c>
      <c r="CD1091" t="str">
        <f>"256342229"</f>
        <v>256342229</v>
      </c>
      <c r="CQ1091">
        <v>0</v>
      </c>
      <c r="CR1091">
        <v>2</v>
      </c>
      <c r="CS1091">
        <v>0</v>
      </c>
      <c r="CT1091">
        <v>2</v>
      </c>
      <c r="CU1091">
        <v>0</v>
      </c>
      <c r="CV1091">
        <v>6</v>
      </c>
      <c r="CW1091" t="s">
        <v>120</v>
      </c>
      <c r="CX1091">
        <v>261</v>
      </c>
      <c r="CY1091">
        <v>2</v>
      </c>
      <c r="CZ1091" t="s">
        <v>121</v>
      </c>
      <c r="DA1091" t="s">
        <v>122</v>
      </c>
      <c r="DD1091">
        <v>14842884</v>
      </c>
      <c r="DE1091" t="s">
        <v>123</v>
      </c>
    </row>
    <row r="1092" spans="1:109" x14ac:dyDescent="0.3">
      <c r="A1092" t="str">
        <f>"18:52:53.422"</f>
        <v>18:52:53.422</v>
      </c>
      <c r="B1092" t="s">
        <v>110</v>
      </c>
      <c r="C1092" t="str">
        <f t="shared" si="51"/>
        <v>ffdfd3c0</v>
      </c>
      <c r="D1092" t="s">
        <v>111</v>
      </c>
      <c r="E1092">
        <v>18</v>
      </c>
      <c r="F1092">
        <v>1018</v>
      </c>
      <c r="G1092" t="s">
        <v>112</v>
      </c>
      <c r="J1092" t="s">
        <v>113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R1092" t="s">
        <v>114</v>
      </c>
      <c r="S1092" t="str">
        <f>"18:52:53.195"</f>
        <v>18:52:53.195</v>
      </c>
      <c r="T1092" t="str">
        <f>"18:52:53.094"</f>
        <v>18:52:53.094</v>
      </c>
      <c r="U1092" t="str">
        <f t="shared" si="52"/>
        <v>a1cdbe</v>
      </c>
      <c r="V1092">
        <v>0</v>
      </c>
      <c r="W1092">
        <v>0</v>
      </c>
      <c r="X1092">
        <v>1</v>
      </c>
      <c r="Y1092">
        <v>0</v>
      </c>
      <c r="Z1092">
        <v>0</v>
      </c>
      <c r="AB1092">
        <v>0</v>
      </c>
      <c r="AC1092">
        <v>9</v>
      </c>
      <c r="AD1092">
        <v>3</v>
      </c>
      <c r="AE1092">
        <v>0</v>
      </c>
      <c r="AF1092">
        <v>9</v>
      </c>
      <c r="AG1092" t="s">
        <v>158</v>
      </c>
      <c r="AH1092">
        <v>0</v>
      </c>
      <c r="AI1092">
        <v>3</v>
      </c>
      <c r="AJ1092">
        <v>1</v>
      </c>
      <c r="AK1092">
        <v>0</v>
      </c>
      <c r="AL1092" t="s">
        <v>2139</v>
      </c>
      <c r="AM1092">
        <v>46.843964999999997</v>
      </c>
      <c r="AN1092" t="s">
        <v>2140</v>
      </c>
      <c r="AO1092">
        <v>-122.565022</v>
      </c>
      <c r="AP1092">
        <v>100</v>
      </c>
      <c r="AQ1092">
        <v>2000</v>
      </c>
      <c r="AR1092" t="s">
        <v>118</v>
      </c>
      <c r="AS1092">
        <v>-77</v>
      </c>
      <c r="AT1092">
        <v>-24</v>
      </c>
      <c r="AU1092">
        <v>320</v>
      </c>
      <c r="BC1092">
        <v>1200</v>
      </c>
      <c r="BD1092">
        <v>1</v>
      </c>
      <c r="BE1092" t="str">
        <f t="shared" si="53"/>
        <v xml:space="preserve">N215T   </v>
      </c>
      <c r="BF1092">
        <v>1</v>
      </c>
      <c r="BH1092">
        <v>0</v>
      </c>
      <c r="BI1092">
        <v>0</v>
      </c>
      <c r="BJ1092">
        <v>0</v>
      </c>
      <c r="BK1092">
        <v>2325</v>
      </c>
      <c r="BL1092">
        <v>325</v>
      </c>
      <c r="BM1092" t="s">
        <v>119</v>
      </c>
      <c r="BN1092">
        <v>1</v>
      </c>
      <c r="BO1092">
        <v>1</v>
      </c>
      <c r="BP1092">
        <v>1</v>
      </c>
      <c r="BQ1092">
        <v>0</v>
      </c>
      <c r="BT1092">
        <v>0</v>
      </c>
      <c r="BU1092">
        <v>0</v>
      </c>
      <c r="BV1092">
        <v>0</v>
      </c>
      <c r="CC1092" t="str">
        <f>"18:52:53.203"</f>
        <v>18:52:53.203</v>
      </c>
      <c r="CD1092" t="str">
        <f>"201249192"</f>
        <v>201249192</v>
      </c>
      <c r="CQ1092">
        <v>0</v>
      </c>
      <c r="CR1092">
        <v>2</v>
      </c>
      <c r="CS1092">
        <v>0</v>
      </c>
      <c r="CT1092">
        <v>2</v>
      </c>
      <c r="CU1092">
        <v>0</v>
      </c>
      <c r="CV1092">
        <v>6</v>
      </c>
      <c r="CW1092" t="s">
        <v>120</v>
      </c>
      <c r="CX1092">
        <v>261</v>
      </c>
      <c r="CY1092">
        <v>2</v>
      </c>
      <c r="CZ1092" t="s">
        <v>121</v>
      </c>
      <c r="DA1092" t="s">
        <v>122</v>
      </c>
      <c r="DD1092">
        <v>14843525</v>
      </c>
      <c r="DE1092" t="s">
        <v>123</v>
      </c>
    </row>
    <row r="1093" spans="1:109" x14ac:dyDescent="0.3">
      <c r="A1093" t="str">
        <f>"18:52:54.328"</f>
        <v>18:52:54.328</v>
      </c>
      <c r="B1093" t="s">
        <v>110</v>
      </c>
      <c r="C1093" t="str">
        <f t="shared" si="51"/>
        <v>ffdfd3c0</v>
      </c>
      <c r="D1093" t="s">
        <v>111</v>
      </c>
      <c r="E1093">
        <v>18</v>
      </c>
      <c r="F1093">
        <v>1018</v>
      </c>
      <c r="G1093" t="s">
        <v>112</v>
      </c>
      <c r="J1093" t="s">
        <v>113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R1093" t="s">
        <v>114</v>
      </c>
      <c r="S1093" t="str">
        <f>"18:52:54.109"</f>
        <v>18:52:54.109</v>
      </c>
      <c r="T1093" t="str">
        <f>"18:52:54.109"</f>
        <v>18:52:54.109</v>
      </c>
      <c r="U1093" t="str">
        <f t="shared" si="52"/>
        <v>a1cdbe</v>
      </c>
      <c r="V1093">
        <v>0</v>
      </c>
      <c r="W1093">
        <v>0</v>
      </c>
      <c r="X1093">
        <v>1</v>
      </c>
      <c r="Y1093">
        <v>0</v>
      </c>
      <c r="Z1093">
        <v>0</v>
      </c>
      <c r="AB1093">
        <v>0</v>
      </c>
      <c r="AC1093">
        <v>9</v>
      </c>
      <c r="AD1093">
        <v>3</v>
      </c>
      <c r="AE1093">
        <v>0</v>
      </c>
      <c r="AF1093">
        <v>9</v>
      </c>
      <c r="AG1093" t="s">
        <v>158</v>
      </c>
      <c r="AH1093">
        <v>0</v>
      </c>
      <c r="AI1093">
        <v>3</v>
      </c>
      <c r="AJ1093">
        <v>1</v>
      </c>
      <c r="AK1093">
        <v>0</v>
      </c>
      <c r="AL1093" t="s">
        <v>2141</v>
      </c>
      <c r="AM1093">
        <v>46.843879000000001</v>
      </c>
      <c r="AN1093" t="s">
        <v>2142</v>
      </c>
      <c r="AO1093">
        <v>-122.565494</v>
      </c>
      <c r="AP1093">
        <v>100</v>
      </c>
      <c r="AQ1093">
        <v>2000</v>
      </c>
      <c r="AR1093" t="s">
        <v>118</v>
      </c>
      <c r="AS1093">
        <v>-77</v>
      </c>
      <c r="AT1093">
        <v>-24</v>
      </c>
      <c r="AU1093">
        <v>384</v>
      </c>
      <c r="BC1093">
        <v>1200</v>
      </c>
      <c r="BD1093">
        <v>1</v>
      </c>
      <c r="BE1093" t="str">
        <f t="shared" si="53"/>
        <v xml:space="preserve">N215T   </v>
      </c>
      <c r="BF1093">
        <v>1</v>
      </c>
      <c r="BH1093">
        <v>0</v>
      </c>
      <c r="BI1093">
        <v>0</v>
      </c>
      <c r="BJ1093">
        <v>0</v>
      </c>
      <c r="BK1093">
        <v>2325</v>
      </c>
      <c r="BL1093">
        <v>325</v>
      </c>
      <c r="BM1093" t="s">
        <v>119</v>
      </c>
      <c r="BN1093">
        <v>1</v>
      </c>
      <c r="BO1093">
        <v>1</v>
      </c>
      <c r="BP1093">
        <v>1</v>
      </c>
      <c r="BQ1093">
        <v>0</v>
      </c>
      <c r="BT1093">
        <v>0</v>
      </c>
      <c r="BU1093">
        <v>0</v>
      </c>
      <c r="BV1093">
        <v>0</v>
      </c>
      <c r="CC1093" t="str">
        <f>"18:52:54.117"</f>
        <v>18:52:54.117</v>
      </c>
      <c r="CD1093" t="str">
        <f>"116159114"</f>
        <v>116159114</v>
      </c>
      <c r="CQ1093">
        <v>0</v>
      </c>
      <c r="CR1093">
        <v>2</v>
      </c>
      <c r="CS1093">
        <v>0</v>
      </c>
      <c r="CT1093">
        <v>2</v>
      </c>
      <c r="CU1093">
        <v>0</v>
      </c>
      <c r="CV1093">
        <v>6</v>
      </c>
      <c r="CW1093" t="s">
        <v>120</v>
      </c>
      <c r="CX1093">
        <v>261</v>
      </c>
      <c r="CY1093">
        <v>2</v>
      </c>
      <c r="CZ1093" t="s">
        <v>121</v>
      </c>
      <c r="DA1093" t="s">
        <v>122</v>
      </c>
      <c r="DD1093">
        <v>14844180</v>
      </c>
      <c r="DE1093" t="s">
        <v>123</v>
      </c>
    </row>
    <row r="1094" spans="1:109" x14ac:dyDescent="0.3">
      <c r="A1094" t="str">
        <f>"18:52:55.383"</f>
        <v>18:52:55.383</v>
      </c>
      <c r="B1094" t="s">
        <v>110</v>
      </c>
      <c r="C1094" t="str">
        <f t="shared" si="51"/>
        <v>ffdfd3c0</v>
      </c>
      <c r="D1094" t="s">
        <v>111</v>
      </c>
      <c r="E1094">
        <v>18</v>
      </c>
      <c r="F1094">
        <v>1018</v>
      </c>
      <c r="G1094" t="s">
        <v>112</v>
      </c>
      <c r="J1094" t="s">
        <v>113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R1094" t="s">
        <v>114</v>
      </c>
      <c r="S1094" t="str">
        <f>"18:52:55.133"</f>
        <v>18:52:55.133</v>
      </c>
      <c r="T1094" t="str">
        <f>"18:52:54.734"</f>
        <v>18:52:54.734</v>
      </c>
      <c r="U1094" t="str">
        <f t="shared" si="52"/>
        <v>a1cdbe</v>
      </c>
      <c r="V1094">
        <v>0</v>
      </c>
      <c r="W1094">
        <v>0</v>
      </c>
      <c r="X1094">
        <v>1</v>
      </c>
      <c r="Y1094">
        <v>0</v>
      </c>
      <c r="Z1094">
        <v>0</v>
      </c>
      <c r="AB1094">
        <v>0</v>
      </c>
      <c r="AC1094">
        <v>9</v>
      </c>
      <c r="AD1094">
        <v>3</v>
      </c>
      <c r="AE1094">
        <v>0</v>
      </c>
      <c r="AF1094">
        <v>9</v>
      </c>
      <c r="AG1094" t="s">
        <v>158</v>
      </c>
      <c r="AH1094">
        <v>0</v>
      </c>
      <c r="AI1094">
        <v>3</v>
      </c>
      <c r="AJ1094">
        <v>1</v>
      </c>
      <c r="AK1094">
        <v>0</v>
      </c>
      <c r="AL1094" t="s">
        <v>2143</v>
      </c>
      <c r="AM1094">
        <v>46.84375</v>
      </c>
      <c r="AN1094" t="s">
        <v>2144</v>
      </c>
      <c r="AO1094">
        <v>-122.56600899999999</v>
      </c>
      <c r="AP1094">
        <v>100</v>
      </c>
      <c r="AQ1094">
        <v>2000</v>
      </c>
      <c r="AR1094" t="s">
        <v>118</v>
      </c>
      <c r="AS1094">
        <v>-77</v>
      </c>
      <c r="AT1094">
        <v>-23</v>
      </c>
      <c r="AU1094">
        <v>320</v>
      </c>
      <c r="BC1094">
        <v>1200</v>
      </c>
      <c r="BD1094">
        <v>1</v>
      </c>
      <c r="BE1094" t="str">
        <f t="shared" si="53"/>
        <v xml:space="preserve">N215T   </v>
      </c>
      <c r="BF1094">
        <v>1</v>
      </c>
      <c r="BH1094">
        <v>0</v>
      </c>
      <c r="BI1094">
        <v>0</v>
      </c>
      <c r="BJ1094">
        <v>0</v>
      </c>
      <c r="BK1094">
        <v>2350</v>
      </c>
      <c r="BL1094">
        <v>350</v>
      </c>
      <c r="BM1094" t="s">
        <v>119</v>
      </c>
      <c r="BN1094">
        <v>1</v>
      </c>
      <c r="BO1094">
        <v>1</v>
      </c>
      <c r="BP1094">
        <v>1</v>
      </c>
      <c r="BQ1094">
        <v>0</v>
      </c>
      <c r="BT1094">
        <v>0</v>
      </c>
      <c r="BU1094">
        <v>0</v>
      </c>
      <c r="BV1094">
        <v>0</v>
      </c>
      <c r="CC1094" t="str">
        <f>"18:52:55.133"</f>
        <v>18:52:55.133</v>
      </c>
      <c r="CD1094" t="str">
        <f>"136058680"</f>
        <v>136058680</v>
      </c>
      <c r="CQ1094">
        <v>0</v>
      </c>
      <c r="CR1094">
        <v>2</v>
      </c>
      <c r="CS1094">
        <v>0</v>
      </c>
      <c r="CT1094">
        <v>2</v>
      </c>
      <c r="CU1094">
        <v>0</v>
      </c>
      <c r="CV1094">
        <v>6</v>
      </c>
      <c r="CW1094" t="s">
        <v>120</v>
      </c>
      <c r="CX1094">
        <v>261</v>
      </c>
      <c r="CY1094">
        <v>2</v>
      </c>
      <c r="CZ1094" t="s">
        <v>121</v>
      </c>
      <c r="DA1094" t="s">
        <v>122</v>
      </c>
      <c r="DD1094">
        <v>14844830</v>
      </c>
      <c r="DE1094" t="s">
        <v>123</v>
      </c>
    </row>
    <row r="1095" spans="1:109" x14ac:dyDescent="0.3">
      <c r="A1095" t="str">
        <f>"18:52:56.445"</f>
        <v>18:52:56.445</v>
      </c>
      <c r="B1095" t="s">
        <v>110</v>
      </c>
      <c r="C1095" t="str">
        <f t="shared" si="51"/>
        <v>ffdfd3c0</v>
      </c>
      <c r="D1095" t="s">
        <v>111</v>
      </c>
      <c r="E1095">
        <v>18</v>
      </c>
      <c r="F1095">
        <v>1018</v>
      </c>
      <c r="G1095" t="s">
        <v>112</v>
      </c>
      <c r="J1095" t="s">
        <v>113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R1095" t="s">
        <v>114</v>
      </c>
      <c r="S1095" t="str">
        <f>"18:52:56.180"</f>
        <v>18:52:56.180</v>
      </c>
      <c r="T1095" t="str">
        <f>"18:52:55.680"</f>
        <v>18:52:55.680</v>
      </c>
      <c r="U1095" t="str">
        <f t="shared" si="52"/>
        <v>a1cdbe</v>
      </c>
      <c r="V1095">
        <v>0</v>
      </c>
      <c r="W1095">
        <v>0</v>
      </c>
      <c r="X1095">
        <v>1</v>
      </c>
      <c r="Y1095">
        <v>0</v>
      </c>
      <c r="Z1095">
        <v>0</v>
      </c>
      <c r="AB1095">
        <v>0</v>
      </c>
      <c r="AC1095">
        <v>9</v>
      </c>
      <c r="AD1095">
        <v>3</v>
      </c>
      <c r="AE1095">
        <v>0</v>
      </c>
      <c r="AF1095">
        <v>9</v>
      </c>
      <c r="AG1095" t="s">
        <v>158</v>
      </c>
      <c r="AH1095">
        <v>0</v>
      </c>
      <c r="AI1095">
        <v>3</v>
      </c>
      <c r="AJ1095">
        <v>1</v>
      </c>
      <c r="AK1095">
        <v>0</v>
      </c>
      <c r="AL1095" t="s">
        <v>2145</v>
      </c>
      <c r="AM1095">
        <v>46.843665000000001</v>
      </c>
      <c r="AN1095" t="s">
        <v>2146</v>
      </c>
      <c r="AO1095">
        <v>-122.56656599999999</v>
      </c>
      <c r="AP1095">
        <v>100</v>
      </c>
      <c r="AQ1095">
        <v>2000</v>
      </c>
      <c r="AR1095" t="s">
        <v>118</v>
      </c>
      <c r="AS1095">
        <v>-77</v>
      </c>
      <c r="AT1095">
        <v>-24</v>
      </c>
      <c r="AU1095">
        <v>256</v>
      </c>
      <c r="BC1095">
        <v>1200</v>
      </c>
      <c r="BD1095">
        <v>1</v>
      </c>
      <c r="BE1095" t="str">
        <f t="shared" si="53"/>
        <v xml:space="preserve">N215T   </v>
      </c>
      <c r="BF1095">
        <v>1</v>
      </c>
      <c r="BH1095">
        <v>0</v>
      </c>
      <c r="BI1095">
        <v>0</v>
      </c>
      <c r="BJ1095">
        <v>0</v>
      </c>
      <c r="BK1095">
        <v>2350</v>
      </c>
      <c r="BL1095">
        <v>350</v>
      </c>
      <c r="BM1095" t="s">
        <v>119</v>
      </c>
      <c r="BN1095">
        <v>1</v>
      </c>
      <c r="BO1095">
        <v>1</v>
      </c>
      <c r="BP1095">
        <v>1</v>
      </c>
      <c r="BQ1095">
        <v>0</v>
      </c>
      <c r="BT1095">
        <v>0</v>
      </c>
      <c r="BU1095">
        <v>0</v>
      </c>
      <c r="BV1095">
        <v>0</v>
      </c>
      <c r="CC1095" t="str">
        <f>"18:52:56.188"</f>
        <v>18:52:56.188</v>
      </c>
      <c r="CD1095" t="str">
        <f>"185955308"</f>
        <v>185955308</v>
      </c>
      <c r="CQ1095">
        <v>0</v>
      </c>
      <c r="CR1095">
        <v>2</v>
      </c>
      <c r="CS1095">
        <v>0</v>
      </c>
      <c r="CT1095">
        <v>2</v>
      </c>
      <c r="CU1095">
        <v>0</v>
      </c>
      <c r="CV1095">
        <v>5</v>
      </c>
      <c r="CW1095" t="s">
        <v>120</v>
      </c>
      <c r="CX1095">
        <v>261</v>
      </c>
      <c r="CY1095">
        <v>2</v>
      </c>
      <c r="CZ1095" t="s">
        <v>121</v>
      </c>
      <c r="DA1095" t="s">
        <v>122</v>
      </c>
      <c r="DD1095">
        <v>14845534</v>
      </c>
      <c r="DE1095" t="s">
        <v>123</v>
      </c>
    </row>
    <row r="1096" spans="1:109" x14ac:dyDescent="0.3">
      <c r="A1096" t="str">
        <f>"18:52:57.352"</f>
        <v>18:52:57.352</v>
      </c>
      <c r="B1096" t="s">
        <v>110</v>
      </c>
      <c r="C1096" t="str">
        <f t="shared" si="51"/>
        <v>ffdfd3c0</v>
      </c>
      <c r="D1096" t="s">
        <v>111</v>
      </c>
      <c r="E1096">
        <v>18</v>
      </c>
      <c r="F1096">
        <v>1018</v>
      </c>
      <c r="G1096" t="s">
        <v>112</v>
      </c>
      <c r="J1096" t="s">
        <v>113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R1096" t="s">
        <v>114</v>
      </c>
      <c r="S1096" t="str">
        <f>"18:52:57.156"</f>
        <v>18:52:57.156</v>
      </c>
      <c r="T1096" t="str">
        <f>"18:52:57.156"</f>
        <v>18:52:57.156</v>
      </c>
      <c r="U1096" t="str">
        <f t="shared" si="52"/>
        <v>a1cdbe</v>
      </c>
      <c r="V1096">
        <v>0</v>
      </c>
      <c r="W1096">
        <v>0</v>
      </c>
      <c r="X1096">
        <v>1</v>
      </c>
      <c r="Y1096">
        <v>0</v>
      </c>
      <c r="Z1096">
        <v>0</v>
      </c>
      <c r="AB1096">
        <v>0</v>
      </c>
      <c r="AC1096">
        <v>9</v>
      </c>
      <c r="AD1096">
        <v>3</v>
      </c>
      <c r="AE1096">
        <v>0</v>
      </c>
      <c r="AF1096">
        <v>9</v>
      </c>
      <c r="AG1096" t="s">
        <v>158</v>
      </c>
      <c r="AH1096">
        <v>0</v>
      </c>
      <c r="AI1096">
        <v>3</v>
      </c>
      <c r="AJ1096">
        <v>1</v>
      </c>
      <c r="AK1096">
        <v>0</v>
      </c>
      <c r="AL1096" t="s">
        <v>2147</v>
      </c>
      <c r="AM1096">
        <v>46.843556999999997</v>
      </c>
      <c r="AN1096" t="s">
        <v>2148</v>
      </c>
      <c r="AO1096">
        <v>-122.567103</v>
      </c>
      <c r="AP1096">
        <v>100</v>
      </c>
      <c r="AQ1096">
        <v>2000</v>
      </c>
      <c r="AR1096" t="s">
        <v>118</v>
      </c>
      <c r="AS1096">
        <v>-76</v>
      </c>
      <c r="AT1096">
        <v>-24</v>
      </c>
      <c r="AU1096">
        <v>128</v>
      </c>
      <c r="BC1096">
        <v>1200</v>
      </c>
      <c r="BD1096">
        <v>1</v>
      </c>
      <c r="BE1096" t="str">
        <f t="shared" si="53"/>
        <v xml:space="preserve">N215T   </v>
      </c>
      <c r="BF1096">
        <v>1</v>
      </c>
      <c r="BH1096">
        <v>0</v>
      </c>
      <c r="BI1096">
        <v>0</v>
      </c>
      <c r="BJ1096">
        <v>0</v>
      </c>
      <c r="BK1096">
        <v>2350</v>
      </c>
      <c r="BL1096">
        <v>350</v>
      </c>
      <c r="BM1096" t="s">
        <v>119</v>
      </c>
      <c r="BN1096">
        <v>1</v>
      </c>
      <c r="BO1096">
        <v>1</v>
      </c>
      <c r="BP1096">
        <v>1</v>
      </c>
      <c r="BQ1096">
        <v>0</v>
      </c>
      <c r="BT1096">
        <v>0</v>
      </c>
      <c r="BU1096">
        <v>0</v>
      </c>
      <c r="BV1096">
        <v>0</v>
      </c>
      <c r="CC1096" t="str">
        <f>"18:52:57.164"</f>
        <v>18:52:57.164</v>
      </c>
      <c r="CD1096" t="str">
        <f>"160859330"</f>
        <v>160859330</v>
      </c>
      <c r="CQ1096">
        <v>0</v>
      </c>
      <c r="CR1096">
        <v>2</v>
      </c>
      <c r="CS1096">
        <v>0</v>
      </c>
      <c r="CT1096">
        <v>2</v>
      </c>
      <c r="CU1096">
        <v>0</v>
      </c>
      <c r="CV1096">
        <v>6</v>
      </c>
      <c r="CW1096" t="s">
        <v>120</v>
      </c>
      <c r="CX1096">
        <v>261</v>
      </c>
      <c r="CY1096">
        <v>2</v>
      </c>
      <c r="CZ1096" t="s">
        <v>121</v>
      </c>
      <c r="DA1096" t="s">
        <v>122</v>
      </c>
      <c r="DD1096">
        <v>14846164</v>
      </c>
      <c r="DE1096" t="s">
        <v>123</v>
      </c>
    </row>
    <row r="1097" spans="1:109" x14ac:dyDescent="0.3">
      <c r="A1097" t="str">
        <f>"18:52:58.453"</f>
        <v>18:52:58.453</v>
      </c>
      <c r="B1097" t="s">
        <v>110</v>
      </c>
      <c r="C1097" t="str">
        <f t="shared" si="51"/>
        <v>ffdfd3c0</v>
      </c>
      <c r="D1097" t="s">
        <v>111</v>
      </c>
      <c r="E1097">
        <v>18</v>
      </c>
      <c r="F1097">
        <v>1018</v>
      </c>
      <c r="G1097" t="s">
        <v>112</v>
      </c>
      <c r="J1097" t="s">
        <v>113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R1097" t="s">
        <v>114</v>
      </c>
      <c r="S1097" t="str">
        <f>"18:52:58.234"</f>
        <v>18:52:58.234</v>
      </c>
      <c r="T1097" t="str">
        <f>"18:52:58.133"</f>
        <v>18:52:58.133</v>
      </c>
      <c r="U1097" t="str">
        <f t="shared" si="52"/>
        <v>a1cdbe</v>
      </c>
      <c r="V1097">
        <v>0</v>
      </c>
      <c r="W1097">
        <v>0</v>
      </c>
      <c r="X1097">
        <v>1</v>
      </c>
      <c r="Y1097">
        <v>0</v>
      </c>
      <c r="Z1097">
        <v>0</v>
      </c>
      <c r="AB1097">
        <v>0</v>
      </c>
      <c r="AC1097">
        <v>9</v>
      </c>
      <c r="AD1097">
        <v>3</v>
      </c>
      <c r="AE1097">
        <v>0</v>
      </c>
      <c r="AF1097">
        <v>9</v>
      </c>
      <c r="AG1097" t="s">
        <v>158</v>
      </c>
      <c r="AH1097">
        <v>0</v>
      </c>
      <c r="AI1097">
        <v>3</v>
      </c>
      <c r="AJ1097">
        <v>1</v>
      </c>
      <c r="AK1097">
        <v>0</v>
      </c>
      <c r="AL1097" t="s">
        <v>2149</v>
      </c>
      <c r="AM1097">
        <v>46.843429</v>
      </c>
      <c r="AN1097" t="s">
        <v>2150</v>
      </c>
      <c r="AO1097">
        <v>-122.56759599999999</v>
      </c>
      <c r="AP1097">
        <v>100</v>
      </c>
      <c r="AQ1097">
        <v>2000</v>
      </c>
      <c r="AR1097" t="s">
        <v>118</v>
      </c>
      <c r="AS1097">
        <v>-76</v>
      </c>
      <c r="AT1097">
        <v>-23</v>
      </c>
      <c r="AU1097">
        <v>256</v>
      </c>
      <c r="BC1097">
        <v>1200</v>
      </c>
      <c r="BD1097">
        <v>1</v>
      </c>
      <c r="BE1097" t="str">
        <f t="shared" si="53"/>
        <v xml:space="preserve">N215T   </v>
      </c>
      <c r="BF1097">
        <v>1</v>
      </c>
      <c r="BH1097">
        <v>0</v>
      </c>
      <c r="BI1097">
        <v>0</v>
      </c>
      <c r="BJ1097">
        <v>0</v>
      </c>
      <c r="BK1097">
        <v>2350</v>
      </c>
      <c r="BL1097">
        <v>350</v>
      </c>
      <c r="BM1097" t="s">
        <v>119</v>
      </c>
      <c r="BN1097">
        <v>1</v>
      </c>
      <c r="BO1097">
        <v>1</v>
      </c>
      <c r="BP1097">
        <v>1</v>
      </c>
      <c r="BQ1097">
        <v>0</v>
      </c>
      <c r="BT1097">
        <v>0</v>
      </c>
      <c r="BU1097">
        <v>0</v>
      </c>
      <c r="BV1097">
        <v>0</v>
      </c>
      <c r="CC1097" t="str">
        <f>"18:52:58.242"</f>
        <v>18:52:58.242</v>
      </c>
      <c r="CD1097" t="str">
        <f>"240753005"</f>
        <v>240753005</v>
      </c>
      <c r="CQ1097">
        <v>0</v>
      </c>
      <c r="CR1097">
        <v>2</v>
      </c>
      <c r="CS1097">
        <v>0</v>
      </c>
      <c r="CT1097">
        <v>2</v>
      </c>
      <c r="CU1097">
        <v>0</v>
      </c>
      <c r="CV1097">
        <v>6</v>
      </c>
      <c r="CW1097" t="s">
        <v>120</v>
      </c>
      <c r="CX1097">
        <v>261</v>
      </c>
      <c r="CY1097">
        <v>2</v>
      </c>
      <c r="CZ1097" t="s">
        <v>121</v>
      </c>
      <c r="DA1097" t="s">
        <v>122</v>
      </c>
      <c r="DD1097">
        <v>14846909</v>
      </c>
      <c r="DE1097" t="s">
        <v>123</v>
      </c>
    </row>
    <row r="1098" spans="1:109" x14ac:dyDescent="0.3">
      <c r="A1098" t="str">
        <f>"18:52:59.609"</f>
        <v>18:52:59.609</v>
      </c>
      <c r="B1098" t="s">
        <v>110</v>
      </c>
      <c r="C1098" t="str">
        <f t="shared" si="51"/>
        <v>ffdfd3c0</v>
      </c>
      <c r="D1098" t="s">
        <v>111</v>
      </c>
      <c r="E1098">
        <v>18</v>
      </c>
      <c r="F1098">
        <v>1018</v>
      </c>
      <c r="G1098" t="s">
        <v>112</v>
      </c>
      <c r="J1098" t="s">
        <v>113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R1098" t="s">
        <v>114</v>
      </c>
      <c r="S1098" t="str">
        <f>"18:52:59.344"</f>
        <v>18:52:59.344</v>
      </c>
      <c r="T1098" t="str">
        <f>"18:52:59.242"</f>
        <v>18:52:59.242</v>
      </c>
      <c r="U1098" t="str">
        <f t="shared" si="52"/>
        <v>a1cdbe</v>
      </c>
      <c r="V1098">
        <v>0</v>
      </c>
      <c r="W1098">
        <v>0</v>
      </c>
      <c r="X1098">
        <v>1</v>
      </c>
      <c r="Y1098">
        <v>0</v>
      </c>
      <c r="Z1098">
        <v>0</v>
      </c>
      <c r="AB1098">
        <v>0</v>
      </c>
      <c r="AC1098">
        <v>9</v>
      </c>
      <c r="AD1098">
        <v>3</v>
      </c>
      <c r="AE1098">
        <v>0</v>
      </c>
      <c r="AF1098">
        <v>9</v>
      </c>
      <c r="AG1098" t="s">
        <v>158</v>
      </c>
      <c r="AH1098">
        <v>0</v>
      </c>
      <c r="AI1098">
        <v>3</v>
      </c>
      <c r="AJ1098">
        <v>1</v>
      </c>
      <c r="AK1098">
        <v>0</v>
      </c>
      <c r="AL1098" t="s">
        <v>2151</v>
      </c>
      <c r="AM1098">
        <v>46.843321000000003</v>
      </c>
      <c r="AN1098" t="s">
        <v>2152</v>
      </c>
      <c r="AO1098">
        <v>-122.56817599999999</v>
      </c>
      <c r="AP1098">
        <v>100</v>
      </c>
      <c r="AQ1098">
        <v>2000</v>
      </c>
      <c r="AR1098" t="s">
        <v>118</v>
      </c>
      <c r="AS1098">
        <v>-76</v>
      </c>
      <c r="AT1098">
        <v>-23</v>
      </c>
      <c r="AU1098">
        <v>192</v>
      </c>
      <c r="BC1098">
        <v>1200</v>
      </c>
      <c r="BD1098">
        <v>1</v>
      </c>
      <c r="BE1098" t="str">
        <f t="shared" si="53"/>
        <v xml:space="preserve">N215T   </v>
      </c>
      <c r="BF1098">
        <v>1</v>
      </c>
      <c r="BH1098">
        <v>0</v>
      </c>
      <c r="BI1098">
        <v>0</v>
      </c>
      <c r="BJ1098">
        <v>0</v>
      </c>
      <c r="BK1098">
        <v>2350</v>
      </c>
      <c r="BL1098">
        <v>350</v>
      </c>
      <c r="BM1098" t="s">
        <v>119</v>
      </c>
      <c r="BN1098">
        <v>1</v>
      </c>
      <c r="BO1098">
        <v>1</v>
      </c>
      <c r="BP1098">
        <v>1</v>
      </c>
      <c r="BQ1098">
        <v>0</v>
      </c>
      <c r="BT1098">
        <v>0</v>
      </c>
      <c r="BU1098">
        <v>0</v>
      </c>
      <c r="BV1098">
        <v>0</v>
      </c>
      <c r="CC1098" t="str">
        <f>"18:52:59.352"</f>
        <v>18:52:59.352</v>
      </c>
      <c r="CD1098" t="str">
        <f>"350643722"</f>
        <v>350643722</v>
      </c>
      <c r="CQ1098">
        <v>0</v>
      </c>
      <c r="CR1098">
        <v>2</v>
      </c>
      <c r="CS1098">
        <v>0</v>
      </c>
      <c r="CT1098">
        <v>2</v>
      </c>
      <c r="CU1098">
        <v>0</v>
      </c>
      <c r="CV1098">
        <v>6</v>
      </c>
      <c r="CW1098" t="s">
        <v>120</v>
      </c>
      <c r="CX1098">
        <v>261</v>
      </c>
      <c r="CY1098">
        <v>2</v>
      </c>
      <c r="CZ1098" t="s">
        <v>121</v>
      </c>
      <c r="DA1098" t="s">
        <v>122</v>
      </c>
      <c r="DD1098">
        <v>14847651</v>
      </c>
      <c r="DE1098" t="s">
        <v>123</v>
      </c>
    </row>
    <row r="1099" spans="1:109" x14ac:dyDescent="0.3">
      <c r="A1099" t="str">
        <f>"18:53:00.563"</f>
        <v>18:53:00.563</v>
      </c>
      <c r="B1099" t="s">
        <v>110</v>
      </c>
      <c r="C1099" t="str">
        <f t="shared" si="51"/>
        <v>ffdfd3c0</v>
      </c>
      <c r="D1099" t="s">
        <v>111</v>
      </c>
      <c r="E1099">
        <v>18</v>
      </c>
      <c r="F1099">
        <v>1018</v>
      </c>
      <c r="G1099" t="s">
        <v>112</v>
      </c>
      <c r="J1099" t="s">
        <v>113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R1099" t="s">
        <v>114</v>
      </c>
      <c r="S1099" t="str">
        <f>"18:53:00.320"</f>
        <v>18:53:00.320</v>
      </c>
      <c r="T1099" t="str">
        <f>"18:53:00.320"</f>
        <v>18:53:00.320</v>
      </c>
      <c r="U1099" t="str">
        <f t="shared" si="52"/>
        <v>a1cdbe</v>
      </c>
      <c r="V1099">
        <v>0</v>
      </c>
      <c r="W1099">
        <v>0</v>
      </c>
      <c r="X1099">
        <v>1</v>
      </c>
      <c r="Y1099">
        <v>0</v>
      </c>
      <c r="Z1099">
        <v>0</v>
      </c>
      <c r="AB1099">
        <v>0</v>
      </c>
      <c r="AC1099">
        <v>9</v>
      </c>
      <c r="AD1099">
        <v>3</v>
      </c>
      <c r="AE1099">
        <v>0</v>
      </c>
      <c r="AF1099">
        <v>9</v>
      </c>
      <c r="AG1099" t="s">
        <v>158</v>
      </c>
      <c r="AH1099">
        <v>0</v>
      </c>
      <c r="AI1099">
        <v>3</v>
      </c>
      <c r="AJ1099">
        <v>1</v>
      </c>
      <c r="AK1099">
        <v>0</v>
      </c>
      <c r="AL1099" t="s">
        <v>2153</v>
      </c>
      <c r="AM1099">
        <v>46.843192999999999</v>
      </c>
      <c r="AN1099" t="s">
        <v>2154</v>
      </c>
      <c r="AO1099">
        <v>-122.568691</v>
      </c>
      <c r="AP1099">
        <v>100</v>
      </c>
      <c r="AQ1099">
        <v>2000</v>
      </c>
      <c r="AR1099" t="s">
        <v>118</v>
      </c>
      <c r="AS1099">
        <v>-76</v>
      </c>
      <c r="AT1099">
        <v>-23</v>
      </c>
      <c r="AU1099">
        <v>192</v>
      </c>
      <c r="BC1099">
        <v>1200</v>
      </c>
      <c r="BD1099">
        <v>1</v>
      </c>
      <c r="BE1099" t="str">
        <f t="shared" si="53"/>
        <v xml:space="preserve">N215T   </v>
      </c>
      <c r="BF1099">
        <v>1</v>
      </c>
      <c r="BH1099">
        <v>0</v>
      </c>
      <c r="BI1099">
        <v>0</v>
      </c>
      <c r="BJ1099">
        <v>0</v>
      </c>
      <c r="BK1099">
        <v>2350</v>
      </c>
      <c r="BL1099">
        <v>350</v>
      </c>
      <c r="BM1099" t="s">
        <v>119</v>
      </c>
      <c r="BN1099">
        <v>1</v>
      </c>
      <c r="BO1099">
        <v>1</v>
      </c>
      <c r="BP1099">
        <v>1</v>
      </c>
      <c r="BQ1099">
        <v>0</v>
      </c>
      <c r="BT1099">
        <v>0</v>
      </c>
      <c r="BU1099">
        <v>0</v>
      </c>
      <c r="BV1099">
        <v>0</v>
      </c>
      <c r="CC1099" t="str">
        <f>"18:53:00.328"</f>
        <v>18:53:00.328</v>
      </c>
      <c r="CD1099" t="str">
        <f>"325547722"</f>
        <v>325547722</v>
      </c>
      <c r="CQ1099">
        <v>0</v>
      </c>
      <c r="CR1099">
        <v>2</v>
      </c>
      <c r="CS1099">
        <v>0</v>
      </c>
      <c r="CT1099">
        <v>2</v>
      </c>
      <c r="CU1099">
        <v>0</v>
      </c>
      <c r="CV1099">
        <v>6</v>
      </c>
      <c r="CW1099" t="s">
        <v>120</v>
      </c>
      <c r="CX1099">
        <v>261</v>
      </c>
      <c r="CY1099">
        <v>2</v>
      </c>
      <c r="CZ1099" t="s">
        <v>121</v>
      </c>
      <c r="DA1099" t="s">
        <v>122</v>
      </c>
      <c r="DD1099">
        <v>14848272</v>
      </c>
      <c r="DE1099" t="s">
        <v>123</v>
      </c>
    </row>
    <row r="1100" spans="1:109" x14ac:dyDescent="0.3">
      <c r="A1100" t="str">
        <f>"18:53:01.523"</f>
        <v>18:53:01.523</v>
      </c>
      <c r="B1100" t="s">
        <v>110</v>
      </c>
      <c r="C1100" t="str">
        <f t="shared" si="51"/>
        <v>ffdfd3c0</v>
      </c>
      <c r="D1100" t="s">
        <v>111</v>
      </c>
      <c r="E1100">
        <v>18</v>
      </c>
      <c r="F1100">
        <v>1018</v>
      </c>
      <c r="G1100" t="s">
        <v>112</v>
      </c>
      <c r="J1100" t="s">
        <v>113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R1100" t="s">
        <v>114</v>
      </c>
      <c r="S1100" t="str">
        <f>"18:53:01.297"</f>
        <v>18:53:01.297</v>
      </c>
      <c r="T1100" t="str">
        <f>"18:53:01.297"</f>
        <v>18:53:01.297</v>
      </c>
      <c r="U1100" t="str">
        <f t="shared" si="52"/>
        <v>a1cdbe</v>
      </c>
      <c r="V1100">
        <v>0</v>
      </c>
      <c r="W1100">
        <v>0</v>
      </c>
      <c r="X1100">
        <v>1</v>
      </c>
      <c r="Y1100">
        <v>0</v>
      </c>
      <c r="Z1100">
        <v>0</v>
      </c>
      <c r="AB1100">
        <v>0</v>
      </c>
      <c r="AC1100">
        <v>9</v>
      </c>
      <c r="AD1100">
        <v>3</v>
      </c>
      <c r="AE1100">
        <v>0</v>
      </c>
      <c r="AF1100">
        <v>9</v>
      </c>
      <c r="AG1100" t="s">
        <v>158</v>
      </c>
      <c r="AH1100">
        <v>0</v>
      </c>
      <c r="AI1100">
        <v>3</v>
      </c>
      <c r="AJ1100">
        <v>1</v>
      </c>
      <c r="AK1100">
        <v>0</v>
      </c>
      <c r="AL1100" t="s">
        <v>2155</v>
      </c>
      <c r="AM1100">
        <v>46.843085000000002</v>
      </c>
      <c r="AN1100" t="s">
        <v>2156</v>
      </c>
      <c r="AO1100">
        <v>-122.569227</v>
      </c>
      <c r="AP1100">
        <v>100</v>
      </c>
      <c r="AQ1100">
        <v>2000</v>
      </c>
      <c r="AR1100" t="s">
        <v>118</v>
      </c>
      <c r="AS1100">
        <v>-76</v>
      </c>
      <c r="AT1100">
        <v>-24</v>
      </c>
      <c r="AU1100">
        <v>192</v>
      </c>
      <c r="BC1100">
        <v>1200</v>
      </c>
      <c r="BD1100">
        <v>1</v>
      </c>
      <c r="BE1100" t="str">
        <f t="shared" si="53"/>
        <v xml:space="preserve">N215T   </v>
      </c>
      <c r="BF1100">
        <v>1</v>
      </c>
      <c r="BH1100">
        <v>0</v>
      </c>
      <c r="BI1100">
        <v>0</v>
      </c>
      <c r="BJ1100">
        <v>0</v>
      </c>
      <c r="BK1100">
        <v>2350</v>
      </c>
      <c r="BL1100">
        <v>350</v>
      </c>
      <c r="BM1100" t="s">
        <v>119</v>
      </c>
      <c r="BN1100">
        <v>1</v>
      </c>
      <c r="BO1100">
        <v>1</v>
      </c>
      <c r="BP1100">
        <v>1</v>
      </c>
      <c r="BQ1100">
        <v>0</v>
      </c>
      <c r="BT1100">
        <v>0</v>
      </c>
      <c r="BU1100">
        <v>0</v>
      </c>
      <c r="BV1100">
        <v>0</v>
      </c>
      <c r="CC1100" t="str">
        <f>"18:53:01.297"</f>
        <v>18:53:01.297</v>
      </c>
      <c r="CD1100" t="str">
        <f>"300451746"</f>
        <v>300451746</v>
      </c>
      <c r="CQ1100">
        <v>0</v>
      </c>
      <c r="CR1100">
        <v>2</v>
      </c>
      <c r="CS1100">
        <v>0</v>
      </c>
      <c r="CT1100">
        <v>2</v>
      </c>
      <c r="CU1100">
        <v>0</v>
      </c>
      <c r="CV1100">
        <v>6</v>
      </c>
      <c r="CW1100" t="s">
        <v>120</v>
      </c>
      <c r="CX1100">
        <v>261</v>
      </c>
      <c r="CY1100">
        <v>2</v>
      </c>
      <c r="CZ1100" t="s">
        <v>121</v>
      </c>
      <c r="DA1100" t="s">
        <v>122</v>
      </c>
      <c r="DD1100">
        <v>14848884</v>
      </c>
      <c r="DE1100" t="s">
        <v>123</v>
      </c>
    </row>
    <row r="1101" spans="1:109" x14ac:dyDescent="0.3">
      <c r="A1101" t="str">
        <f>"18:53:02.523"</f>
        <v>18:53:02.523</v>
      </c>
      <c r="B1101" t="s">
        <v>110</v>
      </c>
      <c r="C1101" t="str">
        <f t="shared" si="51"/>
        <v>ffdfd3c0</v>
      </c>
      <c r="D1101" t="s">
        <v>111</v>
      </c>
      <c r="E1101">
        <v>18</v>
      </c>
      <c r="F1101">
        <v>1018</v>
      </c>
      <c r="G1101" t="s">
        <v>112</v>
      </c>
      <c r="J1101" t="s">
        <v>113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R1101" t="s">
        <v>114</v>
      </c>
      <c r="S1101" t="str">
        <f>"18:53:02.273"</f>
        <v>18:53:02.273</v>
      </c>
      <c r="T1101" t="str">
        <f>"18:53:02.273"</f>
        <v>18:53:02.273</v>
      </c>
      <c r="U1101" t="str">
        <f t="shared" si="52"/>
        <v>a1cdbe</v>
      </c>
      <c r="V1101">
        <v>0</v>
      </c>
      <c r="W1101">
        <v>0</v>
      </c>
      <c r="X1101">
        <v>1</v>
      </c>
      <c r="Y1101">
        <v>0</v>
      </c>
      <c r="Z1101">
        <v>0</v>
      </c>
      <c r="AB1101">
        <v>0</v>
      </c>
      <c r="AC1101">
        <v>9</v>
      </c>
      <c r="AD1101">
        <v>3</v>
      </c>
      <c r="AE1101">
        <v>0</v>
      </c>
      <c r="AF1101">
        <v>9</v>
      </c>
      <c r="AG1101" t="s">
        <v>158</v>
      </c>
      <c r="AH1101">
        <v>0</v>
      </c>
      <c r="AI1101">
        <v>3</v>
      </c>
      <c r="AJ1101">
        <v>1</v>
      </c>
      <c r="AK1101">
        <v>0</v>
      </c>
      <c r="AL1101" t="s">
        <v>2157</v>
      </c>
      <c r="AM1101">
        <v>46.842956999999998</v>
      </c>
      <c r="AN1101" t="s">
        <v>2158</v>
      </c>
      <c r="AO1101">
        <v>-122.569721</v>
      </c>
      <c r="AP1101">
        <v>100</v>
      </c>
      <c r="AQ1101">
        <v>2000</v>
      </c>
      <c r="AR1101" t="s">
        <v>118</v>
      </c>
      <c r="AS1101">
        <v>-75</v>
      </c>
      <c r="AT1101">
        <v>-24</v>
      </c>
      <c r="AU1101">
        <v>192</v>
      </c>
      <c r="BC1101">
        <v>1200</v>
      </c>
      <c r="BD1101">
        <v>1</v>
      </c>
      <c r="BE1101" t="str">
        <f t="shared" si="53"/>
        <v xml:space="preserve">N215T   </v>
      </c>
      <c r="BF1101">
        <v>1</v>
      </c>
      <c r="BH1101">
        <v>0</v>
      </c>
      <c r="BI1101">
        <v>0</v>
      </c>
      <c r="BJ1101">
        <v>0</v>
      </c>
      <c r="BK1101">
        <v>2375</v>
      </c>
      <c r="BL1101">
        <v>375</v>
      </c>
      <c r="BM1101" t="s">
        <v>119</v>
      </c>
      <c r="BN1101">
        <v>1</v>
      </c>
      <c r="BO1101">
        <v>1</v>
      </c>
      <c r="BP1101">
        <v>1</v>
      </c>
      <c r="BQ1101">
        <v>0</v>
      </c>
      <c r="BT1101">
        <v>0</v>
      </c>
      <c r="BU1101">
        <v>0</v>
      </c>
      <c r="BV1101">
        <v>0</v>
      </c>
      <c r="CC1101" t="str">
        <f>"18:53:02.273"</f>
        <v>18:53:02.273</v>
      </c>
      <c r="CD1101" t="str">
        <f>"275355748"</f>
        <v>275355748</v>
      </c>
      <c r="CQ1101">
        <v>0</v>
      </c>
      <c r="CR1101">
        <v>2</v>
      </c>
      <c r="CS1101">
        <v>0</v>
      </c>
      <c r="CT1101">
        <v>2</v>
      </c>
      <c r="CU1101">
        <v>0</v>
      </c>
      <c r="CV1101">
        <v>6</v>
      </c>
      <c r="CW1101" t="s">
        <v>120</v>
      </c>
      <c r="CX1101">
        <v>261</v>
      </c>
      <c r="CY1101">
        <v>2</v>
      </c>
      <c r="CZ1101" t="s">
        <v>121</v>
      </c>
      <c r="DA1101" t="s">
        <v>122</v>
      </c>
      <c r="DD1101">
        <v>14849551</v>
      </c>
      <c r="DE1101" t="s">
        <v>123</v>
      </c>
    </row>
    <row r="1102" spans="1:109" x14ac:dyDescent="0.3">
      <c r="A1102" t="str">
        <f>"18:53:03.383"</f>
        <v>18:53:03.383</v>
      </c>
      <c r="B1102" t="s">
        <v>110</v>
      </c>
      <c r="C1102" t="str">
        <f t="shared" si="51"/>
        <v>ffdfd3c0</v>
      </c>
      <c r="D1102" t="s">
        <v>111</v>
      </c>
      <c r="E1102">
        <v>18</v>
      </c>
      <c r="F1102">
        <v>1018</v>
      </c>
      <c r="G1102" t="s">
        <v>112</v>
      </c>
      <c r="J1102" t="s">
        <v>113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R1102" t="s">
        <v>114</v>
      </c>
      <c r="S1102" t="str">
        <f>"18:53:03.156"</f>
        <v>18:53:03.156</v>
      </c>
      <c r="T1102" t="str">
        <f>"18:53:03.055"</f>
        <v>18:53:03.055</v>
      </c>
      <c r="U1102" t="str">
        <f t="shared" si="52"/>
        <v>a1cdbe</v>
      </c>
      <c r="V1102">
        <v>0</v>
      </c>
      <c r="W1102">
        <v>0</v>
      </c>
      <c r="X1102">
        <v>1</v>
      </c>
      <c r="Y1102">
        <v>0</v>
      </c>
      <c r="Z1102">
        <v>0</v>
      </c>
      <c r="AB1102">
        <v>0</v>
      </c>
      <c r="AC1102">
        <v>9</v>
      </c>
      <c r="AD1102">
        <v>3</v>
      </c>
      <c r="AE1102">
        <v>0</v>
      </c>
      <c r="AF1102">
        <v>9</v>
      </c>
      <c r="AG1102" t="s">
        <v>158</v>
      </c>
      <c r="AH1102">
        <v>0</v>
      </c>
      <c r="AI1102">
        <v>3</v>
      </c>
      <c r="AJ1102">
        <v>1</v>
      </c>
      <c r="AK1102">
        <v>0</v>
      </c>
      <c r="AL1102" t="s">
        <v>2159</v>
      </c>
      <c r="AM1102">
        <v>46.842871000000002</v>
      </c>
      <c r="AN1102" t="s">
        <v>2160</v>
      </c>
      <c r="AO1102">
        <v>-122.57010699999999</v>
      </c>
      <c r="AP1102">
        <v>100</v>
      </c>
      <c r="AQ1102">
        <v>2000</v>
      </c>
      <c r="AR1102" t="s">
        <v>118</v>
      </c>
      <c r="AS1102">
        <v>-75</v>
      </c>
      <c r="AT1102">
        <v>-24</v>
      </c>
      <c r="AU1102">
        <v>128</v>
      </c>
      <c r="BC1102">
        <v>1200</v>
      </c>
      <c r="BD1102">
        <v>1</v>
      </c>
      <c r="BE1102" t="str">
        <f t="shared" si="53"/>
        <v xml:space="preserve">N215T   </v>
      </c>
      <c r="BF1102">
        <v>1</v>
      </c>
      <c r="BH1102">
        <v>0</v>
      </c>
      <c r="BI1102">
        <v>0</v>
      </c>
      <c r="BJ1102">
        <v>0</v>
      </c>
      <c r="BK1102">
        <v>2375</v>
      </c>
      <c r="BL1102">
        <v>375</v>
      </c>
      <c r="BM1102" t="s">
        <v>119</v>
      </c>
      <c r="BN1102">
        <v>1</v>
      </c>
      <c r="BO1102">
        <v>1</v>
      </c>
      <c r="BP1102">
        <v>1</v>
      </c>
      <c r="BQ1102">
        <v>0</v>
      </c>
      <c r="BT1102">
        <v>0</v>
      </c>
      <c r="BU1102">
        <v>0</v>
      </c>
      <c r="BV1102">
        <v>0</v>
      </c>
      <c r="CC1102" t="str">
        <f>"18:53:03.164"</f>
        <v>18:53:03.164</v>
      </c>
      <c r="CD1102" t="str">
        <f>"160268615"</f>
        <v>160268615</v>
      </c>
      <c r="CQ1102">
        <v>0</v>
      </c>
      <c r="CR1102">
        <v>2</v>
      </c>
      <c r="CS1102">
        <v>0</v>
      </c>
      <c r="CT1102">
        <v>2</v>
      </c>
      <c r="CU1102">
        <v>0</v>
      </c>
      <c r="CV1102">
        <v>6</v>
      </c>
      <c r="CW1102" t="s">
        <v>120</v>
      </c>
      <c r="CX1102">
        <v>261</v>
      </c>
      <c r="CY1102">
        <v>2</v>
      </c>
      <c r="CZ1102" t="s">
        <v>121</v>
      </c>
      <c r="DA1102" t="s">
        <v>122</v>
      </c>
      <c r="DD1102">
        <v>14850123</v>
      </c>
      <c r="DE1102" t="s">
        <v>123</v>
      </c>
    </row>
    <row r="1103" spans="1:109" x14ac:dyDescent="0.3">
      <c r="A1103" t="str">
        <f>"18:53:04.383"</f>
        <v>18:53:04.383</v>
      </c>
      <c r="B1103" t="s">
        <v>110</v>
      </c>
      <c r="C1103" t="str">
        <f t="shared" si="51"/>
        <v>ffdfd3c0</v>
      </c>
      <c r="D1103" t="s">
        <v>111</v>
      </c>
      <c r="E1103">
        <v>18</v>
      </c>
      <c r="F1103">
        <v>1018</v>
      </c>
      <c r="G1103" t="s">
        <v>112</v>
      </c>
      <c r="J1103" t="s">
        <v>113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R1103" t="s">
        <v>114</v>
      </c>
      <c r="S1103" t="str">
        <f>"18:53:04.164"</f>
        <v>18:53:04.164</v>
      </c>
      <c r="T1103" t="str">
        <f>"18:53:04.164"</f>
        <v>18:53:04.164</v>
      </c>
      <c r="U1103" t="str">
        <f t="shared" si="52"/>
        <v>a1cdbe</v>
      </c>
      <c r="V1103">
        <v>0</v>
      </c>
      <c r="W1103">
        <v>0</v>
      </c>
      <c r="X1103">
        <v>1</v>
      </c>
      <c r="Y1103">
        <v>0</v>
      </c>
      <c r="Z1103">
        <v>0</v>
      </c>
      <c r="AB1103">
        <v>0</v>
      </c>
      <c r="AC1103">
        <v>9</v>
      </c>
      <c r="AD1103">
        <v>3</v>
      </c>
      <c r="AE1103">
        <v>0</v>
      </c>
      <c r="AF1103">
        <v>9</v>
      </c>
      <c r="AG1103" t="s">
        <v>158</v>
      </c>
      <c r="AH1103">
        <v>0</v>
      </c>
      <c r="AI1103">
        <v>3</v>
      </c>
      <c r="AJ1103">
        <v>1</v>
      </c>
      <c r="AK1103">
        <v>0</v>
      </c>
      <c r="AL1103" t="s">
        <v>2161</v>
      </c>
      <c r="AM1103">
        <v>46.842762999999998</v>
      </c>
      <c r="AN1103" t="s">
        <v>2162</v>
      </c>
      <c r="AO1103">
        <v>-122.57068599999999</v>
      </c>
      <c r="AP1103">
        <v>100</v>
      </c>
      <c r="AQ1103">
        <v>2000</v>
      </c>
      <c r="AR1103" t="s">
        <v>118</v>
      </c>
      <c r="AS1103">
        <v>-75</v>
      </c>
      <c r="AT1103">
        <v>-24</v>
      </c>
      <c r="AU1103">
        <v>192</v>
      </c>
      <c r="BC1103">
        <v>1200</v>
      </c>
      <c r="BD1103">
        <v>1</v>
      </c>
      <c r="BE1103" t="str">
        <f t="shared" si="53"/>
        <v xml:space="preserve">N215T   </v>
      </c>
      <c r="BF1103">
        <v>1</v>
      </c>
      <c r="BH1103">
        <v>0</v>
      </c>
      <c r="BI1103">
        <v>0</v>
      </c>
      <c r="BJ1103">
        <v>0</v>
      </c>
      <c r="BK1103">
        <v>2375</v>
      </c>
      <c r="BL1103">
        <v>375</v>
      </c>
      <c r="BM1103" t="s">
        <v>119</v>
      </c>
      <c r="BN1103">
        <v>1</v>
      </c>
      <c r="BO1103">
        <v>1</v>
      </c>
      <c r="BP1103">
        <v>1</v>
      </c>
      <c r="BQ1103">
        <v>0</v>
      </c>
      <c r="BT1103">
        <v>0</v>
      </c>
      <c r="BU1103">
        <v>0</v>
      </c>
      <c r="BV1103">
        <v>0</v>
      </c>
      <c r="CC1103" t="str">
        <f>"18:53:04.164"</f>
        <v>18:53:04.164</v>
      </c>
      <c r="CD1103" t="str">
        <f>"165169684"</f>
        <v>165169684</v>
      </c>
      <c r="CQ1103">
        <v>0</v>
      </c>
      <c r="CR1103">
        <v>2</v>
      </c>
      <c r="CS1103">
        <v>0</v>
      </c>
      <c r="CT1103">
        <v>2</v>
      </c>
      <c r="CU1103">
        <v>0</v>
      </c>
      <c r="CV1103">
        <v>6</v>
      </c>
      <c r="CW1103" t="s">
        <v>120</v>
      </c>
      <c r="CX1103">
        <v>261</v>
      </c>
      <c r="CY1103">
        <v>2</v>
      </c>
      <c r="CZ1103" t="s">
        <v>121</v>
      </c>
      <c r="DA1103" t="s">
        <v>122</v>
      </c>
      <c r="DD1103">
        <v>14850757</v>
      </c>
      <c r="DE1103" t="s">
        <v>123</v>
      </c>
    </row>
    <row r="1104" spans="1:109" x14ac:dyDescent="0.3">
      <c r="A1104" t="str">
        <f>"18:53:05.445"</f>
        <v>18:53:05.445</v>
      </c>
      <c r="B1104" t="s">
        <v>110</v>
      </c>
      <c r="C1104" t="str">
        <f t="shared" si="51"/>
        <v>ffdfd3c0</v>
      </c>
      <c r="D1104" t="s">
        <v>111</v>
      </c>
      <c r="E1104">
        <v>18</v>
      </c>
      <c r="F1104">
        <v>1018</v>
      </c>
      <c r="G1104" t="s">
        <v>112</v>
      </c>
      <c r="J1104" t="s">
        <v>113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R1104" t="s">
        <v>114</v>
      </c>
      <c r="S1104" t="str">
        <f>"18:53:05.164"</f>
        <v>18:53:05.164</v>
      </c>
      <c r="T1104" t="str">
        <f>"18:53:05.164"</f>
        <v>18:53:05.164</v>
      </c>
      <c r="U1104" t="str">
        <f t="shared" si="52"/>
        <v>a1cdbe</v>
      </c>
      <c r="V1104">
        <v>0</v>
      </c>
      <c r="W1104">
        <v>0</v>
      </c>
      <c r="X1104">
        <v>1</v>
      </c>
      <c r="Y1104">
        <v>0</v>
      </c>
      <c r="Z1104">
        <v>0</v>
      </c>
      <c r="AB1104">
        <v>0</v>
      </c>
      <c r="AC1104">
        <v>9</v>
      </c>
      <c r="AD1104">
        <v>3</v>
      </c>
      <c r="AE1104">
        <v>0</v>
      </c>
      <c r="AF1104">
        <v>9</v>
      </c>
      <c r="AG1104" t="s">
        <v>158</v>
      </c>
      <c r="AH1104">
        <v>0</v>
      </c>
      <c r="AI1104">
        <v>3</v>
      </c>
      <c r="AJ1104">
        <v>1</v>
      </c>
      <c r="AK1104">
        <v>0</v>
      </c>
      <c r="AL1104" t="s">
        <v>2163</v>
      </c>
      <c r="AM1104">
        <v>46.842677999999999</v>
      </c>
      <c r="AN1104" t="s">
        <v>2164</v>
      </c>
      <c r="AO1104">
        <v>-122.57118</v>
      </c>
      <c r="AP1104">
        <v>100</v>
      </c>
      <c r="AQ1104">
        <v>2000</v>
      </c>
      <c r="AR1104" t="s">
        <v>118</v>
      </c>
      <c r="AS1104">
        <v>-74</v>
      </c>
      <c r="AT1104">
        <v>-24</v>
      </c>
      <c r="AU1104">
        <v>192</v>
      </c>
      <c r="BC1104">
        <v>1200</v>
      </c>
      <c r="BD1104">
        <v>1</v>
      </c>
      <c r="BE1104" t="str">
        <f t="shared" si="53"/>
        <v xml:space="preserve">N215T   </v>
      </c>
      <c r="BF1104">
        <v>1</v>
      </c>
      <c r="BH1104">
        <v>0</v>
      </c>
      <c r="BI1104">
        <v>0</v>
      </c>
      <c r="BJ1104">
        <v>0</v>
      </c>
      <c r="BK1104">
        <v>2375</v>
      </c>
      <c r="BL1104">
        <v>375</v>
      </c>
      <c r="BM1104" t="s">
        <v>119</v>
      </c>
      <c r="BN1104">
        <v>1</v>
      </c>
      <c r="BO1104">
        <v>1</v>
      </c>
      <c r="BP1104">
        <v>1</v>
      </c>
      <c r="BQ1104">
        <v>0</v>
      </c>
      <c r="BT1104">
        <v>0</v>
      </c>
      <c r="BU1104">
        <v>0</v>
      </c>
      <c r="BV1104">
        <v>0</v>
      </c>
      <c r="CC1104" t="str">
        <f>"18:53:05.172"</f>
        <v>18:53:05.172</v>
      </c>
      <c r="CD1104" t="str">
        <f>"170070746"</f>
        <v>170070746</v>
      </c>
      <c r="CQ1104">
        <v>0</v>
      </c>
      <c r="CR1104">
        <v>2</v>
      </c>
      <c r="CS1104">
        <v>0</v>
      </c>
      <c r="CT1104">
        <v>2</v>
      </c>
      <c r="CU1104">
        <v>0</v>
      </c>
      <c r="CV1104">
        <v>6</v>
      </c>
      <c r="CW1104" t="s">
        <v>120</v>
      </c>
      <c r="CX1104">
        <v>261</v>
      </c>
      <c r="CY1104">
        <v>2</v>
      </c>
      <c r="CZ1104" t="s">
        <v>121</v>
      </c>
      <c r="DA1104" t="s">
        <v>122</v>
      </c>
      <c r="DD1104">
        <v>14851378</v>
      </c>
      <c r="DE1104" t="s">
        <v>123</v>
      </c>
    </row>
    <row r="1105" spans="1:109" x14ac:dyDescent="0.3">
      <c r="A1105" t="str">
        <f>"18:53:06.445"</f>
        <v>18:53:06.445</v>
      </c>
      <c r="B1105" t="s">
        <v>110</v>
      </c>
      <c r="C1105" t="str">
        <f t="shared" si="51"/>
        <v>ffdfd3c0</v>
      </c>
      <c r="D1105" t="s">
        <v>111</v>
      </c>
      <c r="E1105">
        <v>18</v>
      </c>
      <c r="F1105">
        <v>1018</v>
      </c>
      <c r="G1105" t="s">
        <v>112</v>
      </c>
      <c r="J1105" t="s">
        <v>113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R1105" t="s">
        <v>114</v>
      </c>
      <c r="S1105" t="str">
        <f>"18:53:06.234"</f>
        <v>18:53:06.234</v>
      </c>
      <c r="T1105" t="str">
        <f>"18:53:06.133"</f>
        <v>18:53:06.133</v>
      </c>
      <c r="U1105" t="str">
        <f t="shared" si="52"/>
        <v>a1cdbe</v>
      </c>
      <c r="V1105">
        <v>0</v>
      </c>
      <c r="W1105">
        <v>0</v>
      </c>
      <c r="X1105">
        <v>1</v>
      </c>
      <c r="Y1105">
        <v>0</v>
      </c>
      <c r="Z1105">
        <v>0</v>
      </c>
      <c r="AB1105">
        <v>0</v>
      </c>
      <c r="AC1105">
        <v>9</v>
      </c>
      <c r="AD1105">
        <v>3</v>
      </c>
      <c r="AE1105">
        <v>0</v>
      </c>
      <c r="AF1105">
        <v>9</v>
      </c>
      <c r="AG1105" t="s">
        <v>158</v>
      </c>
      <c r="AH1105">
        <v>0</v>
      </c>
      <c r="AI1105">
        <v>3</v>
      </c>
      <c r="AJ1105">
        <v>1</v>
      </c>
      <c r="AK1105">
        <v>0</v>
      </c>
      <c r="AL1105" t="s">
        <v>2165</v>
      </c>
      <c r="AM1105">
        <v>46.842526999999997</v>
      </c>
      <c r="AN1105" t="s">
        <v>2166</v>
      </c>
      <c r="AO1105">
        <v>-122.571716</v>
      </c>
      <c r="AP1105">
        <v>100</v>
      </c>
      <c r="AQ1105">
        <v>2000</v>
      </c>
      <c r="AR1105" t="s">
        <v>118</v>
      </c>
      <c r="AS1105">
        <v>-74</v>
      </c>
      <c r="AT1105">
        <v>-24</v>
      </c>
      <c r="AU1105">
        <v>192</v>
      </c>
      <c r="BC1105">
        <v>1200</v>
      </c>
      <c r="BD1105">
        <v>1</v>
      </c>
      <c r="BE1105" t="str">
        <f t="shared" si="53"/>
        <v xml:space="preserve">N215T   </v>
      </c>
      <c r="BF1105">
        <v>1</v>
      </c>
      <c r="BH1105">
        <v>0</v>
      </c>
      <c r="BI1105">
        <v>0</v>
      </c>
      <c r="BJ1105">
        <v>0</v>
      </c>
      <c r="BK1105">
        <v>2375</v>
      </c>
      <c r="BL1105">
        <v>375</v>
      </c>
      <c r="BM1105" t="s">
        <v>119</v>
      </c>
      <c r="BN1105">
        <v>1</v>
      </c>
      <c r="BO1105">
        <v>1</v>
      </c>
      <c r="BP1105">
        <v>1</v>
      </c>
      <c r="BQ1105">
        <v>0</v>
      </c>
      <c r="BT1105">
        <v>0</v>
      </c>
      <c r="BU1105">
        <v>0</v>
      </c>
      <c r="BV1105">
        <v>0</v>
      </c>
      <c r="CC1105" t="str">
        <f>"18:53:06.234"</f>
        <v>18:53:06.234</v>
      </c>
      <c r="CD1105" t="str">
        <f>"234965896"</f>
        <v>234965896</v>
      </c>
      <c r="CQ1105">
        <v>0</v>
      </c>
      <c r="CR1105">
        <v>2</v>
      </c>
      <c r="CS1105">
        <v>0</v>
      </c>
      <c r="CT1105">
        <v>2</v>
      </c>
      <c r="CU1105">
        <v>0</v>
      </c>
      <c r="CV1105">
        <v>6</v>
      </c>
      <c r="CW1105" t="s">
        <v>120</v>
      </c>
      <c r="CX1105">
        <v>261</v>
      </c>
      <c r="CY1105">
        <v>2</v>
      </c>
      <c r="CZ1105" t="s">
        <v>121</v>
      </c>
      <c r="DA1105" t="s">
        <v>122</v>
      </c>
      <c r="DD1105">
        <v>14852076</v>
      </c>
      <c r="DE1105" t="s">
        <v>123</v>
      </c>
    </row>
    <row r="1106" spans="1:109" x14ac:dyDescent="0.3">
      <c r="A1106" t="str">
        <f>"18:53:07.555"</f>
        <v>18:53:07.555</v>
      </c>
      <c r="B1106" t="s">
        <v>110</v>
      </c>
      <c r="C1106" t="str">
        <f t="shared" si="51"/>
        <v>ffdfd3c0</v>
      </c>
      <c r="D1106" t="s">
        <v>111</v>
      </c>
      <c r="E1106">
        <v>18</v>
      </c>
      <c r="F1106">
        <v>1018</v>
      </c>
      <c r="G1106" t="s">
        <v>112</v>
      </c>
      <c r="J1106" t="s">
        <v>113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R1106" t="s">
        <v>114</v>
      </c>
      <c r="S1106" t="str">
        <f>"18:53:07.297"</f>
        <v>18:53:07.297</v>
      </c>
      <c r="T1106" t="str">
        <f>"18:53:07.094"</f>
        <v>18:53:07.094</v>
      </c>
      <c r="U1106" t="str">
        <f t="shared" si="52"/>
        <v>a1cdbe</v>
      </c>
      <c r="V1106">
        <v>0</v>
      </c>
      <c r="W1106">
        <v>0</v>
      </c>
      <c r="X1106">
        <v>1</v>
      </c>
      <c r="Y1106">
        <v>0</v>
      </c>
      <c r="Z1106">
        <v>0</v>
      </c>
      <c r="AB1106">
        <v>0</v>
      </c>
      <c r="AC1106">
        <v>9</v>
      </c>
      <c r="AD1106">
        <v>3</v>
      </c>
      <c r="AE1106">
        <v>0</v>
      </c>
      <c r="AF1106">
        <v>9</v>
      </c>
      <c r="AG1106" t="s">
        <v>158</v>
      </c>
      <c r="AH1106">
        <v>0</v>
      </c>
      <c r="AI1106">
        <v>3</v>
      </c>
      <c r="AJ1106">
        <v>1</v>
      </c>
      <c r="AK1106">
        <v>0</v>
      </c>
      <c r="AL1106" t="s">
        <v>2167</v>
      </c>
      <c r="AM1106">
        <v>46.842463000000002</v>
      </c>
      <c r="AN1106" t="s">
        <v>2168</v>
      </c>
      <c r="AO1106">
        <v>-122.572253</v>
      </c>
      <c r="AP1106">
        <v>100</v>
      </c>
      <c r="AQ1106">
        <v>2000</v>
      </c>
      <c r="AR1106" t="s">
        <v>118</v>
      </c>
      <c r="AS1106">
        <v>-74</v>
      </c>
      <c r="AT1106">
        <v>-23</v>
      </c>
      <c r="AU1106">
        <v>192</v>
      </c>
      <c r="BC1106">
        <v>1200</v>
      </c>
      <c r="BD1106">
        <v>1</v>
      </c>
      <c r="BE1106" t="str">
        <f t="shared" si="53"/>
        <v xml:space="preserve">N215T   </v>
      </c>
      <c r="BF1106">
        <v>1</v>
      </c>
      <c r="BH1106">
        <v>0</v>
      </c>
      <c r="BI1106">
        <v>0</v>
      </c>
      <c r="BJ1106">
        <v>0</v>
      </c>
      <c r="BK1106">
        <v>2375</v>
      </c>
      <c r="BL1106">
        <v>375</v>
      </c>
      <c r="BM1106" t="s">
        <v>119</v>
      </c>
      <c r="BN1106">
        <v>1</v>
      </c>
      <c r="BO1106">
        <v>1</v>
      </c>
      <c r="BP1106">
        <v>1</v>
      </c>
      <c r="BQ1106">
        <v>0</v>
      </c>
      <c r="BT1106">
        <v>0</v>
      </c>
      <c r="BU1106">
        <v>0</v>
      </c>
      <c r="BV1106">
        <v>0</v>
      </c>
      <c r="CC1106" t="str">
        <f>"18:53:07.297"</f>
        <v>18:53:07.297</v>
      </c>
      <c r="CD1106" t="str">
        <f>"299861036"</f>
        <v>299861036</v>
      </c>
      <c r="CQ1106">
        <v>0</v>
      </c>
      <c r="CR1106">
        <v>2</v>
      </c>
      <c r="CS1106">
        <v>0</v>
      </c>
      <c r="CT1106">
        <v>2</v>
      </c>
      <c r="CU1106">
        <v>0</v>
      </c>
      <c r="CV1106">
        <v>5</v>
      </c>
      <c r="CW1106" t="s">
        <v>120</v>
      </c>
      <c r="CX1106">
        <v>261</v>
      </c>
      <c r="CY1106">
        <v>2</v>
      </c>
      <c r="CZ1106" t="s">
        <v>121</v>
      </c>
      <c r="DA1106" t="s">
        <v>122</v>
      </c>
      <c r="DD1106">
        <v>14852797</v>
      </c>
      <c r="DE1106" t="s">
        <v>123</v>
      </c>
    </row>
    <row r="1107" spans="1:109" x14ac:dyDescent="0.3">
      <c r="A1107" t="str">
        <f>"18:53:08.508"</f>
        <v>18:53:08.508</v>
      </c>
      <c r="B1107" t="s">
        <v>110</v>
      </c>
      <c r="C1107" t="str">
        <f t="shared" si="51"/>
        <v>ffdfd3c0</v>
      </c>
      <c r="D1107" t="s">
        <v>111</v>
      </c>
      <c r="E1107">
        <v>18</v>
      </c>
      <c r="F1107">
        <v>1018</v>
      </c>
      <c r="G1107" t="s">
        <v>112</v>
      </c>
      <c r="J1107" t="s">
        <v>113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R1107" t="s">
        <v>114</v>
      </c>
      <c r="S1107" t="str">
        <f>"18:53:08.242"</f>
        <v>18:53:08.242</v>
      </c>
      <c r="T1107" t="str">
        <f>"18:53:07.742"</f>
        <v>18:53:07.742</v>
      </c>
      <c r="U1107" t="str">
        <f t="shared" si="52"/>
        <v>a1cdbe</v>
      </c>
      <c r="V1107">
        <v>0</v>
      </c>
      <c r="W1107">
        <v>0</v>
      </c>
      <c r="X1107">
        <v>1</v>
      </c>
      <c r="Y1107">
        <v>0</v>
      </c>
      <c r="Z1107">
        <v>0</v>
      </c>
      <c r="AB1107">
        <v>0</v>
      </c>
      <c r="AC1107">
        <v>9</v>
      </c>
      <c r="AD1107">
        <v>3</v>
      </c>
      <c r="AE1107">
        <v>0</v>
      </c>
      <c r="AF1107">
        <v>9</v>
      </c>
      <c r="AG1107" t="s">
        <v>158</v>
      </c>
      <c r="AH1107">
        <v>0</v>
      </c>
      <c r="AI1107">
        <v>3</v>
      </c>
      <c r="AJ1107">
        <v>1</v>
      </c>
      <c r="AK1107">
        <v>0</v>
      </c>
      <c r="AL1107" t="s">
        <v>2169</v>
      </c>
      <c r="AM1107">
        <v>46.842356000000002</v>
      </c>
      <c r="AN1107" t="s">
        <v>2170</v>
      </c>
      <c r="AO1107">
        <v>-122.572682</v>
      </c>
      <c r="AP1107">
        <v>100</v>
      </c>
      <c r="AQ1107">
        <v>2000</v>
      </c>
      <c r="AR1107" t="s">
        <v>118</v>
      </c>
      <c r="AS1107">
        <v>-74</v>
      </c>
      <c r="AT1107">
        <v>-22</v>
      </c>
      <c r="AU1107">
        <v>128</v>
      </c>
      <c r="BC1107">
        <v>1200</v>
      </c>
      <c r="BD1107">
        <v>1</v>
      </c>
      <c r="BE1107" t="str">
        <f t="shared" si="53"/>
        <v xml:space="preserve">N215T   </v>
      </c>
      <c r="BF1107">
        <v>1</v>
      </c>
      <c r="BH1107">
        <v>0</v>
      </c>
      <c r="BI1107">
        <v>0</v>
      </c>
      <c r="BJ1107">
        <v>0</v>
      </c>
      <c r="BK1107">
        <v>2375</v>
      </c>
      <c r="BL1107">
        <v>375</v>
      </c>
      <c r="BM1107" t="s">
        <v>119</v>
      </c>
      <c r="BN1107">
        <v>1</v>
      </c>
      <c r="BO1107">
        <v>1</v>
      </c>
      <c r="BP1107">
        <v>1</v>
      </c>
      <c r="BQ1107">
        <v>0</v>
      </c>
      <c r="BT1107">
        <v>0</v>
      </c>
      <c r="BU1107">
        <v>0</v>
      </c>
      <c r="BV1107">
        <v>0</v>
      </c>
      <c r="CC1107" t="str">
        <f>"18:53:08.242"</f>
        <v>18:53:08.242</v>
      </c>
      <c r="CD1107" t="str">
        <f>"244768003"</f>
        <v>244768003</v>
      </c>
      <c r="CQ1107">
        <v>0</v>
      </c>
      <c r="CR1107">
        <v>2</v>
      </c>
      <c r="CS1107">
        <v>0</v>
      </c>
      <c r="CT1107">
        <v>2</v>
      </c>
      <c r="CU1107">
        <v>0</v>
      </c>
      <c r="CV1107">
        <v>5</v>
      </c>
      <c r="CW1107" t="s">
        <v>120</v>
      </c>
      <c r="CX1107">
        <v>261</v>
      </c>
      <c r="CY1107">
        <v>2</v>
      </c>
      <c r="CZ1107" t="s">
        <v>121</v>
      </c>
      <c r="DA1107" t="s">
        <v>122</v>
      </c>
      <c r="DD1107">
        <v>14853370</v>
      </c>
      <c r="DE1107" t="s">
        <v>123</v>
      </c>
    </row>
    <row r="1108" spans="1:109" x14ac:dyDescent="0.3">
      <c r="A1108" t="str">
        <f>"18:53:09.469"</f>
        <v>18:53:09.469</v>
      </c>
      <c r="B1108" t="s">
        <v>110</v>
      </c>
      <c r="C1108" t="str">
        <f t="shared" si="51"/>
        <v>ffdfd3c0</v>
      </c>
      <c r="D1108" t="s">
        <v>111</v>
      </c>
      <c r="E1108">
        <v>18</v>
      </c>
      <c r="F1108">
        <v>1018</v>
      </c>
      <c r="G1108" t="s">
        <v>112</v>
      </c>
      <c r="J1108" t="s">
        <v>113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R1108" t="s">
        <v>114</v>
      </c>
      <c r="S1108" t="str">
        <f>"18:53:09.234"</f>
        <v>18:53:09.234</v>
      </c>
      <c r="T1108" t="str">
        <f>"18:53:09.234"</f>
        <v>18:53:09.234</v>
      </c>
      <c r="U1108" t="str">
        <f t="shared" si="52"/>
        <v>a1cdbe</v>
      </c>
      <c r="V1108">
        <v>0</v>
      </c>
      <c r="W1108">
        <v>0</v>
      </c>
      <c r="X1108">
        <v>1</v>
      </c>
      <c r="Y1108">
        <v>0</v>
      </c>
      <c r="Z1108">
        <v>0</v>
      </c>
      <c r="AB1108">
        <v>0</v>
      </c>
      <c r="AC1108">
        <v>9</v>
      </c>
      <c r="AD1108">
        <v>3</v>
      </c>
      <c r="AE1108">
        <v>0</v>
      </c>
      <c r="AF1108">
        <v>9</v>
      </c>
      <c r="AG1108" t="s">
        <v>158</v>
      </c>
      <c r="AH1108">
        <v>0</v>
      </c>
      <c r="AI1108">
        <v>3</v>
      </c>
      <c r="AJ1108">
        <v>1</v>
      </c>
      <c r="AK1108">
        <v>0</v>
      </c>
      <c r="AL1108" t="s">
        <v>2171</v>
      </c>
      <c r="AM1108">
        <v>46.842227000000001</v>
      </c>
      <c r="AN1108" t="s">
        <v>2172</v>
      </c>
      <c r="AO1108">
        <v>-122.57319699999999</v>
      </c>
      <c r="AP1108">
        <v>100</v>
      </c>
      <c r="AQ1108">
        <v>2000</v>
      </c>
      <c r="AR1108" t="s">
        <v>118</v>
      </c>
      <c r="AS1108">
        <v>-73</v>
      </c>
      <c r="AT1108">
        <v>-21</v>
      </c>
      <c r="AU1108">
        <v>64</v>
      </c>
      <c r="BC1108">
        <v>1200</v>
      </c>
      <c r="BD1108">
        <v>1</v>
      </c>
      <c r="BE1108" t="str">
        <f t="shared" si="53"/>
        <v xml:space="preserve">N215T   </v>
      </c>
      <c r="BF1108">
        <v>1</v>
      </c>
      <c r="BH1108">
        <v>0</v>
      </c>
      <c r="BI1108">
        <v>0</v>
      </c>
      <c r="BJ1108">
        <v>0</v>
      </c>
      <c r="BK1108">
        <v>2375</v>
      </c>
      <c r="BL1108">
        <v>375</v>
      </c>
      <c r="BM1108" t="s">
        <v>119</v>
      </c>
      <c r="BN1108">
        <v>1</v>
      </c>
      <c r="BO1108">
        <v>1</v>
      </c>
      <c r="BP1108">
        <v>1</v>
      </c>
      <c r="BQ1108">
        <v>0</v>
      </c>
      <c r="BT1108">
        <v>0</v>
      </c>
      <c r="BU1108">
        <v>0</v>
      </c>
      <c r="BV1108">
        <v>0</v>
      </c>
      <c r="CC1108" t="str">
        <f>"18:53:09.234"</f>
        <v>18:53:09.234</v>
      </c>
      <c r="CD1108" t="str">
        <f>"234670529"</f>
        <v>234670529</v>
      </c>
      <c r="CQ1108">
        <v>0</v>
      </c>
      <c r="CR1108">
        <v>2</v>
      </c>
      <c r="CS1108">
        <v>0</v>
      </c>
      <c r="CT1108">
        <v>2</v>
      </c>
      <c r="CU1108">
        <v>0</v>
      </c>
      <c r="CV1108">
        <v>5</v>
      </c>
      <c r="CW1108" t="s">
        <v>120</v>
      </c>
      <c r="CX1108">
        <v>261</v>
      </c>
      <c r="CY1108">
        <v>1</v>
      </c>
      <c r="CZ1108" t="s">
        <v>121</v>
      </c>
      <c r="DA1108" t="s">
        <v>122</v>
      </c>
      <c r="DD1108">
        <v>3785086</v>
      </c>
      <c r="DE1108" t="s">
        <v>123</v>
      </c>
    </row>
    <row r="1109" spans="1:109" x14ac:dyDescent="0.3">
      <c r="A1109" t="str">
        <f>"18:53:10.367"</f>
        <v>18:53:10.367</v>
      </c>
      <c r="B1109" t="s">
        <v>110</v>
      </c>
      <c r="C1109" t="str">
        <f t="shared" si="51"/>
        <v>ffdfd3c0</v>
      </c>
      <c r="D1109" t="s">
        <v>111</v>
      </c>
      <c r="E1109">
        <v>18</v>
      </c>
      <c r="F1109">
        <v>1018</v>
      </c>
      <c r="G1109" t="s">
        <v>112</v>
      </c>
      <c r="J1109" t="s">
        <v>113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R1109" t="s">
        <v>114</v>
      </c>
      <c r="S1109" t="str">
        <f>"18:53:10.102"</f>
        <v>18:53:10.102</v>
      </c>
      <c r="T1109" t="str">
        <f>"18:53:09.805"</f>
        <v>18:53:09.805</v>
      </c>
      <c r="U1109" t="str">
        <f t="shared" si="52"/>
        <v>a1cdbe</v>
      </c>
      <c r="V1109">
        <v>0</v>
      </c>
      <c r="W1109">
        <v>0</v>
      </c>
      <c r="X1109">
        <v>1</v>
      </c>
      <c r="Y1109">
        <v>0</v>
      </c>
      <c r="Z1109">
        <v>0</v>
      </c>
      <c r="AB1109">
        <v>0</v>
      </c>
      <c r="AC1109">
        <v>9</v>
      </c>
      <c r="AD1109">
        <v>3</v>
      </c>
      <c r="AE1109">
        <v>0</v>
      </c>
      <c r="AF1109">
        <v>9</v>
      </c>
      <c r="AG1109" t="s">
        <v>158</v>
      </c>
      <c r="AH1109">
        <v>0</v>
      </c>
      <c r="AI1109">
        <v>3</v>
      </c>
      <c r="AJ1109">
        <v>1</v>
      </c>
      <c r="AK1109">
        <v>0</v>
      </c>
      <c r="AL1109" t="s">
        <v>2173</v>
      </c>
      <c r="AM1109">
        <v>46.842140999999998</v>
      </c>
      <c r="AN1109" t="s">
        <v>2174</v>
      </c>
      <c r="AO1109">
        <v>-122.573583</v>
      </c>
      <c r="AP1109">
        <v>100</v>
      </c>
      <c r="AQ1109">
        <v>2000</v>
      </c>
      <c r="AR1109" t="s">
        <v>118</v>
      </c>
      <c r="AS1109">
        <v>-73</v>
      </c>
      <c r="AT1109">
        <v>-21</v>
      </c>
      <c r="AU1109">
        <v>64</v>
      </c>
      <c r="BC1109">
        <v>1200</v>
      </c>
      <c r="BD1109">
        <v>1</v>
      </c>
      <c r="BE1109" t="str">
        <f t="shared" si="53"/>
        <v xml:space="preserve">N215T   </v>
      </c>
      <c r="BF1109">
        <v>1</v>
      </c>
      <c r="BH1109">
        <v>0</v>
      </c>
      <c r="BI1109">
        <v>0</v>
      </c>
      <c r="BJ1109">
        <v>0</v>
      </c>
      <c r="BK1109">
        <v>2375</v>
      </c>
      <c r="BL1109">
        <v>375</v>
      </c>
      <c r="BM1109" t="s">
        <v>119</v>
      </c>
      <c r="BN1109">
        <v>1</v>
      </c>
      <c r="BO1109">
        <v>1</v>
      </c>
      <c r="BP1109">
        <v>1</v>
      </c>
      <c r="BQ1109">
        <v>0</v>
      </c>
      <c r="BT1109">
        <v>0</v>
      </c>
      <c r="BU1109">
        <v>0</v>
      </c>
      <c r="BV1109">
        <v>0</v>
      </c>
      <c r="CC1109" t="str">
        <f>"18:53:10.102"</f>
        <v>18:53:10.102</v>
      </c>
      <c r="CD1109" t="str">
        <f>"104584878"</f>
        <v>104584878</v>
      </c>
      <c r="CQ1109">
        <v>0</v>
      </c>
      <c r="CR1109">
        <v>2</v>
      </c>
      <c r="CS1109">
        <v>0</v>
      </c>
      <c r="CT1109">
        <v>2</v>
      </c>
      <c r="CU1109">
        <v>0</v>
      </c>
      <c r="CV1109">
        <v>6</v>
      </c>
      <c r="CW1109" t="s">
        <v>120</v>
      </c>
      <c r="CX1109">
        <v>261</v>
      </c>
      <c r="CY1109">
        <v>2</v>
      </c>
      <c r="CZ1109" t="s">
        <v>121</v>
      </c>
      <c r="DA1109" t="s">
        <v>122</v>
      </c>
      <c r="DD1109">
        <v>14854496</v>
      </c>
      <c r="DE1109" t="s">
        <v>123</v>
      </c>
    </row>
    <row r="1110" spans="1:109" x14ac:dyDescent="0.3">
      <c r="A1110" t="str">
        <f>"18:53:11.375"</f>
        <v>18:53:11.375</v>
      </c>
      <c r="B1110" t="s">
        <v>110</v>
      </c>
      <c r="C1110" t="str">
        <f t="shared" si="51"/>
        <v>ffdfd3c0</v>
      </c>
      <c r="D1110" t="s">
        <v>111</v>
      </c>
      <c r="E1110">
        <v>18</v>
      </c>
      <c r="F1110">
        <v>1018</v>
      </c>
      <c r="G1110" t="s">
        <v>112</v>
      </c>
      <c r="J1110" t="s">
        <v>113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R1110" t="s">
        <v>114</v>
      </c>
      <c r="S1110" t="str">
        <f>"18:53:11.133"</f>
        <v>18:53:11.133</v>
      </c>
      <c r="T1110" t="str">
        <f>"18:53:11.031"</f>
        <v>18:53:11.031</v>
      </c>
      <c r="U1110" t="str">
        <f t="shared" si="52"/>
        <v>a1cdbe</v>
      </c>
      <c r="V1110">
        <v>0</v>
      </c>
      <c r="W1110">
        <v>0</v>
      </c>
      <c r="X1110">
        <v>1</v>
      </c>
      <c r="Y1110">
        <v>0</v>
      </c>
      <c r="Z1110">
        <v>0</v>
      </c>
      <c r="AB1110">
        <v>0</v>
      </c>
      <c r="AC1110">
        <v>9</v>
      </c>
      <c r="AD1110">
        <v>3</v>
      </c>
      <c r="AE1110">
        <v>0</v>
      </c>
      <c r="AF1110">
        <v>9</v>
      </c>
      <c r="AG1110" t="s">
        <v>158</v>
      </c>
      <c r="AH1110">
        <v>0</v>
      </c>
      <c r="AI1110">
        <v>3</v>
      </c>
      <c r="AJ1110">
        <v>1</v>
      </c>
      <c r="AK1110">
        <v>0</v>
      </c>
      <c r="AL1110" t="s">
        <v>2175</v>
      </c>
      <c r="AM1110">
        <v>46.842077000000003</v>
      </c>
      <c r="AN1110" t="s">
        <v>2176</v>
      </c>
      <c r="AO1110">
        <v>-122.57411999999999</v>
      </c>
      <c r="AP1110">
        <v>100</v>
      </c>
      <c r="AQ1110">
        <v>2000</v>
      </c>
      <c r="AR1110" t="s">
        <v>118</v>
      </c>
      <c r="AS1110">
        <v>-73</v>
      </c>
      <c r="AT1110">
        <v>-22</v>
      </c>
      <c r="AU1110">
        <v>0</v>
      </c>
      <c r="BC1110">
        <v>1200</v>
      </c>
      <c r="BD1110">
        <v>1</v>
      </c>
      <c r="BE1110" t="str">
        <f t="shared" si="53"/>
        <v xml:space="preserve">N215T   </v>
      </c>
      <c r="BF1110">
        <v>1</v>
      </c>
      <c r="BH1110">
        <v>0</v>
      </c>
      <c r="BI1110">
        <v>0</v>
      </c>
      <c r="BJ1110">
        <v>0</v>
      </c>
      <c r="BK1110">
        <v>2375</v>
      </c>
      <c r="BL1110">
        <v>375</v>
      </c>
      <c r="BM1110" t="s">
        <v>119</v>
      </c>
      <c r="BN1110">
        <v>1</v>
      </c>
      <c r="BO1110">
        <v>1</v>
      </c>
      <c r="BP1110">
        <v>1</v>
      </c>
      <c r="BQ1110">
        <v>0</v>
      </c>
      <c r="BT1110">
        <v>0</v>
      </c>
      <c r="BU1110">
        <v>0</v>
      </c>
      <c r="BV1110">
        <v>0</v>
      </c>
      <c r="CC1110" t="str">
        <f>"18:53:11.141"</f>
        <v>18:53:11.141</v>
      </c>
      <c r="CD1110" t="str">
        <f>"139482969"</f>
        <v>139482969</v>
      </c>
      <c r="CQ1110">
        <v>0</v>
      </c>
      <c r="CR1110">
        <v>2</v>
      </c>
      <c r="CS1110">
        <v>0</v>
      </c>
      <c r="CT1110">
        <v>2</v>
      </c>
      <c r="CU1110">
        <v>0</v>
      </c>
      <c r="CV1110">
        <v>6</v>
      </c>
      <c r="CW1110" t="s">
        <v>120</v>
      </c>
      <c r="CX1110">
        <v>261</v>
      </c>
      <c r="CY1110">
        <v>2</v>
      </c>
      <c r="CZ1110" t="s">
        <v>121</v>
      </c>
      <c r="DA1110" t="s">
        <v>122</v>
      </c>
      <c r="DD1110">
        <v>14855157</v>
      </c>
      <c r="DE1110" t="s">
        <v>123</v>
      </c>
    </row>
    <row r="1111" spans="1:109" x14ac:dyDescent="0.3">
      <c r="A1111" t="str">
        <f>"18:53:12.484"</f>
        <v>18:53:12.484</v>
      </c>
      <c r="B1111" t="s">
        <v>110</v>
      </c>
      <c r="C1111" t="str">
        <f t="shared" si="51"/>
        <v>ffdfd3c0</v>
      </c>
      <c r="D1111" t="s">
        <v>111</v>
      </c>
      <c r="E1111">
        <v>18</v>
      </c>
      <c r="F1111">
        <v>1018</v>
      </c>
      <c r="G1111" t="s">
        <v>112</v>
      </c>
      <c r="J1111" t="s">
        <v>113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R1111" t="s">
        <v>114</v>
      </c>
      <c r="S1111" t="str">
        <f>"18:53:12.258"</f>
        <v>18:53:12.258</v>
      </c>
      <c r="T1111" t="str">
        <f>"18:53:11.961"</f>
        <v>18:53:11.961</v>
      </c>
      <c r="U1111" t="str">
        <f t="shared" si="52"/>
        <v>a1cdbe</v>
      </c>
      <c r="V1111">
        <v>0</v>
      </c>
      <c r="W1111">
        <v>0</v>
      </c>
      <c r="X1111">
        <v>1</v>
      </c>
      <c r="Y1111">
        <v>0</v>
      </c>
      <c r="Z1111">
        <v>0</v>
      </c>
      <c r="AB1111">
        <v>0</v>
      </c>
      <c r="AC1111">
        <v>9</v>
      </c>
      <c r="AD1111">
        <v>3</v>
      </c>
      <c r="AE1111">
        <v>0</v>
      </c>
      <c r="AF1111">
        <v>9</v>
      </c>
      <c r="AG1111" t="s">
        <v>158</v>
      </c>
      <c r="AH1111">
        <v>0</v>
      </c>
      <c r="AI1111">
        <v>3</v>
      </c>
      <c r="AJ1111">
        <v>1</v>
      </c>
      <c r="AK1111">
        <v>0</v>
      </c>
      <c r="AL1111" t="s">
        <v>2177</v>
      </c>
      <c r="AM1111">
        <v>46.841926999999998</v>
      </c>
      <c r="AN1111" t="s">
        <v>2178</v>
      </c>
      <c r="AO1111">
        <v>-122.57467699999999</v>
      </c>
      <c r="AP1111">
        <v>100</v>
      </c>
      <c r="AQ1111">
        <v>2000</v>
      </c>
      <c r="AR1111" t="s">
        <v>118</v>
      </c>
      <c r="AS1111">
        <v>-73</v>
      </c>
      <c r="AT1111">
        <v>-22</v>
      </c>
      <c r="AU1111">
        <v>0</v>
      </c>
      <c r="BC1111">
        <v>1200</v>
      </c>
      <c r="BD1111">
        <v>1</v>
      </c>
      <c r="BE1111" t="str">
        <f t="shared" si="53"/>
        <v xml:space="preserve">N215T   </v>
      </c>
      <c r="BF1111">
        <v>1</v>
      </c>
      <c r="BH1111">
        <v>0</v>
      </c>
      <c r="BI1111">
        <v>0</v>
      </c>
      <c r="BJ1111">
        <v>0</v>
      </c>
      <c r="BK1111">
        <v>2375</v>
      </c>
      <c r="BL1111">
        <v>375</v>
      </c>
      <c r="BM1111" t="s">
        <v>119</v>
      </c>
      <c r="BN1111">
        <v>1</v>
      </c>
      <c r="BO1111">
        <v>1</v>
      </c>
      <c r="BP1111">
        <v>1</v>
      </c>
      <c r="BQ1111">
        <v>0</v>
      </c>
      <c r="BT1111">
        <v>0</v>
      </c>
      <c r="BU1111">
        <v>0</v>
      </c>
      <c r="BV1111">
        <v>0</v>
      </c>
      <c r="CC1111" t="str">
        <f>"18:53:12.266"</f>
        <v>18:53:12.266</v>
      </c>
      <c r="CD1111" t="str">
        <f>"264372214"</f>
        <v>264372214</v>
      </c>
      <c r="CQ1111">
        <v>0</v>
      </c>
      <c r="CR1111">
        <v>2</v>
      </c>
      <c r="CS1111">
        <v>0</v>
      </c>
      <c r="CT1111">
        <v>2</v>
      </c>
      <c r="CU1111">
        <v>0</v>
      </c>
      <c r="CV1111">
        <v>6</v>
      </c>
      <c r="CW1111" t="s">
        <v>120</v>
      </c>
      <c r="CX1111">
        <v>261</v>
      </c>
      <c r="CY1111">
        <v>2</v>
      </c>
      <c r="CZ1111" t="s">
        <v>121</v>
      </c>
      <c r="DA1111" t="s">
        <v>122</v>
      </c>
      <c r="DD1111">
        <v>14855928</v>
      </c>
      <c r="DE1111" t="s">
        <v>123</v>
      </c>
    </row>
    <row r="1112" spans="1:109" x14ac:dyDescent="0.3">
      <c r="A1112" t="str">
        <f>"18:53:13.484"</f>
        <v>18:53:13.484</v>
      </c>
      <c r="B1112" t="s">
        <v>110</v>
      </c>
      <c r="C1112" t="str">
        <f t="shared" si="51"/>
        <v>ffdfd3c0</v>
      </c>
      <c r="D1112" t="s">
        <v>111</v>
      </c>
      <c r="E1112">
        <v>18</v>
      </c>
      <c r="F1112">
        <v>1018</v>
      </c>
      <c r="G1112" t="s">
        <v>112</v>
      </c>
      <c r="J1112" t="s">
        <v>113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R1112" t="s">
        <v>114</v>
      </c>
      <c r="S1112" t="str">
        <f>"18:53:13.266"</f>
        <v>18:53:13.266</v>
      </c>
      <c r="T1112" t="str">
        <f>"18:53:13.063"</f>
        <v>18:53:13.063</v>
      </c>
      <c r="U1112" t="str">
        <f t="shared" si="52"/>
        <v>a1cdbe</v>
      </c>
      <c r="V1112">
        <v>0</v>
      </c>
      <c r="W1112">
        <v>0</v>
      </c>
      <c r="X1112">
        <v>1</v>
      </c>
      <c r="Y1112">
        <v>0</v>
      </c>
      <c r="Z1112">
        <v>0</v>
      </c>
      <c r="AB1112">
        <v>0</v>
      </c>
      <c r="AC1112">
        <v>9</v>
      </c>
      <c r="AD1112">
        <v>3</v>
      </c>
      <c r="AE1112">
        <v>0</v>
      </c>
      <c r="AF1112">
        <v>9</v>
      </c>
      <c r="AG1112" t="s">
        <v>158</v>
      </c>
      <c r="AH1112">
        <v>0</v>
      </c>
      <c r="AI1112">
        <v>3</v>
      </c>
      <c r="AJ1112">
        <v>1</v>
      </c>
      <c r="AK1112">
        <v>0</v>
      </c>
      <c r="AL1112" t="s">
        <v>2179</v>
      </c>
      <c r="AM1112">
        <v>46.841861999999999</v>
      </c>
      <c r="AN1112" t="s">
        <v>2180</v>
      </c>
      <c r="AO1112">
        <v>-122.57512800000001</v>
      </c>
      <c r="AP1112">
        <v>100</v>
      </c>
      <c r="AQ1112">
        <v>2000</v>
      </c>
      <c r="AR1112" t="s">
        <v>118</v>
      </c>
      <c r="AS1112">
        <v>-73</v>
      </c>
      <c r="AT1112">
        <v>-23</v>
      </c>
      <c r="AU1112">
        <v>-64</v>
      </c>
      <c r="BC1112">
        <v>1200</v>
      </c>
      <c r="BD1112">
        <v>1</v>
      </c>
      <c r="BE1112" t="str">
        <f t="shared" si="53"/>
        <v xml:space="preserve">N215T   </v>
      </c>
      <c r="BF1112">
        <v>1</v>
      </c>
      <c r="BH1112">
        <v>0</v>
      </c>
      <c r="BI1112">
        <v>0</v>
      </c>
      <c r="BJ1112">
        <v>0</v>
      </c>
      <c r="BK1112">
        <v>2375</v>
      </c>
      <c r="BL1112">
        <v>375</v>
      </c>
      <c r="BM1112" t="s">
        <v>119</v>
      </c>
      <c r="BN1112">
        <v>1</v>
      </c>
      <c r="BO1112">
        <v>1</v>
      </c>
      <c r="BP1112">
        <v>1</v>
      </c>
      <c r="BQ1112">
        <v>0</v>
      </c>
      <c r="BT1112">
        <v>0</v>
      </c>
      <c r="BU1112">
        <v>0</v>
      </c>
      <c r="BV1112">
        <v>0</v>
      </c>
      <c r="CC1112" t="str">
        <f>"18:53:13.266"</f>
        <v>18:53:13.266</v>
      </c>
      <c r="CD1112" t="str">
        <f>"269283908"</f>
        <v>269283908</v>
      </c>
      <c r="CQ1112">
        <v>0</v>
      </c>
      <c r="CR1112">
        <v>2</v>
      </c>
      <c r="CS1112">
        <v>0</v>
      </c>
      <c r="CT1112">
        <v>2</v>
      </c>
      <c r="CU1112">
        <v>0</v>
      </c>
      <c r="CV1112">
        <v>6</v>
      </c>
      <c r="CW1112" t="s">
        <v>120</v>
      </c>
      <c r="CX1112">
        <v>261</v>
      </c>
      <c r="CY1112">
        <v>2</v>
      </c>
      <c r="CZ1112" t="s">
        <v>121</v>
      </c>
      <c r="DA1112" t="s">
        <v>122</v>
      </c>
      <c r="DD1112">
        <v>14856506</v>
      </c>
      <c r="DE1112" t="s">
        <v>123</v>
      </c>
    </row>
    <row r="1113" spans="1:109" x14ac:dyDescent="0.3">
      <c r="A1113" t="str">
        <f>"18:53:14.492"</f>
        <v>18:53:14.492</v>
      </c>
      <c r="B1113" t="s">
        <v>110</v>
      </c>
      <c r="C1113" t="str">
        <f t="shared" si="51"/>
        <v>ffdfd3c0</v>
      </c>
      <c r="D1113" t="s">
        <v>111</v>
      </c>
      <c r="E1113">
        <v>18</v>
      </c>
      <c r="F1113">
        <v>1018</v>
      </c>
      <c r="G1113" t="s">
        <v>112</v>
      </c>
      <c r="J1113" t="s">
        <v>113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R1113" t="s">
        <v>114</v>
      </c>
      <c r="S1113" t="str">
        <f>"18:53:14.258"</f>
        <v>18:53:14.258</v>
      </c>
      <c r="T1113" t="str">
        <f>"18:53:14.055"</f>
        <v>18:53:14.055</v>
      </c>
      <c r="U1113" t="str">
        <f t="shared" si="52"/>
        <v>a1cdbe</v>
      </c>
      <c r="V1113">
        <v>0</v>
      </c>
      <c r="W1113">
        <v>0</v>
      </c>
      <c r="X1113">
        <v>1</v>
      </c>
      <c r="Y1113">
        <v>0</v>
      </c>
      <c r="Z1113">
        <v>0</v>
      </c>
      <c r="AB1113">
        <v>0</v>
      </c>
      <c r="AC1113">
        <v>9</v>
      </c>
      <c r="AD1113">
        <v>3</v>
      </c>
      <c r="AE1113">
        <v>0</v>
      </c>
      <c r="AF1113">
        <v>9</v>
      </c>
      <c r="AG1113" t="s">
        <v>158</v>
      </c>
      <c r="AH1113">
        <v>0</v>
      </c>
      <c r="AI1113">
        <v>3</v>
      </c>
      <c r="AJ1113">
        <v>1</v>
      </c>
      <c r="AK1113">
        <v>0</v>
      </c>
      <c r="AL1113" t="s">
        <v>2181</v>
      </c>
      <c r="AM1113">
        <v>46.841754999999999</v>
      </c>
      <c r="AN1113" t="s">
        <v>2182</v>
      </c>
      <c r="AO1113">
        <v>-122.575622</v>
      </c>
      <c r="AP1113">
        <v>100</v>
      </c>
      <c r="AQ1113">
        <v>2000</v>
      </c>
      <c r="AR1113" t="s">
        <v>118</v>
      </c>
      <c r="AS1113">
        <v>-73</v>
      </c>
      <c r="AT1113">
        <v>-24</v>
      </c>
      <c r="AU1113">
        <v>-64</v>
      </c>
      <c r="BC1113">
        <v>1200</v>
      </c>
      <c r="BD1113">
        <v>1</v>
      </c>
      <c r="BE1113" t="str">
        <f t="shared" si="53"/>
        <v xml:space="preserve">N215T   </v>
      </c>
      <c r="BF1113">
        <v>1</v>
      </c>
      <c r="BH1113">
        <v>0</v>
      </c>
      <c r="BI1113">
        <v>0</v>
      </c>
      <c r="BJ1113">
        <v>0</v>
      </c>
      <c r="BK1113">
        <v>2375</v>
      </c>
      <c r="BL1113">
        <v>375</v>
      </c>
      <c r="BM1113" t="s">
        <v>119</v>
      </c>
      <c r="BN1113">
        <v>1</v>
      </c>
      <c r="BO1113">
        <v>1</v>
      </c>
      <c r="BP1113">
        <v>1</v>
      </c>
      <c r="BQ1113">
        <v>0</v>
      </c>
      <c r="BT1113">
        <v>0</v>
      </c>
      <c r="BU1113">
        <v>0</v>
      </c>
      <c r="BV1113">
        <v>0</v>
      </c>
      <c r="CC1113" t="str">
        <f>"18:53:14.258"</f>
        <v>18:53:14.258</v>
      </c>
      <c r="CD1113" t="str">
        <f>"259186437"</f>
        <v>259186437</v>
      </c>
      <c r="CQ1113">
        <v>0</v>
      </c>
      <c r="CR1113">
        <v>2</v>
      </c>
      <c r="CS1113">
        <v>0</v>
      </c>
      <c r="CT1113">
        <v>2</v>
      </c>
      <c r="CU1113">
        <v>0</v>
      </c>
      <c r="CV1113">
        <v>6</v>
      </c>
      <c r="CW1113" t="s">
        <v>120</v>
      </c>
      <c r="CX1113">
        <v>261</v>
      </c>
      <c r="CY1113">
        <v>2</v>
      </c>
      <c r="CZ1113" t="s">
        <v>121</v>
      </c>
      <c r="DA1113" t="s">
        <v>122</v>
      </c>
      <c r="DD1113">
        <v>14857149</v>
      </c>
      <c r="DE1113" t="s">
        <v>123</v>
      </c>
    </row>
    <row r="1114" spans="1:109" x14ac:dyDescent="0.3">
      <c r="A1114" t="str">
        <f>"18:53:15.445"</f>
        <v>18:53:15.445</v>
      </c>
      <c r="B1114" t="s">
        <v>110</v>
      </c>
      <c r="C1114" t="str">
        <f t="shared" si="51"/>
        <v>ffdfd3c0</v>
      </c>
      <c r="D1114" t="s">
        <v>111</v>
      </c>
      <c r="E1114">
        <v>18</v>
      </c>
      <c r="F1114">
        <v>1018</v>
      </c>
      <c r="G1114" t="s">
        <v>112</v>
      </c>
      <c r="J1114" t="s">
        <v>113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R1114" t="s">
        <v>114</v>
      </c>
      <c r="S1114" t="str">
        <f>"18:53:15.172"</f>
        <v>18:53:15.172</v>
      </c>
      <c r="T1114" t="str">
        <f>"18:53:14.672"</f>
        <v>18:53:14.672</v>
      </c>
      <c r="U1114" t="str">
        <f t="shared" si="52"/>
        <v>a1cdbe</v>
      </c>
      <c r="V1114">
        <v>0</v>
      </c>
      <c r="W1114">
        <v>0</v>
      </c>
      <c r="X1114">
        <v>1</v>
      </c>
      <c r="Y1114">
        <v>0</v>
      </c>
      <c r="Z1114">
        <v>0</v>
      </c>
      <c r="AB1114">
        <v>0</v>
      </c>
      <c r="AC1114">
        <v>9</v>
      </c>
      <c r="AD1114">
        <v>3</v>
      </c>
      <c r="AE1114">
        <v>0</v>
      </c>
      <c r="AF1114">
        <v>9</v>
      </c>
      <c r="AG1114" t="s">
        <v>158</v>
      </c>
      <c r="AH1114">
        <v>0</v>
      </c>
      <c r="AI1114">
        <v>3</v>
      </c>
      <c r="AJ1114">
        <v>1</v>
      </c>
      <c r="AK1114">
        <v>0</v>
      </c>
      <c r="AL1114" t="s">
        <v>2183</v>
      </c>
      <c r="AM1114">
        <v>46.841625999999998</v>
      </c>
      <c r="AN1114" t="s">
        <v>2184</v>
      </c>
      <c r="AO1114">
        <v>-122.576137</v>
      </c>
      <c r="AP1114">
        <v>100</v>
      </c>
      <c r="AQ1114">
        <v>2000</v>
      </c>
      <c r="AR1114" t="s">
        <v>118</v>
      </c>
      <c r="AS1114">
        <v>-73</v>
      </c>
      <c r="AT1114">
        <v>-24</v>
      </c>
      <c r="AU1114">
        <v>-64</v>
      </c>
      <c r="BC1114">
        <v>1200</v>
      </c>
      <c r="BD1114">
        <v>1</v>
      </c>
      <c r="BE1114" t="str">
        <f t="shared" si="53"/>
        <v xml:space="preserve">N215T   </v>
      </c>
      <c r="BF1114">
        <v>1</v>
      </c>
      <c r="BH1114">
        <v>0</v>
      </c>
      <c r="BI1114">
        <v>0</v>
      </c>
      <c r="BJ1114">
        <v>0</v>
      </c>
      <c r="BK1114">
        <v>2375</v>
      </c>
      <c r="BL1114">
        <v>375</v>
      </c>
      <c r="BM1114" t="s">
        <v>119</v>
      </c>
      <c r="BN1114">
        <v>1</v>
      </c>
      <c r="BO1114">
        <v>1</v>
      </c>
      <c r="BP1114">
        <v>1</v>
      </c>
      <c r="BQ1114">
        <v>0</v>
      </c>
      <c r="BT1114">
        <v>0</v>
      </c>
      <c r="BU1114">
        <v>0</v>
      </c>
      <c r="BV1114">
        <v>0</v>
      </c>
      <c r="CC1114" t="str">
        <f>"18:53:15.172"</f>
        <v>18:53:15.172</v>
      </c>
      <c r="CD1114" t="str">
        <f>"174096355"</f>
        <v>174096355</v>
      </c>
      <c r="CQ1114">
        <v>0</v>
      </c>
      <c r="CR1114">
        <v>2</v>
      </c>
      <c r="CS1114">
        <v>0</v>
      </c>
      <c r="CT1114">
        <v>2</v>
      </c>
      <c r="CU1114">
        <v>0</v>
      </c>
      <c r="CV1114">
        <v>6</v>
      </c>
      <c r="CW1114" t="s">
        <v>120</v>
      </c>
      <c r="CX1114">
        <v>261</v>
      </c>
      <c r="CY1114">
        <v>2</v>
      </c>
      <c r="CZ1114" t="s">
        <v>121</v>
      </c>
      <c r="DA1114" t="s">
        <v>122</v>
      </c>
      <c r="DD1114">
        <v>14857710</v>
      </c>
      <c r="DE1114" t="s">
        <v>123</v>
      </c>
    </row>
    <row r="1115" spans="1:109" x14ac:dyDescent="0.3">
      <c r="A1115" t="str">
        <f>"18:53:16.555"</f>
        <v>18:53:16.555</v>
      </c>
      <c r="B1115" t="s">
        <v>110</v>
      </c>
      <c r="C1115" t="str">
        <f t="shared" si="51"/>
        <v>ffdfd3c0</v>
      </c>
      <c r="D1115" t="s">
        <v>111</v>
      </c>
      <c r="E1115">
        <v>18</v>
      </c>
      <c r="F1115">
        <v>1018</v>
      </c>
      <c r="G1115" t="s">
        <v>112</v>
      </c>
      <c r="J1115" t="s">
        <v>113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R1115" t="s">
        <v>114</v>
      </c>
      <c r="S1115" t="str">
        <f>"18:53:16.352"</f>
        <v>18:53:16.352</v>
      </c>
      <c r="T1115" t="str">
        <f>"18:53:16.250"</f>
        <v>18:53:16.250</v>
      </c>
      <c r="U1115" t="str">
        <f t="shared" si="52"/>
        <v>a1cdbe</v>
      </c>
      <c r="V1115">
        <v>0</v>
      </c>
      <c r="W1115">
        <v>0</v>
      </c>
      <c r="X1115">
        <v>1</v>
      </c>
      <c r="Y1115">
        <v>0</v>
      </c>
      <c r="Z1115">
        <v>0</v>
      </c>
      <c r="AB1115">
        <v>0</v>
      </c>
      <c r="AC1115">
        <v>9</v>
      </c>
      <c r="AD1115">
        <v>3</v>
      </c>
      <c r="AE1115">
        <v>0</v>
      </c>
      <c r="AF1115">
        <v>9</v>
      </c>
      <c r="AG1115" t="s">
        <v>158</v>
      </c>
      <c r="AH1115">
        <v>0</v>
      </c>
      <c r="AI1115">
        <v>3</v>
      </c>
      <c r="AJ1115">
        <v>1</v>
      </c>
      <c r="AK1115">
        <v>0</v>
      </c>
      <c r="AL1115" t="s">
        <v>2185</v>
      </c>
      <c r="AM1115">
        <v>46.841496999999997</v>
      </c>
      <c r="AN1115" t="s">
        <v>2186</v>
      </c>
      <c r="AO1115">
        <v>-122.576673</v>
      </c>
      <c r="AP1115">
        <v>100</v>
      </c>
      <c r="AQ1115">
        <v>2000</v>
      </c>
      <c r="AR1115" t="s">
        <v>118</v>
      </c>
      <c r="AS1115">
        <v>-73</v>
      </c>
      <c r="AT1115">
        <v>-25</v>
      </c>
      <c r="AU1115">
        <v>0</v>
      </c>
      <c r="BC1115">
        <v>1200</v>
      </c>
      <c r="BD1115">
        <v>1</v>
      </c>
      <c r="BE1115" t="str">
        <f t="shared" si="53"/>
        <v xml:space="preserve">N215T   </v>
      </c>
      <c r="BF1115">
        <v>1</v>
      </c>
      <c r="BH1115">
        <v>0</v>
      </c>
      <c r="BI1115">
        <v>0</v>
      </c>
      <c r="BJ1115">
        <v>0</v>
      </c>
      <c r="BK1115">
        <v>2375</v>
      </c>
      <c r="BL1115">
        <v>375</v>
      </c>
      <c r="BM1115" t="s">
        <v>119</v>
      </c>
      <c r="BN1115">
        <v>1</v>
      </c>
      <c r="BO1115">
        <v>1</v>
      </c>
      <c r="BP1115">
        <v>1</v>
      </c>
      <c r="BQ1115">
        <v>0</v>
      </c>
      <c r="BT1115">
        <v>0</v>
      </c>
      <c r="BU1115">
        <v>0</v>
      </c>
      <c r="BV1115">
        <v>0</v>
      </c>
      <c r="CC1115" t="str">
        <f>"18:53:16.359"</f>
        <v>18:53:16.359</v>
      </c>
      <c r="CD1115" t="str">
        <f>"358979688"</f>
        <v>358979688</v>
      </c>
      <c r="CQ1115">
        <v>0</v>
      </c>
      <c r="CR1115">
        <v>2</v>
      </c>
      <c r="CS1115">
        <v>0</v>
      </c>
      <c r="CT1115">
        <v>2</v>
      </c>
      <c r="CU1115">
        <v>0</v>
      </c>
      <c r="CV1115">
        <v>6</v>
      </c>
      <c r="CW1115" t="s">
        <v>120</v>
      </c>
      <c r="CX1115">
        <v>261</v>
      </c>
      <c r="CY1115">
        <v>2</v>
      </c>
      <c r="CZ1115" t="s">
        <v>121</v>
      </c>
      <c r="DA1115" t="s">
        <v>122</v>
      </c>
      <c r="DD1115">
        <v>14858530</v>
      </c>
      <c r="DE1115" t="s">
        <v>123</v>
      </c>
    </row>
    <row r="1116" spans="1:109" x14ac:dyDescent="0.3">
      <c r="A1116" t="str">
        <f>"18:53:17.609"</f>
        <v>18:53:17.609</v>
      </c>
      <c r="B1116" t="s">
        <v>110</v>
      </c>
      <c r="C1116" t="str">
        <f t="shared" si="51"/>
        <v>ffdfd3c0</v>
      </c>
      <c r="D1116" t="s">
        <v>111</v>
      </c>
      <c r="E1116">
        <v>18</v>
      </c>
      <c r="F1116">
        <v>1018</v>
      </c>
      <c r="G1116" t="s">
        <v>112</v>
      </c>
      <c r="J1116" t="s">
        <v>113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R1116" t="s">
        <v>114</v>
      </c>
      <c r="S1116" t="str">
        <f>"18:53:17.406"</f>
        <v>18:53:17.406</v>
      </c>
      <c r="T1116" t="str">
        <f>"18:53:17.109"</f>
        <v>18:53:17.109</v>
      </c>
      <c r="U1116" t="str">
        <f t="shared" si="52"/>
        <v>a1cdbe</v>
      </c>
      <c r="V1116">
        <v>0</v>
      </c>
      <c r="W1116">
        <v>0</v>
      </c>
      <c r="X1116">
        <v>1</v>
      </c>
      <c r="Y1116">
        <v>0</v>
      </c>
      <c r="Z1116">
        <v>0</v>
      </c>
      <c r="AB1116">
        <v>0</v>
      </c>
      <c r="AC1116">
        <v>9</v>
      </c>
      <c r="AD1116">
        <v>3</v>
      </c>
      <c r="AE1116">
        <v>0</v>
      </c>
      <c r="AF1116">
        <v>9</v>
      </c>
      <c r="AG1116" t="s">
        <v>158</v>
      </c>
      <c r="AH1116">
        <v>0</v>
      </c>
      <c r="AI1116">
        <v>3</v>
      </c>
      <c r="AJ1116">
        <v>1</v>
      </c>
      <c r="AK1116">
        <v>0</v>
      </c>
      <c r="AL1116" t="s">
        <v>2187</v>
      </c>
      <c r="AM1116">
        <v>46.841369</v>
      </c>
      <c r="AN1116" t="s">
        <v>2188</v>
      </c>
      <c r="AO1116">
        <v>-122.577209</v>
      </c>
      <c r="AP1116">
        <v>100</v>
      </c>
      <c r="AQ1116">
        <v>2000</v>
      </c>
      <c r="AR1116" t="s">
        <v>118</v>
      </c>
      <c r="AS1116">
        <v>-73</v>
      </c>
      <c r="AT1116">
        <v>-25</v>
      </c>
      <c r="AU1116">
        <v>192</v>
      </c>
      <c r="BC1116">
        <v>1200</v>
      </c>
      <c r="BD1116">
        <v>1</v>
      </c>
      <c r="BE1116" t="str">
        <f t="shared" si="53"/>
        <v xml:space="preserve">N215T   </v>
      </c>
      <c r="BF1116">
        <v>1</v>
      </c>
      <c r="BH1116">
        <v>0</v>
      </c>
      <c r="BI1116">
        <v>0</v>
      </c>
      <c r="BJ1116">
        <v>0</v>
      </c>
      <c r="BK1116">
        <v>2375</v>
      </c>
      <c r="BL1116">
        <v>375</v>
      </c>
      <c r="BM1116" t="s">
        <v>119</v>
      </c>
      <c r="BN1116">
        <v>1</v>
      </c>
      <c r="BO1116">
        <v>1</v>
      </c>
      <c r="BP1116">
        <v>1</v>
      </c>
      <c r="BQ1116">
        <v>0</v>
      </c>
      <c r="BT1116">
        <v>0</v>
      </c>
      <c r="BU1116">
        <v>0</v>
      </c>
      <c r="BV1116">
        <v>0</v>
      </c>
      <c r="CC1116" t="str">
        <f>"18:53:17.406"</f>
        <v>18:53:17.406</v>
      </c>
      <c r="CD1116" t="str">
        <f>"408876317"</f>
        <v>408876317</v>
      </c>
      <c r="CQ1116">
        <v>0</v>
      </c>
      <c r="CR1116">
        <v>2</v>
      </c>
      <c r="CS1116">
        <v>0</v>
      </c>
      <c r="CT1116">
        <v>2</v>
      </c>
      <c r="CU1116">
        <v>0</v>
      </c>
      <c r="CV1116">
        <v>6</v>
      </c>
      <c r="CW1116" t="s">
        <v>120</v>
      </c>
      <c r="CX1116">
        <v>261</v>
      </c>
      <c r="CY1116">
        <v>2</v>
      </c>
      <c r="CZ1116" t="s">
        <v>121</v>
      </c>
      <c r="DA1116" t="s">
        <v>122</v>
      </c>
      <c r="DD1116">
        <v>14859224</v>
      </c>
      <c r="DE1116" t="s">
        <v>123</v>
      </c>
    </row>
    <row r="1117" spans="1:109" x14ac:dyDescent="0.3">
      <c r="A1117" t="str">
        <f>"18:53:18.563"</f>
        <v>18:53:18.563</v>
      </c>
      <c r="B1117" t="s">
        <v>110</v>
      </c>
      <c r="C1117" t="str">
        <f t="shared" si="51"/>
        <v>ffdfd3c0</v>
      </c>
      <c r="D1117" t="s">
        <v>111</v>
      </c>
      <c r="E1117">
        <v>18</v>
      </c>
      <c r="F1117">
        <v>1018</v>
      </c>
      <c r="G1117" t="s">
        <v>112</v>
      </c>
      <c r="J1117" t="s">
        <v>113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R1117" t="s">
        <v>114</v>
      </c>
      <c r="S1117" t="str">
        <f>"18:53:18.305"</f>
        <v>18:53:18.305</v>
      </c>
      <c r="T1117" t="str">
        <f>"18:53:18.008"</f>
        <v>18:53:18.008</v>
      </c>
      <c r="U1117" t="str">
        <f t="shared" si="52"/>
        <v>a1cdbe</v>
      </c>
      <c r="V1117">
        <v>0</v>
      </c>
      <c r="W1117">
        <v>0</v>
      </c>
      <c r="X1117">
        <v>1</v>
      </c>
      <c r="Y1117">
        <v>0</v>
      </c>
      <c r="Z1117">
        <v>0</v>
      </c>
      <c r="AB1117">
        <v>0</v>
      </c>
      <c r="AC1117">
        <v>9</v>
      </c>
      <c r="AD1117">
        <v>3</v>
      </c>
      <c r="AE1117">
        <v>0</v>
      </c>
      <c r="AF1117">
        <v>9</v>
      </c>
      <c r="AG1117" t="s">
        <v>158</v>
      </c>
      <c r="AH1117">
        <v>0</v>
      </c>
      <c r="AI1117">
        <v>3</v>
      </c>
      <c r="AJ1117">
        <v>1</v>
      </c>
      <c r="AK1117">
        <v>0</v>
      </c>
      <c r="AL1117" t="s">
        <v>2189</v>
      </c>
      <c r="AM1117">
        <v>46.841282999999997</v>
      </c>
      <c r="AN1117" t="s">
        <v>2190</v>
      </c>
      <c r="AO1117">
        <v>-122.577617</v>
      </c>
      <c r="AP1117">
        <v>100</v>
      </c>
      <c r="AQ1117">
        <v>2000</v>
      </c>
      <c r="AR1117" t="s">
        <v>118</v>
      </c>
      <c r="AS1117">
        <v>-72</v>
      </c>
      <c r="AT1117">
        <v>-25</v>
      </c>
      <c r="AU1117">
        <v>256</v>
      </c>
      <c r="BC1117">
        <v>1200</v>
      </c>
      <c r="BD1117">
        <v>1</v>
      </c>
      <c r="BE1117" t="str">
        <f t="shared" si="53"/>
        <v xml:space="preserve">N215T   </v>
      </c>
      <c r="BF1117">
        <v>1</v>
      </c>
      <c r="BH1117">
        <v>0</v>
      </c>
      <c r="BI1117">
        <v>0</v>
      </c>
      <c r="BJ1117">
        <v>0</v>
      </c>
      <c r="BK1117">
        <v>2400</v>
      </c>
      <c r="BL1117">
        <v>400</v>
      </c>
      <c r="BM1117" t="s">
        <v>119</v>
      </c>
      <c r="BN1117">
        <v>1</v>
      </c>
      <c r="BO1117">
        <v>1</v>
      </c>
      <c r="BP1117">
        <v>1</v>
      </c>
      <c r="BQ1117">
        <v>0</v>
      </c>
      <c r="BT1117">
        <v>0</v>
      </c>
      <c r="BU1117">
        <v>0</v>
      </c>
      <c r="BV1117">
        <v>0</v>
      </c>
      <c r="CC1117" t="str">
        <f>"18:53:18.313"</f>
        <v>18:53:18.313</v>
      </c>
      <c r="CD1117" t="str">
        <f>"308787713"</f>
        <v>308787713</v>
      </c>
      <c r="CQ1117">
        <v>0</v>
      </c>
      <c r="CR1117">
        <v>2</v>
      </c>
      <c r="CS1117">
        <v>0</v>
      </c>
      <c r="CT1117">
        <v>2</v>
      </c>
      <c r="CU1117">
        <v>0</v>
      </c>
      <c r="CV1117">
        <v>6</v>
      </c>
      <c r="CW1117" t="s">
        <v>120</v>
      </c>
      <c r="CX1117">
        <v>261</v>
      </c>
      <c r="CY1117">
        <v>2</v>
      </c>
      <c r="CZ1117" t="s">
        <v>121</v>
      </c>
      <c r="DA1117" t="s">
        <v>122</v>
      </c>
      <c r="DD1117">
        <v>14859790</v>
      </c>
      <c r="DE1117" t="s">
        <v>123</v>
      </c>
    </row>
    <row r="1118" spans="1:109" x14ac:dyDescent="0.3">
      <c r="A1118" t="str">
        <f>"18:53:19.570"</f>
        <v>18:53:19.570</v>
      </c>
      <c r="B1118" t="s">
        <v>110</v>
      </c>
      <c r="C1118" t="str">
        <f t="shared" si="51"/>
        <v>ffdfd3c0</v>
      </c>
      <c r="D1118" t="s">
        <v>111</v>
      </c>
      <c r="E1118">
        <v>18</v>
      </c>
      <c r="F1118">
        <v>1018</v>
      </c>
      <c r="G1118" t="s">
        <v>112</v>
      </c>
      <c r="J1118" t="s">
        <v>113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R1118" t="s">
        <v>114</v>
      </c>
      <c r="S1118" t="str">
        <f>"18:53:19.313"</f>
        <v>18:53:19.313</v>
      </c>
      <c r="T1118" t="str">
        <f>"18:53:19.211"</f>
        <v>18:53:19.211</v>
      </c>
      <c r="U1118" t="str">
        <f t="shared" si="52"/>
        <v>a1cdbe</v>
      </c>
      <c r="V1118">
        <v>0</v>
      </c>
      <c r="W1118">
        <v>0</v>
      </c>
      <c r="X1118">
        <v>1</v>
      </c>
      <c r="Y1118">
        <v>0</v>
      </c>
      <c r="Z1118">
        <v>0</v>
      </c>
      <c r="AB1118">
        <v>0</v>
      </c>
      <c r="AC1118">
        <v>9</v>
      </c>
      <c r="AD1118">
        <v>3</v>
      </c>
      <c r="AE1118">
        <v>0</v>
      </c>
      <c r="AF1118">
        <v>9</v>
      </c>
      <c r="AG1118" t="s">
        <v>158</v>
      </c>
      <c r="AH1118">
        <v>0</v>
      </c>
      <c r="AI1118">
        <v>3</v>
      </c>
      <c r="AJ1118">
        <v>1</v>
      </c>
      <c r="AK1118">
        <v>0</v>
      </c>
      <c r="AL1118" t="s">
        <v>2191</v>
      </c>
      <c r="AM1118">
        <v>46.841132999999999</v>
      </c>
      <c r="AN1118" t="s">
        <v>2192</v>
      </c>
      <c r="AO1118">
        <v>-122.578154</v>
      </c>
      <c r="AP1118">
        <v>100</v>
      </c>
      <c r="AQ1118">
        <v>2000</v>
      </c>
      <c r="AR1118" t="s">
        <v>118</v>
      </c>
      <c r="AS1118">
        <v>-71</v>
      </c>
      <c r="AT1118">
        <v>-25</v>
      </c>
      <c r="AU1118">
        <v>256</v>
      </c>
      <c r="BC1118">
        <v>1200</v>
      </c>
      <c r="BD1118">
        <v>1</v>
      </c>
      <c r="BE1118" t="str">
        <f t="shared" si="53"/>
        <v xml:space="preserve">N215T   </v>
      </c>
      <c r="BF1118">
        <v>1</v>
      </c>
      <c r="BH1118">
        <v>0</v>
      </c>
      <c r="BI1118">
        <v>0</v>
      </c>
      <c r="BJ1118">
        <v>0</v>
      </c>
      <c r="BK1118">
        <v>2400</v>
      </c>
      <c r="BL1118">
        <v>400</v>
      </c>
      <c r="BM1118" t="s">
        <v>119</v>
      </c>
      <c r="BN1118">
        <v>1</v>
      </c>
      <c r="BO1118">
        <v>1</v>
      </c>
      <c r="BP1118">
        <v>1</v>
      </c>
      <c r="BQ1118">
        <v>0</v>
      </c>
      <c r="BT1118">
        <v>0</v>
      </c>
      <c r="BU1118">
        <v>0</v>
      </c>
      <c r="BV1118">
        <v>0</v>
      </c>
      <c r="CC1118" t="str">
        <f>"18:53:19.313"</f>
        <v>18:53:19.313</v>
      </c>
      <c r="CD1118" t="str">
        <f>"313688775"</f>
        <v>313688775</v>
      </c>
      <c r="CQ1118">
        <v>0</v>
      </c>
      <c r="CR1118">
        <v>2</v>
      </c>
      <c r="CS1118">
        <v>0</v>
      </c>
      <c r="CT1118">
        <v>2</v>
      </c>
      <c r="CU1118">
        <v>0</v>
      </c>
      <c r="CV1118">
        <v>6</v>
      </c>
      <c r="CW1118" t="s">
        <v>120</v>
      </c>
      <c r="CX1118">
        <v>261</v>
      </c>
      <c r="CY1118">
        <v>2</v>
      </c>
      <c r="CZ1118" t="s">
        <v>121</v>
      </c>
      <c r="DA1118" t="s">
        <v>122</v>
      </c>
      <c r="DD1118">
        <v>14860408</v>
      </c>
      <c r="DE1118" t="s">
        <v>123</v>
      </c>
    </row>
    <row r="1119" spans="1:109" x14ac:dyDescent="0.3">
      <c r="A1119" t="str">
        <f>"18:53:20.680"</f>
        <v>18:53:20.680</v>
      </c>
      <c r="B1119" t="s">
        <v>110</v>
      </c>
      <c r="C1119" t="str">
        <f t="shared" si="51"/>
        <v>ffdfd3c0</v>
      </c>
      <c r="D1119" t="s">
        <v>111</v>
      </c>
      <c r="E1119">
        <v>18</v>
      </c>
      <c r="F1119">
        <v>1018</v>
      </c>
      <c r="G1119" t="s">
        <v>112</v>
      </c>
      <c r="J1119" t="s">
        <v>113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R1119" t="s">
        <v>114</v>
      </c>
      <c r="S1119" t="str">
        <f>"18:53:20.422"</f>
        <v>18:53:20.422</v>
      </c>
      <c r="T1119" t="str">
        <f>"18:53:20.125"</f>
        <v>18:53:20.125</v>
      </c>
      <c r="U1119" t="str">
        <f t="shared" si="52"/>
        <v>a1cdbe</v>
      </c>
      <c r="V1119">
        <v>0</v>
      </c>
      <c r="W1119">
        <v>0</v>
      </c>
      <c r="X1119">
        <v>1</v>
      </c>
      <c r="Y1119">
        <v>0</v>
      </c>
      <c r="Z1119">
        <v>0</v>
      </c>
      <c r="AB1119">
        <v>0</v>
      </c>
      <c r="AC1119">
        <v>9</v>
      </c>
      <c r="AD1119">
        <v>3</v>
      </c>
      <c r="AE1119">
        <v>0</v>
      </c>
      <c r="AF1119">
        <v>9</v>
      </c>
      <c r="AG1119" t="s">
        <v>158</v>
      </c>
      <c r="AH1119">
        <v>0</v>
      </c>
      <c r="AI1119">
        <v>3</v>
      </c>
      <c r="AJ1119">
        <v>1</v>
      </c>
      <c r="AK1119">
        <v>0</v>
      </c>
      <c r="AL1119" t="s">
        <v>2193</v>
      </c>
      <c r="AM1119">
        <v>46.841025000000002</v>
      </c>
      <c r="AN1119" t="s">
        <v>2194</v>
      </c>
      <c r="AO1119">
        <v>-122.57868999999999</v>
      </c>
      <c r="AP1119">
        <v>100</v>
      </c>
      <c r="AQ1119">
        <v>2000</v>
      </c>
      <c r="AR1119" t="s">
        <v>118</v>
      </c>
      <c r="AS1119">
        <v>-71</v>
      </c>
      <c r="AT1119">
        <v>-25</v>
      </c>
      <c r="AU1119">
        <v>256</v>
      </c>
      <c r="BC1119">
        <v>1200</v>
      </c>
      <c r="BD1119">
        <v>1</v>
      </c>
      <c r="BE1119" t="str">
        <f t="shared" si="53"/>
        <v xml:space="preserve">N215T   </v>
      </c>
      <c r="BF1119">
        <v>1</v>
      </c>
      <c r="BH1119">
        <v>0</v>
      </c>
      <c r="BI1119">
        <v>0</v>
      </c>
      <c r="BJ1119">
        <v>0</v>
      </c>
      <c r="BK1119">
        <v>2400</v>
      </c>
      <c r="BL1119">
        <v>400</v>
      </c>
      <c r="BM1119" t="s">
        <v>119</v>
      </c>
      <c r="BN1119">
        <v>1</v>
      </c>
      <c r="BO1119">
        <v>1</v>
      </c>
      <c r="BP1119">
        <v>1</v>
      </c>
      <c r="BQ1119">
        <v>0</v>
      </c>
      <c r="BT1119">
        <v>0</v>
      </c>
      <c r="BU1119">
        <v>0</v>
      </c>
      <c r="BV1119">
        <v>0</v>
      </c>
      <c r="CC1119" t="str">
        <f>"18:53:20.422"</f>
        <v>18:53:20.422</v>
      </c>
      <c r="CD1119" t="str">
        <f>"423579508"</f>
        <v>423579508</v>
      </c>
      <c r="CQ1119">
        <v>0</v>
      </c>
      <c r="CR1119">
        <v>2</v>
      </c>
      <c r="CS1119">
        <v>0</v>
      </c>
      <c r="CT1119">
        <v>2</v>
      </c>
      <c r="CU1119">
        <v>0</v>
      </c>
      <c r="CV1119">
        <v>6</v>
      </c>
      <c r="CW1119" t="s">
        <v>120</v>
      </c>
      <c r="CX1119">
        <v>261</v>
      </c>
      <c r="CY1119">
        <v>2</v>
      </c>
      <c r="CZ1119" t="s">
        <v>121</v>
      </c>
      <c r="DA1119" t="s">
        <v>122</v>
      </c>
      <c r="DD1119">
        <v>14861138</v>
      </c>
      <c r="DE1119" t="s">
        <v>123</v>
      </c>
    </row>
    <row r="1120" spans="1:109" x14ac:dyDescent="0.3">
      <c r="A1120" t="str">
        <f>"18:53:21.531"</f>
        <v>18:53:21.531</v>
      </c>
      <c r="B1120" t="s">
        <v>110</v>
      </c>
      <c r="C1120" t="str">
        <f t="shared" si="51"/>
        <v>ffdfd3c0</v>
      </c>
      <c r="D1120" t="s">
        <v>111</v>
      </c>
      <c r="E1120">
        <v>18</v>
      </c>
      <c r="F1120">
        <v>1018</v>
      </c>
      <c r="G1120" t="s">
        <v>112</v>
      </c>
      <c r="J1120" t="s">
        <v>113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R1120" t="s">
        <v>114</v>
      </c>
      <c r="S1120" t="str">
        <f>"18:53:21.273"</f>
        <v>18:53:21.273</v>
      </c>
      <c r="T1120" t="str">
        <f>"18:53:21.273"</f>
        <v>18:53:21.273</v>
      </c>
      <c r="U1120" t="str">
        <f t="shared" si="52"/>
        <v>a1cdbe</v>
      </c>
      <c r="V1120">
        <v>0</v>
      </c>
      <c r="W1120">
        <v>0</v>
      </c>
      <c r="X1120">
        <v>1</v>
      </c>
      <c r="Y1120">
        <v>0</v>
      </c>
      <c r="Z1120">
        <v>0</v>
      </c>
      <c r="AB1120">
        <v>0</v>
      </c>
      <c r="AC1120">
        <v>9</v>
      </c>
      <c r="AD1120">
        <v>3</v>
      </c>
      <c r="AE1120">
        <v>0</v>
      </c>
      <c r="AF1120">
        <v>9</v>
      </c>
      <c r="AG1120" t="s">
        <v>158</v>
      </c>
      <c r="AH1120">
        <v>0</v>
      </c>
      <c r="AI1120">
        <v>3</v>
      </c>
      <c r="AJ1120">
        <v>1</v>
      </c>
      <c r="AK1120">
        <v>0</v>
      </c>
      <c r="AL1120" t="s">
        <v>2195</v>
      </c>
      <c r="AM1120">
        <v>46.840940000000003</v>
      </c>
      <c r="AN1120" t="s">
        <v>2196</v>
      </c>
      <c r="AO1120">
        <v>-122.57901200000001</v>
      </c>
      <c r="AP1120">
        <v>100</v>
      </c>
      <c r="AQ1120">
        <v>2000</v>
      </c>
      <c r="AR1120" t="s">
        <v>118</v>
      </c>
      <c r="AS1120">
        <v>-70</v>
      </c>
      <c r="AT1120">
        <v>-25</v>
      </c>
      <c r="AU1120">
        <v>192</v>
      </c>
      <c r="BC1120">
        <v>1200</v>
      </c>
      <c r="BD1120">
        <v>1</v>
      </c>
      <c r="BE1120" t="str">
        <f t="shared" si="53"/>
        <v xml:space="preserve">N215T   </v>
      </c>
      <c r="BF1120">
        <v>1</v>
      </c>
      <c r="BH1120">
        <v>0</v>
      </c>
      <c r="BI1120">
        <v>0</v>
      </c>
      <c r="BJ1120">
        <v>0</v>
      </c>
      <c r="BK1120">
        <v>2400</v>
      </c>
      <c r="BL1120">
        <v>400</v>
      </c>
      <c r="BM1120" t="s">
        <v>119</v>
      </c>
      <c r="BN1120">
        <v>1</v>
      </c>
      <c r="BO1120">
        <v>1</v>
      </c>
      <c r="BP1120">
        <v>1</v>
      </c>
      <c r="BQ1120">
        <v>0</v>
      </c>
      <c r="BT1120">
        <v>0</v>
      </c>
      <c r="BU1120">
        <v>0</v>
      </c>
      <c r="BV1120">
        <v>0</v>
      </c>
      <c r="CC1120" t="str">
        <f>"18:53:21.281"</f>
        <v>18:53:21.281</v>
      </c>
      <c r="CD1120" t="str">
        <f>"278495334"</f>
        <v>278495334</v>
      </c>
      <c r="CQ1120">
        <v>0</v>
      </c>
      <c r="CR1120">
        <v>2</v>
      </c>
      <c r="CS1120">
        <v>0</v>
      </c>
      <c r="CT1120">
        <v>2</v>
      </c>
      <c r="CU1120">
        <v>0</v>
      </c>
      <c r="CV1120">
        <v>6</v>
      </c>
      <c r="CW1120" t="s">
        <v>120</v>
      </c>
      <c r="CX1120">
        <v>261</v>
      </c>
      <c r="CY1120">
        <v>2</v>
      </c>
      <c r="CZ1120" t="s">
        <v>121</v>
      </c>
      <c r="DA1120" t="s">
        <v>122</v>
      </c>
      <c r="DD1120">
        <v>14861697</v>
      </c>
      <c r="DE1120" t="s">
        <v>123</v>
      </c>
    </row>
    <row r="1121" spans="1:109" x14ac:dyDescent="0.3">
      <c r="A1121" t="str">
        <f>"18:53:22.586"</f>
        <v>18:53:22.586</v>
      </c>
      <c r="B1121" t="s">
        <v>110</v>
      </c>
      <c r="C1121" t="str">
        <f t="shared" si="51"/>
        <v>ffdfd3c0</v>
      </c>
      <c r="D1121" t="s">
        <v>111</v>
      </c>
      <c r="E1121">
        <v>18</v>
      </c>
      <c r="F1121">
        <v>1018</v>
      </c>
      <c r="G1121" t="s">
        <v>112</v>
      </c>
      <c r="J1121" t="s">
        <v>113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R1121" t="s">
        <v>114</v>
      </c>
      <c r="S1121" t="str">
        <f>"18:53:22.336"</f>
        <v>18:53:22.336</v>
      </c>
      <c r="T1121" t="str">
        <f>"18:53:22.336"</f>
        <v>18:53:22.336</v>
      </c>
      <c r="U1121" t="str">
        <f t="shared" si="52"/>
        <v>a1cdbe</v>
      </c>
      <c r="V1121">
        <v>0</v>
      </c>
      <c r="W1121">
        <v>0</v>
      </c>
      <c r="X1121">
        <v>1</v>
      </c>
      <c r="Y1121">
        <v>0</v>
      </c>
      <c r="Z1121">
        <v>0</v>
      </c>
      <c r="AB1121">
        <v>0</v>
      </c>
      <c r="AC1121">
        <v>9</v>
      </c>
      <c r="AD1121">
        <v>3</v>
      </c>
      <c r="AE1121">
        <v>0</v>
      </c>
      <c r="AF1121">
        <v>9</v>
      </c>
      <c r="AG1121" t="s">
        <v>158</v>
      </c>
      <c r="AH1121">
        <v>0</v>
      </c>
      <c r="AI1121">
        <v>3</v>
      </c>
      <c r="AJ1121">
        <v>1</v>
      </c>
      <c r="AK1121">
        <v>0</v>
      </c>
      <c r="AL1121" t="s">
        <v>2197</v>
      </c>
      <c r="AM1121">
        <v>46.840811000000002</v>
      </c>
      <c r="AN1121" t="s">
        <v>2198</v>
      </c>
      <c r="AO1121">
        <v>-122.579548</v>
      </c>
      <c r="AP1121">
        <v>100</v>
      </c>
      <c r="AQ1121">
        <v>2000</v>
      </c>
      <c r="AR1121" t="s">
        <v>118</v>
      </c>
      <c r="AS1121">
        <v>-70</v>
      </c>
      <c r="AT1121">
        <v>-25</v>
      </c>
      <c r="AU1121">
        <v>192</v>
      </c>
      <c r="BC1121">
        <v>1200</v>
      </c>
      <c r="BD1121">
        <v>1</v>
      </c>
      <c r="BE1121" t="str">
        <f t="shared" si="53"/>
        <v xml:space="preserve">N215T   </v>
      </c>
      <c r="BF1121">
        <v>1</v>
      </c>
      <c r="BH1121">
        <v>0</v>
      </c>
      <c r="BI1121">
        <v>0</v>
      </c>
      <c r="BJ1121">
        <v>0</v>
      </c>
      <c r="BK1121">
        <v>2400</v>
      </c>
      <c r="BL1121">
        <v>400</v>
      </c>
      <c r="BM1121" t="s">
        <v>119</v>
      </c>
      <c r="BN1121">
        <v>1</v>
      </c>
      <c r="BO1121">
        <v>1</v>
      </c>
      <c r="BP1121">
        <v>1</v>
      </c>
      <c r="BQ1121">
        <v>0</v>
      </c>
      <c r="BT1121">
        <v>0</v>
      </c>
      <c r="BU1121">
        <v>0</v>
      </c>
      <c r="BV1121">
        <v>0</v>
      </c>
      <c r="CC1121" t="str">
        <f>"18:53:22.344"</f>
        <v>18:53:22.344</v>
      </c>
      <c r="CD1121" t="str">
        <f>"343390523"</f>
        <v>343390523</v>
      </c>
      <c r="CQ1121">
        <v>0</v>
      </c>
      <c r="CR1121">
        <v>2</v>
      </c>
      <c r="CS1121">
        <v>0</v>
      </c>
      <c r="CT1121">
        <v>2</v>
      </c>
      <c r="CU1121">
        <v>0</v>
      </c>
      <c r="CV1121">
        <v>6</v>
      </c>
      <c r="CW1121" t="s">
        <v>120</v>
      </c>
      <c r="CX1121">
        <v>261</v>
      </c>
      <c r="CY1121">
        <v>2</v>
      </c>
      <c r="CZ1121" t="s">
        <v>121</v>
      </c>
      <c r="DA1121" t="s">
        <v>122</v>
      </c>
      <c r="DD1121">
        <v>14862302</v>
      </c>
      <c r="DE1121" t="s">
        <v>123</v>
      </c>
    </row>
    <row r="1122" spans="1:109" x14ac:dyDescent="0.3">
      <c r="A1122" t="str">
        <f>"18:53:23.594"</f>
        <v>18:53:23.594</v>
      </c>
      <c r="B1122" t="s">
        <v>110</v>
      </c>
      <c r="C1122" t="str">
        <f t="shared" si="51"/>
        <v>ffdfd3c0</v>
      </c>
      <c r="D1122" t="s">
        <v>111</v>
      </c>
      <c r="E1122">
        <v>18</v>
      </c>
      <c r="F1122">
        <v>1018</v>
      </c>
      <c r="G1122" t="s">
        <v>112</v>
      </c>
      <c r="J1122" t="s">
        <v>113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R1122" t="s">
        <v>114</v>
      </c>
      <c r="S1122" t="str">
        <f>"18:53:23.313"</f>
        <v>18:53:23.313</v>
      </c>
      <c r="T1122" t="str">
        <f>"18:53:22.813"</f>
        <v>18:53:22.813</v>
      </c>
      <c r="U1122" t="str">
        <f t="shared" si="52"/>
        <v>a1cdbe</v>
      </c>
      <c r="V1122">
        <v>0</v>
      </c>
      <c r="W1122">
        <v>0</v>
      </c>
      <c r="X1122">
        <v>1</v>
      </c>
      <c r="Y1122">
        <v>0</v>
      </c>
      <c r="Z1122">
        <v>0</v>
      </c>
      <c r="AB1122">
        <v>0</v>
      </c>
      <c r="AC1122">
        <v>9</v>
      </c>
      <c r="AD1122">
        <v>3</v>
      </c>
      <c r="AE1122">
        <v>0</v>
      </c>
      <c r="AF1122">
        <v>9</v>
      </c>
      <c r="AG1122" t="s">
        <v>158</v>
      </c>
      <c r="AH1122">
        <v>0</v>
      </c>
      <c r="AI1122">
        <v>3</v>
      </c>
      <c r="AJ1122">
        <v>1</v>
      </c>
      <c r="AK1122">
        <v>0</v>
      </c>
      <c r="AL1122" t="s">
        <v>2199</v>
      </c>
      <c r="AM1122">
        <v>46.840702999999998</v>
      </c>
      <c r="AN1122" t="s">
        <v>2200</v>
      </c>
      <c r="AO1122">
        <v>-122.58002</v>
      </c>
      <c r="AP1122">
        <v>100</v>
      </c>
      <c r="AQ1122">
        <v>2000</v>
      </c>
      <c r="AR1122" t="s">
        <v>118</v>
      </c>
      <c r="AS1122">
        <v>-70</v>
      </c>
      <c r="AT1122">
        <v>-25</v>
      </c>
      <c r="AU1122">
        <v>128</v>
      </c>
      <c r="BC1122">
        <v>1200</v>
      </c>
      <c r="BD1122">
        <v>1</v>
      </c>
      <c r="BE1122" t="str">
        <f t="shared" si="53"/>
        <v xml:space="preserve">N215T   </v>
      </c>
      <c r="BF1122">
        <v>1</v>
      </c>
      <c r="BH1122">
        <v>0</v>
      </c>
      <c r="BI1122">
        <v>0</v>
      </c>
      <c r="BJ1122">
        <v>0</v>
      </c>
      <c r="BK1122">
        <v>2400</v>
      </c>
      <c r="BL1122">
        <v>400</v>
      </c>
      <c r="BM1122" t="s">
        <v>119</v>
      </c>
      <c r="BN1122">
        <v>1</v>
      </c>
      <c r="BO1122">
        <v>1</v>
      </c>
      <c r="BP1122">
        <v>1</v>
      </c>
      <c r="BQ1122">
        <v>0</v>
      </c>
      <c r="BT1122">
        <v>0</v>
      </c>
      <c r="BU1122">
        <v>0</v>
      </c>
      <c r="BV1122">
        <v>0</v>
      </c>
      <c r="CC1122" t="str">
        <f>"18:53:23.320"</f>
        <v>18:53:23.320</v>
      </c>
      <c r="CD1122" t="str">
        <f>"318294498"</f>
        <v>318294498</v>
      </c>
      <c r="CQ1122">
        <v>0</v>
      </c>
      <c r="CR1122">
        <v>2</v>
      </c>
      <c r="CS1122">
        <v>0</v>
      </c>
      <c r="CT1122">
        <v>2</v>
      </c>
      <c r="CU1122">
        <v>0</v>
      </c>
      <c r="CV1122">
        <v>6</v>
      </c>
      <c r="CW1122" t="s">
        <v>120</v>
      </c>
      <c r="CX1122">
        <v>261</v>
      </c>
      <c r="CY1122">
        <v>2</v>
      </c>
      <c r="CZ1122" t="s">
        <v>121</v>
      </c>
      <c r="DA1122" t="s">
        <v>122</v>
      </c>
      <c r="DD1122">
        <v>14862907</v>
      </c>
      <c r="DE1122" t="s">
        <v>123</v>
      </c>
    </row>
    <row r="1123" spans="1:109" x14ac:dyDescent="0.3">
      <c r="A1123" t="str">
        <f>"18:53:24.547"</f>
        <v>18:53:24.547</v>
      </c>
      <c r="B1123" t="s">
        <v>110</v>
      </c>
      <c r="C1123" t="str">
        <f t="shared" si="51"/>
        <v>ffdfd3c0</v>
      </c>
      <c r="D1123" t="s">
        <v>111</v>
      </c>
      <c r="E1123">
        <v>18</v>
      </c>
      <c r="F1123">
        <v>1018</v>
      </c>
      <c r="G1123" t="s">
        <v>112</v>
      </c>
      <c r="J1123" t="s">
        <v>113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R1123" t="s">
        <v>114</v>
      </c>
      <c r="S1123" t="str">
        <f>"18:53:24.336"</f>
        <v>18:53:24.336</v>
      </c>
      <c r="T1123" t="str">
        <f>"18:53:23.938"</f>
        <v>18:53:23.938</v>
      </c>
      <c r="U1123" t="str">
        <f t="shared" si="52"/>
        <v>a1cdbe</v>
      </c>
      <c r="V1123">
        <v>0</v>
      </c>
      <c r="W1123">
        <v>0</v>
      </c>
      <c r="X1123">
        <v>1</v>
      </c>
      <c r="Y1123">
        <v>0</v>
      </c>
      <c r="Z1123">
        <v>0</v>
      </c>
      <c r="AB1123">
        <v>0</v>
      </c>
      <c r="AC1123">
        <v>9</v>
      </c>
      <c r="AD1123">
        <v>3</v>
      </c>
      <c r="AE1123">
        <v>0</v>
      </c>
      <c r="AF1123">
        <v>9</v>
      </c>
      <c r="AG1123" t="s">
        <v>158</v>
      </c>
      <c r="AH1123">
        <v>0</v>
      </c>
      <c r="AI1123">
        <v>3</v>
      </c>
      <c r="AJ1123">
        <v>1</v>
      </c>
      <c r="AK1123">
        <v>0</v>
      </c>
      <c r="AL1123" t="s">
        <v>2201</v>
      </c>
      <c r="AM1123">
        <v>46.840575000000001</v>
      </c>
      <c r="AN1123" t="s">
        <v>2202</v>
      </c>
      <c r="AO1123">
        <v>-122.58051399999999</v>
      </c>
      <c r="AP1123">
        <v>100</v>
      </c>
      <c r="AQ1123">
        <v>2000</v>
      </c>
      <c r="AR1123" t="s">
        <v>118</v>
      </c>
      <c r="AS1123">
        <v>-70</v>
      </c>
      <c r="AT1123">
        <v>-26</v>
      </c>
      <c r="AU1123">
        <v>192</v>
      </c>
      <c r="BC1123">
        <v>1200</v>
      </c>
      <c r="BD1123">
        <v>1</v>
      </c>
      <c r="BE1123" t="str">
        <f t="shared" si="53"/>
        <v xml:space="preserve">N215T   </v>
      </c>
      <c r="BF1123">
        <v>1</v>
      </c>
      <c r="BH1123">
        <v>0</v>
      </c>
      <c r="BI1123">
        <v>0</v>
      </c>
      <c r="BJ1123">
        <v>0</v>
      </c>
      <c r="BK1123">
        <v>2400</v>
      </c>
      <c r="BL1123">
        <v>400</v>
      </c>
      <c r="BM1123" t="s">
        <v>119</v>
      </c>
      <c r="BN1123">
        <v>1</v>
      </c>
      <c r="BO1123">
        <v>1</v>
      </c>
      <c r="BP1123">
        <v>1</v>
      </c>
      <c r="BQ1123">
        <v>0</v>
      </c>
      <c r="BT1123">
        <v>0</v>
      </c>
      <c r="BU1123">
        <v>0</v>
      </c>
      <c r="BV1123">
        <v>0</v>
      </c>
      <c r="CC1123" t="str">
        <f>"18:53:24.336"</f>
        <v>18:53:24.336</v>
      </c>
      <c r="CD1123" t="str">
        <f>"338194096"</f>
        <v>338194096</v>
      </c>
      <c r="CQ1123">
        <v>0</v>
      </c>
      <c r="CR1123">
        <v>2</v>
      </c>
      <c r="CS1123">
        <v>0</v>
      </c>
      <c r="CT1123">
        <v>2</v>
      </c>
      <c r="CU1123">
        <v>0</v>
      </c>
      <c r="CV1123">
        <v>6</v>
      </c>
      <c r="CW1123" t="s">
        <v>120</v>
      </c>
      <c r="CX1123">
        <v>261</v>
      </c>
      <c r="CY1123">
        <v>2</v>
      </c>
      <c r="CZ1123" t="s">
        <v>121</v>
      </c>
      <c r="DA1123" t="s">
        <v>122</v>
      </c>
      <c r="DD1123">
        <v>14863540</v>
      </c>
      <c r="DE1123" t="s">
        <v>123</v>
      </c>
    </row>
    <row r="1124" spans="1:109" x14ac:dyDescent="0.3">
      <c r="A1124" t="str">
        <f>"18:53:25.656"</f>
        <v>18:53:25.656</v>
      </c>
      <c r="B1124" t="s">
        <v>110</v>
      </c>
      <c r="C1124" t="str">
        <f t="shared" si="51"/>
        <v>ffdfd3c0</v>
      </c>
      <c r="D1124" t="s">
        <v>111</v>
      </c>
      <c r="E1124">
        <v>18</v>
      </c>
      <c r="F1124">
        <v>1018</v>
      </c>
      <c r="G1124" t="s">
        <v>112</v>
      </c>
      <c r="J1124" t="s">
        <v>113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R1124" t="s">
        <v>114</v>
      </c>
      <c r="S1124" t="str">
        <f>"18:53:25.383"</f>
        <v>18:53:25.383</v>
      </c>
      <c r="T1124" t="str">
        <f>"18:53:24.984"</f>
        <v>18:53:24.984</v>
      </c>
      <c r="U1124" t="str">
        <f t="shared" si="52"/>
        <v>a1cdbe</v>
      </c>
      <c r="V1124">
        <v>0</v>
      </c>
      <c r="W1124">
        <v>0</v>
      </c>
      <c r="X1124">
        <v>1</v>
      </c>
      <c r="Y1124">
        <v>0</v>
      </c>
      <c r="Z1124">
        <v>0</v>
      </c>
      <c r="AB1124">
        <v>0</v>
      </c>
      <c r="AC1124">
        <v>9</v>
      </c>
      <c r="AD1124">
        <v>3</v>
      </c>
      <c r="AE1124">
        <v>0</v>
      </c>
      <c r="AF1124">
        <v>9</v>
      </c>
      <c r="AG1124" t="s">
        <v>158</v>
      </c>
      <c r="AH1124">
        <v>0</v>
      </c>
      <c r="AI1124">
        <v>3</v>
      </c>
      <c r="AJ1124">
        <v>1</v>
      </c>
      <c r="AK1124">
        <v>0</v>
      </c>
      <c r="AL1124" t="s">
        <v>2203</v>
      </c>
      <c r="AM1124">
        <v>46.840446</v>
      </c>
      <c r="AN1124" t="s">
        <v>2204</v>
      </c>
      <c r="AO1124">
        <v>-122.580986</v>
      </c>
      <c r="AP1124">
        <v>100</v>
      </c>
      <c r="AQ1124">
        <v>2000</v>
      </c>
      <c r="AR1124" t="s">
        <v>118</v>
      </c>
      <c r="AS1124">
        <v>-70</v>
      </c>
      <c r="AT1124">
        <v>-26</v>
      </c>
      <c r="AU1124">
        <v>128</v>
      </c>
      <c r="BC1124">
        <v>1200</v>
      </c>
      <c r="BD1124">
        <v>1</v>
      </c>
      <c r="BE1124" t="str">
        <f t="shared" si="53"/>
        <v xml:space="preserve">N215T   </v>
      </c>
      <c r="BF1124">
        <v>1</v>
      </c>
      <c r="BH1124">
        <v>0</v>
      </c>
      <c r="BI1124">
        <v>0</v>
      </c>
      <c r="BJ1124">
        <v>0</v>
      </c>
      <c r="BK1124">
        <v>2400</v>
      </c>
      <c r="BL1124">
        <v>400</v>
      </c>
      <c r="BM1124" t="s">
        <v>119</v>
      </c>
      <c r="BN1124">
        <v>1</v>
      </c>
      <c r="BO1124">
        <v>1</v>
      </c>
      <c r="BP1124">
        <v>1</v>
      </c>
      <c r="BQ1124">
        <v>0</v>
      </c>
      <c r="BT1124">
        <v>0</v>
      </c>
      <c r="BU1124">
        <v>0</v>
      </c>
      <c r="BV1124">
        <v>0</v>
      </c>
      <c r="CC1124" t="str">
        <f>"18:53:25.391"</f>
        <v>18:53:25.391</v>
      </c>
      <c r="CD1124" t="str">
        <f>"388090717"</f>
        <v>388090717</v>
      </c>
      <c r="CQ1124">
        <v>0</v>
      </c>
      <c r="CR1124">
        <v>2</v>
      </c>
      <c r="CS1124">
        <v>0</v>
      </c>
      <c r="CT1124">
        <v>2</v>
      </c>
      <c r="CU1124">
        <v>0</v>
      </c>
      <c r="CV1124">
        <v>6</v>
      </c>
      <c r="CW1124" t="s">
        <v>120</v>
      </c>
      <c r="CX1124">
        <v>261</v>
      </c>
      <c r="CY1124">
        <v>2</v>
      </c>
      <c r="CZ1124" t="s">
        <v>121</v>
      </c>
      <c r="DA1124" t="s">
        <v>122</v>
      </c>
      <c r="DD1124">
        <v>14864176</v>
      </c>
      <c r="DE1124" t="s">
        <v>123</v>
      </c>
    </row>
    <row r="1125" spans="1:109" x14ac:dyDescent="0.3">
      <c r="A1125" t="str">
        <f>"18:53:26.508"</f>
        <v>18:53:26.508</v>
      </c>
      <c r="B1125" t="s">
        <v>110</v>
      </c>
      <c r="C1125" t="str">
        <f t="shared" si="51"/>
        <v>ffdfd3c0</v>
      </c>
      <c r="D1125" t="s">
        <v>111</v>
      </c>
      <c r="E1125">
        <v>18</v>
      </c>
      <c r="F1125">
        <v>1018</v>
      </c>
      <c r="G1125" t="s">
        <v>112</v>
      </c>
      <c r="J1125" t="s">
        <v>113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R1125" t="s">
        <v>114</v>
      </c>
      <c r="S1125" t="str">
        <f>"18:53:26.266"</f>
        <v>18:53:26.266</v>
      </c>
      <c r="T1125" t="str">
        <f>"18:53:26.063"</f>
        <v>18:53:26.063</v>
      </c>
      <c r="U1125" t="str">
        <f t="shared" si="52"/>
        <v>a1cdbe</v>
      </c>
      <c r="V1125">
        <v>0</v>
      </c>
      <c r="W1125">
        <v>0</v>
      </c>
      <c r="X1125">
        <v>1</v>
      </c>
      <c r="Y1125">
        <v>0</v>
      </c>
      <c r="Z1125">
        <v>0</v>
      </c>
      <c r="AB1125">
        <v>0</v>
      </c>
      <c r="AC1125">
        <v>9</v>
      </c>
      <c r="AD1125">
        <v>3</v>
      </c>
      <c r="AE1125">
        <v>0</v>
      </c>
      <c r="AF1125">
        <v>9</v>
      </c>
      <c r="AG1125" t="s">
        <v>158</v>
      </c>
      <c r="AH1125">
        <v>0</v>
      </c>
      <c r="AI1125">
        <v>3</v>
      </c>
      <c r="AJ1125">
        <v>1</v>
      </c>
      <c r="AK1125">
        <v>0</v>
      </c>
      <c r="AL1125" t="s">
        <v>2205</v>
      </c>
      <c r="AM1125">
        <v>46.840359999999997</v>
      </c>
      <c r="AN1125" t="s">
        <v>2206</v>
      </c>
      <c r="AO1125">
        <v>-122.581394</v>
      </c>
      <c r="AP1125">
        <v>100</v>
      </c>
      <c r="AQ1125">
        <v>2000</v>
      </c>
      <c r="AR1125" t="s">
        <v>118</v>
      </c>
      <c r="AS1125">
        <v>-70</v>
      </c>
      <c r="AT1125">
        <v>-25</v>
      </c>
      <c r="AU1125">
        <v>128</v>
      </c>
      <c r="BC1125">
        <v>1200</v>
      </c>
      <c r="BD1125">
        <v>1</v>
      </c>
      <c r="BE1125" t="str">
        <f t="shared" si="53"/>
        <v xml:space="preserve">N215T   </v>
      </c>
      <c r="BF1125">
        <v>1</v>
      </c>
      <c r="BH1125">
        <v>0</v>
      </c>
      <c r="BI1125">
        <v>0</v>
      </c>
      <c r="BJ1125">
        <v>0</v>
      </c>
      <c r="BK1125">
        <v>2400</v>
      </c>
      <c r="BL1125">
        <v>400</v>
      </c>
      <c r="BM1125" t="s">
        <v>119</v>
      </c>
      <c r="BN1125">
        <v>1</v>
      </c>
      <c r="BO1125">
        <v>1</v>
      </c>
      <c r="BP1125">
        <v>1</v>
      </c>
      <c r="BQ1125">
        <v>0</v>
      </c>
      <c r="BT1125">
        <v>0</v>
      </c>
      <c r="BU1125">
        <v>0</v>
      </c>
      <c r="BV1125">
        <v>0</v>
      </c>
      <c r="CC1125" t="str">
        <f>"18:53:26.273"</f>
        <v>18:53:26.273</v>
      </c>
      <c r="CD1125" t="str">
        <f>"273003595"</f>
        <v>273003595</v>
      </c>
      <c r="CQ1125">
        <v>0</v>
      </c>
      <c r="CR1125">
        <v>2</v>
      </c>
      <c r="CS1125">
        <v>0</v>
      </c>
      <c r="CT1125">
        <v>2</v>
      </c>
      <c r="CU1125">
        <v>0</v>
      </c>
      <c r="CV1125">
        <v>6</v>
      </c>
      <c r="CW1125" t="s">
        <v>120</v>
      </c>
      <c r="CX1125">
        <v>261</v>
      </c>
      <c r="CY1125">
        <v>2</v>
      </c>
      <c r="CZ1125" t="s">
        <v>121</v>
      </c>
      <c r="DA1125" t="s">
        <v>122</v>
      </c>
      <c r="DD1125">
        <v>14864749</v>
      </c>
      <c r="DE1125" t="s">
        <v>123</v>
      </c>
    </row>
    <row r="1126" spans="1:109" x14ac:dyDescent="0.3">
      <c r="A1126" t="str">
        <f>"18:53:27.516"</f>
        <v>18:53:27.516</v>
      </c>
      <c r="B1126" t="s">
        <v>110</v>
      </c>
      <c r="C1126" t="str">
        <f t="shared" si="51"/>
        <v>ffdfd3c0</v>
      </c>
      <c r="D1126" t="s">
        <v>111</v>
      </c>
      <c r="E1126">
        <v>18</v>
      </c>
      <c r="F1126">
        <v>1018</v>
      </c>
      <c r="G1126" t="s">
        <v>112</v>
      </c>
      <c r="J1126" t="s">
        <v>113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R1126" t="s">
        <v>114</v>
      </c>
      <c r="S1126" t="str">
        <f>"18:53:27.289"</f>
        <v>18:53:27.289</v>
      </c>
      <c r="T1126" t="str">
        <f>"18:53:27.086"</f>
        <v>18:53:27.086</v>
      </c>
      <c r="U1126" t="str">
        <f t="shared" si="52"/>
        <v>a1cdbe</v>
      </c>
      <c r="V1126">
        <v>0</v>
      </c>
      <c r="W1126">
        <v>0</v>
      </c>
      <c r="X1126">
        <v>1</v>
      </c>
      <c r="Y1126">
        <v>0</v>
      </c>
      <c r="Z1126">
        <v>0</v>
      </c>
      <c r="AB1126">
        <v>0</v>
      </c>
      <c r="AC1126">
        <v>9</v>
      </c>
      <c r="AD1126">
        <v>3</v>
      </c>
      <c r="AE1126">
        <v>0</v>
      </c>
      <c r="AF1126">
        <v>9</v>
      </c>
      <c r="AG1126" t="s">
        <v>158</v>
      </c>
      <c r="AH1126">
        <v>0</v>
      </c>
      <c r="AI1126">
        <v>3</v>
      </c>
      <c r="AJ1126">
        <v>1</v>
      </c>
      <c r="AK1126">
        <v>0</v>
      </c>
      <c r="AL1126" t="s">
        <v>2207</v>
      </c>
      <c r="AM1126">
        <v>46.840209999999999</v>
      </c>
      <c r="AN1126" t="s">
        <v>2208</v>
      </c>
      <c r="AO1126">
        <v>-122.581909</v>
      </c>
      <c r="AP1126">
        <v>100</v>
      </c>
      <c r="AQ1126">
        <v>2000</v>
      </c>
      <c r="AR1126" t="s">
        <v>118</v>
      </c>
      <c r="AS1126">
        <v>-70</v>
      </c>
      <c r="AT1126">
        <v>-25</v>
      </c>
      <c r="AU1126">
        <v>64</v>
      </c>
      <c r="BC1126">
        <v>1200</v>
      </c>
      <c r="BD1126">
        <v>1</v>
      </c>
      <c r="BE1126" t="str">
        <f t="shared" si="53"/>
        <v xml:space="preserve">N215T   </v>
      </c>
      <c r="BF1126">
        <v>1</v>
      </c>
      <c r="BH1126">
        <v>0</v>
      </c>
      <c r="BI1126">
        <v>0</v>
      </c>
      <c r="BJ1126">
        <v>0</v>
      </c>
      <c r="BK1126">
        <v>2400</v>
      </c>
      <c r="BL1126">
        <v>400</v>
      </c>
      <c r="BM1126" t="s">
        <v>119</v>
      </c>
      <c r="BN1126">
        <v>1</v>
      </c>
      <c r="BO1126">
        <v>1</v>
      </c>
      <c r="BP1126">
        <v>1</v>
      </c>
      <c r="BQ1126">
        <v>0</v>
      </c>
      <c r="BT1126">
        <v>0</v>
      </c>
      <c r="BU1126">
        <v>0</v>
      </c>
      <c r="BV1126">
        <v>0</v>
      </c>
      <c r="CC1126" t="str">
        <f>"18:53:27.289"</f>
        <v>18:53:27.289</v>
      </c>
      <c r="CD1126" t="str">
        <f>"292903189"</f>
        <v>292903189</v>
      </c>
      <c r="CQ1126">
        <v>0</v>
      </c>
      <c r="CR1126">
        <v>2</v>
      </c>
      <c r="CS1126">
        <v>0</v>
      </c>
      <c r="CT1126">
        <v>2</v>
      </c>
      <c r="CU1126">
        <v>0</v>
      </c>
      <c r="CV1126">
        <v>6</v>
      </c>
      <c r="CW1126" t="s">
        <v>120</v>
      </c>
      <c r="CX1126">
        <v>261</v>
      </c>
      <c r="CY1126">
        <v>2</v>
      </c>
      <c r="CZ1126" t="s">
        <v>121</v>
      </c>
      <c r="DA1126" t="s">
        <v>122</v>
      </c>
      <c r="DD1126">
        <v>14865331</v>
      </c>
      <c r="DE1126" t="s">
        <v>123</v>
      </c>
    </row>
    <row r="1127" spans="1:109" x14ac:dyDescent="0.3">
      <c r="A1127" t="str">
        <f>"18:53:28.469"</f>
        <v>18:53:28.469</v>
      </c>
      <c r="B1127" t="s">
        <v>110</v>
      </c>
      <c r="C1127" t="str">
        <f t="shared" si="51"/>
        <v>ffdfd3c0</v>
      </c>
      <c r="D1127" t="s">
        <v>111</v>
      </c>
      <c r="E1127">
        <v>18</v>
      </c>
      <c r="F1127">
        <v>1018</v>
      </c>
      <c r="G1127" t="s">
        <v>112</v>
      </c>
      <c r="J1127" t="s">
        <v>113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R1127" t="s">
        <v>114</v>
      </c>
      <c r="S1127" t="str">
        <f>"18:53:28.234"</f>
        <v>18:53:28.234</v>
      </c>
      <c r="T1127" t="str">
        <f>"18:53:28.031"</f>
        <v>18:53:28.031</v>
      </c>
      <c r="U1127" t="str">
        <f t="shared" si="52"/>
        <v>a1cdbe</v>
      </c>
      <c r="V1127">
        <v>0</v>
      </c>
      <c r="W1127">
        <v>0</v>
      </c>
      <c r="X1127">
        <v>1</v>
      </c>
      <c r="Y1127">
        <v>0</v>
      </c>
      <c r="Z1127">
        <v>0</v>
      </c>
      <c r="AB1127">
        <v>0</v>
      </c>
      <c r="AC1127">
        <v>9</v>
      </c>
      <c r="AD1127">
        <v>3</v>
      </c>
      <c r="AE1127">
        <v>0</v>
      </c>
      <c r="AF1127">
        <v>9</v>
      </c>
      <c r="AG1127" t="s">
        <v>158</v>
      </c>
      <c r="AH1127">
        <v>0</v>
      </c>
      <c r="AI1127">
        <v>3</v>
      </c>
      <c r="AJ1127">
        <v>1</v>
      </c>
      <c r="AK1127">
        <v>0</v>
      </c>
      <c r="AL1127" t="s">
        <v>2209</v>
      </c>
      <c r="AM1127">
        <v>46.840124000000003</v>
      </c>
      <c r="AN1127" t="s">
        <v>2210</v>
      </c>
      <c r="AO1127">
        <v>-122.582359</v>
      </c>
      <c r="AP1127">
        <v>100</v>
      </c>
      <c r="AQ1127">
        <v>2000</v>
      </c>
      <c r="AR1127" t="s">
        <v>118</v>
      </c>
      <c r="AS1127">
        <v>-70</v>
      </c>
      <c r="AT1127">
        <v>-25</v>
      </c>
      <c r="AU1127">
        <v>128</v>
      </c>
      <c r="BC1127">
        <v>1200</v>
      </c>
      <c r="BD1127">
        <v>1</v>
      </c>
      <c r="BE1127" t="str">
        <f t="shared" si="53"/>
        <v xml:space="preserve">N215T   </v>
      </c>
      <c r="BF1127">
        <v>1</v>
      </c>
      <c r="BH1127">
        <v>0</v>
      </c>
      <c r="BI1127">
        <v>0</v>
      </c>
      <c r="BJ1127">
        <v>0</v>
      </c>
      <c r="BK1127">
        <v>2400</v>
      </c>
      <c r="BL1127">
        <v>400</v>
      </c>
      <c r="BM1127" t="s">
        <v>119</v>
      </c>
      <c r="BN1127">
        <v>1</v>
      </c>
      <c r="BO1127">
        <v>1</v>
      </c>
      <c r="BP1127">
        <v>1</v>
      </c>
      <c r="BQ1127">
        <v>0</v>
      </c>
      <c r="BT1127">
        <v>0</v>
      </c>
      <c r="BU1127">
        <v>0</v>
      </c>
      <c r="BV1127">
        <v>0</v>
      </c>
      <c r="CC1127" t="str">
        <f>"18:53:28.234"</f>
        <v>18:53:28.234</v>
      </c>
      <c r="CD1127" t="str">
        <f>"237810162"</f>
        <v>237810162</v>
      </c>
      <c r="CQ1127">
        <v>0</v>
      </c>
      <c r="CR1127">
        <v>2</v>
      </c>
      <c r="CS1127">
        <v>0</v>
      </c>
      <c r="CT1127">
        <v>2</v>
      </c>
      <c r="CU1127">
        <v>0</v>
      </c>
      <c r="CV1127">
        <v>6</v>
      </c>
      <c r="CW1127" t="s">
        <v>120</v>
      </c>
      <c r="CX1127">
        <v>261</v>
      </c>
      <c r="CY1127">
        <v>2</v>
      </c>
      <c r="CZ1127" t="s">
        <v>121</v>
      </c>
      <c r="DA1127" t="s">
        <v>122</v>
      </c>
      <c r="DD1127">
        <v>14865923</v>
      </c>
      <c r="DE1127" t="s">
        <v>123</v>
      </c>
    </row>
    <row r="1128" spans="1:109" x14ac:dyDescent="0.3">
      <c r="A1128" t="str">
        <f>"18:53:29.578"</f>
        <v>18:53:29.578</v>
      </c>
      <c r="B1128" t="s">
        <v>110</v>
      </c>
      <c r="C1128" t="str">
        <f t="shared" si="51"/>
        <v>ffdfd3c0</v>
      </c>
      <c r="D1128" t="s">
        <v>111</v>
      </c>
      <c r="E1128">
        <v>18</v>
      </c>
      <c r="F1128">
        <v>1018</v>
      </c>
      <c r="G1128" t="s">
        <v>112</v>
      </c>
      <c r="J1128" t="s">
        <v>113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R1128" t="s">
        <v>114</v>
      </c>
      <c r="S1128" t="str">
        <f>"18:53:29.313"</f>
        <v>18:53:29.313</v>
      </c>
      <c r="T1128" t="str">
        <f>"18:53:29.016"</f>
        <v>18:53:29.016</v>
      </c>
      <c r="U1128" t="str">
        <f t="shared" si="52"/>
        <v>a1cdbe</v>
      </c>
      <c r="V1128">
        <v>0</v>
      </c>
      <c r="W1128">
        <v>0</v>
      </c>
      <c r="X1128">
        <v>1</v>
      </c>
      <c r="Y1128">
        <v>0</v>
      </c>
      <c r="Z1128">
        <v>0</v>
      </c>
      <c r="AB1128">
        <v>0</v>
      </c>
      <c r="AC1128">
        <v>9</v>
      </c>
      <c r="AD1128">
        <v>3</v>
      </c>
      <c r="AE1128">
        <v>0</v>
      </c>
      <c r="AF1128">
        <v>9</v>
      </c>
      <c r="AG1128" t="s">
        <v>158</v>
      </c>
      <c r="AH1128">
        <v>0</v>
      </c>
      <c r="AI1128">
        <v>3</v>
      </c>
      <c r="AJ1128">
        <v>1</v>
      </c>
      <c r="AK1128">
        <v>0</v>
      </c>
      <c r="AL1128" t="s">
        <v>2211</v>
      </c>
      <c r="AM1128">
        <v>46.839973999999998</v>
      </c>
      <c r="AN1128" t="s">
        <v>2212</v>
      </c>
      <c r="AO1128">
        <v>-122.582831</v>
      </c>
      <c r="AP1128">
        <v>100</v>
      </c>
      <c r="AQ1128">
        <v>2000</v>
      </c>
      <c r="AR1128" t="s">
        <v>118</v>
      </c>
      <c r="AS1128">
        <v>-70</v>
      </c>
      <c r="AT1128">
        <v>-25</v>
      </c>
      <c r="AU1128">
        <v>64</v>
      </c>
      <c r="BC1128">
        <v>1200</v>
      </c>
      <c r="BD1128">
        <v>1</v>
      </c>
      <c r="BE1128" t="str">
        <f t="shared" si="53"/>
        <v xml:space="preserve">N215T   </v>
      </c>
      <c r="BF1128">
        <v>1</v>
      </c>
      <c r="BH1128">
        <v>0</v>
      </c>
      <c r="BI1128">
        <v>0</v>
      </c>
      <c r="BJ1128">
        <v>0</v>
      </c>
      <c r="BK1128">
        <v>2425</v>
      </c>
      <c r="BL1128">
        <v>425</v>
      </c>
      <c r="BM1128" t="s">
        <v>119</v>
      </c>
      <c r="BN1128">
        <v>1</v>
      </c>
      <c r="BO1128">
        <v>1</v>
      </c>
      <c r="BP1128">
        <v>1</v>
      </c>
      <c r="BQ1128">
        <v>0</v>
      </c>
      <c r="BT1128">
        <v>0</v>
      </c>
      <c r="BU1128">
        <v>0</v>
      </c>
      <c r="BV1128">
        <v>0</v>
      </c>
      <c r="CC1128" t="str">
        <f>"18:53:29.320"</f>
        <v>18:53:29.320</v>
      </c>
      <c r="CD1128" t="str">
        <f>"317703831"</f>
        <v>317703831</v>
      </c>
      <c r="CQ1128">
        <v>0</v>
      </c>
      <c r="CR1128">
        <v>2</v>
      </c>
      <c r="CS1128">
        <v>0</v>
      </c>
      <c r="CT1128">
        <v>2</v>
      </c>
      <c r="CU1128">
        <v>0</v>
      </c>
      <c r="CV1128">
        <v>6</v>
      </c>
      <c r="CW1128" t="s">
        <v>120</v>
      </c>
      <c r="CX1128">
        <v>261</v>
      </c>
      <c r="CY1128">
        <v>2</v>
      </c>
      <c r="CZ1128" t="s">
        <v>121</v>
      </c>
      <c r="DA1128" t="s">
        <v>122</v>
      </c>
      <c r="DD1128">
        <v>14866599</v>
      </c>
      <c r="DE1128" t="s">
        <v>123</v>
      </c>
    </row>
    <row r="1129" spans="1:109" x14ac:dyDescent="0.3">
      <c r="A1129" t="str">
        <f>"18:53:30.633"</f>
        <v>18:53:30.633</v>
      </c>
      <c r="B1129" t="s">
        <v>110</v>
      </c>
      <c r="C1129" t="str">
        <f t="shared" si="51"/>
        <v>ffdfd3c0</v>
      </c>
      <c r="D1129" t="s">
        <v>111</v>
      </c>
      <c r="E1129">
        <v>18</v>
      </c>
      <c r="F1129">
        <v>1018</v>
      </c>
      <c r="G1129" t="s">
        <v>112</v>
      </c>
      <c r="J1129" t="s">
        <v>113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R1129" t="s">
        <v>114</v>
      </c>
      <c r="S1129" t="str">
        <f>"18:53:30.438"</f>
        <v>18:53:30.438</v>
      </c>
      <c r="T1129" t="str">
        <f>"18:53:30.336"</f>
        <v>18:53:30.336</v>
      </c>
      <c r="U1129" t="str">
        <f t="shared" si="52"/>
        <v>a1cdbe</v>
      </c>
      <c r="V1129">
        <v>0</v>
      </c>
      <c r="W1129">
        <v>0</v>
      </c>
      <c r="X1129">
        <v>1</v>
      </c>
      <c r="Y1129">
        <v>0</v>
      </c>
      <c r="Z1129">
        <v>0</v>
      </c>
      <c r="AB1129">
        <v>0</v>
      </c>
      <c r="AC1129">
        <v>9</v>
      </c>
      <c r="AD1129">
        <v>3</v>
      </c>
      <c r="AE1129">
        <v>0</v>
      </c>
      <c r="AF1129">
        <v>9</v>
      </c>
      <c r="AG1129" t="s">
        <v>158</v>
      </c>
      <c r="AH1129">
        <v>0</v>
      </c>
      <c r="AI1129">
        <v>3</v>
      </c>
      <c r="AJ1129">
        <v>1</v>
      </c>
      <c r="AK1129">
        <v>0</v>
      </c>
      <c r="AL1129" t="s">
        <v>2213</v>
      </c>
      <c r="AM1129">
        <v>46.839844999999997</v>
      </c>
      <c r="AN1129" t="s">
        <v>2214</v>
      </c>
      <c r="AO1129">
        <v>-122.58336799999999</v>
      </c>
      <c r="AP1129">
        <v>100</v>
      </c>
      <c r="AQ1129">
        <v>2000</v>
      </c>
      <c r="AR1129" t="s">
        <v>118</v>
      </c>
      <c r="AS1129">
        <v>-70</v>
      </c>
      <c r="AT1129">
        <v>-24</v>
      </c>
      <c r="AU1129">
        <v>0</v>
      </c>
      <c r="BC1129">
        <v>1200</v>
      </c>
      <c r="BD1129">
        <v>1</v>
      </c>
      <c r="BE1129" t="str">
        <f t="shared" si="53"/>
        <v xml:space="preserve">N215T   </v>
      </c>
      <c r="BF1129">
        <v>1</v>
      </c>
      <c r="BH1129">
        <v>0</v>
      </c>
      <c r="BI1129">
        <v>0</v>
      </c>
      <c r="BJ1129">
        <v>0</v>
      </c>
      <c r="BK1129">
        <v>2425</v>
      </c>
      <c r="BL1129">
        <v>425</v>
      </c>
      <c r="BM1129" t="s">
        <v>119</v>
      </c>
      <c r="BN1129">
        <v>1</v>
      </c>
      <c r="BO1129">
        <v>1</v>
      </c>
      <c r="BP1129">
        <v>1</v>
      </c>
      <c r="BQ1129">
        <v>0</v>
      </c>
      <c r="BT1129">
        <v>0</v>
      </c>
      <c r="BU1129">
        <v>0</v>
      </c>
      <c r="BV1129">
        <v>0</v>
      </c>
      <c r="CC1129" t="str">
        <f>"18:53:30.445"</f>
        <v>18:53:30.445</v>
      </c>
      <c r="CD1129" t="str">
        <f>"442593081"</f>
        <v>442593081</v>
      </c>
      <c r="CQ1129">
        <v>0</v>
      </c>
      <c r="CR1129">
        <v>2</v>
      </c>
      <c r="CS1129">
        <v>0</v>
      </c>
      <c r="CT1129">
        <v>2</v>
      </c>
      <c r="CU1129">
        <v>0</v>
      </c>
      <c r="CV1129">
        <v>6</v>
      </c>
      <c r="CW1129" t="s">
        <v>120</v>
      </c>
      <c r="CX1129">
        <v>261</v>
      </c>
      <c r="CY1129">
        <v>2</v>
      </c>
      <c r="CZ1129" t="s">
        <v>121</v>
      </c>
      <c r="DA1129" t="s">
        <v>122</v>
      </c>
      <c r="DD1129">
        <v>14867418</v>
      </c>
      <c r="DE1129" t="s">
        <v>123</v>
      </c>
    </row>
    <row r="1130" spans="1:109" x14ac:dyDescent="0.3">
      <c r="A1130" t="str">
        <f>"18:53:31.586"</f>
        <v>18:53:31.586</v>
      </c>
      <c r="B1130" t="s">
        <v>110</v>
      </c>
      <c r="C1130" t="str">
        <f t="shared" si="51"/>
        <v>ffdfd3c0</v>
      </c>
      <c r="D1130" t="s">
        <v>111</v>
      </c>
      <c r="E1130">
        <v>18</v>
      </c>
      <c r="F1130">
        <v>1018</v>
      </c>
      <c r="G1130" t="s">
        <v>112</v>
      </c>
      <c r="J1130" t="s">
        <v>113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R1130" t="s">
        <v>114</v>
      </c>
      <c r="S1130" t="str">
        <f>"18:53:31.336"</f>
        <v>18:53:31.336</v>
      </c>
      <c r="T1130" t="str">
        <f>"18:53:31.336"</f>
        <v>18:53:31.336</v>
      </c>
      <c r="U1130" t="str">
        <f t="shared" si="52"/>
        <v>a1cdbe</v>
      </c>
      <c r="V1130">
        <v>0</v>
      </c>
      <c r="W1130">
        <v>0</v>
      </c>
      <c r="X1130">
        <v>1</v>
      </c>
      <c r="Y1130">
        <v>0</v>
      </c>
      <c r="Z1130">
        <v>0</v>
      </c>
      <c r="AB1130">
        <v>0</v>
      </c>
      <c r="AC1130">
        <v>9</v>
      </c>
      <c r="AD1130">
        <v>3</v>
      </c>
      <c r="AE1130">
        <v>0</v>
      </c>
      <c r="AF1130">
        <v>9</v>
      </c>
      <c r="AG1130" t="s">
        <v>158</v>
      </c>
      <c r="AH1130">
        <v>0</v>
      </c>
      <c r="AI1130">
        <v>3</v>
      </c>
      <c r="AJ1130">
        <v>1</v>
      </c>
      <c r="AK1130">
        <v>0</v>
      </c>
      <c r="AL1130" t="s">
        <v>2215</v>
      </c>
      <c r="AM1130">
        <v>46.839759000000001</v>
      </c>
      <c r="AN1130" t="s">
        <v>2216</v>
      </c>
      <c r="AO1130">
        <v>-122.58384</v>
      </c>
      <c r="AP1130">
        <v>100</v>
      </c>
      <c r="AQ1130">
        <v>2000</v>
      </c>
      <c r="AR1130" t="s">
        <v>118</v>
      </c>
      <c r="AS1130">
        <v>-70</v>
      </c>
      <c r="AT1130">
        <v>-24</v>
      </c>
      <c r="AU1130">
        <v>64</v>
      </c>
      <c r="BC1130">
        <v>1200</v>
      </c>
      <c r="BD1130">
        <v>1</v>
      </c>
      <c r="BE1130" t="str">
        <f t="shared" si="53"/>
        <v xml:space="preserve">N215T   </v>
      </c>
      <c r="BF1130">
        <v>1</v>
      </c>
      <c r="BH1130">
        <v>0</v>
      </c>
      <c r="BI1130">
        <v>0</v>
      </c>
      <c r="BJ1130">
        <v>0</v>
      </c>
      <c r="BK1130">
        <v>2425</v>
      </c>
      <c r="BL1130">
        <v>425</v>
      </c>
      <c r="BM1130" t="s">
        <v>119</v>
      </c>
      <c r="BN1130">
        <v>1</v>
      </c>
      <c r="BO1130">
        <v>1</v>
      </c>
      <c r="BP1130">
        <v>1</v>
      </c>
      <c r="BQ1130">
        <v>0</v>
      </c>
      <c r="BT1130">
        <v>0</v>
      </c>
      <c r="BU1130">
        <v>0</v>
      </c>
      <c r="BV1130">
        <v>0</v>
      </c>
      <c r="CC1130" t="str">
        <f>"18:53:31.344"</f>
        <v>18:53:31.344</v>
      </c>
      <c r="CD1130" t="str">
        <f>"342504474"</f>
        <v>342504474</v>
      </c>
      <c r="CQ1130">
        <v>0</v>
      </c>
      <c r="CR1130">
        <v>2</v>
      </c>
      <c r="CS1130">
        <v>0</v>
      </c>
      <c r="CT1130">
        <v>2</v>
      </c>
      <c r="CU1130">
        <v>0</v>
      </c>
      <c r="CV1130">
        <v>6</v>
      </c>
      <c r="CW1130" t="s">
        <v>120</v>
      </c>
      <c r="CX1130">
        <v>261</v>
      </c>
      <c r="CY1130">
        <v>2</v>
      </c>
      <c r="CZ1130" t="s">
        <v>121</v>
      </c>
      <c r="DA1130" t="s">
        <v>122</v>
      </c>
      <c r="DD1130">
        <v>14867952</v>
      </c>
      <c r="DE1130" t="s">
        <v>123</v>
      </c>
    </row>
    <row r="1131" spans="1:109" x14ac:dyDescent="0.3">
      <c r="A1131" t="str">
        <f>"18:53:32.445"</f>
        <v>18:53:32.445</v>
      </c>
      <c r="B1131" t="s">
        <v>110</v>
      </c>
      <c r="C1131" t="str">
        <f t="shared" si="51"/>
        <v>ffdfd3c0</v>
      </c>
      <c r="D1131" t="s">
        <v>111</v>
      </c>
      <c r="E1131">
        <v>18</v>
      </c>
      <c r="F1131">
        <v>1018</v>
      </c>
      <c r="G1131" t="s">
        <v>112</v>
      </c>
      <c r="J1131" t="s">
        <v>113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R1131" t="s">
        <v>114</v>
      </c>
      <c r="S1131" t="str">
        <f>"18:53:32.227"</f>
        <v>18:53:32.227</v>
      </c>
      <c r="T1131" t="str">
        <f>"18:53:32.227"</f>
        <v>18:53:32.227</v>
      </c>
      <c r="U1131" t="str">
        <f t="shared" si="52"/>
        <v>a1cdbe</v>
      </c>
      <c r="V1131">
        <v>0</v>
      </c>
      <c r="W1131">
        <v>0</v>
      </c>
      <c r="X1131">
        <v>1</v>
      </c>
      <c r="Y1131">
        <v>0</v>
      </c>
      <c r="Z1131">
        <v>0</v>
      </c>
      <c r="AB1131">
        <v>0</v>
      </c>
      <c r="AC1131">
        <v>9</v>
      </c>
      <c r="AD1131">
        <v>3</v>
      </c>
      <c r="AE1131">
        <v>0</v>
      </c>
      <c r="AF1131">
        <v>9</v>
      </c>
      <c r="AG1131" t="s">
        <v>158</v>
      </c>
      <c r="AH1131">
        <v>0</v>
      </c>
      <c r="AI1131">
        <v>3</v>
      </c>
      <c r="AJ1131">
        <v>1</v>
      </c>
      <c r="AK1131">
        <v>0</v>
      </c>
      <c r="AL1131" t="s">
        <v>2217</v>
      </c>
      <c r="AM1131">
        <v>46.839652000000001</v>
      </c>
      <c r="AN1131" t="s">
        <v>2218</v>
      </c>
      <c r="AO1131">
        <v>-122.584205</v>
      </c>
      <c r="AP1131">
        <v>100</v>
      </c>
      <c r="AQ1131">
        <v>2000</v>
      </c>
      <c r="AR1131" t="s">
        <v>118</v>
      </c>
      <c r="AS1131">
        <v>-70</v>
      </c>
      <c r="AT1131">
        <v>-24</v>
      </c>
      <c r="AU1131">
        <v>64</v>
      </c>
      <c r="BC1131">
        <v>1200</v>
      </c>
      <c r="BD1131">
        <v>1</v>
      </c>
      <c r="BE1131" t="str">
        <f t="shared" si="53"/>
        <v xml:space="preserve">N215T   </v>
      </c>
      <c r="BF1131">
        <v>1</v>
      </c>
      <c r="BH1131">
        <v>0</v>
      </c>
      <c r="BI1131">
        <v>0</v>
      </c>
      <c r="BJ1131">
        <v>0</v>
      </c>
      <c r="BK1131">
        <v>2425</v>
      </c>
      <c r="BL1131">
        <v>425</v>
      </c>
      <c r="BM1131" t="s">
        <v>119</v>
      </c>
      <c r="BN1131">
        <v>1</v>
      </c>
      <c r="BO1131">
        <v>1</v>
      </c>
      <c r="BP1131">
        <v>1</v>
      </c>
      <c r="BQ1131">
        <v>0</v>
      </c>
      <c r="BT1131">
        <v>0</v>
      </c>
      <c r="BU1131">
        <v>0</v>
      </c>
      <c r="BV1131">
        <v>0</v>
      </c>
      <c r="CC1131" t="str">
        <f>"18:53:32.227"</f>
        <v>18:53:32.227</v>
      </c>
      <c r="CD1131" t="str">
        <f>"227417355"</f>
        <v>227417355</v>
      </c>
      <c r="CQ1131">
        <v>0</v>
      </c>
      <c r="CR1131">
        <v>2</v>
      </c>
      <c r="CS1131">
        <v>0</v>
      </c>
      <c r="CT1131">
        <v>2</v>
      </c>
      <c r="CU1131">
        <v>0</v>
      </c>
      <c r="CV1131">
        <v>7</v>
      </c>
      <c r="CW1131" t="s">
        <v>120</v>
      </c>
      <c r="CX1131">
        <v>261</v>
      </c>
      <c r="CY1131">
        <v>2</v>
      </c>
      <c r="CZ1131" t="s">
        <v>121</v>
      </c>
      <c r="DA1131" t="s">
        <v>122</v>
      </c>
      <c r="DD1131">
        <v>14868492</v>
      </c>
      <c r="DE1131" t="s">
        <v>123</v>
      </c>
    </row>
    <row r="1132" spans="1:109" x14ac:dyDescent="0.3">
      <c r="A1132" t="str">
        <f>"18:53:33.500"</f>
        <v>18:53:33.500</v>
      </c>
      <c r="B1132" t="s">
        <v>110</v>
      </c>
      <c r="C1132" t="str">
        <f t="shared" si="51"/>
        <v>ffdfd3c0</v>
      </c>
      <c r="D1132" t="s">
        <v>111</v>
      </c>
      <c r="E1132">
        <v>18</v>
      </c>
      <c r="F1132">
        <v>1018</v>
      </c>
      <c r="G1132" t="s">
        <v>112</v>
      </c>
      <c r="J1132" t="s">
        <v>113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R1132" t="s">
        <v>114</v>
      </c>
      <c r="S1132" t="str">
        <f>"18:53:33.258"</f>
        <v>18:53:33.258</v>
      </c>
      <c r="T1132" t="str">
        <f>"18:53:33.156"</f>
        <v>18:53:33.156</v>
      </c>
      <c r="U1132" t="str">
        <f t="shared" si="52"/>
        <v>a1cdbe</v>
      </c>
      <c r="V1132">
        <v>0</v>
      </c>
      <c r="W1132">
        <v>0</v>
      </c>
      <c r="X1132">
        <v>1</v>
      </c>
      <c r="Y1132">
        <v>0</v>
      </c>
      <c r="Z1132">
        <v>0</v>
      </c>
      <c r="AB1132">
        <v>0</v>
      </c>
      <c r="AC1132">
        <v>9</v>
      </c>
      <c r="AD1132">
        <v>3</v>
      </c>
      <c r="AE1132">
        <v>0</v>
      </c>
      <c r="AF1132">
        <v>9</v>
      </c>
      <c r="AG1132" t="s">
        <v>158</v>
      </c>
      <c r="AH1132">
        <v>0</v>
      </c>
      <c r="AI1132">
        <v>3</v>
      </c>
      <c r="AJ1132">
        <v>1</v>
      </c>
      <c r="AK1132">
        <v>0</v>
      </c>
      <c r="AL1132" t="s">
        <v>2219</v>
      </c>
      <c r="AM1132">
        <v>46.839565999999998</v>
      </c>
      <c r="AN1132" t="s">
        <v>2220</v>
      </c>
      <c r="AO1132">
        <v>-122.58472</v>
      </c>
      <c r="AP1132">
        <v>100</v>
      </c>
      <c r="AQ1132">
        <v>2000</v>
      </c>
      <c r="AR1132" t="s">
        <v>118</v>
      </c>
      <c r="AS1132">
        <v>-70</v>
      </c>
      <c r="AT1132">
        <v>-24</v>
      </c>
      <c r="AU1132">
        <v>64</v>
      </c>
      <c r="BC1132">
        <v>1200</v>
      </c>
      <c r="BD1132">
        <v>1</v>
      </c>
      <c r="BE1132" t="str">
        <f t="shared" si="53"/>
        <v xml:space="preserve">N215T   </v>
      </c>
      <c r="BF1132">
        <v>1</v>
      </c>
      <c r="BH1132">
        <v>0</v>
      </c>
      <c r="BI1132">
        <v>0</v>
      </c>
      <c r="BJ1132">
        <v>0</v>
      </c>
      <c r="BK1132">
        <v>2425</v>
      </c>
      <c r="BL1132">
        <v>425</v>
      </c>
      <c r="BM1132" t="s">
        <v>119</v>
      </c>
      <c r="BN1132">
        <v>1</v>
      </c>
      <c r="BO1132">
        <v>1</v>
      </c>
      <c r="BP1132">
        <v>1</v>
      </c>
      <c r="BQ1132">
        <v>0</v>
      </c>
      <c r="BT1132">
        <v>0</v>
      </c>
      <c r="BU1132">
        <v>0</v>
      </c>
      <c r="BV1132">
        <v>0</v>
      </c>
      <c r="CC1132" t="str">
        <f>"18:53:33.266"</f>
        <v>18:53:33.266</v>
      </c>
      <c r="CD1132" t="str">
        <f>"262315464"</f>
        <v>262315464</v>
      </c>
      <c r="CQ1132">
        <v>0</v>
      </c>
      <c r="CR1132">
        <v>2</v>
      </c>
      <c r="CS1132">
        <v>0</v>
      </c>
      <c r="CT1132">
        <v>2</v>
      </c>
      <c r="CU1132">
        <v>0</v>
      </c>
      <c r="CV1132">
        <v>7</v>
      </c>
      <c r="CW1132" t="s">
        <v>120</v>
      </c>
      <c r="CX1132">
        <v>261</v>
      </c>
      <c r="CY1132">
        <v>2</v>
      </c>
      <c r="CZ1132" t="s">
        <v>121</v>
      </c>
      <c r="DA1132" t="s">
        <v>122</v>
      </c>
      <c r="DD1132">
        <v>14869113</v>
      </c>
      <c r="DE1132" t="s">
        <v>123</v>
      </c>
    </row>
    <row r="1133" spans="1:109" x14ac:dyDescent="0.3">
      <c r="A1133" t="str">
        <f>"18:53:34.555"</f>
        <v>18:53:34.555</v>
      </c>
      <c r="B1133" t="s">
        <v>110</v>
      </c>
      <c r="C1133" t="str">
        <f t="shared" si="51"/>
        <v>ffdfd3c0</v>
      </c>
      <c r="D1133" t="s">
        <v>111</v>
      </c>
      <c r="E1133">
        <v>18</v>
      </c>
      <c r="F1133">
        <v>1018</v>
      </c>
      <c r="G1133" t="s">
        <v>112</v>
      </c>
      <c r="J1133" t="s">
        <v>113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R1133" t="s">
        <v>114</v>
      </c>
      <c r="S1133" t="str">
        <f>"18:53:34.336"</f>
        <v>18:53:34.336</v>
      </c>
      <c r="T1133" t="str">
        <f>"18:53:34.133"</f>
        <v>18:53:34.133</v>
      </c>
      <c r="U1133" t="str">
        <f t="shared" si="52"/>
        <v>a1cdbe</v>
      </c>
      <c r="V1133">
        <v>0</v>
      </c>
      <c r="W1133">
        <v>0</v>
      </c>
      <c r="X1133">
        <v>1</v>
      </c>
      <c r="Y1133">
        <v>0</v>
      </c>
      <c r="Z1133">
        <v>0</v>
      </c>
      <c r="AB1133">
        <v>0</v>
      </c>
      <c r="AC1133">
        <v>9</v>
      </c>
      <c r="AD1133">
        <v>3</v>
      </c>
      <c r="AE1133">
        <v>0</v>
      </c>
      <c r="AF1133">
        <v>9</v>
      </c>
      <c r="AG1133" t="s">
        <v>158</v>
      </c>
      <c r="AH1133">
        <v>0</v>
      </c>
      <c r="AI1133">
        <v>3</v>
      </c>
      <c r="AJ1133">
        <v>1</v>
      </c>
      <c r="AK1133">
        <v>0</v>
      </c>
      <c r="AL1133" t="s">
        <v>2221</v>
      </c>
      <c r="AM1133">
        <v>46.839416</v>
      </c>
      <c r="AN1133" t="s">
        <v>2222</v>
      </c>
      <c r="AO1133">
        <v>-122.585235</v>
      </c>
      <c r="AP1133">
        <v>100</v>
      </c>
      <c r="AQ1133">
        <v>2000</v>
      </c>
      <c r="AR1133" t="s">
        <v>118</v>
      </c>
      <c r="AS1133">
        <v>-70</v>
      </c>
      <c r="AT1133">
        <v>-24</v>
      </c>
      <c r="AU1133">
        <v>0</v>
      </c>
      <c r="BC1133">
        <v>1200</v>
      </c>
      <c r="BD1133">
        <v>1</v>
      </c>
      <c r="BE1133" t="str">
        <f t="shared" si="53"/>
        <v xml:space="preserve">N215T   </v>
      </c>
      <c r="BF1133">
        <v>1</v>
      </c>
      <c r="BH1133">
        <v>0</v>
      </c>
      <c r="BI1133">
        <v>0</v>
      </c>
      <c r="BJ1133">
        <v>0</v>
      </c>
      <c r="BK1133">
        <v>2425</v>
      </c>
      <c r="BL1133">
        <v>425</v>
      </c>
      <c r="BM1133" t="s">
        <v>119</v>
      </c>
      <c r="BN1133">
        <v>1</v>
      </c>
      <c r="BO1133">
        <v>1</v>
      </c>
      <c r="BP1133">
        <v>1</v>
      </c>
      <c r="BQ1133">
        <v>0</v>
      </c>
      <c r="BT1133">
        <v>0</v>
      </c>
      <c r="BU1133">
        <v>0</v>
      </c>
      <c r="BV1133">
        <v>0</v>
      </c>
      <c r="CC1133" t="str">
        <f>"18:53:34.344"</f>
        <v>18:53:34.344</v>
      </c>
      <c r="CD1133" t="str">
        <f>"342209133"</f>
        <v>342209133</v>
      </c>
      <c r="CQ1133">
        <v>0</v>
      </c>
      <c r="CR1133">
        <v>2</v>
      </c>
      <c r="CS1133">
        <v>0</v>
      </c>
      <c r="CT1133">
        <v>2</v>
      </c>
      <c r="CU1133">
        <v>0</v>
      </c>
      <c r="CV1133">
        <v>7</v>
      </c>
      <c r="CW1133" t="s">
        <v>120</v>
      </c>
      <c r="CX1133">
        <v>261</v>
      </c>
      <c r="CY1133">
        <v>2</v>
      </c>
      <c r="CZ1133" t="s">
        <v>121</v>
      </c>
      <c r="DA1133" t="s">
        <v>122</v>
      </c>
      <c r="DD1133">
        <v>14869794</v>
      </c>
      <c r="DE1133" t="s">
        <v>123</v>
      </c>
    </row>
    <row r="1134" spans="1:109" x14ac:dyDescent="0.3">
      <c r="A1134" t="str">
        <f>"18:53:35.711"</f>
        <v>18:53:35.711</v>
      </c>
      <c r="B1134" t="s">
        <v>110</v>
      </c>
      <c r="C1134" t="str">
        <f t="shared" si="51"/>
        <v>ffdfd3c0</v>
      </c>
      <c r="D1134" t="s">
        <v>111</v>
      </c>
      <c r="E1134">
        <v>18</v>
      </c>
      <c r="F1134">
        <v>1018</v>
      </c>
      <c r="G1134" t="s">
        <v>112</v>
      </c>
      <c r="J1134" t="s">
        <v>113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R1134" t="s">
        <v>114</v>
      </c>
      <c r="S1134" t="str">
        <f>"18:53:35.477"</f>
        <v>18:53:35.477</v>
      </c>
      <c r="T1134" t="str">
        <f>"18:53:35.273"</f>
        <v>18:53:35.273</v>
      </c>
      <c r="U1134" t="str">
        <f t="shared" si="52"/>
        <v>a1cdbe</v>
      </c>
      <c r="V1134">
        <v>0</v>
      </c>
      <c r="W1134">
        <v>0</v>
      </c>
      <c r="X1134">
        <v>1</v>
      </c>
      <c r="Y1134">
        <v>0</v>
      </c>
      <c r="Z1134">
        <v>0</v>
      </c>
      <c r="AB1134">
        <v>0</v>
      </c>
      <c r="AC1134">
        <v>9</v>
      </c>
      <c r="AD1134">
        <v>3</v>
      </c>
      <c r="AE1134">
        <v>0</v>
      </c>
      <c r="AF1134">
        <v>9</v>
      </c>
      <c r="AG1134" t="s">
        <v>158</v>
      </c>
      <c r="AH1134">
        <v>0</v>
      </c>
      <c r="AI1134">
        <v>3</v>
      </c>
      <c r="AJ1134">
        <v>1</v>
      </c>
      <c r="AK1134">
        <v>0</v>
      </c>
      <c r="AL1134" t="s">
        <v>2223</v>
      </c>
      <c r="AM1134">
        <v>46.839286999999999</v>
      </c>
      <c r="AN1134" t="s">
        <v>2224</v>
      </c>
      <c r="AO1134">
        <v>-122.585728</v>
      </c>
      <c r="AP1134">
        <v>100</v>
      </c>
      <c r="AQ1134">
        <v>2000</v>
      </c>
      <c r="AR1134" t="s">
        <v>118</v>
      </c>
      <c r="AS1134">
        <v>-70</v>
      </c>
      <c r="AT1134">
        <v>-25</v>
      </c>
      <c r="AU1134">
        <v>-128</v>
      </c>
      <c r="BC1134">
        <v>1200</v>
      </c>
      <c r="BD1134">
        <v>1</v>
      </c>
      <c r="BE1134" t="str">
        <f t="shared" si="53"/>
        <v xml:space="preserve">N215T   </v>
      </c>
      <c r="BF1134">
        <v>1</v>
      </c>
      <c r="BH1134">
        <v>0</v>
      </c>
      <c r="BI1134">
        <v>0</v>
      </c>
      <c r="BJ1134">
        <v>0</v>
      </c>
      <c r="BK1134">
        <v>2425</v>
      </c>
      <c r="BL1134">
        <v>425</v>
      </c>
      <c r="BM1134" t="s">
        <v>119</v>
      </c>
      <c r="BN1134">
        <v>1</v>
      </c>
      <c r="BO1134">
        <v>1</v>
      </c>
      <c r="BP1134">
        <v>1</v>
      </c>
      <c r="BQ1134">
        <v>0</v>
      </c>
      <c r="BT1134">
        <v>0</v>
      </c>
      <c r="BU1134">
        <v>0</v>
      </c>
      <c r="BV1134">
        <v>0</v>
      </c>
      <c r="CC1134" t="str">
        <f>"18:53:35.484"</f>
        <v>18:53:35.484</v>
      </c>
      <c r="CD1134" t="str">
        <f>"482096912"</f>
        <v>482096912</v>
      </c>
      <c r="CQ1134">
        <v>0</v>
      </c>
      <c r="CR1134">
        <v>2</v>
      </c>
      <c r="CS1134">
        <v>0</v>
      </c>
      <c r="CT1134">
        <v>2</v>
      </c>
      <c r="CU1134">
        <v>0</v>
      </c>
      <c r="CV1134">
        <v>6</v>
      </c>
      <c r="CW1134" t="s">
        <v>120</v>
      </c>
      <c r="CX1134">
        <v>261</v>
      </c>
      <c r="CY1134">
        <v>2</v>
      </c>
      <c r="CZ1134" t="s">
        <v>121</v>
      </c>
      <c r="DA1134" t="s">
        <v>122</v>
      </c>
      <c r="DD1134">
        <v>14870530</v>
      </c>
      <c r="DE1134" t="s">
        <v>123</v>
      </c>
    </row>
    <row r="1135" spans="1:109" x14ac:dyDescent="0.3">
      <c r="A1135" t="str">
        <f>"18:53:36.563"</f>
        <v>18:53:36.563</v>
      </c>
      <c r="B1135" t="s">
        <v>110</v>
      </c>
      <c r="C1135" t="str">
        <f t="shared" si="51"/>
        <v>ffdfd3c0</v>
      </c>
      <c r="D1135" t="s">
        <v>111</v>
      </c>
      <c r="E1135">
        <v>18</v>
      </c>
      <c r="F1135">
        <v>1018</v>
      </c>
      <c r="G1135" t="s">
        <v>112</v>
      </c>
      <c r="J1135" t="s">
        <v>113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R1135" t="s">
        <v>114</v>
      </c>
      <c r="S1135" t="str">
        <f>"18:53:36.352"</f>
        <v>18:53:36.352</v>
      </c>
      <c r="T1135" t="str">
        <f>"18:53:36.352"</f>
        <v>18:53:36.352</v>
      </c>
      <c r="U1135" t="str">
        <f t="shared" si="52"/>
        <v>a1cdbe</v>
      </c>
      <c r="V1135">
        <v>0</v>
      </c>
      <c r="W1135">
        <v>0</v>
      </c>
      <c r="X1135">
        <v>1</v>
      </c>
      <c r="Y1135">
        <v>0</v>
      </c>
      <c r="Z1135">
        <v>0</v>
      </c>
      <c r="AB1135">
        <v>0</v>
      </c>
      <c r="AC1135">
        <v>9</v>
      </c>
      <c r="AD1135">
        <v>3</v>
      </c>
      <c r="AE1135">
        <v>0</v>
      </c>
      <c r="AF1135">
        <v>9</v>
      </c>
      <c r="AG1135" t="s">
        <v>158</v>
      </c>
      <c r="AH1135">
        <v>0</v>
      </c>
      <c r="AI1135">
        <v>3</v>
      </c>
      <c r="AJ1135">
        <v>1</v>
      </c>
      <c r="AK1135">
        <v>0</v>
      </c>
      <c r="AL1135" t="s">
        <v>2225</v>
      </c>
      <c r="AM1135">
        <v>46.839201000000003</v>
      </c>
      <c r="AN1135" t="s">
        <v>2226</v>
      </c>
      <c r="AO1135">
        <v>-122.586179</v>
      </c>
      <c r="AP1135">
        <v>100</v>
      </c>
      <c r="AQ1135">
        <v>2000</v>
      </c>
      <c r="AR1135" t="s">
        <v>118</v>
      </c>
      <c r="AS1135">
        <v>-70</v>
      </c>
      <c r="AT1135">
        <v>-25</v>
      </c>
      <c r="AU1135">
        <v>-64</v>
      </c>
      <c r="BC1135">
        <v>1200</v>
      </c>
      <c r="BD1135">
        <v>1</v>
      </c>
      <c r="BE1135" t="str">
        <f t="shared" si="53"/>
        <v xml:space="preserve">N215T   </v>
      </c>
      <c r="BF1135">
        <v>1</v>
      </c>
      <c r="BH1135">
        <v>0</v>
      </c>
      <c r="BI1135">
        <v>0</v>
      </c>
      <c r="BJ1135">
        <v>0</v>
      </c>
      <c r="BK1135">
        <v>2425</v>
      </c>
      <c r="BL1135">
        <v>425</v>
      </c>
      <c r="BM1135" t="s">
        <v>119</v>
      </c>
      <c r="BN1135">
        <v>1</v>
      </c>
      <c r="BO1135">
        <v>1</v>
      </c>
      <c r="BP1135">
        <v>1</v>
      </c>
      <c r="BQ1135">
        <v>0</v>
      </c>
      <c r="BT1135">
        <v>0</v>
      </c>
      <c r="BU1135">
        <v>0</v>
      </c>
      <c r="BV1135">
        <v>0</v>
      </c>
      <c r="CC1135" t="str">
        <f>"18:53:36.352"</f>
        <v>18:53:36.352</v>
      </c>
      <c r="CD1135" t="str">
        <f>"352011259"</f>
        <v>352011259</v>
      </c>
      <c r="CQ1135">
        <v>0</v>
      </c>
      <c r="CR1135">
        <v>2</v>
      </c>
      <c r="CS1135">
        <v>0</v>
      </c>
      <c r="CT1135">
        <v>2</v>
      </c>
      <c r="CU1135">
        <v>0</v>
      </c>
      <c r="CV1135">
        <v>6</v>
      </c>
      <c r="CW1135" t="s">
        <v>120</v>
      </c>
      <c r="CX1135">
        <v>261</v>
      </c>
      <c r="CY1135">
        <v>2</v>
      </c>
      <c r="CZ1135" t="s">
        <v>121</v>
      </c>
      <c r="DA1135" t="s">
        <v>122</v>
      </c>
      <c r="DD1135">
        <v>14871020</v>
      </c>
      <c r="DE1135" t="s">
        <v>123</v>
      </c>
    </row>
    <row r="1136" spans="1:109" x14ac:dyDescent="0.3">
      <c r="A1136" t="str">
        <f>"18:53:37.672"</f>
        <v>18:53:37.672</v>
      </c>
      <c r="B1136" t="s">
        <v>110</v>
      </c>
      <c r="C1136" t="str">
        <f t="shared" si="51"/>
        <v>ffdfd3c0</v>
      </c>
      <c r="D1136" t="s">
        <v>111</v>
      </c>
      <c r="E1136">
        <v>18</v>
      </c>
      <c r="F1136">
        <v>1018</v>
      </c>
      <c r="G1136" t="s">
        <v>112</v>
      </c>
      <c r="J1136" t="s">
        <v>113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R1136" t="s">
        <v>114</v>
      </c>
      <c r="S1136" t="str">
        <f>"18:53:37.430"</f>
        <v>18:53:37.430</v>
      </c>
      <c r="T1136" t="str">
        <f>"18:53:37.430"</f>
        <v>18:53:37.430</v>
      </c>
      <c r="U1136" t="str">
        <f t="shared" si="52"/>
        <v>a1cdbe</v>
      </c>
      <c r="V1136">
        <v>0</v>
      </c>
      <c r="W1136">
        <v>0</v>
      </c>
      <c r="X1136">
        <v>1</v>
      </c>
      <c r="Y1136">
        <v>0</v>
      </c>
      <c r="Z1136">
        <v>0</v>
      </c>
      <c r="AB1136">
        <v>0</v>
      </c>
      <c r="AC1136">
        <v>9</v>
      </c>
      <c r="AD1136">
        <v>3</v>
      </c>
      <c r="AE1136">
        <v>0</v>
      </c>
      <c r="AF1136">
        <v>9</v>
      </c>
      <c r="AG1136" t="s">
        <v>158</v>
      </c>
      <c r="AH1136">
        <v>0</v>
      </c>
      <c r="AI1136">
        <v>3</v>
      </c>
      <c r="AJ1136">
        <v>1</v>
      </c>
      <c r="AK1136">
        <v>0</v>
      </c>
      <c r="AL1136" t="s">
        <v>2227</v>
      </c>
      <c r="AM1136">
        <v>46.839094000000003</v>
      </c>
      <c r="AN1136" t="s">
        <v>2228</v>
      </c>
      <c r="AO1136">
        <v>-122.58669399999999</v>
      </c>
      <c r="AP1136">
        <v>100</v>
      </c>
      <c r="AQ1136">
        <v>2000</v>
      </c>
      <c r="AR1136" t="s">
        <v>118</v>
      </c>
      <c r="AS1136">
        <v>-70</v>
      </c>
      <c r="AT1136">
        <v>-26</v>
      </c>
      <c r="AU1136">
        <v>-128</v>
      </c>
      <c r="BC1136">
        <v>1200</v>
      </c>
      <c r="BD1136">
        <v>1</v>
      </c>
      <c r="BE1136" t="str">
        <f t="shared" si="53"/>
        <v xml:space="preserve">N215T   </v>
      </c>
      <c r="BF1136">
        <v>1</v>
      </c>
      <c r="BH1136">
        <v>0</v>
      </c>
      <c r="BI1136">
        <v>0</v>
      </c>
      <c r="BJ1136">
        <v>0</v>
      </c>
      <c r="BK1136">
        <v>2425</v>
      </c>
      <c r="BL1136">
        <v>425</v>
      </c>
      <c r="BM1136" t="s">
        <v>119</v>
      </c>
      <c r="BN1136">
        <v>1</v>
      </c>
      <c r="BO1136">
        <v>1</v>
      </c>
      <c r="BP1136">
        <v>1</v>
      </c>
      <c r="BQ1136">
        <v>0</v>
      </c>
      <c r="BT1136">
        <v>0</v>
      </c>
      <c r="BU1136">
        <v>0</v>
      </c>
      <c r="BV1136">
        <v>0</v>
      </c>
      <c r="CC1136" t="str">
        <f>"18:53:37.430"</f>
        <v>18:53:37.430</v>
      </c>
      <c r="CD1136" t="str">
        <f>"431904943"</f>
        <v>431904943</v>
      </c>
      <c r="CQ1136">
        <v>0</v>
      </c>
      <c r="CR1136">
        <v>2</v>
      </c>
      <c r="CS1136">
        <v>0</v>
      </c>
      <c r="CT1136">
        <v>2</v>
      </c>
      <c r="CU1136">
        <v>0</v>
      </c>
      <c r="CV1136">
        <v>6</v>
      </c>
      <c r="CW1136" t="s">
        <v>120</v>
      </c>
      <c r="CX1136">
        <v>261</v>
      </c>
      <c r="CY1136">
        <v>2</v>
      </c>
      <c r="CZ1136" t="s">
        <v>121</v>
      </c>
      <c r="DA1136" t="s">
        <v>122</v>
      </c>
      <c r="DD1136">
        <v>14871632</v>
      </c>
      <c r="DE1136" t="s">
        <v>123</v>
      </c>
    </row>
    <row r="1137" spans="1:109" x14ac:dyDescent="0.3">
      <c r="A1137" t="str">
        <f>"18:53:38.578"</f>
        <v>18:53:38.578</v>
      </c>
      <c r="B1137" t="s">
        <v>110</v>
      </c>
      <c r="C1137" t="str">
        <f t="shared" si="51"/>
        <v>ffdfd3c0</v>
      </c>
      <c r="D1137" t="s">
        <v>111</v>
      </c>
      <c r="E1137">
        <v>18</v>
      </c>
      <c r="F1137">
        <v>1018</v>
      </c>
      <c r="G1137" t="s">
        <v>112</v>
      </c>
      <c r="J1137" t="s">
        <v>113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R1137" t="s">
        <v>114</v>
      </c>
      <c r="S1137" t="str">
        <f>"18:53:38.359"</f>
        <v>18:53:38.359</v>
      </c>
      <c r="T1137" t="str">
        <f>"18:53:38.359"</f>
        <v>18:53:38.359</v>
      </c>
      <c r="U1137" t="str">
        <f t="shared" si="52"/>
        <v>a1cdbe</v>
      </c>
      <c r="V1137">
        <v>0</v>
      </c>
      <c r="W1137">
        <v>0</v>
      </c>
      <c r="X1137">
        <v>1</v>
      </c>
      <c r="Y1137">
        <v>0</v>
      </c>
      <c r="Z1137">
        <v>0</v>
      </c>
      <c r="AB1137">
        <v>0</v>
      </c>
      <c r="AC1137">
        <v>9</v>
      </c>
      <c r="AD1137">
        <v>3</v>
      </c>
      <c r="AE1137">
        <v>0</v>
      </c>
      <c r="AF1137">
        <v>9</v>
      </c>
      <c r="AG1137" t="s">
        <v>158</v>
      </c>
      <c r="AH1137">
        <v>0</v>
      </c>
      <c r="AI1137">
        <v>3</v>
      </c>
      <c r="AJ1137">
        <v>1</v>
      </c>
      <c r="AK1137">
        <v>0</v>
      </c>
      <c r="AL1137" t="s">
        <v>2229</v>
      </c>
      <c r="AM1137">
        <v>46.838965000000002</v>
      </c>
      <c r="AN1137" t="s">
        <v>2230</v>
      </c>
      <c r="AO1137">
        <v>-122.58712300000001</v>
      </c>
      <c r="AP1137">
        <v>100</v>
      </c>
      <c r="AQ1137">
        <v>2000</v>
      </c>
      <c r="AR1137" t="s">
        <v>118</v>
      </c>
      <c r="AS1137">
        <v>-70</v>
      </c>
      <c r="AT1137">
        <v>-26</v>
      </c>
      <c r="AU1137">
        <v>-128</v>
      </c>
      <c r="BC1137">
        <v>1200</v>
      </c>
      <c r="BD1137">
        <v>1</v>
      </c>
      <c r="BE1137" t="str">
        <f t="shared" si="53"/>
        <v xml:space="preserve">N215T   </v>
      </c>
      <c r="BF1137">
        <v>1</v>
      </c>
      <c r="BH1137">
        <v>0</v>
      </c>
      <c r="BI1137">
        <v>0</v>
      </c>
      <c r="BJ1137">
        <v>0</v>
      </c>
      <c r="BK1137">
        <v>2400</v>
      </c>
      <c r="BL1137">
        <v>400</v>
      </c>
      <c r="BM1137" t="s">
        <v>119</v>
      </c>
      <c r="BN1137">
        <v>1</v>
      </c>
      <c r="BO1137">
        <v>1</v>
      </c>
      <c r="BP1137">
        <v>1</v>
      </c>
      <c r="BQ1137">
        <v>0</v>
      </c>
      <c r="BT1137">
        <v>0</v>
      </c>
      <c r="BU1137">
        <v>0</v>
      </c>
      <c r="BV1137">
        <v>0</v>
      </c>
      <c r="CC1137" t="str">
        <f>"18:53:38.359"</f>
        <v>18:53:38.359</v>
      </c>
      <c r="CD1137" t="str">
        <f>"361813378"</f>
        <v>361813378</v>
      </c>
      <c r="CQ1137">
        <v>0</v>
      </c>
      <c r="CR1137">
        <v>2</v>
      </c>
      <c r="CS1137">
        <v>0</v>
      </c>
      <c r="CT1137">
        <v>2</v>
      </c>
      <c r="CU1137">
        <v>0</v>
      </c>
      <c r="CV1137">
        <v>6</v>
      </c>
      <c r="CW1137" t="s">
        <v>120</v>
      </c>
      <c r="CX1137">
        <v>261</v>
      </c>
      <c r="CY1137">
        <v>2</v>
      </c>
      <c r="CZ1137" t="s">
        <v>121</v>
      </c>
      <c r="DA1137" t="s">
        <v>122</v>
      </c>
      <c r="DD1137">
        <v>14872188</v>
      </c>
      <c r="DE1137" t="s">
        <v>123</v>
      </c>
    </row>
    <row r="1138" spans="1:109" x14ac:dyDescent="0.3">
      <c r="A1138" t="str">
        <f>"18:53:39.531"</f>
        <v>18:53:39.531</v>
      </c>
      <c r="B1138" t="s">
        <v>110</v>
      </c>
      <c r="C1138" t="str">
        <f t="shared" si="51"/>
        <v>ffdfd3c0</v>
      </c>
      <c r="D1138" t="s">
        <v>111</v>
      </c>
      <c r="E1138">
        <v>18</v>
      </c>
      <c r="F1138">
        <v>1018</v>
      </c>
      <c r="G1138" t="s">
        <v>112</v>
      </c>
      <c r="J1138" t="s">
        <v>113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R1138" t="s">
        <v>114</v>
      </c>
      <c r="S1138" t="str">
        <f>"18:53:39.273"</f>
        <v>18:53:39.273</v>
      </c>
      <c r="T1138" t="str">
        <f>"18:53:38.773"</f>
        <v>18:53:38.773</v>
      </c>
      <c r="U1138" t="str">
        <f t="shared" si="52"/>
        <v>a1cdbe</v>
      </c>
      <c r="V1138">
        <v>0</v>
      </c>
      <c r="W1138">
        <v>0</v>
      </c>
      <c r="X1138">
        <v>1</v>
      </c>
      <c r="Y1138">
        <v>0</v>
      </c>
      <c r="Z1138">
        <v>0</v>
      </c>
      <c r="AB1138">
        <v>0</v>
      </c>
      <c r="AC1138">
        <v>9</v>
      </c>
      <c r="AD1138">
        <v>3</v>
      </c>
      <c r="AE1138">
        <v>0</v>
      </c>
      <c r="AF1138">
        <v>9</v>
      </c>
      <c r="AG1138" t="s">
        <v>158</v>
      </c>
      <c r="AH1138">
        <v>0</v>
      </c>
      <c r="AI1138">
        <v>3</v>
      </c>
      <c r="AJ1138">
        <v>1</v>
      </c>
      <c r="AK1138">
        <v>0</v>
      </c>
      <c r="AL1138" t="s">
        <v>2231</v>
      </c>
      <c r="AM1138">
        <v>46.838880000000003</v>
      </c>
      <c r="AN1138" t="s">
        <v>2232</v>
      </c>
      <c r="AO1138">
        <v>-122.587531</v>
      </c>
      <c r="AP1138">
        <v>100</v>
      </c>
      <c r="AQ1138">
        <v>2000</v>
      </c>
      <c r="AR1138" t="s">
        <v>118</v>
      </c>
      <c r="AS1138">
        <v>-70</v>
      </c>
      <c r="AT1138">
        <v>-26</v>
      </c>
      <c r="AU1138">
        <v>-128</v>
      </c>
      <c r="BC1138">
        <v>1200</v>
      </c>
      <c r="BD1138">
        <v>1</v>
      </c>
      <c r="BE1138" t="str">
        <f t="shared" si="53"/>
        <v xml:space="preserve">N215T   </v>
      </c>
      <c r="BF1138">
        <v>1</v>
      </c>
      <c r="BH1138">
        <v>0</v>
      </c>
      <c r="BI1138">
        <v>0</v>
      </c>
      <c r="BJ1138">
        <v>0</v>
      </c>
      <c r="BK1138">
        <v>2425</v>
      </c>
      <c r="BL1138">
        <v>425</v>
      </c>
      <c r="BM1138" t="s">
        <v>119</v>
      </c>
      <c r="BN1138">
        <v>1</v>
      </c>
      <c r="BO1138">
        <v>1</v>
      </c>
      <c r="BP1138">
        <v>1</v>
      </c>
      <c r="BQ1138">
        <v>0</v>
      </c>
      <c r="BT1138">
        <v>0</v>
      </c>
      <c r="BU1138">
        <v>0</v>
      </c>
      <c r="BV1138">
        <v>0</v>
      </c>
      <c r="CC1138" t="str">
        <f>"18:53:39.273"</f>
        <v>18:53:39.273</v>
      </c>
      <c r="CD1138" t="str">
        <f>"276723320"</f>
        <v>276723320</v>
      </c>
      <c r="CQ1138">
        <v>0</v>
      </c>
      <c r="CR1138">
        <v>2</v>
      </c>
      <c r="CS1138">
        <v>0</v>
      </c>
      <c r="CT1138">
        <v>2</v>
      </c>
      <c r="CU1138">
        <v>0</v>
      </c>
      <c r="CV1138">
        <v>7</v>
      </c>
      <c r="CW1138" t="s">
        <v>120</v>
      </c>
      <c r="CX1138">
        <v>261</v>
      </c>
      <c r="CY1138">
        <v>2</v>
      </c>
      <c r="CZ1138" t="s">
        <v>121</v>
      </c>
      <c r="DA1138" t="s">
        <v>122</v>
      </c>
      <c r="DD1138">
        <v>14872820</v>
      </c>
      <c r="DE1138" t="s">
        <v>123</v>
      </c>
    </row>
    <row r="1139" spans="1:109" x14ac:dyDescent="0.3">
      <c r="A1139" t="str">
        <f>"18:53:40.586"</f>
        <v>18:53:40.586</v>
      </c>
      <c r="B1139" t="s">
        <v>110</v>
      </c>
      <c r="C1139" t="str">
        <f t="shared" si="51"/>
        <v>ffdfd3c0</v>
      </c>
      <c r="D1139" t="s">
        <v>111</v>
      </c>
      <c r="E1139">
        <v>18</v>
      </c>
      <c r="F1139">
        <v>1018</v>
      </c>
      <c r="G1139" t="s">
        <v>112</v>
      </c>
      <c r="J1139" t="s">
        <v>113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R1139" t="s">
        <v>114</v>
      </c>
      <c r="S1139" t="str">
        <f>"18:53:40.398"</f>
        <v>18:53:40.398</v>
      </c>
      <c r="T1139" t="str">
        <f>"18:53:40.297"</f>
        <v>18:53:40.297</v>
      </c>
      <c r="U1139" t="str">
        <f t="shared" si="52"/>
        <v>a1cdbe</v>
      </c>
      <c r="V1139">
        <v>0</v>
      </c>
      <c r="W1139">
        <v>0</v>
      </c>
      <c r="X1139">
        <v>1</v>
      </c>
      <c r="Y1139">
        <v>0</v>
      </c>
      <c r="Z1139">
        <v>0</v>
      </c>
      <c r="AB1139">
        <v>0</v>
      </c>
      <c r="AC1139">
        <v>9</v>
      </c>
      <c r="AD1139">
        <v>3</v>
      </c>
      <c r="AE1139">
        <v>0</v>
      </c>
      <c r="AF1139">
        <v>9</v>
      </c>
      <c r="AG1139" t="s">
        <v>158</v>
      </c>
      <c r="AH1139">
        <v>0</v>
      </c>
      <c r="AI1139">
        <v>3</v>
      </c>
      <c r="AJ1139">
        <v>1</v>
      </c>
      <c r="AK1139">
        <v>0</v>
      </c>
      <c r="AL1139" t="s">
        <v>2233</v>
      </c>
      <c r="AM1139">
        <v>46.838751000000002</v>
      </c>
      <c r="AN1139" t="s">
        <v>2234</v>
      </c>
      <c r="AO1139">
        <v>-122.588067</v>
      </c>
      <c r="AP1139">
        <v>100</v>
      </c>
      <c r="AQ1139">
        <v>2000</v>
      </c>
      <c r="AR1139" t="s">
        <v>118</v>
      </c>
      <c r="AS1139">
        <v>-70</v>
      </c>
      <c r="AT1139">
        <v>-26</v>
      </c>
      <c r="AU1139">
        <v>-64</v>
      </c>
      <c r="BC1139">
        <v>1200</v>
      </c>
      <c r="BD1139">
        <v>1</v>
      </c>
      <c r="BE1139" t="str">
        <f t="shared" si="53"/>
        <v xml:space="preserve">N215T   </v>
      </c>
      <c r="BF1139">
        <v>1</v>
      </c>
      <c r="BH1139">
        <v>0</v>
      </c>
      <c r="BI1139">
        <v>0</v>
      </c>
      <c r="BJ1139">
        <v>0</v>
      </c>
      <c r="BK1139">
        <v>2400</v>
      </c>
      <c r="BL1139">
        <v>400</v>
      </c>
      <c r="BM1139" t="s">
        <v>119</v>
      </c>
      <c r="BN1139">
        <v>1</v>
      </c>
      <c r="BO1139">
        <v>1</v>
      </c>
      <c r="BP1139">
        <v>1</v>
      </c>
      <c r="BQ1139">
        <v>0</v>
      </c>
      <c r="BT1139">
        <v>0</v>
      </c>
      <c r="BU1139">
        <v>0</v>
      </c>
      <c r="BV1139">
        <v>0</v>
      </c>
      <c r="CC1139" t="str">
        <f>"18:53:40.398"</f>
        <v>18:53:40.398</v>
      </c>
      <c r="CD1139" t="str">
        <f>"401612558"</f>
        <v>401612558</v>
      </c>
      <c r="CQ1139">
        <v>0</v>
      </c>
      <c r="CR1139">
        <v>2</v>
      </c>
      <c r="CS1139">
        <v>0</v>
      </c>
      <c r="CT1139">
        <v>2</v>
      </c>
      <c r="CU1139">
        <v>0</v>
      </c>
      <c r="CV1139">
        <v>6</v>
      </c>
      <c r="CW1139" t="s">
        <v>120</v>
      </c>
      <c r="CX1139">
        <v>261</v>
      </c>
      <c r="CY1139">
        <v>2</v>
      </c>
      <c r="CZ1139" t="s">
        <v>121</v>
      </c>
      <c r="DA1139" t="s">
        <v>122</v>
      </c>
      <c r="DD1139">
        <v>14873520</v>
      </c>
      <c r="DE1139" t="s">
        <v>123</v>
      </c>
    </row>
    <row r="1140" spans="1:109" x14ac:dyDescent="0.3">
      <c r="A1140" t="str">
        <f>"18:53:41.742"</f>
        <v>18:53:41.742</v>
      </c>
      <c r="B1140" t="s">
        <v>110</v>
      </c>
      <c r="C1140" t="str">
        <f t="shared" si="51"/>
        <v>ffdfd3c0</v>
      </c>
      <c r="D1140" t="s">
        <v>111</v>
      </c>
      <c r="E1140">
        <v>18</v>
      </c>
      <c r="F1140">
        <v>1018</v>
      </c>
      <c r="G1140" t="s">
        <v>112</v>
      </c>
      <c r="J1140" t="s">
        <v>113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R1140" t="s">
        <v>114</v>
      </c>
      <c r="S1140" t="str">
        <f>"18:53:41.461"</f>
        <v>18:53:41.461</v>
      </c>
      <c r="T1140" t="str">
        <f>"18:53:41.461"</f>
        <v>18:53:41.461</v>
      </c>
      <c r="U1140" t="str">
        <f t="shared" si="52"/>
        <v>a1cdbe</v>
      </c>
      <c r="V1140">
        <v>0</v>
      </c>
      <c r="W1140">
        <v>0</v>
      </c>
      <c r="X1140">
        <v>1</v>
      </c>
      <c r="Y1140">
        <v>0</v>
      </c>
      <c r="Z1140">
        <v>0</v>
      </c>
      <c r="AB1140">
        <v>0</v>
      </c>
      <c r="AC1140">
        <v>9</v>
      </c>
      <c r="AD1140">
        <v>3</v>
      </c>
      <c r="AE1140">
        <v>0</v>
      </c>
      <c r="AF1140">
        <v>9</v>
      </c>
      <c r="AG1140" t="s">
        <v>158</v>
      </c>
      <c r="AH1140">
        <v>0</v>
      </c>
      <c r="AI1140">
        <v>3</v>
      </c>
      <c r="AJ1140">
        <v>1</v>
      </c>
      <c r="AK1140">
        <v>0</v>
      </c>
      <c r="AL1140" t="s">
        <v>2235</v>
      </c>
      <c r="AM1140">
        <v>46.838579000000003</v>
      </c>
      <c r="AN1140" t="s">
        <v>2236</v>
      </c>
      <c r="AO1140">
        <v>-122.58860300000001</v>
      </c>
      <c r="AP1140">
        <v>100</v>
      </c>
      <c r="AQ1140">
        <v>2000</v>
      </c>
      <c r="AR1140" t="s">
        <v>118</v>
      </c>
      <c r="AS1140">
        <v>-70</v>
      </c>
      <c r="AT1140">
        <v>-27</v>
      </c>
      <c r="AU1140">
        <v>-64</v>
      </c>
      <c r="BC1140">
        <v>1200</v>
      </c>
      <c r="BD1140">
        <v>1</v>
      </c>
      <c r="BE1140" t="str">
        <f t="shared" si="53"/>
        <v xml:space="preserve">N215T   </v>
      </c>
      <c r="BF1140">
        <v>1</v>
      </c>
      <c r="BH1140">
        <v>0</v>
      </c>
      <c r="BI1140">
        <v>0</v>
      </c>
      <c r="BJ1140">
        <v>0</v>
      </c>
      <c r="BK1140">
        <v>2400</v>
      </c>
      <c r="BL1140">
        <v>400</v>
      </c>
      <c r="BM1140" t="s">
        <v>119</v>
      </c>
      <c r="BN1140">
        <v>1</v>
      </c>
      <c r="BO1140">
        <v>1</v>
      </c>
      <c r="BP1140">
        <v>1</v>
      </c>
      <c r="BQ1140">
        <v>0</v>
      </c>
      <c r="BT1140">
        <v>0</v>
      </c>
      <c r="BU1140">
        <v>0</v>
      </c>
      <c r="BV1140">
        <v>0</v>
      </c>
      <c r="CC1140" t="str">
        <f>"18:53:41.469"</f>
        <v>18:53:41.469</v>
      </c>
      <c r="CD1140" t="str">
        <f>"466507714"</f>
        <v>466507714</v>
      </c>
      <c r="CQ1140">
        <v>0</v>
      </c>
      <c r="CR1140">
        <v>2</v>
      </c>
      <c r="CS1140">
        <v>0</v>
      </c>
      <c r="CT1140">
        <v>2</v>
      </c>
      <c r="CU1140">
        <v>0</v>
      </c>
      <c r="CV1140">
        <v>6</v>
      </c>
      <c r="CW1140" t="s">
        <v>120</v>
      </c>
      <c r="CX1140">
        <v>261</v>
      </c>
      <c r="CY1140">
        <v>2</v>
      </c>
      <c r="CZ1140" t="s">
        <v>121</v>
      </c>
      <c r="DA1140" t="s">
        <v>122</v>
      </c>
      <c r="DD1140">
        <v>14874148</v>
      </c>
      <c r="DE1140" t="s">
        <v>123</v>
      </c>
    </row>
    <row r="1141" spans="1:109" x14ac:dyDescent="0.3">
      <c r="A1141" t="str">
        <f>"18:53:42.797"</f>
        <v>18:53:42.797</v>
      </c>
      <c r="B1141" t="s">
        <v>110</v>
      </c>
      <c r="C1141" t="str">
        <f t="shared" si="51"/>
        <v>ffdfd3c0</v>
      </c>
      <c r="D1141" t="s">
        <v>111</v>
      </c>
      <c r="E1141">
        <v>18</v>
      </c>
      <c r="F1141">
        <v>1018</v>
      </c>
      <c r="G1141" t="s">
        <v>112</v>
      </c>
      <c r="J1141" t="s">
        <v>113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R1141" t="s">
        <v>114</v>
      </c>
      <c r="S1141" t="str">
        <f>"18:53:42.586"</f>
        <v>18:53:42.586</v>
      </c>
      <c r="T1141" t="str">
        <f>"18:53:42.383"</f>
        <v>18:53:42.383</v>
      </c>
      <c r="U1141" t="str">
        <f t="shared" si="52"/>
        <v>a1cdbe</v>
      </c>
      <c r="V1141">
        <v>0</v>
      </c>
      <c r="W1141">
        <v>0</v>
      </c>
      <c r="X1141">
        <v>1</v>
      </c>
      <c r="Y1141">
        <v>0</v>
      </c>
      <c r="Z1141">
        <v>0</v>
      </c>
      <c r="AB1141">
        <v>0</v>
      </c>
      <c r="AC1141">
        <v>9</v>
      </c>
      <c r="AD1141">
        <v>3</v>
      </c>
      <c r="AE1141">
        <v>0</v>
      </c>
      <c r="AF1141">
        <v>9</v>
      </c>
      <c r="AG1141" t="s">
        <v>158</v>
      </c>
      <c r="AH1141">
        <v>0</v>
      </c>
      <c r="AI1141">
        <v>3</v>
      </c>
      <c r="AJ1141">
        <v>1</v>
      </c>
      <c r="AK1141">
        <v>0</v>
      </c>
      <c r="AL1141" t="s">
        <v>2237</v>
      </c>
      <c r="AM1141">
        <v>46.838450000000002</v>
      </c>
      <c r="AN1141" t="s">
        <v>2238</v>
      </c>
      <c r="AO1141">
        <v>-122.589097</v>
      </c>
      <c r="AP1141">
        <v>100</v>
      </c>
      <c r="AQ1141">
        <v>2000</v>
      </c>
      <c r="AR1141" t="s">
        <v>118</v>
      </c>
      <c r="AS1141">
        <v>-70</v>
      </c>
      <c r="AT1141">
        <v>-27</v>
      </c>
      <c r="AU1141">
        <v>-64</v>
      </c>
      <c r="BC1141">
        <v>1200</v>
      </c>
      <c r="BD1141">
        <v>1</v>
      </c>
      <c r="BE1141" t="str">
        <f t="shared" si="53"/>
        <v xml:space="preserve">N215T   </v>
      </c>
      <c r="BF1141">
        <v>1</v>
      </c>
      <c r="BH1141">
        <v>0</v>
      </c>
      <c r="BI1141">
        <v>0</v>
      </c>
      <c r="BJ1141">
        <v>0</v>
      </c>
      <c r="BK1141">
        <v>2400</v>
      </c>
      <c r="BL1141">
        <v>400</v>
      </c>
      <c r="BM1141" t="s">
        <v>119</v>
      </c>
      <c r="BN1141">
        <v>1</v>
      </c>
      <c r="BO1141">
        <v>1</v>
      </c>
      <c r="BP1141">
        <v>1</v>
      </c>
      <c r="BQ1141">
        <v>0</v>
      </c>
      <c r="BT1141">
        <v>0</v>
      </c>
      <c r="BU1141">
        <v>0</v>
      </c>
      <c r="BV1141">
        <v>0</v>
      </c>
      <c r="CC1141" t="str">
        <f>"18:53:42.594"</f>
        <v>18:53:42.594</v>
      </c>
      <c r="CD1141" t="str">
        <f>"591396975"</f>
        <v>591396975</v>
      </c>
      <c r="CQ1141">
        <v>0</v>
      </c>
      <c r="CR1141">
        <v>2</v>
      </c>
      <c r="CS1141">
        <v>0</v>
      </c>
      <c r="CT1141">
        <v>2</v>
      </c>
      <c r="CU1141">
        <v>0</v>
      </c>
      <c r="CV1141">
        <v>6</v>
      </c>
      <c r="CW1141" t="s">
        <v>120</v>
      </c>
      <c r="CX1141">
        <v>261</v>
      </c>
      <c r="CY1141">
        <v>2</v>
      </c>
      <c r="CZ1141" t="s">
        <v>121</v>
      </c>
      <c r="DA1141" t="s">
        <v>122</v>
      </c>
      <c r="DD1141">
        <v>14874835</v>
      </c>
      <c r="DE1141" t="s">
        <v>123</v>
      </c>
    </row>
    <row r="1142" spans="1:109" x14ac:dyDescent="0.3">
      <c r="A1142" t="str">
        <f>"18:53:43.656"</f>
        <v>18:53:43.656</v>
      </c>
      <c r="B1142" t="s">
        <v>110</v>
      </c>
      <c r="C1142" t="str">
        <f t="shared" si="51"/>
        <v>ffdfd3c0</v>
      </c>
      <c r="D1142" t="s">
        <v>111</v>
      </c>
      <c r="E1142">
        <v>18</v>
      </c>
      <c r="F1142">
        <v>1018</v>
      </c>
      <c r="G1142" t="s">
        <v>112</v>
      </c>
      <c r="J1142" t="s">
        <v>113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R1142" t="s">
        <v>114</v>
      </c>
      <c r="S1142" t="str">
        <f>"18:53:43.430"</f>
        <v>18:53:43.430</v>
      </c>
      <c r="T1142" t="str">
        <f>"18:53:42.828"</f>
        <v>18:53:42.828</v>
      </c>
      <c r="U1142" t="str">
        <f t="shared" si="52"/>
        <v>a1cdbe</v>
      </c>
      <c r="V1142">
        <v>0</v>
      </c>
      <c r="W1142">
        <v>0</v>
      </c>
      <c r="X1142">
        <v>1</v>
      </c>
      <c r="Y1142">
        <v>0</v>
      </c>
      <c r="Z1142">
        <v>0</v>
      </c>
      <c r="AB1142">
        <v>0</v>
      </c>
      <c r="AC1142">
        <v>9</v>
      </c>
      <c r="AD1142">
        <v>3</v>
      </c>
      <c r="AE1142">
        <v>0</v>
      </c>
      <c r="AF1142">
        <v>9</v>
      </c>
      <c r="AG1142" t="s">
        <v>158</v>
      </c>
      <c r="AH1142">
        <v>0</v>
      </c>
      <c r="AI1142">
        <v>3</v>
      </c>
      <c r="AJ1142">
        <v>1</v>
      </c>
      <c r="AK1142">
        <v>0</v>
      </c>
      <c r="AL1142" t="s">
        <v>2239</v>
      </c>
      <c r="AM1142">
        <v>46.838343000000002</v>
      </c>
      <c r="AN1142" t="s">
        <v>2240</v>
      </c>
      <c r="AO1142">
        <v>-122.589505</v>
      </c>
      <c r="AP1142">
        <v>100</v>
      </c>
      <c r="AQ1142">
        <v>2000</v>
      </c>
      <c r="AR1142" t="s">
        <v>118</v>
      </c>
      <c r="AS1142">
        <v>-70</v>
      </c>
      <c r="AT1142">
        <v>-27</v>
      </c>
      <c r="AU1142">
        <v>-64</v>
      </c>
      <c r="BC1142">
        <v>1200</v>
      </c>
      <c r="BD1142">
        <v>1</v>
      </c>
      <c r="BE1142" t="str">
        <f t="shared" si="53"/>
        <v xml:space="preserve">N215T   </v>
      </c>
      <c r="BF1142">
        <v>1</v>
      </c>
      <c r="BH1142">
        <v>0</v>
      </c>
      <c r="BI1142">
        <v>0</v>
      </c>
      <c r="BJ1142">
        <v>0</v>
      </c>
      <c r="BK1142">
        <v>2400</v>
      </c>
      <c r="BL1142">
        <v>400</v>
      </c>
      <c r="BM1142" t="s">
        <v>119</v>
      </c>
      <c r="BN1142">
        <v>1</v>
      </c>
      <c r="BO1142">
        <v>1</v>
      </c>
      <c r="BP1142">
        <v>1</v>
      </c>
      <c r="BQ1142">
        <v>0</v>
      </c>
      <c r="BT1142">
        <v>0</v>
      </c>
      <c r="BU1142">
        <v>0</v>
      </c>
      <c r="BV1142">
        <v>0</v>
      </c>
      <c r="CC1142" t="str">
        <f>"18:53:43.430"</f>
        <v>18:53:43.430</v>
      </c>
      <c r="CD1142" t="str">
        <f>"431314275"</f>
        <v>431314275</v>
      </c>
      <c r="CQ1142">
        <v>0</v>
      </c>
      <c r="CR1142">
        <v>2</v>
      </c>
      <c r="CS1142">
        <v>0</v>
      </c>
      <c r="CT1142">
        <v>2</v>
      </c>
      <c r="CU1142">
        <v>0</v>
      </c>
      <c r="CV1142">
        <v>6</v>
      </c>
      <c r="CW1142" t="s">
        <v>120</v>
      </c>
      <c r="CX1142">
        <v>261</v>
      </c>
      <c r="CY1142">
        <v>2</v>
      </c>
      <c r="CZ1142" t="s">
        <v>121</v>
      </c>
      <c r="DA1142" t="s">
        <v>122</v>
      </c>
      <c r="DD1142">
        <v>14875359</v>
      </c>
      <c r="DE1142" t="s">
        <v>123</v>
      </c>
    </row>
    <row r="1143" spans="1:109" x14ac:dyDescent="0.3">
      <c r="A1143" t="str">
        <f>"18:53:44.563"</f>
        <v>18:53:44.563</v>
      </c>
      <c r="B1143" t="s">
        <v>110</v>
      </c>
      <c r="C1143" t="str">
        <f t="shared" si="51"/>
        <v>ffdfd3c0</v>
      </c>
      <c r="D1143" t="s">
        <v>111</v>
      </c>
      <c r="E1143">
        <v>18</v>
      </c>
      <c r="F1143">
        <v>1018</v>
      </c>
      <c r="G1143" t="s">
        <v>112</v>
      </c>
      <c r="J1143" t="s">
        <v>113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R1143" t="s">
        <v>114</v>
      </c>
      <c r="S1143" t="str">
        <f>"18:53:44.344"</f>
        <v>18:53:44.344</v>
      </c>
      <c r="T1143" t="str">
        <f>"18:53:43.945"</f>
        <v>18:53:43.945</v>
      </c>
      <c r="U1143" t="str">
        <f t="shared" si="52"/>
        <v>a1cdbe</v>
      </c>
      <c r="V1143">
        <v>0</v>
      </c>
      <c r="W1143">
        <v>0</v>
      </c>
      <c r="X1143">
        <v>1</v>
      </c>
      <c r="Y1143">
        <v>0</v>
      </c>
      <c r="Z1143">
        <v>0</v>
      </c>
      <c r="AB1143">
        <v>0</v>
      </c>
      <c r="AC1143">
        <v>9</v>
      </c>
      <c r="AD1143">
        <v>3</v>
      </c>
      <c r="AE1143">
        <v>0</v>
      </c>
      <c r="AF1143">
        <v>9</v>
      </c>
      <c r="AG1143" t="s">
        <v>158</v>
      </c>
      <c r="AH1143">
        <v>0</v>
      </c>
      <c r="AI1143">
        <v>3</v>
      </c>
      <c r="AJ1143">
        <v>1</v>
      </c>
      <c r="AK1143">
        <v>0</v>
      </c>
      <c r="AL1143" t="s">
        <v>2241</v>
      </c>
      <c r="AM1143">
        <v>46.838214000000001</v>
      </c>
      <c r="AN1143" t="s">
        <v>2242</v>
      </c>
      <c r="AO1143">
        <v>-122.589912</v>
      </c>
      <c r="AP1143">
        <v>100</v>
      </c>
      <c r="AQ1143">
        <v>2000</v>
      </c>
      <c r="AR1143" t="s">
        <v>118</v>
      </c>
      <c r="AS1143">
        <v>-70</v>
      </c>
      <c r="AT1143">
        <v>-28</v>
      </c>
      <c r="AU1143">
        <v>-64</v>
      </c>
      <c r="BC1143">
        <v>1200</v>
      </c>
      <c r="BD1143">
        <v>1</v>
      </c>
      <c r="BE1143" t="str">
        <f t="shared" si="53"/>
        <v xml:space="preserve">N215T   </v>
      </c>
      <c r="BF1143">
        <v>1</v>
      </c>
      <c r="BH1143">
        <v>0</v>
      </c>
      <c r="BI1143">
        <v>0</v>
      </c>
      <c r="BJ1143">
        <v>0</v>
      </c>
      <c r="BK1143">
        <v>2400</v>
      </c>
      <c r="BL1143">
        <v>400</v>
      </c>
      <c r="BM1143" t="s">
        <v>119</v>
      </c>
      <c r="BN1143">
        <v>1</v>
      </c>
      <c r="BO1143">
        <v>1</v>
      </c>
      <c r="BP1143">
        <v>1</v>
      </c>
      <c r="BQ1143">
        <v>0</v>
      </c>
      <c r="BT1143">
        <v>0</v>
      </c>
      <c r="BU1143">
        <v>0</v>
      </c>
      <c r="BV1143">
        <v>0</v>
      </c>
      <c r="CC1143" t="str">
        <f>"18:53:44.344"</f>
        <v>18:53:44.344</v>
      </c>
      <c r="CD1143" t="str">
        <f>"346224212"</f>
        <v>346224212</v>
      </c>
      <c r="CQ1143">
        <v>0</v>
      </c>
      <c r="CR1143">
        <v>2</v>
      </c>
      <c r="CS1143">
        <v>0</v>
      </c>
      <c r="CT1143">
        <v>2</v>
      </c>
      <c r="CU1143">
        <v>0</v>
      </c>
      <c r="CV1143">
        <v>6</v>
      </c>
      <c r="CW1143" t="s">
        <v>120</v>
      </c>
      <c r="CX1143">
        <v>261</v>
      </c>
      <c r="CY1143">
        <v>2</v>
      </c>
      <c r="CZ1143" t="s">
        <v>121</v>
      </c>
      <c r="DA1143" t="s">
        <v>122</v>
      </c>
      <c r="DD1143">
        <v>14875953</v>
      </c>
      <c r="DE1143" t="s">
        <v>123</v>
      </c>
    </row>
    <row r="1144" spans="1:109" x14ac:dyDescent="0.3">
      <c r="A1144" t="str">
        <f>"18:53:45.563"</f>
        <v>18:53:45.563</v>
      </c>
      <c r="B1144" t="s">
        <v>110</v>
      </c>
      <c r="C1144" t="str">
        <f t="shared" si="51"/>
        <v>ffdfd3c0</v>
      </c>
      <c r="D1144" t="s">
        <v>111</v>
      </c>
      <c r="E1144">
        <v>18</v>
      </c>
      <c r="F1144">
        <v>1018</v>
      </c>
      <c r="G1144" t="s">
        <v>112</v>
      </c>
      <c r="J1144" t="s">
        <v>113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R1144" t="s">
        <v>114</v>
      </c>
      <c r="S1144" t="str">
        <f>"18:53:45.305"</f>
        <v>18:53:45.305</v>
      </c>
      <c r="T1144" t="str">
        <f>"18:53:44.906"</f>
        <v>18:53:44.906</v>
      </c>
      <c r="U1144" t="str">
        <f t="shared" si="52"/>
        <v>a1cdbe</v>
      </c>
      <c r="V1144">
        <v>0</v>
      </c>
      <c r="W1144">
        <v>0</v>
      </c>
      <c r="X1144">
        <v>1</v>
      </c>
      <c r="Y1144">
        <v>0</v>
      </c>
      <c r="Z1144">
        <v>0</v>
      </c>
      <c r="AB1144">
        <v>0</v>
      </c>
      <c r="AC1144">
        <v>9</v>
      </c>
      <c r="AD1144">
        <v>3</v>
      </c>
      <c r="AE1144">
        <v>0</v>
      </c>
      <c r="AF1144">
        <v>9</v>
      </c>
      <c r="AG1144" t="s">
        <v>158</v>
      </c>
      <c r="AH1144">
        <v>0</v>
      </c>
      <c r="AI1144">
        <v>3</v>
      </c>
      <c r="AJ1144">
        <v>1</v>
      </c>
      <c r="AK1144">
        <v>0</v>
      </c>
      <c r="AL1144" t="s">
        <v>2243</v>
      </c>
      <c r="AM1144">
        <v>46.838107000000001</v>
      </c>
      <c r="AN1144" t="s">
        <v>2244</v>
      </c>
      <c r="AO1144">
        <v>-122.590406</v>
      </c>
      <c r="AP1144">
        <v>100</v>
      </c>
      <c r="AQ1144">
        <v>2000</v>
      </c>
      <c r="AR1144" t="s">
        <v>118</v>
      </c>
      <c r="AS1144">
        <v>-71</v>
      </c>
      <c r="AT1144">
        <v>-28</v>
      </c>
      <c r="AU1144">
        <v>-64</v>
      </c>
      <c r="BC1144">
        <v>1200</v>
      </c>
      <c r="BD1144">
        <v>1</v>
      </c>
      <c r="BE1144" t="str">
        <f t="shared" si="53"/>
        <v xml:space="preserve">N215T   </v>
      </c>
      <c r="BF1144">
        <v>1</v>
      </c>
      <c r="BH1144">
        <v>0</v>
      </c>
      <c r="BI1144">
        <v>0</v>
      </c>
      <c r="BJ1144">
        <v>0</v>
      </c>
      <c r="BK1144">
        <v>2400</v>
      </c>
      <c r="BL1144">
        <v>400</v>
      </c>
      <c r="BM1144" t="s">
        <v>119</v>
      </c>
      <c r="BN1144">
        <v>1</v>
      </c>
      <c r="BO1144">
        <v>1</v>
      </c>
      <c r="BP1144">
        <v>1</v>
      </c>
      <c r="BQ1144">
        <v>0</v>
      </c>
      <c r="BT1144">
        <v>0</v>
      </c>
      <c r="BU1144">
        <v>0</v>
      </c>
      <c r="BV1144">
        <v>0</v>
      </c>
      <c r="CC1144" t="str">
        <f>"18:53:45.305"</f>
        <v>18:53:45.305</v>
      </c>
      <c r="CD1144" t="str">
        <f>"306129703"</f>
        <v>306129703</v>
      </c>
      <c r="CQ1144">
        <v>0</v>
      </c>
      <c r="CR1144">
        <v>2</v>
      </c>
      <c r="CS1144">
        <v>0</v>
      </c>
      <c r="CT1144">
        <v>2</v>
      </c>
      <c r="CU1144">
        <v>0</v>
      </c>
      <c r="CV1144">
        <v>6</v>
      </c>
      <c r="CW1144" t="s">
        <v>120</v>
      </c>
      <c r="CX1144">
        <v>261</v>
      </c>
      <c r="CY1144">
        <v>2</v>
      </c>
      <c r="CZ1144" t="s">
        <v>121</v>
      </c>
      <c r="DA1144" t="s">
        <v>122</v>
      </c>
      <c r="DD1144">
        <v>14876528</v>
      </c>
      <c r="DE1144" t="s">
        <v>123</v>
      </c>
    </row>
    <row r="1145" spans="1:109" x14ac:dyDescent="0.3">
      <c r="A1145" t="str">
        <f>"18:53:46.523"</f>
        <v>18:53:46.523</v>
      </c>
      <c r="B1145" t="s">
        <v>110</v>
      </c>
      <c r="C1145" t="str">
        <f t="shared" si="51"/>
        <v>ffdfd3c0</v>
      </c>
      <c r="D1145" t="s">
        <v>111</v>
      </c>
      <c r="E1145">
        <v>18</v>
      </c>
      <c r="F1145">
        <v>1018</v>
      </c>
      <c r="G1145" t="s">
        <v>112</v>
      </c>
      <c r="J1145" t="s">
        <v>113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R1145" t="s">
        <v>114</v>
      </c>
      <c r="S1145" t="str">
        <f>"18:53:46.320"</f>
        <v>18:53:46.320</v>
      </c>
      <c r="T1145" t="str">
        <f>"18:53:46.320"</f>
        <v>18:53:46.320</v>
      </c>
      <c r="U1145" t="str">
        <f t="shared" si="52"/>
        <v>a1cdbe</v>
      </c>
      <c r="V1145">
        <v>0</v>
      </c>
      <c r="W1145">
        <v>0</v>
      </c>
      <c r="X1145">
        <v>1</v>
      </c>
      <c r="Y1145">
        <v>0</v>
      </c>
      <c r="Z1145">
        <v>0</v>
      </c>
      <c r="AB1145">
        <v>0</v>
      </c>
      <c r="AC1145">
        <v>9</v>
      </c>
      <c r="AD1145">
        <v>3</v>
      </c>
      <c r="AE1145">
        <v>0</v>
      </c>
      <c r="AF1145">
        <v>9</v>
      </c>
      <c r="AG1145" t="s">
        <v>158</v>
      </c>
      <c r="AH1145">
        <v>0</v>
      </c>
      <c r="AI1145">
        <v>3</v>
      </c>
      <c r="AJ1145">
        <v>1</v>
      </c>
      <c r="AK1145">
        <v>0</v>
      </c>
      <c r="AL1145" t="s">
        <v>2245</v>
      </c>
      <c r="AM1145">
        <v>46.837978</v>
      </c>
      <c r="AN1145" t="s">
        <v>2246</v>
      </c>
      <c r="AO1145">
        <v>-122.590878</v>
      </c>
      <c r="AP1145">
        <v>100</v>
      </c>
      <c r="AQ1145">
        <v>2000</v>
      </c>
      <c r="AR1145" t="s">
        <v>118</v>
      </c>
      <c r="AS1145">
        <v>-71</v>
      </c>
      <c r="AT1145">
        <v>-28</v>
      </c>
      <c r="AU1145">
        <v>-64</v>
      </c>
      <c r="BC1145">
        <v>1200</v>
      </c>
      <c r="BD1145">
        <v>1</v>
      </c>
      <c r="BE1145" t="str">
        <f t="shared" si="53"/>
        <v xml:space="preserve">N215T   </v>
      </c>
      <c r="BF1145">
        <v>1</v>
      </c>
      <c r="BH1145">
        <v>0</v>
      </c>
      <c r="BI1145">
        <v>0</v>
      </c>
      <c r="BJ1145">
        <v>0</v>
      </c>
      <c r="BK1145">
        <v>2400</v>
      </c>
      <c r="BL1145">
        <v>400</v>
      </c>
      <c r="BM1145" t="s">
        <v>119</v>
      </c>
      <c r="BN1145">
        <v>1</v>
      </c>
      <c r="BO1145">
        <v>1</v>
      </c>
      <c r="BP1145">
        <v>1</v>
      </c>
      <c r="BQ1145">
        <v>0</v>
      </c>
      <c r="BT1145">
        <v>0</v>
      </c>
      <c r="BU1145">
        <v>0</v>
      </c>
      <c r="BV1145">
        <v>0</v>
      </c>
      <c r="CC1145" t="str">
        <f>"18:53:46.328"</f>
        <v>18:53:46.328</v>
      </c>
      <c r="CD1145" t="str">
        <f>"326029298"</f>
        <v>326029298</v>
      </c>
      <c r="CQ1145">
        <v>0</v>
      </c>
      <c r="CR1145">
        <v>2</v>
      </c>
      <c r="CS1145">
        <v>0</v>
      </c>
      <c r="CT1145">
        <v>2</v>
      </c>
      <c r="CU1145">
        <v>0</v>
      </c>
      <c r="CV1145">
        <v>6</v>
      </c>
      <c r="CW1145" t="s">
        <v>120</v>
      </c>
      <c r="CX1145">
        <v>261</v>
      </c>
      <c r="CY1145">
        <v>2</v>
      </c>
      <c r="CZ1145" t="s">
        <v>121</v>
      </c>
      <c r="DA1145" t="s">
        <v>122</v>
      </c>
      <c r="DD1145">
        <v>14877147</v>
      </c>
      <c r="DE1145" t="s">
        <v>123</v>
      </c>
    </row>
    <row r="1146" spans="1:109" x14ac:dyDescent="0.3">
      <c r="A1146" t="str">
        <f>"18:53:47.625"</f>
        <v>18:53:47.625</v>
      </c>
      <c r="B1146" t="s">
        <v>110</v>
      </c>
      <c r="C1146" t="str">
        <f t="shared" si="51"/>
        <v>ffdfd3c0</v>
      </c>
      <c r="D1146" t="s">
        <v>111</v>
      </c>
      <c r="E1146">
        <v>18</v>
      </c>
      <c r="F1146">
        <v>1018</v>
      </c>
      <c r="G1146" t="s">
        <v>112</v>
      </c>
      <c r="J1146" t="s">
        <v>113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R1146" t="s">
        <v>114</v>
      </c>
      <c r="S1146" t="str">
        <f>"18:53:47.414"</f>
        <v>18:53:47.414</v>
      </c>
      <c r="T1146" t="str">
        <f>"18:53:47.313"</f>
        <v>18:53:47.313</v>
      </c>
      <c r="U1146" t="str">
        <f t="shared" si="52"/>
        <v>a1cdbe</v>
      </c>
      <c r="V1146">
        <v>0</v>
      </c>
      <c r="W1146">
        <v>0</v>
      </c>
      <c r="X1146">
        <v>1</v>
      </c>
      <c r="Y1146">
        <v>0</v>
      </c>
      <c r="Z1146">
        <v>0</v>
      </c>
      <c r="AB1146">
        <v>0</v>
      </c>
      <c r="AC1146">
        <v>9</v>
      </c>
      <c r="AD1146">
        <v>3</v>
      </c>
      <c r="AE1146">
        <v>0</v>
      </c>
      <c r="AF1146">
        <v>9</v>
      </c>
      <c r="AG1146" t="s">
        <v>158</v>
      </c>
      <c r="AH1146">
        <v>0</v>
      </c>
      <c r="AI1146">
        <v>3</v>
      </c>
      <c r="AJ1146">
        <v>1</v>
      </c>
      <c r="AK1146">
        <v>0</v>
      </c>
      <c r="AL1146" t="s">
        <v>2247</v>
      </c>
      <c r="AM1146">
        <v>46.837784999999997</v>
      </c>
      <c r="AN1146" t="s">
        <v>2248</v>
      </c>
      <c r="AO1146">
        <v>-122.591414</v>
      </c>
      <c r="AP1146">
        <v>100</v>
      </c>
      <c r="AQ1146">
        <v>2000</v>
      </c>
      <c r="AR1146" t="s">
        <v>118</v>
      </c>
      <c r="AS1146">
        <v>-72</v>
      </c>
      <c r="AT1146">
        <v>-28</v>
      </c>
      <c r="AU1146">
        <v>-64</v>
      </c>
      <c r="BC1146">
        <v>1200</v>
      </c>
      <c r="BD1146">
        <v>1</v>
      </c>
      <c r="BE1146" t="str">
        <f t="shared" si="53"/>
        <v xml:space="preserve">N215T   </v>
      </c>
      <c r="BF1146">
        <v>1</v>
      </c>
      <c r="BH1146">
        <v>0</v>
      </c>
      <c r="BI1146">
        <v>0</v>
      </c>
      <c r="BJ1146">
        <v>0</v>
      </c>
      <c r="BK1146">
        <v>2400</v>
      </c>
      <c r="BL1146">
        <v>400</v>
      </c>
      <c r="BM1146" t="s">
        <v>119</v>
      </c>
      <c r="BN1146">
        <v>1</v>
      </c>
      <c r="BO1146">
        <v>1</v>
      </c>
      <c r="BP1146">
        <v>1</v>
      </c>
      <c r="BQ1146">
        <v>0</v>
      </c>
      <c r="BT1146">
        <v>0</v>
      </c>
      <c r="BU1146">
        <v>0</v>
      </c>
      <c r="BV1146">
        <v>0</v>
      </c>
      <c r="CC1146" t="str">
        <f>"18:53:47.422"</f>
        <v>18:53:47.422</v>
      </c>
      <c r="CD1146" t="str">
        <f>"420921503"</f>
        <v>420921503</v>
      </c>
      <c r="CQ1146">
        <v>0</v>
      </c>
      <c r="CR1146">
        <v>2</v>
      </c>
      <c r="CS1146">
        <v>0</v>
      </c>
      <c r="CT1146">
        <v>2</v>
      </c>
      <c r="CU1146">
        <v>0</v>
      </c>
      <c r="CV1146">
        <v>6</v>
      </c>
      <c r="CW1146" t="s">
        <v>120</v>
      </c>
      <c r="CX1146">
        <v>261</v>
      </c>
      <c r="CY1146">
        <v>2</v>
      </c>
      <c r="CZ1146" t="s">
        <v>121</v>
      </c>
      <c r="DA1146" t="s">
        <v>122</v>
      </c>
      <c r="DD1146">
        <v>14877830</v>
      </c>
      <c r="DE1146" t="s">
        <v>123</v>
      </c>
    </row>
    <row r="1147" spans="1:109" x14ac:dyDescent="0.3">
      <c r="A1147" t="str">
        <f>"18:53:48.578"</f>
        <v>18:53:48.578</v>
      </c>
      <c r="B1147" t="s">
        <v>110</v>
      </c>
      <c r="C1147" t="str">
        <f t="shared" si="51"/>
        <v>ffdfd3c0</v>
      </c>
      <c r="D1147" t="s">
        <v>111</v>
      </c>
      <c r="E1147">
        <v>18</v>
      </c>
      <c r="F1147">
        <v>1018</v>
      </c>
      <c r="G1147" t="s">
        <v>112</v>
      </c>
      <c r="J1147" t="s">
        <v>113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R1147" t="s">
        <v>114</v>
      </c>
      <c r="S1147" t="str">
        <f>"18:53:48.328"</f>
        <v>18:53:48.328</v>
      </c>
      <c r="T1147" t="str">
        <f>"18:53:48.125"</f>
        <v>18:53:48.125</v>
      </c>
      <c r="U1147" t="str">
        <f t="shared" si="52"/>
        <v>a1cdbe</v>
      </c>
      <c r="V1147">
        <v>0</v>
      </c>
      <c r="W1147">
        <v>0</v>
      </c>
      <c r="X1147">
        <v>1</v>
      </c>
      <c r="Y1147">
        <v>0</v>
      </c>
      <c r="Z1147">
        <v>0</v>
      </c>
      <c r="AB1147">
        <v>0</v>
      </c>
      <c r="AC1147">
        <v>9</v>
      </c>
      <c r="AD1147">
        <v>3</v>
      </c>
      <c r="AE1147">
        <v>0</v>
      </c>
      <c r="AF1147">
        <v>9</v>
      </c>
      <c r="AG1147" t="s">
        <v>158</v>
      </c>
      <c r="AH1147">
        <v>0</v>
      </c>
      <c r="AI1147">
        <v>3</v>
      </c>
      <c r="AJ1147">
        <v>1</v>
      </c>
      <c r="AK1147">
        <v>0</v>
      </c>
      <c r="AL1147" t="s">
        <v>2249</v>
      </c>
      <c r="AM1147">
        <v>46.837699000000001</v>
      </c>
      <c r="AN1147" t="s">
        <v>2250</v>
      </c>
      <c r="AO1147">
        <v>-122.59184399999999</v>
      </c>
      <c r="AP1147">
        <v>100</v>
      </c>
      <c r="AQ1147">
        <v>2000</v>
      </c>
      <c r="AR1147" t="s">
        <v>118</v>
      </c>
      <c r="AS1147">
        <v>-72</v>
      </c>
      <c r="AT1147">
        <v>-28</v>
      </c>
      <c r="AU1147">
        <v>-64</v>
      </c>
      <c r="BC1147">
        <v>1200</v>
      </c>
      <c r="BD1147">
        <v>1</v>
      </c>
      <c r="BE1147" t="str">
        <f t="shared" si="53"/>
        <v xml:space="preserve">N215T   </v>
      </c>
      <c r="BF1147">
        <v>1</v>
      </c>
      <c r="BH1147">
        <v>0</v>
      </c>
      <c r="BI1147">
        <v>0</v>
      </c>
      <c r="BJ1147">
        <v>0</v>
      </c>
      <c r="BK1147">
        <v>2400</v>
      </c>
      <c r="BL1147">
        <v>400</v>
      </c>
      <c r="BM1147" t="s">
        <v>119</v>
      </c>
      <c r="BN1147">
        <v>1</v>
      </c>
      <c r="BO1147">
        <v>1</v>
      </c>
      <c r="BP1147">
        <v>1</v>
      </c>
      <c r="BQ1147">
        <v>0</v>
      </c>
      <c r="BT1147">
        <v>0</v>
      </c>
      <c r="BU1147">
        <v>0</v>
      </c>
      <c r="BV1147">
        <v>0</v>
      </c>
      <c r="CC1147" t="str">
        <f>"18:53:48.336"</f>
        <v>18:53:48.336</v>
      </c>
      <c r="CD1147" t="str">
        <f>"335831442"</f>
        <v>335831442</v>
      </c>
      <c r="CQ1147">
        <v>0</v>
      </c>
      <c r="CR1147">
        <v>2</v>
      </c>
      <c r="CS1147">
        <v>0</v>
      </c>
      <c r="CT1147">
        <v>2</v>
      </c>
      <c r="CU1147">
        <v>0</v>
      </c>
      <c r="CV1147">
        <v>6</v>
      </c>
      <c r="CW1147" t="s">
        <v>120</v>
      </c>
      <c r="CX1147">
        <v>261</v>
      </c>
      <c r="CY1147">
        <v>2</v>
      </c>
      <c r="CZ1147" t="s">
        <v>121</v>
      </c>
      <c r="DA1147" t="s">
        <v>122</v>
      </c>
      <c r="DD1147">
        <v>14878434</v>
      </c>
      <c r="DE1147" t="s">
        <v>123</v>
      </c>
    </row>
    <row r="1148" spans="1:109" x14ac:dyDescent="0.3">
      <c r="A1148" t="str">
        <f>"18:53:49.484"</f>
        <v>18:53:49.484</v>
      </c>
      <c r="B1148" t="s">
        <v>110</v>
      </c>
      <c r="C1148" t="str">
        <f t="shared" si="51"/>
        <v>ffdfd3c0</v>
      </c>
      <c r="D1148" t="s">
        <v>111</v>
      </c>
      <c r="E1148">
        <v>18</v>
      </c>
      <c r="F1148">
        <v>1018</v>
      </c>
      <c r="G1148" t="s">
        <v>112</v>
      </c>
      <c r="J1148" t="s">
        <v>113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R1148" t="s">
        <v>114</v>
      </c>
      <c r="S1148" t="str">
        <f>"18:53:49.273"</f>
        <v>18:53:49.273</v>
      </c>
      <c r="T1148" t="str">
        <f>"18:53:49.273"</f>
        <v>18:53:49.273</v>
      </c>
      <c r="U1148" t="str">
        <f t="shared" si="52"/>
        <v>a1cdbe</v>
      </c>
      <c r="V1148">
        <v>0</v>
      </c>
      <c r="W1148">
        <v>0</v>
      </c>
      <c r="X1148">
        <v>1</v>
      </c>
      <c r="Y1148">
        <v>0</v>
      </c>
      <c r="Z1148">
        <v>0</v>
      </c>
      <c r="AB1148">
        <v>0</v>
      </c>
      <c r="AC1148">
        <v>9</v>
      </c>
      <c r="AD1148">
        <v>3</v>
      </c>
      <c r="AE1148">
        <v>0</v>
      </c>
      <c r="AF1148">
        <v>9</v>
      </c>
      <c r="AG1148" t="s">
        <v>158</v>
      </c>
      <c r="AH1148">
        <v>0</v>
      </c>
      <c r="AI1148">
        <v>3</v>
      </c>
      <c r="AJ1148">
        <v>1</v>
      </c>
      <c r="AK1148">
        <v>0</v>
      </c>
      <c r="AL1148" t="s">
        <v>2251</v>
      </c>
      <c r="AM1148">
        <v>46.837592000000001</v>
      </c>
      <c r="AN1148" t="s">
        <v>2252</v>
      </c>
      <c r="AO1148">
        <v>-122.592359</v>
      </c>
      <c r="AP1148">
        <v>100</v>
      </c>
      <c r="AQ1148">
        <v>2000</v>
      </c>
      <c r="AR1148" t="s">
        <v>118</v>
      </c>
      <c r="AS1148">
        <v>-73</v>
      </c>
      <c r="AT1148">
        <v>-27</v>
      </c>
      <c r="AU1148">
        <v>0</v>
      </c>
      <c r="BC1148">
        <v>1200</v>
      </c>
      <c r="BD1148">
        <v>1</v>
      </c>
      <c r="BE1148" t="str">
        <f t="shared" si="53"/>
        <v xml:space="preserve">N215T   </v>
      </c>
      <c r="BF1148">
        <v>1</v>
      </c>
      <c r="BH1148">
        <v>0</v>
      </c>
      <c r="BI1148">
        <v>0</v>
      </c>
      <c r="BJ1148">
        <v>0</v>
      </c>
      <c r="BK1148">
        <v>2400</v>
      </c>
      <c r="BL1148">
        <v>400</v>
      </c>
      <c r="BM1148" t="s">
        <v>119</v>
      </c>
      <c r="BN1148">
        <v>1</v>
      </c>
      <c r="BO1148">
        <v>1</v>
      </c>
      <c r="BP1148">
        <v>1</v>
      </c>
      <c r="BQ1148">
        <v>0</v>
      </c>
      <c r="BT1148">
        <v>0</v>
      </c>
      <c r="BU1148">
        <v>0</v>
      </c>
      <c r="BV1148">
        <v>0</v>
      </c>
      <c r="CC1148" t="str">
        <f>"18:53:49.281"</f>
        <v>18:53:49.281</v>
      </c>
      <c r="CD1148" t="str">
        <f>"280728493"</f>
        <v>280728493</v>
      </c>
      <c r="CQ1148">
        <v>0</v>
      </c>
      <c r="CR1148">
        <v>2</v>
      </c>
      <c r="CS1148">
        <v>0</v>
      </c>
      <c r="CT1148">
        <v>2</v>
      </c>
      <c r="CU1148">
        <v>0</v>
      </c>
      <c r="CV1148">
        <v>2</v>
      </c>
      <c r="CW1148" t="s">
        <v>172</v>
      </c>
      <c r="CX1148">
        <v>326</v>
      </c>
      <c r="CY1148">
        <v>0</v>
      </c>
      <c r="CZ1148" t="s">
        <v>173</v>
      </c>
      <c r="DA1148" t="s">
        <v>174</v>
      </c>
      <c r="DD1148">
        <v>6240833</v>
      </c>
      <c r="DE1148" t="s">
        <v>123</v>
      </c>
    </row>
    <row r="1149" spans="1:109" x14ac:dyDescent="0.3">
      <c r="A1149" t="str">
        <f>"18:53:50.594"</f>
        <v>18:53:50.594</v>
      </c>
      <c r="B1149" t="s">
        <v>110</v>
      </c>
      <c r="C1149" t="str">
        <f t="shared" si="51"/>
        <v>ffdfd3c0</v>
      </c>
      <c r="D1149" t="s">
        <v>111</v>
      </c>
      <c r="E1149">
        <v>18</v>
      </c>
      <c r="F1149">
        <v>1018</v>
      </c>
      <c r="G1149" t="s">
        <v>112</v>
      </c>
      <c r="J1149" t="s">
        <v>113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R1149" t="s">
        <v>114</v>
      </c>
      <c r="S1149" t="str">
        <f>"18:53:50.359"</f>
        <v>18:53:50.359</v>
      </c>
      <c r="T1149" t="str">
        <f>"18:53:50.359"</f>
        <v>18:53:50.359</v>
      </c>
      <c r="U1149" t="str">
        <f t="shared" si="52"/>
        <v>a1cdbe</v>
      </c>
      <c r="V1149">
        <v>0</v>
      </c>
      <c r="W1149">
        <v>0</v>
      </c>
      <c r="X1149">
        <v>1</v>
      </c>
      <c r="Y1149">
        <v>0</v>
      </c>
      <c r="Z1149">
        <v>0</v>
      </c>
      <c r="AB1149">
        <v>0</v>
      </c>
      <c r="AC1149">
        <v>9</v>
      </c>
      <c r="AD1149">
        <v>3</v>
      </c>
      <c r="AE1149">
        <v>0</v>
      </c>
      <c r="AF1149">
        <v>9</v>
      </c>
      <c r="AG1149" t="s">
        <v>158</v>
      </c>
      <c r="AH1149">
        <v>0</v>
      </c>
      <c r="AI1149">
        <v>3</v>
      </c>
      <c r="AJ1149">
        <v>1</v>
      </c>
      <c r="AK1149">
        <v>0</v>
      </c>
      <c r="AL1149" t="s">
        <v>2253</v>
      </c>
      <c r="AM1149">
        <v>46.837463</v>
      </c>
      <c r="AN1149" t="s">
        <v>2254</v>
      </c>
      <c r="AO1149">
        <v>-122.592895</v>
      </c>
      <c r="AP1149">
        <v>100</v>
      </c>
      <c r="AQ1149">
        <v>2000</v>
      </c>
      <c r="AR1149" t="s">
        <v>118</v>
      </c>
      <c r="AS1149">
        <v>-73</v>
      </c>
      <c r="AT1149">
        <v>-27</v>
      </c>
      <c r="AU1149">
        <v>64</v>
      </c>
      <c r="BC1149">
        <v>1200</v>
      </c>
      <c r="BD1149">
        <v>1</v>
      </c>
      <c r="BE1149" t="str">
        <f t="shared" si="53"/>
        <v xml:space="preserve">N215T   </v>
      </c>
      <c r="BF1149">
        <v>1</v>
      </c>
      <c r="BH1149">
        <v>0</v>
      </c>
      <c r="BI1149">
        <v>0</v>
      </c>
      <c r="BJ1149">
        <v>0</v>
      </c>
      <c r="BK1149">
        <v>2400</v>
      </c>
      <c r="BL1149">
        <v>400</v>
      </c>
      <c r="BM1149" t="s">
        <v>119</v>
      </c>
      <c r="BN1149">
        <v>1</v>
      </c>
      <c r="BO1149">
        <v>1</v>
      </c>
      <c r="BP1149">
        <v>1</v>
      </c>
      <c r="BQ1149">
        <v>0</v>
      </c>
      <c r="BT1149">
        <v>0</v>
      </c>
      <c r="BU1149">
        <v>0</v>
      </c>
      <c r="BV1149">
        <v>0</v>
      </c>
      <c r="CC1149" t="str">
        <f>"18:53:50.359"</f>
        <v>18:53:50.359</v>
      </c>
      <c r="CD1149" t="str">
        <f>"360632089"</f>
        <v>360632089</v>
      </c>
      <c r="CQ1149">
        <v>0</v>
      </c>
      <c r="CR1149">
        <v>2</v>
      </c>
      <c r="CS1149">
        <v>0</v>
      </c>
      <c r="CT1149">
        <v>2</v>
      </c>
      <c r="CU1149">
        <v>0</v>
      </c>
      <c r="CV1149">
        <v>6</v>
      </c>
      <c r="CW1149" t="s">
        <v>120</v>
      </c>
      <c r="CX1149">
        <v>261</v>
      </c>
      <c r="CY1149">
        <v>2</v>
      </c>
      <c r="CZ1149" t="s">
        <v>121</v>
      </c>
      <c r="DA1149" t="s">
        <v>122</v>
      </c>
      <c r="DD1149">
        <v>14879696</v>
      </c>
      <c r="DE1149" t="s">
        <v>123</v>
      </c>
    </row>
    <row r="1150" spans="1:109" x14ac:dyDescent="0.3">
      <c r="A1150" t="str">
        <f>"18:53:51.695"</f>
        <v>18:53:51.695</v>
      </c>
      <c r="B1150" t="s">
        <v>110</v>
      </c>
      <c r="C1150" t="str">
        <f t="shared" si="51"/>
        <v>ffdfd3c0</v>
      </c>
      <c r="D1150" t="s">
        <v>111</v>
      </c>
      <c r="E1150">
        <v>18</v>
      </c>
      <c r="F1150">
        <v>1018</v>
      </c>
      <c r="G1150" t="s">
        <v>112</v>
      </c>
      <c r="J1150" t="s">
        <v>113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R1150" t="s">
        <v>114</v>
      </c>
      <c r="S1150" t="str">
        <f>"18:53:51.484"</f>
        <v>18:53:51.484</v>
      </c>
      <c r="T1150" t="str">
        <f>"18:53:51.484"</f>
        <v>18:53:51.484</v>
      </c>
      <c r="U1150" t="str">
        <f t="shared" si="52"/>
        <v>a1cdbe</v>
      </c>
      <c r="V1150">
        <v>0</v>
      </c>
      <c r="W1150">
        <v>0</v>
      </c>
      <c r="X1150">
        <v>1</v>
      </c>
      <c r="Y1150">
        <v>0</v>
      </c>
      <c r="Z1150">
        <v>0</v>
      </c>
      <c r="AB1150">
        <v>0</v>
      </c>
      <c r="AC1150">
        <v>9</v>
      </c>
      <c r="AD1150">
        <v>3</v>
      </c>
      <c r="AE1150">
        <v>0</v>
      </c>
      <c r="AF1150">
        <v>9</v>
      </c>
      <c r="AG1150" t="s">
        <v>158</v>
      </c>
      <c r="AH1150">
        <v>0</v>
      </c>
      <c r="AI1150">
        <v>3</v>
      </c>
      <c r="AJ1150">
        <v>1</v>
      </c>
      <c r="AK1150">
        <v>0</v>
      </c>
      <c r="AL1150" t="s">
        <v>2255</v>
      </c>
      <c r="AM1150">
        <v>46.837313000000002</v>
      </c>
      <c r="AN1150" t="s">
        <v>2256</v>
      </c>
      <c r="AO1150">
        <v>-122.59341000000001</v>
      </c>
      <c r="AP1150">
        <v>100</v>
      </c>
      <c r="AQ1150">
        <v>2000</v>
      </c>
      <c r="AR1150" t="s">
        <v>118</v>
      </c>
      <c r="AS1150">
        <v>-73</v>
      </c>
      <c r="AT1150">
        <v>-27</v>
      </c>
      <c r="AU1150">
        <v>64</v>
      </c>
      <c r="BC1150">
        <v>1200</v>
      </c>
      <c r="BD1150">
        <v>1</v>
      </c>
      <c r="BE1150" t="str">
        <f t="shared" si="53"/>
        <v xml:space="preserve">N215T   </v>
      </c>
      <c r="BF1150">
        <v>1</v>
      </c>
      <c r="BH1150">
        <v>0</v>
      </c>
      <c r="BI1150">
        <v>0</v>
      </c>
      <c r="BJ1150">
        <v>0</v>
      </c>
      <c r="BK1150">
        <v>2400</v>
      </c>
      <c r="BL1150">
        <v>400</v>
      </c>
      <c r="BM1150" t="s">
        <v>119</v>
      </c>
      <c r="BN1150">
        <v>1</v>
      </c>
      <c r="BO1150">
        <v>1</v>
      </c>
      <c r="BP1150">
        <v>1</v>
      </c>
      <c r="BQ1150">
        <v>0</v>
      </c>
      <c r="BT1150">
        <v>0</v>
      </c>
      <c r="BU1150">
        <v>0</v>
      </c>
      <c r="BV1150">
        <v>0</v>
      </c>
      <c r="CC1150" t="str">
        <f>"18:53:51.484"</f>
        <v>18:53:51.484</v>
      </c>
      <c r="CD1150" t="str">
        <f>"485511508"</f>
        <v>485511508</v>
      </c>
      <c r="CQ1150">
        <v>0</v>
      </c>
      <c r="CR1150">
        <v>2</v>
      </c>
      <c r="CS1150">
        <v>0</v>
      </c>
      <c r="CT1150">
        <v>2</v>
      </c>
      <c r="CU1150">
        <v>0</v>
      </c>
      <c r="CV1150">
        <v>2</v>
      </c>
      <c r="CW1150" t="s">
        <v>172</v>
      </c>
      <c r="CX1150">
        <v>326</v>
      </c>
      <c r="CY1150">
        <v>0</v>
      </c>
      <c r="CZ1150" t="s">
        <v>173</v>
      </c>
      <c r="DA1150" t="s">
        <v>174</v>
      </c>
      <c r="DD1150">
        <v>6242333</v>
      </c>
      <c r="DE1150" t="s">
        <v>123</v>
      </c>
    </row>
    <row r="1151" spans="1:109" x14ac:dyDescent="0.3">
      <c r="A1151" t="str">
        <f>"18:53:52.602"</f>
        <v>18:53:52.602</v>
      </c>
      <c r="B1151" t="s">
        <v>110</v>
      </c>
      <c r="C1151" t="str">
        <f t="shared" si="51"/>
        <v>ffdfd3c0</v>
      </c>
      <c r="D1151" t="s">
        <v>111</v>
      </c>
      <c r="E1151">
        <v>18</v>
      </c>
      <c r="F1151">
        <v>1018</v>
      </c>
      <c r="G1151" t="s">
        <v>112</v>
      </c>
      <c r="J1151" t="s">
        <v>113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R1151" t="s">
        <v>114</v>
      </c>
      <c r="S1151" t="str">
        <f>"18:53:52.352"</f>
        <v>18:53:52.352</v>
      </c>
      <c r="T1151" t="str">
        <f>"18:53:52.352"</f>
        <v>18:53:52.352</v>
      </c>
      <c r="U1151" t="str">
        <f t="shared" si="52"/>
        <v>a1cdbe</v>
      </c>
      <c r="V1151">
        <v>0</v>
      </c>
      <c r="W1151">
        <v>0</v>
      </c>
      <c r="X1151">
        <v>1</v>
      </c>
      <c r="Y1151">
        <v>0</v>
      </c>
      <c r="Z1151">
        <v>0</v>
      </c>
      <c r="AB1151">
        <v>0</v>
      </c>
      <c r="AC1151">
        <v>9</v>
      </c>
      <c r="AD1151">
        <v>3</v>
      </c>
      <c r="AE1151">
        <v>0</v>
      </c>
      <c r="AF1151">
        <v>9</v>
      </c>
      <c r="AG1151" t="s">
        <v>158</v>
      </c>
      <c r="AH1151">
        <v>0</v>
      </c>
      <c r="AI1151">
        <v>3</v>
      </c>
      <c r="AJ1151">
        <v>1</v>
      </c>
      <c r="AK1151">
        <v>0</v>
      </c>
      <c r="AL1151" t="s">
        <v>2257</v>
      </c>
      <c r="AM1151">
        <v>46.837184000000001</v>
      </c>
      <c r="AN1151" t="s">
        <v>2258</v>
      </c>
      <c r="AO1151">
        <v>-122.593818</v>
      </c>
      <c r="AP1151">
        <v>100</v>
      </c>
      <c r="AQ1151">
        <v>2000</v>
      </c>
      <c r="AR1151" t="s">
        <v>118</v>
      </c>
      <c r="AS1151">
        <v>-72</v>
      </c>
      <c r="AT1151">
        <v>-27</v>
      </c>
      <c r="AU1151">
        <v>128</v>
      </c>
      <c r="BC1151">
        <v>1200</v>
      </c>
      <c r="BD1151">
        <v>1</v>
      </c>
      <c r="BE1151" t="str">
        <f t="shared" si="53"/>
        <v xml:space="preserve">N215T   </v>
      </c>
      <c r="BF1151">
        <v>1</v>
      </c>
      <c r="BH1151">
        <v>0</v>
      </c>
      <c r="BI1151">
        <v>0</v>
      </c>
      <c r="BJ1151">
        <v>0</v>
      </c>
      <c r="BK1151">
        <v>2400</v>
      </c>
      <c r="BL1151">
        <v>400</v>
      </c>
      <c r="BM1151" t="s">
        <v>119</v>
      </c>
      <c r="BN1151">
        <v>1</v>
      </c>
      <c r="BO1151">
        <v>1</v>
      </c>
      <c r="BP1151">
        <v>1</v>
      </c>
      <c r="BQ1151">
        <v>0</v>
      </c>
      <c r="BT1151">
        <v>0</v>
      </c>
      <c r="BU1151">
        <v>0</v>
      </c>
      <c r="BV1151">
        <v>0</v>
      </c>
      <c r="CC1151" t="str">
        <f>"18:53:52.352"</f>
        <v>18:53:52.352</v>
      </c>
      <c r="CD1151" t="str">
        <f>"355435708"</f>
        <v>355435708</v>
      </c>
      <c r="CQ1151">
        <v>0</v>
      </c>
      <c r="CR1151">
        <v>2</v>
      </c>
      <c r="CS1151">
        <v>0</v>
      </c>
      <c r="CT1151">
        <v>2</v>
      </c>
      <c r="CU1151">
        <v>0</v>
      </c>
      <c r="CV1151">
        <v>5</v>
      </c>
      <c r="CW1151" t="s">
        <v>120</v>
      </c>
      <c r="CX1151">
        <v>261</v>
      </c>
      <c r="CY1151">
        <v>2</v>
      </c>
      <c r="CZ1151" t="s">
        <v>121</v>
      </c>
      <c r="DA1151" t="s">
        <v>122</v>
      </c>
      <c r="DD1151">
        <v>14880899</v>
      </c>
      <c r="DE1151" t="s">
        <v>123</v>
      </c>
    </row>
    <row r="1152" spans="1:109" x14ac:dyDescent="0.3">
      <c r="A1152" t="str">
        <f>"18:53:53.508"</f>
        <v>18:53:53.508</v>
      </c>
      <c r="B1152" t="s">
        <v>110</v>
      </c>
      <c r="C1152" t="str">
        <f t="shared" si="51"/>
        <v>ffdfd3c0</v>
      </c>
      <c r="D1152" t="s">
        <v>111</v>
      </c>
      <c r="E1152">
        <v>18</v>
      </c>
      <c r="F1152">
        <v>1018</v>
      </c>
      <c r="G1152" t="s">
        <v>112</v>
      </c>
      <c r="J1152" t="s">
        <v>113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R1152" t="s">
        <v>114</v>
      </c>
      <c r="S1152" t="str">
        <f>"18:53:53.266"</f>
        <v>18:53:53.266</v>
      </c>
      <c r="T1152" t="str">
        <f>"18:53:52.867"</f>
        <v>18:53:52.867</v>
      </c>
      <c r="U1152" t="str">
        <f t="shared" si="52"/>
        <v>a1cdbe</v>
      </c>
      <c r="V1152">
        <v>0</v>
      </c>
      <c r="W1152">
        <v>0</v>
      </c>
      <c r="X1152">
        <v>1</v>
      </c>
      <c r="Y1152">
        <v>0</v>
      </c>
      <c r="Z1152">
        <v>0</v>
      </c>
      <c r="AB1152">
        <v>0</v>
      </c>
      <c r="AC1152">
        <v>9</v>
      </c>
      <c r="AD1152">
        <v>3</v>
      </c>
      <c r="AE1152">
        <v>0</v>
      </c>
      <c r="AF1152">
        <v>9</v>
      </c>
      <c r="AG1152" t="s">
        <v>158</v>
      </c>
      <c r="AH1152">
        <v>0</v>
      </c>
      <c r="AI1152">
        <v>3</v>
      </c>
      <c r="AJ1152">
        <v>1</v>
      </c>
      <c r="AK1152">
        <v>0</v>
      </c>
      <c r="AL1152" t="s">
        <v>2259</v>
      </c>
      <c r="AM1152">
        <v>46.837099000000002</v>
      </c>
      <c r="AN1152" t="s">
        <v>2260</v>
      </c>
      <c r="AO1152">
        <v>-122.59429</v>
      </c>
      <c r="AP1152">
        <v>100</v>
      </c>
      <c r="AQ1152">
        <v>2000</v>
      </c>
      <c r="AR1152" t="s">
        <v>118</v>
      </c>
      <c r="AS1152">
        <v>-72</v>
      </c>
      <c r="AT1152">
        <v>-28</v>
      </c>
      <c r="AU1152">
        <v>128</v>
      </c>
      <c r="BC1152">
        <v>1200</v>
      </c>
      <c r="BD1152">
        <v>1</v>
      </c>
      <c r="BE1152" t="str">
        <f t="shared" si="53"/>
        <v xml:space="preserve">N215T   </v>
      </c>
      <c r="BF1152">
        <v>1</v>
      </c>
      <c r="BH1152">
        <v>0</v>
      </c>
      <c r="BI1152">
        <v>0</v>
      </c>
      <c r="BJ1152">
        <v>0</v>
      </c>
      <c r="BK1152">
        <v>2400</v>
      </c>
      <c r="BL1152">
        <v>400</v>
      </c>
      <c r="BM1152" t="s">
        <v>119</v>
      </c>
      <c r="BN1152">
        <v>1</v>
      </c>
      <c r="BO1152">
        <v>1</v>
      </c>
      <c r="BP1152">
        <v>1</v>
      </c>
      <c r="BQ1152">
        <v>0</v>
      </c>
      <c r="BT1152">
        <v>0</v>
      </c>
      <c r="BU1152">
        <v>0</v>
      </c>
      <c r="BV1152">
        <v>0</v>
      </c>
      <c r="CC1152" t="str">
        <f>"18:53:53.273"</f>
        <v>18:53:53.273</v>
      </c>
      <c r="CD1152" t="str">
        <f>"270345633"</f>
        <v>270345633</v>
      </c>
      <c r="CQ1152">
        <v>0</v>
      </c>
      <c r="CR1152">
        <v>2</v>
      </c>
      <c r="CS1152">
        <v>0</v>
      </c>
      <c r="CT1152">
        <v>2</v>
      </c>
      <c r="CU1152">
        <v>0</v>
      </c>
      <c r="CV1152">
        <v>5</v>
      </c>
      <c r="CW1152" t="s">
        <v>120</v>
      </c>
      <c r="CX1152">
        <v>261</v>
      </c>
      <c r="CY1152">
        <v>2</v>
      </c>
      <c r="CZ1152" t="s">
        <v>121</v>
      </c>
      <c r="DA1152" t="s">
        <v>122</v>
      </c>
      <c r="DD1152">
        <v>14881531</v>
      </c>
      <c r="DE1152" t="s">
        <v>123</v>
      </c>
    </row>
    <row r="1153" spans="1:109" x14ac:dyDescent="0.3">
      <c r="A1153" t="str">
        <f>"18:53:54.516"</f>
        <v>18:53:54.516</v>
      </c>
      <c r="B1153" t="s">
        <v>110</v>
      </c>
      <c r="C1153" t="str">
        <f t="shared" si="51"/>
        <v>ffdfd3c0</v>
      </c>
      <c r="D1153" t="s">
        <v>111</v>
      </c>
      <c r="E1153">
        <v>18</v>
      </c>
      <c r="F1153">
        <v>1018</v>
      </c>
      <c r="G1153" t="s">
        <v>112</v>
      </c>
      <c r="J1153" t="s">
        <v>113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R1153" t="s">
        <v>114</v>
      </c>
      <c r="S1153" t="str">
        <f>"18:53:54.242"</f>
        <v>18:53:54.242</v>
      </c>
      <c r="T1153" t="str">
        <f>"18:53:48.641"</f>
        <v>18:53:48.641</v>
      </c>
      <c r="U1153" t="str">
        <f t="shared" si="52"/>
        <v>a1cdbe</v>
      </c>
      <c r="V1153">
        <v>0</v>
      </c>
      <c r="W1153">
        <v>0</v>
      </c>
      <c r="X1153">
        <v>1</v>
      </c>
      <c r="Y1153">
        <v>0</v>
      </c>
      <c r="Z1153">
        <v>0</v>
      </c>
      <c r="AB1153">
        <v>0</v>
      </c>
      <c r="AC1153">
        <v>9</v>
      </c>
      <c r="AD1153">
        <v>3</v>
      </c>
      <c r="AE1153">
        <v>0</v>
      </c>
      <c r="AF1153">
        <v>9</v>
      </c>
      <c r="AG1153" t="s">
        <v>158</v>
      </c>
      <c r="AH1153">
        <v>0</v>
      </c>
      <c r="AI1153">
        <v>3</v>
      </c>
      <c r="AJ1153">
        <v>1</v>
      </c>
      <c r="AK1153">
        <v>0</v>
      </c>
      <c r="AL1153" t="s">
        <v>2261</v>
      </c>
      <c r="AM1153">
        <v>46.836948</v>
      </c>
      <c r="AN1153" t="s">
        <v>2262</v>
      </c>
      <c r="AO1153">
        <v>-122.594719</v>
      </c>
      <c r="AP1153">
        <v>100</v>
      </c>
      <c r="AQ1153">
        <v>2000</v>
      </c>
      <c r="AR1153" t="s">
        <v>118</v>
      </c>
      <c r="AS1153">
        <v>-72</v>
      </c>
      <c r="AT1153">
        <v>-27</v>
      </c>
      <c r="AU1153">
        <v>-64</v>
      </c>
      <c r="BC1153">
        <v>1200</v>
      </c>
      <c r="BD1153">
        <v>1</v>
      </c>
      <c r="BE1153" t="str">
        <f t="shared" si="53"/>
        <v xml:space="preserve">N215T   </v>
      </c>
      <c r="BF1153">
        <v>1</v>
      </c>
      <c r="BH1153">
        <v>0</v>
      </c>
      <c r="BI1153">
        <v>0</v>
      </c>
      <c r="BJ1153">
        <v>0</v>
      </c>
      <c r="BK1153">
        <v>2400</v>
      </c>
      <c r="BL1153">
        <v>400</v>
      </c>
      <c r="BM1153" t="s">
        <v>119</v>
      </c>
      <c r="BN1153">
        <v>1</v>
      </c>
      <c r="BO1153">
        <v>1</v>
      </c>
      <c r="BP1153">
        <v>1</v>
      </c>
      <c r="BQ1153">
        <v>0</v>
      </c>
      <c r="BT1153">
        <v>0</v>
      </c>
      <c r="BU1153">
        <v>0</v>
      </c>
      <c r="BV1153">
        <v>0</v>
      </c>
      <c r="CC1153" t="str">
        <f>"18:53:54.242"</f>
        <v>18:53:54.242</v>
      </c>
      <c r="CD1153" t="str">
        <f>"245347274"</f>
        <v>245347274</v>
      </c>
      <c r="CQ1153">
        <v>0</v>
      </c>
      <c r="CR1153">
        <v>2</v>
      </c>
      <c r="CS1153">
        <v>0</v>
      </c>
      <c r="CT1153">
        <v>2</v>
      </c>
      <c r="CU1153">
        <v>0</v>
      </c>
      <c r="CV1153">
        <v>1</v>
      </c>
      <c r="CW1153" t="s">
        <v>120</v>
      </c>
      <c r="CX1153">
        <v>257</v>
      </c>
      <c r="CY1153">
        <v>1</v>
      </c>
      <c r="CZ1153" t="s">
        <v>615</v>
      </c>
      <c r="DA1153" t="s">
        <v>616</v>
      </c>
      <c r="DD1153">
        <v>11226132</v>
      </c>
      <c r="DE1153" t="s">
        <v>123</v>
      </c>
    </row>
    <row r="1154" spans="1:109" x14ac:dyDescent="0.3">
      <c r="A1154" t="str">
        <f>"18:53:55.570"</f>
        <v>18:53:55.570</v>
      </c>
      <c r="B1154" t="s">
        <v>110</v>
      </c>
      <c r="C1154" t="str">
        <f t="shared" ref="C1154:C1217" si="54">"ffdfd3c0"</f>
        <v>ffdfd3c0</v>
      </c>
      <c r="D1154" t="s">
        <v>111</v>
      </c>
      <c r="E1154">
        <v>18</v>
      </c>
      <c r="F1154">
        <v>1018</v>
      </c>
      <c r="G1154" t="s">
        <v>112</v>
      </c>
      <c r="J1154" t="s">
        <v>113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R1154" t="s">
        <v>114</v>
      </c>
      <c r="S1154" t="str">
        <f>"18:53:55.305"</f>
        <v>18:53:55.305</v>
      </c>
      <c r="T1154" t="str">
        <f>"18:53:55.305"</f>
        <v>18:53:55.305</v>
      </c>
      <c r="U1154" t="str">
        <f t="shared" ref="U1154:U1217" si="55">"a1cdbe"</f>
        <v>a1cdbe</v>
      </c>
      <c r="V1154">
        <v>0</v>
      </c>
      <c r="W1154">
        <v>0</v>
      </c>
      <c r="X1154">
        <v>1</v>
      </c>
      <c r="Y1154">
        <v>0</v>
      </c>
      <c r="Z1154">
        <v>0</v>
      </c>
      <c r="AB1154">
        <v>0</v>
      </c>
      <c r="AC1154">
        <v>9</v>
      </c>
      <c r="AD1154">
        <v>3</v>
      </c>
      <c r="AE1154">
        <v>0</v>
      </c>
      <c r="AF1154">
        <v>9</v>
      </c>
      <c r="AG1154" t="s">
        <v>158</v>
      </c>
      <c r="AH1154">
        <v>0</v>
      </c>
      <c r="AI1154">
        <v>3</v>
      </c>
      <c r="AJ1154">
        <v>1</v>
      </c>
      <c r="AK1154">
        <v>0</v>
      </c>
      <c r="AL1154" t="s">
        <v>2263</v>
      </c>
      <c r="AM1154">
        <v>46.836820000000003</v>
      </c>
      <c r="AN1154" t="s">
        <v>2264</v>
      </c>
      <c r="AO1154">
        <v>-122.595298</v>
      </c>
      <c r="AP1154">
        <v>100</v>
      </c>
      <c r="AQ1154">
        <v>2000</v>
      </c>
      <c r="AR1154" t="s">
        <v>118</v>
      </c>
      <c r="AS1154">
        <v>-72</v>
      </c>
      <c r="AT1154">
        <v>-28</v>
      </c>
      <c r="AU1154">
        <v>64</v>
      </c>
      <c r="BC1154">
        <v>1200</v>
      </c>
      <c r="BD1154">
        <v>1</v>
      </c>
      <c r="BE1154" t="str">
        <f t="shared" ref="BE1154:BE1217" si="56">"N215T   "</f>
        <v xml:space="preserve">N215T   </v>
      </c>
      <c r="BF1154">
        <v>1</v>
      </c>
      <c r="BH1154">
        <v>0</v>
      </c>
      <c r="BI1154">
        <v>0</v>
      </c>
      <c r="BJ1154">
        <v>0</v>
      </c>
      <c r="BK1154">
        <v>2400</v>
      </c>
      <c r="BL1154">
        <v>400</v>
      </c>
      <c r="BM1154" t="s">
        <v>119</v>
      </c>
      <c r="BN1154">
        <v>1</v>
      </c>
      <c r="BO1154">
        <v>1</v>
      </c>
      <c r="BP1154">
        <v>1</v>
      </c>
      <c r="BQ1154">
        <v>0</v>
      </c>
      <c r="BT1154">
        <v>0</v>
      </c>
      <c r="BU1154">
        <v>0</v>
      </c>
      <c r="BV1154">
        <v>0</v>
      </c>
      <c r="CC1154" t="str">
        <f>"18:53:55.313"</f>
        <v>18:53:55.313</v>
      </c>
      <c r="CD1154" t="str">
        <f>"310144818"</f>
        <v>310144818</v>
      </c>
      <c r="CQ1154">
        <v>0</v>
      </c>
      <c r="CR1154">
        <v>2</v>
      </c>
      <c r="CS1154">
        <v>0</v>
      </c>
      <c r="CT1154">
        <v>2</v>
      </c>
      <c r="CU1154">
        <v>0</v>
      </c>
      <c r="CV1154">
        <v>5</v>
      </c>
      <c r="CW1154" t="s">
        <v>120</v>
      </c>
      <c r="CX1154">
        <v>261</v>
      </c>
      <c r="CY1154">
        <v>2</v>
      </c>
      <c r="CZ1154" t="s">
        <v>121</v>
      </c>
      <c r="DA1154" t="s">
        <v>122</v>
      </c>
      <c r="DD1154">
        <v>14882778</v>
      </c>
      <c r="DE1154" t="s">
        <v>123</v>
      </c>
    </row>
    <row r="1155" spans="1:109" x14ac:dyDescent="0.3">
      <c r="A1155" t="str">
        <f>"18:53:56.523"</f>
        <v>18:53:56.523</v>
      </c>
      <c r="B1155" t="s">
        <v>110</v>
      </c>
      <c r="C1155" t="str">
        <f t="shared" si="54"/>
        <v>ffdfd3c0</v>
      </c>
      <c r="D1155" t="s">
        <v>111</v>
      </c>
      <c r="E1155">
        <v>18</v>
      </c>
      <c r="F1155">
        <v>1018</v>
      </c>
      <c r="G1155" t="s">
        <v>112</v>
      </c>
      <c r="J1155" t="s">
        <v>113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R1155" t="s">
        <v>114</v>
      </c>
      <c r="S1155" t="str">
        <f>"18:53:56.313"</f>
        <v>18:53:56.313</v>
      </c>
      <c r="T1155" t="str">
        <f>"18:53:55.914"</f>
        <v>18:53:55.914</v>
      </c>
      <c r="U1155" t="str">
        <f t="shared" si="55"/>
        <v>a1cdbe</v>
      </c>
      <c r="V1155">
        <v>0</v>
      </c>
      <c r="W1155">
        <v>0</v>
      </c>
      <c r="X1155">
        <v>1</v>
      </c>
      <c r="Y1155">
        <v>0</v>
      </c>
      <c r="Z1155">
        <v>0</v>
      </c>
      <c r="AB1155">
        <v>0</v>
      </c>
      <c r="AC1155">
        <v>9</v>
      </c>
      <c r="AD1155">
        <v>3</v>
      </c>
      <c r="AE1155">
        <v>0</v>
      </c>
      <c r="AF1155">
        <v>9</v>
      </c>
      <c r="AG1155" t="s">
        <v>158</v>
      </c>
      <c r="AH1155">
        <v>0</v>
      </c>
      <c r="AI1155">
        <v>3</v>
      </c>
      <c r="AJ1155">
        <v>1</v>
      </c>
      <c r="AK1155">
        <v>0</v>
      </c>
      <c r="AL1155" t="s">
        <v>2265</v>
      </c>
      <c r="AM1155">
        <v>46.836669000000001</v>
      </c>
      <c r="AN1155" t="s">
        <v>2266</v>
      </c>
      <c r="AO1155">
        <v>-122.595749</v>
      </c>
      <c r="AP1155">
        <v>100</v>
      </c>
      <c r="AQ1155">
        <v>2000</v>
      </c>
      <c r="AR1155" t="s">
        <v>118</v>
      </c>
      <c r="AS1155">
        <v>-72</v>
      </c>
      <c r="AT1155">
        <v>-29</v>
      </c>
      <c r="AU1155">
        <v>64</v>
      </c>
      <c r="BC1155">
        <v>1200</v>
      </c>
      <c r="BD1155">
        <v>1</v>
      </c>
      <c r="BE1155" t="str">
        <f t="shared" si="56"/>
        <v xml:space="preserve">N215T   </v>
      </c>
      <c r="BF1155">
        <v>1</v>
      </c>
      <c r="BH1155">
        <v>0</v>
      </c>
      <c r="BI1155">
        <v>0</v>
      </c>
      <c r="BJ1155">
        <v>0</v>
      </c>
      <c r="BK1155">
        <v>2400</v>
      </c>
      <c r="BL1155">
        <v>400</v>
      </c>
      <c r="BM1155" t="s">
        <v>119</v>
      </c>
      <c r="BN1155">
        <v>1</v>
      </c>
      <c r="BO1155">
        <v>1</v>
      </c>
      <c r="BP1155">
        <v>1</v>
      </c>
      <c r="BQ1155">
        <v>0</v>
      </c>
      <c r="BT1155">
        <v>0</v>
      </c>
      <c r="BU1155">
        <v>0</v>
      </c>
      <c r="BV1155">
        <v>0</v>
      </c>
      <c r="CC1155" t="str">
        <f>"18:53:56.313"</f>
        <v>18:53:56.313</v>
      </c>
      <c r="CD1155" t="str">
        <f>"315045883"</f>
        <v>315045883</v>
      </c>
      <c r="CQ1155">
        <v>0</v>
      </c>
      <c r="CR1155">
        <v>2</v>
      </c>
      <c r="CS1155">
        <v>0</v>
      </c>
      <c r="CT1155">
        <v>2</v>
      </c>
      <c r="CU1155">
        <v>0</v>
      </c>
      <c r="CV1155">
        <v>5</v>
      </c>
      <c r="CW1155" t="s">
        <v>120</v>
      </c>
      <c r="CX1155">
        <v>261</v>
      </c>
      <c r="CY1155">
        <v>2</v>
      </c>
      <c r="CZ1155" t="s">
        <v>121</v>
      </c>
      <c r="DA1155" t="s">
        <v>122</v>
      </c>
      <c r="DD1155">
        <v>14883372</v>
      </c>
      <c r="DE1155" t="s">
        <v>123</v>
      </c>
    </row>
    <row r="1156" spans="1:109" x14ac:dyDescent="0.3">
      <c r="A1156" t="str">
        <f>"18:53:57.633"</f>
        <v>18:53:57.633</v>
      </c>
      <c r="B1156" t="s">
        <v>110</v>
      </c>
      <c r="C1156" t="str">
        <f t="shared" si="54"/>
        <v>ffdfd3c0</v>
      </c>
      <c r="D1156" t="s">
        <v>111</v>
      </c>
      <c r="E1156">
        <v>18</v>
      </c>
      <c r="F1156">
        <v>1018</v>
      </c>
      <c r="G1156" t="s">
        <v>112</v>
      </c>
      <c r="J1156" t="s">
        <v>113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R1156" t="s">
        <v>114</v>
      </c>
      <c r="S1156" t="str">
        <f>"18:53:57.375"</f>
        <v>18:53:57.375</v>
      </c>
      <c r="T1156" t="str">
        <f>"18:53:56.477"</f>
        <v>18:53:56.477</v>
      </c>
      <c r="U1156" t="str">
        <f t="shared" si="55"/>
        <v>a1cdbe</v>
      </c>
      <c r="V1156">
        <v>0</v>
      </c>
      <c r="W1156">
        <v>0</v>
      </c>
      <c r="X1156">
        <v>1</v>
      </c>
      <c r="Y1156">
        <v>0</v>
      </c>
      <c r="Z1156">
        <v>0</v>
      </c>
      <c r="AB1156">
        <v>0</v>
      </c>
      <c r="AC1156">
        <v>9</v>
      </c>
      <c r="AD1156">
        <v>3</v>
      </c>
      <c r="AE1156">
        <v>0</v>
      </c>
      <c r="AF1156">
        <v>9</v>
      </c>
      <c r="AG1156" t="s">
        <v>158</v>
      </c>
      <c r="AH1156">
        <v>0</v>
      </c>
      <c r="AI1156">
        <v>3</v>
      </c>
      <c r="AJ1156">
        <v>1</v>
      </c>
      <c r="AK1156">
        <v>0</v>
      </c>
      <c r="AL1156" t="s">
        <v>2267</v>
      </c>
      <c r="AM1156">
        <v>46.836540999999997</v>
      </c>
      <c r="AN1156" t="s">
        <v>2268</v>
      </c>
      <c r="AO1156">
        <v>-122.596221</v>
      </c>
      <c r="AP1156">
        <v>100</v>
      </c>
      <c r="AQ1156">
        <v>2000</v>
      </c>
      <c r="AR1156" t="s">
        <v>118</v>
      </c>
      <c r="AS1156">
        <v>-72</v>
      </c>
      <c r="AT1156">
        <v>-29</v>
      </c>
      <c r="AU1156">
        <v>64</v>
      </c>
      <c r="BC1156">
        <v>1200</v>
      </c>
      <c r="BD1156">
        <v>1</v>
      </c>
      <c r="BE1156" t="str">
        <f t="shared" si="56"/>
        <v xml:space="preserve">N215T   </v>
      </c>
      <c r="BF1156">
        <v>1</v>
      </c>
      <c r="BH1156">
        <v>0</v>
      </c>
      <c r="BI1156">
        <v>0</v>
      </c>
      <c r="BJ1156">
        <v>0</v>
      </c>
      <c r="BK1156">
        <v>2400</v>
      </c>
      <c r="BL1156">
        <v>400</v>
      </c>
      <c r="BM1156" t="s">
        <v>119</v>
      </c>
      <c r="BN1156">
        <v>1</v>
      </c>
      <c r="BO1156">
        <v>1</v>
      </c>
      <c r="BP1156">
        <v>1</v>
      </c>
      <c r="BQ1156">
        <v>0</v>
      </c>
      <c r="BT1156">
        <v>0</v>
      </c>
      <c r="BU1156">
        <v>0</v>
      </c>
      <c r="BV1156">
        <v>0</v>
      </c>
      <c r="CC1156" t="str">
        <f>"18:53:57.383"</f>
        <v>18:53:57.383</v>
      </c>
      <c r="CD1156" t="str">
        <f>"379941050"</f>
        <v>379941050</v>
      </c>
      <c r="CQ1156">
        <v>0</v>
      </c>
      <c r="CR1156">
        <v>2</v>
      </c>
      <c r="CS1156">
        <v>0</v>
      </c>
      <c r="CT1156">
        <v>2</v>
      </c>
      <c r="CU1156">
        <v>0</v>
      </c>
      <c r="CV1156">
        <v>5</v>
      </c>
      <c r="CW1156" t="s">
        <v>120</v>
      </c>
      <c r="CX1156">
        <v>261</v>
      </c>
      <c r="CY1156">
        <v>2</v>
      </c>
      <c r="CZ1156" t="s">
        <v>121</v>
      </c>
      <c r="DA1156" t="s">
        <v>122</v>
      </c>
      <c r="DD1156">
        <v>14884034</v>
      </c>
      <c r="DE1156" t="s">
        <v>123</v>
      </c>
    </row>
    <row r="1157" spans="1:109" x14ac:dyDescent="0.3">
      <c r="A1157" t="str">
        <f>"18:53:58.641"</f>
        <v>18:53:58.641</v>
      </c>
      <c r="B1157" t="s">
        <v>110</v>
      </c>
      <c r="C1157" t="str">
        <f t="shared" si="54"/>
        <v>ffdfd3c0</v>
      </c>
      <c r="D1157" t="s">
        <v>111</v>
      </c>
      <c r="E1157">
        <v>18</v>
      </c>
      <c r="F1157">
        <v>1018</v>
      </c>
      <c r="G1157" t="s">
        <v>112</v>
      </c>
      <c r="J1157" t="s">
        <v>113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R1157" t="s">
        <v>114</v>
      </c>
      <c r="S1157" t="str">
        <f>"18:53:58.438"</f>
        <v>18:53:58.438</v>
      </c>
      <c r="T1157" t="str">
        <f>"18:53:58.438"</f>
        <v>18:53:58.438</v>
      </c>
      <c r="U1157" t="str">
        <f t="shared" si="55"/>
        <v>a1cdbe</v>
      </c>
      <c r="V1157">
        <v>0</v>
      </c>
      <c r="W1157">
        <v>0</v>
      </c>
      <c r="X1157">
        <v>1</v>
      </c>
      <c r="Y1157">
        <v>0</v>
      </c>
      <c r="Z1157">
        <v>0</v>
      </c>
      <c r="AB1157">
        <v>0</v>
      </c>
      <c r="AC1157">
        <v>9</v>
      </c>
      <c r="AD1157">
        <v>3</v>
      </c>
      <c r="AE1157">
        <v>0</v>
      </c>
      <c r="AF1157">
        <v>9</v>
      </c>
      <c r="AG1157" t="s">
        <v>158</v>
      </c>
      <c r="AH1157">
        <v>0</v>
      </c>
      <c r="AI1157">
        <v>3</v>
      </c>
      <c r="AJ1157">
        <v>1</v>
      </c>
      <c r="AK1157">
        <v>0</v>
      </c>
      <c r="AL1157" t="s">
        <v>2269</v>
      </c>
      <c r="AM1157">
        <v>46.836412000000003</v>
      </c>
      <c r="AN1157" t="s">
        <v>2270</v>
      </c>
      <c r="AO1157">
        <v>-122.59684300000001</v>
      </c>
      <c r="AP1157">
        <v>100</v>
      </c>
      <c r="AQ1157">
        <v>2000</v>
      </c>
      <c r="AR1157" t="s">
        <v>118</v>
      </c>
      <c r="AS1157">
        <v>-72</v>
      </c>
      <c r="AT1157">
        <v>-29</v>
      </c>
      <c r="AU1157">
        <v>0</v>
      </c>
      <c r="BC1157">
        <v>1200</v>
      </c>
      <c r="BD1157">
        <v>1</v>
      </c>
      <c r="BE1157" t="str">
        <f t="shared" si="56"/>
        <v xml:space="preserve">N215T   </v>
      </c>
      <c r="BF1157">
        <v>1</v>
      </c>
      <c r="BH1157">
        <v>0</v>
      </c>
      <c r="BI1157">
        <v>0</v>
      </c>
      <c r="BJ1157">
        <v>0</v>
      </c>
      <c r="BK1157">
        <v>2425</v>
      </c>
      <c r="BL1157">
        <v>425</v>
      </c>
      <c r="BM1157" t="s">
        <v>119</v>
      </c>
      <c r="BN1157">
        <v>1</v>
      </c>
      <c r="BO1157">
        <v>1</v>
      </c>
      <c r="BP1157">
        <v>1</v>
      </c>
      <c r="BQ1157">
        <v>0</v>
      </c>
      <c r="BT1157">
        <v>0</v>
      </c>
      <c r="BU1157">
        <v>0</v>
      </c>
      <c r="BV1157">
        <v>0</v>
      </c>
      <c r="CC1157" t="str">
        <f>"18:53:58.445"</f>
        <v>18:53:58.445</v>
      </c>
      <c r="CD1157" t="str">
        <f>"444836216"</f>
        <v>444836216</v>
      </c>
      <c r="CQ1157">
        <v>0</v>
      </c>
      <c r="CR1157">
        <v>2</v>
      </c>
      <c r="CS1157">
        <v>0</v>
      </c>
      <c r="CT1157">
        <v>2</v>
      </c>
      <c r="CU1157">
        <v>0</v>
      </c>
      <c r="CV1157">
        <v>5</v>
      </c>
      <c r="CW1157" t="s">
        <v>120</v>
      </c>
      <c r="CX1157">
        <v>261</v>
      </c>
      <c r="CY1157">
        <v>2</v>
      </c>
      <c r="CZ1157" t="s">
        <v>121</v>
      </c>
      <c r="DA1157" t="s">
        <v>122</v>
      </c>
      <c r="DD1157">
        <v>14884768</v>
      </c>
      <c r="DE1157" t="s">
        <v>123</v>
      </c>
    </row>
    <row r="1158" spans="1:109" x14ac:dyDescent="0.3">
      <c r="A1158" t="str">
        <f>"18:53:59.742"</f>
        <v>18:53:59.742</v>
      </c>
      <c r="B1158" t="s">
        <v>110</v>
      </c>
      <c r="C1158" t="str">
        <f t="shared" si="54"/>
        <v>ffdfd3c0</v>
      </c>
      <c r="D1158" t="s">
        <v>111</v>
      </c>
      <c r="E1158">
        <v>18</v>
      </c>
      <c r="F1158">
        <v>1018</v>
      </c>
      <c r="G1158" t="s">
        <v>112</v>
      </c>
      <c r="J1158" t="s">
        <v>113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R1158" t="s">
        <v>114</v>
      </c>
      <c r="S1158" t="str">
        <f>"18:53:59.523"</f>
        <v>18:53:59.523</v>
      </c>
      <c r="T1158" t="str">
        <f>"18:53:59.523"</f>
        <v>18:53:59.523</v>
      </c>
      <c r="U1158" t="str">
        <f t="shared" si="55"/>
        <v>a1cdbe</v>
      </c>
      <c r="V1158">
        <v>0</v>
      </c>
      <c r="W1158">
        <v>0</v>
      </c>
      <c r="X1158">
        <v>1</v>
      </c>
      <c r="Y1158">
        <v>0</v>
      </c>
      <c r="Z1158">
        <v>0</v>
      </c>
      <c r="AB1158">
        <v>0</v>
      </c>
      <c r="AC1158">
        <v>9</v>
      </c>
      <c r="AD1158">
        <v>3</v>
      </c>
      <c r="AE1158">
        <v>0</v>
      </c>
      <c r="AF1158">
        <v>9</v>
      </c>
      <c r="AG1158" t="s">
        <v>158</v>
      </c>
      <c r="AH1158">
        <v>0</v>
      </c>
      <c r="AI1158">
        <v>3</v>
      </c>
      <c r="AJ1158">
        <v>1</v>
      </c>
      <c r="AK1158">
        <v>0</v>
      </c>
      <c r="AL1158" t="s">
        <v>2271</v>
      </c>
      <c r="AM1158">
        <v>46.836261999999998</v>
      </c>
      <c r="AN1158" t="s">
        <v>2272</v>
      </c>
      <c r="AO1158">
        <v>-122.597337</v>
      </c>
      <c r="AP1158">
        <v>100</v>
      </c>
      <c r="AQ1158">
        <v>2000</v>
      </c>
      <c r="AR1158" t="s">
        <v>118</v>
      </c>
      <c r="AS1158">
        <v>-73</v>
      </c>
      <c r="AT1158">
        <v>-29</v>
      </c>
      <c r="AU1158">
        <v>128</v>
      </c>
      <c r="BC1158">
        <v>1200</v>
      </c>
      <c r="BD1158">
        <v>1</v>
      </c>
      <c r="BE1158" t="str">
        <f t="shared" si="56"/>
        <v xml:space="preserve">N215T   </v>
      </c>
      <c r="BF1158">
        <v>1</v>
      </c>
      <c r="BH1158">
        <v>0</v>
      </c>
      <c r="BI1158">
        <v>0</v>
      </c>
      <c r="BJ1158">
        <v>0</v>
      </c>
      <c r="BK1158">
        <v>2425</v>
      </c>
      <c r="BL1158">
        <v>425</v>
      </c>
      <c r="BM1158" t="s">
        <v>119</v>
      </c>
      <c r="BN1158">
        <v>1</v>
      </c>
      <c r="BO1158">
        <v>1</v>
      </c>
      <c r="BP1158">
        <v>1</v>
      </c>
      <c r="BQ1158">
        <v>0</v>
      </c>
      <c r="BT1158">
        <v>0</v>
      </c>
      <c r="BU1158">
        <v>0</v>
      </c>
      <c r="BV1158">
        <v>0</v>
      </c>
      <c r="CC1158" t="str">
        <f>"18:53:59.523"</f>
        <v>18:53:59.523</v>
      </c>
      <c r="CD1158" t="str">
        <f>"524729906"</f>
        <v>524729906</v>
      </c>
      <c r="CQ1158">
        <v>0</v>
      </c>
      <c r="CR1158">
        <v>2</v>
      </c>
      <c r="CS1158">
        <v>0</v>
      </c>
      <c r="CT1158">
        <v>2</v>
      </c>
      <c r="CU1158">
        <v>0</v>
      </c>
      <c r="CV1158">
        <v>6</v>
      </c>
      <c r="CW1158" t="s">
        <v>120</v>
      </c>
      <c r="CX1158">
        <v>261</v>
      </c>
      <c r="CY1158">
        <v>2</v>
      </c>
      <c r="CZ1158" t="s">
        <v>121</v>
      </c>
      <c r="DA1158" t="s">
        <v>122</v>
      </c>
      <c r="DD1158">
        <v>14885451</v>
      </c>
      <c r="DE1158" t="s">
        <v>123</v>
      </c>
    </row>
    <row r="1159" spans="1:109" x14ac:dyDescent="0.3">
      <c r="A1159" t="str">
        <f>"18:54:00.703"</f>
        <v>18:54:00.703</v>
      </c>
      <c r="B1159" t="s">
        <v>110</v>
      </c>
      <c r="C1159" t="str">
        <f t="shared" si="54"/>
        <v>ffdfd3c0</v>
      </c>
      <c r="D1159" t="s">
        <v>111</v>
      </c>
      <c r="E1159">
        <v>18</v>
      </c>
      <c r="F1159">
        <v>1018</v>
      </c>
      <c r="G1159" t="s">
        <v>112</v>
      </c>
      <c r="J1159" t="s">
        <v>113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R1159" t="s">
        <v>114</v>
      </c>
      <c r="S1159" t="str">
        <f>"18:54:00.422"</f>
        <v>18:54:00.422</v>
      </c>
      <c r="T1159" t="str">
        <f>"18:54:00.125"</f>
        <v>18:54:00.125</v>
      </c>
      <c r="U1159" t="str">
        <f t="shared" si="55"/>
        <v>a1cdbe</v>
      </c>
      <c r="V1159">
        <v>0</v>
      </c>
      <c r="W1159">
        <v>0</v>
      </c>
      <c r="X1159">
        <v>1</v>
      </c>
      <c r="Y1159">
        <v>0</v>
      </c>
      <c r="Z1159">
        <v>0</v>
      </c>
      <c r="AB1159">
        <v>0</v>
      </c>
      <c r="AC1159">
        <v>9</v>
      </c>
      <c r="AD1159">
        <v>3</v>
      </c>
      <c r="AE1159">
        <v>0</v>
      </c>
      <c r="AF1159">
        <v>9</v>
      </c>
      <c r="AG1159" t="s">
        <v>158</v>
      </c>
      <c r="AH1159">
        <v>0</v>
      </c>
      <c r="AI1159">
        <v>3</v>
      </c>
      <c r="AJ1159">
        <v>1</v>
      </c>
      <c r="AK1159">
        <v>0</v>
      </c>
      <c r="AL1159" t="s">
        <v>2273</v>
      </c>
      <c r="AM1159">
        <v>46.836132999999997</v>
      </c>
      <c r="AN1159" t="s">
        <v>2274</v>
      </c>
      <c r="AO1159">
        <v>-122.59776599999999</v>
      </c>
      <c r="AP1159">
        <v>100</v>
      </c>
      <c r="AQ1159">
        <v>2000</v>
      </c>
      <c r="AR1159" t="s">
        <v>118</v>
      </c>
      <c r="AS1159">
        <v>-73</v>
      </c>
      <c r="AT1159">
        <v>-29</v>
      </c>
      <c r="AU1159">
        <v>64</v>
      </c>
      <c r="BC1159">
        <v>1200</v>
      </c>
      <c r="BD1159">
        <v>1</v>
      </c>
      <c r="BE1159" t="str">
        <f t="shared" si="56"/>
        <v xml:space="preserve">N215T   </v>
      </c>
      <c r="BF1159">
        <v>1</v>
      </c>
      <c r="BH1159">
        <v>0</v>
      </c>
      <c r="BI1159">
        <v>0</v>
      </c>
      <c r="BJ1159">
        <v>0</v>
      </c>
      <c r="BK1159">
        <v>2425</v>
      </c>
      <c r="BL1159">
        <v>425</v>
      </c>
      <c r="BM1159" t="s">
        <v>119</v>
      </c>
      <c r="BN1159">
        <v>1</v>
      </c>
      <c r="BO1159">
        <v>1</v>
      </c>
      <c r="BP1159">
        <v>1</v>
      </c>
      <c r="BQ1159">
        <v>0</v>
      </c>
      <c r="BT1159">
        <v>0</v>
      </c>
      <c r="BU1159">
        <v>0</v>
      </c>
      <c r="BV1159">
        <v>0</v>
      </c>
      <c r="CC1159" t="str">
        <f>"18:54:00.422"</f>
        <v>18:54:00.422</v>
      </c>
      <c r="CD1159" t="str">
        <f>"424641307"</f>
        <v>424641307</v>
      </c>
      <c r="CQ1159">
        <v>0</v>
      </c>
      <c r="CR1159">
        <v>2</v>
      </c>
      <c r="CS1159">
        <v>0</v>
      </c>
      <c r="CT1159">
        <v>2</v>
      </c>
      <c r="CU1159">
        <v>0</v>
      </c>
      <c r="CV1159">
        <v>6</v>
      </c>
      <c r="CW1159" t="s">
        <v>120</v>
      </c>
      <c r="CX1159">
        <v>261</v>
      </c>
      <c r="CY1159">
        <v>2</v>
      </c>
      <c r="CZ1159" t="s">
        <v>121</v>
      </c>
      <c r="DA1159" t="s">
        <v>122</v>
      </c>
      <c r="DD1159">
        <v>14886016</v>
      </c>
      <c r="DE1159" t="s">
        <v>123</v>
      </c>
    </row>
    <row r="1160" spans="1:109" x14ac:dyDescent="0.3">
      <c r="A1160" t="str">
        <f>"18:54:01.703"</f>
        <v>18:54:01.703</v>
      </c>
      <c r="B1160" t="s">
        <v>110</v>
      </c>
      <c r="C1160" t="str">
        <f t="shared" si="54"/>
        <v>ffdfd3c0</v>
      </c>
      <c r="D1160" t="s">
        <v>111</v>
      </c>
      <c r="E1160">
        <v>18</v>
      </c>
      <c r="F1160">
        <v>1018</v>
      </c>
      <c r="G1160" t="s">
        <v>112</v>
      </c>
      <c r="J1160" t="s">
        <v>113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R1160" t="s">
        <v>114</v>
      </c>
      <c r="S1160" t="str">
        <f>"18:54:01.484"</f>
        <v>18:54:01.484</v>
      </c>
      <c r="T1160" t="str">
        <f>"18:54:01.188"</f>
        <v>18:54:01.188</v>
      </c>
      <c r="U1160" t="str">
        <f t="shared" si="55"/>
        <v>a1cdbe</v>
      </c>
      <c r="V1160">
        <v>0</v>
      </c>
      <c r="W1160">
        <v>0</v>
      </c>
      <c r="X1160">
        <v>1</v>
      </c>
      <c r="Y1160">
        <v>0</v>
      </c>
      <c r="Z1160">
        <v>0</v>
      </c>
      <c r="AB1160">
        <v>0</v>
      </c>
      <c r="AC1160">
        <v>9</v>
      </c>
      <c r="AD1160">
        <v>3</v>
      </c>
      <c r="AE1160">
        <v>0</v>
      </c>
      <c r="AF1160">
        <v>9</v>
      </c>
      <c r="AG1160" t="s">
        <v>158</v>
      </c>
      <c r="AH1160">
        <v>0</v>
      </c>
      <c r="AI1160">
        <v>3</v>
      </c>
      <c r="AJ1160">
        <v>1</v>
      </c>
      <c r="AK1160">
        <v>0</v>
      </c>
      <c r="AL1160" t="s">
        <v>2275</v>
      </c>
      <c r="AM1160">
        <v>46.835982999999999</v>
      </c>
      <c r="AN1160" t="s">
        <v>2276</v>
      </c>
      <c r="AO1160">
        <v>-122.598281</v>
      </c>
      <c r="AP1160">
        <v>100</v>
      </c>
      <c r="AQ1160">
        <v>2000</v>
      </c>
      <c r="AR1160" t="s">
        <v>118</v>
      </c>
      <c r="AS1160">
        <v>-73</v>
      </c>
      <c r="AT1160">
        <v>-29</v>
      </c>
      <c r="AU1160">
        <v>128</v>
      </c>
      <c r="BC1160">
        <v>1200</v>
      </c>
      <c r="BD1160">
        <v>1</v>
      </c>
      <c r="BE1160" t="str">
        <f t="shared" si="56"/>
        <v xml:space="preserve">N215T   </v>
      </c>
      <c r="BF1160">
        <v>1</v>
      </c>
      <c r="BH1160">
        <v>0</v>
      </c>
      <c r="BI1160">
        <v>0</v>
      </c>
      <c r="BJ1160">
        <v>0</v>
      </c>
      <c r="BK1160">
        <v>2425</v>
      </c>
      <c r="BL1160">
        <v>425</v>
      </c>
      <c r="BM1160" t="s">
        <v>119</v>
      </c>
      <c r="BN1160">
        <v>1</v>
      </c>
      <c r="BO1160">
        <v>1</v>
      </c>
      <c r="BP1160">
        <v>1</v>
      </c>
      <c r="BQ1160">
        <v>0</v>
      </c>
      <c r="BT1160">
        <v>0</v>
      </c>
      <c r="BU1160">
        <v>0</v>
      </c>
      <c r="BV1160">
        <v>0</v>
      </c>
      <c r="CC1160" t="str">
        <f>"18:54:01.492"</f>
        <v>18:54:01.492</v>
      </c>
      <c r="CD1160" t="str">
        <f>"489536475"</f>
        <v>489536475</v>
      </c>
      <c r="CQ1160">
        <v>0</v>
      </c>
      <c r="CR1160">
        <v>2</v>
      </c>
      <c r="CS1160">
        <v>0</v>
      </c>
      <c r="CT1160">
        <v>2</v>
      </c>
      <c r="CU1160">
        <v>0</v>
      </c>
      <c r="CV1160">
        <v>6</v>
      </c>
      <c r="CW1160" t="s">
        <v>120</v>
      </c>
      <c r="CX1160">
        <v>261</v>
      </c>
      <c r="CY1160">
        <v>2</v>
      </c>
      <c r="CZ1160" t="s">
        <v>121</v>
      </c>
      <c r="DA1160" t="s">
        <v>122</v>
      </c>
      <c r="DD1160">
        <v>14886679</v>
      </c>
      <c r="DE1160" t="s">
        <v>123</v>
      </c>
    </row>
    <row r="1161" spans="1:109" x14ac:dyDescent="0.3">
      <c r="A1161" t="str">
        <f>"18:54:02.711"</f>
        <v>18:54:02.711</v>
      </c>
      <c r="B1161" t="s">
        <v>110</v>
      </c>
      <c r="C1161" t="str">
        <f t="shared" si="54"/>
        <v>ffdfd3c0</v>
      </c>
      <c r="D1161" t="s">
        <v>111</v>
      </c>
      <c r="E1161">
        <v>18</v>
      </c>
      <c r="F1161">
        <v>1018</v>
      </c>
      <c r="G1161" t="s">
        <v>112</v>
      </c>
      <c r="J1161" t="s">
        <v>113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R1161" t="s">
        <v>114</v>
      </c>
      <c r="S1161" t="str">
        <f>"18:54:02.461"</f>
        <v>18:54:02.461</v>
      </c>
      <c r="T1161" t="str">
        <f>"18:54:02.461"</f>
        <v>18:54:02.461</v>
      </c>
      <c r="U1161" t="str">
        <f t="shared" si="55"/>
        <v>a1cdbe</v>
      </c>
      <c r="V1161">
        <v>0</v>
      </c>
      <c r="W1161">
        <v>0</v>
      </c>
      <c r="X1161">
        <v>1</v>
      </c>
      <c r="Y1161">
        <v>0</v>
      </c>
      <c r="Z1161">
        <v>0</v>
      </c>
      <c r="AB1161">
        <v>0</v>
      </c>
      <c r="AC1161">
        <v>9</v>
      </c>
      <c r="AD1161">
        <v>3</v>
      </c>
      <c r="AE1161">
        <v>0</v>
      </c>
      <c r="AF1161">
        <v>9</v>
      </c>
      <c r="AG1161" t="s">
        <v>158</v>
      </c>
      <c r="AH1161">
        <v>0</v>
      </c>
      <c r="AI1161">
        <v>3</v>
      </c>
      <c r="AJ1161">
        <v>1</v>
      </c>
      <c r="AK1161">
        <v>0</v>
      </c>
      <c r="AL1161" t="s">
        <v>2277</v>
      </c>
      <c r="AM1161">
        <v>46.835853999999998</v>
      </c>
      <c r="AN1161" t="s">
        <v>2278</v>
      </c>
      <c r="AO1161">
        <v>-122.59877400000001</v>
      </c>
      <c r="AP1161">
        <v>100</v>
      </c>
      <c r="AQ1161">
        <v>2000</v>
      </c>
      <c r="AR1161" t="s">
        <v>118</v>
      </c>
      <c r="AS1161">
        <v>-72</v>
      </c>
      <c r="AT1161">
        <v>-29</v>
      </c>
      <c r="AU1161">
        <v>128</v>
      </c>
      <c r="BC1161">
        <v>1200</v>
      </c>
      <c r="BD1161">
        <v>1</v>
      </c>
      <c r="BE1161" t="str">
        <f t="shared" si="56"/>
        <v xml:space="preserve">N215T   </v>
      </c>
      <c r="BF1161">
        <v>1</v>
      </c>
      <c r="BH1161">
        <v>0</v>
      </c>
      <c r="BI1161">
        <v>0</v>
      </c>
      <c r="BJ1161">
        <v>0</v>
      </c>
      <c r="BK1161">
        <v>2425</v>
      </c>
      <c r="BL1161">
        <v>425</v>
      </c>
      <c r="BM1161" t="s">
        <v>119</v>
      </c>
      <c r="BN1161">
        <v>1</v>
      </c>
      <c r="BO1161">
        <v>1</v>
      </c>
      <c r="BP1161">
        <v>1</v>
      </c>
      <c r="BQ1161">
        <v>0</v>
      </c>
      <c r="BT1161">
        <v>0</v>
      </c>
      <c r="BU1161">
        <v>0</v>
      </c>
      <c r="BV1161">
        <v>0</v>
      </c>
      <c r="CC1161" t="str">
        <f>"18:54:02.461"</f>
        <v>18:54:02.461</v>
      </c>
      <c r="CD1161" t="str">
        <f>"464440495"</f>
        <v>464440495</v>
      </c>
      <c r="CQ1161">
        <v>0</v>
      </c>
      <c r="CR1161">
        <v>2</v>
      </c>
      <c r="CS1161">
        <v>0</v>
      </c>
      <c r="CT1161">
        <v>2</v>
      </c>
      <c r="CU1161">
        <v>0</v>
      </c>
      <c r="CV1161">
        <v>6</v>
      </c>
      <c r="CW1161" t="s">
        <v>120</v>
      </c>
      <c r="CX1161">
        <v>261</v>
      </c>
      <c r="CY1161">
        <v>2</v>
      </c>
      <c r="CZ1161" t="s">
        <v>121</v>
      </c>
      <c r="DA1161" t="s">
        <v>122</v>
      </c>
      <c r="DD1161">
        <v>14887299</v>
      </c>
      <c r="DE1161" t="s">
        <v>123</v>
      </c>
    </row>
    <row r="1162" spans="1:109" x14ac:dyDescent="0.3">
      <c r="A1162" t="str">
        <f>"18:54:03.766"</f>
        <v>18:54:03.766</v>
      </c>
      <c r="B1162" t="s">
        <v>110</v>
      </c>
      <c r="C1162" t="str">
        <f t="shared" si="54"/>
        <v>ffdfd3c0</v>
      </c>
      <c r="D1162" t="s">
        <v>111</v>
      </c>
      <c r="E1162">
        <v>18</v>
      </c>
      <c r="F1162">
        <v>1018</v>
      </c>
      <c r="G1162" t="s">
        <v>112</v>
      </c>
      <c r="J1162" t="s">
        <v>113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R1162" t="s">
        <v>114</v>
      </c>
      <c r="S1162" t="str">
        <f>"18:54:03.523"</f>
        <v>18:54:03.523</v>
      </c>
      <c r="T1162" t="str">
        <f>"18:54:03.523"</f>
        <v>18:54:03.523</v>
      </c>
      <c r="U1162" t="str">
        <f t="shared" si="55"/>
        <v>a1cdbe</v>
      </c>
      <c r="V1162">
        <v>0</v>
      </c>
      <c r="W1162">
        <v>0</v>
      </c>
      <c r="X1162">
        <v>1</v>
      </c>
      <c r="Y1162">
        <v>0</v>
      </c>
      <c r="Z1162">
        <v>0</v>
      </c>
      <c r="AB1162">
        <v>0</v>
      </c>
      <c r="AC1162">
        <v>9</v>
      </c>
      <c r="AD1162">
        <v>3</v>
      </c>
      <c r="AE1162">
        <v>0</v>
      </c>
      <c r="AF1162">
        <v>9</v>
      </c>
      <c r="AG1162" t="s">
        <v>158</v>
      </c>
      <c r="AH1162">
        <v>0</v>
      </c>
      <c r="AI1162">
        <v>3</v>
      </c>
      <c r="AJ1162">
        <v>1</v>
      </c>
      <c r="AK1162">
        <v>0</v>
      </c>
      <c r="AL1162" t="s">
        <v>2279</v>
      </c>
      <c r="AM1162">
        <v>46.835704</v>
      </c>
      <c r="AN1162" t="s">
        <v>2280</v>
      </c>
      <c r="AO1162">
        <v>-122.59924700000001</v>
      </c>
      <c r="AP1162">
        <v>100</v>
      </c>
      <c r="AQ1162">
        <v>2000</v>
      </c>
      <c r="AR1162" t="s">
        <v>118</v>
      </c>
      <c r="AS1162">
        <v>-72</v>
      </c>
      <c r="AT1162">
        <v>-28</v>
      </c>
      <c r="AU1162">
        <v>-128</v>
      </c>
      <c r="BC1162">
        <v>1200</v>
      </c>
      <c r="BD1162">
        <v>1</v>
      </c>
      <c r="BE1162" t="str">
        <f t="shared" si="56"/>
        <v xml:space="preserve">N215T   </v>
      </c>
      <c r="BF1162">
        <v>1</v>
      </c>
      <c r="BH1162">
        <v>0</v>
      </c>
      <c r="BI1162">
        <v>0</v>
      </c>
      <c r="BJ1162">
        <v>0</v>
      </c>
      <c r="BK1162">
        <v>2425</v>
      </c>
      <c r="BL1162">
        <v>425</v>
      </c>
      <c r="BM1162" t="s">
        <v>119</v>
      </c>
      <c r="BN1162">
        <v>1</v>
      </c>
      <c r="BO1162">
        <v>1</v>
      </c>
      <c r="BP1162">
        <v>1</v>
      </c>
      <c r="BQ1162">
        <v>0</v>
      </c>
      <c r="BT1162">
        <v>0</v>
      </c>
      <c r="BU1162">
        <v>0</v>
      </c>
      <c r="BV1162">
        <v>0</v>
      </c>
      <c r="CC1162" t="str">
        <f>"18:54:03.531"</f>
        <v>18:54:03.531</v>
      </c>
      <c r="CD1162" t="str">
        <f>"529335655"</f>
        <v>529335655</v>
      </c>
      <c r="CQ1162">
        <v>0</v>
      </c>
      <c r="CR1162">
        <v>2</v>
      </c>
      <c r="CS1162">
        <v>0</v>
      </c>
      <c r="CT1162">
        <v>2</v>
      </c>
      <c r="CU1162">
        <v>0</v>
      </c>
      <c r="CV1162">
        <v>6</v>
      </c>
      <c r="CW1162" t="s">
        <v>120</v>
      </c>
      <c r="CX1162">
        <v>261</v>
      </c>
      <c r="CY1162">
        <v>2</v>
      </c>
      <c r="CZ1162" t="s">
        <v>121</v>
      </c>
      <c r="DA1162" t="s">
        <v>122</v>
      </c>
      <c r="DD1162">
        <v>14887971</v>
      </c>
      <c r="DE1162" t="s">
        <v>123</v>
      </c>
    </row>
    <row r="1163" spans="1:109" x14ac:dyDescent="0.3">
      <c r="A1163" t="str">
        <f>"18:54:04.820"</f>
        <v>18:54:04.820</v>
      </c>
      <c r="B1163" t="s">
        <v>110</v>
      </c>
      <c r="C1163" t="str">
        <f t="shared" si="54"/>
        <v>ffdfd3c0</v>
      </c>
      <c r="D1163" t="s">
        <v>111</v>
      </c>
      <c r="E1163">
        <v>18</v>
      </c>
      <c r="F1163">
        <v>1018</v>
      </c>
      <c r="G1163" t="s">
        <v>112</v>
      </c>
      <c r="J1163" t="s">
        <v>113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R1163" t="s">
        <v>114</v>
      </c>
      <c r="S1163" t="str">
        <f>"18:54:04.578"</f>
        <v>18:54:04.578</v>
      </c>
      <c r="T1163" t="str">
        <f>"18:54:04.578"</f>
        <v>18:54:04.578</v>
      </c>
      <c r="U1163" t="str">
        <f t="shared" si="55"/>
        <v>a1cdbe</v>
      </c>
      <c r="V1163">
        <v>0</v>
      </c>
      <c r="W1163">
        <v>0</v>
      </c>
      <c r="X1163">
        <v>1</v>
      </c>
      <c r="Y1163">
        <v>0</v>
      </c>
      <c r="Z1163">
        <v>0</v>
      </c>
      <c r="AB1163">
        <v>0</v>
      </c>
      <c r="AC1163">
        <v>9</v>
      </c>
      <c r="AD1163">
        <v>3</v>
      </c>
      <c r="AE1163">
        <v>0</v>
      </c>
      <c r="AF1163">
        <v>9</v>
      </c>
      <c r="AG1163" t="s">
        <v>158</v>
      </c>
      <c r="AH1163">
        <v>0</v>
      </c>
      <c r="AI1163">
        <v>3</v>
      </c>
      <c r="AJ1163">
        <v>1</v>
      </c>
      <c r="AK1163">
        <v>0</v>
      </c>
      <c r="AL1163" t="s">
        <v>2281</v>
      </c>
      <c r="AM1163">
        <v>46.835597</v>
      </c>
      <c r="AN1163" t="s">
        <v>2282</v>
      </c>
      <c r="AO1163">
        <v>-122.59980400000001</v>
      </c>
      <c r="AP1163">
        <v>100</v>
      </c>
      <c r="AQ1163">
        <v>2000</v>
      </c>
      <c r="AR1163" t="s">
        <v>118</v>
      </c>
      <c r="AS1163">
        <v>-73</v>
      </c>
      <c r="AT1163">
        <v>-27</v>
      </c>
      <c r="AU1163">
        <v>-192</v>
      </c>
      <c r="BC1163">
        <v>1200</v>
      </c>
      <c r="BD1163">
        <v>1</v>
      </c>
      <c r="BE1163" t="str">
        <f t="shared" si="56"/>
        <v xml:space="preserve">N215T   </v>
      </c>
      <c r="BF1163">
        <v>1</v>
      </c>
      <c r="BH1163">
        <v>0</v>
      </c>
      <c r="BI1163">
        <v>0</v>
      </c>
      <c r="BJ1163">
        <v>0</v>
      </c>
      <c r="BK1163">
        <v>2425</v>
      </c>
      <c r="BL1163">
        <v>425</v>
      </c>
      <c r="BM1163" t="s">
        <v>119</v>
      </c>
      <c r="BN1163">
        <v>1</v>
      </c>
      <c r="BO1163">
        <v>1</v>
      </c>
      <c r="BP1163">
        <v>1</v>
      </c>
      <c r="BQ1163">
        <v>0</v>
      </c>
      <c r="BT1163">
        <v>0</v>
      </c>
      <c r="BU1163">
        <v>0</v>
      </c>
      <c r="BV1163">
        <v>0</v>
      </c>
      <c r="CC1163" t="str">
        <f>"18:54:04.578"</f>
        <v>18:54:04.578</v>
      </c>
      <c r="CD1163" t="str">
        <f>"579232297"</f>
        <v>579232297</v>
      </c>
      <c r="CQ1163">
        <v>0</v>
      </c>
      <c r="CR1163">
        <v>2</v>
      </c>
      <c r="CS1163">
        <v>0</v>
      </c>
      <c r="CT1163">
        <v>2</v>
      </c>
      <c r="CU1163">
        <v>0</v>
      </c>
      <c r="CV1163">
        <v>6</v>
      </c>
      <c r="CW1163" t="s">
        <v>120</v>
      </c>
      <c r="CX1163">
        <v>261</v>
      </c>
      <c r="CY1163">
        <v>2</v>
      </c>
      <c r="CZ1163" t="s">
        <v>121</v>
      </c>
      <c r="DA1163" t="s">
        <v>122</v>
      </c>
      <c r="DD1163">
        <v>14888628</v>
      </c>
      <c r="DE1163" t="s">
        <v>123</v>
      </c>
    </row>
    <row r="1164" spans="1:109" x14ac:dyDescent="0.3">
      <c r="A1164" t="str">
        <f>"18:54:05.727"</f>
        <v>18:54:05.727</v>
      </c>
      <c r="B1164" t="s">
        <v>110</v>
      </c>
      <c r="C1164" t="str">
        <f t="shared" si="54"/>
        <v>ffdfd3c0</v>
      </c>
      <c r="D1164" t="s">
        <v>111</v>
      </c>
      <c r="E1164">
        <v>18</v>
      </c>
      <c r="F1164">
        <v>1018</v>
      </c>
      <c r="G1164" t="s">
        <v>112</v>
      </c>
      <c r="J1164" t="s">
        <v>113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R1164" t="s">
        <v>114</v>
      </c>
      <c r="S1164" t="str">
        <f>"18:54:05.445"</f>
        <v>18:54:05.445</v>
      </c>
      <c r="T1164" t="str">
        <f>"18:54:05.445"</f>
        <v>18:54:05.445</v>
      </c>
      <c r="U1164" t="str">
        <f t="shared" si="55"/>
        <v>a1cdbe</v>
      </c>
      <c r="V1164">
        <v>0</v>
      </c>
      <c r="W1164">
        <v>0</v>
      </c>
      <c r="X1164">
        <v>1</v>
      </c>
      <c r="Y1164">
        <v>0</v>
      </c>
      <c r="Z1164">
        <v>0</v>
      </c>
      <c r="AB1164">
        <v>0</v>
      </c>
      <c r="AC1164">
        <v>9</v>
      </c>
      <c r="AD1164">
        <v>3</v>
      </c>
      <c r="AE1164">
        <v>0</v>
      </c>
      <c r="AF1164">
        <v>9</v>
      </c>
      <c r="AG1164" t="s">
        <v>158</v>
      </c>
      <c r="AH1164">
        <v>0</v>
      </c>
      <c r="AI1164">
        <v>3</v>
      </c>
      <c r="AJ1164">
        <v>1</v>
      </c>
      <c r="AK1164">
        <v>0</v>
      </c>
      <c r="AL1164" t="s">
        <v>2283</v>
      </c>
      <c r="AM1164">
        <v>46.835467999999999</v>
      </c>
      <c r="AN1164" t="s">
        <v>2284</v>
      </c>
      <c r="AO1164">
        <v>-122.600212</v>
      </c>
      <c r="AP1164">
        <v>100</v>
      </c>
      <c r="AQ1164">
        <v>2000</v>
      </c>
      <c r="AR1164" t="s">
        <v>118</v>
      </c>
      <c r="AS1164">
        <v>-73</v>
      </c>
      <c r="AT1164">
        <v>-27</v>
      </c>
      <c r="AU1164">
        <v>-128</v>
      </c>
      <c r="BC1164">
        <v>1200</v>
      </c>
      <c r="BD1164">
        <v>1</v>
      </c>
      <c r="BE1164" t="str">
        <f t="shared" si="56"/>
        <v xml:space="preserve">N215T   </v>
      </c>
      <c r="BF1164">
        <v>1</v>
      </c>
      <c r="BH1164">
        <v>0</v>
      </c>
      <c r="BI1164">
        <v>0</v>
      </c>
      <c r="BJ1164">
        <v>0</v>
      </c>
      <c r="BK1164">
        <v>2400</v>
      </c>
      <c r="BL1164">
        <v>400</v>
      </c>
      <c r="BM1164" t="s">
        <v>119</v>
      </c>
      <c r="BN1164">
        <v>1</v>
      </c>
      <c r="BO1164">
        <v>1</v>
      </c>
      <c r="BP1164">
        <v>1</v>
      </c>
      <c r="BQ1164">
        <v>0</v>
      </c>
      <c r="BT1164">
        <v>0</v>
      </c>
      <c r="BU1164">
        <v>0</v>
      </c>
      <c r="BV1164">
        <v>0</v>
      </c>
      <c r="CC1164" t="str">
        <f>"18:54:05.445"</f>
        <v>18:54:05.445</v>
      </c>
      <c r="CD1164" t="str">
        <f>"449146654"</f>
        <v>449146654</v>
      </c>
      <c r="CQ1164">
        <v>0</v>
      </c>
      <c r="CR1164">
        <v>2</v>
      </c>
      <c r="CS1164">
        <v>0</v>
      </c>
      <c r="CT1164">
        <v>2</v>
      </c>
      <c r="CU1164">
        <v>0</v>
      </c>
      <c r="CV1164">
        <v>6</v>
      </c>
      <c r="CW1164" t="s">
        <v>120</v>
      </c>
      <c r="CX1164">
        <v>261</v>
      </c>
      <c r="CY1164">
        <v>2</v>
      </c>
      <c r="CZ1164" t="s">
        <v>121</v>
      </c>
      <c r="DA1164" t="s">
        <v>122</v>
      </c>
      <c r="DD1164">
        <v>14889156</v>
      </c>
      <c r="DE1164" t="s">
        <v>123</v>
      </c>
    </row>
    <row r="1165" spans="1:109" x14ac:dyDescent="0.3">
      <c r="A1165" t="str">
        <f>"18:54:06.680"</f>
        <v>18:54:06.680</v>
      </c>
      <c r="B1165" t="s">
        <v>110</v>
      </c>
      <c r="C1165" t="str">
        <f t="shared" si="54"/>
        <v>ffdfd3c0</v>
      </c>
      <c r="D1165" t="s">
        <v>111</v>
      </c>
      <c r="E1165">
        <v>18</v>
      </c>
      <c r="F1165">
        <v>1018</v>
      </c>
      <c r="G1165" t="s">
        <v>112</v>
      </c>
      <c r="J1165" t="s">
        <v>113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R1165" t="s">
        <v>114</v>
      </c>
      <c r="S1165" t="str">
        <f>"18:54:06.469"</f>
        <v>18:54:06.469</v>
      </c>
      <c r="T1165" t="str">
        <f>"18:54:06.469"</f>
        <v>18:54:06.469</v>
      </c>
      <c r="U1165" t="str">
        <f t="shared" si="55"/>
        <v>a1cdbe</v>
      </c>
      <c r="V1165">
        <v>0</v>
      </c>
      <c r="W1165">
        <v>0</v>
      </c>
      <c r="X1165">
        <v>1</v>
      </c>
      <c r="Y1165">
        <v>0</v>
      </c>
      <c r="Z1165">
        <v>0</v>
      </c>
      <c r="AB1165">
        <v>0</v>
      </c>
      <c r="AC1165">
        <v>9</v>
      </c>
      <c r="AD1165">
        <v>3</v>
      </c>
      <c r="AE1165">
        <v>0</v>
      </c>
      <c r="AF1165">
        <v>9</v>
      </c>
      <c r="AG1165" t="s">
        <v>158</v>
      </c>
      <c r="AH1165">
        <v>0</v>
      </c>
      <c r="AI1165">
        <v>3</v>
      </c>
      <c r="AJ1165">
        <v>1</v>
      </c>
      <c r="AK1165">
        <v>0</v>
      </c>
      <c r="AL1165" t="s">
        <v>2285</v>
      </c>
      <c r="AM1165">
        <v>46.835360999999999</v>
      </c>
      <c r="AN1165" t="s">
        <v>2286</v>
      </c>
      <c r="AO1165">
        <v>-122.60072700000001</v>
      </c>
      <c r="AP1165">
        <v>100</v>
      </c>
      <c r="AQ1165">
        <v>2000</v>
      </c>
      <c r="AR1165" t="s">
        <v>118</v>
      </c>
      <c r="AS1165">
        <v>-73</v>
      </c>
      <c r="AT1165">
        <v>-27</v>
      </c>
      <c r="AU1165">
        <v>-128</v>
      </c>
      <c r="BC1165">
        <v>1200</v>
      </c>
      <c r="BD1165">
        <v>1</v>
      </c>
      <c r="BE1165" t="str">
        <f t="shared" si="56"/>
        <v xml:space="preserve">N215T   </v>
      </c>
      <c r="BF1165">
        <v>1</v>
      </c>
      <c r="BH1165">
        <v>0</v>
      </c>
      <c r="BI1165">
        <v>0</v>
      </c>
      <c r="BJ1165">
        <v>0</v>
      </c>
      <c r="BK1165">
        <v>2400</v>
      </c>
      <c r="BL1165">
        <v>400</v>
      </c>
      <c r="BM1165" t="s">
        <v>119</v>
      </c>
      <c r="BN1165">
        <v>1</v>
      </c>
      <c r="BO1165">
        <v>1</v>
      </c>
      <c r="BP1165">
        <v>1</v>
      </c>
      <c r="BQ1165">
        <v>0</v>
      </c>
      <c r="BT1165">
        <v>0</v>
      </c>
      <c r="BU1165">
        <v>0</v>
      </c>
      <c r="BV1165">
        <v>0</v>
      </c>
      <c r="CC1165" t="str">
        <f>"18:54:06.469"</f>
        <v>18:54:06.469</v>
      </c>
      <c r="CD1165" t="str">
        <f>"469046250"</f>
        <v>469046250</v>
      </c>
      <c r="CQ1165">
        <v>0</v>
      </c>
      <c r="CR1165">
        <v>2</v>
      </c>
      <c r="CS1165">
        <v>0</v>
      </c>
      <c r="CT1165">
        <v>2</v>
      </c>
      <c r="CU1165">
        <v>0</v>
      </c>
      <c r="CV1165">
        <v>6</v>
      </c>
      <c r="CW1165" t="s">
        <v>120</v>
      </c>
      <c r="CX1165">
        <v>261</v>
      </c>
      <c r="CY1165">
        <v>2</v>
      </c>
      <c r="CZ1165" t="s">
        <v>121</v>
      </c>
      <c r="DA1165" t="s">
        <v>122</v>
      </c>
      <c r="DD1165">
        <v>14889810</v>
      </c>
      <c r="DE1165" t="s">
        <v>123</v>
      </c>
    </row>
    <row r="1166" spans="1:109" x14ac:dyDescent="0.3">
      <c r="A1166" t="str">
        <f>"18:54:07.734"</f>
        <v>18:54:07.734</v>
      </c>
      <c r="B1166" t="s">
        <v>110</v>
      </c>
      <c r="C1166" t="str">
        <f t="shared" si="54"/>
        <v>ffdfd3c0</v>
      </c>
      <c r="D1166" t="s">
        <v>111</v>
      </c>
      <c r="E1166">
        <v>18</v>
      </c>
      <c r="F1166">
        <v>1018</v>
      </c>
      <c r="G1166" t="s">
        <v>112</v>
      </c>
      <c r="J1166" t="s">
        <v>113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R1166" t="s">
        <v>114</v>
      </c>
      <c r="S1166" t="str">
        <f>"18:54:07.500"</f>
        <v>18:54:07.500</v>
      </c>
      <c r="T1166" t="str">
        <f>"18:54:07.398"</f>
        <v>18:54:07.398</v>
      </c>
      <c r="U1166" t="str">
        <f t="shared" si="55"/>
        <v>a1cdbe</v>
      </c>
      <c r="V1166">
        <v>0</v>
      </c>
      <c r="W1166">
        <v>0</v>
      </c>
      <c r="X1166">
        <v>1</v>
      </c>
      <c r="Y1166">
        <v>0</v>
      </c>
      <c r="Z1166">
        <v>0</v>
      </c>
      <c r="AB1166">
        <v>0</v>
      </c>
      <c r="AC1166">
        <v>9</v>
      </c>
      <c r="AD1166">
        <v>3</v>
      </c>
      <c r="AE1166">
        <v>0</v>
      </c>
      <c r="AF1166">
        <v>9</v>
      </c>
      <c r="AG1166" t="s">
        <v>158</v>
      </c>
      <c r="AH1166">
        <v>0</v>
      </c>
      <c r="AI1166">
        <v>3</v>
      </c>
      <c r="AJ1166">
        <v>1</v>
      </c>
      <c r="AK1166">
        <v>0</v>
      </c>
      <c r="AL1166" t="s">
        <v>2287</v>
      </c>
      <c r="AM1166">
        <v>46.835231999999998</v>
      </c>
      <c r="AN1166" t="s">
        <v>2288</v>
      </c>
      <c r="AO1166">
        <v>-122.601242</v>
      </c>
      <c r="AP1166">
        <v>100</v>
      </c>
      <c r="AQ1166">
        <v>2000</v>
      </c>
      <c r="AR1166" t="s">
        <v>118</v>
      </c>
      <c r="AS1166">
        <v>-73</v>
      </c>
      <c r="AT1166">
        <v>-27</v>
      </c>
      <c r="AU1166">
        <v>0</v>
      </c>
      <c r="BC1166">
        <v>1200</v>
      </c>
      <c r="BD1166">
        <v>1</v>
      </c>
      <c r="BE1166" t="str">
        <f t="shared" si="56"/>
        <v xml:space="preserve">N215T   </v>
      </c>
      <c r="BF1166">
        <v>1</v>
      </c>
      <c r="BH1166">
        <v>0</v>
      </c>
      <c r="BI1166">
        <v>0</v>
      </c>
      <c r="BJ1166">
        <v>0</v>
      </c>
      <c r="BK1166">
        <v>2400</v>
      </c>
      <c r="BL1166">
        <v>400</v>
      </c>
      <c r="BM1166" t="s">
        <v>119</v>
      </c>
      <c r="BN1166">
        <v>1</v>
      </c>
      <c r="BO1166">
        <v>1</v>
      </c>
      <c r="BP1166">
        <v>1</v>
      </c>
      <c r="BQ1166">
        <v>0</v>
      </c>
      <c r="BT1166">
        <v>0</v>
      </c>
      <c r="BU1166">
        <v>0</v>
      </c>
      <c r="BV1166">
        <v>0</v>
      </c>
      <c r="CC1166" t="str">
        <f>"18:54:07.508"</f>
        <v>18:54:07.508</v>
      </c>
      <c r="CD1166" t="str">
        <f>"503944348"</f>
        <v>503944348</v>
      </c>
      <c r="CQ1166">
        <v>0</v>
      </c>
      <c r="CR1166">
        <v>2</v>
      </c>
      <c r="CS1166">
        <v>0</v>
      </c>
      <c r="CT1166">
        <v>2</v>
      </c>
      <c r="CU1166">
        <v>0</v>
      </c>
      <c r="CV1166">
        <v>6</v>
      </c>
      <c r="CW1166" t="s">
        <v>120</v>
      </c>
      <c r="CX1166">
        <v>261</v>
      </c>
      <c r="CY1166">
        <v>2</v>
      </c>
      <c r="CZ1166" t="s">
        <v>121</v>
      </c>
      <c r="DA1166" t="s">
        <v>122</v>
      </c>
      <c r="DD1166">
        <v>14890540</v>
      </c>
      <c r="DE1166" t="s">
        <v>123</v>
      </c>
    </row>
    <row r="1167" spans="1:109" x14ac:dyDescent="0.3">
      <c r="A1167" t="str">
        <f>"18:54:08.891"</f>
        <v>18:54:08.891</v>
      </c>
      <c r="B1167" t="s">
        <v>110</v>
      </c>
      <c r="C1167" t="str">
        <f t="shared" si="54"/>
        <v>ffdfd3c0</v>
      </c>
      <c r="D1167" t="s">
        <v>111</v>
      </c>
      <c r="E1167">
        <v>18</v>
      </c>
      <c r="F1167">
        <v>1018</v>
      </c>
      <c r="G1167" t="s">
        <v>112</v>
      </c>
      <c r="J1167" t="s">
        <v>113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R1167" t="s">
        <v>114</v>
      </c>
      <c r="S1167" t="str">
        <f>"18:54:08.641"</f>
        <v>18:54:08.641</v>
      </c>
      <c r="T1167" t="str">
        <f>"18:54:08.438"</f>
        <v>18:54:08.438</v>
      </c>
      <c r="U1167" t="str">
        <f t="shared" si="55"/>
        <v>a1cdbe</v>
      </c>
      <c r="V1167">
        <v>0</v>
      </c>
      <c r="W1167">
        <v>0</v>
      </c>
      <c r="X1167">
        <v>1</v>
      </c>
      <c r="Y1167">
        <v>0</v>
      </c>
      <c r="Z1167">
        <v>0</v>
      </c>
      <c r="AB1167">
        <v>0</v>
      </c>
      <c r="AC1167">
        <v>9</v>
      </c>
      <c r="AD1167">
        <v>3</v>
      </c>
      <c r="AE1167">
        <v>0</v>
      </c>
      <c r="AF1167">
        <v>9</v>
      </c>
      <c r="AG1167" t="s">
        <v>158</v>
      </c>
      <c r="AH1167">
        <v>0</v>
      </c>
      <c r="AI1167">
        <v>3</v>
      </c>
      <c r="AJ1167">
        <v>1</v>
      </c>
      <c r="AK1167">
        <v>0</v>
      </c>
      <c r="AL1167" t="s">
        <v>2289</v>
      </c>
      <c r="AM1167">
        <v>46.835039000000002</v>
      </c>
      <c r="AN1167" t="s">
        <v>2290</v>
      </c>
      <c r="AO1167">
        <v>-122.6018</v>
      </c>
      <c r="AP1167">
        <v>100</v>
      </c>
      <c r="AQ1167">
        <v>2000</v>
      </c>
      <c r="AR1167" t="s">
        <v>118</v>
      </c>
      <c r="AS1167">
        <v>-73</v>
      </c>
      <c r="AT1167">
        <v>-28</v>
      </c>
      <c r="AU1167">
        <v>64</v>
      </c>
      <c r="BC1167">
        <v>1200</v>
      </c>
      <c r="BD1167">
        <v>1</v>
      </c>
      <c r="BE1167" t="str">
        <f t="shared" si="56"/>
        <v xml:space="preserve">N215T   </v>
      </c>
      <c r="BF1167">
        <v>1</v>
      </c>
      <c r="BH1167">
        <v>0</v>
      </c>
      <c r="BI1167">
        <v>0</v>
      </c>
      <c r="BJ1167">
        <v>0</v>
      </c>
      <c r="BK1167">
        <v>2400</v>
      </c>
      <c r="BL1167">
        <v>400</v>
      </c>
      <c r="BM1167" t="s">
        <v>119</v>
      </c>
      <c r="BN1167">
        <v>1</v>
      </c>
      <c r="BO1167">
        <v>1</v>
      </c>
      <c r="BP1167">
        <v>1</v>
      </c>
      <c r="BQ1167">
        <v>0</v>
      </c>
      <c r="BT1167">
        <v>0</v>
      </c>
      <c r="BU1167">
        <v>0</v>
      </c>
      <c r="BV1167">
        <v>0</v>
      </c>
      <c r="CC1167" t="str">
        <f>"18:54:08.641"</f>
        <v>18:54:08.641</v>
      </c>
      <c r="CD1167" t="str">
        <f>"643832145"</f>
        <v>643832145</v>
      </c>
      <c r="CQ1167">
        <v>0</v>
      </c>
      <c r="CR1167">
        <v>2</v>
      </c>
      <c r="CS1167">
        <v>0</v>
      </c>
      <c r="CT1167">
        <v>2</v>
      </c>
      <c r="CU1167">
        <v>0</v>
      </c>
      <c r="CV1167">
        <v>6</v>
      </c>
      <c r="CW1167" t="s">
        <v>120</v>
      </c>
      <c r="CX1167">
        <v>261</v>
      </c>
      <c r="CY1167">
        <v>2</v>
      </c>
      <c r="CZ1167" t="s">
        <v>121</v>
      </c>
      <c r="DA1167" t="s">
        <v>122</v>
      </c>
      <c r="DD1167">
        <v>14891282</v>
      </c>
      <c r="DE1167" t="s">
        <v>123</v>
      </c>
    </row>
    <row r="1168" spans="1:109" x14ac:dyDescent="0.3">
      <c r="A1168" t="str">
        <f>"18:54:09.898"</f>
        <v>18:54:09.898</v>
      </c>
      <c r="B1168" t="s">
        <v>110</v>
      </c>
      <c r="C1168" t="str">
        <f t="shared" si="54"/>
        <v>ffdfd3c0</v>
      </c>
      <c r="D1168" t="s">
        <v>111</v>
      </c>
      <c r="E1168">
        <v>18</v>
      </c>
      <c r="F1168">
        <v>1018</v>
      </c>
      <c r="G1168" t="s">
        <v>112</v>
      </c>
      <c r="J1168" t="s">
        <v>113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R1168" t="s">
        <v>114</v>
      </c>
      <c r="S1168" t="str">
        <f>"18:54:09.617"</f>
        <v>18:54:09.617</v>
      </c>
      <c r="T1168" t="str">
        <f>"18:54:09.516"</f>
        <v>18:54:09.516</v>
      </c>
      <c r="U1168" t="str">
        <f t="shared" si="55"/>
        <v>a1cdbe</v>
      </c>
      <c r="V1168">
        <v>0</v>
      </c>
      <c r="W1168">
        <v>0</v>
      </c>
      <c r="X1168">
        <v>1</v>
      </c>
      <c r="Y1168">
        <v>0</v>
      </c>
      <c r="Z1168">
        <v>0</v>
      </c>
      <c r="AB1168">
        <v>0</v>
      </c>
      <c r="AC1168">
        <v>9</v>
      </c>
      <c r="AD1168">
        <v>3</v>
      </c>
      <c r="AE1168">
        <v>0</v>
      </c>
      <c r="AF1168">
        <v>9</v>
      </c>
      <c r="AG1168" t="s">
        <v>158</v>
      </c>
      <c r="AH1168">
        <v>0</v>
      </c>
      <c r="AI1168">
        <v>3</v>
      </c>
      <c r="AJ1168">
        <v>1</v>
      </c>
      <c r="AK1168">
        <v>0</v>
      </c>
      <c r="AL1168" t="s">
        <v>2291</v>
      </c>
      <c r="AM1168">
        <v>46.834952999999999</v>
      </c>
      <c r="AN1168" t="s">
        <v>2292</v>
      </c>
      <c r="AO1168">
        <v>-122.602272</v>
      </c>
      <c r="AP1168">
        <v>100</v>
      </c>
      <c r="AQ1168">
        <v>2000</v>
      </c>
      <c r="AR1168" t="s">
        <v>118</v>
      </c>
      <c r="AS1168">
        <v>-73</v>
      </c>
      <c r="AT1168">
        <v>-29</v>
      </c>
      <c r="AU1168">
        <v>0</v>
      </c>
      <c r="BC1168">
        <v>1200</v>
      </c>
      <c r="BD1168">
        <v>1</v>
      </c>
      <c r="BE1168" t="str">
        <f t="shared" si="56"/>
        <v xml:space="preserve">N215T   </v>
      </c>
      <c r="BF1168">
        <v>1</v>
      </c>
      <c r="BH1168">
        <v>0</v>
      </c>
      <c r="BI1168">
        <v>0</v>
      </c>
      <c r="BJ1168">
        <v>0</v>
      </c>
      <c r="BK1168">
        <v>2400</v>
      </c>
      <c r="BL1168">
        <v>400</v>
      </c>
      <c r="BM1168" t="s">
        <v>119</v>
      </c>
      <c r="BN1168">
        <v>1</v>
      </c>
      <c r="BO1168">
        <v>1</v>
      </c>
      <c r="BP1168">
        <v>1</v>
      </c>
      <c r="BQ1168">
        <v>0</v>
      </c>
      <c r="BT1168">
        <v>0</v>
      </c>
      <c r="BU1168">
        <v>0</v>
      </c>
      <c r="BV1168">
        <v>0</v>
      </c>
      <c r="CC1168" t="str">
        <f>"18:54:09.617"</f>
        <v>18:54:09.617</v>
      </c>
      <c r="CD1168" t="str">
        <f>"618736164"</f>
        <v>618736164</v>
      </c>
      <c r="CQ1168">
        <v>0</v>
      </c>
      <c r="CR1168">
        <v>2</v>
      </c>
      <c r="CS1168">
        <v>0</v>
      </c>
      <c r="CT1168">
        <v>2</v>
      </c>
      <c r="CU1168">
        <v>0</v>
      </c>
      <c r="CV1168">
        <v>5</v>
      </c>
      <c r="CW1168" t="s">
        <v>120</v>
      </c>
      <c r="CX1168">
        <v>261</v>
      </c>
      <c r="CY1168">
        <v>2</v>
      </c>
      <c r="CZ1168" t="s">
        <v>121</v>
      </c>
      <c r="DA1168" t="s">
        <v>122</v>
      </c>
      <c r="DD1168">
        <v>14891878</v>
      </c>
      <c r="DE1168" t="s">
        <v>123</v>
      </c>
    </row>
    <row r="1169" spans="1:109" x14ac:dyDescent="0.3">
      <c r="A1169" t="str">
        <f>"18:54:10.703"</f>
        <v>18:54:10.703</v>
      </c>
      <c r="B1169" t="s">
        <v>110</v>
      </c>
      <c r="C1169" t="str">
        <f t="shared" si="54"/>
        <v>ffdfd3c0</v>
      </c>
      <c r="D1169" t="s">
        <v>111</v>
      </c>
      <c r="E1169">
        <v>18</v>
      </c>
      <c r="F1169">
        <v>1018</v>
      </c>
      <c r="G1169" t="s">
        <v>112</v>
      </c>
      <c r="J1169" t="s">
        <v>113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R1169" t="s">
        <v>114</v>
      </c>
      <c r="S1169" t="str">
        <f>"18:54:10.484"</f>
        <v>18:54:10.484</v>
      </c>
      <c r="T1169" t="str">
        <f>"18:54:10.383"</f>
        <v>18:54:10.383</v>
      </c>
      <c r="U1169" t="str">
        <f t="shared" si="55"/>
        <v>a1cdbe</v>
      </c>
      <c r="V1169">
        <v>0</v>
      </c>
      <c r="W1169">
        <v>0</v>
      </c>
      <c r="X1169">
        <v>1</v>
      </c>
      <c r="Y1169">
        <v>0</v>
      </c>
      <c r="Z1169">
        <v>0</v>
      </c>
      <c r="AB1169">
        <v>0</v>
      </c>
      <c r="AC1169">
        <v>9</v>
      </c>
      <c r="AD1169">
        <v>3</v>
      </c>
      <c r="AE1169">
        <v>0</v>
      </c>
      <c r="AF1169">
        <v>9</v>
      </c>
      <c r="AG1169" t="s">
        <v>158</v>
      </c>
      <c r="AH1169">
        <v>0</v>
      </c>
      <c r="AI1169">
        <v>3</v>
      </c>
      <c r="AJ1169">
        <v>1</v>
      </c>
      <c r="AK1169">
        <v>0</v>
      </c>
      <c r="AL1169" t="s">
        <v>2293</v>
      </c>
      <c r="AM1169">
        <v>46.834803000000001</v>
      </c>
      <c r="AN1169" t="s">
        <v>2294</v>
      </c>
      <c r="AO1169">
        <v>-122.602723</v>
      </c>
      <c r="AP1169">
        <v>100</v>
      </c>
      <c r="AQ1169">
        <v>2000</v>
      </c>
      <c r="AR1169" t="s">
        <v>118</v>
      </c>
      <c r="AS1169">
        <v>-73</v>
      </c>
      <c r="AT1169">
        <v>-29</v>
      </c>
      <c r="AU1169">
        <v>64</v>
      </c>
      <c r="BC1169">
        <v>1200</v>
      </c>
      <c r="BD1169">
        <v>1</v>
      </c>
      <c r="BE1169" t="str">
        <f t="shared" si="56"/>
        <v xml:space="preserve">N215T   </v>
      </c>
      <c r="BF1169">
        <v>1</v>
      </c>
      <c r="BH1169">
        <v>0</v>
      </c>
      <c r="BI1169">
        <v>0</v>
      </c>
      <c r="BJ1169">
        <v>0</v>
      </c>
      <c r="BK1169">
        <v>2400</v>
      </c>
      <c r="BL1169">
        <v>400</v>
      </c>
      <c r="BM1169" t="s">
        <v>119</v>
      </c>
      <c r="BN1169">
        <v>1</v>
      </c>
      <c r="BO1169">
        <v>1</v>
      </c>
      <c r="BP1169">
        <v>1</v>
      </c>
      <c r="BQ1169">
        <v>0</v>
      </c>
      <c r="BT1169">
        <v>0</v>
      </c>
      <c r="BU1169">
        <v>0</v>
      </c>
      <c r="BV1169">
        <v>0</v>
      </c>
      <c r="CC1169" t="str">
        <f>"18:54:10.492"</f>
        <v>18:54:10.492</v>
      </c>
      <c r="CD1169" t="str">
        <f>"488650532"</f>
        <v>488650532</v>
      </c>
      <c r="CQ1169">
        <v>0</v>
      </c>
      <c r="CR1169">
        <v>2</v>
      </c>
      <c r="CS1169">
        <v>0</v>
      </c>
      <c r="CT1169">
        <v>2</v>
      </c>
      <c r="CU1169">
        <v>0</v>
      </c>
      <c r="CV1169">
        <v>6</v>
      </c>
      <c r="CW1169" t="s">
        <v>120</v>
      </c>
      <c r="CX1169">
        <v>261</v>
      </c>
      <c r="CY1169">
        <v>2</v>
      </c>
      <c r="CZ1169" t="s">
        <v>121</v>
      </c>
      <c r="DA1169" t="s">
        <v>122</v>
      </c>
      <c r="DD1169">
        <v>14892398</v>
      </c>
      <c r="DE1169" t="s">
        <v>123</v>
      </c>
    </row>
    <row r="1170" spans="1:109" x14ac:dyDescent="0.3">
      <c r="A1170" t="str">
        <f>"18:54:11.711"</f>
        <v>18:54:11.711</v>
      </c>
      <c r="B1170" t="s">
        <v>110</v>
      </c>
      <c r="C1170" t="str">
        <f t="shared" si="54"/>
        <v>ffdfd3c0</v>
      </c>
      <c r="D1170" t="s">
        <v>111</v>
      </c>
      <c r="E1170">
        <v>18</v>
      </c>
      <c r="F1170">
        <v>1018</v>
      </c>
      <c r="G1170" t="s">
        <v>112</v>
      </c>
      <c r="J1170" t="s">
        <v>113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R1170" t="s">
        <v>114</v>
      </c>
      <c r="S1170" t="str">
        <f>"18:54:11.492"</f>
        <v>18:54:11.492</v>
      </c>
      <c r="T1170" t="str">
        <f>"18:54:11.492"</f>
        <v>18:54:11.492</v>
      </c>
      <c r="U1170" t="str">
        <f t="shared" si="55"/>
        <v>a1cdbe</v>
      </c>
      <c r="V1170">
        <v>0</v>
      </c>
      <c r="W1170">
        <v>0</v>
      </c>
      <c r="X1170">
        <v>1</v>
      </c>
      <c r="Y1170">
        <v>0</v>
      </c>
      <c r="Z1170">
        <v>0</v>
      </c>
      <c r="AB1170">
        <v>0</v>
      </c>
      <c r="AC1170">
        <v>9</v>
      </c>
      <c r="AD1170">
        <v>3</v>
      </c>
      <c r="AE1170">
        <v>0</v>
      </c>
      <c r="AF1170">
        <v>9</v>
      </c>
      <c r="AG1170" t="s">
        <v>158</v>
      </c>
      <c r="AH1170">
        <v>0</v>
      </c>
      <c r="AI1170">
        <v>3</v>
      </c>
      <c r="AJ1170">
        <v>1</v>
      </c>
      <c r="AK1170">
        <v>0</v>
      </c>
      <c r="AL1170" t="s">
        <v>2295</v>
      </c>
      <c r="AM1170">
        <v>46.834674</v>
      </c>
      <c r="AN1170" t="s">
        <v>2296</v>
      </c>
      <c r="AO1170">
        <v>-122.603173</v>
      </c>
      <c r="AP1170">
        <v>100</v>
      </c>
      <c r="AQ1170">
        <v>2000</v>
      </c>
      <c r="AR1170" t="s">
        <v>118</v>
      </c>
      <c r="AS1170">
        <v>-73</v>
      </c>
      <c r="AT1170">
        <v>-29</v>
      </c>
      <c r="AU1170">
        <v>64</v>
      </c>
      <c r="BC1170">
        <v>1200</v>
      </c>
      <c r="BD1170">
        <v>1</v>
      </c>
      <c r="BE1170" t="str">
        <f t="shared" si="56"/>
        <v xml:space="preserve">N215T   </v>
      </c>
      <c r="BF1170">
        <v>1</v>
      </c>
      <c r="BH1170">
        <v>0</v>
      </c>
      <c r="BI1170">
        <v>0</v>
      </c>
      <c r="BJ1170">
        <v>0</v>
      </c>
      <c r="BK1170">
        <v>2425</v>
      </c>
      <c r="BL1170">
        <v>425</v>
      </c>
      <c r="BM1170" t="s">
        <v>119</v>
      </c>
      <c r="BN1170">
        <v>1</v>
      </c>
      <c r="BO1170">
        <v>1</v>
      </c>
      <c r="BP1170">
        <v>1</v>
      </c>
      <c r="BQ1170">
        <v>0</v>
      </c>
      <c r="BT1170">
        <v>0</v>
      </c>
      <c r="BU1170">
        <v>0</v>
      </c>
      <c r="BV1170">
        <v>0</v>
      </c>
      <c r="CC1170" t="str">
        <f>"18:54:11.492"</f>
        <v>18:54:11.492</v>
      </c>
      <c r="CD1170" t="str">
        <f>"493551592"</f>
        <v>493551592</v>
      </c>
      <c r="CQ1170">
        <v>0</v>
      </c>
      <c r="CR1170">
        <v>2</v>
      </c>
      <c r="CS1170">
        <v>0</v>
      </c>
      <c r="CT1170">
        <v>2</v>
      </c>
      <c r="CU1170">
        <v>0</v>
      </c>
      <c r="CV1170">
        <v>6</v>
      </c>
      <c r="CW1170" t="s">
        <v>120</v>
      </c>
      <c r="CX1170">
        <v>261</v>
      </c>
      <c r="CY1170">
        <v>2</v>
      </c>
      <c r="CZ1170" t="s">
        <v>121</v>
      </c>
      <c r="DA1170" t="s">
        <v>122</v>
      </c>
      <c r="DD1170">
        <v>14893059</v>
      </c>
      <c r="DE1170" t="s">
        <v>123</v>
      </c>
    </row>
    <row r="1171" spans="1:109" x14ac:dyDescent="0.3">
      <c r="A1171" t="str">
        <f>"18:54:12.867"</f>
        <v>18:54:12.867</v>
      </c>
      <c r="B1171" t="s">
        <v>110</v>
      </c>
      <c r="C1171" t="str">
        <f t="shared" si="54"/>
        <v>ffdfd3c0</v>
      </c>
      <c r="D1171" t="s">
        <v>111</v>
      </c>
      <c r="E1171">
        <v>18</v>
      </c>
      <c r="F1171">
        <v>1018</v>
      </c>
      <c r="G1171" t="s">
        <v>112</v>
      </c>
      <c r="J1171" t="s">
        <v>113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R1171" t="s">
        <v>114</v>
      </c>
      <c r="S1171" t="str">
        <f>"18:54:12.648"</f>
        <v>18:54:12.648</v>
      </c>
      <c r="T1171" t="str">
        <f>"18:54:12.648"</f>
        <v>18:54:12.648</v>
      </c>
      <c r="U1171" t="str">
        <f t="shared" si="55"/>
        <v>a1cdbe</v>
      </c>
      <c r="V1171">
        <v>0</v>
      </c>
      <c r="W1171">
        <v>0</v>
      </c>
      <c r="X1171">
        <v>1</v>
      </c>
      <c r="Y1171">
        <v>0</v>
      </c>
      <c r="Z1171">
        <v>0</v>
      </c>
      <c r="AB1171">
        <v>0</v>
      </c>
      <c r="AC1171">
        <v>9</v>
      </c>
      <c r="AD1171">
        <v>3</v>
      </c>
      <c r="AE1171">
        <v>0</v>
      </c>
      <c r="AF1171">
        <v>9</v>
      </c>
      <c r="AG1171" t="s">
        <v>158</v>
      </c>
      <c r="AH1171">
        <v>0</v>
      </c>
      <c r="AI1171">
        <v>3</v>
      </c>
      <c r="AJ1171">
        <v>1</v>
      </c>
      <c r="AK1171">
        <v>0</v>
      </c>
      <c r="AL1171" t="s">
        <v>2297</v>
      </c>
      <c r="AM1171">
        <v>46.834524000000002</v>
      </c>
      <c r="AN1171" t="s">
        <v>2298</v>
      </c>
      <c r="AO1171">
        <v>-122.60371000000001</v>
      </c>
      <c r="AP1171">
        <v>100</v>
      </c>
      <c r="AQ1171">
        <v>2000</v>
      </c>
      <c r="AR1171" t="s">
        <v>118</v>
      </c>
      <c r="AS1171">
        <v>-73</v>
      </c>
      <c r="AT1171">
        <v>-29</v>
      </c>
      <c r="AU1171">
        <v>64</v>
      </c>
      <c r="BC1171">
        <v>1200</v>
      </c>
      <c r="BD1171">
        <v>1</v>
      </c>
      <c r="BE1171" t="str">
        <f t="shared" si="56"/>
        <v xml:space="preserve">N215T   </v>
      </c>
      <c r="BF1171">
        <v>1</v>
      </c>
      <c r="BH1171">
        <v>0</v>
      </c>
      <c r="BI1171">
        <v>0</v>
      </c>
      <c r="BJ1171">
        <v>0</v>
      </c>
      <c r="BK1171">
        <v>2425</v>
      </c>
      <c r="BL1171">
        <v>425</v>
      </c>
      <c r="BM1171" t="s">
        <v>119</v>
      </c>
      <c r="BN1171">
        <v>1</v>
      </c>
      <c r="BO1171">
        <v>1</v>
      </c>
      <c r="BP1171">
        <v>1</v>
      </c>
      <c r="BQ1171">
        <v>0</v>
      </c>
      <c r="BT1171">
        <v>0</v>
      </c>
      <c r="BU1171">
        <v>0</v>
      </c>
      <c r="BV1171">
        <v>0</v>
      </c>
      <c r="CC1171" t="str">
        <f>"18:54:12.648"</f>
        <v>18:54:12.648</v>
      </c>
      <c r="CD1171" t="str">
        <f>"648437888"</f>
        <v>648437888</v>
      </c>
      <c r="CQ1171">
        <v>0</v>
      </c>
      <c r="CR1171">
        <v>2</v>
      </c>
      <c r="CS1171">
        <v>0</v>
      </c>
      <c r="CT1171">
        <v>2</v>
      </c>
      <c r="CU1171">
        <v>0</v>
      </c>
      <c r="CV1171">
        <v>6</v>
      </c>
      <c r="CW1171" t="s">
        <v>120</v>
      </c>
      <c r="CX1171">
        <v>261</v>
      </c>
      <c r="CY1171">
        <v>2</v>
      </c>
      <c r="CZ1171" t="s">
        <v>121</v>
      </c>
      <c r="DA1171" t="s">
        <v>122</v>
      </c>
      <c r="DD1171">
        <v>14893814</v>
      </c>
      <c r="DE1171" t="s">
        <v>123</v>
      </c>
    </row>
    <row r="1172" spans="1:109" x14ac:dyDescent="0.3">
      <c r="A1172" t="str">
        <f>"18:54:13.977"</f>
        <v>18:54:13.977</v>
      </c>
      <c r="B1172" t="s">
        <v>110</v>
      </c>
      <c r="C1172" t="str">
        <f t="shared" si="54"/>
        <v>ffdfd3c0</v>
      </c>
      <c r="D1172" t="s">
        <v>111</v>
      </c>
      <c r="E1172">
        <v>18</v>
      </c>
      <c r="F1172">
        <v>1018</v>
      </c>
      <c r="G1172" t="s">
        <v>112</v>
      </c>
      <c r="J1172" t="s">
        <v>113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R1172" t="s">
        <v>114</v>
      </c>
      <c r="S1172" t="str">
        <f>"18:54:13.742"</f>
        <v>18:54:13.742</v>
      </c>
      <c r="T1172" t="str">
        <f>"18:54:13.742"</f>
        <v>18:54:13.742</v>
      </c>
      <c r="U1172" t="str">
        <f t="shared" si="55"/>
        <v>a1cdbe</v>
      </c>
      <c r="V1172">
        <v>0</v>
      </c>
      <c r="W1172">
        <v>0</v>
      </c>
      <c r="X1172">
        <v>1</v>
      </c>
      <c r="Y1172">
        <v>0</v>
      </c>
      <c r="Z1172">
        <v>0</v>
      </c>
      <c r="AB1172">
        <v>0</v>
      </c>
      <c r="AC1172">
        <v>9</v>
      </c>
      <c r="AD1172">
        <v>3</v>
      </c>
      <c r="AE1172">
        <v>0</v>
      </c>
      <c r="AF1172">
        <v>9</v>
      </c>
      <c r="AG1172" t="s">
        <v>158</v>
      </c>
      <c r="AH1172">
        <v>0</v>
      </c>
      <c r="AI1172">
        <v>3</v>
      </c>
      <c r="AJ1172">
        <v>1</v>
      </c>
      <c r="AK1172">
        <v>0</v>
      </c>
      <c r="AL1172" t="s">
        <v>2299</v>
      </c>
      <c r="AM1172">
        <v>46.834395000000001</v>
      </c>
      <c r="AN1172" t="s">
        <v>2300</v>
      </c>
      <c r="AO1172">
        <v>-122.604268</v>
      </c>
      <c r="AP1172">
        <v>100</v>
      </c>
      <c r="AQ1172">
        <v>2000</v>
      </c>
      <c r="AR1172" t="s">
        <v>118</v>
      </c>
      <c r="AS1172">
        <v>-73</v>
      </c>
      <c r="AT1172">
        <v>-29</v>
      </c>
      <c r="AU1172">
        <v>128</v>
      </c>
      <c r="BC1172">
        <v>1200</v>
      </c>
      <c r="BD1172">
        <v>1</v>
      </c>
      <c r="BE1172" t="str">
        <f t="shared" si="56"/>
        <v xml:space="preserve">N215T   </v>
      </c>
      <c r="BF1172">
        <v>1</v>
      </c>
      <c r="BH1172">
        <v>0</v>
      </c>
      <c r="BI1172">
        <v>0</v>
      </c>
      <c r="BJ1172">
        <v>0</v>
      </c>
      <c r="BK1172">
        <v>2400</v>
      </c>
      <c r="BL1172">
        <v>400</v>
      </c>
      <c r="BM1172" t="s">
        <v>119</v>
      </c>
      <c r="BN1172">
        <v>1</v>
      </c>
      <c r="BO1172">
        <v>1</v>
      </c>
      <c r="BP1172">
        <v>1</v>
      </c>
      <c r="BQ1172">
        <v>0</v>
      </c>
      <c r="BT1172">
        <v>0</v>
      </c>
      <c r="BU1172">
        <v>0</v>
      </c>
      <c r="BV1172">
        <v>0</v>
      </c>
      <c r="CC1172" t="str">
        <f>"18:54:13.742"</f>
        <v>18:54:13.742</v>
      </c>
      <c r="CD1172" t="str">
        <f>"743330114"</f>
        <v>743330114</v>
      </c>
      <c r="CQ1172">
        <v>0</v>
      </c>
      <c r="CR1172">
        <v>2</v>
      </c>
      <c r="CS1172">
        <v>0</v>
      </c>
      <c r="CT1172">
        <v>2</v>
      </c>
      <c r="CU1172">
        <v>0</v>
      </c>
      <c r="CV1172">
        <v>6</v>
      </c>
      <c r="CW1172" t="s">
        <v>120</v>
      </c>
      <c r="CX1172">
        <v>261</v>
      </c>
      <c r="CY1172">
        <v>2</v>
      </c>
      <c r="CZ1172" t="s">
        <v>121</v>
      </c>
      <c r="DA1172" t="s">
        <v>122</v>
      </c>
      <c r="DD1172">
        <v>14894514</v>
      </c>
      <c r="DE1172" t="s">
        <v>123</v>
      </c>
    </row>
    <row r="1173" spans="1:109" x14ac:dyDescent="0.3">
      <c r="A1173" t="str">
        <f>"18:54:14.930"</f>
        <v>18:54:14.930</v>
      </c>
      <c r="B1173" t="s">
        <v>110</v>
      </c>
      <c r="C1173" t="str">
        <f t="shared" si="54"/>
        <v>ffdfd3c0</v>
      </c>
      <c r="D1173" t="s">
        <v>111</v>
      </c>
      <c r="E1173">
        <v>18</v>
      </c>
      <c r="F1173">
        <v>1018</v>
      </c>
      <c r="G1173" t="s">
        <v>112</v>
      </c>
      <c r="J1173" t="s">
        <v>113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R1173" t="s">
        <v>114</v>
      </c>
      <c r="S1173" t="str">
        <f>"18:54:14.656"</f>
        <v>18:54:14.656</v>
      </c>
      <c r="T1173" t="str">
        <f>"18:54:14.555"</f>
        <v>18:54:14.555</v>
      </c>
      <c r="U1173" t="str">
        <f t="shared" si="55"/>
        <v>a1cdbe</v>
      </c>
      <c r="V1173">
        <v>0</v>
      </c>
      <c r="W1173">
        <v>0</v>
      </c>
      <c r="X1173">
        <v>1</v>
      </c>
      <c r="Y1173">
        <v>0</v>
      </c>
      <c r="Z1173">
        <v>0</v>
      </c>
      <c r="AB1173">
        <v>0</v>
      </c>
      <c r="AC1173">
        <v>9</v>
      </c>
      <c r="AD1173">
        <v>3</v>
      </c>
      <c r="AE1173">
        <v>0</v>
      </c>
      <c r="AF1173">
        <v>9</v>
      </c>
      <c r="AG1173" t="s">
        <v>158</v>
      </c>
      <c r="AH1173">
        <v>0</v>
      </c>
      <c r="AI1173">
        <v>3</v>
      </c>
      <c r="AJ1173">
        <v>1</v>
      </c>
      <c r="AK1173">
        <v>0</v>
      </c>
      <c r="AL1173" t="s">
        <v>2301</v>
      </c>
      <c r="AM1173">
        <v>46.834245000000003</v>
      </c>
      <c r="AN1173" t="s">
        <v>2302</v>
      </c>
      <c r="AO1173">
        <v>-122.60474000000001</v>
      </c>
      <c r="AP1173">
        <v>100</v>
      </c>
      <c r="AQ1173">
        <v>2000</v>
      </c>
      <c r="AR1173" t="s">
        <v>118</v>
      </c>
      <c r="AS1173">
        <v>-73</v>
      </c>
      <c r="AT1173">
        <v>-29</v>
      </c>
      <c r="AU1173">
        <v>128</v>
      </c>
      <c r="BC1173">
        <v>1200</v>
      </c>
      <c r="BD1173">
        <v>1</v>
      </c>
      <c r="BE1173" t="str">
        <f t="shared" si="56"/>
        <v xml:space="preserve">N215T   </v>
      </c>
      <c r="BF1173">
        <v>1</v>
      </c>
      <c r="BH1173">
        <v>0</v>
      </c>
      <c r="BI1173">
        <v>0</v>
      </c>
      <c r="BJ1173">
        <v>0</v>
      </c>
      <c r="BK1173">
        <v>2425</v>
      </c>
      <c r="BL1173">
        <v>425</v>
      </c>
      <c r="BM1173" t="s">
        <v>119</v>
      </c>
      <c r="BN1173">
        <v>1</v>
      </c>
      <c r="BO1173">
        <v>1</v>
      </c>
      <c r="BP1173">
        <v>1</v>
      </c>
      <c r="BQ1173">
        <v>0</v>
      </c>
      <c r="BT1173">
        <v>0</v>
      </c>
      <c r="BU1173">
        <v>0</v>
      </c>
      <c r="BV1173">
        <v>0</v>
      </c>
      <c r="CC1173" t="str">
        <f>"18:54:14.656"</f>
        <v>18:54:14.656</v>
      </c>
      <c r="CD1173" t="str">
        <f>"658240043"</f>
        <v>658240043</v>
      </c>
      <c r="CQ1173">
        <v>0</v>
      </c>
      <c r="CR1173">
        <v>2</v>
      </c>
      <c r="CS1173">
        <v>0</v>
      </c>
      <c r="CT1173">
        <v>2</v>
      </c>
      <c r="CU1173">
        <v>0</v>
      </c>
      <c r="CV1173">
        <v>6</v>
      </c>
      <c r="CW1173" t="s">
        <v>120</v>
      </c>
      <c r="CX1173">
        <v>261</v>
      </c>
      <c r="CY1173">
        <v>2</v>
      </c>
      <c r="CZ1173" t="s">
        <v>121</v>
      </c>
      <c r="DA1173" t="s">
        <v>122</v>
      </c>
      <c r="DD1173">
        <v>14895061</v>
      </c>
      <c r="DE1173" t="s">
        <v>123</v>
      </c>
    </row>
    <row r="1174" spans="1:109" x14ac:dyDescent="0.3">
      <c r="A1174" t="str">
        <f>"18:54:16.086"</f>
        <v>18:54:16.086</v>
      </c>
      <c r="B1174" t="s">
        <v>110</v>
      </c>
      <c r="C1174" t="str">
        <f t="shared" si="54"/>
        <v>ffdfd3c0</v>
      </c>
      <c r="D1174" t="s">
        <v>111</v>
      </c>
      <c r="E1174">
        <v>18</v>
      </c>
      <c r="F1174">
        <v>1018</v>
      </c>
      <c r="G1174" t="s">
        <v>112</v>
      </c>
      <c r="J1174" t="s">
        <v>113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R1174" t="s">
        <v>114</v>
      </c>
      <c r="S1174" t="str">
        <f>"18:54:15.813"</f>
        <v>18:54:15.813</v>
      </c>
      <c r="T1174" t="str">
        <f>"18:54:15.016"</f>
        <v>18:54:15.016</v>
      </c>
      <c r="U1174" t="str">
        <f t="shared" si="55"/>
        <v>a1cdbe</v>
      </c>
      <c r="V1174">
        <v>0</v>
      </c>
      <c r="W1174">
        <v>0</v>
      </c>
      <c r="X1174">
        <v>1</v>
      </c>
      <c r="Y1174">
        <v>0</v>
      </c>
      <c r="Z1174">
        <v>0</v>
      </c>
      <c r="AB1174">
        <v>0</v>
      </c>
      <c r="AC1174">
        <v>9</v>
      </c>
      <c r="AD1174">
        <v>3</v>
      </c>
      <c r="AE1174">
        <v>0</v>
      </c>
      <c r="AF1174">
        <v>9</v>
      </c>
      <c r="AG1174" t="s">
        <v>158</v>
      </c>
      <c r="AH1174">
        <v>0</v>
      </c>
      <c r="AI1174">
        <v>3</v>
      </c>
      <c r="AJ1174">
        <v>1</v>
      </c>
      <c r="AK1174">
        <v>0</v>
      </c>
      <c r="AL1174" t="s">
        <v>2303</v>
      </c>
      <c r="AM1174">
        <v>46.834116000000002</v>
      </c>
      <c r="AN1174" t="s">
        <v>2304</v>
      </c>
      <c r="AO1174">
        <v>-122.605298</v>
      </c>
      <c r="AP1174">
        <v>100</v>
      </c>
      <c r="AQ1174">
        <v>2000</v>
      </c>
      <c r="AR1174" t="s">
        <v>118</v>
      </c>
      <c r="AS1174">
        <v>-73</v>
      </c>
      <c r="AT1174">
        <v>-29</v>
      </c>
      <c r="AU1174">
        <v>128</v>
      </c>
      <c r="BC1174">
        <v>1200</v>
      </c>
      <c r="BD1174">
        <v>1</v>
      </c>
      <c r="BE1174" t="str">
        <f t="shared" si="56"/>
        <v xml:space="preserve">N215T   </v>
      </c>
      <c r="BF1174">
        <v>1</v>
      </c>
      <c r="BH1174">
        <v>0</v>
      </c>
      <c r="BI1174">
        <v>0</v>
      </c>
      <c r="BJ1174">
        <v>0</v>
      </c>
      <c r="BK1174">
        <v>2425</v>
      </c>
      <c r="BL1174">
        <v>425</v>
      </c>
      <c r="BM1174" t="s">
        <v>119</v>
      </c>
      <c r="BN1174">
        <v>1</v>
      </c>
      <c r="BO1174">
        <v>1</v>
      </c>
      <c r="BP1174">
        <v>1</v>
      </c>
      <c r="BQ1174">
        <v>0</v>
      </c>
      <c r="BT1174">
        <v>0</v>
      </c>
      <c r="BU1174">
        <v>0</v>
      </c>
      <c r="BV1174">
        <v>0</v>
      </c>
      <c r="CC1174" t="str">
        <f>"18:54:15.813"</f>
        <v>18:54:15.813</v>
      </c>
      <c r="CD1174" t="str">
        <f>"813126349"</f>
        <v>813126349</v>
      </c>
      <c r="CQ1174">
        <v>0</v>
      </c>
      <c r="CR1174">
        <v>2</v>
      </c>
      <c r="CS1174">
        <v>0</v>
      </c>
      <c r="CT1174">
        <v>2</v>
      </c>
      <c r="CU1174">
        <v>0</v>
      </c>
      <c r="CV1174">
        <v>6</v>
      </c>
      <c r="CW1174" t="s">
        <v>120</v>
      </c>
      <c r="CX1174">
        <v>261</v>
      </c>
      <c r="CY1174">
        <v>2</v>
      </c>
      <c r="CZ1174" t="s">
        <v>121</v>
      </c>
      <c r="DA1174" t="s">
        <v>122</v>
      </c>
      <c r="DD1174">
        <v>14895807</v>
      </c>
      <c r="DE1174" t="s">
        <v>123</v>
      </c>
    </row>
    <row r="1175" spans="1:109" x14ac:dyDescent="0.3">
      <c r="A1175" t="str">
        <f>"18:54:17.039"</f>
        <v>18:54:17.039</v>
      </c>
      <c r="B1175" t="s">
        <v>110</v>
      </c>
      <c r="C1175" t="str">
        <f t="shared" si="54"/>
        <v>ffdfd3c0</v>
      </c>
      <c r="D1175" t="s">
        <v>111</v>
      </c>
      <c r="E1175">
        <v>18</v>
      </c>
      <c r="F1175">
        <v>1018</v>
      </c>
      <c r="G1175" t="s">
        <v>112</v>
      </c>
      <c r="J1175" t="s">
        <v>113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R1175" t="s">
        <v>114</v>
      </c>
      <c r="S1175" t="str">
        <f>"18:54:16.758"</f>
        <v>18:54:16.758</v>
      </c>
      <c r="T1175" t="str">
        <f>"18:54:16.461"</f>
        <v>18:54:16.461</v>
      </c>
      <c r="U1175" t="str">
        <f t="shared" si="55"/>
        <v>a1cdbe</v>
      </c>
      <c r="V1175">
        <v>0</v>
      </c>
      <c r="W1175">
        <v>0</v>
      </c>
      <c r="X1175">
        <v>1</v>
      </c>
      <c r="Y1175">
        <v>0</v>
      </c>
      <c r="Z1175">
        <v>0</v>
      </c>
      <c r="AB1175">
        <v>0</v>
      </c>
      <c r="AC1175">
        <v>9</v>
      </c>
      <c r="AD1175">
        <v>3</v>
      </c>
      <c r="AE1175">
        <v>0</v>
      </c>
      <c r="AF1175">
        <v>9</v>
      </c>
      <c r="AG1175" t="s">
        <v>158</v>
      </c>
      <c r="AH1175">
        <v>0</v>
      </c>
      <c r="AI1175">
        <v>3</v>
      </c>
      <c r="AJ1175">
        <v>1</v>
      </c>
      <c r="AK1175">
        <v>0</v>
      </c>
      <c r="AL1175" t="s">
        <v>2305</v>
      </c>
      <c r="AM1175">
        <v>46.833987</v>
      </c>
      <c r="AN1175" t="s">
        <v>2306</v>
      </c>
      <c r="AO1175">
        <v>-122.605813</v>
      </c>
      <c r="AP1175">
        <v>100</v>
      </c>
      <c r="AQ1175">
        <v>2000</v>
      </c>
      <c r="AR1175" t="s">
        <v>118</v>
      </c>
      <c r="AS1175">
        <v>-73</v>
      </c>
      <c r="AT1175">
        <v>-29</v>
      </c>
      <c r="AU1175">
        <v>192</v>
      </c>
      <c r="BC1175">
        <v>1200</v>
      </c>
      <c r="BD1175">
        <v>1</v>
      </c>
      <c r="BE1175" t="str">
        <f t="shared" si="56"/>
        <v xml:space="preserve">N215T   </v>
      </c>
      <c r="BF1175">
        <v>1</v>
      </c>
      <c r="BH1175">
        <v>0</v>
      </c>
      <c r="BI1175">
        <v>0</v>
      </c>
      <c r="BJ1175">
        <v>0</v>
      </c>
      <c r="BK1175">
        <v>2425</v>
      </c>
      <c r="BL1175">
        <v>425</v>
      </c>
      <c r="BM1175" t="s">
        <v>119</v>
      </c>
      <c r="BN1175">
        <v>1</v>
      </c>
      <c r="BO1175">
        <v>1</v>
      </c>
      <c r="BP1175">
        <v>1</v>
      </c>
      <c r="BQ1175">
        <v>0</v>
      </c>
      <c r="BT1175">
        <v>0</v>
      </c>
      <c r="BU1175">
        <v>0</v>
      </c>
      <c r="BV1175">
        <v>0</v>
      </c>
      <c r="CC1175" t="str">
        <f>"18:54:16.758"</f>
        <v>18:54:16.758</v>
      </c>
      <c r="CD1175" t="str">
        <f>"758033324"</f>
        <v>758033324</v>
      </c>
      <c r="CQ1175">
        <v>0</v>
      </c>
      <c r="CR1175">
        <v>2</v>
      </c>
      <c r="CS1175">
        <v>0</v>
      </c>
      <c r="CT1175">
        <v>2</v>
      </c>
      <c r="CU1175">
        <v>0</v>
      </c>
      <c r="CV1175">
        <v>6</v>
      </c>
      <c r="CW1175" t="s">
        <v>120</v>
      </c>
      <c r="CX1175">
        <v>261</v>
      </c>
      <c r="CY1175">
        <v>2</v>
      </c>
      <c r="CZ1175" t="s">
        <v>121</v>
      </c>
      <c r="DA1175" t="s">
        <v>122</v>
      </c>
      <c r="DD1175">
        <v>14896419</v>
      </c>
      <c r="DE1175" t="s">
        <v>123</v>
      </c>
    </row>
    <row r="1176" spans="1:109" x14ac:dyDescent="0.3">
      <c r="A1176" t="str">
        <f>"18:54:17.844"</f>
        <v>18:54:17.844</v>
      </c>
      <c r="B1176" t="s">
        <v>110</v>
      </c>
      <c r="C1176" t="str">
        <f t="shared" si="54"/>
        <v>ffdfd3c0</v>
      </c>
      <c r="D1176" t="s">
        <v>111</v>
      </c>
      <c r="E1176">
        <v>18</v>
      </c>
      <c r="F1176">
        <v>1018</v>
      </c>
      <c r="G1176" t="s">
        <v>112</v>
      </c>
      <c r="J1176" t="s">
        <v>113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R1176" t="s">
        <v>114</v>
      </c>
      <c r="S1176" t="str">
        <f>"18:54:17.641"</f>
        <v>18:54:17.641</v>
      </c>
      <c r="T1176" t="str">
        <f>"18:54:17.039"</f>
        <v>18:54:17.039</v>
      </c>
      <c r="U1176" t="str">
        <f t="shared" si="55"/>
        <v>a1cdbe</v>
      </c>
      <c r="V1176">
        <v>0</v>
      </c>
      <c r="W1176">
        <v>0</v>
      </c>
      <c r="X1176">
        <v>1</v>
      </c>
      <c r="Y1176">
        <v>0</v>
      </c>
      <c r="Z1176">
        <v>0</v>
      </c>
      <c r="AB1176">
        <v>0</v>
      </c>
      <c r="AC1176">
        <v>9</v>
      </c>
      <c r="AD1176">
        <v>3</v>
      </c>
      <c r="AE1176">
        <v>0</v>
      </c>
      <c r="AF1176">
        <v>9</v>
      </c>
      <c r="AG1176" t="s">
        <v>158</v>
      </c>
      <c r="AH1176">
        <v>0</v>
      </c>
      <c r="AI1176">
        <v>3</v>
      </c>
      <c r="AJ1176">
        <v>1</v>
      </c>
      <c r="AK1176">
        <v>0</v>
      </c>
      <c r="AL1176" t="s">
        <v>2307</v>
      </c>
      <c r="AM1176">
        <v>46.833837000000003</v>
      </c>
      <c r="AN1176" t="s">
        <v>2308</v>
      </c>
      <c r="AO1176">
        <v>-122.60621999999999</v>
      </c>
      <c r="AP1176">
        <v>100</v>
      </c>
      <c r="AQ1176">
        <v>2000</v>
      </c>
      <c r="AR1176" t="s">
        <v>118</v>
      </c>
      <c r="AS1176">
        <v>-72</v>
      </c>
      <c r="AT1176">
        <v>-29</v>
      </c>
      <c r="AU1176">
        <v>192</v>
      </c>
      <c r="BC1176">
        <v>1200</v>
      </c>
      <c r="BD1176">
        <v>1</v>
      </c>
      <c r="BE1176" t="str">
        <f t="shared" si="56"/>
        <v xml:space="preserve">N215T   </v>
      </c>
      <c r="BF1176">
        <v>1</v>
      </c>
      <c r="BH1176">
        <v>0</v>
      </c>
      <c r="BI1176">
        <v>0</v>
      </c>
      <c r="BJ1176">
        <v>0</v>
      </c>
      <c r="BK1176">
        <v>2425</v>
      </c>
      <c r="BL1176">
        <v>425</v>
      </c>
      <c r="BM1176" t="s">
        <v>119</v>
      </c>
      <c r="BN1176">
        <v>1</v>
      </c>
      <c r="BO1176">
        <v>1</v>
      </c>
      <c r="BP1176">
        <v>1</v>
      </c>
      <c r="BQ1176">
        <v>0</v>
      </c>
      <c r="BT1176">
        <v>0</v>
      </c>
      <c r="BU1176">
        <v>0</v>
      </c>
      <c r="BV1176">
        <v>0</v>
      </c>
      <c r="CC1176" t="str">
        <f>"18:54:17.641"</f>
        <v>18:54:17.641</v>
      </c>
      <c r="CD1176" t="str">
        <f>"642946206"</f>
        <v>642946206</v>
      </c>
      <c r="CQ1176">
        <v>0</v>
      </c>
      <c r="CR1176">
        <v>2</v>
      </c>
      <c r="CS1176">
        <v>0</v>
      </c>
      <c r="CT1176">
        <v>2</v>
      </c>
      <c r="CU1176">
        <v>0</v>
      </c>
      <c r="CV1176">
        <v>6</v>
      </c>
      <c r="CW1176" t="s">
        <v>120</v>
      </c>
      <c r="CX1176">
        <v>261</v>
      </c>
      <c r="CY1176">
        <v>2</v>
      </c>
      <c r="CZ1176" t="s">
        <v>121</v>
      </c>
      <c r="DA1176" t="s">
        <v>122</v>
      </c>
      <c r="DD1176">
        <v>14896979</v>
      </c>
      <c r="DE1176" t="s">
        <v>123</v>
      </c>
    </row>
    <row r="1177" spans="1:109" x14ac:dyDescent="0.3">
      <c r="A1177" t="str">
        <f>"18:54:19.352"</f>
        <v>18:54:19.352</v>
      </c>
      <c r="B1177" t="s">
        <v>110</v>
      </c>
      <c r="C1177" t="str">
        <f t="shared" si="54"/>
        <v>ffdfd3c0</v>
      </c>
      <c r="D1177" t="s">
        <v>111</v>
      </c>
      <c r="E1177">
        <v>18</v>
      </c>
      <c r="F1177">
        <v>1018</v>
      </c>
      <c r="G1177" t="s">
        <v>112</v>
      </c>
      <c r="J1177" t="s">
        <v>113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R1177" t="s">
        <v>114</v>
      </c>
      <c r="S1177" t="str">
        <f>"18:54:19.078"</f>
        <v>18:54:19.078</v>
      </c>
      <c r="T1177" t="str">
        <f>"18:54:18.680"</f>
        <v>18:54:18.680</v>
      </c>
      <c r="U1177" t="str">
        <f t="shared" si="55"/>
        <v>a1cdbe</v>
      </c>
      <c r="V1177">
        <v>0</v>
      </c>
      <c r="W1177">
        <v>0</v>
      </c>
      <c r="X1177">
        <v>1</v>
      </c>
      <c r="Y1177">
        <v>0</v>
      </c>
      <c r="Z1177">
        <v>0</v>
      </c>
      <c r="AB1177">
        <v>0</v>
      </c>
      <c r="AC1177">
        <v>9</v>
      </c>
      <c r="AD1177">
        <v>3</v>
      </c>
      <c r="AE1177">
        <v>0</v>
      </c>
      <c r="AF1177">
        <v>9</v>
      </c>
      <c r="AG1177" t="s">
        <v>158</v>
      </c>
      <c r="AH1177">
        <v>0</v>
      </c>
      <c r="AI1177">
        <v>3</v>
      </c>
      <c r="AJ1177">
        <v>1</v>
      </c>
      <c r="AK1177">
        <v>0</v>
      </c>
      <c r="AL1177" t="s">
        <v>2309</v>
      </c>
      <c r="AM1177">
        <v>46.833644</v>
      </c>
      <c r="AN1177" t="s">
        <v>2310</v>
      </c>
      <c r="AO1177">
        <v>-122.606864</v>
      </c>
      <c r="AP1177">
        <v>100</v>
      </c>
      <c r="AQ1177">
        <v>2000</v>
      </c>
      <c r="AR1177" t="s">
        <v>118</v>
      </c>
      <c r="AS1177">
        <v>-72</v>
      </c>
      <c r="AT1177">
        <v>-29</v>
      </c>
      <c r="AU1177">
        <v>256</v>
      </c>
      <c r="BC1177">
        <v>1200</v>
      </c>
      <c r="BD1177">
        <v>1</v>
      </c>
      <c r="BE1177" t="str">
        <f t="shared" si="56"/>
        <v xml:space="preserve">N215T   </v>
      </c>
      <c r="BF1177">
        <v>1</v>
      </c>
      <c r="BH1177">
        <v>0</v>
      </c>
      <c r="BI1177">
        <v>0</v>
      </c>
      <c r="BJ1177">
        <v>0</v>
      </c>
      <c r="BK1177">
        <v>2425</v>
      </c>
      <c r="BL1177">
        <v>425</v>
      </c>
      <c r="BM1177" t="s">
        <v>119</v>
      </c>
      <c r="BN1177">
        <v>1</v>
      </c>
      <c r="BO1177">
        <v>1</v>
      </c>
      <c r="BP1177">
        <v>1</v>
      </c>
      <c r="BQ1177">
        <v>0</v>
      </c>
      <c r="BT1177">
        <v>0</v>
      </c>
      <c r="BU1177">
        <v>0</v>
      </c>
      <c r="BV1177">
        <v>0</v>
      </c>
      <c r="CC1177" t="str">
        <f>"18:54:19.086"</f>
        <v>18:54:19.086</v>
      </c>
      <c r="CD1177" t="str">
        <f>"082804467"</f>
        <v>082804467</v>
      </c>
      <c r="CQ1177">
        <v>0</v>
      </c>
      <c r="CR1177">
        <v>2</v>
      </c>
      <c r="CS1177">
        <v>0</v>
      </c>
      <c r="CT1177">
        <v>2</v>
      </c>
      <c r="CU1177">
        <v>0</v>
      </c>
      <c r="CV1177">
        <v>6</v>
      </c>
      <c r="CW1177" t="s">
        <v>120</v>
      </c>
      <c r="CX1177">
        <v>261</v>
      </c>
      <c r="CY1177">
        <v>2</v>
      </c>
      <c r="CZ1177" t="s">
        <v>121</v>
      </c>
      <c r="DA1177" t="s">
        <v>122</v>
      </c>
      <c r="DD1177">
        <v>14897918</v>
      </c>
      <c r="DE1177" t="s">
        <v>123</v>
      </c>
    </row>
    <row r="1178" spans="1:109" x14ac:dyDescent="0.3">
      <c r="A1178" t="str">
        <f>"18:54:20.258"</f>
        <v>18:54:20.258</v>
      </c>
      <c r="B1178" t="s">
        <v>110</v>
      </c>
      <c r="C1178" t="str">
        <f t="shared" si="54"/>
        <v>ffdfd3c0</v>
      </c>
      <c r="D1178" t="s">
        <v>111</v>
      </c>
      <c r="E1178">
        <v>18</v>
      </c>
      <c r="F1178">
        <v>1018</v>
      </c>
      <c r="G1178" t="s">
        <v>112</v>
      </c>
      <c r="J1178" t="s">
        <v>113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R1178" t="s">
        <v>114</v>
      </c>
      <c r="S1178" t="str">
        <f>"18:54:19.977"</f>
        <v>18:54:19.977</v>
      </c>
      <c r="T1178" t="str">
        <f>"18:54:19.578"</f>
        <v>18:54:19.578</v>
      </c>
      <c r="U1178" t="str">
        <f t="shared" si="55"/>
        <v>a1cdbe</v>
      </c>
      <c r="V1178">
        <v>0</v>
      </c>
      <c r="W1178">
        <v>0</v>
      </c>
      <c r="X1178">
        <v>1</v>
      </c>
      <c r="Y1178">
        <v>0</v>
      </c>
      <c r="Z1178">
        <v>0</v>
      </c>
      <c r="AB1178">
        <v>0</v>
      </c>
      <c r="AC1178">
        <v>9</v>
      </c>
      <c r="AD1178">
        <v>3</v>
      </c>
      <c r="AE1178">
        <v>0</v>
      </c>
      <c r="AF1178">
        <v>9</v>
      </c>
      <c r="AG1178" t="s">
        <v>158</v>
      </c>
      <c r="AH1178">
        <v>0</v>
      </c>
      <c r="AI1178">
        <v>3</v>
      </c>
      <c r="AJ1178">
        <v>1</v>
      </c>
      <c r="AK1178">
        <v>0</v>
      </c>
      <c r="AL1178" t="s">
        <v>2311</v>
      </c>
      <c r="AM1178">
        <v>46.833537</v>
      </c>
      <c r="AN1178" t="s">
        <v>2312</v>
      </c>
      <c r="AO1178">
        <v>-122.607358</v>
      </c>
      <c r="AP1178">
        <v>100</v>
      </c>
      <c r="AQ1178">
        <v>2000</v>
      </c>
      <c r="AR1178" t="s">
        <v>118</v>
      </c>
      <c r="AS1178">
        <v>-72</v>
      </c>
      <c r="AT1178">
        <v>-30</v>
      </c>
      <c r="AU1178">
        <v>192</v>
      </c>
      <c r="BC1178">
        <v>1200</v>
      </c>
      <c r="BD1178">
        <v>1</v>
      </c>
      <c r="BE1178" t="str">
        <f t="shared" si="56"/>
        <v xml:space="preserve">N215T   </v>
      </c>
      <c r="BF1178">
        <v>1</v>
      </c>
      <c r="BH1178">
        <v>0</v>
      </c>
      <c r="BI1178">
        <v>0</v>
      </c>
      <c r="BJ1178">
        <v>0</v>
      </c>
      <c r="BK1178">
        <v>2325</v>
      </c>
      <c r="BL1178">
        <v>325</v>
      </c>
      <c r="BM1178" t="s">
        <v>119</v>
      </c>
      <c r="BN1178">
        <v>1</v>
      </c>
      <c r="BO1178">
        <v>1</v>
      </c>
      <c r="BP1178">
        <v>1</v>
      </c>
      <c r="BQ1178">
        <v>0</v>
      </c>
      <c r="BT1178">
        <v>0</v>
      </c>
      <c r="BU1178">
        <v>0</v>
      </c>
      <c r="BV1178">
        <v>0</v>
      </c>
      <c r="CC1178" t="str">
        <f>"18:54:19.984"</f>
        <v>18:54:19.984</v>
      </c>
      <c r="CD1178" t="str">
        <f>"982715869"</f>
        <v>982715869</v>
      </c>
      <c r="CQ1178">
        <v>0</v>
      </c>
      <c r="CR1178">
        <v>2</v>
      </c>
      <c r="CS1178">
        <v>0</v>
      </c>
      <c r="CT1178">
        <v>2</v>
      </c>
      <c r="CU1178">
        <v>0</v>
      </c>
      <c r="CV1178">
        <v>5</v>
      </c>
      <c r="CW1178" t="s">
        <v>120</v>
      </c>
      <c r="CX1178">
        <v>261</v>
      </c>
      <c r="CY1178">
        <v>2</v>
      </c>
      <c r="CZ1178" t="s">
        <v>121</v>
      </c>
      <c r="DA1178" t="s">
        <v>122</v>
      </c>
      <c r="DD1178">
        <v>14898503</v>
      </c>
      <c r="DE1178" t="s">
        <v>123</v>
      </c>
    </row>
    <row r="1179" spans="1:109" x14ac:dyDescent="0.3">
      <c r="A1179" t="str">
        <f>"18:54:21.313"</f>
        <v>18:54:21.313</v>
      </c>
      <c r="B1179" t="s">
        <v>110</v>
      </c>
      <c r="C1179" t="str">
        <f t="shared" si="54"/>
        <v>ffdfd3c0</v>
      </c>
      <c r="D1179" t="s">
        <v>111</v>
      </c>
      <c r="E1179">
        <v>18</v>
      </c>
      <c r="F1179">
        <v>1018</v>
      </c>
      <c r="G1179" t="s">
        <v>112</v>
      </c>
      <c r="J1179" t="s">
        <v>113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R1179" t="s">
        <v>114</v>
      </c>
      <c r="S1179" t="str">
        <f>"18:54:21.063"</f>
        <v>18:54:21.063</v>
      </c>
      <c r="T1179" t="str">
        <f>"18:54:20.961"</f>
        <v>18:54:20.961</v>
      </c>
      <c r="U1179" t="str">
        <f t="shared" si="55"/>
        <v>a1cdbe</v>
      </c>
      <c r="V1179">
        <v>0</v>
      </c>
      <c r="W1179">
        <v>0</v>
      </c>
      <c r="X1179">
        <v>1</v>
      </c>
      <c r="Y1179">
        <v>0</v>
      </c>
      <c r="Z1179">
        <v>0</v>
      </c>
      <c r="AB1179">
        <v>0</v>
      </c>
      <c r="AC1179">
        <v>9</v>
      </c>
      <c r="AD1179">
        <v>3</v>
      </c>
      <c r="AE1179">
        <v>0</v>
      </c>
      <c r="AF1179">
        <v>9</v>
      </c>
      <c r="AG1179" t="s">
        <v>158</v>
      </c>
      <c r="AH1179">
        <v>0</v>
      </c>
      <c r="AI1179">
        <v>3</v>
      </c>
      <c r="AJ1179">
        <v>1</v>
      </c>
      <c r="AK1179">
        <v>0</v>
      </c>
      <c r="AL1179" t="s">
        <v>2313</v>
      </c>
      <c r="AM1179">
        <v>46.833365000000001</v>
      </c>
      <c r="AN1179" t="s">
        <v>2314</v>
      </c>
      <c r="AO1179">
        <v>-122.60783000000001</v>
      </c>
      <c r="AP1179">
        <v>100</v>
      </c>
      <c r="AQ1179">
        <v>2100</v>
      </c>
      <c r="AR1179" t="s">
        <v>118</v>
      </c>
      <c r="AS1179">
        <v>-71</v>
      </c>
      <c r="AT1179">
        <v>-32</v>
      </c>
      <c r="AU1179">
        <v>256</v>
      </c>
      <c r="BC1179">
        <v>1200</v>
      </c>
      <c r="BD1179">
        <v>1</v>
      </c>
      <c r="BE1179" t="str">
        <f t="shared" si="56"/>
        <v xml:space="preserve">N215T   </v>
      </c>
      <c r="BF1179">
        <v>1</v>
      </c>
      <c r="BH1179">
        <v>0</v>
      </c>
      <c r="BI1179">
        <v>0</v>
      </c>
      <c r="BJ1179">
        <v>0</v>
      </c>
      <c r="BK1179">
        <v>2350</v>
      </c>
      <c r="BL1179">
        <v>250</v>
      </c>
      <c r="BM1179" t="s">
        <v>119</v>
      </c>
      <c r="BN1179">
        <v>1</v>
      </c>
      <c r="BO1179">
        <v>1</v>
      </c>
      <c r="BP1179">
        <v>1</v>
      </c>
      <c r="BQ1179">
        <v>0</v>
      </c>
      <c r="BT1179">
        <v>0</v>
      </c>
      <c r="BU1179">
        <v>0</v>
      </c>
      <c r="BV1179">
        <v>0</v>
      </c>
      <c r="CC1179" t="str">
        <f>"18:54:21.063"</f>
        <v>18:54:21.063</v>
      </c>
      <c r="CD1179" t="str">
        <f>"062609581"</f>
        <v>062609581</v>
      </c>
      <c r="CQ1179">
        <v>0</v>
      </c>
      <c r="CR1179">
        <v>2</v>
      </c>
      <c r="CS1179">
        <v>0</v>
      </c>
      <c r="CT1179">
        <v>2</v>
      </c>
      <c r="CU1179">
        <v>0</v>
      </c>
      <c r="CV1179">
        <v>5</v>
      </c>
      <c r="CW1179" t="s">
        <v>120</v>
      </c>
      <c r="CX1179">
        <v>261</v>
      </c>
      <c r="CY1179">
        <v>2</v>
      </c>
      <c r="CZ1179" t="s">
        <v>121</v>
      </c>
      <c r="DA1179" t="s">
        <v>122</v>
      </c>
      <c r="DD1179">
        <v>14899261</v>
      </c>
      <c r="DE1179" t="s">
        <v>123</v>
      </c>
    </row>
    <row r="1180" spans="1:109" x14ac:dyDescent="0.3">
      <c r="A1180" t="str">
        <f>"18:54:22.719"</f>
        <v>18:54:22.719</v>
      </c>
      <c r="B1180" t="s">
        <v>110</v>
      </c>
      <c r="C1180" t="str">
        <f t="shared" si="54"/>
        <v>ffdfd3c0</v>
      </c>
      <c r="D1180" t="s">
        <v>111</v>
      </c>
      <c r="E1180">
        <v>18</v>
      </c>
      <c r="F1180">
        <v>1018</v>
      </c>
      <c r="G1180" t="s">
        <v>112</v>
      </c>
      <c r="J1180" t="s">
        <v>113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R1180" t="s">
        <v>114</v>
      </c>
      <c r="S1180" t="str">
        <f>"18:54:22.516"</f>
        <v>18:54:22.516</v>
      </c>
      <c r="T1180" t="str">
        <f>"18:54:22.516"</f>
        <v>18:54:22.516</v>
      </c>
      <c r="U1180" t="str">
        <f t="shared" si="55"/>
        <v>a1cdbe</v>
      </c>
      <c r="V1180">
        <v>0</v>
      </c>
      <c r="W1180">
        <v>0</v>
      </c>
      <c r="X1180">
        <v>1</v>
      </c>
      <c r="Y1180">
        <v>0</v>
      </c>
      <c r="Z1180">
        <v>0</v>
      </c>
      <c r="AB1180">
        <v>0</v>
      </c>
      <c r="AC1180">
        <v>9</v>
      </c>
      <c r="AD1180">
        <v>3</v>
      </c>
      <c r="AE1180">
        <v>0</v>
      </c>
      <c r="AF1180">
        <v>9</v>
      </c>
      <c r="AG1180" t="s">
        <v>158</v>
      </c>
      <c r="AH1180">
        <v>0</v>
      </c>
      <c r="AI1180">
        <v>3</v>
      </c>
      <c r="AJ1180">
        <v>1</v>
      </c>
      <c r="AK1180">
        <v>0</v>
      </c>
      <c r="AL1180" t="s">
        <v>2315</v>
      </c>
      <c r="AM1180">
        <v>46.833150000000003</v>
      </c>
      <c r="AN1180" t="s">
        <v>2316</v>
      </c>
      <c r="AO1180">
        <v>-122.608559</v>
      </c>
      <c r="AP1180">
        <v>100</v>
      </c>
      <c r="AQ1180">
        <v>2100</v>
      </c>
      <c r="AR1180" t="s">
        <v>118</v>
      </c>
      <c r="AS1180">
        <v>-70</v>
      </c>
      <c r="AT1180">
        <v>-32</v>
      </c>
      <c r="AU1180">
        <v>64</v>
      </c>
      <c r="BC1180">
        <v>1200</v>
      </c>
      <c r="BD1180">
        <v>1</v>
      </c>
      <c r="BE1180" t="str">
        <f t="shared" si="56"/>
        <v xml:space="preserve">N215T   </v>
      </c>
      <c r="BF1180">
        <v>1</v>
      </c>
      <c r="BH1180">
        <v>0</v>
      </c>
      <c r="BI1180">
        <v>0</v>
      </c>
      <c r="BJ1180">
        <v>0</v>
      </c>
      <c r="BK1180">
        <v>2450</v>
      </c>
      <c r="BL1180">
        <v>350</v>
      </c>
      <c r="BM1180" t="s">
        <v>119</v>
      </c>
      <c r="BN1180">
        <v>1</v>
      </c>
      <c r="BO1180">
        <v>1</v>
      </c>
      <c r="BP1180">
        <v>1</v>
      </c>
      <c r="BQ1180">
        <v>0</v>
      </c>
      <c r="BT1180">
        <v>0</v>
      </c>
      <c r="BU1180">
        <v>0</v>
      </c>
      <c r="BV1180">
        <v>0</v>
      </c>
      <c r="CC1180" t="str">
        <f>"18:54:22.516"</f>
        <v>18:54:22.516</v>
      </c>
      <c r="CD1180" t="str">
        <f>"517466359"</f>
        <v>517466359</v>
      </c>
      <c r="CQ1180">
        <v>0</v>
      </c>
      <c r="CR1180">
        <v>2</v>
      </c>
      <c r="CS1180">
        <v>0</v>
      </c>
      <c r="CT1180">
        <v>2</v>
      </c>
      <c r="CU1180">
        <v>0</v>
      </c>
      <c r="CV1180">
        <v>6</v>
      </c>
      <c r="CW1180" t="s">
        <v>120</v>
      </c>
      <c r="CX1180">
        <v>261</v>
      </c>
      <c r="CY1180">
        <v>2</v>
      </c>
      <c r="CZ1180" t="s">
        <v>121</v>
      </c>
      <c r="DA1180" t="s">
        <v>122</v>
      </c>
      <c r="DD1180">
        <v>14900119</v>
      </c>
      <c r="DE1180" t="s">
        <v>123</v>
      </c>
    </row>
    <row r="1181" spans="1:109" x14ac:dyDescent="0.3">
      <c r="A1181" t="str">
        <f>"18:54:23.828"</f>
        <v>18:54:23.828</v>
      </c>
      <c r="B1181" t="s">
        <v>110</v>
      </c>
      <c r="C1181" t="str">
        <f t="shared" si="54"/>
        <v>ffdfd3c0</v>
      </c>
      <c r="D1181" t="s">
        <v>111</v>
      </c>
      <c r="E1181">
        <v>18</v>
      </c>
      <c r="F1181">
        <v>1018</v>
      </c>
      <c r="G1181" t="s">
        <v>112</v>
      </c>
      <c r="J1181" t="s">
        <v>113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R1181" t="s">
        <v>114</v>
      </c>
      <c r="S1181" t="str">
        <f>"18:54:23.609"</f>
        <v>18:54:23.609</v>
      </c>
      <c r="T1181" t="str">
        <f>"18:54:23.109"</f>
        <v>18:54:23.109</v>
      </c>
      <c r="U1181" t="str">
        <f t="shared" si="55"/>
        <v>a1cdbe</v>
      </c>
      <c r="V1181">
        <v>0</v>
      </c>
      <c r="W1181">
        <v>0</v>
      </c>
      <c r="X1181">
        <v>1</v>
      </c>
      <c r="Y1181">
        <v>0</v>
      </c>
      <c r="Z1181">
        <v>0</v>
      </c>
      <c r="AB1181">
        <v>0</v>
      </c>
      <c r="AC1181">
        <v>9</v>
      </c>
      <c r="AD1181">
        <v>3</v>
      </c>
      <c r="AE1181">
        <v>0</v>
      </c>
      <c r="AF1181">
        <v>9</v>
      </c>
      <c r="AG1181" t="s">
        <v>158</v>
      </c>
      <c r="AH1181">
        <v>0</v>
      </c>
      <c r="AI1181">
        <v>3</v>
      </c>
      <c r="AJ1181">
        <v>1</v>
      </c>
      <c r="AK1181">
        <v>0</v>
      </c>
      <c r="AL1181" t="s">
        <v>2317</v>
      </c>
      <c r="AM1181">
        <v>46.832979000000002</v>
      </c>
      <c r="AN1181" t="s">
        <v>2318</v>
      </c>
      <c r="AO1181">
        <v>-122.609031</v>
      </c>
      <c r="AP1181">
        <v>100</v>
      </c>
      <c r="AQ1181">
        <v>2100</v>
      </c>
      <c r="AR1181" t="s">
        <v>118</v>
      </c>
      <c r="AS1181">
        <v>-70</v>
      </c>
      <c r="AT1181">
        <v>-32</v>
      </c>
      <c r="AU1181">
        <v>64</v>
      </c>
      <c r="BC1181">
        <v>1200</v>
      </c>
      <c r="BD1181">
        <v>1</v>
      </c>
      <c r="BE1181" t="str">
        <f t="shared" si="56"/>
        <v xml:space="preserve">N215T   </v>
      </c>
      <c r="BF1181">
        <v>1</v>
      </c>
      <c r="BH1181">
        <v>0</v>
      </c>
      <c r="BI1181">
        <v>0</v>
      </c>
      <c r="BJ1181">
        <v>0</v>
      </c>
      <c r="BK1181">
        <v>2450</v>
      </c>
      <c r="BL1181">
        <v>350</v>
      </c>
      <c r="BM1181" t="s">
        <v>119</v>
      </c>
      <c r="BN1181">
        <v>1</v>
      </c>
      <c r="BO1181">
        <v>1</v>
      </c>
      <c r="BP1181">
        <v>1</v>
      </c>
      <c r="BQ1181">
        <v>0</v>
      </c>
      <c r="BT1181">
        <v>0</v>
      </c>
      <c r="BU1181">
        <v>0</v>
      </c>
      <c r="BV1181">
        <v>0</v>
      </c>
      <c r="CC1181" t="str">
        <f>"18:54:23.609"</f>
        <v>18:54:23.609</v>
      </c>
      <c r="CD1181" t="str">
        <f>"612358570"</f>
        <v>612358570</v>
      </c>
      <c r="CQ1181">
        <v>0</v>
      </c>
      <c r="CR1181">
        <v>2</v>
      </c>
      <c r="CS1181">
        <v>0</v>
      </c>
      <c r="CT1181">
        <v>2</v>
      </c>
      <c r="CU1181">
        <v>0</v>
      </c>
      <c r="CV1181">
        <v>5</v>
      </c>
      <c r="CW1181" t="s">
        <v>120</v>
      </c>
      <c r="CX1181">
        <v>261</v>
      </c>
      <c r="CY1181">
        <v>2</v>
      </c>
      <c r="CZ1181" t="s">
        <v>121</v>
      </c>
      <c r="DA1181" t="s">
        <v>122</v>
      </c>
      <c r="DD1181">
        <v>14900819</v>
      </c>
      <c r="DE1181" t="s">
        <v>123</v>
      </c>
    </row>
    <row r="1182" spans="1:109" x14ac:dyDescent="0.3">
      <c r="A1182" t="str">
        <f>"18:54:24.836"</f>
        <v>18:54:24.836</v>
      </c>
      <c r="B1182" t="s">
        <v>110</v>
      </c>
      <c r="C1182" t="str">
        <f t="shared" si="54"/>
        <v>ffdfd3c0</v>
      </c>
      <c r="D1182" t="s">
        <v>111</v>
      </c>
      <c r="E1182">
        <v>18</v>
      </c>
      <c r="F1182">
        <v>1018</v>
      </c>
      <c r="G1182" t="s">
        <v>112</v>
      </c>
      <c r="J1182" t="s">
        <v>113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R1182" t="s">
        <v>114</v>
      </c>
      <c r="S1182" t="str">
        <f>"18:54:24.570"</f>
        <v>18:54:24.570</v>
      </c>
      <c r="T1182" t="str">
        <f>"18:54:24.070"</f>
        <v>18:54:24.070</v>
      </c>
      <c r="U1182" t="str">
        <f t="shared" si="55"/>
        <v>a1cdbe</v>
      </c>
      <c r="V1182">
        <v>0</v>
      </c>
      <c r="W1182">
        <v>0</v>
      </c>
      <c r="X1182">
        <v>1</v>
      </c>
      <c r="Y1182">
        <v>0</v>
      </c>
      <c r="Z1182">
        <v>0</v>
      </c>
      <c r="AB1182">
        <v>0</v>
      </c>
      <c r="AC1182">
        <v>9</v>
      </c>
      <c r="AD1182">
        <v>3</v>
      </c>
      <c r="AE1182">
        <v>0</v>
      </c>
      <c r="AF1182">
        <v>9</v>
      </c>
      <c r="AG1182" t="s">
        <v>158</v>
      </c>
      <c r="AH1182">
        <v>0</v>
      </c>
      <c r="AI1182">
        <v>3</v>
      </c>
      <c r="AJ1182">
        <v>1</v>
      </c>
      <c r="AK1182">
        <v>0</v>
      </c>
      <c r="AL1182" t="s">
        <v>2319</v>
      </c>
      <c r="AM1182">
        <v>46.832850000000001</v>
      </c>
      <c r="AN1182" t="s">
        <v>2320</v>
      </c>
      <c r="AO1182">
        <v>-122.609482</v>
      </c>
      <c r="AP1182">
        <v>100</v>
      </c>
      <c r="AQ1182">
        <v>2100</v>
      </c>
      <c r="AR1182" t="s">
        <v>118</v>
      </c>
      <c r="AS1182">
        <v>-70</v>
      </c>
      <c r="AT1182">
        <v>-33</v>
      </c>
      <c r="AU1182">
        <v>0</v>
      </c>
      <c r="BC1182">
        <v>1200</v>
      </c>
      <c r="BD1182">
        <v>1</v>
      </c>
      <c r="BE1182" t="str">
        <f t="shared" si="56"/>
        <v xml:space="preserve">N215T   </v>
      </c>
      <c r="BF1182">
        <v>1</v>
      </c>
      <c r="BH1182">
        <v>0</v>
      </c>
      <c r="BI1182">
        <v>0</v>
      </c>
      <c r="BJ1182">
        <v>0</v>
      </c>
      <c r="BK1182">
        <v>2450</v>
      </c>
      <c r="BL1182">
        <v>350</v>
      </c>
      <c r="BM1182" t="s">
        <v>119</v>
      </c>
      <c r="BN1182">
        <v>1</v>
      </c>
      <c r="BO1182">
        <v>1</v>
      </c>
      <c r="BP1182">
        <v>1</v>
      </c>
      <c r="BQ1182">
        <v>0</v>
      </c>
      <c r="BT1182">
        <v>0</v>
      </c>
      <c r="BU1182">
        <v>0</v>
      </c>
      <c r="BV1182">
        <v>0</v>
      </c>
      <c r="CC1182" t="str">
        <f>"18:54:24.570"</f>
        <v>18:54:24.570</v>
      </c>
      <c r="CD1182" t="str">
        <f>"572264081"</f>
        <v>572264081</v>
      </c>
      <c r="CQ1182">
        <v>0</v>
      </c>
      <c r="CR1182">
        <v>2</v>
      </c>
      <c r="CS1182">
        <v>0</v>
      </c>
      <c r="CT1182">
        <v>2</v>
      </c>
      <c r="CU1182">
        <v>0</v>
      </c>
      <c r="CV1182">
        <v>5</v>
      </c>
      <c r="CW1182" t="s">
        <v>120</v>
      </c>
      <c r="CX1182">
        <v>261</v>
      </c>
      <c r="CY1182">
        <v>2</v>
      </c>
      <c r="CZ1182" t="s">
        <v>121</v>
      </c>
      <c r="DA1182" t="s">
        <v>122</v>
      </c>
      <c r="DD1182">
        <v>14901427</v>
      </c>
      <c r="DE1182" t="s">
        <v>123</v>
      </c>
    </row>
    <row r="1183" spans="1:109" x14ac:dyDescent="0.3">
      <c r="A1183" t="str">
        <f>"18:54:25.836"</f>
        <v>18:54:25.836</v>
      </c>
      <c r="B1183" t="s">
        <v>110</v>
      </c>
      <c r="C1183" t="str">
        <f t="shared" si="54"/>
        <v>ffdfd3c0</v>
      </c>
      <c r="D1183" t="s">
        <v>111</v>
      </c>
      <c r="E1183">
        <v>18</v>
      </c>
      <c r="F1183">
        <v>1018</v>
      </c>
      <c r="G1183" t="s">
        <v>112</v>
      </c>
      <c r="J1183" t="s">
        <v>113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R1183" t="s">
        <v>114</v>
      </c>
      <c r="S1183" t="str">
        <f>"18:54:25.602"</f>
        <v>18:54:25.602</v>
      </c>
      <c r="T1183" t="str">
        <f>"18:54:25.602"</f>
        <v>18:54:25.602</v>
      </c>
      <c r="U1183" t="str">
        <f t="shared" si="55"/>
        <v>a1cdbe</v>
      </c>
      <c r="V1183">
        <v>0</v>
      </c>
      <c r="W1183">
        <v>0</v>
      </c>
      <c r="X1183">
        <v>1</v>
      </c>
      <c r="Y1183">
        <v>0</v>
      </c>
      <c r="Z1183">
        <v>0</v>
      </c>
      <c r="AB1183">
        <v>0</v>
      </c>
      <c r="AC1183">
        <v>9</v>
      </c>
      <c r="AD1183">
        <v>3</v>
      </c>
      <c r="AE1183">
        <v>0</v>
      </c>
      <c r="AF1183">
        <v>9</v>
      </c>
      <c r="AG1183" t="s">
        <v>158</v>
      </c>
      <c r="AH1183">
        <v>0</v>
      </c>
      <c r="AI1183">
        <v>3</v>
      </c>
      <c r="AJ1183">
        <v>1</v>
      </c>
      <c r="AK1183">
        <v>0</v>
      </c>
      <c r="AL1183" t="s">
        <v>2321</v>
      </c>
      <c r="AM1183">
        <v>46.832700000000003</v>
      </c>
      <c r="AN1183" t="s">
        <v>2322</v>
      </c>
      <c r="AO1183">
        <v>-122.60997500000001</v>
      </c>
      <c r="AP1183">
        <v>100</v>
      </c>
      <c r="AQ1183">
        <v>2100</v>
      </c>
      <c r="AR1183" t="s">
        <v>118</v>
      </c>
      <c r="AS1183">
        <v>-71</v>
      </c>
      <c r="AT1183">
        <v>-32</v>
      </c>
      <c r="AU1183">
        <v>-64</v>
      </c>
      <c r="BC1183">
        <v>1200</v>
      </c>
      <c r="BD1183">
        <v>1</v>
      </c>
      <c r="BE1183" t="str">
        <f t="shared" si="56"/>
        <v xml:space="preserve">N215T   </v>
      </c>
      <c r="BF1183">
        <v>1</v>
      </c>
      <c r="BH1183">
        <v>0</v>
      </c>
      <c r="BI1183">
        <v>0</v>
      </c>
      <c r="BJ1183">
        <v>0</v>
      </c>
      <c r="BK1183">
        <v>2450</v>
      </c>
      <c r="BL1183">
        <v>350</v>
      </c>
      <c r="BM1183" t="s">
        <v>119</v>
      </c>
      <c r="BN1183">
        <v>1</v>
      </c>
      <c r="BO1183">
        <v>1</v>
      </c>
      <c r="BP1183">
        <v>1</v>
      </c>
      <c r="BQ1183">
        <v>0</v>
      </c>
      <c r="BT1183">
        <v>0</v>
      </c>
      <c r="BU1183">
        <v>0</v>
      </c>
      <c r="BV1183">
        <v>0</v>
      </c>
      <c r="CC1183" t="str">
        <f>"18:54:25.609"</f>
        <v>18:54:25.609</v>
      </c>
      <c r="CD1183" t="str">
        <f>"607162209"</f>
        <v>607162209</v>
      </c>
      <c r="CQ1183">
        <v>0</v>
      </c>
      <c r="CR1183">
        <v>2</v>
      </c>
      <c r="CS1183">
        <v>0</v>
      </c>
      <c r="CT1183">
        <v>2</v>
      </c>
      <c r="CU1183">
        <v>0</v>
      </c>
      <c r="CV1183">
        <v>5</v>
      </c>
      <c r="CW1183" t="s">
        <v>120</v>
      </c>
      <c r="CX1183">
        <v>261</v>
      </c>
      <c r="CY1183">
        <v>2</v>
      </c>
      <c r="CZ1183" t="s">
        <v>121</v>
      </c>
      <c r="DA1183" t="s">
        <v>122</v>
      </c>
      <c r="DD1183">
        <v>14902117</v>
      </c>
      <c r="DE1183" t="s">
        <v>123</v>
      </c>
    </row>
    <row r="1184" spans="1:109" x14ac:dyDescent="0.3">
      <c r="A1184" t="str">
        <f>"18:54:27.445"</f>
        <v>18:54:27.445</v>
      </c>
      <c r="B1184" t="s">
        <v>110</v>
      </c>
      <c r="C1184" t="str">
        <f t="shared" si="54"/>
        <v>ffdfd3c0</v>
      </c>
      <c r="D1184" t="s">
        <v>111</v>
      </c>
      <c r="E1184">
        <v>18</v>
      </c>
      <c r="F1184">
        <v>1018</v>
      </c>
      <c r="G1184" t="s">
        <v>112</v>
      </c>
      <c r="J1184" t="s">
        <v>113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R1184" t="s">
        <v>114</v>
      </c>
      <c r="S1184" t="str">
        <f>"18:54:27.211"</f>
        <v>18:54:27.211</v>
      </c>
      <c r="T1184" t="str">
        <f>"18:54:27.211"</f>
        <v>18:54:27.211</v>
      </c>
      <c r="U1184" t="str">
        <f t="shared" si="55"/>
        <v>a1cdbe</v>
      </c>
      <c r="V1184">
        <v>0</v>
      </c>
      <c r="W1184">
        <v>0</v>
      </c>
      <c r="X1184">
        <v>1</v>
      </c>
      <c r="Y1184">
        <v>0</v>
      </c>
      <c r="Z1184">
        <v>0</v>
      </c>
      <c r="AB1184">
        <v>0</v>
      </c>
      <c r="AC1184">
        <v>9</v>
      </c>
      <c r="AD1184">
        <v>3</v>
      </c>
      <c r="AE1184">
        <v>0</v>
      </c>
      <c r="AF1184">
        <v>9</v>
      </c>
      <c r="AG1184" t="s">
        <v>158</v>
      </c>
      <c r="AH1184">
        <v>0</v>
      </c>
      <c r="AI1184">
        <v>3</v>
      </c>
      <c r="AJ1184">
        <v>1</v>
      </c>
      <c r="AK1184">
        <v>0</v>
      </c>
      <c r="AL1184" t="s">
        <v>2323</v>
      </c>
      <c r="AM1184">
        <v>46.832464000000002</v>
      </c>
      <c r="AN1184" t="s">
        <v>2324</v>
      </c>
      <c r="AO1184">
        <v>-122.610769</v>
      </c>
      <c r="AP1184">
        <v>100</v>
      </c>
      <c r="AQ1184">
        <v>2100</v>
      </c>
      <c r="AR1184" t="s">
        <v>118</v>
      </c>
      <c r="AS1184">
        <v>-72</v>
      </c>
      <c r="AT1184">
        <v>-31</v>
      </c>
      <c r="AU1184">
        <v>-128</v>
      </c>
      <c r="BC1184">
        <v>1200</v>
      </c>
      <c r="BD1184">
        <v>1</v>
      </c>
      <c r="BE1184" t="str">
        <f t="shared" si="56"/>
        <v xml:space="preserve">N215T   </v>
      </c>
      <c r="BF1184">
        <v>1</v>
      </c>
      <c r="BH1184">
        <v>0</v>
      </c>
      <c r="BI1184">
        <v>0</v>
      </c>
      <c r="BJ1184">
        <v>0</v>
      </c>
      <c r="BK1184">
        <v>2450</v>
      </c>
      <c r="BL1184">
        <v>350</v>
      </c>
      <c r="BM1184" t="s">
        <v>119</v>
      </c>
      <c r="BN1184">
        <v>1</v>
      </c>
      <c r="BO1184">
        <v>1</v>
      </c>
      <c r="BP1184">
        <v>1</v>
      </c>
      <c r="BQ1184">
        <v>0</v>
      </c>
      <c r="BT1184">
        <v>0</v>
      </c>
      <c r="BU1184">
        <v>0</v>
      </c>
      <c r="BV1184">
        <v>0</v>
      </c>
      <c r="CC1184" t="str">
        <f>"18:54:27.211"</f>
        <v>18:54:27.211</v>
      </c>
      <c r="CD1184" t="str">
        <f>"212004216"</f>
        <v>212004216</v>
      </c>
      <c r="CQ1184">
        <v>0</v>
      </c>
      <c r="CR1184">
        <v>2</v>
      </c>
      <c r="CS1184">
        <v>0</v>
      </c>
      <c r="CT1184">
        <v>2</v>
      </c>
      <c r="CU1184">
        <v>0</v>
      </c>
      <c r="CV1184">
        <v>6</v>
      </c>
      <c r="CW1184" t="s">
        <v>120</v>
      </c>
      <c r="CX1184">
        <v>261</v>
      </c>
      <c r="CY1184">
        <v>2</v>
      </c>
      <c r="CZ1184" t="s">
        <v>121</v>
      </c>
      <c r="DA1184" t="s">
        <v>122</v>
      </c>
      <c r="DD1184">
        <v>14903093</v>
      </c>
      <c r="DE1184" t="s">
        <v>123</v>
      </c>
    </row>
    <row r="1185" spans="1:109" x14ac:dyDescent="0.3">
      <c r="A1185" t="str">
        <f>"18:54:28.305"</f>
        <v>18:54:28.305</v>
      </c>
      <c r="B1185" t="s">
        <v>110</v>
      </c>
      <c r="C1185" t="str">
        <f t="shared" si="54"/>
        <v>ffdfd3c0</v>
      </c>
      <c r="D1185" t="s">
        <v>111</v>
      </c>
      <c r="E1185">
        <v>18</v>
      </c>
      <c r="F1185">
        <v>1018</v>
      </c>
      <c r="G1185" t="s">
        <v>112</v>
      </c>
      <c r="J1185" t="s">
        <v>113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R1185" t="s">
        <v>114</v>
      </c>
      <c r="S1185" t="str">
        <f>"18:54:28.078"</f>
        <v>18:54:28.078</v>
      </c>
      <c r="T1185" t="str">
        <f>"18:54:27.680"</f>
        <v>18:54:27.680</v>
      </c>
      <c r="U1185" t="str">
        <f t="shared" si="55"/>
        <v>a1cdbe</v>
      </c>
      <c r="V1185">
        <v>0</v>
      </c>
      <c r="W1185">
        <v>0</v>
      </c>
      <c r="X1185">
        <v>1</v>
      </c>
      <c r="Y1185">
        <v>0</v>
      </c>
      <c r="Z1185">
        <v>0</v>
      </c>
      <c r="AB1185">
        <v>0</v>
      </c>
      <c r="AC1185">
        <v>9</v>
      </c>
      <c r="AD1185">
        <v>3</v>
      </c>
      <c r="AE1185">
        <v>0</v>
      </c>
      <c r="AF1185">
        <v>9</v>
      </c>
      <c r="AG1185" t="s">
        <v>158</v>
      </c>
      <c r="AH1185">
        <v>0</v>
      </c>
      <c r="AI1185">
        <v>3</v>
      </c>
      <c r="AJ1185">
        <v>1</v>
      </c>
      <c r="AK1185">
        <v>0</v>
      </c>
      <c r="AL1185" t="s">
        <v>2325</v>
      </c>
      <c r="AM1185">
        <v>46.832335</v>
      </c>
      <c r="AN1185" t="s">
        <v>2326</v>
      </c>
      <c r="AO1185">
        <v>-122.611177</v>
      </c>
      <c r="AP1185">
        <v>100</v>
      </c>
      <c r="AQ1185">
        <v>2100</v>
      </c>
      <c r="AR1185" t="s">
        <v>118</v>
      </c>
      <c r="AS1185">
        <v>-73</v>
      </c>
      <c r="AT1185">
        <v>-31</v>
      </c>
      <c r="AU1185">
        <v>-128</v>
      </c>
      <c r="BC1185">
        <v>1200</v>
      </c>
      <c r="BD1185">
        <v>1</v>
      </c>
      <c r="BE1185" t="str">
        <f t="shared" si="56"/>
        <v xml:space="preserve">N215T   </v>
      </c>
      <c r="BF1185">
        <v>1</v>
      </c>
      <c r="BH1185">
        <v>0</v>
      </c>
      <c r="BI1185">
        <v>0</v>
      </c>
      <c r="BJ1185">
        <v>0</v>
      </c>
      <c r="BK1185">
        <v>2450</v>
      </c>
      <c r="BL1185">
        <v>350</v>
      </c>
      <c r="BM1185" t="s">
        <v>119</v>
      </c>
      <c r="BN1185">
        <v>1</v>
      </c>
      <c r="BO1185">
        <v>1</v>
      </c>
      <c r="BP1185">
        <v>1</v>
      </c>
      <c r="BQ1185">
        <v>0</v>
      </c>
      <c r="BT1185">
        <v>0</v>
      </c>
      <c r="BU1185">
        <v>0</v>
      </c>
      <c r="BV1185">
        <v>0</v>
      </c>
      <c r="CC1185" t="str">
        <f>"18:54:28.078"</f>
        <v>18:54:28.078</v>
      </c>
      <c r="CD1185" t="str">
        <f>"081918566"</f>
        <v>081918566</v>
      </c>
      <c r="CQ1185">
        <v>0</v>
      </c>
      <c r="CR1185">
        <v>2</v>
      </c>
      <c r="CS1185">
        <v>0</v>
      </c>
      <c r="CT1185">
        <v>2</v>
      </c>
      <c r="CU1185">
        <v>0</v>
      </c>
      <c r="CV1185">
        <v>6</v>
      </c>
      <c r="CW1185" t="s">
        <v>120</v>
      </c>
      <c r="CX1185">
        <v>261</v>
      </c>
      <c r="CY1185">
        <v>2</v>
      </c>
      <c r="CZ1185" t="s">
        <v>121</v>
      </c>
      <c r="DA1185" t="s">
        <v>122</v>
      </c>
      <c r="DD1185">
        <v>14903658</v>
      </c>
      <c r="DE1185" t="s">
        <v>123</v>
      </c>
    </row>
    <row r="1186" spans="1:109" x14ac:dyDescent="0.3">
      <c r="A1186" t="str">
        <f>"18:54:29.258"</f>
        <v>18:54:29.258</v>
      </c>
      <c r="B1186" t="s">
        <v>110</v>
      </c>
      <c r="C1186" t="str">
        <f t="shared" si="54"/>
        <v>ffdfd3c0</v>
      </c>
      <c r="D1186" t="s">
        <v>111</v>
      </c>
      <c r="E1186">
        <v>18</v>
      </c>
      <c r="F1186">
        <v>1018</v>
      </c>
      <c r="G1186" t="s">
        <v>112</v>
      </c>
      <c r="J1186" t="s">
        <v>113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R1186" t="s">
        <v>114</v>
      </c>
      <c r="S1186" t="str">
        <f>"18:54:28.977"</f>
        <v>18:54:28.977</v>
      </c>
      <c r="T1186" t="str">
        <f>"18:54:28.578"</f>
        <v>18:54:28.578</v>
      </c>
      <c r="U1186" t="str">
        <f t="shared" si="55"/>
        <v>a1cdbe</v>
      </c>
      <c r="V1186">
        <v>0</v>
      </c>
      <c r="W1186">
        <v>0</v>
      </c>
      <c r="X1186">
        <v>1</v>
      </c>
      <c r="Y1186">
        <v>0</v>
      </c>
      <c r="Z1186">
        <v>0</v>
      </c>
      <c r="AB1186">
        <v>0</v>
      </c>
      <c r="AC1186">
        <v>9</v>
      </c>
      <c r="AD1186">
        <v>3</v>
      </c>
      <c r="AE1186">
        <v>0</v>
      </c>
      <c r="AF1186">
        <v>9</v>
      </c>
      <c r="AG1186" t="s">
        <v>158</v>
      </c>
      <c r="AH1186">
        <v>0</v>
      </c>
      <c r="AI1186">
        <v>3</v>
      </c>
      <c r="AJ1186">
        <v>1</v>
      </c>
      <c r="AK1186">
        <v>0</v>
      </c>
      <c r="AL1186" t="s">
        <v>2327</v>
      </c>
      <c r="AM1186">
        <v>46.832205999999999</v>
      </c>
      <c r="AN1186" t="s">
        <v>2328</v>
      </c>
      <c r="AO1186">
        <v>-122.61167</v>
      </c>
      <c r="AP1186">
        <v>100</v>
      </c>
      <c r="AQ1186">
        <v>2100</v>
      </c>
      <c r="AR1186" t="s">
        <v>118</v>
      </c>
      <c r="AS1186">
        <v>-74</v>
      </c>
      <c r="AT1186">
        <v>-30</v>
      </c>
      <c r="AU1186">
        <v>-192</v>
      </c>
      <c r="BC1186">
        <v>1200</v>
      </c>
      <c r="BD1186">
        <v>1</v>
      </c>
      <c r="BE1186" t="str">
        <f t="shared" si="56"/>
        <v xml:space="preserve">N215T   </v>
      </c>
      <c r="BF1186">
        <v>1</v>
      </c>
      <c r="BH1186">
        <v>0</v>
      </c>
      <c r="BI1186">
        <v>0</v>
      </c>
      <c r="BJ1186">
        <v>0</v>
      </c>
      <c r="BK1186">
        <v>2425</v>
      </c>
      <c r="BL1186">
        <v>325</v>
      </c>
      <c r="BM1186" t="s">
        <v>119</v>
      </c>
      <c r="BN1186">
        <v>1</v>
      </c>
      <c r="BO1186">
        <v>1</v>
      </c>
      <c r="BP1186">
        <v>1</v>
      </c>
      <c r="BQ1186">
        <v>0</v>
      </c>
      <c r="BT1186">
        <v>0</v>
      </c>
      <c r="BU1186">
        <v>0</v>
      </c>
      <c r="BV1186">
        <v>0</v>
      </c>
      <c r="CC1186" t="str">
        <f>"18:54:28.984"</f>
        <v>18:54:28.984</v>
      </c>
      <c r="CD1186" t="str">
        <f>"981829978"</f>
        <v>981829978</v>
      </c>
      <c r="CQ1186">
        <v>0</v>
      </c>
      <c r="CR1186">
        <v>2</v>
      </c>
      <c r="CS1186">
        <v>0</v>
      </c>
      <c r="CT1186">
        <v>2</v>
      </c>
      <c r="CU1186">
        <v>0</v>
      </c>
      <c r="CV1186">
        <v>6</v>
      </c>
      <c r="CW1186" t="s">
        <v>120</v>
      </c>
      <c r="CX1186">
        <v>261</v>
      </c>
      <c r="CY1186">
        <v>2</v>
      </c>
      <c r="CZ1186" t="s">
        <v>121</v>
      </c>
      <c r="DA1186" t="s">
        <v>122</v>
      </c>
      <c r="DD1186">
        <v>14904236</v>
      </c>
      <c r="DE1186" t="s">
        <v>123</v>
      </c>
    </row>
    <row r="1187" spans="1:109" x14ac:dyDescent="0.3">
      <c r="A1187" t="str">
        <f>"18:54:30.313"</f>
        <v>18:54:30.313</v>
      </c>
      <c r="B1187" t="s">
        <v>110</v>
      </c>
      <c r="C1187" t="str">
        <f t="shared" si="54"/>
        <v>ffdfd3c0</v>
      </c>
      <c r="D1187" t="s">
        <v>111</v>
      </c>
      <c r="E1187">
        <v>18</v>
      </c>
      <c r="F1187">
        <v>1018</v>
      </c>
      <c r="G1187" t="s">
        <v>112</v>
      </c>
      <c r="J1187" t="s">
        <v>113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R1187" t="s">
        <v>114</v>
      </c>
      <c r="S1187" t="str">
        <f>"18:54:30.102"</f>
        <v>18:54:30.102</v>
      </c>
      <c r="T1187" t="str">
        <f>"18:54:29.703"</f>
        <v>18:54:29.703</v>
      </c>
      <c r="U1187" t="str">
        <f t="shared" si="55"/>
        <v>a1cdbe</v>
      </c>
      <c r="V1187">
        <v>0</v>
      </c>
      <c r="W1187">
        <v>0</v>
      </c>
      <c r="X1187">
        <v>1</v>
      </c>
      <c r="Y1187">
        <v>0</v>
      </c>
      <c r="Z1187">
        <v>0</v>
      </c>
      <c r="AB1187">
        <v>0</v>
      </c>
      <c r="AC1187">
        <v>9</v>
      </c>
      <c r="AD1187">
        <v>3</v>
      </c>
      <c r="AE1187">
        <v>0</v>
      </c>
      <c r="AF1187">
        <v>9</v>
      </c>
      <c r="AG1187" t="s">
        <v>158</v>
      </c>
      <c r="AH1187">
        <v>0</v>
      </c>
      <c r="AI1187">
        <v>3</v>
      </c>
      <c r="AJ1187">
        <v>1</v>
      </c>
      <c r="AK1187">
        <v>0</v>
      </c>
      <c r="AL1187" t="s">
        <v>2329</v>
      </c>
      <c r="AM1187">
        <v>46.832056000000001</v>
      </c>
      <c r="AN1187" t="s">
        <v>2330</v>
      </c>
      <c r="AO1187">
        <v>-122.61225</v>
      </c>
      <c r="AP1187">
        <v>100</v>
      </c>
      <c r="AQ1187">
        <v>2000</v>
      </c>
      <c r="AR1187" t="s">
        <v>118</v>
      </c>
      <c r="AS1187">
        <v>-75</v>
      </c>
      <c r="AT1187">
        <v>-29</v>
      </c>
      <c r="AU1187">
        <v>-256</v>
      </c>
      <c r="BC1187">
        <v>1200</v>
      </c>
      <c r="BD1187">
        <v>1</v>
      </c>
      <c r="BE1187" t="str">
        <f t="shared" si="56"/>
        <v xml:space="preserve">N215T   </v>
      </c>
      <c r="BF1187">
        <v>1</v>
      </c>
      <c r="BH1187">
        <v>0</v>
      </c>
      <c r="BI1187">
        <v>0</v>
      </c>
      <c r="BJ1187">
        <v>0</v>
      </c>
      <c r="BK1187">
        <v>2425</v>
      </c>
      <c r="BL1187">
        <v>425</v>
      </c>
      <c r="BM1187" t="s">
        <v>119</v>
      </c>
      <c r="BN1187">
        <v>1</v>
      </c>
      <c r="BO1187">
        <v>1</v>
      </c>
      <c r="BP1187">
        <v>1</v>
      </c>
      <c r="BQ1187">
        <v>0</v>
      </c>
      <c r="BT1187">
        <v>0</v>
      </c>
      <c r="BU1187">
        <v>0</v>
      </c>
      <c r="BV1187">
        <v>0</v>
      </c>
      <c r="CC1187" t="str">
        <f>"18:54:30.109"</f>
        <v>18:54:30.109</v>
      </c>
      <c r="CD1187" t="str">
        <f>"106719222"</f>
        <v>106719222</v>
      </c>
      <c r="CQ1187">
        <v>0</v>
      </c>
      <c r="CR1187">
        <v>2</v>
      </c>
      <c r="CS1187">
        <v>0</v>
      </c>
      <c r="CT1187">
        <v>2</v>
      </c>
      <c r="CU1187">
        <v>0</v>
      </c>
      <c r="CV1187">
        <v>6</v>
      </c>
      <c r="CW1187" t="s">
        <v>120</v>
      </c>
      <c r="CX1187">
        <v>261</v>
      </c>
      <c r="CY1187">
        <v>2</v>
      </c>
      <c r="CZ1187" t="s">
        <v>121</v>
      </c>
      <c r="DA1187" t="s">
        <v>122</v>
      </c>
      <c r="DD1187">
        <v>14905048</v>
      </c>
      <c r="DE1187" t="s">
        <v>123</v>
      </c>
    </row>
    <row r="1188" spans="1:109" x14ac:dyDescent="0.3">
      <c r="A1188" t="str">
        <f>"18:54:31.367"</f>
        <v>18:54:31.367</v>
      </c>
      <c r="B1188" t="s">
        <v>110</v>
      </c>
      <c r="C1188" t="str">
        <f t="shared" si="54"/>
        <v>ffdfd3c0</v>
      </c>
      <c r="D1188" t="s">
        <v>111</v>
      </c>
      <c r="E1188">
        <v>18</v>
      </c>
      <c r="F1188">
        <v>1018</v>
      </c>
      <c r="G1188" t="s">
        <v>112</v>
      </c>
      <c r="J1188" t="s">
        <v>113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R1188" t="s">
        <v>114</v>
      </c>
      <c r="S1188" t="str">
        <f>"18:54:31.141"</f>
        <v>18:54:31.141</v>
      </c>
      <c r="T1188" t="str">
        <f>"18:54:30.844"</f>
        <v>18:54:30.844</v>
      </c>
      <c r="U1188" t="str">
        <f t="shared" si="55"/>
        <v>a1cdbe</v>
      </c>
      <c r="V1188">
        <v>0</v>
      </c>
      <c r="W1188">
        <v>0</v>
      </c>
      <c r="X1188">
        <v>1</v>
      </c>
      <c r="Y1188">
        <v>0</v>
      </c>
      <c r="Z1188">
        <v>0</v>
      </c>
      <c r="AB1188">
        <v>0</v>
      </c>
      <c r="AC1188">
        <v>9</v>
      </c>
      <c r="AD1188">
        <v>3</v>
      </c>
      <c r="AE1188">
        <v>0</v>
      </c>
      <c r="AF1188">
        <v>9</v>
      </c>
      <c r="AG1188" t="s">
        <v>158</v>
      </c>
      <c r="AH1188">
        <v>0</v>
      </c>
      <c r="AI1188">
        <v>3</v>
      </c>
      <c r="AJ1188">
        <v>1</v>
      </c>
      <c r="AK1188">
        <v>0</v>
      </c>
      <c r="AL1188" t="s">
        <v>2331</v>
      </c>
      <c r="AM1188">
        <v>46.831927</v>
      </c>
      <c r="AN1188" t="s">
        <v>2332</v>
      </c>
      <c r="AO1188">
        <v>-122.612786</v>
      </c>
      <c r="AP1188">
        <v>100</v>
      </c>
      <c r="AQ1188">
        <v>2000</v>
      </c>
      <c r="AR1188" t="s">
        <v>118</v>
      </c>
      <c r="AS1188">
        <v>-76</v>
      </c>
      <c r="AT1188">
        <v>-27</v>
      </c>
      <c r="AU1188">
        <v>-256</v>
      </c>
      <c r="BC1188">
        <v>1200</v>
      </c>
      <c r="BD1188">
        <v>1</v>
      </c>
      <c r="BE1188" t="str">
        <f t="shared" si="56"/>
        <v xml:space="preserve">N215T   </v>
      </c>
      <c r="BF1188">
        <v>1</v>
      </c>
      <c r="BH1188">
        <v>0</v>
      </c>
      <c r="BI1188">
        <v>0</v>
      </c>
      <c r="BJ1188">
        <v>0</v>
      </c>
      <c r="BK1188">
        <v>2425</v>
      </c>
      <c r="BL1188">
        <v>425</v>
      </c>
      <c r="BM1188" t="s">
        <v>119</v>
      </c>
      <c r="BN1188">
        <v>1</v>
      </c>
      <c r="BO1188">
        <v>1</v>
      </c>
      <c r="BP1188">
        <v>1</v>
      </c>
      <c r="BQ1188">
        <v>0</v>
      </c>
      <c r="BT1188">
        <v>0</v>
      </c>
      <c r="BU1188">
        <v>0</v>
      </c>
      <c r="BV1188">
        <v>0</v>
      </c>
      <c r="CC1188" t="str">
        <f>"18:54:31.141"</f>
        <v>18:54:31.141</v>
      </c>
      <c r="CD1188" t="str">
        <f>"141617338"</f>
        <v>141617338</v>
      </c>
      <c r="CQ1188">
        <v>0</v>
      </c>
      <c r="CR1188">
        <v>2</v>
      </c>
      <c r="CS1188">
        <v>0</v>
      </c>
      <c r="CT1188">
        <v>2</v>
      </c>
      <c r="CU1188">
        <v>0</v>
      </c>
      <c r="CV1188">
        <v>6</v>
      </c>
      <c r="CW1188" t="s">
        <v>120</v>
      </c>
      <c r="CX1188">
        <v>261</v>
      </c>
      <c r="CY1188">
        <v>2</v>
      </c>
      <c r="CZ1188" t="s">
        <v>121</v>
      </c>
      <c r="DA1188" t="s">
        <v>122</v>
      </c>
      <c r="DD1188">
        <v>14905715</v>
      </c>
      <c r="DE1188" t="s">
        <v>123</v>
      </c>
    </row>
    <row r="1189" spans="1:109" x14ac:dyDescent="0.3">
      <c r="A1189" t="str">
        <f>"18:54:32.375"</f>
        <v>18:54:32.375</v>
      </c>
      <c r="B1189" t="s">
        <v>110</v>
      </c>
      <c r="C1189" t="str">
        <f t="shared" si="54"/>
        <v>ffdfd3c0</v>
      </c>
      <c r="D1189" t="s">
        <v>111</v>
      </c>
      <c r="E1189">
        <v>18</v>
      </c>
      <c r="F1189">
        <v>1018</v>
      </c>
      <c r="G1189" t="s">
        <v>112</v>
      </c>
      <c r="J1189" t="s">
        <v>113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R1189" t="s">
        <v>114</v>
      </c>
      <c r="S1189" t="str">
        <f>"18:54:32.156"</f>
        <v>18:54:32.156</v>
      </c>
      <c r="T1189" t="str">
        <f>"18:54:31.859"</f>
        <v>18:54:31.859</v>
      </c>
      <c r="U1189" t="str">
        <f t="shared" si="55"/>
        <v>a1cdbe</v>
      </c>
      <c r="V1189">
        <v>0</v>
      </c>
      <c r="W1189">
        <v>0</v>
      </c>
      <c r="X1189">
        <v>1</v>
      </c>
      <c r="Y1189">
        <v>0</v>
      </c>
      <c r="Z1189">
        <v>0</v>
      </c>
      <c r="AB1189">
        <v>0</v>
      </c>
      <c r="AC1189">
        <v>9</v>
      </c>
      <c r="AD1189">
        <v>3</v>
      </c>
      <c r="AE1189">
        <v>0</v>
      </c>
      <c r="AF1189">
        <v>9</v>
      </c>
      <c r="AG1189" t="s">
        <v>158</v>
      </c>
      <c r="AH1189">
        <v>0</v>
      </c>
      <c r="AI1189">
        <v>3</v>
      </c>
      <c r="AJ1189">
        <v>1</v>
      </c>
      <c r="AK1189">
        <v>0</v>
      </c>
      <c r="AL1189" t="s">
        <v>2333</v>
      </c>
      <c r="AM1189">
        <v>46.831777000000002</v>
      </c>
      <c r="AN1189" t="s">
        <v>2334</v>
      </c>
      <c r="AO1189">
        <v>-122.613258</v>
      </c>
      <c r="AP1189">
        <v>100</v>
      </c>
      <c r="AQ1189">
        <v>2000</v>
      </c>
      <c r="AR1189" t="s">
        <v>118</v>
      </c>
      <c r="AS1189">
        <v>-77</v>
      </c>
      <c r="AT1189">
        <v>-26</v>
      </c>
      <c r="AU1189">
        <v>-256</v>
      </c>
      <c r="BC1189">
        <v>1200</v>
      </c>
      <c r="BD1189">
        <v>1</v>
      </c>
      <c r="BE1189" t="str">
        <f t="shared" si="56"/>
        <v xml:space="preserve">N215T   </v>
      </c>
      <c r="BF1189">
        <v>1</v>
      </c>
      <c r="BH1189">
        <v>0</v>
      </c>
      <c r="BI1189">
        <v>0</v>
      </c>
      <c r="BJ1189">
        <v>0</v>
      </c>
      <c r="BK1189">
        <v>2425</v>
      </c>
      <c r="BL1189">
        <v>425</v>
      </c>
      <c r="BM1189" t="s">
        <v>119</v>
      </c>
      <c r="BN1189">
        <v>1</v>
      </c>
      <c r="BO1189">
        <v>1</v>
      </c>
      <c r="BP1189">
        <v>1</v>
      </c>
      <c r="BQ1189">
        <v>0</v>
      </c>
      <c r="BT1189">
        <v>0</v>
      </c>
      <c r="BU1189">
        <v>0</v>
      </c>
      <c r="BV1189">
        <v>0</v>
      </c>
      <c r="CC1189" t="str">
        <f>"18:54:32.164"</f>
        <v>18:54:32.164</v>
      </c>
      <c r="CD1189" t="str">
        <f>"161516936"</f>
        <v>161516936</v>
      </c>
      <c r="CQ1189">
        <v>0</v>
      </c>
      <c r="CR1189">
        <v>2</v>
      </c>
      <c r="CS1189">
        <v>0</v>
      </c>
      <c r="CT1189">
        <v>2</v>
      </c>
      <c r="CU1189">
        <v>0</v>
      </c>
      <c r="CV1189">
        <v>6</v>
      </c>
      <c r="CW1189" t="s">
        <v>120</v>
      </c>
      <c r="CX1189">
        <v>261</v>
      </c>
      <c r="CY1189">
        <v>2</v>
      </c>
      <c r="CZ1189" t="s">
        <v>121</v>
      </c>
      <c r="DA1189" t="s">
        <v>122</v>
      </c>
      <c r="DD1189">
        <v>14906373</v>
      </c>
      <c r="DE1189" t="s">
        <v>123</v>
      </c>
    </row>
    <row r="1190" spans="1:109" x14ac:dyDescent="0.3">
      <c r="A1190" t="str">
        <f>"18:54:33.383"</f>
        <v>18:54:33.383</v>
      </c>
      <c r="B1190" t="s">
        <v>110</v>
      </c>
      <c r="C1190" t="str">
        <f t="shared" si="54"/>
        <v>ffdfd3c0</v>
      </c>
      <c r="D1190" t="s">
        <v>111</v>
      </c>
      <c r="E1190">
        <v>18</v>
      </c>
      <c r="F1190">
        <v>1018</v>
      </c>
      <c r="G1190" t="s">
        <v>112</v>
      </c>
      <c r="J1190" t="s">
        <v>113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R1190" t="s">
        <v>114</v>
      </c>
      <c r="S1190" t="str">
        <f>"18:54:33.148"</f>
        <v>18:54:33.148</v>
      </c>
      <c r="T1190" t="str">
        <f>"18:54:32.750"</f>
        <v>18:54:32.750</v>
      </c>
      <c r="U1190" t="str">
        <f t="shared" si="55"/>
        <v>a1cdbe</v>
      </c>
      <c r="V1190">
        <v>0</v>
      </c>
      <c r="W1190">
        <v>0</v>
      </c>
      <c r="X1190">
        <v>1</v>
      </c>
      <c r="Y1190">
        <v>0</v>
      </c>
      <c r="Z1190">
        <v>0</v>
      </c>
      <c r="AB1190">
        <v>0</v>
      </c>
      <c r="AC1190">
        <v>9</v>
      </c>
      <c r="AD1190">
        <v>3</v>
      </c>
      <c r="AE1190">
        <v>0</v>
      </c>
      <c r="AF1190">
        <v>9</v>
      </c>
      <c r="AG1190" t="s">
        <v>158</v>
      </c>
      <c r="AH1190">
        <v>0</v>
      </c>
      <c r="AI1190">
        <v>3</v>
      </c>
      <c r="AJ1190">
        <v>1</v>
      </c>
      <c r="AK1190">
        <v>0</v>
      </c>
      <c r="AL1190" t="s">
        <v>2335</v>
      </c>
      <c r="AM1190">
        <v>46.831690999999999</v>
      </c>
      <c r="AN1190" t="s">
        <v>2336</v>
      </c>
      <c r="AO1190">
        <v>-122.613816</v>
      </c>
      <c r="AP1190">
        <v>100</v>
      </c>
      <c r="AQ1190">
        <v>2000</v>
      </c>
      <c r="AR1190" t="s">
        <v>118</v>
      </c>
      <c r="AS1190">
        <v>-77</v>
      </c>
      <c r="AT1190">
        <v>-26</v>
      </c>
      <c r="AU1190">
        <v>-192</v>
      </c>
      <c r="BC1190">
        <v>1200</v>
      </c>
      <c r="BD1190">
        <v>1</v>
      </c>
      <c r="BE1190" t="str">
        <f t="shared" si="56"/>
        <v xml:space="preserve">N215T   </v>
      </c>
      <c r="BF1190">
        <v>1</v>
      </c>
      <c r="BH1190">
        <v>0</v>
      </c>
      <c r="BI1190">
        <v>0</v>
      </c>
      <c r="BJ1190">
        <v>0</v>
      </c>
      <c r="BK1190">
        <v>2425</v>
      </c>
      <c r="BL1190">
        <v>425</v>
      </c>
      <c r="BM1190" t="s">
        <v>119</v>
      </c>
      <c r="BN1190">
        <v>1</v>
      </c>
      <c r="BO1190">
        <v>1</v>
      </c>
      <c r="BP1190">
        <v>1</v>
      </c>
      <c r="BQ1190">
        <v>0</v>
      </c>
      <c r="BT1190">
        <v>0</v>
      </c>
      <c r="BU1190">
        <v>0</v>
      </c>
      <c r="BV1190">
        <v>0</v>
      </c>
      <c r="CC1190" t="str">
        <f>"18:54:33.148"</f>
        <v>18:54:33.148</v>
      </c>
      <c r="CD1190" t="str">
        <f>"151419468"</f>
        <v>151419468</v>
      </c>
      <c r="CQ1190">
        <v>0</v>
      </c>
      <c r="CR1190">
        <v>2</v>
      </c>
      <c r="CS1190">
        <v>0</v>
      </c>
      <c r="CT1190">
        <v>2</v>
      </c>
      <c r="CU1190">
        <v>0</v>
      </c>
      <c r="CV1190">
        <v>6</v>
      </c>
      <c r="CW1190" t="s">
        <v>120</v>
      </c>
      <c r="CX1190">
        <v>261</v>
      </c>
      <c r="CY1190">
        <v>2</v>
      </c>
      <c r="CZ1190" t="s">
        <v>121</v>
      </c>
      <c r="DA1190" t="s">
        <v>122</v>
      </c>
      <c r="DD1190">
        <v>14907031</v>
      </c>
      <c r="DE1190" t="s">
        <v>123</v>
      </c>
    </row>
    <row r="1191" spans="1:109" x14ac:dyDescent="0.3">
      <c r="A1191" t="str">
        <f>"18:54:34.438"</f>
        <v>18:54:34.438</v>
      </c>
      <c r="B1191" t="s">
        <v>110</v>
      </c>
      <c r="C1191" t="str">
        <f t="shared" si="54"/>
        <v>ffdfd3c0</v>
      </c>
      <c r="D1191" t="s">
        <v>111</v>
      </c>
      <c r="E1191">
        <v>18</v>
      </c>
      <c r="F1191">
        <v>1018</v>
      </c>
      <c r="G1191" t="s">
        <v>112</v>
      </c>
      <c r="J1191" t="s">
        <v>113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R1191" t="s">
        <v>114</v>
      </c>
      <c r="S1191" t="str">
        <f>"18:54:34.195"</f>
        <v>18:54:34.195</v>
      </c>
      <c r="T1191" t="str">
        <f>"18:54:34.094"</f>
        <v>18:54:34.094</v>
      </c>
      <c r="U1191" t="str">
        <f t="shared" si="55"/>
        <v>a1cdbe</v>
      </c>
      <c r="V1191">
        <v>0</v>
      </c>
      <c r="W1191">
        <v>0</v>
      </c>
      <c r="X1191">
        <v>1</v>
      </c>
      <c r="Y1191">
        <v>0</v>
      </c>
      <c r="Z1191">
        <v>0</v>
      </c>
      <c r="AB1191">
        <v>0</v>
      </c>
      <c r="AC1191">
        <v>9</v>
      </c>
      <c r="AD1191">
        <v>3</v>
      </c>
      <c r="AE1191">
        <v>0</v>
      </c>
      <c r="AF1191">
        <v>9</v>
      </c>
      <c r="AG1191" t="s">
        <v>158</v>
      </c>
      <c r="AH1191">
        <v>0</v>
      </c>
      <c r="AI1191">
        <v>3</v>
      </c>
      <c r="AJ1191">
        <v>1</v>
      </c>
      <c r="AK1191">
        <v>0</v>
      </c>
      <c r="AL1191" t="s">
        <v>2337</v>
      </c>
      <c r="AM1191">
        <v>46.831541000000001</v>
      </c>
      <c r="AN1191" t="s">
        <v>2338</v>
      </c>
      <c r="AO1191">
        <v>-122.61435299999999</v>
      </c>
      <c r="AP1191">
        <v>100</v>
      </c>
      <c r="AQ1191">
        <v>2000</v>
      </c>
      <c r="AR1191" t="s">
        <v>118</v>
      </c>
      <c r="AS1191">
        <v>-78</v>
      </c>
      <c r="AT1191">
        <v>-25</v>
      </c>
      <c r="AU1191">
        <v>-256</v>
      </c>
      <c r="BC1191">
        <v>1200</v>
      </c>
      <c r="BD1191">
        <v>1</v>
      </c>
      <c r="BE1191" t="str">
        <f t="shared" si="56"/>
        <v xml:space="preserve">N215T   </v>
      </c>
      <c r="BF1191">
        <v>1</v>
      </c>
      <c r="BH1191">
        <v>0</v>
      </c>
      <c r="BI1191">
        <v>0</v>
      </c>
      <c r="BJ1191">
        <v>0</v>
      </c>
      <c r="BK1191">
        <v>2425</v>
      </c>
      <c r="BL1191">
        <v>425</v>
      </c>
      <c r="BM1191" t="s">
        <v>119</v>
      </c>
      <c r="BN1191">
        <v>1</v>
      </c>
      <c r="BO1191">
        <v>1</v>
      </c>
      <c r="BP1191">
        <v>1</v>
      </c>
      <c r="BQ1191">
        <v>0</v>
      </c>
      <c r="BT1191">
        <v>0</v>
      </c>
      <c r="BU1191">
        <v>0</v>
      </c>
      <c r="BV1191">
        <v>0</v>
      </c>
      <c r="CC1191" t="str">
        <f>"18:54:34.203"</f>
        <v>18:54:34.203</v>
      </c>
      <c r="CD1191" t="str">
        <f>"201316099"</f>
        <v>201316099</v>
      </c>
      <c r="CQ1191">
        <v>0</v>
      </c>
      <c r="CR1191">
        <v>2</v>
      </c>
      <c r="CS1191">
        <v>0</v>
      </c>
      <c r="CT1191">
        <v>2</v>
      </c>
      <c r="CU1191">
        <v>0</v>
      </c>
      <c r="CV1191">
        <v>6</v>
      </c>
      <c r="CW1191" t="s">
        <v>120</v>
      </c>
      <c r="CX1191">
        <v>261</v>
      </c>
      <c r="CY1191">
        <v>2</v>
      </c>
      <c r="CZ1191" t="s">
        <v>121</v>
      </c>
      <c r="DA1191" t="s">
        <v>122</v>
      </c>
      <c r="DD1191">
        <v>14907733</v>
      </c>
      <c r="DE1191" t="s">
        <v>123</v>
      </c>
    </row>
    <row r="1192" spans="1:109" x14ac:dyDescent="0.3">
      <c r="A1192" t="str">
        <f>"18:54:35.344"</f>
        <v>18:54:35.344</v>
      </c>
      <c r="B1192" t="s">
        <v>110</v>
      </c>
      <c r="C1192" t="str">
        <f t="shared" si="54"/>
        <v>ffdfd3c0</v>
      </c>
      <c r="D1192" t="s">
        <v>111</v>
      </c>
      <c r="E1192">
        <v>18</v>
      </c>
      <c r="F1192">
        <v>1018</v>
      </c>
      <c r="G1192" t="s">
        <v>112</v>
      </c>
      <c r="J1192" t="s">
        <v>113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R1192" t="s">
        <v>114</v>
      </c>
      <c r="S1192" t="str">
        <f>"18:54:35.086"</f>
        <v>18:54:35.086</v>
      </c>
      <c r="T1192" t="str">
        <f>"18:54:34.688"</f>
        <v>18:54:34.688</v>
      </c>
      <c r="U1192" t="str">
        <f t="shared" si="55"/>
        <v>a1cdbe</v>
      </c>
      <c r="V1192">
        <v>0</v>
      </c>
      <c r="W1192">
        <v>0</v>
      </c>
      <c r="X1192">
        <v>1</v>
      </c>
      <c r="Y1192">
        <v>0</v>
      </c>
      <c r="Z1192">
        <v>0</v>
      </c>
      <c r="AB1192">
        <v>0</v>
      </c>
      <c r="AC1192">
        <v>9</v>
      </c>
      <c r="AD1192">
        <v>3</v>
      </c>
      <c r="AE1192">
        <v>0</v>
      </c>
      <c r="AF1192">
        <v>9</v>
      </c>
      <c r="AG1192" t="s">
        <v>158</v>
      </c>
      <c r="AH1192">
        <v>0</v>
      </c>
      <c r="AI1192">
        <v>3</v>
      </c>
      <c r="AJ1192">
        <v>1</v>
      </c>
      <c r="AK1192">
        <v>0</v>
      </c>
      <c r="AL1192" t="s">
        <v>2339</v>
      </c>
      <c r="AM1192">
        <v>46.831454999999998</v>
      </c>
      <c r="AN1192" t="s">
        <v>2340</v>
      </c>
      <c r="AO1192">
        <v>-122.614846</v>
      </c>
      <c r="AP1192">
        <v>100</v>
      </c>
      <c r="AQ1192">
        <v>2000</v>
      </c>
      <c r="AR1192" t="s">
        <v>118</v>
      </c>
      <c r="AS1192">
        <v>-78</v>
      </c>
      <c r="AT1192">
        <v>-25</v>
      </c>
      <c r="AU1192">
        <v>-192</v>
      </c>
      <c r="BC1192">
        <v>1200</v>
      </c>
      <c r="BD1192">
        <v>1</v>
      </c>
      <c r="BE1192" t="str">
        <f t="shared" si="56"/>
        <v xml:space="preserve">N215T   </v>
      </c>
      <c r="BF1192">
        <v>1</v>
      </c>
      <c r="BH1192">
        <v>0</v>
      </c>
      <c r="BI1192">
        <v>0</v>
      </c>
      <c r="BJ1192">
        <v>0</v>
      </c>
      <c r="BK1192">
        <v>2425</v>
      </c>
      <c r="BL1192">
        <v>425</v>
      </c>
      <c r="BM1192" t="s">
        <v>119</v>
      </c>
      <c r="BN1192">
        <v>1</v>
      </c>
      <c r="BO1192">
        <v>1</v>
      </c>
      <c r="BP1192">
        <v>1</v>
      </c>
      <c r="BQ1192">
        <v>0</v>
      </c>
      <c r="BT1192">
        <v>0</v>
      </c>
      <c r="BU1192">
        <v>0</v>
      </c>
      <c r="BV1192">
        <v>0</v>
      </c>
      <c r="CC1192" t="str">
        <f>"18:54:35.086"</f>
        <v>18:54:35.086</v>
      </c>
      <c r="CD1192" t="str">
        <f>"086228977"</f>
        <v>086228977</v>
      </c>
      <c r="CQ1192">
        <v>0</v>
      </c>
      <c r="CR1192">
        <v>2</v>
      </c>
      <c r="CS1192">
        <v>0</v>
      </c>
      <c r="CT1192">
        <v>2</v>
      </c>
      <c r="CU1192">
        <v>0</v>
      </c>
      <c r="CV1192">
        <v>6</v>
      </c>
      <c r="CW1192" t="s">
        <v>120</v>
      </c>
      <c r="CX1192">
        <v>261</v>
      </c>
      <c r="CY1192">
        <v>2</v>
      </c>
      <c r="CZ1192" t="s">
        <v>121</v>
      </c>
      <c r="DA1192" t="s">
        <v>122</v>
      </c>
      <c r="DD1192">
        <v>14908369</v>
      </c>
      <c r="DE1192" t="s">
        <v>123</v>
      </c>
    </row>
    <row r="1193" spans="1:109" x14ac:dyDescent="0.3">
      <c r="A1193" t="str">
        <f>"18:54:36.344"</f>
        <v>18:54:36.344</v>
      </c>
      <c r="B1193" t="s">
        <v>110</v>
      </c>
      <c r="C1193" t="str">
        <f t="shared" si="54"/>
        <v>ffdfd3c0</v>
      </c>
      <c r="D1193" t="s">
        <v>111</v>
      </c>
      <c r="E1193">
        <v>18</v>
      </c>
      <c r="F1193">
        <v>1018</v>
      </c>
      <c r="G1193" t="s">
        <v>112</v>
      </c>
      <c r="J1193" t="s">
        <v>113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R1193" t="s">
        <v>114</v>
      </c>
      <c r="S1193" t="str">
        <f>"18:54:36.070"</f>
        <v>18:54:36.070</v>
      </c>
      <c r="T1193" t="str">
        <f>"18:54:35.969"</f>
        <v>18:54:35.969</v>
      </c>
      <c r="U1193" t="str">
        <f t="shared" si="55"/>
        <v>a1cdbe</v>
      </c>
      <c r="V1193">
        <v>0</v>
      </c>
      <c r="W1193">
        <v>0</v>
      </c>
      <c r="X1193">
        <v>1</v>
      </c>
      <c r="Y1193">
        <v>0</v>
      </c>
      <c r="Z1193">
        <v>0</v>
      </c>
      <c r="AB1193">
        <v>0</v>
      </c>
      <c r="AC1193">
        <v>9</v>
      </c>
      <c r="AD1193">
        <v>3</v>
      </c>
      <c r="AE1193">
        <v>0</v>
      </c>
      <c r="AF1193">
        <v>9</v>
      </c>
      <c r="AG1193" t="s">
        <v>158</v>
      </c>
      <c r="AH1193">
        <v>0</v>
      </c>
      <c r="AI1193">
        <v>3</v>
      </c>
      <c r="AJ1193">
        <v>1</v>
      </c>
      <c r="AK1193">
        <v>0</v>
      </c>
      <c r="AL1193" t="s">
        <v>2341</v>
      </c>
      <c r="AM1193">
        <v>46.831369000000002</v>
      </c>
      <c r="AN1193" t="s">
        <v>2342</v>
      </c>
      <c r="AO1193">
        <v>-122.615404</v>
      </c>
      <c r="AP1193">
        <v>100</v>
      </c>
      <c r="AQ1193">
        <v>2000</v>
      </c>
      <c r="AR1193" t="s">
        <v>118</v>
      </c>
      <c r="AS1193">
        <v>-78</v>
      </c>
      <c r="AT1193">
        <v>-25</v>
      </c>
      <c r="AU1193">
        <v>-192</v>
      </c>
      <c r="BC1193">
        <v>1200</v>
      </c>
      <c r="BD1193">
        <v>1</v>
      </c>
      <c r="BE1193" t="str">
        <f t="shared" si="56"/>
        <v xml:space="preserve">N215T   </v>
      </c>
      <c r="BF1193">
        <v>1</v>
      </c>
      <c r="BH1193">
        <v>0</v>
      </c>
      <c r="BI1193">
        <v>0</v>
      </c>
      <c r="BJ1193">
        <v>0</v>
      </c>
      <c r="BK1193">
        <v>2400</v>
      </c>
      <c r="BL1193">
        <v>400</v>
      </c>
      <c r="BM1193" t="s">
        <v>119</v>
      </c>
      <c r="BN1193">
        <v>1</v>
      </c>
      <c r="BO1193">
        <v>1</v>
      </c>
      <c r="BP1193">
        <v>1</v>
      </c>
      <c r="BQ1193">
        <v>0</v>
      </c>
      <c r="BT1193">
        <v>0</v>
      </c>
      <c r="BU1193">
        <v>0</v>
      </c>
      <c r="BV1193">
        <v>0</v>
      </c>
      <c r="CC1193" t="str">
        <f>"18:54:36.078"</f>
        <v>18:54:36.078</v>
      </c>
      <c r="CD1193" t="str">
        <f>"076131503"</f>
        <v>076131503</v>
      </c>
      <c r="CQ1193">
        <v>0</v>
      </c>
      <c r="CR1193">
        <v>2</v>
      </c>
      <c r="CS1193">
        <v>0</v>
      </c>
      <c r="CT1193">
        <v>2</v>
      </c>
      <c r="CU1193">
        <v>0</v>
      </c>
      <c r="CV1193">
        <v>6</v>
      </c>
      <c r="CW1193" t="s">
        <v>120</v>
      </c>
      <c r="CX1193">
        <v>261</v>
      </c>
      <c r="CY1193">
        <v>2</v>
      </c>
      <c r="CZ1193" t="s">
        <v>121</v>
      </c>
      <c r="DA1193" t="s">
        <v>122</v>
      </c>
      <c r="DD1193">
        <v>14909009</v>
      </c>
      <c r="DE1193" t="s">
        <v>123</v>
      </c>
    </row>
    <row r="1194" spans="1:109" x14ac:dyDescent="0.3">
      <c r="A1194" t="str">
        <f>"18:54:37.453"</f>
        <v>18:54:37.453</v>
      </c>
      <c r="B1194" t="s">
        <v>110</v>
      </c>
      <c r="C1194" t="str">
        <f t="shared" si="54"/>
        <v>ffdfd3c0</v>
      </c>
      <c r="D1194" t="s">
        <v>111</v>
      </c>
      <c r="E1194">
        <v>18</v>
      </c>
      <c r="F1194">
        <v>1018</v>
      </c>
      <c r="G1194" t="s">
        <v>112</v>
      </c>
      <c r="J1194" t="s">
        <v>113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R1194" t="s">
        <v>114</v>
      </c>
      <c r="S1194" t="str">
        <f>"18:54:37.211"</f>
        <v>18:54:37.211</v>
      </c>
      <c r="T1194" t="str">
        <f>"18:54:36.508"</f>
        <v>18:54:36.508</v>
      </c>
      <c r="U1194" t="str">
        <f t="shared" si="55"/>
        <v>a1cdbe</v>
      </c>
      <c r="V1194">
        <v>0</v>
      </c>
      <c r="W1194">
        <v>0</v>
      </c>
      <c r="X1194">
        <v>1</v>
      </c>
      <c r="Y1194">
        <v>0</v>
      </c>
      <c r="Z1194">
        <v>0</v>
      </c>
      <c r="AB1194">
        <v>0</v>
      </c>
      <c r="AC1194">
        <v>9</v>
      </c>
      <c r="AD1194">
        <v>3</v>
      </c>
      <c r="AE1194">
        <v>0</v>
      </c>
      <c r="AF1194">
        <v>9</v>
      </c>
      <c r="AG1194" t="s">
        <v>158</v>
      </c>
      <c r="AH1194">
        <v>0</v>
      </c>
      <c r="AI1194">
        <v>3</v>
      </c>
      <c r="AJ1194">
        <v>1</v>
      </c>
      <c r="AK1194">
        <v>0</v>
      </c>
      <c r="AL1194" t="s">
        <v>2343</v>
      </c>
      <c r="AM1194">
        <v>46.831240999999999</v>
      </c>
      <c r="AN1194" t="s">
        <v>2344</v>
      </c>
      <c r="AO1194">
        <v>-122.61591900000001</v>
      </c>
      <c r="AP1194">
        <v>100</v>
      </c>
      <c r="AQ1194">
        <v>2000</v>
      </c>
      <c r="AR1194" t="s">
        <v>118</v>
      </c>
      <c r="AS1194">
        <v>-79</v>
      </c>
      <c r="AT1194">
        <v>-25</v>
      </c>
      <c r="AU1194">
        <v>-192</v>
      </c>
      <c r="BC1194">
        <v>1200</v>
      </c>
      <c r="BD1194">
        <v>1</v>
      </c>
      <c r="BE1194" t="str">
        <f t="shared" si="56"/>
        <v xml:space="preserve">N215T   </v>
      </c>
      <c r="BF1194">
        <v>1</v>
      </c>
      <c r="BH1194">
        <v>0</v>
      </c>
      <c r="BI1194">
        <v>0</v>
      </c>
      <c r="BJ1194">
        <v>0</v>
      </c>
      <c r="BK1194">
        <v>2400</v>
      </c>
      <c r="BL1194">
        <v>400</v>
      </c>
      <c r="BM1194" t="s">
        <v>119</v>
      </c>
      <c r="BN1194">
        <v>1</v>
      </c>
      <c r="BO1194">
        <v>1</v>
      </c>
      <c r="BP1194">
        <v>1</v>
      </c>
      <c r="BQ1194">
        <v>0</v>
      </c>
      <c r="BT1194">
        <v>0</v>
      </c>
      <c r="BU1194">
        <v>0</v>
      </c>
      <c r="BV1194">
        <v>0</v>
      </c>
      <c r="CC1194" t="str">
        <f>"18:54:37.219"</f>
        <v>18:54:37.219</v>
      </c>
      <c r="CD1194" t="str">
        <f>"216019279"</f>
        <v>216019279</v>
      </c>
      <c r="CQ1194">
        <v>0</v>
      </c>
      <c r="CR1194">
        <v>2</v>
      </c>
      <c r="CS1194">
        <v>0</v>
      </c>
      <c r="CT1194">
        <v>2</v>
      </c>
      <c r="CU1194">
        <v>0</v>
      </c>
      <c r="CV1194">
        <v>6</v>
      </c>
      <c r="CW1194" t="s">
        <v>120</v>
      </c>
      <c r="CX1194">
        <v>261</v>
      </c>
      <c r="CY1194">
        <v>2</v>
      </c>
      <c r="CZ1194" t="s">
        <v>121</v>
      </c>
      <c r="DA1194" t="s">
        <v>122</v>
      </c>
      <c r="DD1194">
        <v>14909712</v>
      </c>
      <c r="DE1194" t="s">
        <v>123</v>
      </c>
    </row>
    <row r="1195" spans="1:109" x14ac:dyDescent="0.3">
      <c r="A1195" t="str">
        <f>"18:54:38.508"</f>
        <v>18:54:38.508</v>
      </c>
      <c r="B1195" t="s">
        <v>110</v>
      </c>
      <c r="C1195" t="str">
        <f t="shared" si="54"/>
        <v>ffdfd3c0</v>
      </c>
      <c r="D1195" t="s">
        <v>111</v>
      </c>
      <c r="E1195">
        <v>18</v>
      </c>
      <c r="F1195">
        <v>1018</v>
      </c>
      <c r="G1195" t="s">
        <v>112</v>
      </c>
      <c r="J1195" t="s">
        <v>113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R1195" t="s">
        <v>114</v>
      </c>
      <c r="S1195" t="str">
        <f>"18:54:38.250"</f>
        <v>18:54:38.250</v>
      </c>
      <c r="T1195" t="str">
        <f>"18:54:38.047"</f>
        <v>18:54:38.047</v>
      </c>
      <c r="U1195" t="str">
        <f t="shared" si="55"/>
        <v>a1cdbe</v>
      </c>
      <c r="V1195">
        <v>0</v>
      </c>
      <c r="W1195">
        <v>0</v>
      </c>
      <c r="X1195">
        <v>1</v>
      </c>
      <c r="Y1195">
        <v>0</v>
      </c>
      <c r="Z1195">
        <v>0</v>
      </c>
      <c r="AB1195">
        <v>0</v>
      </c>
      <c r="AC1195">
        <v>9</v>
      </c>
      <c r="AD1195">
        <v>3</v>
      </c>
      <c r="AE1195">
        <v>0</v>
      </c>
      <c r="AF1195">
        <v>9</v>
      </c>
      <c r="AG1195" t="s">
        <v>158</v>
      </c>
      <c r="AH1195">
        <v>0</v>
      </c>
      <c r="AI1195">
        <v>3</v>
      </c>
      <c r="AJ1195">
        <v>1</v>
      </c>
      <c r="AK1195">
        <v>0</v>
      </c>
      <c r="AL1195" t="s">
        <v>2345</v>
      </c>
      <c r="AM1195">
        <v>46.831090000000003</v>
      </c>
      <c r="AN1195" t="s">
        <v>2346</v>
      </c>
      <c r="AO1195">
        <v>-122.616477</v>
      </c>
      <c r="AP1195">
        <v>100</v>
      </c>
      <c r="AQ1195">
        <v>2000</v>
      </c>
      <c r="AR1195" t="s">
        <v>118</v>
      </c>
      <c r="AS1195">
        <v>-79</v>
      </c>
      <c r="AT1195">
        <v>-26</v>
      </c>
      <c r="AU1195">
        <v>-192</v>
      </c>
      <c r="BC1195">
        <v>1200</v>
      </c>
      <c r="BD1195">
        <v>1</v>
      </c>
      <c r="BE1195" t="str">
        <f t="shared" si="56"/>
        <v xml:space="preserve">N215T   </v>
      </c>
      <c r="BF1195">
        <v>1</v>
      </c>
      <c r="BH1195">
        <v>0</v>
      </c>
      <c r="BI1195">
        <v>0</v>
      </c>
      <c r="BJ1195">
        <v>0</v>
      </c>
      <c r="BK1195">
        <v>2400</v>
      </c>
      <c r="BL1195">
        <v>400</v>
      </c>
      <c r="BM1195" t="s">
        <v>119</v>
      </c>
      <c r="BN1195">
        <v>1</v>
      </c>
      <c r="BO1195">
        <v>1</v>
      </c>
      <c r="BP1195">
        <v>1</v>
      </c>
      <c r="BQ1195">
        <v>0</v>
      </c>
      <c r="BT1195">
        <v>0</v>
      </c>
      <c r="BU1195">
        <v>0</v>
      </c>
      <c r="BV1195">
        <v>0</v>
      </c>
      <c r="CC1195" t="str">
        <f>"18:54:38.250"</f>
        <v>18:54:38.250</v>
      </c>
      <c r="CD1195" t="str">
        <f>"250917391"</f>
        <v>250917391</v>
      </c>
      <c r="CQ1195">
        <v>0</v>
      </c>
      <c r="CR1195">
        <v>2</v>
      </c>
      <c r="CS1195">
        <v>0</v>
      </c>
      <c r="CT1195">
        <v>2</v>
      </c>
      <c r="CU1195">
        <v>0</v>
      </c>
      <c r="CV1195">
        <v>6</v>
      </c>
      <c r="CW1195" t="s">
        <v>120</v>
      </c>
      <c r="CX1195">
        <v>261</v>
      </c>
      <c r="CY1195">
        <v>2</v>
      </c>
      <c r="CZ1195" t="s">
        <v>121</v>
      </c>
      <c r="DA1195" t="s">
        <v>122</v>
      </c>
      <c r="DD1195">
        <v>14910406</v>
      </c>
      <c r="DE1195" t="s">
        <v>123</v>
      </c>
    </row>
    <row r="1196" spans="1:109" x14ac:dyDescent="0.3">
      <c r="A1196" t="str">
        <f>"18:54:39.461"</f>
        <v>18:54:39.461</v>
      </c>
      <c r="B1196" t="s">
        <v>110</v>
      </c>
      <c r="C1196" t="str">
        <f t="shared" si="54"/>
        <v>ffdfd3c0</v>
      </c>
      <c r="D1196" t="s">
        <v>111</v>
      </c>
      <c r="E1196">
        <v>18</v>
      </c>
      <c r="F1196">
        <v>1018</v>
      </c>
      <c r="G1196" t="s">
        <v>112</v>
      </c>
      <c r="J1196" t="s">
        <v>113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R1196" t="s">
        <v>114</v>
      </c>
      <c r="S1196" t="str">
        <f>"18:54:39.234"</f>
        <v>18:54:39.234</v>
      </c>
      <c r="T1196" t="str">
        <f>"18:54:39.031"</f>
        <v>18:54:39.031</v>
      </c>
      <c r="U1196" t="str">
        <f t="shared" si="55"/>
        <v>a1cdbe</v>
      </c>
      <c r="V1196">
        <v>0</v>
      </c>
      <c r="W1196">
        <v>0</v>
      </c>
      <c r="X1196">
        <v>1</v>
      </c>
      <c r="Y1196">
        <v>0</v>
      </c>
      <c r="Z1196">
        <v>0</v>
      </c>
      <c r="AB1196">
        <v>0</v>
      </c>
      <c r="AC1196">
        <v>9</v>
      </c>
      <c r="AD1196">
        <v>3</v>
      </c>
      <c r="AE1196">
        <v>0</v>
      </c>
      <c r="AF1196">
        <v>9</v>
      </c>
      <c r="AG1196" t="s">
        <v>158</v>
      </c>
      <c r="AH1196">
        <v>0</v>
      </c>
      <c r="AI1196">
        <v>3</v>
      </c>
      <c r="AJ1196">
        <v>1</v>
      </c>
      <c r="AK1196">
        <v>0</v>
      </c>
      <c r="AL1196" t="s">
        <v>2347</v>
      </c>
      <c r="AM1196">
        <v>46.830962</v>
      </c>
      <c r="AN1196" t="s">
        <v>2348</v>
      </c>
      <c r="AO1196">
        <v>-122.616992</v>
      </c>
      <c r="AP1196">
        <v>100</v>
      </c>
      <c r="AQ1196">
        <v>2000</v>
      </c>
      <c r="AR1196" t="s">
        <v>118</v>
      </c>
      <c r="AS1196">
        <v>-79</v>
      </c>
      <c r="AT1196">
        <v>-25</v>
      </c>
      <c r="AU1196">
        <v>-128</v>
      </c>
      <c r="BC1196">
        <v>1200</v>
      </c>
      <c r="BD1196">
        <v>1</v>
      </c>
      <c r="BE1196" t="str">
        <f t="shared" si="56"/>
        <v xml:space="preserve">N215T   </v>
      </c>
      <c r="BF1196">
        <v>1</v>
      </c>
      <c r="BH1196">
        <v>0</v>
      </c>
      <c r="BI1196">
        <v>0</v>
      </c>
      <c r="BJ1196">
        <v>0</v>
      </c>
      <c r="BK1196">
        <v>2400</v>
      </c>
      <c r="BL1196">
        <v>400</v>
      </c>
      <c r="BM1196" t="s">
        <v>119</v>
      </c>
      <c r="BN1196">
        <v>1</v>
      </c>
      <c r="BO1196">
        <v>1</v>
      </c>
      <c r="BP1196">
        <v>1</v>
      </c>
      <c r="BQ1196">
        <v>0</v>
      </c>
      <c r="BT1196">
        <v>0</v>
      </c>
      <c r="BU1196">
        <v>0</v>
      </c>
      <c r="BV1196">
        <v>0</v>
      </c>
      <c r="CC1196" t="str">
        <f>"18:54:39.242"</f>
        <v>18:54:39.242</v>
      </c>
      <c r="CD1196" t="str">
        <f>"240819934"</f>
        <v>240819934</v>
      </c>
      <c r="CQ1196">
        <v>0</v>
      </c>
      <c r="CR1196">
        <v>2</v>
      </c>
      <c r="CS1196">
        <v>0</v>
      </c>
      <c r="CT1196">
        <v>2</v>
      </c>
      <c r="CU1196">
        <v>0</v>
      </c>
      <c r="CV1196">
        <v>6</v>
      </c>
      <c r="CW1196" t="s">
        <v>120</v>
      </c>
      <c r="CX1196">
        <v>261</v>
      </c>
      <c r="CY1196">
        <v>2</v>
      </c>
      <c r="CZ1196" t="s">
        <v>121</v>
      </c>
      <c r="DA1196" t="s">
        <v>122</v>
      </c>
      <c r="DD1196">
        <v>14911096</v>
      </c>
      <c r="DE1196" t="s">
        <v>123</v>
      </c>
    </row>
    <row r="1197" spans="1:109" x14ac:dyDescent="0.3">
      <c r="A1197" t="str">
        <f>"18:54:40.422"</f>
        <v>18:54:40.422</v>
      </c>
      <c r="B1197" t="s">
        <v>110</v>
      </c>
      <c r="C1197" t="str">
        <f t="shared" si="54"/>
        <v>ffdfd3c0</v>
      </c>
      <c r="D1197" t="s">
        <v>111</v>
      </c>
      <c r="E1197">
        <v>18</v>
      </c>
      <c r="F1197">
        <v>1018</v>
      </c>
      <c r="G1197" t="s">
        <v>112</v>
      </c>
      <c r="J1197" t="s">
        <v>113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R1197" t="s">
        <v>114</v>
      </c>
      <c r="S1197" t="str">
        <f>"18:54:40.180"</f>
        <v>18:54:40.180</v>
      </c>
      <c r="T1197" t="str">
        <f>"18:54:39.680"</f>
        <v>18:54:39.680</v>
      </c>
      <c r="U1197" t="str">
        <f t="shared" si="55"/>
        <v>a1cdbe</v>
      </c>
      <c r="V1197">
        <v>0</v>
      </c>
      <c r="W1197">
        <v>0</v>
      </c>
      <c r="X1197">
        <v>1</v>
      </c>
      <c r="Y1197">
        <v>0</v>
      </c>
      <c r="Z1197">
        <v>0</v>
      </c>
      <c r="AB1197">
        <v>0</v>
      </c>
      <c r="AC1197">
        <v>9</v>
      </c>
      <c r="AD1197">
        <v>3</v>
      </c>
      <c r="AE1197">
        <v>0</v>
      </c>
      <c r="AF1197">
        <v>9</v>
      </c>
      <c r="AG1197" t="s">
        <v>158</v>
      </c>
      <c r="AH1197">
        <v>0</v>
      </c>
      <c r="AI1197">
        <v>3</v>
      </c>
      <c r="AJ1197">
        <v>1</v>
      </c>
      <c r="AK1197">
        <v>0</v>
      </c>
      <c r="AL1197" t="s">
        <v>2349</v>
      </c>
      <c r="AM1197">
        <v>46.830854000000002</v>
      </c>
      <c r="AN1197" t="s">
        <v>2350</v>
      </c>
      <c r="AO1197">
        <v>-122.617507</v>
      </c>
      <c r="AP1197">
        <v>100</v>
      </c>
      <c r="AQ1197">
        <v>2000</v>
      </c>
      <c r="AR1197" t="s">
        <v>118</v>
      </c>
      <c r="AS1197">
        <v>-79</v>
      </c>
      <c r="AT1197">
        <v>-25</v>
      </c>
      <c r="AU1197">
        <v>-128</v>
      </c>
      <c r="BC1197">
        <v>1200</v>
      </c>
      <c r="BD1197">
        <v>1</v>
      </c>
      <c r="BE1197" t="str">
        <f t="shared" si="56"/>
        <v xml:space="preserve">N215T   </v>
      </c>
      <c r="BF1197">
        <v>1</v>
      </c>
      <c r="BH1197">
        <v>0</v>
      </c>
      <c r="BI1197">
        <v>0</v>
      </c>
      <c r="BJ1197">
        <v>0</v>
      </c>
      <c r="BK1197">
        <v>2400</v>
      </c>
      <c r="BL1197">
        <v>400</v>
      </c>
      <c r="BM1197" t="s">
        <v>119</v>
      </c>
      <c r="BN1197">
        <v>1</v>
      </c>
      <c r="BO1197">
        <v>1</v>
      </c>
      <c r="BP1197">
        <v>1</v>
      </c>
      <c r="BQ1197">
        <v>0</v>
      </c>
      <c r="BT1197">
        <v>0</v>
      </c>
      <c r="BU1197">
        <v>0</v>
      </c>
      <c r="BV1197">
        <v>0</v>
      </c>
      <c r="CC1197" t="str">
        <f>"18:54:40.188"</f>
        <v>18:54:40.188</v>
      </c>
      <c r="CD1197" t="str">
        <f>"185726908"</f>
        <v>185726908</v>
      </c>
      <c r="CQ1197">
        <v>0</v>
      </c>
      <c r="CR1197">
        <v>2</v>
      </c>
      <c r="CS1197">
        <v>0</v>
      </c>
      <c r="CT1197">
        <v>2</v>
      </c>
      <c r="CU1197">
        <v>0</v>
      </c>
      <c r="CV1197">
        <v>6</v>
      </c>
      <c r="CW1197" t="s">
        <v>120</v>
      </c>
      <c r="CX1197">
        <v>261</v>
      </c>
      <c r="CY1197">
        <v>2</v>
      </c>
      <c r="CZ1197" t="s">
        <v>121</v>
      </c>
      <c r="DA1197" t="s">
        <v>122</v>
      </c>
      <c r="DD1197">
        <v>14911712</v>
      </c>
      <c r="DE1197" t="s">
        <v>123</v>
      </c>
    </row>
    <row r="1198" spans="1:109" x14ac:dyDescent="0.3">
      <c r="A1198" t="str">
        <f>"18:54:41.422"</f>
        <v>18:54:41.422</v>
      </c>
      <c r="B1198" t="s">
        <v>110</v>
      </c>
      <c r="C1198" t="str">
        <f t="shared" si="54"/>
        <v>ffdfd3c0</v>
      </c>
      <c r="D1198" t="s">
        <v>111</v>
      </c>
      <c r="E1198">
        <v>18</v>
      </c>
      <c r="F1198">
        <v>1018</v>
      </c>
      <c r="G1198" t="s">
        <v>112</v>
      </c>
      <c r="J1198" t="s">
        <v>113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R1198" t="s">
        <v>114</v>
      </c>
      <c r="S1198" t="str">
        <f>"18:54:41.188"</f>
        <v>18:54:41.188</v>
      </c>
      <c r="T1198" t="str">
        <f>"18:54:41.086"</f>
        <v>18:54:41.086</v>
      </c>
      <c r="U1198" t="str">
        <f t="shared" si="55"/>
        <v>a1cdbe</v>
      </c>
      <c r="V1198">
        <v>0</v>
      </c>
      <c r="W1198">
        <v>0</v>
      </c>
      <c r="X1198">
        <v>1</v>
      </c>
      <c r="Y1198">
        <v>0</v>
      </c>
      <c r="Z1198">
        <v>0</v>
      </c>
      <c r="AB1198">
        <v>0</v>
      </c>
      <c r="AC1198">
        <v>9</v>
      </c>
      <c r="AD1198">
        <v>3</v>
      </c>
      <c r="AE1198">
        <v>0</v>
      </c>
      <c r="AF1198">
        <v>9</v>
      </c>
      <c r="AG1198" t="s">
        <v>158</v>
      </c>
      <c r="AH1198">
        <v>0</v>
      </c>
      <c r="AI1198">
        <v>3</v>
      </c>
      <c r="AJ1198">
        <v>1</v>
      </c>
      <c r="AK1198">
        <v>0</v>
      </c>
      <c r="AL1198" t="s">
        <v>2351</v>
      </c>
      <c r="AM1198">
        <v>46.83079</v>
      </c>
      <c r="AN1198" t="s">
        <v>2352</v>
      </c>
      <c r="AO1198">
        <v>-122.618065</v>
      </c>
      <c r="AP1198">
        <v>100</v>
      </c>
      <c r="AQ1198">
        <v>2000</v>
      </c>
      <c r="AR1198" t="s">
        <v>118</v>
      </c>
      <c r="AS1198">
        <v>-79</v>
      </c>
      <c r="AT1198">
        <v>-25</v>
      </c>
      <c r="AU1198">
        <v>-128</v>
      </c>
      <c r="BC1198">
        <v>1200</v>
      </c>
      <c r="BD1198">
        <v>1</v>
      </c>
      <c r="BE1198" t="str">
        <f t="shared" si="56"/>
        <v xml:space="preserve">N215T   </v>
      </c>
      <c r="BF1198">
        <v>1</v>
      </c>
      <c r="BH1198">
        <v>0</v>
      </c>
      <c r="BI1198">
        <v>0</v>
      </c>
      <c r="BJ1198">
        <v>0</v>
      </c>
      <c r="BK1198">
        <v>2400</v>
      </c>
      <c r="BL1198">
        <v>400</v>
      </c>
      <c r="BM1198" t="s">
        <v>119</v>
      </c>
      <c r="BN1198">
        <v>1</v>
      </c>
      <c r="BO1198">
        <v>1</v>
      </c>
      <c r="BP1198">
        <v>1</v>
      </c>
      <c r="BQ1198">
        <v>0</v>
      </c>
      <c r="BT1198">
        <v>0</v>
      </c>
      <c r="BU1198">
        <v>0</v>
      </c>
      <c r="BV1198">
        <v>0</v>
      </c>
      <c r="CC1198" t="str">
        <f>"18:54:41.188"</f>
        <v>18:54:41.188</v>
      </c>
      <c r="CD1198" t="str">
        <f>"190627957"</f>
        <v>190627957</v>
      </c>
      <c r="CQ1198">
        <v>0</v>
      </c>
      <c r="CR1198">
        <v>2</v>
      </c>
      <c r="CS1198">
        <v>0</v>
      </c>
      <c r="CT1198">
        <v>2</v>
      </c>
      <c r="CU1198">
        <v>0</v>
      </c>
      <c r="CV1198">
        <v>6</v>
      </c>
      <c r="CW1198" t="s">
        <v>120</v>
      </c>
      <c r="CX1198">
        <v>261</v>
      </c>
      <c r="CY1198">
        <v>2</v>
      </c>
      <c r="CZ1198" t="s">
        <v>121</v>
      </c>
      <c r="DA1198" t="s">
        <v>122</v>
      </c>
      <c r="DD1198">
        <v>14912326</v>
      </c>
      <c r="DE1198" t="s">
        <v>123</v>
      </c>
    </row>
    <row r="1199" spans="1:109" x14ac:dyDescent="0.3">
      <c r="A1199" t="str">
        <f>"18:54:42.477"</f>
        <v>18:54:42.477</v>
      </c>
      <c r="B1199" t="s">
        <v>110</v>
      </c>
      <c r="C1199" t="str">
        <f t="shared" si="54"/>
        <v>ffdfd3c0</v>
      </c>
      <c r="D1199" t="s">
        <v>111</v>
      </c>
      <c r="E1199">
        <v>18</v>
      </c>
      <c r="F1199">
        <v>1018</v>
      </c>
      <c r="G1199" t="s">
        <v>112</v>
      </c>
      <c r="J1199" t="s">
        <v>113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R1199" t="s">
        <v>114</v>
      </c>
      <c r="S1199" t="str">
        <f>"18:54:42.234"</f>
        <v>18:54:42.234</v>
      </c>
      <c r="T1199" t="str">
        <f>"18:54:42.031"</f>
        <v>18:54:42.031</v>
      </c>
      <c r="U1199" t="str">
        <f t="shared" si="55"/>
        <v>a1cdbe</v>
      </c>
      <c r="V1199">
        <v>0</v>
      </c>
      <c r="W1199">
        <v>0</v>
      </c>
      <c r="X1199">
        <v>1</v>
      </c>
      <c r="Y1199">
        <v>0</v>
      </c>
      <c r="Z1199">
        <v>0</v>
      </c>
      <c r="AB1199">
        <v>0</v>
      </c>
      <c r="AC1199">
        <v>9</v>
      </c>
      <c r="AD1199">
        <v>3</v>
      </c>
      <c r="AE1199">
        <v>0</v>
      </c>
      <c r="AF1199">
        <v>9</v>
      </c>
      <c r="AG1199" t="s">
        <v>158</v>
      </c>
      <c r="AH1199">
        <v>0</v>
      </c>
      <c r="AI1199">
        <v>3</v>
      </c>
      <c r="AJ1199">
        <v>1</v>
      </c>
      <c r="AK1199">
        <v>0</v>
      </c>
      <c r="AL1199" t="s">
        <v>2353</v>
      </c>
      <c r="AM1199">
        <v>46.830618000000001</v>
      </c>
      <c r="AN1199" t="s">
        <v>2354</v>
      </c>
      <c r="AO1199">
        <v>-122.618623</v>
      </c>
      <c r="AP1199">
        <v>100</v>
      </c>
      <c r="AQ1199">
        <v>2000</v>
      </c>
      <c r="AR1199" t="s">
        <v>118</v>
      </c>
      <c r="AS1199">
        <v>-79</v>
      </c>
      <c r="AT1199">
        <v>-24</v>
      </c>
      <c r="AU1199">
        <v>-64</v>
      </c>
      <c r="BC1199">
        <v>1200</v>
      </c>
      <c r="BD1199">
        <v>1</v>
      </c>
      <c r="BE1199" t="str">
        <f t="shared" si="56"/>
        <v xml:space="preserve">N215T   </v>
      </c>
      <c r="BF1199">
        <v>1</v>
      </c>
      <c r="BH1199">
        <v>0</v>
      </c>
      <c r="BI1199">
        <v>0</v>
      </c>
      <c r="BJ1199">
        <v>0</v>
      </c>
      <c r="BK1199">
        <v>2375</v>
      </c>
      <c r="BL1199">
        <v>375</v>
      </c>
      <c r="BM1199" t="s">
        <v>119</v>
      </c>
      <c r="BN1199">
        <v>1</v>
      </c>
      <c r="BO1199">
        <v>1</v>
      </c>
      <c r="BP1199">
        <v>1</v>
      </c>
      <c r="BQ1199">
        <v>0</v>
      </c>
      <c r="BT1199">
        <v>0</v>
      </c>
      <c r="BU1199">
        <v>0</v>
      </c>
      <c r="BV1199">
        <v>0</v>
      </c>
      <c r="CC1199" t="str">
        <f>"18:54:42.242"</f>
        <v>18:54:42.242</v>
      </c>
      <c r="CD1199" t="str">
        <f>"240524592"</f>
        <v>240524592</v>
      </c>
      <c r="CQ1199">
        <v>0</v>
      </c>
      <c r="CR1199">
        <v>2</v>
      </c>
      <c r="CS1199">
        <v>0</v>
      </c>
      <c r="CT1199">
        <v>2</v>
      </c>
      <c r="CU1199">
        <v>0</v>
      </c>
      <c r="CV1199">
        <v>6</v>
      </c>
      <c r="CW1199" t="s">
        <v>120</v>
      </c>
      <c r="CX1199">
        <v>261</v>
      </c>
      <c r="CY1199">
        <v>2</v>
      </c>
      <c r="CZ1199" t="s">
        <v>121</v>
      </c>
      <c r="DA1199" t="s">
        <v>122</v>
      </c>
      <c r="DD1199">
        <v>14913005</v>
      </c>
      <c r="DE1199" t="s">
        <v>123</v>
      </c>
    </row>
    <row r="1200" spans="1:109" x14ac:dyDescent="0.3">
      <c r="A1200" t="str">
        <f>"18:54:43.633"</f>
        <v>18:54:43.633</v>
      </c>
      <c r="B1200" t="s">
        <v>110</v>
      </c>
      <c r="C1200" t="str">
        <f t="shared" si="54"/>
        <v>ffdfd3c0</v>
      </c>
      <c r="D1200" t="s">
        <v>111</v>
      </c>
      <c r="E1200">
        <v>18</v>
      </c>
      <c r="F1200">
        <v>1018</v>
      </c>
      <c r="G1200" t="s">
        <v>112</v>
      </c>
      <c r="J1200" t="s">
        <v>113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R1200" t="s">
        <v>114</v>
      </c>
      <c r="S1200" t="str">
        <f>"18:54:43.375"</f>
        <v>18:54:43.375</v>
      </c>
      <c r="T1200" t="str">
        <f>"18:54:43.172"</f>
        <v>18:54:43.172</v>
      </c>
      <c r="U1200" t="str">
        <f t="shared" si="55"/>
        <v>a1cdbe</v>
      </c>
      <c r="V1200">
        <v>0</v>
      </c>
      <c r="W1200">
        <v>0</v>
      </c>
      <c r="X1200">
        <v>1</v>
      </c>
      <c r="Y1200">
        <v>0</v>
      </c>
      <c r="Z1200">
        <v>0</v>
      </c>
      <c r="AB1200">
        <v>0</v>
      </c>
      <c r="AC1200">
        <v>9</v>
      </c>
      <c r="AD1200">
        <v>3</v>
      </c>
      <c r="AE1200">
        <v>0</v>
      </c>
      <c r="AF1200">
        <v>9</v>
      </c>
      <c r="AG1200" t="s">
        <v>158</v>
      </c>
      <c r="AH1200">
        <v>0</v>
      </c>
      <c r="AI1200">
        <v>3</v>
      </c>
      <c r="AJ1200">
        <v>1</v>
      </c>
      <c r="AK1200">
        <v>0</v>
      </c>
      <c r="AL1200" t="s">
        <v>2355</v>
      </c>
      <c r="AM1200">
        <v>46.830489999999998</v>
      </c>
      <c r="AN1200" t="s">
        <v>2356</v>
      </c>
      <c r="AO1200">
        <v>-122.619224</v>
      </c>
      <c r="AP1200">
        <v>100</v>
      </c>
      <c r="AQ1200">
        <v>2000</v>
      </c>
      <c r="AR1200" t="s">
        <v>118</v>
      </c>
      <c r="AS1200">
        <v>-79</v>
      </c>
      <c r="AT1200">
        <v>-24</v>
      </c>
      <c r="AU1200">
        <v>0</v>
      </c>
      <c r="BC1200">
        <v>1200</v>
      </c>
      <c r="BD1200">
        <v>1</v>
      </c>
      <c r="BE1200" t="str">
        <f t="shared" si="56"/>
        <v xml:space="preserve">N215T   </v>
      </c>
      <c r="BF1200">
        <v>1</v>
      </c>
      <c r="BH1200">
        <v>0</v>
      </c>
      <c r="BI1200">
        <v>0</v>
      </c>
      <c r="BJ1200">
        <v>0</v>
      </c>
      <c r="BK1200">
        <v>2375</v>
      </c>
      <c r="BL1200">
        <v>375</v>
      </c>
      <c r="BM1200" t="s">
        <v>119</v>
      </c>
      <c r="BN1200">
        <v>1</v>
      </c>
      <c r="BO1200">
        <v>1</v>
      </c>
      <c r="BP1200">
        <v>1</v>
      </c>
      <c r="BQ1200">
        <v>0</v>
      </c>
      <c r="BT1200">
        <v>0</v>
      </c>
      <c r="BU1200">
        <v>0</v>
      </c>
      <c r="BV1200">
        <v>0</v>
      </c>
      <c r="CC1200" t="str">
        <f>"18:54:43.383"</f>
        <v>18:54:43.383</v>
      </c>
      <c r="CD1200" t="str">
        <f>"380412368"</f>
        <v>380412368</v>
      </c>
      <c r="CQ1200">
        <v>0</v>
      </c>
      <c r="CR1200">
        <v>2</v>
      </c>
      <c r="CS1200">
        <v>0</v>
      </c>
      <c r="CT1200">
        <v>2</v>
      </c>
      <c r="CU1200">
        <v>0</v>
      </c>
      <c r="CV1200">
        <v>6</v>
      </c>
      <c r="CW1200" t="s">
        <v>120</v>
      </c>
      <c r="CX1200">
        <v>261</v>
      </c>
      <c r="CY1200">
        <v>2</v>
      </c>
      <c r="CZ1200" t="s">
        <v>121</v>
      </c>
      <c r="DA1200" t="s">
        <v>122</v>
      </c>
      <c r="DD1200">
        <v>14913790</v>
      </c>
      <c r="DE1200" t="s">
        <v>123</v>
      </c>
    </row>
    <row r="1201" spans="1:109" x14ac:dyDescent="0.3">
      <c r="A1201" t="str">
        <f>"18:54:44.492"</f>
        <v>18:54:44.492</v>
      </c>
      <c r="B1201" t="s">
        <v>110</v>
      </c>
      <c r="C1201" t="str">
        <f t="shared" si="54"/>
        <v>ffdfd3c0</v>
      </c>
      <c r="D1201" t="s">
        <v>111</v>
      </c>
      <c r="E1201">
        <v>18</v>
      </c>
      <c r="F1201">
        <v>1018</v>
      </c>
      <c r="G1201" t="s">
        <v>112</v>
      </c>
      <c r="J1201" t="s">
        <v>113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R1201" t="s">
        <v>114</v>
      </c>
      <c r="S1201" t="str">
        <f>"18:54:44.258"</f>
        <v>18:54:44.258</v>
      </c>
      <c r="T1201" t="str">
        <f>"18:54:44.156"</f>
        <v>18:54:44.156</v>
      </c>
      <c r="U1201" t="str">
        <f t="shared" si="55"/>
        <v>a1cdbe</v>
      </c>
      <c r="V1201">
        <v>0</v>
      </c>
      <c r="W1201">
        <v>0</v>
      </c>
      <c r="X1201">
        <v>1</v>
      </c>
      <c r="Y1201">
        <v>0</v>
      </c>
      <c r="Z1201">
        <v>0</v>
      </c>
      <c r="AB1201">
        <v>0</v>
      </c>
      <c r="AC1201">
        <v>9</v>
      </c>
      <c r="AD1201">
        <v>3</v>
      </c>
      <c r="AE1201">
        <v>0</v>
      </c>
      <c r="AF1201">
        <v>9</v>
      </c>
      <c r="AG1201" t="s">
        <v>158</v>
      </c>
      <c r="AH1201">
        <v>0</v>
      </c>
      <c r="AI1201">
        <v>3</v>
      </c>
      <c r="AJ1201">
        <v>1</v>
      </c>
      <c r="AK1201">
        <v>0</v>
      </c>
      <c r="AL1201" t="s">
        <v>2357</v>
      </c>
      <c r="AM1201">
        <v>46.830382</v>
      </c>
      <c r="AN1201" t="s">
        <v>2358</v>
      </c>
      <c r="AO1201">
        <v>-122.61971699999999</v>
      </c>
      <c r="AP1201">
        <v>100</v>
      </c>
      <c r="AQ1201">
        <v>2000</v>
      </c>
      <c r="AR1201" t="s">
        <v>118</v>
      </c>
      <c r="AS1201">
        <v>-79</v>
      </c>
      <c r="AT1201">
        <v>-24</v>
      </c>
      <c r="AU1201">
        <v>-64</v>
      </c>
      <c r="BC1201">
        <v>1200</v>
      </c>
      <c r="BD1201">
        <v>1</v>
      </c>
      <c r="BE1201" t="str">
        <f t="shared" si="56"/>
        <v xml:space="preserve">N215T   </v>
      </c>
      <c r="BF1201">
        <v>1</v>
      </c>
      <c r="BH1201">
        <v>0</v>
      </c>
      <c r="BI1201">
        <v>0</v>
      </c>
      <c r="BJ1201">
        <v>0</v>
      </c>
      <c r="BK1201">
        <v>2375</v>
      </c>
      <c r="BL1201">
        <v>375</v>
      </c>
      <c r="BM1201" t="s">
        <v>119</v>
      </c>
      <c r="BN1201">
        <v>1</v>
      </c>
      <c r="BO1201">
        <v>1</v>
      </c>
      <c r="BP1201">
        <v>1</v>
      </c>
      <c r="BQ1201">
        <v>0</v>
      </c>
      <c r="BT1201">
        <v>0</v>
      </c>
      <c r="BU1201">
        <v>0</v>
      </c>
      <c r="BV1201">
        <v>0</v>
      </c>
      <c r="CC1201" t="str">
        <f>"18:54:44.266"</f>
        <v>18:54:44.266</v>
      </c>
      <c r="CD1201" t="str">
        <f>"265325237"</f>
        <v>265325237</v>
      </c>
      <c r="CQ1201">
        <v>0</v>
      </c>
      <c r="CR1201">
        <v>2</v>
      </c>
      <c r="CS1201">
        <v>0</v>
      </c>
      <c r="CT1201">
        <v>2</v>
      </c>
      <c r="CU1201">
        <v>0</v>
      </c>
      <c r="CV1201">
        <v>6</v>
      </c>
      <c r="CW1201" t="s">
        <v>120</v>
      </c>
      <c r="CX1201">
        <v>261</v>
      </c>
      <c r="CY1201">
        <v>2</v>
      </c>
      <c r="CZ1201" t="s">
        <v>121</v>
      </c>
      <c r="DA1201" t="s">
        <v>122</v>
      </c>
      <c r="DD1201">
        <v>14914455</v>
      </c>
      <c r="DE1201" t="s">
        <v>123</v>
      </c>
    </row>
    <row r="1202" spans="1:109" x14ac:dyDescent="0.3">
      <c r="A1202" t="str">
        <f>"18:54:45.547"</f>
        <v>18:54:45.547</v>
      </c>
      <c r="B1202" t="s">
        <v>110</v>
      </c>
      <c r="C1202" t="str">
        <f t="shared" si="54"/>
        <v>ffdfd3c0</v>
      </c>
      <c r="D1202" t="s">
        <v>111</v>
      </c>
      <c r="E1202">
        <v>18</v>
      </c>
      <c r="F1202">
        <v>1018</v>
      </c>
      <c r="G1202" t="s">
        <v>112</v>
      </c>
      <c r="J1202" t="s">
        <v>113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R1202" t="s">
        <v>114</v>
      </c>
      <c r="S1202" t="str">
        <f>"18:54:45.297"</f>
        <v>18:54:45.297</v>
      </c>
      <c r="T1202" t="str">
        <f>"18:54:45.297"</f>
        <v>18:54:45.297</v>
      </c>
      <c r="U1202" t="str">
        <f t="shared" si="55"/>
        <v>a1cdbe</v>
      </c>
      <c r="V1202">
        <v>0</v>
      </c>
      <c r="W1202">
        <v>0</v>
      </c>
      <c r="X1202">
        <v>1</v>
      </c>
      <c r="Y1202">
        <v>0</v>
      </c>
      <c r="Z1202">
        <v>0</v>
      </c>
      <c r="AB1202">
        <v>0</v>
      </c>
      <c r="AC1202">
        <v>9</v>
      </c>
      <c r="AD1202">
        <v>3</v>
      </c>
      <c r="AE1202">
        <v>0</v>
      </c>
      <c r="AF1202">
        <v>9</v>
      </c>
      <c r="AG1202" t="s">
        <v>158</v>
      </c>
      <c r="AH1202">
        <v>0</v>
      </c>
      <c r="AI1202">
        <v>3</v>
      </c>
      <c r="AJ1202">
        <v>1</v>
      </c>
      <c r="AK1202">
        <v>0</v>
      </c>
      <c r="AL1202" t="s">
        <v>2359</v>
      </c>
      <c r="AM1202">
        <v>46.830317999999998</v>
      </c>
      <c r="AN1202" t="s">
        <v>2360</v>
      </c>
      <c r="AO1202">
        <v>-122.62027500000001</v>
      </c>
      <c r="AP1202">
        <v>100</v>
      </c>
      <c r="AQ1202">
        <v>2000</v>
      </c>
      <c r="AR1202" t="s">
        <v>118</v>
      </c>
      <c r="AS1202">
        <v>-79</v>
      </c>
      <c r="AT1202">
        <v>-24</v>
      </c>
      <c r="AU1202">
        <v>0</v>
      </c>
      <c r="BC1202">
        <v>1200</v>
      </c>
      <c r="BD1202">
        <v>1</v>
      </c>
      <c r="BE1202" t="str">
        <f t="shared" si="56"/>
        <v xml:space="preserve">N215T   </v>
      </c>
      <c r="BF1202">
        <v>1</v>
      </c>
      <c r="BH1202">
        <v>0</v>
      </c>
      <c r="BI1202">
        <v>0</v>
      </c>
      <c r="BJ1202">
        <v>0</v>
      </c>
      <c r="BK1202">
        <v>2400</v>
      </c>
      <c r="BL1202">
        <v>400</v>
      </c>
      <c r="BM1202" t="s">
        <v>119</v>
      </c>
      <c r="BN1202">
        <v>1</v>
      </c>
      <c r="BO1202">
        <v>1</v>
      </c>
      <c r="BP1202">
        <v>1</v>
      </c>
      <c r="BQ1202">
        <v>0</v>
      </c>
      <c r="BT1202">
        <v>0</v>
      </c>
      <c r="BU1202">
        <v>0</v>
      </c>
      <c r="BV1202">
        <v>0</v>
      </c>
      <c r="CC1202" t="str">
        <f>"18:54:45.297"</f>
        <v>18:54:45.297</v>
      </c>
      <c r="CD1202" t="str">
        <f>"300223344"</f>
        <v>300223344</v>
      </c>
      <c r="CQ1202">
        <v>0</v>
      </c>
      <c r="CR1202">
        <v>2</v>
      </c>
      <c r="CS1202">
        <v>0</v>
      </c>
      <c r="CT1202">
        <v>2</v>
      </c>
      <c r="CU1202">
        <v>0</v>
      </c>
      <c r="CV1202">
        <v>6</v>
      </c>
      <c r="CW1202" t="s">
        <v>120</v>
      </c>
      <c r="CX1202">
        <v>261</v>
      </c>
      <c r="CY1202">
        <v>2</v>
      </c>
      <c r="CZ1202" t="s">
        <v>121</v>
      </c>
      <c r="DA1202" t="s">
        <v>122</v>
      </c>
      <c r="DD1202">
        <v>14915114</v>
      </c>
      <c r="DE1202" t="s">
        <v>123</v>
      </c>
    </row>
    <row r="1203" spans="1:109" x14ac:dyDescent="0.3">
      <c r="A1203" t="str">
        <f>"18:54:46.602"</f>
        <v>18:54:46.602</v>
      </c>
      <c r="B1203" t="s">
        <v>110</v>
      </c>
      <c r="C1203" t="str">
        <f t="shared" si="54"/>
        <v>ffdfd3c0</v>
      </c>
      <c r="D1203" t="s">
        <v>111</v>
      </c>
      <c r="E1203">
        <v>18</v>
      </c>
      <c r="F1203">
        <v>1018</v>
      </c>
      <c r="G1203" t="s">
        <v>112</v>
      </c>
      <c r="J1203" t="s">
        <v>113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R1203" t="s">
        <v>114</v>
      </c>
      <c r="S1203" t="str">
        <f>"18:54:46.359"</f>
        <v>18:54:46.359</v>
      </c>
      <c r="T1203" t="str">
        <f>"18:54:46.359"</f>
        <v>18:54:46.359</v>
      </c>
      <c r="U1203" t="str">
        <f t="shared" si="55"/>
        <v>a1cdbe</v>
      </c>
      <c r="V1203">
        <v>0</v>
      </c>
      <c r="W1203">
        <v>0</v>
      </c>
      <c r="X1203">
        <v>1</v>
      </c>
      <c r="Y1203">
        <v>0</v>
      </c>
      <c r="Z1203">
        <v>0</v>
      </c>
      <c r="AB1203">
        <v>0</v>
      </c>
      <c r="AC1203">
        <v>9</v>
      </c>
      <c r="AD1203">
        <v>3</v>
      </c>
      <c r="AE1203">
        <v>0</v>
      </c>
      <c r="AF1203">
        <v>9</v>
      </c>
      <c r="AG1203" t="s">
        <v>158</v>
      </c>
      <c r="AH1203">
        <v>0</v>
      </c>
      <c r="AI1203">
        <v>3</v>
      </c>
      <c r="AJ1203">
        <v>1</v>
      </c>
      <c r="AK1203">
        <v>0</v>
      </c>
      <c r="AL1203" t="s">
        <v>2361</v>
      </c>
      <c r="AM1203">
        <v>46.830188999999997</v>
      </c>
      <c r="AN1203" t="s">
        <v>2362</v>
      </c>
      <c r="AO1203">
        <v>-122.620811</v>
      </c>
      <c r="AP1203">
        <v>100</v>
      </c>
      <c r="AQ1203">
        <v>2000</v>
      </c>
      <c r="AR1203" t="s">
        <v>118</v>
      </c>
      <c r="AS1203">
        <v>-79</v>
      </c>
      <c r="AT1203">
        <v>-24</v>
      </c>
      <c r="AU1203">
        <v>64</v>
      </c>
      <c r="BC1203">
        <v>1200</v>
      </c>
      <c r="BD1203">
        <v>1</v>
      </c>
      <c r="BE1203" t="str">
        <f t="shared" si="56"/>
        <v xml:space="preserve">N215T   </v>
      </c>
      <c r="BF1203">
        <v>1</v>
      </c>
      <c r="BH1203">
        <v>0</v>
      </c>
      <c r="BI1203">
        <v>0</v>
      </c>
      <c r="BJ1203">
        <v>0</v>
      </c>
      <c r="BK1203">
        <v>2375</v>
      </c>
      <c r="BL1203">
        <v>375</v>
      </c>
      <c r="BM1203" t="s">
        <v>119</v>
      </c>
      <c r="BN1203">
        <v>1</v>
      </c>
      <c r="BO1203">
        <v>1</v>
      </c>
      <c r="BP1203">
        <v>1</v>
      </c>
      <c r="BQ1203">
        <v>0</v>
      </c>
      <c r="BT1203">
        <v>0</v>
      </c>
      <c r="BU1203">
        <v>0</v>
      </c>
      <c r="BV1203">
        <v>0</v>
      </c>
      <c r="CC1203" t="str">
        <f>"18:54:46.367"</f>
        <v>18:54:46.367</v>
      </c>
      <c r="CD1203" t="str">
        <f>"365118504"</f>
        <v>365118504</v>
      </c>
      <c r="CQ1203">
        <v>0</v>
      </c>
      <c r="CR1203">
        <v>2</v>
      </c>
      <c r="CS1203">
        <v>0</v>
      </c>
      <c r="CT1203">
        <v>2</v>
      </c>
      <c r="CU1203">
        <v>0</v>
      </c>
      <c r="CV1203">
        <v>6</v>
      </c>
      <c r="CW1203" t="s">
        <v>120</v>
      </c>
      <c r="CX1203">
        <v>261</v>
      </c>
      <c r="CY1203">
        <v>2</v>
      </c>
      <c r="CZ1203" t="s">
        <v>121</v>
      </c>
      <c r="DA1203" t="s">
        <v>122</v>
      </c>
      <c r="DD1203">
        <v>14915776</v>
      </c>
      <c r="DE1203" t="s">
        <v>123</v>
      </c>
    </row>
    <row r="1204" spans="1:109" x14ac:dyDescent="0.3">
      <c r="A1204" t="str">
        <f>"18:54:47.461"</f>
        <v>18:54:47.461</v>
      </c>
      <c r="B1204" t="s">
        <v>110</v>
      </c>
      <c r="C1204" t="str">
        <f t="shared" si="54"/>
        <v>ffdfd3c0</v>
      </c>
      <c r="D1204" t="s">
        <v>111</v>
      </c>
      <c r="E1204">
        <v>18</v>
      </c>
      <c r="F1204">
        <v>1018</v>
      </c>
      <c r="G1204" t="s">
        <v>112</v>
      </c>
      <c r="J1204" t="s">
        <v>113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R1204" t="s">
        <v>114</v>
      </c>
      <c r="S1204" t="str">
        <f>"18:54:47.219"</f>
        <v>18:54:47.219</v>
      </c>
      <c r="T1204" t="str">
        <f>"18:54:46.820"</f>
        <v>18:54:46.820</v>
      </c>
      <c r="U1204" t="str">
        <f t="shared" si="55"/>
        <v>a1cdbe</v>
      </c>
      <c r="V1204">
        <v>0</v>
      </c>
      <c r="W1204">
        <v>0</v>
      </c>
      <c r="X1204">
        <v>1</v>
      </c>
      <c r="Y1204">
        <v>0</v>
      </c>
      <c r="Z1204">
        <v>0</v>
      </c>
      <c r="AB1204">
        <v>0</v>
      </c>
      <c r="AC1204">
        <v>9</v>
      </c>
      <c r="AD1204">
        <v>3</v>
      </c>
      <c r="AE1204">
        <v>0</v>
      </c>
      <c r="AF1204">
        <v>9</v>
      </c>
      <c r="AG1204" t="s">
        <v>158</v>
      </c>
      <c r="AH1204">
        <v>0</v>
      </c>
      <c r="AI1204">
        <v>3</v>
      </c>
      <c r="AJ1204">
        <v>1</v>
      </c>
      <c r="AK1204">
        <v>0</v>
      </c>
      <c r="AL1204" t="s">
        <v>2363</v>
      </c>
      <c r="AM1204">
        <v>46.830103000000001</v>
      </c>
      <c r="AN1204" t="s">
        <v>2364</v>
      </c>
      <c r="AO1204">
        <v>-122.621284</v>
      </c>
      <c r="AP1204">
        <v>100</v>
      </c>
      <c r="AQ1204">
        <v>2000</v>
      </c>
      <c r="AR1204" t="s">
        <v>118</v>
      </c>
      <c r="AS1204">
        <v>-79</v>
      </c>
      <c r="AT1204">
        <v>-24</v>
      </c>
      <c r="AU1204">
        <v>128</v>
      </c>
      <c r="BC1204">
        <v>1200</v>
      </c>
      <c r="BD1204">
        <v>1</v>
      </c>
      <c r="BE1204" t="str">
        <f t="shared" si="56"/>
        <v xml:space="preserve">N215T   </v>
      </c>
      <c r="BF1204">
        <v>1</v>
      </c>
      <c r="BH1204">
        <v>0</v>
      </c>
      <c r="BI1204">
        <v>0</v>
      </c>
      <c r="BJ1204">
        <v>0</v>
      </c>
      <c r="BK1204">
        <v>2375</v>
      </c>
      <c r="BL1204">
        <v>375</v>
      </c>
      <c r="BM1204" t="s">
        <v>119</v>
      </c>
      <c r="BN1204">
        <v>1</v>
      </c>
      <c r="BO1204">
        <v>1</v>
      </c>
      <c r="BP1204">
        <v>1</v>
      </c>
      <c r="BQ1204">
        <v>0</v>
      </c>
      <c r="BT1204">
        <v>0</v>
      </c>
      <c r="BU1204">
        <v>0</v>
      </c>
      <c r="BV1204">
        <v>0</v>
      </c>
      <c r="CC1204" t="str">
        <f>"18:54:47.219"</f>
        <v>18:54:47.219</v>
      </c>
      <c r="CD1204" t="str">
        <f>"220034329"</f>
        <v>220034329</v>
      </c>
      <c r="CQ1204">
        <v>0</v>
      </c>
      <c r="CR1204">
        <v>2</v>
      </c>
      <c r="CS1204">
        <v>0</v>
      </c>
      <c r="CT1204">
        <v>2</v>
      </c>
      <c r="CU1204">
        <v>0</v>
      </c>
      <c r="CV1204">
        <v>6</v>
      </c>
      <c r="CW1204" t="s">
        <v>120</v>
      </c>
      <c r="CX1204">
        <v>261</v>
      </c>
      <c r="CY1204">
        <v>2</v>
      </c>
      <c r="CZ1204" t="s">
        <v>121</v>
      </c>
      <c r="DA1204" t="s">
        <v>122</v>
      </c>
      <c r="DD1204">
        <v>14916342</v>
      </c>
      <c r="DE1204" t="s">
        <v>123</v>
      </c>
    </row>
    <row r="1205" spans="1:109" x14ac:dyDescent="0.3">
      <c r="A1205" t="str">
        <f>"18:54:48.617"</f>
        <v>18:54:48.617</v>
      </c>
      <c r="B1205" t="s">
        <v>110</v>
      </c>
      <c r="C1205" t="str">
        <f t="shared" si="54"/>
        <v>ffdfd3c0</v>
      </c>
      <c r="D1205" t="s">
        <v>111</v>
      </c>
      <c r="E1205">
        <v>18</v>
      </c>
      <c r="F1205">
        <v>1018</v>
      </c>
      <c r="G1205" t="s">
        <v>112</v>
      </c>
      <c r="J1205" t="s">
        <v>113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R1205" t="s">
        <v>114</v>
      </c>
      <c r="S1205" t="str">
        <f>"18:54:48.344"</f>
        <v>18:54:48.344</v>
      </c>
      <c r="T1205" t="str">
        <f>"18:54:48.242"</f>
        <v>18:54:48.242</v>
      </c>
      <c r="U1205" t="str">
        <f t="shared" si="55"/>
        <v>a1cdbe</v>
      </c>
      <c r="V1205">
        <v>0</v>
      </c>
      <c r="W1205">
        <v>0</v>
      </c>
      <c r="X1205">
        <v>1</v>
      </c>
      <c r="Y1205">
        <v>0</v>
      </c>
      <c r="Z1205">
        <v>0</v>
      </c>
      <c r="AB1205">
        <v>0</v>
      </c>
      <c r="AC1205">
        <v>9</v>
      </c>
      <c r="AD1205">
        <v>3</v>
      </c>
      <c r="AE1205">
        <v>0</v>
      </c>
      <c r="AF1205">
        <v>9</v>
      </c>
      <c r="AG1205" t="s">
        <v>158</v>
      </c>
      <c r="AH1205">
        <v>0</v>
      </c>
      <c r="AI1205">
        <v>3</v>
      </c>
      <c r="AJ1205">
        <v>1</v>
      </c>
      <c r="AK1205">
        <v>0</v>
      </c>
      <c r="AL1205" t="s">
        <v>2365</v>
      </c>
      <c r="AM1205">
        <v>46.829974999999997</v>
      </c>
      <c r="AN1205" t="s">
        <v>2366</v>
      </c>
      <c r="AO1205">
        <v>-122.621906</v>
      </c>
      <c r="AP1205">
        <v>100</v>
      </c>
      <c r="AQ1205">
        <v>2000</v>
      </c>
      <c r="AR1205" t="s">
        <v>118</v>
      </c>
      <c r="AS1205">
        <v>-78</v>
      </c>
      <c r="AT1205">
        <v>-25</v>
      </c>
      <c r="AU1205">
        <v>64</v>
      </c>
      <c r="BC1205">
        <v>1200</v>
      </c>
      <c r="BD1205">
        <v>1</v>
      </c>
      <c r="BE1205" t="str">
        <f t="shared" si="56"/>
        <v xml:space="preserve">N215T   </v>
      </c>
      <c r="BF1205">
        <v>1</v>
      </c>
      <c r="BH1205">
        <v>0</v>
      </c>
      <c r="BI1205">
        <v>0</v>
      </c>
      <c r="BJ1205">
        <v>0</v>
      </c>
      <c r="BK1205">
        <v>2375</v>
      </c>
      <c r="BL1205">
        <v>375</v>
      </c>
      <c r="BM1205" t="s">
        <v>119</v>
      </c>
      <c r="BN1205">
        <v>1</v>
      </c>
      <c r="BO1205">
        <v>1</v>
      </c>
      <c r="BP1205">
        <v>1</v>
      </c>
      <c r="BQ1205">
        <v>0</v>
      </c>
      <c r="BT1205">
        <v>0</v>
      </c>
      <c r="BU1205">
        <v>0</v>
      </c>
      <c r="BV1205">
        <v>0</v>
      </c>
      <c r="CC1205" t="str">
        <f>"18:54:48.344"</f>
        <v>18:54:48.344</v>
      </c>
      <c r="CD1205" t="str">
        <f>"344923574"</f>
        <v>344923574</v>
      </c>
      <c r="CQ1205">
        <v>0</v>
      </c>
      <c r="CR1205">
        <v>2</v>
      </c>
      <c r="CS1205">
        <v>0</v>
      </c>
      <c r="CT1205">
        <v>2</v>
      </c>
      <c r="CU1205">
        <v>0</v>
      </c>
      <c r="CV1205">
        <v>6</v>
      </c>
      <c r="CW1205" t="s">
        <v>120</v>
      </c>
      <c r="CX1205">
        <v>261</v>
      </c>
      <c r="CY1205">
        <v>2</v>
      </c>
      <c r="CZ1205" t="s">
        <v>121</v>
      </c>
      <c r="DA1205" t="s">
        <v>122</v>
      </c>
      <c r="DD1205">
        <v>14917145</v>
      </c>
      <c r="DE1205" t="s">
        <v>123</v>
      </c>
    </row>
    <row r="1206" spans="1:109" x14ac:dyDescent="0.3">
      <c r="A1206" t="str">
        <f>"18:54:49.617"</f>
        <v>18:54:49.617</v>
      </c>
      <c r="B1206" t="s">
        <v>110</v>
      </c>
      <c r="C1206" t="str">
        <f t="shared" si="54"/>
        <v>ffdfd3c0</v>
      </c>
      <c r="D1206" t="s">
        <v>111</v>
      </c>
      <c r="E1206">
        <v>18</v>
      </c>
      <c r="F1206">
        <v>1018</v>
      </c>
      <c r="G1206" t="s">
        <v>112</v>
      </c>
      <c r="J1206" t="s">
        <v>113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R1206" t="s">
        <v>114</v>
      </c>
      <c r="S1206" t="str">
        <f>"18:54:49.391"</f>
        <v>18:54:49.391</v>
      </c>
      <c r="T1206" t="str">
        <f>"18:54:49.289"</f>
        <v>18:54:49.289</v>
      </c>
      <c r="U1206" t="str">
        <f t="shared" si="55"/>
        <v>a1cdbe</v>
      </c>
      <c r="V1206">
        <v>0</v>
      </c>
      <c r="W1206">
        <v>0</v>
      </c>
      <c r="X1206">
        <v>1</v>
      </c>
      <c r="Y1206">
        <v>0</v>
      </c>
      <c r="Z1206">
        <v>0</v>
      </c>
      <c r="AB1206">
        <v>0</v>
      </c>
      <c r="AC1206">
        <v>9</v>
      </c>
      <c r="AD1206">
        <v>3</v>
      </c>
      <c r="AE1206">
        <v>0</v>
      </c>
      <c r="AF1206">
        <v>9</v>
      </c>
      <c r="AG1206" t="s">
        <v>158</v>
      </c>
      <c r="AH1206">
        <v>0</v>
      </c>
      <c r="AI1206">
        <v>3</v>
      </c>
      <c r="AJ1206">
        <v>1</v>
      </c>
      <c r="AK1206">
        <v>0</v>
      </c>
      <c r="AL1206" t="s">
        <v>2367</v>
      </c>
      <c r="AM1206">
        <v>46.829824000000002</v>
      </c>
      <c r="AN1206" t="s">
        <v>2368</v>
      </c>
      <c r="AO1206">
        <v>-122.622399</v>
      </c>
      <c r="AP1206">
        <v>100</v>
      </c>
      <c r="AQ1206">
        <v>2000</v>
      </c>
      <c r="AR1206" t="s">
        <v>118</v>
      </c>
      <c r="AS1206">
        <v>-78</v>
      </c>
      <c r="AT1206">
        <v>-25</v>
      </c>
      <c r="AU1206">
        <v>64</v>
      </c>
      <c r="BC1206">
        <v>1200</v>
      </c>
      <c r="BD1206">
        <v>1</v>
      </c>
      <c r="BE1206" t="str">
        <f t="shared" si="56"/>
        <v xml:space="preserve">N215T   </v>
      </c>
      <c r="BF1206">
        <v>1</v>
      </c>
      <c r="BH1206">
        <v>0</v>
      </c>
      <c r="BI1206">
        <v>0</v>
      </c>
      <c r="BJ1206">
        <v>0</v>
      </c>
      <c r="BK1206">
        <v>2375</v>
      </c>
      <c r="BL1206">
        <v>375</v>
      </c>
      <c r="BM1206" t="s">
        <v>119</v>
      </c>
      <c r="BN1206">
        <v>1</v>
      </c>
      <c r="BO1206">
        <v>1</v>
      </c>
      <c r="BP1206">
        <v>1</v>
      </c>
      <c r="BQ1206">
        <v>0</v>
      </c>
      <c r="BT1206">
        <v>0</v>
      </c>
      <c r="BU1206">
        <v>0</v>
      </c>
      <c r="BV1206">
        <v>0</v>
      </c>
      <c r="CC1206" t="str">
        <f>"18:54:49.398"</f>
        <v>18:54:49.398</v>
      </c>
      <c r="CD1206" t="str">
        <f>"394820218"</f>
        <v>394820218</v>
      </c>
      <c r="CQ1206">
        <v>0</v>
      </c>
      <c r="CR1206">
        <v>2</v>
      </c>
      <c r="CS1206">
        <v>0</v>
      </c>
      <c r="CT1206">
        <v>2</v>
      </c>
      <c r="CU1206">
        <v>0</v>
      </c>
      <c r="CV1206">
        <v>6</v>
      </c>
      <c r="CW1206" t="s">
        <v>120</v>
      </c>
      <c r="CX1206">
        <v>261</v>
      </c>
      <c r="CY1206">
        <v>2</v>
      </c>
      <c r="CZ1206" t="s">
        <v>121</v>
      </c>
      <c r="DA1206" t="s">
        <v>122</v>
      </c>
      <c r="DD1206">
        <v>14917909</v>
      </c>
      <c r="DE1206" t="s">
        <v>123</v>
      </c>
    </row>
    <row r="1207" spans="1:109" x14ac:dyDescent="0.3">
      <c r="A1207" t="str">
        <f>"18:54:50.625"</f>
        <v>18:54:50.625</v>
      </c>
      <c r="B1207" t="s">
        <v>110</v>
      </c>
      <c r="C1207" t="str">
        <f t="shared" si="54"/>
        <v>ffdfd3c0</v>
      </c>
      <c r="D1207" t="s">
        <v>111</v>
      </c>
      <c r="E1207">
        <v>18</v>
      </c>
      <c r="F1207">
        <v>1018</v>
      </c>
      <c r="G1207" t="s">
        <v>112</v>
      </c>
      <c r="J1207" t="s">
        <v>113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R1207" t="s">
        <v>114</v>
      </c>
      <c r="S1207" t="str">
        <f>"18:54:50.398"</f>
        <v>18:54:50.398</v>
      </c>
      <c r="T1207" t="str">
        <f>"18:54:50.297"</f>
        <v>18:54:50.297</v>
      </c>
      <c r="U1207" t="str">
        <f t="shared" si="55"/>
        <v>a1cdbe</v>
      </c>
      <c r="V1207">
        <v>0</v>
      </c>
      <c r="W1207">
        <v>0</v>
      </c>
      <c r="X1207">
        <v>1</v>
      </c>
      <c r="Y1207">
        <v>0</v>
      </c>
      <c r="Z1207">
        <v>0</v>
      </c>
      <c r="AB1207">
        <v>0</v>
      </c>
      <c r="AC1207">
        <v>9</v>
      </c>
      <c r="AD1207">
        <v>3</v>
      </c>
      <c r="AE1207">
        <v>0</v>
      </c>
      <c r="AF1207">
        <v>9</v>
      </c>
      <c r="AG1207" t="s">
        <v>158</v>
      </c>
      <c r="AH1207">
        <v>0</v>
      </c>
      <c r="AI1207">
        <v>3</v>
      </c>
      <c r="AJ1207">
        <v>1</v>
      </c>
      <c r="AK1207">
        <v>0</v>
      </c>
      <c r="AL1207" t="s">
        <v>2369</v>
      </c>
      <c r="AM1207">
        <v>46.829717000000002</v>
      </c>
      <c r="AN1207" t="s">
        <v>2370</v>
      </c>
      <c r="AO1207">
        <v>-122.622957</v>
      </c>
      <c r="AP1207">
        <v>100</v>
      </c>
      <c r="AQ1207">
        <v>2000</v>
      </c>
      <c r="AR1207" t="s">
        <v>118</v>
      </c>
      <c r="AS1207">
        <v>-78</v>
      </c>
      <c r="AT1207">
        <v>-25</v>
      </c>
      <c r="AU1207">
        <v>0</v>
      </c>
      <c r="BC1207">
        <v>1200</v>
      </c>
      <c r="BD1207">
        <v>1</v>
      </c>
      <c r="BE1207" t="str">
        <f t="shared" si="56"/>
        <v xml:space="preserve">N215T   </v>
      </c>
      <c r="BF1207">
        <v>1</v>
      </c>
      <c r="BH1207">
        <v>0</v>
      </c>
      <c r="BI1207">
        <v>0</v>
      </c>
      <c r="BJ1207">
        <v>0</v>
      </c>
      <c r="BK1207">
        <v>2375</v>
      </c>
      <c r="BL1207">
        <v>375</v>
      </c>
      <c r="BM1207" t="s">
        <v>119</v>
      </c>
      <c r="BN1207">
        <v>1</v>
      </c>
      <c r="BO1207">
        <v>1</v>
      </c>
      <c r="BP1207">
        <v>1</v>
      </c>
      <c r="BQ1207">
        <v>0</v>
      </c>
      <c r="BT1207">
        <v>0</v>
      </c>
      <c r="BU1207">
        <v>0</v>
      </c>
      <c r="BV1207">
        <v>0</v>
      </c>
      <c r="CC1207" t="str">
        <f>"18:54:50.398"</f>
        <v>18:54:50.398</v>
      </c>
      <c r="CD1207" t="str">
        <f>"399721269"</f>
        <v>399721269</v>
      </c>
      <c r="CQ1207">
        <v>0</v>
      </c>
      <c r="CR1207">
        <v>2</v>
      </c>
      <c r="CS1207">
        <v>0</v>
      </c>
      <c r="CT1207">
        <v>2</v>
      </c>
      <c r="CU1207">
        <v>0</v>
      </c>
      <c r="CV1207">
        <v>6</v>
      </c>
      <c r="CW1207" t="s">
        <v>120</v>
      </c>
      <c r="CX1207">
        <v>261</v>
      </c>
      <c r="CY1207">
        <v>2</v>
      </c>
      <c r="CZ1207" t="s">
        <v>121</v>
      </c>
      <c r="DA1207" t="s">
        <v>122</v>
      </c>
      <c r="DD1207">
        <v>14918540</v>
      </c>
      <c r="DE1207" t="s">
        <v>123</v>
      </c>
    </row>
    <row r="1208" spans="1:109" x14ac:dyDescent="0.3">
      <c r="A1208" t="str">
        <f>"18:54:51.578"</f>
        <v>18:54:51.578</v>
      </c>
      <c r="B1208" t="s">
        <v>110</v>
      </c>
      <c r="C1208" t="str">
        <f t="shared" si="54"/>
        <v>ffdfd3c0</v>
      </c>
      <c r="D1208" t="s">
        <v>111</v>
      </c>
      <c r="E1208">
        <v>18</v>
      </c>
      <c r="F1208">
        <v>1018</v>
      </c>
      <c r="G1208" t="s">
        <v>112</v>
      </c>
      <c r="J1208" t="s">
        <v>113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R1208" t="s">
        <v>114</v>
      </c>
      <c r="S1208" t="str">
        <f>"18:54:51.359"</f>
        <v>18:54:51.359</v>
      </c>
      <c r="T1208" t="str">
        <f>"18:54:51.359"</f>
        <v>18:54:51.359</v>
      </c>
      <c r="U1208" t="str">
        <f t="shared" si="55"/>
        <v>a1cdbe</v>
      </c>
      <c r="V1208">
        <v>0</v>
      </c>
      <c r="W1208">
        <v>0</v>
      </c>
      <c r="X1208">
        <v>1</v>
      </c>
      <c r="Y1208">
        <v>0</v>
      </c>
      <c r="Z1208">
        <v>0</v>
      </c>
      <c r="AB1208">
        <v>0</v>
      </c>
      <c r="AC1208">
        <v>9</v>
      </c>
      <c r="AD1208">
        <v>3</v>
      </c>
      <c r="AE1208">
        <v>0</v>
      </c>
      <c r="AF1208">
        <v>9</v>
      </c>
      <c r="AG1208" t="s">
        <v>158</v>
      </c>
      <c r="AH1208">
        <v>0</v>
      </c>
      <c r="AI1208">
        <v>3</v>
      </c>
      <c r="AJ1208">
        <v>1</v>
      </c>
      <c r="AK1208">
        <v>0</v>
      </c>
      <c r="AL1208" t="s">
        <v>2371</v>
      </c>
      <c r="AM1208">
        <v>46.829588000000001</v>
      </c>
      <c r="AN1208" t="s">
        <v>2372</v>
      </c>
      <c r="AO1208">
        <v>-122.623429</v>
      </c>
      <c r="AP1208">
        <v>100</v>
      </c>
      <c r="AQ1208">
        <v>2000</v>
      </c>
      <c r="AR1208" t="s">
        <v>118</v>
      </c>
      <c r="AS1208">
        <v>-77</v>
      </c>
      <c r="AT1208">
        <v>-25</v>
      </c>
      <c r="AU1208">
        <v>0</v>
      </c>
      <c r="BC1208">
        <v>1200</v>
      </c>
      <c r="BD1208">
        <v>1</v>
      </c>
      <c r="BE1208" t="str">
        <f t="shared" si="56"/>
        <v xml:space="preserve">N215T   </v>
      </c>
      <c r="BF1208">
        <v>1</v>
      </c>
      <c r="BH1208">
        <v>0</v>
      </c>
      <c r="BI1208">
        <v>0</v>
      </c>
      <c r="BJ1208">
        <v>0</v>
      </c>
      <c r="BK1208">
        <v>2375</v>
      </c>
      <c r="BL1208">
        <v>375</v>
      </c>
      <c r="BM1208" t="s">
        <v>119</v>
      </c>
      <c r="BN1208">
        <v>1</v>
      </c>
      <c r="BO1208">
        <v>1</v>
      </c>
      <c r="BP1208">
        <v>1</v>
      </c>
      <c r="BQ1208">
        <v>0</v>
      </c>
      <c r="BT1208">
        <v>0</v>
      </c>
      <c r="BU1208">
        <v>0</v>
      </c>
      <c r="BV1208">
        <v>0</v>
      </c>
      <c r="CC1208" t="str">
        <f>"18:54:51.359"</f>
        <v>18:54:51.359</v>
      </c>
      <c r="CD1208" t="str">
        <f>"359626767"</f>
        <v>359626767</v>
      </c>
      <c r="CQ1208">
        <v>0</v>
      </c>
      <c r="CR1208">
        <v>2</v>
      </c>
      <c r="CS1208">
        <v>0</v>
      </c>
      <c r="CT1208">
        <v>2</v>
      </c>
      <c r="CU1208">
        <v>0</v>
      </c>
      <c r="CV1208">
        <v>6</v>
      </c>
      <c r="CW1208" t="s">
        <v>120</v>
      </c>
      <c r="CX1208">
        <v>261</v>
      </c>
      <c r="CY1208">
        <v>2</v>
      </c>
      <c r="CZ1208" t="s">
        <v>121</v>
      </c>
      <c r="DA1208" t="s">
        <v>122</v>
      </c>
      <c r="DD1208">
        <v>14919158</v>
      </c>
      <c r="DE1208" t="s">
        <v>123</v>
      </c>
    </row>
    <row r="1209" spans="1:109" x14ac:dyDescent="0.3">
      <c r="A1209" t="str">
        <f>"18:54:52.438"</f>
        <v>18:54:52.438</v>
      </c>
      <c r="B1209" t="s">
        <v>110</v>
      </c>
      <c r="C1209" t="str">
        <f t="shared" si="54"/>
        <v>ffdfd3c0</v>
      </c>
      <c r="D1209" t="s">
        <v>111</v>
      </c>
      <c r="E1209">
        <v>18</v>
      </c>
      <c r="F1209">
        <v>1018</v>
      </c>
      <c r="G1209" t="s">
        <v>112</v>
      </c>
      <c r="J1209" t="s">
        <v>113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R1209" t="s">
        <v>114</v>
      </c>
      <c r="S1209" t="str">
        <f>"18:54:52.227"</f>
        <v>18:54:52.227</v>
      </c>
      <c r="T1209" t="str">
        <f>"18:54:52.125"</f>
        <v>18:54:52.125</v>
      </c>
      <c r="U1209" t="str">
        <f t="shared" si="55"/>
        <v>a1cdbe</v>
      </c>
      <c r="V1209">
        <v>0</v>
      </c>
      <c r="W1209">
        <v>0</v>
      </c>
      <c r="X1209">
        <v>1</v>
      </c>
      <c r="Y1209">
        <v>0</v>
      </c>
      <c r="Z1209">
        <v>0</v>
      </c>
      <c r="AB1209">
        <v>0</v>
      </c>
      <c r="AC1209">
        <v>9</v>
      </c>
      <c r="AD1209">
        <v>3</v>
      </c>
      <c r="AE1209">
        <v>0</v>
      </c>
      <c r="AF1209">
        <v>9</v>
      </c>
      <c r="AG1209" t="s">
        <v>158</v>
      </c>
      <c r="AH1209">
        <v>0</v>
      </c>
      <c r="AI1209">
        <v>3</v>
      </c>
      <c r="AJ1209">
        <v>1</v>
      </c>
      <c r="AK1209">
        <v>0</v>
      </c>
      <c r="AL1209" t="s">
        <v>2373</v>
      </c>
      <c r="AM1209">
        <v>46.829503000000003</v>
      </c>
      <c r="AN1209" t="s">
        <v>2374</v>
      </c>
      <c r="AO1209">
        <v>-122.623901</v>
      </c>
      <c r="AP1209">
        <v>100</v>
      </c>
      <c r="AQ1209">
        <v>2000</v>
      </c>
      <c r="AR1209" t="s">
        <v>118</v>
      </c>
      <c r="AS1209">
        <v>-77</v>
      </c>
      <c r="AT1209">
        <v>-25</v>
      </c>
      <c r="AU1209">
        <v>-64</v>
      </c>
      <c r="BC1209">
        <v>1200</v>
      </c>
      <c r="BD1209">
        <v>1</v>
      </c>
      <c r="BE1209" t="str">
        <f t="shared" si="56"/>
        <v xml:space="preserve">N215T   </v>
      </c>
      <c r="BF1209">
        <v>1</v>
      </c>
      <c r="BH1209">
        <v>0</v>
      </c>
      <c r="BI1209">
        <v>0</v>
      </c>
      <c r="BJ1209">
        <v>0</v>
      </c>
      <c r="BK1209">
        <v>2400</v>
      </c>
      <c r="BL1209">
        <v>400</v>
      </c>
      <c r="BM1209" t="s">
        <v>119</v>
      </c>
      <c r="BN1209">
        <v>1</v>
      </c>
      <c r="BO1209">
        <v>1</v>
      </c>
      <c r="BP1209">
        <v>1</v>
      </c>
      <c r="BQ1209">
        <v>0</v>
      </c>
      <c r="BT1209">
        <v>0</v>
      </c>
      <c r="BU1209">
        <v>0</v>
      </c>
      <c r="BV1209">
        <v>0</v>
      </c>
      <c r="CC1209" t="str">
        <f>"18:54:52.227"</f>
        <v>18:54:52.227</v>
      </c>
      <c r="CD1209" t="str">
        <f>"229541121"</f>
        <v>229541121</v>
      </c>
      <c r="CQ1209">
        <v>0</v>
      </c>
      <c r="CR1209">
        <v>2</v>
      </c>
      <c r="CS1209">
        <v>0</v>
      </c>
      <c r="CT1209">
        <v>2</v>
      </c>
      <c r="CU1209">
        <v>0</v>
      </c>
      <c r="CV1209">
        <v>6</v>
      </c>
      <c r="CW1209" t="s">
        <v>120</v>
      </c>
      <c r="CX1209">
        <v>261</v>
      </c>
      <c r="CY1209">
        <v>2</v>
      </c>
      <c r="CZ1209" t="s">
        <v>121</v>
      </c>
      <c r="DA1209" t="s">
        <v>122</v>
      </c>
      <c r="DD1209">
        <v>14919721</v>
      </c>
      <c r="DE1209" t="s">
        <v>123</v>
      </c>
    </row>
    <row r="1210" spans="1:109" x14ac:dyDescent="0.3">
      <c r="A1210" t="str">
        <f>"18:54:53.445"</f>
        <v>18:54:53.445</v>
      </c>
      <c r="B1210" t="s">
        <v>110</v>
      </c>
      <c r="C1210" t="str">
        <f t="shared" si="54"/>
        <v>ffdfd3c0</v>
      </c>
      <c r="D1210" t="s">
        <v>111</v>
      </c>
      <c r="E1210">
        <v>18</v>
      </c>
      <c r="F1210">
        <v>1018</v>
      </c>
      <c r="G1210" t="s">
        <v>112</v>
      </c>
      <c r="J1210" t="s">
        <v>113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R1210" t="s">
        <v>114</v>
      </c>
      <c r="S1210" t="str">
        <f>"18:54:53.188"</f>
        <v>18:54:53.188</v>
      </c>
      <c r="T1210" t="str">
        <f>"18:54:53.086"</f>
        <v>18:54:53.086</v>
      </c>
      <c r="U1210" t="str">
        <f t="shared" si="55"/>
        <v>a1cdbe</v>
      </c>
      <c r="V1210">
        <v>0</v>
      </c>
      <c r="W1210">
        <v>0</v>
      </c>
      <c r="X1210">
        <v>1</v>
      </c>
      <c r="Y1210">
        <v>0</v>
      </c>
      <c r="Z1210">
        <v>0</v>
      </c>
      <c r="AB1210">
        <v>0</v>
      </c>
      <c r="AC1210">
        <v>9</v>
      </c>
      <c r="AD1210">
        <v>3</v>
      </c>
      <c r="AE1210">
        <v>0</v>
      </c>
      <c r="AF1210">
        <v>9</v>
      </c>
      <c r="AG1210" t="s">
        <v>158</v>
      </c>
      <c r="AH1210">
        <v>0</v>
      </c>
      <c r="AI1210">
        <v>3</v>
      </c>
      <c r="AJ1210">
        <v>1</v>
      </c>
      <c r="AK1210">
        <v>0</v>
      </c>
      <c r="AL1210" t="s">
        <v>2375</v>
      </c>
      <c r="AM1210">
        <v>46.829416999999999</v>
      </c>
      <c r="AN1210" t="s">
        <v>2376</v>
      </c>
      <c r="AO1210">
        <v>-122.624438</v>
      </c>
      <c r="AP1210">
        <v>100</v>
      </c>
      <c r="AQ1210">
        <v>2000</v>
      </c>
      <c r="AR1210" t="s">
        <v>118</v>
      </c>
      <c r="AS1210">
        <v>-77</v>
      </c>
      <c r="AT1210">
        <v>-26</v>
      </c>
      <c r="AU1210">
        <v>-64</v>
      </c>
      <c r="BC1210">
        <v>1200</v>
      </c>
      <c r="BD1210">
        <v>1</v>
      </c>
      <c r="BE1210" t="str">
        <f t="shared" si="56"/>
        <v xml:space="preserve">N215T   </v>
      </c>
      <c r="BF1210">
        <v>1</v>
      </c>
      <c r="BH1210">
        <v>0</v>
      </c>
      <c r="BI1210">
        <v>0</v>
      </c>
      <c r="BJ1210">
        <v>0</v>
      </c>
      <c r="BK1210">
        <v>2375</v>
      </c>
      <c r="BL1210">
        <v>375</v>
      </c>
      <c r="BM1210" t="s">
        <v>119</v>
      </c>
      <c r="BN1210">
        <v>1</v>
      </c>
      <c r="BO1210">
        <v>1</v>
      </c>
      <c r="BP1210">
        <v>1</v>
      </c>
      <c r="BQ1210">
        <v>0</v>
      </c>
      <c r="BT1210">
        <v>0</v>
      </c>
      <c r="BU1210">
        <v>0</v>
      </c>
      <c r="BV1210">
        <v>0</v>
      </c>
      <c r="CC1210" t="str">
        <f>"18:54:53.188"</f>
        <v>18:54:53.188</v>
      </c>
      <c r="CD1210" t="str">
        <f>"189446618"</f>
        <v>189446618</v>
      </c>
      <c r="CQ1210">
        <v>0</v>
      </c>
      <c r="CR1210">
        <v>2</v>
      </c>
      <c r="CS1210">
        <v>0</v>
      </c>
      <c r="CT1210">
        <v>2</v>
      </c>
      <c r="CU1210">
        <v>0</v>
      </c>
      <c r="CV1210">
        <v>6</v>
      </c>
      <c r="CW1210" t="s">
        <v>120</v>
      </c>
      <c r="CX1210">
        <v>261</v>
      </c>
      <c r="CY1210">
        <v>2</v>
      </c>
      <c r="CZ1210" t="s">
        <v>121</v>
      </c>
      <c r="DA1210" t="s">
        <v>122</v>
      </c>
      <c r="DD1210">
        <v>14920415</v>
      </c>
      <c r="DE1210" t="s">
        <v>123</v>
      </c>
    </row>
    <row r="1211" spans="1:109" x14ac:dyDescent="0.3">
      <c r="A1211" t="str">
        <f>"18:54:54.500"</f>
        <v>18:54:54.500</v>
      </c>
      <c r="B1211" t="s">
        <v>110</v>
      </c>
      <c r="C1211" t="str">
        <f t="shared" si="54"/>
        <v>ffdfd3c0</v>
      </c>
      <c r="D1211" t="s">
        <v>111</v>
      </c>
      <c r="E1211">
        <v>18</v>
      </c>
      <c r="F1211">
        <v>1018</v>
      </c>
      <c r="G1211" t="s">
        <v>112</v>
      </c>
      <c r="J1211" t="s">
        <v>113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R1211" t="s">
        <v>114</v>
      </c>
      <c r="S1211" t="str">
        <f>"18:54:54.250"</f>
        <v>18:54:54.250</v>
      </c>
      <c r="T1211" t="str">
        <f>"18:54:53.750"</f>
        <v>18:54:53.750</v>
      </c>
      <c r="U1211" t="str">
        <f t="shared" si="55"/>
        <v>a1cdbe</v>
      </c>
      <c r="V1211">
        <v>0</v>
      </c>
      <c r="W1211">
        <v>0</v>
      </c>
      <c r="X1211">
        <v>1</v>
      </c>
      <c r="Y1211">
        <v>0</v>
      </c>
      <c r="Z1211">
        <v>0</v>
      </c>
      <c r="AB1211">
        <v>0</v>
      </c>
      <c r="AC1211">
        <v>9</v>
      </c>
      <c r="AD1211">
        <v>3</v>
      </c>
      <c r="AE1211">
        <v>0</v>
      </c>
      <c r="AF1211">
        <v>9</v>
      </c>
      <c r="AG1211" t="s">
        <v>158</v>
      </c>
      <c r="AH1211">
        <v>0</v>
      </c>
      <c r="AI1211">
        <v>3</v>
      </c>
      <c r="AJ1211">
        <v>1</v>
      </c>
      <c r="AK1211">
        <v>0</v>
      </c>
      <c r="AL1211" t="s">
        <v>2377</v>
      </c>
      <c r="AM1211">
        <v>46.829267000000002</v>
      </c>
      <c r="AN1211" t="s">
        <v>2378</v>
      </c>
      <c r="AO1211">
        <v>-122.624996</v>
      </c>
      <c r="AP1211">
        <v>100</v>
      </c>
      <c r="AQ1211">
        <v>2000</v>
      </c>
      <c r="AR1211" t="s">
        <v>118</v>
      </c>
      <c r="AS1211">
        <v>-77</v>
      </c>
      <c r="AT1211">
        <v>-26</v>
      </c>
      <c r="AU1211">
        <v>-128</v>
      </c>
      <c r="BC1211">
        <v>1200</v>
      </c>
      <c r="BD1211">
        <v>1</v>
      </c>
      <c r="BE1211" t="str">
        <f t="shared" si="56"/>
        <v xml:space="preserve">N215T   </v>
      </c>
      <c r="BF1211">
        <v>1</v>
      </c>
      <c r="BH1211">
        <v>0</v>
      </c>
      <c r="BI1211">
        <v>0</v>
      </c>
      <c r="BJ1211">
        <v>0</v>
      </c>
      <c r="BK1211">
        <v>2400</v>
      </c>
      <c r="BL1211">
        <v>400</v>
      </c>
      <c r="BM1211" t="s">
        <v>119</v>
      </c>
      <c r="BN1211">
        <v>1</v>
      </c>
      <c r="BO1211">
        <v>1</v>
      </c>
      <c r="BP1211">
        <v>1</v>
      </c>
      <c r="BQ1211">
        <v>0</v>
      </c>
      <c r="BT1211">
        <v>0</v>
      </c>
      <c r="BU1211">
        <v>0</v>
      </c>
      <c r="BV1211">
        <v>0</v>
      </c>
      <c r="CC1211" t="str">
        <f>"18:54:54.258"</f>
        <v>18:54:54.258</v>
      </c>
      <c r="CD1211" t="str">
        <f>"254341775"</f>
        <v>254341775</v>
      </c>
      <c r="CQ1211">
        <v>0</v>
      </c>
      <c r="CR1211">
        <v>2</v>
      </c>
      <c r="CS1211">
        <v>0</v>
      </c>
      <c r="CT1211">
        <v>2</v>
      </c>
      <c r="CU1211">
        <v>0</v>
      </c>
      <c r="CV1211">
        <v>6</v>
      </c>
      <c r="CW1211" t="s">
        <v>120</v>
      </c>
      <c r="CX1211">
        <v>261</v>
      </c>
      <c r="CY1211">
        <v>2</v>
      </c>
      <c r="CZ1211" t="s">
        <v>121</v>
      </c>
      <c r="DA1211" t="s">
        <v>122</v>
      </c>
      <c r="DD1211">
        <v>14921143</v>
      </c>
      <c r="DE1211" t="s">
        <v>123</v>
      </c>
    </row>
    <row r="1212" spans="1:109" x14ac:dyDescent="0.3">
      <c r="A1212" t="str">
        <f>"18:54:55.398"</f>
        <v>18:54:55.398</v>
      </c>
      <c r="B1212" t="s">
        <v>110</v>
      </c>
      <c r="C1212" t="str">
        <f t="shared" si="54"/>
        <v>ffdfd3c0</v>
      </c>
      <c r="D1212" t="s">
        <v>111</v>
      </c>
      <c r="E1212">
        <v>18</v>
      </c>
      <c r="F1212">
        <v>1018</v>
      </c>
      <c r="G1212" t="s">
        <v>112</v>
      </c>
      <c r="J1212" t="s">
        <v>113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R1212" t="s">
        <v>114</v>
      </c>
      <c r="S1212" t="str">
        <f>"18:54:55.133"</f>
        <v>18:54:55.133</v>
      </c>
      <c r="T1212" t="str">
        <f>"18:54:54.836"</f>
        <v>18:54:54.836</v>
      </c>
      <c r="U1212" t="str">
        <f t="shared" si="55"/>
        <v>a1cdbe</v>
      </c>
      <c r="V1212">
        <v>0</v>
      </c>
      <c r="W1212">
        <v>0</v>
      </c>
      <c r="X1212">
        <v>1</v>
      </c>
      <c r="Y1212">
        <v>0</v>
      </c>
      <c r="Z1212">
        <v>0</v>
      </c>
      <c r="AB1212">
        <v>0</v>
      </c>
      <c r="AC1212">
        <v>9</v>
      </c>
      <c r="AD1212">
        <v>3</v>
      </c>
      <c r="AE1212">
        <v>0</v>
      </c>
      <c r="AF1212">
        <v>9</v>
      </c>
      <c r="AG1212" t="s">
        <v>158</v>
      </c>
      <c r="AH1212">
        <v>0</v>
      </c>
      <c r="AI1212">
        <v>3</v>
      </c>
      <c r="AJ1212">
        <v>1</v>
      </c>
      <c r="AK1212">
        <v>0</v>
      </c>
      <c r="AL1212" t="s">
        <v>2379</v>
      </c>
      <c r="AM1212">
        <v>46.829180999999998</v>
      </c>
      <c r="AN1212" t="s">
        <v>2380</v>
      </c>
      <c r="AO1212">
        <v>-122.62540300000001</v>
      </c>
      <c r="AP1212">
        <v>100</v>
      </c>
      <c r="AQ1212">
        <v>2000</v>
      </c>
      <c r="AR1212" t="s">
        <v>118</v>
      </c>
      <c r="AS1212">
        <v>-77</v>
      </c>
      <c r="AT1212">
        <v>-27</v>
      </c>
      <c r="AU1212">
        <v>-128</v>
      </c>
      <c r="BC1212">
        <v>1200</v>
      </c>
      <c r="BD1212">
        <v>1</v>
      </c>
      <c r="BE1212" t="str">
        <f t="shared" si="56"/>
        <v xml:space="preserve">N215T   </v>
      </c>
      <c r="BF1212">
        <v>1</v>
      </c>
      <c r="BH1212">
        <v>0</v>
      </c>
      <c r="BI1212">
        <v>0</v>
      </c>
      <c r="BJ1212">
        <v>0</v>
      </c>
      <c r="BK1212">
        <v>2375</v>
      </c>
      <c r="BL1212">
        <v>375</v>
      </c>
      <c r="BM1212" t="s">
        <v>119</v>
      </c>
      <c r="BN1212">
        <v>1</v>
      </c>
      <c r="BO1212">
        <v>1</v>
      </c>
      <c r="BP1212">
        <v>1</v>
      </c>
      <c r="BQ1212">
        <v>0</v>
      </c>
      <c r="BT1212">
        <v>0</v>
      </c>
      <c r="BU1212">
        <v>0</v>
      </c>
      <c r="BV1212">
        <v>0</v>
      </c>
      <c r="CC1212" t="str">
        <f>"18:54:55.141"</f>
        <v>18:54:55.141</v>
      </c>
      <c r="CD1212" t="str">
        <f>"139254651"</f>
        <v>139254651</v>
      </c>
      <c r="CQ1212">
        <v>0</v>
      </c>
      <c r="CR1212">
        <v>2</v>
      </c>
      <c r="CS1212">
        <v>0</v>
      </c>
      <c r="CT1212">
        <v>2</v>
      </c>
      <c r="CU1212">
        <v>0</v>
      </c>
      <c r="CV1212">
        <v>6</v>
      </c>
      <c r="CW1212" t="s">
        <v>120</v>
      </c>
      <c r="CX1212">
        <v>261</v>
      </c>
      <c r="CY1212">
        <v>2</v>
      </c>
      <c r="CZ1212" t="s">
        <v>121</v>
      </c>
      <c r="DA1212" t="s">
        <v>122</v>
      </c>
      <c r="DD1212">
        <v>14921764</v>
      </c>
      <c r="DE1212" t="s">
        <v>123</v>
      </c>
    </row>
    <row r="1213" spans="1:109" x14ac:dyDescent="0.3">
      <c r="A1213" t="str">
        <f>"18:54:56.359"</f>
        <v>18:54:56.359</v>
      </c>
      <c r="B1213" t="s">
        <v>110</v>
      </c>
      <c r="C1213" t="str">
        <f t="shared" si="54"/>
        <v>ffdfd3c0</v>
      </c>
      <c r="D1213" t="s">
        <v>111</v>
      </c>
      <c r="E1213">
        <v>18</v>
      </c>
      <c r="F1213">
        <v>1018</v>
      </c>
      <c r="G1213" t="s">
        <v>112</v>
      </c>
      <c r="J1213" t="s">
        <v>113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R1213" t="s">
        <v>114</v>
      </c>
      <c r="S1213" t="str">
        <f>"18:54:56.109"</f>
        <v>18:54:56.109</v>
      </c>
      <c r="T1213" t="str">
        <f>"18:54:55.813"</f>
        <v>18:54:55.813</v>
      </c>
      <c r="U1213" t="str">
        <f t="shared" si="55"/>
        <v>a1cdbe</v>
      </c>
      <c r="V1213">
        <v>0</v>
      </c>
      <c r="W1213">
        <v>0</v>
      </c>
      <c r="X1213">
        <v>1</v>
      </c>
      <c r="Y1213">
        <v>0</v>
      </c>
      <c r="Z1213">
        <v>0</v>
      </c>
      <c r="AB1213">
        <v>0</v>
      </c>
      <c r="AC1213">
        <v>9</v>
      </c>
      <c r="AD1213">
        <v>3</v>
      </c>
      <c r="AE1213">
        <v>0</v>
      </c>
      <c r="AF1213">
        <v>9</v>
      </c>
      <c r="AG1213" t="s">
        <v>158</v>
      </c>
      <c r="AH1213">
        <v>0</v>
      </c>
      <c r="AI1213">
        <v>3</v>
      </c>
      <c r="AJ1213">
        <v>1</v>
      </c>
      <c r="AK1213">
        <v>0</v>
      </c>
      <c r="AL1213" t="s">
        <v>2381</v>
      </c>
      <c r="AM1213">
        <v>46.829031000000001</v>
      </c>
      <c r="AN1213" t="s">
        <v>2382</v>
      </c>
      <c r="AO1213">
        <v>-122.625918</v>
      </c>
      <c r="AP1213">
        <v>100</v>
      </c>
      <c r="AQ1213">
        <v>2000</v>
      </c>
      <c r="AR1213" t="s">
        <v>118</v>
      </c>
      <c r="AS1213">
        <v>-77</v>
      </c>
      <c r="AT1213">
        <v>-27</v>
      </c>
      <c r="AU1213">
        <v>-128</v>
      </c>
      <c r="BC1213">
        <v>1200</v>
      </c>
      <c r="BD1213">
        <v>1</v>
      </c>
      <c r="BE1213" t="str">
        <f t="shared" si="56"/>
        <v xml:space="preserve">N215T   </v>
      </c>
      <c r="BF1213">
        <v>1</v>
      </c>
      <c r="BH1213">
        <v>0</v>
      </c>
      <c r="BI1213">
        <v>0</v>
      </c>
      <c r="BJ1213">
        <v>0</v>
      </c>
      <c r="BK1213">
        <v>2375</v>
      </c>
      <c r="BL1213">
        <v>375</v>
      </c>
      <c r="BM1213" t="s">
        <v>119</v>
      </c>
      <c r="BN1213">
        <v>1</v>
      </c>
      <c r="BO1213">
        <v>1</v>
      </c>
      <c r="BP1213">
        <v>1</v>
      </c>
      <c r="BQ1213">
        <v>0</v>
      </c>
      <c r="BT1213">
        <v>0</v>
      </c>
      <c r="BU1213">
        <v>0</v>
      </c>
      <c r="BV1213">
        <v>0</v>
      </c>
      <c r="CC1213" t="str">
        <f>"18:54:56.117"</f>
        <v>18:54:56.117</v>
      </c>
      <c r="CD1213" t="str">
        <f>"114158671"</f>
        <v>114158671</v>
      </c>
      <c r="CQ1213">
        <v>0</v>
      </c>
      <c r="CR1213">
        <v>2</v>
      </c>
      <c r="CS1213">
        <v>0</v>
      </c>
      <c r="CT1213">
        <v>2</v>
      </c>
      <c r="CU1213">
        <v>0</v>
      </c>
      <c r="CV1213">
        <v>6</v>
      </c>
      <c r="CW1213" t="s">
        <v>120</v>
      </c>
      <c r="CX1213">
        <v>261</v>
      </c>
      <c r="CY1213">
        <v>2</v>
      </c>
      <c r="CZ1213" t="s">
        <v>121</v>
      </c>
      <c r="DA1213" t="s">
        <v>122</v>
      </c>
      <c r="DD1213">
        <v>14922431</v>
      </c>
      <c r="DE1213" t="s">
        <v>123</v>
      </c>
    </row>
    <row r="1214" spans="1:109" x14ac:dyDescent="0.3">
      <c r="A1214" t="str">
        <f>"18:54:57.313"</f>
        <v>18:54:57.313</v>
      </c>
      <c r="B1214" t="s">
        <v>110</v>
      </c>
      <c r="C1214" t="str">
        <f t="shared" si="54"/>
        <v>ffdfd3c0</v>
      </c>
      <c r="D1214" t="s">
        <v>111</v>
      </c>
      <c r="E1214">
        <v>18</v>
      </c>
      <c r="F1214">
        <v>1018</v>
      </c>
      <c r="G1214" t="s">
        <v>112</v>
      </c>
      <c r="J1214" t="s">
        <v>113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R1214" t="s">
        <v>114</v>
      </c>
      <c r="S1214" t="str">
        <f>"18:54:57.039"</f>
        <v>18:54:57.039</v>
      </c>
      <c r="T1214" t="str">
        <f>"18:54:56.438"</f>
        <v>18:54:56.438</v>
      </c>
      <c r="U1214" t="str">
        <f t="shared" si="55"/>
        <v>a1cdbe</v>
      </c>
      <c r="V1214">
        <v>0</v>
      </c>
      <c r="W1214">
        <v>0</v>
      </c>
      <c r="X1214">
        <v>1</v>
      </c>
      <c r="Y1214">
        <v>0</v>
      </c>
      <c r="Z1214">
        <v>0</v>
      </c>
      <c r="AB1214">
        <v>0</v>
      </c>
      <c r="AC1214">
        <v>9</v>
      </c>
      <c r="AD1214">
        <v>3</v>
      </c>
      <c r="AE1214">
        <v>0</v>
      </c>
      <c r="AF1214">
        <v>9</v>
      </c>
      <c r="AG1214" t="s">
        <v>158</v>
      </c>
      <c r="AH1214">
        <v>0</v>
      </c>
      <c r="AI1214">
        <v>3</v>
      </c>
      <c r="AJ1214">
        <v>1</v>
      </c>
      <c r="AK1214">
        <v>0</v>
      </c>
      <c r="AL1214" t="s">
        <v>2383</v>
      </c>
      <c r="AM1214">
        <v>46.828901999999999</v>
      </c>
      <c r="AN1214" t="s">
        <v>2384</v>
      </c>
      <c r="AO1214">
        <v>-122.626369</v>
      </c>
      <c r="AP1214">
        <v>100</v>
      </c>
      <c r="AQ1214">
        <v>2000</v>
      </c>
      <c r="AR1214" t="s">
        <v>118</v>
      </c>
      <c r="AS1214">
        <v>-77</v>
      </c>
      <c r="AT1214">
        <v>-27</v>
      </c>
      <c r="AU1214">
        <v>-64</v>
      </c>
      <c r="BC1214">
        <v>1200</v>
      </c>
      <c r="BD1214">
        <v>1</v>
      </c>
      <c r="BE1214" t="str">
        <f t="shared" si="56"/>
        <v xml:space="preserve">N215T   </v>
      </c>
      <c r="BF1214">
        <v>1</v>
      </c>
      <c r="BH1214">
        <v>0</v>
      </c>
      <c r="BI1214">
        <v>0</v>
      </c>
      <c r="BJ1214">
        <v>0</v>
      </c>
      <c r="BK1214">
        <v>2375</v>
      </c>
      <c r="BL1214">
        <v>375</v>
      </c>
      <c r="BM1214" t="s">
        <v>119</v>
      </c>
      <c r="BN1214">
        <v>1</v>
      </c>
      <c r="BO1214">
        <v>1</v>
      </c>
      <c r="BP1214">
        <v>1</v>
      </c>
      <c r="BQ1214">
        <v>0</v>
      </c>
      <c r="BT1214">
        <v>0</v>
      </c>
      <c r="BU1214">
        <v>0</v>
      </c>
      <c r="BV1214">
        <v>0</v>
      </c>
      <c r="CC1214" t="str">
        <f>"18:54:57.047"</f>
        <v>18:54:57.047</v>
      </c>
      <c r="CD1214" t="str">
        <f>"044067114"</f>
        <v>044067114</v>
      </c>
      <c r="CQ1214">
        <v>0</v>
      </c>
      <c r="CR1214">
        <v>2</v>
      </c>
      <c r="CS1214">
        <v>0</v>
      </c>
      <c r="CT1214">
        <v>2</v>
      </c>
      <c r="CU1214">
        <v>0</v>
      </c>
      <c r="CV1214">
        <v>6</v>
      </c>
      <c r="CW1214" t="s">
        <v>120</v>
      </c>
      <c r="CX1214">
        <v>261</v>
      </c>
      <c r="CY1214">
        <v>2</v>
      </c>
      <c r="CZ1214" t="s">
        <v>121</v>
      </c>
      <c r="DA1214" t="s">
        <v>122</v>
      </c>
      <c r="DD1214">
        <v>14923057</v>
      </c>
      <c r="DE1214" t="s">
        <v>123</v>
      </c>
    </row>
    <row r="1215" spans="1:109" x14ac:dyDescent="0.3">
      <c r="A1215" t="str">
        <f>"18:54:58.422"</f>
        <v>18:54:58.422</v>
      </c>
      <c r="B1215" t="s">
        <v>110</v>
      </c>
      <c r="C1215" t="str">
        <f t="shared" si="54"/>
        <v>ffdfd3c0</v>
      </c>
      <c r="D1215" t="s">
        <v>111</v>
      </c>
      <c r="E1215">
        <v>18</v>
      </c>
      <c r="F1215">
        <v>1018</v>
      </c>
      <c r="G1215" t="s">
        <v>112</v>
      </c>
      <c r="J1215" t="s">
        <v>113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R1215" t="s">
        <v>114</v>
      </c>
      <c r="S1215" t="str">
        <f>"18:54:58.164"</f>
        <v>18:54:58.164</v>
      </c>
      <c r="T1215" t="str">
        <f>"18:54:57.266"</f>
        <v>18:54:57.266</v>
      </c>
      <c r="U1215" t="str">
        <f t="shared" si="55"/>
        <v>a1cdbe</v>
      </c>
      <c r="V1215">
        <v>0</v>
      </c>
      <c r="W1215">
        <v>0</v>
      </c>
      <c r="X1215">
        <v>1</v>
      </c>
      <c r="Y1215">
        <v>0</v>
      </c>
      <c r="Z1215">
        <v>0</v>
      </c>
      <c r="AB1215">
        <v>0</v>
      </c>
      <c r="AC1215">
        <v>9</v>
      </c>
      <c r="AD1215">
        <v>3</v>
      </c>
      <c r="AE1215">
        <v>0</v>
      </c>
      <c r="AF1215">
        <v>9</v>
      </c>
      <c r="AG1215" t="s">
        <v>158</v>
      </c>
      <c r="AH1215">
        <v>0</v>
      </c>
      <c r="AI1215">
        <v>3</v>
      </c>
      <c r="AJ1215">
        <v>1</v>
      </c>
      <c r="AK1215">
        <v>0</v>
      </c>
      <c r="AL1215" t="s">
        <v>2385</v>
      </c>
      <c r="AM1215">
        <v>46.828752000000001</v>
      </c>
      <c r="AN1215" t="s">
        <v>2386</v>
      </c>
      <c r="AO1215">
        <v>-122.626991</v>
      </c>
      <c r="AP1215">
        <v>100</v>
      </c>
      <c r="AQ1215">
        <v>2000</v>
      </c>
      <c r="AR1215" t="s">
        <v>118</v>
      </c>
      <c r="AS1215">
        <v>-77</v>
      </c>
      <c r="AT1215">
        <v>-27</v>
      </c>
      <c r="AU1215">
        <v>-64</v>
      </c>
      <c r="BC1215">
        <v>1200</v>
      </c>
      <c r="BD1215">
        <v>1</v>
      </c>
      <c r="BE1215" t="str">
        <f t="shared" si="56"/>
        <v xml:space="preserve">N215T   </v>
      </c>
      <c r="BF1215">
        <v>1</v>
      </c>
      <c r="BH1215">
        <v>0</v>
      </c>
      <c r="BI1215">
        <v>0</v>
      </c>
      <c r="BJ1215">
        <v>0</v>
      </c>
      <c r="BK1215">
        <v>2375</v>
      </c>
      <c r="BL1215">
        <v>375</v>
      </c>
      <c r="BM1215" t="s">
        <v>119</v>
      </c>
      <c r="BN1215">
        <v>1</v>
      </c>
      <c r="BO1215">
        <v>1</v>
      </c>
      <c r="BP1215">
        <v>1</v>
      </c>
      <c r="BQ1215">
        <v>0</v>
      </c>
      <c r="BT1215">
        <v>0</v>
      </c>
      <c r="BU1215">
        <v>0</v>
      </c>
      <c r="BV1215">
        <v>0</v>
      </c>
      <c r="CC1215" t="str">
        <f>"18:54:58.172"</f>
        <v>18:54:58.172</v>
      </c>
      <c r="CD1215" t="str">
        <f>"168956379"</f>
        <v>168956379</v>
      </c>
      <c r="CQ1215">
        <v>0</v>
      </c>
      <c r="CR1215">
        <v>2</v>
      </c>
      <c r="CS1215">
        <v>0</v>
      </c>
      <c r="CT1215">
        <v>2</v>
      </c>
      <c r="CU1215">
        <v>0</v>
      </c>
      <c r="CV1215">
        <v>6</v>
      </c>
      <c r="CW1215" t="s">
        <v>120</v>
      </c>
      <c r="CX1215">
        <v>261</v>
      </c>
      <c r="CY1215">
        <v>2</v>
      </c>
      <c r="CZ1215" t="s">
        <v>121</v>
      </c>
      <c r="DA1215" t="s">
        <v>122</v>
      </c>
      <c r="DD1215">
        <v>14923837</v>
      </c>
      <c r="DE1215" t="s">
        <v>123</v>
      </c>
    </row>
    <row r="1216" spans="1:109" x14ac:dyDescent="0.3">
      <c r="A1216" t="str">
        <f>"18:54:59.422"</f>
        <v>18:54:59.422</v>
      </c>
      <c r="B1216" t="s">
        <v>110</v>
      </c>
      <c r="C1216" t="str">
        <f t="shared" si="54"/>
        <v>ffdfd3c0</v>
      </c>
      <c r="D1216" t="s">
        <v>111</v>
      </c>
      <c r="E1216">
        <v>18</v>
      </c>
      <c r="F1216">
        <v>1018</v>
      </c>
      <c r="G1216" t="s">
        <v>112</v>
      </c>
      <c r="J1216" t="s">
        <v>113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R1216" t="s">
        <v>114</v>
      </c>
      <c r="S1216" t="str">
        <f>"18:54:59.203"</f>
        <v>18:54:59.203</v>
      </c>
      <c r="T1216" t="str">
        <f>"18:54:58.805"</f>
        <v>18:54:58.805</v>
      </c>
      <c r="U1216" t="str">
        <f t="shared" si="55"/>
        <v>a1cdbe</v>
      </c>
      <c r="V1216">
        <v>0</v>
      </c>
      <c r="W1216">
        <v>0</v>
      </c>
      <c r="X1216">
        <v>1</v>
      </c>
      <c r="Y1216">
        <v>0</v>
      </c>
      <c r="Z1216">
        <v>0</v>
      </c>
      <c r="AB1216">
        <v>0</v>
      </c>
      <c r="AC1216">
        <v>9</v>
      </c>
      <c r="AD1216">
        <v>3</v>
      </c>
      <c r="AE1216">
        <v>0</v>
      </c>
      <c r="AF1216">
        <v>9</v>
      </c>
      <c r="AG1216" t="s">
        <v>158</v>
      </c>
      <c r="AH1216">
        <v>0</v>
      </c>
      <c r="AI1216">
        <v>3</v>
      </c>
      <c r="AJ1216">
        <v>1</v>
      </c>
      <c r="AK1216">
        <v>0</v>
      </c>
      <c r="AL1216" t="s">
        <v>2387</v>
      </c>
      <c r="AM1216">
        <v>46.828623</v>
      </c>
      <c r="AN1216" t="s">
        <v>2388</v>
      </c>
      <c r="AO1216">
        <v>-122.627528</v>
      </c>
      <c r="AP1216">
        <v>100</v>
      </c>
      <c r="AQ1216">
        <v>2000</v>
      </c>
      <c r="AR1216" t="s">
        <v>118</v>
      </c>
      <c r="AS1216">
        <v>-77</v>
      </c>
      <c r="AT1216">
        <v>-25</v>
      </c>
      <c r="AU1216">
        <v>0</v>
      </c>
      <c r="BC1216">
        <v>1200</v>
      </c>
      <c r="BD1216">
        <v>1</v>
      </c>
      <c r="BE1216" t="str">
        <f t="shared" si="56"/>
        <v xml:space="preserve">N215T   </v>
      </c>
      <c r="BF1216">
        <v>1</v>
      </c>
      <c r="BH1216">
        <v>0</v>
      </c>
      <c r="BI1216">
        <v>0</v>
      </c>
      <c r="BJ1216">
        <v>0</v>
      </c>
      <c r="BK1216">
        <v>2375</v>
      </c>
      <c r="BL1216">
        <v>375</v>
      </c>
      <c r="BM1216" t="s">
        <v>119</v>
      </c>
      <c r="BN1216">
        <v>1</v>
      </c>
      <c r="BO1216">
        <v>1</v>
      </c>
      <c r="BP1216">
        <v>1</v>
      </c>
      <c r="BQ1216">
        <v>0</v>
      </c>
      <c r="BT1216">
        <v>0</v>
      </c>
      <c r="BU1216">
        <v>0</v>
      </c>
      <c r="BV1216">
        <v>0</v>
      </c>
      <c r="CC1216" t="str">
        <f>"18:54:59.203"</f>
        <v>18:54:59.203</v>
      </c>
      <c r="CD1216" t="str">
        <f>"203854476"</f>
        <v>203854476</v>
      </c>
      <c r="CQ1216">
        <v>0</v>
      </c>
      <c r="CR1216">
        <v>2</v>
      </c>
      <c r="CS1216">
        <v>0</v>
      </c>
      <c r="CT1216">
        <v>2</v>
      </c>
      <c r="CU1216">
        <v>0</v>
      </c>
      <c r="CV1216">
        <v>6</v>
      </c>
      <c r="CW1216" t="s">
        <v>120</v>
      </c>
      <c r="CX1216">
        <v>261</v>
      </c>
      <c r="CY1216">
        <v>2</v>
      </c>
      <c r="CZ1216" t="s">
        <v>121</v>
      </c>
      <c r="DA1216" t="s">
        <v>122</v>
      </c>
      <c r="DD1216">
        <v>14924517</v>
      </c>
      <c r="DE1216" t="s">
        <v>123</v>
      </c>
    </row>
    <row r="1217" spans="1:109" x14ac:dyDescent="0.3">
      <c r="A1217" t="str">
        <f>"18:55:00.430"</f>
        <v>18:55:00.430</v>
      </c>
      <c r="B1217" t="s">
        <v>110</v>
      </c>
      <c r="C1217" t="str">
        <f t="shared" si="54"/>
        <v>ffdfd3c0</v>
      </c>
      <c r="D1217" t="s">
        <v>111</v>
      </c>
      <c r="E1217">
        <v>18</v>
      </c>
      <c r="F1217">
        <v>1018</v>
      </c>
      <c r="G1217" t="s">
        <v>112</v>
      </c>
      <c r="J1217" t="s">
        <v>113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R1217" t="s">
        <v>114</v>
      </c>
      <c r="S1217" t="str">
        <f>"18:55:00.203"</f>
        <v>18:55:00.203</v>
      </c>
      <c r="T1217" t="str">
        <f>"18:55:00.203"</f>
        <v>18:55:00.203</v>
      </c>
      <c r="U1217" t="str">
        <f t="shared" si="55"/>
        <v>a1cdbe</v>
      </c>
      <c r="V1217">
        <v>0</v>
      </c>
      <c r="W1217">
        <v>0</v>
      </c>
      <c r="X1217">
        <v>1</v>
      </c>
      <c r="Y1217">
        <v>0</v>
      </c>
      <c r="Z1217">
        <v>0</v>
      </c>
      <c r="AB1217">
        <v>0</v>
      </c>
      <c r="AC1217">
        <v>9</v>
      </c>
      <c r="AD1217">
        <v>3</v>
      </c>
      <c r="AE1217">
        <v>0</v>
      </c>
      <c r="AF1217">
        <v>9</v>
      </c>
      <c r="AG1217" t="s">
        <v>158</v>
      </c>
      <c r="AH1217">
        <v>0</v>
      </c>
      <c r="AI1217">
        <v>3</v>
      </c>
      <c r="AJ1217">
        <v>1</v>
      </c>
      <c r="AK1217">
        <v>0</v>
      </c>
      <c r="AL1217" t="s">
        <v>2389</v>
      </c>
      <c r="AM1217">
        <v>46.828516</v>
      </c>
      <c r="AN1217" t="s">
        <v>2390</v>
      </c>
      <c r="AO1217">
        <v>-122.628021</v>
      </c>
      <c r="AP1217">
        <v>100</v>
      </c>
      <c r="AQ1217">
        <v>2000</v>
      </c>
      <c r="AR1217" t="s">
        <v>118</v>
      </c>
      <c r="AS1217">
        <v>-77</v>
      </c>
      <c r="AT1217">
        <v>-24</v>
      </c>
      <c r="AU1217">
        <v>-64</v>
      </c>
      <c r="BC1217">
        <v>1200</v>
      </c>
      <c r="BD1217">
        <v>1</v>
      </c>
      <c r="BE1217" t="str">
        <f t="shared" si="56"/>
        <v xml:space="preserve">N215T   </v>
      </c>
      <c r="BF1217">
        <v>1</v>
      </c>
      <c r="BH1217">
        <v>0</v>
      </c>
      <c r="BI1217">
        <v>0</v>
      </c>
      <c r="BJ1217">
        <v>0</v>
      </c>
      <c r="BK1217">
        <v>2375</v>
      </c>
      <c r="BL1217">
        <v>375</v>
      </c>
      <c r="BM1217" t="s">
        <v>119</v>
      </c>
      <c r="BN1217">
        <v>1</v>
      </c>
      <c r="BO1217">
        <v>1</v>
      </c>
      <c r="BP1217">
        <v>1</v>
      </c>
      <c r="BQ1217">
        <v>0</v>
      </c>
      <c r="BT1217">
        <v>0</v>
      </c>
      <c r="BU1217">
        <v>0</v>
      </c>
      <c r="BV1217">
        <v>0</v>
      </c>
      <c r="CC1217" t="str">
        <f>"18:55:00.211"</f>
        <v>18:55:00.211</v>
      </c>
      <c r="CD1217" t="str">
        <f>"208755540"</f>
        <v>208755540</v>
      </c>
      <c r="CQ1217">
        <v>0</v>
      </c>
      <c r="CR1217">
        <v>2</v>
      </c>
      <c r="CS1217">
        <v>0</v>
      </c>
      <c r="CT1217">
        <v>2</v>
      </c>
      <c r="CU1217">
        <v>0</v>
      </c>
      <c r="CV1217">
        <v>6</v>
      </c>
      <c r="CW1217" t="s">
        <v>120</v>
      </c>
      <c r="CX1217">
        <v>261</v>
      </c>
      <c r="CY1217">
        <v>2</v>
      </c>
      <c r="CZ1217" t="s">
        <v>121</v>
      </c>
      <c r="DA1217" t="s">
        <v>122</v>
      </c>
      <c r="DD1217">
        <v>14925201</v>
      </c>
      <c r="DE1217" t="s">
        <v>123</v>
      </c>
    </row>
    <row r="1218" spans="1:109" x14ac:dyDescent="0.3">
      <c r="A1218" t="str">
        <f>"18:55:01.539"</f>
        <v>18:55:01.539</v>
      </c>
      <c r="B1218" t="s">
        <v>110</v>
      </c>
      <c r="C1218" t="str">
        <f t="shared" ref="C1218:C1281" si="57">"ffdfd3c0"</f>
        <v>ffdfd3c0</v>
      </c>
      <c r="D1218" t="s">
        <v>111</v>
      </c>
      <c r="E1218">
        <v>18</v>
      </c>
      <c r="F1218">
        <v>1018</v>
      </c>
      <c r="G1218" t="s">
        <v>112</v>
      </c>
      <c r="J1218" t="s">
        <v>113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R1218" t="s">
        <v>114</v>
      </c>
      <c r="S1218" t="str">
        <f>"18:55:01.281"</f>
        <v>18:55:01.281</v>
      </c>
      <c r="T1218" t="str">
        <f>"18:55:00.781"</f>
        <v>18:55:00.781</v>
      </c>
      <c r="U1218" t="str">
        <f t="shared" ref="U1218:U1281" si="58">"a1cdbe"</f>
        <v>a1cdbe</v>
      </c>
      <c r="V1218">
        <v>0</v>
      </c>
      <c r="W1218">
        <v>0</v>
      </c>
      <c r="X1218">
        <v>1</v>
      </c>
      <c r="Y1218">
        <v>0</v>
      </c>
      <c r="Z1218">
        <v>0</v>
      </c>
      <c r="AB1218">
        <v>0</v>
      </c>
      <c r="AC1218">
        <v>9</v>
      </c>
      <c r="AD1218">
        <v>3</v>
      </c>
      <c r="AE1218">
        <v>0</v>
      </c>
      <c r="AF1218">
        <v>9</v>
      </c>
      <c r="AG1218" t="s">
        <v>158</v>
      </c>
      <c r="AH1218">
        <v>0</v>
      </c>
      <c r="AI1218">
        <v>3</v>
      </c>
      <c r="AJ1218">
        <v>1</v>
      </c>
      <c r="AK1218">
        <v>0</v>
      </c>
      <c r="AL1218" t="s">
        <v>2391</v>
      </c>
      <c r="AM1218">
        <v>46.828408000000003</v>
      </c>
      <c r="AN1218" t="s">
        <v>2392</v>
      </c>
      <c r="AO1218">
        <v>-122.628601</v>
      </c>
      <c r="AP1218">
        <v>100</v>
      </c>
      <c r="AQ1218">
        <v>2000</v>
      </c>
      <c r="AR1218" t="s">
        <v>118</v>
      </c>
      <c r="AS1218">
        <v>-77</v>
      </c>
      <c r="AT1218">
        <v>-24</v>
      </c>
      <c r="AU1218">
        <v>-64</v>
      </c>
      <c r="BC1218">
        <v>1200</v>
      </c>
      <c r="BD1218">
        <v>1</v>
      </c>
      <c r="BE1218" t="str">
        <f t="shared" ref="BE1218:BE1281" si="59">"N215T   "</f>
        <v xml:space="preserve">N215T   </v>
      </c>
      <c r="BF1218">
        <v>1</v>
      </c>
      <c r="BH1218">
        <v>0</v>
      </c>
      <c r="BI1218">
        <v>0</v>
      </c>
      <c r="BJ1218">
        <v>0</v>
      </c>
      <c r="BK1218">
        <v>2375</v>
      </c>
      <c r="BL1218">
        <v>375</v>
      </c>
      <c r="BM1218" t="s">
        <v>119</v>
      </c>
      <c r="BN1218">
        <v>1</v>
      </c>
      <c r="BO1218">
        <v>1</v>
      </c>
      <c r="BP1218">
        <v>1</v>
      </c>
      <c r="BQ1218">
        <v>0</v>
      </c>
      <c r="BT1218">
        <v>0</v>
      </c>
      <c r="BU1218">
        <v>0</v>
      </c>
      <c r="BV1218">
        <v>0</v>
      </c>
      <c r="CC1218" t="str">
        <f>"18:55:01.289"</f>
        <v>18:55:01.289</v>
      </c>
      <c r="CD1218" t="str">
        <f>"288649225"</f>
        <v>288649225</v>
      </c>
      <c r="CQ1218">
        <v>0</v>
      </c>
      <c r="CR1218">
        <v>2</v>
      </c>
      <c r="CS1218">
        <v>0</v>
      </c>
      <c r="CT1218">
        <v>2</v>
      </c>
      <c r="CU1218">
        <v>0</v>
      </c>
      <c r="CV1218">
        <v>6</v>
      </c>
      <c r="CW1218" t="s">
        <v>120</v>
      </c>
      <c r="CX1218">
        <v>261</v>
      </c>
      <c r="CY1218">
        <v>2</v>
      </c>
      <c r="CZ1218" t="s">
        <v>121</v>
      </c>
      <c r="DA1218" t="s">
        <v>122</v>
      </c>
      <c r="DD1218">
        <v>14925946</v>
      </c>
      <c r="DE1218" t="s">
        <v>123</v>
      </c>
    </row>
    <row r="1219" spans="1:109" x14ac:dyDescent="0.3">
      <c r="A1219" t="str">
        <f>"18:55:02.445"</f>
        <v>18:55:02.445</v>
      </c>
      <c r="B1219" t="s">
        <v>110</v>
      </c>
      <c r="C1219" t="str">
        <f t="shared" si="57"/>
        <v>ffdfd3c0</v>
      </c>
      <c r="D1219" t="s">
        <v>111</v>
      </c>
      <c r="E1219">
        <v>18</v>
      </c>
      <c r="F1219">
        <v>1018</v>
      </c>
      <c r="G1219" t="s">
        <v>112</v>
      </c>
      <c r="J1219" t="s">
        <v>113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R1219" t="s">
        <v>114</v>
      </c>
      <c r="S1219" t="str">
        <f>"18:55:02.227"</f>
        <v>18:55:02.227</v>
      </c>
      <c r="T1219" t="str">
        <f>"18:55:01.930"</f>
        <v>18:55:01.930</v>
      </c>
      <c r="U1219" t="str">
        <f t="shared" si="58"/>
        <v>a1cdbe</v>
      </c>
      <c r="V1219">
        <v>0</v>
      </c>
      <c r="W1219">
        <v>0</v>
      </c>
      <c r="X1219">
        <v>1</v>
      </c>
      <c r="Y1219">
        <v>0</v>
      </c>
      <c r="Z1219">
        <v>0</v>
      </c>
      <c r="AB1219">
        <v>0</v>
      </c>
      <c r="AC1219">
        <v>9</v>
      </c>
      <c r="AD1219">
        <v>3</v>
      </c>
      <c r="AE1219">
        <v>0</v>
      </c>
      <c r="AF1219">
        <v>9</v>
      </c>
      <c r="AG1219" t="s">
        <v>158</v>
      </c>
      <c r="AH1219">
        <v>0</v>
      </c>
      <c r="AI1219">
        <v>3</v>
      </c>
      <c r="AJ1219">
        <v>1</v>
      </c>
      <c r="AK1219">
        <v>0</v>
      </c>
      <c r="AL1219" t="s">
        <v>2393</v>
      </c>
      <c r="AM1219">
        <v>46.828344000000001</v>
      </c>
      <c r="AN1219" t="s">
        <v>2394</v>
      </c>
      <c r="AO1219">
        <v>-122.629116</v>
      </c>
      <c r="AP1219">
        <v>100</v>
      </c>
      <c r="AQ1219">
        <v>2000</v>
      </c>
      <c r="AR1219" t="s">
        <v>118</v>
      </c>
      <c r="AS1219">
        <v>-78</v>
      </c>
      <c r="AT1219">
        <v>-23</v>
      </c>
      <c r="AU1219">
        <v>-64</v>
      </c>
      <c r="BC1219">
        <v>1200</v>
      </c>
      <c r="BD1219">
        <v>1</v>
      </c>
      <c r="BE1219" t="str">
        <f t="shared" si="59"/>
        <v xml:space="preserve">N215T   </v>
      </c>
      <c r="BF1219">
        <v>1</v>
      </c>
      <c r="BH1219">
        <v>0</v>
      </c>
      <c r="BI1219">
        <v>0</v>
      </c>
      <c r="BJ1219">
        <v>0</v>
      </c>
      <c r="BK1219">
        <v>2375</v>
      </c>
      <c r="BL1219">
        <v>375</v>
      </c>
      <c r="BM1219" t="s">
        <v>119</v>
      </c>
      <c r="BN1219">
        <v>1</v>
      </c>
      <c r="BO1219">
        <v>1</v>
      </c>
      <c r="BP1219">
        <v>1</v>
      </c>
      <c r="BQ1219">
        <v>0</v>
      </c>
      <c r="BT1219">
        <v>0</v>
      </c>
      <c r="BU1219">
        <v>0</v>
      </c>
      <c r="BV1219">
        <v>0</v>
      </c>
      <c r="CC1219" t="str">
        <f>"18:55:02.234"</f>
        <v>18:55:02.234</v>
      </c>
      <c r="CD1219" t="str">
        <f>"233556192"</f>
        <v>233556192</v>
      </c>
      <c r="CQ1219">
        <v>0</v>
      </c>
      <c r="CR1219">
        <v>2</v>
      </c>
      <c r="CS1219">
        <v>0</v>
      </c>
      <c r="CT1219">
        <v>2</v>
      </c>
      <c r="CU1219">
        <v>0</v>
      </c>
      <c r="CV1219">
        <v>6</v>
      </c>
      <c r="CW1219" t="s">
        <v>120</v>
      </c>
      <c r="CX1219">
        <v>261</v>
      </c>
      <c r="CY1219">
        <v>2</v>
      </c>
      <c r="CZ1219" t="s">
        <v>121</v>
      </c>
      <c r="DA1219" t="s">
        <v>122</v>
      </c>
      <c r="DD1219">
        <v>14926573</v>
      </c>
      <c r="DE1219" t="s">
        <v>123</v>
      </c>
    </row>
    <row r="1220" spans="1:109" x14ac:dyDescent="0.3">
      <c r="A1220" t="str">
        <f>"18:55:03.398"</f>
        <v>18:55:03.398</v>
      </c>
      <c r="B1220" t="s">
        <v>110</v>
      </c>
      <c r="C1220" t="str">
        <f t="shared" si="57"/>
        <v>ffdfd3c0</v>
      </c>
      <c r="D1220" t="s">
        <v>111</v>
      </c>
      <c r="E1220">
        <v>18</v>
      </c>
      <c r="F1220">
        <v>1018</v>
      </c>
      <c r="G1220" t="s">
        <v>112</v>
      </c>
      <c r="J1220" t="s">
        <v>113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R1220" t="s">
        <v>114</v>
      </c>
      <c r="S1220" t="str">
        <f>"18:55:03.156"</f>
        <v>18:55:03.156</v>
      </c>
      <c r="T1220" t="str">
        <f>"18:55:02.758"</f>
        <v>18:55:02.758</v>
      </c>
      <c r="U1220" t="str">
        <f t="shared" si="58"/>
        <v>a1cdbe</v>
      </c>
      <c r="V1220">
        <v>0</v>
      </c>
      <c r="W1220">
        <v>0</v>
      </c>
      <c r="X1220">
        <v>1</v>
      </c>
      <c r="Y1220">
        <v>0</v>
      </c>
      <c r="Z1220">
        <v>0</v>
      </c>
      <c r="AB1220">
        <v>0</v>
      </c>
      <c r="AC1220">
        <v>9</v>
      </c>
      <c r="AD1220">
        <v>3</v>
      </c>
      <c r="AE1220">
        <v>0</v>
      </c>
      <c r="AF1220">
        <v>9</v>
      </c>
      <c r="AG1220" t="s">
        <v>158</v>
      </c>
      <c r="AH1220">
        <v>0</v>
      </c>
      <c r="AI1220">
        <v>3</v>
      </c>
      <c r="AJ1220">
        <v>1</v>
      </c>
      <c r="AK1220">
        <v>0</v>
      </c>
      <c r="AL1220" t="s">
        <v>2395</v>
      </c>
      <c r="AM1220">
        <v>46.828215</v>
      </c>
      <c r="AN1220" t="s">
        <v>2396</v>
      </c>
      <c r="AO1220">
        <v>-122.629588</v>
      </c>
      <c r="AP1220">
        <v>100</v>
      </c>
      <c r="AQ1220">
        <v>2000</v>
      </c>
      <c r="AR1220" t="s">
        <v>118</v>
      </c>
      <c r="AS1220">
        <v>-77</v>
      </c>
      <c r="AT1220">
        <v>-22</v>
      </c>
      <c r="AU1220">
        <v>-64</v>
      </c>
      <c r="BC1220">
        <v>1200</v>
      </c>
      <c r="BD1220">
        <v>1</v>
      </c>
      <c r="BE1220" t="str">
        <f t="shared" si="59"/>
        <v xml:space="preserve">N215T   </v>
      </c>
      <c r="BF1220">
        <v>1</v>
      </c>
      <c r="BH1220">
        <v>0</v>
      </c>
      <c r="BI1220">
        <v>0</v>
      </c>
      <c r="BJ1220">
        <v>0</v>
      </c>
      <c r="BK1220">
        <v>2375</v>
      </c>
      <c r="BL1220">
        <v>375</v>
      </c>
      <c r="BM1220" t="s">
        <v>119</v>
      </c>
      <c r="BN1220">
        <v>1</v>
      </c>
      <c r="BO1220">
        <v>1</v>
      </c>
      <c r="BP1220">
        <v>1</v>
      </c>
      <c r="BQ1220">
        <v>0</v>
      </c>
      <c r="BT1220">
        <v>0</v>
      </c>
      <c r="BU1220">
        <v>0</v>
      </c>
      <c r="BV1220">
        <v>0</v>
      </c>
      <c r="CC1220" t="str">
        <f>"18:55:03.164"</f>
        <v>18:55:03.164</v>
      </c>
      <c r="CD1220" t="str">
        <f>"163464642"</f>
        <v>163464642</v>
      </c>
      <c r="CQ1220">
        <v>0</v>
      </c>
      <c r="CR1220">
        <v>2</v>
      </c>
      <c r="CS1220">
        <v>0</v>
      </c>
      <c r="CT1220">
        <v>2</v>
      </c>
      <c r="CU1220">
        <v>0</v>
      </c>
      <c r="CV1220">
        <v>6</v>
      </c>
      <c r="CW1220" t="s">
        <v>120</v>
      </c>
      <c r="CX1220">
        <v>261</v>
      </c>
      <c r="CY1220">
        <v>2</v>
      </c>
      <c r="CZ1220" t="s">
        <v>121</v>
      </c>
      <c r="DA1220" t="s">
        <v>122</v>
      </c>
      <c r="DD1220">
        <v>14927232</v>
      </c>
      <c r="DE1220" t="s">
        <v>123</v>
      </c>
    </row>
    <row r="1221" spans="1:109" x14ac:dyDescent="0.3">
      <c r="A1221" t="str">
        <f>"18:55:04.305"</f>
        <v>18:55:04.305</v>
      </c>
      <c r="B1221" t="s">
        <v>110</v>
      </c>
      <c r="C1221" t="str">
        <f t="shared" si="57"/>
        <v>ffdfd3c0</v>
      </c>
      <c r="D1221" t="s">
        <v>111</v>
      </c>
      <c r="E1221">
        <v>18</v>
      </c>
      <c r="F1221">
        <v>1018</v>
      </c>
      <c r="G1221" t="s">
        <v>112</v>
      </c>
      <c r="J1221" t="s">
        <v>113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R1221" t="s">
        <v>114</v>
      </c>
      <c r="S1221" t="str">
        <f>"18:55:04.078"</f>
        <v>18:55:04.078</v>
      </c>
      <c r="T1221" t="str">
        <f>"18:55:03.281"</f>
        <v>18:55:03.281</v>
      </c>
      <c r="U1221" t="str">
        <f t="shared" si="58"/>
        <v>a1cdbe</v>
      </c>
      <c r="V1221">
        <v>0</v>
      </c>
      <c r="W1221">
        <v>0</v>
      </c>
      <c r="X1221">
        <v>1</v>
      </c>
      <c r="Y1221">
        <v>0</v>
      </c>
      <c r="Z1221">
        <v>0</v>
      </c>
      <c r="AB1221">
        <v>0</v>
      </c>
      <c r="AC1221">
        <v>9</v>
      </c>
      <c r="AD1221">
        <v>3</v>
      </c>
      <c r="AE1221">
        <v>0</v>
      </c>
      <c r="AF1221">
        <v>9</v>
      </c>
      <c r="AG1221" t="s">
        <v>158</v>
      </c>
      <c r="AH1221">
        <v>0</v>
      </c>
      <c r="AI1221">
        <v>3</v>
      </c>
      <c r="AJ1221">
        <v>1</v>
      </c>
      <c r="AK1221">
        <v>0</v>
      </c>
      <c r="AL1221" t="s">
        <v>2397</v>
      </c>
      <c r="AM1221">
        <v>46.828128999999997</v>
      </c>
      <c r="AN1221" t="s">
        <v>2398</v>
      </c>
      <c r="AO1221">
        <v>-122.63006</v>
      </c>
      <c r="AP1221">
        <v>100</v>
      </c>
      <c r="AQ1221">
        <v>2000</v>
      </c>
      <c r="AR1221" t="s">
        <v>118</v>
      </c>
      <c r="AS1221">
        <v>-77</v>
      </c>
      <c r="AT1221">
        <v>-22</v>
      </c>
      <c r="AU1221">
        <v>-64</v>
      </c>
      <c r="BC1221">
        <v>1200</v>
      </c>
      <c r="BD1221">
        <v>1</v>
      </c>
      <c r="BE1221" t="str">
        <f t="shared" si="59"/>
        <v xml:space="preserve">N215T   </v>
      </c>
      <c r="BF1221">
        <v>1</v>
      </c>
      <c r="BH1221">
        <v>0</v>
      </c>
      <c r="BI1221">
        <v>0</v>
      </c>
      <c r="BJ1221">
        <v>0</v>
      </c>
      <c r="BK1221">
        <v>2375</v>
      </c>
      <c r="BL1221">
        <v>375</v>
      </c>
      <c r="BM1221" t="s">
        <v>119</v>
      </c>
      <c r="BN1221">
        <v>1</v>
      </c>
      <c r="BO1221">
        <v>1</v>
      </c>
      <c r="BP1221">
        <v>1</v>
      </c>
      <c r="BQ1221">
        <v>0</v>
      </c>
      <c r="BT1221">
        <v>0</v>
      </c>
      <c r="BU1221">
        <v>0</v>
      </c>
      <c r="BV1221">
        <v>0</v>
      </c>
      <c r="CC1221" t="str">
        <f>"18:55:04.078"</f>
        <v>18:55:04.078</v>
      </c>
      <c r="CD1221" t="str">
        <f>"078374574"</f>
        <v>078374574</v>
      </c>
      <c r="CQ1221">
        <v>0</v>
      </c>
      <c r="CR1221">
        <v>2</v>
      </c>
      <c r="CS1221">
        <v>0</v>
      </c>
      <c r="CT1221">
        <v>2</v>
      </c>
      <c r="CU1221">
        <v>0</v>
      </c>
      <c r="CV1221">
        <v>6</v>
      </c>
      <c r="CW1221" t="s">
        <v>120</v>
      </c>
      <c r="CX1221">
        <v>261</v>
      </c>
      <c r="CY1221">
        <v>2</v>
      </c>
      <c r="CZ1221" t="s">
        <v>121</v>
      </c>
      <c r="DA1221" t="s">
        <v>122</v>
      </c>
      <c r="DD1221">
        <v>14927838</v>
      </c>
      <c r="DE1221" t="s">
        <v>123</v>
      </c>
    </row>
    <row r="1222" spans="1:109" x14ac:dyDescent="0.3">
      <c r="A1222" t="str">
        <f>"18:55:05.508"</f>
        <v>18:55:05.508</v>
      </c>
      <c r="B1222" t="s">
        <v>110</v>
      </c>
      <c r="C1222" t="str">
        <f t="shared" si="57"/>
        <v>ffdfd3c0</v>
      </c>
      <c r="D1222" t="s">
        <v>111</v>
      </c>
      <c r="E1222">
        <v>18</v>
      </c>
      <c r="F1222">
        <v>1018</v>
      </c>
      <c r="G1222" t="s">
        <v>112</v>
      </c>
      <c r="J1222" t="s">
        <v>113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R1222" t="s">
        <v>114</v>
      </c>
      <c r="S1222" t="str">
        <f>"18:55:05.258"</f>
        <v>18:55:05.258</v>
      </c>
      <c r="T1222" t="str">
        <f>"18:55:05.258"</f>
        <v>18:55:05.258</v>
      </c>
      <c r="U1222" t="str">
        <f t="shared" si="58"/>
        <v>a1cdbe</v>
      </c>
      <c r="V1222">
        <v>0</v>
      </c>
      <c r="W1222">
        <v>0</v>
      </c>
      <c r="X1222">
        <v>1</v>
      </c>
      <c r="Y1222">
        <v>0</v>
      </c>
      <c r="Z1222">
        <v>0</v>
      </c>
      <c r="AB1222">
        <v>0</v>
      </c>
      <c r="AC1222">
        <v>9</v>
      </c>
      <c r="AD1222">
        <v>3</v>
      </c>
      <c r="AE1222">
        <v>0</v>
      </c>
      <c r="AF1222">
        <v>9</v>
      </c>
      <c r="AG1222" t="s">
        <v>158</v>
      </c>
      <c r="AH1222">
        <v>0</v>
      </c>
      <c r="AI1222">
        <v>3</v>
      </c>
      <c r="AJ1222">
        <v>1</v>
      </c>
      <c r="AK1222">
        <v>0</v>
      </c>
      <c r="AL1222" t="s">
        <v>2399</v>
      </c>
      <c r="AM1222">
        <v>46.827978999999999</v>
      </c>
      <c r="AN1222" t="s">
        <v>2400</v>
      </c>
      <c r="AO1222">
        <v>-122.630661</v>
      </c>
      <c r="AP1222">
        <v>100</v>
      </c>
      <c r="AQ1222">
        <v>2000</v>
      </c>
      <c r="AR1222" t="s">
        <v>118</v>
      </c>
      <c r="AS1222">
        <v>-77</v>
      </c>
      <c r="AT1222">
        <v>-22</v>
      </c>
      <c r="AU1222">
        <v>64</v>
      </c>
      <c r="BC1222">
        <v>1200</v>
      </c>
      <c r="BD1222">
        <v>1</v>
      </c>
      <c r="BE1222" t="str">
        <f t="shared" si="59"/>
        <v xml:space="preserve">N215T   </v>
      </c>
      <c r="BF1222">
        <v>1</v>
      </c>
      <c r="BH1222">
        <v>0</v>
      </c>
      <c r="BI1222">
        <v>0</v>
      </c>
      <c r="BJ1222">
        <v>0</v>
      </c>
      <c r="BK1222">
        <v>2375</v>
      </c>
      <c r="BL1222">
        <v>375</v>
      </c>
      <c r="BM1222" t="s">
        <v>119</v>
      </c>
      <c r="BN1222">
        <v>1</v>
      </c>
      <c r="BO1222">
        <v>1</v>
      </c>
      <c r="BP1222">
        <v>1</v>
      </c>
      <c r="BQ1222">
        <v>0</v>
      </c>
      <c r="BT1222">
        <v>0</v>
      </c>
      <c r="BU1222">
        <v>0</v>
      </c>
      <c r="BV1222">
        <v>0</v>
      </c>
      <c r="CC1222" t="str">
        <f>"18:55:05.266"</f>
        <v>18:55:05.266</v>
      </c>
      <c r="CD1222" t="str">
        <f>"263257896"</f>
        <v>263257896</v>
      </c>
      <c r="CQ1222">
        <v>0</v>
      </c>
      <c r="CR1222">
        <v>2</v>
      </c>
      <c r="CS1222">
        <v>0</v>
      </c>
      <c r="CT1222">
        <v>2</v>
      </c>
      <c r="CU1222">
        <v>0</v>
      </c>
      <c r="CV1222">
        <v>6</v>
      </c>
      <c r="CW1222" t="s">
        <v>120</v>
      </c>
      <c r="CX1222">
        <v>261</v>
      </c>
      <c r="CY1222">
        <v>2</v>
      </c>
      <c r="CZ1222" t="s">
        <v>121</v>
      </c>
      <c r="DA1222" t="s">
        <v>122</v>
      </c>
      <c r="DD1222">
        <v>14928630</v>
      </c>
      <c r="DE1222" t="s">
        <v>123</v>
      </c>
    </row>
    <row r="1223" spans="1:109" x14ac:dyDescent="0.3">
      <c r="A1223" t="str">
        <f>"18:55:06.563"</f>
        <v>18:55:06.563</v>
      </c>
      <c r="B1223" t="s">
        <v>110</v>
      </c>
      <c r="C1223" t="str">
        <f t="shared" si="57"/>
        <v>ffdfd3c0</v>
      </c>
      <c r="D1223" t="s">
        <v>111</v>
      </c>
      <c r="E1223">
        <v>18</v>
      </c>
      <c r="F1223">
        <v>1018</v>
      </c>
      <c r="G1223" t="s">
        <v>112</v>
      </c>
      <c r="J1223" t="s">
        <v>113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R1223" t="s">
        <v>114</v>
      </c>
      <c r="S1223" t="str">
        <f>"18:55:06.352"</f>
        <v>18:55:06.352</v>
      </c>
      <c r="T1223" t="str">
        <f>"18:55:06.250"</f>
        <v>18:55:06.250</v>
      </c>
      <c r="U1223" t="str">
        <f t="shared" si="58"/>
        <v>a1cdbe</v>
      </c>
      <c r="V1223">
        <v>0</v>
      </c>
      <c r="W1223">
        <v>0</v>
      </c>
      <c r="X1223">
        <v>1</v>
      </c>
      <c r="Y1223">
        <v>0</v>
      </c>
      <c r="Z1223">
        <v>0</v>
      </c>
      <c r="AB1223">
        <v>0</v>
      </c>
      <c r="AC1223">
        <v>9</v>
      </c>
      <c r="AD1223">
        <v>3</v>
      </c>
      <c r="AE1223">
        <v>0</v>
      </c>
      <c r="AF1223">
        <v>9</v>
      </c>
      <c r="AG1223" t="s">
        <v>158</v>
      </c>
      <c r="AH1223">
        <v>0</v>
      </c>
      <c r="AI1223">
        <v>3</v>
      </c>
      <c r="AJ1223">
        <v>1</v>
      </c>
      <c r="AK1223">
        <v>0</v>
      </c>
      <c r="AL1223" t="s">
        <v>2401</v>
      </c>
      <c r="AM1223">
        <v>46.827893000000003</v>
      </c>
      <c r="AN1223" t="s">
        <v>2402</v>
      </c>
      <c r="AO1223">
        <v>-122.63126099999999</v>
      </c>
      <c r="AP1223">
        <v>100</v>
      </c>
      <c r="AQ1223">
        <v>2000</v>
      </c>
      <c r="AR1223" t="s">
        <v>118</v>
      </c>
      <c r="AS1223">
        <v>-77</v>
      </c>
      <c r="AT1223">
        <v>-22</v>
      </c>
      <c r="AU1223">
        <v>64</v>
      </c>
      <c r="BC1223">
        <v>1200</v>
      </c>
      <c r="BD1223">
        <v>1</v>
      </c>
      <c r="BE1223" t="str">
        <f t="shared" si="59"/>
        <v xml:space="preserve">N215T   </v>
      </c>
      <c r="BF1223">
        <v>1</v>
      </c>
      <c r="BH1223">
        <v>0</v>
      </c>
      <c r="BI1223">
        <v>0</v>
      </c>
      <c r="BJ1223">
        <v>0</v>
      </c>
      <c r="BK1223">
        <v>2375</v>
      </c>
      <c r="BL1223">
        <v>375</v>
      </c>
      <c r="BM1223" t="s">
        <v>119</v>
      </c>
      <c r="BN1223">
        <v>1</v>
      </c>
      <c r="BO1223">
        <v>1</v>
      </c>
      <c r="BP1223">
        <v>1</v>
      </c>
      <c r="BQ1223">
        <v>0</v>
      </c>
      <c r="BT1223">
        <v>0</v>
      </c>
      <c r="BU1223">
        <v>0</v>
      </c>
      <c r="BV1223">
        <v>0</v>
      </c>
      <c r="CC1223" t="str">
        <f>"18:55:06.359"</f>
        <v>18:55:06.359</v>
      </c>
      <c r="CD1223" t="str">
        <f>"358150094"</f>
        <v>358150094</v>
      </c>
      <c r="CQ1223">
        <v>0</v>
      </c>
      <c r="CR1223">
        <v>2</v>
      </c>
      <c r="CS1223">
        <v>0</v>
      </c>
      <c r="CT1223">
        <v>2</v>
      </c>
      <c r="CU1223">
        <v>0</v>
      </c>
      <c r="CV1223">
        <v>6</v>
      </c>
      <c r="CW1223" t="s">
        <v>120</v>
      </c>
      <c r="CX1223">
        <v>261</v>
      </c>
      <c r="CY1223">
        <v>2</v>
      </c>
      <c r="CZ1223" t="s">
        <v>121</v>
      </c>
      <c r="DA1223" t="s">
        <v>122</v>
      </c>
      <c r="DD1223">
        <v>14929403</v>
      </c>
      <c r="DE1223" t="s">
        <v>123</v>
      </c>
    </row>
    <row r="1224" spans="1:109" x14ac:dyDescent="0.3">
      <c r="A1224" t="str">
        <f>"18:55:07.570"</f>
        <v>18:55:07.570</v>
      </c>
      <c r="B1224" t="s">
        <v>110</v>
      </c>
      <c r="C1224" t="str">
        <f t="shared" si="57"/>
        <v>ffdfd3c0</v>
      </c>
      <c r="D1224" t="s">
        <v>111</v>
      </c>
      <c r="E1224">
        <v>18</v>
      </c>
      <c r="F1224">
        <v>1018</v>
      </c>
      <c r="G1224" t="s">
        <v>112</v>
      </c>
      <c r="J1224" t="s">
        <v>113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R1224" t="s">
        <v>114</v>
      </c>
      <c r="S1224" t="str">
        <f>"18:55:07.328"</f>
        <v>18:55:07.328</v>
      </c>
      <c r="T1224" t="str">
        <f>"18:55:07.227"</f>
        <v>18:55:07.227</v>
      </c>
      <c r="U1224" t="str">
        <f t="shared" si="58"/>
        <v>a1cdbe</v>
      </c>
      <c r="V1224">
        <v>0</v>
      </c>
      <c r="W1224">
        <v>0</v>
      </c>
      <c r="X1224">
        <v>1</v>
      </c>
      <c r="Y1224">
        <v>0</v>
      </c>
      <c r="Z1224">
        <v>0</v>
      </c>
      <c r="AB1224">
        <v>0</v>
      </c>
      <c r="AC1224">
        <v>9</v>
      </c>
      <c r="AD1224">
        <v>3</v>
      </c>
      <c r="AE1224">
        <v>0</v>
      </c>
      <c r="AF1224">
        <v>9</v>
      </c>
      <c r="AG1224" t="s">
        <v>158</v>
      </c>
      <c r="AH1224">
        <v>0</v>
      </c>
      <c r="AI1224">
        <v>3</v>
      </c>
      <c r="AJ1224">
        <v>1</v>
      </c>
      <c r="AK1224">
        <v>0</v>
      </c>
      <c r="AL1224" t="s">
        <v>2403</v>
      </c>
      <c r="AM1224">
        <v>46.827807</v>
      </c>
      <c r="AN1224" t="s">
        <v>2404</v>
      </c>
      <c r="AO1224">
        <v>-122.631733</v>
      </c>
      <c r="AP1224">
        <v>100</v>
      </c>
      <c r="AQ1224">
        <v>2000</v>
      </c>
      <c r="AR1224" t="s">
        <v>118</v>
      </c>
      <c r="AS1224">
        <v>-77</v>
      </c>
      <c r="AT1224">
        <v>-22</v>
      </c>
      <c r="AU1224">
        <v>-64</v>
      </c>
      <c r="BC1224">
        <v>1200</v>
      </c>
      <c r="BD1224">
        <v>1</v>
      </c>
      <c r="BE1224" t="str">
        <f t="shared" si="59"/>
        <v xml:space="preserve">N215T   </v>
      </c>
      <c r="BF1224">
        <v>1</v>
      </c>
      <c r="BH1224">
        <v>0</v>
      </c>
      <c r="BI1224">
        <v>0</v>
      </c>
      <c r="BJ1224">
        <v>0</v>
      </c>
      <c r="BK1224">
        <v>2375</v>
      </c>
      <c r="BL1224">
        <v>375</v>
      </c>
      <c r="BM1224" t="s">
        <v>119</v>
      </c>
      <c r="BN1224">
        <v>1</v>
      </c>
      <c r="BO1224">
        <v>1</v>
      </c>
      <c r="BP1224">
        <v>1</v>
      </c>
      <c r="BQ1224">
        <v>0</v>
      </c>
      <c r="BT1224">
        <v>0</v>
      </c>
      <c r="BU1224">
        <v>0</v>
      </c>
      <c r="BV1224">
        <v>0</v>
      </c>
      <c r="CC1224" t="str">
        <f>"18:55:07.336"</f>
        <v>18:55:07.336</v>
      </c>
      <c r="CD1224" t="str">
        <f>"333054100"</f>
        <v>333054100</v>
      </c>
      <c r="CQ1224">
        <v>0</v>
      </c>
      <c r="CR1224">
        <v>2</v>
      </c>
      <c r="CS1224">
        <v>0</v>
      </c>
      <c r="CT1224">
        <v>2</v>
      </c>
      <c r="CU1224">
        <v>0</v>
      </c>
      <c r="CV1224">
        <v>6</v>
      </c>
      <c r="CW1224" t="s">
        <v>120</v>
      </c>
      <c r="CX1224">
        <v>261</v>
      </c>
      <c r="CY1224">
        <v>2</v>
      </c>
      <c r="CZ1224" t="s">
        <v>121</v>
      </c>
      <c r="DA1224" t="s">
        <v>122</v>
      </c>
      <c r="DD1224">
        <v>14930095</v>
      </c>
      <c r="DE1224" t="s">
        <v>123</v>
      </c>
    </row>
    <row r="1225" spans="1:109" x14ac:dyDescent="0.3">
      <c r="A1225" t="str">
        <f>"18:55:08.523"</f>
        <v>18:55:08.523</v>
      </c>
      <c r="B1225" t="s">
        <v>110</v>
      </c>
      <c r="C1225" t="str">
        <f t="shared" si="57"/>
        <v>ffdfd3c0</v>
      </c>
      <c r="D1225" t="s">
        <v>111</v>
      </c>
      <c r="E1225">
        <v>18</v>
      </c>
      <c r="F1225">
        <v>1018</v>
      </c>
      <c r="G1225" t="s">
        <v>112</v>
      </c>
      <c r="J1225" t="s">
        <v>113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R1225" t="s">
        <v>114</v>
      </c>
      <c r="S1225" t="str">
        <f>"18:55:08.320"</f>
        <v>18:55:08.320</v>
      </c>
      <c r="T1225" t="str">
        <f>"18:55:07.820"</f>
        <v>18:55:07.820</v>
      </c>
      <c r="U1225" t="str">
        <f t="shared" si="58"/>
        <v>a1cdbe</v>
      </c>
      <c r="V1225">
        <v>0</v>
      </c>
      <c r="W1225">
        <v>0</v>
      </c>
      <c r="X1225">
        <v>1</v>
      </c>
      <c r="Y1225">
        <v>0</v>
      </c>
      <c r="Z1225">
        <v>0</v>
      </c>
      <c r="AB1225">
        <v>0</v>
      </c>
      <c r="AC1225">
        <v>9</v>
      </c>
      <c r="AD1225">
        <v>3</v>
      </c>
      <c r="AE1225">
        <v>0</v>
      </c>
      <c r="AF1225">
        <v>9</v>
      </c>
      <c r="AG1225" t="s">
        <v>158</v>
      </c>
      <c r="AH1225">
        <v>0</v>
      </c>
      <c r="AI1225">
        <v>3</v>
      </c>
      <c r="AJ1225">
        <v>1</v>
      </c>
      <c r="AK1225">
        <v>0</v>
      </c>
      <c r="AL1225" t="s">
        <v>2405</v>
      </c>
      <c r="AM1225">
        <v>46.827679000000003</v>
      </c>
      <c r="AN1225" t="s">
        <v>2406</v>
      </c>
      <c r="AO1225">
        <v>-122.63227000000001</v>
      </c>
      <c r="AP1225">
        <v>100</v>
      </c>
      <c r="AQ1225">
        <v>2000</v>
      </c>
      <c r="AR1225" t="s">
        <v>118</v>
      </c>
      <c r="AS1225">
        <v>-77</v>
      </c>
      <c r="AT1225">
        <v>-23</v>
      </c>
      <c r="AU1225">
        <v>-64</v>
      </c>
      <c r="BC1225">
        <v>1200</v>
      </c>
      <c r="BD1225">
        <v>1</v>
      </c>
      <c r="BE1225" t="str">
        <f t="shared" si="59"/>
        <v xml:space="preserve">N215T   </v>
      </c>
      <c r="BF1225">
        <v>1</v>
      </c>
      <c r="BH1225">
        <v>0</v>
      </c>
      <c r="BI1225">
        <v>0</v>
      </c>
      <c r="BJ1225">
        <v>0</v>
      </c>
      <c r="BK1225">
        <v>2375</v>
      </c>
      <c r="BL1225">
        <v>375</v>
      </c>
      <c r="BM1225" t="s">
        <v>119</v>
      </c>
      <c r="BN1225">
        <v>1</v>
      </c>
      <c r="BO1225">
        <v>1</v>
      </c>
      <c r="BP1225">
        <v>1</v>
      </c>
      <c r="BQ1225">
        <v>0</v>
      </c>
      <c r="BT1225">
        <v>0</v>
      </c>
      <c r="BU1225">
        <v>0</v>
      </c>
      <c r="BV1225">
        <v>0</v>
      </c>
      <c r="CC1225" t="str">
        <f>"18:55:08.320"</f>
        <v>18:55:08.320</v>
      </c>
      <c r="CD1225" t="str">
        <f>"322956648"</f>
        <v>322956648</v>
      </c>
      <c r="CQ1225">
        <v>0</v>
      </c>
      <c r="CR1225">
        <v>2</v>
      </c>
      <c r="CS1225">
        <v>0</v>
      </c>
      <c r="CT1225">
        <v>2</v>
      </c>
      <c r="CU1225">
        <v>0</v>
      </c>
      <c r="CV1225">
        <v>6</v>
      </c>
      <c r="CW1225" t="s">
        <v>120</v>
      </c>
      <c r="CX1225">
        <v>261</v>
      </c>
      <c r="CY1225">
        <v>2</v>
      </c>
      <c r="CZ1225" t="s">
        <v>121</v>
      </c>
      <c r="DA1225" t="s">
        <v>122</v>
      </c>
      <c r="DD1225">
        <v>14930748</v>
      </c>
      <c r="DE1225" t="s">
        <v>123</v>
      </c>
    </row>
    <row r="1226" spans="1:109" x14ac:dyDescent="0.3">
      <c r="A1226" t="str">
        <f>"18:55:09.586"</f>
        <v>18:55:09.586</v>
      </c>
      <c r="B1226" t="s">
        <v>110</v>
      </c>
      <c r="C1226" t="str">
        <f t="shared" si="57"/>
        <v>ffdfd3c0</v>
      </c>
      <c r="D1226" t="s">
        <v>111</v>
      </c>
      <c r="E1226">
        <v>18</v>
      </c>
      <c r="F1226">
        <v>1018</v>
      </c>
      <c r="G1226" t="s">
        <v>112</v>
      </c>
      <c r="J1226" t="s">
        <v>113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R1226" t="s">
        <v>114</v>
      </c>
      <c r="S1226" t="str">
        <f>"18:55:09.313"</f>
        <v>18:55:09.313</v>
      </c>
      <c r="T1226" t="str">
        <f>"18:55:09.211"</f>
        <v>18:55:09.211</v>
      </c>
      <c r="U1226" t="str">
        <f t="shared" si="58"/>
        <v>a1cdbe</v>
      </c>
      <c r="V1226">
        <v>0</v>
      </c>
      <c r="W1226">
        <v>0</v>
      </c>
      <c r="X1226">
        <v>1</v>
      </c>
      <c r="Y1226">
        <v>0</v>
      </c>
      <c r="Z1226">
        <v>0</v>
      </c>
      <c r="AB1226">
        <v>0</v>
      </c>
      <c r="AC1226">
        <v>9</v>
      </c>
      <c r="AD1226">
        <v>3</v>
      </c>
      <c r="AE1226">
        <v>0</v>
      </c>
      <c r="AF1226">
        <v>9</v>
      </c>
      <c r="AG1226" t="s">
        <v>158</v>
      </c>
      <c r="AH1226">
        <v>0</v>
      </c>
      <c r="AI1226">
        <v>3</v>
      </c>
      <c r="AJ1226">
        <v>1</v>
      </c>
      <c r="AK1226">
        <v>0</v>
      </c>
      <c r="AL1226" t="s">
        <v>2407</v>
      </c>
      <c r="AM1226">
        <v>46.827570999999999</v>
      </c>
      <c r="AN1226" t="s">
        <v>2408</v>
      </c>
      <c r="AO1226">
        <v>-122.63274199999999</v>
      </c>
      <c r="AP1226">
        <v>100</v>
      </c>
      <c r="AQ1226">
        <v>2000</v>
      </c>
      <c r="AR1226" t="s">
        <v>118</v>
      </c>
      <c r="AS1226">
        <v>-76</v>
      </c>
      <c r="AT1226">
        <v>-23</v>
      </c>
      <c r="AU1226">
        <v>-64</v>
      </c>
      <c r="BC1226">
        <v>1200</v>
      </c>
      <c r="BD1226">
        <v>1</v>
      </c>
      <c r="BE1226" t="str">
        <f t="shared" si="59"/>
        <v xml:space="preserve">N215T   </v>
      </c>
      <c r="BF1226">
        <v>1</v>
      </c>
      <c r="BH1226">
        <v>0</v>
      </c>
      <c r="BI1226">
        <v>0</v>
      </c>
      <c r="BJ1226">
        <v>0</v>
      </c>
      <c r="BK1226">
        <v>2375</v>
      </c>
      <c r="BL1226">
        <v>375</v>
      </c>
      <c r="BM1226" t="s">
        <v>119</v>
      </c>
      <c r="BN1226">
        <v>1</v>
      </c>
      <c r="BO1226">
        <v>1</v>
      </c>
      <c r="BP1226">
        <v>1</v>
      </c>
      <c r="BQ1226">
        <v>0</v>
      </c>
      <c r="BT1226">
        <v>0</v>
      </c>
      <c r="BU1226">
        <v>0</v>
      </c>
      <c r="BV1226">
        <v>0</v>
      </c>
      <c r="CC1226" t="str">
        <f>"18:55:09.313"</f>
        <v>18:55:09.313</v>
      </c>
      <c r="CD1226" t="str">
        <f>"312859187"</f>
        <v>312859187</v>
      </c>
      <c r="CQ1226">
        <v>0</v>
      </c>
      <c r="CR1226">
        <v>2</v>
      </c>
      <c r="CS1226">
        <v>0</v>
      </c>
      <c r="CT1226">
        <v>2</v>
      </c>
      <c r="CU1226">
        <v>0</v>
      </c>
      <c r="CV1226">
        <v>6</v>
      </c>
      <c r="CW1226" t="s">
        <v>120</v>
      </c>
      <c r="CX1226">
        <v>261</v>
      </c>
      <c r="CY1226">
        <v>2</v>
      </c>
      <c r="CZ1226" t="s">
        <v>121</v>
      </c>
      <c r="DA1226" t="s">
        <v>122</v>
      </c>
      <c r="DD1226">
        <v>14931405</v>
      </c>
      <c r="DE1226" t="s">
        <v>123</v>
      </c>
    </row>
    <row r="1227" spans="1:109" x14ac:dyDescent="0.3">
      <c r="A1227" t="str">
        <f>"18:55:10.438"</f>
        <v>18:55:10.438</v>
      </c>
      <c r="B1227" t="s">
        <v>110</v>
      </c>
      <c r="C1227" t="str">
        <f t="shared" si="57"/>
        <v>ffdfd3c0</v>
      </c>
      <c r="D1227" t="s">
        <v>111</v>
      </c>
      <c r="E1227">
        <v>18</v>
      </c>
      <c r="F1227">
        <v>1018</v>
      </c>
      <c r="G1227" t="s">
        <v>112</v>
      </c>
      <c r="J1227" t="s">
        <v>113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R1227" t="s">
        <v>114</v>
      </c>
      <c r="S1227" t="str">
        <f>"18:55:10.195"</f>
        <v>18:55:10.195</v>
      </c>
      <c r="T1227" t="str">
        <f>"18:55:09.695"</f>
        <v>18:55:09.695</v>
      </c>
      <c r="U1227" t="str">
        <f t="shared" si="58"/>
        <v>a1cdbe</v>
      </c>
      <c r="V1227">
        <v>0</v>
      </c>
      <c r="W1227">
        <v>0</v>
      </c>
      <c r="X1227">
        <v>1</v>
      </c>
      <c r="Y1227">
        <v>0</v>
      </c>
      <c r="Z1227">
        <v>0</v>
      </c>
      <c r="AB1227">
        <v>0</v>
      </c>
      <c r="AC1227">
        <v>9</v>
      </c>
      <c r="AD1227">
        <v>3</v>
      </c>
      <c r="AE1227">
        <v>0</v>
      </c>
      <c r="AF1227">
        <v>9</v>
      </c>
      <c r="AG1227" t="s">
        <v>158</v>
      </c>
      <c r="AH1227">
        <v>0</v>
      </c>
      <c r="AI1227">
        <v>3</v>
      </c>
      <c r="AJ1227">
        <v>1</v>
      </c>
      <c r="AK1227">
        <v>0</v>
      </c>
      <c r="AL1227" t="s">
        <v>2409</v>
      </c>
      <c r="AM1227">
        <v>46.827506999999997</v>
      </c>
      <c r="AN1227" t="s">
        <v>2410</v>
      </c>
      <c r="AO1227">
        <v>-122.633235</v>
      </c>
      <c r="AP1227">
        <v>100</v>
      </c>
      <c r="AQ1227">
        <v>2000</v>
      </c>
      <c r="AR1227" t="s">
        <v>118</v>
      </c>
      <c r="AS1227">
        <v>-76</v>
      </c>
      <c r="AT1227">
        <v>-23</v>
      </c>
      <c r="AU1227">
        <v>-64</v>
      </c>
      <c r="BC1227">
        <v>1200</v>
      </c>
      <c r="BD1227">
        <v>1</v>
      </c>
      <c r="BE1227" t="str">
        <f t="shared" si="59"/>
        <v xml:space="preserve">N215T   </v>
      </c>
      <c r="BF1227">
        <v>1</v>
      </c>
      <c r="BH1227">
        <v>0</v>
      </c>
      <c r="BI1227">
        <v>0</v>
      </c>
      <c r="BJ1227">
        <v>0</v>
      </c>
      <c r="BK1227">
        <v>2375</v>
      </c>
      <c r="BL1227">
        <v>375</v>
      </c>
      <c r="BM1227" t="s">
        <v>119</v>
      </c>
      <c r="BN1227">
        <v>1</v>
      </c>
      <c r="BO1227">
        <v>1</v>
      </c>
      <c r="BP1227">
        <v>1</v>
      </c>
      <c r="BQ1227">
        <v>0</v>
      </c>
      <c r="BT1227">
        <v>0</v>
      </c>
      <c r="BU1227">
        <v>0</v>
      </c>
      <c r="BV1227">
        <v>0</v>
      </c>
      <c r="CC1227" t="str">
        <f>"18:55:10.195"</f>
        <v>18:55:10.195</v>
      </c>
      <c r="CD1227" t="str">
        <f>"197772058"</f>
        <v>197772058</v>
      </c>
      <c r="CQ1227">
        <v>0</v>
      </c>
      <c r="CR1227">
        <v>2</v>
      </c>
      <c r="CS1227">
        <v>0</v>
      </c>
      <c r="CT1227">
        <v>2</v>
      </c>
      <c r="CU1227">
        <v>0</v>
      </c>
      <c r="CV1227">
        <v>6</v>
      </c>
      <c r="CW1227" t="s">
        <v>120</v>
      </c>
      <c r="CX1227">
        <v>261</v>
      </c>
      <c r="CY1227">
        <v>2</v>
      </c>
      <c r="CZ1227" t="s">
        <v>121</v>
      </c>
      <c r="DA1227" t="s">
        <v>122</v>
      </c>
      <c r="DD1227">
        <v>14932016</v>
      </c>
      <c r="DE1227" t="s">
        <v>123</v>
      </c>
    </row>
    <row r="1228" spans="1:109" x14ac:dyDescent="0.3">
      <c r="A1228" t="str">
        <f>"18:55:11.445"</f>
        <v>18:55:11.445</v>
      </c>
      <c r="B1228" t="s">
        <v>110</v>
      </c>
      <c r="C1228" t="str">
        <f t="shared" si="57"/>
        <v>ffdfd3c0</v>
      </c>
      <c r="D1228" t="s">
        <v>111</v>
      </c>
      <c r="E1228">
        <v>18</v>
      </c>
      <c r="F1228">
        <v>1018</v>
      </c>
      <c r="G1228" t="s">
        <v>112</v>
      </c>
      <c r="J1228" t="s">
        <v>113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R1228" t="s">
        <v>114</v>
      </c>
      <c r="S1228" t="str">
        <f>"18:55:11.195"</f>
        <v>18:55:11.195</v>
      </c>
      <c r="T1228" t="str">
        <f>"18:55:10.797"</f>
        <v>18:55:10.797</v>
      </c>
      <c r="U1228" t="str">
        <f t="shared" si="58"/>
        <v>a1cdbe</v>
      </c>
      <c r="V1228">
        <v>0</v>
      </c>
      <c r="W1228">
        <v>0</v>
      </c>
      <c r="X1228">
        <v>1</v>
      </c>
      <c r="Y1228">
        <v>0</v>
      </c>
      <c r="Z1228">
        <v>0</v>
      </c>
      <c r="AB1228">
        <v>0</v>
      </c>
      <c r="AC1228">
        <v>9</v>
      </c>
      <c r="AD1228">
        <v>3</v>
      </c>
      <c r="AE1228">
        <v>0</v>
      </c>
      <c r="AF1228">
        <v>9</v>
      </c>
      <c r="AG1228" t="s">
        <v>158</v>
      </c>
      <c r="AH1228">
        <v>0</v>
      </c>
      <c r="AI1228">
        <v>3</v>
      </c>
      <c r="AJ1228">
        <v>1</v>
      </c>
      <c r="AK1228">
        <v>0</v>
      </c>
      <c r="AL1228" t="s">
        <v>2411</v>
      </c>
      <c r="AM1228">
        <v>46.827399999999997</v>
      </c>
      <c r="AN1228" t="s">
        <v>2412</v>
      </c>
      <c r="AO1228">
        <v>-122.63375000000001</v>
      </c>
      <c r="AP1228">
        <v>100</v>
      </c>
      <c r="AQ1228">
        <v>2000</v>
      </c>
      <c r="AR1228" t="s">
        <v>118</v>
      </c>
      <c r="AS1228">
        <v>-75</v>
      </c>
      <c r="AT1228">
        <v>-24</v>
      </c>
      <c r="AU1228">
        <v>-64</v>
      </c>
      <c r="BC1228">
        <v>1200</v>
      </c>
      <c r="BD1228">
        <v>1</v>
      </c>
      <c r="BE1228" t="str">
        <f t="shared" si="59"/>
        <v xml:space="preserve">N215T   </v>
      </c>
      <c r="BF1228">
        <v>1</v>
      </c>
      <c r="BH1228">
        <v>0</v>
      </c>
      <c r="BI1228">
        <v>0</v>
      </c>
      <c r="BJ1228">
        <v>0</v>
      </c>
      <c r="BK1228">
        <v>2375</v>
      </c>
      <c r="BL1228">
        <v>375</v>
      </c>
      <c r="BM1228" t="s">
        <v>119</v>
      </c>
      <c r="BN1228">
        <v>1</v>
      </c>
      <c r="BO1228">
        <v>1</v>
      </c>
      <c r="BP1228">
        <v>1</v>
      </c>
      <c r="BQ1228">
        <v>0</v>
      </c>
      <c r="BT1228">
        <v>0</v>
      </c>
      <c r="BU1228">
        <v>0</v>
      </c>
      <c r="BV1228">
        <v>0</v>
      </c>
      <c r="CC1228" t="str">
        <f>"18:55:11.203"</f>
        <v>18:55:11.203</v>
      </c>
      <c r="CD1228" t="str">
        <f>"202673123"</f>
        <v>202673123</v>
      </c>
      <c r="CQ1228">
        <v>0</v>
      </c>
      <c r="CR1228">
        <v>2</v>
      </c>
      <c r="CS1228">
        <v>0</v>
      </c>
      <c r="CT1228">
        <v>2</v>
      </c>
      <c r="CU1228">
        <v>0</v>
      </c>
      <c r="CV1228">
        <v>6</v>
      </c>
      <c r="CW1228" t="s">
        <v>120</v>
      </c>
      <c r="CX1228">
        <v>261</v>
      </c>
      <c r="CY1228">
        <v>2</v>
      </c>
      <c r="CZ1228" t="s">
        <v>121</v>
      </c>
      <c r="DA1228" t="s">
        <v>122</v>
      </c>
      <c r="DD1228">
        <v>14932698</v>
      </c>
      <c r="DE1228" t="s">
        <v>123</v>
      </c>
    </row>
    <row r="1229" spans="1:109" x14ac:dyDescent="0.3">
      <c r="A1229" t="str">
        <f>"18:55:12.500"</f>
        <v>18:55:12.500</v>
      </c>
      <c r="B1229" t="s">
        <v>110</v>
      </c>
      <c r="C1229" t="str">
        <f t="shared" si="57"/>
        <v>ffdfd3c0</v>
      </c>
      <c r="D1229" t="s">
        <v>111</v>
      </c>
      <c r="E1229">
        <v>18</v>
      </c>
      <c r="F1229">
        <v>1018</v>
      </c>
      <c r="G1229" t="s">
        <v>112</v>
      </c>
      <c r="J1229" t="s">
        <v>113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R1229" t="s">
        <v>114</v>
      </c>
      <c r="S1229" t="str">
        <f>"18:55:12.297"</f>
        <v>18:55:12.297</v>
      </c>
      <c r="T1229" t="str">
        <f>"18:55:12.297"</f>
        <v>18:55:12.297</v>
      </c>
      <c r="U1229" t="str">
        <f t="shared" si="58"/>
        <v>a1cdbe</v>
      </c>
      <c r="V1229">
        <v>0</v>
      </c>
      <c r="W1229">
        <v>0</v>
      </c>
      <c r="X1229">
        <v>1</v>
      </c>
      <c r="Y1229">
        <v>0</v>
      </c>
      <c r="Z1229">
        <v>0</v>
      </c>
      <c r="AB1229">
        <v>0</v>
      </c>
      <c r="AC1229">
        <v>9</v>
      </c>
      <c r="AD1229">
        <v>3</v>
      </c>
      <c r="AE1229">
        <v>0</v>
      </c>
      <c r="AF1229">
        <v>9</v>
      </c>
      <c r="AG1229" t="s">
        <v>158</v>
      </c>
      <c r="AH1229">
        <v>0</v>
      </c>
      <c r="AI1229">
        <v>3</v>
      </c>
      <c r="AJ1229">
        <v>1</v>
      </c>
      <c r="AK1229">
        <v>0</v>
      </c>
      <c r="AL1229" t="s">
        <v>2413</v>
      </c>
      <c r="AM1229">
        <v>46.827271000000003</v>
      </c>
      <c r="AN1229" t="s">
        <v>2414</v>
      </c>
      <c r="AO1229">
        <v>-122.634265</v>
      </c>
      <c r="AP1229">
        <v>100</v>
      </c>
      <c r="AQ1229">
        <v>2000</v>
      </c>
      <c r="AR1229" t="s">
        <v>118</v>
      </c>
      <c r="AS1229">
        <v>-75</v>
      </c>
      <c r="AT1229">
        <v>-24</v>
      </c>
      <c r="AU1229">
        <v>-64</v>
      </c>
      <c r="BC1229">
        <v>1200</v>
      </c>
      <c r="BD1229">
        <v>1</v>
      </c>
      <c r="BE1229" t="str">
        <f t="shared" si="59"/>
        <v xml:space="preserve">N215T   </v>
      </c>
      <c r="BF1229">
        <v>1</v>
      </c>
      <c r="BH1229">
        <v>0</v>
      </c>
      <c r="BI1229">
        <v>0</v>
      </c>
      <c r="BJ1229">
        <v>0</v>
      </c>
      <c r="BK1229">
        <v>2375</v>
      </c>
      <c r="BL1229">
        <v>375</v>
      </c>
      <c r="BM1229" t="s">
        <v>119</v>
      </c>
      <c r="BN1229">
        <v>1</v>
      </c>
      <c r="BO1229">
        <v>1</v>
      </c>
      <c r="BP1229">
        <v>1</v>
      </c>
      <c r="BQ1229">
        <v>0</v>
      </c>
      <c r="BT1229">
        <v>0</v>
      </c>
      <c r="BU1229">
        <v>0</v>
      </c>
      <c r="BV1229">
        <v>0</v>
      </c>
      <c r="CC1229" t="str">
        <f>"18:55:12.297"</f>
        <v>18:55:12.297</v>
      </c>
      <c r="CD1229" t="str">
        <f>"297565329"</f>
        <v>297565329</v>
      </c>
      <c r="CQ1229">
        <v>0</v>
      </c>
      <c r="CR1229">
        <v>2</v>
      </c>
      <c r="CS1229">
        <v>0</v>
      </c>
      <c r="CT1229">
        <v>2</v>
      </c>
      <c r="CU1229">
        <v>0</v>
      </c>
      <c r="CV1229">
        <v>6</v>
      </c>
      <c r="CW1229" t="s">
        <v>120</v>
      </c>
      <c r="CX1229">
        <v>261</v>
      </c>
      <c r="CY1229">
        <v>2</v>
      </c>
      <c r="CZ1229" t="s">
        <v>121</v>
      </c>
      <c r="DA1229" t="s">
        <v>122</v>
      </c>
      <c r="DD1229">
        <v>14933416</v>
      </c>
      <c r="DE1229" t="s">
        <v>123</v>
      </c>
    </row>
    <row r="1230" spans="1:109" x14ac:dyDescent="0.3">
      <c r="A1230" t="str">
        <f>"18:55:14.055"</f>
        <v>18:55:14.055</v>
      </c>
      <c r="B1230" t="s">
        <v>110</v>
      </c>
      <c r="C1230" t="str">
        <f t="shared" si="57"/>
        <v>ffdfd3c0</v>
      </c>
      <c r="D1230" t="s">
        <v>111</v>
      </c>
      <c r="E1230">
        <v>18</v>
      </c>
      <c r="F1230">
        <v>1018</v>
      </c>
      <c r="G1230" t="s">
        <v>112</v>
      </c>
      <c r="J1230" t="s">
        <v>113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R1230" t="s">
        <v>114</v>
      </c>
      <c r="S1230" t="str">
        <f>"18:55:13.805"</f>
        <v>18:55:13.805</v>
      </c>
      <c r="T1230" t="str">
        <f>"18:55:13.805"</f>
        <v>18:55:13.805</v>
      </c>
      <c r="U1230" t="str">
        <f t="shared" si="58"/>
        <v>a1cdbe</v>
      </c>
      <c r="V1230">
        <v>0</v>
      </c>
      <c r="W1230">
        <v>0</v>
      </c>
      <c r="X1230">
        <v>1</v>
      </c>
      <c r="Y1230">
        <v>0</v>
      </c>
      <c r="Z1230">
        <v>0</v>
      </c>
      <c r="AB1230">
        <v>0</v>
      </c>
      <c r="AC1230">
        <v>9</v>
      </c>
      <c r="AD1230">
        <v>3</v>
      </c>
      <c r="AE1230">
        <v>0</v>
      </c>
      <c r="AF1230">
        <v>9</v>
      </c>
      <c r="AG1230" t="s">
        <v>158</v>
      </c>
      <c r="AH1230">
        <v>0</v>
      </c>
      <c r="AI1230">
        <v>3</v>
      </c>
      <c r="AJ1230">
        <v>1</v>
      </c>
      <c r="AK1230">
        <v>0</v>
      </c>
      <c r="AL1230" t="s">
        <v>2415</v>
      </c>
      <c r="AM1230">
        <v>46.827078</v>
      </c>
      <c r="AN1230" t="s">
        <v>2416</v>
      </c>
      <c r="AO1230">
        <v>-122.63501599999999</v>
      </c>
      <c r="AP1230">
        <v>100</v>
      </c>
      <c r="AQ1230">
        <v>2000</v>
      </c>
      <c r="AR1230" t="s">
        <v>118</v>
      </c>
      <c r="AS1230">
        <v>-74</v>
      </c>
      <c r="AT1230">
        <v>-26</v>
      </c>
      <c r="AU1230">
        <v>-128</v>
      </c>
      <c r="BC1230">
        <v>1200</v>
      </c>
      <c r="BD1230">
        <v>1</v>
      </c>
      <c r="BE1230" t="str">
        <f t="shared" si="59"/>
        <v xml:space="preserve">N215T   </v>
      </c>
      <c r="BF1230">
        <v>1</v>
      </c>
      <c r="BH1230">
        <v>0</v>
      </c>
      <c r="BI1230">
        <v>0</v>
      </c>
      <c r="BJ1230">
        <v>0</v>
      </c>
      <c r="BK1230">
        <v>2375</v>
      </c>
      <c r="BL1230">
        <v>375</v>
      </c>
      <c r="BM1230" t="s">
        <v>119</v>
      </c>
      <c r="BN1230">
        <v>1</v>
      </c>
      <c r="BO1230">
        <v>1</v>
      </c>
      <c r="BP1230">
        <v>1</v>
      </c>
      <c r="BQ1230">
        <v>0</v>
      </c>
      <c r="BT1230">
        <v>0</v>
      </c>
      <c r="BU1230">
        <v>0</v>
      </c>
      <c r="BV1230">
        <v>0</v>
      </c>
      <c r="CC1230" t="str">
        <f>"18:55:13.813"</f>
        <v>18:55:13.813</v>
      </c>
      <c r="CD1230" t="str">
        <f>"812416181"</f>
        <v>812416181</v>
      </c>
      <c r="CQ1230">
        <v>0</v>
      </c>
      <c r="CR1230">
        <v>2</v>
      </c>
      <c r="CS1230">
        <v>0</v>
      </c>
      <c r="CT1230">
        <v>2</v>
      </c>
      <c r="CU1230">
        <v>0</v>
      </c>
      <c r="CV1230">
        <v>6</v>
      </c>
      <c r="CW1230" t="s">
        <v>120</v>
      </c>
      <c r="CX1230">
        <v>261</v>
      </c>
      <c r="CY1230">
        <v>2</v>
      </c>
      <c r="CZ1230" t="s">
        <v>121</v>
      </c>
      <c r="DA1230" t="s">
        <v>122</v>
      </c>
      <c r="DD1230">
        <v>14934388</v>
      </c>
      <c r="DE1230" t="s">
        <v>123</v>
      </c>
    </row>
    <row r="1231" spans="1:109" x14ac:dyDescent="0.3">
      <c r="A1231" t="str">
        <f>"18:55:15.063"</f>
        <v>18:55:15.063</v>
      </c>
      <c r="B1231" t="s">
        <v>110</v>
      </c>
      <c r="C1231" t="str">
        <f t="shared" si="57"/>
        <v>ffdfd3c0</v>
      </c>
      <c r="D1231" t="s">
        <v>111</v>
      </c>
      <c r="E1231">
        <v>18</v>
      </c>
      <c r="F1231">
        <v>1018</v>
      </c>
      <c r="G1231" t="s">
        <v>112</v>
      </c>
      <c r="J1231" t="s">
        <v>113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R1231" t="s">
        <v>114</v>
      </c>
      <c r="S1231" t="str">
        <f>"18:55:14.844"</f>
        <v>18:55:14.844</v>
      </c>
      <c r="T1231" t="str">
        <f>"18:55:14.844"</f>
        <v>18:55:14.844</v>
      </c>
      <c r="U1231" t="str">
        <f t="shared" si="58"/>
        <v>a1cdbe</v>
      </c>
      <c r="V1231">
        <v>0</v>
      </c>
      <c r="W1231">
        <v>0</v>
      </c>
      <c r="X1231">
        <v>1</v>
      </c>
      <c r="Y1231">
        <v>0</v>
      </c>
      <c r="Z1231">
        <v>0</v>
      </c>
      <c r="AB1231">
        <v>0</v>
      </c>
      <c r="AC1231">
        <v>9</v>
      </c>
      <c r="AD1231">
        <v>3</v>
      </c>
      <c r="AE1231">
        <v>0</v>
      </c>
      <c r="AF1231">
        <v>9</v>
      </c>
      <c r="AG1231" t="s">
        <v>158</v>
      </c>
      <c r="AH1231">
        <v>0</v>
      </c>
      <c r="AI1231">
        <v>3</v>
      </c>
      <c r="AJ1231">
        <v>1</v>
      </c>
      <c r="AK1231">
        <v>0</v>
      </c>
      <c r="AL1231" t="s">
        <v>2417</v>
      </c>
      <c r="AM1231">
        <v>46.826971</v>
      </c>
      <c r="AN1231" t="s">
        <v>2418</v>
      </c>
      <c r="AO1231">
        <v>-122.635553</v>
      </c>
      <c r="AP1231">
        <v>100</v>
      </c>
      <c r="AQ1231">
        <v>2000</v>
      </c>
      <c r="AR1231" t="s">
        <v>118</v>
      </c>
      <c r="AS1231">
        <v>-74</v>
      </c>
      <c r="AT1231">
        <v>-26</v>
      </c>
      <c r="AU1231">
        <v>128</v>
      </c>
      <c r="BC1231">
        <v>1200</v>
      </c>
      <c r="BD1231">
        <v>1</v>
      </c>
      <c r="BE1231" t="str">
        <f t="shared" si="59"/>
        <v xml:space="preserve">N215T   </v>
      </c>
      <c r="BF1231">
        <v>1</v>
      </c>
      <c r="BH1231">
        <v>0</v>
      </c>
      <c r="BI1231">
        <v>0</v>
      </c>
      <c r="BJ1231">
        <v>0</v>
      </c>
      <c r="BK1231">
        <v>2375</v>
      </c>
      <c r="BL1231">
        <v>375</v>
      </c>
      <c r="BM1231" t="s">
        <v>119</v>
      </c>
      <c r="BN1231">
        <v>1</v>
      </c>
      <c r="BO1231">
        <v>1</v>
      </c>
      <c r="BP1231">
        <v>1</v>
      </c>
      <c r="BQ1231">
        <v>0</v>
      </c>
      <c r="BT1231">
        <v>0</v>
      </c>
      <c r="BU1231">
        <v>0</v>
      </c>
      <c r="BV1231">
        <v>0</v>
      </c>
      <c r="CC1231" t="str">
        <f>"18:55:14.844"</f>
        <v>18:55:14.844</v>
      </c>
      <c r="CD1231" t="str">
        <f>"847314302"</f>
        <v>847314302</v>
      </c>
      <c r="CQ1231">
        <v>0</v>
      </c>
      <c r="CR1231">
        <v>2</v>
      </c>
      <c r="CS1231">
        <v>0</v>
      </c>
      <c r="CT1231">
        <v>2</v>
      </c>
      <c r="CU1231">
        <v>0</v>
      </c>
      <c r="CV1231">
        <v>6</v>
      </c>
      <c r="CW1231" t="s">
        <v>120</v>
      </c>
      <c r="CX1231">
        <v>261</v>
      </c>
      <c r="CY1231">
        <v>2</v>
      </c>
      <c r="CZ1231" t="s">
        <v>121</v>
      </c>
      <c r="DA1231" t="s">
        <v>122</v>
      </c>
      <c r="DD1231">
        <v>14935030</v>
      </c>
      <c r="DE1231" t="s">
        <v>123</v>
      </c>
    </row>
    <row r="1232" spans="1:109" x14ac:dyDescent="0.3">
      <c r="A1232" t="str">
        <f>"18:55:16.070"</f>
        <v>18:55:16.070</v>
      </c>
      <c r="B1232" t="s">
        <v>110</v>
      </c>
      <c r="C1232" t="str">
        <f t="shared" si="57"/>
        <v>ffdfd3c0</v>
      </c>
      <c r="D1232" t="s">
        <v>111</v>
      </c>
      <c r="E1232">
        <v>18</v>
      </c>
      <c r="F1232">
        <v>1018</v>
      </c>
      <c r="G1232" t="s">
        <v>112</v>
      </c>
      <c r="J1232" t="s">
        <v>113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R1232" t="s">
        <v>114</v>
      </c>
      <c r="S1232" t="str">
        <f>"18:55:15.852"</f>
        <v>18:55:15.852</v>
      </c>
      <c r="T1232" t="str">
        <f>"18:55:14.852"</f>
        <v>18:55:14.852</v>
      </c>
      <c r="U1232" t="str">
        <f t="shared" si="58"/>
        <v>a1cdbe</v>
      </c>
      <c r="V1232">
        <v>0</v>
      </c>
      <c r="W1232">
        <v>0</v>
      </c>
      <c r="X1232">
        <v>1</v>
      </c>
      <c r="Y1232">
        <v>0</v>
      </c>
      <c r="Z1232">
        <v>0</v>
      </c>
      <c r="AB1232">
        <v>0</v>
      </c>
      <c r="AC1232">
        <v>9</v>
      </c>
      <c r="AD1232">
        <v>3</v>
      </c>
      <c r="AE1232">
        <v>0</v>
      </c>
      <c r="AF1232">
        <v>9</v>
      </c>
      <c r="AG1232" t="s">
        <v>158</v>
      </c>
      <c r="AH1232">
        <v>0</v>
      </c>
      <c r="AI1232">
        <v>3</v>
      </c>
      <c r="AJ1232">
        <v>1</v>
      </c>
      <c r="AK1232">
        <v>0</v>
      </c>
      <c r="AL1232" t="s">
        <v>2419</v>
      </c>
      <c r="AM1232">
        <v>46.826841999999999</v>
      </c>
      <c r="AN1232" t="s">
        <v>2420</v>
      </c>
      <c r="AO1232">
        <v>-122.63604599999999</v>
      </c>
      <c r="AP1232">
        <v>100</v>
      </c>
      <c r="AQ1232">
        <v>2000</v>
      </c>
      <c r="AR1232" t="s">
        <v>118</v>
      </c>
      <c r="AS1232">
        <v>-74</v>
      </c>
      <c r="AT1232">
        <v>-26</v>
      </c>
      <c r="AU1232">
        <v>128</v>
      </c>
      <c r="BC1232">
        <v>1200</v>
      </c>
      <c r="BD1232">
        <v>1</v>
      </c>
      <c r="BE1232" t="str">
        <f t="shared" si="59"/>
        <v xml:space="preserve">N215T   </v>
      </c>
      <c r="BF1232">
        <v>1</v>
      </c>
      <c r="BH1232">
        <v>0</v>
      </c>
      <c r="BI1232">
        <v>0</v>
      </c>
      <c r="BJ1232">
        <v>0</v>
      </c>
      <c r="BK1232">
        <v>2375</v>
      </c>
      <c r="BL1232">
        <v>375</v>
      </c>
      <c r="BM1232" t="s">
        <v>119</v>
      </c>
      <c r="BN1232">
        <v>1</v>
      </c>
      <c r="BO1232">
        <v>1</v>
      </c>
      <c r="BP1232">
        <v>1</v>
      </c>
      <c r="BQ1232">
        <v>0</v>
      </c>
      <c r="BT1232">
        <v>0</v>
      </c>
      <c r="BU1232">
        <v>0</v>
      </c>
      <c r="BV1232">
        <v>0</v>
      </c>
      <c r="CC1232" t="str">
        <f>"18:55:15.852"</f>
        <v>18:55:15.852</v>
      </c>
      <c r="CD1232" t="str">
        <f>"852215375"</f>
        <v>852215375</v>
      </c>
      <c r="CQ1232">
        <v>0</v>
      </c>
      <c r="CR1232">
        <v>2</v>
      </c>
      <c r="CS1232">
        <v>0</v>
      </c>
      <c r="CT1232">
        <v>2</v>
      </c>
      <c r="CU1232">
        <v>0</v>
      </c>
      <c r="CV1232">
        <v>6</v>
      </c>
      <c r="CW1232" t="s">
        <v>120</v>
      </c>
      <c r="CX1232">
        <v>261</v>
      </c>
      <c r="CY1232">
        <v>2</v>
      </c>
      <c r="CZ1232" t="s">
        <v>121</v>
      </c>
      <c r="DA1232" t="s">
        <v>122</v>
      </c>
      <c r="DD1232">
        <v>14935660</v>
      </c>
      <c r="DE1232" t="s">
        <v>123</v>
      </c>
    </row>
    <row r="1233" spans="1:109" x14ac:dyDescent="0.3">
      <c r="A1233" t="str">
        <f>"18:55:16.977"</f>
        <v>18:55:16.977</v>
      </c>
      <c r="B1233" t="s">
        <v>110</v>
      </c>
      <c r="C1233" t="str">
        <f t="shared" si="57"/>
        <v>ffdfd3c0</v>
      </c>
      <c r="D1233" t="s">
        <v>111</v>
      </c>
      <c r="E1233">
        <v>18</v>
      </c>
      <c r="F1233">
        <v>1018</v>
      </c>
      <c r="G1233" t="s">
        <v>112</v>
      </c>
      <c r="J1233" t="s">
        <v>113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R1233" t="s">
        <v>114</v>
      </c>
      <c r="S1233" t="str">
        <f>"18:55:16.750"</f>
        <v>18:55:16.750</v>
      </c>
      <c r="T1233" t="str">
        <f>"18:55:15.953"</f>
        <v>18:55:15.953</v>
      </c>
      <c r="U1233" t="str">
        <f t="shared" si="58"/>
        <v>a1cdbe</v>
      </c>
      <c r="V1233">
        <v>0</v>
      </c>
      <c r="W1233">
        <v>0</v>
      </c>
      <c r="X1233">
        <v>1</v>
      </c>
      <c r="Y1233">
        <v>0</v>
      </c>
      <c r="Z1233">
        <v>0</v>
      </c>
      <c r="AB1233">
        <v>0</v>
      </c>
      <c r="AC1233">
        <v>9</v>
      </c>
      <c r="AD1233">
        <v>3</v>
      </c>
      <c r="AE1233">
        <v>0</v>
      </c>
      <c r="AF1233">
        <v>9</v>
      </c>
      <c r="AG1233" t="s">
        <v>158</v>
      </c>
      <c r="AH1233">
        <v>0</v>
      </c>
      <c r="AI1233">
        <v>3</v>
      </c>
      <c r="AJ1233">
        <v>1</v>
      </c>
      <c r="AK1233">
        <v>0</v>
      </c>
      <c r="AL1233" t="s">
        <v>2421</v>
      </c>
      <c r="AM1233">
        <v>46.826712999999998</v>
      </c>
      <c r="AN1233" t="s">
        <v>2422</v>
      </c>
      <c r="AO1233">
        <v>-122.636561</v>
      </c>
      <c r="AP1233">
        <v>100</v>
      </c>
      <c r="AQ1233">
        <v>2000</v>
      </c>
      <c r="AR1233" t="s">
        <v>118</v>
      </c>
      <c r="AS1233">
        <v>-74</v>
      </c>
      <c r="AT1233">
        <v>-27</v>
      </c>
      <c r="AU1233">
        <v>-64</v>
      </c>
      <c r="BC1233">
        <v>1200</v>
      </c>
      <c r="BD1233">
        <v>1</v>
      </c>
      <c r="BE1233" t="str">
        <f t="shared" si="59"/>
        <v xml:space="preserve">N215T   </v>
      </c>
      <c r="BF1233">
        <v>1</v>
      </c>
      <c r="BH1233">
        <v>0</v>
      </c>
      <c r="BI1233">
        <v>0</v>
      </c>
      <c r="BJ1233">
        <v>0</v>
      </c>
      <c r="BK1233">
        <v>2375</v>
      </c>
      <c r="BL1233">
        <v>375</v>
      </c>
      <c r="BM1233" t="s">
        <v>119</v>
      </c>
      <c r="BN1233">
        <v>1</v>
      </c>
      <c r="BO1233">
        <v>1</v>
      </c>
      <c r="BP1233">
        <v>1</v>
      </c>
      <c r="BQ1233">
        <v>0</v>
      </c>
      <c r="BT1233">
        <v>0</v>
      </c>
      <c r="BU1233">
        <v>0</v>
      </c>
      <c r="BV1233">
        <v>0</v>
      </c>
      <c r="CC1233" t="str">
        <f>"18:55:16.750"</f>
        <v>18:55:16.750</v>
      </c>
      <c r="CD1233" t="str">
        <f>"752126783"</f>
        <v>752126783</v>
      </c>
      <c r="CQ1233">
        <v>0</v>
      </c>
      <c r="CR1233">
        <v>2</v>
      </c>
      <c r="CS1233">
        <v>0</v>
      </c>
      <c r="CT1233">
        <v>2</v>
      </c>
      <c r="CU1233">
        <v>0</v>
      </c>
      <c r="CV1233">
        <v>6</v>
      </c>
      <c r="CW1233" t="s">
        <v>120</v>
      </c>
      <c r="CX1233">
        <v>261</v>
      </c>
      <c r="CY1233">
        <v>2</v>
      </c>
      <c r="CZ1233" t="s">
        <v>121</v>
      </c>
      <c r="DA1233" t="s">
        <v>122</v>
      </c>
      <c r="DD1233">
        <v>14936297</v>
      </c>
      <c r="DE1233" t="s">
        <v>123</v>
      </c>
    </row>
    <row r="1234" spans="1:109" x14ac:dyDescent="0.3">
      <c r="A1234" t="str">
        <f>"18:55:17.977"</f>
        <v>18:55:17.977</v>
      </c>
      <c r="B1234" t="s">
        <v>110</v>
      </c>
      <c r="C1234" t="str">
        <f t="shared" si="57"/>
        <v>ffdfd3c0</v>
      </c>
      <c r="D1234" t="s">
        <v>111</v>
      </c>
      <c r="E1234">
        <v>18</v>
      </c>
      <c r="F1234">
        <v>1018</v>
      </c>
      <c r="G1234" t="s">
        <v>112</v>
      </c>
      <c r="J1234" t="s">
        <v>113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R1234" t="s">
        <v>114</v>
      </c>
      <c r="S1234" t="str">
        <f>"18:55:17.750"</f>
        <v>18:55:17.750</v>
      </c>
      <c r="T1234" t="str">
        <f>"18:55:17.250"</f>
        <v>18:55:17.250</v>
      </c>
      <c r="U1234" t="str">
        <f t="shared" si="58"/>
        <v>a1cdbe</v>
      </c>
      <c r="V1234">
        <v>0</v>
      </c>
      <c r="W1234">
        <v>0</v>
      </c>
      <c r="X1234">
        <v>1</v>
      </c>
      <c r="Y1234">
        <v>0</v>
      </c>
      <c r="Z1234">
        <v>0</v>
      </c>
      <c r="AB1234">
        <v>0</v>
      </c>
      <c r="AC1234">
        <v>9</v>
      </c>
      <c r="AD1234">
        <v>3</v>
      </c>
      <c r="AE1234">
        <v>0</v>
      </c>
      <c r="AF1234">
        <v>9</v>
      </c>
      <c r="AG1234" t="s">
        <v>158</v>
      </c>
      <c r="AH1234">
        <v>0</v>
      </c>
      <c r="AI1234">
        <v>3</v>
      </c>
      <c r="AJ1234">
        <v>1</v>
      </c>
      <c r="AK1234">
        <v>0</v>
      </c>
      <c r="AL1234" t="s">
        <v>2423</v>
      </c>
      <c r="AM1234">
        <v>46.826563</v>
      </c>
      <c r="AN1234" t="s">
        <v>2424</v>
      </c>
      <c r="AO1234">
        <v>-122.637012</v>
      </c>
      <c r="AP1234">
        <v>100</v>
      </c>
      <c r="AQ1234">
        <v>2000</v>
      </c>
      <c r="AR1234" t="s">
        <v>118</v>
      </c>
      <c r="AS1234">
        <v>-74</v>
      </c>
      <c r="AT1234">
        <v>-27</v>
      </c>
      <c r="AU1234">
        <v>128</v>
      </c>
      <c r="BC1234">
        <v>1200</v>
      </c>
      <c r="BD1234">
        <v>1</v>
      </c>
      <c r="BE1234" t="str">
        <f t="shared" si="59"/>
        <v xml:space="preserve">N215T   </v>
      </c>
      <c r="BF1234">
        <v>1</v>
      </c>
      <c r="BH1234">
        <v>0</v>
      </c>
      <c r="BI1234">
        <v>0</v>
      </c>
      <c r="BJ1234">
        <v>0</v>
      </c>
      <c r="BK1234">
        <v>2375</v>
      </c>
      <c r="BL1234">
        <v>375</v>
      </c>
      <c r="BM1234" t="s">
        <v>119</v>
      </c>
      <c r="BN1234">
        <v>1</v>
      </c>
      <c r="BO1234">
        <v>1</v>
      </c>
      <c r="BP1234">
        <v>1</v>
      </c>
      <c r="BQ1234">
        <v>0</v>
      </c>
      <c r="BT1234">
        <v>0</v>
      </c>
      <c r="BU1234">
        <v>0</v>
      </c>
      <c r="BV1234">
        <v>0</v>
      </c>
      <c r="CC1234" t="str">
        <f>"18:55:17.758"</f>
        <v>18:55:17.758</v>
      </c>
      <c r="CD1234" t="str">
        <f>"757027850"</f>
        <v>757027850</v>
      </c>
      <c r="CQ1234">
        <v>0</v>
      </c>
      <c r="CR1234">
        <v>2</v>
      </c>
      <c r="CS1234">
        <v>0</v>
      </c>
      <c r="CT1234">
        <v>2</v>
      </c>
      <c r="CU1234">
        <v>0</v>
      </c>
      <c r="CV1234">
        <v>6</v>
      </c>
      <c r="CW1234" t="s">
        <v>120</v>
      </c>
      <c r="CX1234">
        <v>261</v>
      </c>
      <c r="CY1234">
        <v>2</v>
      </c>
      <c r="CZ1234" t="s">
        <v>121</v>
      </c>
      <c r="DA1234" t="s">
        <v>122</v>
      </c>
      <c r="DD1234">
        <v>14936926</v>
      </c>
      <c r="DE1234" t="s">
        <v>123</v>
      </c>
    </row>
    <row r="1235" spans="1:109" x14ac:dyDescent="0.3">
      <c r="A1235" t="str">
        <f>"18:55:19.133"</f>
        <v>18:55:19.133</v>
      </c>
      <c r="B1235" t="s">
        <v>110</v>
      </c>
      <c r="C1235" t="str">
        <f t="shared" si="57"/>
        <v>ffdfd3c0</v>
      </c>
      <c r="D1235" t="s">
        <v>111</v>
      </c>
      <c r="E1235">
        <v>18</v>
      </c>
      <c r="F1235">
        <v>1018</v>
      </c>
      <c r="G1235" t="s">
        <v>112</v>
      </c>
      <c r="J1235" t="s">
        <v>113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R1235" t="s">
        <v>114</v>
      </c>
      <c r="S1235" t="str">
        <f>"18:55:18.891"</f>
        <v>18:55:18.891</v>
      </c>
      <c r="T1235" t="str">
        <f>"18:55:18.789"</f>
        <v>18:55:18.789</v>
      </c>
      <c r="U1235" t="str">
        <f t="shared" si="58"/>
        <v>a1cdbe</v>
      </c>
      <c r="V1235">
        <v>0</v>
      </c>
      <c r="W1235">
        <v>0</v>
      </c>
      <c r="X1235">
        <v>1</v>
      </c>
      <c r="Y1235">
        <v>0</v>
      </c>
      <c r="Z1235">
        <v>0</v>
      </c>
      <c r="AB1235">
        <v>0</v>
      </c>
      <c r="AC1235">
        <v>9</v>
      </c>
      <c r="AD1235">
        <v>3</v>
      </c>
      <c r="AE1235">
        <v>0</v>
      </c>
      <c r="AF1235">
        <v>9</v>
      </c>
      <c r="AG1235" t="s">
        <v>158</v>
      </c>
      <c r="AH1235">
        <v>0</v>
      </c>
      <c r="AI1235">
        <v>3</v>
      </c>
      <c r="AJ1235">
        <v>1</v>
      </c>
      <c r="AK1235">
        <v>0</v>
      </c>
      <c r="AL1235" t="s">
        <v>2425</v>
      </c>
      <c r="AM1235">
        <v>46.826476999999997</v>
      </c>
      <c r="AN1235" t="s">
        <v>2426</v>
      </c>
      <c r="AO1235">
        <v>-122.63757</v>
      </c>
      <c r="AP1235">
        <v>100</v>
      </c>
      <c r="AQ1235">
        <v>2000</v>
      </c>
      <c r="AR1235" t="s">
        <v>118</v>
      </c>
      <c r="AS1235">
        <v>-74</v>
      </c>
      <c r="AT1235">
        <v>-27</v>
      </c>
      <c r="AU1235">
        <v>256</v>
      </c>
      <c r="BC1235">
        <v>1200</v>
      </c>
      <c r="BD1235">
        <v>1</v>
      </c>
      <c r="BE1235" t="str">
        <f t="shared" si="59"/>
        <v xml:space="preserve">N215T   </v>
      </c>
      <c r="BF1235">
        <v>1</v>
      </c>
      <c r="BH1235">
        <v>0</v>
      </c>
      <c r="BI1235">
        <v>0</v>
      </c>
      <c r="BJ1235">
        <v>0</v>
      </c>
      <c r="BK1235">
        <v>2375</v>
      </c>
      <c r="BL1235">
        <v>375</v>
      </c>
      <c r="BM1235" t="s">
        <v>119</v>
      </c>
      <c r="BN1235">
        <v>1</v>
      </c>
      <c r="BO1235">
        <v>1</v>
      </c>
      <c r="BP1235">
        <v>1</v>
      </c>
      <c r="BQ1235">
        <v>0</v>
      </c>
      <c r="BT1235">
        <v>0</v>
      </c>
      <c r="BU1235">
        <v>0</v>
      </c>
      <c r="BV1235">
        <v>0</v>
      </c>
      <c r="CC1235" t="str">
        <f>"18:55:18.898"</f>
        <v>18:55:18.898</v>
      </c>
      <c r="CD1235" t="str">
        <f>"896915639"</f>
        <v>896915639</v>
      </c>
      <c r="CQ1235">
        <v>0</v>
      </c>
      <c r="CR1235">
        <v>2</v>
      </c>
      <c r="CS1235">
        <v>0</v>
      </c>
      <c r="CT1235">
        <v>2</v>
      </c>
      <c r="CU1235">
        <v>0</v>
      </c>
      <c r="CV1235">
        <v>6</v>
      </c>
      <c r="CW1235" t="s">
        <v>120</v>
      </c>
      <c r="CX1235">
        <v>261</v>
      </c>
      <c r="CY1235">
        <v>2</v>
      </c>
      <c r="CZ1235" t="s">
        <v>121</v>
      </c>
      <c r="DA1235" t="s">
        <v>122</v>
      </c>
      <c r="DD1235">
        <v>14937692</v>
      </c>
      <c r="DE1235" t="s">
        <v>123</v>
      </c>
    </row>
    <row r="1236" spans="1:109" x14ac:dyDescent="0.3">
      <c r="A1236" t="str">
        <f>"18:55:20.094"</f>
        <v>18:55:20.094</v>
      </c>
      <c r="B1236" t="s">
        <v>110</v>
      </c>
      <c r="C1236" t="str">
        <f t="shared" si="57"/>
        <v>ffdfd3c0</v>
      </c>
      <c r="D1236" t="s">
        <v>111</v>
      </c>
      <c r="E1236">
        <v>18</v>
      </c>
      <c r="F1236">
        <v>1018</v>
      </c>
      <c r="G1236" t="s">
        <v>112</v>
      </c>
      <c r="J1236" t="s">
        <v>113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R1236" t="s">
        <v>114</v>
      </c>
      <c r="S1236" t="str">
        <f>"18:55:19.883"</f>
        <v>18:55:19.883</v>
      </c>
      <c r="T1236" t="str">
        <f>"18:55:19.883"</f>
        <v>18:55:19.883</v>
      </c>
      <c r="U1236" t="str">
        <f t="shared" si="58"/>
        <v>a1cdbe</v>
      </c>
      <c r="V1236">
        <v>0</v>
      </c>
      <c r="W1236">
        <v>0</v>
      </c>
      <c r="X1236">
        <v>1</v>
      </c>
      <c r="Y1236">
        <v>0</v>
      </c>
      <c r="Z1236">
        <v>0</v>
      </c>
      <c r="AB1236">
        <v>0</v>
      </c>
      <c r="AC1236">
        <v>9</v>
      </c>
      <c r="AD1236">
        <v>3</v>
      </c>
      <c r="AE1236">
        <v>0</v>
      </c>
      <c r="AF1236">
        <v>9</v>
      </c>
      <c r="AG1236" t="s">
        <v>158</v>
      </c>
      <c r="AH1236">
        <v>0</v>
      </c>
      <c r="AI1236">
        <v>3</v>
      </c>
      <c r="AJ1236">
        <v>1</v>
      </c>
      <c r="AK1236">
        <v>0</v>
      </c>
      <c r="AL1236" t="s">
        <v>2427</v>
      </c>
      <c r="AM1236">
        <v>46.826326999999999</v>
      </c>
      <c r="AN1236" t="s">
        <v>2428</v>
      </c>
      <c r="AO1236">
        <v>-122.638042</v>
      </c>
      <c r="AP1236">
        <v>100</v>
      </c>
      <c r="AQ1236">
        <v>2000</v>
      </c>
      <c r="AR1236" t="s">
        <v>118</v>
      </c>
      <c r="AS1236">
        <v>-73</v>
      </c>
      <c r="AT1236">
        <v>-27</v>
      </c>
      <c r="AU1236">
        <v>128</v>
      </c>
      <c r="BC1236">
        <v>1200</v>
      </c>
      <c r="BD1236">
        <v>1</v>
      </c>
      <c r="BE1236" t="str">
        <f t="shared" si="59"/>
        <v xml:space="preserve">N215T   </v>
      </c>
      <c r="BF1236">
        <v>1</v>
      </c>
      <c r="BH1236">
        <v>0</v>
      </c>
      <c r="BI1236">
        <v>0</v>
      </c>
      <c r="BJ1236">
        <v>0</v>
      </c>
      <c r="BK1236">
        <v>2375</v>
      </c>
      <c r="BL1236">
        <v>375</v>
      </c>
      <c r="BM1236" t="s">
        <v>119</v>
      </c>
      <c r="BN1236">
        <v>1</v>
      </c>
      <c r="BO1236">
        <v>1</v>
      </c>
      <c r="BP1236">
        <v>1</v>
      </c>
      <c r="BQ1236">
        <v>0</v>
      </c>
      <c r="BT1236">
        <v>0</v>
      </c>
      <c r="BU1236">
        <v>0</v>
      </c>
      <c r="BV1236">
        <v>0</v>
      </c>
      <c r="CC1236" t="str">
        <f>"18:55:19.891"</f>
        <v>18:55:19.891</v>
      </c>
      <c r="CD1236" t="str">
        <f>"886818179"</f>
        <v>886818179</v>
      </c>
      <c r="CQ1236">
        <v>0</v>
      </c>
      <c r="CR1236">
        <v>2</v>
      </c>
      <c r="CS1236">
        <v>0</v>
      </c>
      <c r="CT1236">
        <v>2</v>
      </c>
      <c r="CU1236">
        <v>0</v>
      </c>
      <c r="CV1236">
        <v>6</v>
      </c>
      <c r="CW1236" t="s">
        <v>120</v>
      </c>
      <c r="CX1236">
        <v>261</v>
      </c>
      <c r="CY1236">
        <v>2</v>
      </c>
      <c r="CZ1236" t="s">
        <v>121</v>
      </c>
      <c r="DA1236" t="s">
        <v>122</v>
      </c>
      <c r="DD1236">
        <v>14938376</v>
      </c>
      <c r="DE1236" t="s">
        <v>123</v>
      </c>
    </row>
    <row r="1237" spans="1:109" x14ac:dyDescent="0.3">
      <c r="A1237" t="str">
        <f>"18:55:21.148"</f>
        <v>18:55:21.148</v>
      </c>
      <c r="B1237" t="s">
        <v>110</v>
      </c>
      <c r="C1237" t="str">
        <f t="shared" si="57"/>
        <v>ffdfd3c0</v>
      </c>
      <c r="D1237" t="s">
        <v>111</v>
      </c>
      <c r="E1237">
        <v>18</v>
      </c>
      <c r="F1237">
        <v>1018</v>
      </c>
      <c r="G1237" t="s">
        <v>112</v>
      </c>
      <c r="J1237" t="s">
        <v>113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R1237" t="s">
        <v>114</v>
      </c>
      <c r="S1237" t="str">
        <f>"18:55:20.891"</f>
        <v>18:55:20.891</v>
      </c>
      <c r="T1237" t="str">
        <f>"18:55:20.891"</f>
        <v>18:55:20.891</v>
      </c>
      <c r="U1237" t="str">
        <f t="shared" si="58"/>
        <v>a1cdbe</v>
      </c>
      <c r="V1237">
        <v>0</v>
      </c>
      <c r="W1237">
        <v>0</v>
      </c>
      <c r="X1237">
        <v>1</v>
      </c>
      <c r="Y1237">
        <v>0</v>
      </c>
      <c r="Z1237">
        <v>0</v>
      </c>
      <c r="AB1237">
        <v>0</v>
      </c>
      <c r="AC1237">
        <v>9</v>
      </c>
      <c r="AD1237">
        <v>3</v>
      </c>
      <c r="AE1237">
        <v>0</v>
      </c>
      <c r="AF1237">
        <v>9</v>
      </c>
      <c r="AG1237" t="s">
        <v>158</v>
      </c>
      <c r="AH1237">
        <v>0</v>
      </c>
      <c r="AI1237">
        <v>3</v>
      </c>
      <c r="AJ1237">
        <v>1</v>
      </c>
      <c r="AK1237">
        <v>0</v>
      </c>
      <c r="AL1237" t="s">
        <v>2429</v>
      </c>
      <c r="AM1237">
        <v>46.826197999999998</v>
      </c>
      <c r="AN1237" t="s">
        <v>2430</v>
      </c>
      <c r="AO1237">
        <v>-122.638578</v>
      </c>
      <c r="AP1237">
        <v>100</v>
      </c>
      <c r="AQ1237">
        <v>2000</v>
      </c>
      <c r="AR1237" t="s">
        <v>118</v>
      </c>
      <c r="AS1237">
        <v>-73</v>
      </c>
      <c r="AT1237">
        <v>-28</v>
      </c>
      <c r="AU1237">
        <v>0</v>
      </c>
      <c r="BC1237">
        <v>1200</v>
      </c>
      <c r="BD1237">
        <v>1</v>
      </c>
      <c r="BE1237" t="str">
        <f t="shared" si="59"/>
        <v xml:space="preserve">N215T   </v>
      </c>
      <c r="BF1237">
        <v>1</v>
      </c>
      <c r="BH1237">
        <v>0</v>
      </c>
      <c r="BI1237">
        <v>0</v>
      </c>
      <c r="BJ1237">
        <v>0</v>
      </c>
      <c r="BK1237">
        <v>2375</v>
      </c>
      <c r="BL1237">
        <v>375</v>
      </c>
      <c r="BM1237" t="s">
        <v>119</v>
      </c>
      <c r="BN1237">
        <v>1</v>
      </c>
      <c r="BO1237">
        <v>1</v>
      </c>
      <c r="BP1237">
        <v>1</v>
      </c>
      <c r="BQ1237">
        <v>0</v>
      </c>
      <c r="BT1237">
        <v>0</v>
      </c>
      <c r="BU1237">
        <v>0</v>
      </c>
      <c r="BV1237">
        <v>0</v>
      </c>
      <c r="CC1237" t="str">
        <f>"18:55:20.891"</f>
        <v>18:55:20.891</v>
      </c>
      <c r="CD1237" t="str">
        <f>"891719242"</f>
        <v>891719242</v>
      </c>
      <c r="CQ1237">
        <v>0</v>
      </c>
      <c r="CR1237">
        <v>2</v>
      </c>
      <c r="CS1237">
        <v>0</v>
      </c>
      <c r="CT1237">
        <v>2</v>
      </c>
      <c r="CU1237">
        <v>0</v>
      </c>
      <c r="CV1237">
        <v>4</v>
      </c>
      <c r="CW1237" t="s">
        <v>120</v>
      </c>
      <c r="CX1237">
        <v>261</v>
      </c>
      <c r="CY1237">
        <v>1</v>
      </c>
      <c r="CZ1237" t="s">
        <v>121</v>
      </c>
      <c r="DA1237" t="s">
        <v>122</v>
      </c>
      <c r="DD1237">
        <v>3877575</v>
      </c>
      <c r="DE1237" t="s">
        <v>123</v>
      </c>
    </row>
    <row r="1238" spans="1:109" x14ac:dyDescent="0.3">
      <c r="A1238" t="str">
        <f>"18:55:22.203"</f>
        <v>18:55:22.203</v>
      </c>
      <c r="B1238" t="s">
        <v>110</v>
      </c>
      <c r="C1238" t="str">
        <f t="shared" si="57"/>
        <v>ffdfd3c0</v>
      </c>
      <c r="D1238" t="s">
        <v>111</v>
      </c>
      <c r="E1238">
        <v>18</v>
      </c>
      <c r="F1238">
        <v>1018</v>
      </c>
      <c r="G1238" t="s">
        <v>112</v>
      </c>
      <c r="J1238" t="s">
        <v>113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R1238" t="s">
        <v>114</v>
      </c>
      <c r="S1238" t="str">
        <f>"18:55:21.938"</f>
        <v>18:55:21.938</v>
      </c>
      <c r="T1238" t="str">
        <f>"18:55:21.438"</f>
        <v>18:55:21.438</v>
      </c>
      <c r="U1238" t="str">
        <f t="shared" si="58"/>
        <v>a1cdbe</v>
      </c>
      <c r="V1238">
        <v>0</v>
      </c>
      <c r="W1238">
        <v>0</v>
      </c>
      <c r="X1238">
        <v>1</v>
      </c>
      <c r="Y1238">
        <v>0</v>
      </c>
      <c r="Z1238">
        <v>0</v>
      </c>
      <c r="AB1238">
        <v>0</v>
      </c>
      <c r="AC1238">
        <v>9</v>
      </c>
      <c r="AD1238">
        <v>3</v>
      </c>
      <c r="AE1238">
        <v>0</v>
      </c>
      <c r="AF1238">
        <v>9</v>
      </c>
      <c r="AG1238" t="s">
        <v>158</v>
      </c>
      <c r="AH1238">
        <v>0</v>
      </c>
      <c r="AI1238">
        <v>3</v>
      </c>
      <c r="AJ1238">
        <v>1</v>
      </c>
      <c r="AK1238">
        <v>0</v>
      </c>
      <c r="AL1238" t="s">
        <v>2431</v>
      </c>
      <c r="AM1238">
        <v>46.826048</v>
      </c>
      <c r="AN1238" t="s">
        <v>2432</v>
      </c>
      <c r="AO1238">
        <v>-122.639072</v>
      </c>
      <c r="AP1238">
        <v>100</v>
      </c>
      <c r="AQ1238">
        <v>2000</v>
      </c>
      <c r="AR1238" t="s">
        <v>118</v>
      </c>
      <c r="AS1238">
        <v>-73</v>
      </c>
      <c r="AT1238">
        <v>-28</v>
      </c>
      <c r="AU1238">
        <v>0</v>
      </c>
      <c r="BC1238">
        <v>1200</v>
      </c>
      <c r="BD1238">
        <v>1</v>
      </c>
      <c r="BE1238" t="str">
        <f t="shared" si="59"/>
        <v xml:space="preserve">N215T   </v>
      </c>
      <c r="BF1238">
        <v>1</v>
      </c>
      <c r="BH1238">
        <v>0</v>
      </c>
      <c r="BI1238">
        <v>0</v>
      </c>
      <c r="BJ1238">
        <v>0</v>
      </c>
      <c r="BK1238">
        <v>2375</v>
      </c>
      <c r="BL1238">
        <v>375</v>
      </c>
      <c r="BM1238" t="s">
        <v>119</v>
      </c>
      <c r="BN1238">
        <v>1</v>
      </c>
      <c r="BO1238">
        <v>1</v>
      </c>
      <c r="BP1238">
        <v>1</v>
      </c>
      <c r="BQ1238">
        <v>0</v>
      </c>
      <c r="BT1238">
        <v>0</v>
      </c>
      <c r="BU1238">
        <v>0</v>
      </c>
      <c r="BV1238">
        <v>0</v>
      </c>
      <c r="CC1238" t="str">
        <f>"18:55:21.945"</f>
        <v>18:55:21.945</v>
      </c>
      <c r="CD1238" t="str">
        <f>"941615890"</f>
        <v>941615890</v>
      </c>
      <c r="CQ1238">
        <v>0</v>
      </c>
      <c r="CR1238">
        <v>2</v>
      </c>
      <c r="CS1238">
        <v>0</v>
      </c>
      <c r="CT1238">
        <v>2</v>
      </c>
      <c r="CU1238">
        <v>0</v>
      </c>
      <c r="CV1238">
        <v>6</v>
      </c>
      <c r="CW1238" t="s">
        <v>120</v>
      </c>
      <c r="CX1238">
        <v>261</v>
      </c>
      <c r="CY1238">
        <v>2</v>
      </c>
      <c r="CZ1238" t="s">
        <v>121</v>
      </c>
      <c r="DA1238" t="s">
        <v>122</v>
      </c>
      <c r="DD1238">
        <v>14939742</v>
      </c>
      <c r="DE1238" t="s">
        <v>123</v>
      </c>
    </row>
    <row r="1239" spans="1:109" x14ac:dyDescent="0.3">
      <c r="A1239" t="str">
        <f>"18:55:23.156"</f>
        <v>18:55:23.156</v>
      </c>
      <c r="B1239" t="s">
        <v>110</v>
      </c>
      <c r="C1239" t="str">
        <f t="shared" si="57"/>
        <v>ffdfd3c0</v>
      </c>
      <c r="D1239" t="s">
        <v>111</v>
      </c>
      <c r="E1239">
        <v>18</v>
      </c>
      <c r="F1239">
        <v>1018</v>
      </c>
      <c r="G1239" t="s">
        <v>112</v>
      </c>
      <c r="J1239" t="s">
        <v>113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R1239" t="s">
        <v>114</v>
      </c>
      <c r="S1239" t="str">
        <f>"18:55:22.914"</f>
        <v>18:55:22.914</v>
      </c>
      <c r="T1239" t="str">
        <f>"18:55:22.414"</f>
        <v>18:55:22.414</v>
      </c>
      <c r="U1239" t="str">
        <f t="shared" si="58"/>
        <v>a1cdbe</v>
      </c>
      <c r="V1239">
        <v>0</v>
      </c>
      <c r="W1239">
        <v>0</v>
      </c>
      <c r="X1239">
        <v>1</v>
      </c>
      <c r="Y1239">
        <v>0</v>
      </c>
      <c r="Z1239">
        <v>0</v>
      </c>
      <c r="AB1239">
        <v>0</v>
      </c>
      <c r="AC1239">
        <v>9</v>
      </c>
      <c r="AD1239">
        <v>3</v>
      </c>
      <c r="AE1239">
        <v>0</v>
      </c>
      <c r="AF1239">
        <v>9</v>
      </c>
      <c r="AG1239" t="s">
        <v>158</v>
      </c>
      <c r="AH1239">
        <v>0</v>
      </c>
      <c r="AI1239">
        <v>3</v>
      </c>
      <c r="AJ1239">
        <v>1</v>
      </c>
      <c r="AK1239">
        <v>0</v>
      </c>
      <c r="AL1239" t="s">
        <v>2433</v>
      </c>
      <c r="AM1239">
        <v>46.825918999999999</v>
      </c>
      <c r="AN1239" t="s">
        <v>2434</v>
      </c>
      <c r="AO1239">
        <v>-122.63958700000001</v>
      </c>
      <c r="AP1239">
        <v>100</v>
      </c>
      <c r="AQ1239">
        <v>2000</v>
      </c>
      <c r="AR1239" t="s">
        <v>118</v>
      </c>
      <c r="AS1239">
        <v>-73</v>
      </c>
      <c r="AT1239">
        <v>-30</v>
      </c>
      <c r="AU1239">
        <v>0</v>
      </c>
      <c r="BC1239">
        <v>1200</v>
      </c>
      <c r="BD1239">
        <v>1</v>
      </c>
      <c r="BE1239" t="str">
        <f t="shared" si="59"/>
        <v xml:space="preserve">N215T   </v>
      </c>
      <c r="BF1239">
        <v>1</v>
      </c>
      <c r="BH1239">
        <v>0</v>
      </c>
      <c r="BI1239">
        <v>0</v>
      </c>
      <c r="BJ1239">
        <v>0</v>
      </c>
      <c r="BK1239">
        <v>2375</v>
      </c>
      <c r="BL1239">
        <v>375</v>
      </c>
      <c r="BM1239" t="s">
        <v>119</v>
      </c>
      <c r="BN1239">
        <v>1</v>
      </c>
      <c r="BO1239">
        <v>1</v>
      </c>
      <c r="BP1239">
        <v>1</v>
      </c>
      <c r="BQ1239">
        <v>0</v>
      </c>
      <c r="BT1239">
        <v>0</v>
      </c>
      <c r="BU1239">
        <v>0</v>
      </c>
      <c r="BV1239">
        <v>0</v>
      </c>
      <c r="CC1239" t="str">
        <f>"18:55:22.914"</f>
        <v>18:55:22.914</v>
      </c>
      <c r="CD1239" t="str">
        <f>"916519905"</f>
        <v>916519905</v>
      </c>
      <c r="CQ1239">
        <v>0</v>
      </c>
      <c r="CR1239">
        <v>2</v>
      </c>
      <c r="CS1239">
        <v>0</v>
      </c>
      <c r="CT1239">
        <v>2</v>
      </c>
      <c r="CU1239">
        <v>0</v>
      </c>
      <c r="CV1239">
        <v>6</v>
      </c>
      <c r="CW1239" t="s">
        <v>120</v>
      </c>
      <c r="CX1239">
        <v>261</v>
      </c>
      <c r="CY1239">
        <v>2</v>
      </c>
      <c r="CZ1239" t="s">
        <v>121</v>
      </c>
      <c r="DA1239" t="s">
        <v>122</v>
      </c>
      <c r="DD1239">
        <v>14940373</v>
      </c>
      <c r="DE1239" t="s">
        <v>123</v>
      </c>
    </row>
    <row r="1240" spans="1:109" x14ac:dyDescent="0.3">
      <c r="A1240" t="str">
        <f>"18:55:24.109"</f>
        <v>18:55:24.109</v>
      </c>
      <c r="B1240" t="s">
        <v>110</v>
      </c>
      <c r="C1240" t="str">
        <f t="shared" si="57"/>
        <v>ffdfd3c0</v>
      </c>
      <c r="D1240" t="s">
        <v>111</v>
      </c>
      <c r="E1240">
        <v>18</v>
      </c>
      <c r="F1240">
        <v>1018</v>
      </c>
      <c r="G1240" t="s">
        <v>112</v>
      </c>
      <c r="J1240" t="s">
        <v>113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R1240" t="s">
        <v>114</v>
      </c>
      <c r="S1240" t="str">
        <f>"18:55:23.875"</f>
        <v>18:55:23.875</v>
      </c>
      <c r="T1240" t="str">
        <f>"18:55:23.578"</f>
        <v>18:55:23.578</v>
      </c>
      <c r="U1240" t="str">
        <f t="shared" si="58"/>
        <v>a1cdbe</v>
      </c>
      <c r="V1240">
        <v>0</v>
      </c>
      <c r="W1240">
        <v>0</v>
      </c>
      <c r="X1240">
        <v>1</v>
      </c>
      <c r="Y1240">
        <v>0</v>
      </c>
      <c r="Z1240">
        <v>0</v>
      </c>
      <c r="AB1240">
        <v>0</v>
      </c>
      <c r="AC1240">
        <v>9</v>
      </c>
      <c r="AD1240">
        <v>3</v>
      </c>
      <c r="AE1240">
        <v>0</v>
      </c>
      <c r="AF1240">
        <v>9</v>
      </c>
      <c r="AG1240" t="s">
        <v>158</v>
      </c>
      <c r="AH1240">
        <v>0</v>
      </c>
      <c r="AI1240">
        <v>3</v>
      </c>
      <c r="AJ1240">
        <v>1</v>
      </c>
      <c r="AK1240">
        <v>0</v>
      </c>
      <c r="AL1240" t="s">
        <v>2435</v>
      </c>
      <c r="AM1240">
        <v>46.825769000000001</v>
      </c>
      <c r="AN1240" t="s">
        <v>2436</v>
      </c>
      <c r="AO1240">
        <v>-122.640038</v>
      </c>
      <c r="AP1240">
        <v>100</v>
      </c>
      <c r="AQ1240">
        <v>2000</v>
      </c>
      <c r="AR1240" t="s">
        <v>118</v>
      </c>
      <c r="AS1240">
        <v>-72</v>
      </c>
      <c r="AT1240">
        <v>-32</v>
      </c>
      <c r="AU1240">
        <v>-64</v>
      </c>
      <c r="BC1240">
        <v>1200</v>
      </c>
      <c r="BD1240">
        <v>1</v>
      </c>
      <c r="BE1240" t="str">
        <f t="shared" si="59"/>
        <v xml:space="preserve">N215T   </v>
      </c>
      <c r="BF1240">
        <v>1</v>
      </c>
      <c r="BH1240">
        <v>0</v>
      </c>
      <c r="BI1240">
        <v>0</v>
      </c>
      <c r="BJ1240">
        <v>0</v>
      </c>
      <c r="BK1240">
        <v>2375</v>
      </c>
      <c r="BL1240">
        <v>375</v>
      </c>
      <c r="BM1240" t="s">
        <v>119</v>
      </c>
      <c r="BN1240">
        <v>1</v>
      </c>
      <c r="BO1240">
        <v>1</v>
      </c>
      <c r="BP1240">
        <v>1</v>
      </c>
      <c r="BQ1240">
        <v>0</v>
      </c>
      <c r="BT1240">
        <v>0</v>
      </c>
      <c r="BU1240">
        <v>0</v>
      </c>
      <c r="BV1240">
        <v>0</v>
      </c>
      <c r="CC1240" t="str">
        <f>"18:55:23.875"</f>
        <v>18:55:23.875</v>
      </c>
      <c r="CD1240" t="str">
        <f>"876425423"</f>
        <v>876425423</v>
      </c>
      <c r="CQ1240">
        <v>0</v>
      </c>
      <c r="CR1240">
        <v>2</v>
      </c>
      <c r="CS1240">
        <v>0</v>
      </c>
      <c r="CT1240">
        <v>2</v>
      </c>
      <c r="CU1240">
        <v>0</v>
      </c>
      <c r="CV1240">
        <v>6</v>
      </c>
      <c r="CW1240" t="s">
        <v>120</v>
      </c>
      <c r="CX1240">
        <v>261</v>
      </c>
      <c r="CY1240">
        <v>2</v>
      </c>
      <c r="CZ1240" t="s">
        <v>121</v>
      </c>
      <c r="DA1240" t="s">
        <v>122</v>
      </c>
      <c r="DD1240">
        <v>14941019</v>
      </c>
      <c r="DE1240" t="s">
        <v>123</v>
      </c>
    </row>
    <row r="1241" spans="1:109" x14ac:dyDescent="0.3">
      <c r="A1241" t="str">
        <f>"18:55:25.016"</f>
        <v>18:55:25.016</v>
      </c>
      <c r="B1241" t="s">
        <v>110</v>
      </c>
      <c r="C1241" t="str">
        <f t="shared" si="57"/>
        <v>ffdfd3c0</v>
      </c>
      <c r="D1241" t="s">
        <v>111</v>
      </c>
      <c r="E1241">
        <v>18</v>
      </c>
      <c r="F1241">
        <v>1018</v>
      </c>
      <c r="G1241" t="s">
        <v>112</v>
      </c>
      <c r="J1241" t="s">
        <v>113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R1241" t="s">
        <v>114</v>
      </c>
      <c r="S1241" t="str">
        <f>"18:55:24.805"</f>
        <v>18:55:24.805</v>
      </c>
      <c r="T1241" t="str">
        <f>"18:55:24.602"</f>
        <v>18:55:24.602</v>
      </c>
      <c r="U1241" t="str">
        <f t="shared" si="58"/>
        <v>a1cdbe</v>
      </c>
      <c r="V1241">
        <v>0</v>
      </c>
      <c r="W1241">
        <v>0</v>
      </c>
      <c r="X1241">
        <v>1</v>
      </c>
      <c r="Y1241">
        <v>0</v>
      </c>
      <c r="Z1241">
        <v>0</v>
      </c>
      <c r="AB1241">
        <v>0</v>
      </c>
      <c r="AC1241">
        <v>9</v>
      </c>
      <c r="AD1241">
        <v>3</v>
      </c>
      <c r="AE1241">
        <v>0</v>
      </c>
      <c r="AF1241">
        <v>9</v>
      </c>
      <c r="AG1241" t="s">
        <v>158</v>
      </c>
      <c r="AH1241">
        <v>0</v>
      </c>
      <c r="AI1241">
        <v>3</v>
      </c>
      <c r="AJ1241">
        <v>1</v>
      </c>
      <c r="AK1241">
        <v>0</v>
      </c>
      <c r="AL1241" t="s">
        <v>2437</v>
      </c>
      <c r="AM1241">
        <v>46.825597000000002</v>
      </c>
      <c r="AN1241" t="s">
        <v>2438</v>
      </c>
      <c r="AO1241">
        <v>-122.64051000000001</v>
      </c>
      <c r="AP1241">
        <v>100</v>
      </c>
      <c r="AQ1241">
        <v>2000</v>
      </c>
      <c r="AR1241" t="s">
        <v>118</v>
      </c>
      <c r="AS1241">
        <v>-72</v>
      </c>
      <c r="AT1241">
        <v>-34</v>
      </c>
      <c r="AU1241">
        <v>-128</v>
      </c>
      <c r="BC1241">
        <v>1200</v>
      </c>
      <c r="BD1241">
        <v>1</v>
      </c>
      <c r="BE1241" t="str">
        <f t="shared" si="59"/>
        <v xml:space="preserve">N215T   </v>
      </c>
      <c r="BF1241">
        <v>1</v>
      </c>
      <c r="BH1241">
        <v>0</v>
      </c>
      <c r="BI1241">
        <v>0</v>
      </c>
      <c r="BJ1241">
        <v>0</v>
      </c>
      <c r="BK1241">
        <v>2375</v>
      </c>
      <c r="BL1241">
        <v>375</v>
      </c>
      <c r="BM1241" t="s">
        <v>119</v>
      </c>
      <c r="BN1241">
        <v>1</v>
      </c>
      <c r="BO1241">
        <v>1</v>
      </c>
      <c r="BP1241">
        <v>1</v>
      </c>
      <c r="BQ1241">
        <v>0</v>
      </c>
      <c r="BT1241">
        <v>0</v>
      </c>
      <c r="BU1241">
        <v>0</v>
      </c>
      <c r="BV1241">
        <v>0</v>
      </c>
      <c r="CC1241" t="str">
        <f>"18:55:24.805"</f>
        <v>18:55:24.805</v>
      </c>
      <c r="CD1241" t="str">
        <f>"806333878"</f>
        <v>806333878</v>
      </c>
      <c r="CQ1241">
        <v>0</v>
      </c>
      <c r="CR1241">
        <v>2</v>
      </c>
      <c r="CS1241">
        <v>0</v>
      </c>
      <c r="CT1241">
        <v>2</v>
      </c>
      <c r="CU1241">
        <v>0</v>
      </c>
      <c r="CV1241">
        <v>6</v>
      </c>
      <c r="CW1241" t="s">
        <v>120</v>
      </c>
      <c r="CX1241">
        <v>261</v>
      </c>
      <c r="CY1241">
        <v>2</v>
      </c>
      <c r="CZ1241" t="s">
        <v>121</v>
      </c>
      <c r="DA1241" t="s">
        <v>122</v>
      </c>
      <c r="DD1241">
        <v>14941647</v>
      </c>
      <c r="DE1241" t="s">
        <v>123</v>
      </c>
    </row>
    <row r="1242" spans="1:109" x14ac:dyDescent="0.3">
      <c r="A1242" t="str">
        <f>"18:55:25.922"</f>
        <v>18:55:25.922</v>
      </c>
      <c r="B1242" t="s">
        <v>110</v>
      </c>
      <c r="C1242" t="str">
        <f t="shared" si="57"/>
        <v>ffdfd3c0</v>
      </c>
      <c r="D1242" t="s">
        <v>111</v>
      </c>
      <c r="E1242">
        <v>18</v>
      </c>
      <c r="F1242">
        <v>1018</v>
      </c>
      <c r="G1242" t="s">
        <v>112</v>
      </c>
      <c r="J1242" t="s">
        <v>113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R1242" t="s">
        <v>114</v>
      </c>
      <c r="S1242" t="str">
        <f>"18:55:25.641"</f>
        <v>18:55:25.641</v>
      </c>
      <c r="T1242" t="str">
        <f>"18:55:25.539"</f>
        <v>18:55:25.539</v>
      </c>
      <c r="U1242" t="str">
        <f t="shared" si="58"/>
        <v>a1cdbe</v>
      </c>
      <c r="V1242">
        <v>0</v>
      </c>
      <c r="W1242">
        <v>0</v>
      </c>
      <c r="X1242">
        <v>1</v>
      </c>
      <c r="Y1242">
        <v>0</v>
      </c>
      <c r="Z1242">
        <v>0</v>
      </c>
      <c r="AB1242">
        <v>0</v>
      </c>
      <c r="AC1242">
        <v>9</v>
      </c>
      <c r="AD1242">
        <v>3</v>
      </c>
      <c r="AE1242">
        <v>0</v>
      </c>
      <c r="AF1242">
        <v>9</v>
      </c>
      <c r="AG1242" t="s">
        <v>158</v>
      </c>
      <c r="AH1242">
        <v>0</v>
      </c>
      <c r="AI1242">
        <v>3</v>
      </c>
      <c r="AJ1242">
        <v>1</v>
      </c>
      <c r="AK1242">
        <v>0</v>
      </c>
      <c r="AL1242" t="s">
        <v>2439</v>
      </c>
      <c r="AM1242">
        <v>46.825468999999998</v>
      </c>
      <c r="AN1242" t="s">
        <v>2440</v>
      </c>
      <c r="AO1242">
        <v>-122.640917</v>
      </c>
      <c r="AP1242">
        <v>100</v>
      </c>
      <c r="AQ1242">
        <v>2000</v>
      </c>
      <c r="AR1242" t="s">
        <v>118</v>
      </c>
      <c r="AS1242">
        <v>-72</v>
      </c>
      <c r="AT1242">
        <v>-37</v>
      </c>
      <c r="AU1242">
        <v>-192</v>
      </c>
      <c r="BC1242">
        <v>1200</v>
      </c>
      <c r="BD1242">
        <v>1</v>
      </c>
      <c r="BE1242" t="str">
        <f t="shared" si="59"/>
        <v xml:space="preserve">N215T   </v>
      </c>
      <c r="BF1242">
        <v>1</v>
      </c>
      <c r="BH1242">
        <v>0</v>
      </c>
      <c r="BI1242">
        <v>0</v>
      </c>
      <c r="BJ1242">
        <v>0</v>
      </c>
      <c r="BK1242">
        <v>2375</v>
      </c>
      <c r="BL1242">
        <v>375</v>
      </c>
      <c r="BM1242" t="s">
        <v>119</v>
      </c>
      <c r="BN1242">
        <v>1</v>
      </c>
      <c r="BO1242">
        <v>1</v>
      </c>
      <c r="BP1242">
        <v>1</v>
      </c>
      <c r="BQ1242">
        <v>0</v>
      </c>
      <c r="BT1242">
        <v>0</v>
      </c>
      <c r="BU1242">
        <v>0</v>
      </c>
      <c r="BV1242">
        <v>0</v>
      </c>
      <c r="CC1242" t="str">
        <f>"18:55:25.648"</f>
        <v>18:55:25.648</v>
      </c>
      <c r="CD1242" t="str">
        <f>"646251135"</f>
        <v>646251135</v>
      </c>
      <c r="CQ1242">
        <v>0</v>
      </c>
      <c r="CR1242">
        <v>2</v>
      </c>
      <c r="CS1242">
        <v>0</v>
      </c>
      <c r="CT1242">
        <v>2</v>
      </c>
      <c r="CU1242">
        <v>0</v>
      </c>
      <c r="CV1242">
        <v>6</v>
      </c>
      <c r="CW1242" t="s">
        <v>120</v>
      </c>
      <c r="CX1242">
        <v>261</v>
      </c>
      <c r="CY1242">
        <v>2</v>
      </c>
      <c r="CZ1242" t="s">
        <v>121</v>
      </c>
      <c r="DA1242" t="s">
        <v>122</v>
      </c>
      <c r="DD1242">
        <v>14942229</v>
      </c>
      <c r="DE1242" t="s">
        <v>123</v>
      </c>
    </row>
    <row r="1243" spans="1:109" x14ac:dyDescent="0.3">
      <c r="A1243" t="str">
        <f>"18:55:26.930"</f>
        <v>18:55:26.930</v>
      </c>
      <c r="B1243" t="s">
        <v>110</v>
      </c>
      <c r="C1243" t="str">
        <f t="shared" si="57"/>
        <v>ffdfd3c0</v>
      </c>
      <c r="D1243" t="s">
        <v>111</v>
      </c>
      <c r="E1243">
        <v>18</v>
      </c>
      <c r="F1243">
        <v>1018</v>
      </c>
      <c r="G1243" t="s">
        <v>112</v>
      </c>
      <c r="J1243" t="s">
        <v>113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R1243" t="s">
        <v>114</v>
      </c>
      <c r="S1243" t="str">
        <f>"18:55:26.695"</f>
        <v>18:55:26.695</v>
      </c>
      <c r="T1243" t="str">
        <f>"18:55:26.594"</f>
        <v>18:55:26.594</v>
      </c>
      <c r="U1243" t="str">
        <f t="shared" si="58"/>
        <v>a1cdbe</v>
      </c>
      <c r="V1243">
        <v>0</v>
      </c>
      <c r="W1243">
        <v>0</v>
      </c>
      <c r="X1243">
        <v>1</v>
      </c>
      <c r="Y1243">
        <v>0</v>
      </c>
      <c r="Z1243">
        <v>0</v>
      </c>
      <c r="AB1243">
        <v>0</v>
      </c>
      <c r="AC1243">
        <v>9</v>
      </c>
      <c r="AD1243">
        <v>3</v>
      </c>
      <c r="AE1243">
        <v>0</v>
      </c>
      <c r="AF1243">
        <v>9</v>
      </c>
      <c r="AG1243" t="s">
        <v>158</v>
      </c>
      <c r="AH1243">
        <v>0</v>
      </c>
      <c r="AI1243">
        <v>3</v>
      </c>
      <c r="AJ1243">
        <v>1</v>
      </c>
      <c r="AK1243">
        <v>0</v>
      </c>
      <c r="AL1243" t="s">
        <v>2441</v>
      </c>
      <c r="AM1243">
        <v>46.825318000000003</v>
      </c>
      <c r="AN1243" t="s">
        <v>2442</v>
      </c>
      <c r="AO1243">
        <v>-122.64141100000001</v>
      </c>
      <c r="AP1243">
        <v>100</v>
      </c>
      <c r="AQ1243">
        <v>2000</v>
      </c>
      <c r="AR1243" t="s">
        <v>118</v>
      </c>
      <c r="AS1243">
        <v>-71</v>
      </c>
      <c r="AT1243">
        <v>-38</v>
      </c>
      <c r="AU1243">
        <v>-256</v>
      </c>
      <c r="BC1243">
        <v>1200</v>
      </c>
      <c r="BD1243">
        <v>1</v>
      </c>
      <c r="BE1243" t="str">
        <f t="shared" si="59"/>
        <v xml:space="preserve">N215T   </v>
      </c>
      <c r="BF1243">
        <v>1</v>
      </c>
      <c r="BH1243">
        <v>0</v>
      </c>
      <c r="BI1243">
        <v>0</v>
      </c>
      <c r="BJ1243">
        <v>0</v>
      </c>
      <c r="BK1243">
        <v>2375</v>
      </c>
      <c r="BL1243">
        <v>375</v>
      </c>
      <c r="BM1243" t="s">
        <v>119</v>
      </c>
      <c r="BN1243">
        <v>1</v>
      </c>
      <c r="BO1243">
        <v>1</v>
      </c>
      <c r="BP1243">
        <v>1</v>
      </c>
      <c r="BQ1243">
        <v>0</v>
      </c>
      <c r="BT1243">
        <v>0</v>
      </c>
      <c r="BU1243">
        <v>0</v>
      </c>
      <c r="BV1243">
        <v>0</v>
      </c>
      <c r="CC1243" t="str">
        <f>"18:55:26.695"</f>
        <v>18:55:26.695</v>
      </c>
      <c r="CD1243" t="str">
        <f>"696147859"</f>
        <v>696147859</v>
      </c>
      <c r="CQ1243">
        <v>0</v>
      </c>
      <c r="CR1243">
        <v>2</v>
      </c>
      <c r="CS1243">
        <v>0</v>
      </c>
      <c r="CT1243">
        <v>2</v>
      </c>
      <c r="CU1243">
        <v>0</v>
      </c>
      <c r="CV1243">
        <v>5</v>
      </c>
      <c r="CW1243" t="s">
        <v>120</v>
      </c>
      <c r="CX1243">
        <v>261</v>
      </c>
      <c r="CY1243">
        <v>2</v>
      </c>
      <c r="CZ1243" t="s">
        <v>121</v>
      </c>
      <c r="DA1243" t="s">
        <v>122</v>
      </c>
      <c r="DD1243">
        <v>14942891</v>
      </c>
      <c r="DE1243" t="s">
        <v>123</v>
      </c>
    </row>
    <row r="1244" spans="1:109" x14ac:dyDescent="0.3">
      <c r="A1244" t="str">
        <f>"18:55:27.984"</f>
        <v>18:55:27.984</v>
      </c>
      <c r="B1244" t="s">
        <v>110</v>
      </c>
      <c r="C1244" t="str">
        <f t="shared" si="57"/>
        <v>ffdfd3c0</v>
      </c>
      <c r="D1244" t="s">
        <v>111</v>
      </c>
      <c r="E1244">
        <v>18</v>
      </c>
      <c r="F1244">
        <v>1018</v>
      </c>
      <c r="G1244" t="s">
        <v>112</v>
      </c>
      <c r="J1244" t="s">
        <v>113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R1244" t="s">
        <v>114</v>
      </c>
      <c r="S1244" t="str">
        <f>"18:55:27.758"</f>
        <v>18:55:27.758</v>
      </c>
      <c r="T1244" t="str">
        <f>"18:55:27.656"</f>
        <v>18:55:27.656</v>
      </c>
      <c r="U1244" t="str">
        <f t="shared" si="58"/>
        <v>a1cdbe</v>
      </c>
      <c r="V1244">
        <v>0</v>
      </c>
      <c r="W1244">
        <v>0</v>
      </c>
      <c r="X1244">
        <v>1</v>
      </c>
      <c r="Y1244">
        <v>0</v>
      </c>
      <c r="Z1244">
        <v>0</v>
      </c>
      <c r="AB1244">
        <v>0</v>
      </c>
      <c r="AC1244">
        <v>9</v>
      </c>
      <c r="AD1244">
        <v>3</v>
      </c>
      <c r="AE1244">
        <v>0</v>
      </c>
      <c r="AF1244">
        <v>9</v>
      </c>
      <c r="AG1244" t="s">
        <v>158</v>
      </c>
      <c r="AH1244">
        <v>0</v>
      </c>
      <c r="AI1244">
        <v>3</v>
      </c>
      <c r="AJ1244">
        <v>1</v>
      </c>
      <c r="AK1244">
        <v>0</v>
      </c>
      <c r="AL1244" t="s">
        <v>2443</v>
      </c>
      <c r="AM1244">
        <v>46.825125</v>
      </c>
      <c r="AN1244" t="s">
        <v>2444</v>
      </c>
      <c r="AO1244">
        <v>-122.64188300000001</v>
      </c>
      <c r="AP1244">
        <v>100</v>
      </c>
      <c r="AQ1244">
        <v>2000</v>
      </c>
      <c r="AR1244" t="s">
        <v>118</v>
      </c>
      <c r="AS1244">
        <v>-72</v>
      </c>
      <c r="AT1244">
        <v>-40</v>
      </c>
      <c r="AU1244">
        <v>-256</v>
      </c>
      <c r="BC1244">
        <v>1200</v>
      </c>
      <c r="BD1244">
        <v>1</v>
      </c>
      <c r="BE1244" t="str">
        <f t="shared" si="59"/>
        <v xml:space="preserve">N215T   </v>
      </c>
      <c r="BF1244">
        <v>1</v>
      </c>
      <c r="BH1244">
        <v>0</v>
      </c>
      <c r="BI1244">
        <v>0</v>
      </c>
      <c r="BJ1244">
        <v>0</v>
      </c>
      <c r="BK1244">
        <v>2375</v>
      </c>
      <c r="BL1244">
        <v>375</v>
      </c>
      <c r="BM1244" t="s">
        <v>119</v>
      </c>
      <c r="BN1244">
        <v>1</v>
      </c>
      <c r="BO1244">
        <v>1</v>
      </c>
      <c r="BP1244">
        <v>1</v>
      </c>
      <c r="BQ1244">
        <v>0</v>
      </c>
      <c r="BT1244">
        <v>0</v>
      </c>
      <c r="BU1244">
        <v>0</v>
      </c>
      <c r="BV1244">
        <v>0</v>
      </c>
      <c r="CC1244" t="str">
        <f>"18:55:27.758"</f>
        <v>18:55:27.758</v>
      </c>
      <c r="CD1244" t="str">
        <f>"761043043"</f>
        <v>761043043</v>
      </c>
      <c r="CQ1244">
        <v>0</v>
      </c>
      <c r="CR1244">
        <v>2</v>
      </c>
      <c r="CS1244">
        <v>0</v>
      </c>
      <c r="CT1244">
        <v>2</v>
      </c>
      <c r="CU1244">
        <v>0</v>
      </c>
      <c r="CV1244">
        <v>5</v>
      </c>
      <c r="CW1244" t="s">
        <v>120</v>
      </c>
      <c r="CX1244">
        <v>261</v>
      </c>
      <c r="CY1244">
        <v>2</v>
      </c>
      <c r="CZ1244" t="s">
        <v>121</v>
      </c>
      <c r="DA1244" t="s">
        <v>122</v>
      </c>
      <c r="DD1244">
        <v>14943589</v>
      </c>
      <c r="DE1244" t="s">
        <v>123</v>
      </c>
    </row>
    <row r="1245" spans="1:109" x14ac:dyDescent="0.3">
      <c r="A1245" t="str">
        <f>"18:55:29.188"</f>
        <v>18:55:29.188</v>
      </c>
      <c r="B1245" t="s">
        <v>110</v>
      </c>
      <c r="C1245" t="str">
        <f t="shared" si="57"/>
        <v>ffdfd3c0</v>
      </c>
      <c r="D1245" t="s">
        <v>111</v>
      </c>
      <c r="E1245">
        <v>18</v>
      </c>
      <c r="F1245">
        <v>1018</v>
      </c>
      <c r="G1245" t="s">
        <v>112</v>
      </c>
      <c r="J1245" t="s">
        <v>113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R1245" t="s">
        <v>114</v>
      </c>
      <c r="S1245" t="str">
        <f>"18:55:28.914"</f>
        <v>18:55:28.914</v>
      </c>
      <c r="T1245" t="str">
        <f>"18:55:28.617"</f>
        <v>18:55:28.617</v>
      </c>
      <c r="U1245" t="str">
        <f t="shared" si="58"/>
        <v>a1cdbe</v>
      </c>
      <c r="V1245">
        <v>0</v>
      </c>
      <c r="W1245">
        <v>0</v>
      </c>
      <c r="X1245">
        <v>1</v>
      </c>
      <c r="Y1245">
        <v>0</v>
      </c>
      <c r="Z1245">
        <v>0</v>
      </c>
      <c r="AB1245">
        <v>0</v>
      </c>
      <c r="AC1245">
        <v>9</v>
      </c>
      <c r="AD1245">
        <v>3</v>
      </c>
      <c r="AE1245">
        <v>0</v>
      </c>
      <c r="AF1245">
        <v>9</v>
      </c>
      <c r="AG1245" t="s">
        <v>158</v>
      </c>
      <c r="AH1245">
        <v>0</v>
      </c>
      <c r="AI1245">
        <v>3</v>
      </c>
      <c r="AJ1245">
        <v>1</v>
      </c>
      <c r="AK1245">
        <v>0</v>
      </c>
      <c r="AL1245" t="s">
        <v>2445</v>
      </c>
      <c r="AM1245">
        <v>46.824868000000002</v>
      </c>
      <c r="AN1245" t="s">
        <v>2446</v>
      </c>
      <c r="AO1245">
        <v>-122.64246199999999</v>
      </c>
      <c r="AP1245">
        <v>100</v>
      </c>
      <c r="AQ1245">
        <v>2000</v>
      </c>
      <c r="AR1245" t="s">
        <v>118</v>
      </c>
      <c r="AS1245">
        <v>-72</v>
      </c>
      <c r="AT1245">
        <v>-40</v>
      </c>
      <c r="AU1245">
        <v>-192</v>
      </c>
      <c r="BC1245">
        <v>1200</v>
      </c>
      <c r="BD1245">
        <v>1</v>
      </c>
      <c r="BE1245" t="str">
        <f t="shared" si="59"/>
        <v xml:space="preserve">N215T   </v>
      </c>
      <c r="BF1245">
        <v>1</v>
      </c>
      <c r="BH1245">
        <v>0</v>
      </c>
      <c r="BI1245">
        <v>0</v>
      </c>
      <c r="BJ1245">
        <v>0</v>
      </c>
      <c r="BK1245">
        <v>2375</v>
      </c>
      <c r="BL1245">
        <v>375</v>
      </c>
      <c r="BM1245" t="s">
        <v>119</v>
      </c>
      <c r="BN1245">
        <v>1</v>
      </c>
      <c r="BO1245">
        <v>1</v>
      </c>
      <c r="BP1245">
        <v>1</v>
      </c>
      <c r="BQ1245">
        <v>0</v>
      </c>
      <c r="BT1245">
        <v>0</v>
      </c>
      <c r="BU1245">
        <v>0</v>
      </c>
      <c r="BV1245">
        <v>0</v>
      </c>
      <c r="CC1245" t="str">
        <f>"18:55:28.914"</f>
        <v>18:55:28.914</v>
      </c>
      <c r="CD1245" t="str">
        <f>"915929374"</f>
        <v>915929374</v>
      </c>
      <c r="CQ1245">
        <v>0</v>
      </c>
      <c r="CR1245">
        <v>2</v>
      </c>
      <c r="CS1245">
        <v>0</v>
      </c>
      <c r="CT1245">
        <v>2</v>
      </c>
      <c r="CU1245">
        <v>0</v>
      </c>
      <c r="CV1245">
        <v>5</v>
      </c>
      <c r="CW1245" t="s">
        <v>120</v>
      </c>
      <c r="CX1245">
        <v>261</v>
      </c>
      <c r="CY1245">
        <v>2</v>
      </c>
      <c r="CZ1245" t="s">
        <v>121</v>
      </c>
      <c r="DA1245" t="s">
        <v>122</v>
      </c>
      <c r="DD1245">
        <v>14944380</v>
      </c>
      <c r="DE1245" t="s">
        <v>123</v>
      </c>
    </row>
    <row r="1246" spans="1:109" x14ac:dyDescent="0.3">
      <c r="A1246" t="str">
        <f>"18:55:30.094"</f>
        <v>18:55:30.094</v>
      </c>
      <c r="B1246" t="s">
        <v>110</v>
      </c>
      <c r="C1246" t="str">
        <f t="shared" si="57"/>
        <v>ffdfd3c0</v>
      </c>
      <c r="D1246" t="s">
        <v>111</v>
      </c>
      <c r="E1246">
        <v>18</v>
      </c>
      <c r="F1246">
        <v>1018</v>
      </c>
      <c r="G1246" t="s">
        <v>112</v>
      </c>
      <c r="J1246" t="s">
        <v>113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R1246" t="s">
        <v>114</v>
      </c>
      <c r="S1246" t="str">
        <f>"18:55:29.844"</f>
        <v>18:55:29.844</v>
      </c>
      <c r="T1246" t="str">
        <f>"18:55:29.844"</f>
        <v>18:55:29.844</v>
      </c>
      <c r="U1246" t="str">
        <f t="shared" si="58"/>
        <v>a1cdbe</v>
      </c>
      <c r="V1246">
        <v>0</v>
      </c>
      <c r="W1246">
        <v>0</v>
      </c>
      <c r="X1246">
        <v>1</v>
      </c>
      <c r="Y1246">
        <v>0</v>
      </c>
      <c r="Z1246">
        <v>0</v>
      </c>
      <c r="AB1246">
        <v>0</v>
      </c>
      <c r="AC1246">
        <v>9</v>
      </c>
      <c r="AD1246">
        <v>3</v>
      </c>
      <c r="AE1246">
        <v>0</v>
      </c>
      <c r="AF1246">
        <v>9</v>
      </c>
      <c r="AG1246" t="s">
        <v>158</v>
      </c>
      <c r="AH1246">
        <v>0</v>
      </c>
      <c r="AI1246">
        <v>3</v>
      </c>
      <c r="AJ1246">
        <v>1</v>
      </c>
      <c r="AK1246">
        <v>0</v>
      </c>
      <c r="AL1246" t="s">
        <v>2447</v>
      </c>
      <c r="AM1246">
        <v>46.824717999999997</v>
      </c>
      <c r="AN1246" t="s">
        <v>2448</v>
      </c>
      <c r="AO1246">
        <v>-122.64291299999999</v>
      </c>
      <c r="AP1246">
        <v>100</v>
      </c>
      <c r="AQ1246">
        <v>2000</v>
      </c>
      <c r="AR1246" t="s">
        <v>118</v>
      </c>
      <c r="AS1246">
        <v>-73</v>
      </c>
      <c r="AT1246">
        <v>-40</v>
      </c>
      <c r="AU1246">
        <v>-192</v>
      </c>
      <c r="BC1246">
        <v>1200</v>
      </c>
      <c r="BD1246">
        <v>1</v>
      </c>
      <c r="BE1246" t="str">
        <f t="shared" si="59"/>
        <v xml:space="preserve">N215T   </v>
      </c>
      <c r="BF1246">
        <v>1</v>
      </c>
      <c r="BH1246">
        <v>0</v>
      </c>
      <c r="BI1246">
        <v>0</v>
      </c>
      <c r="BJ1246">
        <v>0</v>
      </c>
      <c r="BK1246">
        <v>2350</v>
      </c>
      <c r="BL1246">
        <v>350</v>
      </c>
      <c r="BM1246" t="s">
        <v>119</v>
      </c>
      <c r="BN1246">
        <v>1</v>
      </c>
      <c r="BO1246">
        <v>1</v>
      </c>
      <c r="BP1246">
        <v>1</v>
      </c>
      <c r="BQ1246">
        <v>0</v>
      </c>
      <c r="BT1246">
        <v>0</v>
      </c>
      <c r="BU1246">
        <v>0</v>
      </c>
      <c r="BV1246">
        <v>0</v>
      </c>
      <c r="CC1246" t="str">
        <f>"18:55:29.844"</f>
        <v>18:55:29.844</v>
      </c>
      <c r="CD1246" t="str">
        <f>"845837851"</f>
        <v>845837851</v>
      </c>
      <c r="CQ1246">
        <v>0</v>
      </c>
      <c r="CR1246">
        <v>2</v>
      </c>
      <c r="CS1246">
        <v>0</v>
      </c>
      <c r="CT1246">
        <v>2</v>
      </c>
      <c r="CU1246">
        <v>0</v>
      </c>
      <c r="CV1246">
        <v>5</v>
      </c>
      <c r="CW1246" t="s">
        <v>120</v>
      </c>
      <c r="CX1246">
        <v>261</v>
      </c>
      <c r="CY1246">
        <v>2</v>
      </c>
      <c r="CZ1246" t="s">
        <v>121</v>
      </c>
      <c r="DA1246" t="s">
        <v>122</v>
      </c>
      <c r="DD1246">
        <v>14945005</v>
      </c>
      <c r="DE1246" t="s">
        <v>123</v>
      </c>
    </row>
    <row r="1247" spans="1:109" x14ac:dyDescent="0.3">
      <c r="A1247" t="str">
        <f>"18:55:31.148"</f>
        <v>18:55:31.148</v>
      </c>
      <c r="B1247" t="s">
        <v>110</v>
      </c>
      <c r="C1247" t="str">
        <f t="shared" si="57"/>
        <v>ffdfd3c0</v>
      </c>
      <c r="D1247" t="s">
        <v>111</v>
      </c>
      <c r="E1247">
        <v>18</v>
      </c>
      <c r="F1247">
        <v>1018</v>
      </c>
      <c r="G1247" t="s">
        <v>112</v>
      </c>
      <c r="J1247" t="s">
        <v>113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R1247" t="s">
        <v>114</v>
      </c>
      <c r="S1247" t="str">
        <f>"18:55:30.922"</f>
        <v>18:55:30.922</v>
      </c>
      <c r="T1247" t="str">
        <f>"18:55:30.820"</f>
        <v>18:55:30.820</v>
      </c>
      <c r="U1247" t="str">
        <f t="shared" si="58"/>
        <v>a1cdbe</v>
      </c>
      <c r="V1247">
        <v>0</v>
      </c>
      <c r="W1247">
        <v>0</v>
      </c>
      <c r="X1247">
        <v>1</v>
      </c>
      <c r="Y1247">
        <v>0</v>
      </c>
      <c r="Z1247">
        <v>0</v>
      </c>
      <c r="AB1247">
        <v>0</v>
      </c>
      <c r="AC1247">
        <v>9</v>
      </c>
      <c r="AD1247">
        <v>3</v>
      </c>
      <c r="AE1247">
        <v>0</v>
      </c>
      <c r="AF1247">
        <v>9</v>
      </c>
      <c r="AG1247" t="s">
        <v>158</v>
      </c>
      <c r="AH1247">
        <v>0</v>
      </c>
      <c r="AI1247">
        <v>3</v>
      </c>
      <c r="AJ1247">
        <v>1</v>
      </c>
      <c r="AK1247">
        <v>0</v>
      </c>
      <c r="AL1247" t="s">
        <v>2449</v>
      </c>
      <c r="AM1247">
        <v>46.824503</v>
      </c>
      <c r="AN1247" t="s">
        <v>2450</v>
      </c>
      <c r="AO1247">
        <v>-122.64347100000001</v>
      </c>
      <c r="AP1247">
        <v>100</v>
      </c>
      <c r="AQ1247">
        <v>2000</v>
      </c>
      <c r="AR1247" t="s">
        <v>118</v>
      </c>
      <c r="AS1247">
        <v>-73</v>
      </c>
      <c r="AT1247">
        <v>-41</v>
      </c>
      <c r="AU1247">
        <v>-128</v>
      </c>
      <c r="BC1247">
        <v>1200</v>
      </c>
      <c r="BD1247">
        <v>1</v>
      </c>
      <c r="BE1247" t="str">
        <f t="shared" si="59"/>
        <v xml:space="preserve">N215T   </v>
      </c>
      <c r="BF1247">
        <v>1</v>
      </c>
      <c r="BH1247">
        <v>0</v>
      </c>
      <c r="BI1247">
        <v>0</v>
      </c>
      <c r="BJ1247">
        <v>0</v>
      </c>
      <c r="BK1247">
        <v>2350</v>
      </c>
      <c r="BL1247">
        <v>350</v>
      </c>
      <c r="BM1247" t="s">
        <v>119</v>
      </c>
      <c r="BN1247">
        <v>1</v>
      </c>
      <c r="BO1247">
        <v>1</v>
      </c>
      <c r="BP1247">
        <v>1</v>
      </c>
      <c r="BQ1247">
        <v>0</v>
      </c>
      <c r="BT1247">
        <v>0</v>
      </c>
      <c r="BU1247">
        <v>0</v>
      </c>
      <c r="BV1247">
        <v>0</v>
      </c>
      <c r="CC1247" t="str">
        <f>"18:55:30.922"</f>
        <v>18:55:30.922</v>
      </c>
      <c r="CD1247" t="str">
        <f>"925727732"</f>
        <v>925727732</v>
      </c>
      <c r="CQ1247">
        <v>0</v>
      </c>
      <c r="CR1247">
        <v>2</v>
      </c>
      <c r="CS1247">
        <v>0</v>
      </c>
      <c r="CT1247">
        <v>2</v>
      </c>
      <c r="CU1247">
        <v>0</v>
      </c>
      <c r="CV1247">
        <v>3</v>
      </c>
      <c r="CW1247" t="s">
        <v>172</v>
      </c>
      <c r="CX1247">
        <v>326</v>
      </c>
      <c r="CY1247">
        <v>0</v>
      </c>
      <c r="CZ1247" t="s">
        <v>173</v>
      </c>
      <c r="DA1247" t="s">
        <v>174</v>
      </c>
      <c r="DD1247">
        <v>6311708</v>
      </c>
      <c r="DE1247" t="s">
        <v>123</v>
      </c>
    </row>
    <row r="1248" spans="1:109" x14ac:dyDescent="0.3">
      <c r="A1248" t="str">
        <f>"18:55:32.109"</f>
        <v>18:55:32.109</v>
      </c>
      <c r="B1248" t="s">
        <v>110</v>
      </c>
      <c r="C1248" t="str">
        <f t="shared" si="57"/>
        <v>ffdfd3c0</v>
      </c>
      <c r="D1248" t="s">
        <v>111</v>
      </c>
      <c r="E1248">
        <v>18</v>
      </c>
      <c r="F1248">
        <v>1018</v>
      </c>
      <c r="G1248" t="s">
        <v>112</v>
      </c>
      <c r="J1248" t="s">
        <v>113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R1248" t="s">
        <v>114</v>
      </c>
      <c r="S1248" t="str">
        <f>"18:55:31.883"</f>
        <v>18:55:31.883</v>
      </c>
      <c r="T1248" t="str">
        <f>"18:55:31.883"</f>
        <v>18:55:31.883</v>
      </c>
      <c r="U1248" t="str">
        <f t="shared" si="58"/>
        <v>a1cdbe</v>
      </c>
      <c r="V1248">
        <v>0</v>
      </c>
      <c r="W1248">
        <v>0</v>
      </c>
      <c r="X1248">
        <v>1</v>
      </c>
      <c r="Y1248">
        <v>0</v>
      </c>
      <c r="Z1248">
        <v>0</v>
      </c>
      <c r="AB1248">
        <v>0</v>
      </c>
      <c r="AC1248">
        <v>9</v>
      </c>
      <c r="AD1248">
        <v>3</v>
      </c>
      <c r="AE1248">
        <v>0</v>
      </c>
      <c r="AF1248">
        <v>9</v>
      </c>
      <c r="AG1248" t="s">
        <v>158</v>
      </c>
      <c r="AH1248">
        <v>0</v>
      </c>
      <c r="AI1248">
        <v>3</v>
      </c>
      <c r="AJ1248">
        <v>1</v>
      </c>
      <c r="AK1248">
        <v>0</v>
      </c>
      <c r="AL1248" t="s">
        <v>2451</v>
      </c>
      <c r="AM1248">
        <v>46.824331000000001</v>
      </c>
      <c r="AN1248" t="s">
        <v>2452</v>
      </c>
      <c r="AO1248">
        <v>-122.64394299999999</v>
      </c>
      <c r="AP1248">
        <v>100</v>
      </c>
      <c r="AQ1248">
        <v>2000</v>
      </c>
      <c r="AR1248" t="s">
        <v>118</v>
      </c>
      <c r="AS1248">
        <v>-73</v>
      </c>
      <c r="AT1248">
        <v>-41</v>
      </c>
      <c r="AU1248">
        <v>-192</v>
      </c>
      <c r="BC1248">
        <v>1200</v>
      </c>
      <c r="BD1248">
        <v>1</v>
      </c>
      <c r="BE1248" t="str">
        <f t="shared" si="59"/>
        <v xml:space="preserve">N215T   </v>
      </c>
      <c r="BF1248">
        <v>1</v>
      </c>
      <c r="BH1248">
        <v>0</v>
      </c>
      <c r="BI1248">
        <v>0</v>
      </c>
      <c r="BJ1248">
        <v>0</v>
      </c>
      <c r="BK1248">
        <v>2350</v>
      </c>
      <c r="BL1248">
        <v>350</v>
      </c>
      <c r="BM1248" t="s">
        <v>119</v>
      </c>
      <c r="BN1248">
        <v>1</v>
      </c>
      <c r="BO1248">
        <v>1</v>
      </c>
      <c r="BP1248">
        <v>1</v>
      </c>
      <c r="BQ1248">
        <v>0</v>
      </c>
      <c r="BT1248">
        <v>0</v>
      </c>
      <c r="BU1248">
        <v>0</v>
      </c>
      <c r="BV1248">
        <v>0</v>
      </c>
      <c r="CC1248" t="str">
        <f>"18:55:31.883"</f>
        <v>18:55:31.883</v>
      </c>
      <c r="CD1248" t="str">
        <f>"885637068"</f>
        <v>885637068</v>
      </c>
      <c r="CQ1248">
        <v>0</v>
      </c>
      <c r="CR1248">
        <v>2</v>
      </c>
      <c r="CS1248">
        <v>0</v>
      </c>
      <c r="CT1248">
        <v>2</v>
      </c>
      <c r="CU1248">
        <v>0</v>
      </c>
      <c r="CV1248">
        <v>5</v>
      </c>
      <c r="CW1248" t="s">
        <v>120</v>
      </c>
      <c r="CX1248">
        <v>261</v>
      </c>
      <c r="CY1248">
        <v>2</v>
      </c>
      <c r="CZ1248" t="s">
        <v>121</v>
      </c>
      <c r="DA1248" t="s">
        <v>122</v>
      </c>
      <c r="DD1248">
        <v>14946339</v>
      </c>
      <c r="DE1248" t="s">
        <v>123</v>
      </c>
    </row>
    <row r="1249" spans="1:109" x14ac:dyDescent="0.3">
      <c r="A1249" t="str">
        <f>"18:55:32.961"</f>
        <v>18:55:32.961</v>
      </c>
      <c r="B1249" t="s">
        <v>110</v>
      </c>
      <c r="C1249" t="str">
        <f t="shared" si="57"/>
        <v>ffdfd3c0</v>
      </c>
      <c r="D1249" t="s">
        <v>111</v>
      </c>
      <c r="E1249">
        <v>18</v>
      </c>
      <c r="F1249">
        <v>1018</v>
      </c>
      <c r="G1249" t="s">
        <v>112</v>
      </c>
      <c r="J1249" t="s">
        <v>113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R1249" t="s">
        <v>114</v>
      </c>
      <c r="S1249" t="str">
        <f>"18:55:32.750"</f>
        <v>18:55:32.750</v>
      </c>
      <c r="T1249" t="str">
        <f>"18:55:32.453"</f>
        <v>18:55:32.453</v>
      </c>
      <c r="U1249" t="str">
        <f t="shared" si="58"/>
        <v>a1cdbe</v>
      </c>
      <c r="V1249">
        <v>0</v>
      </c>
      <c r="W1249">
        <v>0</v>
      </c>
      <c r="X1249">
        <v>1</v>
      </c>
      <c r="Y1249">
        <v>0</v>
      </c>
      <c r="Z1249">
        <v>0</v>
      </c>
      <c r="AB1249">
        <v>0</v>
      </c>
      <c r="AC1249">
        <v>9</v>
      </c>
      <c r="AD1249">
        <v>3</v>
      </c>
      <c r="AE1249">
        <v>0</v>
      </c>
      <c r="AF1249">
        <v>9</v>
      </c>
      <c r="AG1249" t="s">
        <v>158</v>
      </c>
      <c r="AH1249">
        <v>0</v>
      </c>
      <c r="AI1249">
        <v>3</v>
      </c>
      <c r="AJ1249">
        <v>1</v>
      </c>
      <c r="AK1249">
        <v>0</v>
      </c>
      <c r="AL1249" t="s">
        <v>2453</v>
      </c>
      <c r="AM1249">
        <v>46.824137999999998</v>
      </c>
      <c r="AN1249" t="s">
        <v>2454</v>
      </c>
      <c r="AO1249">
        <v>-122.64439299999999</v>
      </c>
      <c r="AP1249">
        <v>100</v>
      </c>
      <c r="AQ1249">
        <v>2000</v>
      </c>
      <c r="AR1249" t="s">
        <v>118</v>
      </c>
      <c r="AS1249">
        <v>-73</v>
      </c>
      <c r="AT1249">
        <v>-41</v>
      </c>
      <c r="AU1249">
        <v>-128</v>
      </c>
      <c r="BC1249">
        <v>1200</v>
      </c>
      <c r="BD1249">
        <v>1</v>
      </c>
      <c r="BE1249" t="str">
        <f t="shared" si="59"/>
        <v xml:space="preserve">N215T   </v>
      </c>
      <c r="BF1249">
        <v>1</v>
      </c>
      <c r="BH1249">
        <v>0</v>
      </c>
      <c r="BI1249">
        <v>0</v>
      </c>
      <c r="BJ1249">
        <v>0</v>
      </c>
      <c r="BK1249">
        <v>2350</v>
      </c>
      <c r="BL1249">
        <v>350</v>
      </c>
      <c r="BM1249" t="s">
        <v>119</v>
      </c>
      <c r="BN1249">
        <v>1</v>
      </c>
      <c r="BO1249">
        <v>1</v>
      </c>
      <c r="BP1249">
        <v>1</v>
      </c>
      <c r="BQ1249">
        <v>0</v>
      </c>
      <c r="BT1249">
        <v>0</v>
      </c>
      <c r="BU1249">
        <v>0</v>
      </c>
      <c r="BV1249">
        <v>0</v>
      </c>
      <c r="CC1249" t="str">
        <f>"18:55:32.758"</f>
        <v>18:55:32.758</v>
      </c>
      <c r="CD1249" t="str">
        <f>"755547785"</f>
        <v>755547785</v>
      </c>
      <c r="CQ1249">
        <v>0</v>
      </c>
      <c r="CR1249">
        <v>2</v>
      </c>
      <c r="CS1249">
        <v>0</v>
      </c>
      <c r="CT1249">
        <v>2</v>
      </c>
      <c r="CU1249">
        <v>0</v>
      </c>
      <c r="CV1249">
        <v>3</v>
      </c>
      <c r="CW1249" t="s">
        <v>172</v>
      </c>
      <c r="CX1249">
        <v>326</v>
      </c>
      <c r="CY1249">
        <v>0</v>
      </c>
      <c r="CZ1249" t="s">
        <v>173</v>
      </c>
      <c r="DA1249" t="s">
        <v>174</v>
      </c>
      <c r="DD1249">
        <v>6313016</v>
      </c>
      <c r="DE1249" t="s">
        <v>123</v>
      </c>
    </row>
    <row r="1250" spans="1:109" x14ac:dyDescent="0.3">
      <c r="A1250" t="str">
        <f>"18:55:34.117"</f>
        <v>18:55:34.117</v>
      </c>
      <c r="B1250" t="s">
        <v>110</v>
      </c>
      <c r="C1250" t="str">
        <f t="shared" si="57"/>
        <v>ffdfd3c0</v>
      </c>
      <c r="D1250" t="s">
        <v>111</v>
      </c>
      <c r="E1250">
        <v>18</v>
      </c>
      <c r="F1250">
        <v>1018</v>
      </c>
      <c r="G1250" t="s">
        <v>112</v>
      </c>
      <c r="J1250" t="s">
        <v>113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R1250" t="s">
        <v>114</v>
      </c>
      <c r="S1250" t="str">
        <f>"18:55:33.875"</f>
        <v>18:55:33.875</v>
      </c>
      <c r="T1250" t="str">
        <f>"18:55:33.578"</f>
        <v>18:55:33.578</v>
      </c>
      <c r="U1250" t="str">
        <f t="shared" si="58"/>
        <v>a1cdbe</v>
      </c>
      <c r="V1250">
        <v>0</v>
      </c>
      <c r="W1250">
        <v>0</v>
      </c>
      <c r="X1250">
        <v>1</v>
      </c>
      <c r="Y1250">
        <v>0</v>
      </c>
      <c r="Z1250">
        <v>0</v>
      </c>
      <c r="AB1250">
        <v>0</v>
      </c>
      <c r="AC1250">
        <v>9</v>
      </c>
      <c r="AD1250">
        <v>3</v>
      </c>
      <c r="AE1250">
        <v>0</v>
      </c>
      <c r="AF1250">
        <v>9</v>
      </c>
      <c r="AG1250" t="s">
        <v>158</v>
      </c>
      <c r="AH1250">
        <v>0</v>
      </c>
      <c r="AI1250">
        <v>3</v>
      </c>
      <c r="AJ1250">
        <v>1</v>
      </c>
      <c r="AK1250">
        <v>0</v>
      </c>
      <c r="AL1250" t="s">
        <v>2455</v>
      </c>
      <c r="AM1250">
        <v>46.823967000000003</v>
      </c>
      <c r="AN1250" t="s">
        <v>2456</v>
      </c>
      <c r="AO1250">
        <v>-122.644908</v>
      </c>
      <c r="AP1250">
        <v>100</v>
      </c>
      <c r="AQ1250">
        <v>2000</v>
      </c>
      <c r="AR1250" t="s">
        <v>118</v>
      </c>
      <c r="AS1250">
        <v>-74</v>
      </c>
      <c r="AT1250">
        <v>-41</v>
      </c>
      <c r="AU1250">
        <v>-192</v>
      </c>
      <c r="BC1250">
        <v>1200</v>
      </c>
      <c r="BD1250">
        <v>1</v>
      </c>
      <c r="BE1250" t="str">
        <f t="shared" si="59"/>
        <v xml:space="preserve">N215T   </v>
      </c>
      <c r="BF1250">
        <v>1</v>
      </c>
      <c r="BH1250">
        <v>0</v>
      </c>
      <c r="BI1250">
        <v>0</v>
      </c>
      <c r="BJ1250">
        <v>0</v>
      </c>
      <c r="BK1250">
        <v>2350</v>
      </c>
      <c r="BL1250">
        <v>350</v>
      </c>
      <c r="BM1250" t="s">
        <v>119</v>
      </c>
      <c r="BN1250">
        <v>1</v>
      </c>
      <c r="BO1250">
        <v>1</v>
      </c>
      <c r="BP1250">
        <v>1</v>
      </c>
      <c r="BQ1250">
        <v>0</v>
      </c>
      <c r="BT1250">
        <v>0</v>
      </c>
      <c r="BU1250">
        <v>0</v>
      </c>
      <c r="BV1250">
        <v>0</v>
      </c>
      <c r="CC1250" t="str">
        <f>"18:55:33.883"</f>
        <v>18:55:33.883</v>
      </c>
      <c r="CD1250" t="str">
        <f>"880440732"</f>
        <v>880440732</v>
      </c>
      <c r="CQ1250">
        <v>0</v>
      </c>
      <c r="CR1250">
        <v>2</v>
      </c>
      <c r="CS1250">
        <v>0</v>
      </c>
      <c r="CT1250">
        <v>2</v>
      </c>
      <c r="CU1250">
        <v>0</v>
      </c>
      <c r="CV1250">
        <v>5</v>
      </c>
      <c r="CW1250" t="s">
        <v>120</v>
      </c>
      <c r="CX1250">
        <v>261</v>
      </c>
      <c r="CY1250">
        <v>2</v>
      </c>
      <c r="CZ1250" t="s">
        <v>121</v>
      </c>
      <c r="DA1250" t="s">
        <v>122</v>
      </c>
      <c r="DD1250">
        <v>14947616</v>
      </c>
      <c r="DE1250" t="s">
        <v>123</v>
      </c>
    </row>
    <row r="1251" spans="1:109" x14ac:dyDescent="0.3">
      <c r="A1251" t="str">
        <f>"18:55:35.227"</f>
        <v>18:55:35.227</v>
      </c>
      <c r="B1251" t="s">
        <v>110</v>
      </c>
      <c r="C1251" t="str">
        <f t="shared" si="57"/>
        <v>ffdfd3c0</v>
      </c>
      <c r="D1251" t="s">
        <v>111</v>
      </c>
      <c r="E1251">
        <v>18</v>
      </c>
      <c r="F1251">
        <v>1018</v>
      </c>
      <c r="G1251" t="s">
        <v>112</v>
      </c>
      <c r="J1251" t="s">
        <v>113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R1251" t="s">
        <v>114</v>
      </c>
      <c r="S1251" t="str">
        <f>"18:55:35.000"</f>
        <v>18:55:35.000</v>
      </c>
      <c r="T1251" t="str">
        <f>"18:55:34.602"</f>
        <v>18:55:34.602</v>
      </c>
      <c r="U1251" t="str">
        <f t="shared" si="58"/>
        <v>a1cdbe</v>
      </c>
      <c r="V1251">
        <v>0</v>
      </c>
      <c r="W1251">
        <v>0</v>
      </c>
      <c r="X1251">
        <v>1</v>
      </c>
      <c r="Y1251">
        <v>0</v>
      </c>
      <c r="Z1251">
        <v>0</v>
      </c>
      <c r="AB1251">
        <v>0</v>
      </c>
      <c r="AC1251">
        <v>9</v>
      </c>
      <c r="AD1251">
        <v>3</v>
      </c>
      <c r="AE1251">
        <v>0</v>
      </c>
      <c r="AF1251">
        <v>9</v>
      </c>
      <c r="AG1251" t="s">
        <v>158</v>
      </c>
      <c r="AH1251">
        <v>0</v>
      </c>
      <c r="AI1251">
        <v>3</v>
      </c>
      <c r="AJ1251">
        <v>1</v>
      </c>
      <c r="AK1251">
        <v>0</v>
      </c>
      <c r="AL1251" t="s">
        <v>2457</v>
      </c>
      <c r="AM1251">
        <v>46.823729999999998</v>
      </c>
      <c r="AN1251" t="s">
        <v>2458</v>
      </c>
      <c r="AO1251">
        <v>-122.645466</v>
      </c>
      <c r="AP1251">
        <v>100</v>
      </c>
      <c r="AQ1251">
        <v>2000</v>
      </c>
      <c r="AR1251" t="s">
        <v>118</v>
      </c>
      <c r="AS1251">
        <v>-74</v>
      </c>
      <c r="AT1251">
        <v>-41</v>
      </c>
      <c r="AU1251">
        <v>-64</v>
      </c>
      <c r="BC1251">
        <v>1200</v>
      </c>
      <c r="BD1251">
        <v>1</v>
      </c>
      <c r="BE1251" t="str">
        <f t="shared" si="59"/>
        <v xml:space="preserve">N215T   </v>
      </c>
      <c r="BF1251">
        <v>1</v>
      </c>
      <c r="BH1251">
        <v>0</v>
      </c>
      <c r="BI1251">
        <v>0</v>
      </c>
      <c r="BJ1251">
        <v>0</v>
      </c>
      <c r="BK1251">
        <v>2350</v>
      </c>
      <c r="BL1251">
        <v>350</v>
      </c>
      <c r="BM1251" t="s">
        <v>119</v>
      </c>
      <c r="BN1251">
        <v>1</v>
      </c>
      <c r="BO1251">
        <v>1</v>
      </c>
      <c r="BP1251">
        <v>1</v>
      </c>
      <c r="BQ1251">
        <v>0</v>
      </c>
      <c r="BT1251">
        <v>0</v>
      </c>
      <c r="BU1251">
        <v>0</v>
      </c>
      <c r="BV1251">
        <v>0</v>
      </c>
      <c r="CC1251" t="str">
        <f>"18:55:35.008"</f>
        <v>18:55:35.008</v>
      </c>
      <c r="CD1251" t="str">
        <f>"005330013"</f>
        <v>005330013</v>
      </c>
      <c r="CQ1251">
        <v>0</v>
      </c>
      <c r="CR1251">
        <v>2</v>
      </c>
      <c r="CS1251">
        <v>0</v>
      </c>
      <c r="CT1251">
        <v>2</v>
      </c>
      <c r="CU1251">
        <v>0</v>
      </c>
      <c r="CV1251">
        <v>5</v>
      </c>
      <c r="CW1251" t="s">
        <v>120</v>
      </c>
      <c r="CX1251">
        <v>261</v>
      </c>
      <c r="CY1251">
        <v>2</v>
      </c>
      <c r="CZ1251" t="s">
        <v>121</v>
      </c>
      <c r="DA1251" t="s">
        <v>122</v>
      </c>
      <c r="DD1251">
        <v>14948395</v>
      </c>
      <c r="DE1251" t="s">
        <v>123</v>
      </c>
    </row>
    <row r="1252" spans="1:109" x14ac:dyDescent="0.3">
      <c r="A1252" t="str">
        <f>"18:55:36.227"</f>
        <v>18:55:36.227</v>
      </c>
      <c r="B1252" t="s">
        <v>110</v>
      </c>
      <c r="C1252" t="str">
        <f t="shared" si="57"/>
        <v>ffdfd3c0</v>
      </c>
      <c r="D1252" t="s">
        <v>111</v>
      </c>
      <c r="E1252">
        <v>18</v>
      </c>
      <c r="F1252">
        <v>1018</v>
      </c>
      <c r="G1252" t="s">
        <v>112</v>
      </c>
      <c r="J1252" t="s">
        <v>113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R1252" t="s">
        <v>114</v>
      </c>
      <c r="S1252" t="str">
        <f>"18:55:36.023"</f>
        <v>18:55:36.023</v>
      </c>
      <c r="T1252" t="str">
        <f>"18:55:36.023"</f>
        <v>18:55:36.023</v>
      </c>
      <c r="U1252" t="str">
        <f t="shared" si="58"/>
        <v>a1cdbe</v>
      </c>
      <c r="V1252">
        <v>0</v>
      </c>
      <c r="W1252">
        <v>0</v>
      </c>
      <c r="X1252">
        <v>1</v>
      </c>
      <c r="Y1252">
        <v>0</v>
      </c>
      <c r="Z1252">
        <v>0</v>
      </c>
      <c r="AB1252">
        <v>0</v>
      </c>
      <c r="AC1252">
        <v>9</v>
      </c>
      <c r="AD1252">
        <v>3</v>
      </c>
      <c r="AE1252">
        <v>0</v>
      </c>
      <c r="AF1252">
        <v>9</v>
      </c>
      <c r="AG1252" t="s">
        <v>158</v>
      </c>
      <c r="AH1252">
        <v>0</v>
      </c>
      <c r="AI1252">
        <v>3</v>
      </c>
      <c r="AJ1252">
        <v>1</v>
      </c>
      <c r="AK1252">
        <v>0</v>
      </c>
      <c r="AL1252" t="s">
        <v>2459</v>
      </c>
      <c r="AM1252">
        <v>46.823537000000002</v>
      </c>
      <c r="AN1252" t="s">
        <v>2460</v>
      </c>
      <c r="AO1252">
        <v>-122.64600299999999</v>
      </c>
      <c r="AP1252">
        <v>100</v>
      </c>
      <c r="AQ1252">
        <v>2000</v>
      </c>
      <c r="AR1252" t="s">
        <v>118</v>
      </c>
      <c r="AS1252">
        <v>-74</v>
      </c>
      <c r="AT1252">
        <v>-40</v>
      </c>
      <c r="AU1252">
        <v>-64</v>
      </c>
      <c r="BC1252">
        <v>1200</v>
      </c>
      <c r="BD1252">
        <v>1</v>
      </c>
      <c r="BE1252" t="str">
        <f t="shared" si="59"/>
        <v xml:space="preserve">N215T   </v>
      </c>
      <c r="BF1252">
        <v>1</v>
      </c>
      <c r="BH1252">
        <v>0</v>
      </c>
      <c r="BI1252">
        <v>0</v>
      </c>
      <c r="BJ1252">
        <v>0</v>
      </c>
      <c r="BK1252">
        <v>2350</v>
      </c>
      <c r="BL1252">
        <v>350</v>
      </c>
      <c r="BM1252" t="s">
        <v>119</v>
      </c>
      <c r="BN1252">
        <v>1</v>
      </c>
      <c r="BO1252">
        <v>1</v>
      </c>
      <c r="BP1252">
        <v>1</v>
      </c>
      <c r="BQ1252">
        <v>0</v>
      </c>
      <c r="BT1252">
        <v>0</v>
      </c>
      <c r="BU1252">
        <v>0</v>
      </c>
      <c r="BV1252">
        <v>0</v>
      </c>
      <c r="CC1252" t="str">
        <f>"18:55:36.023"</f>
        <v>18:55:36.023</v>
      </c>
      <c r="CD1252" t="str">
        <f>"025310478"</f>
        <v>025310478</v>
      </c>
      <c r="CQ1252">
        <v>0</v>
      </c>
      <c r="CR1252">
        <v>2</v>
      </c>
      <c r="CS1252">
        <v>0</v>
      </c>
      <c r="CT1252">
        <v>2</v>
      </c>
      <c r="CU1252">
        <v>0</v>
      </c>
      <c r="CV1252">
        <v>2</v>
      </c>
      <c r="CW1252" t="s">
        <v>120</v>
      </c>
      <c r="CX1252">
        <v>257</v>
      </c>
      <c r="CY1252">
        <v>1</v>
      </c>
      <c r="CZ1252" t="s">
        <v>615</v>
      </c>
      <c r="DA1252" t="s">
        <v>616</v>
      </c>
      <c r="DD1252">
        <v>11300855</v>
      </c>
      <c r="DE1252" t="s">
        <v>123</v>
      </c>
    </row>
    <row r="1253" spans="1:109" x14ac:dyDescent="0.3">
      <c r="A1253" t="str">
        <f>"18:55:37.133"</f>
        <v>18:55:37.133</v>
      </c>
      <c r="B1253" t="s">
        <v>110</v>
      </c>
      <c r="C1253" t="str">
        <f t="shared" si="57"/>
        <v>ffdfd3c0</v>
      </c>
      <c r="D1253" t="s">
        <v>111</v>
      </c>
      <c r="E1253">
        <v>18</v>
      </c>
      <c r="F1253">
        <v>1018</v>
      </c>
      <c r="G1253" t="s">
        <v>112</v>
      </c>
      <c r="J1253" t="s">
        <v>113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R1253" t="s">
        <v>114</v>
      </c>
      <c r="S1253" t="str">
        <f>"18:55:36.906"</f>
        <v>18:55:36.906</v>
      </c>
      <c r="T1253" t="str">
        <f>"18:55:36.508"</f>
        <v>18:55:36.508</v>
      </c>
      <c r="U1253" t="str">
        <f t="shared" si="58"/>
        <v>a1cdbe</v>
      </c>
      <c r="V1253">
        <v>0</v>
      </c>
      <c r="W1253">
        <v>0</v>
      </c>
      <c r="X1253">
        <v>1</v>
      </c>
      <c r="Y1253">
        <v>0</v>
      </c>
      <c r="Z1253">
        <v>0</v>
      </c>
      <c r="AB1253">
        <v>0</v>
      </c>
      <c r="AC1253">
        <v>9</v>
      </c>
      <c r="AD1253">
        <v>3</v>
      </c>
      <c r="AE1253">
        <v>0</v>
      </c>
      <c r="AF1253">
        <v>9</v>
      </c>
      <c r="AG1253" t="s">
        <v>158</v>
      </c>
      <c r="AH1253">
        <v>0</v>
      </c>
      <c r="AI1253">
        <v>3</v>
      </c>
      <c r="AJ1253">
        <v>1</v>
      </c>
      <c r="AK1253">
        <v>0</v>
      </c>
      <c r="AL1253" t="s">
        <v>2461</v>
      </c>
      <c r="AM1253">
        <v>46.823366</v>
      </c>
      <c r="AN1253" t="s">
        <v>2462</v>
      </c>
      <c r="AO1253">
        <v>-122.64641</v>
      </c>
      <c r="AP1253">
        <v>100</v>
      </c>
      <c r="AQ1253">
        <v>2000</v>
      </c>
      <c r="AR1253" t="s">
        <v>118</v>
      </c>
      <c r="AS1253">
        <v>-74</v>
      </c>
      <c r="AT1253">
        <v>-40</v>
      </c>
      <c r="AU1253">
        <v>-64</v>
      </c>
      <c r="BC1253">
        <v>1200</v>
      </c>
      <c r="BD1253">
        <v>1</v>
      </c>
      <c r="BE1253" t="str">
        <f t="shared" si="59"/>
        <v xml:space="preserve">N215T   </v>
      </c>
      <c r="BF1253">
        <v>1</v>
      </c>
      <c r="BH1253">
        <v>0</v>
      </c>
      <c r="BI1253">
        <v>0</v>
      </c>
      <c r="BJ1253">
        <v>0</v>
      </c>
      <c r="BK1253">
        <v>2350</v>
      </c>
      <c r="BL1253">
        <v>350</v>
      </c>
      <c r="BM1253" t="s">
        <v>119</v>
      </c>
      <c r="BN1253">
        <v>1</v>
      </c>
      <c r="BO1253">
        <v>1</v>
      </c>
      <c r="BP1253">
        <v>1</v>
      </c>
      <c r="BQ1253">
        <v>0</v>
      </c>
      <c r="BT1253">
        <v>0</v>
      </c>
      <c r="BU1253">
        <v>0</v>
      </c>
      <c r="BV1253">
        <v>0</v>
      </c>
      <c r="CC1253" t="str">
        <f>"18:55:36.906"</f>
        <v>18:55:36.906</v>
      </c>
      <c r="CD1253" t="str">
        <f>"910142526"</f>
        <v>910142526</v>
      </c>
      <c r="CQ1253">
        <v>0</v>
      </c>
      <c r="CR1253">
        <v>2</v>
      </c>
      <c r="CS1253">
        <v>0</v>
      </c>
      <c r="CT1253">
        <v>2</v>
      </c>
      <c r="CU1253">
        <v>0</v>
      </c>
      <c r="CV1253">
        <v>5</v>
      </c>
      <c r="CW1253" t="s">
        <v>120</v>
      </c>
      <c r="CX1253">
        <v>261</v>
      </c>
      <c r="CY1253">
        <v>2</v>
      </c>
      <c r="CZ1253" t="s">
        <v>121</v>
      </c>
      <c r="DA1253" t="s">
        <v>122</v>
      </c>
      <c r="DD1253">
        <v>14949645</v>
      </c>
      <c r="DE1253" t="s">
        <v>123</v>
      </c>
    </row>
    <row r="1254" spans="1:109" x14ac:dyDescent="0.3">
      <c r="A1254" t="str">
        <f>"18:55:38.039"</f>
        <v>18:55:38.039</v>
      </c>
      <c r="B1254" t="s">
        <v>110</v>
      </c>
      <c r="C1254" t="str">
        <f t="shared" si="57"/>
        <v>ffdfd3c0</v>
      </c>
      <c r="D1254" t="s">
        <v>111</v>
      </c>
      <c r="E1254">
        <v>18</v>
      </c>
      <c r="F1254">
        <v>1018</v>
      </c>
      <c r="G1254" t="s">
        <v>112</v>
      </c>
      <c r="J1254" t="s">
        <v>113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R1254" t="s">
        <v>114</v>
      </c>
      <c r="S1254" t="str">
        <f>"18:55:37.805"</f>
        <v>18:55:37.805</v>
      </c>
      <c r="T1254" t="str">
        <f>"18:55:37.406"</f>
        <v>18:55:37.406</v>
      </c>
      <c r="U1254" t="str">
        <f t="shared" si="58"/>
        <v>a1cdbe</v>
      </c>
      <c r="V1254">
        <v>0</v>
      </c>
      <c r="W1254">
        <v>0</v>
      </c>
      <c r="X1254">
        <v>1</v>
      </c>
      <c r="Y1254">
        <v>0</v>
      </c>
      <c r="Z1254">
        <v>0</v>
      </c>
      <c r="AB1254">
        <v>0</v>
      </c>
      <c r="AC1254">
        <v>9</v>
      </c>
      <c r="AD1254">
        <v>3</v>
      </c>
      <c r="AE1254">
        <v>0</v>
      </c>
      <c r="AF1254">
        <v>9</v>
      </c>
      <c r="AG1254" t="s">
        <v>158</v>
      </c>
      <c r="AH1254">
        <v>0</v>
      </c>
      <c r="AI1254">
        <v>3</v>
      </c>
      <c r="AJ1254">
        <v>1</v>
      </c>
      <c r="AK1254">
        <v>0</v>
      </c>
      <c r="AL1254" t="s">
        <v>2463</v>
      </c>
      <c r="AM1254">
        <v>46.823214999999998</v>
      </c>
      <c r="AN1254" t="s">
        <v>2464</v>
      </c>
      <c r="AO1254">
        <v>-122.64690400000001</v>
      </c>
      <c r="AP1254">
        <v>100</v>
      </c>
      <c r="AQ1254">
        <v>2000</v>
      </c>
      <c r="AR1254" t="s">
        <v>118</v>
      </c>
      <c r="AS1254">
        <v>-75</v>
      </c>
      <c r="AT1254">
        <v>-39</v>
      </c>
      <c r="AU1254">
        <v>64</v>
      </c>
      <c r="BC1254">
        <v>1200</v>
      </c>
      <c r="BD1254">
        <v>1</v>
      </c>
      <c r="BE1254" t="str">
        <f t="shared" si="59"/>
        <v xml:space="preserve">N215T   </v>
      </c>
      <c r="BF1254">
        <v>1</v>
      </c>
      <c r="BH1254">
        <v>0</v>
      </c>
      <c r="BI1254">
        <v>0</v>
      </c>
      <c r="BJ1254">
        <v>0</v>
      </c>
      <c r="BK1254">
        <v>2350</v>
      </c>
      <c r="BL1254">
        <v>350</v>
      </c>
      <c r="BM1254" t="s">
        <v>119</v>
      </c>
      <c r="BN1254">
        <v>1</v>
      </c>
      <c r="BO1254">
        <v>1</v>
      </c>
      <c r="BP1254">
        <v>1</v>
      </c>
      <c r="BQ1254">
        <v>0</v>
      </c>
      <c r="BT1254">
        <v>0</v>
      </c>
      <c r="BU1254">
        <v>0</v>
      </c>
      <c r="BV1254">
        <v>0</v>
      </c>
      <c r="CC1254" t="str">
        <f>"18:55:37.813"</f>
        <v>18:55:37.813</v>
      </c>
      <c r="CD1254" t="str">
        <f>"810091177"</f>
        <v>810091177</v>
      </c>
      <c r="CQ1254">
        <v>0</v>
      </c>
      <c r="CR1254">
        <v>2</v>
      </c>
      <c r="CS1254">
        <v>0</v>
      </c>
      <c r="CT1254">
        <v>2</v>
      </c>
      <c r="CU1254">
        <v>0</v>
      </c>
      <c r="CV1254">
        <v>5</v>
      </c>
      <c r="CW1254" t="s">
        <v>120</v>
      </c>
      <c r="CX1254">
        <v>261</v>
      </c>
      <c r="CY1254">
        <v>2</v>
      </c>
      <c r="CZ1254" t="s">
        <v>121</v>
      </c>
      <c r="DA1254" t="s">
        <v>122</v>
      </c>
      <c r="DD1254">
        <v>14950215</v>
      </c>
      <c r="DE1254" t="s">
        <v>123</v>
      </c>
    </row>
    <row r="1255" spans="1:109" x14ac:dyDescent="0.3">
      <c r="A1255" t="str">
        <f>"18:55:39.148"</f>
        <v>18:55:39.148</v>
      </c>
      <c r="B1255" t="s">
        <v>110</v>
      </c>
      <c r="C1255" t="str">
        <f t="shared" si="57"/>
        <v>ffdfd3c0</v>
      </c>
      <c r="D1255" t="s">
        <v>111</v>
      </c>
      <c r="E1255">
        <v>18</v>
      </c>
      <c r="F1255">
        <v>1018</v>
      </c>
      <c r="G1255" t="s">
        <v>112</v>
      </c>
      <c r="J1255" t="s">
        <v>113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R1255" t="s">
        <v>114</v>
      </c>
      <c r="S1255" t="str">
        <f>"18:55:38.898"</f>
        <v>18:55:38.898</v>
      </c>
      <c r="T1255" t="str">
        <f>"18:55:38.898"</f>
        <v>18:55:38.898</v>
      </c>
      <c r="U1255" t="str">
        <f t="shared" si="58"/>
        <v>a1cdbe</v>
      </c>
      <c r="V1255">
        <v>0</v>
      </c>
      <c r="W1255">
        <v>0</v>
      </c>
      <c r="X1255">
        <v>1</v>
      </c>
      <c r="Y1255">
        <v>0</v>
      </c>
      <c r="Z1255">
        <v>0</v>
      </c>
      <c r="AB1255">
        <v>0</v>
      </c>
      <c r="AC1255">
        <v>9</v>
      </c>
      <c r="AD1255">
        <v>3</v>
      </c>
      <c r="AE1255">
        <v>0</v>
      </c>
      <c r="AF1255">
        <v>9</v>
      </c>
      <c r="AG1255" t="s">
        <v>158</v>
      </c>
      <c r="AH1255">
        <v>0</v>
      </c>
      <c r="AI1255">
        <v>3</v>
      </c>
      <c r="AJ1255">
        <v>1</v>
      </c>
      <c r="AK1255">
        <v>0</v>
      </c>
      <c r="AL1255" t="s">
        <v>2465</v>
      </c>
      <c r="AM1255">
        <v>46.823044000000003</v>
      </c>
      <c r="AN1255" t="s">
        <v>2466</v>
      </c>
      <c r="AO1255">
        <v>-122.647419</v>
      </c>
      <c r="AP1255">
        <v>100</v>
      </c>
      <c r="AQ1255">
        <v>2000</v>
      </c>
      <c r="AR1255" t="s">
        <v>118</v>
      </c>
      <c r="AS1255">
        <v>-75</v>
      </c>
      <c r="AT1255">
        <v>-38</v>
      </c>
      <c r="AU1255">
        <v>128</v>
      </c>
      <c r="BC1255">
        <v>1200</v>
      </c>
      <c r="BD1255">
        <v>1</v>
      </c>
      <c r="BE1255" t="str">
        <f t="shared" si="59"/>
        <v xml:space="preserve">N215T   </v>
      </c>
      <c r="BF1255">
        <v>1</v>
      </c>
      <c r="BH1255">
        <v>0</v>
      </c>
      <c r="BI1255">
        <v>0</v>
      </c>
      <c r="BJ1255">
        <v>0</v>
      </c>
      <c r="BK1255">
        <v>2350</v>
      </c>
      <c r="BL1255">
        <v>350</v>
      </c>
      <c r="BM1255" t="s">
        <v>119</v>
      </c>
      <c r="BN1255">
        <v>1</v>
      </c>
      <c r="BO1255">
        <v>1</v>
      </c>
      <c r="BP1255">
        <v>1</v>
      </c>
      <c r="BQ1255">
        <v>0</v>
      </c>
      <c r="BT1255">
        <v>0</v>
      </c>
      <c r="BU1255">
        <v>0</v>
      </c>
      <c r="BV1255">
        <v>0</v>
      </c>
      <c r="CC1255" t="str">
        <f>"18:55:38.906"</f>
        <v>18:55:38.906</v>
      </c>
      <c r="CD1255" t="str">
        <f>"904978211"</f>
        <v>904978211</v>
      </c>
      <c r="CQ1255">
        <v>0</v>
      </c>
      <c r="CR1255">
        <v>2</v>
      </c>
      <c r="CS1255">
        <v>0</v>
      </c>
      <c r="CT1255">
        <v>2</v>
      </c>
      <c r="CU1255">
        <v>0</v>
      </c>
      <c r="CV1255">
        <v>4</v>
      </c>
      <c r="CW1255" t="s">
        <v>120</v>
      </c>
      <c r="CX1255">
        <v>261</v>
      </c>
      <c r="CY1255">
        <v>2</v>
      </c>
      <c r="CZ1255" t="s">
        <v>121</v>
      </c>
      <c r="DA1255" t="s">
        <v>122</v>
      </c>
      <c r="DD1255">
        <v>14950926</v>
      </c>
      <c r="DE1255" t="s">
        <v>123</v>
      </c>
    </row>
    <row r="1256" spans="1:109" x14ac:dyDescent="0.3">
      <c r="A1256" t="str">
        <f>"18:55:40.047"</f>
        <v>18:55:40.047</v>
      </c>
      <c r="B1256" t="s">
        <v>110</v>
      </c>
      <c r="C1256" t="str">
        <f t="shared" si="57"/>
        <v>ffdfd3c0</v>
      </c>
      <c r="D1256" t="s">
        <v>111</v>
      </c>
      <c r="E1256">
        <v>18</v>
      </c>
      <c r="F1256">
        <v>1018</v>
      </c>
      <c r="G1256" t="s">
        <v>112</v>
      </c>
      <c r="J1256" t="s">
        <v>113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R1256" t="s">
        <v>114</v>
      </c>
      <c r="S1256" t="str">
        <f>"18:55:39.813"</f>
        <v>18:55:39.813</v>
      </c>
      <c r="T1256" t="str">
        <f>"18:55:39.414"</f>
        <v>18:55:39.414</v>
      </c>
      <c r="U1256" t="str">
        <f t="shared" si="58"/>
        <v>a1cdbe</v>
      </c>
      <c r="V1256">
        <v>0</v>
      </c>
      <c r="W1256">
        <v>0</v>
      </c>
      <c r="X1256">
        <v>1</v>
      </c>
      <c r="Y1256">
        <v>0</v>
      </c>
      <c r="Z1256">
        <v>0</v>
      </c>
      <c r="AB1256">
        <v>0</v>
      </c>
      <c r="AC1256">
        <v>9</v>
      </c>
      <c r="AD1256">
        <v>3</v>
      </c>
      <c r="AE1256">
        <v>0</v>
      </c>
      <c r="AF1256">
        <v>9</v>
      </c>
      <c r="AG1256" t="s">
        <v>158</v>
      </c>
      <c r="AH1256">
        <v>0</v>
      </c>
      <c r="AI1256">
        <v>3</v>
      </c>
      <c r="AJ1256">
        <v>1</v>
      </c>
      <c r="AK1256">
        <v>0</v>
      </c>
      <c r="AL1256" t="s">
        <v>2467</v>
      </c>
      <c r="AM1256">
        <v>46.822851</v>
      </c>
      <c r="AN1256" t="s">
        <v>2468</v>
      </c>
      <c r="AO1256">
        <v>-122.64793400000001</v>
      </c>
      <c r="AP1256">
        <v>100</v>
      </c>
      <c r="AQ1256">
        <v>2000</v>
      </c>
      <c r="AR1256" t="s">
        <v>118</v>
      </c>
      <c r="AS1256">
        <v>-75</v>
      </c>
      <c r="AT1256">
        <v>-38</v>
      </c>
      <c r="AU1256">
        <v>192</v>
      </c>
      <c r="BC1256">
        <v>1200</v>
      </c>
      <c r="BD1256">
        <v>1</v>
      </c>
      <c r="BE1256" t="str">
        <f t="shared" si="59"/>
        <v xml:space="preserve">N215T   </v>
      </c>
      <c r="BF1256">
        <v>1</v>
      </c>
      <c r="BH1256">
        <v>0</v>
      </c>
      <c r="BI1256">
        <v>0</v>
      </c>
      <c r="BJ1256">
        <v>0</v>
      </c>
      <c r="BK1256">
        <v>2350</v>
      </c>
      <c r="BL1256">
        <v>350</v>
      </c>
      <c r="BM1256" t="s">
        <v>119</v>
      </c>
      <c r="BN1256">
        <v>1</v>
      </c>
      <c r="BO1256">
        <v>1</v>
      </c>
      <c r="BP1256">
        <v>1</v>
      </c>
      <c r="BQ1256">
        <v>0</v>
      </c>
      <c r="BT1256">
        <v>0</v>
      </c>
      <c r="BU1256">
        <v>0</v>
      </c>
      <c r="BV1256">
        <v>0</v>
      </c>
      <c r="CC1256" t="str">
        <f>"18:55:39.820"</f>
        <v>18:55:39.820</v>
      </c>
      <c r="CD1256" t="str">
        <f>"819888179"</f>
        <v>819888179</v>
      </c>
      <c r="CQ1256">
        <v>0</v>
      </c>
      <c r="CR1256">
        <v>2</v>
      </c>
      <c r="CS1256">
        <v>0</v>
      </c>
      <c r="CT1256">
        <v>2</v>
      </c>
      <c r="CU1256">
        <v>0</v>
      </c>
      <c r="CV1256">
        <v>5</v>
      </c>
      <c r="CW1256" t="s">
        <v>120</v>
      </c>
      <c r="CX1256">
        <v>261</v>
      </c>
      <c r="CY1256">
        <v>2</v>
      </c>
      <c r="CZ1256" t="s">
        <v>121</v>
      </c>
      <c r="DA1256" t="s">
        <v>122</v>
      </c>
      <c r="DD1256">
        <v>14951588</v>
      </c>
      <c r="DE1256" t="s">
        <v>123</v>
      </c>
    </row>
    <row r="1257" spans="1:109" x14ac:dyDescent="0.3">
      <c r="A1257" t="str">
        <f>"18:55:41.203"</f>
        <v>18:55:41.203</v>
      </c>
      <c r="B1257" t="s">
        <v>110</v>
      </c>
      <c r="C1257" t="str">
        <f t="shared" si="57"/>
        <v>ffdfd3c0</v>
      </c>
      <c r="D1257" t="s">
        <v>111</v>
      </c>
      <c r="E1257">
        <v>18</v>
      </c>
      <c r="F1257">
        <v>1018</v>
      </c>
      <c r="G1257" t="s">
        <v>112</v>
      </c>
      <c r="J1257" t="s">
        <v>113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R1257" t="s">
        <v>114</v>
      </c>
      <c r="S1257" t="str">
        <f>"18:55:40.938"</f>
        <v>18:55:40.938</v>
      </c>
      <c r="T1257" t="str">
        <f>"18:55:40.938"</f>
        <v>18:55:40.938</v>
      </c>
      <c r="U1257" t="str">
        <f t="shared" si="58"/>
        <v>a1cdbe</v>
      </c>
      <c r="V1257">
        <v>0</v>
      </c>
      <c r="W1257">
        <v>0</v>
      </c>
      <c r="X1257">
        <v>1</v>
      </c>
      <c r="Y1257">
        <v>0</v>
      </c>
      <c r="Z1257">
        <v>0</v>
      </c>
      <c r="AB1257">
        <v>0</v>
      </c>
      <c r="AC1257">
        <v>9</v>
      </c>
      <c r="AD1257">
        <v>3</v>
      </c>
      <c r="AE1257">
        <v>0</v>
      </c>
      <c r="AF1257">
        <v>9</v>
      </c>
      <c r="AG1257" t="s">
        <v>158</v>
      </c>
      <c r="AH1257">
        <v>0</v>
      </c>
      <c r="AI1257">
        <v>3</v>
      </c>
      <c r="AJ1257">
        <v>1</v>
      </c>
      <c r="AK1257">
        <v>0</v>
      </c>
      <c r="AL1257" t="s">
        <v>2469</v>
      </c>
      <c r="AM1257">
        <v>46.822657999999997</v>
      </c>
      <c r="AN1257" t="s">
        <v>2470</v>
      </c>
      <c r="AO1257">
        <v>-122.648492</v>
      </c>
      <c r="AP1257">
        <v>100</v>
      </c>
      <c r="AQ1257">
        <v>2000</v>
      </c>
      <c r="AR1257" t="s">
        <v>118</v>
      </c>
      <c r="AS1257">
        <v>-74</v>
      </c>
      <c r="AT1257">
        <v>-38</v>
      </c>
      <c r="AU1257">
        <v>256</v>
      </c>
      <c r="BC1257">
        <v>1200</v>
      </c>
      <c r="BD1257">
        <v>1</v>
      </c>
      <c r="BE1257" t="str">
        <f t="shared" si="59"/>
        <v xml:space="preserve">N215T   </v>
      </c>
      <c r="BF1257">
        <v>1</v>
      </c>
      <c r="BH1257">
        <v>0</v>
      </c>
      <c r="BI1257">
        <v>0</v>
      </c>
      <c r="BJ1257">
        <v>0</v>
      </c>
      <c r="BK1257">
        <v>2350</v>
      </c>
      <c r="BL1257">
        <v>350</v>
      </c>
      <c r="BM1257" t="s">
        <v>119</v>
      </c>
      <c r="BN1257">
        <v>1</v>
      </c>
      <c r="BO1257">
        <v>1</v>
      </c>
      <c r="BP1257">
        <v>1</v>
      </c>
      <c r="BQ1257">
        <v>0</v>
      </c>
      <c r="BT1257">
        <v>0</v>
      </c>
      <c r="BU1257">
        <v>0</v>
      </c>
      <c r="BV1257">
        <v>0</v>
      </c>
      <c r="CC1257" t="str">
        <f>"18:55:40.945"</f>
        <v>18:55:40.945</v>
      </c>
      <c r="CD1257" t="str">
        <f>"944777449"</f>
        <v>944777449</v>
      </c>
      <c r="CQ1257">
        <v>0</v>
      </c>
      <c r="CR1257">
        <v>2</v>
      </c>
      <c r="CS1257">
        <v>0</v>
      </c>
      <c r="CT1257">
        <v>2</v>
      </c>
      <c r="CU1257">
        <v>0</v>
      </c>
      <c r="CV1257">
        <v>5</v>
      </c>
      <c r="CW1257" t="s">
        <v>120</v>
      </c>
      <c r="CX1257">
        <v>261</v>
      </c>
      <c r="CY1257">
        <v>2</v>
      </c>
      <c r="CZ1257" t="s">
        <v>121</v>
      </c>
      <c r="DA1257" t="s">
        <v>122</v>
      </c>
      <c r="DD1257">
        <v>14952282</v>
      </c>
      <c r="DE1257" t="s">
        <v>123</v>
      </c>
    </row>
    <row r="1258" spans="1:109" x14ac:dyDescent="0.3">
      <c r="A1258" t="str">
        <f>"18:55:42.109"</f>
        <v>18:55:42.109</v>
      </c>
      <c r="B1258" t="s">
        <v>110</v>
      </c>
      <c r="C1258" t="str">
        <f t="shared" si="57"/>
        <v>ffdfd3c0</v>
      </c>
      <c r="D1258" t="s">
        <v>111</v>
      </c>
      <c r="E1258">
        <v>18</v>
      </c>
      <c r="F1258">
        <v>1018</v>
      </c>
      <c r="G1258" t="s">
        <v>112</v>
      </c>
      <c r="J1258" t="s">
        <v>113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R1258" t="s">
        <v>114</v>
      </c>
      <c r="S1258" t="str">
        <f>"18:55:41.914"</f>
        <v>18:55:41.914</v>
      </c>
      <c r="T1258" t="str">
        <f>"18:55:41.914"</f>
        <v>18:55:41.914</v>
      </c>
      <c r="U1258" t="str">
        <f t="shared" si="58"/>
        <v>a1cdbe</v>
      </c>
      <c r="V1258">
        <v>0</v>
      </c>
      <c r="W1258">
        <v>0</v>
      </c>
      <c r="X1258">
        <v>1</v>
      </c>
      <c r="Y1258">
        <v>0</v>
      </c>
      <c r="Z1258">
        <v>0</v>
      </c>
      <c r="AB1258">
        <v>0</v>
      </c>
      <c r="AC1258">
        <v>9</v>
      </c>
      <c r="AD1258">
        <v>3</v>
      </c>
      <c r="AE1258">
        <v>0</v>
      </c>
      <c r="AF1258">
        <v>9</v>
      </c>
      <c r="AG1258" t="s">
        <v>158</v>
      </c>
      <c r="AH1258">
        <v>0</v>
      </c>
      <c r="AI1258">
        <v>3</v>
      </c>
      <c r="AJ1258">
        <v>1</v>
      </c>
      <c r="AK1258">
        <v>0</v>
      </c>
      <c r="AL1258" t="s">
        <v>2471</v>
      </c>
      <c r="AM1258">
        <v>46.822529000000003</v>
      </c>
      <c r="AN1258" t="s">
        <v>2472</v>
      </c>
      <c r="AO1258">
        <v>-122.6489</v>
      </c>
      <c r="AP1258">
        <v>100</v>
      </c>
      <c r="AQ1258">
        <v>2000</v>
      </c>
      <c r="AR1258" t="s">
        <v>118</v>
      </c>
      <c r="AS1258">
        <v>-74</v>
      </c>
      <c r="AT1258">
        <v>-37</v>
      </c>
      <c r="AU1258">
        <v>256</v>
      </c>
      <c r="BC1258">
        <v>1200</v>
      </c>
      <c r="BD1258">
        <v>1</v>
      </c>
      <c r="BE1258" t="str">
        <f t="shared" si="59"/>
        <v xml:space="preserve">N215T   </v>
      </c>
      <c r="BF1258">
        <v>1</v>
      </c>
      <c r="BH1258">
        <v>0</v>
      </c>
      <c r="BI1258">
        <v>0</v>
      </c>
      <c r="BJ1258">
        <v>0</v>
      </c>
      <c r="BK1258">
        <v>2350</v>
      </c>
      <c r="BL1258">
        <v>350</v>
      </c>
      <c r="BM1258" t="s">
        <v>119</v>
      </c>
      <c r="BN1258">
        <v>1</v>
      </c>
      <c r="BO1258">
        <v>1</v>
      </c>
      <c r="BP1258">
        <v>1</v>
      </c>
      <c r="BQ1258">
        <v>0</v>
      </c>
      <c r="BT1258">
        <v>0</v>
      </c>
      <c r="BU1258">
        <v>0</v>
      </c>
      <c r="BV1258">
        <v>0</v>
      </c>
      <c r="CC1258" t="str">
        <f>"18:55:41.922"</f>
        <v>18:55:41.922</v>
      </c>
      <c r="CD1258" t="str">
        <f>"919681479"</f>
        <v>919681479</v>
      </c>
      <c r="CQ1258">
        <v>0</v>
      </c>
      <c r="CR1258">
        <v>2</v>
      </c>
      <c r="CS1258">
        <v>0</v>
      </c>
      <c r="CT1258">
        <v>2</v>
      </c>
      <c r="CU1258">
        <v>0</v>
      </c>
      <c r="CV1258">
        <v>5</v>
      </c>
      <c r="CW1258" t="s">
        <v>120</v>
      </c>
      <c r="CX1258">
        <v>261</v>
      </c>
      <c r="CY1258">
        <v>2</v>
      </c>
      <c r="CZ1258" t="s">
        <v>121</v>
      </c>
      <c r="DA1258" t="s">
        <v>122</v>
      </c>
      <c r="DD1258">
        <v>14952942</v>
      </c>
      <c r="DE1258" t="s">
        <v>123</v>
      </c>
    </row>
    <row r="1259" spans="1:109" x14ac:dyDescent="0.3">
      <c r="A1259" t="str">
        <f>"18:55:43.164"</f>
        <v>18:55:43.164</v>
      </c>
      <c r="B1259" t="s">
        <v>110</v>
      </c>
      <c r="C1259" t="str">
        <f t="shared" si="57"/>
        <v>ffdfd3c0</v>
      </c>
      <c r="D1259" t="s">
        <v>111</v>
      </c>
      <c r="E1259">
        <v>18</v>
      </c>
      <c r="F1259">
        <v>1018</v>
      </c>
      <c r="G1259" t="s">
        <v>112</v>
      </c>
      <c r="J1259" t="s">
        <v>113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R1259" t="s">
        <v>114</v>
      </c>
      <c r="S1259" t="str">
        <f>"18:55:42.922"</f>
        <v>18:55:42.922</v>
      </c>
      <c r="T1259" t="str">
        <f>"18:55:42.523"</f>
        <v>18:55:42.523</v>
      </c>
      <c r="U1259" t="str">
        <f t="shared" si="58"/>
        <v>a1cdbe</v>
      </c>
      <c r="V1259">
        <v>0</v>
      </c>
      <c r="W1259">
        <v>0</v>
      </c>
      <c r="X1259">
        <v>1</v>
      </c>
      <c r="Y1259">
        <v>0</v>
      </c>
      <c r="Z1259">
        <v>0</v>
      </c>
      <c r="AB1259">
        <v>0</v>
      </c>
      <c r="AC1259">
        <v>9</v>
      </c>
      <c r="AD1259">
        <v>3</v>
      </c>
      <c r="AE1259">
        <v>0</v>
      </c>
      <c r="AF1259">
        <v>9</v>
      </c>
      <c r="AG1259" t="s">
        <v>158</v>
      </c>
      <c r="AH1259">
        <v>0</v>
      </c>
      <c r="AI1259">
        <v>3</v>
      </c>
      <c r="AJ1259">
        <v>1</v>
      </c>
      <c r="AK1259">
        <v>0</v>
      </c>
      <c r="AL1259" t="s">
        <v>2473</v>
      </c>
      <c r="AM1259">
        <v>46.822313999999999</v>
      </c>
      <c r="AN1259" t="s">
        <v>2474</v>
      </c>
      <c r="AO1259">
        <v>-122.649415</v>
      </c>
      <c r="AP1259">
        <v>100</v>
      </c>
      <c r="AQ1259">
        <v>2000</v>
      </c>
      <c r="AR1259" t="s">
        <v>118</v>
      </c>
      <c r="AS1259">
        <v>-74</v>
      </c>
      <c r="AT1259">
        <v>-37</v>
      </c>
      <c r="AU1259">
        <v>256</v>
      </c>
      <c r="BC1259">
        <v>1200</v>
      </c>
      <c r="BD1259">
        <v>1</v>
      </c>
      <c r="BE1259" t="str">
        <f t="shared" si="59"/>
        <v xml:space="preserve">N215T   </v>
      </c>
      <c r="BF1259">
        <v>1</v>
      </c>
      <c r="BH1259">
        <v>0</v>
      </c>
      <c r="BI1259">
        <v>0</v>
      </c>
      <c r="BJ1259">
        <v>0</v>
      </c>
      <c r="BK1259">
        <v>2350</v>
      </c>
      <c r="BL1259">
        <v>350</v>
      </c>
      <c r="BM1259" t="s">
        <v>119</v>
      </c>
      <c r="BN1259">
        <v>1</v>
      </c>
      <c r="BO1259">
        <v>1</v>
      </c>
      <c r="BP1259">
        <v>1</v>
      </c>
      <c r="BQ1259">
        <v>0</v>
      </c>
      <c r="BT1259">
        <v>0</v>
      </c>
      <c r="BU1259">
        <v>0</v>
      </c>
      <c r="BV1259">
        <v>0</v>
      </c>
      <c r="CC1259" t="str">
        <f>"18:55:42.922"</f>
        <v>18:55:42.922</v>
      </c>
      <c r="CD1259" t="str">
        <f>"924582560"</f>
        <v>924582560</v>
      </c>
      <c r="CQ1259">
        <v>0</v>
      </c>
      <c r="CR1259">
        <v>2</v>
      </c>
      <c r="CS1259">
        <v>0</v>
      </c>
      <c r="CT1259">
        <v>2</v>
      </c>
      <c r="CU1259">
        <v>0</v>
      </c>
      <c r="CV1259">
        <v>5</v>
      </c>
      <c r="CW1259" t="s">
        <v>120</v>
      </c>
      <c r="CX1259">
        <v>261</v>
      </c>
      <c r="CY1259">
        <v>2</v>
      </c>
      <c r="CZ1259" t="s">
        <v>121</v>
      </c>
      <c r="DA1259" t="s">
        <v>122</v>
      </c>
      <c r="DD1259">
        <v>14953634</v>
      </c>
      <c r="DE1259" t="s">
        <v>123</v>
      </c>
    </row>
    <row r="1260" spans="1:109" x14ac:dyDescent="0.3">
      <c r="A1260" t="str">
        <f>"18:55:44.227"</f>
        <v>18:55:44.227</v>
      </c>
      <c r="B1260" t="s">
        <v>110</v>
      </c>
      <c r="C1260" t="str">
        <f t="shared" si="57"/>
        <v>ffdfd3c0</v>
      </c>
      <c r="D1260" t="s">
        <v>111</v>
      </c>
      <c r="E1260">
        <v>18</v>
      </c>
      <c r="F1260">
        <v>1018</v>
      </c>
      <c r="G1260" t="s">
        <v>112</v>
      </c>
      <c r="J1260" t="s">
        <v>113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R1260" t="s">
        <v>114</v>
      </c>
      <c r="S1260" t="str">
        <f>"18:55:43.984"</f>
        <v>18:55:43.984</v>
      </c>
      <c r="T1260" t="str">
        <f>"18:55:43.586"</f>
        <v>18:55:43.586</v>
      </c>
      <c r="U1260" t="str">
        <f t="shared" si="58"/>
        <v>a1cdbe</v>
      </c>
      <c r="V1260">
        <v>0</v>
      </c>
      <c r="W1260">
        <v>0</v>
      </c>
      <c r="X1260">
        <v>1</v>
      </c>
      <c r="Y1260">
        <v>0</v>
      </c>
      <c r="Z1260">
        <v>0</v>
      </c>
      <c r="AB1260">
        <v>0</v>
      </c>
      <c r="AC1260">
        <v>9</v>
      </c>
      <c r="AD1260">
        <v>3</v>
      </c>
      <c r="AE1260">
        <v>0</v>
      </c>
      <c r="AF1260">
        <v>9</v>
      </c>
      <c r="AG1260" t="s">
        <v>158</v>
      </c>
      <c r="AH1260">
        <v>0</v>
      </c>
      <c r="AI1260">
        <v>3</v>
      </c>
      <c r="AJ1260">
        <v>1</v>
      </c>
      <c r="AK1260">
        <v>0</v>
      </c>
      <c r="AL1260" t="s">
        <v>2475</v>
      </c>
      <c r="AM1260">
        <v>46.822121000000003</v>
      </c>
      <c r="AN1260" t="s">
        <v>2476</v>
      </c>
      <c r="AO1260">
        <v>-122.649951</v>
      </c>
      <c r="AP1260">
        <v>100</v>
      </c>
      <c r="AQ1260">
        <v>2000</v>
      </c>
      <c r="AR1260" t="s">
        <v>118</v>
      </c>
      <c r="AS1260">
        <v>-73</v>
      </c>
      <c r="AT1260">
        <v>-37</v>
      </c>
      <c r="AU1260">
        <v>320</v>
      </c>
      <c r="BC1260">
        <v>1200</v>
      </c>
      <c r="BD1260">
        <v>1</v>
      </c>
      <c r="BE1260" t="str">
        <f t="shared" si="59"/>
        <v xml:space="preserve">N215T   </v>
      </c>
      <c r="BF1260">
        <v>1</v>
      </c>
      <c r="BH1260">
        <v>0</v>
      </c>
      <c r="BI1260">
        <v>0</v>
      </c>
      <c r="BJ1260">
        <v>0</v>
      </c>
      <c r="BK1260">
        <v>2375</v>
      </c>
      <c r="BL1260">
        <v>375</v>
      </c>
      <c r="BM1260" t="s">
        <v>119</v>
      </c>
      <c r="BN1260">
        <v>1</v>
      </c>
      <c r="BO1260">
        <v>1</v>
      </c>
      <c r="BP1260">
        <v>1</v>
      </c>
      <c r="BQ1260">
        <v>0</v>
      </c>
      <c r="BT1260">
        <v>0</v>
      </c>
      <c r="BU1260">
        <v>0</v>
      </c>
      <c r="BV1260">
        <v>0</v>
      </c>
      <c r="CC1260" t="str">
        <f>"18:55:43.992"</f>
        <v>18:55:43.992</v>
      </c>
      <c r="CD1260" t="str">
        <f>"989477750"</f>
        <v>989477750</v>
      </c>
      <c r="CQ1260">
        <v>0</v>
      </c>
      <c r="CR1260">
        <v>2</v>
      </c>
      <c r="CS1260">
        <v>0</v>
      </c>
      <c r="CT1260">
        <v>2</v>
      </c>
      <c r="CU1260">
        <v>0</v>
      </c>
      <c r="CV1260">
        <v>5</v>
      </c>
      <c r="CW1260" t="s">
        <v>120</v>
      </c>
      <c r="CX1260">
        <v>261</v>
      </c>
      <c r="CY1260">
        <v>2</v>
      </c>
      <c r="CZ1260" t="s">
        <v>121</v>
      </c>
      <c r="DA1260" t="s">
        <v>122</v>
      </c>
      <c r="DD1260">
        <v>14954388</v>
      </c>
      <c r="DE1260" t="s">
        <v>123</v>
      </c>
    </row>
    <row r="1261" spans="1:109" x14ac:dyDescent="0.3">
      <c r="A1261" t="str">
        <f>"18:55:45.180"</f>
        <v>18:55:45.180</v>
      </c>
      <c r="B1261" t="s">
        <v>110</v>
      </c>
      <c r="C1261" t="str">
        <f t="shared" si="57"/>
        <v>ffdfd3c0</v>
      </c>
      <c r="D1261" t="s">
        <v>111</v>
      </c>
      <c r="E1261">
        <v>18</v>
      </c>
      <c r="F1261">
        <v>1018</v>
      </c>
      <c r="G1261" t="s">
        <v>112</v>
      </c>
      <c r="J1261" t="s">
        <v>113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R1261" t="s">
        <v>114</v>
      </c>
      <c r="S1261" t="str">
        <f>"18:55:44.945"</f>
        <v>18:55:44.945</v>
      </c>
      <c r="T1261" t="str">
        <f>"18:55:44.742"</f>
        <v>18:55:44.742</v>
      </c>
      <c r="U1261" t="str">
        <f t="shared" si="58"/>
        <v>a1cdbe</v>
      </c>
      <c r="V1261">
        <v>0</v>
      </c>
      <c r="W1261">
        <v>0</v>
      </c>
      <c r="X1261">
        <v>1</v>
      </c>
      <c r="Y1261">
        <v>0</v>
      </c>
      <c r="Z1261">
        <v>0</v>
      </c>
      <c r="AB1261">
        <v>0</v>
      </c>
      <c r="AC1261">
        <v>9</v>
      </c>
      <c r="AD1261">
        <v>3</v>
      </c>
      <c r="AE1261">
        <v>0</v>
      </c>
      <c r="AF1261">
        <v>9</v>
      </c>
      <c r="AG1261" t="s">
        <v>158</v>
      </c>
      <c r="AH1261">
        <v>0</v>
      </c>
      <c r="AI1261">
        <v>3</v>
      </c>
      <c r="AJ1261">
        <v>1</v>
      </c>
      <c r="AK1261">
        <v>0</v>
      </c>
      <c r="AL1261" t="s">
        <v>2477</v>
      </c>
      <c r="AM1261">
        <v>46.821992000000002</v>
      </c>
      <c r="AN1261" t="s">
        <v>2478</v>
      </c>
      <c r="AO1261">
        <v>-122.650423</v>
      </c>
      <c r="AP1261">
        <v>100</v>
      </c>
      <c r="AQ1261">
        <v>2000</v>
      </c>
      <c r="AR1261" t="s">
        <v>118</v>
      </c>
      <c r="AS1261">
        <v>-73</v>
      </c>
      <c r="AT1261">
        <v>-36</v>
      </c>
      <c r="AU1261">
        <v>256</v>
      </c>
      <c r="BC1261">
        <v>1200</v>
      </c>
      <c r="BD1261">
        <v>1</v>
      </c>
      <c r="BE1261" t="str">
        <f t="shared" si="59"/>
        <v xml:space="preserve">N215T   </v>
      </c>
      <c r="BF1261">
        <v>1</v>
      </c>
      <c r="BH1261">
        <v>0</v>
      </c>
      <c r="BI1261">
        <v>0</v>
      </c>
      <c r="BJ1261">
        <v>0</v>
      </c>
      <c r="BK1261">
        <v>2375</v>
      </c>
      <c r="BL1261">
        <v>375</v>
      </c>
      <c r="BM1261" t="s">
        <v>119</v>
      </c>
      <c r="BN1261">
        <v>1</v>
      </c>
      <c r="BO1261">
        <v>1</v>
      </c>
      <c r="BP1261">
        <v>1</v>
      </c>
      <c r="BQ1261">
        <v>0</v>
      </c>
      <c r="BT1261">
        <v>0</v>
      </c>
      <c r="BU1261">
        <v>0</v>
      </c>
      <c r="BV1261">
        <v>0</v>
      </c>
      <c r="CC1261" t="str">
        <f>"18:55:44.953"</f>
        <v>18:55:44.953</v>
      </c>
      <c r="CD1261" t="str">
        <f>"949383270"</f>
        <v>949383270</v>
      </c>
      <c r="CQ1261">
        <v>0</v>
      </c>
      <c r="CR1261">
        <v>2</v>
      </c>
      <c r="CS1261">
        <v>0</v>
      </c>
      <c r="CT1261">
        <v>2</v>
      </c>
      <c r="CU1261">
        <v>0</v>
      </c>
      <c r="CV1261">
        <v>5</v>
      </c>
      <c r="CW1261" t="s">
        <v>120</v>
      </c>
      <c r="CX1261">
        <v>261</v>
      </c>
      <c r="CY1261">
        <v>2</v>
      </c>
      <c r="CZ1261" t="s">
        <v>121</v>
      </c>
      <c r="DA1261" t="s">
        <v>122</v>
      </c>
      <c r="DD1261">
        <v>14955004</v>
      </c>
      <c r="DE1261" t="s">
        <v>123</v>
      </c>
    </row>
    <row r="1262" spans="1:109" x14ac:dyDescent="0.3">
      <c r="A1262" t="str">
        <f>"18:55:46.188"</f>
        <v>18:55:46.188</v>
      </c>
      <c r="B1262" t="s">
        <v>110</v>
      </c>
      <c r="C1262" t="str">
        <f t="shared" si="57"/>
        <v>ffdfd3c0</v>
      </c>
      <c r="D1262" t="s">
        <v>111</v>
      </c>
      <c r="E1262">
        <v>18</v>
      </c>
      <c r="F1262">
        <v>1018</v>
      </c>
      <c r="G1262" t="s">
        <v>112</v>
      </c>
      <c r="J1262" t="s">
        <v>113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R1262" t="s">
        <v>114</v>
      </c>
      <c r="S1262" t="str">
        <f>"18:55:45.938"</f>
        <v>18:55:45.938</v>
      </c>
      <c r="T1262" t="str">
        <f>"18:55:45.641"</f>
        <v>18:55:45.641</v>
      </c>
      <c r="U1262" t="str">
        <f t="shared" si="58"/>
        <v>a1cdbe</v>
      </c>
      <c r="V1262">
        <v>0</v>
      </c>
      <c r="W1262">
        <v>0</v>
      </c>
      <c r="X1262">
        <v>1</v>
      </c>
      <c r="Y1262">
        <v>0</v>
      </c>
      <c r="Z1262">
        <v>0</v>
      </c>
      <c r="AB1262">
        <v>0</v>
      </c>
      <c r="AC1262">
        <v>9</v>
      </c>
      <c r="AD1262">
        <v>3</v>
      </c>
      <c r="AE1262">
        <v>0</v>
      </c>
      <c r="AF1262">
        <v>9</v>
      </c>
      <c r="AG1262" t="s">
        <v>158</v>
      </c>
      <c r="AH1262">
        <v>0</v>
      </c>
      <c r="AI1262">
        <v>3</v>
      </c>
      <c r="AJ1262">
        <v>1</v>
      </c>
      <c r="AK1262">
        <v>0</v>
      </c>
      <c r="AL1262" t="s">
        <v>2479</v>
      </c>
      <c r="AM1262">
        <v>46.821821</v>
      </c>
      <c r="AN1262" t="s">
        <v>2480</v>
      </c>
      <c r="AO1262">
        <v>-122.65089500000001</v>
      </c>
      <c r="AP1262">
        <v>100</v>
      </c>
      <c r="AQ1262">
        <v>2000</v>
      </c>
      <c r="AR1262" t="s">
        <v>118</v>
      </c>
      <c r="AS1262">
        <v>-73</v>
      </c>
      <c r="AT1262">
        <v>-36</v>
      </c>
      <c r="AU1262">
        <v>256</v>
      </c>
      <c r="BC1262">
        <v>1200</v>
      </c>
      <c r="BD1262">
        <v>1</v>
      </c>
      <c r="BE1262" t="str">
        <f t="shared" si="59"/>
        <v xml:space="preserve">N215T   </v>
      </c>
      <c r="BF1262">
        <v>1</v>
      </c>
      <c r="BH1262">
        <v>0</v>
      </c>
      <c r="BI1262">
        <v>0</v>
      </c>
      <c r="BJ1262">
        <v>0</v>
      </c>
      <c r="BK1262">
        <v>2375</v>
      </c>
      <c r="BL1262">
        <v>375</v>
      </c>
      <c r="BM1262" t="s">
        <v>119</v>
      </c>
      <c r="BN1262">
        <v>1</v>
      </c>
      <c r="BO1262">
        <v>1</v>
      </c>
      <c r="BP1262">
        <v>1</v>
      </c>
      <c r="BQ1262">
        <v>0</v>
      </c>
      <c r="BT1262">
        <v>0</v>
      </c>
      <c r="BU1262">
        <v>0</v>
      </c>
      <c r="BV1262">
        <v>0</v>
      </c>
      <c r="CC1262" t="str">
        <f>"18:55:45.938"</f>
        <v>18:55:45.938</v>
      </c>
      <c r="CD1262" t="str">
        <f>"939285831"</f>
        <v>939285831</v>
      </c>
      <c r="CQ1262">
        <v>0</v>
      </c>
      <c r="CR1262">
        <v>2</v>
      </c>
      <c r="CS1262">
        <v>0</v>
      </c>
      <c r="CT1262">
        <v>2</v>
      </c>
      <c r="CU1262">
        <v>0</v>
      </c>
      <c r="CV1262">
        <v>5</v>
      </c>
      <c r="CW1262" t="s">
        <v>120</v>
      </c>
      <c r="CX1262">
        <v>261</v>
      </c>
      <c r="CY1262">
        <v>2</v>
      </c>
      <c r="CZ1262" t="s">
        <v>121</v>
      </c>
      <c r="DA1262" t="s">
        <v>122</v>
      </c>
      <c r="DD1262">
        <v>14955630</v>
      </c>
      <c r="DE1262" t="s">
        <v>123</v>
      </c>
    </row>
    <row r="1263" spans="1:109" x14ac:dyDescent="0.3">
      <c r="A1263" t="str">
        <f>"18:55:47.188"</f>
        <v>18:55:47.188</v>
      </c>
      <c r="B1263" t="s">
        <v>110</v>
      </c>
      <c r="C1263" t="str">
        <f t="shared" si="57"/>
        <v>ffdfd3c0</v>
      </c>
      <c r="D1263" t="s">
        <v>111</v>
      </c>
      <c r="E1263">
        <v>18</v>
      </c>
      <c r="F1263">
        <v>1018</v>
      </c>
      <c r="G1263" t="s">
        <v>112</v>
      </c>
      <c r="J1263" t="s">
        <v>113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R1263" t="s">
        <v>114</v>
      </c>
      <c r="S1263" t="str">
        <f>"18:55:46.914"</f>
        <v>18:55:46.914</v>
      </c>
      <c r="T1263" t="str">
        <f>"18:55:46.813"</f>
        <v>18:55:46.813</v>
      </c>
      <c r="U1263" t="str">
        <f t="shared" si="58"/>
        <v>a1cdbe</v>
      </c>
      <c r="V1263">
        <v>0</v>
      </c>
      <c r="W1263">
        <v>0</v>
      </c>
      <c r="X1263">
        <v>1</v>
      </c>
      <c r="Y1263">
        <v>0</v>
      </c>
      <c r="Z1263">
        <v>0</v>
      </c>
      <c r="AB1263">
        <v>0</v>
      </c>
      <c r="AC1263">
        <v>9</v>
      </c>
      <c r="AD1263">
        <v>3</v>
      </c>
      <c r="AE1263">
        <v>0</v>
      </c>
      <c r="AF1263">
        <v>9</v>
      </c>
      <c r="AG1263" t="s">
        <v>158</v>
      </c>
      <c r="AH1263">
        <v>0</v>
      </c>
      <c r="AI1263">
        <v>3</v>
      </c>
      <c r="AJ1263">
        <v>1</v>
      </c>
      <c r="AK1263">
        <v>0</v>
      </c>
      <c r="AL1263" t="s">
        <v>2481</v>
      </c>
      <c r="AM1263">
        <v>46.821671000000002</v>
      </c>
      <c r="AN1263" t="s">
        <v>2482</v>
      </c>
      <c r="AO1263">
        <v>-122.651432</v>
      </c>
      <c r="AP1263">
        <v>100</v>
      </c>
      <c r="AQ1263">
        <v>2000</v>
      </c>
      <c r="AR1263" t="s">
        <v>118</v>
      </c>
      <c r="AS1263">
        <v>-73</v>
      </c>
      <c r="AT1263">
        <v>-35</v>
      </c>
      <c r="AU1263">
        <v>192</v>
      </c>
      <c r="BC1263">
        <v>1200</v>
      </c>
      <c r="BD1263">
        <v>1</v>
      </c>
      <c r="BE1263" t="str">
        <f t="shared" si="59"/>
        <v xml:space="preserve">N215T   </v>
      </c>
      <c r="BF1263">
        <v>1</v>
      </c>
      <c r="BH1263">
        <v>0</v>
      </c>
      <c r="BI1263">
        <v>0</v>
      </c>
      <c r="BJ1263">
        <v>0</v>
      </c>
      <c r="BK1263">
        <v>2375</v>
      </c>
      <c r="BL1263">
        <v>375</v>
      </c>
      <c r="BM1263" t="s">
        <v>119</v>
      </c>
      <c r="BN1263">
        <v>1</v>
      </c>
      <c r="BO1263">
        <v>1</v>
      </c>
      <c r="BP1263">
        <v>1</v>
      </c>
      <c r="BQ1263">
        <v>0</v>
      </c>
      <c r="BT1263">
        <v>0</v>
      </c>
      <c r="BU1263">
        <v>0</v>
      </c>
      <c r="BV1263">
        <v>0</v>
      </c>
      <c r="CC1263" t="str">
        <f>"18:55:46.914"</f>
        <v>18:55:46.914</v>
      </c>
      <c r="CD1263" t="str">
        <f>"914189856"</f>
        <v>914189856</v>
      </c>
      <c r="CQ1263">
        <v>0</v>
      </c>
      <c r="CR1263">
        <v>2</v>
      </c>
      <c r="CS1263">
        <v>0</v>
      </c>
      <c r="CT1263">
        <v>2</v>
      </c>
      <c r="CU1263">
        <v>0</v>
      </c>
      <c r="CV1263">
        <v>5</v>
      </c>
      <c r="CW1263" t="s">
        <v>120</v>
      </c>
      <c r="CX1263">
        <v>261</v>
      </c>
      <c r="CY1263">
        <v>2</v>
      </c>
      <c r="CZ1263" t="s">
        <v>121</v>
      </c>
      <c r="DA1263" t="s">
        <v>122</v>
      </c>
      <c r="DD1263">
        <v>14956308</v>
      </c>
      <c r="DE1263" t="s">
        <v>123</v>
      </c>
    </row>
    <row r="1264" spans="1:109" x14ac:dyDescent="0.3">
      <c r="A1264" t="str">
        <f>"18:55:48.242"</f>
        <v>18:55:48.242</v>
      </c>
      <c r="B1264" t="s">
        <v>110</v>
      </c>
      <c r="C1264" t="str">
        <f t="shared" si="57"/>
        <v>ffdfd3c0</v>
      </c>
      <c r="D1264" t="s">
        <v>111</v>
      </c>
      <c r="E1264">
        <v>18</v>
      </c>
      <c r="F1264">
        <v>1018</v>
      </c>
      <c r="G1264" t="s">
        <v>112</v>
      </c>
      <c r="J1264" t="s">
        <v>113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R1264" t="s">
        <v>114</v>
      </c>
      <c r="S1264" t="str">
        <f>"18:55:48.023"</f>
        <v>18:55:48.023</v>
      </c>
      <c r="T1264" t="str">
        <f>"18:55:47.727"</f>
        <v>18:55:47.727</v>
      </c>
      <c r="U1264" t="str">
        <f t="shared" si="58"/>
        <v>a1cdbe</v>
      </c>
      <c r="V1264">
        <v>0</v>
      </c>
      <c r="W1264">
        <v>0</v>
      </c>
      <c r="X1264">
        <v>1</v>
      </c>
      <c r="Y1264">
        <v>0</v>
      </c>
      <c r="Z1264">
        <v>0</v>
      </c>
      <c r="AB1264">
        <v>0</v>
      </c>
      <c r="AC1264">
        <v>9</v>
      </c>
      <c r="AD1264">
        <v>3</v>
      </c>
      <c r="AE1264">
        <v>0</v>
      </c>
      <c r="AF1264">
        <v>9</v>
      </c>
      <c r="AG1264" t="s">
        <v>158</v>
      </c>
      <c r="AH1264">
        <v>0</v>
      </c>
      <c r="AI1264">
        <v>3</v>
      </c>
      <c r="AJ1264">
        <v>1</v>
      </c>
      <c r="AK1264">
        <v>0</v>
      </c>
      <c r="AL1264" t="s">
        <v>2483</v>
      </c>
      <c r="AM1264">
        <v>46.821477000000002</v>
      </c>
      <c r="AN1264" t="s">
        <v>2484</v>
      </c>
      <c r="AO1264">
        <v>-122.651968</v>
      </c>
      <c r="AP1264">
        <v>100</v>
      </c>
      <c r="AQ1264">
        <v>2000</v>
      </c>
      <c r="AR1264" t="s">
        <v>118</v>
      </c>
      <c r="AS1264">
        <v>-73</v>
      </c>
      <c r="AT1264">
        <v>-34</v>
      </c>
      <c r="AU1264">
        <v>256</v>
      </c>
      <c r="BC1264">
        <v>1200</v>
      </c>
      <c r="BD1264">
        <v>1</v>
      </c>
      <c r="BE1264" t="str">
        <f t="shared" si="59"/>
        <v xml:space="preserve">N215T   </v>
      </c>
      <c r="BF1264">
        <v>1</v>
      </c>
      <c r="BH1264">
        <v>0</v>
      </c>
      <c r="BI1264">
        <v>0</v>
      </c>
      <c r="BJ1264">
        <v>0</v>
      </c>
      <c r="BK1264">
        <v>2400</v>
      </c>
      <c r="BL1264">
        <v>400</v>
      </c>
      <c r="BM1264" t="s">
        <v>119</v>
      </c>
      <c r="BN1264">
        <v>1</v>
      </c>
      <c r="BO1264">
        <v>1</v>
      </c>
      <c r="BP1264">
        <v>1</v>
      </c>
      <c r="BQ1264">
        <v>0</v>
      </c>
      <c r="BT1264">
        <v>0</v>
      </c>
      <c r="BU1264">
        <v>0</v>
      </c>
      <c r="BV1264">
        <v>0</v>
      </c>
      <c r="CC1264" t="str">
        <f>"18:55:48.023"</f>
        <v>18:55:48.023</v>
      </c>
      <c r="CD1264" t="str">
        <f>"024080604"</f>
        <v>024080604</v>
      </c>
      <c r="CQ1264">
        <v>0</v>
      </c>
      <c r="CR1264">
        <v>2</v>
      </c>
      <c r="CS1264">
        <v>0</v>
      </c>
      <c r="CT1264">
        <v>2</v>
      </c>
      <c r="CU1264">
        <v>0</v>
      </c>
      <c r="CV1264">
        <v>5</v>
      </c>
      <c r="CW1264" t="s">
        <v>120</v>
      </c>
      <c r="CX1264">
        <v>261</v>
      </c>
      <c r="CY1264">
        <v>2</v>
      </c>
      <c r="CZ1264" t="s">
        <v>121</v>
      </c>
      <c r="DA1264" t="s">
        <v>122</v>
      </c>
      <c r="DD1264">
        <v>14957058</v>
      </c>
      <c r="DE1264" t="s">
        <v>123</v>
      </c>
    </row>
    <row r="1265" spans="1:109" x14ac:dyDescent="0.3">
      <c r="A1265" t="str">
        <f>"18:55:49.305"</f>
        <v>18:55:49.305</v>
      </c>
      <c r="B1265" t="s">
        <v>110</v>
      </c>
      <c r="C1265" t="str">
        <f t="shared" si="57"/>
        <v>ffdfd3c0</v>
      </c>
      <c r="D1265" t="s">
        <v>111</v>
      </c>
      <c r="E1265">
        <v>18</v>
      </c>
      <c r="F1265">
        <v>1018</v>
      </c>
      <c r="G1265" t="s">
        <v>112</v>
      </c>
      <c r="J1265" t="s">
        <v>113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R1265" t="s">
        <v>114</v>
      </c>
      <c r="S1265" t="str">
        <f>"18:55:49.070"</f>
        <v>18:55:49.070</v>
      </c>
      <c r="T1265" t="str">
        <f>"18:55:48.672"</f>
        <v>18:55:48.672</v>
      </c>
      <c r="U1265" t="str">
        <f t="shared" si="58"/>
        <v>a1cdbe</v>
      </c>
      <c r="V1265">
        <v>0</v>
      </c>
      <c r="W1265">
        <v>0</v>
      </c>
      <c r="X1265">
        <v>1</v>
      </c>
      <c r="Y1265">
        <v>0</v>
      </c>
      <c r="Z1265">
        <v>0</v>
      </c>
      <c r="AB1265">
        <v>0</v>
      </c>
      <c r="AC1265">
        <v>9</v>
      </c>
      <c r="AD1265">
        <v>3</v>
      </c>
      <c r="AE1265">
        <v>0</v>
      </c>
      <c r="AF1265">
        <v>9</v>
      </c>
      <c r="AG1265" t="s">
        <v>158</v>
      </c>
      <c r="AH1265">
        <v>0</v>
      </c>
      <c r="AI1265">
        <v>3</v>
      </c>
      <c r="AJ1265">
        <v>1</v>
      </c>
      <c r="AK1265">
        <v>0</v>
      </c>
      <c r="AL1265" t="s">
        <v>2485</v>
      </c>
      <c r="AM1265">
        <v>46.821306</v>
      </c>
      <c r="AN1265" t="s">
        <v>2486</v>
      </c>
      <c r="AO1265">
        <v>-122.652462</v>
      </c>
      <c r="AP1265">
        <v>100</v>
      </c>
      <c r="AQ1265">
        <v>2000</v>
      </c>
      <c r="AR1265" t="s">
        <v>118</v>
      </c>
      <c r="AS1265">
        <v>-72</v>
      </c>
      <c r="AT1265">
        <v>-34</v>
      </c>
      <c r="AU1265">
        <v>320</v>
      </c>
      <c r="BC1265">
        <v>1200</v>
      </c>
      <c r="BD1265">
        <v>1</v>
      </c>
      <c r="BE1265" t="str">
        <f t="shared" si="59"/>
        <v xml:space="preserve">N215T   </v>
      </c>
      <c r="BF1265">
        <v>1</v>
      </c>
      <c r="BH1265">
        <v>0</v>
      </c>
      <c r="BI1265">
        <v>0</v>
      </c>
      <c r="BJ1265">
        <v>0</v>
      </c>
      <c r="BK1265">
        <v>2400</v>
      </c>
      <c r="BL1265">
        <v>400</v>
      </c>
      <c r="BM1265" t="s">
        <v>119</v>
      </c>
      <c r="BN1265">
        <v>1</v>
      </c>
      <c r="BO1265">
        <v>1</v>
      </c>
      <c r="BP1265">
        <v>1</v>
      </c>
      <c r="BQ1265">
        <v>0</v>
      </c>
      <c r="BT1265">
        <v>0</v>
      </c>
      <c r="BU1265">
        <v>0</v>
      </c>
      <c r="BV1265">
        <v>0</v>
      </c>
      <c r="CC1265" t="str">
        <f>"18:55:49.070"</f>
        <v>18:55:49.070</v>
      </c>
      <c r="CD1265" t="str">
        <f>"073977267"</f>
        <v>073977267</v>
      </c>
      <c r="CQ1265">
        <v>0</v>
      </c>
      <c r="CR1265">
        <v>2</v>
      </c>
      <c r="CS1265">
        <v>0</v>
      </c>
      <c r="CT1265">
        <v>2</v>
      </c>
      <c r="CU1265">
        <v>0</v>
      </c>
      <c r="CV1265">
        <v>6</v>
      </c>
      <c r="CW1265" t="s">
        <v>120</v>
      </c>
      <c r="CX1265">
        <v>261</v>
      </c>
      <c r="CY1265">
        <v>2</v>
      </c>
      <c r="CZ1265" t="s">
        <v>121</v>
      </c>
      <c r="DA1265" t="s">
        <v>122</v>
      </c>
      <c r="DD1265">
        <v>14957824</v>
      </c>
      <c r="DE1265" t="s">
        <v>123</v>
      </c>
    </row>
    <row r="1266" spans="1:109" x14ac:dyDescent="0.3">
      <c r="A1266" t="str">
        <f>"18:55:50.359"</f>
        <v>18:55:50.359</v>
      </c>
      <c r="B1266" t="s">
        <v>110</v>
      </c>
      <c r="C1266" t="str">
        <f t="shared" si="57"/>
        <v>ffdfd3c0</v>
      </c>
      <c r="D1266" t="s">
        <v>111</v>
      </c>
      <c r="E1266">
        <v>18</v>
      </c>
      <c r="F1266">
        <v>1018</v>
      </c>
      <c r="G1266" t="s">
        <v>112</v>
      </c>
      <c r="J1266" t="s">
        <v>113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R1266" t="s">
        <v>114</v>
      </c>
      <c r="S1266" t="str">
        <f>"18:55:50.102"</f>
        <v>18:55:50.102</v>
      </c>
      <c r="T1266" t="str">
        <f>"18:55:50.102"</f>
        <v>18:55:50.102</v>
      </c>
      <c r="U1266" t="str">
        <f t="shared" si="58"/>
        <v>a1cdbe</v>
      </c>
      <c r="V1266">
        <v>0</v>
      </c>
      <c r="W1266">
        <v>0</v>
      </c>
      <c r="X1266">
        <v>1</v>
      </c>
      <c r="Y1266">
        <v>0</v>
      </c>
      <c r="Z1266">
        <v>0</v>
      </c>
      <c r="AB1266">
        <v>0</v>
      </c>
      <c r="AC1266">
        <v>9</v>
      </c>
      <c r="AD1266">
        <v>3</v>
      </c>
      <c r="AE1266">
        <v>0</v>
      </c>
      <c r="AF1266">
        <v>9</v>
      </c>
      <c r="AG1266" t="s">
        <v>158</v>
      </c>
      <c r="AH1266">
        <v>0</v>
      </c>
      <c r="AI1266">
        <v>3</v>
      </c>
      <c r="AJ1266">
        <v>1</v>
      </c>
      <c r="AK1266">
        <v>0</v>
      </c>
      <c r="AL1266" t="s">
        <v>2487</v>
      </c>
      <c r="AM1266">
        <v>46.821176999999999</v>
      </c>
      <c r="AN1266" t="s">
        <v>2488</v>
      </c>
      <c r="AO1266">
        <v>-122.65297700000001</v>
      </c>
      <c r="AP1266">
        <v>100</v>
      </c>
      <c r="AQ1266">
        <v>2000</v>
      </c>
      <c r="AR1266" t="s">
        <v>118</v>
      </c>
      <c r="AS1266">
        <v>-72</v>
      </c>
      <c r="AT1266">
        <v>-34</v>
      </c>
      <c r="AU1266">
        <v>128</v>
      </c>
      <c r="BC1266">
        <v>1200</v>
      </c>
      <c r="BD1266">
        <v>1</v>
      </c>
      <c r="BE1266" t="str">
        <f t="shared" si="59"/>
        <v xml:space="preserve">N215T   </v>
      </c>
      <c r="BF1266">
        <v>1</v>
      </c>
      <c r="BH1266">
        <v>0</v>
      </c>
      <c r="BI1266">
        <v>0</v>
      </c>
      <c r="BJ1266">
        <v>0</v>
      </c>
      <c r="BK1266">
        <v>2400</v>
      </c>
      <c r="BL1266">
        <v>400</v>
      </c>
      <c r="BM1266" t="s">
        <v>119</v>
      </c>
      <c r="BN1266">
        <v>1</v>
      </c>
      <c r="BO1266">
        <v>1</v>
      </c>
      <c r="BP1266">
        <v>1</v>
      </c>
      <c r="BQ1266">
        <v>0</v>
      </c>
      <c r="BT1266">
        <v>0</v>
      </c>
      <c r="BU1266">
        <v>0</v>
      </c>
      <c r="BV1266">
        <v>0</v>
      </c>
      <c r="CC1266" t="str">
        <f>"18:55:50.109"</f>
        <v>18:55:50.109</v>
      </c>
      <c r="CD1266" t="str">
        <f>"108875399"</f>
        <v>108875399</v>
      </c>
      <c r="CQ1266">
        <v>0</v>
      </c>
      <c r="CR1266">
        <v>2</v>
      </c>
      <c r="CS1266">
        <v>0</v>
      </c>
      <c r="CT1266">
        <v>2</v>
      </c>
      <c r="CU1266">
        <v>0</v>
      </c>
      <c r="CV1266">
        <v>5</v>
      </c>
      <c r="CW1266" t="s">
        <v>120</v>
      </c>
      <c r="CX1266">
        <v>261</v>
      </c>
      <c r="CY1266">
        <v>2</v>
      </c>
      <c r="CZ1266" t="s">
        <v>121</v>
      </c>
      <c r="DA1266" t="s">
        <v>122</v>
      </c>
      <c r="DD1266">
        <v>14958476</v>
      </c>
      <c r="DE1266" t="s">
        <v>123</v>
      </c>
    </row>
    <row r="1267" spans="1:109" x14ac:dyDescent="0.3">
      <c r="A1267" t="str">
        <f>"18:55:51.313"</f>
        <v>18:55:51.313</v>
      </c>
      <c r="B1267" t="s">
        <v>110</v>
      </c>
      <c r="C1267" t="str">
        <f t="shared" si="57"/>
        <v>ffdfd3c0</v>
      </c>
      <c r="D1267" t="s">
        <v>111</v>
      </c>
      <c r="E1267">
        <v>18</v>
      </c>
      <c r="F1267">
        <v>1018</v>
      </c>
      <c r="G1267" t="s">
        <v>112</v>
      </c>
      <c r="J1267" t="s">
        <v>113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R1267" t="s">
        <v>114</v>
      </c>
      <c r="S1267" t="str">
        <f>"18:55:51.063"</f>
        <v>18:55:51.063</v>
      </c>
      <c r="T1267" t="str">
        <f>"18:55:50.961"</f>
        <v>18:55:50.961</v>
      </c>
      <c r="U1267" t="str">
        <f t="shared" si="58"/>
        <v>a1cdbe</v>
      </c>
      <c r="V1267">
        <v>0</v>
      </c>
      <c r="W1267">
        <v>0</v>
      </c>
      <c r="X1267">
        <v>1</v>
      </c>
      <c r="Y1267">
        <v>0</v>
      </c>
      <c r="Z1267">
        <v>0</v>
      </c>
      <c r="AB1267">
        <v>0</v>
      </c>
      <c r="AC1267">
        <v>9</v>
      </c>
      <c r="AD1267">
        <v>3</v>
      </c>
      <c r="AE1267">
        <v>0</v>
      </c>
      <c r="AF1267">
        <v>9</v>
      </c>
      <c r="AG1267" t="s">
        <v>158</v>
      </c>
      <c r="AH1267">
        <v>0</v>
      </c>
      <c r="AI1267">
        <v>3</v>
      </c>
      <c r="AJ1267">
        <v>1</v>
      </c>
      <c r="AK1267">
        <v>0</v>
      </c>
      <c r="AL1267" t="s">
        <v>2489</v>
      </c>
      <c r="AM1267">
        <v>46.820984000000003</v>
      </c>
      <c r="AN1267" t="s">
        <v>2490</v>
      </c>
      <c r="AO1267">
        <v>-122.65342699999999</v>
      </c>
      <c r="AP1267">
        <v>100</v>
      </c>
      <c r="AQ1267">
        <v>2000</v>
      </c>
      <c r="AR1267" t="s">
        <v>118</v>
      </c>
      <c r="AS1267">
        <v>-72</v>
      </c>
      <c r="AT1267">
        <v>-34</v>
      </c>
      <c r="AU1267">
        <v>0</v>
      </c>
      <c r="BC1267">
        <v>1200</v>
      </c>
      <c r="BD1267">
        <v>1</v>
      </c>
      <c r="BE1267" t="str">
        <f t="shared" si="59"/>
        <v xml:space="preserve">N215T   </v>
      </c>
      <c r="BF1267">
        <v>1</v>
      </c>
      <c r="BH1267">
        <v>0</v>
      </c>
      <c r="BI1267">
        <v>0</v>
      </c>
      <c r="BJ1267">
        <v>0</v>
      </c>
      <c r="BK1267">
        <v>2400</v>
      </c>
      <c r="BL1267">
        <v>400</v>
      </c>
      <c r="BM1267" t="s">
        <v>119</v>
      </c>
      <c r="BN1267">
        <v>1</v>
      </c>
      <c r="BO1267">
        <v>1</v>
      </c>
      <c r="BP1267">
        <v>1</v>
      </c>
      <c r="BQ1267">
        <v>0</v>
      </c>
      <c r="BT1267">
        <v>0</v>
      </c>
      <c r="BU1267">
        <v>0</v>
      </c>
      <c r="BV1267">
        <v>0</v>
      </c>
      <c r="CC1267" t="str">
        <f>"18:55:51.070"</f>
        <v>18:55:51.070</v>
      </c>
      <c r="CD1267" t="str">
        <f>"068780918"</f>
        <v>068780918</v>
      </c>
      <c r="CQ1267">
        <v>0</v>
      </c>
      <c r="CR1267">
        <v>2</v>
      </c>
      <c r="CS1267">
        <v>0</v>
      </c>
      <c r="CT1267">
        <v>2</v>
      </c>
      <c r="CU1267">
        <v>0</v>
      </c>
      <c r="CV1267">
        <v>6</v>
      </c>
      <c r="CW1267" t="s">
        <v>120</v>
      </c>
      <c r="CX1267">
        <v>261</v>
      </c>
      <c r="CY1267">
        <v>2</v>
      </c>
      <c r="CZ1267" t="s">
        <v>121</v>
      </c>
      <c r="DA1267" t="s">
        <v>122</v>
      </c>
      <c r="DD1267">
        <v>14959088</v>
      </c>
      <c r="DE1267" t="s">
        <v>123</v>
      </c>
    </row>
    <row r="1268" spans="1:109" x14ac:dyDescent="0.3">
      <c r="A1268" t="str">
        <f>"18:55:52.422"</f>
        <v>18:55:52.422</v>
      </c>
      <c r="B1268" t="s">
        <v>110</v>
      </c>
      <c r="C1268" t="str">
        <f t="shared" si="57"/>
        <v>ffdfd3c0</v>
      </c>
      <c r="D1268" t="s">
        <v>111</v>
      </c>
      <c r="E1268">
        <v>18</v>
      </c>
      <c r="F1268">
        <v>1018</v>
      </c>
      <c r="G1268" t="s">
        <v>112</v>
      </c>
      <c r="J1268" t="s">
        <v>113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R1268" t="s">
        <v>114</v>
      </c>
      <c r="S1268" t="str">
        <f>"18:55:52.156"</f>
        <v>18:55:52.156</v>
      </c>
      <c r="T1268" t="str">
        <f>"18:55:52.055"</f>
        <v>18:55:52.055</v>
      </c>
      <c r="U1268" t="str">
        <f t="shared" si="58"/>
        <v>a1cdbe</v>
      </c>
      <c r="V1268">
        <v>0</v>
      </c>
      <c r="W1268">
        <v>0</v>
      </c>
      <c r="X1268">
        <v>1</v>
      </c>
      <c r="Y1268">
        <v>0</v>
      </c>
      <c r="Z1268">
        <v>0</v>
      </c>
      <c r="AB1268">
        <v>0</v>
      </c>
      <c r="AC1268">
        <v>9</v>
      </c>
      <c r="AD1268">
        <v>3</v>
      </c>
      <c r="AE1268">
        <v>0</v>
      </c>
      <c r="AF1268">
        <v>9</v>
      </c>
      <c r="AG1268" t="s">
        <v>158</v>
      </c>
      <c r="AH1268">
        <v>0</v>
      </c>
      <c r="AI1268">
        <v>3</v>
      </c>
      <c r="AJ1268">
        <v>1</v>
      </c>
      <c r="AK1268">
        <v>0</v>
      </c>
      <c r="AL1268" t="s">
        <v>2491</v>
      </c>
      <c r="AM1268">
        <v>46.820833999999998</v>
      </c>
      <c r="AN1268" t="s">
        <v>2492</v>
      </c>
      <c r="AO1268">
        <v>-122.65398500000001</v>
      </c>
      <c r="AP1268">
        <v>100</v>
      </c>
      <c r="AQ1268">
        <v>2000</v>
      </c>
      <c r="AR1268" t="s">
        <v>118</v>
      </c>
      <c r="AS1268">
        <v>-72</v>
      </c>
      <c r="AT1268">
        <v>-33</v>
      </c>
      <c r="AU1268">
        <v>0</v>
      </c>
      <c r="BC1268">
        <v>1200</v>
      </c>
      <c r="BD1268">
        <v>1</v>
      </c>
      <c r="BE1268" t="str">
        <f t="shared" si="59"/>
        <v xml:space="preserve">N215T   </v>
      </c>
      <c r="BF1268">
        <v>1</v>
      </c>
      <c r="BH1268">
        <v>0</v>
      </c>
      <c r="BI1268">
        <v>0</v>
      </c>
      <c r="BJ1268">
        <v>0</v>
      </c>
      <c r="BK1268">
        <v>2400</v>
      </c>
      <c r="BL1268">
        <v>400</v>
      </c>
      <c r="BM1268" t="s">
        <v>119</v>
      </c>
      <c r="BN1268">
        <v>1</v>
      </c>
      <c r="BO1268">
        <v>1</v>
      </c>
      <c r="BP1268">
        <v>1</v>
      </c>
      <c r="BQ1268">
        <v>0</v>
      </c>
      <c r="BT1268">
        <v>0</v>
      </c>
      <c r="BU1268">
        <v>0</v>
      </c>
      <c r="BV1268">
        <v>0</v>
      </c>
      <c r="CC1268" t="str">
        <f>"18:55:52.164"</f>
        <v>18:55:52.164</v>
      </c>
      <c r="CD1268" t="str">
        <f>"163673123"</f>
        <v>163673123</v>
      </c>
      <c r="CQ1268">
        <v>0</v>
      </c>
      <c r="CR1268">
        <v>2</v>
      </c>
      <c r="CS1268">
        <v>0</v>
      </c>
      <c r="CT1268">
        <v>2</v>
      </c>
      <c r="CU1268">
        <v>0</v>
      </c>
      <c r="CV1268">
        <v>5</v>
      </c>
      <c r="CW1268" t="s">
        <v>120</v>
      </c>
      <c r="CX1268">
        <v>261</v>
      </c>
      <c r="CY1268">
        <v>2</v>
      </c>
      <c r="CZ1268" t="s">
        <v>121</v>
      </c>
      <c r="DA1268" t="s">
        <v>122</v>
      </c>
      <c r="DD1268">
        <v>14959831</v>
      </c>
      <c r="DE1268" t="s">
        <v>123</v>
      </c>
    </row>
    <row r="1269" spans="1:109" x14ac:dyDescent="0.3">
      <c r="A1269" t="str">
        <f>"18:55:53.273"</f>
        <v>18:55:53.273</v>
      </c>
      <c r="B1269" t="s">
        <v>110</v>
      </c>
      <c r="C1269" t="str">
        <f t="shared" si="57"/>
        <v>ffdfd3c0</v>
      </c>
      <c r="D1269" t="s">
        <v>111</v>
      </c>
      <c r="E1269">
        <v>18</v>
      </c>
      <c r="F1269">
        <v>1018</v>
      </c>
      <c r="G1269" t="s">
        <v>112</v>
      </c>
      <c r="J1269" t="s">
        <v>113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R1269" t="s">
        <v>114</v>
      </c>
      <c r="S1269" t="str">
        <f>"18:55:53.031"</f>
        <v>18:55:53.031</v>
      </c>
      <c r="T1269" t="str">
        <f>"18:55:53.031"</f>
        <v>18:55:53.031</v>
      </c>
      <c r="U1269" t="str">
        <f t="shared" si="58"/>
        <v>a1cdbe</v>
      </c>
      <c r="V1269">
        <v>0</v>
      </c>
      <c r="W1269">
        <v>0</v>
      </c>
      <c r="X1269">
        <v>1</v>
      </c>
      <c r="Y1269">
        <v>0</v>
      </c>
      <c r="Z1269">
        <v>0</v>
      </c>
      <c r="AB1269">
        <v>0</v>
      </c>
      <c r="AC1269">
        <v>9</v>
      </c>
      <c r="AD1269">
        <v>3</v>
      </c>
      <c r="AE1269">
        <v>0</v>
      </c>
      <c r="AF1269">
        <v>9</v>
      </c>
      <c r="AG1269" t="s">
        <v>158</v>
      </c>
      <c r="AH1269">
        <v>0</v>
      </c>
      <c r="AI1269">
        <v>3</v>
      </c>
      <c r="AJ1269">
        <v>1</v>
      </c>
      <c r="AK1269">
        <v>0</v>
      </c>
      <c r="AL1269" t="s">
        <v>2493</v>
      </c>
      <c r="AM1269">
        <v>46.820704999999997</v>
      </c>
      <c r="AN1269" t="s">
        <v>2494</v>
      </c>
      <c r="AO1269">
        <v>-122.654393</v>
      </c>
      <c r="AP1269">
        <v>100</v>
      </c>
      <c r="AQ1269">
        <v>2000</v>
      </c>
      <c r="AR1269" t="s">
        <v>118</v>
      </c>
      <c r="AS1269">
        <v>-72</v>
      </c>
      <c r="AT1269">
        <v>-32</v>
      </c>
      <c r="AU1269">
        <v>0</v>
      </c>
      <c r="BC1269">
        <v>1200</v>
      </c>
      <c r="BD1269">
        <v>1</v>
      </c>
      <c r="BE1269" t="str">
        <f t="shared" si="59"/>
        <v xml:space="preserve">N215T   </v>
      </c>
      <c r="BF1269">
        <v>1</v>
      </c>
      <c r="BH1269">
        <v>0</v>
      </c>
      <c r="BI1269">
        <v>0</v>
      </c>
      <c r="BJ1269">
        <v>0</v>
      </c>
      <c r="BK1269">
        <v>2400</v>
      </c>
      <c r="BL1269">
        <v>400</v>
      </c>
      <c r="BM1269" t="s">
        <v>119</v>
      </c>
      <c r="BN1269">
        <v>1</v>
      </c>
      <c r="BO1269">
        <v>1</v>
      </c>
      <c r="BP1269">
        <v>1</v>
      </c>
      <c r="BQ1269">
        <v>0</v>
      </c>
      <c r="BT1269">
        <v>0</v>
      </c>
      <c r="BU1269">
        <v>0</v>
      </c>
      <c r="BV1269">
        <v>0</v>
      </c>
      <c r="CC1269" t="str">
        <f>"18:55:53.031"</f>
        <v>18:55:53.031</v>
      </c>
      <c r="CD1269" t="str">
        <f>"033587496"</f>
        <v>033587496</v>
      </c>
      <c r="CQ1269">
        <v>0</v>
      </c>
      <c r="CR1269">
        <v>2</v>
      </c>
      <c r="CS1269">
        <v>0</v>
      </c>
      <c r="CT1269">
        <v>2</v>
      </c>
      <c r="CU1269">
        <v>0</v>
      </c>
      <c r="CV1269">
        <v>6</v>
      </c>
      <c r="CW1269" t="s">
        <v>120</v>
      </c>
      <c r="CX1269">
        <v>261</v>
      </c>
      <c r="CY1269">
        <v>2</v>
      </c>
      <c r="CZ1269" t="s">
        <v>121</v>
      </c>
      <c r="DA1269" t="s">
        <v>122</v>
      </c>
      <c r="DD1269">
        <v>14960436</v>
      </c>
      <c r="DE1269" t="s">
        <v>123</v>
      </c>
    </row>
    <row r="1270" spans="1:109" x14ac:dyDescent="0.3">
      <c r="A1270" t="str">
        <f>"18:55:54.180"</f>
        <v>18:55:54.180</v>
      </c>
      <c r="B1270" t="s">
        <v>110</v>
      </c>
      <c r="C1270" t="str">
        <f t="shared" si="57"/>
        <v>ffdfd3c0</v>
      </c>
      <c r="D1270" t="s">
        <v>111</v>
      </c>
      <c r="E1270">
        <v>18</v>
      </c>
      <c r="F1270">
        <v>1018</v>
      </c>
      <c r="G1270" t="s">
        <v>112</v>
      </c>
      <c r="J1270" t="s">
        <v>113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R1270" t="s">
        <v>114</v>
      </c>
      <c r="S1270" t="str">
        <f>"18:55:53.930"</f>
        <v>18:55:53.930</v>
      </c>
      <c r="T1270" t="str">
        <f>"18:55:53.531"</f>
        <v>18:55:53.531</v>
      </c>
      <c r="U1270" t="str">
        <f t="shared" si="58"/>
        <v>a1cdbe</v>
      </c>
      <c r="V1270">
        <v>0</v>
      </c>
      <c r="W1270">
        <v>0</v>
      </c>
      <c r="X1270">
        <v>1</v>
      </c>
      <c r="Y1270">
        <v>0</v>
      </c>
      <c r="Z1270">
        <v>0</v>
      </c>
      <c r="AB1270">
        <v>0</v>
      </c>
      <c r="AC1270">
        <v>9</v>
      </c>
      <c r="AD1270">
        <v>3</v>
      </c>
      <c r="AE1270">
        <v>0</v>
      </c>
      <c r="AF1270">
        <v>9</v>
      </c>
      <c r="AG1270" t="s">
        <v>158</v>
      </c>
      <c r="AH1270">
        <v>0</v>
      </c>
      <c r="AI1270">
        <v>3</v>
      </c>
      <c r="AJ1270">
        <v>1</v>
      </c>
      <c r="AK1270">
        <v>0</v>
      </c>
      <c r="AL1270" t="s">
        <v>2495</v>
      </c>
      <c r="AM1270">
        <v>46.820554999999999</v>
      </c>
      <c r="AN1270" t="s">
        <v>2496</v>
      </c>
      <c r="AO1270">
        <v>-122.65479999999999</v>
      </c>
      <c r="AP1270">
        <v>100</v>
      </c>
      <c r="AQ1270">
        <v>2000</v>
      </c>
      <c r="AR1270" t="s">
        <v>118</v>
      </c>
      <c r="AS1270">
        <v>-72</v>
      </c>
      <c r="AT1270">
        <v>-32</v>
      </c>
      <c r="AU1270">
        <v>0</v>
      </c>
      <c r="BC1270">
        <v>1200</v>
      </c>
      <c r="BD1270">
        <v>1</v>
      </c>
      <c r="BE1270" t="str">
        <f t="shared" si="59"/>
        <v xml:space="preserve">N215T   </v>
      </c>
      <c r="BF1270">
        <v>1</v>
      </c>
      <c r="BH1270">
        <v>0</v>
      </c>
      <c r="BI1270">
        <v>0</v>
      </c>
      <c r="BJ1270">
        <v>0</v>
      </c>
      <c r="BK1270">
        <v>2400</v>
      </c>
      <c r="BL1270">
        <v>400</v>
      </c>
      <c r="BM1270" t="s">
        <v>119</v>
      </c>
      <c r="BN1270">
        <v>1</v>
      </c>
      <c r="BO1270">
        <v>1</v>
      </c>
      <c r="BP1270">
        <v>1</v>
      </c>
      <c r="BQ1270">
        <v>0</v>
      </c>
      <c r="BT1270">
        <v>0</v>
      </c>
      <c r="BU1270">
        <v>0</v>
      </c>
      <c r="BV1270">
        <v>0</v>
      </c>
      <c r="CC1270" t="str">
        <f>"18:55:53.930"</f>
        <v>18:55:53.930</v>
      </c>
      <c r="CD1270" t="str">
        <f>"933576388"</f>
        <v>933576388</v>
      </c>
      <c r="CQ1270">
        <v>0</v>
      </c>
      <c r="CR1270">
        <v>2</v>
      </c>
      <c r="CS1270">
        <v>0</v>
      </c>
      <c r="CT1270">
        <v>2</v>
      </c>
      <c r="CU1270">
        <v>0</v>
      </c>
      <c r="CV1270">
        <v>2</v>
      </c>
      <c r="CW1270" t="s">
        <v>120</v>
      </c>
      <c r="CX1270">
        <v>257</v>
      </c>
      <c r="CY1270">
        <v>1</v>
      </c>
      <c r="CZ1270" t="s">
        <v>615</v>
      </c>
      <c r="DA1270" t="s">
        <v>616</v>
      </c>
      <c r="DD1270">
        <v>11314061</v>
      </c>
      <c r="DE1270" t="s">
        <v>123</v>
      </c>
    </row>
    <row r="1271" spans="1:109" x14ac:dyDescent="0.3">
      <c r="A1271" t="str">
        <f>"18:55:55.688"</f>
        <v>18:55:55.688</v>
      </c>
      <c r="B1271" t="s">
        <v>110</v>
      </c>
      <c r="C1271" t="str">
        <f t="shared" si="57"/>
        <v>ffdfd3c0</v>
      </c>
      <c r="D1271" t="s">
        <v>111</v>
      </c>
      <c r="E1271">
        <v>18</v>
      </c>
      <c r="F1271">
        <v>1018</v>
      </c>
      <c r="G1271" t="s">
        <v>112</v>
      </c>
      <c r="J1271" t="s">
        <v>113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R1271" t="s">
        <v>114</v>
      </c>
      <c r="S1271" t="str">
        <f>"18:55:55.477"</f>
        <v>18:55:55.477</v>
      </c>
      <c r="T1271" t="str">
        <f>"18:55:55.375"</f>
        <v>18:55:55.375</v>
      </c>
      <c r="U1271" t="str">
        <f t="shared" si="58"/>
        <v>a1cdbe</v>
      </c>
      <c r="V1271">
        <v>0</v>
      </c>
      <c r="W1271">
        <v>0</v>
      </c>
      <c r="X1271">
        <v>1</v>
      </c>
      <c r="Y1271">
        <v>0</v>
      </c>
      <c r="Z1271">
        <v>0</v>
      </c>
      <c r="AB1271">
        <v>0</v>
      </c>
      <c r="AC1271">
        <v>9</v>
      </c>
      <c r="AD1271">
        <v>3</v>
      </c>
      <c r="AE1271">
        <v>0</v>
      </c>
      <c r="AF1271">
        <v>9</v>
      </c>
      <c r="AG1271" t="s">
        <v>158</v>
      </c>
      <c r="AH1271">
        <v>0</v>
      </c>
      <c r="AI1271">
        <v>3</v>
      </c>
      <c r="AJ1271">
        <v>1</v>
      </c>
      <c r="AK1271">
        <v>0</v>
      </c>
      <c r="AL1271" t="s">
        <v>2497</v>
      </c>
      <c r="AM1271">
        <v>46.820383</v>
      </c>
      <c r="AN1271" t="s">
        <v>2498</v>
      </c>
      <c r="AO1271">
        <v>-122.655551</v>
      </c>
      <c r="AP1271">
        <v>100</v>
      </c>
      <c r="AQ1271">
        <v>2000</v>
      </c>
      <c r="AR1271" t="s">
        <v>118</v>
      </c>
      <c r="AS1271">
        <v>-73</v>
      </c>
      <c r="AT1271">
        <v>-29</v>
      </c>
      <c r="AU1271">
        <v>-128</v>
      </c>
      <c r="BC1271">
        <v>1200</v>
      </c>
      <c r="BD1271">
        <v>1</v>
      </c>
      <c r="BE1271" t="str">
        <f t="shared" si="59"/>
        <v xml:space="preserve">N215T   </v>
      </c>
      <c r="BF1271">
        <v>1</v>
      </c>
      <c r="BH1271">
        <v>0</v>
      </c>
      <c r="BI1271">
        <v>0</v>
      </c>
      <c r="BJ1271">
        <v>0</v>
      </c>
      <c r="BK1271">
        <v>2400</v>
      </c>
      <c r="BL1271">
        <v>400</v>
      </c>
      <c r="BM1271" t="s">
        <v>119</v>
      </c>
      <c r="BN1271">
        <v>1</v>
      </c>
      <c r="BO1271">
        <v>1</v>
      </c>
      <c r="BP1271">
        <v>1</v>
      </c>
      <c r="BQ1271">
        <v>0</v>
      </c>
      <c r="BT1271">
        <v>0</v>
      </c>
      <c r="BU1271">
        <v>0</v>
      </c>
      <c r="BV1271">
        <v>0</v>
      </c>
      <c r="CC1271" t="str">
        <f>"18:55:55.477"</f>
        <v>18:55:55.477</v>
      </c>
      <c r="CD1271" t="str">
        <f>"478346838"</f>
        <v>478346838</v>
      </c>
      <c r="CQ1271">
        <v>0</v>
      </c>
      <c r="CR1271">
        <v>2</v>
      </c>
      <c r="CS1271">
        <v>0</v>
      </c>
      <c r="CT1271">
        <v>2</v>
      </c>
      <c r="CU1271">
        <v>0</v>
      </c>
      <c r="CV1271">
        <v>6</v>
      </c>
      <c r="CW1271" t="s">
        <v>120</v>
      </c>
      <c r="CX1271">
        <v>261</v>
      </c>
      <c r="CY1271">
        <v>2</v>
      </c>
      <c r="CZ1271" t="s">
        <v>121</v>
      </c>
      <c r="DA1271" t="s">
        <v>122</v>
      </c>
      <c r="DD1271">
        <v>14962161</v>
      </c>
      <c r="DE1271" t="s">
        <v>123</v>
      </c>
    </row>
    <row r="1272" spans="1:109" x14ac:dyDescent="0.3">
      <c r="A1272" t="str">
        <f>"18:55:56.695"</f>
        <v>18:55:56.695</v>
      </c>
      <c r="B1272" t="s">
        <v>110</v>
      </c>
      <c r="C1272" t="str">
        <f t="shared" si="57"/>
        <v>ffdfd3c0</v>
      </c>
      <c r="D1272" t="s">
        <v>111</v>
      </c>
      <c r="E1272">
        <v>18</v>
      </c>
      <c r="F1272">
        <v>1018</v>
      </c>
      <c r="G1272" t="s">
        <v>112</v>
      </c>
      <c r="J1272" t="s">
        <v>113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R1272" t="s">
        <v>114</v>
      </c>
      <c r="S1272" t="str">
        <f>"18:55:56.461"</f>
        <v>18:55:56.461</v>
      </c>
      <c r="T1272" t="str">
        <f>"18:55:55.961"</f>
        <v>18:55:55.961</v>
      </c>
      <c r="U1272" t="str">
        <f t="shared" si="58"/>
        <v>a1cdbe</v>
      </c>
      <c r="V1272">
        <v>0</v>
      </c>
      <c r="W1272">
        <v>0</v>
      </c>
      <c r="X1272">
        <v>1</v>
      </c>
      <c r="Y1272">
        <v>0</v>
      </c>
      <c r="Z1272">
        <v>0</v>
      </c>
      <c r="AB1272">
        <v>0</v>
      </c>
      <c r="AC1272">
        <v>9</v>
      </c>
      <c r="AD1272">
        <v>3</v>
      </c>
      <c r="AE1272">
        <v>0</v>
      </c>
      <c r="AF1272">
        <v>9</v>
      </c>
      <c r="AG1272" t="s">
        <v>158</v>
      </c>
      <c r="AH1272">
        <v>0</v>
      </c>
      <c r="AI1272">
        <v>3</v>
      </c>
      <c r="AJ1272">
        <v>1</v>
      </c>
      <c r="AK1272">
        <v>0</v>
      </c>
      <c r="AL1272" t="s">
        <v>2499</v>
      </c>
      <c r="AM1272">
        <v>46.820253999999998</v>
      </c>
      <c r="AN1272" t="s">
        <v>2500</v>
      </c>
      <c r="AO1272">
        <v>-122.656066</v>
      </c>
      <c r="AP1272">
        <v>100</v>
      </c>
      <c r="AQ1272">
        <v>2000</v>
      </c>
      <c r="AR1272" t="s">
        <v>118</v>
      </c>
      <c r="AS1272">
        <v>-74</v>
      </c>
      <c r="AT1272">
        <v>-28</v>
      </c>
      <c r="AU1272">
        <v>-64</v>
      </c>
      <c r="BC1272">
        <v>1200</v>
      </c>
      <c r="BD1272">
        <v>1</v>
      </c>
      <c r="BE1272" t="str">
        <f t="shared" si="59"/>
        <v xml:space="preserve">N215T   </v>
      </c>
      <c r="BF1272">
        <v>1</v>
      </c>
      <c r="BH1272">
        <v>0</v>
      </c>
      <c r="BI1272">
        <v>0</v>
      </c>
      <c r="BJ1272">
        <v>0</v>
      </c>
      <c r="BK1272">
        <v>2400</v>
      </c>
      <c r="BL1272">
        <v>400</v>
      </c>
      <c r="BM1272" t="s">
        <v>119</v>
      </c>
      <c r="BN1272">
        <v>1</v>
      </c>
      <c r="BO1272">
        <v>1</v>
      </c>
      <c r="BP1272">
        <v>1</v>
      </c>
      <c r="BQ1272">
        <v>0</v>
      </c>
      <c r="BT1272">
        <v>0</v>
      </c>
      <c r="BU1272">
        <v>0</v>
      </c>
      <c r="BV1272">
        <v>0</v>
      </c>
      <c r="CC1272" t="str">
        <f>"18:55:56.469"</f>
        <v>18:55:56.469</v>
      </c>
      <c r="CD1272" t="str">
        <f>"468249375"</f>
        <v>468249375</v>
      </c>
      <c r="CQ1272">
        <v>0</v>
      </c>
      <c r="CR1272">
        <v>2</v>
      </c>
      <c r="CS1272">
        <v>0</v>
      </c>
      <c r="CT1272">
        <v>2</v>
      </c>
      <c r="CU1272">
        <v>0</v>
      </c>
      <c r="CV1272">
        <v>6</v>
      </c>
      <c r="CW1272" t="s">
        <v>120</v>
      </c>
      <c r="CX1272">
        <v>261</v>
      </c>
      <c r="CY1272">
        <v>2</v>
      </c>
      <c r="CZ1272" t="s">
        <v>121</v>
      </c>
      <c r="DA1272" t="s">
        <v>122</v>
      </c>
      <c r="DD1272">
        <v>14962821</v>
      </c>
      <c r="DE1272" t="s">
        <v>123</v>
      </c>
    </row>
    <row r="1273" spans="1:109" x14ac:dyDescent="0.3">
      <c r="A1273" t="str">
        <f>"18:55:57.797"</f>
        <v>18:55:57.797</v>
      </c>
      <c r="B1273" t="s">
        <v>110</v>
      </c>
      <c r="C1273" t="str">
        <f t="shared" si="57"/>
        <v>ffdfd3c0</v>
      </c>
      <c r="D1273" t="s">
        <v>111</v>
      </c>
      <c r="E1273">
        <v>18</v>
      </c>
      <c r="F1273">
        <v>1018</v>
      </c>
      <c r="G1273" t="s">
        <v>112</v>
      </c>
      <c r="J1273" t="s">
        <v>113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R1273" t="s">
        <v>114</v>
      </c>
      <c r="S1273" t="str">
        <f>"18:55:57.563"</f>
        <v>18:55:57.563</v>
      </c>
      <c r="T1273" t="str">
        <f>"18:55:57.063"</f>
        <v>18:55:57.063</v>
      </c>
      <c r="U1273" t="str">
        <f t="shared" si="58"/>
        <v>a1cdbe</v>
      </c>
      <c r="V1273">
        <v>0</v>
      </c>
      <c r="W1273">
        <v>0</v>
      </c>
      <c r="X1273">
        <v>1</v>
      </c>
      <c r="Y1273">
        <v>0</v>
      </c>
      <c r="Z1273">
        <v>0</v>
      </c>
      <c r="AB1273">
        <v>0</v>
      </c>
      <c r="AC1273">
        <v>9</v>
      </c>
      <c r="AD1273">
        <v>3</v>
      </c>
      <c r="AE1273">
        <v>0</v>
      </c>
      <c r="AF1273">
        <v>9</v>
      </c>
      <c r="AG1273" t="s">
        <v>158</v>
      </c>
      <c r="AH1273">
        <v>0</v>
      </c>
      <c r="AI1273">
        <v>3</v>
      </c>
      <c r="AJ1273">
        <v>1</v>
      </c>
      <c r="AK1273">
        <v>0</v>
      </c>
      <c r="AL1273" t="s">
        <v>2501</v>
      </c>
      <c r="AM1273">
        <v>46.820104000000001</v>
      </c>
      <c r="AN1273" t="s">
        <v>2502</v>
      </c>
      <c r="AO1273">
        <v>-122.656667</v>
      </c>
      <c r="AP1273">
        <v>100</v>
      </c>
      <c r="AQ1273">
        <v>2000</v>
      </c>
      <c r="AR1273" t="s">
        <v>118</v>
      </c>
      <c r="AS1273">
        <v>-75</v>
      </c>
      <c r="AT1273">
        <v>-26</v>
      </c>
      <c r="AU1273">
        <v>-192</v>
      </c>
      <c r="BC1273">
        <v>1200</v>
      </c>
      <c r="BD1273">
        <v>1</v>
      </c>
      <c r="BE1273" t="str">
        <f t="shared" si="59"/>
        <v xml:space="preserve">N215T   </v>
      </c>
      <c r="BF1273">
        <v>1</v>
      </c>
      <c r="BH1273">
        <v>0</v>
      </c>
      <c r="BI1273">
        <v>0</v>
      </c>
      <c r="BJ1273">
        <v>0</v>
      </c>
      <c r="BK1273">
        <v>2400</v>
      </c>
      <c r="BL1273">
        <v>400</v>
      </c>
      <c r="BM1273" t="s">
        <v>119</v>
      </c>
      <c r="BN1273">
        <v>1</v>
      </c>
      <c r="BO1273">
        <v>1</v>
      </c>
      <c r="BP1273">
        <v>1</v>
      </c>
      <c r="BQ1273">
        <v>0</v>
      </c>
      <c r="BT1273">
        <v>0</v>
      </c>
      <c r="BU1273">
        <v>0</v>
      </c>
      <c r="BV1273">
        <v>0</v>
      </c>
      <c r="CC1273" t="str">
        <f>"18:55:57.563"</f>
        <v>18:55:57.563</v>
      </c>
      <c r="CD1273" t="str">
        <f>"563141584"</f>
        <v>563141584</v>
      </c>
      <c r="CQ1273">
        <v>0</v>
      </c>
      <c r="CR1273">
        <v>2</v>
      </c>
      <c r="CS1273">
        <v>0</v>
      </c>
      <c r="CT1273">
        <v>2</v>
      </c>
      <c r="CU1273">
        <v>0</v>
      </c>
      <c r="CV1273">
        <v>6</v>
      </c>
      <c r="CW1273" t="s">
        <v>120</v>
      </c>
      <c r="CX1273">
        <v>261</v>
      </c>
      <c r="CY1273">
        <v>2</v>
      </c>
      <c r="CZ1273" t="s">
        <v>121</v>
      </c>
      <c r="DA1273" t="s">
        <v>122</v>
      </c>
      <c r="DD1273">
        <v>14963600</v>
      </c>
      <c r="DE1273" t="s">
        <v>123</v>
      </c>
    </row>
    <row r="1274" spans="1:109" x14ac:dyDescent="0.3">
      <c r="A1274" t="str">
        <f>"18:55:58.750"</f>
        <v>18:55:58.750</v>
      </c>
      <c r="B1274" t="s">
        <v>110</v>
      </c>
      <c r="C1274" t="str">
        <f t="shared" si="57"/>
        <v>ffdfd3c0</v>
      </c>
      <c r="D1274" t="s">
        <v>111</v>
      </c>
      <c r="E1274">
        <v>18</v>
      </c>
      <c r="F1274">
        <v>1018</v>
      </c>
      <c r="G1274" t="s">
        <v>112</v>
      </c>
      <c r="J1274" t="s">
        <v>113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R1274" t="s">
        <v>114</v>
      </c>
      <c r="S1274" t="str">
        <f>"18:55:58.492"</f>
        <v>18:55:58.492</v>
      </c>
      <c r="T1274" t="str">
        <f>"18:55:58.195"</f>
        <v>18:55:58.195</v>
      </c>
      <c r="U1274" t="str">
        <f t="shared" si="58"/>
        <v>a1cdbe</v>
      </c>
      <c r="V1274">
        <v>0</v>
      </c>
      <c r="W1274">
        <v>0</v>
      </c>
      <c r="X1274">
        <v>1</v>
      </c>
      <c r="Y1274">
        <v>0</v>
      </c>
      <c r="Z1274">
        <v>0</v>
      </c>
      <c r="AB1274">
        <v>0</v>
      </c>
      <c r="AC1274">
        <v>9</v>
      </c>
      <c r="AD1274">
        <v>3</v>
      </c>
      <c r="AE1274">
        <v>0</v>
      </c>
      <c r="AF1274">
        <v>9</v>
      </c>
      <c r="AG1274" t="s">
        <v>158</v>
      </c>
      <c r="AH1274">
        <v>0</v>
      </c>
      <c r="AI1274">
        <v>3</v>
      </c>
      <c r="AJ1274">
        <v>1</v>
      </c>
      <c r="AK1274">
        <v>0</v>
      </c>
      <c r="AL1274" t="s">
        <v>2503</v>
      </c>
      <c r="AM1274">
        <v>46.819974999999999</v>
      </c>
      <c r="AN1274" t="s">
        <v>2504</v>
      </c>
      <c r="AO1274">
        <v>-122.657118</v>
      </c>
      <c r="AP1274">
        <v>100</v>
      </c>
      <c r="AQ1274">
        <v>2000</v>
      </c>
      <c r="AR1274" t="s">
        <v>118</v>
      </c>
      <c r="AS1274">
        <v>-75</v>
      </c>
      <c r="AT1274">
        <v>-25</v>
      </c>
      <c r="AU1274">
        <v>-192</v>
      </c>
      <c r="BC1274">
        <v>1200</v>
      </c>
      <c r="BD1274">
        <v>1</v>
      </c>
      <c r="BE1274" t="str">
        <f t="shared" si="59"/>
        <v xml:space="preserve">N215T   </v>
      </c>
      <c r="BF1274">
        <v>1</v>
      </c>
      <c r="BH1274">
        <v>0</v>
      </c>
      <c r="BI1274">
        <v>0</v>
      </c>
      <c r="BJ1274">
        <v>0</v>
      </c>
      <c r="BK1274">
        <v>2400</v>
      </c>
      <c r="BL1274">
        <v>400</v>
      </c>
      <c r="BM1274" t="s">
        <v>119</v>
      </c>
      <c r="BN1274">
        <v>1</v>
      </c>
      <c r="BO1274">
        <v>1</v>
      </c>
      <c r="BP1274">
        <v>1</v>
      </c>
      <c r="BQ1274">
        <v>0</v>
      </c>
      <c r="BT1274">
        <v>0</v>
      </c>
      <c r="BU1274">
        <v>0</v>
      </c>
      <c r="BV1274">
        <v>0</v>
      </c>
      <c r="CC1274" t="str">
        <f>"18:55:58.492"</f>
        <v>18:55:58.492</v>
      </c>
      <c r="CD1274" t="str">
        <f>"493050041"</f>
        <v>493050041</v>
      </c>
      <c r="CQ1274">
        <v>0</v>
      </c>
      <c r="CR1274">
        <v>2</v>
      </c>
      <c r="CS1274">
        <v>0</v>
      </c>
      <c r="CT1274">
        <v>2</v>
      </c>
      <c r="CU1274">
        <v>0</v>
      </c>
      <c r="CV1274">
        <v>6</v>
      </c>
      <c r="CW1274" t="s">
        <v>120</v>
      </c>
      <c r="CX1274">
        <v>261</v>
      </c>
      <c r="CY1274">
        <v>2</v>
      </c>
      <c r="CZ1274" t="s">
        <v>121</v>
      </c>
      <c r="DA1274" t="s">
        <v>122</v>
      </c>
      <c r="DD1274">
        <v>14964198</v>
      </c>
      <c r="DE1274" t="s">
        <v>123</v>
      </c>
    </row>
    <row r="1275" spans="1:109" x14ac:dyDescent="0.3">
      <c r="A1275" t="str">
        <f>"18:55:59.711"</f>
        <v>18:55:59.711</v>
      </c>
      <c r="B1275" t="s">
        <v>110</v>
      </c>
      <c r="C1275" t="str">
        <f t="shared" si="57"/>
        <v>ffdfd3c0</v>
      </c>
      <c r="D1275" t="s">
        <v>111</v>
      </c>
      <c r="E1275">
        <v>18</v>
      </c>
      <c r="F1275">
        <v>1018</v>
      </c>
      <c r="G1275" t="s">
        <v>112</v>
      </c>
      <c r="J1275" t="s">
        <v>113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R1275" t="s">
        <v>114</v>
      </c>
      <c r="S1275" t="str">
        <f>"18:55:59.492"</f>
        <v>18:55:59.492</v>
      </c>
      <c r="T1275" t="str">
        <f>"18:55:59.195"</f>
        <v>18:55:59.195</v>
      </c>
      <c r="U1275" t="str">
        <f t="shared" si="58"/>
        <v>a1cdbe</v>
      </c>
      <c r="V1275">
        <v>0</v>
      </c>
      <c r="W1275">
        <v>0</v>
      </c>
      <c r="X1275">
        <v>1</v>
      </c>
      <c r="Y1275">
        <v>0</v>
      </c>
      <c r="Z1275">
        <v>0</v>
      </c>
      <c r="AB1275">
        <v>0</v>
      </c>
      <c r="AC1275">
        <v>9</v>
      </c>
      <c r="AD1275">
        <v>3</v>
      </c>
      <c r="AE1275">
        <v>0</v>
      </c>
      <c r="AF1275">
        <v>9</v>
      </c>
      <c r="AG1275" t="s">
        <v>158</v>
      </c>
      <c r="AH1275">
        <v>0</v>
      </c>
      <c r="AI1275">
        <v>3</v>
      </c>
      <c r="AJ1275">
        <v>1</v>
      </c>
      <c r="AK1275">
        <v>0</v>
      </c>
      <c r="AL1275" t="s">
        <v>2505</v>
      </c>
      <c r="AM1275">
        <v>46.819868</v>
      </c>
      <c r="AN1275" t="s">
        <v>2506</v>
      </c>
      <c r="AO1275">
        <v>-122.65754699999999</v>
      </c>
      <c r="AP1275">
        <v>100</v>
      </c>
      <c r="AQ1275">
        <v>2000</v>
      </c>
      <c r="AR1275" t="s">
        <v>118</v>
      </c>
      <c r="AS1275">
        <v>-75</v>
      </c>
      <c r="AT1275">
        <v>-23</v>
      </c>
      <c r="AU1275">
        <v>-192</v>
      </c>
      <c r="BC1275">
        <v>1200</v>
      </c>
      <c r="BD1275">
        <v>1</v>
      </c>
      <c r="BE1275" t="str">
        <f t="shared" si="59"/>
        <v xml:space="preserve">N215T   </v>
      </c>
      <c r="BF1275">
        <v>1</v>
      </c>
      <c r="BH1275">
        <v>0</v>
      </c>
      <c r="BI1275">
        <v>0</v>
      </c>
      <c r="BJ1275">
        <v>0</v>
      </c>
      <c r="BK1275">
        <v>2400</v>
      </c>
      <c r="BL1275">
        <v>400</v>
      </c>
      <c r="BM1275" t="s">
        <v>119</v>
      </c>
      <c r="BN1275">
        <v>1</v>
      </c>
      <c r="BO1275">
        <v>1</v>
      </c>
      <c r="BP1275">
        <v>1</v>
      </c>
      <c r="BQ1275">
        <v>0</v>
      </c>
      <c r="BT1275">
        <v>0</v>
      </c>
      <c r="BU1275">
        <v>0</v>
      </c>
      <c r="BV1275">
        <v>0</v>
      </c>
      <c r="CC1275" t="str">
        <f>"18:55:59.500"</f>
        <v>18:55:59.500</v>
      </c>
      <c r="CD1275" t="str">
        <f>"498027702"</f>
        <v>498027702</v>
      </c>
      <c r="CQ1275">
        <v>0</v>
      </c>
      <c r="CR1275">
        <v>2</v>
      </c>
      <c r="CS1275">
        <v>0</v>
      </c>
      <c r="CT1275">
        <v>2</v>
      </c>
      <c r="CU1275">
        <v>0</v>
      </c>
      <c r="CV1275">
        <v>1</v>
      </c>
      <c r="CW1275" t="s">
        <v>120</v>
      </c>
      <c r="CX1275">
        <v>257</v>
      </c>
      <c r="CY1275">
        <v>1</v>
      </c>
      <c r="CZ1275" t="s">
        <v>615</v>
      </c>
      <c r="DA1275" t="s">
        <v>616</v>
      </c>
      <c r="DD1275">
        <v>11318177</v>
      </c>
      <c r="DE1275" t="s">
        <v>123</v>
      </c>
    </row>
    <row r="1276" spans="1:109" x14ac:dyDescent="0.3">
      <c r="A1276" t="str">
        <f>"18:56:00.664"</f>
        <v>18:56:00.664</v>
      </c>
      <c r="B1276" t="s">
        <v>110</v>
      </c>
      <c r="C1276" t="str">
        <f t="shared" si="57"/>
        <v>ffdfd3c0</v>
      </c>
      <c r="D1276" t="s">
        <v>111</v>
      </c>
      <c r="E1276">
        <v>18</v>
      </c>
      <c r="F1276">
        <v>1018</v>
      </c>
      <c r="G1276" t="s">
        <v>112</v>
      </c>
      <c r="J1276" t="s">
        <v>113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R1276" t="s">
        <v>114</v>
      </c>
      <c r="S1276" t="str">
        <f>"18:56:00.422"</f>
        <v>18:56:00.422</v>
      </c>
      <c r="T1276" t="str">
        <f>"18:56:00.219"</f>
        <v>18:56:00.219</v>
      </c>
      <c r="U1276" t="str">
        <f t="shared" si="58"/>
        <v>a1cdbe</v>
      </c>
      <c r="V1276">
        <v>0</v>
      </c>
      <c r="W1276">
        <v>0</v>
      </c>
      <c r="X1276">
        <v>1</v>
      </c>
      <c r="Y1276">
        <v>0</v>
      </c>
      <c r="Z1276">
        <v>0</v>
      </c>
      <c r="AB1276">
        <v>0</v>
      </c>
      <c r="AC1276">
        <v>9</v>
      </c>
      <c r="AD1276">
        <v>3</v>
      </c>
      <c r="AE1276">
        <v>0</v>
      </c>
      <c r="AF1276">
        <v>9</v>
      </c>
      <c r="AG1276" t="s">
        <v>158</v>
      </c>
      <c r="AH1276">
        <v>0</v>
      </c>
      <c r="AI1276">
        <v>3</v>
      </c>
      <c r="AJ1276">
        <v>1</v>
      </c>
      <c r="AK1276">
        <v>0</v>
      </c>
      <c r="AL1276" t="s">
        <v>2507</v>
      </c>
      <c r="AM1276">
        <v>46.819803999999998</v>
      </c>
      <c r="AN1276" t="s">
        <v>2508</v>
      </c>
      <c r="AO1276">
        <v>-122.658062</v>
      </c>
      <c r="AP1276">
        <v>100</v>
      </c>
      <c r="AQ1276">
        <v>2000</v>
      </c>
      <c r="AR1276" t="s">
        <v>118</v>
      </c>
      <c r="AS1276">
        <v>-75</v>
      </c>
      <c r="AT1276">
        <v>-22</v>
      </c>
      <c r="AU1276">
        <v>-192</v>
      </c>
      <c r="BC1276">
        <v>1200</v>
      </c>
      <c r="BD1276">
        <v>1</v>
      </c>
      <c r="BE1276" t="str">
        <f t="shared" si="59"/>
        <v xml:space="preserve">N215T   </v>
      </c>
      <c r="BF1276">
        <v>1</v>
      </c>
      <c r="BH1276">
        <v>0</v>
      </c>
      <c r="BI1276">
        <v>0</v>
      </c>
      <c r="BJ1276">
        <v>0</v>
      </c>
      <c r="BK1276">
        <v>2400</v>
      </c>
      <c r="BL1276">
        <v>400</v>
      </c>
      <c r="BM1276" t="s">
        <v>119</v>
      </c>
      <c r="BN1276">
        <v>1</v>
      </c>
      <c r="BO1276">
        <v>1</v>
      </c>
      <c r="BP1276">
        <v>1</v>
      </c>
      <c r="BQ1276">
        <v>0</v>
      </c>
      <c r="BT1276">
        <v>0</v>
      </c>
      <c r="BU1276">
        <v>0</v>
      </c>
      <c r="BV1276">
        <v>0</v>
      </c>
      <c r="CC1276" t="str">
        <f>"18:56:00.430"</f>
        <v>18:56:00.430</v>
      </c>
      <c r="CD1276" t="str">
        <f>"427859548"</f>
        <v>427859548</v>
      </c>
      <c r="CQ1276">
        <v>0</v>
      </c>
      <c r="CR1276">
        <v>2</v>
      </c>
      <c r="CS1276">
        <v>0</v>
      </c>
      <c r="CT1276">
        <v>2</v>
      </c>
      <c r="CU1276">
        <v>0</v>
      </c>
      <c r="CV1276">
        <v>6</v>
      </c>
      <c r="CW1276" t="s">
        <v>120</v>
      </c>
      <c r="CX1276">
        <v>261</v>
      </c>
      <c r="CY1276">
        <v>2</v>
      </c>
      <c r="CZ1276" t="s">
        <v>121</v>
      </c>
      <c r="DA1276" t="s">
        <v>122</v>
      </c>
      <c r="DD1276">
        <v>14965471</v>
      </c>
      <c r="DE1276" t="s">
        <v>123</v>
      </c>
    </row>
    <row r="1277" spans="1:109" x14ac:dyDescent="0.3">
      <c r="A1277" t="str">
        <f>"18:56:01.820"</f>
        <v>18:56:01.820</v>
      </c>
      <c r="B1277" t="s">
        <v>110</v>
      </c>
      <c r="C1277" t="str">
        <f t="shared" si="57"/>
        <v>ffdfd3c0</v>
      </c>
      <c r="D1277" t="s">
        <v>111</v>
      </c>
      <c r="E1277">
        <v>18</v>
      </c>
      <c r="F1277">
        <v>1018</v>
      </c>
      <c r="G1277" t="s">
        <v>112</v>
      </c>
      <c r="J1277" t="s">
        <v>113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R1277" t="s">
        <v>114</v>
      </c>
      <c r="S1277" t="str">
        <f>"18:56:01.563"</f>
        <v>18:56:01.563</v>
      </c>
      <c r="T1277" t="str">
        <f>"18:56:01.164"</f>
        <v>18:56:01.164</v>
      </c>
      <c r="U1277" t="str">
        <f t="shared" si="58"/>
        <v>a1cdbe</v>
      </c>
      <c r="V1277">
        <v>0</v>
      </c>
      <c r="W1277">
        <v>0</v>
      </c>
      <c r="X1277">
        <v>1</v>
      </c>
      <c r="Y1277">
        <v>0</v>
      </c>
      <c r="Z1277">
        <v>0</v>
      </c>
      <c r="AB1277">
        <v>0</v>
      </c>
      <c r="AC1277">
        <v>9</v>
      </c>
      <c r="AD1277">
        <v>3</v>
      </c>
      <c r="AE1277">
        <v>0</v>
      </c>
      <c r="AF1277">
        <v>9</v>
      </c>
      <c r="AG1277" t="s">
        <v>158</v>
      </c>
      <c r="AH1277">
        <v>0</v>
      </c>
      <c r="AI1277">
        <v>3</v>
      </c>
      <c r="AJ1277">
        <v>1</v>
      </c>
      <c r="AK1277">
        <v>0</v>
      </c>
      <c r="AL1277" t="s">
        <v>2509</v>
      </c>
      <c r="AM1277">
        <v>46.819696</v>
      </c>
      <c r="AN1277" t="s">
        <v>2510</v>
      </c>
      <c r="AO1277">
        <v>-122.658663</v>
      </c>
      <c r="AP1277">
        <v>100</v>
      </c>
      <c r="AQ1277">
        <v>2000</v>
      </c>
      <c r="AR1277" t="s">
        <v>118</v>
      </c>
      <c r="AS1277">
        <v>-76</v>
      </c>
      <c r="AT1277">
        <v>-22</v>
      </c>
      <c r="AU1277">
        <v>-128</v>
      </c>
      <c r="BC1277">
        <v>1200</v>
      </c>
      <c r="BD1277">
        <v>1</v>
      </c>
      <c r="BE1277" t="str">
        <f t="shared" si="59"/>
        <v xml:space="preserve">N215T   </v>
      </c>
      <c r="BF1277">
        <v>1</v>
      </c>
      <c r="BH1277">
        <v>0</v>
      </c>
      <c r="BI1277">
        <v>0</v>
      </c>
      <c r="BJ1277">
        <v>0</v>
      </c>
      <c r="BK1277">
        <v>2375</v>
      </c>
      <c r="BL1277">
        <v>375</v>
      </c>
      <c r="BM1277" t="s">
        <v>119</v>
      </c>
      <c r="BN1277">
        <v>1</v>
      </c>
      <c r="BO1277">
        <v>1</v>
      </c>
      <c r="BP1277">
        <v>1</v>
      </c>
      <c r="BQ1277">
        <v>0</v>
      </c>
      <c r="BT1277">
        <v>0</v>
      </c>
      <c r="BU1277">
        <v>0</v>
      </c>
      <c r="BV1277">
        <v>0</v>
      </c>
      <c r="CC1277" t="str">
        <f>"18:56:01.570"</f>
        <v>18:56:01.570</v>
      </c>
      <c r="CD1277" t="str">
        <f>"567747317"</f>
        <v>567747317</v>
      </c>
      <c r="CQ1277">
        <v>0</v>
      </c>
      <c r="CR1277">
        <v>2</v>
      </c>
      <c r="CS1277">
        <v>0</v>
      </c>
      <c r="CT1277">
        <v>2</v>
      </c>
      <c r="CU1277">
        <v>0</v>
      </c>
      <c r="CV1277">
        <v>6</v>
      </c>
      <c r="CW1277" t="s">
        <v>120</v>
      </c>
      <c r="CX1277">
        <v>261</v>
      </c>
      <c r="CY1277">
        <v>2</v>
      </c>
      <c r="CZ1277" t="s">
        <v>121</v>
      </c>
      <c r="DA1277" t="s">
        <v>122</v>
      </c>
      <c r="DD1277">
        <v>14966220</v>
      </c>
      <c r="DE1277" t="s">
        <v>123</v>
      </c>
    </row>
    <row r="1278" spans="1:109" x14ac:dyDescent="0.3">
      <c r="A1278" t="str">
        <f>"18:56:02.727"</f>
        <v>18:56:02.727</v>
      </c>
      <c r="B1278" t="s">
        <v>110</v>
      </c>
      <c r="C1278" t="str">
        <f t="shared" si="57"/>
        <v>ffdfd3c0</v>
      </c>
      <c r="D1278" t="s">
        <v>111</v>
      </c>
      <c r="E1278">
        <v>18</v>
      </c>
      <c r="F1278">
        <v>1018</v>
      </c>
      <c r="G1278" t="s">
        <v>112</v>
      </c>
      <c r="J1278" t="s">
        <v>113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R1278" t="s">
        <v>114</v>
      </c>
      <c r="S1278" t="str">
        <f>"18:56:02.523"</f>
        <v>18:56:02.523</v>
      </c>
      <c r="T1278" t="str">
        <f>"18:56:02.227"</f>
        <v>18:56:02.227</v>
      </c>
      <c r="U1278" t="str">
        <f t="shared" si="58"/>
        <v>a1cdbe</v>
      </c>
      <c r="V1278">
        <v>0</v>
      </c>
      <c r="W1278">
        <v>0</v>
      </c>
      <c r="X1278">
        <v>1</v>
      </c>
      <c r="Y1278">
        <v>0</v>
      </c>
      <c r="Z1278">
        <v>0</v>
      </c>
      <c r="AB1278">
        <v>0</v>
      </c>
      <c r="AC1278">
        <v>9</v>
      </c>
      <c r="AD1278">
        <v>3</v>
      </c>
      <c r="AE1278">
        <v>0</v>
      </c>
      <c r="AF1278">
        <v>9</v>
      </c>
      <c r="AG1278" t="s">
        <v>158</v>
      </c>
      <c r="AH1278">
        <v>0</v>
      </c>
      <c r="AI1278">
        <v>3</v>
      </c>
      <c r="AJ1278">
        <v>1</v>
      </c>
      <c r="AK1278">
        <v>0</v>
      </c>
      <c r="AL1278" t="s">
        <v>2511</v>
      </c>
      <c r="AM1278">
        <v>46.819567999999997</v>
      </c>
      <c r="AN1278" t="s">
        <v>2512</v>
      </c>
      <c r="AO1278">
        <v>-122.65913500000001</v>
      </c>
      <c r="AP1278">
        <v>100</v>
      </c>
      <c r="AQ1278">
        <v>2000</v>
      </c>
      <c r="AR1278" t="s">
        <v>118</v>
      </c>
      <c r="AS1278">
        <v>-76</v>
      </c>
      <c r="AT1278">
        <v>-21</v>
      </c>
      <c r="AU1278">
        <v>-64</v>
      </c>
      <c r="BC1278">
        <v>1200</v>
      </c>
      <c r="BD1278">
        <v>1</v>
      </c>
      <c r="BE1278" t="str">
        <f t="shared" si="59"/>
        <v xml:space="preserve">N215T   </v>
      </c>
      <c r="BF1278">
        <v>1</v>
      </c>
      <c r="BH1278">
        <v>0</v>
      </c>
      <c r="BI1278">
        <v>0</v>
      </c>
      <c r="BJ1278">
        <v>0</v>
      </c>
      <c r="BK1278">
        <v>2375</v>
      </c>
      <c r="BL1278">
        <v>375</v>
      </c>
      <c r="BM1278" t="s">
        <v>119</v>
      </c>
      <c r="BN1278">
        <v>1</v>
      </c>
      <c r="BO1278">
        <v>1</v>
      </c>
      <c r="BP1278">
        <v>1</v>
      </c>
      <c r="BQ1278">
        <v>0</v>
      </c>
      <c r="BT1278">
        <v>0</v>
      </c>
      <c r="BU1278">
        <v>0</v>
      </c>
      <c r="BV1278">
        <v>0</v>
      </c>
      <c r="CC1278" t="str">
        <f>"18:56:02.531"</f>
        <v>18:56:02.531</v>
      </c>
      <c r="CD1278" t="str">
        <f>"527652814"</f>
        <v>527652814</v>
      </c>
      <c r="CQ1278">
        <v>0</v>
      </c>
      <c r="CR1278">
        <v>2</v>
      </c>
      <c r="CS1278">
        <v>0</v>
      </c>
      <c r="CT1278">
        <v>2</v>
      </c>
      <c r="CU1278">
        <v>0</v>
      </c>
      <c r="CV1278">
        <v>6</v>
      </c>
      <c r="CW1278" t="s">
        <v>120</v>
      </c>
      <c r="CX1278">
        <v>261</v>
      </c>
      <c r="CY1278">
        <v>2</v>
      </c>
      <c r="CZ1278" t="s">
        <v>121</v>
      </c>
      <c r="DA1278" t="s">
        <v>122</v>
      </c>
      <c r="DD1278">
        <v>14966844</v>
      </c>
      <c r="DE1278" t="s">
        <v>123</v>
      </c>
    </row>
    <row r="1279" spans="1:109" x14ac:dyDescent="0.3">
      <c r="A1279" t="str">
        <f>"18:56:03.727"</f>
        <v>18:56:03.727</v>
      </c>
      <c r="B1279" t="s">
        <v>110</v>
      </c>
      <c r="C1279" t="str">
        <f t="shared" si="57"/>
        <v>ffdfd3c0</v>
      </c>
      <c r="D1279" t="s">
        <v>111</v>
      </c>
      <c r="E1279">
        <v>18</v>
      </c>
      <c r="F1279">
        <v>1018</v>
      </c>
      <c r="G1279" t="s">
        <v>112</v>
      </c>
      <c r="J1279" t="s">
        <v>113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R1279" t="s">
        <v>114</v>
      </c>
      <c r="S1279" t="str">
        <f>"18:56:03.516"</f>
        <v>18:56:03.516</v>
      </c>
      <c r="T1279" t="str">
        <f>"18:56:03.219"</f>
        <v>18:56:03.219</v>
      </c>
      <c r="U1279" t="str">
        <f t="shared" si="58"/>
        <v>a1cdbe</v>
      </c>
      <c r="V1279">
        <v>0</v>
      </c>
      <c r="W1279">
        <v>0</v>
      </c>
      <c r="X1279">
        <v>1</v>
      </c>
      <c r="Y1279">
        <v>0</v>
      </c>
      <c r="Z1279">
        <v>0</v>
      </c>
      <c r="AB1279">
        <v>0</v>
      </c>
      <c r="AC1279">
        <v>9</v>
      </c>
      <c r="AD1279">
        <v>3</v>
      </c>
      <c r="AE1279">
        <v>0</v>
      </c>
      <c r="AF1279">
        <v>9</v>
      </c>
      <c r="AG1279" t="s">
        <v>158</v>
      </c>
      <c r="AH1279">
        <v>0</v>
      </c>
      <c r="AI1279">
        <v>3</v>
      </c>
      <c r="AJ1279">
        <v>1</v>
      </c>
      <c r="AK1279">
        <v>0</v>
      </c>
      <c r="AL1279" t="s">
        <v>2513</v>
      </c>
      <c r="AM1279">
        <v>46.819502999999997</v>
      </c>
      <c r="AN1279" t="s">
        <v>2514</v>
      </c>
      <c r="AO1279">
        <v>-122.659671</v>
      </c>
      <c r="AP1279">
        <v>100</v>
      </c>
      <c r="AQ1279">
        <v>2000</v>
      </c>
      <c r="AR1279" t="s">
        <v>118</v>
      </c>
      <c r="AS1279">
        <v>-76</v>
      </c>
      <c r="AT1279">
        <v>-21</v>
      </c>
      <c r="AU1279">
        <v>-128</v>
      </c>
      <c r="BC1279">
        <v>1200</v>
      </c>
      <c r="BD1279">
        <v>1</v>
      </c>
      <c r="BE1279" t="str">
        <f t="shared" si="59"/>
        <v xml:space="preserve">N215T   </v>
      </c>
      <c r="BF1279">
        <v>1</v>
      </c>
      <c r="BH1279">
        <v>0</v>
      </c>
      <c r="BI1279">
        <v>0</v>
      </c>
      <c r="BJ1279">
        <v>0</v>
      </c>
      <c r="BK1279">
        <v>2375</v>
      </c>
      <c r="BL1279">
        <v>375</v>
      </c>
      <c r="BM1279" t="s">
        <v>119</v>
      </c>
      <c r="BN1279">
        <v>1</v>
      </c>
      <c r="BO1279">
        <v>1</v>
      </c>
      <c r="BP1279">
        <v>1</v>
      </c>
      <c r="BQ1279">
        <v>0</v>
      </c>
      <c r="BT1279">
        <v>0</v>
      </c>
      <c r="BU1279">
        <v>0</v>
      </c>
      <c r="BV1279">
        <v>0</v>
      </c>
      <c r="CC1279" t="str">
        <f>"18:56:03.516"</f>
        <v>18:56:03.516</v>
      </c>
      <c r="CD1279" t="str">
        <f>"517555351"</f>
        <v>517555351</v>
      </c>
      <c r="CQ1279">
        <v>0</v>
      </c>
      <c r="CR1279">
        <v>2</v>
      </c>
      <c r="CS1279">
        <v>0</v>
      </c>
      <c r="CT1279">
        <v>2</v>
      </c>
      <c r="CU1279">
        <v>0</v>
      </c>
      <c r="CV1279">
        <v>6</v>
      </c>
      <c r="CW1279" t="s">
        <v>120</v>
      </c>
      <c r="CX1279">
        <v>261</v>
      </c>
      <c r="CY1279">
        <v>2</v>
      </c>
      <c r="CZ1279" t="s">
        <v>121</v>
      </c>
      <c r="DA1279" t="s">
        <v>122</v>
      </c>
      <c r="DD1279">
        <v>14967499</v>
      </c>
      <c r="DE1279" t="s">
        <v>123</v>
      </c>
    </row>
    <row r="1280" spans="1:109" x14ac:dyDescent="0.3">
      <c r="A1280" t="str">
        <f>"18:56:04.836"</f>
        <v>18:56:04.836</v>
      </c>
      <c r="B1280" t="s">
        <v>110</v>
      </c>
      <c r="C1280" t="str">
        <f t="shared" si="57"/>
        <v>ffdfd3c0</v>
      </c>
      <c r="D1280" t="s">
        <v>111</v>
      </c>
      <c r="E1280">
        <v>18</v>
      </c>
      <c r="F1280">
        <v>1018</v>
      </c>
      <c r="G1280" t="s">
        <v>112</v>
      </c>
      <c r="J1280" t="s">
        <v>113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R1280" t="s">
        <v>114</v>
      </c>
      <c r="S1280" t="str">
        <f>"18:56:04.594"</f>
        <v>18:56:04.594</v>
      </c>
      <c r="T1280" t="str">
        <f>"18:56:04.195"</f>
        <v>18:56:04.195</v>
      </c>
      <c r="U1280" t="str">
        <f t="shared" si="58"/>
        <v>a1cdbe</v>
      </c>
      <c r="V1280">
        <v>0</v>
      </c>
      <c r="W1280">
        <v>0</v>
      </c>
      <c r="X1280">
        <v>1</v>
      </c>
      <c r="Y1280">
        <v>0</v>
      </c>
      <c r="Z1280">
        <v>0</v>
      </c>
      <c r="AB1280">
        <v>0</v>
      </c>
      <c r="AC1280">
        <v>9</v>
      </c>
      <c r="AD1280">
        <v>3</v>
      </c>
      <c r="AE1280">
        <v>0</v>
      </c>
      <c r="AF1280">
        <v>9</v>
      </c>
      <c r="AG1280" t="s">
        <v>158</v>
      </c>
      <c r="AH1280">
        <v>0</v>
      </c>
      <c r="AI1280">
        <v>3</v>
      </c>
      <c r="AJ1280">
        <v>1</v>
      </c>
      <c r="AK1280">
        <v>0</v>
      </c>
      <c r="AL1280" t="s">
        <v>2515</v>
      </c>
      <c r="AM1280">
        <v>46.819395999999998</v>
      </c>
      <c r="AN1280" t="s">
        <v>2516</v>
      </c>
      <c r="AO1280">
        <v>-122.660229</v>
      </c>
      <c r="AP1280">
        <v>100</v>
      </c>
      <c r="AQ1280">
        <v>2000</v>
      </c>
      <c r="AR1280" t="s">
        <v>118</v>
      </c>
      <c r="AS1280">
        <v>-76</v>
      </c>
      <c r="AT1280">
        <v>-21</v>
      </c>
      <c r="AU1280">
        <v>-64</v>
      </c>
      <c r="BC1280">
        <v>1200</v>
      </c>
      <c r="BD1280">
        <v>1</v>
      </c>
      <c r="BE1280" t="str">
        <f t="shared" si="59"/>
        <v xml:space="preserve">N215T   </v>
      </c>
      <c r="BF1280">
        <v>1</v>
      </c>
      <c r="BH1280">
        <v>0</v>
      </c>
      <c r="BI1280">
        <v>0</v>
      </c>
      <c r="BJ1280">
        <v>0</v>
      </c>
      <c r="BK1280">
        <v>2375</v>
      </c>
      <c r="BL1280">
        <v>375</v>
      </c>
      <c r="BM1280" t="s">
        <v>119</v>
      </c>
      <c r="BN1280">
        <v>1</v>
      </c>
      <c r="BO1280">
        <v>1</v>
      </c>
      <c r="BP1280">
        <v>1</v>
      </c>
      <c r="BQ1280">
        <v>0</v>
      </c>
      <c r="BT1280">
        <v>0</v>
      </c>
      <c r="BU1280">
        <v>0</v>
      </c>
      <c r="BV1280">
        <v>0</v>
      </c>
      <c r="CC1280" t="str">
        <f>"18:56:04.594"</f>
        <v>18:56:04.594</v>
      </c>
      <c r="CD1280" t="str">
        <f>"597524780"</f>
        <v>597524780</v>
      </c>
      <c r="CQ1280">
        <v>0</v>
      </c>
      <c r="CR1280">
        <v>2</v>
      </c>
      <c r="CS1280">
        <v>0</v>
      </c>
      <c r="CT1280">
        <v>2</v>
      </c>
      <c r="CU1280">
        <v>0</v>
      </c>
      <c r="CV1280">
        <v>2</v>
      </c>
      <c r="CW1280" t="s">
        <v>120</v>
      </c>
      <c r="CX1280">
        <v>257</v>
      </c>
      <c r="CY1280">
        <v>1</v>
      </c>
      <c r="CZ1280" t="s">
        <v>615</v>
      </c>
      <c r="DA1280" t="s">
        <v>616</v>
      </c>
      <c r="DD1280">
        <v>11321881</v>
      </c>
      <c r="DE1280" t="s">
        <v>123</v>
      </c>
    </row>
    <row r="1281" spans="1:109" x14ac:dyDescent="0.3">
      <c r="A1281" t="str">
        <f>"18:56:05.891"</f>
        <v>18:56:05.891</v>
      </c>
      <c r="B1281" t="s">
        <v>110</v>
      </c>
      <c r="C1281" t="str">
        <f t="shared" si="57"/>
        <v>ffdfd3c0</v>
      </c>
      <c r="D1281" t="s">
        <v>111</v>
      </c>
      <c r="E1281">
        <v>18</v>
      </c>
      <c r="F1281">
        <v>1018</v>
      </c>
      <c r="G1281" t="s">
        <v>112</v>
      </c>
      <c r="J1281" t="s">
        <v>113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R1281" t="s">
        <v>114</v>
      </c>
      <c r="S1281" t="str">
        <f>"18:56:05.672"</f>
        <v>18:56:05.672</v>
      </c>
      <c r="T1281" t="str">
        <f>"18:56:05.273"</f>
        <v>18:56:05.273</v>
      </c>
      <c r="U1281" t="str">
        <f t="shared" si="58"/>
        <v>a1cdbe</v>
      </c>
      <c r="V1281">
        <v>0</v>
      </c>
      <c r="W1281">
        <v>0</v>
      </c>
      <c r="X1281">
        <v>1</v>
      </c>
      <c r="Y1281">
        <v>0</v>
      </c>
      <c r="Z1281">
        <v>0</v>
      </c>
      <c r="AB1281">
        <v>0</v>
      </c>
      <c r="AC1281">
        <v>9</v>
      </c>
      <c r="AD1281">
        <v>3</v>
      </c>
      <c r="AE1281">
        <v>0</v>
      </c>
      <c r="AF1281">
        <v>9</v>
      </c>
      <c r="AG1281" t="s">
        <v>158</v>
      </c>
      <c r="AH1281">
        <v>0</v>
      </c>
      <c r="AI1281">
        <v>3</v>
      </c>
      <c r="AJ1281">
        <v>1</v>
      </c>
      <c r="AK1281">
        <v>0</v>
      </c>
      <c r="AL1281" t="s">
        <v>2517</v>
      </c>
      <c r="AM1281">
        <v>46.819288999999998</v>
      </c>
      <c r="AN1281" t="s">
        <v>2518</v>
      </c>
      <c r="AO1281">
        <v>-122.66074399999999</v>
      </c>
      <c r="AP1281">
        <v>100</v>
      </c>
      <c r="AQ1281">
        <v>2000</v>
      </c>
      <c r="AR1281" t="s">
        <v>118</v>
      </c>
      <c r="AS1281">
        <v>-76</v>
      </c>
      <c r="AT1281">
        <v>-21</v>
      </c>
      <c r="AU1281">
        <v>0</v>
      </c>
      <c r="BC1281">
        <v>1200</v>
      </c>
      <c r="BD1281">
        <v>1</v>
      </c>
      <c r="BE1281" t="str">
        <f t="shared" si="59"/>
        <v xml:space="preserve">N215T   </v>
      </c>
      <c r="BF1281">
        <v>1</v>
      </c>
      <c r="BH1281">
        <v>0</v>
      </c>
      <c r="BI1281">
        <v>0</v>
      </c>
      <c r="BJ1281">
        <v>0</v>
      </c>
      <c r="BK1281">
        <v>2375</v>
      </c>
      <c r="BL1281">
        <v>375</v>
      </c>
      <c r="BM1281" t="s">
        <v>119</v>
      </c>
      <c r="BN1281">
        <v>1</v>
      </c>
      <c r="BO1281">
        <v>1</v>
      </c>
      <c r="BP1281">
        <v>1</v>
      </c>
      <c r="BQ1281">
        <v>0</v>
      </c>
      <c r="BT1281">
        <v>0</v>
      </c>
      <c r="BU1281">
        <v>0</v>
      </c>
      <c r="BV1281">
        <v>0</v>
      </c>
      <c r="CC1281" t="str">
        <f>"18:56:05.680"</f>
        <v>18:56:05.680</v>
      </c>
      <c r="CD1281" t="str">
        <f>"677342704"</f>
        <v>677342704</v>
      </c>
      <c r="CQ1281">
        <v>0</v>
      </c>
      <c r="CR1281">
        <v>2</v>
      </c>
      <c r="CS1281">
        <v>0</v>
      </c>
      <c r="CT1281">
        <v>2</v>
      </c>
      <c r="CU1281">
        <v>0</v>
      </c>
      <c r="CV1281">
        <v>7</v>
      </c>
      <c r="CW1281" t="s">
        <v>120</v>
      </c>
      <c r="CX1281">
        <v>261</v>
      </c>
      <c r="CY1281">
        <v>2</v>
      </c>
      <c r="CZ1281" t="s">
        <v>121</v>
      </c>
      <c r="DA1281" t="s">
        <v>122</v>
      </c>
      <c r="DD1281">
        <v>14968928</v>
      </c>
      <c r="DE1281" t="s">
        <v>123</v>
      </c>
    </row>
    <row r="1282" spans="1:109" x14ac:dyDescent="0.3">
      <c r="A1282" t="str">
        <f>"18:56:06.945"</f>
        <v>18:56:06.945</v>
      </c>
      <c r="B1282" t="s">
        <v>110</v>
      </c>
      <c r="C1282" t="str">
        <f t="shared" ref="C1282:C1345" si="60">"ffdfd3c0"</f>
        <v>ffdfd3c0</v>
      </c>
      <c r="D1282" t="s">
        <v>111</v>
      </c>
      <c r="E1282">
        <v>18</v>
      </c>
      <c r="F1282">
        <v>1018</v>
      </c>
      <c r="G1282" t="s">
        <v>112</v>
      </c>
      <c r="J1282" t="s">
        <v>113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R1282" t="s">
        <v>114</v>
      </c>
      <c r="S1282" t="str">
        <f>"18:56:06.727"</f>
        <v>18:56:06.727</v>
      </c>
      <c r="T1282" t="str">
        <f>"18:56:06.625"</f>
        <v>18:56:06.625</v>
      </c>
      <c r="U1282" t="str">
        <f t="shared" ref="U1282:U1345" si="61">"a1cdbe"</f>
        <v>a1cdbe</v>
      </c>
      <c r="V1282">
        <v>0</v>
      </c>
      <c r="W1282">
        <v>0</v>
      </c>
      <c r="X1282">
        <v>1</v>
      </c>
      <c r="Y1282">
        <v>0</v>
      </c>
      <c r="Z1282">
        <v>0</v>
      </c>
      <c r="AB1282">
        <v>0</v>
      </c>
      <c r="AC1282">
        <v>9</v>
      </c>
      <c r="AD1282">
        <v>3</v>
      </c>
      <c r="AE1282">
        <v>0</v>
      </c>
      <c r="AF1282">
        <v>9</v>
      </c>
      <c r="AG1282" t="s">
        <v>158</v>
      </c>
      <c r="AH1282">
        <v>0</v>
      </c>
      <c r="AI1282">
        <v>3</v>
      </c>
      <c r="AJ1282">
        <v>1</v>
      </c>
      <c r="AK1282">
        <v>0</v>
      </c>
      <c r="AL1282" t="s">
        <v>2519</v>
      </c>
      <c r="AM1282">
        <v>46.819159999999997</v>
      </c>
      <c r="AN1282" t="s">
        <v>2520</v>
      </c>
      <c r="AO1282">
        <v>-122.66132399999999</v>
      </c>
      <c r="AP1282">
        <v>100</v>
      </c>
      <c r="AQ1282">
        <v>2000</v>
      </c>
      <c r="AR1282" t="s">
        <v>118</v>
      </c>
      <c r="AS1282">
        <v>-76</v>
      </c>
      <c r="AT1282">
        <v>-20</v>
      </c>
      <c r="AU1282">
        <v>-64</v>
      </c>
      <c r="BC1282">
        <v>1200</v>
      </c>
      <c r="BD1282">
        <v>1</v>
      </c>
      <c r="BE1282" t="str">
        <f t="shared" ref="BE1282:BE1345" si="62">"N215T   "</f>
        <v xml:space="preserve">N215T   </v>
      </c>
      <c r="BF1282">
        <v>1</v>
      </c>
      <c r="BH1282">
        <v>0</v>
      </c>
      <c r="BI1282">
        <v>0</v>
      </c>
      <c r="BJ1282">
        <v>0</v>
      </c>
      <c r="BK1282">
        <v>2375</v>
      </c>
      <c r="BL1282">
        <v>375</v>
      </c>
      <c r="BM1282" t="s">
        <v>119</v>
      </c>
      <c r="BN1282">
        <v>1</v>
      </c>
      <c r="BO1282">
        <v>1</v>
      </c>
      <c r="BP1282">
        <v>1</v>
      </c>
      <c r="BQ1282">
        <v>0</v>
      </c>
      <c r="BT1282">
        <v>0</v>
      </c>
      <c r="BU1282">
        <v>0</v>
      </c>
      <c r="BV1282">
        <v>0</v>
      </c>
      <c r="CC1282" t="str">
        <f>"18:56:06.727"</f>
        <v>18:56:06.727</v>
      </c>
      <c r="CD1282" t="str">
        <f>"727239332"</f>
        <v>727239332</v>
      </c>
      <c r="CQ1282">
        <v>0</v>
      </c>
      <c r="CR1282">
        <v>2</v>
      </c>
      <c r="CS1282">
        <v>0</v>
      </c>
      <c r="CT1282">
        <v>2</v>
      </c>
      <c r="CU1282">
        <v>0</v>
      </c>
      <c r="CV1282">
        <v>6</v>
      </c>
      <c r="CW1282" t="s">
        <v>120</v>
      </c>
      <c r="CX1282">
        <v>261</v>
      </c>
      <c r="CY1282">
        <v>2</v>
      </c>
      <c r="CZ1282" t="s">
        <v>121</v>
      </c>
      <c r="DA1282" t="s">
        <v>122</v>
      </c>
      <c r="DD1282">
        <v>14969669</v>
      </c>
      <c r="DE1282" t="s">
        <v>123</v>
      </c>
    </row>
    <row r="1283" spans="1:109" x14ac:dyDescent="0.3">
      <c r="A1283" t="str">
        <f>"18:56:07.953"</f>
        <v>18:56:07.953</v>
      </c>
      <c r="B1283" t="s">
        <v>110</v>
      </c>
      <c r="C1283" t="str">
        <f t="shared" si="60"/>
        <v>ffdfd3c0</v>
      </c>
      <c r="D1283" t="s">
        <v>111</v>
      </c>
      <c r="E1283">
        <v>18</v>
      </c>
      <c r="F1283">
        <v>1018</v>
      </c>
      <c r="G1283" t="s">
        <v>112</v>
      </c>
      <c r="J1283" t="s">
        <v>113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R1283" t="s">
        <v>114</v>
      </c>
      <c r="S1283" t="str">
        <f>"18:56:07.742"</f>
        <v>18:56:07.742</v>
      </c>
      <c r="T1283" t="str">
        <f>"18:56:07.641"</f>
        <v>18:56:07.641</v>
      </c>
      <c r="U1283" t="str">
        <f t="shared" si="61"/>
        <v>a1cdbe</v>
      </c>
      <c r="V1283">
        <v>0</v>
      </c>
      <c r="W1283">
        <v>0</v>
      </c>
      <c r="X1283">
        <v>1</v>
      </c>
      <c r="Y1283">
        <v>0</v>
      </c>
      <c r="Z1283">
        <v>0</v>
      </c>
      <c r="AB1283">
        <v>0</v>
      </c>
      <c r="AC1283">
        <v>9</v>
      </c>
      <c r="AD1283">
        <v>3</v>
      </c>
      <c r="AE1283">
        <v>0</v>
      </c>
      <c r="AF1283">
        <v>9</v>
      </c>
      <c r="AG1283" t="s">
        <v>158</v>
      </c>
      <c r="AH1283">
        <v>0</v>
      </c>
      <c r="AI1283">
        <v>3</v>
      </c>
      <c r="AJ1283">
        <v>1</v>
      </c>
      <c r="AK1283">
        <v>0</v>
      </c>
      <c r="AL1283" t="s">
        <v>2521</v>
      </c>
      <c r="AM1283">
        <v>46.819116999999999</v>
      </c>
      <c r="AN1283" t="s">
        <v>2522</v>
      </c>
      <c r="AO1283">
        <v>-122.661817</v>
      </c>
      <c r="AP1283">
        <v>100</v>
      </c>
      <c r="AQ1283">
        <v>2000</v>
      </c>
      <c r="AR1283" t="s">
        <v>118</v>
      </c>
      <c r="AS1283">
        <v>-76</v>
      </c>
      <c r="AT1283">
        <v>-20</v>
      </c>
      <c r="AU1283">
        <v>-128</v>
      </c>
      <c r="BC1283">
        <v>1200</v>
      </c>
      <c r="BD1283">
        <v>1</v>
      </c>
      <c r="BE1283" t="str">
        <f t="shared" si="62"/>
        <v xml:space="preserve">N215T   </v>
      </c>
      <c r="BF1283">
        <v>1</v>
      </c>
      <c r="BH1283">
        <v>0</v>
      </c>
      <c r="BI1283">
        <v>0</v>
      </c>
      <c r="BJ1283">
        <v>0</v>
      </c>
      <c r="BK1283">
        <v>2375</v>
      </c>
      <c r="BL1283">
        <v>375</v>
      </c>
      <c r="BM1283" t="s">
        <v>119</v>
      </c>
      <c r="BN1283">
        <v>1</v>
      </c>
      <c r="BO1283">
        <v>1</v>
      </c>
      <c r="BP1283">
        <v>1</v>
      </c>
      <c r="BQ1283">
        <v>0</v>
      </c>
      <c r="BT1283">
        <v>0</v>
      </c>
      <c r="BU1283">
        <v>0</v>
      </c>
      <c r="BV1283">
        <v>0</v>
      </c>
      <c r="CC1283" t="str">
        <f>"18:56:07.750"</f>
        <v>18:56:07.750</v>
      </c>
      <c r="CD1283" t="str">
        <f>"747138909"</f>
        <v>747138909</v>
      </c>
      <c r="CQ1283">
        <v>0</v>
      </c>
      <c r="CR1283">
        <v>2</v>
      </c>
      <c r="CS1283">
        <v>0</v>
      </c>
      <c r="CT1283">
        <v>2</v>
      </c>
      <c r="CU1283">
        <v>0</v>
      </c>
      <c r="CV1283">
        <v>6</v>
      </c>
      <c r="CW1283" t="s">
        <v>120</v>
      </c>
      <c r="CX1283">
        <v>261</v>
      </c>
      <c r="CY1283">
        <v>2</v>
      </c>
      <c r="CZ1283" t="s">
        <v>121</v>
      </c>
      <c r="DA1283" t="s">
        <v>122</v>
      </c>
      <c r="DD1283">
        <v>14970334</v>
      </c>
      <c r="DE1283" t="s">
        <v>123</v>
      </c>
    </row>
    <row r="1284" spans="1:109" x14ac:dyDescent="0.3">
      <c r="A1284" t="str">
        <f>"18:56:08.961"</f>
        <v>18:56:08.961</v>
      </c>
      <c r="B1284" t="s">
        <v>110</v>
      </c>
      <c r="C1284" t="str">
        <f t="shared" si="60"/>
        <v>ffdfd3c0</v>
      </c>
      <c r="D1284" t="s">
        <v>111</v>
      </c>
      <c r="E1284">
        <v>18</v>
      </c>
      <c r="F1284">
        <v>1018</v>
      </c>
      <c r="G1284" t="s">
        <v>112</v>
      </c>
      <c r="J1284" t="s">
        <v>113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R1284" t="s">
        <v>114</v>
      </c>
      <c r="S1284" t="str">
        <f>"18:56:08.719"</f>
        <v>18:56:08.719</v>
      </c>
      <c r="T1284" t="str">
        <f>"18:56:08.719"</f>
        <v>18:56:08.719</v>
      </c>
      <c r="U1284" t="str">
        <f t="shared" si="61"/>
        <v>a1cdbe</v>
      </c>
      <c r="V1284">
        <v>0</v>
      </c>
      <c r="W1284">
        <v>0</v>
      </c>
      <c r="X1284">
        <v>1</v>
      </c>
      <c r="Y1284">
        <v>0</v>
      </c>
      <c r="Z1284">
        <v>0</v>
      </c>
      <c r="AB1284">
        <v>0</v>
      </c>
      <c r="AC1284">
        <v>9</v>
      </c>
      <c r="AD1284">
        <v>3</v>
      </c>
      <c r="AE1284">
        <v>0</v>
      </c>
      <c r="AF1284">
        <v>9</v>
      </c>
      <c r="AG1284" t="s">
        <v>158</v>
      </c>
      <c r="AH1284">
        <v>0</v>
      </c>
      <c r="AI1284">
        <v>3</v>
      </c>
      <c r="AJ1284">
        <v>1</v>
      </c>
      <c r="AK1284">
        <v>0</v>
      </c>
      <c r="AL1284" t="s">
        <v>2523</v>
      </c>
      <c r="AM1284">
        <v>46.818987999999997</v>
      </c>
      <c r="AN1284" t="s">
        <v>2524</v>
      </c>
      <c r="AO1284">
        <v>-122.66235399999999</v>
      </c>
      <c r="AP1284">
        <v>100</v>
      </c>
      <c r="AQ1284">
        <v>2000</v>
      </c>
      <c r="AR1284" t="s">
        <v>118</v>
      </c>
      <c r="AS1284">
        <v>-76</v>
      </c>
      <c r="AT1284">
        <v>-20</v>
      </c>
      <c r="AU1284">
        <v>-64</v>
      </c>
      <c r="BC1284">
        <v>1200</v>
      </c>
      <c r="BD1284">
        <v>1</v>
      </c>
      <c r="BE1284" t="str">
        <f t="shared" si="62"/>
        <v xml:space="preserve">N215T   </v>
      </c>
      <c r="BF1284">
        <v>1</v>
      </c>
      <c r="BH1284">
        <v>0</v>
      </c>
      <c r="BI1284">
        <v>0</v>
      </c>
      <c r="BJ1284">
        <v>0</v>
      </c>
      <c r="BK1284">
        <v>2375</v>
      </c>
      <c r="BL1284">
        <v>375</v>
      </c>
      <c r="BM1284" t="s">
        <v>119</v>
      </c>
      <c r="BN1284">
        <v>1</v>
      </c>
      <c r="BO1284">
        <v>1</v>
      </c>
      <c r="BP1284">
        <v>1</v>
      </c>
      <c r="BQ1284">
        <v>0</v>
      </c>
      <c r="BT1284">
        <v>0</v>
      </c>
      <c r="BU1284">
        <v>0</v>
      </c>
      <c r="BV1284">
        <v>0</v>
      </c>
      <c r="CC1284" t="str">
        <f>"18:56:08.719"</f>
        <v>18:56:08.719</v>
      </c>
      <c r="CD1284" t="str">
        <f>"722042929"</f>
        <v>722042929</v>
      </c>
      <c r="CQ1284">
        <v>0</v>
      </c>
      <c r="CR1284">
        <v>2</v>
      </c>
      <c r="CS1284">
        <v>0</v>
      </c>
      <c r="CT1284">
        <v>2</v>
      </c>
      <c r="CU1284">
        <v>0</v>
      </c>
      <c r="CV1284">
        <v>7</v>
      </c>
      <c r="CW1284" t="s">
        <v>120</v>
      </c>
      <c r="CX1284">
        <v>261</v>
      </c>
      <c r="CY1284">
        <v>2</v>
      </c>
      <c r="CZ1284" t="s">
        <v>121</v>
      </c>
      <c r="DA1284" t="s">
        <v>122</v>
      </c>
      <c r="DD1284">
        <v>14970985</v>
      </c>
      <c r="DE1284" t="s">
        <v>123</v>
      </c>
    </row>
    <row r="1285" spans="1:109" x14ac:dyDescent="0.3">
      <c r="A1285" t="str">
        <f>"18:56:09.766"</f>
        <v>18:56:09.766</v>
      </c>
      <c r="B1285" t="s">
        <v>110</v>
      </c>
      <c r="C1285" t="str">
        <f t="shared" si="60"/>
        <v>ffdfd3c0</v>
      </c>
      <c r="D1285" t="s">
        <v>111</v>
      </c>
      <c r="E1285">
        <v>18</v>
      </c>
      <c r="F1285">
        <v>1018</v>
      </c>
      <c r="G1285" t="s">
        <v>112</v>
      </c>
      <c r="J1285" t="s">
        <v>113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R1285" t="s">
        <v>114</v>
      </c>
      <c r="S1285" t="str">
        <f>"18:56:09.547"</f>
        <v>18:56:09.547</v>
      </c>
      <c r="T1285" t="str">
        <f>"18:56:09.148"</f>
        <v>18:56:09.148</v>
      </c>
      <c r="U1285" t="str">
        <f t="shared" si="61"/>
        <v>a1cdbe</v>
      </c>
      <c r="V1285">
        <v>0</v>
      </c>
      <c r="W1285">
        <v>0</v>
      </c>
      <c r="X1285">
        <v>1</v>
      </c>
      <c r="Y1285">
        <v>0</v>
      </c>
      <c r="Z1285">
        <v>0</v>
      </c>
      <c r="AB1285">
        <v>0</v>
      </c>
      <c r="AC1285">
        <v>9</v>
      </c>
      <c r="AD1285">
        <v>3</v>
      </c>
      <c r="AE1285">
        <v>0</v>
      </c>
      <c r="AF1285">
        <v>9</v>
      </c>
      <c r="AG1285" t="s">
        <v>158</v>
      </c>
      <c r="AH1285">
        <v>0</v>
      </c>
      <c r="AI1285">
        <v>3</v>
      </c>
      <c r="AJ1285">
        <v>1</v>
      </c>
      <c r="AK1285">
        <v>0</v>
      </c>
      <c r="AL1285" t="s">
        <v>2525</v>
      </c>
      <c r="AM1285">
        <v>46.818924000000003</v>
      </c>
      <c r="AN1285" t="s">
        <v>2526</v>
      </c>
      <c r="AO1285">
        <v>-122.662761</v>
      </c>
      <c r="AP1285">
        <v>100</v>
      </c>
      <c r="AQ1285">
        <v>2000</v>
      </c>
      <c r="AR1285" t="s">
        <v>118</v>
      </c>
      <c r="AS1285">
        <v>-76</v>
      </c>
      <c r="AT1285">
        <v>-20</v>
      </c>
      <c r="AU1285">
        <v>-64</v>
      </c>
      <c r="BC1285">
        <v>1200</v>
      </c>
      <c r="BD1285">
        <v>1</v>
      </c>
      <c r="BE1285" t="str">
        <f t="shared" si="62"/>
        <v xml:space="preserve">N215T   </v>
      </c>
      <c r="BF1285">
        <v>1</v>
      </c>
      <c r="BH1285">
        <v>0</v>
      </c>
      <c r="BI1285">
        <v>0</v>
      </c>
      <c r="BJ1285">
        <v>0</v>
      </c>
      <c r="BK1285">
        <v>2375</v>
      </c>
      <c r="BL1285">
        <v>375</v>
      </c>
      <c r="BM1285" t="s">
        <v>119</v>
      </c>
      <c r="BN1285">
        <v>1</v>
      </c>
      <c r="BO1285">
        <v>1</v>
      </c>
      <c r="BP1285">
        <v>1</v>
      </c>
      <c r="BQ1285">
        <v>0</v>
      </c>
      <c r="BT1285">
        <v>0</v>
      </c>
      <c r="BU1285">
        <v>0</v>
      </c>
      <c r="BV1285">
        <v>0</v>
      </c>
      <c r="CC1285" t="str">
        <f>"18:56:09.547"</f>
        <v>18:56:09.547</v>
      </c>
      <c r="CD1285" t="str">
        <f>"546961710"</f>
        <v>546961710</v>
      </c>
      <c r="CQ1285">
        <v>0</v>
      </c>
      <c r="CR1285">
        <v>2</v>
      </c>
      <c r="CS1285">
        <v>0</v>
      </c>
      <c r="CT1285">
        <v>2</v>
      </c>
      <c r="CU1285">
        <v>0</v>
      </c>
      <c r="CV1285">
        <v>6</v>
      </c>
      <c r="CW1285" t="s">
        <v>120</v>
      </c>
      <c r="CX1285">
        <v>261</v>
      </c>
      <c r="CY1285">
        <v>2</v>
      </c>
      <c r="CZ1285" t="s">
        <v>121</v>
      </c>
      <c r="DA1285" t="s">
        <v>122</v>
      </c>
      <c r="DD1285">
        <v>14971534</v>
      </c>
      <c r="DE1285" t="s">
        <v>123</v>
      </c>
    </row>
    <row r="1286" spans="1:109" x14ac:dyDescent="0.3">
      <c r="A1286" t="str">
        <f>"18:56:10.820"</f>
        <v>18:56:10.820</v>
      </c>
      <c r="B1286" t="s">
        <v>110</v>
      </c>
      <c r="C1286" t="str">
        <f t="shared" si="60"/>
        <v>ffdfd3c0</v>
      </c>
      <c r="D1286" t="s">
        <v>111</v>
      </c>
      <c r="E1286">
        <v>18</v>
      </c>
      <c r="F1286">
        <v>1018</v>
      </c>
      <c r="G1286" t="s">
        <v>112</v>
      </c>
      <c r="J1286" t="s">
        <v>113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R1286" t="s">
        <v>114</v>
      </c>
      <c r="S1286" t="str">
        <f>"18:56:10.563"</f>
        <v>18:56:10.563</v>
      </c>
      <c r="T1286" t="str">
        <f>"18:56:10.563"</f>
        <v>18:56:10.563</v>
      </c>
      <c r="U1286" t="str">
        <f t="shared" si="61"/>
        <v>a1cdbe</v>
      </c>
      <c r="V1286">
        <v>0</v>
      </c>
      <c r="W1286">
        <v>0</v>
      </c>
      <c r="X1286">
        <v>1</v>
      </c>
      <c r="Y1286">
        <v>0</v>
      </c>
      <c r="Z1286">
        <v>0</v>
      </c>
      <c r="AB1286">
        <v>0</v>
      </c>
      <c r="AC1286">
        <v>9</v>
      </c>
      <c r="AD1286">
        <v>3</v>
      </c>
      <c r="AE1286">
        <v>0</v>
      </c>
      <c r="AF1286">
        <v>9</v>
      </c>
      <c r="AG1286" t="s">
        <v>158</v>
      </c>
      <c r="AH1286">
        <v>0</v>
      </c>
      <c r="AI1286">
        <v>3</v>
      </c>
      <c r="AJ1286">
        <v>1</v>
      </c>
      <c r="AK1286">
        <v>0</v>
      </c>
      <c r="AL1286" t="s">
        <v>2527</v>
      </c>
      <c r="AM1286">
        <v>46.818838</v>
      </c>
      <c r="AN1286" t="s">
        <v>2528</v>
      </c>
      <c r="AO1286">
        <v>-122.66325500000001</v>
      </c>
      <c r="AP1286">
        <v>100</v>
      </c>
      <c r="AQ1286">
        <v>2000</v>
      </c>
      <c r="AR1286" t="s">
        <v>118</v>
      </c>
      <c r="AS1286">
        <v>-76</v>
      </c>
      <c r="AT1286">
        <v>-20</v>
      </c>
      <c r="AU1286">
        <v>-192</v>
      </c>
      <c r="BC1286">
        <v>1200</v>
      </c>
      <c r="BD1286">
        <v>1</v>
      </c>
      <c r="BE1286" t="str">
        <f t="shared" si="62"/>
        <v xml:space="preserve">N215T   </v>
      </c>
      <c r="BF1286">
        <v>1</v>
      </c>
      <c r="BH1286">
        <v>0</v>
      </c>
      <c r="BI1286">
        <v>0</v>
      </c>
      <c r="BJ1286">
        <v>0</v>
      </c>
      <c r="BK1286">
        <v>2375</v>
      </c>
      <c r="BL1286">
        <v>375</v>
      </c>
      <c r="BM1286" t="s">
        <v>119</v>
      </c>
      <c r="BN1286">
        <v>1</v>
      </c>
      <c r="BO1286">
        <v>1</v>
      </c>
      <c r="BP1286">
        <v>1</v>
      </c>
      <c r="BQ1286">
        <v>0</v>
      </c>
      <c r="BT1286">
        <v>0</v>
      </c>
      <c r="BU1286">
        <v>0</v>
      </c>
      <c r="BV1286">
        <v>0</v>
      </c>
      <c r="CC1286" t="str">
        <f>"18:56:10.570"</f>
        <v>18:56:10.570</v>
      </c>
      <c r="CD1286" t="str">
        <f>"566861283"</f>
        <v>566861283</v>
      </c>
      <c r="CQ1286">
        <v>0</v>
      </c>
      <c r="CR1286">
        <v>2</v>
      </c>
      <c r="CS1286">
        <v>0</v>
      </c>
      <c r="CT1286">
        <v>2</v>
      </c>
      <c r="CU1286">
        <v>0</v>
      </c>
      <c r="CV1286">
        <v>6</v>
      </c>
      <c r="CW1286" t="s">
        <v>120</v>
      </c>
      <c r="CX1286">
        <v>261</v>
      </c>
      <c r="CY1286">
        <v>2</v>
      </c>
      <c r="CZ1286" t="s">
        <v>121</v>
      </c>
      <c r="DA1286" t="s">
        <v>122</v>
      </c>
      <c r="DD1286">
        <v>14972211</v>
      </c>
      <c r="DE1286" t="s">
        <v>123</v>
      </c>
    </row>
    <row r="1287" spans="1:109" x14ac:dyDescent="0.3">
      <c r="A1287" t="str">
        <f>"18:56:11.875"</f>
        <v>18:56:11.875</v>
      </c>
      <c r="B1287" t="s">
        <v>110</v>
      </c>
      <c r="C1287" t="str">
        <f t="shared" si="60"/>
        <v>ffdfd3c0</v>
      </c>
      <c r="D1287" t="s">
        <v>111</v>
      </c>
      <c r="E1287">
        <v>18</v>
      </c>
      <c r="F1287">
        <v>1018</v>
      </c>
      <c r="G1287" t="s">
        <v>112</v>
      </c>
      <c r="J1287" t="s">
        <v>113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R1287" t="s">
        <v>114</v>
      </c>
      <c r="S1287" t="str">
        <f>"18:56:11.625"</f>
        <v>18:56:11.625</v>
      </c>
      <c r="T1287" t="str">
        <f>"18:56:11.125"</f>
        <v>18:56:11.125</v>
      </c>
      <c r="U1287" t="str">
        <f t="shared" si="61"/>
        <v>a1cdbe</v>
      </c>
      <c r="V1287">
        <v>0</v>
      </c>
      <c r="W1287">
        <v>0</v>
      </c>
      <c r="X1287">
        <v>1</v>
      </c>
      <c r="Y1287">
        <v>0</v>
      </c>
      <c r="Z1287">
        <v>0</v>
      </c>
      <c r="AB1287">
        <v>0</v>
      </c>
      <c r="AC1287">
        <v>9</v>
      </c>
      <c r="AD1287">
        <v>3</v>
      </c>
      <c r="AE1287">
        <v>0</v>
      </c>
      <c r="AF1287">
        <v>9</v>
      </c>
      <c r="AG1287" t="s">
        <v>158</v>
      </c>
      <c r="AH1287">
        <v>0</v>
      </c>
      <c r="AI1287">
        <v>3</v>
      </c>
      <c r="AJ1287">
        <v>1</v>
      </c>
      <c r="AK1287">
        <v>0</v>
      </c>
      <c r="AL1287" t="s">
        <v>2529</v>
      </c>
      <c r="AM1287">
        <v>46.818731</v>
      </c>
      <c r="AN1287" t="s">
        <v>2530</v>
      </c>
      <c r="AO1287">
        <v>-122.66383399999999</v>
      </c>
      <c r="AP1287">
        <v>100</v>
      </c>
      <c r="AQ1287">
        <v>2000</v>
      </c>
      <c r="AR1287" t="s">
        <v>118</v>
      </c>
      <c r="AS1287">
        <v>-76</v>
      </c>
      <c r="AT1287">
        <v>-19</v>
      </c>
      <c r="AU1287">
        <v>-64</v>
      </c>
      <c r="BC1287">
        <v>1200</v>
      </c>
      <c r="BD1287">
        <v>1</v>
      </c>
      <c r="BE1287" t="str">
        <f t="shared" si="62"/>
        <v xml:space="preserve">N215T   </v>
      </c>
      <c r="BF1287">
        <v>1</v>
      </c>
      <c r="BH1287">
        <v>0</v>
      </c>
      <c r="BI1287">
        <v>0</v>
      </c>
      <c r="BJ1287">
        <v>0</v>
      </c>
      <c r="BK1287">
        <v>2375</v>
      </c>
      <c r="BL1287">
        <v>375</v>
      </c>
      <c r="BM1287" t="s">
        <v>119</v>
      </c>
      <c r="BN1287">
        <v>1</v>
      </c>
      <c r="BO1287">
        <v>1</v>
      </c>
      <c r="BP1287">
        <v>1</v>
      </c>
      <c r="BQ1287">
        <v>0</v>
      </c>
      <c r="BT1287">
        <v>0</v>
      </c>
      <c r="BU1287">
        <v>0</v>
      </c>
      <c r="BV1287">
        <v>0</v>
      </c>
      <c r="CC1287" t="str">
        <f>"18:56:11.633"</f>
        <v>18:56:11.633</v>
      </c>
      <c r="CD1287" t="str">
        <f>"631831182"</f>
        <v>631831182</v>
      </c>
      <c r="CQ1287">
        <v>0</v>
      </c>
      <c r="CR1287">
        <v>2</v>
      </c>
      <c r="CS1287">
        <v>0</v>
      </c>
      <c r="CT1287">
        <v>2</v>
      </c>
      <c r="CU1287">
        <v>0</v>
      </c>
      <c r="CV1287">
        <v>2</v>
      </c>
      <c r="CW1287" t="s">
        <v>120</v>
      </c>
      <c r="CX1287">
        <v>257</v>
      </c>
      <c r="CY1287">
        <v>1</v>
      </c>
      <c r="CZ1287" t="s">
        <v>615</v>
      </c>
      <c r="DA1287" t="s">
        <v>616</v>
      </c>
      <c r="DD1287">
        <v>11327148</v>
      </c>
      <c r="DE1287" t="s">
        <v>123</v>
      </c>
    </row>
    <row r="1288" spans="1:109" x14ac:dyDescent="0.3">
      <c r="A1288" t="str">
        <f>"18:56:12.781"</f>
        <v>18:56:12.781</v>
      </c>
      <c r="B1288" t="s">
        <v>110</v>
      </c>
      <c r="C1288" t="str">
        <f t="shared" si="60"/>
        <v>ffdfd3c0</v>
      </c>
      <c r="D1288" t="s">
        <v>111</v>
      </c>
      <c r="E1288">
        <v>18</v>
      </c>
      <c r="F1288">
        <v>1018</v>
      </c>
      <c r="G1288" t="s">
        <v>112</v>
      </c>
      <c r="J1288" t="s">
        <v>113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R1288" t="s">
        <v>114</v>
      </c>
      <c r="S1288" t="str">
        <f>"18:56:12.500"</f>
        <v>18:56:12.500</v>
      </c>
      <c r="T1288" t="str">
        <f>"18:56:12.102"</f>
        <v>18:56:12.102</v>
      </c>
      <c r="U1288" t="str">
        <f t="shared" si="61"/>
        <v>a1cdbe</v>
      </c>
      <c r="V1288">
        <v>0</v>
      </c>
      <c r="W1288">
        <v>0</v>
      </c>
      <c r="X1288">
        <v>1</v>
      </c>
      <c r="Y1288">
        <v>0</v>
      </c>
      <c r="Z1288">
        <v>0</v>
      </c>
      <c r="AB1288">
        <v>0</v>
      </c>
      <c r="AC1288">
        <v>9</v>
      </c>
      <c r="AD1288">
        <v>3</v>
      </c>
      <c r="AE1288">
        <v>0</v>
      </c>
      <c r="AF1288">
        <v>9</v>
      </c>
      <c r="AG1288" t="s">
        <v>158</v>
      </c>
      <c r="AH1288">
        <v>0</v>
      </c>
      <c r="AI1288">
        <v>3</v>
      </c>
      <c r="AJ1288">
        <v>1</v>
      </c>
      <c r="AK1288">
        <v>0</v>
      </c>
      <c r="AL1288" t="s">
        <v>2531</v>
      </c>
      <c r="AM1288">
        <v>46.818644999999997</v>
      </c>
      <c r="AN1288" t="s">
        <v>2532</v>
      </c>
      <c r="AO1288">
        <v>-122.66422</v>
      </c>
      <c r="AP1288">
        <v>100</v>
      </c>
      <c r="AQ1288">
        <v>2000</v>
      </c>
      <c r="AR1288" t="s">
        <v>118</v>
      </c>
      <c r="AS1288">
        <v>-77</v>
      </c>
      <c r="AT1288">
        <v>-18</v>
      </c>
      <c r="AU1288">
        <v>256</v>
      </c>
      <c r="BC1288">
        <v>1200</v>
      </c>
      <c r="BD1288">
        <v>1</v>
      </c>
      <c r="BE1288" t="str">
        <f t="shared" si="62"/>
        <v xml:space="preserve">N215T   </v>
      </c>
      <c r="BF1288">
        <v>1</v>
      </c>
      <c r="BH1288">
        <v>0</v>
      </c>
      <c r="BI1288">
        <v>0</v>
      </c>
      <c r="BJ1288">
        <v>0</v>
      </c>
      <c r="BK1288">
        <v>2350</v>
      </c>
      <c r="BL1288">
        <v>350</v>
      </c>
      <c r="BM1288" t="s">
        <v>119</v>
      </c>
      <c r="BN1288">
        <v>1</v>
      </c>
      <c r="BO1288">
        <v>1</v>
      </c>
      <c r="BP1288">
        <v>1</v>
      </c>
      <c r="BQ1288">
        <v>0</v>
      </c>
      <c r="BT1288">
        <v>0</v>
      </c>
      <c r="BU1288">
        <v>0</v>
      </c>
      <c r="BV1288">
        <v>0</v>
      </c>
      <c r="CC1288" t="str">
        <f>"18:56:12.500"</f>
        <v>18:56:12.500</v>
      </c>
      <c r="CD1288" t="str">
        <f>"501745378"</f>
        <v>501745378</v>
      </c>
      <c r="CQ1288">
        <v>0</v>
      </c>
      <c r="CR1288">
        <v>2</v>
      </c>
      <c r="CS1288">
        <v>0</v>
      </c>
      <c r="CT1288">
        <v>2</v>
      </c>
      <c r="CU1288">
        <v>0</v>
      </c>
      <c r="CV1288">
        <v>2</v>
      </c>
      <c r="CW1288" t="s">
        <v>120</v>
      </c>
      <c r="CX1288">
        <v>257</v>
      </c>
      <c r="CY1288">
        <v>1</v>
      </c>
      <c r="CZ1288" t="s">
        <v>615</v>
      </c>
      <c r="DA1288" t="s">
        <v>616</v>
      </c>
      <c r="DD1288">
        <v>11327782</v>
      </c>
      <c r="DE1288" t="s">
        <v>123</v>
      </c>
    </row>
    <row r="1289" spans="1:109" x14ac:dyDescent="0.3">
      <c r="A1289" t="str">
        <f>"18:56:13.688"</f>
        <v>18:56:13.688</v>
      </c>
      <c r="B1289" t="s">
        <v>110</v>
      </c>
      <c r="C1289" t="str">
        <f t="shared" si="60"/>
        <v>ffdfd3c0</v>
      </c>
      <c r="D1289" t="s">
        <v>111</v>
      </c>
      <c r="E1289">
        <v>18</v>
      </c>
      <c r="F1289">
        <v>1018</v>
      </c>
      <c r="G1289" t="s">
        <v>112</v>
      </c>
      <c r="J1289" t="s">
        <v>113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R1289" t="s">
        <v>114</v>
      </c>
      <c r="S1289" t="str">
        <f>"18:56:13.445"</f>
        <v>18:56:13.445</v>
      </c>
      <c r="T1289" t="str">
        <f>"18:56:13.445"</f>
        <v>18:56:13.445</v>
      </c>
      <c r="U1289" t="str">
        <f t="shared" si="61"/>
        <v>a1cdbe</v>
      </c>
      <c r="V1289">
        <v>0</v>
      </c>
      <c r="W1289">
        <v>0</v>
      </c>
      <c r="X1289">
        <v>1</v>
      </c>
      <c r="Y1289">
        <v>0</v>
      </c>
      <c r="Z1289">
        <v>0</v>
      </c>
      <c r="AB1289">
        <v>0</v>
      </c>
      <c r="AC1289">
        <v>9</v>
      </c>
      <c r="AD1289">
        <v>3</v>
      </c>
      <c r="AE1289">
        <v>0</v>
      </c>
      <c r="AF1289">
        <v>9</v>
      </c>
      <c r="AG1289" t="s">
        <v>158</v>
      </c>
      <c r="AH1289">
        <v>0</v>
      </c>
      <c r="AI1289">
        <v>3</v>
      </c>
      <c r="AJ1289">
        <v>1</v>
      </c>
      <c r="AK1289">
        <v>0</v>
      </c>
      <c r="AL1289" t="s">
        <v>2533</v>
      </c>
      <c r="AM1289">
        <v>46.818601999999998</v>
      </c>
      <c r="AN1289" t="s">
        <v>2534</v>
      </c>
      <c r="AO1289">
        <v>-122.66475699999999</v>
      </c>
      <c r="AP1289">
        <v>100</v>
      </c>
      <c r="AQ1289">
        <v>2000</v>
      </c>
      <c r="AR1289" t="s">
        <v>118</v>
      </c>
      <c r="AS1289">
        <v>-78</v>
      </c>
      <c r="AT1289">
        <v>-15</v>
      </c>
      <c r="AU1289">
        <v>256</v>
      </c>
      <c r="BC1289">
        <v>1200</v>
      </c>
      <c r="BD1289">
        <v>1</v>
      </c>
      <c r="BE1289" t="str">
        <f t="shared" si="62"/>
        <v xml:space="preserve">N215T   </v>
      </c>
      <c r="BF1289">
        <v>1</v>
      </c>
      <c r="BH1289">
        <v>0</v>
      </c>
      <c r="BI1289">
        <v>0</v>
      </c>
      <c r="BJ1289">
        <v>0</v>
      </c>
      <c r="BK1289">
        <v>2375</v>
      </c>
      <c r="BL1289">
        <v>375</v>
      </c>
      <c r="BM1289" t="s">
        <v>119</v>
      </c>
      <c r="BN1289">
        <v>1</v>
      </c>
      <c r="BO1289">
        <v>1</v>
      </c>
      <c r="BP1289">
        <v>1</v>
      </c>
      <c r="BQ1289">
        <v>0</v>
      </c>
      <c r="BT1289">
        <v>0</v>
      </c>
      <c r="BU1289">
        <v>0</v>
      </c>
      <c r="BV1289">
        <v>0</v>
      </c>
      <c r="CC1289" t="str">
        <f>"18:56:13.445"</f>
        <v>18:56:13.445</v>
      </c>
      <c r="CD1289" t="str">
        <f>"446577742"</f>
        <v>446577742</v>
      </c>
      <c r="CQ1289">
        <v>0</v>
      </c>
      <c r="CR1289">
        <v>2</v>
      </c>
      <c r="CS1289">
        <v>0</v>
      </c>
      <c r="CT1289">
        <v>2</v>
      </c>
      <c r="CU1289">
        <v>0</v>
      </c>
      <c r="CV1289">
        <v>5</v>
      </c>
      <c r="CW1289" t="s">
        <v>120</v>
      </c>
      <c r="CX1289">
        <v>261</v>
      </c>
      <c r="CY1289">
        <v>2</v>
      </c>
      <c r="CZ1289" t="s">
        <v>121</v>
      </c>
      <c r="DA1289" t="s">
        <v>122</v>
      </c>
      <c r="DD1289">
        <v>14974090</v>
      </c>
      <c r="DE1289" t="s">
        <v>123</v>
      </c>
    </row>
    <row r="1290" spans="1:109" x14ac:dyDescent="0.3">
      <c r="A1290" t="str">
        <f>"18:56:14.688"</f>
        <v>18:56:14.688</v>
      </c>
      <c r="B1290" t="s">
        <v>110</v>
      </c>
      <c r="C1290" t="str">
        <f t="shared" si="60"/>
        <v>ffdfd3c0</v>
      </c>
      <c r="D1290" t="s">
        <v>111</v>
      </c>
      <c r="E1290">
        <v>18</v>
      </c>
      <c r="F1290">
        <v>1018</v>
      </c>
      <c r="G1290" t="s">
        <v>112</v>
      </c>
      <c r="J1290" t="s">
        <v>113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R1290" t="s">
        <v>114</v>
      </c>
      <c r="S1290" t="str">
        <f>"18:56:14.430"</f>
        <v>18:56:14.430</v>
      </c>
      <c r="T1290" t="str">
        <f>"18:56:14.430"</f>
        <v>18:56:14.430</v>
      </c>
      <c r="U1290" t="str">
        <f t="shared" si="61"/>
        <v>a1cdbe</v>
      </c>
      <c r="V1290">
        <v>0</v>
      </c>
      <c r="W1290">
        <v>0</v>
      </c>
      <c r="X1290">
        <v>1</v>
      </c>
      <c r="Y1290">
        <v>0</v>
      </c>
      <c r="Z1290">
        <v>0</v>
      </c>
      <c r="AB1290">
        <v>0</v>
      </c>
      <c r="AC1290">
        <v>9</v>
      </c>
      <c r="AD1290">
        <v>3</v>
      </c>
      <c r="AE1290">
        <v>0</v>
      </c>
      <c r="AF1290">
        <v>9</v>
      </c>
      <c r="AG1290" t="s">
        <v>158</v>
      </c>
      <c r="AH1290">
        <v>0</v>
      </c>
      <c r="AI1290">
        <v>3</v>
      </c>
      <c r="AJ1290">
        <v>1</v>
      </c>
      <c r="AK1290">
        <v>0</v>
      </c>
      <c r="AL1290" t="s">
        <v>2535</v>
      </c>
      <c r="AM1290">
        <v>46.818559</v>
      </c>
      <c r="AN1290" t="s">
        <v>2536</v>
      </c>
      <c r="AO1290">
        <v>-122.66529300000001</v>
      </c>
      <c r="AP1290">
        <v>100</v>
      </c>
      <c r="AQ1290">
        <v>2000</v>
      </c>
      <c r="AR1290" t="s">
        <v>118</v>
      </c>
      <c r="AS1290">
        <v>-79</v>
      </c>
      <c r="AT1290">
        <v>-12</v>
      </c>
      <c r="AU1290">
        <v>256</v>
      </c>
      <c r="BC1290">
        <v>1200</v>
      </c>
      <c r="BD1290">
        <v>1</v>
      </c>
      <c r="BE1290" t="str">
        <f t="shared" si="62"/>
        <v xml:space="preserve">N215T   </v>
      </c>
      <c r="BF1290">
        <v>1</v>
      </c>
      <c r="BH1290">
        <v>0</v>
      </c>
      <c r="BI1290">
        <v>0</v>
      </c>
      <c r="BJ1290">
        <v>0</v>
      </c>
      <c r="BK1290">
        <v>2375</v>
      </c>
      <c r="BL1290">
        <v>375</v>
      </c>
      <c r="BM1290" t="s">
        <v>119</v>
      </c>
      <c r="BN1290">
        <v>1</v>
      </c>
      <c r="BO1290">
        <v>1</v>
      </c>
      <c r="BP1290">
        <v>1</v>
      </c>
      <c r="BQ1290">
        <v>0</v>
      </c>
      <c r="BT1290">
        <v>0</v>
      </c>
      <c r="BU1290">
        <v>0</v>
      </c>
      <c r="BV1290">
        <v>0</v>
      </c>
      <c r="CC1290" t="str">
        <f>"18:56:14.438"</f>
        <v>18:56:14.438</v>
      </c>
      <c r="CD1290" t="str">
        <f>"436480256"</f>
        <v>436480256</v>
      </c>
      <c r="CQ1290">
        <v>0</v>
      </c>
      <c r="CR1290">
        <v>2</v>
      </c>
      <c r="CS1290">
        <v>0</v>
      </c>
      <c r="CT1290">
        <v>2</v>
      </c>
      <c r="CU1290">
        <v>0</v>
      </c>
      <c r="CV1290">
        <v>6</v>
      </c>
      <c r="CW1290" t="s">
        <v>120</v>
      </c>
      <c r="CX1290">
        <v>261</v>
      </c>
      <c r="CY1290">
        <v>2</v>
      </c>
      <c r="CZ1290" t="s">
        <v>121</v>
      </c>
      <c r="DA1290" t="s">
        <v>122</v>
      </c>
      <c r="DD1290">
        <v>14974718</v>
      </c>
      <c r="DE1290" t="s">
        <v>123</v>
      </c>
    </row>
    <row r="1291" spans="1:109" x14ac:dyDescent="0.3">
      <c r="A1291" t="str">
        <f>"18:56:15.641"</f>
        <v>18:56:15.641</v>
      </c>
      <c r="B1291" t="s">
        <v>110</v>
      </c>
      <c r="C1291" t="str">
        <f t="shared" si="60"/>
        <v>ffdfd3c0</v>
      </c>
      <c r="D1291" t="s">
        <v>111</v>
      </c>
      <c r="E1291">
        <v>18</v>
      </c>
      <c r="F1291">
        <v>1018</v>
      </c>
      <c r="G1291" t="s">
        <v>112</v>
      </c>
      <c r="J1291" t="s">
        <v>113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R1291" t="s">
        <v>114</v>
      </c>
      <c r="S1291" t="str">
        <f>"18:56:15.391"</f>
        <v>18:56:15.391</v>
      </c>
      <c r="T1291" t="str">
        <f>"18:56:14.992"</f>
        <v>18:56:14.992</v>
      </c>
      <c r="U1291" t="str">
        <f t="shared" si="61"/>
        <v>a1cdbe</v>
      </c>
      <c r="V1291">
        <v>0</v>
      </c>
      <c r="W1291">
        <v>0</v>
      </c>
      <c r="X1291">
        <v>1</v>
      </c>
      <c r="Y1291">
        <v>0</v>
      </c>
      <c r="Z1291">
        <v>0</v>
      </c>
      <c r="AB1291">
        <v>0</v>
      </c>
      <c r="AC1291">
        <v>9</v>
      </c>
      <c r="AD1291">
        <v>3</v>
      </c>
      <c r="AE1291">
        <v>0</v>
      </c>
      <c r="AF1291">
        <v>9</v>
      </c>
      <c r="AG1291" t="s">
        <v>158</v>
      </c>
      <c r="AH1291">
        <v>0</v>
      </c>
      <c r="AI1291">
        <v>3</v>
      </c>
      <c r="AJ1291">
        <v>1</v>
      </c>
      <c r="AK1291">
        <v>0</v>
      </c>
      <c r="AL1291" t="s">
        <v>2537</v>
      </c>
      <c r="AM1291">
        <v>46.818472999999997</v>
      </c>
      <c r="AN1291" t="s">
        <v>2538</v>
      </c>
      <c r="AO1291">
        <v>-122.66578699999999</v>
      </c>
      <c r="AP1291">
        <v>100</v>
      </c>
      <c r="AQ1291">
        <v>2000</v>
      </c>
      <c r="AR1291" t="s">
        <v>118</v>
      </c>
      <c r="AS1291">
        <v>-79</v>
      </c>
      <c r="AT1291">
        <v>-11</v>
      </c>
      <c r="AU1291">
        <v>192</v>
      </c>
      <c r="BC1291">
        <v>1200</v>
      </c>
      <c r="BD1291">
        <v>1</v>
      </c>
      <c r="BE1291" t="str">
        <f t="shared" si="62"/>
        <v xml:space="preserve">N215T   </v>
      </c>
      <c r="BF1291">
        <v>1</v>
      </c>
      <c r="BH1291">
        <v>0</v>
      </c>
      <c r="BI1291">
        <v>0</v>
      </c>
      <c r="BJ1291">
        <v>0</v>
      </c>
      <c r="BK1291">
        <v>2375</v>
      </c>
      <c r="BL1291">
        <v>375</v>
      </c>
      <c r="BM1291" t="s">
        <v>119</v>
      </c>
      <c r="BN1291">
        <v>1</v>
      </c>
      <c r="BO1291">
        <v>1</v>
      </c>
      <c r="BP1291">
        <v>1</v>
      </c>
      <c r="BQ1291">
        <v>0</v>
      </c>
      <c r="BT1291">
        <v>0</v>
      </c>
      <c r="BU1291">
        <v>0</v>
      </c>
      <c r="BV1291">
        <v>0</v>
      </c>
      <c r="CC1291" t="str">
        <f>"18:56:15.398"</f>
        <v>18:56:15.398</v>
      </c>
      <c r="CD1291" t="str">
        <f>"396385730"</f>
        <v>396385730</v>
      </c>
      <c r="CQ1291">
        <v>0</v>
      </c>
      <c r="CR1291">
        <v>2</v>
      </c>
      <c r="CS1291">
        <v>0</v>
      </c>
      <c r="CT1291">
        <v>2</v>
      </c>
      <c r="CU1291">
        <v>0</v>
      </c>
      <c r="CV1291">
        <v>6</v>
      </c>
      <c r="CW1291" t="s">
        <v>120</v>
      </c>
      <c r="CX1291">
        <v>261</v>
      </c>
      <c r="CY1291">
        <v>2</v>
      </c>
      <c r="CZ1291" t="s">
        <v>121</v>
      </c>
      <c r="DA1291" t="s">
        <v>122</v>
      </c>
      <c r="DD1291">
        <v>14975376</v>
      </c>
      <c r="DE1291" t="s">
        <v>123</v>
      </c>
    </row>
    <row r="1292" spans="1:109" x14ac:dyDescent="0.3">
      <c r="A1292" t="str">
        <f>"18:56:16.750"</f>
        <v>18:56:16.750</v>
      </c>
      <c r="B1292" t="s">
        <v>110</v>
      </c>
      <c r="C1292" t="str">
        <f t="shared" si="60"/>
        <v>ffdfd3c0</v>
      </c>
      <c r="D1292" t="s">
        <v>111</v>
      </c>
      <c r="E1292">
        <v>18</v>
      </c>
      <c r="F1292">
        <v>1018</v>
      </c>
      <c r="G1292" t="s">
        <v>112</v>
      </c>
      <c r="J1292" t="s">
        <v>113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R1292" t="s">
        <v>114</v>
      </c>
      <c r="S1292" t="str">
        <f>"18:56:16.547"</f>
        <v>18:56:16.547</v>
      </c>
      <c r="T1292" t="str">
        <f>"18:56:16.547"</f>
        <v>18:56:16.547</v>
      </c>
      <c r="U1292" t="str">
        <f t="shared" si="61"/>
        <v>a1cdbe</v>
      </c>
      <c r="V1292">
        <v>0</v>
      </c>
      <c r="W1292">
        <v>0</v>
      </c>
      <c r="X1292">
        <v>1</v>
      </c>
      <c r="Y1292">
        <v>0</v>
      </c>
      <c r="Z1292">
        <v>0</v>
      </c>
      <c r="AB1292">
        <v>0</v>
      </c>
      <c r="AC1292">
        <v>9</v>
      </c>
      <c r="AD1292">
        <v>3</v>
      </c>
      <c r="AE1292">
        <v>0</v>
      </c>
      <c r="AF1292">
        <v>9</v>
      </c>
      <c r="AG1292" t="s">
        <v>158</v>
      </c>
      <c r="AH1292">
        <v>0</v>
      </c>
      <c r="AI1292">
        <v>3</v>
      </c>
      <c r="AJ1292">
        <v>1</v>
      </c>
      <c r="AK1292">
        <v>0</v>
      </c>
      <c r="AL1292" t="s">
        <v>2539</v>
      </c>
      <c r="AM1292">
        <v>46.818429999999999</v>
      </c>
      <c r="AN1292" t="s">
        <v>2540</v>
      </c>
      <c r="AO1292">
        <v>-122.66643000000001</v>
      </c>
      <c r="AP1292">
        <v>100</v>
      </c>
      <c r="AQ1292">
        <v>2000</v>
      </c>
      <c r="AR1292" t="s">
        <v>118</v>
      </c>
      <c r="AS1292">
        <v>-79</v>
      </c>
      <c r="AT1292">
        <v>-11</v>
      </c>
      <c r="AU1292">
        <v>192</v>
      </c>
      <c r="BC1292">
        <v>1200</v>
      </c>
      <c r="BD1292">
        <v>1</v>
      </c>
      <c r="BE1292" t="str">
        <f t="shared" si="62"/>
        <v xml:space="preserve">N215T   </v>
      </c>
      <c r="BF1292">
        <v>1</v>
      </c>
      <c r="BH1292">
        <v>0</v>
      </c>
      <c r="BI1292">
        <v>0</v>
      </c>
      <c r="BJ1292">
        <v>0</v>
      </c>
      <c r="BK1292">
        <v>2375</v>
      </c>
      <c r="BL1292">
        <v>375</v>
      </c>
      <c r="BM1292" t="s">
        <v>119</v>
      </c>
      <c r="BN1292">
        <v>1</v>
      </c>
      <c r="BO1292">
        <v>1</v>
      </c>
      <c r="BP1292">
        <v>1</v>
      </c>
      <c r="BQ1292">
        <v>0</v>
      </c>
      <c r="BT1292">
        <v>0</v>
      </c>
      <c r="BU1292">
        <v>0</v>
      </c>
      <c r="BV1292">
        <v>0</v>
      </c>
      <c r="CC1292" t="str">
        <f>"18:56:16.555"</f>
        <v>18:56:16.555</v>
      </c>
      <c r="CD1292" t="str">
        <f>"551272002"</f>
        <v>551272002</v>
      </c>
      <c r="CQ1292">
        <v>0</v>
      </c>
      <c r="CR1292">
        <v>2</v>
      </c>
      <c r="CS1292">
        <v>0</v>
      </c>
      <c r="CT1292">
        <v>2</v>
      </c>
      <c r="CU1292">
        <v>0</v>
      </c>
      <c r="CV1292">
        <v>6</v>
      </c>
      <c r="CW1292" t="s">
        <v>120</v>
      </c>
      <c r="CX1292">
        <v>261</v>
      </c>
      <c r="CY1292">
        <v>2</v>
      </c>
      <c r="CZ1292" t="s">
        <v>121</v>
      </c>
      <c r="DA1292" t="s">
        <v>122</v>
      </c>
      <c r="DD1292">
        <v>14976150</v>
      </c>
      <c r="DE1292" t="s">
        <v>123</v>
      </c>
    </row>
    <row r="1293" spans="1:109" x14ac:dyDescent="0.3">
      <c r="A1293" t="str">
        <f>"18:56:17.758"</f>
        <v>18:56:17.758</v>
      </c>
      <c r="B1293" t="s">
        <v>110</v>
      </c>
      <c r="C1293" t="str">
        <f t="shared" si="60"/>
        <v>ffdfd3c0</v>
      </c>
      <c r="D1293" t="s">
        <v>111</v>
      </c>
      <c r="E1293">
        <v>18</v>
      </c>
      <c r="F1293">
        <v>1018</v>
      </c>
      <c r="G1293" t="s">
        <v>112</v>
      </c>
      <c r="J1293" t="s">
        <v>113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R1293" t="s">
        <v>114</v>
      </c>
      <c r="S1293" t="str">
        <f>"18:56:17.508"</f>
        <v>18:56:17.508</v>
      </c>
      <c r="T1293" t="str">
        <f>"18:56:17.008"</f>
        <v>18:56:17.008</v>
      </c>
      <c r="U1293" t="str">
        <f t="shared" si="61"/>
        <v>a1cdbe</v>
      </c>
      <c r="V1293">
        <v>0</v>
      </c>
      <c r="W1293">
        <v>0</v>
      </c>
      <c r="X1293">
        <v>1</v>
      </c>
      <c r="Y1293">
        <v>0</v>
      </c>
      <c r="Z1293">
        <v>0</v>
      </c>
      <c r="AB1293">
        <v>0</v>
      </c>
      <c r="AC1293">
        <v>9</v>
      </c>
      <c r="AD1293">
        <v>3</v>
      </c>
      <c r="AE1293">
        <v>0</v>
      </c>
      <c r="AF1293">
        <v>9</v>
      </c>
      <c r="AG1293" t="s">
        <v>158</v>
      </c>
      <c r="AH1293">
        <v>0</v>
      </c>
      <c r="AI1293">
        <v>3</v>
      </c>
      <c r="AJ1293">
        <v>1</v>
      </c>
      <c r="AK1293">
        <v>0</v>
      </c>
      <c r="AL1293" t="s">
        <v>2541</v>
      </c>
      <c r="AM1293">
        <v>46.818387999999999</v>
      </c>
      <c r="AN1293" t="s">
        <v>2542</v>
      </c>
      <c r="AO1293">
        <v>-122.666945</v>
      </c>
      <c r="AP1293">
        <v>100</v>
      </c>
      <c r="AQ1293">
        <v>2000</v>
      </c>
      <c r="AR1293" t="s">
        <v>118</v>
      </c>
      <c r="AS1293">
        <v>-79</v>
      </c>
      <c r="AT1293">
        <v>-10</v>
      </c>
      <c r="AU1293">
        <v>128</v>
      </c>
      <c r="BC1293">
        <v>1200</v>
      </c>
      <c r="BD1293">
        <v>1</v>
      </c>
      <c r="BE1293" t="str">
        <f t="shared" si="62"/>
        <v xml:space="preserve">N215T   </v>
      </c>
      <c r="BF1293">
        <v>1</v>
      </c>
      <c r="BH1293">
        <v>0</v>
      </c>
      <c r="BI1293">
        <v>0</v>
      </c>
      <c r="BJ1293">
        <v>0</v>
      </c>
      <c r="BK1293">
        <v>2375</v>
      </c>
      <c r="BL1293">
        <v>375</v>
      </c>
      <c r="BM1293" t="s">
        <v>119</v>
      </c>
      <c r="BN1293">
        <v>1</v>
      </c>
      <c r="BO1293">
        <v>1</v>
      </c>
      <c r="BP1293">
        <v>1</v>
      </c>
      <c r="BQ1293">
        <v>0</v>
      </c>
      <c r="BT1293">
        <v>0</v>
      </c>
      <c r="BU1293">
        <v>0</v>
      </c>
      <c r="BV1293">
        <v>0</v>
      </c>
      <c r="CC1293" t="str">
        <f>"18:56:17.508"</f>
        <v>18:56:17.508</v>
      </c>
      <c r="CD1293" t="str">
        <f>"511177479"</f>
        <v>511177479</v>
      </c>
      <c r="CQ1293">
        <v>0</v>
      </c>
      <c r="CR1293">
        <v>2</v>
      </c>
      <c r="CS1293">
        <v>0</v>
      </c>
      <c r="CT1293">
        <v>2</v>
      </c>
      <c r="CU1293">
        <v>0</v>
      </c>
      <c r="CV1293">
        <v>6</v>
      </c>
      <c r="CW1293" t="s">
        <v>120</v>
      </c>
      <c r="CX1293">
        <v>261</v>
      </c>
      <c r="CY1293">
        <v>2</v>
      </c>
      <c r="CZ1293" t="s">
        <v>121</v>
      </c>
      <c r="DA1293" t="s">
        <v>122</v>
      </c>
      <c r="DD1293">
        <v>14976757</v>
      </c>
      <c r="DE1293" t="s">
        <v>123</v>
      </c>
    </row>
    <row r="1294" spans="1:109" x14ac:dyDescent="0.3">
      <c r="A1294" t="str">
        <f>"18:56:18.914"</f>
        <v>18:56:18.914</v>
      </c>
      <c r="B1294" t="s">
        <v>110</v>
      </c>
      <c r="C1294" t="str">
        <f t="shared" si="60"/>
        <v>ffdfd3c0</v>
      </c>
      <c r="D1294" t="s">
        <v>111</v>
      </c>
      <c r="E1294">
        <v>18</v>
      </c>
      <c r="F1294">
        <v>1018</v>
      </c>
      <c r="G1294" t="s">
        <v>112</v>
      </c>
      <c r="J1294" t="s">
        <v>113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R1294" t="s">
        <v>114</v>
      </c>
      <c r="S1294" t="str">
        <f>"18:56:18.664"</f>
        <v>18:56:18.664</v>
      </c>
      <c r="T1294" t="str">
        <f>"18:56:18.164"</f>
        <v>18:56:18.164</v>
      </c>
      <c r="U1294" t="str">
        <f t="shared" si="61"/>
        <v>a1cdbe</v>
      </c>
      <c r="V1294">
        <v>0</v>
      </c>
      <c r="W1294">
        <v>0</v>
      </c>
      <c r="X1294">
        <v>1</v>
      </c>
      <c r="Y1294">
        <v>0</v>
      </c>
      <c r="Z1294">
        <v>0</v>
      </c>
      <c r="AB1294">
        <v>0</v>
      </c>
      <c r="AC1294">
        <v>9</v>
      </c>
      <c r="AD1294">
        <v>3</v>
      </c>
      <c r="AE1294">
        <v>0</v>
      </c>
      <c r="AF1294">
        <v>9</v>
      </c>
      <c r="AG1294" t="s">
        <v>158</v>
      </c>
      <c r="AH1294">
        <v>0</v>
      </c>
      <c r="AI1294">
        <v>3</v>
      </c>
      <c r="AJ1294">
        <v>1</v>
      </c>
      <c r="AK1294">
        <v>0</v>
      </c>
      <c r="AL1294" t="s">
        <v>2543</v>
      </c>
      <c r="AM1294">
        <v>46.818322999999999</v>
      </c>
      <c r="AN1294" t="s">
        <v>2544</v>
      </c>
      <c r="AO1294">
        <v>-122.667568</v>
      </c>
      <c r="AP1294">
        <v>100</v>
      </c>
      <c r="AQ1294">
        <v>2000</v>
      </c>
      <c r="AR1294" t="s">
        <v>118</v>
      </c>
      <c r="AS1294">
        <v>-78</v>
      </c>
      <c r="AT1294">
        <v>-10</v>
      </c>
      <c r="AU1294">
        <v>192</v>
      </c>
      <c r="BC1294">
        <v>1200</v>
      </c>
      <c r="BD1294">
        <v>1</v>
      </c>
      <c r="BE1294" t="str">
        <f t="shared" si="62"/>
        <v xml:space="preserve">N215T   </v>
      </c>
      <c r="BF1294">
        <v>1</v>
      </c>
      <c r="BH1294">
        <v>0</v>
      </c>
      <c r="BI1294">
        <v>0</v>
      </c>
      <c r="BJ1294">
        <v>0</v>
      </c>
      <c r="BK1294">
        <v>2400</v>
      </c>
      <c r="BL1294">
        <v>400</v>
      </c>
      <c r="BM1294" t="s">
        <v>119</v>
      </c>
      <c r="BN1294">
        <v>1</v>
      </c>
      <c r="BO1294">
        <v>1</v>
      </c>
      <c r="BP1294">
        <v>1</v>
      </c>
      <c r="BQ1294">
        <v>0</v>
      </c>
      <c r="BT1294">
        <v>0</v>
      </c>
      <c r="BU1294">
        <v>0</v>
      </c>
      <c r="BV1294">
        <v>0</v>
      </c>
      <c r="CC1294" t="str">
        <f>"18:56:18.664"</f>
        <v>18:56:18.664</v>
      </c>
      <c r="CD1294" t="str">
        <f>"666063753"</f>
        <v>666063753</v>
      </c>
      <c r="CQ1294">
        <v>0</v>
      </c>
      <c r="CR1294">
        <v>2</v>
      </c>
      <c r="CS1294">
        <v>0</v>
      </c>
      <c r="CT1294">
        <v>2</v>
      </c>
      <c r="CU1294">
        <v>0</v>
      </c>
      <c r="CV1294">
        <v>7</v>
      </c>
      <c r="CW1294" t="s">
        <v>120</v>
      </c>
      <c r="CX1294">
        <v>261</v>
      </c>
      <c r="CY1294">
        <v>2</v>
      </c>
      <c r="CZ1294" t="s">
        <v>121</v>
      </c>
      <c r="DA1294" t="s">
        <v>122</v>
      </c>
      <c r="DD1294">
        <v>14977536</v>
      </c>
      <c r="DE1294" t="s">
        <v>123</v>
      </c>
    </row>
    <row r="1295" spans="1:109" x14ac:dyDescent="0.3">
      <c r="A1295" t="str">
        <f>"18:56:19.914"</f>
        <v>18:56:19.914</v>
      </c>
      <c r="B1295" t="s">
        <v>110</v>
      </c>
      <c r="C1295" t="str">
        <f t="shared" si="60"/>
        <v>ffdfd3c0</v>
      </c>
      <c r="D1295" t="s">
        <v>111</v>
      </c>
      <c r="E1295">
        <v>18</v>
      </c>
      <c r="F1295">
        <v>1018</v>
      </c>
      <c r="G1295" t="s">
        <v>112</v>
      </c>
      <c r="J1295" t="s">
        <v>113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R1295" t="s">
        <v>114</v>
      </c>
      <c r="S1295" t="str">
        <f>"18:56:19.641"</f>
        <v>18:56:19.641</v>
      </c>
      <c r="T1295" t="str">
        <f>"18:56:19.242"</f>
        <v>18:56:19.242</v>
      </c>
      <c r="U1295" t="str">
        <f t="shared" si="61"/>
        <v>a1cdbe</v>
      </c>
      <c r="V1295">
        <v>0</v>
      </c>
      <c r="W1295">
        <v>0</v>
      </c>
      <c r="X1295">
        <v>1</v>
      </c>
      <c r="Y1295">
        <v>0</v>
      </c>
      <c r="Z1295">
        <v>0</v>
      </c>
      <c r="AB1295">
        <v>0</v>
      </c>
      <c r="AC1295">
        <v>9</v>
      </c>
      <c r="AD1295">
        <v>3</v>
      </c>
      <c r="AE1295">
        <v>0</v>
      </c>
      <c r="AF1295">
        <v>9</v>
      </c>
      <c r="AG1295" t="s">
        <v>158</v>
      </c>
      <c r="AH1295">
        <v>0</v>
      </c>
      <c r="AI1295">
        <v>3</v>
      </c>
      <c r="AJ1295">
        <v>1</v>
      </c>
      <c r="AK1295">
        <v>0</v>
      </c>
      <c r="AL1295" t="s">
        <v>2545</v>
      </c>
      <c r="AM1295">
        <v>46.818280000000001</v>
      </c>
      <c r="AN1295" t="s">
        <v>2546</v>
      </c>
      <c r="AO1295">
        <v>-122.66804</v>
      </c>
      <c r="AP1295">
        <v>100</v>
      </c>
      <c r="AQ1295">
        <v>2000</v>
      </c>
      <c r="AR1295" t="s">
        <v>118</v>
      </c>
      <c r="AS1295">
        <v>-78</v>
      </c>
      <c r="AT1295">
        <v>-11</v>
      </c>
      <c r="AU1295">
        <v>192</v>
      </c>
      <c r="BC1295">
        <v>1200</v>
      </c>
      <c r="BD1295">
        <v>1</v>
      </c>
      <c r="BE1295" t="str">
        <f t="shared" si="62"/>
        <v xml:space="preserve">N215T   </v>
      </c>
      <c r="BF1295">
        <v>1</v>
      </c>
      <c r="BH1295">
        <v>0</v>
      </c>
      <c r="BI1295">
        <v>0</v>
      </c>
      <c r="BJ1295">
        <v>0</v>
      </c>
      <c r="BK1295">
        <v>2400</v>
      </c>
      <c r="BL1295">
        <v>400</v>
      </c>
      <c r="BM1295" t="s">
        <v>119</v>
      </c>
      <c r="BN1295">
        <v>1</v>
      </c>
      <c r="BO1295">
        <v>1</v>
      </c>
      <c r="BP1295">
        <v>1</v>
      </c>
      <c r="BQ1295">
        <v>0</v>
      </c>
      <c r="BT1295">
        <v>0</v>
      </c>
      <c r="BU1295">
        <v>0</v>
      </c>
      <c r="BV1295">
        <v>0</v>
      </c>
      <c r="CC1295" t="str">
        <f>"18:56:19.641"</f>
        <v>18:56:19.641</v>
      </c>
      <c r="CD1295" t="str">
        <f>"640967751"</f>
        <v>640967751</v>
      </c>
      <c r="CQ1295">
        <v>0</v>
      </c>
      <c r="CR1295">
        <v>2</v>
      </c>
      <c r="CS1295">
        <v>0</v>
      </c>
      <c r="CT1295">
        <v>2</v>
      </c>
      <c r="CU1295">
        <v>0</v>
      </c>
      <c r="CV1295">
        <v>6</v>
      </c>
      <c r="CW1295" t="s">
        <v>120</v>
      </c>
      <c r="CX1295">
        <v>261</v>
      </c>
      <c r="CY1295">
        <v>2</v>
      </c>
      <c r="CZ1295" t="s">
        <v>121</v>
      </c>
      <c r="DA1295" t="s">
        <v>122</v>
      </c>
      <c r="DD1295">
        <v>14978234</v>
      </c>
      <c r="DE1295" t="s">
        <v>123</v>
      </c>
    </row>
    <row r="1296" spans="1:109" x14ac:dyDescent="0.3">
      <c r="A1296" t="str">
        <f>"18:56:20.820"</f>
        <v>18:56:20.820</v>
      </c>
      <c r="B1296" t="s">
        <v>110</v>
      </c>
      <c r="C1296" t="str">
        <f t="shared" si="60"/>
        <v>ffdfd3c0</v>
      </c>
      <c r="D1296" t="s">
        <v>111</v>
      </c>
      <c r="E1296">
        <v>18</v>
      </c>
      <c r="F1296">
        <v>1018</v>
      </c>
      <c r="G1296" t="s">
        <v>112</v>
      </c>
      <c r="J1296" t="s">
        <v>113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R1296" t="s">
        <v>114</v>
      </c>
      <c r="S1296" t="str">
        <f>"18:56:20.570"</f>
        <v>18:56:20.570</v>
      </c>
      <c r="T1296" t="str">
        <f>"18:56:20.469"</f>
        <v>18:56:20.469</v>
      </c>
      <c r="U1296" t="str">
        <f t="shared" si="61"/>
        <v>a1cdbe</v>
      </c>
      <c r="V1296">
        <v>0</v>
      </c>
      <c r="W1296">
        <v>0</v>
      </c>
      <c r="X1296">
        <v>1</v>
      </c>
      <c r="Y1296">
        <v>0</v>
      </c>
      <c r="Z1296">
        <v>0</v>
      </c>
      <c r="AB1296">
        <v>0</v>
      </c>
      <c r="AC1296">
        <v>9</v>
      </c>
      <c r="AD1296">
        <v>3</v>
      </c>
      <c r="AE1296">
        <v>0</v>
      </c>
      <c r="AF1296">
        <v>9</v>
      </c>
      <c r="AG1296" t="s">
        <v>158</v>
      </c>
      <c r="AH1296">
        <v>0</v>
      </c>
      <c r="AI1296">
        <v>3</v>
      </c>
      <c r="AJ1296">
        <v>1</v>
      </c>
      <c r="AK1296">
        <v>0</v>
      </c>
      <c r="AL1296" t="s">
        <v>2547</v>
      </c>
      <c r="AM1296">
        <v>46.818237000000003</v>
      </c>
      <c r="AN1296" t="s">
        <v>2548</v>
      </c>
      <c r="AO1296">
        <v>-122.668533</v>
      </c>
      <c r="AP1296">
        <v>100</v>
      </c>
      <c r="AQ1296">
        <v>2000</v>
      </c>
      <c r="AR1296" t="s">
        <v>118</v>
      </c>
      <c r="AS1296">
        <v>-78</v>
      </c>
      <c r="AT1296">
        <v>-13</v>
      </c>
      <c r="AU1296">
        <v>-64</v>
      </c>
      <c r="BC1296">
        <v>1200</v>
      </c>
      <c r="BD1296">
        <v>1</v>
      </c>
      <c r="BE1296" t="str">
        <f t="shared" si="62"/>
        <v xml:space="preserve">N215T   </v>
      </c>
      <c r="BF1296">
        <v>1</v>
      </c>
      <c r="BH1296">
        <v>0</v>
      </c>
      <c r="BI1296">
        <v>0</v>
      </c>
      <c r="BJ1296">
        <v>0</v>
      </c>
      <c r="BK1296">
        <v>2400</v>
      </c>
      <c r="BL1296">
        <v>400</v>
      </c>
      <c r="BM1296" t="s">
        <v>119</v>
      </c>
      <c r="BN1296">
        <v>1</v>
      </c>
      <c r="BO1296">
        <v>1</v>
      </c>
      <c r="BP1296">
        <v>1</v>
      </c>
      <c r="BQ1296">
        <v>0</v>
      </c>
      <c r="BT1296">
        <v>0</v>
      </c>
      <c r="BU1296">
        <v>0</v>
      </c>
      <c r="BV1296">
        <v>0</v>
      </c>
      <c r="CC1296" t="str">
        <f>"18:56:20.570"</f>
        <v>18:56:20.570</v>
      </c>
      <c r="CD1296" t="str">
        <f>"570876178"</f>
        <v>570876178</v>
      </c>
      <c r="CQ1296">
        <v>0</v>
      </c>
      <c r="CR1296">
        <v>2</v>
      </c>
      <c r="CS1296">
        <v>0</v>
      </c>
      <c r="CT1296">
        <v>2</v>
      </c>
      <c r="CU1296">
        <v>0</v>
      </c>
      <c r="CV1296">
        <v>7</v>
      </c>
      <c r="CW1296" t="s">
        <v>120</v>
      </c>
      <c r="CX1296">
        <v>261</v>
      </c>
      <c r="CY1296">
        <v>2</v>
      </c>
      <c r="CZ1296" t="s">
        <v>121</v>
      </c>
      <c r="DA1296" t="s">
        <v>122</v>
      </c>
      <c r="DD1296">
        <v>14978904</v>
      </c>
      <c r="DE1296" t="s">
        <v>123</v>
      </c>
    </row>
    <row r="1297" spans="1:109" x14ac:dyDescent="0.3">
      <c r="A1297" t="str">
        <f>"18:56:21.781"</f>
        <v>18:56:21.781</v>
      </c>
      <c r="B1297" t="s">
        <v>110</v>
      </c>
      <c r="C1297" t="str">
        <f t="shared" si="60"/>
        <v>ffdfd3c0</v>
      </c>
      <c r="D1297" t="s">
        <v>111</v>
      </c>
      <c r="E1297">
        <v>18</v>
      </c>
      <c r="F1297">
        <v>1018</v>
      </c>
      <c r="G1297" t="s">
        <v>112</v>
      </c>
      <c r="J1297" t="s">
        <v>113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R1297" t="s">
        <v>114</v>
      </c>
      <c r="S1297" t="str">
        <f>"18:56:21.539"</f>
        <v>18:56:21.539</v>
      </c>
      <c r="T1297" t="str">
        <f>"18:56:21.336"</f>
        <v>18:56:21.336</v>
      </c>
      <c r="U1297" t="str">
        <f t="shared" si="61"/>
        <v>a1cdbe</v>
      </c>
      <c r="V1297">
        <v>0</v>
      </c>
      <c r="W1297">
        <v>0</v>
      </c>
      <c r="X1297">
        <v>1</v>
      </c>
      <c r="Y1297">
        <v>0</v>
      </c>
      <c r="Z1297">
        <v>0</v>
      </c>
      <c r="AB1297">
        <v>0</v>
      </c>
      <c r="AC1297">
        <v>9</v>
      </c>
      <c r="AD1297">
        <v>3</v>
      </c>
      <c r="AE1297">
        <v>0</v>
      </c>
      <c r="AF1297">
        <v>9</v>
      </c>
      <c r="AG1297" t="s">
        <v>158</v>
      </c>
      <c r="AH1297">
        <v>0</v>
      </c>
      <c r="AI1297">
        <v>3</v>
      </c>
      <c r="AJ1297">
        <v>1</v>
      </c>
      <c r="AK1297">
        <v>0</v>
      </c>
      <c r="AL1297" t="s">
        <v>2549</v>
      </c>
      <c r="AM1297">
        <v>46.818193999999998</v>
      </c>
      <c r="AN1297" t="s">
        <v>2550</v>
      </c>
      <c r="AO1297">
        <v>-122.669005</v>
      </c>
      <c r="AP1297">
        <v>100</v>
      </c>
      <c r="AQ1297">
        <v>2000</v>
      </c>
      <c r="AR1297" t="s">
        <v>118</v>
      </c>
      <c r="AS1297">
        <v>-78</v>
      </c>
      <c r="AT1297">
        <v>-13</v>
      </c>
      <c r="AU1297">
        <v>-64</v>
      </c>
      <c r="BC1297">
        <v>1200</v>
      </c>
      <c r="BD1297">
        <v>1</v>
      </c>
      <c r="BE1297" t="str">
        <f t="shared" si="62"/>
        <v xml:space="preserve">N215T   </v>
      </c>
      <c r="BF1297">
        <v>1</v>
      </c>
      <c r="BH1297">
        <v>0</v>
      </c>
      <c r="BI1297">
        <v>0</v>
      </c>
      <c r="BJ1297">
        <v>0</v>
      </c>
      <c r="BK1297">
        <v>2400</v>
      </c>
      <c r="BL1297">
        <v>400</v>
      </c>
      <c r="BM1297" t="s">
        <v>119</v>
      </c>
      <c r="BN1297">
        <v>1</v>
      </c>
      <c r="BO1297">
        <v>1</v>
      </c>
      <c r="BP1297">
        <v>1</v>
      </c>
      <c r="BQ1297">
        <v>0</v>
      </c>
      <c r="BT1297">
        <v>0</v>
      </c>
      <c r="BU1297">
        <v>0</v>
      </c>
      <c r="BV1297">
        <v>0</v>
      </c>
      <c r="CC1297" t="str">
        <f>"18:56:21.547"</f>
        <v>18:56:21.547</v>
      </c>
      <c r="CD1297" t="str">
        <f>"545780192"</f>
        <v>545780192</v>
      </c>
      <c r="CQ1297">
        <v>0</v>
      </c>
      <c r="CR1297">
        <v>2</v>
      </c>
      <c r="CS1297">
        <v>0</v>
      </c>
      <c r="CT1297">
        <v>2</v>
      </c>
      <c r="CU1297">
        <v>0</v>
      </c>
      <c r="CV1297">
        <v>6</v>
      </c>
      <c r="CW1297" t="s">
        <v>120</v>
      </c>
      <c r="CX1297">
        <v>261</v>
      </c>
      <c r="CY1297">
        <v>2</v>
      </c>
      <c r="CZ1297" t="s">
        <v>121</v>
      </c>
      <c r="DA1297" t="s">
        <v>122</v>
      </c>
      <c r="DD1297">
        <v>14979561</v>
      </c>
      <c r="DE1297" t="s">
        <v>123</v>
      </c>
    </row>
    <row r="1298" spans="1:109" x14ac:dyDescent="0.3">
      <c r="A1298" t="str">
        <f>"18:56:22.734"</f>
        <v>18:56:22.734</v>
      </c>
      <c r="B1298" t="s">
        <v>110</v>
      </c>
      <c r="C1298" t="str">
        <f t="shared" si="60"/>
        <v>ffdfd3c0</v>
      </c>
      <c r="D1298" t="s">
        <v>111</v>
      </c>
      <c r="E1298">
        <v>18</v>
      </c>
      <c r="F1298">
        <v>1018</v>
      </c>
      <c r="G1298" t="s">
        <v>112</v>
      </c>
      <c r="J1298" t="s">
        <v>113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R1298" t="s">
        <v>114</v>
      </c>
      <c r="S1298" t="str">
        <f>"18:56:22.469"</f>
        <v>18:56:22.469</v>
      </c>
      <c r="T1298" t="str">
        <f>"18:56:22.469"</f>
        <v>18:56:22.469</v>
      </c>
      <c r="U1298" t="str">
        <f t="shared" si="61"/>
        <v>a1cdbe</v>
      </c>
      <c r="V1298">
        <v>0</v>
      </c>
      <c r="W1298">
        <v>0</v>
      </c>
      <c r="X1298">
        <v>1</v>
      </c>
      <c r="Y1298">
        <v>0</v>
      </c>
      <c r="Z1298">
        <v>0</v>
      </c>
      <c r="AB1298">
        <v>0</v>
      </c>
      <c r="AC1298">
        <v>9</v>
      </c>
      <c r="AD1298">
        <v>3</v>
      </c>
      <c r="AE1298">
        <v>0</v>
      </c>
      <c r="AF1298">
        <v>9</v>
      </c>
      <c r="AG1298" t="s">
        <v>158</v>
      </c>
      <c r="AH1298">
        <v>0</v>
      </c>
      <c r="AI1298">
        <v>3</v>
      </c>
      <c r="AJ1298">
        <v>1</v>
      </c>
      <c r="AK1298">
        <v>0</v>
      </c>
      <c r="AL1298" t="s">
        <v>2551</v>
      </c>
      <c r="AM1298">
        <v>46.818109</v>
      </c>
      <c r="AN1298" t="s">
        <v>2552</v>
      </c>
      <c r="AO1298">
        <v>-122.66952000000001</v>
      </c>
      <c r="AP1298">
        <v>100</v>
      </c>
      <c r="AQ1298">
        <v>2000</v>
      </c>
      <c r="AR1298" t="s">
        <v>118</v>
      </c>
      <c r="AS1298">
        <v>-78</v>
      </c>
      <c r="AT1298">
        <v>-14</v>
      </c>
      <c r="AU1298">
        <v>64</v>
      </c>
      <c r="BC1298">
        <v>1200</v>
      </c>
      <c r="BD1298">
        <v>1</v>
      </c>
      <c r="BE1298" t="str">
        <f t="shared" si="62"/>
        <v xml:space="preserve">N215T   </v>
      </c>
      <c r="BF1298">
        <v>1</v>
      </c>
      <c r="BH1298">
        <v>0</v>
      </c>
      <c r="BI1298">
        <v>0</v>
      </c>
      <c r="BJ1298">
        <v>0</v>
      </c>
      <c r="BK1298">
        <v>2375</v>
      </c>
      <c r="BL1298">
        <v>375</v>
      </c>
      <c r="BM1298" t="s">
        <v>119</v>
      </c>
      <c r="BN1298">
        <v>1</v>
      </c>
      <c r="BO1298">
        <v>1</v>
      </c>
      <c r="BP1298">
        <v>1</v>
      </c>
      <c r="BQ1298">
        <v>0</v>
      </c>
      <c r="BT1298">
        <v>0</v>
      </c>
      <c r="BU1298">
        <v>0</v>
      </c>
      <c r="BV1298">
        <v>0</v>
      </c>
      <c r="CC1298" t="str">
        <f>"18:56:22.477"</f>
        <v>18:56:22.477</v>
      </c>
      <c r="CD1298" t="str">
        <f>"475688622"</f>
        <v>475688622</v>
      </c>
      <c r="CQ1298">
        <v>0</v>
      </c>
      <c r="CR1298">
        <v>2</v>
      </c>
      <c r="CS1298">
        <v>0</v>
      </c>
      <c r="CT1298">
        <v>2</v>
      </c>
      <c r="CU1298">
        <v>0</v>
      </c>
      <c r="CV1298">
        <v>7</v>
      </c>
      <c r="CW1298" t="s">
        <v>120</v>
      </c>
      <c r="CX1298">
        <v>261</v>
      </c>
      <c r="CY1298">
        <v>2</v>
      </c>
      <c r="CZ1298" t="s">
        <v>121</v>
      </c>
      <c r="DA1298" t="s">
        <v>122</v>
      </c>
      <c r="DD1298">
        <v>14980139</v>
      </c>
      <c r="DE1298" t="s">
        <v>123</v>
      </c>
    </row>
    <row r="1299" spans="1:109" x14ac:dyDescent="0.3">
      <c r="A1299" t="str">
        <f>"18:56:23.742"</f>
        <v>18:56:23.742</v>
      </c>
      <c r="B1299" t="s">
        <v>110</v>
      </c>
      <c r="C1299" t="str">
        <f t="shared" si="60"/>
        <v>ffdfd3c0</v>
      </c>
      <c r="D1299" t="s">
        <v>111</v>
      </c>
      <c r="E1299">
        <v>18</v>
      </c>
      <c r="F1299">
        <v>1018</v>
      </c>
      <c r="G1299" t="s">
        <v>112</v>
      </c>
      <c r="J1299" t="s">
        <v>113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R1299" t="s">
        <v>114</v>
      </c>
      <c r="S1299" t="str">
        <f>"18:56:23.523"</f>
        <v>18:56:23.523</v>
      </c>
      <c r="T1299" t="str">
        <f>"18:56:23.422"</f>
        <v>18:56:23.422</v>
      </c>
      <c r="U1299" t="str">
        <f t="shared" si="61"/>
        <v>a1cdbe</v>
      </c>
      <c r="V1299">
        <v>0</v>
      </c>
      <c r="W1299">
        <v>0</v>
      </c>
      <c r="X1299">
        <v>1</v>
      </c>
      <c r="Y1299">
        <v>0</v>
      </c>
      <c r="Z1299">
        <v>0</v>
      </c>
      <c r="AB1299">
        <v>0</v>
      </c>
      <c r="AC1299">
        <v>9</v>
      </c>
      <c r="AD1299">
        <v>3</v>
      </c>
      <c r="AE1299">
        <v>0</v>
      </c>
      <c r="AF1299">
        <v>9</v>
      </c>
      <c r="AG1299" t="s">
        <v>158</v>
      </c>
      <c r="AH1299">
        <v>0</v>
      </c>
      <c r="AI1299">
        <v>3</v>
      </c>
      <c r="AJ1299">
        <v>1</v>
      </c>
      <c r="AK1299">
        <v>0</v>
      </c>
      <c r="AL1299" t="s">
        <v>2553</v>
      </c>
      <c r="AM1299">
        <v>46.818044</v>
      </c>
      <c r="AN1299" t="s">
        <v>2554</v>
      </c>
      <c r="AO1299">
        <v>-122.67012099999999</v>
      </c>
      <c r="AP1299">
        <v>100</v>
      </c>
      <c r="AQ1299">
        <v>2000</v>
      </c>
      <c r="AR1299" t="s">
        <v>118</v>
      </c>
      <c r="AS1299">
        <v>-78</v>
      </c>
      <c r="AT1299">
        <v>-14</v>
      </c>
      <c r="AU1299">
        <v>64</v>
      </c>
      <c r="BC1299">
        <v>1200</v>
      </c>
      <c r="BD1299">
        <v>1</v>
      </c>
      <c r="BE1299" t="str">
        <f t="shared" si="62"/>
        <v xml:space="preserve">N215T   </v>
      </c>
      <c r="BF1299">
        <v>1</v>
      </c>
      <c r="BH1299">
        <v>0</v>
      </c>
      <c r="BI1299">
        <v>0</v>
      </c>
      <c r="BJ1299">
        <v>0</v>
      </c>
      <c r="BK1299">
        <v>2400</v>
      </c>
      <c r="BL1299">
        <v>400</v>
      </c>
      <c r="BM1299" t="s">
        <v>119</v>
      </c>
      <c r="BN1299">
        <v>1</v>
      </c>
      <c r="BO1299">
        <v>1</v>
      </c>
      <c r="BP1299">
        <v>1</v>
      </c>
      <c r="BQ1299">
        <v>0</v>
      </c>
      <c r="BT1299">
        <v>0</v>
      </c>
      <c r="BU1299">
        <v>0</v>
      </c>
      <c r="BV1299">
        <v>0</v>
      </c>
      <c r="CC1299" t="str">
        <f>"18:56:23.523"</f>
        <v>18:56:23.523</v>
      </c>
      <c r="CD1299" t="str">
        <f>"525585228"</f>
        <v>525585228</v>
      </c>
      <c r="CQ1299">
        <v>0</v>
      </c>
      <c r="CR1299">
        <v>2</v>
      </c>
      <c r="CS1299">
        <v>0</v>
      </c>
      <c r="CT1299">
        <v>2</v>
      </c>
      <c r="CU1299">
        <v>0</v>
      </c>
      <c r="CV1299">
        <v>6</v>
      </c>
      <c r="CW1299" t="s">
        <v>120</v>
      </c>
      <c r="CX1299">
        <v>261</v>
      </c>
      <c r="CY1299">
        <v>2</v>
      </c>
      <c r="CZ1299" t="s">
        <v>121</v>
      </c>
      <c r="DA1299" t="s">
        <v>122</v>
      </c>
      <c r="DD1299">
        <v>14980902</v>
      </c>
      <c r="DE1299" t="s">
        <v>123</v>
      </c>
    </row>
    <row r="1300" spans="1:109" x14ac:dyDescent="0.3">
      <c r="A1300" t="str">
        <f>"18:56:24.742"</f>
        <v>18:56:24.742</v>
      </c>
      <c r="B1300" t="s">
        <v>110</v>
      </c>
      <c r="C1300" t="str">
        <f t="shared" si="60"/>
        <v>ffdfd3c0</v>
      </c>
      <c r="D1300" t="s">
        <v>111</v>
      </c>
      <c r="E1300">
        <v>18</v>
      </c>
      <c r="F1300">
        <v>1018</v>
      </c>
      <c r="G1300" t="s">
        <v>112</v>
      </c>
      <c r="J1300" t="s">
        <v>113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R1300" t="s">
        <v>114</v>
      </c>
      <c r="S1300" t="str">
        <f>"18:56:24.539"</f>
        <v>18:56:24.539</v>
      </c>
      <c r="T1300" t="str">
        <f>"18:56:24.336"</f>
        <v>18:56:24.336</v>
      </c>
      <c r="U1300" t="str">
        <f t="shared" si="61"/>
        <v>a1cdbe</v>
      </c>
      <c r="V1300">
        <v>0</v>
      </c>
      <c r="W1300">
        <v>0</v>
      </c>
      <c r="X1300">
        <v>1</v>
      </c>
      <c r="Y1300">
        <v>0</v>
      </c>
      <c r="Z1300">
        <v>0</v>
      </c>
      <c r="AB1300">
        <v>0</v>
      </c>
      <c r="AC1300">
        <v>9</v>
      </c>
      <c r="AD1300">
        <v>3</v>
      </c>
      <c r="AE1300">
        <v>0</v>
      </c>
      <c r="AF1300">
        <v>9</v>
      </c>
      <c r="AG1300" t="s">
        <v>158</v>
      </c>
      <c r="AH1300">
        <v>0</v>
      </c>
      <c r="AI1300">
        <v>3</v>
      </c>
      <c r="AJ1300">
        <v>1</v>
      </c>
      <c r="AK1300">
        <v>0</v>
      </c>
      <c r="AL1300" t="s">
        <v>2555</v>
      </c>
      <c r="AM1300">
        <v>46.817957999999997</v>
      </c>
      <c r="AN1300" t="s">
        <v>2556</v>
      </c>
      <c r="AO1300">
        <v>-122.670593</v>
      </c>
      <c r="AP1300">
        <v>100</v>
      </c>
      <c r="AQ1300">
        <v>2000</v>
      </c>
      <c r="AR1300" t="s">
        <v>118</v>
      </c>
      <c r="AS1300">
        <v>-79</v>
      </c>
      <c r="AT1300">
        <v>-14</v>
      </c>
      <c r="AU1300">
        <v>64</v>
      </c>
      <c r="BC1300">
        <v>1200</v>
      </c>
      <c r="BD1300">
        <v>1</v>
      </c>
      <c r="BE1300" t="str">
        <f t="shared" si="62"/>
        <v xml:space="preserve">N215T   </v>
      </c>
      <c r="BF1300">
        <v>1</v>
      </c>
      <c r="BH1300">
        <v>0</v>
      </c>
      <c r="BI1300">
        <v>0</v>
      </c>
      <c r="BJ1300">
        <v>0</v>
      </c>
      <c r="BK1300">
        <v>2400</v>
      </c>
      <c r="BL1300">
        <v>400</v>
      </c>
      <c r="BM1300" t="s">
        <v>119</v>
      </c>
      <c r="BN1300">
        <v>1</v>
      </c>
      <c r="BO1300">
        <v>1</v>
      </c>
      <c r="BP1300">
        <v>1</v>
      </c>
      <c r="BQ1300">
        <v>0</v>
      </c>
      <c r="BT1300">
        <v>0</v>
      </c>
      <c r="BU1300">
        <v>0</v>
      </c>
      <c r="BV1300">
        <v>0</v>
      </c>
      <c r="CC1300" t="str">
        <f>"18:56:24.547"</f>
        <v>18:56:24.547</v>
      </c>
      <c r="CD1300" t="str">
        <f>"545484760"</f>
        <v>545484760</v>
      </c>
      <c r="CQ1300">
        <v>0</v>
      </c>
      <c r="CR1300">
        <v>2</v>
      </c>
      <c r="CS1300">
        <v>0</v>
      </c>
      <c r="CT1300">
        <v>2</v>
      </c>
      <c r="CU1300">
        <v>0</v>
      </c>
      <c r="CV1300">
        <v>7</v>
      </c>
      <c r="CW1300" t="s">
        <v>120</v>
      </c>
      <c r="CX1300">
        <v>261</v>
      </c>
      <c r="CY1300">
        <v>2</v>
      </c>
      <c r="CZ1300" t="s">
        <v>121</v>
      </c>
      <c r="DA1300" t="s">
        <v>122</v>
      </c>
      <c r="DD1300">
        <v>14981594</v>
      </c>
      <c r="DE1300" t="s">
        <v>123</v>
      </c>
    </row>
    <row r="1301" spans="1:109" x14ac:dyDescent="0.3">
      <c r="A1301" t="str">
        <f>"18:56:25.898"</f>
        <v>18:56:25.898</v>
      </c>
      <c r="B1301" t="s">
        <v>110</v>
      </c>
      <c r="C1301" t="str">
        <f t="shared" si="60"/>
        <v>ffdfd3c0</v>
      </c>
      <c r="D1301" t="s">
        <v>111</v>
      </c>
      <c r="E1301">
        <v>18</v>
      </c>
      <c r="F1301">
        <v>1018</v>
      </c>
      <c r="G1301" t="s">
        <v>112</v>
      </c>
      <c r="J1301" t="s">
        <v>113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R1301" t="s">
        <v>114</v>
      </c>
      <c r="S1301" t="str">
        <f>"18:56:25.695"</f>
        <v>18:56:25.695</v>
      </c>
      <c r="T1301" t="str">
        <f>"18:56:25.195"</f>
        <v>18:56:25.195</v>
      </c>
      <c r="U1301" t="str">
        <f t="shared" si="61"/>
        <v>a1cdbe</v>
      </c>
      <c r="V1301">
        <v>0</v>
      </c>
      <c r="W1301">
        <v>0</v>
      </c>
      <c r="X1301">
        <v>1</v>
      </c>
      <c r="Y1301">
        <v>0</v>
      </c>
      <c r="Z1301">
        <v>0</v>
      </c>
      <c r="AB1301">
        <v>0</v>
      </c>
      <c r="AC1301">
        <v>9</v>
      </c>
      <c r="AD1301">
        <v>3</v>
      </c>
      <c r="AE1301">
        <v>0</v>
      </c>
      <c r="AF1301">
        <v>9</v>
      </c>
      <c r="AG1301" t="s">
        <v>158</v>
      </c>
      <c r="AH1301">
        <v>0</v>
      </c>
      <c r="AI1301">
        <v>3</v>
      </c>
      <c r="AJ1301">
        <v>1</v>
      </c>
      <c r="AK1301">
        <v>0</v>
      </c>
      <c r="AL1301" t="s">
        <v>2557</v>
      </c>
      <c r="AM1301">
        <v>46.817914999999999</v>
      </c>
      <c r="AN1301" t="s">
        <v>2558</v>
      </c>
      <c r="AO1301">
        <v>-122.67125799999999</v>
      </c>
      <c r="AP1301">
        <v>100</v>
      </c>
      <c r="AQ1301">
        <v>2000</v>
      </c>
      <c r="AR1301" t="s">
        <v>118</v>
      </c>
      <c r="AS1301">
        <v>-79</v>
      </c>
      <c r="AT1301">
        <v>-14</v>
      </c>
      <c r="AU1301">
        <v>0</v>
      </c>
      <c r="BC1301">
        <v>1200</v>
      </c>
      <c r="BD1301">
        <v>1</v>
      </c>
      <c r="BE1301" t="str">
        <f t="shared" si="62"/>
        <v xml:space="preserve">N215T   </v>
      </c>
      <c r="BF1301">
        <v>1</v>
      </c>
      <c r="BH1301">
        <v>0</v>
      </c>
      <c r="BI1301">
        <v>0</v>
      </c>
      <c r="BJ1301">
        <v>0</v>
      </c>
      <c r="BK1301">
        <v>2400</v>
      </c>
      <c r="BL1301">
        <v>400</v>
      </c>
      <c r="BM1301" t="s">
        <v>119</v>
      </c>
      <c r="BN1301">
        <v>1</v>
      </c>
      <c r="BO1301">
        <v>1</v>
      </c>
      <c r="BP1301">
        <v>1</v>
      </c>
      <c r="BQ1301">
        <v>0</v>
      </c>
      <c r="BT1301">
        <v>0</v>
      </c>
      <c r="BU1301">
        <v>0</v>
      </c>
      <c r="BV1301">
        <v>0</v>
      </c>
      <c r="CC1301" t="str">
        <f>"18:56:25.703"</f>
        <v>18:56:25.703</v>
      </c>
      <c r="CD1301" t="str">
        <f>"700371085"</f>
        <v>700371085</v>
      </c>
      <c r="CQ1301">
        <v>0</v>
      </c>
      <c r="CR1301">
        <v>2</v>
      </c>
      <c r="CS1301">
        <v>0</v>
      </c>
      <c r="CT1301">
        <v>2</v>
      </c>
      <c r="CU1301">
        <v>0</v>
      </c>
      <c r="CV1301">
        <v>7</v>
      </c>
      <c r="CW1301" t="s">
        <v>120</v>
      </c>
      <c r="CX1301">
        <v>261</v>
      </c>
      <c r="CY1301">
        <v>2</v>
      </c>
      <c r="CZ1301" t="s">
        <v>121</v>
      </c>
      <c r="DA1301" t="s">
        <v>122</v>
      </c>
      <c r="DD1301">
        <v>14982383</v>
      </c>
      <c r="DE1301" t="s">
        <v>123</v>
      </c>
    </row>
    <row r="1302" spans="1:109" x14ac:dyDescent="0.3">
      <c r="A1302" t="str">
        <f>"18:56:27.008"</f>
        <v>18:56:27.008</v>
      </c>
      <c r="B1302" t="s">
        <v>110</v>
      </c>
      <c r="C1302" t="str">
        <f t="shared" si="60"/>
        <v>ffdfd3c0</v>
      </c>
      <c r="D1302" t="s">
        <v>111</v>
      </c>
      <c r="E1302">
        <v>18</v>
      </c>
      <c r="F1302">
        <v>1018</v>
      </c>
      <c r="G1302" t="s">
        <v>112</v>
      </c>
      <c r="J1302" t="s">
        <v>113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R1302" t="s">
        <v>114</v>
      </c>
      <c r="S1302" t="str">
        <f>"18:56:26.758"</f>
        <v>18:56:26.758</v>
      </c>
      <c r="T1302" t="str">
        <f>"18:56:26.656"</f>
        <v>18:56:26.656</v>
      </c>
      <c r="U1302" t="str">
        <f t="shared" si="61"/>
        <v>a1cdbe</v>
      </c>
      <c r="V1302">
        <v>0</v>
      </c>
      <c r="W1302">
        <v>0</v>
      </c>
      <c r="X1302">
        <v>1</v>
      </c>
      <c r="Y1302">
        <v>0</v>
      </c>
      <c r="Z1302">
        <v>0</v>
      </c>
      <c r="AB1302">
        <v>0</v>
      </c>
      <c r="AC1302">
        <v>9</v>
      </c>
      <c r="AD1302">
        <v>3</v>
      </c>
      <c r="AE1302">
        <v>0</v>
      </c>
      <c r="AF1302">
        <v>9</v>
      </c>
      <c r="AG1302" t="s">
        <v>158</v>
      </c>
      <c r="AH1302">
        <v>0</v>
      </c>
      <c r="AI1302">
        <v>3</v>
      </c>
      <c r="AJ1302">
        <v>1</v>
      </c>
      <c r="AK1302">
        <v>0</v>
      </c>
      <c r="AL1302" t="s">
        <v>2559</v>
      </c>
      <c r="AM1302">
        <v>46.817830000000001</v>
      </c>
      <c r="AN1302" t="s">
        <v>2560</v>
      </c>
      <c r="AO1302">
        <v>-122.671795</v>
      </c>
      <c r="AP1302">
        <v>100</v>
      </c>
      <c r="AQ1302">
        <v>2000</v>
      </c>
      <c r="AR1302" t="s">
        <v>118</v>
      </c>
      <c r="AS1302">
        <v>-80</v>
      </c>
      <c r="AT1302">
        <v>-15</v>
      </c>
      <c r="AU1302">
        <v>-128</v>
      </c>
      <c r="BC1302">
        <v>1200</v>
      </c>
      <c r="BD1302">
        <v>1</v>
      </c>
      <c r="BE1302" t="str">
        <f t="shared" si="62"/>
        <v xml:space="preserve">N215T   </v>
      </c>
      <c r="BF1302">
        <v>1</v>
      </c>
      <c r="BH1302">
        <v>0</v>
      </c>
      <c r="BI1302">
        <v>0</v>
      </c>
      <c r="BJ1302">
        <v>0</v>
      </c>
      <c r="BK1302">
        <v>2400</v>
      </c>
      <c r="BL1302">
        <v>400</v>
      </c>
      <c r="BM1302" t="s">
        <v>119</v>
      </c>
      <c r="BN1302">
        <v>1</v>
      </c>
      <c r="BO1302">
        <v>1</v>
      </c>
      <c r="BP1302">
        <v>1</v>
      </c>
      <c r="BQ1302">
        <v>0</v>
      </c>
      <c r="BT1302">
        <v>0</v>
      </c>
      <c r="BU1302">
        <v>0</v>
      </c>
      <c r="BV1302">
        <v>0</v>
      </c>
      <c r="CC1302" t="str">
        <f>"18:56:26.766"</f>
        <v>18:56:26.766</v>
      </c>
      <c r="CD1302" t="str">
        <f>"765266226"</f>
        <v>765266226</v>
      </c>
      <c r="CQ1302">
        <v>0</v>
      </c>
      <c r="CR1302">
        <v>2</v>
      </c>
      <c r="CS1302">
        <v>0</v>
      </c>
      <c r="CT1302">
        <v>2</v>
      </c>
      <c r="CU1302">
        <v>0</v>
      </c>
      <c r="CV1302">
        <v>7</v>
      </c>
      <c r="CW1302" t="s">
        <v>120</v>
      </c>
      <c r="CX1302">
        <v>261</v>
      </c>
      <c r="CY1302">
        <v>2</v>
      </c>
      <c r="CZ1302" t="s">
        <v>121</v>
      </c>
      <c r="DA1302" t="s">
        <v>122</v>
      </c>
      <c r="DD1302">
        <v>14983078</v>
      </c>
      <c r="DE1302" t="s">
        <v>123</v>
      </c>
    </row>
    <row r="1303" spans="1:109" x14ac:dyDescent="0.3">
      <c r="A1303" t="str">
        <f>"18:56:27.961"</f>
        <v>18:56:27.961</v>
      </c>
      <c r="B1303" t="s">
        <v>110</v>
      </c>
      <c r="C1303" t="str">
        <f t="shared" si="60"/>
        <v>ffdfd3c0</v>
      </c>
      <c r="D1303" t="s">
        <v>111</v>
      </c>
      <c r="E1303">
        <v>18</v>
      </c>
      <c r="F1303">
        <v>1018</v>
      </c>
      <c r="G1303" t="s">
        <v>112</v>
      </c>
      <c r="J1303" t="s">
        <v>113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R1303" t="s">
        <v>114</v>
      </c>
      <c r="S1303" t="str">
        <f>"18:56:27.734"</f>
        <v>18:56:27.734</v>
      </c>
      <c r="T1303" t="str">
        <f>"18:56:27.734"</f>
        <v>18:56:27.734</v>
      </c>
      <c r="U1303" t="str">
        <f t="shared" si="61"/>
        <v>a1cdbe</v>
      </c>
      <c r="V1303">
        <v>0</v>
      </c>
      <c r="W1303">
        <v>0</v>
      </c>
      <c r="X1303">
        <v>1</v>
      </c>
      <c r="Y1303">
        <v>0</v>
      </c>
      <c r="Z1303">
        <v>0</v>
      </c>
      <c r="AB1303">
        <v>0</v>
      </c>
      <c r="AC1303">
        <v>9</v>
      </c>
      <c r="AD1303">
        <v>3</v>
      </c>
      <c r="AE1303">
        <v>0</v>
      </c>
      <c r="AF1303">
        <v>9</v>
      </c>
      <c r="AG1303" t="s">
        <v>158</v>
      </c>
      <c r="AH1303">
        <v>0</v>
      </c>
      <c r="AI1303">
        <v>3</v>
      </c>
      <c r="AJ1303">
        <v>1</v>
      </c>
      <c r="AK1303">
        <v>0</v>
      </c>
      <c r="AL1303" t="s">
        <v>2561</v>
      </c>
      <c r="AM1303">
        <v>46.817787000000003</v>
      </c>
      <c r="AN1303" t="s">
        <v>2562</v>
      </c>
      <c r="AO1303">
        <v>-122.672331</v>
      </c>
      <c r="AP1303">
        <v>100</v>
      </c>
      <c r="AQ1303">
        <v>2000</v>
      </c>
      <c r="AR1303" t="s">
        <v>118</v>
      </c>
      <c r="AS1303">
        <v>-80</v>
      </c>
      <c r="AT1303">
        <v>-16</v>
      </c>
      <c r="AU1303">
        <v>-64</v>
      </c>
      <c r="BC1303">
        <v>1200</v>
      </c>
      <c r="BD1303">
        <v>1</v>
      </c>
      <c r="BE1303" t="str">
        <f t="shared" si="62"/>
        <v xml:space="preserve">N215T   </v>
      </c>
      <c r="BF1303">
        <v>1</v>
      </c>
      <c r="BH1303">
        <v>0</v>
      </c>
      <c r="BI1303">
        <v>0</v>
      </c>
      <c r="BJ1303">
        <v>0</v>
      </c>
      <c r="BK1303">
        <v>2400</v>
      </c>
      <c r="BL1303">
        <v>400</v>
      </c>
      <c r="BM1303" t="s">
        <v>119</v>
      </c>
      <c r="BN1303">
        <v>1</v>
      </c>
      <c r="BO1303">
        <v>1</v>
      </c>
      <c r="BP1303">
        <v>1</v>
      </c>
      <c r="BQ1303">
        <v>0</v>
      </c>
      <c r="BT1303">
        <v>0</v>
      </c>
      <c r="BU1303">
        <v>0</v>
      </c>
      <c r="BV1303">
        <v>0</v>
      </c>
      <c r="CC1303" t="str">
        <f>"18:56:27.742"</f>
        <v>18:56:27.742</v>
      </c>
      <c r="CD1303" t="str">
        <f>"740170227"</f>
        <v>740170227</v>
      </c>
      <c r="CQ1303">
        <v>0</v>
      </c>
      <c r="CR1303">
        <v>2</v>
      </c>
      <c r="CS1303">
        <v>0</v>
      </c>
      <c r="CT1303">
        <v>2</v>
      </c>
      <c r="CU1303">
        <v>0</v>
      </c>
      <c r="CV1303">
        <v>7</v>
      </c>
      <c r="CW1303" t="s">
        <v>120</v>
      </c>
      <c r="CX1303">
        <v>261</v>
      </c>
      <c r="CY1303">
        <v>2</v>
      </c>
      <c r="CZ1303" t="s">
        <v>121</v>
      </c>
      <c r="DA1303" t="s">
        <v>122</v>
      </c>
      <c r="DD1303">
        <v>14983731</v>
      </c>
      <c r="DE1303" t="s">
        <v>123</v>
      </c>
    </row>
    <row r="1304" spans="1:109" x14ac:dyDescent="0.3">
      <c r="A1304" t="str">
        <f>"18:56:29.070"</f>
        <v>18:56:29.070</v>
      </c>
      <c r="B1304" t="s">
        <v>110</v>
      </c>
      <c r="C1304" t="str">
        <f t="shared" si="60"/>
        <v>ffdfd3c0</v>
      </c>
      <c r="D1304" t="s">
        <v>111</v>
      </c>
      <c r="E1304">
        <v>18</v>
      </c>
      <c r="F1304">
        <v>1018</v>
      </c>
      <c r="G1304" t="s">
        <v>112</v>
      </c>
      <c r="J1304" t="s">
        <v>113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R1304" t="s">
        <v>114</v>
      </c>
      <c r="S1304" t="str">
        <f>"18:56:28.828"</f>
        <v>18:56:28.828</v>
      </c>
      <c r="T1304" t="str">
        <f>"18:56:28.828"</f>
        <v>18:56:28.828</v>
      </c>
      <c r="U1304" t="str">
        <f t="shared" si="61"/>
        <v>a1cdbe</v>
      </c>
      <c r="V1304">
        <v>0</v>
      </c>
      <c r="W1304">
        <v>0</v>
      </c>
      <c r="X1304">
        <v>1</v>
      </c>
      <c r="Y1304">
        <v>0</v>
      </c>
      <c r="Z1304">
        <v>0</v>
      </c>
      <c r="AB1304">
        <v>0</v>
      </c>
      <c r="AC1304">
        <v>9</v>
      </c>
      <c r="AD1304">
        <v>3</v>
      </c>
      <c r="AE1304">
        <v>0</v>
      </c>
      <c r="AF1304">
        <v>9</v>
      </c>
      <c r="AG1304" t="s">
        <v>158</v>
      </c>
      <c r="AH1304">
        <v>0</v>
      </c>
      <c r="AI1304">
        <v>3</v>
      </c>
      <c r="AJ1304">
        <v>1</v>
      </c>
      <c r="AK1304">
        <v>0</v>
      </c>
      <c r="AL1304" t="s">
        <v>2563</v>
      </c>
      <c r="AM1304">
        <v>46.817678999999998</v>
      </c>
      <c r="AN1304" t="s">
        <v>2564</v>
      </c>
      <c r="AO1304">
        <v>-122.672932</v>
      </c>
      <c r="AP1304">
        <v>100</v>
      </c>
      <c r="AQ1304">
        <v>2000</v>
      </c>
      <c r="AR1304" t="s">
        <v>118</v>
      </c>
      <c r="AS1304">
        <v>-81</v>
      </c>
      <c r="AT1304">
        <v>-16</v>
      </c>
      <c r="AU1304">
        <v>-64</v>
      </c>
      <c r="BC1304">
        <v>1200</v>
      </c>
      <c r="BD1304">
        <v>1</v>
      </c>
      <c r="BE1304" t="str">
        <f t="shared" si="62"/>
        <v xml:space="preserve">N215T   </v>
      </c>
      <c r="BF1304">
        <v>1</v>
      </c>
      <c r="BH1304">
        <v>0</v>
      </c>
      <c r="BI1304">
        <v>0</v>
      </c>
      <c r="BJ1304">
        <v>0</v>
      </c>
      <c r="BK1304">
        <v>2400</v>
      </c>
      <c r="BL1304">
        <v>400</v>
      </c>
      <c r="BM1304" t="s">
        <v>119</v>
      </c>
      <c r="BN1304">
        <v>1</v>
      </c>
      <c r="BO1304">
        <v>1</v>
      </c>
      <c r="BP1304">
        <v>1</v>
      </c>
      <c r="BQ1304">
        <v>0</v>
      </c>
      <c r="BT1304">
        <v>0</v>
      </c>
      <c r="BU1304">
        <v>0</v>
      </c>
      <c r="BV1304">
        <v>0</v>
      </c>
      <c r="CC1304" t="str">
        <f>"18:56:28.836"</f>
        <v>18:56:28.836</v>
      </c>
      <c r="CD1304" t="str">
        <f>"835062412"</f>
        <v>835062412</v>
      </c>
      <c r="CQ1304">
        <v>0</v>
      </c>
      <c r="CR1304">
        <v>2</v>
      </c>
      <c r="CS1304">
        <v>0</v>
      </c>
      <c r="CT1304">
        <v>2</v>
      </c>
      <c r="CU1304">
        <v>0</v>
      </c>
      <c r="CV1304">
        <v>7</v>
      </c>
      <c r="CW1304" t="s">
        <v>120</v>
      </c>
      <c r="CX1304">
        <v>261</v>
      </c>
      <c r="CY1304">
        <v>2</v>
      </c>
      <c r="CZ1304" t="s">
        <v>121</v>
      </c>
      <c r="DA1304" t="s">
        <v>122</v>
      </c>
      <c r="DD1304">
        <v>14984454</v>
      </c>
      <c r="DE1304" t="s">
        <v>123</v>
      </c>
    </row>
    <row r="1305" spans="1:109" x14ac:dyDescent="0.3">
      <c r="A1305" t="str">
        <f>"18:56:30.125"</f>
        <v>18:56:30.125</v>
      </c>
      <c r="B1305" t="s">
        <v>110</v>
      </c>
      <c r="C1305" t="str">
        <f t="shared" si="60"/>
        <v>ffdfd3c0</v>
      </c>
      <c r="D1305" t="s">
        <v>111</v>
      </c>
      <c r="E1305">
        <v>18</v>
      </c>
      <c r="F1305">
        <v>1018</v>
      </c>
      <c r="G1305" t="s">
        <v>112</v>
      </c>
      <c r="J1305" t="s">
        <v>113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R1305" t="s">
        <v>114</v>
      </c>
      <c r="S1305" t="str">
        <f>"18:56:29.867"</f>
        <v>18:56:29.867</v>
      </c>
      <c r="T1305" t="str">
        <f>"18:56:29.867"</f>
        <v>18:56:29.867</v>
      </c>
      <c r="U1305" t="str">
        <f t="shared" si="61"/>
        <v>a1cdbe</v>
      </c>
      <c r="V1305">
        <v>0</v>
      </c>
      <c r="W1305">
        <v>0</v>
      </c>
      <c r="X1305">
        <v>1</v>
      </c>
      <c r="Y1305">
        <v>0</v>
      </c>
      <c r="Z1305">
        <v>0</v>
      </c>
      <c r="AB1305">
        <v>0</v>
      </c>
      <c r="AC1305">
        <v>9</v>
      </c>
      <c r="AD1305">
        <v>3</v>
      </c>
      <c r="AE1305">
        <v>0</v>
      </c>
      <c r="AF1305">
        <v>9</v>
      </c>
      <c r="AG1305" t="s">
        <v>158</v>
      </c>
      <c r="AH1305">
        <v>0</v>
      </c>
      <c r="AI1305">
        <v>3</v>
      </c>
      <c r="AJ1305">
        <v>1</v>
      </c>
      <c r="AK1305">
        <v>0</v>
      </c>
      <c r="AL1305" t="s">
        <v>2565</v>
      </c>
      <c r="AM1305">
        <v>46.817594</v>
      </c>
      <c r="AN1305" t="s">
        <v>2566</v>
      </c>
      <c r="AO1305">
        <v>-122.673554</v>
      </c>
      <c r="AP1305">
        <v>100</v>
      </c>
      <c r="AQ1305">
        <v>2000</v>
      </c>
      <c r="AR1305" t="s">
        <v>118</v>
      </c>
      <c r="AS1305">
        <v>-81</v>
      </c>
      <c r="AT1305">
        <v>-16</v>
      </c>
      <c r="AU1305">
        <v>-128</v>
      </c>
      <c r="BC1305">
        <v>1200</v>
      </c>
      <c r="BD1305">
        <v>1</v>
      </c>
      <c r="BE1305" t="str">
        <f t="shared" si="62"/>
        <v xml:space="preserve">N215T   </v>
      </c>
      <c r="BF1305">
        <v>1</v>
      </c>
      <c r="BH1305">
        <v>0</v>
      </c>
      <c r="BI1305">
        <v>0</v>
      </c>
      <c r="BJ1305">
        <v>0</v>
      </c>
      <c r="BK1305">
        <v>2375</v>
      </c>
      <c r="BL1305">
        <v>375</v>
      </c>
      <c r="BM1305" t="s">
        <v>119</v>
      </c>
      <c r="BN1305">
        <v>1</v>
      </c>
      <c r="BO1305">
        <v>1</v>
      </c>
      <c r="BP1305">
        <v>1</v>
      </c>
      <c r="BQ1305">
        <v>0</v>
      </c>
      <c r="BT1305">
        <v>0</v>
      </c>
      <c r="BU1305">
        <v>0</v>
      </c>
      <c r="BV1305">
        <v>0</v>
      </c>
      <c r="CC1305" t="str">
        <f>"18:56:29.867"</f>
        <v>18:56:29.867</v>
      </c>
      <c r="CD1305" t="str">
        <f>"869960506"</f>
        <v>869960506</v>
      </c>
      <c r="CQ1305">
        <v>0</v>
      </c>
      <c r="CR1305">
        <v>2</v>
      </c>
      <c r="CS1305">
        <v>0</v>
      </c>
      <c r="CT1305">
        <v>2</v>
      </c>
      <c r="CU1305">
        <v>0</v>
      </c>
      <c r="CV1305">
        <v>6</v>
      </c>
      <c r="CW1305" t="s">
        <v>120</v>
      </c>
      <c r="CX1305">
        <v>261</v>
      </c>
      <c r="CY1305">
        <v>2</v>
      </c>
      <c r="CZ1305" t="s">
        <v>121</v>
      </c>
      <c r="DA1305" t="s">
        <v>122</v>
      </c>
      <c r="DD1305">
        <v>14985202</v>
      </c>
      <c r="DE1305" t="s">
        <v>123</v>
      </c>
    </row>
    <row r="1306" spans="1:109" x14ac:dyDescent="0.3">
      <c r="A1306" t="str">
        <f>"18:56:31.078"</f>
        <v>18:56:31.078</v>
      </c>
      <c r="B1306" t="s">
        <v>110</v>
      </c>
      <c r="C1306" t="str">
        <f t="shared" si="60"/>
        <v>ffdfd3c0</v>
      </c>
      <c r="D1306" t="s">
        <v>111</v>
      </c>
      <c r="E1306">
        <v>18</v>
      </c>
      <c r="F1306">
        <v>1018</v>
      </c>
      <c r="G1306" t="s">
        <v>112</v>
      </c>
      <c r="J1306" t="s">
        <v>113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R1306" t="s">
        <v>114</v>
      </c>
      <c r="S1306" t="str">
        <f>"18:56:30.813"</f>
        <v>18:56:30.813</v>
      </c>
      <c r="T1306" t="str">
        <f>"18:56:30.711"</f>
        <v>18:56:30.711</v>
      </c>
      <c r="U1306" t="str">
        <f t="shared" si="61"/>
        <v>a1cdbe</v>
      </c>
      <c r="V1306">
        <v>0</v>
      </c>
      <c r="W1306">
        <v>0</v>
      </c>
      <c r="X1306">
        <v>1</v>
      </c>
      <c r="Y1306">
        <v>0</v>
      </c>
      <c r="Z1306">
        <v>0</v>
      </c>
      <c r="AB1306">
        <v>0</v>
      </c>
      <c r="AC1306">
        <v>9</v>
      </c>
      <c r="AD1306">
        <v>3</v>
      </c>
      <c r="AE1306">
        <v>0</v>
      </c>
      <c r="AF1306">
        <v>9</v>
      </c>
      <c r="AG1306" t="s">
        <v>158</v>
      </c>
      <c r="AH1306">
        <v>0</v>
      </c>
      <c r="AI1306">
        <v>3</v>
      </c>
      <c r="AJ1306">
        <v>1</v>
      </c>
      <c r="AK1306">
        <v>0</v>
      </c>
      <c r="AL1306" t="s">
        <v>2567</v>
      </c>
      <c r="AM1306">
        <v>46.817551000000002</v>
      </c>
      <c r="AN1306" t="s">
        <v>2568</v>
      </c>
      <c r="AO1306">
        <v>-122.67400499999999</v>
      </c>
      <c r="AP1306">
        <v>100</v>
      </c>
      <c r="AQ1306">
        <v>2000</v>
      </c>
      <c r="AR1306" t="s">
        <v>118</v>
      </c>
      <c r="AS1306">
        <v>-82</v>
      </c>
      <c r="AT1306">
        <v>-15</v>
      </c>
      <c r="AU1306">
        <v>0</v>
      </c>
      <c r="BC1306">
        <v>1200</v>
      </c>
      <c r="BD1306">
        <v>1</v>
      </c>
      <c r="BE1306" t="str">
        <f t="shared" si="62"/>
        <v xml:space="preserve">N215T   </v>
      </c>
      <c r="BF1306">
        <v>1</v>
      </c>
      <c r="BH1306">
        <v>0</v>
      </c>
      <c r="BI1306">
        <v>0</v>
      </c>
      <c r="BJ1306">
        <v>0</v>
      </c>
      <c r="BK1306">
        <v>2375</v>
      </c>
      <c r="BL1306">
        <v>375</v>
      </c>
      <c r="BM1306" t="s">
        <v>119</v>
      </c>
      <c r="BN1306">
        <v>1</v>
      </c>
      <c r="BO1306">
        <v>1</v>
      </c>
      <c r="BP1306">
        <v>1</v>
      </c>
      <c r="BQ1306">
        <v>0</v>
      </c>
      <c r="BT1306">
        <v>0</v>
      </c>
      <c r="BU1306">
        <v>0</v>
      </c>
      <c r="BV1306">
        <v>0</v>
      </c>
      <c r="CC1306" t="str">
        <f>"18:56:30.813"</f>
        <v>18:56:30.813</v>
      </c>
      <c r="CD1306" t="str">
        <f>"814867469"</f>
        <v>814867469</v>
      </c>
      <c r="CQ1306">
        <v>0</v>
      </c>
      <c r="CR1306">
        <v>2</v>
      </c>
      <c r="CS1306">
        <v>0</v>
      </c>
      <c r="CT1306">
        <v>2</v>
      </c>
      <c r="CU1306">
        <v>0</v>
      </c>
      <c r="CV1306">
        <v>6</v>
      </c>
      <c r="CW1306" t="s">
        <v>120</v>
      </c>
      <c r="CX1306">
        <v>261</v>
      </c>
      <c r="CY1306">
        <v>2</v>
      </c>
      <c r="CZ1306" t="s">
        <v>121</v>
      </c>
      <c r="DA1306" t="s">
        <v>122</v>
      </c>
      <c r="DD1306">
        <v>14985902</v>
      </c>
      <c r="DE1306" t="s">
        <v>123</v>
      </c>
    </row>
    <row r="1307" spans="1:109" x14ac:dyDescent="0.3">
      <c r="A1307" t="str">
        <f>"18:56:31.984"</f>
        <v>18:56:31.984</v>
      </c>
      <c r="B1307" t="s">
        <v>110</v>
      </c>
      <c r="C1307" t="str">
        <f t="shared" si="60"/>
        <v>ffdfd3c0</v>
      </c>
      <c r="D1307" t="s">
        <v>111</v>
      </c>
      <c r="E1307">
        <v>18</v>
      </c>
      <c r="F1307">
        <v>1018</v>
      </c>
      <c r="G1307" t="s">
        <v>112</v>
      </c>
      <c r="J1307" t="s">
        <v>113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R1307" t="s">
        <v>114</v>
      </c>
      <c r="S1307" t="str">
        <f>"18:56:31.758"</f>
        <v>18:56:31.758</v>
      </c>
      <c r="T1307" t="str">
        <f>"18:56:31.656"</f>
        <v>18:56:31.656</v>
      </c>
      <c r="U1307" t="str">
        <f t="shared" si="61"/>
        <v>a1cdbe</v>
      </c>
      <c r="V1307">
        <v>0</v>
      </c>
      <c r="W1307">
        <v>0</v>
      </c>
      <c r="X1307">
        <v>1</v>
      </c>
      <c r="Y1307">
        <v>0</v>
      </c>
      <c r="Z1307">
        <v>0</v>
      </c>
      <c r="AB1307">
        <v>0</v>
      </c>
      <c r="AC1307">
        <v>9</v>
      </c>
      <c r="AD1307">
        <v>3</v>
      </c>
      <c r="AE1307">
        <v>0</v>
      </c>
      <c r="AF1307">
        <v>9</v>
      </c>
      <c r="AG1307" t="s">
        <v>158</v>
      </c>
      <c r="AH1307">
        <v>0</v>
      </c>
      <c r="AI1307">
        <v>3</v>
      </c>
      <c r="AJ1307">
        <v>1</v>
      </c>
      <c r="AK1307">
        <v>0</v>
      </c>
      <c r="AL1307" t="s">
        <v>2569</v>
      </c>
      <c r="AM1307">
        <v>46.817464999999999</v>
      </c>
      <c r="AN1307" t="s">
        <v>2570</v>
      </c>
      <c r="AO1307">
        <v>-122.674541</v>
      </c>
      <c r="AP1307">
        <v>100</v>
      </c>
      <c r="AQ1307">
        <v>2000</v>
      </c>
      <c r="AR1307" t="s">
        <v>118</v>
      </c>
      <c r="AS1307">
        <v>-83</v>
      </c>
      <c r="AT1307">
        <v>-13</v>
      </c>
      <c r="AU1307">
        <v>64</v>
      </c>
      <c r="BC1307">
        <v>1200</v>
      </c>
      <c r="BD1307">
        <v>1</v>
      </c>
      <c r="BE1307" t="str">
        <f t="shared" si="62"/>
        <v xml:space="preserve">N215T   </v>
      </c>
      <c r="BF1307">
        <v>1</v>
      </c>
      <c r="BH1307">
        <v>0</v>
      </c>
      <c r="BI1307">
        <v>0</v>
      </c>
      <c r="BJ1307">
        <v>0</v>
      </c>
      <c r="BK1307">
        <v>2400</v>
      </c>
      <c r="BL1307">
        <v>400</v>
      </c>
      <c r="BM1307" t="s">
        <v>119</v>
      </c>
      <c r="BN1307">
        <v>1</v>
      </c>
      <c r="BO1307">
        <v>1</v>
      </c>
      <c r="BP1307">
        <v>1</v>
      </c>
      <c r="BQ1307">
        <v>0</v>
      </c>
      <c r="BT1307">
        <v>0</v>
      </c>
      <c r="BU1307">
        <v>0</v>
      </c>
      <c r="BV1307">
        <v>0</v>
      </c>
      <c r="CC1307" t="str">
        <f>"18:56:31.758"</f>
        <v>18:56:31.758</v>
      </c>
      <c r="CD1307" t="str">
        <f>"759774417"</f>
        <v>759774417</v>
      </c>
      <c r="CQ1307">
        <v>0</v>
      </c>
      <c r="CR1307">
        <v>2</v>
      </c>
      <c r="CS1307">
        <v>0</v>
      </c>
      <c r="CT1307">
        <v>2</v>
      </c>
      <c r="CU1307">
        <v>0</v>
      </c>
      <c r="CV1307">
        <v>6</v>
      </c>
      <c r="CW1307" t="s">
        <v>120</v>
      </c>
      <c r="CX1307">
        <v>261</v>
      </c>
      <c r="CY1307">
        <v>2</v>
      </c>
      <c r="CZ1307" t="s">
        <v>121</v>
      </c>
      <c r="DA1307" t="s">
        <v>122</v>
      </c>
      <c r="DD1307">
        <v>14986539</v>
      </c>
      <c r="DE1307" t="s">
        <v>123</v>
      </c>
    </row>
    <row r="1308" spans="1:109" x14ac:dyDescent="0.3">
      <c r="A1308" t="str">
        <f>"18:56:32.938"</f>
        <v>18:56:32.938</v>
      </c>
      <c r="B1308" t="s">
        <v>110</v>
      </c>
      <c r="C1308" t="str">
        <f t="shared" si="60"/>
        <v>ffdfd3c0</v>
      </c>
      <c r="D1308" t="s">
        <v>111</v>
      </c>
      <c r="E1308">
        <v>18</v>
      </c>
      <c r="F1308">
        <v>1018</v>
      </c>
      <c r="G1308" t="s">
        <v>112</v>
      </c>
      <c r="J1308" t="s">
        <v>113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R1308" t="s">
        <v>114</v>
      </c>
      <c r="S1308" t="str">
        <f>"18:56:32.734"</f>
        <v>18:56:32.734</v>
      </c>
      <c r="T1308" t="str">
        <f>"18:56:32.336"</f>
        <v>18:56:32.336</v>
      </c>
      <c r="U1308" t="str">
        <f t="shared" si="61"/>
        <v>a1cdbe</v>
      </c>
      <c r="V1308">
        <v>0</v>
      </c>
      <c r="W1308">
        <v>0</v>
      </c>
      <c r="X1308">
        <v>1</v>
      </c>
      <c r="Y1308">
        <v>0</v>
      </c>
      <c r="Z1308">
        <v>0</v>
      </c>
      <c r="AB1308">
        <v>0</v>
      </c>
      <c r="AC1308">
        <v>9</v>
      </c>
      <c r="AD1308">
        <v>3</v>
      </c>
      <c r="AE1308">
        <v>0</v>
      </c>
      <c r="AF1308">
        <v>9</v>
      </c>
      <c r="AG1308" t="s">
        <v>158</v>
      </c>
      <c r="AH1308">
        <v>0</v>
      </c>
      <c r="AI1308">
        <v>3</v>
      </c>
      <c r="AJ1308">
        <v>1</v>
      </c>
      <c r="AK1308">
        <v>0</v>
      </c>
      <c r="AL1308" t="s">
        <v>2571</v>
      </c>
      <c r="AM1308">
        <v>46.817399999999999</v>
      </c>
      <c r="AN1308" t="s">
        <v>2572</v>
      </c>
      <c r="AO1308">
        <v>-122.675121</v>
      </c>
      <c r="AP1308">
        <v>100</v>
      </c>
      <c r="AQ1308">
        <v>2000</v>
      </c>
      <c r="AR1308" t="s">
        <v>118</v>
      </c>
      <c r="AS1308">
        <v>-83</v>
      </c>
      <c r="AT1308">
        <v>-13</v>
      </c>
      <c r="AU1308">
        <v>-64</v>
      </c>
      <c r="BC1308">
        <v>1200</v>
      </c>
      <c r="BD1308">
        <v>1</v>
      </c>
      <c r="BE1308" t="str">
        <f t="shared" si="62"/>
        <v xml:space="preserve">N215T   </v>
      </c>
      <c r="BF1308">
        <v>1</v>
      </c>
      <c r="BH1308">
        <v>0</v>
      </c>
      <c r="BI1308">
        <v>0</v>
      </c>
      <c r="BJ1308">
        <v>0</v>
      </c>
      <c r="BK1308">
        <v>2400</v>
      </c>
      <c r="BL1308">
        <v>400</v>
      </c>
      <c r="BM1308" t="s">
        <v>119</v>
      </c>
      <c r="BN1308">
        <v>1</v>
      </c>
      <c r="BO1308">
        <v>1</v>
      </c>
      <c r="BP1308">
        <v>1</v>
      </c>
      <c r="BQ1308">
        <v>0</v>
      </c>
      <c r="BT1308">
        <v>0</v>
      </c>
      <c r="BU1308">
        <v>0</v>
      </c>
      <c r="BV1308">
        <v>0</v>
      </c>
      <c r="CC1308" t="str">
        <f>"18:56:32.734"</f>
        <v>18:56:32.734</v>
      </c>
      <c r="CD1308" t="str">
        <f>"734678449"</f>
        <v>734678449</v>
      </c>
      <c r="CQ1308">
        <v>0</v>
      </c>
      <c r="CR1308">
        <v>2</v>
      </c>
      <c r="CS1308">
        <v>0</v>
      </c>
      <c r="CT1308">
        <v>2</v>
      </c>
      <c r="CU1308">
        <v>0</v>
      </c>
      <c r="CV1308">
        <v>6</v>
      </c>
      <c r="CW1308" t="s">
        <v>120</v>
      </c>
      <c r="CX1308">
        <v>261</v>
      </c>
      <c r="CY1308">
        <v>2</v>
      </c>
      <c r="CZ1308" t="s">
        <v>121</v>
      </c>
      <c r="DA1308" t="s">
        <v>122</v>
      </c>
      <c r="DD1308">
        <v>14987191</v>
      </c>
      <c r="DE1308" t="s">
        <v>123</v>
      </c>
    </row>
    <row r="1309" spans="1:109" x14ac:dyDescent="0.3">
      <c r="A1309" t="str">
        <f>"18:56:33.898"</f>
        <v>18:56:33.898</v>
      </c>
      <c r="B1309" t="s">
        <v>110</v>
      </c>
      <c r="C1309" t="str">
        <f t="shared" si="60"/>
        <v>ffdfd3c0</v>
      </c>
      <c r="D1309" t="s">
        <v>111</v>
      </c>
      <c r="E1309">
        <v>18</v>
      </c>
      <c r="F1309">
        <v>1018</v>
      </c>
      <c r="G1309" t="s">
        <v>112</v>
      </c>
      <c r="J1309" t="s">
        <v>113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R1309" t="s">
        <v>114</v>
      </c>
      <c r="S1309" t="str">
        <f>"18:56:33.664"</f>
        <v>18:56:33.664</v>
      </c>
      <c r="T1309" t="str">
        <f>"18:56:33.164"</f>
        <v>18:56:33.164</v>
      </c>
      <c r="U1309" t="str">
        <f t="shared" si="61"/>
        <v>a1cdbe</v>
      </c>
      <c r="V1309">
        <v>0</v>
      </c>
      <c r="W1309">
        <v>0</v>
      </c>
      <c r="X1309">
        <v>1</v>
      </c>
      <c r="Y1309">
        <v>0</v>
      </c>
      <c r="Z1309">
        <v>0</v>
      </c>
      <c r="AB1309">
        <v>0</v>
      </c>
      <c r="AC1309">
        <v>9</v>
      </c>
      <c r="AD1309">
        <v>3</v>
      </c>
      <c r="AE1309">
        <v>0</v>
      </c>
      <c r="AF1309">
        <v>9</v>
      </c>
      <c r="AG1309" t="s">
        <v>158</v>
      </c>
      <c r="AH1309">
        <v>0</v>
      </c>
      <c r="AI1309">
        <v>3</v>
      </c>
      <c r="AJ1309">
        <v>1</v>
      </c>
      <c r="AK1309">
        <v>0</v>
      </c>
      <c r="AL1309" t="s">
        <v>2573</v>
      </c>
      <c r="AM1309">
        <v>46.817357999999999</v>
      </c>
      <c r="AN1309" t="s">
        <v>2574</v>
      </c>
      <c r="AO1309">
        <v>-122.675614</v>
      </c>
      <c r="AP1309">
        <v>100</v>
      </c>
      <c r="AQ1309">
        <v>2000</v>
      </c>
      <c r="AR1309" t="s">
        <v>118</v>
      </c>
      <c r="AS1309">
        <v>-83</v>
      </c>
      <c r="AT1309">
        <v>-12</v>
      </c>
      <c r="AU1309">
        <v>0</v>
      </c>
      <c r="BC1309">
        <v>1200</v>
      </c>
      <c r="BD1309">
        <v>1</v>
      </c>
      <c r="BE1309" t="str">
        <f t="shared" si="62"/>
        <v xml:space="preserve">N215T   </v>
      </c>
      <c r="BF1309">
        <v>1</v>
      </c>
      <c r="BH1309">
        <v>0</v>
      </c>
      <c r="BI1309">
        <v>0</v>
      </c>
      <c r="BJ1309">
        <v>0</v>
      </c>
      <c r="BK1309">
        <v>2400</v>
      </c>
      <c r="BL1309">
        <v>400</v>
      </c>
      <c r="BM1309" t="s">
        <v>119</v>
      </c>
      <c r="BN1309">
        <v>1</v>
      </c>
      <c r="BO1309">
        <v>1</v>
      </c>
      <c r="BP1309">
        <v>1</v>
      </c>
      <c r="BQ1309">
        <v>0</v>
      </c>
      <c r="BT1309">
        <v>0</v>
      </c>
      <c r="BU1309">
        <v>0</v>
      </c>
      <c r="BV1309">
        <v>0</v>
      </c>
      <c r="CC1309" t="str">
        <f>"18:56:33.664"</f>
        <v>18:56:33.664</v>
      </c>
      <c r="CD1309" t="str">
        <f>"664586851"</f>
        <v>664586851</v>
      </c>
      <c r="CQ1309">
        <v>0</v>
      </c>
      <c r="CR1309">
        <v>2</v>
      </c>
      <c r="CS1309">
        <v>0</v>
      </c>
      <c r="CT1309">
        <v>2</v>
      </c>
      <c r="CU1309">
        <v>0</v>
      </c>
      <c r="CV1309">
        <v>7</v>
      </c>
      <c r="CW1309" t="s">
        <v>120</v>
      </c>
      <c r="CX1309">
        <v>261</v>
      </c>
      <c r="CY1309">
        <v>2</v>
      </c>
      <c r="CZ1309" t="s">
        <v>121</v>
      </c>
      <c r="DA1309" t="s">
        <v>122</v>
      </c>
      <c r="DD1309">
        <v>14987816</v>
      </c>
      <c r="DE1309" t="s">
        <v>123</v>
      </c>
    </row>
    <row r="1310" spans="1:109" x14ac:dyDescent="0.3">
      <c r="A1310" t="str">
        <f>"18:56:34.898"</f>
        <v>18:56:34.898</v>
      </c>
      <c r="B1310" t="s">
        <v>110</v>
      </c>
      <c r="C1310" t="str">
        <f t="shared" si="60"/>
        <v>ffdfd3c0</v>
      </c>
      <c r="D1310" t="s">
        <v>111</v>
      </c>
      <c r="E1310">
        <v>18</v>
      </c>
      <c r="F1310">
        <v>1018</v>
      </c>
      <c r="G1310" t="s">
        <v>112</v>
      </c>
      <c r="J1310" t="s">
        <v>113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R1310" t="s">
        <v>114</v>
      </c>
      <c r="S1310" t="str">
        <f>"18:56:34.680"</f>
        <v>18:56:34.680</v>
      </c>
      <c r="T1310" t="str">
        <f>"18:56:34.680"</f>
        <v>18:56:34.680</v>
      </c>
      <c r="U1310" t="str">
        <f t="shared" si="61"/>
        <v>a1cdbe</v>
      </c>
      <c r="V1310">
        <v>0</v>
      </c>
      <c r="W1310">
        <v>0</v>
      </c>
      <c r="X1310">
        <v>1</v>
      </c>
      <c r="Y1310">
        <v>0</v>
      </c>
      <c r="Z1310">
        <v>0</v>
      </c>
      <c r="AB1310">
        <v>0</v>
      </c>
      <c r="AC1310">
        <v>9</v>
      </c>
      <c r="AD1310">
        <v>3</v>
      </c>
      <c r="AE1310">
        <v>0</v>
      </c>
      <c r="AF1310">
        <v>9</v>
      </c>
      <c r="AG1310" t="s">
        <v>158</v>
      </c>
      <c r="AH1310">
        <v>0</v>
      </c>
      <c r="AI1310">
        <v>3</v>
      </c>
      <c r="AJ1310">
        <v>1</v>
      </c>
      <c r="AK1310">
        <v>0</v>
      </c>
      <c r="AL1310" t="s">
        <v>2575</v>
      </c>
      <c r="AM1310">
        <v>46.817315000000001</v>
      </c>
      <c r="AN1310" t="s">
        <v>2576</v>
      </c>
      <c r="AO1310">
        <v>-122.676215</v>
      </c>
      <c r="AP1310">
        <v>100</v>
      </c>
      <c r="AQ1310">
        <v>2000</v>
      </c>
      <c r="AR1310" t="s">
        <v>118</v>
      </c>
      <c r="AS1310">
        <v>-83</v>
      </c>
      <c r="AT1310">
        <v>-11</v>
      </c>
      <c r="AU1310">
        <v>-64</v>
      </c>
      <c r="BC1310">
        <v>1200</v>
      </c>
      <c r="BD1310">
        <v>1</v>
      </c>
      <c r="BE1310" t="str">
        <f t="shared" si="62"/>
        <v xml:space="preserve">N215T   </v>
      </c>
      <c r="BF1310">
        <v>1</v>
      </c>
      <c r="BH1310">
        <v>0</v>
      </c>
      <c r="BI1310">
        <v>0</v>
      </c>
      <c r="BJ1310">
        <v>0</v>
      </c>
      <c r="BK1310">
        <v>2400</v>
      </c>
      <c r="BL1310">
        <v>400</v>
      </c>
      <c r="BM1310" t="s">
        <v>119</v>
      </c>
      <c r="BN1310">
        <v>1</v>
      </c>
      <c r="BO1310">
        <v>1</v>
      </c>
      <c r="BP1310">
        <v>1</v>
      </c>
      <c r="BQ1310">
        <v>0</v>
      </c>
      <c r="BT1310">
        <v>0</v>
      </c>
      <c r="BU1310">
        <v>0</v>
      </c>
      <c r="BV1310">
        <v>0</v>
      </c>
      <c r="CC1310" t="str">
        <f>"18:56:34.688"</f>
        <v>18:56:34.688</v>
      </c>
      <c r="CD1310" t="str">
        <f>"684486421"</f>
        <v>684486421</v>
      </c>
      <c r="CQ1310">
        <v>0</v>
      </c>
      <c r="CR1310">
        <v>2</v>
      </c>
      <c r="CS1310">
        <v>0</v>
      </c>
      <c r="CT1310">
        <v>2</v>
      </c>
      <c r="CU1310">
        <v>0</v>
      </c>
      <c r="CV1310">
        <v>7</v>
      </c>
      <c r="CW1310" t="s">
        <v>120</v>
      </c>
      <c r="CX1310">
        <v>261</v>
      </c>
      <c r="CY1310">
        <v>2</v>
      </c>
      <c r="CZ1310" t="s">
        <v>121</v>
      </c>
      <c r="DA1310" t="s">
        <v>122</v>
      </c>
      <c r="DD1310">
        <v>14988541</v>
      </c>
      <c r="DE1310" t="s">
        <v>123</v>
      </c>
    </row>
    <row r="1311" spans="1:109" x14ac:dyDescent="0.3">
      <c r="A1311" t="str">
        <f>"18:56:35.906"</f>
        <v>18:56:35.906</v>
      </c>
      <c r="B1311" t="s">
        <v>110</v>
      </c>
      <c r="C1311" t="str">
        <f t="shared" si="60"/>
        <v>ffdfd3c0</v>
      </c>
      <c r="D1311" t="s">
        <v>111</v>
      </c>
      <c r="E1311">
        <v>18</v>
      </c>
      <c r="F1311">
        <v>1018</v>
      </c>
      <c r="G1311" t="s">
        <v>112</v>
      </c>
      <c r="J1311" t="s">
        <v>113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R1311" t="s">
        <v>114</v>
      </c>
      <c r="S1311" t="str">
        <f>"18:56:35.688"</f>
        <v>18:56:35.688</v>
      </c>
      <c r="T1311" t="str">
        <f>"18:56:35.688"</f>
        <v>18:56:35.688</v>
      </c>
      <c r="U1311" t="str">
        <f t="shared" si="61"/>
        <v>a1cdbe</v>
      </c>
      <c r="V1311">
        <v>0</v>
      </c>
      <c r="W1311">
        <v>0</v>
      </c>
      <c r="X1311">
        <v>1</v>
      </c>
      <c r="Y1311">
        <v>0</v>
      </c>
      <c r="Z1311">
        <v>0</v>
      </c>
      <c r="AB1311">
        <v>0</v>
      </c>
      <c r="AC1311">
        <v>9</v>
      </c>
      <c r="AD1311">
        <v>3</v>
      </c>
      <c r="AE1311">
        <v>0</v>
      </c>
      <c r="AF1311">
        <v>9</v>
      </c>
      <c r="AG1311" t="s">
        <v>158</v>
      </c>
      <c r="AH1311">
        <v>0</v>
      </c>
      <c r="AI1311">
        <v>3</v>
      </c>
      <c r="AJ1311">
        <v>1</v>
      </c>
      <c r="AK1311">
        <v>0</v>
      </c>
      <c r="AL1311" t="s">
        <v>2577</v>
      </c>
      <c r="AM1311">
        <v>46.817272000000003</v>
      </c>
      <c r="AN1311" t="s">
        <v>2578</v>
      </c>
      <c r="AO1311">
        <v>-122.67675199999999</v>
      </c>
      <c r="AP1311">
        <v>100</v>
      </c>
      <c r="AQ1311">
        <v>2000</v>
      </c>
      <c r="AR1311" t="s">
        <v>118</v>
      </c>
      <c r="AS1311">
        <v>-83</v>
      </c>
      <c r="AT1311">
        <v>-12</v>
      </c>
      <c r="AU1311">
        <v>0</v>
      </c>
      <c r="BC1311">
        <v>1200</v>
      </c>
      <c r="BD1311">
        <v>1</v>
      </c>
      <c r="BE1311" t="str">
        <f t="shared" si="62"/>
        <v xml:space="preserve">N215T   </v>
      </c>
      <c r="BF1311">
        <v>1</v>
      </c>
      <c r="BH1311">
        <v>0</v>
      </c>
      <c r="BI1311">
        <v>0</v>
      </c>
      <c r="BJ1311">
        <v>0</v>
      </c>
      <c r="BK1311">
        <v>2400</v>
      </c>
      <c r="BL1311">
        <v>400</v>
      </c>
      <c r="BM1311" t="s">
        <v>119</v>
      </c>
      <c r="BN1311">
        <v>1</v>
      </c>
      <c r="BO1311">
        <v>1</v>
      </c>
      <c r="BP1311">
        <v>1</v>
      </c>
      <c r="BQ1311">
        <v>0</v>
      </c>
      <c r="BT1311">
        <v>0</v>
      </c>
      <c r="BU1311">
        <v>0</v>
      </c>
      <c r="BV1311">
        <v>0</v>
      </c>
      <c r="CC1311" t="str">
        <f>"18:56:35.688"</f>
        <v>18:56:35.688</v>
      </c>
      <c r="CD1311" t="str">
        <f>"689387464"</f>
        <v>689387464</v>
      </c>
      <c r="CQ1311">
        <v>0</v>
      </c>
      <c r="CR1311">
        <v>2</v>
      </c>
      <c r="CS1311">
        <v>0</v>
      </c>
      <c r="CT1311">
        <v>2</v>
      </c>
      <c r="CU1311">
        <v>0</v>
      </c>
      <c r="CV1311">
        <v>7</v>
      </c>
      <c r="CW1311" t="s">
        <v>120</v>
      </c>
      <c r="CX1311">
        <v>261</v>
      </c>
      <c r="CY1311">
        <v>2</v>
      </c>
      <c r="CZ1311" t="s">
        <v>121</v>
      </c>
      <c r="DA1311" t="s">
        <v>122</v>
      </c>
      <c r="DD1311">
        <v>14989230</v>
      </c>
      <c r="DE1311" t="s">
        <v>123</v>
      </c>
    </row>
    <row r="1312" spans="1:109" x14ac:dyDescent="0.3">
      <c r="A1312" t="str">
        <f>"18:56:37.063"</f>
        <v>18:56:37.063</v>
      </c>
      <c r="B1312" t="s">
        <v>110</v>
      </c>
      <c r="C1312" t="str">
        <f t="shared" si="60"/>
        <v>ffdfd3c0</v>
      </c>
      <c r="D1312" t="s">
        <v>111</v>
      </c>
      <c r="E1312">
        <v>18</v>
      </c>
      <c r="F1312">
        <v>1018</v>
      </c>
      <c r="G1312" t="s">
        <v>112</v>
      </c>
      <c r="J1312" t="s">
        <v>113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R1312" t="s">
        <v>114</v>
      </c>
      <c r="S1312" t="str">
        <f>"18:56:36.828"</f>
        <v>18:56:36.828</v>
      </c>
      <c r="T1312" t="str">
        <f>"18:56:36.727"</f>
        <v>18:56:36.727</v>
      </c>
      <c r="U1312" t="str">
        <f t="shared" si="61"/>
        <v>a1cdbe</v>
      </c>
      <c r="V1312">
        <v>0</v>
      </c>
      <c r="W1312">
        <v>0</v>
      </c>
      <c r="X1312">
        <v>1</v>
      </c>
      <c r="Y1312">
        <v>0</v>
      </c>
      <c r="Z1312">
        <v>0</v>
      </c>
      <c r="AB1312">
        <v>0</v>
      </c>
      <c r="AC1312">
        <v>9</v>
      </c>
      <c r="AD1312">
        <v>3</v>
      </c>
      <c r="AE1312">
        <v>0</v>
      </c>
      <c r="AF1312">
        <v>9</v>
      </c>
      <c r="AG1312" t="s">
        <v>158</v>
      </c>
      <c r="AH1312">
        <v>0</v>
      </c>
      <c r="AI1312">
        <v>3</v>
      </c>
      <c r="AJ1312">
        <v>1</v>
      </c>
      <c r="AK1312">
        <v>0</v>
      </c>
      <c r="AL1312" t="s">
        <v>2579</v>
      </c>
      <c r="AM1312">
        <v>46.817186</v>
      </c>
      <c r="AN1312" t="s">
        <v>2580</v>
      </c>
      <c r="AO1312">
        <v>-122.67741700000001</v>
      </c>
      <c r="AP1312">
        <v>100</v>
      </c>
      <c r="AQ1312">
        <v>2000</v>
      </c>
      <c r="AR1312" t="s">
        <v>118</v>
      </c>
      <c r="AS1312">
        <v>-83</v>
      </c>
      <c r="AT1312">
        <v>-13</v>
      </c>
      <c r="AU1312">
        <v>64</v>
      </c>
      <c r="BC1312">
        <v>1200</v>
      </c>
      <c r="BD1312">
        <v>1</v>
      </c>
      <c r="BE1312" t="str">
        <f t="shared" si="62"/>
        <v xml:space="preserve">N215T   </v>
      </c>
      <c r="BF1312">
        <v>1</v>
      </c>
      <c r="BH1312">
        <v>0</v>
      </c>
      <c r="BI1312">
        <v>0</v>
      </c>
      <c r="BJ1312">
        <v>0</v>
      </c>
      <c r="BK1312">
        <v>2375</v>
      </c>
      <c r="BL1312">
        <v>375</v>
      </c>
      <c r="BM1312" t="s">
        <v>119</v>
      </c>
      <c r="BN1312">
        <v>1</v>
      </c>
      <c r="BO1312">
        <v>1</v>
      </c>
      <c r="BP1312">
        <v>1</v>
      </c>
      <c r="BQ1312">
        <v>0</v>
      </c>
      <c r="BT1312">
        <v>0</v>
      </c>
      <c r="BU1312">
        <v>0</v>
      </c>
      <c r="BV1312">
        <v>0</v>
      </c>
      <c r="CC1312" t="str">
        <f>"18:56:36.828"</f>
        <v>18:56:36.828</v>
      </c>
      <c r="CD1312" t="str">
        <f>"829275200"</f>
        <v>829275200</v>
      </c>
      <c r="CQ1312">
        <v>0</v>
      </c>
      <c r="CR1312">
        <v>2</v>
      </c>
      <c r="CS1312">
        <v>0</v>
      </c>
      <c r="CT1312">
        <v>2</v>
      </c>
      <c r="CU1312">
        <v>0</v>
      </c>
      <c r="CV1312">
        <v>7</v>
      </c>
      <c r="CW1312" t="s">
        <v>120</v>
      </c>
      <c r="CX1312">
        <v>261</v>
      </c>
      <c r="CY1312">
        <v>2</v>
      </c>
      <c r="CZ1312" t="s">
        <v>121</v>
      </c>
      <c r="DA1312" t="s">
        <v>122</v>
      </c>
      <c r="DD1312">
        <v>14989979</v>
      </c>
      <c r="DE1312" t="s">
        <v>123</v>
      </c>
    </row>
    <row r="1313" spans="1:109" x14ac:dyDescent="0.3">
      <c r="A1313" t="str">
        <f>"18:56:38.117"</f>
        <v>18:56:38.117</v>
      </c>
      <c r="B1313" t="s">
        <v>110</v>
      </c>
      <c r="C1313" t="str">
        <f t="shared" si="60"/>
        <v>ffdfd3c0</v>
      </c>
      <c r="D1313" t="s">
        <v>111</v>
      </c>
      <c r="E1313">
        <v>18</v>
      </c>
      <c r="F1313">
        <v>1018</v>
      </c>
      <c r="G1313" t="s">
        <v>112</v>
      </c>
      <c r="J1313" t="s">
        <v>113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R1313" t="s">
        <v>114</v>
      </c>
      <c r="S1313" t="str">
        <f>"18:56:37.906"</f>
        <v>18:56:37.906</v>
      </c>
      <c r="T1313" t="str">
        <f>"18:56:37.805"</f>
        <v>18:56:37.805</v>
      </c>
      <c r="U1313" t="str">
        <f t="shared" si="61"/>
        <v>a1cdbe</v>
      </c>
      <c r="V1313">
        <v>0</v>
      </c>
      <c r="W1313">
        <v>0</v>
      </c>
      <c r="X1313">
        <v>1</v>
      </c>
      <c r="Y1313">
        <v>0</v>
      </c>
      <c r="Z1313">
        <v>0</v>
      </c>
      <c r="AB1313">
        <v>0</v>
      </c>
      <c r="AC1313">
        <v>9</v>
      </c>
      <c r="AD1313">
        <v>3</v>
      </c>
      <c r="AE1313">
        <v>0</v>
      </c>
      <c r="AF1313">
        <v>9</v>
      </c>
      <c r="AG1313" t="s">
        <v>158</v>
      </c>
      <c r="AH1313">
        <v>0</v>
      </c>
      <c r="AI1313">
        <v>3</v>
      </c>
      <c r="AJ1313">
        <v>1</v>
      </c>
      <c r="AK1313">
        <v>0</v>
      </c>
      <c r="AL1313" t="s">
        <v>2581</v>
      </c>
      <c r="AM1313">
        <v>46.817121999999998</v>
      </c>
      <c r="AN1313" t="s">
        <v>2582</v>
      </c>
      <c r="AO1313">
        <v>-122.67801799999999</v>
      </c>
      <c r="AP1313">
        <v>100</v>
      </c>
      <c r="AQ1313">
        <v>2000</v>
      </c>
      <c r="AR1313" t="s">
        <v>118</v>
      </c>
      <c r="AS1313">
        <v>-83</v>
      </c>
      <c r="AT1313">
        <v>-13</v>
      </c>
      <c r="AU1313">
        <v>64</v>
      </c>
      <c r="BC1313">
        <v>1200</v>
      </c>
      <c r="BD1313">
        <v>1</v>
      </c>
      <c r="BE1313" t="str">
        <f t="shared" si="62"/>
        <v xml:space="preserve">N215T   </v>
      </c>
      <c r="BF1313">
        <v>1</v>
      </c>
      <c r="BH1313">
        <v>0</v>
      </c>
      <c r="BI1313">
        <v>0</v>
      </c>
      <c r="BJ1313">
        <v>0</v>
      </c>
      <c r="BK1313">
        <v>2400</v>
      </c>
      <c r="BL1313">
        <v>400</v>
      </c>
      <c r="BM1313" t="s">
        <v>119</v>
      </c>
      <c r="BN1313">
        <v>1</v>
      </c>
      <c r="BO1313">
        <v>1</v>
      </c>
      <c r="BP1313">
        <v>1</v>
      </c>
      <c r="BQ1313">
        <v>0</v>
      </c>
      <c r="BT1313">
        <v>0</v>
      </c>
      <c r="BU1313">
        <v>0</v>
      </c>
      <c r="BV1313">
        <v>0</v>
      </c>
      <c r="CC1313" t="str">
        <f>"18:56:37.906"</f>
        <v>18:56:37.906</v>
      </c>
      <c r="CD1313" t="str">
        <f>"909168867"</f>
        <v>909168867</v>
      </c>
      <c r="CQ1313">
        <v>0</v>
      </c>
      <c r="CR1313">
        <v>2</v>
      </c>
      <c r="CS1313">
        <v>0</v>
      </c>
      <c r="CT1313">
        <v>2</v>
      </c>
      <c r="CU1313">
        <v>0</v>
      </c>
      <c r="CV1313">
        <v>7</v>
      </c>
      <c r="CW1313" t="s">
        <v>120</v>
      </c>
      <c r="CX1313">
        <v>261</v>
      </c>
      <c r="CY1313">
        <v>2</v>
      </c>
      <c r="CZ1313" t="s">
        <v>121</v>
      </c>
      <c r="DA1313" t="s">
        <v>122</v>
      </c>
      <c r="DD1313">
        <v>14990680</v>
      </c>
      <c r="DE1313" t="s">
        <v>123</v>
      </c>
    </row>
    <row r="1314" spans="1:109" x14ac:dyDescent="0.3">
      <c r="A1314" t="str">
        <f>"18:56:38.969"</f>
        <v>18:56:38.969</v>
      </c>
      <c r="B1314" t="s">
        <v>110</v>
      </c>
      <c r="C1314" t="str">
        <f t="shared" si="60"/>
        <v>ffdfd3c0</v>
      </c>
      <c r="D1314" t="s">
        <v>111</v>
      </c>
      <c r="E1314">
        <v>18</v>
      </c>
      <c r="F1314">
        <v>1018</v>
      </c>
      <c r="G1314" t="s">
        <v>112</v>
      </c>
      <c r="J1314" t="s">
        <v>113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R1314" t="s">
        <v>114</v>
      </c>
      <c r="S1314" t="str">
        <f>"18:56:38.758"</f>
        <v>18:56:38.758</v>
      </c>
      <c r="T1314" t="str">
        <f>"18:56:38.258"</f>
        <v>18:56:38.258</v>
      </c>
      <c r="U1314" t="str">
        <f t="shared" si="61"/>
        <v>a1cdbe</v>
      </c>
      <c r="V1314">
        <v>0</v>
      </c>
      <c r="W1314">
        <v>0</v>
      </c>
      <c r="X1314">
        <v>1</v>
      </c>
      <c r="Y1314">
        <v>0</v>
      </c>
      <c r="Z1314">
        <v>0</v>
      </c>
      <c r="AB1314">
        <v>0</v>
      </c>
      <c r="AC1314">
        <v>9</v>
      </c>
      <c r="AD1314">
        <v>3</v>
      </c>
      <c r="AE1314">
        <v>0</v>
      </c>
      <c r="AF1314">
        <v>9</v>
      </c>
      <c r="AG1314" t="s">
        <v>158</v>
      </c>
      <c r="AH1314">
        <v>0</v>
      </c>
      <c r="AI1314">
        <v>3</v>
      </c>
      <c r="AJ1314">
        <v>1</v>
      </c>
      <c r="AK1314">
        <v>0</v>
      </c>
      <c r="AL1314" t="s">
        <v>2583</v>
      </c>
      <c r="AM1314">
        <v>46.817100000000003</v>
      </c>
      <c r="AN1314" t="s">
        <v>2584</v>
      </c>
      <c r="AO1314">
        <v>-122.67849</v>
      </c>
      <c r="AP1314">
        <v>100</v>
      </c>
      <c r="AQ1314">
        <v>2000</v>
      </c>
      <c r="AR1314" t="s">
        <v>118</v>
      </c>
      <c r="AS1314">
        <v>-83</v>
      </c>
      <c r="AT1314">
        <v>-13</v>
      </c>
      <c r="AU1314">
        <v>-64</v>
      </c>
      <c r="BC1314">
        <v>1200</v>
      </c>
      <c r="BD1314">
        <v>1</v>
      </c>
      <c r="BE1314" t="str">
        <f t="shared" si="62"/>
        <v xml:space="preserve">N215T   </v>
      </c>
      <c r="BF1314">
        <v>1</v>
      </c>
      <c r="BH1314">
        <v>0</v>
      </c>
      <c r="BI1314">
        <v>0</v>
      </c>
      <c r="BJ1314">
        <v>0</v>
      </c>
      <c r="BK1314">
        <v>2400</v>
      </c>
      <c r="BL1314">
        <v>400</v>
      </c>
      <c r="BM1314" t="s">
        <v>119</v>
      </c>
      <c r="BN1314">
        <v>1</v>
      </c>
      <c r="BO1314">
        <v>1</v>
      </c>
      <c r="BP1314">
        <v>1</v>
      </c>
      <c r="BQ1314">
        <v>0</v>
      </c>
      <c r="BT1314">
        <v>0</v>
      </c>
      <c r="BU1314">
        <v>0</v>
      </c>
      <c r="BV1314">
        <v>0</v>
      </c>
      <c r="CC1314" t="str">
        <f>"18:56:38.766"</f>
        <v>18:56:38.766</v>
      </c>
      <c r="CD1314" t="str">
        <f>"764084683"</f>
        <v>764084683</v>
      </c>
      <c r="CQ1314">
        <v>0</v>
      </c>
      <c r="CR1314">
        <v>2</v>
      </c>
      <c r="CS1314">
        <v>0</v>
      </c>
      <c r="CT1314">
        <v>2</v>
      </c>
      <c r="CU1314">
        <v>0</v>
      </c>
      <c r="CV1314">
        <v>7</v>
      </c>
      <c r="CW1314" t="s">
        <v>120</v>
      </c>
      <c r="CX1314">
        <v>261</v>
      </c>
      <c r="CY1314">
        <v>2</v>
      </c>
      <c r="CZ1314" t="s">
        <v>121</v>
      </c>
      <c r="DA1314" t="s">
        <v>122</v>
      </c>
      <c r="DD1314">
        <v>14991271</v>
      </c>
      <c r="DE1314" t="s">
        <v>123</v>
      </c>
    </row>
    <row r="1315" spans="1:109" x14ac:dyDescent="0.3">
      <c r="A1315" t="str">
        <f>"18:56:40.031"</f>
        <v>18:56:40.031</v>
      </c>
      <c r="B1315" t="s">
        <v>110</v>
      </c>
      <c r="C1315" t="str">
        <f t="shared" si="60"/>
        <v>ffdfd3c0</v>
      </c>
      <c r="D1315" t="s">
        <v>111</v>
      </c>
      <c r="E1315">
        <v>18</v>
      </c>
      <c r="F1315">
        <v>1018</v>
      </c>
      <c r="G1315" t="s">
        <v>112</v>
      </c>
      <c r="J1315" t="s">
        <v>113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R1315" t="s">
        <v>114</v>
      </c>
      <c r="S1315" t="str">
        <f>"18:56:39.766"</f>
        <v>18:56:39.766</v>
      </c>
      <c r="T1315" t="str">
        <f>"18:56:39.266"</f>
        <v>18:56:39.266</v>
      </c>
      <c r="U1315" t="str">
        <f t="shared" si="61"/>
        <v>a1cdbe</v>
      </c>
      <c r="V1315">
        <v>0</v>
      </c>
      <c r="W1315">
        <v>0</v>
      </c>
      <c r="X1315">
        <v>1</v>
      </c>
      <c r="Y1315">
        <v>0</v>
      </c>
      <c r="Z1315">
        <v>0</v>
      </c>
      <c r="AB1315">
        <v>0</v>
      </c>
      <c r="AC1315">
        <v>9</v>
      </c>
      <c r="AD1315">
        <v>3</v>
      </c>
      <c r="AE1315">
        <v>0</v>
      </c>
      <c r="AF1315">
        <v>9</v>
      </c>
      <c r="AG1315" t="s">
        <v>158</v>
      </c>
      <c r="AH1315">
        <v>0</v>
      </c>
      <c r="AI1315">
        <v>3</v>
      </c>
      <c r="AJ1315">
        <v>1</v>
      </c>
      <c r="AK1315">
        <v>0</v>
      </c>
      <c r="AL1315" t="s">
        <v>2585</v>
      </c>
      <c r="AM1315">
        <v>46.817036000000002</v>
      </c>
      <c r="AN1315" t="s">
        <v>2586</v>
      </c>
      <c r="AO1315">
        <v>-122.67904799999999</v>
      </c>
      <c r="AP1315">
        <v>100</v>
      </c>
      <c r="AQ1315">
        <v>2000</v>
      </c>
      <c r="AR1315" t="s">
        <v>118</v>
      </c>
      <c r="AS1315">
        <v>-82</v>
      </c>
      <c r="AT1315">
        <v>-13</v>
      </c>
      <c r="AU1315">
        <v>-128</v>
      </c>
      <c r="BC1315">
        <v>1200</v>
      </c>
      <c r="BD1315">
        <v>1</v>
      </c>
      <c r="BE1315" t="str">
        <f t="shared" si="62"/>
        <v xml:space="preserve">N215T   </v>
      </c>
      <c r="BF1315">
        <v>1</v>
      </c>
      <c r="BH1315">
        <v>0</v>
      </c>
      <c r="BI1315">
        <v>0</v>
      </c>
      <c r="BJ1315">
        <v>0</v>
      </c>
      <c r="BK1315">
        <v>2400</v>
      </c>
      <c r="BL1315">
        <v>400</v>
      </c>
      <c r="BM1315" t="s">
        <v>119</v>
      </c>
      <c r="BN1315">
        <v>1</v>
      </c>
      <c r="BO1315">
        <v>1</v>
      </c>
      <c r="BP1315">
        <v>1</v>
      </c>
      <c r="BQ1315">
        <v>0</v>
      </c>
      <c r="BT1315">
        <v>0</v>
      </c>
      <c r="BU1315">
        <v>0</v>
      </c>
      <c r="BV1315">
        <v>0</v>
      </c>
      <c r="CC1315" t="str">
        <f>"18:56:39.766"</f>
        <v>18:56:39.766</v>
      </c>
      <c r="CD1315" t="str">
        <f>"768985726"</f>
        <v>768985726</v>
      </c>
      <c r="CQ1315">
        <v>0</v>
      </c>
      <c r="CR1315">
        <v>2</v>
      </c>
      <c r="CS1315">
        <v>0</v>
      </c>
      <c r="CT1315">
        <v>2</v>
      </c>
      <c r="CU1315">
        <v>0</v>
      </c>
      <c r="CV1315">
        <v>7</v>
      </c>
      <c r="CW1315" t="s">
        <v>120</v>
      </c>
      <c r="CX1315">
        <v>261</v>
      </c>
      <c r="CY1315">
        <v>2</v>
      </c>
      <c r="CZ1315" t="s">
        <v>121</v>
      </c>
      <c r="DA1315" t="s">
        <v>122</v>
      </c>
      <c r="DD1315">
        <v>14991982</v>
      </c>
      <c r="DE1315" t="s">
        <v>123</v>
      </c>
    </row>
    <row r="1316" spans="1:109" x14ac:dyDescent="0.3">
      <c r="A1316" t="str">
        <f>"18:56:41.031"</f>
        <v>18:56:41.031</v>
      </c>
      <c r="B1316" t="s">
        <v>110</v>
      </c>
      <c r="C1316" t="str">
        <f t="shared" si="60"/>
        <v>ffdfd3c0</v>
      </c>
      <c r="D1316" t="s">
        <v>111</v>
      </c>
      <c r="E1316">
        <v>18</v>
      </c>
      <c r="F1316">
        <v>1018</v>
      </c>
      <c r="G1316" t="s">
        <v>112</v>
      </c>
      <c r="J1316" t="s">
        <v>113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R1316" t="s">
        <v>114</v>
      </c>
      <c r="S1316" t="str">
        <f>"18:56:40.781"</f>
        <v>18:56:40.781</v>
      </c>
      <c r="T1316" t="str">
        <f>"18:56:40.781"</f>
        <v>18:56:40.781</v>
      </c>
      <c r="U1316" t="str">
        <f t="shared" si="61"/>
        <v>a1cdbe</v>
      </c>
      <c r="V1316">
        <v>0</v>
      </c>
      <c r="W1316">
        <v>0</v>
      </c>
      <c r="X1316">
        <v>1</v>
      </c>
      <c r="Y1316">
        <v>0</v>
      </c>
      <c r="Z1316">
        <v>0</v>
      </c>
      <c r="AB1316">
        <v>0</v>
      </c>
      <c r="AC1316">
        <v>9</v>
      </c>
      <c r="AD1316">
        <v>3</v>
      </c>
      <c r="AE1316">
        <v>0</v>
      </c>
      <c r="AF1316">
        <v>9</v>
      </c>
      <c r="AG1316" t="s">
        <v>158</v>
      </c>
      <c r="AH1316">
        <v>0</v>
      </c>
      <c r="AI1316">
        <v>3</v>
      </c>
      <c r="AJ1316">
        <v>1</v>
      </c>
      <c r="AK1316">
        <v>0</v>
      </c>
      <c r="AL1316" t="s">
        <v>2587</v>
      </c>
      <c r="AM1316">
        <v>46.816949999999999</v>
      </c>
      <c r="AN1316" t="s">
        <v>2588</v>
      </c>
      <c r="AO1316">
        <v>-122.679563</v>
      </c>
      <c r="AP1316">
        <v>100</v>
      </c>
      <c r="AQ1316">
        <v>2000</v>
      </c>
      <c r="AR1316" t="s">
        <v>118</v>
      </c>
      <c r="AS1316">
        <v>-82</v>
      </c>
      <c r="AT1316">
        <v>-13</v>
      </c>
      <c r="AU1316">
        <v>-192</v>
      </c>
      <c r="BC1316">
        <v>1200</v>
      </c>
      <c r="BD1316">
        <v>1</v>
      </c>
      <c r="BE1316" t="str">
        <f t="shared" si="62"/>
        <v xml:space="preserve">N215T   </v>
      </c>
      <c r="BF1316">
        <v>1</v>
      </c>
      <c r="BH1316">
        <v>0</v>
      </c>
      <c r="BI1316">
        <v>0</v>
      </c>
      <c r="BJ1316">
        <v>0</v>
      </c>
      <c r="BK1316">
        <v>2375</v>
      </c>
      <c r="BL1316">
        <v>375</v>
      </c>
      <c r="BM1316" t="s">
        <v>119</v>
      </c>
      <c r="BN1316">
        <v>1</v>
      </c>
      <c r="BO1316">
        <v>1</v>
      </c>
      <c r="BP1316">
        <v>1</v>
      </c>
      <c r="BQ1316">
        <v>0</v>
      </c>
      <c r="BT1316">
        <v>0</v>
      </c>
      <c r="BU1316">
        <v>0</v>
      </c>
      <c r="BV1316">
        <v>0</v>
      </c>
      <c r="CC1316" t="str">
        <f>"18:56:40.789"</f>
        <v>18:56:40.789</v>
      </c>
      <c r="CD1316" t="str">
        <f>"788885296"</f>
        <v>788885296</v>
      </c>
      <c r="CQ1316">
        <v>0</v>
      </c>
      <c r="CR1316">
        <v>2</v>
      </c>
      <c r="CS1316">
        <v>0</v>
      </c>
      <c r="CT1316">
        <v>2</v>
      </c>
      <c r="CU1316">
        <v>0</v>
      </c>
      <c r="CV1316">
        <v>7</v>
      </c>
      <c r="CW1316" t="s">
        <v>120</v>
      </c>
      <c r="CX1316">
        <v>261</v>
      </c>
      <c r="CY1316">
        <v>2</v>
      </c>
      <c r="CZ1316" t="s">
        <v>121</v>
      </c>
      <c r="DA1316" t="s">
        <v>122</v>
      </c>
      <c r="DD1316">
        <v>14992631</v>
      </c>
      <c r="DE1316" t="s">
        <v>123</v>
      </c>
    </row>
    <row r="1317" spans="1:109" x14ac:dyDescent="0.3">
      <c r="A1317" t="str">
        <f>"18:56:42.188"</f>
        <v>18:56:42.188</v>
      </c>
      <c r="B1317" t="s">
        <v>110</v>
      </c>
      <c r="C1317" t="str">
        <f t="shared" si="60"/>
        <v>ffdfd3c0</v>
      </c>
      <c r="D1317" t="s">
        <v>111</v>
      </c>
      <c r="E1317">
        <v>18</v>
      </c>
      <c r="F1317">
        <v>1018</v>
      </c>
      <c r="G1317" t="s">
        <v>112</v>
      </c>
      <c r="J1317" t="s">
        <v>113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R1317" t="s">
        <v>114</v>
      </c>
      <c r="S1317" t="str">
        <f>"18:56:41.969"</f>
        <v>18:56:41.969</v>
      </c>
      <c r="T1317" t="str">
        <f>"18:56:41.969"</f>
        <v>18:56:41.969</v>
      </c>
      <c r="U1317" t="str">
        <f t="shared" si="61"/>
        <v>a1cdbe</v>
      </c>
      <c r="V1317">
        <v>0</v>
      </c>
      <c r="W1317">
        <v>0</v>
      </c>
      <c r="X1317">
        <v>1</v>
      </c>
      <c r="Y1317">
        <v>0</v>
      </c>
      <c r="Z1317">
        <v>0</v>
      </c>
      <c r="AB1317">
        <v>0</v>
      </c>
      <c r="AC1317">
        <v>9</v>
      </c>
      <c r="AD1317">
        <v>3</v>
      </c>
      <c r="AE1317">
        <v>0</v>
      </c>
      <c r="AF1317">
        <v>9</v>
      </c>
      <c r="AG1317" t="s">
        <v>158</v>
      </c>
      <c r="AH1317">
        <v>0</v>
      </c>
      <c r="AI1317">
        <v>3</v>
      </c>
      <c r="AJ1317">
        <v>1</v>
      </c>
      <c r="AK1317">
        <v>0</v>
      </c>
      <c r="AL1317" t="s">
        <v>2589</v>
      </c>
      <c r="AM1317">
        <v>46.816907</v>
      </c>
      <c r="AN1317" t="s">
        <v>2590</v>
      </c>
      <c r="AO1317">
        <v>-122.680249</v>
      </c>
      <c r="AP1317">
        <v>100</v>
      </c>
      <c r="AQ1317">
        <v>2000</v>
      </c>
      <c r="AR1317" t="s">
        <v>118</v>
      </c>
      <c r="AS1317">
        <v>-82</v>
      </c>
      <c r="AT1317">
        <v>-12</v>
      </c>
      <c r="AU1317">
        <v>-192</v>
      </c>
      <c r="BC1317">
        <v>1200</v>
      </c>
      <c r="BD1317">
        <v>1</v>
      </c>
      <c r="BE1317" t="str">
        <f t="shared" si="62"/>
        <v xml:space="preserve">N215T   </v>
      </c>
      <c r="BF1317">
        <v>1</v>
      </c>
      <c r="BH1317">
        <v>0</v>
      </c>
      <c r="BI1317">
        <v>0</v>
      </c>
      <c r="BJ1317">
        <v>0</v>
      </c>
      <c r="BK1317">
        <v>2375</v>
      </c>
      <c r="BL1317">
        <v>375</v>
      </c>
      <c r="BM1317" t="s">
        <v>119</v>
      </c>
      <c r="BN1317">
        <v>1</v>
      </c>
      <c r="BO1317">
        <v>1</v>
      </c>
      <c r="BP1317">
        <v>1</v>
      </c>
      <c r="BQ1317">
        <v>0</v>
      </c>
      <c r="BT1317">
        <v>0</v>
      </c>
      <c r="BU1317">
        <v>0</v>
      </c>
      <c r="BV1317">
        <v>0</v>
      </c>
      <c r="CC1317" t="str">
        <f>"18:56:41.977"</f>
        <v>18:56:41.977</v>
      </c>
      <c r="CD1317" t="str">
        <f>"973768607"</f>
        <v>973768607</v>
      </c>
      <c r="CQ1317">
        <v>0</v>
      </c>
      <c r="CR1317">
        <v>2</v>
      </c>
      <c r="CS1317">
        <v>0</v>
      </c>
      <c r="CT1317">
        <v>2</v>
      </c>
      <c r="CU1317">
        <v>0</v>
      </c>
      <c r="CV1317">
        <v>7</v>
      </c>
      <c r="CW1317" t="s">
        <v>120</v>
      </c>
      <c r="CX1317">
        <v>261</v>
      </c>
      <c r="CY1317">
        <v>2</v>
      </c>
      <c r="CZ1317" t="s">
        <v>121</v>
      </c>
      <c r="DA1317" t="s">
        <v>122</v>
      </c>
      <c r="DD1317">
        <v>14993428</v>
      </c>
      <c r="DE1317" t="s">
        <v>123</v>
      </c>
    </row>
    <row r="1318" spans="1:109" x14ac:dyDescent="0.3">
      <c r="A1318" t="str">
        <f>"18:56:43.094"</f>
        <v>18:56:43.094</v>
      </c>
      <c r="B1318" t="s">
        <v>110</v>
      </c>
      <c r="C1318" t="str">
        <f t="shared" si="60"/>
        <v>ffdfd3c0</v>
      </c>
      <c r="D1318" t="s">
        <v>111</v>
      </c>
      <c r="E1318">
        <v>18</v>
      </c>
      <c r="F1318">
        <v>1018</v>
      </c>
      <c r="G1318" t="s">
        <v>112</v>
      </c>
      <c r="J1318" t="s">
        <v>113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R1318" t="s">
        <v>114</v>
      </c>
      <c r="S1318" t="str">
        <f>"18:56:42.852"</f>
        <v>18:56:42.852</v>
      </c>
      <c r="T1318" t="str">
        <f>"18:56:42.750"</f>
        <v>18:56:42.750</v>
      </c>
      <c r="U1318" t="str">
        <f t="shared" si="61"/>
        <v>a1cdbe</v>
      </c>
      <c r="V1318">
        <v>0</v>
      </c>
      <c r="W1318">
        <v>0</v>
      </c>
      <c r="X1318">
        <v>1</v>
      </c>
      <c r="Y1318">
        <v>0</v>
      </c>
      <c r="Z1318">
        <v>0</v>
      </c>
      <c r="AB1318">
        <v>0</v>
      </c>
      <c r="AC1318">
        <v>9</v>
      </c>
      <c r="AD1318">
        <v>3</v>
      </c>
      <c r="AE1318">
        <v>0</v>
      </c>
      <c r="AF1318">
        <v>9</v>
      </c>
      <c r="AG1318" t="s">
        <v>158</v>
      </c>
      <c r="AH1318">
        <v>0</v>
      </c>
      <c r="AI1318">
        <v>3</v>
      </c>
      <c r="AJ1318">
        <v>1</v>
      </c>
      <c r="AK1318">
        <v>0</v>
      </c>
      <c r="AL1318" t="s">
        <v>2591</v>
      </c>
      <c r="AM1318">
        <v>46.816820999999997</v>
      </c>
      <c r="AN1318" t="s">
        <v>2592</v>
      </c>
      <c r="AO1318">
        <v>-122.6807</v>
      </c>
      <c r="AP1318">
        <v>100</v>
      </c>
      <c r="AQ1318">
        <v>2000</v>
      </c>
      <c r="AR1318" t="s">
        <v>118</v>
      </c>
      <c r="AS1318">
        <v>-82</v>
      </c>
      <c r="AT1318">
        <v>-12</v>
      </c>
      <c r="AU1318">
        <v>-256</v>
      </c>
      <c r="BC1318">
        <v>1200</v>
      </c>
      <c r="BD1318">
        <v>1</v>
      </c>
      <c r="BE1318" t="str">
        <f t="shared" si="62"/>
        <v xml:space="preserve">N215T   </v>
      </c>
      <c r="BF1318">
        <v>1</v>
      </c>
      <c r="BH1318">
        <v>0</v>
      </c>
      <c r="BI1318">
        <v>0</v>
      </c>
      <c r="BJ1318">
        <v>0</v>
      </c>
      <c r="BK1318">
        <v>2375</v>
      </c>
      <c r="BL1318">
        <v>375</v>
      </c>
      <c r="BM1318" t="s">
        <v>119</v>
      </c>
      <c r="BN1318">
        <v>1</v>
      </c>
      <c r="BO1318">
        <v>1</v>
      </c>
      <c r="BP1318">
        <v>1</v>
      </c>
      <c r="BQ1318">
        <v>0</v>
      </c>
      <c r="BT1318">
        <v>0</v>
      </c>
      <c r="BU1318">
        <v>0</v>
      </c>
      <c r="BV1318">
        <v>0</v>
      </c>
      <c r="CC1318" t="str">
        <f>"18:56:42.859"</f>
        <v>18:56:42.859</v>
      </c>
      <c r="CD1318" t="str">
        <f>"858681472"</f>
        <v>858681472</v>
      </c>
      <c r="CQ1318">
        <v>0</v>
      </c>
      <c r="CR1318">
        <v>2</v>
      </c>
      <c r="CS1318">
        <v>0</v>
      </c>
      <c r="CT1318">
        <v>2</v>
      </c>
      <c r="CU1318">
        <v>0</v>
      </c>
      <c r="CV1318">
        <v>7</v>
      </c>
      <c r="CW1318" t="s">
        <v>120</v>
      </c>
      <c r="CX1318">
        <v>261</v>
      </c>
      <c r="CY1318">
        <v>2</v>
      </c>
      <c r="CZ1318" t="s">
        <v>121</v>
      </c>
      <c r="DA1318" t="s">
        <v>122</v>
      </c>
      <c r="DD1318">
        <v>14994019</v>
      </c>
      <c r="DE1318" t="s">
        <v>123</v>
      </c>
    </row>
    <row r="1319" spans="1:109" x14ac:dyDescent="0.3">
      <c r="A1319" t="str">
        <f>"18:56:44.250"</f>
        <v>18:56:44.250</v>
      </c>
      <c r="B1319" t="s">
        <v>110</v>
      </c>
      <c r="C1319" t="str">
        <f t="shared" si="60"/>
        <v>ffdfd3c0</v>
      </c>
      <c r="D1319" t="s">
        <v>111</v>
      </c>
      <c r="E1319">
        <v>18</v>
      </c>
      <c r="F1319">
        <v>1018</v>
      </c>
      <c r="G1319" t="s">
        <v>112</v>
      </c>
      <c r="J1319" t="s">
        <v>113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R1319" t="s">
        <v>114</v>
      </c>
      <c r="S1319" t="str">
        <f>"18:56:43.977"</f>
        <v>18:56:43.977</v>
      </c>
      <c r="T1319" t="str">
        <f>"18:56:43.773"</f>
        <v>18:56:43.773</v>
      </c>
      <c r="U1319" t="str">
        <f t="shared" si="61"/>
        <v>a1cdbe</v>
      </c>
      <c r="V1319">
        <v>0</v>
      </c>
      <c r="W1319">
        <v>0</v>
      </c>
      <c r="X1319">
        <v>1</v>
      </c>
      <c r="Y1319">
        <v>0</v>
      </c>
      <c r="Z1319">
        <v>0</v>
      </c>
      <c r="AB1319">
        <v>0</v>
      </c>
      <c r="AC1319">
        <v>9</v>
      </c>
      <c r="AD1319">
        <v>3</v>
      </c>
      <c r="AE1319">
        <v>0</v>
      </c>
      <c r="AF1319">
        <v>9</v>
      </c>
      <c r="AG1319" t="s">
        <v>158</v>
      </c>
      <c r="AH1319">
        <v>0</v>
      </c>
      <c r="AI1319">
        <v>3</v>
      </c>
      <c r="AJ1319">
        <v>1</v>
      </c>
      <c r="AK1319">
        <v>0</v>
      </c>
      <c r="AL1319" t="s">
        <v>2593</v>
      </c>
      <c r="AM1319">
        <v>46.816777999999999</v>
      </c>
      <c r="AN1319" t="s">
        <v>2594</v>
      </c>
      <c r="AO1319">
        <v>-122.681386</v>
      </c>
      <c r="AP1319">
        <v>100</v>
      </c>
      <c r="AQ1319">
        <v>2000</v>
      </c>
      <c r="AR1319" t="s">
        <v>118</v>
      </c>
      <c r="AS1319">
        <v>-82</v>
      </c>
      <c r="AT1319">
        <v>-12</v>
      </c>
      <c r="AU1319">
        <v>-320</v>
      </c>
      <c r="BC1319">
        <v>1200</v>
      </c>
      <c r="BD1319">
        <v>1</v>
      </c>
      <c r="BE1319" t="str">
        <f t="shared" si="62"/>
        <v xml:space="preserve">N215T   </v>
      </c>
      <c r="BF1319">
        <v>1</v>
      </c>
      <c r="BH1319">
        <v>0</v>
      </c>
      <c r="BI1319">
        <v>0</v>
      </c>
      <c r="BJ1319">
        <v>0</v>
      </c>
      <c r="BK1319">
        <v>2375</v>
      </c>
      <c r="BL1319">
        <v>375</v>
      </c>
      <c r="BM1319" t="s">
        <v>119</v>
      </c>
      <c r="BN1319">
        <v>1</v>
      </c>
      <c r="BO1319">
        <v>1</v>
      </c>
      <c r="BP1319">
        <v>1</v>
      </c>
      <c r="BQ1319">
        <v>0</v>
      </c>
      <c r="BT1319">
        <v>0</v>
      </c>
      <c r="BU1319">
        <v>0</v>
      </c>
      <c r="BV1319">
        <v>0</v>
      </c>
      <c r="CC1319" t="str">
        <f>"18:56:43.984"</f>
        <v>18:56:43.984</v>
      </c>
      <c r="CD1319" t="str">
        <f>"983640841"</f>
        <v>983640841</v>
      </c>
      <c r="CQ1319">
        <v>0</v>
      </c>
      <c r="CR1319">
        <v>2</v>
      </c>
      <c r="CS1319">
        <v>0</v>
      </c>
      <c r="CT1319">
        <v>2</v>
      </c>
      <c r="CU1319">
        <v>0</v>
      </c>
      <c r="CV1319">
        <v>5</v>
      </c>
      <c r="CW1319" t="s">
        <v>120</v>
      </c>
      <c r="CX1319">
        <v>257</v>
      </c>
      <c r="CY1319">
        <v>1</v>
      </c>
      <c r="CZ1319" t="s">
        <v>615</v>
      </c>
      <c r="DA1319" t="s">
        <v>616</v>
      </c>
      <c r="DD1319">
        <v>11351576</v>
      </c>
      <c r="DE1319" t="s">
        <v>123</v>
      </c>
    </row>
    <row r="1320" spans="1:109" x14ac:dyDescent="0.3">
      <c r="A1320" t="str">
        <f>"18:56:45.055"</f>
        <v>18:56:45.055</v>
      </c>
      <c r="B1320" t="s">
        <v>110</v>
      </c>
      <c r="C1320" t="str">
        <f t="shared" si="60"/>
        <v>ffdfd3c0</v>
      </c>
      <c r="D1320" t="s">
        <v>111</v>
      </c>
      <c r="E1320">
        <v>18</v>
      </c>
      <c r="F1320">
        <v>1018</v>
      </c>
      <c r="G1320" t="s">
        <v>112</v>
      </c>
      <c r="J1320" t="s">
        <v>113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R1320" t="s">
        <v>114</v>
      </c>
      <c r="S1320" t="str">
        <f>"18:56:44.805"</f>
        <v>18:56:44.805</v>
      </c>
      <c r="T1320" t="str">
        <f>"18:56:44.703"</f>
        <v>18:56:44.703</v>
      </c>
      <c r="U1320" t="str">
        <f t="shared" si="61"/>
        <v>a1cdbe</v>
      </c>
      <c r="V1320">
        <v>0</v>
      </c>
      <c r="W1320">
        <v>0</v>
      </c>
      <c r="X1320">
        <v>1</v>
      </c>
      <c r="Y1320">
        <v>0</v>
      </c>
      <c r="Z1320">
        <v>0</v>
      </c>
      <c r="AB1320">
        <v>0</v>
      </c>
      <c r="AC1320">
        <v>9</v>
      </c>
      <c r="AD1320">
        <v>3</v>
      </c>
      <c r="AE1320">
        <v>0</v>
      </c>
      <c r="AF1320">
        <v>9</v>
      </c>
      <c r="AG1320" t="s">
        <v>158</v>
      </c>
      <c r="AH1320">
        <v>0</v>
      </c>
      <c r="AI1320">
        <v>3</v>
      </c>
      <c r="AJ1320">
        <v>1</v>
      </c>
      <c r="AK1320">
        <v>0</v>
      </c>
      <c r="AL1320" t="s">
        <v>2595</v>
      </c>
      <c r="AM1320">
        <v>46.816735000000001</v>
      </c>
      <c r="AN1320" t="s">
        <v>2596</v>
      </c>
      <c r="AO1320">
        <v>-122.68177300000001</v>
      </c>
      <c r="AP1320">
        <v>100</v>
      </c>
      <c r="AQ1320">
        <v>2000</v>
      </c>
      <c r="AR1320" t="s">
        <v>118</v>
      </c>
      <c r="AS1320">
        <v>-82</v>
      </c>
      <c r="AT1320">
        <v>-13</v>
      </c>
      <c r="AU1320">
        <v>-192</v>
      </c>
      <c r="BC1320">
        <v>1200</v>
      </c>
      <c r="BD1320">
        <v>1</v>
      </c>
      <c r="BE1320" t="str">
        <f t="shared" si="62"/>
        <v xml:space="preserve">N215T   </v>
      </c>
      <c r="BF1320">
        <v>1</v>
      </c>
      <c r="BH1320">
        <v>0</v>
      </c>
      <c r="BI1320">
        <v>0</v>
      </c>
      <c r="BJ1320">
        <v>0</v>
      </c>
      <c r="BK1320">
        <v>2375</v>
      </c>
      <c r="BL1320">
        <v>375</v>
      </c>
      <c r="BM1320" t="s">
        <v>119</v>
      </c>
      <c r="BN1320">
        <v>1</v>
      </c>
      <c r="BO1320">
        <v>1</v>
      </c>
      <c r="BP1320">
        <v>1</v>
      </c>
      <c r="BQ1320">
        <v>0</v>
      </c>
      <c r="BT1320">
        <v>0</v>
      </c>
      <c r="BU1320">
        <v>0</v>
      </c>
      <c r="BV1320">
        <v>0</v>
      </c>
      <c r="CC1320" t="str">
        <f>"18:56:44.805"</f>
        <v>18:56:44.805</v>
      </c>
      <c r="CD1320" t="str">
        <f>"808489466"</f>
        <v>808489466</v>
      </c>
      <c r="CQ1320">
        <v>0</v>
      </c>
      <c r="CR1320">
        <v>2</v>
      </c>
      <c r="CS1320">
        <v>0</v>
      </c>
      <c r="CT1320">
        <v>2</v>
      </c>
      <c r="CU1320">
        <v>0</v>
      </c>
      <c r="CV1320">
        <v>7</v>
      </c>
      <c r="CW1320" t="s">
        <v>120</v>
      </c>
      <c r="CX1320">
        <v>261</v>
      </c>
      <c r="CY1320">
        <v>2</v>
      </c>
      <c r="CZ1320" t="s">
        <v>121</v>
      </c>
      <c r="DA1320" t="s">
        <v>122</v>
      </c>
      <c r="DD1320">
        <v>14995376</v>
      </c>
      <c r="DE1320" t="s">
        <v>123</v>
      </c>
    </row>
    <row r="1321" spans="1:109" x14ac:dyDescent="0.3">
      <c r="A1321" t="str">
        <f>"18:56:46.063"</f>
        <v>18:56:46.063</v>
      </c>
      <c r="B1321" t="s">
        <v>110</v>
      </c>
      <c r="C1321" t="str">
        <f t="shared" si="60"/>
        <v>ffdfd3c0</v>
      </c>
      <c r="D1321" t="s">
        <v>111</v>
      </c>
      <c r="E1321">
        <v>18</v>
      </c>
      <c r="F1321">
        <v>1018</v>
      </c>
      <c r="G1321" t="s">
        <v>112</v>
      </c>
      <c r="J1321" t="s">
        <v>113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R1321" t="s">
        <v>114</v>
      </c>
      <c r="S1321" t="str">
        <f>"18:56:45.813"</f>
        <v>18:56:45.813</v>
      </c>
      <c r="T1321" t="str">
        <f>"18:56:45.711"</f>
        <v>18:56:45.711</v>
      </c>
      <c r="U1321" t="str">
        <f t="shared" si="61"/>
        <v>a1cdbe</v>
      </c>
      <c r="V1321">
        <v>0</v>
      </c>
      <c r="W1321">
        <v>0</v>
      </c>
      <c r="X1321">
        <v>1</v>
      </c>
      <c r="Y1321">
        <v>0</v>
      </c>
      <c r="Z1321">
        <v>0</v>
      </c>
      <c r="AB1321">
        <v>0</v>
      </c>
      <c r="AC1321">
        <v>9</v>
      </c>
      <c r="AD1321">
        <v>3</v>
      </c>
      <c r="AE1321">
        <v>0</v>
      </c>
      <c r="AF1321">
        <v>9</v>
      </c>
      <c r="AG1321" t="s">
        <v>158</v>
      </c>
      <c r="AH1321">
        <v>0</v>
      </c>
      <c r="AI1321">
        <v>3</v>
      </c>
      <c r="AJ1321">
        <v>1</v>
      </c>
      <c r="AK1321">
        <v>0</v>
      </c>
      <c r="AL1321" t="s">
        <v>2597</v>
      </c>
      <c r="AM1321">
        <v>46.816648999999998</v>
      </c>
      <c r="AN1321" t="s">
        <v>2598</v>
      </c>
      <c r="AO1321">
        <v>-122.682331</v>
      </c>
      <c r="AP1321">
        <v>100</v>
      </c>
      <c r="AQ1321">
        <v>2000</v>
      </c>
      <c r="AR1321" t="s">
        <v>118</v>
      </c>
      <c r="AS1321">
        <v>-82</v>
      </c>
      <c r="AT1321">
        <v>-14</v>
      </c>
      <c r="AU1321">
        <v>-192</v>
      </c>
      <c r="BC1321">
        <v>1200</v>
      </c>
      <c r="BD1321">
        <v>1</v>
      </c>
      <c r="BE1321" t="str">
        <f t="shared" si="62"/>
        <v xml:space="preserve">N215T   </v>
      </c>
      <c r="BF1321">
        <v>1</v>
      </c>
      <c r="BH1321">
        <v>0</v>
      </c>
      <c r="BI1321">
        <v>0</v>
      </c>
      <c r="BJ1321">
        <v>0</v>
      </c>
      <c r="BK1321">
        <v>2375</v>
      </c>
      <c r="BL1321">
        <v>375</v>
      </c>
      <c r="BM1321" t="s">
        <v>119</v>
      </c>
      <c r="BN1321">
        <v>1</v>
      </c>
      <c r="BO1321">
        <v>1</v>
      </c>
      <c r="BP1321">
        <v>1</v>
      </c>
      <c r="BQ1321">
        <v>0</v>
      </c>
      <c r="BT1321">
        <v>0</v>
      </c>
      <c r="BU1321">
        <v>0</v>
      </c>
      <c r="BV1321">
        <v>0</v>
      </c>
      <c r="CC1321" t="str">
        <f>"18:56:45.813"</f>
        <v>18:56:45.813</v>
      </c>
      <c r="CD1321" t="str">
        <f>"813390513"</f>
        <v>813390513</v>
      </c>
      <c r="CQ1321">
        <v>0</v>
      </c>
      <c r="CR1321">
        <v>2</v>
      </c>
      <c r="CS1321">
        <v>0</v>
      </c>
      <c r="CT1321">
        <v>2</v>
      </c>
      <c r="CU1321">
        <v>0</v>
      </c>
      <c r="CV1321">
        <v>7</v>
      </c>
      <c r="CW1321" t="s">
        <v>120</v>
      </c>
      <c r="CX1321">
        <v>261</v>
      </c>
      <c r="CY1321">
        <v>2</v>
      </c>
      <c r="CZ1321" t="s">
        <v>121</v>
      </c>
      <c r="DA1321" t="s">
        <v>122</v>
      </c>
      <c r="DD1321">
        <v>14996002</v>
      </c>
      <c r="DE1321" t="s">
        <v>123</v>
      </c>
    </row>
    <row r="1322" spans="1:109" x14ac:dyDescent="0.3">
      <c r="A1322" t="str">
        <f>"18:56:47.016"</f>
        <v>18:56:47.016</v>
      </c>
      <c r="B1322" t="s">
        <v>110</v>
      </c>
      <c r="C1322" t="str">
        <f t="shared" si="60"/>
        <v>ffdfd3c0</v>
      </c>
      <c r="D1322" t="s">
        <v>111</v>
      </c>
      <c r="E1322">
        <v>18</v>
      </c>
      <c r="F1322">
        <v>1018</v>
      </c>
      <c r="G1322" t="s">
        <v>112</v>
      </c>
      <c r="J1322" t="s">
        <v>113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R1322" t="s">
        <v>114</v>
      </c>
      <c r="S1322" t="str">
        <f>"18:56:46.797"</f>
        <v>18:56:46.797</v>
      </c>
      <c r="T1322" t="str">
        <f>"18:56:46.297"</f>
        <v>18:56:46.297</v>
      </c>
      <c r="U1322" t="str">
        <f t="shared" si="61"/>
        <v>a1cdbe</v>
      </c>
      <c r="V1322">
        <v>0</v>
      </c>
      <c r="W1322">
        <v>0</v>
      </c>
      <c r="X1322">
        <v>1</v>
      </c>
      <c r="Y1322">
        <v>0</v>
      </c>
      <c r="Z1322">
        <v>0</v>
      </c>
      <c r="AB1322">
        <v>0</v>
      </c>
      <c r="AC1322">
        <v>9</v>
      </c>
      <c r="AD1322">
        <v>3</v>
      </c>
      <c r="AE1322">
        <v>0</v>
      </c>
      <c r="AF1322">
        <v>9</v>
      </c>
      <c r="AG1322" t="s">
        <v>158</v>
      </c>
      <c r="AH1322">
        <v>0</v>
      </c>
      <c r="AI1322">
        <v>3</v>
      </c>
      <c r="AJ1322">
        <v>1</v>
      </c>
      <c r="AK1322">
        <v>0</v>
      </c>
      <c r="AL1322" t="s">
        <v>2599</v>
      </c>
      <c r="AM1322">
        <v>46.816585000000003</v>
      </c>
      <c r="AN1322" t="s">
        <v>2600</v>
      </c>
      <c r="AO1322">
        <v>-122.68291000000001</v>
      </c>
      <c r="AP1322">
        <v>100</v>
      </c>
      <c r="AQ1322">
        <v>2000</v>
      </c>
      <c r="AR1322" t="s">
        <v>118</v>
      </c>
      <c r="AS1322">
        <v>-81</v>
      </c>
      <c r="AT1322">
        <v>-14</v>
      </c>
      <c r="AU1322">
        <v>-192</v>
      </c>
      <c r="BC1322">
        <v>1200</v>
      </c>
      <c r="BD1322">
        <v>1</v>
      </c>
      <c r="BE1322" t="str">
        <f t="shared" si="62"/>
        <v xml:space="preserve">N215T   </v>
      </c>
      <c r="BF1322">
        <v>1</v>
      </c>
      <c r="BH1322">
        <v>0</v>
      </c>
      <c r="BI1322">
        <v>0</v>
      </c>
      <c r="BJ1322">
        <v>0</v>
      </c>
      <c r="BK1322">
        <v>2350</v>
      </c>
      <c r="BL1322">
        <v>350</v>
      </c>
      <c r="BM1322" t="s">
        <v>119</v>
      </c>
      <c r="BN1322">
        <v>1</v>
      </c>
      <c r="BO1322">
        <v>1</v>
      </c>
      <c r="BP1322">
        <v>1</v>
      </c>
      <c r="BQ1322">
        <v>0</v>
      </c>
      <c r="BT1322">
        <v>0</v>
      </c>
      <c r="BU1322">
        <v>0</v>
      </c>
      <c r="BV1322">
        <v>0</v>
      </c>
      <c r="CC1322" t="str">
        <f>"18:56:46.805"</f>
        <v>18:56:46.805</v>
      </c>
      <c r="CD1322" t="str">
        <f>"803293049"</f>
        <v>803293049</v>
      </c>
      <c r="CQ1322">
        <v>0</v>
      </c>
      <c r="CR1322">
        <v>2</v>
      </c>
      <c r="CS1322">
        <v>0</v>
      </c>
      <c r="CT1322">
        <v>2</v>
      </c>
      <c r="CU1322">
        <v>0</v>
      </c>
      <c r="CV1322">
        <v>7</v>
      </c>
      <c r="CW1322" t="s">
        <v>120</v>
      </c>
      <c r="CX1322">
        <v>261</v>
      </c>
      <c r="CY1322">
        <v>2</v>
      </c>
      <c r="CZ1322" t="s">
        <v>121</v>
      </c>
      <c r="DA1322" t="s">
        <v>122</v>
      </c>
      <c r="DD1322">
        <v>14996658</v>
      </c>
      <c r="DE1322" t="s">
        <v>123</v>
      </c>
    </row>
    <row r="1323" spans="1:109" x14ac:dyDescent="0.3">
      <c r="A1323" t="str">
        <f>"18:56:48.172"</f>
        <v>18:56:48.172</v>
      </c>
      <c r="B1323" t="s">
        <v>110</v>
      </c>
      <c r="C1323" t="str">
        <f t="shared" si="60"/>
        <v>ffdfd3c0</v>
      </c>
      <c r="D1323" t="s">
        <v>111</v>
      </c>
      <c r="E1323">
        <v>18</v>
      </c>
      <c r="F1323">
        <v>1018</v>
      </c>
      <c r="G1323" t="s">
        <v>112</v>
      </c>
      <c r="J1323" t="s">
        <v>113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R1323" t="s">
        <v>114</v>
      </c>
      <c r="S1323" t="str">
        <f>"18:56:47.953"</f>
        <v>18:56:47.953</v>
      </c>
      <c r="T1323" t="str">
        <f>"18:56:47.852"</f>
        <v>18:56:47.852</v>
      </c>
      <c r="U1323" t="str">
        <f t="shared" si="61"/>
        <v>a1cdbe</v>
      </c>
      <c r="V1323">
        <v>0</v>
      </c>
      <c r="W1323">
        <v>0</v>
      </c>
      <c r="X1323">
        <v>1</v>
      </c>
      <c r="Y1323">
        <v>0</v>
      </c>
      <c r="Z1323">
        <v>0</v>
      </c>
      <c r="AB1323">
        <v>0</v>
      </c>
      <c r="AC1323">
        <v>9</v>
      </c>
      <c r="AD1323">
        <v>3</v>
      </c>
      <c r="AE1323">
        <v>0</v>
      </c>
      <c r="AF1323">
        <v>9</v>
      </c>
      <c r="AG1323" t="s">
        <v>158</v>
      </c>
      <c r="AH1323">
        <v>0</v>
      </c>
      <c r="AI1323">
        <v>3</v>
      </c>
      <c r="AJ1323">
        <v>1</v>
      </c>
      <c r="AK1323">
        <v>0</v>
      </c>
      <c r="AL1323" t="s">
        <v>2601</v>
      </c>
      <c r="AM1323">
        <v>46.816541999999998</v>
      </c>
      <c r="AN1323" t="s">
        <v>2602</v>
      </c>
      <c r="AO1323">
        <v>-122.683532</v>
      </c>
      <c r="AP1323">
        <v>100</v>
      </c>
      <c r="AQ1323">
        <v>2000</v>
      </c>
      <c r="AR1323" t="s">
        <v>118</v>
      </c>
      <c r="AS1323">
        <v>-81</v>
      </c>
      <c r="AT1323">
        <v>-15</v>
      </c>
      <c r="AU1323">
        <v>-64</v>
      </c>
      <c r="BC1323">
        <v>1200</v>
      </c>
      <c r="BD1323">
        <v>1</v>
      </c>
      <c r="BE1323" t="str">
        <f t="shared" si="62"/>
        <v xml:space="preserve">N215T   </v>
      </c>
      <c r="BF1323">
        <v>1</v>
      </c>
      <c r="BH1323">
        <v>0</v>
      </c>
      <c r="BI1323">
        <v>0</v>
      </c>
      <c r="BJ1323">
        <v>0</v>
      </c>
      <c r="BK1323">
        <v>2350</v>
      </c>
      <c r="BL1323">
        <v>350</v>
      </c>
      <c r="BM1323" t="s">
        <v>119</v>
      </c>
      <c r="BN1323">
        <v>1</v>
      </c>
      <c r="BO1323">
        <v>1</v>
      </c>
      <c r="BP1323">
        <v>1</v>
      </c>
      <c r="BQ1323">
        <v>0</v>
      </c>
      <c r="BT1323">
        <v>0</v>
      </c>
      <c r="BU1323">
        <v>0</v>
      </c>
      <c r="BV1323">
        <v>0</v>
      </c>
      <c r="CC1323" t="str">
        <f>"18:56:47.961"</f>
        <v>18:56:47.961</v>
      </c>
      <c r="CD1323" t="str">
        <f>"958179325"</f>
        <v>958179325</v>
      </c>
      <c r="CQ1323">
        <v>0</v>
      </c>
      <c r="CR1323">
        <v>2</v>
      </c>
      <c r="CS1323">
        <v>0</v>
      </c>
      <c r="CT1323">
        <v>2</v>
      </c>
      <c r="CU1323">
        <v>0</v>
      </c>
      <c r="CV1323">
        <v>7</v>
      </c>
      <c r="CW1323" t="s">
        <v>120</v>
      </c>
      <c r="CX1323">
        <v>261</v>
      </c>
      <c r="CY1323">
        <v>2</v>
      </c>
      <c r="CZ1323" t="s">
        <v>121</v>
      </c>
      <c r="DA1323" t="s">
        <v>122</v>
      </c>
      <c r="DD1323">
        <v>14997423</v>
      </c>
      <c r="DE1323" t="s">
        <v>123</v>
      </c>
    </row>
    <row r="1324" spans="1:109" x14ac:dyDescent="0.3">
      <c r="A1324" t="str">
        <f>"18:56:49.734"</f>
        <v>18:56:49.734</v>
      </c>
      <c r="B1324" t="s">
        <v>110</v>
      </c>
      <c r="C1324" t="str">
        <f t="shared" si="60"/>
        <v>ffdfd3c0</v>
      </c>
      <c r="D1324" t="s">
        <v>111</v>
      </c>
      <c r="E1324">
        <v>18</v>
      </c>
      <c r="F1324">
        <v>1018</v>
      </c>
      <c r="G1324" t="s">
        <v>112</v>
      </c>
      <c r="J1324" t="s">
        <v>113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R1324" t="s">
        <v>114</v>
      </c>
      <c r="S1324" t="str">
        <f>"18:56:49.453"</f>
        <v>18:56:49.453</v>
      </c>
      <c r="T1324" t="str">
        <f>"18:56:49.250"</f>
        <v>18:56:49.250</v>
      </c>
      <c r="U1324" t="str">
        <f t="shared" si="61"/>
        <v>a1cdbe</v>
      </c>
      <c r="V1324">
        <v>0</v>
      </c>
      <c r="W1324">
        <v>0</v>
      </c>
      <c r="X1324">
        <v>1</v>
      </c>
      <c r="Y1324">
        <v>0</v>
      </c>
      <c r="Z1324">
        <v>0</v>
      </c>
      <c r="AB1324">
        <v>0</v>
      </c>
      <c r="AC1324">
        <v>9</v>
      </c>
      <c r="AD1324">
        <v>3</v>
      </c>
      <c r="AE1324">
        <v>0</v>
      </c>
      <c r="AF1324">
        <v>9</v>
      </c>
      <c r="AG1324" t="s">
        <v>158</v>
      </c>
      <c r="AH1324">
        <v>0</v>
      </c>
      <c r="AI1324">
        <v>3</v>
      </c>
      <c r="AJ1324">
        <v>1</v>
      </c>
      <c r="AK1324">
        <v>0</v>
      </c>
      <c r="AL1324" t="s">
        <v>2603</v>
      </c>
      <c r="AM1324">
        <v>46.816412999999997</v>
      </c>
      <c r="AN1324" t="s">
        <v>2604</v>
      </c>
      <c r="AO1324">
        <v>-122.684326</v>
      </c>
      <c r="AP1324">
        <v>100</v>
      </c>
      <c r="AQ1324">
        <v>2000</v>
      </c>
      <c r="AR1324" t="s">
        <v>118</v>
      </c>
      <c r="AS1324">
        <v>-81</v>
      </c>
      <c r="AT1324">
        <v>-15</v>
      </c>
      <c r="AU1324">
        <v>0</v>
      </c>
      <c r="BC1324">
        <v>1200</v>
      </c>
      <c r="BD1324">
        <v>1</v>
      </c>
      <c r="BE1324" t="str">
        <f t="shared" si="62"/>
        <v xml:space="preserve">N215T   </v>
      </c>
      <c r="BF1324">
        <v>1</v>
      </c>
      <c r="BH1324">
        <v>0</v>
      </c>
      <c r="BI1324">
        <v>0</v>
      </c>
      <c r="BJ1324">
        <v>0</v>
      </c>
      <c r="BK1324">
        <v>2375</v>
      </c>
      <c r="BL1324">
        <v>375</v>
      </c>
      <c r="BM1324" t="s">
        <v>119</v>
      </c>
      <c r="BN1324">
        <v>1</v>
      </c>
      <c r="BO1324">
        <v>1</v>
      </c>
      <c r="BP1324">
        <v>1</v>
      </c>
      <c r="BQ1324">
        <v>0</v>
      </c>
      <c r="BT1324">
        <v>0</v>
      </c>
      <c r="BU1324">
        <v>0</v>
      </c>
      <c r="BV1324">
        <v>0</v>
      </c>
      <c r="CC1324" t="str">
        <f>"18:56:49.461"</f>
        <v>18:56:49.461</v>
      </c>
      <c r="CD1324" t="str">
        <f>"458031557"</f>
        <v>458031557</v>
      </c>
      <c r="CQ1324">
        <v>0</v>
      </c>
      <c r="CR1324">
        <v>2</v>
      </c>
      <c r="CS1324">
        <v>0</v>
      </c>
      <c r="CT1324">
        <v>2</v>
      </c>
      <c r="CU1324">
        <v>0</v>
      </c>
      <c r="CV1324">
        <v>7</v>
      </c>
      <c r="CW1324" t="s">
        <v>120</v>
      </c>
      <c r="CX1324">
        <v>261</v>
      </c>
      <c r="CY1324">
        <v>2</v>
      </c>
      <c r="CZ1324" t="s">
        <v>121</v>
      </c>
      <c r="DA1324" t="s">
        <v>122</v>
      </c>
      <c r="DD1324">
        <v>14998459</v>
      </c>
      <c r="DE1324" t="s">
        <v>123</v>
      </c>
    </row>
    <row r="1325" spans="1:109" x14ac:dyDescent="0.3">
      <c r="A1325" t="str">
        <f>"18:56:50.688"</f>
        <v>18:56:50.688</v>
      </c>
      <c r="B1325" t="s">
        <v>110</v>
      </c>
      <c r="C1325" t="str">
        <f t="shared" si="60"/>
        <v>ffdfd3c0</v>
      </c>
      <c r="D1325" t="s">
        <v>111</v>
      </c>
      <c r="E1325">
        <v>18</v>
      </c>
      <c r="F1325">
        <v>1018</v>
      </c>
      <c r="G1325" t="s">
        <v>112</v>
      </c>
      <c r="J1325" t="s">
        <v>113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R1325" t="s">
        <v>114</v>
      </c>
      <c r="S1325" t="str">
        <f>"18:56:50.492"</f>
        <v>18:56:50.492</v>
      </c>
      <c r="T1325" t="str">
        <f>"18:56:50.289"</f>
        <v>18:56:50.289</v>
      </c>
      <c r="U1325" t="str">
        <f t="shared" si="61"/>
        <v>a1cdbe</v>
      </c>
      <c r="V1325">
        <v>0</v>
      </c>
      <c r="W1325">
        <v>0</v>
      </c>
      <c r="X1325">
        <v>1</v>
      </c>
      <c r="Y1325">
        <v>0</v>
      </c>
      <c r="Z1325">
        <v>0</v>
      </c>
      <c r="AB1325">
        <v>0</v>
      </c>
      <c r="AC1325">
        <v>9</v>
      </c>
      <c r="AD1325">
        <v>3</v>
      </c>
      <c r="AE1325">
        <v>0</v>
      </c>
      <c r="AF1325">
        <v>9</v>
      </c>
      <c r="AG1325" t="s">
        <v>158</v>
      </c>
      <c r="AH1325">
        <v>0</v>
      </c>
      <c r="AI1325">
        <v>3</v>
      </c>
      <c r="AJ1325">
        <v>1</v>
      </c>
      <c r="AK1325">
        <v>0</v>
      </c>
      <c r="AL1325" t="s">
        <v>2605</v>
      </c>
      <c r="AM1325">
        <v>46.816305999999997</v>
      </c>
      <c r="AN1325" t="s">
        <v>2606</v>
      </c>
      <c r="AO1325">
        <v>-122.684927</v>
      </c>
      <c r="AP1325">
        <v>100</v>
      </c>
      <c r="AQ1325">
        <v>2000</v>
      </c>
      <c r="AR1325" t="s">
        <v>118</v>
      </c>
      <c r="AS1325">
        <v>-80</v>
      </c>
      <c r="AT1325">
        <v>-16</v>
      </c>
      <c r="AU1325">
        <v>0</v>
      </c>
      <c r="BC1325">
        <v>1200</v>
      </c>
      <c r="BD1325">
        <v>1</v>
      </c>
      <c r="BE1325" t="str">
        <f t="shared" si="62"/>
        <v xml:space="preserve">N215T   </v>
      </c>
      <c r="BF1325">
        <v>1</v>
      </c>
      <c r="BH1325">
        <v>0</v>
      </c>
      <c r="BI1325">
        <v>0</v>
      </c>
      <c r="BJ1325">
        <v>0</v>
      </c>
      <c r="BK1325">
        <v>2375</v>
      </c>
      <c r="BL1325">
        <v>375</v>
      </c>
      <c r="BM1325" t="s">
        <v>119</v>
      </c>
      <c r="BN1325">
        <v>1</v>
      </c>
      <c r="BO1325">
        <v>1</v>
      </c>
      <c r="BP1325">
        <v>1</v>
      </c>
      <c r="BQ1325">
        <v>0</v>
      </c>
      <c r="BT1325">
        <v>0</v>
      </c>
      <c r="BU1325">
        <v>0</v>
      </c>
      <c r="BV1325">
        <v>0</v>
      </c>
      <c r="CC1325" t="str">
        <f>"18:56:50.492"</f>
        <v>18:56:50.492</v>
      </c>
      <c r="CD1325" t="str">
        <f>"492929650"</f>
        <v>492929650</v>
      </c>
      <c r="CQ1325">
        <v>0</v>
      </c>
      <c r="CR1325">
        <v>2</v>
      </c>
      <c r="CS1325">
        <v>0</v>
      </c>
      <c r="CT1325">
        <v>2</v>
      </c>
      <c r="CU1325">
        <v>0</v>
      </c>
      <c r="CV1325">
        <v>7</v>
      </c>
      <c r="CW1325" t="s">
        <v>120</v>
      </c>
      <c r="CX1325">
        <v>261</v>
      </c>
      <c r="CY1325">
        <v>2</v>
      </c>
      <c r="CZ1325" t="s">
        <v>121</v>
      </c>
      <c r="DA1325" t="s">
        <v>122</v>
      </c>
      <c r="DD1325">
        <v>14999116</v>
      </c>
      <c r="DE1325" t="s">
        <v>123</v>
      </c>
    </row>
    <row r="1326" spans="1:109" x14ac:dyDescent="0.3">
      <c r="A1326" t="str">
        <f>"18:56:51.797"</f>
        <v>18:56:51.797</v>
      </c>
      <c r="B1326" t="s">
        <v>110</v>
      </c>
      <c r="C1326" t="str">
        <f t="shared" si="60"/>
        <v>ffdfd3c0</v>
      </c>
      <c r="D1326" t="s">
        <v>111</v>
      </c>
      <c r="E1326">
        <v>18</v>
      </c>
      <c r="F1326">
        <v>1018</v>
      </c>
      <c r="G1326" t="s">
        <v>112</v>
      </c>
      <c r="J1326" t="s">
        <v>113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R1326" t="s">
        <v>114</v>
      </c>
      <c r="S1326" t="str">
        <f>"18:56:51.523"</f>
        <v>18:56:51.523</v>
      </c>
      <c r="T1326" t="str">
        <f>"18:56:51.227"</f>
        <v>18:56:51.227</v>
      </c>
      <c r="U1326" t="str">
        <f t="shared" si="61"/>
        <v>a1cdbe</v>
      </c>
      <c r="V1326">
        <v>0</v>
      </c>
      <c r="W1326">
        <v>0</v>
      </c>
      <c r="X1326">
        <v>1</v>
      </c>
      <c r="Y1326">
        <v>0</v>
      </c>
      <c r="Z1326">
        <v>0</v>
      </c>
      <c r="AB1326">
        <v>0</v>
      </c>
      <c r="AC1326">
        <v>9</v>
      </c>
      <c r="AD1326">
        <v>3</v>
      </c>
      <c r="AE1326">
        <v>0</v>
      </c>
      <c r="AF1326">
        <v>9</v>
      </c>
      <c r="AG1326" t="s">
        <v>158</v>
      </c>
      <c r="AH1326">
        <v>0</v>
      </c>
      <c r="AI1326">
        <v>3</v>
      </c>
      <c r="AJ1326">
        <v>1</v>
      </c>
      <c r="AK1326">
        <v>0</v>
      </c>
      <c r="AL1326" t="s">
        <v>2607</v>
      </c>
      <c r="AM1326">
        <v>46.816242000000003</v>
      </c>
      <c r="AN1326" t="s">
        <v>2608</v>
      </c>
      <c r="AO1326">
        <v>-122.68542100000001</v>
      </c>
      <c r="AP1326">
        <v>100</v>
      </c>
      <c r="AQ1326">
        <v>2000</v>
      </c>
      <c r="AR1326" t="s">
        <v>118</v>
      </c>
      <c r="AS1326">
        <v>-80</v>
      </c>
      <c r="AT1326">
        <v>-15</v>
      </c>
      <c r="AU1326">
        <v>-64</v>
      </c>
      <c r="BC1326">
        <v>1200</v>
      </c>
      <c r="BD1326">
        <v>1</v>
      </c>
      <c r="BE1326" t="str">
        <f t="shared" si="62"/>
        <v xml:space="preserve">N215T   </v>
      </c>
      <c r="BF1326">
        <v>1</v>
      </c>
      <c r="BH1326">
        <v>0</v>
      </c>
      <c r="BI1326">
        <v>0</v>
      </c>
      <c r="BJ1326">
        <v>0</v>
      </c>
      <c r="BK1326">
        <v>2375</v>
      </c>
      <c r="BL1326">
        <v>375</v>
      </c>
      <c r="BM1326" t="s">
        <v>119</v>
      </c>
      <c r="BN1326">
        <v>1</v>
      </c>
      <c r="BO1326">
        <v>1</v>
      </c>
      <c r="BP1326">
        <v>1</v>
      </c>
      <c r="BQ1326">
        <v>0</v>
      </c>
      <c r="BT1326">
        <v>0</v>
      </c>
      <c r="BU1326">
        <v>0</v>
      </c>
      <c r="BV1326">
        <v>0</v>
      </c>
      <c r="CC1326" t="str">
        <f>"18:56:51.531"</f>
        <v>18:56:51.531</v>
      </c>
      <c r="CD1326" t="str">
        <f>"527827827"</f>
        <v>527827827</v>
      </c>
      <c r="CQ1326">
        <v>0</v>
      </c>
      <c r="CR1326">
        <v>2</v>
      </c>
      <c r="CS1326">
        <v>0</v>
      </c>
      <c r="CT1326">
        <v>2</v>
      </c>
      <c r="CU1326">
        <v>0</v>
      </c>
      <c r="CV1326">
        <v>7</v>
      </c>
      <c r="CW1326" t="s">
        <v>120</v>
      </c>
      <c r="CX1326">
        <v>261</v>
      </c>
      <c r="CY1326">
        <v>2</v>
      </c>
      <c r="CZ1326" t="s">
        <v>121</v>
      </c>
      <c r="DA1326" t="s">
        <v>122</v>
      </c>
      <c r="DD1326">
        <v>14999834</v>
      </c>
      <c r="DE1326" t="s">
        <v>123</v>
      </c>
    </row>
    <row r="1327" spans="1:109" x14ac:dyDescent="0.3">
      <c r="A1327" t="str">
        <f>"18:56:52.648"</f>
        <v>18:56:52.648</v>
      </c>
      <c r="B1327" t="s">
        <v>110</v>
      </c>
      <c r="C1327" t="str">
        <f t="shared" si="60"/>
        <v>ffdfd3c0</v>
      </c>
      <c r="D1327" t="s">
        <v>111</v>
      </c>
      <c r="E1327">
        <v>18</v>
      </c>
      <c r="F1327">
        <v>1018</v>
      </c>
      <c r="G1327" t="s">
        <v>112</v>
      </c>
      <c r="J1327" t="s">
        <v>113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R1327" t="s">
        <v>114</v>
      </c>
      <c r="S1327" t="str">
        <f>"18:56:52.391"</f>
        <v>18:56:52.391</v>
      </c>
      <c r="T1327" t="str">
        <f>"18:56:52.289"</f>
        <v>18:56:52.289</v>
      </c>
      <c r="U1327" t="str">
        <f t="shared" si="61"/>
        <v>a1cdbe</v>
      </c>
      <c r="V1327">
        <v>0</v>
      </c>
      <c r="W1327">
        <v>0</v>
      </c>
      <c r="X1327">
        <v>1</v>
      </c>
      <c r="Y1327">
        <v>0</v>
      </c>
      <c r="Z1327">
        <v>0</v>
      </c>
      <c r="AB1327">
        <v>0</v>
      </c>
      <c r="AC1327">
        <v>9</v>
      </c>
      <c r="AD1327">
        <v>3</v>
      </c>
      <c r="AE1327">
        <v>0</v>
      </c>
      <c r="AF1327">
        <v>9</v>
      </c>
      <c r="AG1327" t="s">
        <v>158</v>
      </c>
      <c r="AH1327">
        <v>0</v>
      </c>
      <c r="AI1327">
        <v>3</v>
      </c>
      <c r="AJ1327">
        <v>1</v>
      </c>
      <c r="AK1327">
        <v>0</v>
      </c>
      <c r="AL1327" t="s">
        <v>2609</v>
      </c>
      <c r="AM1327">
        <v>46.816177000000003</v>
      </c>
      <c r="AN1327" t="s">
        <v>2610</v>
      </c>
      <c r="AO1327">
        <v>-122.685935</v>
      </c>
      <c r="AP1327">
        <v>100</v>
      </c>
      <c r="AQ1327">
        <v>2000</v>
      </c>
      <c r="AR1327" t="s">
        <v>118</v>
      </c>
      <c r="AS1327">
        <v>-79</v>
      </c>
      <c r="AT1327">
        <v>-16</v>
      </c>
      <c r="AU1327">
        <v>0</v>
      </c>
      <c r="BC1327">
        <v>1200</v>
      </c>
      <c r="BD1327">
        <v>1</v>
      </c>
      <c r="BE1327" t="str">
        <f t="shared" si="62"/>
        <v xml:space="preserve">N215T   </v>
      </c>
      <c r="BF1327">
        <v>1</v>
      </c>
      <c r="BH1327">
        <v>0</v>
      </c>
      <c r="BI1327">
        <v>0</v>
      </c>
      <c r="BJ1327">
        <v>0</v>
      </c>
      <c r="BK1327">
        <v>2350</v>
      </c>
      <c r="BL1327">
        <v>350</v>
      </c>
      <c r="BM1327" t="s">
        <v>119</v>
      </c>
      <c r="BN1327">
        <v>1</v>
      </c>
      <c r="BO1327">
        <v>1</v>
      </c>
      <c r="BP1327">
        <v>1</v>
      </c>
      <c r="BQ1327">
        <v>0</v>
      </c>
      <c r="BT1327">
        <v>0</v>
      </c>
      <c r="BU1327">
        <v>0</v>
      </c>
      <c r="BV1327">
        <v>0</v>
      </c>
      <c r="CC1327" t="str">
        <f>"18:56:52.398"</f>
        <v>18:56:52.398</v>
      </c>
      <c r="CD1327" t="str">
        <f>"397742169"</f>
        <v>397742169</v>
      </c>
      <c r="CQ1327">
        <v>0</v>
      </c>
      <c r="CR1327">
        <v>2</v>
      </c>
      <c r="CS1327">
        <v>0</v>
      </c>
      <c r="CT1327">
        <v>2</v>
      </c>
      <c r="CU1327">
        <v>0</v>
      </c>
      <c r="CV1327">
        <v>7</v>
      </c>
      <c r="CW1327" t="s">
        <v>120</v>
      </c>
      <c r="CX1327">
        <v>261</v>
      </c>
      <c r="CY1327">
        <v>2</v>
      </c>
      <c r="CZ1327" t="s">
        <v>121</v>
      </c>
      <c r="DA1327" t="s">
        <v>122</v>
      </c>
      <c r="DD1327">
        <v>15000387</v>
      </c>
      <c r="DE1327" t="s">
        <v>123</v>
      </c>
    </row>
    <row r="1328" spans="1:109" x14ac:dyDescent="0.3">
      <c r="A1328" t="str">
        <f>"18:56:53.555"</f>
        <v>18:56:53.555</v>
      </c>
      <c r="B1328" t="s">
        <v>110</v>
      </c>
      <c r="C1328" t="str">
        <f t="shared" si="60"/>
        <v>ffdfd3c0</v>
      </c>
      <c r="D1328" t="s">
        <v>111</v>
      </c>
      <c r="E1328">
        <v>18</v>
      </c>
      <c r="F1328">
        <v>1018</v>
      </c>
      <c r="G1328" t="s">
        <v>112</v>
      </c>
      <c r="J1328" t="s">
        <v>113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R1328" t="s">
        <v>114</v>
      </c>
      <c r="S1328" t="str">
        <f>"18:56:53.313"</f>
        <v>18:56:53.313</v>
      </c>
      <c r="T1328" t="str">
        <f>"18:56:53.313"</f>
        <v>18:56:53.313</v>
      </c>
      <c r="U1328" t="str">
        <f t="shared" si="61"/>
        <v>a1cdbe</v>
      </c>
      <c r="V1328">
        <v>0</v>
      </c>
      <c r="W1328">
        <v>0</v>
      </c>
      <c r="X1328">
        <v>1</v>
      </c>
      <c r="Y1328">
        <v>0</v>
      </c>
      <c r="Z1328">
        <v>0</v>
      </c>
      <c r="AB1328">
        <v>0</v>
      </c>
      <c r="AC1328">
        <v>9</v>
      </c>
      <c r="AD1328">
        <v>3</v>
      </c>
      <c r="AE1328">
        <v>0</v>
      </c>
      <c r="AF1328">
        <v>9</v>
      </c>
      <c r="AG1328" t="s">
        <v>158</v>
      </c>
      <c r="AH1328">
        <v>0</v>
      </c>
      <c r="AI1328">
        <v>3</v>
      </c>
      <c r="AJ1328">
        <v>1</v>
      </c>
      <c r="AK1328">
        <v>0</v>
      </c>
      <c r="AL1328" t="s">
        <v>2611</v>
      </c>
      <c r="AM1328">
        <v>46.816133999999998</v>
      </c>
      <c r="AN1328" t="s">
        <v>2612</v>
      </c>
      <c r="AO1328">
        <v>-122.686408</v>
      </c>
      <c r="AP1328">
        <v>100</v>
      </c>
      <c r="AQ1328">
        <v>2000</v>
      </c>
      <c r="AR1328" t="s">
        <v>118</v>
      </c>
      <c r="AS1328">
        <v>-79</v>
      </c>
      <c r="AT1328">
        <v>-18</v>
      </c>
      <c r="AU1328">
        <v>64</v>
      </c>
      <c r="BC1328">
        <v>1200</v>
      </c>
      <c r="BD1328">
        <v>1</v>
      </c>
      <c r="BE1328" t="str">
        <f t="shared" si="62"/>
        <v xml:space="preserve">N215T   </v>
      </c>
      <c r="BF1328">
        <v>1</v>
      </c>
      <c r="BH1328">
        <v>0</v>
      </c>
      <c r="BI1328">
        <v>0</v>
      </c>
      <c r="BJ1328">
        <v>0</v>
      </c>
      <c r="BK1328">
        <v>2350</v>
      </c>
      <c r="BL1328">
        <v>350</v>
      </c>
      <c r="BM1328" t="s">
        <v>119</v>
      </c>
      <c r="BN1328">
        <v>1</v>
      </c>
      <c r="BO1328">
        <v>1</v>
      </c>
      <c r="BP1328">
        <v>1</v>
      </c>
      <c r="BQ1328">
        <v>0</v>
      </c>
      <c r="BT1328">
        <v>0</v>
      </c>
      <c r="BU1328">
        <v>0</v>
      </c>
      <c r="BV1328">
        <v>0</v>
      </c>
      <c r="CC1328" t="str">
        <f>"18:56:53.313"</f>
        <v>18:56:53.313</v>
      </c>
      <c r="CD1328" t="str">
        <f>"312652096"</f>
        <v>312652096</v>
      </c>
      <c r="CQ1328">
        <v>0</v>
      </c>
      <c r="CR1328">
        <v>2</v>
      </c>
      <c r="CS1328">
        <v>0</v>
      </c>
      <c r="CT1328">
        <v>2</v>
      </c>
      <c r="CU1328">
        <v>0</v>
      </c>
      <c r="CV1328">
        <v>7</v>
      </c>
      <c r="CW1328" t="s">
        <v>120</v>
      </c>
      <c r="CX1328">
        <v>261</v>
      </c>
      <c r="CY1328">
        <v>2</v>
      </c>
      <c r="CZ1328" t="s">
        <v>121</v>
      </c>
      <c r="DA1328" t="s">
        <v>122</v>
      </c>
      <c r="DD1328">
        <v>15001040</v>
      </c>
      <c r="DE1328" t="s">
        <v>123</v>
      </c>
    </row>
    <row r="1329" spans="1:109" x14ac:dyDescent="0.3">
      <c r="A1329" t="str">
        <f>"18:56:54.563"</f>
        <v>18:56:54.563</v>
      </c>
      <c r="B1329" t="s">
        <v>110</v>
      </c>
      <c r="C1329" t="str">
        <f t="shared" si="60"/>
        <v>ffdfd3c0</v>
      </c>
      <c r="D1329" t="s">
        <v>111</v>
      </c>
      <c r="E1329">
        <v>18</v>
      </c>
      <c r="F1329">
        <v>1018</v>
      </c>
      <c r="G1329" t="s">
        <v>112</v>
      </c>
      <c r="J1329" t="s">
        <v>113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R1329" t="s">
        <v>114</v>
      </c>
      <c r="S1329" t="str">
        <f>"18:56:54.359"</f>
        <v>18:56:54.359</v>
      </c>
      <c r="T1329" t="str">
        <f>"18:56:54.258"</f>
        <v>18:56:54.258</v>
      </c>
      <c r="U1329" t="str">
        <f t="shared" si="61"/>
        <v>a1cdbe</v>
      </c>
      <c r="V1329">
        <v>0</v>
      </c>
      <c r="W1329">
        <v>0</v>
      </c>
      <c r="X1329">
        <v>1</v>
      </c>
      <c r="Y1329">
        <v>0</v>
      </c>
      <c r="Z1329">
        <v>0</v>
      </c>
      <c r="AB1329">
        <v>0</v>
      </c>
      <c r="AC1329">
        <v>9</v>
      </c>
      <c r="AD1329">
        <v>3</v>
      </c>
      <c r="AE1329">
        <v>0</v>
      </c>
      <c r="AF1329">
        <v>9</v>
      </c>
      <c r="AG1329" t="s">
        <v>158</v>
      </c>
      <c r="AH1329">
        <v>0</v>
      </c>
      <c r="AI1329">
        <v>3</v>
      </c>
      <c r="AJ1329">
        <v>1</v>
      </c>
      <c r="AK1329">
        <v>0</v>
      </c>
      <c r="AL1329" t="s">
        <v>2613</v>
      </c>
      <c r="AM1329">
        <v>46.816049</v>
      </c>
      <c r="AN1329" t="s">
        <v>2614</v>
      </c>
      <c r="AO1329">
        <v>-122.686944</v>
      </c>
      <c r="AP1329">
        <v>100</v>
      </c>
      <c r="AQ1329">
        <v>2000</v>
      </c>
      <c r="AR1329" t="s">
        <v>118</v>
      </c>
      <c r="AS1329">
        <v>-78</v>
      </c>
      <c r="AT1329">
        <v>-19</v>
      </c>
      <c r="AU1329">
        <v>64</v>
      </c>
      <c r="BC1329">
        <v>1200</v>
      </c>
      <c r="BD1329">
        <v>1</v>
      </c>
      <c r="BE1329" t="str">
        <f t="shared" si="62"/>
        <v xml:space="preserve">N215T   </v>
      </c>
      <c r="BF1329">
        <v>1</v>
      </c>
      <c r="BH1329">
        <v>0</v>
      </c>
      <c r="BI1329">
        <v>0</v>
      </c>
      <c r="BJ1329">
        <v>0</v>
      </c>
      <c r="BK1329">
        <v>2350</v>
      </c>
      <c r="BL1329">
        <v>350</v>
      </c>
      <c r="BM1329" t="s">
        <v>119</v>
      </c>
      <c r="BN1329">
        <v>1</v>
      </c>
      <c r="BO1329">
        <v>1</v>
      </c>
      <c r="BP1329">
        <v>1</v>
      </c>
      <c r="BQ1329">
        <v>0</v>
      </c>
      <c r="BT1329">
        <v>0</v>
      </c>
      <c r="BU1329">
        <v>0</v>
      </c>
      <c r="BV1329">
        <v>0</v>
      </c>
      <c r="CC1329" t="str">
        <f>"18:56:54.359"</f>
        <v>18:56:54.359</v>
      </c>
      <c r="CD1329" t="str">
        <f>"362548725"</f>
        <v>362548725</v>
      </c>
      <c r="CQ1329">
        <v>0</v>
      </c>
      <c r="CR1329">
        <v>2</v>
      </c>
      <c r="CS1329">
        <v>0</v>
      </c>
      <c r="CT1329">
        <v>2</v>
      </c>
      <c r="CU1329">
        <v>0</v>
      </c>
      <c r="CV1329">
        <v>7</v>
      </c>
      <c r="CW1329" t="s">
        <v>120</v>
      </c>
      <c r="CX1329">
        <v>261</v>
      </c>
      <c r="CY1329">
        <v>2</v>
      </c>
      <c r="CZ1329" t="s">
        <v>121</v>
      </c>
      <c r="DA1329" t="s">
        <v>122</v>
      </c>
      <c r="DD1329">
        <v>15001761</v>
      </c>
      <c r="DE1329" t="s">
        <v>123</v>
      </c>
    </row>
    <row r="1330" spans="1:109" x14ac:dyDescent="0.3">
      <c r="A1330" t="str">
        <f>"18:56:55.516"</f>
        <v>18:56:55.516</v>
      </c>
      <c r="B1330" t="s">
        <v>110</v>
      </c>
      <c r="C1330" t="str">
        <f t="shared" si="60"/>
        <v>ffdfd3c0</v>
      </c>
      <c r="D1330" t="s">
        <v>111</v>
      </c>
      <c r="E1330">
        <v>18</v>
      </c>
      <c r="F1330">
        <v>1018</v>
      </c>
      <c r="G1330" t="s">
        <v>112</v>
      </c>
      <c r="J1330" t="s">
        <v>113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R1330" t="s">
        <v>114</v>
      </c>
      <c r="S1330" t="str">
        <f>"18:56:55.289"</f>
        <v>18:56:55.289</v>
      </c>
      <c r="T1330" t="str">
        <f>"18:56:55.289"</f>
        <v>18:56:55.289</v>
      </c>
      <c r="U1330" t="str">
        <f t="shared" si="61"/>
        <v>a1cdbe</v>
      </c>
      <c r="V1330">
        <v>0</v>
      </c>
      <c r="W1330">
        <v>0</v>
      </c>
      <c r="X1330">
        <v>1</v>
      </c>
      <c r="Y1330">
        <v>0</v>
      </c>
      <c r="Z1330">
        <v>0</v>
      </c>
      <c r="AB1330">
        <v>0</v>
      </c>
      <c r="AC1330">
        <v>9</v>
      </c>
      <c r="AD1330">
        <v>3</v>
      </c>
      <c r="AE1330">
        <v>0</v>
      </c>
      <c r="AF1330">
        <v>9</v>
      </c>
      <c r="AG1330" t="s">
        <v>158</v>
      </c>
      <c r="AH1330">
        <v>0</v>
      </c>
      <c r="AI1330">
        <v>3</v>
      </c>
      <c r="AJ1330">
        <v>1</v>
      </c>
      <c r="AK1330">
        <v>0</v>
      </c>
      <c r="AL1330" t="s">
        <v>2615</v>
      </c>
      <c r="AM1330">
        <v>46.815941000000002</v>
      </c>
      <c r="AN1330" t="s">
        <v>2616</v>
      </c>
      <c r="AO1330">
        <v>-122.68747999999999</v>
      </c>
      <c r="AP1330">
        <v>100</v>
      </c>
      <c r="AQ1330">
        <v>2000</v>
      </c>
      <c r="AR1330" t="s">
        <v>118</v>
      </c>
      <c r="AS1330">
        <v>-78</v>
      </c>
      <c r="AT1330">
        <v>-21</v>
      </c>
      <c r="AU1330">
        <v>-64</v>
      </c>
      <c r="BC1330">
        <v>1200</v>
      </c>
      <c r="BD1330">
        <v>1</v>
      </c>
      <c r="BE1330" t="str">
        <f t="shared" si="62"/>
        <v xml:space="preserve">N215T   </v>
      </c>
      <c r="BF1330">
        <v>1</v>
      </c>
      <c r="BH1330">
        <v>0</v>
      </c>
      <c r="BI1330">
        <v>0</v>
      </c>
      <c r="BJ1330">
        <v>0</v>
      </c>
      <c r="BK1330">
        <v>2350</v>
      </c>
      <c r="BL1330">
        <v>350</v>
      </c>
      <c r="BM1330" t="s">
        <v>119</v>
      </c>
      <c r="BN1330">
        <v>1</v>
      </c>
      <c r="BO1330">
        <v>1</v>
      </c>
      <c r="BP1330">
        <v>1</v>
      </c>
      <c r="BQ1330">
        <v>0</v>
      </c>
      <c r="BT1330">
        <v>0</v>
      </c>
      <c r="BU1330">
        <v>0</v>
      </c>
      <c r="BV1330">
        <v>0</v>
      </c>
      <c r="CC1330" t="str">
        <f>"18:56:55.289"</f>
        <v>18:56:55.289</v>
      </c>
      <c r="CD1330" t="str">
        <f>"292457172"</f>
        <v>292457172</v>
      </c>
      <c r="CQ1330">
        <v>0</v>
      </c>
      <c r="CR1330">
        <v>2</v>
      </c>
      <c r="CS1330">
        <v>0</v>
      </c>
      <c r="CT1330">
        <v>2</v>
      </c>
      <c r="CU1330">
        <v>0</v>
      </c>
      <c r="CV1330">
        <v>7</v>
      </c>
      <c r="CW1330" t="s">
        <v>120</v>
      </c>
      <c r="CX1330">
        <v>261</v>
      </c>
      <c r="CY1330">
        <v>2</v>
      </c>
      <c r="CZ1330" t="s">
        <v>121</v>
      </c>
      <c r="DA1330" t="s">
        <v>122</v>
      </c>
      <c r="DD1330">
        <v>15002349</v>
      </c>
      <c r="DE1330" t="s">
        <v>123</v>
      </c>
    </row>
    <row r="1331" spans="1:109" x14ac:dyDescent="0.3">
      <c r="A1331" t="str">
        <f>"18:56:56.516"</f>
        <v>18:56:56.516</v>
      </c>
      <c r="B1331" t="s">
        <v>110</v>
      </c>
      <c r="C1331" t="str">
        <f t="shared" si="60"/>
        <v>ffdfd3c0</v>
      </c>
      <c r="D1331" t="s">
        <v>111</v>
      </c>
      <c r="E1331">
        <v>18</v>
      </c>
      <c r="F1331">
        <v>1018</v>
      </c>
      <c r="G1331" t="s">
        <v>112</v>
      </c>
      <c r="J1331" t="s">
        <v>113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R1331" t="s">
        <v>114</v>
      </c>
      <c r="S1331" t="str">
        <f>"18:56:56.281"</f>
        <v>18:56:56.281</v>
      </c>
      <c r="T1331" t="str">
        <f>"18:56:56.180"</f>
        <v>18:56:56.180</v>
      </c>
      <c r="U1331" t="str">
        <f t="shared" si="61"/>
        <v>a1cdbe</v>
      </c>
      <c r="V1331">
        <v>0</v>
      </c>
      <c r="W1331">
        <v>0</v>
      </c>
      <c r="X1331">
        <v>1</v>
      </c>
      <c r="Y1331">
        <v>0</v>
      </c>
      <c r="Z1331">
        <v>0</v>
      </c>
      <c r="AB1331">
        <v>0</v>
      </c>
      <c r="AC1331">
        <v>9</v>
      </c>
      <c r="AD1331">
        <v>3</v>
      </c>
      <c r="AE1331">
        <v>0</v>
      </c>
      <c r="AF1331">
        <v>9</v>
      </c>
      <c r="AG1331" t="s">
        <v>158</v>
      </c>
      <c r="AH1331">
        <v>0</v>
      </c>
      <c r="AI1331">
        <v>3</v>
      </c>
      <c r="AJ1331">
        <v>1</v>
      </c>
      <c r="AK1331">
        <v>0</v>
      </c>
      <c r="AL1331" t="s">
        <v>2617</v>
      </c>
      <c r="AM1331">
        <v>46.815855999999997</v>
      </c>
      <c r="AN1331" t="s">
        <v>2618</v>
      </c>
      <c r="AO1331">
        <v>-122.687974</v>
      </c>
      <c r="AP1331">
        <v>100</v>
      </c>
      <c r="AQ1331">
        <v>2000</v>
      </c>
      <c r="AR1331" t="s">
        <v>118</v>
      </c>
      <c r="AS1331">
        <v>-79</v>
      </c>
      <c r="AT1331">
        <v>-20</v>
      </c>
      <c r="AU1331">
        <v>-64</v>
      </c>
      <c r="BC1331">
        <v>1200</v>
      </c>
      <c r="BD1331">
        <v>1</v>
      </c>
      <c r="BE1331" t="str">
        <f t="shared" si="62"/>
        <v xml:space="preserve">N215T   </v>
      </c>
      <c r="BF1331">
        <v>1</v>
      </c>
      <c r="BH1331">
        <v>0</v>
      </c>
      <c r="BI1331">
        <v>0</v>
      </c>
      <c r="BJ1331">
        <v>0</v>
      </c>
      <c r="BK1331">
        <v>2375</v>
      </c>
      <c r="BL1331">
        <v>375</v>
      </c>
      <c r="BM1331" t="s">
        <v>119</v>
      </c>
      <c r="BN1331">
        <v>1</v>
      </c>
      <c r="BO1331">
        <v>1</v>
      </c>
      <c r="BP1331">
        <v>1</v>
      </c>
      <c r="BQ1331">
        <v>0</v>
      </c>
      <c r="BT1331">
        <v>0</v>
      </c>
      <c r="BU1331">
        <v>0</v>
      </c>
      <c r="BV1331">
        <v>0</v>
      </c>
      <c r="CC1331" t="str">
        <f>"18:56:56.281"</f>
        <v>18:56:56.281</v>
      </c>
      <c r="CD1331" t="str">
        <f>"282359704"</f>
        <v>282359704</v>
      </c>
      <c r="CQ1331">
        <v>0</v>
      </c>
      <c r="CR1331">
        <v>2</v>
      </c>
      <c r="CS1331">
        <v>0</v>
      </c>
      <c r="CT1331">
        <v>2</v>
      </c>
      <c r="CU1331">
        <v>0</v>
      </c>
      <c r="CV1331">
        <v>7</v>
      </c>
      <c r="CW1331" t="s">
        <v>120</v>
      </c>
      <c r="CX1331">
        <v>261</v>
      </c>
      <c r="CY1331">
        <v>2</v>
      </c>
      <c r="CZ1331" t="s">
        <v>121</v>
      </c>
      <c r="DA1331" t="s">
        <v>122</v>
      </c>
      <c r="DD1331">
        <v>15002978</v>
      </c>
      <c r="DE1331" t="s">
        <v>123</v>
      </c>
    </row>
    <row r="1332" spans="1:109" x14ac:dyDescent="0.3">
      <c r="A1332" t="str">
        <f>"18:56:57.578"</f>
        <v>18:56:57.578</v>
      </c>
      <c r="B1332" t="s">
        <v>110</v>
      </c>
      <c r="C1332" t="str">
        <f t="shared" si="60"/>
        <v>ffdfd3c0</v>
      </c>
      <c r="D1332" t="s">
        <v>111</v>
      </c>
      <c r="E1332">
        <v>18</v>
      </c>
      <c r="F1332">
        <v>1018</v>
      </c>
      <c r="G1332" t="s">
        <v>112</v>
      </c>
      <c r="J1332" t="s">
        <v>113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R1332" t="s">
        <v>114</v>
      </c>
      <c r="S1332" t="str">
        <f>"18:56:57.328"</f>
        <v>18:56:57.328</v>
      </c>
      <c r="T1332" t="str">
        <f>"18:56:57.227"</f>
        <v>18:56:57.227</v>
      </c>
      <c r="U1332" t="str">
        <f t="shared" si="61"/>
        <v>a1cdbe</v>
      </c>
      <c r="V1332">
        <v>0</v>
      </c>
      <c r="W1332">
        <v>0</v>
      </c>
      <c r="X1332">
        <v>1</v>
      </c>
      <c r="Y1332">
        <v>0</v>
      </c>
      <c r="Z1332">
        <v>0</v>
      </c>
      <c r="AB1332">
        <v>0</v>
      </c>
      <c r="AC1332">
        <v>9</v>
      </c>
      <c r="AD1332">
        <v>3</v>
      </c>
      <c r="AE1332">
        <v>0</v>
      </c>
      <c r="AF1332">
        <v>9</v>
      </c>
      <c r="AG1332" t="s">
        <v>158</v>
      </c>
      <c r="AH1332">
        <v>0</v>
      </c>
      <c r="AI1332">
        <v>3</v>
      </c>
      <c r="AJ1332">
        <v>1</v>
      </c>
      <c r="AK1332">
        <v>0</v>
      </c>
      <c r="AL1332" t="s">
        <v>2619</v>
      </c>
      <c r="AM1332">
        <v>46.815770000000001</v>
      </c>
      <c r="AN1332" t="s">
        <v>2620</v>
      </c>
      <c r="AO1332">
        <v>-122.688553</v>
      </c>
      <c r="AP1332">
        <v>100</v>
      </c>
      <c r="AQ1332">
        <v>2000</v>
      </c>
      <c r="AR1332" t="s">
        <v>118</v>
      </c>
      <c r="AS1332">
        <v>-79</v>
      </c>
      <c r="AT1332">
        <v>-20</v>
      </c>
      <c r="AU1332">
        <v>-192</v>
      </c>
      <c r="BC1332">
        <v>1200</v>
      </c>
      <c r="BD1332">
        <v>1</v>
      </c>
      <c r="BE1332" t="str">
        <f t="shared" si="62"/>
        <v xml:space="preserve">N215T   </v>
      </c>
      <c r="BF1332">
        <v>1</v>
      </c>
      <c r="BH1332">
        <v>0</v>
      </c>
      <c r="BI1332">
        <v>0</v>
      </c>
      <c r="BJ1332">
        <v>0</v>
      </c>
      <c r="BK1332">
        <v>2350</v>
      </c>
      <c r="BL1332">
        <v>350</v>
      </c>
      <c r="BM1332" t="s">
        <v>119</v>
      </c>
      <c r="BN1332">
        <v>1</v>
      </c>
      <c r="BO1332">
        <v>1</v>
      </c>
      <c r="BP1332">
        <v>1</v>
      </c>
      <c r="BQ1332">
        <v>0</v>
      </c>
      <c r="BT1332">
        <v>0</v>
      </c>
      <c r="BU1332">
        <v>0</v>
      </c>
      <c r="BV1332">
        <v>0</v>
      </c>
      <c r="CC1332" t="str">
        <f>"18:56:57.336"</f>
        <v>18:56:57.336</v>
      </c>
      <c r="CD1332" t="str">
        <f>"332256337"</f>
        <v>332256337</v>
      </c>
      <c r="CQ1332">
        <v>0</v>
      </c>
      <c r="CR1332">
        <v>2</v>
      </c>
      <c r="CS1332">
        <v>0</v>
      </c>
      <c r="CT1332">
        <v>2</v>
      </c>
      <c r="CU1332">
        <v>0</v>
      </c>
      <c r="CV1332">
        <v>7</v>
      </c>
      <c r="CW1332" t="s">
        <v>120</v>
      </c>
      <c r="CX1332">
        <v>261</v>
      </c>
      <c r="CY1332">
        <v>2</v>
      </c>
      <c r="CZ1332" t="s">
        <v>121</v>
      </c>
      <c r="DA1332" t="s">
        <v>122</v>
      </c>
      <c r="DD1332">
        <v>15003686</v>
      </c>
      <c r="DE1332" t="s">
        <v>123</v>
      </c>
    </row>
    <row r="1333" spans="1:109" x14ac:dyDescent="0.3">
      <c r="A1333" t="str">
        <f>"18:56:58.578"</f>
        <v>18:56:58.578</v>
      </c>
      <c r="B1333" t="s">
        <v>110</v>
      </c>
      <c r="C1333" t="str">
        <f t="shared" si="60"/>
        <v>ffdfd3c0</v>
      </c>
      <c r="D1333" t="s">
        <v>111</v>
      </c>
      <c r="E1333">
        <v>18</v>
      </c>
      <c r="F1333">
        <v>1018</v>
      </c>
      <c r="G1333" t="s">
        <v>112</v>
      </c>
      <c r="J1333" t="s">
        <v>113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R1333" t="s">
        <v>114</v>
      </c>
      <c r="S1333" t="str">
        <f>"18:56:58.359"</f>
        <v>18:56:58.359</v>
      </c>
      <c r="T1333" t="str">
        <f>"18:56:58.258"</f>
        <v>18:56:58.258</v>
      </c>
      <c r="U1333" t="str">
        <f t="shared" si="61"/>
        <v>a1cdbe</v>
      </c>
      <c r="V1333">
        <v>0</v>
      </c>
      <c r="W1333">
        <v>0</v>
      </c>
      <c r="X1333">
        <v>1</v>
      </c>
      <c r="Y1333">
        <v>0</v>
      </c>
      <c r="Z1333">
        <v>0</v>
      </c>
      <c r="AB1333">
        <v>0</v>
      </c>
      <c r="AC1333">
        <v>9</v>
      </c>
      <c r="AD1333">
        <v>3</v>
      </c>
      <c r="AE1333">
        <v>0</v>
      </c>
      <c r="AF1333">
        <v>9</v>
      </c>
      <c r="AG1333" t="s">
        <v>158</v>
      </c>
      <c r="AH1333">
        <v>0</v>
      </c>
      <c r="AI1333">
        <v>3</v>
      </c>
      <c r="AJ1333">
        <v>1</v>
      </c>
      <c r="AK1333">
        <v>0</v>
      </c>
      <c r="AL1333" t="s">
        <v>2621</v>
      </c>
      <c r="AM1333">
        <v>46.815618999999998</v>
      </c>
      <c r="AN1333" t="s">
        <v>2622</v>
      </c>
      <c r="AO1333">
        <v>-122.68908999999999</v>
      </c>
      <c r="AP1333">
        <v>100</v>
      </c>
      <c r="AQ1333">
        <v>2000</v>
      </c>
      <c r="AR1333" t="s">
        <v>118</v>
      </c>
      <c r="AS1333">
        <v>-79</v>
      </c>
      <c r="AT1333">
        <v>-20</v>
      </c>
      <c r="AU1333">
        <v>-192</v>
      </c>
      <c r="BC1333">
        <v>1200</v>
      </c>
      <c r="BD1333">
        <v>1</v>
      </c>
      <c r="BE1333" t="str">
        <f t="shared" si="62"/>
        <v xml:space="preserve">N215T   </v>
      </c>
      <c r="BF1333">
        <v>1</v>
      </c>
      <c r="BH1333">
        <v>0</v>
      </c>
      <c r="BI1333">
        <v>0</v>
      </c>
      <c r="BJ1333">
        <v>0</v>
      </c>
      <c r="BK1333">
        <v>2350</v>
      </c>
      <c r="BL1333">
        <v>350</v>
      </c>
      <c r="BM1333" t="s">
        <v>119</v>
      </c>
      <c r="BN1333">
        <v>1</v>
      </c>
      <c r="BO1333">
        <v>1</v>
      </c>
      <c r="BP1333">
        <v>1</v>
      </c>
      <c r="BQ1333">
        <v>0</v>
      </c>
      <c r="BT1333">
        <v>0</v>
      </c>
      <c r="BU1333">
        <v>0</v>
      </c>
      <c r="BV1333">
        <v>0</v>
      </c>
      <c r="CC1333" t="str">
        <f>"18:56:58.367"</f>
        <v>18:56:58.367</v>
      </c>
      <c r="CD1333" t="str">
        <f>"367154440"</f>
        <v>367154440</v>
      </c>
      <c r="CQ1333">
        <v>0</v>
      </c>
      <c r="CR1333">
        <v>2</v>
      </c>
      <c r="CS1333">
        <v>0</v>
      </c>
      <c r="CT1333">
        <v>2</v>
      </c>
      <c r="CU1333">
        <v>0</v>
      </c>
      <c r="CV1333">
        <v>7</v>
      </c>
      <c r="CW1333" t="s">
        <v>120</v>
      </c>
      <c r="CX1333">
        <v>261</v>
      </c>
      <c r="CY1333">
        <v>2</v>
      </c>
      <c r="CZ1333" t="s">
        <v>121</v>
      </c>
      <c r="DA1333" t="s">
        <v>122</v>
      </c>
      <c r="DD1333">
        <v>15004400</v>
      </c>
      <c r="DE1333" t="s">
        <v>123</v>
      </c>
    </row>
    <row r="1334" spans="1:109" x14ac:dyDescent="0.3">
      <c r="A1334" t="str">
        <f>"18:56:59.484"</f>
        <v>18:56:59.484</v>
      </c>
      <c r="B1334" t="s">
        <v>110</v>
      </c>
      <c r="C1334" t="str">
        <f t="shared" si="60"/>
        <v>ffdfd3c0</v>
      </c>
      <c r="D1334" t="s">
        <v>111</v>
      </c>
      <c r="E1334">
        <v>18</v>
      </c>
      <c r="F1334">
        <v>1018</v>
      </c>
      <c r="G1334" t="s">
        <v>112</v>
      </c>
      <c r="J1334" t="s">
        <v>113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R1334" t="s">
        <v>114</v>
      </c>
      <c r="S1334" t="str">
        <f>"18:56:59.250"</f>
        <v>18:56:59.250</v>
      </c>
      <c r="T1334" t="str">
        <f>"18:56:58.750"</f>
        <v>18:56:58.750</v>
      </c>
      <c r="U1334" t="str">
        <f t="shared" si="61"/>
        <v>a1cdbe</v>
      </c>
      <c r="V1334">
        <v>0</v>
      </c>
      <c r="W1334">
        <v>0</v>
      </c>
      <c r="X1334">
        <v>1</v>
      </c>
      <c r="Y1334">
        <v>0</v>
      </c>
      <c r="Z1334">
        <v>0</v>
      </c>
      <c r="AB1334">
        <v>0</v>
      </c>
      <c r="AC1334">
        <v>9</v>
      </c>
      <c r="AD1334">
        <v>3</v>
      </c>
      <c r="AE1334">
        <v>0</v>
      </c>
      <c r="AF1334">
        <v>9</v>
      </c>
      <c r="AG1334" t="s">
        <v>158</v>
      </c>
      <c r="AH1334">
        <v>0</v>
      </c>
      <c r="AI1334">
        <v>3</v>
      </c>
      <c r="AJ1334">
        <v>1</v>
      </c>
      <c r="AK1334">
        <v>0</v>
      </c>
      <c r="AL1334" t="s">
        <v>2623</v>
      </c>
      <c r="AM1334">
        <v>46.815576999999998</v>
      </c>
      <c r="AN1334" t="s">
        <v>2624</v>
      </c>
      <c r="AO1334">
        <v>-122.689562</v>
      </c>
      <c r="AP1334">
        <v>100</v>
      </c>
      <c r="AQ1334">
        <v>2000</v>
      </c>
      <c r="AR1334" t="s">
        <v>118</v>
      </c>
      <c r="AS1334">
        <v>-79</v>
      </c>
      <c r="AT1334">
        <v>-20</v>
      </c>
      <c r="AU1334">
        <v>-128</v>
      </c>
      <c r="BC1334">
        <v>1200</v>
      </c>
      <c r="BD1334">
        <v>1</v>
      </c>
      <c r="BE1334" t="str">
        <f t="shared" si="62"/>
        <v xml:space="preserve">N215T   </v>
      </c>
      <c r="BF1334">
        <v>1</v>
      </c>
      <c r="BH1334">
        <v>0</v>
      </c>
      <c r="BI1334">
        <v>0</v>
      </c>
      <c r="BJ1334">
        <v>0</v>
      </c>
      <c r="BK1334">
        <v>2350</v>
      </c>
      <c r="BL1334">
        <v>350</v>
      </c>
      <c r="BM1334" t="s">
        <v>119</v>
      </c>
      <c r="BN1334">
        <v>1</v>
      </c>
      <c r="BO1334">
        <v>1</v>
      </c>
      <c r="BP1334">
        <v>1</v>
      </c>
      <c r="BQ1334">
        <v>0</v>
      </c>
      <c r="BT1334">
        <v>0</v>
      </c>
      <c r="BU1334">
        <v>0</v>
      </c>
      <c r="BV1334">
        <v>0</v>
      </c>
      <c r="CC1334" t="str">
        <f>"18:56:59.250"</f>
        <v>18:56:59.250</v>
      </c>
      <c r="CD1334" t="str">
        <f>"252067317"</f>
        <v>252067317</v>
      </c>
      <c r="CQ1334">
        <v>0</v>
      </c>
      <c r="CR1334">
        <v>2</v>
      </c>
      <c r="CS1334">
        <v>0</v>
      </c>
      <c r="CT1334">
        <v>2</v>
      </c>
      <c r="CU1334">
        <v>0</v>
      </c>
      <c r="CV1334">
        <v>7</v>
      </c>
      <c r="CW1334" t="s">
        <v>120</v>
      </c>
      <c r="CX1334">
        <v>261</v>
      </c>
      <c r="CY1334">
        <v>2</v>
      </c>
      <c r="CZ1334" t="s">
        <v>121</v>
      </c>
      <c r="DA1334" t="s">
        <v>122</v>
      </c>
      <c r="DD1334">
        <v>15004993</v>
      </c>
      <c r="DE1334" t="s">
        <v>123</v>
      </c>
    </row>
    <row r="1335" spans="1:109" x14ac:dyDescent="0.3">
      <c r="A1335" t="str">
        <f>"18:57:00.492"</f>
        <v>18:57:00.492</v>
      </c>
      <c r="B1335" t="s">
        <v>110</v>
      </c>
      <c r="C1335" t="str">
        <f t="shared" si="60"/>
        <v>ffdfd3c0</v>
      </c>
      <c r="D1335" t="s">
        <v>111</v>
      </c>
      <c r="E1335">
        <v>18</v>
      </c>
      <c r="F1335">
        <v>1018</v>
      </c>
      <c r="G1335" t="s">
        <v>112</v>
      </c>
      <c r="J1335" t="s">
        <v>113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R1335" t="s">
        <v>114</v>
      </c>
      <c r="S1335" t="str">
        <f>"18:57:00.266"</f>
        <v>18:57:00.266</v>
      </c>
      <c r="T1335" t="str">
        <f>"18:56:59.867"</f>
        <v>18:56:59.867</v>
      </c>
      <c r="U1335" t="str">
        <f t="shared" si="61"/>
        <v>a1cdbe</v>
      </c>
      <c r="V1335">
        <v>0</v>
      </c>
      <c r="W1335">
        <v>0</v>
      </c>
      <c r="X1335">
        <v>1</v>
      </c>
      <c r="Y1335">
        <v>0</v>
      </c>
      <c r="Z1335">
        <v>0</v>
      </c>
      <c r="AB1335">
        <v>0</v>
      </c>
      <c r="AC1335">
        <v>9</v>
      </c>
      <c r="AD1335">
        <v>3</v>
      </c>
      <c r="AE1335">
        <v>0</v>
      </c>
      <c r="AF1335">
        <v>9</v>
      </c>
      <c r="AG1335" t="s">
        <v>158</v>
      </c>
      <c r="AH1335">
        <v>0</v>
      </c>
      <c r="AI1335">
        <v>3</v>
      </c>
      <c r="AJ1335">
        <v>1</v>
      </c>
      <c r="AK1335">
        <v>0</v>
      </c>
      <c r="AL1335" t="s">
        <v>2625</v>
      </c>
      <c r="AM1335">
        <v>46.815491000000002</v>
      </c>
      <c r="AN1335" t="s">
        <v>2626</v>
      </c>
      <c r="AO1335">
        <v>-122.69009800000001</v>
      </c>
      <c r="AP1335">
        <v>100</v>
      </c>
      <c r="AQ1335">
        <v>2000</v>
      </c>
      <c r="AR1335" t="s">
        <v>118</v>
      </c>
      <c r="AS1335">
        <v>-78</v>
      </c>
      <c r="AT1335">
        <v>-19</v>
      </c>
      <c r="AU1335">
        <v>-64</v>
      </c>
      <c r="BC1335">
        <v>1200</v>
      </c>
      <c r="BD1335">
        <v>1</v>
      </c>
      <c r="BE1335" t="str">
        <f t="shared" si="62"/>
        <v xml:space="preserve">N215T   </v>
      </c>
      <c r="BF1335">
        <v>1</v>
      </c>
      <c r="BH1335">
        <v>0</v>
      </c>
      <c r="BI1335">
        <v>0</v>
      </c>
      <c r="BJ1335">
        <v>0</v>
      </c>
      <c r="BK1335">
        <v>2350</v>
      </c>
      <c r="BL1335">
        <v>350</v>
      </c>
      <c r="BM1335" t="s">
        <v>119</v>
      </c>
      <c r="BN1335">
        <v>1</v>
      </c>
      <c r="BO1335">
        <v>1</v>
      </c>
      <c r="BP1335">
        <v>1</v>
      </c>
      <c r="BQ1335">
        <v>0</v>
      </c>
      <c r="BT1335">
        <v>0</v>
      </c>
      <c r="BU1335">
        <v>0</v>
      </c>
      <c r="BV1335">
        <v>0</v>
      </c>
      <c r="CC1335" t="str">
        <f>"18:57:00.273"</f>
        <v>18:57:00.273</v>
      </c>
      <c r="CD1335" t="str">
        <f>"271966894"</f>
        <v>271966894</v>
      </c>
      <c r="CQ1335">
        <v>0</v>
      </c>
      <c r="CR1335">
        <v>2</v>
      </c>
      <c r="CS1335">
        <v>0</v>
      </c>
      <c r="CT1335">
        <v>2</v>
      </c>
      <c r="CU1335">
        <v>0</v>
      </c>
      <c r="CV1335">
        <v>7</v>
      </c>
      <c r="CW1335" t="s">
        <v>120</v>
      </c>
      <c r="CX1335">
        <v>261</v>
      </c>
      <c r="CY1335">
        <v>2</v>
      </c>
      <c r="CZ1335" t="s">
        <v>121</v>
      </c>
      <c r="DA1335" t="s">
        <v>122</v>
      </c>
      <c r="DD1335">
        <v>15005667</v>
      </c>
      <c r="DE1335" t="s">
        <v>123</v>
      </c>
    </row>
    <row r="1336" spans="1:109" x14ac:dyDescent="0.3">
      <c r="A1336" t="str">
        <f>"18:57:01.547"</f>
        <v>18:57:01.547</v>
      </c>
      <c r="B1336" t="s">
        <v>110</v>
      </c>
      <c r="C1336" t="str">
        <f t="shared" si="60"/>
        <v>ffdfd3c0</v>
      </c>
      <c r="D1336" t="s">
        <v>111</v>
      </c>
      <c r="E1336">
        <v>18</v>
      </c>
      <c r="F1336">
        <v>1018</v>
      </c>
      <c r="G1336" t="s">
        <v>112</v>
      </c>
      <c r="J1336" t="s">
        <v>113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R1336" t="s">
        <v>114</v>
      </c>
      <c r="S1336" t="str">
        <f>"18:57:01.352"</f>
        <v>18:57:01.352</v>
      </c>
      <c r="T1336" t="str">
        <f>"18:57:00.953"</f>
        <v>18:57:00.953</v>
      </c>
      <c r="U1336" t="str">
        <f t="shared" si="61"/>
        <v>a1cdbe</v>
      </c>
      <c r="V1336">
        <v>0</v>
      </c>
      <c r="W1336">
        <v>0</v>
      </c>
      <c r="X1336">
        <v>1</v>
      </c>
      <c r="Y1336">
        <v>0</v>
      </c>
      <c r="Z1336">
        <v>0</v>
      </c>
      <c r="AB1336">
        <v>0</v>
      </c>
      <c r="AC1336">
        <v>9</v>
      </c>
      <c r="AD1336">
        <v>3</v>
      </c>
      <c r="AE1336">
        <v>0</v>
      </c>
      <c r="AF1336">
        <v>9</v>
      </c>
      <c r="AG1336" t="s">
        <v>158</v>
      </c>
      <c r="AH1336">
        <v>0</v>
      </c>
      <c r="AI1336">
        <v>3</v>
      </c>
      <c r="AJ1336">
        <v>1</v>
      </c>
      <c r="AK1336">
        <v>0</v>
      </c>
      <c r="AL1336" t="s">
        <v>2627</v>
      </c>
      <c r="AM1336">
        <v>46.815404999999998</v>
      </c>
      <c r="AN1336" t="s">
        <v>2628</v>
      </c>
      <c r="AO1336">
        <v>-122.690613</v>
      </c>
      <c r="AP1336">
        <v>100</v>
      </c>
      <c r="AQ1336">
        <v>2000</v>
      </c>
      <c r="AR1336" t="s">
        <v>118</v>
      </c>
      <c r="AS1336">
        <v>-78</v>
      </c>
      <c r="AT1336">
        <v>-19</v>
      </c>
      <c r="AU1336">
        <v>-128</v>
      </c>
      <c r="BC1336">
        <v>1200</v>
      </c>
      <c r="BD1336">
        <v>1</v>
      </c>
      <c r="BE1336" t="str">
        <f t="shared" si="62"/>
        <v xml:space="preserve">N215T   </v>
      </c>
      <c r="BF1336">
        <v>1</v>
      </c>
      <c r="BH1336">
        <v>0</v>
      </c>
      <c r="BI1336">
        <v>0</v>
      </c>
      <c r="BJ1336">
        <v>0</v>
      </c>
      <c r="BK1336">
        <v>2350</v>
      </c>
      <c r="BL1336">
        <v>350</v>
      </c>
      <c r="BM1336" t="s">
        <v>119</v>
      </c>
      <c r="BN1336">
        <v>1</v>
      </c>
      <c r="BO1336">
        <v>1</v>
      </c>
      <c r="BP1336">
        <v>1</v>
      </c>
      <c r="BQ1336">
        <v>0</v>
      </c>
      <c r="BT1336">
        <v>0</v>
      </c>
      <c r="BU1336">
        <v>0</v>
      </c>
      <c r="BV1336">
        <v>0</v>
      </c>
      <c r="CC1336" t="str">
        <f>"18:57:01.352"</f>
        <v>18:57:01.352</v>
      </c>
      <c r="CD1336" t="str">
        <f>"351860576"</f>
        <v>351860576</v>
      </c>
      <c r="CQ1336">
        <v>0</v>
      </c>
      <c r="CR1336">
        <v>2</v>
      </c>
      <c r="CS1336">
        <v>0</v>
      </c>
      <c r="CT1336">
        <v>2</v>
      </c>
      <c r="CU1336">
        <v>0</v>
      </c>
      <c r="CV1336">
        <v>7</v>
      </c>
      <c r="CW1336" t="s">
        <v>120</v>
      </c>
      <c r="CX1336">
        <v>261</v>
      </c>
      <c r="CY1336">
        <v>2</v>
      </c>
      <c r="CZ1336" t="s">
        <v>121</v>
      </c>
      <c r="DA1336" t="s">
        <v>122</v>
      </c>
      <c r="DD1336">
        <v>15006378</v>
      </c>
      <c r="DE1336" t="s">
        <v>123</v>
      </c>
    </row>
    <row r="1337" spans="1:109" x14ac:dyDescent="0.3">
      <c r="A1337" t="str">
        <f>"18:57:02.555"</f>
        <v>18:57:02.555</v>
      </c>
      <c r="B1337" t="s">
        <v>110</v>
      </c>
      <c r="C1337" t="str">
        <f t="shared" si="60"/>
        <v>ffdfd3c0</v>
      </c>
      <c r="D1337" t="s">
        <v>111</v>
      </c>
      <c r="E1337">
        <v>18</v>
      </c>
      <c r="F1337">
        <v>1018</v>
      </c>
      <c r="G1337" t="s">
        <v>112</v>
      </c>
      <c r="J1337" t="s">
        <v>113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R1337" t="s">
        <v>114</v>
      </c>
      <c r="S1337" t="str">
        <f>"18:57:02.336"</f>
        <v>18:57:02.336</v>
      </c>
      <c r="T1337" t="str">
        <f>"18:57:01.836"</f>
        <v>18:57:01.836</v>
      </c>
      <c r="U1337" t="str">
        <f t="shared" si="61"/>
        <v>a1cdbe</v>
      </c>
      <c r="V1337">
        <v>0</v>
      </c>
      <c r="W1337">
        <v>0</v>
      </c>
      <c r="X1337">
        <v>1</v>
      </c>
      <c r="Y1337">
        <v>0</v>
      </c>
      <c r="Z1337">
        <v>0</v>
      </c>
      <c r="AB1337">
        <v>0</v>
      </c>
      <c r="AC1337">
        <v>9</v>
      </c>
      <c r="AD1337">
        <v>3</v>
      </c>
      <c r="AE1337">
        <v>0</v>
      </c>
      <c r="AF1337">
        <v>9</v>
      </c>
      <c r="AG1337" t="s">
        <v>158</v>
      </c>
      <c r="AH1337">
        <v>0</v>
      </c>
      <c r="AI1337">
        <v>3</v>
      </c>
      <c r="AJ1337">
        <v>1</v>
      </c>
      <c r="AK1337">
        <v>0</v>
      </c>
      <c r="AL1337" t="s">
        <v>2629</v>
      </c>
      <c r="AM1337">
        <v>46.815297999999999</v>
      </c>
      <c r="AN1337" t="s">
        <v>2630</v>
      </c>
      <c r="AO1337">
        <v>-122.691193</v>
      </c>
      <c r="AP1337">
        <v>100</v>
      </c>
      <c r="AQ1337">
        <v>2000</v>
      </c>
      <c r="AR1337" t="s">
        <v>118</v>
      </c>
      <c r="AS1337">
        <v>-78</v>
      </c>
      <c r="AT1337">
        <v>-18</v>
      </c>
      <c r="AU1337">
        <v>-128</v>
      </c>
      <c r="BC1337">
        <v>1200</v>
      </c>
      <c r="BD1337">
        <v>1</v>
      </c>
      <c r="BE1337" t="str">
        <f t="shared" si="62"/>
        <v xml:space="preserve">N215T   </v>
      </c>
      <c r="BF1337">
        <v>1</v>
      </c>
      <c r="BH1337">
        <v>0</v>
      </c>
      <c r="BI1337">
        <v>0</v>
      </c>
      <c r="BJ1337">
        <v>0</v>
      </c>
      <c r="BK1337">
        <v>2350</v>
      </c>
      <c r="BL1337">
        <v>350</v>
      </c>
      <c r="BM1337" t="s">
        <v>119</v>
      </c>
      <c r="BN1337">
        <v>1</v>
      </c>
      <c r="BO1337">
        <v>1</v>
      </c>
      <c r="BP1337">
        <v>1</v>
      </c>
      <c r="BQ1337">
        <v>0</v>
      </c>
      <c r="BT1337">
        <v>0</v>
      </c>
      <c r="BU1337">
        <v>0</v>
      </c>
      <c r="BV1337">
        <v>0</v>
      </c>
      <c r="CC1337" t="str">
        <f>"18:57:02.344"</f>
        <v>18:57:02.344</v>
      </c>
      <c r="CD1337" t="str">
        <f>"341763095"</f>
        <v>341763095</v>
      </c>
      <c r="CQ1337">
        <v>0</v>
      </c>
      <c r="CR1337">
        <v>2</v>
      </c>
      <c r="CS1337">
        <v>0</v>
      </c>
      <c r="CT1337">
        <v>2</v>
      </c>
      <c r="CU1337">
        <v>0</v>
      </c>
      <c r="CV1337">
        <v>7</v>
      </c>
      <c r="CW1337" t="s">
        <v>120</v>
      </c>
      <c r="CX1337">
        <v>261</v>
      </c>
      <c r="CY1337">
        <v>2</v>
      </c>
      <c r="CZ1337" t="s">
        <v>121</v>
      </c>
      <c r="DA1337" t="s">
        <v>122</v>
      </c>
      <c r="DD1337">
        <v>15007038</v>
      </c>
      <c r="DE1337" t="s">
        <v>123</v>
      </c>
    </row>
    <row r="1338" spans="1:109" x14ac:dyDescent="0.3">
      <c r="A1338" t="str">
        <f>"18:57:03.453"</f>
        <v>18:57:03.453</v>
      </c>
      <c r="B1338" t="s">
        <v>110</v>
      </c>
      <c r="C1338" t="str">
        <f t="shared" si="60"/>
        <v>ffdfd3c0</v>
      </c>
      <c r="D1338" t="s">
        <v>111</v>
      </c>
      <c r="E1338">
        <v>18</v>
      </c>
      <c r="F1338">
        <v>1018</v>
      </c>
      <c r="G1338" t="s">
        <v>112</v>
      </c>
      <c r="J1338" t="s">
        <v>113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R1338" t="s">
        <v>114</v>
      </c>
      <c r="S1338" t="str">
        <f>"18:57:03.250"</f>
        <v>18:57:03.250</v>
      </c>
      <c r="T1338" t="str">
        <f>"18:57:02.953"</f>
        <v>18:57:02.953</v>
      </c>
      <c r="U1338" t="str">
        <f t="shared" si="61"/>
        <v>a1cdbe</v>
      </c>
      <c r="V1338">
        <v>0</v>
      </c>
      <c r="W1338">
        <v>0</v>
      </c>
      <c r="X1338">
        <v>1</v>
      </c>
      <c r="Y1338">
        <v>0</v>
      </c>
      <c r="Z1338">
        <v>0</v>
      </c>
      <c r="AB1338">
        <v>0</v>
      </c>
      <c r="AC1338">
        <v>9</v>
      </c>
      <c r="AD1338">
        <v>3</v>
      </c>
      <c r="AE1338">
        <v>0</v>
      </c>
      <c r="AF1338">
        <v>9</v>
      </c>
      <c r="AG1338" t="s">
        <v>158</v>
      </c>
      <c r="AH1338">
        <v>0</v>
      </c>
      <c r="AI1338">
        <v>3</v>
      </c>
      <c r="AJ1338">
        <v>1</v>
      </c>
      <c r="AK1338">
        <v>0</v>
      </c>
      <c r="AL1338" t="s">
        <v>2631</v>
      </c>
      <c r="AM1338">
        <v>46.815212000000002</v>
      </c>
      <c r="AN1338" t="s">
        <v>2632</v>
      </c>
      <c r="AO1338">
        <v>-122.691622</v>
      </c>
      <c r="AP1338">
        <v>100</v>
      </c>
      <c r="AQ1338">
        <v>2000</v>
      </c>
      <c r="AR1338" t="s">
        <v>118</v>
      </c>
      <c r="AS1338">
        <v>-77</v>
      </c>
      <c r="AT1338">
        <v>-17</v>
      </c>
      <c r="AU1338">
        <v>-128</v>
      </c>
      <c r="BC1338">
        <v>1200</v>
      </c>
      <c r="BD1338">
        <v>1</v>
      </c>
      <c r="BE1338" t="str">
        <f t="shared" si="62"/>
        <v xml:space="preserve">N215T   </v>
      </c>
      <c r="BF1338">
        <v>1</v>
      </c>
      <c r="BH1338">
        <v>0</v>
      </c>
      <c r="BI1338">
        <v>0</v>
      </c>
      <c r="BJ1338">
        <v>0</v>
      </c>
      <c r="BK1338">
        <v>2350</v>
      </c>
      <c r="BL1338">
        <v>350</v>
      </c>
      <c r="BM1338" t="s">
        <v>119</v>
      </c>
      <c r="BN1338">
        <v>1</v>
      </c>
      <c r="BO1338">
        <v>1</v>
      </c>
      <c r="BP1338">
        <v>1</v>
      </c>
      <c r="BQ1338">
        <v>0</v>
      </c>
      <c r="BT1338">
        <v>0</v>
      </c>
      <c r="BU1338">
        <v>0</v>
      </c>
      <c r="BV1338">
        <v>0</v>
      </c>
      <c r="CC1338" t="str">
        <f>"18:57:03.258"</f>
        <v>18:57:03.258</v>
      </c>
      <c r="CD1338" t="str">
        <f>"256673014"</f>
        <v>256673014</v>
      </c>
      <c r="CQ1338">
        <v>0</v>
      </c>
      <c r="CR1338">
        <v>2</v>
      </c>
      <c r="CS1338">
        <v>0</v>
      </c>
      <c r="CT1338">
        <v>2</v>
      </c>
      <c r="CU1338">
        <v>0</v>
      </c>
      <c r="CV1338">
        <v>7</v>
      </c>
      <c r="CW1338" t="s">
        <v>120</v>
      </c>
      <c r="CX1338">
        <v>261</v>
      </c>
      <c r="CY1338">
        <v>2</v>
      </c>
      <c r="CZ1338" t="s">
        <v>121</v>
      </c>
      <c r="DA1338" t="s">
        <v>122</v>
      </c>
      <c r="DD1338">
        <v>15007643</v>
      </c>
      <c r="DE1338" t="s">
        <v>123</v>
      </c>
    </row>
    <row r="1339" spans="1:109" x14ac:dyDescent="0.3">
      <c r="A1339" t="str">
        <f>"18:57:04.609"</f>
        <v>18:57:04.609</v>
      </c>
      <c r="B1339" t="s">
        <v>110</v>
      </c>
      <c r="C1339" t="str">
        <f t="shared" si="60"/>
        <v>ffdfd3c0</v>
      </c>
      <c r="D1339" t="s">
        <v>111</v>
      </c>
      <c r="E1339">
        <v>18</v>
      </c>
      <c r="F1339">
        <v>1018</v>
      </c>
      <c r="G1339" t="s">
        <v>112</v>
      </c>
      <c r="J1339" t="s">
        <v>113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R1339" t="s">
        <v>114</v>
      </c>
      <c r="S1339" t="str">
        <f>"18:57:04.336"</f>
        <v>18:57:04.336</v>
      </c>
      <c r="T1339" t="str">
        <f>"18:57:03.938"</f>
        <v>18:57:03.938</v>
      </c>
      <c r="U1339" t="str">
        <f t="shared" si="61"/>
        <v>a1cdbe</v>
      </c>
      <c r="V1339">
        <v>0</v>
      </c>
      <c r="W1339">
        <v>0</v>
      </c>
      <c r="X1339">
        <v>1</v>
      </c>
      <c r="Y1339">
        <v>0</v>
      </c>
      <c r="Z1339">
        <v>0</v>
      </c>
      <c r="AB1339">
        <v>0</v>
      </c>
      <c r="AC1339">
        <v>9</v>
      </c>
      <c r="AD1339">
        <v>3</v>
      </c>
      <c r="AE1339">
        <v>0</v>
      </c>
      <c r="AF1339">
        <v>9</v>
      </c>
      <c r="AG1339" t="s">
        <v>158</v>
      </c>
      <c r="AH1339">
        <v>0</v>
      </c>
      <c r="AI1339">
        <v>3</v>
      </c>
      <c r="AJ1339">
        <v>1</v>
      </c>
      <c r="AK1339">
        <v>0</v>
      </c>
      <c r="AL1339" t="s">
        <v>2633</v>
      </c>
      <c r="AM1339">
        <v>46.815168999999997</v>
      </c>
      <c r="AN1339" t="s">
        <v>2634</v>
      </c>
      <c r="AO1339">
        <v>-122.692223</v>
      </c>
      <c r="AP1339">
        <v>100</v>
      </c>
      <c r="AQ1339">
        <v>2000</v>
      </c>
      <c r="AR1339" t="s">
        <v>118</v>
      </c>
      <c r="AS1339">
        <v>-77</v>
      </c>
      <c r="AT1339">
        <v>-17</v>
      </c>
      <c r="AU1339">
        <v>-128</v>
      </c>
      <c r="BC1339">
        <v>1200</v>
      </c>
      <c r="BD1339">
        <v>1</v>
      </c>
      <c r="BE1339" t="str">
        <f t="shared" si="62"/>
        <v xml:space="preserve">N215T   </v>
      </c>
      <c r="BF1339">
        <v>1</v>
      </c>
      <c r="BH1339">
        <v>0</v>
      </c>
      <c r="BI1339">
        <v>0</v>
      </c>
      <c r="BJ1339">
        <v>0</v>
      </c>
      <c r="BK1339">
        <v>2350</v>
      </c>
      <c r="BL1339">
        <v>350</v>
      </c>
      <c r="BM1339" t="s">
        <v>119</v>
      </c>
      <c r="BN1339">
        <v>1</v>
      </c>
      <c r="BO1339">
        <v>1</v>
      </c>
      <c r="BP1339">
        <v>1</v>
      </c>
      <c r="BQ1339">
        <v>0</v>
      </c>
      <c r="BT1339">
        <v>0</v>
      </c>
      <c r="BU1339">
        <v>0</v>
      </c>
      <c r="BV1339">
        <v>0</v>
      </c>
      <c r="CC1339" t="str">
        <f>"18:57:04.336"</f>
        <v>18:57:04.336</v>
      </c>
      <c r="CD1339" t="str">
        <f>"336566692"</f>
        <v>336566692</v>
      </c>
      <c r="CQ1339">
        <v>0</v>
      </c>
      <c r="CR1339">
        <v>2</v>
      </c>
      <c r="CS1339">
        <v>0</v>
      </c>
      <c r="CT1339">
        <v>2</v>
      </c>
      <c r="CU1339">
        <v>0</v>
      </c>
      <c r="CV1339">
        <v>7</v>
      </c>
      <c r="CW1339" t="s">
        <v>120</v>
      </c>
      <c r="CX1339">
        <v>261</v>
      </c>
      <c r="CY1339">
        <v>2</v>
      </c>
      <c r="CZ1339" t="s">
        <v>121</v>
      </c>
      <c r="DA1339" t="s">
        <v>122</v>
      </c>
      <c r="DD1339">
        <v>15008334</v>
      </c>
      <c r="DE1339" t="s">
        <v>123</v>
      </c>
    </row>
    <row r="1340" spans="1:109" x14ac:dyDescent="0.3">
      <c r="A1340" t="str">
        <f>"18:57:05.719"</f>
        <v>18:57:05.719</v>
      </c>
      <c r="B1340" t="s">
        <v>110</v>
      </c>
      <c r="C1340" t="str">
        <f t="shared" si="60"/>
        <v>ffdfd3c0</v>
      </c>
      <c r="D1340" t="s">
        <v>111</v>
      </c>
      <c r="E1340">
        <v>18</v>
      </c>
      <c r="F1340">
        <v>1018</v>
      </c>
      <c r="G1340" t="s">
        <v>112</v>
      </c>
      <c r="J1340" t="s">
        <v>113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R1340" t="s">
        <v>114</v>
      </c>
      <c r="S1340" t="str">
        <f>"18:57:05.500"</f>
        <v>18:57:05.500</v>
      </c>
      <c r="T1340" t="str">
        <f>"18:57:05.297"</f>
        <v>18:57:05.297</v>
      </c>
      <c r="U1340" t="str">
        <f t="shared" si="61"/>
        <v>a1cdbe</v>
      </c>
      <c r="V1340">
        <v>0</v>
      </c>
      <c r="W1340">
        <v>0</v>
      </c>
      <c r="X1340">
        <v>1</v>
      </c>
      <c r="Y1340">
        <v>0</v>
      </c>
      <c r="Z1340">
        <v>0</v>
      </c>
      <c r="AB1340">
        <v>0</v>
      </c>
      <c r="AC1340">
        <v>9</v>
      </c>
      <c r="AD1340">
        <v>3</v>
      </c>
      <c r="AE1340">
        <v>0</v>
      </c>
      <c r="AF1340">
        <v>9</v>
      </c>
      <c r="AG1340" t="s">
        <v>158</v>
      </c>
      <c r="AH1340">
        <v>0</v>
      </c>
      <c r="AI1340">
        <v>3</v>
      </c>
      <c r="AJ1340">
        <v>1</v>
      </c>
      <c r="AK1340">
        <v>0</v>
      </c>
      <c r="AL1340" t="s">
        <v>2635</v>
      </c>
      <c r="AM1340">
        <v>46.815018999999999</v>
      </c>
      <c r="AN1340" t="s">
        <v>2636</v>
      </c>
      <c r="AO1340">
        <v>-122.69284500000001</v>
      </c>
      <c r="AP1340">
        <v>100</v>
      </c>
      <c r="AQ1340">
        <v>2000</v>
      </c>
      <c r="AR1340" t="s">
        <v>118</v>
      </c>
      <c r="AS1340">
        <v>-76</v>
      </c>
      <c r="AT1340">
        <v>-18</v>
      </c>
      <c r="AU1340">
        <v>-64</v>
      </c>
      <c r="BC1340">
        <v>1200</v>
      </c>
      <c r="BD1340">
        <v>1</v>
      </c>
      <c r="BE1340" t="str">
        <f t="shared" si="62"/>
        <v xml:space="preserve">N215T   </v>
      </c>
      <c r="BF1340">
        <v>1</v>
      </c>
      <c r="BH1340">
        <v>0</v>
      </c>
      <c r="BI1340">
        <v>0</v>
      </c>
      <c r="BJ1340">
        <v>0</v>
      </c>
      <c r="BK1340">
        <v>2350</v>
      </c>
      <c r="BL1340">
        <v>350</v>
      </c>
      <c r="BM1340" t="s">
        <v>119</v>
      </c>
      <c r="BN1340">
        <v>1</v>
      </c>
      <c r="BO1340">
        <v>1</v>
      </c>
      <c r="BP1340">
        <v>1</v>
      </c>
      <c r="BQ1340">
        <v>0</v>
      </c>
      <c r="BT1340">
        <v>0</v>
      </c>
      <c r="BU1340">
        <v>0</v>
      </c>
      <c r="BV1340">
        <v>0</v>
      </c>
      <c r="CC1340" t="str">
        <f>"18:57:05.508"</f>
        <v>18:57:05.508</v>
      </c>
      <c r="CD1340" t="str">
        <f>"506451513"</f>
        <v>506451513</v>
      </c>
      <c r="CQ1340">
        <v>0</v>
      </c>
      <c r="CR1340">
        <v>2</v>
      </c>
      <c r="CS1340">
        <v>0</v>
      </c>
      <c r="CT1340">
        <v>2</v>
      </c>
      <c r="CU1340">
        <v>0</v>
      </c>
      <c r="CV1340">
        <v>7</v>
      </c>
      <c r="CW1340" t="s">
        <v>120</v>
      </c>
      <c r="CX1340">
        <v>261</v>
      </c>
      <c r="CY1340">
        <v>2</v>
      </c>
      <c r="CZ1340" t="s">
        <v>121</v>
      </c>
      <c r="DA1340" t="s">
        <v>122</v>
      </c>
      <c r="DD1340">
        <v>15009108</v>
      </c>
      <c r="DE1340" t="s">
        <v>123</v>
      </c>
    </row>
    <row r="1341" spans="1:109" x14ac:dyDescent="0.3">
      <c r="A1341" t="str">
        <f>"18:57:06.625"</f>
        <v>18:57:06.625</v>
      </c>
      <c r="B1341" t="s">
        <v>110</v>
      </c>
      <c r="C1341" t="str">
        <f t="shared" si="60"/>
        <v>ffdfd3c0</v>
      </c>
      <c r="D1341" t="s">
        <v>111</v>
      </c>
      <c r="E1341">
        <v>18</v>
      </c>
      <c r="F1341">
        <v>1018</v>
      </c>
      <c r="G1341" t="s">
        <v>112</v>
      </c>
      <c r="J1341" t="s">
        <v>113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R1341" t="s">
        <v>114</v>
      </c>
      <c r="S1341" t="str">
        <f>"18:57:06.414"</f>
        <v>18:57:06.414</v>
      </c>
      <c r="T1341" t="str">
        <f>"18:57:06.414"</f>
        <v>18:57:06.414</v>
      </c>
      <c r="U1341" t="str">
        <f t="shared" si="61"/>
        <v>a1cdbe</v>
      </c>
      <c r="V1341">
        <v>0</v>
      </c>
      <c r="W1341">
        <v>0</v>
      </c>
      <c r="X1341">
        <v>1</v>
      </c>
      <c r="Y1341">
        <v>0</v>
      </c>
      <c r="Z1341">
        <v>0</v>
      </c>
      <c r="AB1341">
        <v>0</v>
      </c>
      <c r="AC1341">
        <v>9</v>
      </c>
      <c r="AD1341">
        <v>3</v>
      </c>
      <c r="AE1341">
        <v>0</v>
      </c>
      <c r="AF1341">
        <v>9</v>
      </c>
      <c r="AG1341" t="s">
        <v>158</v>
      </c>
      <c r="AH1341">
        <v>0</v>
      </c>
      <c r="AI1341">
        <v>3</v>
      </c>
      <c r="AJ1341">
        <v>1</v>
      </c>
      <c r="AK1341">
        <v>0</v>
      </c>
      <c r="AL1341" t="s">
        <v>2637</v>
      </c>
      <c r="AM1341">
        <v>46.814996999999998</v>
      </c>
      <c r="AN1341" t="s">
        <v>2638</v>
      </c>
      <c r="AO1341">
        <v>-122.69329500000001</v>
      </c>
      <c r="AP1341">
        <v>100</v>
      </c>
      <c r="AQ1341">
        <v>2000</v>
      </c>
      <c r="AR1341" t="s">
        <v>118</v>
      </c>
      <c r="AS1341">
        <v>-76</v>
      </c>
      <c r="AT1341">
        <v>-19</v>
      </c>
      <c r="AU1341">
        <v>-64</v>
      </c>
      <c r="BC1341">
        <v>1200</v>
      </c>
      <c r="BD1341">
        <v>1</v>
      </c>
      <c r="BE1341" t="str">
        <f t="shared" si="62"/>
        <v xml:space="preserve">N215T   </v>
      </c>
      <c r="BF1341">
        <v>1</v>
      </c>
      <c r="BH1341">
        <v>0</v>
      </c>
      <c r="BI1341">
        <v>0</v>
      </c>
      <c r="BJ1341">
        <v>0</v>
      </c>
      <c r="BK1341">
        <v>2350</v>
      </c>
      <c r="BL1341">
        <v>350</v>
      </c>
      <c r="BM1341" t="s">
        <v>119</v>
      </c>
      <c r="BN1341">
        <v>1</v>
      </c>
      <c r="BO1341">
        <v>1</v>
      </c>
      <c r="BP1341">
        <v>1</v>
      </c>
      <c r="BQ1341">
        <v>0</v>
      </c>
      <c r="BT1341">
        <v>0</v>
      </c>
      <c r="BU1341">
        <v>0</v>
      </c>
      <c r="BV1341">
        <v>0</v>
      </c>
      <c r="CC1341" t="str">
        <f>"18:57:06.422"</f>
        <v>18:57:06.422</v>
      </c>
      <c r="CD1341" t="str">
        <f>"421361418"</f>
        <v>421361418</v>
      </c>
      <c r="CQ1341">
        <v>0</v>
      </c>
      <c r="CR1341">
        <v>2</v>
      </c>
      <c r="CS1341">
        <v>0</v>
      </c>
      <c r="CT1341">
        <v>2</v>
      </c>
      <c r="CU1341">
        <v>0</v>
      </c>
      <c r="CV1341">
        <v>7</v>
      </c>
      <c r="CW1341" t="s">
        <v>120</v>
      </c>
      <c r="CX1341">
        <v>261</v>
      </c>
      <c r="CY1341">
        <v>2</v>
      </c>
      <c r="CZ1341" t="s">
        <v>121</v>
      </c>
      <c r="DA1341" t="s">
        <v>122</v>
      </c>
      <c r="DD1341">
        <v>15009691</v>
      </c>
      <c r="DE1341" t="s">
        <v>123</v>
      </c>
    </row>
    <row r="1342" spans="1:109" x14ac:dyDescent="0.3">
      <c r="A1342" t="str">
        <f>"18:57:07.633"</f>
        <v>18:57:07.633</v>
      </c>
      <c r="B1342" t="s">
        <v>110</v>
      </c>
      <c r="C1342" t="str">
        <f t="shared" si="60"/>
        <v>ffdfd3c0</v>
      </c>
      <c r="D1342" t="s">
        <v>111</v>
      </c>
      <c r="E1342">
        <v>18</v>
      </c>
      <c r="F1342">
        <v>1018</v>
      </c>
      <c r="G1342" t="s">
        <v>112</v>
      </c>
      <c r="J1342" t="s">
        <v>113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R1342" t="s">
        <v>114</v>
      </c>
      <c r="S1342" t="str">
        <f>"18:57:07.391"</f>
        <v>18:57:07.391</v>
      </c>
      <c r="T1342" t="str">
        <f>"18:57:06.992"</f>
        <v>18:57:06.992</v>
      </c>
      <c r="U1342" t="str">
        <f t="shared" si="61"/>
        <v>a1cdbe</v>
      </c>
      <c r="V1342">
        <v>0</v>
      </c>
      <c r="W1342">
        <v>0</v>
      </c>
      <c r="X1342">
        <v>1</v>
      </c>
      <c r="Y1342">
        <v>0</v>
      </c>
      <c r="Z1342">
        <v>0</v>
      </c>
      <c r="AB1342">
        <v>0</v>
      </c>
      <c r="AC1342">
        <v>9</v>
      </c>
      <c r="AD1342">
        <v>3</v>
      </c>
      <c r="AE1342">
        <v>0</v>
      </c>
      <c r="AF1342">
        <v>9</v>
      </c>
      <c r="AG1342" t="s">
        <v>158</v>
      </c>
      <c r="AH1342">
        <v>0</v>
      </c>
      <c r="AI1342">
        <v>3</v>
      </c>
      <c r="AJ1342">
        <v>1</v>
      </c>
      <c r="AK1342">
        <v>0</v>
      </c>
      <c r="AL1342" t="s">
        <v>2639</v>
      </c>
      <c r="AM1342">
        <v>46.814889999999998</v>
      </c>
      <c r="AN1342" t="s">
        <v>2640</v>
      </c>
      <c r="AO1342">
        <v>-122.693725</v>
      </c>
      <c r="AP1342">
        <v>100</v>
      </c>
      <c r="AQ1342">
        <v>2000</v>
      </c>
      <c r="AR1342" t="s">
        <v>118</v>
      </c>
      <c r="AS1342">
        <v>-76</v>
      </c>
      <c r="AT1342">
        <v>-19</v>
      </c>
      <c r="AU1342">
        <v>-64</v>
      </c>
      <c r="BC1342">
        <v>1200</v>
      </c>
      <c r="BD1342">
        <v>1</v>
      </c>
      <c r="BE1342" t="str">
        <f t="shared" si="62"/>
        <v xml:space="preserve">N215T   </v>
      </c>
      <c r="BF1342">
        <v>1</v>
      </c>
      <c r="BH1342">
        <v>0</v>
      </c>
      <c r="BI1342">
        <v>0</v>
      </c>
      <c r="BJ1342">
        <v>0</v>
      </c>
      <c r="BK1342">
        <v>2350</v>
      </c>
      <c r="BL1342">
        <v>350</v>
      </c>
      <c r="BM1342" t="s">
        <v>119</v>
      </c>
      <c r="BN1342">
        <v>1</v>
      </c>
      <c r="BO1342">
        <v>1</v>
      </c>
      <c r="BP1342">
        <v>1</v>
      </c>
      <c r="BQ1342">
        <v>0</v>
      </c>
      <c r="BT1342">
        <v>0</v>
      </c>
      <c r="BU1342">
        <v>0</v>
      </c>
      <c r="BV1342">
        <v>0</v>
      </c>
      <c r="CC1342" t="str">
        <f>"18:57:07.398"</f>
        <v>18:57:07.398</v>
      </c>
      <c r="CD1342" t="str">
        <f>"396265440"</f>
        <v>396265440</v>
      </c>
      <c r="CQ1342">
        <v>0</v>
      </c>
      <c r="CR1342">
        <v>2</v>
      </c>
      <c r="CS1342">
        <v>0</v>
      </c>
      <c r="CT1342">
        <v>2</v>
      </c>
      <c r="CU1342">
        <v>0</v>
      </c>
      <c r="CV1342">
        <v>7</v>
      </c>
      <c r="CW1342" t="s">
        <v>120</v>
      </c>
      <c r="CX1342">
        <v>261</v>
      </c>
      <c r="CY1342">
        <v>2</v>
      </c>
      <c r="CZ1342" t="s">
        <v>121</v>
      </c>
      <c r="DA1342" t="s">
        <v>122</v>
      </c>
      <c r="DD1342">
        <v>15010358</v>
      </c>
      <c r="DE1342" t="s">
        <v>123</v>
      </c>
    </row>
    <row r="1343" spans="1:109" x14ac:dyDescent="0.3">
      <c r="A1343" t="str">
        <f>"18:57:08.734"</f>
        <v>18:57:08.734</v>
      </c>
      <c r="B1343" t="s">
        <v>110</v>
      </c>
      <c r="C1343" t="str">
        <f t="shared" si="60"/>
        <v>ffdfd3c0</v>
      </c>
      <c r="D1343" t="s">
        <v>111</v>
      </c>
      <c r="E1343">
        <v>18</v>
      </c>
      <c r="F1343">
        <v>1018</v>
      </c>
      <c r="G1343" t="s">
        <v>112</v>
      </c>
      <c r="J1343" t="s">
        <v>113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R1343" t="s">
        <v>114</v>
      </c>
      <c r="S1343" t="str">
        <f>"18:57:08.500"</f>
        <v>18:57:08.500</v>
      </c>
      <c r="T1343" t="str">
        <f>"18:57:08.000"</f>
        <v>18:57:08.000</v>
      </c>
      <c r="U1343" t="str">
        <f t="shared" si="61"/>
        <v>a1cdbe</v>
      </c>
      <c r="V1343">
        <v>0</v>
      </c>
      <c r="W1343">
        <v>0</v>
      </c>
      <c r="X1343">
        <v>1</v>
      </c>
      <c r="Y1343">
        <v>0</v>
      </c>
      <c r="Z1343">
        <v>0</v>
      </c>
      <c r="AB1343">
        <v>0</v>
      </c>
      <c r="AC1343">
        <v>9</v>
      </c>
      <c r="AD1343">
        <v>3</v>
      </c>
      <c r="AE1343">
        <v>0</v>
      </c>
      <c r="AF1343">
        <v>9</v>
      </c>
      <c r="AG1343" t="s">
        <v>158</v>
      </c>
      <c r="AH1343">
        <v>0</v>
      </c>
      <c r="AI1343">
        <v>3</v>
      </c>
      <c r="AJ1343">
        <v>1</v>
      </c>
      <c r="AK1343">
        <v>0</v>
      </c>
      <c r="AL1343" t="s">
        <v>2641</v>
      </c>
      <c r="AM1343">
        <v>46.814760999999997</v>
      </c>
      <c r="AN1343" t="s">
        <v>2642</v>
      </c>
      <c r="AO1343">
        <v>-122.694368</v>
      </c>
      <c r="AP1343">
        <v>100</v>
      </c>
      <c r="AQ1343">
        <v>2000</v>
      </c>
      <c r="AR1343" t="s">
        <v>118</v>
      </c>
      <c r="AS1343">
        <v>-76</v>
      </c>
      <c r="AT1343">
        <v>-20</v>
      </c>
      <c r="AU1343">
        <v>-64</v>
      </c>
      <c r="BC1343">
        <v>1200</v>
      </c>
      <c r="BD1343">
        <v>1</v>
      </c>
      <c r="BE1343" t="str">
        <f t="shared" si="62"/>
        <v xml:space="preserve">N215T   </v>
      </c>
      <c r="BF1343">
        <v>1</v>
      </c>
      <c r="BH1343">
        <v>0</v>
      </c>
      <c r="BI1343">
        <v>0</v>
      </c>
      <c r="BJ1343">
        <v>0</v>
      </c>
      <c r="BK1343">
        <v>2350</v>
      </c>
      <c r="BL1343">
        <v>350</v>
      </c>
      <c r="BM1343" t="s">
        <v>119</v>
      </c>
      <c r="BN1343">
        <v>1</v>
      </c>
      <c r="BO1343">
        <v>1</v>
      </c>
      <c r="BP1343">
        <v>1</v>
      </c>
      <c r="BQ1343">
        <v>0</v>
      </c>
      <c r="BT1343">
        <v>0</v>
      </c>
      <c r="BU1343">
        <v>0</v>
      </c>
      <c r="BV1343">
        <v>0</v>
      </c>
      <c r="CC1343" t="str">
        <f>"18:57:08.508"</f>
        <v>18:57:08.508</v>
      </c>
      <c r="CD1343" t="str">
        <f>"506222506"</f>
        <v>506222506</v>
      </c>
      <c r="CQ1343">
        <v>0</v>
      </c>
      <c r="CR1343">
        <v>2</v>
      </c>
      <c r="CS1343">
        <v>0</v>
      </c>
      <c r="CT1343">
        <v>2</v>
      </c>
      <c r="CU1343">
        <v>0</v>
      </c>
      <c r="CV1343">
        <v>3</v>
      </c>
      <c r="CW1343" t="s">
        <v>120</v>
      </c>
      <c r="CX1343">
        <v>257</v>
      </c>
      <c r="CY1343">
        <v>0</v>
      </c>
      <c r="CZ1343" t="s">
        <v>615</v>
      </c>
      <c r="DA1343" t="s">
        <v>616</v>
      </c>
      <c r="DD1343">
        <v>15243542</v>
      </c>
      <c r="DE1343" t="s">
        <v>123</v>
      </c>
    </row>
    <row r="1344" spans="1:109" x14ac:dyDescent="0.3">
      <c r="A1344" t="str">
        <f>"18:57:09.688"</f>
        <v>18:57:09.688</v>
      </c>
      <c r="B1344" t="s">
        <v>110</v>
      </c>
      <c r="C1344" t="str">
        <f t="shared" si="60"/>
        <v>ffdfd3c0</v>
      </c>
      <c r="D1344" t="s">
        <v>111</v>
      </c>
      <c r="E1344">
        <v>18</v>
      </c>
      <c r="F1344">
        <v>1018</v>
      </c>
      <c r="G1344" t="s">
        <v>112</v>
      </c>
      <c r="J1344" t="s">
        <v>113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R1344" t="s">
        <v>114</v>
      </c>
      <c r="S1344" t="str">
        <f>"18:57:09.430"</f>
        <v>18:57:09.430</v>
      </c>
      <c r="T1344" t="str">
        <f>"18:57:09.133"</f>
        <v>18:57:09.133</v>
      </c>
      <c r="U1344" t="str">
        <f t="shared" si="61"/>
        <v>a1cdbe</v>
      </c>
      <c r="V1344">
        <v>0</v>
      </c>
      <c r="W1344">
        <v>0</v>
      </c>
      <c r="X1344">
        <v>1</v>
      </c>
      <c r="Y1344">
        <v>0</v>
      </c>
      <c r="Z1344">
        <v>0</v>
      </c>
      <c r="AB1344">
        <v>0</v>
      </c>
      <c r="AC1344">
        <v>9</v>
      </c>
      <c r="AD1344">
        <v>3</v>
      </c>
      <c r="AE1344">
        <v>0</v>
      </c>
      <c r="AF1344">
        <v>9</v>
      </c>
      <c r="AG1344" t="s">
        <v>158</v>
      </c>
      <c r="AH1344">
        <v>0</v>
      </c>
      <c r="AI1344">
        <v>3</v>
      </c>
      <c r="AJ1344">
        <v>1</v>
      </c>
      <c r="AK1344">
        <v>0</v>
      </c>
      <c r="AL1344" t="s">
        <v>2643</v>
      </c>
      <c r="AM1344">
        <v>46.814697000000002</v>
      </c>
      <c r="AN1344" t="s">
        <v>2644</v>
      </c>
      <c r="AO1344">
        <v>-122.69484</v>
      </c>
      <c r="AP1344">
        <v>100</v>
      </c>
      <c r="AQ1344">
        <v>2000</v>
      </c>
      <c r="AR1344" t="s">
        <v>118</v>
      </c>
      <c r="AS1344">
        <v>-76</v>
      </c>
      <c r="AT1344">
        <v>-20</v>
      </c>
      <c r="AU1344">
        <v>-64</v>
      </c>
      <c r="BC1344">
        <v>1200</v>
      </c>
      <c r="BD1344">
        <v>1</v>
      </c>
      <c r="BE1344" t="str">
        <f t="shared" si="62"/>
        <v xml:space="preserve">N215T   </v>
      </c>
      <c r="BF1344">
        <v>1</v>
      </c>
      <c r="BH1344">
        <v>0</v>
      </c>
      <c r="BI1344">
        <v>0</v>
      </c>
      <c r="BJ1344">
        <v>0</v>
      </c>
      <c r="BK1344">
        <v>2325</v>
      </c>
      <c r="BL1344">
        <v>325</v>
      </c>
      <c r="BM1344" t="s">
        <v>119</v>
      </c>
      <c r="BN1344">
        <v>1</v>
      </c>
      <c r="BO1344">
        <v>1</v>
      </c>
      <c r="BP1344">
        <v>1</v>
      </c>
      <c r="BQ1344">
        <v>0</v>
      </c>
      <c r="BT1344">
        <v>0</v>
      </c>
      <c r="BU1344">
        <v>0</v>
      </c>
      <c r="BV1344">
        <v>0</v>
      </c>
      <c r="CC1344" t="str">
        <f>"18:57:09.438"</f>
        <v>18:57:09.438</v>
      </c>
      <c r="CD1344" t="str">
        <f>"436064611"</f>
        <v>436064611</v>
      </c>
      <c r="CQ1344">
        <v>0</v>
      </c>
      <c r="CR1344">
        <v>2</v>
      </c>
      <c r="CS1344">
        <v>0</v>
      </c>
      <c r="CT1344">
        <v>2</v>
      </c>
      <c r="CU1344">
        <v>0</v>
      </c>
      <c r="CV1344">
        <v>7</v>
      </c>
      <c r="CW1344" t="s">
        <v>120</v>
      </c>
      <c r="CX1344">
        <v>261</v>
      </c>
      <c r="CY1344">
        <v>2</v>
      </c>
      <c r="CZ1344" t="s">
        <v>121</v>
      </c>
      <c r="DA1344" t="s">
        <v>122</v>
      </c>
      <c r="DD1344">
        <v>15011695</v>
      </c>
      <c r="DE1344" t="s">
        <v>123</v>
      </c>
    </row>
    <row r="1345" spans="1:109" x14ac:dyDescent="0.3">
      <c r="A1345" t="str">
        <f>"18:57:10.594"</f>
        <v>18:57:10.594</v>
      </c>
      <c r="B1345" t="s">
        <v>110</v>
      </c>
      <c r="C1345" t="str">
        <f t="shared" si="60"/>
        <v>ffdfd3c0</v>
      </c>
      <c r="D1345" t="s">
        <v>111</v>
      </c>
      <c r="E1345">
        <v>18</v>
      </c>
      <c r="F1345">
        <v>1018</v>
      </c>
      <c r="G1345" t="s">
        <v>112</v>
      </c>
      <c r="J1345" t="s">
        <v>113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R1345" t="s">
        <v>114</v>
      </c>
      <c r="S1345" t="str">
        <f>"18:57:10.344"</f>
        <v>18:57:10.344</v>
      </c>
      <c r="T1345" t="str">
        <f>"18:57:09.945"</f>
        <v>18:57:09.945</v>
      </c>
      <c r="U1345" t="str">
        <f t="shared" si="61"/>
        <v>a1cdbe</v>
      </c>
      <c r="V1345">
        <v>0</v>
      </c>
      <c r="W1345">
        <v>0</v>
      </c>
      <c r="X1345">
        <v>1</v>
      </c>
      <c r="Y1345">
        <v>0</v>
      </c>
      <c r="Z1345">
        <v>0</v>
      </c>
      <c r="AB1345">
        <v>0</v>
      </c>
      <c r="AC1345">
        <v>9</v>
      </c>
      <c r="AD1345">
        <v>3</v>
      </c>
      <c r="AE1345">
        <v>0</v>
      </c>
      <c r="AF1345">
        <v>9</v>
      </c>
      <c r="AG1345" t="s">
        <v>158</v>
      </c>
      <c r="AH1345">
        <v>0</v>
      </c>
      <c r="AI1345">
        <v>3</v>
      </c>
      <c r="AJ1345">
        <v>1</v>
      </c>
      <c r="AK1345">
        <v>0</v>
      </c>
      <c r="AL1345" t="s">
        <v>2645</v>
      </c>
      <c r="AM1345">
        <v>46.814610999999999</v>
      </c>
      <c r="AN1345" t="s">
        <v>2646</v>
      </c>
      <c r="AO1345">
        <v>-122.69524800000001</v>
      </c>
      <c r="AP1345">
        <v>100</v>
      </c>
      <c r="AQ1345">
        <v>2000</v>
      </c>
      <c r="AR1345" t="s">
        <v>118</v>
      </c>
      <c r="AS1345">
        <v>-76</v>
      </c>
      <c r="AT1345">
        <v>-20</v>
      </c>
      <c r="AU1345">
        <v>-64</v>
      </c>
      <c r="BC1345">
        <v>1200</v>
      </c>
      <c r="BD1345">
        <v>1</v>
      </c>
      <c r="BE1345" t="str">
        <f t="shared" si="62"/>
        <v xml:space="preserve">N215T   </v>
      </c>
      <c r="BF1345">
        <v>1</v>
      </c>
      <c r="BH1345">
        <v>0</v>
      </c>
      <c r="BI1345">
        <v>0</v>
      </c>
      <c r="BJ1345">
        <v>0</v>
      </c>
      <c r="BK1345">
        <v>2325</v>
      </c>
      <c r="BL1345">
        <v>325</v>
      </c>
      <c r="BM1345" t="s">
        <v>119</v>
      </c>
      <c r="BN1345">
        <v>1</v>
      </c>
      <c r="BO1345">
        <v>1</v>
      </c>
      <c r="BP1345">
        <v>1</v>
      </c>
      <c r="BQ1345">
        <v>0</v>
      </c>
      <c r="BT1345">
        <v>0</v>
      </c>
      <c r="BU1345">
        <v>0</v>
      </c>
      <c r="BV1345">
        <v>0</v>
      </c>
      <c r="CC1345" t="str">
        <f>"18:57:10.352"</f>
        <v>18:57:10.352</v>
      </c>
      <c r="CD1345" t="str">
        <f>"350974523"</f>
        <v>350974523</v>
      </c>
      <c r="CQ1345">
        <v>0</v>
      </c>
      <c r="CR1345">
        <v>2</v>
      </c>
      <c r="CS1345">
        <v>0</v>
      </c>
      <c r="CT1345">
        <v>2</v>
      </c>
      <c r="CU1345">
        <v>0</v>
      </c>
      <c r="CV1345">
        <v>7</v>
      </c>
      <c r="CW1345" t="s">
        <v>120</v>
      </c>
      <c r="CX1345">
        <v>261</v>
      </c>
      <c r="CY1345">
        <v>2</v>
      </c>
      <c r="CZ1345" t="s">
        <v>121</v>
      </c>
      <c r="DA1345" t="s">
        <v>122</v>
      </c>
      <c r="DD1345">
        <v>15012224</v>
      </c>
      <c r="DE1345" t="s">
        <v>123</v>
      </c>
    </row>
    <row r="1346" spans="1:109" x14ac:dyDescent="0.3">
      <c r="A1346" t="str">
        <f>"18:57:11.602"</f>
        <v>18:57:11.602</v>
      </c>
      <c r="B1346" t="s">
        <v>110</v>
      </c>
      <c r="C1346" t="str">
        <f t="shared" ref="C1346:C1409" si="63">"ffdfd3c0"</f>
        <v>ffdfd3c0</v>
      </c>
      <c r="D1346" t="s">
        <v>111</v>
      </c>
      <c r="E1346">
        <v>18</v>
      </c>
      <c r="F1346">
        <v>1018</v>
      </c>
      <c r="G1346" t="s">
        <v>112</v>
      </c>
      <c r="J1346" t="s">
        <v>113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R1346" t="s">
        <v>114</v>
      </c>
      <c r="S1346" t="str">
        <f>"18:57:11.383"</f>
        <v>18:57:11.383</v>
      </c>
      <c r="T1346" t="str">
        <f>"18:57:11.383"</f>
        <v>18:57:11.383</v>
      </c>
      <c r="U1346" t="str">
        <f t="shared" ref="U1346:U1409" si="64">"a1cdbe"</f>
        <v>a1cdbe</v>
      </c>
      <c r="V1346">
        <v>0</v>
      </c>
      <c r="W1346">
        <v>0</v>
      </c>
      <c r="X1346">
        <v>1</v>
      </c>
      <c r="Y1346">
        <v>0</v>
      </c>
      <c r="Z1346">
        <v>0</v>
      </c>
      <c r="AB1346">
        <v>0</v>
      </c>
      <c r="AC1346">
        <v>9</v>
      </c>
      <c r="AD1346">
        <v>3</v>
      </c>
      <c r="AE1346">
        <v>0</v>
      </c>
      <c r="AF1346">
        <v>9</v>
      </c>
      <c r="AG1346" t="s">
        <v>158</v>
      </c>
      <c r="AH1346">
        <v>0</v>
      </c>
      <c r="AI1346">
        <v>3</v>
      </c>
      <c r="AJ1346">
        <v>1</v>
      </c>
      <c r="AK1346">
        <v>0</v>
      </c>
      <c r="AL1346" t="s">
        <v>2647</v>
      </c>
      <c r="AM1346">
        <v>46.814503999999999</v>
      </c>
      <c r="AN1346" t="s">
        <v>2648</v>
      </c>
      <c r="AO1346">
        <v>-122.695785</v>
      </c>
      <c r="AP1346">
        <v>100</v>
      </c>
      <c r="AQ1346">
        <v>2000</v>
      </c>
      <c r="AR1346" t="s">
        <v>118</v>
      </c>
      <c r="AS1346">
        <v>-76</v>
      </c>
      <c r="AT1346">
        <v>-20</v>
      </c>
      <c r="AU1346">
        <v>256</v>
      </c>
      <c r="BC1346">
        <v>1200</v>
      </c>
      <c r="BD1346">
        <v>1</v>
      </c>
      <c r="BE1346" t="str">
        <f t="shared" ref="BE1346:BE1409" si="65">"N215T   "</f>
        <v xml:space="preserve">N215T   </v>
      </c>
      <c r="BF1346">
        <v>1</v>
      </c>
      <c r="BH1346">
        <v>0</v>
      </c>
      <c r="BI1346">
        <v>0</v>
      </c>
      <c r="BJ1346">
        <v>0</v>
      </c>
      <c r="BK1346">
        <v>2350</v>
      </c>
      <c r="BL1346">
        <v>350</v>
      </c>
      <c r="BM1346" t="s">
        <v>119</v>
      </c>
      <c r="BN1346">
        <v>1</v>
      </c>
      <c r="BO1346">
        <v>1</v>
      </c>
      <c r="BP1346">
        <v>1</v>
      </c>
      <c r="BQ1346">
        <v>0</v>
      </c>
      <c r="BT1346">
        <v>0</v>
      </c>
      <c r="BU1346">
        <v>0</v>
      </c>
      <c r="BV1346">
        <v>0</v>
      </c>
      <c r="CC1346" t="str">
        <f>"18:57:11.383"</f>
        <v>18:57:11.383</v>
      </c>
      <c r="CD1346" t="str">
        <f>"385872630"</f>
        <v>385872630</v>
      </c>
      <c r="CQ1346">
        <v>0</v>
      </c>
      <c r="CR1346">
        <v>2</v>
      </c>
      <c r="CS1346">
        <v>0</v>
      </c>
      <c r="CT1346">
        <v>2</v>
      </c>
      <c r="CU1346">
        <v>0</v>
      </c>
      <c r="CV1346">
        <v>7</v>
      </c>
      <c r="CW1346" t="s">
        <v>120</v>
      </c>
      <c r="CX1346">
        <v>261</v>
      </c>
      <c r="CY1346">
        <v>2</v>
      </c>
      <c r="CZ1346" t="s">
        <v>121</v>
      </c>
      <c r="DA1346" t="s">
        <v>122</v>
      </c>
      <c r="DD1346">
        <v>15012888</v>
      </c>
      <c r="DE1346" t="s">
        <v>123</v>
      </c>
    </row>
    <row r="1347" spans="1:109" x14ac:dyDescent="0.3">
      <c r="A1347" t="str">
        <f>"18:57:12.758"</f>
        <v>18:57:12.758</v>
      </c>
      <c r="B1347" t="s">
        <v>110</v>
      </c>
      <c r="C1347" t="str">
        <f t="shared" si="63"/>
        <v>ffdfd3c0</v>
      </c>
      <c r="D1347" t="s">
        <v>111</v>
      </c>
      <c r="E1347">
        <v>18</v>
      </c>
      <c r="F1347">
        <v>1018</v>
      </c>
      <c r="G1347" t="s">
        <v>112</v>
      </c>
      <c r="J1347" t="s">
        <v>113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R1347" t="s">
        <v>114</v>
      </c>
      <c r="S1347" t="str">
        <f>"18:57:12.508"</f>
        <v>18:57:12.508</v>
      </c>
      <c r="T1347" t="str">
        <f>"18:57:12.406"</f>
        <v>18:57:12.406</v>
      </c>
      <c r="U1347" t="str">
        <f t="shared" si="64"/>
        <v>a1cdbe</v>
      </c>
      <c r="V1347">
        <v>0</v>
      </c>
      <c r="W1347">
        <v>0</v>
      </c>
      <c r="X1347">
        <v>1</v>
      </c>
      <c r="Y1347">
        <v>0</v>
      </c>
      <c r="Z1347">
        <v>0</v>
      </c>
      <c r="AB1347">
        <v>0</v>
      </c>
      <c r="AC1347">
        <v>9</v>
      </c>
      <c r="AD1347">
        <v>3</v>
      </c>
      <c r="AE1347">
        <v>0</v>
      </c>
      <c r="AF1347">
        <v>9</v>
      </c>
      <c r="AG1347" t="s">
        <v>158</v>
      </c>
      <c r="AH1347">
        <v>0</v>
      </c>
      <c r="AI1347">
        <v>3</v>
      </c>
      <c r="AJ1347">
        <v>1</v>
      </c>
      <c r="AK1347">
        <v>0</v>
      </c>
      <c r="AL1347" t="s">
        <v>2649</v>
      </c>
      <c r="AM1347">
        <v>46.814439</v>
      </c>
      <c r="AN1347" t="s">
        <v>2650</v>
      </c>
      <c r="AO1347">
        <v>-122.69638500000001</v>
      </c>
      <c r="AP1347">
        <v>100</v>
      </c>
      <c r="AQ1347">
        <v>2000</v>
      </c>
      <c r="AR1347" t="s">
        <v>118</v>
      </c>
      <c r="AS1347">
        <v>-76</v>
      </c>
      <c r="AT1347">
        <v>-19</v>
      </c>
      <c r="AU1347">
        <v>320</v>
      </c>
      <c r="BC1347">
        <v>1200</v>
      </c>
      <c r="BD1347">
        <v>1</v>
      </c>
      <c r="BE1347" t="str">
        <f t="shared" si="65"/>
        <v xml:space="preserve">N215T   </v>
      </c>
      <c r="BF1347">
        <v>1</v>
      </c>
      <c r="BH1347">
        <v>0</v>
      </c>
      <c r="BI1347">
        <v>0</v>
      </c>
      <c r="BJ1347">
        <v>0</v>
      </c>
      <c r="BK1347">
        <v>2350</v>
      </c>
      <c r="BL1347">
        <v>350</v>
      </c>
      <c r="BM1347" t="s">
        <v>119</v>
      </c>
      <c r="BN1347">
        <v>1</v>
      </c>
      <c r="BO1347">
        <v>1</v>
      </c>
      <c r="BP1347">
        <v>1</v>
      </c>
      <c r="BQ1347">
        <v>0</v>
      </c>
      <c r="BT1347">
        <v>0</v>
      </c>
      <c r="BU1347">
        <v>0</v>
      </c>
      <c r="BV1347">
        <v>0</v>
      </c>
      <c r="CC1347" t="str">
        <f>"18:57:12.508"</f>
        <v>18:57:12.508</v>
      </c>
      <c r="CD1347" t="str">
        <f>"510761875"</f>
        <v>510761875</v>
      </c>
      <c r="CQ1347">
        <v>0</v>
      </c>
      <c r="CR1347">
        <v>2</v>
      </c>
      <c r="CS1347">
        <v>0</v>
      </c>
      <c r="CT1347">
        <v>2</v>
      </c>
      <c r="CU1347">
        <v>0</v>
      </c>
      <c r="CV1347">
        <v>7</v>
      </c>
      <c r="CW1347" t="s">
        <v>120</v>
      </c>
      <c r="CX1347">
        <v>261</v>
      </c>
      <c r="CY1347">
        <v>2</v>
      </c>
      <c r="CZ1347" t="s">
        <v>121</v>
      </c>
      <c r="DA1347" t="s">
        <v>122</v>
      </c>
      <c r="DD1347">
        <v>15013648</v>
      </c>
      <c r="DE1347" t="s">
        <v>123</v>
      </c>
    </row>
    <row r="1348" spans="1:109" x14ac:dyDescent="0.3">
      <c r="A1348" t="str">
        <f>"18:57:13.813"</f>
        <v>18:57:13.813</v>
      </c>
      <c r="B1348" t="s">
        <v>110</v>
      </c>
      <c r="C1348" t="str">
        <f t="shared" si="63"/>
        <v>ffdfd3c0</v>
      </c>
      <c r="D1348" t="s">
        <v>111</v>
      </c>
      <c r="E1348">
        <v>18</v>
      </c>
      <c r="F1348">
        <v>1018</v>
      </c>
      <c r="G1348" t="s">
        <v>112</v>
      </c>
      <c r="J1348" t="s">
        <v>113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R1348" t="s">
        <v>114</v>
      </c>
      <c r="S1348" t="str">
        <f>"18:57:13.602"</f>
        <v>18:57:13.602</v>
      </c>
      <c r="T1348" t="str">
        <f>"18:57:13.500"</f>
        <v>18:57:13.500</v>
      </c>
      <c r="U1348" t="str">
        <f t="shared" si="64"/>
        <v>a1cdbe</v>
      </c>
      <c r="V1348">
        <v>0</v>
      </c>
      <c r="W1348">
        <v>0</v>
      </c>
      <c r="X1348">
        <v>1</v>
      </c>
      <c r="Y1348">
        <v>0</v>
      </c>
      <c r="Z1348">
        <v>0</v>
      </c>
      <c r="AB1348">
        <v>0</v>
      </c>
      <c r="AC1348">
        <v>9</v>
      </c>
      <c r="AD1348">
        <v>3</v>
      </c>
      <c r="AE1348">
        <v>0</v>
      </c>
      <c r="AF1348">
        <v>9</v>
      </c>
      <c r="AG1348" t="s">
        <v>158</v>
      </c>
      <c r="AH1348">
        <v>0</v>
      </c>
      <c r="AI1348">
        <v>3</v>
      </c>
      <c r="AJ1348">
        <v>1</v>
      </c>
      <c r="AK1348">
        <v>0</v>
      </c>
      <c r="AL1348" t="s">
        <v>2651</v>
      </c>
      <c r="AM1348">
        <v>46.814310999999996</v>
      </c>
      <c r="AN1348" t="s">
        <v>2652</v>
      </c>
      <c r="AO1348">
        <v>-122.696922</v>
      </c>
      <c r="AP1348">
        <v>100</v>
      </c>
      <c r="AQ1348">
        <v>2000</v>
      </c>
      <c r="AR1348" t="s">
        <v>118</v>
      </c>
      <c r="AS1348">
        <v>-76</v>
      </c>
      <c r="AT1348">
        <v>-18</v>
      </c>
      <c r="AU1348">
        <v>320</v>
      </c>
      <c r="BC1348">
        <v>1200</v>
      </c>
      <c r="BD1348">
        <v>1</v>
      </c>
      <c r="BE1348" t="str">
        <f t="shared" si="65"/>
        <v xml:space="preserve">N215T   </v>
      </c>
      <c r="BF1348">
        <v>1</v>
      </c>
      <c r="BH1348">
        <v>0</v>
      </c>
      <c r="BI1348">
        <v>0</v>
      </c>
      <c r="BJ1348">
        <v>0</v>
      </c>
      <c r="BK1348">
        <v>2350</v>
      </c>
      <c r="BL1348">
        <v>350</v>
      </c>
      <c r="BM1348" t="s">
        <v>119</v>
      </c>
      <c r="BN1348">
        <v>1</v>
      </c>
      <c r="BO1348">
        <v>1</v>
      </c>
      <c r="BP1348">
        <v>1</v>
      </c>
      <c r="BQ1348">
        <v>0</v>
      </c>
      <c r="BT1348">
        <v>0</v>
      </c>
      <c r="BU1348">
        <v>0</v>
      </c>
      <c r="BV1348">
        <v>0</v>
      </c>
      <c r="CC1348" t="str">
        <f>"18:57:13.609"</f>
        <v>18:57:13.609</v>
      </c>
      <c r="CD1348" t="str">
        <f>"605654064"</f>
        <v>605654064</v>
      </c>
      <c r="CQ1348">
        <v>0</v>
      </c>
      <c r="CR1348">
        <v>2</v>
      </c>
      <c r="CS1348">
        <v>0</v>
      </c>
      <c r="CT1348">
        <v>2</v>
      </c>
      <c r="CU1348">
        <v>0</v>
      </c>
      <c r="CV1348">
        <v>7</v>
      </c>
      <c r="CW1348" t="s">
        <v>120</v>
      </c>
      <c r="CX1348">
        <v>261</v>
      </c>
      <c r="CY1348">
        <v>2</v>
      </c>
      <c r="CZ1348" t="s">
        <v>121</v>
      </c>
      <c r="DA1348" t="s">
        <v>122</v>
      </c>
      <c r="DD1348">
        <v>15014313</v>
      </c>
      <c r="DE1348" t="s">
        <v>123</v>
      </c>
    </row>
    <row r="1349" spans="1:109" x14ac:dyDescent="0.3">
      <c r="A1349" t="str">
        <f>"18:57:14.766"</f>
        <v>18:57:14.766</v>
      </c>
      <c r="B1349" t="s">
        <v>110</v>
      </c>
      <c r="C1349" t="str">
        <f t="shared" si="63"/>
        <v>ffdfd3c0</v>
      </c>
      <c r="D1349" t="s">
        <v>111</v>
      </c>
      <c r="E1349">
        <v>18</v>
      </c>
      <c r="F1349">
        <v>1018</v>
      </c>
      <c r="G1349" t="s">
        <v>112</v>
      </c>
      <c r="J1349" t="s">
        <v>113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R1349" t="s">
        <v>114</v>
      </c>
      <c r="S1349" t="str">
        <f>"18:57:14.516"</f>
        <v>18:57:14.516</v>
      </c>
      <c r="T1349" t="str">
        <f>"18:57:14.516"</f>
        <v>18:57:14.516</v>
      </c>
      <c r="U1349" t="str">
        <f t="shared" si="64"/>
        <v>a1cdbe</v>
      </c>
      <c r="V1349">
        <v>0</v>
      </c>
      <c r="W1349">
        <v>0</v>
      </c>
      <c r="X1349">
        <v>1</v>
      </c>
      <c r="Y1349">
        <v>0</v>
      </c>
      <c r="Z1349">
        <v>0</v>
      </c>
      <c r="AB1349">
        <v>0</v>
      </c>
      <c r="AC1349">
        <v>9</v>
      </c>
      <c r="AD1349">
        <v>3</v>
      </c>
      <c r="AE1349">
        <v>0</v>
      </c>
      <c r="AF1349">
        <v>9</v>
      </c>
      <c r="AG1349" t="s">
        <v>158</v>
      </c>
      <c r="AH1349">
        <v>0</v>
      </c>
      <c r="AI1349">
        <v>3</v>
      </c>
      <c r="AJ1349">
        <v>1</v>
      </c>
      <c r="AK1349">
        <v>0</v>
      </c>
      <c r="AL1349" t="s">
        <v>2653</v>
      </c>
      <c r="AM1349">
        <v>46.814245999999997</v>
      </c>
      <c r="AN1349" t="s">
        <v>2654</v>
      </c>
      <c r="AO1349">
        <v>-122.697394</v>
      </c>
      <c r="AP1349">
        <v>100</v>
      </c>
      <c r="AQ1349">
        <v>2000</v>
      </c>
      <c r="AR1349" t="s">
        <v>118</v>
      </c>
      <c r="AS1349">
        <v>-76</v>
      </c>
      <c r="AT1349">
        <v>-17</v>
      </c>
      <c r="AU1349">
        <v>384</v>
      </c>
      <c r="BC1349">
        <v>1200</v>
      </c>
      <c r="BD1349">
        <v>1</v>
      </c>
      <c r="BE1349" t="str">
        <f t="shared" si="65"/>
        <v xml:space="preserve">N215T   </v>
      </c>
      <c r="BF1349">
        <v>1</v>
      </c>
      <c r="BH1349">
        <v>0</v>
      </c>
      <c r="BI1349">
        <v>0</v>
      </c>
      <c r="BJ1349">
        <v>0</v>
      </c>
      <c r="BK1349">
        <v>2350</v>
      </c>
      <c r="BL1349">
        <v>350</v>
      </c>
      <c r="BM1349" t="s">
        <v>119</v>
      </c>
      <c r="BN1349">
        <v>1</v>
      </c>
      <c r="BO1349">
        <v>1</v>
      </c>
      <c r="BP1349">
        <v>1</v>
      </c>
      <c r="BQ1349">
        <v>0</v>
      </c>
      <c r="BT1349">
        <v>0</v>
      </c>
      <c r="BU1349">
        <v>0</v>
      </c>
      <c r="BV1349">
        <v>0</v>
      </c>
      <c r="CC1349" t="str">
        <f>"18:57:14.523"</f>
        <v>18:57:14.523</v>
      </c>
      <c r="CD1349" t="str">
        <f>"520563986"</f>
        <v>520563986</v>
      </c>
      <c r="CQ1349">
        <v>0</v>
      </c>
      <c r="CR1349">
        <v>2</v>
      </c>
      <c r="CS1349">
        <v>0</v>
      </c>
      <c r="CT1349">
        <v>2</v>
      </c>
      <c r="CU1349">
        <v>0</v>
      </c>
      <c r="CV1349">
        <v>7</v>
      </c>
      <c r="CW1349" t="s">
        <v>120</v>
      </c>
      <c r="CX1349">
        <v>261</v>
      </c>
      <c r="CY1349">
        <v>2</v>
      </c>
      <c r="CZ1349" t="s">
        <v>121</v>
      </c>
      <c r="DA1349" t="s">
        <v>122</v>
      </c>
      <c r="DD1349">
        <v>15014878</v>
      </c>
      <c r="DE1349" t="s">
        <v>123</v>
      </c>
    </row>
    <row r="1350" spans="1:109" x14ac:dyDescent="0.3">
      <c r="A1350" t="str">
        <f>"18:57:15.625"</f>
        <v>18:57:15.625</v>
      </c>
      <c r="B1350" t="s">
        <v>110</v>
      </c>
      <c r="C1350" t="str">
        <f t="shared" si="63"/>
        <v>ffdfd3c0</v>
      </c>
      <c r="D1350" t="s">
        <v>111</v>
      </c>
      <c r="E1350">
        <v>18</v>
      </c>
      <c r="F1350">
        <v>1018</v>
      </c>
      <c r="G1350" t="s">
        <v>112</v>
      </c>
      <c r="J1350" t="s">
        <v>113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R1350" t="s">
        <v>114</v>
      </c>
      <c r="S1350" t="str">
        <f>"18:57:15.383"</f>
        <v>18:57:15.383</v>
      </c>
      <c r="T1350" t="str">
        <f>"18:57:14.984"</f>
        <v>18:57:14.984</v>
      </c>
      <c r="U1350" t="str">
        <f t="shared" si="64"/>
        <v>a1cdbe</v>
      </c>
      <c r="V1350">
        <v>0</v>
      </c>
      <c r="W1350">
        <v>0</v>
      </c>
      <c r="X1350">
        <v>1</v>
      </c>
      <c r="Y1350">
        <v>0</v>
      </c>
      <c r="Z1350">
        <v>0</v>
      </c>
      <c r="AB1350">
        <v>0</v>
      </c>
      <c r="AC1350">
        <v>9</v>
      </c>
      <c r="AD1350">
        <v>3</v>
      </c>
      <c r="AE1350">
        <v>0</v>
      </c>
      <c r="AF1350">
        <v>9</v>
      </c>
      <c r="AG1350" t="s">
        <v>158</v>
      </c>
      <c r="AH1350">
        <v>0</v>
      </c>
      <c r="AI1350">
        <v>3</v>
      </c>
      <c r="AJ1350">
        <v>1</v>
      </c>
      <c r="AK1350">
        <v>0</v>
      </c>
      <c r="AL1350" t="s">
        <v>2655</v>
      </c>
      <c r="AM1350">
        <v>46.814182000000002</v>
      </c>
      <c r="AN1350" t="s">
        <v>2656</v>
      </c>
      <c r="AO1350">
        <v>-122.697845</v>
      </c>
      <c r="AP1350">
        <v>100</v>
      </c>
      <c r="AQ1350">
        <v>2000</v>
      </c>
      <c r="AR1350" t="s">
        <v>118</v>
      </c>
      <c r="AS1350">
        <v>-76</v>
      </c>
      <c r="AT1350">
        <v>-17</v>
      </c>
      <c r="AU1350">
        <v>384</v>
      </c>
      <c r="BC1350">
        <v>1200</v>
      </c>
      <c r="BD1350">
        <v>1</v>
      </c>
      <c r="BE1350" t="str">
        <f t="shared" si="65"/>
        <v xml:space="preserve">N215T   </v>
      </c>
      <c r="BF1350">
        <v>1</v>
      </c>
      <c r="BH1350">
        <v>0</v>
      </c>
      <c r="BI1350">
        <v>0</v>
      </c>
      <c r="BJ1350">
        <v>0</v>
      </c>
      <c r="BK1350">
        <v>2350</v>
      </c>
      <c r="BL1350">
        <v>350</v>
      </c>
      <c r="BM1350" t="s">
        <v>119</v>
      </c>
      <c r="BN1350">
        <v>1</v>
      </c>
      <c r="BO1350">
        <v>1</v>
      </c>
      <c r="BP1350">
        <v>1</v>
      </c>
      <c r="BQ1350">
        <v>0</v>
      </c>
      <c r="BT1350">
        <v>0</v>
      </c>
      <c r="BU1350">
        <v>0</v>
      </c>
      <c r="BV1350">
        <v>0</v>
      </c>
      <c r="CC1350" t="str">
        <f>"18:57:15.391"</f>
        <v>18:57:15.391</v>
      </c>
      <c r="CD1350" t="str">
        <f>"390478340"</f>
        <v>390478340</v>
      </c>
      <c r="CQ1350">
        <v>0</v>
      </c>
      <c r="CR1350">
        <v>2</v>
      </c>
      <c r="CS1350">
        <v>0</v>
      </c>
      <c r="CT1350">
        <v>2</v>
      </c>
      <c r="CU1350">
        <v>0</v>
      </c>
      <c r="CV1350">
        <v>7</v>
      </c>
      <c r="CW1350" t="s">
        <v>120</v>
      </c>
      <c r="CX1350">
        <v>261</v>
      </c>
      <c r="CY1350">
        <v>2</v>
      </c>
      <c r="CZ1350" t="s">
        <v>121</v>
      </c>
      <c r="DA1350" t="s">
        <v>122</v>
      </c>
      <c r="DD1350">
        <v>15015382</v>
      </c>
      <c r="DE1350" t="s">
        <v>123</v>
      </c>
    </row>
    <row r="1351" spans="1:109" x14ac:dyDescent="0.3">
      <c r="A1351" t="str">
        <f>"18:57:16.578"</f>
        <v>18:57:16.578</v>
      </c>
      <c r="B1351" t="s">
        <v>110</v>
      </c>
      <c r="C1351" t="str">
        <f t="shared" si="63"/>
        <v>ffdfd3c0</v>
      </c>
      <c r="D1351" t="s">
        <v>111</v>
      </c>
      <c r="E1351">
        <v>18</v>
      </c>
      <c r="F1351">
        <v>1018</v>
      </c>
      <c r="G1351" t="s">
        <v>112</v>
      </c>
      <c r="J1351" t="s">
        <v>113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R1351" t="s">
        <v>114</v>
      </c>
      <c r="S1351" t="str">
        <f>"18:57:16.328"</f>
        <v>18:57:16.328</v>
      </c>
      <c r="T1351" t="str">
        <f>"18:57:15.930"</f>
        <v>18:57:15.930</v>
      </c>
      <c r="U1351" t="str">
        <f t="shared" si="64"/>
        <v>a1cdbe</v>
      </c>
      <c r="V1351">
        <v>0</v>
      </c>
      <c r="W1351">
        <v>0</v>
      </c>
      <c r="X1351">
        <v>1</v>
      </c>
      <c r="Y1351">
        <v>0</v>
      </c>
      <c r="Z1351">
        <v>0</v>
      </c>
      <c r="AB1351">
        <v>0</v>
      </c>
      <c r="AC1351">
        <v>9</v>
      </c>
      <c r="AD1351">
        <v>3</v>
      </c>
      <c r="AE1351">
        <v>0</v>
      </c>
      <c r="AF1351">
        <v>9</v>
      </c>
      <c r="AG1351" t="s">
        <v>158</v>
      </c>
      <c r="AH1351">
        <v>0</v>
      </c>
      <c r="AI1351">
        <v>3</v>
      </c>
      <c r="AJ1351">
        <v>1</v>
      </c>
      <c r="AK1351">
        <v>0</v>
      </c>
      <c r="AL1351" t="s">
        <v>2657</v>
      </c>
      <c r="AM1351">
        <v>46.814095999999999</v>
      </c>
      <c r="AN1351" t="s">
        <v>2658</v>
      </c>
      <c r="AO1351">
        <v>-122.69833800000001</v>
      </c>
      <c r="AP1351">
        <v>100</v>
      </c>
      <c r="AQ1351">
        <v>2000</v>
      </c>
      <c r="AR1351" t="s">
        <v>118</v>
      </c>
      <c r="AS1351">
        <v>-75</v>
      </c>
      <c r="AT1351">
        <v>-18</v>
      </c>
      <c r="AU1351">
        <v>320</v>
      </c>
      <c r="BC1351">
        <v>1200</v>
      </c>
      <c r="BD1351">
        <v>1</v>
      </c>
      <c r="BE1351" t="str">
        <f t="shared" si="65"/>
        <v xml:space="preserve">N215T   </v>
      </c>
      <c r="BF1351">
        <v>1</v>
      </c>
      <c r="BH1351">
        <v>0</v>
      </c>
      <c r="BI1351">
        <v>0</v>
      </c>
      <c r="BJ1351">
        <v>0</v>
      </c>
      <c r="BK1351">
        <v>2350</v>
      </c>
      <c r="BL1351">
        <v>350</v>
      </c>
      <c r="BM1351" t="s">
        <v>119</v>
      </c>
      <c r="BN1351">
        <v>1</v>
      </c>
      <c r="BO1351">
        <v>1</v>
      </c>
      <c r="BP1351">
        <v>1</v>
      </c>
      <c r="BQ1351">
        <v>0</v>
      </c>
      <c r="BT1351">
        <v>0</v>
      </c>
      <c r="BU1351">
        <v>0</v>
      </c>
      <c r="BV1351">
        <v>0</v>
      </c>
      <c r="CC1351" t="str">
        <f>"18:57:16.336"</f>
        <v>18:57:16.336</v>
      </c>
      <c r="CD1351" t="str">
        <f>"335385287"</f>
        <v>335385287</v>
      </c>
      <c r="CQ1351">
        <v>0</v>
      </c>
      <c r="CR1351">
        <v>2</v>
      </c>
      <c r="CS1351">
        <v>0</v>
      </c>
      <c r="CT1351">
        <v>2</v>
      </c>
      <c r="CU1351">
        <v>0</v>
      </c>
      <c r="CV1351">
        <v>7</v>
      </c>
      <c r="CW1351" t="s">
        <v>120</v>
      </c>
      <c r="CX1351">
        <v>261</v>
      </c>
      <c r="CY1351">
        <v>2</v>
      </c>
      <c r="CZ1351" t="s">
        <v>121</v>
      </c>
      <c r="DA1351" t="s">
        <v>122</v>
      </c>
      <c r="DD1351">
        <v>15015992</v>
      </c>
      <c r="DE1351" t="s">
        <v>123</v>
      </c>
    </row>
    <row r="1352" spans="1:109" x14ac:dyDescent="0.3">
      <c r="A1352" t="str">
        <f>"18:57:17.383"</f>
        <v>18:57:17.383</v>
      </c>
      <c r="B1352" t="s">
        <v>110</v>
      </c>
      <c r="C1352" t="str">
        <f t="shared" si="63"/>
        <v>ffdfd3c0</v>
      </c>
      <c r="D1352" t="s">
        <v>111</v>
      </c>
      <c r="E1352">
        <v>18</v>
      </c>
      <c r="F1352">
        <v>1018</v>
      </c>
      <c r="G1352" t="s">
        <v>112</v>
      </c>
      <c r="J1352" t="s">
        <v>113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R1352" t="s">
        <v>114</v>
      </c>
      <c r="S1352" t="str">
        <f>"18:57:17.156"</f>
        <v>18:57:17.156</v>
      </c>
      <c r="T1352" t="str">
        <f>"18:57:16.953"</f>
        <v>18:57:16.953</v>
      </c>
      <c r="U1352" t="str">
        <f t="shared" si="64"/>
        <v>a1cdbe</v>
      </c>
      <c r="V1352">
        <v>0</v>
      </c>
      <c r="W1352">
        <v>0</v>
      </c>
      <c r="X1352">
        <v>1</v>
      </c>
      <c r="Y1352">
        <v>0</v>
      </c>
      <c r="Z1352">
        <v>0</v>
      </c>
      <c r="AB1352">
        <v>0</v>
      </c>
      <c r="AC1352">
        <v>9</v>
      </c>
      <c r="AD1352">
        <v>3</v>
      </c>
      <c r="AE1352">
        <v>0</v>
      </c>
      <c r="AF1352">
        <v>9</v>
      </c>
      <c r="AG1352" t="s">
        <v>158</v>
      </c>
      <c r="AH1352">
        <v>0</v>
      </c>
      <c r="AI1352">
        <v>3</v>
      </c>
      <c r="AJ1352">
        <v>1</v>
      </c>
      <c r="AK1352">
        <v>0</v>
      </c>
      <c r="AL1352" t="s">
        <v>2659</v>
      </c>
      <c r="AM1352">
        <v>46.814031999999997</v>
      </c>
      <c r="AN1352" t="s">
        <v>2660</v>
      </c>
      <c r="AO1352">
        <v>-122.698724</v>
      </c>
      <c r="AP1352">
        <v>100</v>
      </c>
      <c r="AQ1352">
        <v>2000</v>
      </c>
      <c r="AR1352" t="s">
        <v>118</v>
      </c>
      <c r="AS1352">
        <v>-75</v>
      </c>
      <c r="AT1352">
        <v>-18</v>
      </c>
      <c r="AU1352">
        <v>192</v>
      </c>
      <c r="BC1352">
        <v>1200</v>
      </c>
      <c r="BD1352">
        <v>1</v>
      </c>
      <c r="BE1352" t="str">
        <f t="shared" si="65"/>
        <v xml:space="preserve">N215T   </v>
      </c>
      <c r="BF1352">
        <v>1</v>
      </c>
      <c r="BH1352">
        <v>0</v>
      </c>
      <c r="BI1352">
        <v>0</v>
      </c>
      <c r="BJ1352">
        <v>0</v>
      </c>
      <c r="BK1352">
        <v>2375</v>
      </c>
      <c r="BL1352">
        <v>375</v>
      </c>
      <c r="BM1352" t="s">
        <v>119</v>
      </c>
      <c r="BN1352">
        <v>1</v>
      </c>
      <c r="BO1352">
        <v>1</v>
      </c>
      <c r="BP1352">
        <v>1</v>
      </c>
      <c r="BQ1352">
        <v>0</v>
      </c>
      <c r="BT1352">
        <v>0</v>
      </c>
      <c r="BU1352">
        <v>0</v>
      </c>
      <c r="BV1352">
        <v>0</v>
      </c>
      <c r="CC1352" t="str">
        <f>"18:57:17.164"</f>
        <v>18:57:17.164</v>
      </c>
      <c r="CD1352" t="str">
        <f>"160304062"</f>
        <v>160304062</v>
      </c>
      <c r="CQ1352">
        <v>0</v>
      </c>
      <c r="CR1352">
        <v>2</v>
      </c>
      <c r="CS1352">
        <v>0</v>
      </c>
      <c r="CT1352">
        <v>2</v>
      </c>
      <c r="CU1352">
        <v>0</v>
      </c>
      <c r="CV1352">
        <v>7</v>
      </c>
      <c r="CW1352" t="s">
        <v>120</v>
      </c>
      <c r="CX1352">
        <v>261</v>
      </c>
      <c r="CY1352">
        <v>2</v>
      </c>
      <c r="CZ1352" t="s">
        <v>121</v>
      </c>
      <c r="DA1352" t="s">
        <v>122</v>
      </c>
      <c r="DD1352">
        <v>15016534</v>
      </c>
      <c r="DE1352" t="s">
        <v>123</v>
      </c>
    </row>
    <row r="1353" spans="1:109" x14ac:dyDescent="0.3">
      <c r="A1353" t="str">
        <f>"18:57:18.484"</f>
        <v>18:57:18.484</v>
      </c>
      <c r="B1353" t="s">
        <v>110</v>
      </c>
      <c r="C1353" t="str">
        <f t="shared" si="63"/>
        <v>ffdfd3c0</v>
      </c>
      <c r="D1353" t="s">
        <v>111</v>
      </c>
      <c r="E1353">
        <v>18</v>
      </c>
      <c r="F1353">
        <v>1018</v>
      </c>
      <c r="G1353" t="s">
        <v>112</v>
      </c>
      <c r="J1353" t="s">
        <v>113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R1353" t="s">
        <v>114</v>
      </c>
      <c r="S1353" t="str">
        <f>"18:57:18.250"</f>
        <v>18:57:18.250</v>
      </c>
      <c r="T1353" t="str">
        <f>"18:57:17.750"</f>
        <v>18:57:17.750</v>
      </c>
      <c r="U1353" t="str">
        <f t="shared" si="64"/>
        <v>a1cdbe</v>
      </c>
      <c r="V1353">
        <v>0</v>
      </c>
      <c r="W1353">
        <v>0</v>
      </c>
      <c r="X1353">
        <v>1</v>
      </c>
      <c r="Y1353">
        <v>0</v>
      </c>
      <c r="Z1353">
        <v>0</v>
      </c>
      <c r="AB1353">
        <v>0</v>
      </c>
      <c r="AC1353">
        <v>9</v>
      </c>
      <c r="AD1353">
        <v>3</v>
      </c>
      <c r="AE1353">
        <v>0</v>
      </c>
      <c r="AF1353">
        <v>9</v>
      </c>
      <c r="AG1353" t="s">
        <v>158</v>
      </c>
      <c r="AH1353">
        <v>0</v>
      </c>
      <c r="AI1353">
        <v>3</v>
      </c>
      <c r="AJ1353">
        <v>1</v>
      </c>
      <c r="AK1353">
        <v>0</v>
      </c>
      <c r="AL1353" t="s">
        <v>2661</v>
      </c>
      <c r="AM1353">
        <v>46.813903000000003</v>
      </c>
      <c r="AN1353" t="s">
        <v>2662</v>
      </c>
      <c r="AO1353">
        <v>-122.699304</v>
      </c>
      <c r="AP1353">
        <v>100</v>
      </c>
      <c r="AQ1353">
        <v>2000</v>
      </c>
      <c r="AR1353" t="s">
        <v>118</v>
      </c>
      <c r="AS1353">
        <v>-75</v>
      </c>
      <c r="AT1353">
        <v>-19</v>
      </c>
      <c r="AU1353">
        <v>192</v>
      </c>
      <c r="BC1353">
        <v>1200</v>
      </c>
      <c r="BD1353">
        <v>1</v>
      </c>
      <c r="BE1353" t="str">
        <f t="shared" si="65"/>
        <v xml:space="preserve">N215T   </v>
      </c>
      <c r="BF1353">
        <v>1</v>
      </c>
      <c r="BH1353">
        <v>0</v>
      </c>
      <c r="BI1353">
        <v>0</v>
      </c>
      <c r="BJ1353">
        <v>0</v>
      </c>
      <c r="BK1353">
        <v>2375</v>
      </c>
      <c r="BL1353">
        <v>375</v>
      </c>
      <c r="BM1353" t="s">
        <v>119</v>
      </c>
      <c r="BN1353">
        <v>1</v>
      </c>
      <c r="BO1353">
        <v>1</v>
      </c>
      <c r="BP1353">
        <v>1</v>
      </c>
      <c r="BQ1353">
        <v>0</v>
      </c>
      <c r="BT1353">
        <v>0</v>
      </c>
      <c r="BU1353">
        <v>0</v>
      </c>
      <c r="BV1353">
        <v>0</v>
      </c>
      <c r="CC1353" t="str">
        <f>"18:57:18.258"</f>
        <v>18:57:18.258</v>
      </c>
      <c r="CD1353" t="str">
        <f>"255196262"</f>
        <v>255196262</v>
      </c>
      <c r="CQ1353">
        <v>0</v>
      </c>
      <c r="CR1353">
        <v>2</v>
      </c>
      <c r="CS1353">
        <v>0</v>
      </c>
      <c r="CT1353">
        <v>2</v>
      </c>
      <c r="CU1353">
        <v>0</v>
      </c>
      <c r="CV1353">
        <v>7</v>
      </c>
      <c r="CW1353" t="s">
        <v>120</v>
      </c>
      <c r="CX1353">
        <v>261</v>
      </c>
      <c r="CY1353">
        <v>2</v>
      </c>
      <c r="CZ1353" t="s">
        <v>121</v>
      </c>
      <c r="DA1353" t="s">
        <v>122</v>
      </c>
      <c r="DD1353">
        <v>15017241</v>
      </c>
      <c r="DE1353" t="s">
        <v>123</v>
      </c>
    </row>
    <row r="1354" spans="1:109" x14ac:dyDescent="0.3">
      <c r="A1354" t="str">
        <f>"18:57:19.594"</f>
        <v>18:57:19.594</v>
      </c>
      <c r="B1354" t="s">
        <v>110</v>
      </c>
      <c r="C1354" t="str">
        <f t="shared" si="63"/>
        <v>ffdfd3c0</v>
      </c>
      <c r="D1354" t="s">
        <v>111</v>
      </c>
      <c r="E1354">
        <v>18</v>
      </c>
      <c r="F1354">
        <v>1018</v>
      </c>
      <c r="G1354" t="s">
        <v>112</v>
      </c>
      <c r="J1354" t="s">
        <v>113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R1354" t="s">
        <v>114</v>
      </c>
      <c r="S1354" t="str">
        <f>"18:57:19.313"</f>
        <v>18:57:19.313</v>
      </c>
      <c r="T1354" t="str">
        <f>"18:57:19.313"</f>
        <v>18:57:19.313</v>
      </c>
      <c r="U1354" t="str">
        <f t="shared" si="64"/>
        <v>a1cdbe</v>
      </c>
      <c r="V1354">
        <v>0</v>
      </c>
      <c r="W1354">
        <v>0</v>
      </c>
      <c r="X1354">
        <v>1</v>
      </c>
      <c r="Y1354">
        <v>0</v>
      </c>
      <c r="Z1354">
        <v>0</v>
      </c>
      <c r="AB1354">
        <v>0</v>
      </c>
      <c r="AC1354">
        <v>9</v>
      </c>
      <c r="AD1354">
        <v>3</v>
      </c>
      <c r="AE1354">
        <v>0</v>
      </c>
      <c r="AF1354">
        <v>9</v>
      </c>
      <c r="AG1354" t="s">
        <v>158</v>
      </c>
      <c r="AH1354">
        <v>0</v>
      </c>
      <c r="AI1354">
        <v>3</v>
      </c>
      <c r="AJ1354">
        <v>1</v>
      </c>
      <c r="AK1354">
        <v>0</v>
      </c>
      <c r="AL1354" t="s">
        <v>2663</v>
      </c>
      <c r="AM1354">
        <v>46.813837999999997</v>
      </c>
      <c r="AN1354" t="s">
        <v>2664</v>
      </c>
      <c r="AO1354">
        <v>-122.699862</v>
      </c>
      <c r="AP1354">
        <v>100</v>
      </c>
      <c r="AQ1354">
        <v>2000</v>
      </c>
      <c r="AR1354" t="s">
        <v>118</v>
      </c>
      <c r="AS1354">
        <v>-76</v>
      </c>
      <c r="AT1354">
        <v>-18</v>
      </c>
      <c r="AU1354">
        <v>64</v>
      </c>
      <c r="BC1354">
        <v>1200</v>
      </c>
      <c r="BD1354">
        <v>1</v>
      </c>
      <c r="BE1354" t="str">
        <f t="shared" si="65"/>
        <v xml:space="preserve">N215T   </v>
      </c>
      <c r="BF1354">
        <v>1</v>
      </c>
      <c r="BH1354">
        <v>0</v>
      </c>
      <c r="BI1354">
        <v>0</v>
      </c>
      <c r="BJ1354">
        <v>0</v>
      </c>
      <c r="BK1354">
        <v>2375</v>
      </c>
      <c r="BL1354">
        <v>375</v>
      </c>
      <c r="BM1354" t="s">
        <v>119</v>
      </c>
      <c r="BN1354">
        <v>1</v>
      </c>
      <c r="BO1354">
        <v>1</v>
      </c>
      <c r="BP1354">
        <v>1</v>
      </c>
      <c r="BQ1354">
        <v>0</v>
      </c>
      <c r="BT1354">
        <v>0</v>
      </c>
      <c r="BU1354">
        <v>0</v>
      </c>
      <c r="BV1354">
        <v>0</v>
      </c>
      <c r="CC1354" t="str">
        <f>"18:57:19.320"</f>
        <v>18:57:19.320</v>
      </c>
      <c r="CD1354" t="str">
        <f>"320156157"</f>
        <v>320156157</v>
      </c>
      <c r="CQ1354">
        <v>0</v>
      </c>
      <c r="CR1354">
        <v>2</v>
      </c>
      <c r="CS1354">
        <v>0</v>
      </c>
      <c r="CT1354">
        <v>2</v>
      </c>
      <c r="CU1354">
        <v>0</v>
      </c>
      <c r="CV1354">
        <v>4</v>
      </c>
      <c r="CW1354" t="s">
        <v>120</v>
      </c>
      <c r="CX1354">
        <v>257</v>
      </c>
      <c r="CY1354">
        <v>1</v>
      </c>
      <c r="CZ1354" t="s">
        <v>615</v>
      </c>
      <c r="DA1354" t="s">
        <v>616</v>
      </c>
      <c r="DD1354">
        <v>11378133</v>
      </c>
      <c r="DE1354" t="s">
        <v>123</v>
      </c>
    </row>
    <row r="1355" spans="1:109" x14ac:dyDescent="0.3">
      <c r="A1355" t="str">
        <f>"18:57:20.648"</f>
        <v>18:57:20.648</v>
      </c>
      <c r="B1355" t="s">
        <v>110</v>
      </c>
      <c r="C1355" t="str">
        <f t="shared" si="63"/>
        <v>ffdfd3c0</v>
      </c>
      <c r="D1355" t="s">
        <v>111</v>
      </c>
      <c r="E1355">
        <v>18</v>
      </c>
      <c r="F1355">
        <v>1018</v>
      </c>
      <c r="G1355" t="s">
        <v>112</v>
      </c>
      <c r="J1355" t="s">
        <v>113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R1355" t="s">
        <v>114</v>
      </c>
      <c r="S1355" t="str">
        <f>"18:57:20.430"</f>
        <v>18:57:20.430</v>
      </c>
      <c r="T1355" t="str">
        <f>"18:57:20.430"</f>
        <v>18:57:20.430</v>
      </c>
      <c r="U1355" t="str">
        <f t="shared" si="64"/>
        <v>a1cdbe</v>
      </c>
      <c r="V1355">
        <v>0</v>
      </c>
      <c r="W1355">
        <v>0</v>
      </c>
      <c r="X1355">
        <v>1</v>
      </c>
      <c r="Y1355">
        <v>0</v>
      </c>
      <c r="Z1355">
        <v>0</v>
      </c>
      <c r="AB1355">
        <v>0</v>
      </c>
      <c r="AC1355">
        <v>9</v>
      </c>
      <c r="AD1355">
        <v>3</v>
      </c>
      <c r="AE1355">
        <v>0</v>
      </c>
      <c r="AF1355">
        <v>9</v>
      </c>
      <c r="AG1355" t="s">
        <v>158</v>
      </c>
      <c r="AH1355">
        <v>0</v>
      </c>
      <c r="AI1355">
        <v>3</v>
      </c>
      <c r="AJ1355">
        <v>1</v>
      </c>
      <c r="AK1355">
        <v>0</v>
      </c>
      <c r="AL1355" t="s">
        <v>2665</v>
      </c>
      <c r="AM1355">
        <v>46.813752999999998</v>
      </c>
      <c r="AN1355" t="s">
        <v>2666</v>
      </c>
      <c r="AO1355">
        <v>-122.70039800000001</v>
      </c>
      <c r="AP1355">
        <v>100</v>
      </c>
      <c r="AQ1355">
        <v>2000</v>
      </c>
      <c r="AR1355" t="s">
        <v>118</v>
      </c>
      <c r="AS1355">
        <v>-76</v>
      </c>
      <c r="AT1355">
        <v>-18</v>
      </c>
      <c r="AU1355">
        <v>192</v>
      </c>
      <c r="BC1355">
        <v>1200</v>
      </c>
      <c r="BD1355">
        <v>1</v>
      </c>
      <c r="BE1355" t="str">
        <f t="shared" si="65"/>
        <v xml:space="preserve">N215T   </v>
      </c>
      <c r="BF1355">
        <v>1</v>
      </c>
      <c r="BH1355">
        <v>0</v>
      </c>
      <c r="BI1355">
        <v>0</v>
      </c>
      <c r="BJ1355">
        <v>0</v>
      </c>
      <c r="BK1355">
        <v>2375</v>
      </c>
      <c r="BL1355">
        <v>375</v>
      </c>
      <c r="BM1355" t="s">
        <v>119</v>
      </c>
      <c r="BN1355">
        <v>1</v>
      </c>
      <c r="BO1355">
        <v>1</v>
      </c>
      <c r="BP1355">
        <v>1</v>
      </c>
      <c r="BQ1355">
        <v>0</v>
      </c>
      <c r="BT1355">
        <v>0</v>
      </c>
      <c r="BU1355">
        <v>0</v>
      </c>
      <c r="BV1355">
        <v>0</v>
      </c>
      <c r="CC1355" t="str">
        <f>"18:57:20.430"</f>
        <v>18:57:20.430</v>
      </c>
      <c r="CD1355" t="str">
        <f>"429982131"</f>
        <v>429982131</v>
      </c>
      <c r="CQ1355">
        <v>0</v>
      </c>
      <c r="CR1355">
        <v>2</v>
      </c>
      <c r="CS1355">
        <v>0</v>
      </c>
      <c r="CT1355">
        <v>2</v>
      </c>
      <c r="CU1355">
        <v>0</v>
      </c>
      <c r="CV1355">
        <v>7</v>
      </c>
      <c r="CW1355" t="s">
        <v>120</v>
      </c>
      <c r="CX1355">
        <v>261</v>
      </c>
      <c r="CY1355">
        <v>2</v>
      </c>
      <c r="CZ1355" t="s">
        <v>121</v>
      </c>
      <c r="DA1355" t="s">
        <v>122</v>
      </c>
      <c r="DD1355">
        <v>15018700</v>
      </c>
      <c r="DE1355" t="s">
        <v>123</v>
      </c>
    </row>
    <row r="1356" spans="1:109" x14ac:dyDescent="0.3">
      <c r="A1356" t="str">
        <f>"18:57:21.703"</f>
        <v>18:57:21.703</v>
      </c>
      <c r="B1356" t="s">
        <v>110</v>
      </c>
      <c r="C1356" t="str">
        <f t="shared" si="63"/>
        <v>ffdfd3c0</v>
      </c>
      <c r="D1356" t="s">
        <v>111</v>
      </c>
      <c r="E1356">
        <v>18</v>
      </c>
      <c r="F1356">
        <v>1018</v>
      </c>
      <c r="G1356" t="s">
        <v>112</v>
      </c>
      <c r="J1356" t="s">
        <v>113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R1356" t="s">
        <v>114</v>
      </c>
      <c r="S1356" t="str">
        <f>"18:57:21.492"</f>
        <v>18:57:21.492</v>
      </c>
      <c r="T1356" t="str">
        <f>"18:57:20.992"</f>
        <v>18:57:20.992</v>
      </c>
      <c r="U1356" t="str">
        <f t="shared" si="64"/>
        <v>a1cdbe</v>
      </c>
      <c r="V1356">
        <v>0</v>
      </c>
      <c r="W1356">
        <v>0</v>
      </c>
      <c r="X1356">
        <v>1</v>
      </c>
      <c r="Y1356">
        <v>0</v>
      </c>
      <c r="Z1356">
        <v>0</v>
      </c>
      <c r="AB1356">
        <v>0</v>
      </c>
      <c r="AC1356">
        <v>9</v>
      </c>
      <c r="AD1356">
        <v>3</v>
      </c>
      <c r="AE1356">
        <v>0</v>
      </c>
      <c r="AF1356">
        <v>9</v>
      </c>
      <c r="AG1356" t="s">
        <v>158</v>
      </c>
      <c r="AH1356">
        <v>0</v>
      </c>
      <c r="AI1356">
        <v>3</v>
      </c>
      <c r="AJ1356">
        <v>1</v>
      </c>
      <c r="AK1356">
        <v>0</v>
      </c>
      <c r="AL1356" t="s">
        <v>2667</v>
      </c>
      <c r="AM1356">
        <v>46.813667000000002</v>
      </c>
      <c r="AN1356" t="s">
        <v>2668</v>
      </c>
      <c r="AO1356">
        <v>-122.700934</v>
      </c>
      <c r="AP1356">
        <v>100</v>
      </c>
      <c r="AQ1356">
        <v>2000</v>
      </c>
      <c r="AR1356" t="s">
        <v>118</v>
      </c>
      <c r="AS1356">
        <v>-76</v>
      </c>
      <c r="AT1356">
        <v>-19</v>
      </c>
      <c r="AU1356">
        <v>192</v>
      </c>
      <c r="BC1356">
        <v>1200</v>
      </c>
      <c r="BD1356">
        <v>1</v>
      </c>
      <c r="BE1356" t="str">
        <f t="shared" si="65"/>
        <v xml:space="preserve">N215T   </v>
      </c>
      <c r="BF1356">
        <v>1</v>
      </c>
      <c r="BH1356">
        <v>0</v>
      </c>
      <c r="BI1356">
        <v>0</v>
      </c>
      <c r="BJ1356">
        <v>0</v>
      </c>
      <c r="BK1356">
        <v>2375</v>
      </c>
      <c r="BL1356">
        <v>375</v>
      </c>
      <c r="BM1356" t="s">
        <v>119</v>
      </c>
      <c r="BN1356">
        <v>1</v>
      </c>
      <c r="BO1356">
        <v>1</v>
      </c>
      <c r="BP1356">
        <v>1</v>
      </c>
      <c r="BQ1356">
        <v>0</v>
      </c>
      <c r="BT1356">
        <v>0</v>
      </c>
      <c r="BU1356">
        <v>0</v>
      </c>
      <c r="BV1356">
        <v>0</v>
      </c>
      <c r="CC1356" t="str">
        <f>"18:57:21.492"</f>
        <v>18:57:21.492</v>
      </c>
      <c r="CD1356" t="str">
        <f>"494877284"</f>
        <v>494877284</v>
      </c>
      <c r="CQ1356">
        <v>0</v>
      </c>
      <c r="CR1356">
        <v>2</v>
      </c>
      <c r="CS1356">
        <v>0</v>
      </c>
      <c r="CT1356">
        <v>2</v>
      </c>
      <c r="CU1356">
        <v>0</v>
      </c>
      <c r="CV1356">
        <v>7</v>
      </c>
      <c r="CW1356" t="s">
        <v>120</v>
      </c>
      <c r="CX1356">
        <v>261</v>
      </c>
      <c r="CY1356">
        <v>2</v>
      </c>
      <c r="CZ1356" t="s">
        <v>121</v>
      </c>
      <c r="DA1356" t="s">
        <v>122</v>
      </c>
      <c r="DD1356">
        <v>15019418</v>
      </c>
      <c r="DE1356" t="s">
        <v>123</v>
      </c>
    </row>
    <row r="1357" spans="1:109" x14ac:dyDescent="0.3">
      <c r="A1357" t="str">
        <f>"18:57:22.609"</f>
        <v>18:57:22.609</v>
      </c>
      <c r="B1357" t="s">
        <v>110</v>
      </c>
      <c r="C1357" t="str">
        <f t="shared" si="63"/>
        <v>ffdfd3c0</v>
      </c>
      <c r="D1357" t="s">
        <v>111</v>
      </c>
      <c r="E1357">
        <v>18</v>
      </c>
      <c r="F1357">
        <v>1018</v>
      </c>
      <c r="G1357" t="s">
        <v>112</v>
      </c>
      <c r="J1357" t="s">
        <v>113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R1357" t="s">
        <v>114</v>
      </c>
      <c r="S1357" t="str">
        <f>"18:57:22.375"</f>
        <v>18:57:22.375</v>
      </c>
      <c r="T1357" t="str">
        <f>"18:57:21.977"</f>
        <v>18:57:21.977</v>
      </c>
      <c r="U1357" t="str">
        <f t="shared" si="64"/>
        <v>a1cdbe</v>
      </c>
      <c r="V1357">
        <v>0</v>
      </c>
      <c r="W1357">
        <v>0</v>
      </c>
      <c r="X1357">
        <v>1</v>
      </c>
      <c r="Y1357">
        <v>0</v>
      </c>
      <c r="Z1357">
        <v>0</v>
      </c>
      <c r="AB1357">
        <v>0</v>
      </c>
      <c r="AC1357">
        <v>9</v>
      </c>
      <c r="AD1357">
        <v>3</v>
      </c>
      <c r="AE1357">
        <v>0</v>
      </c>
      <c r="AF1357">
        <v>9</v>
      </c>
      <c r="AG1357" t="s">
        <v>158</v>
      </c>
      <c r="AH1357">
        <v>0</v>
      </c>
      <c r="AI1357">
        <v>3</v>
      </c>
      <c r="AJ1357">
        <v>1</v>
      </c>
      <c r="AK1357">
        <v>0</v>
      </c>
      <c r="AL1357" t="s">
        <v>2669</v>
      </c>
      <c r="AM1357">
        <v>46.813560000000003</v>
      </c>
      <c r="AN1357" t="s">
        <v>2670</v>
      </c>
      <c r="AO1357">
        <v>-122.70140600000001</v>
      </c>
      <c r="AP1357">
        <v>100</v>
      </c>
      <c r="AQ1357">
        <v>2000</v>
      </c>
      <c r="AR1357" t="s">
        <v>118</v>
      </c>
      <c r="AS1357">
        <v>-76</v>
      </c>
      <c r="AT1357">
        <v>-19</v>
      </c>
      <c r="AU1357">
        <v>128</v>
      </c>
      <c r="BC1357">
        <v>1200</v>
      </c>
      <c r="BD1357">
        <v>1</v>
      </c>
      <c r="BE1357" t="str">
        <f t="shared" si="65"/>
        <v xml:space="preserve">N215T   </v>
      </c>
      <c r="BF1357">
        <v>1</v>
      </c>
      <c r="BH1357">
        <v>0</v>
      </c>
      <c r="BI1357">
        <v>0</v>
      </c>
      <c r="BJ1357">
        <v>0</v>
      </c>
      <c r="BK1357">
        <v>2375</v>
      </c>
      <c r="BL1357">
        <v>375</v>
      </c>
      <c r="BM1357" t="s">
        <v>119</v>
      </c>
      <c r="BN1357">
        <v>1</v>
      </c>
      <c r="BO1357">
        <v>1</v>
      </c>
      <c r="BP1357">
        <v>1</v>
      </c>
      <c r="BQ1357">
        <v>0</v>
      </c>
      <c r="BT1357">
        <v>0</v>
      </c>
      <c r="BU1357">
        <v>0</v>
      </c>
      <c r="BV1357">
        <v>0</v>
      </c>
      <c r="CC1357" t="str">
        <f>"18:57:22.383"</f>
        <v>18:57:22.383</v>
      </c>
      <c r="CD1357" t="str">
        <f>"379790147"</f>
        <v>379790147</v>
      </c>
      <c r="CQ1357">
        <v>0</v>
      </c>
      <c r="CR1357">
        <v>2</v>
      </c>
      <c r="CS1357">
        <v>0</v>
      </c>
      <c r="CT1357">
        <v>2</v>
      </c>
      <c r="CU1357">
        <v>0</v>
      </c>
      <c r="CV1357">
        <v>7</v>
      </c>
      <c r="CW1357" t="s">
        <v>120</v>
      </c>
      <c r="CX1357">
        <v>261</v>
      </c>
      <c r="CY1357">
        <v>2</v>
      </c>
      <c r="CZ1357" t="s">
        <v>121</v>
      </c>
      <c r="DA1357" t="s">
        <v>122</v>
      </c>
      <c r="DD1357">
        <v>15019971</v>
      </c>
      <c r="DE1357" t="s">
        <v>123</v>
      </c>
    </row>
    <row r="1358" spans="1:109" x14ac:dyDescent="0.3">
      <c r="A1358" t="str">
        <f>"18:57:23.461"</f>
        <v>18:57:23.461</v>
      </c>
      <c r="B1358" t="s">
        <v>110</v>
      </c>
      <c r="C1358" t="str">
        <f t="shared" si="63"/>
        <v>ffdfd3c0</v>
      </c>
      <c r="D1358" t="s">
        <v>111</v>
      </c>
      <c r="E1358">
        <v>18</v>
      </c>
      <c r="F1358">
        <v>1018</v>
      </c>
      <c r="G1358" t="s">
        <v>112</v>
      </c>
      <c r="J1358" t="s">
        <v>113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R1358" t="s">
        <v>114</v>
      </c>
      <c r="S1358" t="str">
        <f>"18:57:23.234"</f>
        <v>18:57:23.234</v>
      </c>
      <c r="T1358" t="str">
        <f>"18:57:23.031"</f>
        <v>18:57:23.031</v>
      </c>
      <c r="U1358" t="str">
        <f t="shared" si="64"/>
        <v>a1cdbe</v>
      </c>
      <c r="V1358">
        <v>0</v>
      </c>
      <c r="W1358">
        <v>0</v>
      </c>
      <c r="X1358">
        <v>1</v>
      </c>
      <c r="Y1358">
        <v>0</v>
      </c>
      <c r="Z1358">
        <v>0</v>
      </c>
      <c r="AB1358">
        <v>0</v>
      </c>
      <c r="AC1358">
        <v>9</v>
      </c>
      <c r="AD1358">
        <v>3</v>
      </c>
      <c r="AE1358">
        <v>0</v>
      </c>
      <c r="AF1358">
        <v>9</v>
      </c>
      <c r="AG1358" t="s">
        <v>158</v>
      </c>
      <c r="AH1358">
        <v>0</v>
      </c>
      <c r="AI1358">
        <v>3</v>
      </c>
      <c r="AJ1358">
        <v>1</v>
      </c>
      <c r="AK1358">
        <v>0</v>
      </c>
      <c r="AL1358" t="s">
        <v>2671</v>
      </c>
      <c r="AM1358">
        <v>46.813473999999999</v>
      </c>
      <c r="AN1358" t="s">
        <v>2672</v>
      </c>
      <c r="AO1358">
        <v>-122.70187900000001</v>
      </c>
      <c r="AP1358">
        <v>100</v>
      </c>
      <c r="AQ1358">
        <v>2000</v>
      </c>
      <c r="AR1358" t="s">
        <v>118</v>
      </c>
      <c r="AS1358">
        <v>-75</v>
      </c>
      <c r="AT1358">
        <v>-20</v>
      </c>
      <c r="AU1358">
        <v>192</v>
      </c>
      <c r="BC1358">
        <v>1200</v>
      </c>
      <c r="BD1358">
        <v>1</v>
      </c>
      <c r="BE1358" t="str">
        <f t="shared" si="65"/>
        <v xml:space="preserve">N215T   </v>
      </c>
      <c r="BF1358">
        <v>1</v>
      </c>
      <c r="BH1358">
        <v>0</v>
      </c>
      <c r="BI1358">
        <v>0</v>
      </c>
      <c r="BJ1358">
        <v>0</v>
      </c>
      <c r="BK1358">
        <v>2375</v>
      </c>
      <c r="BL1358">
        <v>375</v>
      </c>
      <c r="BM1358" t="s">
        <v>119</v>
      </c>
      <c r="BN1358">
        <v>1</v>
      </c>
      <c r="BO1358">
        <v>1</v>
      </c>
      <c r="BP1358">
        <v>1</v>
      </c>
      <c r="BQ1358">
        <v>0</v>
      </c>
      <c r="BT1358">
        <v>0</v>
      </c>
      <c r="BU1358">
        <v>0</v>
      </c>
      <c r="BV1358">
        <v>0</v>
      </c>
      <c r="CC1358" t="str">
        <f>"18:57:23.234"</f>
        <v>18:57:23.234</v>
      </c>
      <c r="CD1358" t="str">
        <f>"234705981"</f>
        <v>234705981</v>
      </c>
      <c r="CQ1358">
        <v>0</v>
      </c>
      <c r="CR1358">
        <v>2</v>
      </c>
      <c r="CS1358">
        <v>0</v>
      </c>
      <c r="CT1358">
        <v>2</v>
      </c>
      <c r="CU1358">
        <v>0</v>
      </c>
      <c r="CV1358">
        <v>7</v>
      </c>
      <c r="CW1358" t="s">
        <v>120</v>
      </c>
      <c r="CX1358">
        <v>261</v>
      </c>
      <c r="CY1358">
        <v>2</v>
      </c>
      <c r="CZ1358" t="s">
        <v>121</v>
      </c>
      <c r="DA1358" t="s">
        <v>122</v>
      </c>
      <c r="DD1358">
        <v>15020568</v>
      </c>
      <c r="DE1358" t="s">
        <v>123</v>
      </c>
    </row>
    <row r="1359" spans="1:109" x14ac:dyDescent="0.3">
      <c r="A1359" t="str">
        <f>"18:57:24.625"</f>
        <v>18:57:24.625</v>
      </c>
      <c r="B1359" t="s">
        <v>110</v>
      </c>
      <c r="C1359" t="str">
        <f t="shared" si="63"/>
        <v>ffdfd3c0</v>
      </c>
      <c r="D1359" t="s">
        <v>111</v>
      </c>
      <c r="E1359">
        <v>18</v>
      </c>
      <c r="F1359">
        <v>1018</v>
      </c>
      <c r="G1359" t="s">
        <v>112</v>
      </c>
      <c r="J1359" t="s">
        <v>113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R1359" t="s">
        <v>114</v>
      </c>
      <c r="S1359" t="str">
        <f>"18:57:24.383"</f>
        <v>18:57:24.383</v>
      </c>
      <c r="T1359" t="str">
        <f>"18:57:24.383"</f>
        <v>18:57:24.383</v>
      </c>
      <c r="U1359" t="str">
        <f t="shared" si="64"/>
        <v>a1cdbe</v>
      </c>
      <c r="V1359">
        <v>0</v>
      </c>
      <c r="W1359">
        <v>0</v>
      </c>
      <c r="X1359">
        <v>1</v>
      </c>
      <c r="Y1359">
        <v>0</v>
      </c>
      <c r="Z1359">
        <v>0</v>
      </c>
      <c r="AB1359">
        <v>0</v>
      </c>
      <c r="AC1359">
        <v>9</v>
      </c>
      <c r="AD1359">
        <v>3</v>
      </c>
      <c r="AE1359">
        <v>0</v>
      </c>
      <c r="AF1359">
        <v>9</v>
      </c>
      <c r="AG1359" t="s">
        <v>158</v>
      </c>
      <c r="AH1359">
        <v>0</v>
      </c>
      <c r="AI1359">
        <v>3</v>
      </c>
      <c r="AJ1359">
        <v>1</v>
      </c>
      <c r="AK1359">
        <v>0</v>
      </c>
      <c r="AL1359" t="s">
        <v>2673</v>
      </c>
      <c r="AM1359">
        <v>46.813388000000003</v>
      </c>
      <c r="AN1359" t="s">
        <v>2674</v>
      </c>
      <c r="AO1359">
        <v>-122.702415</v>
      </c>
      <c r="AP1359">
        <v>100</v>
      </c>
      <c r="AQ1359">
        <v>2000</v>
      </c>
      <c r="AR1359" t="s">
        <v>118</v>
      </c>
      <c r="AS1359">
        <v>-75</v>
      </c>
      <c r="AT1359">
        <v>-23</v>
      </c>
      <c r="AU1359">
        <v>320</v>
      </c>
      <c r="BC1359">
        <v>1200</v>
      </c>
      <c r="BD1359">
        <v>1</v>
      </c>
      <c r="BE1359" t="str">
        <f t="shared" si="65"/>
        <v xml:space="preserve">N215T   </v>
      </c>
      <c r="BF1359">
        <v>1</v>
      </c>
      <c r="BH1359">
        <v>0</v>
      </c>
      <c r="BI1359">
        <v>0</v>
      </c>
      <c r="BJ1359">
        <v>0</v>
      </c>
      <c r="BK1359">
        <v>2400</v>
      </c>
      <c r="BL1359">
        <v>400</v>
      </c>
      <c r="BM1359" t="s">
        <v>119</v>
      </c>
      <c r="BN1359">
        <v>1</v>
      </c>
      <c r="BO1359">
        <v>1</v>
      </c>
      <c r="BP1359">
        <v>1</v>
      </c>
      <c r="BQ1359">
        <v>0</v>
      </c>
      <c r="BT1359">
        <v>0</v>
      </c>
      <c r="BU1359">
        <v>0</v>
      </c>
      <c r="BV1359">
        <v>0</v>
      </c>
      <c r="CC1359" t="str">
        <f>"18:57:24.391"</f>
        <v>18:57:24.391</v>
      </c>
      <c r="CD1359" t="str">
        <f>"389592272"</f>
        <v>389592272</v>
      </c>
      <c r="CQ1359">
        <v>0</v>
      </c>
      <c r="CR1359">
        <v>2</v>
      </c>
      <c r="CS1359">
        <v>0</v>
      </c>
      <c r="CT1359">
        <v>2</v>
      </c>
      <c r="CU1359">
        <v>0</v>
      </c>
      <c r="CV1359">
        <v>7</v>
      </c>
      <c r="CW1359" t="s">
        <v>120</v>
      </c>
      <c r="CX1359">
        <v>261</v>
      </c>
      <c r="CY1359">
        <v>2</v>
      </c>
      <c r="CZ1359" t="s">
        <v>121</v>
      </c>
      <c r="DA1359" t="s">
        <v>122</v>
      </c>
      <c r="DD1359">
        <v>15021359</v>
      </c>
      <c r="DE1359" t="s">
        <v>123</v>
      </c>
    </row>
    <row r="1360" spans="1:109" x14ac:dyDescent="0.3">
      <c r="A1360" t="str">
        <f>"18:57:25.578"</f>
        <v>18:57:25.578</v>
      </c>
      <c r="B1360" t="s">
        <v>110</v>
      </c>
      <c r="C1360" t="str">
        <f t="shared" si="63"/>
        <v>ffdfd3c0</v>
      </c>
      <c r="D1360" t="s">
        <v>111</v>
      </c>
      <c r="E1360">
        <v>18</v>
      </c>
      <c r="F1360">
        <v>1018</v>
      </c>
      <c r="G1360" t="s">
        <v>112</v>
      </c>
      <c r="J1360" t="s">
        <v>113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R1360" t="s">
        <v>114</v>
      </c>
      <c r="S1360" t="str">
        <f>"18:57:25.344"</f>
        <v>18:57:25.344</v>
      </c>
      <c r="T1360" t="str">
        <f>"18:57:25.344"</f>
        <v>18:57:25.344</v>
      </c>
      <c r="U1360" t="str">
        <f t="shared" si="64"/>
        <v>a1cdbe</v>
      </c>
      <c r="V1360">
        <v>0</v>
      </c>
      <c r="W1360">
        <v>0</v>
      </c>
      <c r="X1360">
        <v>1</v>
      </c>
      <c r="Y1360">
        <v>0</v>
      </c>
      <c r="Z1360">
        <v>0</v>
      </c>
      <c r="AB1360">
        <v>0</v>
      </c>
      <c r="AC1360">
        <v>9</v>
      </c>
      <c r="AD1360">
        <v>3</v>
      </c>
      <c r="AE1360">
        <v>0</v>
      </c>
      <c r="AF1360">
        <v>9</v>
      </c>
      <c r="AG1360" t="s">
        <v>158</v>
      </c>
      <c r="AH1360">
        <v>0</v>
      </c>
      <c r="AI1360">
        <v>3</v>
      </c>
      <c r="AJ1360">
        <v>1</v>
      </c>
      <c r="AK1360">
        <v>0</v>
      </c>
      <c r="AL1360" t="s">
        <v>2675</v>
      </c>
      <c r="AM1360">
        <v>46.813259000000002</v>
      </c>
      <c r="AN1360" t="s">
        <v>2676</v>
      </c>
      <c r="AO1360">
        <v>-122.70292999999999</v>
      </c>
      <c r="AP1360">
        <v>100</v>
      </c>
      <c r="AQ1360">
        <v>2000</v>
      </c>
      <c r="AR1360" t="s">
        <v>118</v>
      </c>
      <c r="AS1360">
        <v>-75</v>
      </c>
      <c r="AT1360">
        <v>-24</v>
      </c>
      <c r="AU1360">
        <v>256</v>
      </c>
      <c r="BC1360">
        <v>1200</v>
      </c>
      <c r="BD1360">
        <v>1</v>
      </c>
      <c r="BE1360" t="str">
        <f t="shared" si="65"/>
        <v xml:space="preserve">N215T   </v>
      </c>
      <c r="BF1360">
        <v>1</v>
      </c>
      <c r="BH1360">
        <v>0</v>
      </c>
      <c r="BI1360">
        <v>0</v>
      </c>
      <c r="BJ1360">
        <v>0</v>
      </c>
      <c r="BK1360">
        <v>2400</v>
      </c>
      <c r="BL1360">
        <v>400</v>
      </c>
      <c r="BM1360" t="s">
        <v>119</v>
      </c>
      <c r="BN1360">
        <v>1</v>
      </c>
      <c r="BO1360">
        <v>1</v>
      </c>
      <c r="BP1360">
        <v>1</v>
      </c>
      <c r="BQ1360">
        <v>0</v>
      </c>
      <c r="BT1360">
        <v>0</v>
      </c>
      <c r="BU1360">
        <v>0</v>
      </c>
      <c r="BV1360">
        <v>0</v>
      </c>
      <c r="CC1360" t="str">
        <f>"18:57:25.352"</f>
        <v>18:57:25.352</v>
      </c>
      <c r="CD1360" t="str">
        <f>"349497773"</f>
        <v>349497773</v>
      </c>
      <c r="CQ1360">
        <v>0</v>
      </c>
      <c r="CR1360">
        <v>2</v>
      </c>
      <c r="CS1360">
        <v>0</v>
      </c>
      <c r="CT1360">
        <v>2</v>
      </c>
      <c r="CU1360">
        <v>0</v>
      </c>
      <c r="CV1360">
        <v>7</v>
      </c>
      <c r="CW1360" t="s">
        <v>120</v>
      </c>
      <c r="CX1360">
        <v>261</v>
      </c>
      <c r="CY1360">
        <v>2</v>
      </c>
      <c r="CZ1360" t="s">
        <v>121</v>
      </c>
      <c r="DA1360" t="s">
        <v>122</v>
      </c>
      <c r="DD1360">
        <v>15021998</v>
      </c>
      <c r="DE1360" t="s">
        <v>123</v>
      </c>
    </row>
    <row r="1361" spans="1:109" x14ac:dyDescent="0.3">
      <c r="A1361" t="str">
        <f>"18:57:26.633"</f>
        <v>18:57:26.633</v>
      </c>
      <c r="B1361" t="s">
        <v>110</v>
      </c>
      <c r="C1361" t="str">
        <f t="shared" si="63"/>
        <v>ffdfd3c0</v>
      </c>
      <c r="D1361" t="s">
        <v>111</v>
      </c>
      <c r="E1361">
        <v>18</v>
      </c>
      <c r="F1361">
        <v>1018</v>
      </c>
      <c r="G1361" t="s">
        <v>112</v>
      </c>
      <c r="J1361" t="s">
        <v>113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R1361" t="s">
        <v>114</v>
      </c>
      <c r="S1361" t="str">
        <f>"18:57:26.414"</f>
        <v>18:57:26.414</v>
      </c>
      <c r="T1361" t="str">
        <f>"18:57:26.414"</f>
        <v>18:57:26.414</v>
      </c>
      <c r="U1361" t="str">
        <f t="shared" si="64"/>
        <v>a1cdbe</v>
      </c>
      <c r="V1361">
        <v>0</v>
      </c>
      <c r="W1361">
        <v>0</v>
      </c>
      <c r="X1361">
        <v>1</v>
      </c>
      <c r="Y1361">
        <v>0</v>
      </c>
      <c r="Z1361">
        <v>0</v>
      </c>
      <c r="AB1361">
        <v>0</v>
      </c>
      <c r="AC1361">
        <v>9</v>
      </c>
      <c r="AD1361">
        <v>3</v>
      </c>
      <c r="AE1361">
        <v>0</v>
      </c>
      <c r="AF1361">
        <v>9</v>
      </c>
      <c r="AG1361" t="s">
        <v>158</v>
      </c>
      <c r="AH1361">
        <v>0</v>
      </c>
      <c r="AI1361">
        <v>3</v>
      </c>
      <c r="AJ1361">
        <v>1</v>
      </c>
      <c r="AK1361">
        <v>0</v>
      </c>
      <c r="AL1361" t="s">
        <v>2677</v>
      </c>
      <c r="AM1361">
        <v>46.813152000000002</v>
      </c>
      <c r="AN1361" t="s">
        <v>2678</v>
      </c>
      <c r="AO1361">
        <v>-122.70348799999999</v>
      </c>
      <c r="AP1361">
        <v>100</v>
      </c>
      <c r="AQ1361">
        <v>2000</v>
      </c>
      <c r="AR1361" t="s">
        <v>118</v>
      </c>
      <c r="AS1361">
        <v>-75</v>
      </c>
      <c r="AT1361">
        <v>-24</v>
      </c>
      <c r="AU1361">
        <v>192</v>
      </c>
      <c r="BC1361">
        <v>1200</v>
      </c>
      <c r="BD1361">
        <v>1</v>
      </c>
      <c r="BE1361" t="str">
        <f t="shared" si="65"/>
        <v xml:space="preserve">N215T   </v>
      </c>
      <c r="BF1361">
        <v>1</v>
      </c>
      <c r="BH1361">
        <v>0</v>
      </c>
      <c r="BI1361">
        <v>0</v>
      </c>
      <c r="BJ1361">
        <v>0</v>
      </c>
      <c r="BK1361">
        <v>2400</v>
      </c>
      <c r="BL1361">
        <v>400</v>
      </c>
      <c r="BM1361" t="s">
        <v>119</v>
      </c>
      <c r="BN1361">
        <v>1</v>
      </c>
      <c r="BO1361">
        <v>1</v>
      </c>
      <c r="BP1361">
        <v>1</v>
      </c>
      <c r="BQ1361">
        <v>0</v>
      </c>
      <c r="BT1361">
        <v>0</v>
      </c>
      <c r="BU1361">
        <v>0</v>
      </c>
      <c r="BV1361">
        <v>0</v>
      </c>
      <c r="CC1361" t="str">
        <f>"18:57:26.414"</f>
        <v>18:57:26.414</v>
      </c>
      <c r="CD1361" t="str">
        <f>"414392934"</f>
        <v>414392934</v>
      </c>
      <c r="CQ1361">
        <v>0</v>
      </c>
      <c r="CR1361">
        <v>2</v>
      </c>
      <c r="CS1361">
        <v>0</v>
      </c>
      <c r="CT1361">
        <v>2</v>
      </c>
      <c r="CU1361">
        <v>0</v>
      </c>
      <c r="CV1361">
        <v>7</v>
      </c>
      <c r="CW1361" t="s">
        <v>120</v>
      </c>
      <c r="CX1361">
        <v>261</v>
      </c>
      <c r="CY1361">
        <v>2</v>
      </c>
      <c r="CZ1361" t="s">
        <v>121</v>
      </c>
      <c r="DA1361" t="s">
        <v>122</v>
      </c>
      <c r="DD1361">
        <v>15022641</v>
      </c>
      <c r="DE1361" t="s">
        <v>123</v>
      </c>
    </row>
    <row r="1362" spans="1:109" x14ac:dyDescent="0.3">
      <c r="A1362" t="str">
        <f>"18:57:27.836"</f>
        <v>18:57:27.836</v>
      </c>
      <c r="B1362" t="s">
        <v>110</v>
      </c>
      <c r="C1362" t="str">
        <f t="shared" si="63"/>
        <v>ffdfd3c0</v>
      </c>
      <c r="D1362" t="s">
        <v>111</v>
      </c>
      <c r="E1362">
        <v>18</v>
      </c>
      <c r="F1362">
        <v>1018</v>
      </c>
      <c r="G1362" t="s">
        <v>112</v>
      </c>
      <c r="J1362" t="s">
        <v>113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R1362" t="s">
        <v>114</v>
      </c>
      <c r="S1362" t="str">
        <f>"18:57:27.563"</f>
        <v>18:57:27.563</v>
      </c>
      <c r="T1362" t="str">
        <f>"18:57:27.461"</f>
        <v>18:57:27.461</v>
      </c>
      <c r="U1362" t="str">
        <f t="shared" si="64"/>
        <v>a1cdbe</v>
      </c>
      <c r="V1362">
        <v>0</v>
      </c>
      <c r="W1362">
        <v>0</v>
      </c>
      <c r="X1362">
        <v>1</v>
      </c>
      <c r="Y1362">
        <v>0</v>
      </c>
      <c r="Z1362">
        <v>0</v>
      </c>
      <c r="AB1362">
        <v>0</v>
      </c>
      <c r="AC1362">
        <v>9</v>
      </c>
      <c r="AD1362">
        <v>3</v>
      </c>
      <c r="AE1362">
        <v>0</v>
      </c>
      <c r="AF1362">
        <v>9</v>
      </c>
      <c r="AG1362" t="s">
        <v>158</v>
      </c>
      <c r="AH1362">
        <v>0</v>
      </c>
      <c r="AI1362">
        <v>3</v>
      </c>
      <c r="AJ1362">
        <v>1</v>
      </c>
      <c r="AK1362">
        <v>0</v>
      </c>
      <c r="AL1362" t="s">
        <v>2679</v>
      </c>
      <c r="AM1362">
        <v>46.813023000000001</v>
      </c>
      <c r="AN1362" t="s">
        <v>2680</v>
      </c>
      <c r="AO1362">
        <v>-122.704024</v>
      </c>
      <c r="AP1362">
        <v>100</v>
      </c>
      <c r="AQ1362">
        <v>2000</v>
      </c>
      <c r="AR1362" t="s">
        <v>118</v>
      </c>
      <c r="AS1362">
        <v>-75</v>
      </c>
      <c r="AT1362">
        <v>-25</v>
      </c>
      <c r="AU1362">
        <v>192</v>
      </c>
      <c r="BC1362">
        <v>1200</v>
      </c>
      <c r="BD1362">
        <v>1</v>
      </c>
      <c r="BE1362" t="str">
        <f t="shared" si="65"/>
        <v xml:space="preserve">N215T   </v>
      </c>
      <c r="BF1362">
        <v>1</v>
      </c>
      <c r="BH1362">
        <v>0</v>
      </c>
      <c r="BI1362">
        <v>0</v>
      </c>
      <c r="BJ1362">
        <v>0</v>
      </c>
      <c r="BK1362">
        <v>2400</v>
      </c>
      <c r="BL1362">
        <v>400</v>
      </c>
      <c r="BM1362" t="s">
        <v>119</v>
      </c>
      <c r="BN1362">
        <v>1</v>
      </c>
      <c r="BO1362">
        <v>1</v>
      </c>
      <c r="BP1362">
        <v>1</v>
      </c>
      <c r="BQ1362">
        <v>0</v>
      </c>
      <c r="BT1362">
        <v>0</v>
      </c>
      <c r="BU1362">
        <v>0</v>
      </c>
      <c r="BV1362">
        <v>0</v>
      </c>
      <c r="CC1362" t="str">
        <f>"18:57:27.570"</f>
        <v>18:57:27.570</v>
      </c>
      <c r="CD1362" t="str">
        <f>"569279241"</f>
        <v>569279241</v>
      </c>
      <c r="CQ1362">
        <v>0</v>
      </c>
      <c r="CR1362">
        <v>2</v>
      </c>
      <c r="CS1362">
        <v>0</v>
      </c>
      <c r="CT1362">
        <v>2</v>
      </c>
      <c r="CU1362">
        <v>0</v>
      </c>
      <c r="CV1362">
        <v>7</v>
      </c>
      <c r="CW1362" t="s">
        <v>120</v>
      </c>
      <c r="CX1362">
        <v>261</v>
      </c>
      <c r="CY1362">
        <v>2</v>
      </c>
      <c r="CZ1362" t="s">
        <v>121</v>
      </c>
      <c r="DA1362" t="s">
        <v>122</v>
      </c>
      <c r="DD1362">
        <v>15023389</v>
      </c>
      <c r="DE1362" t="s">
        <v>123</v>
      </c>
    </row>
    <row r="1363" spans="1:109" x14ac:dyDescent="0.3">
      <c r="A1363" t="str">
        <f>"18:57:28.742"</f>
        <v>18:57:28.742</v>
      </c>
      <c r="B1363" t="s">
        <v>110</v>
      </c>
      <c r="C1363" t="str">
        <f t="shared" si="63"/>
        <v>ffdfd3c0</v>
      </c>
      <c r="D1363" t="s">
        <v>111</v>
      </c>
      <c r="E1363">
        <v>18</v>
      </c>
      <c r="F1363">
        <v>1018</v>
      </c>
      <c r="G1363" t="s">
        <v>112</v>
      </c>
      <c r="J1363" t="s">
        <v>113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R1363" t="s">
        <v>114</v>
      </c>
      <c r="S1363" t="str">
        <f>"18:57:28.523"</f>
        <v>18:57:28.523</v>
      </c>
      <c r="T1363" t="str">
        <f>"18:57:28.523"</f>
        <v>18:57:28.523</v>
      </c>
      <c r="U1363" t="str">
        <f t="shared" si="64"/>
        <v>a1cdbe</v>
      </c>
      <c r="V1363">
        <v>0</v>
      </c>
      <c r="W1363">
        <v>0</v>
      </c>
      <c r="X1363">
        <v>1</v>
      </c>
      <c r="Y1363">
        <v>0</v>
      </c>
      <c r="Z1363">
        <v>0</v>
      </c>
      <c r="AB1363">
        <v>0</v>
      </c>
      <c r="AC1363">
        <v>9</v>
      </c>
      <c r="AD1363">
        <v>3</v>
      </c>
      <c r="AE1363">
        <v>0</v>
      </c>
      <c r="AF1363">
        <v>9</v>
      </c>
      <c r="AG1363" t="s">
        <v>158</v>
      </c>
      <c r="AH1363">
        <v>0</v>
      </c>
      <c r="AI1363">
        <v>3</v>
      </c>
      <c r="AJ1363">
        <v>1</v>
      </c>
      <c r="AK1363">
        <v>0</v>
      </c>
      <c r="AL1363" t="s">
        <v>2681</v>
      </c>
      <c r="AM1363">
        <v>46.812936999999998</v>
      </c>
      <c r="AN1363" t="s">
        <v>2682</v>
      </c>
      <c r="AO1363">
        <v>-122.704561</v>
      </c>
      <c r="AP1363">
        <v>100</v>
      </c>
      <c r="AQ1363">
        <v>2000</v>
      </c>
      <c r="AR1363" t="s">
        <v>118</v>
      </c>
      <c r="AS1363">
        <v>-76</v>
      </c>
      <c r="AT1363">
        <v>-25</v>
      </c>
      <c r="AU1363">
        <v>128</v>
      </c>
      <c r="BC1363">
        <v>1200</v>
      </c>
      <c r="BD1363">
        <v>1</v>
      </c>
      <c r="BE1363" t="str">
        <f t="shared" si="65"/>
        <v xml:space="preserve">N215T   </v>
      </c>
      <c r="BF1363">
        <v>1</v>
      </c>
      <c r="BH1363">
        <v>0</v>
      </c>
      <c r="BI1363">
        <v>0</v>
      </c>
      <c r="BJ1363">
        <v>0</v>
      </c>
      <c r="BK1363">
        <v>2400</v>
      </c>
      <c r="BL1363">
        <v>400</v>
      </c>
      <c r="BM1363" t="s">
        <v>119</v>
      </c>
      <c r="BN1363">
        <v>1</v>
      </c>
      <c r="BO1363">
        <v>1</v>
      </c>
      <c r="BP1363">
        <v>1</v>
      </c>
      <c r="BQ1363">
        <v>0</v>
      </c>
      <c r="BT1363">
        <v>0</v>
      </c>
      <c r="BU1363">
        <v>0</v>
      </c>
      <c r="BV1363">
        <v>0</v>
      </c>
      <c r="CC1363" t="str">
        <f>"18:57:28.531"</f>
        <v>18:57:28.531</v>
      </c>
      <c r="CD1363" t="str">
        <f>"529184736"</f>
        <v>529184736</v>
      </c>
      <c r="CQ1363">
        <v>0</v>
      </c>
      <c r="CR1363">
        <v>2</v>
      </c>
      <c r="CS1363">
        <v>0</v>
      </c>
      <c r="CT1363">
        <v>2</v>
      </c>
      <c r="CU1363">
        <v>0</v>
      </c>
      <c r="CV1363">
        <v>7</v>
      </c>
      <c r="CW1363" t="s">
        <v>120</v>
      </c>
      <c r="CX1363">
        <v>261</v>
      </c>
      <c r="CY1363">
        <v>2</v>
      </c>
      <c r="CZ1363" t="s">
        <v>121</v>
      </c>
      <c r="DA1363" t="s">
        <v>122</v>
      </c>
      <c r="DD1363">
        <v>15024004</v>
      </c>
      <c r="DE1363" t="s">
        <v>123</v>
      </c>
    </row>
    <row r="1364" spans="1:109" x14ac:dyDescent="0.3">
      <c r="A1364" t="str">
        <f>"18:57:29.695"</f>
        <v>18:57:29.695</v>
      </c>
      <c r="B1364" t="s">
        <v>110</v>
      </c>
      <c r="C1364" t="str">
        <f t="shared" si="63"/>
        <v>ffdfd3c0</v>
      </c>
      <c r="D1364" t="s">
        <v>111</v>
      </c>
      <c r="E1364">
        <v>18</v>
      </c>
      <c r="F1364">
        <v>1018</v>
      </c>
      <c r="G1364" t="s">
        <v>112</v>
      </c>
      <c r="J1364" t="s">
        <v>113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R1364" t="s">
        <v>114</v>
      </c>
      <c r="S1364" t="str">
        <f>"18:57:29.453"</f>
        <v>18:57:29.453</v>
      </c>
      <c r="T1364" t="str">
        <f>"18:57:29.055"</f>
        <v>18:57:29.055</v>
      </c>
      <c r="U1364" t="str">
        <f t="shared" si="64"/>
        <v>a1cdbe</v>
      </c>
      <c r="V1364">
        <v>0</v>
      </c>
      <c r="W1364">
        <v>0</v>
      </c>
      <c r="X1364">
        <v>1</v>
      </c>
      <c r="Y1364">
        <v>0</v>
      </c>
      <c r="Z1364">
        <v>0</v>
      </c>
      <c r="AB1364">
        <v>0</v>
      </c>
      <c r="AC1364">
        <v>9</v>
      </c>
      <c r="AD1364">
        <v>3</v>
      </c>
      <c r="AE1364">
        <v>0</v>
      </c>
      <c r="AF1364">
        <v>9</v>
      </c>
      <c r="AG1364" t="s">
        <v>158</v>
      </c>
      <c r="AH1364">
        <v>0</v>
      </c>
      <c r="AI1364">
        <v>3</v>
      </c>
      <c r="AJ1364">
        <v>1</v>
      </c>
      <c r="AK1364">
        <v>0</v>
      </c>
      <c r="AL1364" t="s">
        <v>2683</v>
      </c>
      <c r="AM1364">
        <v>46.812787</v>
      </c>
      <c r="AN1364" t="s">
        <v>2684</v>
      </c>
      <c r="AO1364">
        <v>-122.70499</v>
      </c>
      <c r="AP1364">
        <v>100</v>
      </c>
      <c r="AQ1364">
        <v>2000</v>
      </c>
      <c r="AR1364" t="s">
        <v>118</v>
      </c>
      <c r="AS1364">
        <v>-76</v>
      </c>
      <c r="AT1364">
        <v>-26</v>
      </c>
      <c r="AU1364">
        <v>64</v>
      </c>
      <c r="BC1364">
        <v>1200</v>
      </c>
      <c r="BD1364">
        <v>1</v>
      </c>
      <c r="BE1364" t="str">
        <f t="shared" si="65"/>
        <v xml:space="preserve">N215T   </v>
      </c>
      <c r="BF1364">
        <v>1</v>
      </c>
      <c r="BH1364">
        <v>0</v>
      </c>
      <c r="BI1364">
        <v>0</v>
      </c>
      <c r="BJ1364">
        <v>0</v>
      </c>
      <c r="BK1364">
        <v>2400</v>
      </c>
      <c r="BL1364">
        <v>400</v>
      </c>
      <c r="BM1364" t="s">
        <v>119</v>
      </c>
      <c r="BN1364">
        <v>1</v>
      </c>
      <c r="BO1364">
        <v>1</v>
      </c>
      <c r="BP1364">
        <v>1</v>
      </c>
      <c r="BQ1364">
        <v>0</v>
      </c>
      <c r="BT1364">
        <v>0</v>
      </c>
      <c r="BU1364">
        <v>0</v>
      </c>
      <c r="BV1364">
        <v>0</v>
      </c>
      <c r="CC1364" t="str">
        <f>"18:57:29.461"</f>
        <v>18:57:29.461</v>
      </c>
      <c r="CD1364" t="str">
        <f>"459093186"</f>
        <v>459093186</v>
      </c>
      <c r="CQ1364">
        <v>0</v>
      </c>
      <c r="CR1364">
        <v>2</v>
      </c>
      <c r="CS1364">
        <v>0</v>
      </c>
      <c r="CT1364">
        <v>2</v>
      </c>
      <c r="CU1364">
        <v>0</v>
      </c>
      <c r="CV1364">
        <v>7</v>
      </c>
      <c r="CW1364" t="s">
        <v>120</v>
      </c>
      <c r="CX1364">
        <v>261</v>
      </c>
      <c r="CY1364">
        <v>2</v>
      </c>
      <c r="CZ1364" t="s">
        <v>121</v>
      </c>
      <c r="DA1364" t="s">
        <v>122</v>
      </c>
      <c r="DD1364">
        <v>15024612</v>
      </c>
      <c r="DE1364" t="s">
        <v>123</v>
      </c>
    </row>
    <row r="1365" spans="1:109" x14ac:dyDescent="0.3">
      <c r="A1365" t="str">
        <f>"18:57:30.555"</f>
        <v>18:57:30.555</v>
      </c>
      <c r="B1365" t="s">
        <v>110</v>
      </c>
      <c r="C1365" t="str">
        <f t="shared" si="63"/>
        <v>ffdfd3c0</v>
      </c>
      <c r="D1365" t="s">
        <v>111</v>
      </c>
      <c r="E1365">
        <v>18</v>
      </c>
      <c r="F1365">
        <v>1018</v>
      </c>
      <c r="G1365" t="s">
        <v>112</v>
      </c>
      <c r="J1365" t="s">
        <v>113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R1365" t="s">
        <v>114</v>
      </c>
      <c r="S1365" t="str">
        <f>"18:57:30.352"</f>
        <v>18:57:30.352</v>
      </c>
      <c r="T1365" t="str">
        <f>"18:57:29.953"</f>
        <v>18:57:29.953</v>
      </c>
      <c r="U1365" t="str">
        <f t="shared" si="64"/>
        <v>a1cdbe</v>
      </c>
      <c r="V1365">
        <v>0</v>
      </c>
      <c r="W1365">
        <v>0</v>
      </c>
      <c r="X1365">
        <v>1</v>
      </c>
      <c r="Y1365">
        <v>0</v>
      </c>
      <c r="Z1365">
        <v>0</v>
      </c>
      <c r="AB1365">
        <v>0</v>
      </c>
      <c r="AC1365">
        <v>9</v>
      </c>
      <c r="AD1365">
        <v>3</v>
      </c>
      <c r="AE1365">
        <v>0</v>
      </c>
      <c r="AF1365">
        <v>9</v>
      </c>
      <c r="AG1365" t="s">
        <v>158</v>
      </c>
      <c r="AH1365">
        <v>0</v>
      </c>
      <c r="AI1365">
        <v>3</v>
      </c>
      <c r="AJ1365">
        <v>1</v>
      </c>
      <c r="AK1365">
        <v>0</v>
      </c>
      <c r="AL1365" t="s">
        <v>2685</v>
      </c>
      <c r="AM1365">
        <v>46.812700999999997</v>
      </c>
      <c r="AN1365" t="s">
        <v>2686</v>
      </c>
      <c r="AO1365">
        <v>-122.705483</v>
      </c>
      <c r="AP1365">
        <v>100</v>
      </c>
      <c r="AQ1365">
        <v>2000</v>
      </c>
      <c r="AR1365" t="s">
        <v>118</v>
      </c>
      <c r="AS1365">
        <v>-76</v>
      </c>
      <c r="AT1365">
        <v>-27</v>
      </c>
      <c r="AU1365">
        <v>64</v>
      </c>
      <c r="BC1365">
        <v>1200</v>
      </c>
      <c r="BD1365">
        <v>1</v>
      </c>
      <c r="BE1365" t="str">
        <f t="shared" si="65"/>
        <v xml:space="preserve">N215T   </v>
      </c>
      <c r="BF1365">
        <v>1</v>
      </c>
      <c r="BH1365">
        <v>0</v>
      </c>
      <c r="BI1365">
        <v>0</v>
      </c>
      <c r="BJ1365">
        <v>0</v>
      </c>
      <c r="BK1365">
        <v>2400</v>
      </c>
      <c r="BL1365">
        <v>400</v>
      </c>
      <c r="BM1365" t="s">
        <v>119</v>
      </c>
      <c r="BN1365">
        <v>1</v>
      </c>
      <c r="BO1365">
        <v>1</v>
      </c>
      <c r="BP1365">
        <v>1</v>
      </c>
      <c r="BQ1365">
        <v>0</v>
      </c>
      <c r="BT1365">
        <v>0</v>
      </c>
      <c r="BU1365">
        <v>0</v>
      </c>
      <c r="BV1365">
        <v>0</v>
      </c>
      <c r="CC1365" t="str">
        <f>"18:57:30.359"</f>
        <v>18:57:30.359</v>
      </c>
      <c r="CD1365" t="str">
        <f>"359004595"</f>
        <v>359004595</v>
      </c>
      <c r="CQ1365">
        <v>0</v>
      </c>
      <c r="CR1365">
        <v>2</v>
      </c>
      <c r="CS1365">
        <v>0</v>
      </c>
      <c r="CT1365">
        <v>2</v>
      </c>
      <c r="CU1365">
        <v>0</v>
      </c>
      <c r="CV1365">
        <v>7</v>
      </c>
      <c r="CW1365" t="s">
        <v>120</v>
      </c>
      <c r="CX1365">
        <v>261</v>
      </c>
      <c r="CY1365">
        <v>2</v>
      </c>
      <c r="CZ1365" t="s">
        <v>121</v>
      </c>
      <c r="DA1365" t="s">
        <v>122</v>
      </c>
      <c r="DD1365">
        <v>15025272</v>
      </c>
      <c r="DE1365" t="s">
        <v>123</v>
      </c>
    </row>
    <row r="1366" spans="1:109" x14ac:dyDescent="0.3">
      <c r="A1366" t="str">
        <f>"18:57:31.563"</f>
        <v>18:57:31.563</v>
      </c>
      <c r="B1366" t="s">
        <v>110</v>
      </c>
      <c r="C1366" t="str">
        <f t="shared" si="63"/>
        <v>ffdfd3c0</v>
      </c>
      <c r="D1366" t="s">
        <v>111</v>
      </c>
      <c r="E1366">
        <v>18</v>
      </c>
      <c r="F1366">
        <v>1018</v>
      </c>
      <c r="G1366" t="s">
        <v>112</v>
      </c>
      <c r="J1366" t="s">
        <v>113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R1366" t="s">
        <v>114</v>
      </c>
      <c r="S1366" t="str">
        <f>"18:57:31.328"</f>
        <v>18:57:31.328</v>
      </c>
      <c r="T1366" t="str">
        <f>"18:57:31.031"</f>
        <v>18:57:31.031</v>
      </c>
      <c r="U1366" t="str">
        <f t="shared" si="64"/>
        <v>a1cdbe</v>
      </c>
      <c r="V1366">
        <v>0</v>
      </c>
      <c r="W1366">
        <v>0</v>
      </c>
      <c r="X1366">
        <v>1</v>
      </c>
      <c r="Y1366">
        <v>0</v>
      </c>
      <c r="Z1366">
        <v>0</v>
      </c>
      <c r="AB1366">
        <v>0</v>
      </c>
      <c r="AC1366">
        <v>9</v>
      </c>
      <c r="AD1366">
        <v>3</v>
      </c>
      <c r="AE1366">
        <v>0</v>
      </c>
      <c r="AF1366">
        <v>9</v>
      </c>
      <c r="AG1366" t="s">
        <v>158</v>
      </c>
      <c r="AH1366">
        <v>0</v>
      </c>
      <c r="AI1366">
        <v>3</v>
      </c>
      <c r="AJ1366">
        <v>1</v>
      </c>
      <c r="AK1366">
        <v>0</v>
      </c>
      <c r="AL1366" t="s">
        <v>2687</v>
      </c>
      <c r="AM1366">
        <v>46.812550999999999</v>
      </c>
      <c r="AN1366" t="s">
        <v>2688</v>
      </c>
      <c r="AO1366">
        <v>-122.705956</v>
      </c>
      <c r="AP1366">
        <v>100</v>
      </c>
      <c r="AQ1366">
        <v>2000</v>
      </c>
      <c r="AR1366" t="s">
        <v>118</v>
      </c>
      <c r="AS1366">
        <v>-76</v>
      </c>
      <c r="AT1366">
        <v>-28</v>
      </c>
      <c r="AU1366">
        <v>64</v>
      </c>
      <c r="BC1366">
        <v>1200</v>
      </c>
      <c r="BD1366">
        <v>1</v>
      </c>
      <c r="BE1366" t="str">
        <f t="shared" si="65"/>
        <v xml:space="preserve">N215T   </v>
      </c>
      <c r="BF1366">
        <v>1</v>
      </c>
      <c r="BH1366">
        <v>0</v>
      </c>
      <c r="BI1366">
        <v>0</v>
      </c>
      <c r="BJ1366">
        <v>0</v>
      </c>
      <c r="BK1366">
        <v>2400</v>
      </c>
      <c r="BL1366">
        <v>400</v>
      </c>
      <c r="BM1366" t="s">
        <v>119</v>
      </c>
      <c r="BN1366">
        <v>1</v>
      </c>
      <c r="BO1366">
        <v>1</v>
      </c>
      <c r="BP1366">
        <v>1</v>
      </c>
      <c r="BQ1366">
        <v>0</v>
      </c>
      <c r="BT1366">
        <v>0</v>
      </c>
      <c r="BU1366">
        <v>0</v>
      </c>
      <c r="BV1366">
        <v>0</v>
      </c>
      <c r="CC1366" t="str">
        <f>"18:57:31.336"</f>
        <v>18:57:31.336</v>
      </c>
      <c r="CD1366" t="str">
        <f>"333908625"</f>
        <v>333908625</v>
      </c>
      <c r="CQ1366">
        <v>0</v>
      </c>
      <c r="CR1366">
        <v>2</v>
      </c>
      <c r="CS1366">
        <v>0</v>
      </c>
      <c r="CT1366">
        <v>2</v>
      </c>
      <c r="CU1366">
        <v>0</v>
      </c>
      <c r="CV1366">
        <v>6</v>
      </c>
      <c r="CW1366" t="s">
        <v>120</v>
      </c>
      <c r="CX1366">
        <v>261</v>
      </c>
      <c r="CY1366">
        <v>2</v>
      </c>
      <c r="CZ1366" t="s">
        <v>121</v>
      </c>
      <c r="DA1366" t="s">
        <v>122</v>
      </c>
      <c r="DD1366">
        <v>15025916</v>
      </c>
      <c r="DE1366" t="s">
        <v>123</v>
      </c>
    </row>
    <row r="1367" spans="1:109" x14ac:dyDescent="0.3">
      <c r="A1367" t="str">
        <f>"18:57:32.719"</f>
        <v>18:57:32.719</v>
      </c>
      <c r="B1367" t="s">
        <v>110</v>
      </c>
      <c r="C1367" t="str">
        <f t="shared" si="63"/>
        <v>ffdfd3c0</v>
      </c>
      <c r="D1367" t="s">
        <v>111</v>
      </c>
      <c r="E1367">
        <v>18</v>
      </c>
      <c r="F1367">
        <v>1018</v>
      </c>
      <c r="G1367" t="s">
        <v>112</v>
      </c>
      <c r="J1367" t="s">
        <v>113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R1367" t="s">
        <v>114</v>
      </c>
      <c r="S1367" t="str">
        <f>"18:57:32.438"</f>
        <v>18:57:32.438</v>
      </c>
      <c r="T1367" t="str">
        <f>"18:57:32.039"</f>
        <v>18:57:32.039</v>
      </c>
      <c r="U1367" t="str">
        <f t="shared" si="64"/>
        <v>a1cdbe</v>
      </c>
      <c r="V1367">
        <v>0</v>
      </c>
      <c r="W1367">
        <v>0</v>
      </c>
      <c r="X1367">
        <v>1</v>
      </c>
      <c r="Y1367">
        <v>0</v>
      </c>
      <c r="Z1367">
        <v>0</v>
      </c>
      <c r="AB1367">
        <v>0</v>
      </c>
      <c r="AC1367">
        <v>9</v>
      </c>
      <c r="AD1367">
        <v>3</v>
      </c>
      <c r="AE1367">
        <v>0</v>
      </c>
      <c r="AF1367">
        <v>9</v>
      </c>
      <c r="AG1367" t="s">
        <v>158</v>
      </c>
      <c r="AH1367">
        <v>0</v>
      </c>
      <c r="AI1367">
        <v>3</v>
      </c>
      <c r="AJ1367">
        <v>1</v>
      </c>
      <c r="AK1367">
        <v>0</v>
      </c>
      <c r="AL1367" t="s">
        <v>2689</v>
      </c>
      <c r="AM1367">
        <v>46.812421999999998</v>
      </c>
      <c r="AN1367" t="s">
        <v>2690</v>
      </c>
      <c r="AO1367">
        <v>-122.70655600000001</v>
      </c>
      <c r="AP1367">
        <v>100</v>
      </c>
      <c r="AQ1367">
        <v>2000</v>
      </c>
      <c r="AR1367" t="s">
        <v>118</v>
      </c>
      <c r="AS1367">
        <v>-76</v>
      </c>
      <c r="AT1367">
        <v>-29</v>
      </c>
      <c r="AU1367">
        <v>64</v>
      </c>
      <c r="BC1367">
        <v>1200</v>
      </c>
      <c r="BD1367">
        <v>1</v>
      </c>
      <c r="BE1367" t="str">
        <f t="shared" si="65"/>
        <v xml:space="preserve">N215T   </v>
      </c>
      <c r="BF1367">
        <v>1</v>
      </c>
      <c r="BH1367">
        <v>0</v>
      </c>
      <c r="BI1367">
        <v>0</v>
      </c>
      <c r="BJ1367">
        <v>0</v>
      </c>
      <c r="BK1367">
        <v>2400</v>
      </c>
      <c r="BL1367">
        <v>400</v>
      </c>
      <c r="BM1367" t="s">
        <v>119</v>
      </c>
      <c r="BN1367">
        <v>1</v>
      </c>
      <c r="BO1367">
        <v>1</v>
      </c>
      <c r="BP1367">
        <v>1</v>
      </c>
      <c r="BQ1367">
        <v>0</v>
      </c>
      <c r="BT1367">
        <v>0</v>
      </c>
      <c r="BU1367">
        <v>0</v>
      </c>
      <c r="BV1367">
        <v>0</v>
      </c>
      <c r="CC1367" t="str">
        <f>"18:57:32.445"</f>
        <v>18:57:32.445</v>
      </c>
      <c r="CD1367" t="str">
        <f>"443799370"</f>
        <v>443799370</v>
      </c>
      <c r="CQ1367">
        <v>0</v>
      </c>
      <c r="CR1367">
        <v>2</v>
      </c>
      <c r="CS1367">
        <v>0</v>
      </c>
      <c r="CT1367">
        <v>2</v>
      </c>
      <c r="CU1367">
        <v>0</v>
      </c>
      <c r="CV1367">
        <v>7</v>
      </c>
      <c r="CW1367" t="s">
        <v>120</v>
      </c>
      <c r="CX1367">
        <v>261</v>
      </c>
      <c r="CY1367">
        <v>2</v>
      </c>
      <c r="CZ1367" t="s">
        <v>121</v>
      </c>
      <c r="DA1367" t="s">
        <v>122</v>
      </c>
      <c r="DD1367">
        <v>15026660</v>
      </c>
      <c r="DE1367" t="s">
        <v>123</v>
      </c>
    </row>
    <row r="1368" spans="1:109" x14ac:dyDescent="0.3">
      <c r="A1368" t="str">
        <f>"18:57:33.820"</f>
        <v>18:57:33.820</v>
      </c>
      <c r="B1368" t="s">
        <v>110</v>
      </c>
      <c r="C1368" t="str">
        <f t="shared" si="63"/>
        <v>ffdfd3c0</v>
      </c>
      <c r="D1368" t="s">
        <v>111</v>
      </c>
      <c r="E1368">
        <v>18</v>
      </c>
      <c r="F1368">
        <v>1018</v>
      </c>
      <c r="G1368" t="s">
        <v>112</v>
      </c>
      <c r="J1368" t="s">
        <v>113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R1368" t="s">
        <v>114</v>
      </c>
      <c r="S1368" t="str">
        <f>"18:57:33.578"</f>
        <v>18:57:33.578</v>
      </c>
      <c r="T1368" t="str">
        <f>"18:57:33.477"</f>
        <v>18:57:33.477</v>
      </c>
      <c r="U1368" t="str">
        <f t="shared" si="64"/>
        <v>a1cdbe</v>
      </c>
      <c r="V1368">
        <v>0</v>
      </c>
      <c r="W1368">
        <v>0</v>
      </c>
      <c r="X1368">
        <v>1</v>
      </c>
      <c r="Y1368">
        <v>0</v>
      </c>
      <c r="Z1368">
        <v>0</v>
      </c>
      <c r="AB1368">
        <v>0</v>
      </c>
      <c r="AC1368">
        <v>9</v>
      </c>
      <c r="AD1368">
        <v>3</v>
      </c>
      <c r="AE1368">
        <v>0</v>
      </c>
      <c r="AF1368">
        <v>9</v>
      </c>
      <c r="AG1368" t="s">
        <v>158</v>
      </c>
      <c r="AH1368">
        <v>0</v>
      </c>
      <c r="AI1368">
        <v>3</v>
      </c>
      <c r="AJ1368">
        <v>1</v>
      </c>
      <c r="AK1368">
        <v>0</v>
      </c>
      <c r="AL1368" t="s">
        <v>2691</v>
      </c>
      <c r="AM1368">
        <v>46.812251000000003</v>
      </c>
      <c r="AN1368" t="s">
        <v>2692</v>
      </c>
      <c r="AO1368">
        <v>-122.707093</v>
      </c>
      <c r="AP1368">
        <v>100</v>
      </c>
      <c r="AQ1368">
        <v>2000</v>
      </c>
      <c r="AR1368" t="s">
        <v>118</v>
      </c>
      <c r="AS1368">
        <v>-77</v>
      </c>
      <c r="AT1368">
        <v>-29</v>
      </c>
      <c r="AU1368">
        <v>0</v>
      </c>
      <c r="BC1368">
        <v>1200</v>
      </c>
      <c r="BD1368">
        <v>1</v>
      </c>
      <c r="BE1368" t="str">
        <f t="shared" si="65"/>
        <v xml:space="preserve">N215T   </v>
      </c>
      <c r="BF1368">
        <v>1</v>
      </c>
      <c r="BH1368">
        <v>0</v>
      </c>
      <c r="BI1368">
        <v>0</v>
      </c>
      <c r="BJ1368">
        <v>0</v>
      </c>
      <c r="BK1368">
        <v>2400</v>
      </c>
      <c r="BL1368">
        <v>400</v>
      </c>
      <c r="BM1368" t="s">
        <v>119</v>
      </c>
      <c r="BN1368">
        <v>1</v>
      </c>
      <c r="BO1368">
        <v>1</v>
      </c>
      <c r="BP1368">
        <v>1</v>
      </c>
      <c r="BQ1368">
        <v>0</v>
      </c>
      <c r="BT1368">
        <v>0</v>
      </c>
      <c r="BU1368">
        <v>0</v>
      </c>
      <c r="BV1368">
        <v>0</v>
      </c>
      <c r="CC1368" t="str">
        <f>"18:57:33.586"</f>
        <v>18:57:33.586</v>
      </c>
      <c r="CD1368" t="str">
        <f>"583687155"</f>
        <v>583687155</v>
      </c>
      <c r="CQ1368">
        <v>0</v>
      </c>
      <c r="CR1368">
        <v>2</v>
      </c>
      <c r="CS1368">
        <v>0</v>
      </c>
      <c r="CT1368">
        <v>2</v>
      </c>
      <c r="CU1368">
        <v>0</v>
      </c>
      <c r="CV1368">
        <v>6</v>
      </c>
      <c r="CW1368" t="s">
        <v>120</v>
      </c>
      <c r="CX1368">
        <v>261</v>
      </c>
      <c r="CY1368">
        <v>2</v>
      </c>
      <c r="CZ1368" t="s">
        <v>121</v>
      </c>
      <c r="DA1368" t="s">
        <v>122</v>
      </c>
      <c r="DD1368">
        <v>15027420</v>
      </c>
      <c r="DE1368" t="s">
        <v>123</v>
      </c>
    </row>
    <row r="1369" spans="1:109" x14ac:dyDescent="0.3">
      <c r="A1369" t="str">
        <f>"18:57:34.773"</f>
        <v>18:57:34.773</v>
      </c>
      <c r="B1369" t="s">
        <v>110</v>
      </c>
      <c r="C1369" t="str">
        <f t="shared" si="63"/>
        <v>ffdfd3c0</v>
      </c>
      <c r="D1369" t="s">
        <v>111</v>
      </c>
      <c r="E1369">
        <v>18</v>
      </c>
      <c r="F1369">
        <v>1018</v>
      </c>
      <c r="G1369" t="s">
        <v>112</v>
      </c>
      <c r="J1369" t="s">
        <v>113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R1369" t="s">
        <v>114</v>
      </c>
      <c r="S1369" t="str">
        <f>"18:57:34.508"</f>
        <v>18:57:34.508</v>
      </c>
      <c r="T1369" t="str">
        <f>"18:57:34.406"</f>
        <v>18:57:34.406</v>
      </c>
      <c r="U1369" t="str">
        <f t="shared" si="64"/>
        <v>a1cdbe</v>
      </c>
      <c r="V1369">
        <v>0</v>
      </c>
      <c r="W1369">
        <v>0</v>
      </c>
      <c r="X1369">
        <v>1</v>
      </c>
      <c r="Y1369">
        <v>0</v>
      </c>
      <c r="Z1369">
        <v>0</v>
      </c>
      <c r="AB1369">
        <v>0</v>
      </c>
      <c r="AC1369">
        <v>9</v>
      </c>
      <c r="AD1369">
        <v>3</v>
      </c>
      <c r="AE1369">
        <v>0</v>
      </c>
      <c r="AF1369">
        <v>9</v>
      </c>
      <c r="AG1369" t="s">
        <v>158</v>
      </c>
      <c r="AH1369">
        <v>0</v>
      </c>
      <c r="AI1369">
        <v>3</v>
      </c>
      <c r="AJ1369">
        <v>1</v>
      </c>
      <c r="AK1369">
        <v>0</v>
      </c>
      <c r="AL1369" t="s">
        <v>2693</v>
      </c>
      <c r="AM1369">
        <v>46.812100000000001</v>
      </c>
      <c r="AN1369" t="s">
        <v>2694</v>
      </c>
      <c r="AO1369">
        <v>-122.707629</v>
      </c>
      <c r="AP1369">
        <v>100</v>
      </c>
      <c r="AQ1369">
        <v>2000</v>
      </c>
      <c r="AR1369" t="s">
        <v>118</v>
      </c>
      <c r="AS1369">
        <v>-77</v>
      </c>
      <c r="AT1369">
        <v>-29</v>
      </c>
      <c r="AU1369">
        <v>-64</v>
      </c>
      <c r="BC1369">
        <v>1200</v>
      </c>
      <c r="BD1369">
        <v>1</v>
      </c>
      <c r="BE1369" t="str">
        <f t="shared" si="65"/>
        <v xml:space="preserve">N215T   </v>
      </c>
      <c r="BF1369">
        <v>1</v>
      </c>
      <c r="BH1369">
        <v>0</v>
      </c>
      <c r="BI1369">
        <v>0</v>
      </c>
      <c r="BJ1369">
        <v>0</v>
      </c>
      <c r="BK1369">
        <v>2400</v>
      </c>
      <c r="BL1369">
        <v>400</v>
      </c>
      <c r="BM1369" t="s">
        <v>119</v>
      </c>
      <c r="BN1369">
        <v>1</v>
      </c>
      <c r="BO1369">
        <v>1</v>
      </c>
      <c r="BP1369">
        <v>1</v>
      </c>
      <c r="BQ1369">
        <v>0</v>
      </c>
      <c r="BT1369">
        <v>0</v>
      </c>
      <c r="BU1369">
        <v>0</v>
      </c>
      <c r="BV1369">
        <v>0</v>
      </c>
      <c r="CC1369" t="str">
        <f>"18:57:34.516"</f>
        <v>18:57:34.516</v>
      </c>
      <c r="CD1369" t="str">
        <f>"513595590"</f>
        <v>513595590</v>
      </c>
      <c r="CQ1369">
        <v>0</v>
      </c>
      <c r="CR1369">
        <v>2</v>
      </c>
      <c r="CS1369">
        <v>0</v>
      </c>
      <c r="CT1369">
        <v>2</v>
      </c>
      <c r="CU1369">
        <v>0</v>
      </c>
      <c r="CV1369">
        <v>5</v>
      </c>
      <c r="CW1369" t="s">
        <v>120</v>
      </c>
      <c r="CX1369">
        <v>261</v>
      </c>
      <c r="CY1369">
        <v>1</v>
      </c>
      <c r="CZ1369" t="s">
        <v>121</v>
      </c>
      <c r="DA1369" t="s">
        <v>122</v>
      </c>
      <c r="DD1369">
        <v>3980458</v>
      </c>
      <c r="DE1369" t="s">
        <v>123</v>
      </c>
    </row>
    <row r="1370" spans="1:109" x14ac:dyDescent="0.3">
      <c r="A1370" t="str">
        <f>"18:57:35.883"</f>
        <v>18:57:35.883</v>
      </c>
      <c r="B1370" t="s">
        <v>110</v>
      </c>
      <c r="C1370" t="str">
        <f t="shared" si="63"/>
        <v>ffdfd3c0</v>
      </c>
      <c r="D1370" t="s">
        <v>111</v>
      </c>
      <c r="E1370">
        <v>18</v>
      </c>
      <c r="F1370">
        <v>1018</v>
      </c>
      <c r="G1370" t="s">
        <v>112</v>
      </c>
      <c r="J1370" t="s">
        <v>113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R1370" t="s">
        <v>114</v>
      </c>
      <c r="S1370" t="str">
        <f>"18:57:35.633"</f>
        <v>18:57:35.633</v>
      </c>
      <c r="T1370" t="str">
        <f>"18:57:35.531"</f>
        <v>18:57:35.531</v>
      </c>
      <c r="U1370" t="str">
        <f t="shared" si="64"/>
        <v>a1cdbe</v>
      </c>
      <c r="V1370">
        <v>0</v>
      </c>
      <c r="W1370">
        <v>0</v>
      </c>
      <c r="X1370">
        <v>1</v>
      </c>
      <c r="Y1370">
        <v>0</v>
      </c>
      <c r="Z1370">
        <v>0</v>
      </c>
      <c r="AB1370">
        <v>0</v>
      </c>
      <c r="AC1370">
        <v>9</v>
      </c>
      <c r="AD1370">
        <v>3</v>
      </c>
      <c r="AE1370">
        <v>0</v>
      </c>
      <c r="AF1370">
        <v>9</v>
      </c>
      <c r="AG1370" t="s">
        <v>158</v>
      </c>
      <c r="AH1370">
        <v>0</v>
      </c>
      <c r="AI1370">
        <v>3</v>
      </c>
      <c r="AJ1370">
        <v>1</v>
      </c>
      <c r="AK1370">
        <v>0</v>
      </c>
      <c r="AL1370" t="s">
        <v>2695</v>
      </c>
      <c r="AM1370">
        <v>46.811971999999997</v>
      </c>
      <c r="AN1370" t="s">
        <v>2696</v>
      </c>
      <c r="AO1370">
        <v>-122.70816600000001</v>
      </c>
      <c r="AP1370">
        <v>100</v>
      </c>
      <c r="AQ1370">
        <v>2000</v>
      </c>
      <c r="AR1370" t="s">
        <v>118</v>
      </c>
      <c r="AS1370">
        <v>-77</v>
      </c>
      <c r="AT1370">
        <v>-28</v>
      </c>
      <c r="AU1370">
        <v>-128</v>
      </c>
      <c r="BC1370">
        <v>1200</v>
      </c>
      <c r="BD1370">
        <v>1</v>
      </c>
      <c r="BE1370" t="str">
        <f t="shared" si="65"/>
        <v xml:space="preserve">N215T   </v>
      </c>
      <c r="BF1370">
        <v>1</v>
      </c>
      <c r="BH1370">
        <v>0</v>
      </c>
      <c r="BI1370">
        <v>0</v>
      </c>
      <c r="BJ1370">
        <v>0</v>
      </c>
      <c r="BK1370">
        <v>2400</v>
      </c>
      <c r="BL1370">
        <v>400</v>
      </c>
      <c r="BM1370" t="s">
        <v>119</v>
      </c>
      <c r="BN1370">
        <v>1</v>
      </c>
      <c r="BO1370">
        <v>1</v>
      </c>
      <c r="BP1370">
        <v>1</v>
      </c>
      <c r="BQ1370">
        <v>0</v>
      </c>
      <c r="BT1370">
        <v>0</v>
      </c>
      <c r="BU1370">
        <v>0</v>
      </c>
      <c r="BV1370">
        <v>0</v>
      </c>
      <c r="CC1370" t="str">
        <f>"18:57:35.641"</f>
        <v>18:57:35.641</v>
      </c>
      <c r="CD1370" t="str">
        <f>"638484878"</f>
        <v>638484878</v>
      </c>
      <c r="CQ1370">
        <v>0</v>
      </c>
      <c r="CR1370">
        <v>2</v>
      </c>
      <c r="CS1370">
        <v>0</v>
      </c>
      <c r="CT1370">
        <v>2</v>
      </c>
      <c r="CU1370">
        <v>0</v>
      </c>
      <c r="CV1370">
        <v>7</v>
      </c>
      <c r="CW1370" t="s">
        <v>120</v>
      </c>
      <c r="CX1370">
        <v>261</v>
      </c>
      <c r="CY1370">
        <v>2</v>
      </c>
      <c r="CZ1370" t="s">
        <v>121</v>
      </c>
      <c r="DA1370" t="s">
        <v>122</v>
      </c>
      <c r="DD1370">
        <v>15028797</v>
      </c>
      <c r="DE1370" t="s">
        <v>123</v>
      </c>
    </row>
    <row r="1371" spans="1:109" x14ac:dyDescent="0.3">
      <c r="A1371" t="str">
        <f>"18:57:36.836"</f>
        <v>18:57:36.836</v>
      </c>
      <c r="B1371" t="s">
        <v>110</v>
      </c>
      <c r="C1371" t="str">
        <f t="shared" si="63"/>
        <v>ffdfd3c0</v>
      </c>
      <c r="D1371" t="s">
        <v>111</v>
      </c>
      <c r="E1371">
        <v>18</v>
      </c>
      <c r="F1371">
        <v>1018</v>
      </c>
      <c r="G1371" t="s">
        <v>112</v>
      </c>
      <c r="J1371" t="s">
        <v>113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R1371" t="s">
        <v>114</v>
      </c>
      <c r="S1371" t="str">
        <f>"18:57:36.609"</f>
        <v>18:57:36.609</v>
      </c>
      <c r="T1371" t="str">
        <f>"18:57:36.609"</f>
        <v>18:57:36.609</v>
      </c>
      <c r="U1371" t="str">
        <f t="shared" si="64"/>
        <v>a1cdbe</v>
      </c>
      <c r="V1371">
        <v>0</v>
      </c>
      <c r="W1371">
        <v>0</v>
      </c>
      <c r="X1371">
        <v>1</v>
      </c>
      <c r="Y1371">
        <v>0</v>
      </c>
      <c r="Z1371">
        <v>0</v>
      </c>
      <c r="AB1371">
        <v>0</v>
      </c>
      <c r="AC1371">
        <v>9</v>
      </c>
      <c r="AD1371">
        <v>3</v>
      </c>
      <c r="AE1371">
        <v>0</v>
      </c>
      <c r="AF1371">
        <v>9</v>
      </c>
      <c r="AG1371" t="s">
        <v>158</v>
      </c>
      <c r="AH1371">
        <v>0</v>
      </c>
      <c r="AI1371">
        <v>3</v>
      </c>
      <c r="AJ1371">
        <v>1</v>
      </c>
      <c r="AK1371">
        <v>0</v>
      </c>
      <c r="AL1371" t="s">
        <v>2697</v>
      </c>
      <c r="AM1371">
        <v>46.811864</v>
      </c>
      <c r="AN1371" t="s">
        <v>2698</v>
      </c>
      <c r="AO1371">
        <v>-122.708702</v>
      </c>
      <c r="AP1371">
        <v>100</v>
      </c>
      <c r="AQ1371">
        <v>2000</v>
      </c>
      <c r="AR1371" t="s">
        <v>118</v>
      </c>
      <c r="AS1371">
        <v>-78</v>
      </c>
      <c r="AT1371">
        <v>-27</v>
      </c>
      <c r="AU1371">
        <v>-64</v>
      </c>
      <c r="BC1371">
        <v>1200</v>
      </c>
      <c r="BD1371">
        <v>1</v>
      </c>
      <c r="BE1371" t="str">
        <f t="shared" si="65"/>
        <v xml:space="preserve">N215T   </v>
      </c>
      <c r="BF1371">
        <v>1</v>
      </c>
      <c r="BH1371">
        <v>0</v>
      </c>
      <c r="BI1371">
        <v>0</v>
      </c>
      <c r="BJ1371">
        <v>0</v>
      </c>
      <c r="BK1371">
        <v>2400</v>
      </c>
      <c r="BL1371">
        <v>400</v>
      </c>
      <c r="BM1371" t="s">
        <v>119</v>
      </c>
      <c r="BN1371">
        <v>1</v>
      </c>
      <c r="BO1371">
        <v>1</v>
      </c>
      <c r="BP1371">
        <v>1</v>
      </c>
      <c r="BQ1371">
        <v>0</v>
      </c>
      <c r="BT1371">
        <v>0</v>
      </c>
      <c r="BU1371">
        <v>0</v>
      </c>
      <c r="BV1371">
        <v>0</v>
      </c>
      <c r="CC1371" t="str">
        <f>"18:57:36.617"</f>
        <v>18:57:36.617</v>
      </c>
      <c r="CD1371" t="str">
        <f>"613388912"</f>
        <v>613388912</v>
      </c>
      <c r="CQ1371">
        <v>0</v>
      </c>
      <c r="CR1371">
        <v>2</v>
      </c>
      <c r="CS1371">
        <v>0</v>
      </c>
      <c r="CT1371">
        <v>2</v>
      </c>
      <c r="CU1371">
        <v>0</v>
      </c>
      <c r="CV1371">
        <v>7</v>
      </c>
      <c r="CW1371" t="s">
        <v>120</v>
      </c>
      <c r="CX1371">
        <v>261</v>
      </c>
      <c r="CY1371">
        <v>2</v>
      </c>
      <c r="CZ1371" t="s">
        <v>121</v>
      </c>
      <c r="DA1371" t="s">
        <v>122</v>
      </c>
      <c r="DD1371">
        <v>15029416</v>
      </c>
      <c r="DE1371" t="s">
        <v>123</v>
      </c>
    </row>
    <row r="1372" spans="1:109" x14ac:dyDescent="0.3">
      <c r="A1372" t="str">
        <f>"18:57:37.742"</f>
        <v>18:57:37.742</v>
      </c>
      <c r="B1372" t="s">
        <v>110</v>
      </c>
      <c r="C1372" t="str">
        <f t="shared" si="63"/>
        <v>ffdfd3c0</v>
      </c>
      <c r="D1372" t="s">
        <v>111</v>
      </c>
      <c r="E1372">
        <v>18</v>
      </c>
      <c r="F1372">
        <v>1018</v>
      </c>
      <c r="G1372" t="s">
        <v>112</v>
      </c>
      <c r="J1372" t="s">
        <v>113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R1372" t="s">
        <v>114</v>
      </c>
      <c r="S1372" t="str">
        <f>"18:57:37.523"</f>
        <v>18:57:37.523</v>
      </c>
      <c r="T1372" t="str">
        <f>"18:57:37.125"</f>
        <v>18:57:37.125</v>
      </c>
      <c r="U1372" t="str">
        <f t="shared" si="64"/>
        <v>a1cdbe</v>
      </c>
      <c r="V1372">
        <v>0</v>
      </c>
      <c r="W1372">
        <v>0</v>
      </c>
      <c r="X1372">
        <v>1</v>
      </c>
      <c r="Y1372">
        <v>0</v>
      </c>
      <c r="Z1372">
        <v>0</v>
      </c>
      <c r="AB1372">
        <v>0</v>
      </c>
      <c r="AC1372">
        <v>9</v>
      </c>
      <c r="AD1372">
        <v>3</v>
      </c>
      <c r="AE1372">
        <v>0</v>
      </c>
      <c r="AF1372">
        <v>9</v>
      </c>
      <c r="AG1372" t="s">
        <v>158</v>
      </c>
      <c r="AH1372">
        <v>0</v>
      </c>
      <c r="AI1372">
        <v>3</v>
      </c>
      <c r="AJ1372">
        <v>1</v>
      </c>
      <c r="AK1372">
        <v>0</v>
      </c>
      <c r="AL1372" t="s">
        <v>2699</v>
      </c>
      <c r="AM1372">
        <v>46.811714000000002</v>
      </c>
      <c r="AN1372" t="s">
        <v>2700</v>
      </c>
      <c r="AO1372">
        <v>-122.709174</v>
      </c>
      <c r="AP1372">
        <v>100</v>
      </c>
      <c r="AQ1372">
        <v>2000</v>
      </c>
      <c r="AR1372" t="s">
        <v>118</v>
      </c>
      <c r="AS1372">
        <v>-78</v>
      </c>
      <c r="AT1372">
        <v>-27</v>
      </c>
      <c r="AU1372">
        <v>0</v>
      </c>
      <c r="BC1372">
        <v>1200</v>
      </c>
      <c r="BD1372">
        <v>1</v>
      </c>
      <c r="BE1372" t="str">
        <f t="shared" si="65"/>
        <v xml:space="preserve">N215T   </v>
      </c>
      <c r="BF1372">
        <v>1</v>
      </c>
      <c r="BH1372">
        <v>0</v>
      </c>
      <c r="BI1372">
        <v>0</v>
      </c>
      <c r="BJ1372">
        <v>0</v>
      </c>
      <c r="BK1372">
        <v>2400</v>
      </c>
      <c r="BL1372">
        <v>400</v>
      </c>
      <c r="BM1372" t="s">
        <v>119</v>
      </c>
      <c r="BN1372">
        <v>1</v>
      </c>
      <c r="BO1372">
        <v>1</v>
      </c>
      <c r="BP1372">
        <v>1</v>
      </c>
      <c r="BQ1372">
        <v>0</v>
      </c>
      <c r="BT1372">
        <v>0</v>
      </c>
      <c r="BU1372">
        <v>0</v>
      </c>
      <c r="BV1372">
        <v>0</v>
      </c>
      <c r="CC1372" t="str">
        <f>"18:57:37.531"</f>
        <v>18:57:37.531</v>
      </c>
      <c r="CD1372" t="str">
        <f>"528298828"</f>
        <v>528298828</v>
      </c>
      <c r="CQ1372">
        <v>0</v>
      </c>
      <c r="CR1372">
        <v>2</v>
      </c>
      <c r="CS1372">
        <v>0</v>
      </c>
      <c r="CT1372">
        <v>2</v>
      </c>
      <c r="CU1372">
        <v>0</v>
      </c>
      <c r="CV1372">
        <v>7</v>
      </c>
      <c r="CW1372" t="s">
        <v>120</v>
      </c>
      <c r="CX1372">
        <v>261</v>
      </c>
      <c r="CY1372">
        <v>2</v>
      </c>
      <c r="CZ1372" t="s">
        <v>121</v>
      </c>
      <c r="DA1372" t="s">
        <v>122</v>
      </c>
      <c r="DD1372">
        <v>15030015</v>
      </c>
      <c r="DE1372" t="s">
        <v>123</v>
      </c>
    </row>
    <row r="1373" spans="1:109" x14ac:dyDescent="0.3">
      <c r="A1373" t="str">
        <f>"18:57:38.898"</f>
        <v>18:57:38.898</v>
      </c>
      <c r="B1373" t="s">
        <v>110</v>
      </c>
      <c r="C1373" t="str">
        <f t="shared" si="63"/>
        <v>ffdfd3c0</v>
      </c>
      <c r="D1373" t="s">
        <v>111</v>
      </c>
      <c r="E1373">
        <v>18</v>
      </c>
      <c r="F1373">
        <v>1018</v>
      </c>
      <c r="G1373" t="s">
        <v>112</v>
      </c>
      <c r="J1373" t="s">
        <v>113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R1373" t="s">
        <v>114</v>
      </c>
      <c r="S1373" t="str">
        <f>"18:57:38.648"</f>
        <v>18:57:38.648</v>
      </c>
      <c r="T1373" t="str">
        <f>"18:57:38.547"</f>
        <v>18:57:38.547</v>
      </c>
      <c r="U1373" t="str">
        <f t="shared" si="64"/>
        <v>a1cdbe</v>
      </c>
      <c r="V1373">
        <v>0</v>
      </c>
      <c r="W1373">
        <v>0</v>
      </c>
      <c r="X1373">
        <v>1</v>
      </c>
      <c r="Y1373">
        <v>0</v>
      </c>
      <c r="Z1373">
        <v>0</v>
      </c>
      <c r="AB1373">
        <v>0</v>
      </c>
      <c r="AC1373">
        <v>9</v>
      </c>
      <c r="AD1373">
        <v>3</v>
      </c>
      <c r="AE1373">
        <v>0</v>
      </c>
      <c r="AF1373">
        <v>9</v>
      </c>
      <c r="AG1373" t="s">
        <v>158</v>
      </c>
      <c r="AH1373">
        <v>0</v>
      </c>
      <c r="AI1373">
        <v>3</v>
      </c>
      <c r="AJ1373">
        <v>1</v>
      </c>
      <c r="AK1373">
        <v>0</v>
      </c>
      <c r="AL1373" t="s">
        <v>2701</v>
      </c>
      <c r="AM1373">
        <v>46.811585000000001</v>
      </c>
      <c r="AN1373" t="s">
        <v>2702</v>
      </c>
      <c r="AO1373">
        <v>-122.709732</v>
      </c>
      <c r="AP1373">
        <v>100</v>
      </c>
      <c r="AQ1373">
        <v>2000</v>
      </c>
      <c r="AR1373" t="s">
        <v>118</v>
      </c>
      <c r="AS1373">
        <v>-78</v>
      </c>
      <c r="AT1373">
        <v>-27</v>
      </c>
      <c r="AU1373">
        <v>64</v>
      </c>
      <c r="BC1373">
        <v>1200</v>
      </c>
      <c r="BD1373">
        <v>1</v>
      </c>
      <c r="BE1373" t="str">
        <f t="shared" si="65"/>
        <v xml:space="preserve">N215T   </v>
      </c>
      <c r="BF1373">
        <v>1</v>
      </c>
      <c r="BH1373">
        <v>0</v>
      </c>
      <c r="BI1373">
        <v>0</v>
      </c>
      <c r="BJ1373">
        <v>0</v>
      </c>
      <c r="BK1373">
        <v>2400</v>
      </c>
      <c r="BL1373">
        <v>400</v>
      </c>
      <c r="BM1373" t="s">
        <v>119</v>
      </c>
      <c r="BN1373">
        <v>1</v>
      </c>
      <c r="BO1373">
        <v>1</v>
      </c>
      <c r="BP1373">
        <v>1</v>
      </c>
      <c r="BQ1373">
        <v>0</v>
      </c>
      <c r="BT1373">
        <v>0</v>
      </c>
      <c r="BU1373">
        <v>0</v>
      </c>
      <c r="BV1373">
        <v>0</v>
      </c>
      <c r="CC1373" t="str">
        <f>"18:57:38.656"</f>
        <v>18:57:38.656</v>
      </c>
      <c r="CD1373" t="str">
        <f>"653188092"</f>
        <v>653188092</v>
      </c>
      <c r="CQ1373">
        <v>0</v>
      </c>
      <c r="CR1373">
        <v>2</v>
      </c>
      <c r="CS1373">
        <v>0</v>
      </c>
      <c r="CT1373">
        <v>2</v>
      </c>
      <c r="CU1373">
        <v>0</v>
      </c>
      <c r="CV1373">
        <v>7</v>
      </c>
      <c r="CW1373" t="s">
        <v>120</v>
      </c>
      <c r="CX1373">
        <v>261</v>
      </c>
      <c r="CY1373">
        <v>2</v>
      </c>
      <c r="CZ1373" t="s">
        <v>121</v>
      </c>
      <c r="DA1373" t="s">
        <v>122</v>
      </c>
      <c r="DD1373">
        <v>15030797</v>
      </c>
      <c r="DE1373" t="s">
        <v>123</v>
      </c>
    </row>
    <row r="1374" spans="1:109" x14ac:dyDescent="0.3">
      <c r="A1374" t="str">
        <f>"18:57:39.953"</f>
        <v>18:57:39.953</v>
      </c>
      <c r="B1374" t="s">
        <v>110</v>
      </c>
      <c r="C1374" t="str">
        <f t="shared" si="63"/>
        <v>ffdfd3c0</v>
      </c>
      <c r="D1374" t="s">
        <v>111</v>
      </c>
      <c r="E1374">
        <v>18</v>
      </c>
      <c r="F1374">
        <v>1018</v>
      </c>
      <c r="G1374" t="s">
        <v>112</v>
      </c>
      <c r="J1374" t="s">
        <v>113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R1374" t="s">
        <v>114</v>
      </c>
      <c r="S1374" t="str">
        <f>"18:57:39.688"</f>
        <v>18:57:39.688</v>
      </c>
      <c r="T1374" t="str">
        <f>"18:57:39.586"</f>
        <v>18:57:39.586</v>
      </c>
      <c r="U1374" t="str">
        <f t="shared" si="64"/>
        <v>a1cdbe</v>
      </c>
      <c r="V1374">
        <v>0</v>
      </c>
      <c r="W1374">
        <v>0</v>
      </c>
      <c r="X1374">
        <v>1</v>
      </c>
      <c r="Y1374">
        <v>0</v>
      </c>
      <c r="Z1374">
        <v>0</v>
      </c>
      <c r="AB1374">
        <v>0</v>
      </c>
      <c r="AC1374">
        <v>9</v>
      </c>
      <c r="AD1374">
        <v>3</v>
      </c>
      <c r="AE1374">
        <v>0</v>
      </c>
      <c r="AF1374">
        <v>9</v>
      </c>
      <c r="AG1374" t="s">
        <v>158</v>
      </c>
      <c r="AH1374">
        <v>0</v>
      </c>
      <c r="AI1374">
        <v>3</v>
      </c>
      <c r="AJ1374">
        <v>1</v>
      </c>
      <c r="AK1374">
        <v>0</v>
      </c>
      <c r="AL1374" t="s">
        <v>2703</v>
      </c>
      <c r="AM1374">
        <v>46.811456999999997</v>
      </c>
      <c r="AN1374" t="s">
        <v>2704</v>
      </c>
      <c r="AO1374">
        <v>-122.710311</v>
      </c>
      <c r="AP1374">
        <v>100</v>
      </c>
      <c r="AQ1374">
        <v>2000</v>
      </c>
      <c r="AR1374" t="s">
        <v>118</v>
      </c>
      <c r="AS1374">
        <v>-77</v>
      </c>
      <c r="AT1374">
        <v>-28</v>
      </c>
      <c r="AU1374">
        <v>0</v>
      </c>
      <c r="BC1374">
        <v>1200</v>
      </c>
      <c r="BD1374">
        <v>1</v>
      </c>
      <c r="BE1374" t="str">
        <f t="shared" si="65"/>
        <v xml:space="preserve">N215T   </v>
      </c>
      <c r="BF1374">
        <v>1</v>
      </c>
      <c r="BH1374">
        <v>0</v>
      </c>
      <c r="BI1374">
        <v>0</v>
      </c>
      <c r="BJ1374">
        <v>0</v>
      </c>
      <c r="BK1374">
        <v>2400</v>
      </c>
      <c r="BL1374">
        <v>400</v>
      </c>
      <c r="BM1374" t="s">
        <v>119</v>
      </c>
      <c r="BN1374">
        <v>1</v>
      </c>
      <c r="BO1374">
        <v>1</v>
      </c>
      <c r="BP1374">
        <v>1</v>
      </c>
      <c r="BQ1374">
        <v>0</v>
      </c>
      <c r="BT1374">
        <v>0</v>
      </c>
      <c r="BU1374">
        <v>0</v>
      </c>
      <c r="BV1374">
        <v>0</v>
      </c>
      <c r="CC1374" t="str">
        <f>"18:57:39.688"</f>
        <v>18:57:39.688</v>
      </c>
      <c r="CD1374" t="str">
        <f>"688086218"</f>
        <v>688086218</v>
      </c>
      <c r="CQ1374">
        <v>0</v>
      </c>
      <c r="CR1374">
        <v>2</v>
      </c>
      <c r="CS1374">
        <v>0</v>
      </c>
      <c r="CT1374">
        <v>2</v>
      </c>
      <c r="CU1374">
        <v>0</v>
      </c>
      <c r="CV1374">
        <v>7</v>
      </c>
      <c r="CW1374" t="s">
        <v>120</v>
      </c>
      <c r="CX1374">
        <v>261</v>
      </c>
      <c r="CY1374">
        <v>2</v>
      </c>
      <c r="CZ1374" t="s">
        <v>121</v>
      </c>
      <c r="DA1374" t="s">
        <v>122</v>
      </c>
      <c r="DD1374">
        <v>15031549</v>
      </c>
      <c r="DE1374" t="s">
        <v>123</v>
      </c>
    </row>
    <row r="1375" spans="1:109" x14ac:dyDescent="0.3">
      <c r="A1375" t="str">
        <f>"18:57:40.859"</f>
        <v>18:57:40.859</v>
      </c>
      <c r="B1375" t="s">
        <v>110</v>
      </c>
      <c r="C1375" t="str">
        <f t="shared" si="63"/>
        <v>ffdfd3c0</v>
      </c>
      <c r="D1375" t="s">
        <v>111</v>
      </c>
      <c r="E1375">
        <v>18</v>
      </c>
      <c r="F1375">
        <v>1018</v>
      </c>
      <c r="G1375" t="s">
        <v>112</v>
      </c>
      <c r="J1375" t="s">
        <v>113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R1375" t="s">
        <v>114</v>
      </c>
      <c r="S1375" t="str">
        <f>"18:57:40.633"</f>
        <v>18:57:40.633</v>
      </c>
      <c r="T1375" t="str">
        <f>"18:57:40.633"</f>
        <v>18:57:40.633</v>
      </c>
      <c r="U1375" t="str">
        <f t="shared" si="64"/>
        <v>a1cdbe</v>
      </c>
      <c r="V1375">
        <v>0</v>
      </c>
      <c r="W1375">
        <v>0</v>
      </c>
      <c r="X1375">
        <v>1</v>
      </c>
      <c r="Y1375">
        <v>0</v>
      </c>
      <c r="Z1375">
        <v>0</v>
      </c>
      <c r="AB1375">
        <v>0</v>
      </c>
      <c r="AC1375">
        <v>9</v>
      </c>
      <c r="AD1375">
        <v>3</v>
      </c>
      <c r="AE1375">
        <v>0</v>
      </c>
      <c r="AF1375">
        <v>9</v>
      </c>
      <c r="AG1375" t="s">
        <v>158</v>
      </c>
      <c r="AH1375">
        <v>0</v>
      </c>
      <c r="AI1375">
        <v>3</v>
      </c>
      <c r="AJ1375">
        <v>1</v>
      </c>
      <c r="AK1375">
        <v>0</v>
      </c>
      <c r="AL1375" t="s">
        <v>2705</v>
      </c>
      <c r="AM1375">
        <v>46.811349</v>
      </c>
      <c r="AN1375" t="s">
        <v>2706</v>
      </c>
      <c r="AO1375">
        <v>-122.710826</v>
      </c>
      <c r="AP1375">
        <v>100</v>
      </c>
      <c r="AQ1375">
        <v>2000</v>
      </c>
      <c r="AR1375" t="s">
        <v>118</v>
      </c>
      <c r="AS1375">
        <v>-77</v>
      </c>
      <c r="AT1375">
        <v>-30</v>
      </c>
      <c r="AU1375">
        <v>-128</v>
      </c>
      <c r="BC1375">
        <v>1200</v>
      </c>
      <c r="BD1375">
        <v>1</v>
      </c>
      <c r="BE1375" t="str">
        <f t="shared" si="65"/>
        <v xml:space="preserve">N215T   </v>
      </c>
      <c r="BF1375">
        <v>1</v>
      </c>
      <c r="BH1375">
        <v>0</v>
      </c>
      <c r="BI1375">
        <v>0</v>
      </c>
      <c r="BJ1375">
        <v>0</v>
      </c>
      <c r="BK1375">
        <v>2400</v>
      </c>
      <c r="BL1375">
        <v>400</v>
      </c>
      <c r="BM1375" t="s">
        <v>119</v>
      </c>
      <c r="BN1375">
        <v>1</v>
      </c>
      <c r="BO1375">
        <v>1</v>
      </c>
      <c r="BP1375">
        <v>1</v>
      </c>
      <c r="BQ1375">
        <v>0</v>
      </c>
      <c r="BT1375">
        <v>0</v>
      </c>
      <c r="BU1375">
        <v>0</v>
      </c>
      <c r="BV1375">
        <v>0</v>
      </c>
      <c r="CC1375" t="str">
        <f>"18:57:40.633"</f>
        <v>18:57:40.633</v>
      </c>
      <c r="CD1375" t="str">
        <f>"632993202"</f>
        <v>632993202</v>
      </c>
      <c r="CQ1375">
        <v>0</v>
      </c>
      <c r="CR1375">
        <v>2</v>
      </c>
      <c r="CS1375">
        <v>0</v>
      </c>
      <c r="CT1375">
        <v>2</v>
      </c>
      <c r="CU1375">
        <v>0</v>
      </c>
      <c r="CV1375">
        <v>7</v>
      </c>
      <c r="CW1375" t="s">
        <v>120</v>
      </c>
      <c r="CX1375">
        <v>261</v>
      </c>
      <c r="CY1375">
        <v>2</v>
      </c>
      <c r="CZ1375" t="s">
        <v>121</v>
      </c>
      <c r="DA1375" t="s">
        <v>122</v>
      </c>
      <c r="DD1375">
        <v>15032157</v>
      </c>
      <c r="DE1375" t="s">
        <v>123</v>
      </c>
    </row>
    <row r="1376" spans="1:109" x14ac:dyDescent="0.3">
      <c r="A1376" t="str">
        <f>"18:57:41.711"</f>
        <v>18:57:41.711</v>
      </c>
      <c r="B1376" t="s">
        <v>110</v>
      </c>
      <c r="C1376" t="str">
        <f t="shared" si="63"/>
        <v>ffdfd3c0</v>
      </c>
      <c r="D1376" t="s">
        <v>111</v>
      </c>
      <c r="E1376">
        <v>18</v>
      </c>
      <c r="F1376">
        <v>1018</v>
      </c>
      <c r="G1376" t="s">
        <v>112</v>
      </c>
      <c r="J1376" t="s">
        <v>113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R1376" t="s">
        <v>114</v>
      </c>
      <c r="S1376" t="str">
        <f>"18:57:41.484"</f>
        <v>18:57:41.484</v>
      </c>
      <c r="T1376" t="str">
        <f>"18:57:41.086"</f>
        <v>18:57:41.086</v>
      </c>
      <c r="U1376" t="str">
        <f t="shared" si="64"/>
        <v>a1cdbe</v>
      </c>
      <c r="V1376">
        <v>0</v>
      </c>
      <c r="W1376">
        <v>0</v>
      </c>
      <c r="X1376">
        <v>1</v>
      </c>
      <c r="Y1376">
        <v>0</v>
      </c>
      <c r="Z1376">
        <v>0</v>
      </c>
      <c r="AB1376">
        <v>0</v>
      </c>
      <c r="AC1376">
        <v>9</v>
      </c>
      <c r="AD1376">
        <v>3</v>
      </c>
      <c r="AE1376">
        <v>0</v>
      </c>
      <c r="AF1376">
        <v>9</v>
      </c>
      <c r="AG1376" t="s">
        <v>158</v>
      </c>
      <c r="AH1376">
        <v>0</v>
      </c>
      <c r="AI1376">
        <v>3</v>
      </c>
      <c r="AJ1376">
        <v>1</v>
      </c>
      <c r="AK1376">
        <v>0</v>
      </c>
      <c r="AL1376" t="s">
        <v>2707</v>
      </c>
      <c r="AM1376">
        <v>46.811199000000002</v>
      </c>
      <c r="AN1376" t="s">
        <v>2708</v>
      </c>
      <c r="AO1376">
        <v>-122.711234</v>
      </c>
      <c r="AP1376">
        <v>100</v>
      </c>
      <c r="AQ1376">
        <v>2000</v>
      </c>
      <c r="AR1376" t="s">
        <v>118</v>
      </c>
      <c r="AS1376">
        <v>-77</v>
      </c>
      <c r="AT1376">
        <v>-30</v>
      </c>
      <c r="AU1376">
        <v>-128</v>
      </c>
      <c r="BC1376">
        <v>1200</v>
      </c>
      <c r="BD1376">
        <v>1</v>
      </c>
      <c r="BE1376" t="str">
        <f t="shared" si="65"/>
        <v xml:space="preserve">N215T   </v>
      </c>
      <c r="BF1376">
        <v>1</v>
      </c>
      <c r="BH1376">
        <v>0</v>
      </c>
      <c r="BI1376">
        <v>0</v>
      </c>
      <c r="BJ1376">
        <v>0</v>
      </c>
      <c r="BK1376">
        <v>2400</v>
      </c>
      <c r="BL1376">
        <v>400</v>
      </c>
      <c r="BM1376" t="s">
        <v>119</v>
      </c>
      <c r="BN1376">
        <v>1</v>
      </c>
      <c r="BO1376">
        <v>1</v>
      </c>
      <c r="BP1376">
        <v>1</v>
      </c>
      <c r="BQ1376">
        <v>0</v>
      </c>
      <c r="BT1376">
        <v>0</v>
      </c>
      <c r="BU1376">
        <v>0</v>
      </c>
      <c r="BV1376">
        <v>0</v>
      </c>
      <c r="CC1376" t="str">
        <f>"18:57:41.484"</f>
        <v>18:57:41.484</v>
      </c>
      <c r="CD1376" t="str">
        <f>"487909056"</f>
        <v>487909056</v>
      </c>
      <c r="CQ1376">
        <v>0</v>
      </c>
      <c r="CR1376">
        <v>2</v>
      </c>
      <c r="CS1376">
        <v>0</v>
      </c>
      <c r="CT1376">
        <v>2</v>
      </c>
      <c r="CU1376">
        <v>0</v>
      </c>
      <c r="CV1376">
        <v>6</v>
      </c>
      <c r="CW1376" t="s">
        <v>120</v>
      </c>
      <c r="CX1376">
        <v>261</v>
      </c>
      <c r="CY1376">
        <v>2</v>
      </c>
      <c r="CZ1376" t="s">
        <v>121</v>
      </c>
      <c r="DA1376" t="s">
        <v>122</v>
      </c>
      <c r="DD1376">
        <v>15032707</v>
      </c>
      <c r="DE1376" t="s">
        <v>123</v>
      </c>
    </row>
    <row r="1377" spans="1:109" x14ac:dyDescent="0.3">
      <c r="A1377" t="str">
        <f>"18:57:42.773"</f>
        <v>18:57:42.773</v>
      </c>
      <c r="B1377" t="s">
        <v>110</v>
      </c>
      <c r="C1377" t="str">
        <f t="shared" si="63"/>
        <v>ffdfd3c0</v>
      </c>
      <c r="D1377" t="s">
        <v>111</v>
      </c>
      <c r="E1377">
        <v>18</v>
      </c>
      <c r="F1377">
        <v>1018</v>
      </c>
      <c r="G1377" t="s">
        <v>112</v>
      </c>
      <c r="J1377" t="s">
        <v>113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R1377" t="s">
        <v>114</v>
      </c>
      <c r="S1377" t="str">
        <f>"18:57:42.547"</f>
        <v>18:57:42.547</v>
      </c>
      <c r="T1377" t="str">
        <f>"18:57:42.148"</f>
        <v>18:57:42.148</v>
      </c>
      <c r="U1377" t="str">
        <f t="shared" si="64"/>
        <v>a1cdbe</v>
      </c>
      <c r="V1377">
        <v>0</v>
      </c>
      <c r="W1377">
        <v>0</v>
      </c>
      <c r="X1377">
        <v>1</v>
      </c>
      <c r="Y1377">
        <v>0</v>
      </c>
      <c r="Z1377">
        <v>0</v>
      </c>
      <c r="AB1377">
        <v>0</v>
      </c>
      <c r="AC1377">
        <v>9</v>
      </c>
      <c r="AD1377">
        <v>3</v>
      </c>
      <c r="AE1377">
        <v>0</v>
      </c>
      <c r="AF1377">
        <v>9</v>
      </c>
      <c r="AG1377" t="s">
        <v>158</v>
      </c>
      <c r="AH1377">
        <v>0</v>
      </c>
      <c r="AI1377">
        <v>3</v>
      </c>
      <c r="AJ1377">
        <v>1</v>
      </c>
      <c r="AK1377">
        <v>0</v>
      </c>
      <c r="AL1377" t="s">
        <v>2709</v>
      </c>
      <c r="AM1377">
        <v>46.811070000000001</v>
      </c>
      <c r="AN1377" t="s">
        <v>2710</v>
      </c>
      <c r="AO1377">
        <v>-122.711792</v>
      </c>
      <c r="AP1377">
        <v>100</v>
      </c>
      <c r="AQ1377">
        <v>2000</v>
      </c>
      <c r="AR1377" t="s">
        <v>118</v>
      </c>
      <c r="AS1377">
        <v>-77</v>
      </c>
      <c r="AT1377">
        <v>-30</v>
      </c>
      <c r="AU1377">
        <v>-64</v>
      </c>
      <c r="BC1377">
        <v>1200</v>
      </c>
      <c r="BD1377">
        <v>1</v>
      </c>
      <c r="BE1377" t="str">
        <f t="shared" si="65"/>
        <v xml:space="preserve">N215T   </v>
      </c>
      <c r="BF1377">
        <v>1</v>
      </c>
      <c r="BH1377">
        <v>0</v>
      </c>
      <c r="BI1377">
        <v>0</v>
      </c>
      <c r="BJ1377">
        <v>0</v>
      </c>
      <c r="BK1377">
        <v>2400</v>
      </c>
      <c r="BL1377">
        <v>400</v>
      </c>
      <c r="BM1377" t="s">
        <v>119</v>
      </c>
      <c r="BN1377">
        <v>1</v>
      </c>
      <c r="BO1377">
        <v>1</v>
      </c>
      <c r="BP1377">
        <v>1</v>
      </c>
      <c r="BQ1377">
        <v>0</v>
      </c>
      <c r="BT1377">
        <v>0</v>
      </c>
      <c r="BU1377">
        <v>0</v>
      </c>
      <c r="BV1377">
        <v>0</v>
      </c>
      <c r="CC1377" t="str">
        <f>"18:57:42.555"</f>
        <v>18:57:42.555</v>
      </c>
      <c r="CD1377" t="str">
        <f>"552804222"</f>
        <v>552804222</v>
      </c>
      <c r="CQ1377">
        <v>0</v>
      </c>
      <c r="CR1377">
        <v>2</v>
      </c>
      <c r="CS1377">
        <v>0</v>
      </c>
      <c r="CT1377">
        <v>2</v>
      </c>
      <c r="CU1377">
        <v>0</v>
      </c>
      <c r="CV1377">
        <v>6</v>
      </c>
      <c r="CW1377" t="s">
        <v>120</v>
      </c>
      <c r="CX1377">
        <v>261</v>
      </c>
      <c r="CY1377">
        <v>2</v>
      </c>
      <c r="CZ1377" t="s">
        <v>121</v>
      </c>
      <c r="DA1377" t="s">
        <v>122</v>
      </c>
      <c r="DD1377">
        <v>15033509</v>
      </c>
      <c r="DE1377" t="s">
        <v>123</v>
      </c>
    </row>
    <row r="1378" spans="1:109" x14ac:dyDescent="0.3">
      <c r="A1378" t="str">
        <f>"18:57:43.727"</f>
        <v>18:57:43.727</v>
      </c>
      <c r="B1378" t="s">
        <v>110</v>
      </c>
      <c r="C1378" t="str">
        <f t="shared" si="63"/>
        <v>ffdfd3c0</v>
      </c>
      <c r="D1378" t="s">
        <v>111</v>
      </c>
      <c r="E1378">
        <v>18</v>
      </c>
      <c r="F1378">
        <v>1018</v>
      </c>
      <c r="G1378" t="s">
        <v>112</v>
      </c>
      <c r="J1378" t="s">
        <v>113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R1378" t="s">
        <v>114</v>
      </c>
      <c r="S1378" t="str">
        <f>"18:57:43.492"</f>
        <v>18:57:43.492</v>
      </c>
      <c r="T1378" t="str">
        <f>"18:57:43.094"</f>
        <v>18:57:43.094</v>
      </c>
      <c r="U1378" t="str">
        <f t="shared" si="64"/>
        <v>a1cdbe</v>
      </c>
      <c r="V1378">
        <v>0</v>
      </c>
      <c r="W1378">
        <v>0</v>
      </c>
      <c r="X1378">
        <v>1</v>
      </c>
      <c r="Y1378">
        <v>0</v>
      </c>
      <c r="Z1378">
        <v>0</v>
      </c>
      <c r="AB1378">
        <v>0</v>
      </c>
      <c r="AC1378">
        <v>9</v>
      </c>
      <c r="AD1378">
        <v>3</v>
      </c>
      <c r="AE1378">
        <v>0</v>
      </c>
      <c r="AF1378">
        <v>9</v>
      </c>
      <c r="AG1378" t="s">
        <v>158</v>
      </c>
      <c r="AH1378">
        <v>0</v>
      </c>
      <c r="AI1378">
        <v>3</v>
      </c>
      <c r="AJ1378">
        <v>1</v>
      </c>
      <c r="AK1378">
        <v>0</v>
      </c>
      <c r="AL1378" t="s">
        <v>2711</v>
      </c>
      <c r="AM1378">
        <v>46.810920000000003</v>
      </c>
      <c r="AN1378" t="s">
        <v>2712</v>
      </c>
      <c r="AO1378">
        <v>-122.71235</v>
      </c>
      <c r="AP1378">
        <v>100</v>
      </c>
      <c r="AQ1378">
        <v>2000</v>
      </c>
      <c r="AR1378" t="s">
        <v>118</v>
      </c>
      <c r="AS1378">
        <v>-78</v>
      </c>
      <c r="AT1378">
        <v>-30</v>
      </c>
      <c r="AU1378">
        <v>-192</v>
      </c>
      <c r="BC1378">
        <v>1200</v>
      </c>
      <c r="BD1378">
        <v>1</v>
      </c>
      <c r="BE1378" t="str">
        <f t="shared" si="65"/>
        <v xml:space="preserve">N215T   </v>
      </c>
      <c r="BF1378">
        <v>1</v>
      </c>
      <c r="BH1378">
        <v>0</v>
      </c>
      <c r="BI1378">
        <v>0</v>
      </c>
      <c r="BJ1378">
        <v>0</v>
      </c>
      <c r="BK1378">
        <v>2400</v>
      </c>
      <c r="BL1378">
        <v>400</v>
      </c>
      <c r="BM1378" t="s">
        <v>119</v>
      </c>
      <c r="BN1378">
        <v>1</v>
      </c>
      <c r="BO1378">
        <v>1</v>
      </c>
      <c r="BP1378">
        <v>1</v>
      </c>
      <c r="BQ1378">
        <v>0</v>
      </c>
      <c r="BT1378">
        <v>0</v>
      </c>
      <c r="BU1378">
        <v>0</v>
      </c>
      <c r="BV1378">
        <v>0</v>
      </c>
      <c r="CC1378" t="str">
        <f>"18:57:43.500"</f>
        <v>18:57:43.500</v>
      </c>
      <c r="CD1378" t="str">
        <f>"497711201"</f>
        <v>497711201</v>
      </c>
      <c r="CQ1378">
        <v>0</v>
      </c>
      <c r="CR1378">
        <v>2</v>
      </c>
      <c r="CS1378">
        <v>0</v>
      </c>
      <c r="CT1378">
        <v>2</v>
      </c>
      <c r="CU1378">
        <v>0</v>
      </c>
      <c r="CV1378">
        <v>6</v>
      </c>
      <c r="CW1378" t="s">
        <v>120</v>
      </c>
      <c r="CX1378">
        <v>261</v>
      </c>
      <c r="CY1378">
        <v>2</v>
      </c>
      <c r="CZ1378" t="s">
        <v>121</v>
      </c>
      <c r="DA1378" t="s">
        <v>122</v>
      </c>
      <c r="DD1378">
        <v>15034201</v>
      </c>
      <c r="DE1378" t="s">
        <v>123</v>
      </c>
    </row>
    <row r="1379" spans="1:109" x14ac:dyDescent="0.3">
      <c r="A1379" t="str">
        <f>"18:57:44.531"</f>
        <v>18:57:44.531</v>
      </c>
      <c r="B1379" t="s">
        <v>110</v>
      </c>
      <c r="C1379" t="str">
        <f t="shared" si="63"/>
        <v>ffdfd3c0</v>
      </c>
      <c r="D1379" t="s">
        <v>111</v>
      </c>
      <c r="E1379">
        <v>18</v>
      </c>
      <c r="F1379">
        <v>1018</v>
      </c>
      <c r="G1379" t="s">
        <v>112</v>
      </c>
      <c r="J1379" t="s">
        <v>113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R1379" t="s">
        <v>114</v>
      </c>
      <c r="S1379" t="str">
        <f>"18:57:44.336"</f>
        <v>18:57:44.336</v>
      </c>
      <c r="T1379" t="str">
        <f>"18:57:44.336"</f>
        <v>18:57:44.336</v>
      </c>
      <c r="U1379" t="str">
        <f t="shared" si="64"/>
        <v>a1cdbe</v>
      </c>
      <c r="V1379">
        <v>0</v>
      </c>
      <c r="W1379">
        <v>0</v>
      </c>
      <c r="X1379">
        <v>1</v>
      </c>
      <c r="Y1379">
        <v>0</v>
      </c>
      <c r="Z1379">
        <v>0</v>
      </c>
      <c r="AB1379">
        <v>0</v>
      </c>
      <c r="AC1379">
        <v>9</v>
      </c>
      <c r="AD1379">
        <v>3</v>
      </c>
      <c r="AE1379">
        <v>0</v>
      </c>
      <c r="AF1379">
        <v>9</v>
      </c>
      <c r="AG1379" t="s">
        <v>158</v>
      </c>
      <c r="AH1379">
        <v>0</v>
      </c>
      <c r="AI1379">
        <v>3</v>
      </c>
      <c r="AJ1379">
        <v>1</v>
      </c>
      <c r="AK1379">
        <v>0</v>
      </c>
      <c r="AL1379" t="s">
        <v>2713</v>
      </c>
      <c r="AM1379">
        <v>46.810834</v>
      </c>
      <c r="AN1379" t="s">
        <v>2714</v>
      </c>
      <c r="AO1379">
        <v>-122.71275799999999</v>
      </c>
      <c r="AP1379">
        <v>100</v>
      </c>
      <c r="AQ1379">
        <v>2000</v>
      </c>
      <c r="AR1379" t="s">
        <v>118</v>
      </c>
      <c r="AS1379">
        <v>-78</v>
      </c>
      <c r="AT1379">
        <v>-30</v>
      </c>
      <c r="AU1379">
        <v>-320</v>
      </c>
      <c r="BC1379">
        <v>1200</v>
      </c>
      <c r="BD1379">
        <v>1</v>
      </c>
      <c r="BE1379" t="str">
        <f t="shared" si="65"/>
        <v xml:space="preserve">N215T   </v>
      </c>
      <c r="BF1379">
        <v>1</v>
      </c>
      <c r="BH1379">
        <v>0</v>
      </c>
      <c r="BI1379">
        <v>0</v>
      </c>
      <c r="BJ1379">
        <v>0</v>
      </c>
      <c r="BK1379">
        <v>2400</v>
      </c>
      <c r="BL1379">
        <v>400</v>
      </c>
      <c r="BM1379" t="s">
        <v>119</v>
      </c>
      <c r="BN1379">
        <v>1</v>
      </c>
      <c r="BO1379">
        <v>1</v>
      </c>
      <c r="BP1379">
        <v>1</v>
      </c>
      <c r="BQ1379">
        <v>0</v>
      </c>
      <c r="BT1379">
        <v>0</v>
      </c>
      <c r="BU1379">
        <v>0</v>
      </c>
      <c r="BV1379">
        <v>0</v>
      </c>
      <c r="CC1379" t="str">
        <f>"18:57:44.336"</f>
        <v>18:57:44.336</v>
      </c>
      <c r="CD1379" t="str">
        <f>"337628530"</f>
        <v>337628530</v>
      </c>
      <c r="CQ1379">
        <v>0</v>
      </c>
      <c r="CR1379">
        <v>2</v>
      </c>
      <c r="CS1379">
        <v>0</v>
      </c>
      <c r="CT1379">
        <v>2</v>
      </c>
      <c r="CU1379">
        <v>0</v>
      </c>
      <c r="CV1379">
        <v>7</v>
      </c>
      <c r="CW1379" t="s">
        <v>120</v>
      </c>
      <c r="CX1379">
        <v>261</v>
      </c>
      <c r="CY1379">
        <v>2</v>
      </c>
      <c r="CZ1379" t="s">
        <v>121</v>
      </c>
      <c r="DA1379" t="s">
        <v>122</v>
      </c>
      <c r="DD1379">
        <v>15034799</v>
      </c>
      <c r="DE1379" t="s">
        <v>123</v>
      </c>
    </row>
    <row r="1380" spans="1:109" x14ac:dyDescent="0.3">
      <c r="A1380" t="str">
        <f>"18:57:45.586"</f>
        <v>18:57:45.586</v>
      </c>
      <c r="B1380" t="s">
        <v>110</v>
      </c>
      <c r="C1380" t="str">
        <f t="shared" si="63"/>
        <v>ffdfd3c0</v>
      </c>
      <c r="D1380" t="s">
        <v>111</v>
      </c>
      <c r="E1380">
        <v>18</v>
      </c>
      <c r="F1380">
        <v>1018</v>
      </c>
      <c r="G1380" t="s">
        <v>112</v>
      </c>
      <c r="J1380" t="s">
        <v>113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R1380" t="s">
        <v>114</v>
      </c>
      <c r="S1380" t="str">
        <f>"18:57:45.336"</f>
        <v>18:57:45.336</v>
      </c>
      <c r="T1380" t="str">
        <f>"18:57:45.234"</f>
        <v>18:57:45.234</v>
      </c>
      <c r="U1380" t="str">
        <f t="shared" si="64"/>
        <v>a1cdbe</v>
      </c>
      <c r="V1380">
        <v>0</v>
      </c>
      <c r="W1380">
        <v>0</v>
      </c>
      <c r="X1380">
        <v>1</v>
      </c>
      <c r="Y1380">
        <v>0</v>
      </c>
      <c r="Z1380">
        <v>0</v>
      </c>
      <c r="AB1380">
        <v>0</v>
      </c>
      <c r="AC1380">
        <v>9</v>
      </c>
      <c r="AD1380">
        <v>3</v>
      </c>
      <c r="AE1380">
        <v>0</v>
      </c>
      <c r="AF1380">
        <v>9</v>
      </c>
      <c r="AG1380" t="s">
        <v>158</v>
      </c>
      <c r="AH1380">
        <v>0</v>
      </c>
      <c r="AI1380">
        <v>3</v>
      </c>
      <c r="AJ1380">
        <v>1</v>
      </c>
      <c r="AK1380">
        <v>0</v>
      </c>
      <c r="AL1380" t="s">
        <v>2715</v>
      </c>
      <c r="AM1380">
        <v>46.810684000000002</v>
      </c>
      <c r="AN1380" t="s">
        <v>2716</v>
      </c>
      <c r="AO1380">
        <v>-122.713273</v>
      </c>
      <c r="AP1380">
        <v>100</v>
      </c>
      <c r="AQ1380">
        <v>2000</v>
      </c>
      <c r="AR1380" t="s">
        <v>118</v>
      </c>
      <c r="AS1380">
        <v>-78</v>
      </c>
      <c r="AT1380">
        <v>-29</v>
      </c>
      <c r="AU1380">
        <v>-256</v>
      </c>
      <c r="BC1380">
        <v>1200</v>
      </c>
      <c r="BD1380">
        <v>1</v>
      </c>
      <c r="BE1380" t="str">
        <f t="shared" si="65"/>
        <v xml:space="preserve">N215T   </v>
      </c>
      <c r="BF1380">
        <v>1</v>
      </c>
      <c r="BH1380">
        <v>0</v>
      </c>
      <c r="BI1380">
        <v>0</v>
      </c>
      <c r="BJ1380">
        <v>0</v>
      </c>
      <c r="BK1380">
        <v>2375</v>
      </c>
      <c r="BL1380">
        <v>375</v>
      </c>
      <c r="BM1380" t="s">
        <v>119</v>
      </c>
      <c r="BN1380">
        <v>1</v>
      </c>
      <c r="BO1380">
        <v>1</v>
      </c>
      <c r="BP1380">
        <v>1</v>
      </c>
      <c r="BQ1380">
        <v>0</v>
      </c>
      <c r="BT1380">
        <v>0</v>
      </c>
      <c r="BU1380">
        <v>0</v>
      </c>
      <c r="BV1380">
        <v>0</v>
      </c>
      <c r="CC1380" t="str">
        <f>"18:57:45.344"</f>
        <v>18:57:45.344</v>
      </c>
      <c r="CD1380" t="str">
        <f>"342529604"</f>
        <v>342529604</v>
      </c>
      <c r="CQ1380">
        <v>0</v>
      </c>
      <c r="CR1380">
        <v>2</v>
      </c>
      <c r="CS1380">
        <v>0</v>
      </c>
      <c r="CT1380">
        <v>2</v>
      </c>
      <c r="CU1380">
        <v>0</v>
      </c>
      <c r="CV1380">
        <v>7</v>
      </c>
      <c r="CW1380" t="s">
        <v>120</v>
      </c>
      <c r="CX1380">
        <v>261</v>
      </c>
      <c r="CY1380">
        <v>2</v>
      </c>
      <c r="CZ1380" t="s">
        <v>121</v>
      </c>
      <c r="DA1380" t="s">
        <v>122</v>
      </c>
      <c r="DD1380">
        <v>15035440</v>
      </c>
      <c r="DE1380" t="s">
        <v>123</v>
      </c>
    </row>
    <row r="1381" spans="1:109" x14ac:dyDescent="0.3">
      <c r="A1381" t="str">
        <f>"18:57:46.539"</f>
        <v>18:57:46.539</v>
      </c>
      <c r="B1381" t="s">
        <v>110</v>
      </c>
      <c r="C1381" t="str">
        <f t="shared" si="63"/>
        <v>ffdfd3c0</v>
      </c>
      <c r="D1381" t="s">
        <v>111</v>
      </c>
      <c r="E1381">
        <v>18</v>
      </c>
      <c r="F1381">
        <v>1018</v>
      </c>
      <c r="G1381" t="s">
        <v>112</v>
      </c>
      <c r="J1381" t="s">
        <v>113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R1381" t="s">
        <v>114</v>
      </c>
      <c r="S1381" t="str">
        <f>"18:57:46.344"</f>
        <v>18:57:46.344</v>
      </c>
      <c r="T1381" t="str">
        <f>"18:57:46.141"</f>
        <v>18:57:46.141</v>
      </c>
      <c r="U1381" t="str">
        <f t="shared" si="64"/>
        <v>a1cdbe</v>
      </c>
      <c r="V1381">
        <v>0</v>
      </c>
      <c r="W1381">
        <v>0</v>
      </c>
      <c r="X1381">
        <v>1</v>
      </c>
      <c r="Y1381">
        <v>0</v>
      </c>
      <c r="Z1381">
        <v>0</v>
      </c>
      <c r="AB1381">
        <v>0</v>
      </c>
      <c r="AC1381">
        <v>9</v>
      </c>
      <c r="AD1381">
        <v>3</v>
      </c>
      <c r="AE1381">
        <v>0</v>
      </c>
      <c r="AF1381">
        <v>9</v>
      </c>
      <c r="AG1381" t="s">
        <v>158</v>
      </c>
      <c r="AH1381">
        <v>0</v>
      </c>
      <c r="AI1381">
        <v>3</v>
      </c>
      <c r="AJ1381">
        <v>1</v>
      </c>
      <c r="AK1381">
        <v>0</v>
      </c>
      <c r="AL1381" t="s">
        <v>2717</v>
      </c>
      <c r="AM1381">
        <v>46.810555000000001</v>
      </c>
      <c r="AN1381" t="s">
        <v>2718</v>
      </c>
      <c r="AO1381">
        <v>-122.71378799999999</v>
      </c>
      <c r="AP1381">
        <v>100</v>
      </c>
      <c r="AQ1381">
        <v>2000</v>
      </c>
      <c r="AR1381" t="s">
        <v>118</v>
      </c>
      <c r="AS1381">
        <v>-78</v>
      </c>
      <c r="AT1381">
        <v>-29</v>
      </c>
      <c r="AU1381">
        <v>-128</v>
      </c>
      <c r="BC1381">
        <v>1200</v>
      </c>
      <c r="BD1381">
        <v>1</v>
      </c>
      <c r="BE1381" t="str">
        <f t="shared" si="65"/>
        <v xml:space="preserve">N215T   </v>
      </c>
      <c r="BF1381">
        <v>1</v>
      </c>
      <c r="BH1381">
        <v>0</v>
      </c>
      <c r="BI1381">
        <v>0</v>
      </c>
      <c r="BJ1381">
        <v>0</v>
      </c>
      <c r="BK1381">
        <v>2375</v>
      </c>
      <c r="BL1381">
        <v>375</v>
      </c>
      <c r="BM1381" t="s">
        <v>119</v>
      </c>
      <c r="BN1381">
        <v>1</v>
      </c>
      <c r="BO1381">
        <v>1</v>
      </c>
      <c r="BP1381">
        <v>1</v>
      </c>
      <c r="BQ1381">
        <v>0</v>
      </c>
      <c r="BT1381">
        <v>0</v>
      </c>
      <c r="BU1381">
        <v>0</v>
      </c>
      <c r="BV1381">
        <v>0</v>
      </c>
      <c r="CC1381" t="str">
        <f>"18:57:46.344"</f>
        <v>18:57:46.344</v>
      </c>
      <c r="CD1381" t="str">
        <f>"347490685"</f>
        <v>347490685</v>
      </c>
      <c r="CQ1381">
        <v>0</v>
      </c>
      <c r="CR1381">
        <v>2</v>
      </c>
      <c r="CS1381">
        <v>0</v>
      </c>
      <c r="CT1381">
        <v>2</v>
      </c>
      <c r="CU1381">
        <v>0</v>
      </c>
      <c r="CV1381">
        <v>4</v>
      </c>
      <c r="CW1381" t="s">
        <v>120</v>
      </c>
      <c r="CX1381">
        <v>257</v>
      </c>
      <c r="CY1381">
        <v>1</v>
      </c>
      <c r="CZ1381" t="s">
        <v>615</v>
      </c>
      <c r="DA1381" t="s">
        <v>616</v>
      </c>
      <c r="DD1381">
        <v>11398769</v>
      </c>
      <c r="DE1381" t="s">
        <v>123</v>
      </c>
    </row>
    <row r="1382" spans="1:109" x14ac:dyDescent="0.3">
      <c r="A1382" t="str">
        <f>"18:57:47.594"</f>
        <v>18:57:47.594</v>
      </c>
      <c r="B1382" t="s">
        <v>110</v>
      </c>
      <c r="C1382" t="str">
        <f t="shared" si="63"/>
        <v>ffdfd3c0</v>
      </c>
      <c r="D1382" t="s">
        <v>111</v>
      </c>
      <c r="E1382">
        <v>18</v>
      </c>
      <c r="F1382">
        <v>1018</v>
      </c>
      <c r="G1382" t="s">
        <v>112</v>
      </c>
      <c r="J1382" t="s">
        <v>113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R1382" t="s">
        <v>114</v>
      </c>
      <c r="S1382" t="str">
        <f>"18:57:47.375"</f>
        <v>18:57:47.375</v>
      </c>
      <c r="T1382" t="str">
        <f>"18:57:47.078"</f>
        <v>18:57:47.078</v>
      </c>
      <c r="U1382" t="str">
        <f t="shared" si="64"/>
        <v>a1cdbe</v>
      </c>
      <c r="V1382">
        <v>0</v>
      </c>
      <c r="W1382">
        <v>0</v>
      </c>
      <c r="X1382">
        <v>1</v>
      </c>
      <c r="Y1382">
        <v>0</v>
      </c>
      <c r="Z1382">
        <v>0</v>
      </c>
      <c r="AB1382">
        <v>0</v>
      </c>
      <c r="AC1382">
        <v>9</v>
      </c>
      <c r="AD1382">
        <v>3</v>
      </c>
      <c r="AE1382">
        <v>0</v>
      </c>
      <c r="AF1382">
        <v>9</v>
      </c>
      <c r="AG1382" t="s">
        <v>158</v>
      </c>
      <c r="AH1382">
        <v>0</v>
      </c>
      <c r="AI1382">
        <v>3</v>
      </c>
      <c r="AJ1382">
        <v>1</v>
      </c>
      <c r="AK1382">
        <v>0</v>
      </c>
      <c r="AL1382" t="s">
        <v>2719</v>
      </c>
      <c r="AM1382">
        <v>46.810426999999997</v>
      </c>
      <c r="AN1382" t="s">
        <v>2720</v>
      </c>
      <c r="AO1382">
        <v>-122.714324</v>
      </c>
      <c r="AP1382">
        <v>100</v>
      </c>
      <c r="AQ1382">
        <v>2000</v>
      </c>
      <c r="AR1382" t="s">
        <v>118</v>
      </c>
      <c r="AS1382">
        <v>-78</v>
      </c>
      <c r="AT1382">
        <v>-29</v>
      </c>
      <c r="AU1382">
        <v>-64</v>
      </c>
      <c r="BC1382">
        <v>1200</v>
      </c>
      <c r="BD1382">
        <v>1</v>
      </c>
      <c r="BE1382" t="str">
        <f t="shared" si="65"/>
        <v xml:space="preserve">N215T   </v>
      </c>
      <c r="BF1382">
        <v>1</v>
      </c>
      <c r="BH1382">
        <v>0</v>
      </c>
      <c r="BI1382">
        <v>0</v>
      </c>
      <c r="BJ1382">
        <v>0</v>
      </c>
      <c r="BK1382">
        <v>2375</v>
      </c>
      <c r="BL1382">
        <v>375</v>
      </c>
      <c r="BM1382" t="s">
        <v>119</v>
      </c>
      <c r="BN1382">
        <v>1</v>
      </c>
      <c r="BO1382">
        <v>1</v>
      </c>
      <c r="BP1382">
        <v>1</v>
      </c>
      <c r="BQ1382">
        <v>0</v>
      </c>
      <c r="BT1382">
        <v>0</v>
      </c>
      <c r="BU1382">
        <v>0</v>
      </c>
      <c r="BV1382">
        <v>0</v>
      </c>
      <c r="CC1382" t="str">
        <f>"18:57:47.383"</f>
        <v>18:57:47.383</v>
      </c>
      <c r="CD1382" t="str">
        <f>"382328805"</f>
        <v>382328805</v>
      </c>
      <c r="CQ1382">
        <v>0</v>
      </c>
      <c r="CR1382">
        <v>2</v>
      </c>
      <c r="CS1382">
        <v>0</v>
      </c>
      <c r="CT1382">
        <v>2</v>
      </c>
      <c r="CU1382">
        <v>0</v>
      </c>
      <c r="CV1382">
        <v>6</v>
      </c>
      <c r="CW1382" t="s">
        <v>120</v>
      </c>
      <c r="CX1382">
        <v>261</v>
      </c>
      <c r="CY1382">
        <v>2</v>
      </c>
      <c r="CZ1382" t="s">
        <v>121</v>
      </c>
      <c r="DA1382" t="s">
        <v>122</v>
      </c>
      <c r="DD1382">
        <v>15036822</v>
      </c>
      <c r="DE1382" t="s">
        <v>123</v>
      </c>
    </row>
    <row r="1383" spans="1:109" x14ac:dyDescent="0.3">
      <c r="A1383" t="str">
        <f>"18:57:48.703"</f>
        <v>18:57:48.703</v>
      </c>
      <c r="B1383" t="s">
        <v>110</v>
      </c>
      <c r="C1383" t="str">
        <f t="shared" si="63"/>
        <v>ffdfd3c0</v>
      </c>
      <c r="D1383" t="s">
        <v>111</v>
      </c>
      <c r="E1383">
        <v>18</v>
      </c>
      <c r="F1383">
        <v>1018</v>
      </c>
      <c r="G1383" t="s">
        <v>112</v>
      </c>
      <c r="J1383" t="s">
        <v>113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R1383" t="s">
        <v>114</v>
      </c>
      <c r="S1383" t="str">
        <f>"18:57:48.445"</f>
        <v>18:57:48.445</v>
      </c>
      <c r="T1383" t="str">
        <f>"18:57:47.945"</f>
        <v>18:57:47.945</v>
      </c>
      <c r="U1383" t="str">
        <f t="shared" si="64"/>
        <v>a1cdbe</v>
      </c>
      <c r="V1383">
        <v>0</v>
      </c>
      <c r="W1383">
        <v>0</v>
      </c>
      <c r="X1383">
        <v>1</v>
      </c>
      <c r="Y1383">
        <v>0</v>
      </c>
      <c r="Z1383">
        <v>0</v>
      </c>
      <c r="AB1383">
        <v>0</v>
      </c>
      <c r="AC1383">
        <v>9</v>
      </c>
      <c r="AD1383">
        <v>3</v>
      </c>
      <c r="AE1383">
        <v>0</v>
      </c>
      <c r="AF1383">
        <v>9</v>
      </c>
      <c r="AG1383" t="s">
        <v>158</v>
      </c>
      <c r="AH1383">
        <v>0</v>
      </c>
      <c r="AI1383">
        <v>3</v>
      </c>
      <c r="AJ1383">
        <v>1</v>
      </c>
      <c r="AK1383">
        <v>0</v>
      </c>
      <c r="AL1383" t="s">
        <v>2721</v>
      </c>
      <c r="AM1383">
        <v>46.810276999999999</v>
      </c>
      <c r="AN1383" t="s">
        <v>2722</v>
      </c>
      <c r="AO1383">
        <v>-122.714946</v>
      </c>
      <c r="AP1383">
        <v>100</v>
      </c>
      <c r="AQ1383">
        <v>2000</v>
      </c>
      <c r="AR1383" t="s">
        <v>118</v>
      </c>
      <c r="AS1383">
        <v>-78</v>
      </c>
      <c r="AT1383">
        <v>-29</v>
      </c>
      <c r="AU1383">
        <v>-64</v>
      </c>
      <c r="BC1383">
        <v>1200</v>
      </c>
      <c r="BD1383">
        <v>1</v>
      </c>
      <c r="BE1383" t="str">
        <f t="shared" si="65"/>
        <v xml:space="preserve">N215T   </v>
      </c>
      <c r="BF1383">
        <v>1</v>
      </c>
      <c r="BH1383">
        <v>0</v>
      </c>
      <c r="BI1383">
        <v>0</v>
      </c>
      <c r="BJ1383">
        <v>0</v>
      </c>
      <c r="BK1383">
        <v>2375</v>
      </c>
      <c r="BL1383">
        <v>375</v>
      </c>
      <c r="BM1383" t="s">
        <v>119</v>
      </c>
      <c r="BN1383">
        <v>1</v>
      </c>
      <c r="BO1383">
        <v>1</v>
      </c>
      <c r="BP1383">
        <v>1</v>
      </c>
      <c r="BQ1383">
        <v>0</v>
      </c>
      <c r="BT1383">
        <v>0</v>
      </c>
      <c r="BU1383">
        <v>0</v>
      </c>
      <c r="BV1383">
        <v>0</v>
      </c>
      <c r="CC1383" t="str">
        <f>"18:57:48.445"</f>
        <v>18:57:48.445</v>
      </c>
      <c r="CD1383" t="str">
        <f>"447223980"</f>
        <v>447223980</v>
      </c>
      <c r="CQ1383">
        <v>0</v>
      </c>
      <c r="CR1383">
        <v>2</v>
      </c>
      <c r="CS1383">
        <v>0</v>
      </c>
      <c r="CT1383">
        <v>2</v>
      </c>
      <c r="CU1383">
        <v>0</v>
      </c>
      <c r="CV1383">
        <v>6</v>
      </c>
      <c r="CW1383" t="s">
        <v>120</v>
      </c>
      <c r="CX1383">
        <v>261</v>
      </c>
      <c r="CY1383">
        <v>2</v>
      </c>
      <c r="CZ1383" t="s">
        <v>121</v>
      </c>
      <c r="DA1383" t="s">
        <v>122</v>
      </c>
      <c r="DD1383">
        <v>15037596</v>
      </c>
      <c r="DE1383" t="s">
        <v>123</v>
      </c>
    </row>
    <row r="1384" spans="1:109" x14ac:dyDescent="0.3">
      <c r="A1384" t="str">
        <f>"18:57:49.758"</f>
        <v>18:57:49.758</v>
      </c>
      <c r="B1384" t="s">
        <v>110</v>
      </c>
      <c r="C1384" t="str">
        <f t="shared" si="63"/>
        <v>ffdfd3c0</v>
      </c>
      <c r="D1384" t="s">
        <v>111</v>
      </c>
      <c r="E1384">
        <v>18</v>
      </c>
      <c r="F1384">
        <v>1018</v>
      </c>
      <c r="G1384" t="s">
        <v>112</v>
      </c>
      <c r="J1384" t="s">
        <v>113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R1384" t="s">
        <v>114</v>
      </c>
      <c r="S1384" t="str">
        <f>"18:57:49.523"</f>
        <v>18:57:49.523</v>
      </c>
      <c r="T1384" t="str">
        <f>"18:57:49.125"</f>
        <v>18:57:49.125</v>
      </c>
      <c r="U1384" t="str">
        <f t="shared" si="64"/>
        <v>a1cdbe</v>
      </c>
      <c r="V1384">
        <v>0</v>
      </c>
      <c r="W1384">
        <v>0</v>
      </c>
      <c r="X1384">
        <v>1</v>
      </c>
      <c r="Y1384">
        <v>0</v>
      </c>
      <c r="Z1384">
        <v>0</v>
      </c>
      <c r="AB1384">
        <v>0</v>
      </c>
      <c r="AC1384">
        <v>9</v>
      </c>
      <c r="AD1384">
        <v>3</v>
      </c>
      <c r="AE1384">
        <v>0</v>
      </c>
      <c r="AF1384">
        <v>9</v>
      </c>
      <c r="AG1384" t="s">
        <v>158</v>
      </c>
      <c r="AH1384">
        <v>0</v>
      </c>
      <c r="AI1384">
        <v>3</v>
      </c>
      <c r="AJ1384">
        <v>1</v>
      </c>
      <c r="AK1384">
        <v>0</v>
      </c>
      <c r="AL1384" t="s">
        <v>2723</v>
      </c>
      <c r="AM1384">
        <v>46.810147999999998</v>
      </c>
      <c r="AN1384" t="s">
        <v>2724</v>
      </c>
      <c r="AO1384">
        <v>-122.715504</v>
      </c>
      <c r="AP1384">
        <v>100</v>
      </c>
      <c r="AQ1384">
        <v>2000</v>
      </c>
      <c r="AR1384" t="s">
        <v>118</v>
      </c>
      <c r="AS1384">
        <v>-78</v>
      </c>
      <c r="AT1384">
        <v>-29</v>
      </c>
      <c r="AU1384">
        <v>-64</v>
      </c>
      <c r="BC1384">
        <v>1200</v>
      </c>
      <c r="BD1384">
        <v>1</v>
      </c>
      <c r="BE1384" t="str">
        <f t="shared" si="65"/>
        <v xml:space="preserve">N215T   </v>
      </c>
      <c r="BF1384">
        <v>1</v>
      </c>
      <c r="BH1384">
        <v>0</v>
      </c>
      <c r="BI1384">
        <v>0</v>
      </c>
      <c r="BJ1384">
        <v>0</v>
      </c>
      <c r="BK1384">
        <v>2375</v>
      </c>
      <c r="BL1384">
        <v>375</v>
      </c>
      <c r="BM1384" t="s">
        <v>119</v>
      </c>
      <c r="BN1384">
        <v>1</v>
      </c>
      <c r="BO1384">
        <v>1</v>
      </c>
      <c r="BP1384">
        <v>1</v>
      </c>
      <c r="BQ1384">
        <v>0</v>
      </c>
      <c r="BT1384">
        <v>0</v>
      </c>
      <c r="BU1384">
        <v>0</v>
      </c>
      <c r="BV1384">
        <v>0</v>
      </c>
      <c r="CC1384" t="str">
        <f>"18:57:49.523"</f>
        <v>18:57:49.523</v>
      </c>
      <c r="CD1384" t="str">
        <f>"527117683"</f>
        <v>527117683</v>
      </c>
      <c r="CQ1384">
        <v>0</v>
      </c>
      <c r="CR1384">
        <v>2</v>
      </c>
      <c r="CS1384">
        <v>0</v>
      </c>
      <c r="CT1384">
        <v>2</v>
      </c>
      <c r="CU1384">
        <v>0</v>
      </c>
      <c r="CV1384">
        <v>6</v>
      </c>
      <c r="CW1384" t="s">
        <v>120</v>
      </c>
      <c r="CX1384">
        <v>261</v>
      </c>
      <c r="CY1384">
        <v>2</v>
      </c>
      <c r="CZ1384" t="s">
        <v>121</v>
      </c>
      <c r="DA1384" t="s">
        <v>122</v>
      </c>
      <c r="DD1384">
        <v>15038335</v>
      </c>
      <c r="DE1384" t="s">
        <v>123</v>
      </c>
    </row>
    <row r="1385" spans="1:109" x14ac:dyDescent="0.3">
      <c r="A1385" t="str">
        <f>"18:57:50.914"</f>
        <v>18:57:50.914</v>
      </c>
      <c r="B1385" t="s">
        <v>110</v>
      </c>
      <c r="C1385" t="str">
        <f t="shared" si="63"/>
        <v>ffdfd3c0</v>
      </c>
      <c r="D1385" t="s">
        <v>111</v>
      </c>
      <c r="E1385">
        <v>18</v>
      </c>
      <c r="F1385">
        <v>1018</v>
      </c>
      <c r="G1385" t="s">
        <v>112</v>
      </c>
      <c r="J1385" t="s">
        <v>113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R1385" t="s">
        <v>114</v>
      </c>
      <c r="S1385" t="str">
        <f>"18:57:50.711"</f>
        <v>18:57:50.711</v>
      </c>
      <c r="T1385" t="str">
        <f>"18:57:50.609"</f>
        <v>18:57:50.609</v>
      </c>
      <c r="U1385" t="str">
        <f t="shared" si="64"/>
        <v>a1cdbe</v>
      </c>
      <c r="V1385">
        <v>0</v>
      </c>
      <c r="W1385">
        <v>0</v>
      </c>
      <c r="X1385">
        <v>1</v>
      </c>
      <c r="Y1385">
        <v>0</v>
      </c>
      <c r="Z1385">
        <v>0</v>
      </c>
      <c r="AB1385">
        <v>0</v>
      </c>
      <c r="AC1385">
        <v>9</v>
      </c>
      <c r="AD1385">
        <v>3</v>
      </c>
      <c r="AE1385">
        <v>0</v>
      </c>
      <c r="AF1385">
        <v>9</v>
      </c>
      <c r="AG1385" t="s">
        <v>158</v>
      </c>
      <c r="AH1385">
        <v>0</v>
      </c>
      <c r="AI1385">
        <v>3</v>
      </c>
      <c r="AJ1385">
        <v>1</v>
      </c>
      <c r="AK1385">
        <v>0</v>
      </c>
      <c r="AL1385" t="s">
        <v>2725</v>
      </c>
      <c r="AM1385">
        <v>46.809955000000002</v>
      </c>
      <c r="AN1385" t="s">
        <v>2726</v>
      </c>
      <c r="AO1385">
        <v>-122.716126</v>
      </c>
      <c r="AP1385">
        <v>100</v>
      </c>
      <c r="AQ1385">
        <v>2000</v>
      </c>
      <c r="AR1385" t="s">
        <v>118</v>
      </c>
      <c r="AS1385">
        <v>-78</v>
      </c>
      <c r="AT1385">
        <v>-29</v>
      </c>
      <c r="AU1385">
        <v>-128</v>
      </c>
      <c r="BC1385">
        <v>1200</v>
      </c>
      <c r="BD1385">
        <v>1</v>
      </c>
      <c r="BE1385" t="str">
        <f t="shared" si="65"/>
        <v xml:space="preserve">N215T   </v>
      </c>
      <c r="BF1385">
        <v>1</v>
      </c>
      <c r="BH1385">
        <v>0</v>
      </c>
      <c r="BI1385">
        <v>0</v>
      </c>
      <c r="BJ1385">
        <v>0</v>
      </c>
      <c r="BK1385">
        <v>2375</v>
      </c>
      <c r="BL1385">
        <v>375</v>
      </c>
      <c r="BM1385" t="s">
        <v>119</v>
      </c>
      <c r="BN1385">
        <v>1</v>
      </c>
      <c r="BO1385">
        <v>1</v>
      </c>
      <c r="BP1385">
        <v>1</v>
      </c>
      <c r="BQ1385">
        <v>0</v>
      </c>
      <c r="BT1385">
        <v>0</v>
      </c>
      <c r="BU1385">
        <v>0</v>
      </c>
      <c r="BV1385">
        <v>0</v>
      </c>
      <c r="CC1385" t="str">
        <f>"18:57:50.711"</f>
        <v>18:57:50.711</v>
      </c>
      <c r="CD1385" t="str">
        <f>"712001041"</f>
        <v>712001041</v>
      </c>
      <c r="CQ1385">
        <v>0</v>
      </c>
      <c r="CR1385">
        <v>2</v>
      </c>
      <c r="CS1385">
        <v>0</v>
      </c>
      <c r="CT1385">
        <v>2</v>
      </c>
      <c r="CU1385">
        <v>0</v>
      </c>
      <c r="CV1385">
        <v>7</v>
      </c>
      <c r="CW1385" t="s">
        <v>120</v>
      </c>
      <c r="CX1385">
        <v>261</v>
      </c>
      <c r="CY1385">
        <v>2</v>
      </c>
      <c r="CZ1385" t="s">
        <v>121</v>
      </c>
      <c r="DA1385" t="s">
        <v>122</v>
      </c>
      <c r="DD1385">
        <v>15039089</v>
      </c>
      <c r="DE1385" t="s">
        <v>123</v>
      </c>
    </row>
    <row r="1386" spans="1:109" x14ac:dyDescent="0.3">
      <c r="A1386" t="str">
        <f>"18:57:51.922"</f>
        <v>18:57:51.922</v>
      </c>
      <c r="B1386" t="s">
        <v>110</v>
      </c>
      <c r="C1386" t="str">
        <f t="shared" si="63"/>
        <v>ffdfd3c0</v>
      </c>
      <c r="D1386" t="s">
        <v>111</v>
      </c>
      <c r="E1386">
        <v>18</v>
      </c>
      <c r="F1386">
        <v>1018</v>
      </c>
      <c r="G1386" t="s">
        <v>112</v>
      </c>
      <c r="J1386" t="s">
        <v>113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R1386" t="s">
        <v>114</v>
      </c>
      <c r="S1386" t="str">
        <f>"18:57:51.711"</f>
        <v>18:57:51.711</v>
      </c>
      <c r="T1386" t="str">
        <f>"18:57:51.508"</f>
        <v>18:57:51.508</v>
      </c>
      <c r="U1386" t="str">
        <f t="shared" si="64"/>
        <v>a1cdbe</v>
      </c>
      <c r="V1386">
        <v>0</v>
      </c>
      <c r="W1386">
        <v>0</v>
      </c>
      <c r="X1386">
        <v>1</v>
      </c>
      <c r="Y1386">
        <v>0</v>
      </c>
      <c r="Z1386">
        <v>0</v>
      </c>
      <c r="AB1386">
        <v>0</v>
      </c>
      <c r="AC1386">
        <v>9</v>
      </c>
      <c r="AD1386">
        <v>3</v>
      </c>
      <c r="AE1386">
        <v>0</v>
      </c>
      <c r="AF1386">
        <v>9</v>
      </c>
      <c r="AG1386" t="s">
        <v>158</v>
      </c>
      <c r="AH1386">
        <v>0</v>
      </c>
      <c r="AI1386">
        <v>3</v>
      </c>
      <c r="AJ1386">
        <v>1</v>
      </c>
      <c r="AK1386">
        <v>0</v>
      </c>
      <c r="AL1386" t="s">
        <v>2727</v>
      </c>
      <c r="AM1386">
        <v>46.809804</v>
      </c>
      <c r="AN1386" t="s">
        <v>2728</v>
      </c>
      <c r="AO1386">
        <v>-122.71662000000001</v>
      </c>
      <c r="AP1386">
        <v>100</v>
      </c>
      <c r="AQ1386">
        <v>2000</v>
      </c>
      <c r="AR1386" t="s">
        <v>118</v>
      </c>
      <c r="AS1386">
        <v>-78</v>
      </c>
      <c r="AT1386">
        <v>-28</v>
      </c>
      <c r="AU1386">
        <v>-192</v>
      </c>
      <c r="BC1386">
        <v>1200</v>
      </c>
      <c r="BD1386">
        <v>1</v>
      </c>
      <c r="BE1386" t="str">
        <f t="shared" si="65"/>
        <v xml:space="preserve">N215T   </v>
      </c>
      <c r="BF1386">
        <v>1</v>
      </c>
      <c r="BH1386">
        <v>0</v>
      </c>
      <c r="BI1386">
        <v>0</v>
      </c>
      <c r="BJ1386">
        <v>0</v>
      </c>
      <c r="BK1386">
        <v>2375</v>
      </c>
      <c r="BL1386">
        <v>375</v>
      </c>
      <c r="BM1386" t="s">
        <v>119</v>
      </c>
      <c r="BN1386">
        <v>1</v>
      </c>
      <c r="BO1386">
        <v>1</v>
      </c>
      <c r="BP1386">
        <v>1</v>
      </c>
      <c r="BQ1386">
        <v>0</v>
      </c>
      <c r="BT1386">
        <v>0</v>
      </c>
      <c r="BU1386">
        <v>0</v>
      </c>
      <c r="BV1386">
        <v>0</v>
      </c>
      <c r="CC1386" t="str">
        <f>"18:57:51.719"</f>
        <v>18:57:51.719</v>
      </c>
      <c r="CD1386" t="str">
        <f>"716902114"</f>
        <v>716902114</v>
      </c>
      <c r="CQ1386">
        <v>0</v>
      </c>
      <c r="CR1386">
        <v>2</v>
      </c>
      <c r="CS1386">
        <v>0</v>
      </c>
      <c r="CT1386">
        <v>2</v>
      </c>
      <c r="CU1386">
        <v>0</v>
      </c>
      <c r="CV1386">
        <v>7</v>
      </c>
      <c r="CW1386" t="s">
        <v>120</v>
      </c>
      <c r="CX1386">
        <v>261</v>
      </c>
      <c r="CY1386">
        <v>2</v>
      </c>
      <c r="CZ1386" t="s">
        <v>121</v>
      </c>
      <c r="DA1386" t="s">
        <v>122</v>
      </c>
      <c r="DD1386">
        <v>15039736</v>
      </c>
      <c r="DE1386" t="s">
        <v>123</v>
      </c>
    </row>
    <row r="1387" spans="1:109" x14ac:dyDescent="0.3">
      <c r="A1387" t="str">
        <f>"18:57:52.875"</f>
        <v>18:57:52.875</v>
      </c>
      <c r="B1387" t="s">
        <v>110</v>
      </c>
      <c r="C1387" t="str">
        <f t="shared" si="63"/>
        <v>ffdfd3c0</v>
      </c>
      <c r="D1387" t="s">
        <v>111</v>
      </c>
      <c r="E1387">
        <v>18</v>
      </c>
      <c r="F1387">
        <v>1018</v>
      </c>
      <c r="G1387" t="s">
        <v>112</v>
      </c>
      <c r="J1387" t="s">
        <v>113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R1387" t="s">
        <v>114</v>
      </c>
      <c r="S1387" t="str">
        <f>"18:57:52.602"</f>
        <v>18:57:52.602</v>
      </c>
      <c r="T1387" t="str">
        <f>"18:57:52.305"</f>
        <v>18:57:52.305</v>
      </c>
      <c r="U1387" t="str">
        <f t="shared" si="64"/>
        <v>a1cdbe</v>
      </c>
      <c r="V1387">
        <v>0</v>
      </c>
      <c r="W1387">
        <v>0</v>
      </c>
      <c r="X1387">
        <v>1</v>
      </c>
      <c r="Y1387">
        <v>0</v>
      </c>
      <c r="Z1387">
        <v>0</v>
      </c>
      <c r="AB1387">
        <v>0</v>
      </c>
      <c r="AC1387">
        <v>9</v>
      </c>
      <c r="AD1387">
        <v>3</v>
      </c>
      <c r="AE1387">
        <v>0</v>
      </c>
      <c r="AF1387">
        <v>9</v>
      </c>
      <c r="AG1387" t="s">
        <v>158</v>
      </c>
      <c r="AH1387">
        <v>0</v>
      </c>
      <c r="AI1387">
        <v>3</v>
      </c>
      <c r="AJ1387">
        <v>1</v>
      </c>
      <c r="AK1387">
        <v>0</v>
      </c>
      <c r="AL1387" t="s">
        <v>2729</v>
      </c>
      <c r="AM1387">
        <v>46.809719000000001</v>
      </c>
      <c r="AN1387" t="s">
        <v>2730</v>
      </c>
      <c r="AO1387">
        <v>-122.717071</v>
      </c>
      <c r="AP1387">
        <v>100</v>
      </c>
      <c r="AQ1387">
        <v>2000</v>
      </c>
      <c r="AR1387" t="s">
        <v>118</v>
      </c>
      <c r="AS1387">
        <v>-78</v>
      </c>
      <c r="AT1387">
        <v>-28</v>
      </c>
      <c r="AU1387">
        <v>-192</v>
      </c>
      <c r="BC1387">
        <v>1200</v>
      </c>
      <c r="BD1387">
        <v>1</v>
      </c>
      <c r="BE1387" t="str">
        <f t="shared" si="65"/>
        <v xml:space="preserve">N215T   </v>
      </c>
      <c r="BF1387">
        <v>1</v>
      </c>
      <c r="BH1387">
        <v>0</v>
      </c>
      <c r="BI1387">
        <v>0</v>
      </c>
      <c r="BJ1387">
        <v>0</v>
      </c>
      <c r="BK1387">
        <v>2375</v>
      </c>
      <c r="BL1387">
        <v>375</v>
      </c>
      <c r="BM1387" t="s">
        <v>119</v>
      </c>
      <c r="BN1387">
        <v>1</v>
      </c>
      <c r="BO1387">
        <v>1</v>
      </c>
      <c r="BP1387">
        <v>1</v>
      </c>
      <c r="BQ1387">
        <v>0</v>
      </c>
      <c r="BT1387">
        <v>0</v>
      </c>
      <c r="BU1387">
        <v>0</v>
      </c>
      <c r="BV1387">
        <v>0</v>
      </c>
      <c r="CC1387" t="str">
        <f>"18:57:52.602"</f>
        <v>18:57:52.602</v>
      </c>
      <c r="CD1387" t="str">
        <f>"601814995"</f>
        <v>601814995</v>
      </c>
      <c r="CQ1387">
        <v>0</v>
      </c>
      <c r="CR1387">
        <v>2</v>
      </c>
      <c r="CS1387">
        <v>0</v>
      </c>
      <c r="CT1387">
        <v>2</v>
      </c>
      <c r="CU1387">
        <v>0</v>
      </c>
      <c r="CV1387">
        <v>6</v>
      </c>
      <c r="CW1387" t="s">
        <v>120</v>
      </c>
      <c r="CX1387">
        <v>261</v>
      </c>
      <c r="CY1387">
        <v>2</v>
      </c>
      <c r="CZ1387" t="s">
        <v>121</v>
      </c>
      <c r="DA1387" t="s">
        <v>122</v>
      </c>
      <c r="DD1387">
        <v>15040311</v>
      </c>
      <c r="DE1387" t="s">
        <v>123</v>
      </c>
    </row>
    <row r="1388" spans="1:109" x14ac:dyDescent="0.3">
      <c r="A1388" t="str">
        <f>"18:57:53.828"</f>
        <v>18:57:53.828</v>
      </c>
      <c r="B1388" t="s">
        <v>110</v>
      </c>
      <c r="C1388" t="str">
        <f t="shared" si="63"/>
        <v>ffdfd3c0</v>
      </c>
      <c r="D1388" t="s">
        <v>111</v>
      </c>
      <c r="E1388">
        <v>18</v>
      </c>
      <c r="F1388">
        <v>1018</v>
      </c>
      <c r="G1388" t="s">
        <v>112</v>
      </c>
      <c r="J1388" t="s">
        <v>113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R1388" t="s">
        <v>114</v>
      </c>
      <c r="S1388" t="str">
        <f>"18:57:53.602"</f>
        <v>18:57:53.602</v>
      </c>
      <c r="T1388" t="str">
        <f>"18:57:53.398"</f>
        <v>18:57:53.398</v>
      </c>
      <c r="U1388" t="str">
        <f t="shared" si="64"/>
        <v>a1cdbe</v>
      </c>
      <c r="V1388">
        <v>0</v>
      </c>
      <c r="W1388">
        <v>0</v>
      </c>
      <c r="X1388">
        <v>1</v>
      </c>
      <c r="Y1388">
        <v>0</v>
      </c>
      <c r="Z1388">
        <v>0</v>
      </c>
      <c r="AB1388">
        <v>0</v>
      </c>
      <c r="AC1388">
        <v>9</v>
      </c>
      <c r="AD1388">
        <v>3</v>
      </c>
      <c r="AE1388">
        <v>0</v>
      </c>
      <c r="AF1388">
        <v>9</v>
      </c>
      <c r="AG1388" t="s">
        <v>158</v>
      </c>
      <c r="AH1388">
        <v>0</v>
      </c>
      <c r="AI1388">
        <v>3</v>
      </c>
      <c r="AJ1388">
        <v>1</v>
      </c>
      <c r="AK1388">
        <v>0</v>
      </c>
      <c r="AL1388" t="s">
        <v>2731</v>
      </c>
      <c r="AM1388">
        <v>46.80959</v>
      </c>
      <c r="AN1388" t="s">
        <v>2732</v>
      </c>
      <c r="AO1388">
        <v>-122.717628</v>
      </c>
      <c r="AP1388">
        <v>100</v>
      </c>
      <c r="AQ1388">
        <v>2000</v>
      </c>
      <c r="AR1388" t="s">
        <v>118</v>
      </c>
      <c r="AS1388">
        <v>-78</v>
      </c>
      <c r="AT1388">
        <v>-26</v>
      </c>
      <c r="AU1388">
        <v>-192</v>
      </c>
      <c r="BC1388">
        <v>1200</v>
      </c>
      <c r="BD1388">
        <v>1</v>
      </c>
      <c r="BE1388" t="str">
        <f t="shared" si="65"/>
        <v xml:space="preserve">N215T   </v>
      </c>
      <c r="BF1388">
        <v>1</v>
      </c>
      <c r="BH1388">
        <v>0</v>
      </c>
      <c r="BI1388">
        <v>0</v>
      </c>
      <c r="BJ1388">
        <v>0</v>
      </c>
      <c r="BK1388">
        <v>2375</v>
      </c>
      <c r="BL1388">
        <v>375</v>
      </c>
      <c r="BM1388" t="s">
        <v>119</v>
      </c>
      <c r="BN1388">
        <v>1</v>
      </c>
      <c r="BO1388">
        <v>1</v>
      </c>
      <c r="BP1388">
        <v>1</v>
      </c>
      <c r="BQ1388">
        <v>0</v>
      </c>
      <c r="BT1388">
        <v>0</v>
      </c>
      <c r="BU1388">
        <v>0</v>
      </c>
      <c r="BV1388">
        <v>0</v>
      </c>
      <c r="CC1388" t="str">
        <f>"18:57:53.609"</f>
        <v>18:57:53.609</v>
      </c>
      <c r="CD1388" t="str">
        <f>"606716073"</f>
        <v>606716073</v>
      </c>
      <c r="CQ1388">
        <v>0</v>
      </c>
      <c r="CR1388">
        <v>2</v>
      </c>
      <c r="CS1388">
        <v>0</v>
      </c>
      <c r="CT1388">
        <v>2</v>
      </c>
      <c r="CU1388">
        <v>0</v>
      </c>
      <c r="CV1388">
        <v>7</v>
      </c>
      <c r="CW1388" t="s">
        <v>120</v>
      </c>
      <c r="CX1388">
        <v>261</v>
      </c>
      <c r="CY1388">
        <v>2</v>
      </c>
      <c r="CZ1388" t="s">
        <v>121</v>
      </c>
      <c r="DA1388" t="s">
        <v>122</v>
      </c>
      <c r="DD1388">
        <v>15041056</v>
      </c>
      <c r="DE1388" t="s">
        <v>123</v>
      </c>
    </row>
    <row r="1389" spans="1:109" x14ac:dyDescent="0.3">
      <c r="A1389" t="str">
        <f>"18:57:54.688"</f>
        <v>18:57:54.688</v>
      </c>
      <c r="B1389" t="s">
        <v>110</v>
      </c>
      <c r="C1389" t="str">
        <f t="shared" si="63"/>
        <v>ffdfd3c0</v>
      </c>
      <c r="D1389" t="s">
        <v>111</v>
      </c>
      <c r="E1389">
        <v>18</v>
      </c>
      <c r="F1389">
        <v>1018</v>
      </c>
      <c r="G1389" t="s">
        <v>112</v>
      </c>
      <c r="J1389" t="s">
        <v>113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R1389" t="s">
        <v>114</v>
      </c>
      <c r="S1389" t="str">
        <f>"18:57:54.461"</f>
        <v>18:57:54.461</v>
      </c>
      <c r="T1389" t="str">
        <f>"18:57:54.359"</f>
        <v>18:57:54.359</v>
      </c>
      <c r="U1389" t="str">
        <f t="shared" si="64"/>
        <v>a1cdbe</v>
      </c>
      <c r="V1389">
        <v>0</v>
      </c>
      <c r="W1389">
        <v>0</v>
      </c>
      <c r="X1389">
        <v>1</v>
      </c>
      <c r="Y1389">
        <v>0</v>
      </c>
      <c r="Z1389">
        <v>0</v>
      </c>
      <c r="AB1389">
        <v>0</v>
      </c>
      <c r="AC1389">
        <v>9</v>
      </c>
      <c r="AD1389">
        <v>3</v>
      </c>
      <c r="AE1389">
        <v>0</v>
      </c>
      <c r="AF1389">
        <v>9</v>
      </c>
      <c r="AG1389" t="s">
        <v>158</v>
      </c>
      <c r="AH1389">
        <v>0</v>
      </c>
      <c r="AI1389">
        <v>3</v>
      </c>
      <c r="AJ1389">
        <v>1</v>
      </c>
      <c r="AK1389">
        <v>0</v>
      </c>
      <c r="AL1389" t="s">
        <v>2733</v>
      </c>
      <c r="AM1389">
        <v>46.809503999999997</v>
      </c>
      <c r="AN1389" t="s">
        <v>2734</v>
      </c>
      <c r="AO1389">
        <v>-122.718079</v>
      </c>
      <c r="AP1389">
        <v>100</v>
      </c>
      <c r="AQ1389">
        <v>2000</v>
      </c>
      <c r="AR1389" t="s">
        <v>118</v>
      </c>
      <c r="AS1389">
        <v>-78</v>
      </c>
      <c r="AT1389">
        <v>-26</v>
      </c>
      <c r="AU1389">
        <v>-256</v>
      </c>
      <c r="BC1389">
        <v>1200</v>
      </c>
      <c r="BD1389">
        <v>1</v>
      </c>
      <c r="BE1389" t="str">
        <f t="shared" si="65"/>
        <v xml:space="preserve">N215T   </v>
      </c>
      <c r="BF1389">
        <v>1</v>
      </c>
      <c r="BH1389">
        <v>0</v>
      </c>
      <c r="BI1389">
        <v>0</v>
      </c>
      <c r="BJ1389">
        <v>0</v>
      </c>
      <c r="BK1389">
        <v>2350</v>
      </c>
      <c r="BL1389">
        <v>350</v>
      </c>
      <c r="BM1389" t="s">
        <v>119</v>
      </c>
      <c r="BN1389">
        <v>1</v>
      </c>
      <c r="BO1389">
        <v>1</v>
      </c>
      <c r="BP1389">
        <v>1</v>
      </c>
      <c r="BQ1389">
        <v>0</v>
      </c>
      <c r="BT1389">
        <v>0</v>
      </c>
      <c r="BU1389">
        <v>0</v>
      </c>
      <c r="BV1389">
        <v>0</v>
      </c>
      <c r="CC1389" t="str">
        <f>"18:57:54.461"</f>
        <v>18:57:54.461</v>
      </c>
      <c r="CD1389" t="str">
        <f>"461631913"</f>
        <v>461631913</v>
      </c>
      <c r="CQ1389">
        <v>0</v>
      </c>
      <c r="CR1389">
        <v>2</v>
      </c>
      <c r="CS1389">
        <v>0</v>
      </c>
      <c r="CT1389">
        <v>2</v>
      </c>
      <c r="CU1389">
        <v>0</v>
      </c>
      <c r="CV1389">
        <v>7</v>
      </c>
      <c r="CW1389" t="s">
        <v>120</v>
      </c>
      <c r="CX1389">
        <v>261</v>
      </c>
      <c r="CY1389">
        <v>2</v>
      </c>
      <c r="CZ1389" t="s">
        <v>121</v>
      </c>
      <c r="DA1389" t="s">
        <v>122</v>
      </c>
      <c r="DD1389">
        <v>15041668</v>
      </c>
      <c r="DE1389" t="s">
        <v>123</v>
      </c>
    </row>
    <row r="1390" spans="1:109" x14ac:dyDescent="0.3">
      <c r="A1390" t="str">
        <f>"18:57:55.742"</f>
        <v>18:57:55.742</v>
      </c>
      <c r="B1390" t="s">
        <v>110</v>
      </c>
      <c r="C1390" t="str">
        <f t="shared" si="63"/>
        <v>ffdfd3c0</v>
      </c>
      <c r="D1390" t="s">
        <v>111</v>
      </c>
      <c r="E1390">
        <v>18</v>
      </c>
      <c r="F1390">
        <v>1018</v>
      </c>
      <c r="G1390" t="s">
        <v>112</v>
      </c>
      <c r="J1390" t="s">
        <v>113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R1390" t="s">
        <v>114</v>
      </c>
      <c r="S1390" t="str">
        <f>"18:57:55.508"</f>
        <v>18:57:55.508</v>
      </c>
      <c r="T1390" t="str">
        <f>"18:57:55.508"</f>
        <v>18:57:55.508</v>
      </c>
      <c r="U1390" t="str">
        <f t="shared" si="64"/>
        <v>a1cdbe</v>
      </c>
      <c r="V1390">
        <v>0</v>
      </c>
      <c r="W1390">
        <v>0</v>
      </c>
      <c r="X1390">
        <v>1</v>
      </c>
      <c r="Y1390">
        <v>0</v>
      </c>
      <c r="Z1390">
        <v>0</v>
      </c>
      <c r="AB1390">
        <v>0</v>
      </c>
      <c r="AC1390">
        <v>9</v>
      </c>
      <c r="AD1390">
        <v>3</v>
      </c>
      <c r="AE1390">
        <v>0</v>
      </c>
      <c r="AF1390">
        <v>9</v>
      </c>
      <c r="AG1390" t="s">
        <v>158</v>
      </c>
      <c r="AH1390">
        <v>0</v>
      </c>
      <c r="AI1390">
        <v>3</v>
      </c>
      <c r="AJ1390">
        <v>1</v>
      </c>
      <c r="AK1390">
        <v>0</v>
      </c>
      <c r="AL1390" t="s">
        <v>2735</v>
      </c>
      <c r="AM1390">
        <v>46.809353999999999</v>
      </c>
      <c r="AN1390" t="s">
        <v>2736</v>
      </c>
      <c r="AO1390">
        <v>-122.718658</v>
      </c>
      <c r="AP1390">
        <v>100</v>
      </c>
      <c r="AQ1390">
        <v>2000</v>
      </c>
      <c r="AR1390" t="s">
        <v>118</v>
      </c>
      <c r="AS1390">
        <v>-78</v>
      </c>
      <c r="AT1390">
        <v>-26</v>
      </c>
      <c r="AU1390">
        <v>-128</v>
      </c>
      <c r="BC1390">
        <v>1200</v>
      </c>
      <c r="BD1390">
        <v>1</v>
      </c>
      <c r="BE1390" t="str">
        <f t="shared" si="65"/>
        <v xml:space="preserve">N215T   </v>
      </c>
      <c r="BF1390">
        <v>1</v>
      </c>
      <c r="BH1390">
        <v>0</v>
      </c>
      <c r="BI1390">
        <v>0</v>
      </c>
      <c r="BJ1390">
        <v>0</v>
      </c>
      <c r="BK1390">
        <v>2350</v>
      </c>
      <c r="BL1390">
        <v>350</v>
      </c>
      <c r="BM1390" t="s">
        <v>119</v>
      </c>
      <c r="BN1390">
        <v>1</v>
      </c>
      <c r="BO1390">
        <v>1</v>
      </c>
      <c r="BP1390">
        <v>1</v>
      </c>
      <c r="BQ1390">
        <v>0</v>
      </c>
      <c r="BT1390">
        <v>0</v>
      </c>
      <c r="BU1390">
        <v>0</v>
      </c>
      <c r="BV1390">
        <v>0</v>
      </c>
      <c r="CC1390" t="str">
        <f>"18:57:55.508"</f>
        <v>18:57:55.508</v>
      </c>
      <c r="CD1390" t="str">
        <f>"511528554"</f>
        <v>511528554</v>
      </c>
      <c r="CQ1390">
        <v>0</v>
      </c>
      <c r="CR1390">
        <v>2</v>
      </c>
      <c r="CS1390">
        <v>0</v>
      </c>
      <c r="CT1390">
        <v>2</v>
      </c>
      <c r="CU1390">
        <v>0</v>
      </c>
      <c r="CV1390">
        <v>7</v>
      </c>
      <c r="CW1390" t="s">
        <v>120</v>
      </c>
      <c r="CX1390">
        <v>261</v>
      </c>
      <c r="CY1390">
        <v>2</v>
      </c>
      <c r="CZ1390" t="s">
        <v>121</v>
      </c>
      <c r="DA1390" t="s">
        <v>122</v>
      </c>
      <c r="DD1390">
        <v>15042407</v>
      </c>
      <c r="DE1390" t="s">
        <v>123</v>
      </c>
    </row>
    <row r="1391" spans="1:109" x14ac:dyDescent="0.3">
      <c r="A1391" t="str">
        <f>"18:57:56.852"</f>
        <v>18:57:56.852</v>
      </c>
      <c r="B1391" t="s">
        <v>110</v>
      </c>
      <c r="C1391" t="str">
        <f t="shared" si="63"/>
        <v>ffdfd3c0</v>
      </c>
      <c r="D1391" t="s">
        <v>111</v>
      </c>
      <c r="E1391">
        <v>18</v>
      </c>
      <c r="F1391">
        <v>1018</v>
      </c>
      <c r="G1391" t="s">
        <v>112</v>
      </c>
      <c r="J1391" t="s">
        <v>113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R1391" t="s">
        <v>114</v>
      </c>
      <c r="S1391" t="str">
        <f>"18:57:56.602"</f>
        <v>18:57:56.602</v>
      </c>
      <c r="T1391" t="str">
        <f>"18:57:56.602"</f>
        <v>18:57:56.602</v>
      </c>
      <c r="U1391" t="str">
        <f t="shared" si="64"/>
        <v>a1cdbe</v>
      </c>
      <c r="V1391">
        <v>0</v>
      </c>
      <c r="W1391">
        <v>0</v>
      </c>
      <c r="X1391">
        <v>1</v>
      </c>
      <c r="Y1391">
        <v>0</v>
      </c>
      <c r="Z1391">
        <v>0</v>
      </c>
      <c r="AB1391">
        <v>0</v>
      </c>
      <c r="AC1391">
        <v>9</v>
      </c>
      <c r="AD1391">
        <v>3</v>
      </c>
      <c r="AE1391">
        <v>0</v>
      </c>
      <c r="AF1391">
        <v>9</v>
      </c>
      <c r="AG1391" t="s">
        <v>158</v>
      </c>
      <c r="AH1391">
        <v>0</v>
      </c>
      <c r="AI1391">
        <v>3</v>
      </c>
      <c r="AJ1391">
        <v>1</v>
      </c>
      <c r="AK1391">
        <v>0</v>
      </c>
      <c r="AL1391" t="s">
        <v>2737</v>
      </c>
      <c r="AM1391">
        <v>46.809246999999999</v>
      </c>
      <c r="AN1391" t="s">
        <v>2738</v>
      </c>
      <c r="AO1391">
        <v>-122.719216</v>
      </c>
      <c r="AP1391">
        <v>100</v>
      </c>
      <c r="AQ1391">
        <v>2000</v>
      </c>
      <c r="AR1391" t="s">
        <v>118</v>
      </c>
      <c r="AS1391">
        <v>-78</v>
      </c>
      <c r="AT1391">
        <v>-25</v>
      </c>
      <c r="AU1391">
        <v>-192</v>
      </c>
      <c r="BC1391">
        <v>1200</v>
      </c>
      <c r="BD1391">
        <v>1</v>
      </c>
      <c r="BE1391" t="str">
        <f t="shared" si="65"/>
        <v xml:space="preserve">N215T   </v>
      </c>
      <c r="BF1391">
        <v>1</v>
      </c>
      <c r="BH1391">
        <v>0</v>
      </c>
      <c r="BI1391">
        <v>0</v>
      </c>
      <c r="BJ1391">
        <v>0</v>
      </c>
      <c r="BK1391">
        <v>2350</v>
      </c>
      <c r="BL1391">
        <v>350</v>
      </c>
      <c r="BM1391" t="s">
        <v>119</v>
      </c>
      <c r="BN1391">
        <v>1</v>
      </c>
      <c r="BO1391">
        <v>1</v>
      </c>
      <c r="BP1391">
        <v>1</v>
      </c>
      <c r="BQ1391">
        <v>0</v>
      </c>
      <c r="BT1391">
        <v>0</v>
      </c>
      <c r="BU1391">
        <v>0</v>
      </c>
      <c r="BV1391">
        <v>0</v>
      </c>
      <c r="CC1391" t="str">
        <f>"18:57:56.609"</f>
        <v>18:57:56.609</v>
      </c>
      <c r="CD1391" t="str">
        <f>"606420763"</f>
        <v>606420763</v>
      </c>
      <c r="CQ1391">
        <v>0</v>
      </c>
      <c r="CR1391">
        <v>2</v>
      </c>
      <c r="CS1391">
        <v>0</v>
      </c>
      <c r="CT1391">
        <v>2</v>
      </c>
      <c r="CU1391">
        <v>0</v>
      </c>
      <c r="CV1391">
        <v>7</v>
      </c>
      <c r="CW1391" t="s">
        <v>120</v>
      </c>
      <c r="CX1391">
        <v>261</v>
      </c>
      <c r="CY1391">
        <v>2</v>
      </c>
      <c r="CZ1391" t="s">
        <v>121</v>
      </c>
      <c r="DA1391" t="s">
        <v>122</v>
      </c>
      <c r="DD1391">
        <v>15043187</v>
      </c>
      <c r="DE1391" t="s">
        <v>123</v>
      </c>
    </row>
    <row r="1392" spans="1:109" x14ac:dyDescent="0.3">
      <c r="A1392" t="str">
        <f>"18:57:57.953"</f>
        <v>18:57:57.953</v>
      </c>
      <c r="B1392" t="s">
        <v>110</v>
      </c>
      <c r="C1392" t="str">
        <f t="shared" si="63"/>
        <v>ffdfd3c0</v>
      </c>
      <c r="D1392" t="s">
        <v>111</v>
      </c>
      <c r="E1392">
        <v>18</v>
      </c>
      <c r="F1392">
        <v>1018</v>
      </c>
      <c r="G1392" t="s">
        <v>112</v>
      </c>
      <c r="J1392" t="s">
        <v>113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R1392" t="s">
        <v>114</v>
      </c>
      <c r="S1392" t="str">
        <f>"18:57:57.711"</f>
        <v>18:57:57.711</v>
      </c>
      <c r="T1392" t="str">
        <f>"18:57:57.711"</f>
        <v>18:57:57.711</v>
      </c>
      <c r="U1392" t="str">
        <f t="shared" si="64"/>
        <v>a1cdbe</v>
      </c>
      <c r="V1392">
        <v>0</v>
      </c>
      <c r="W1392">
        <v>0</v>
      </c>
      <c r="X1392">
        <v>1</v>
      </c>
      <c r="Y1392">
        <v>0</v>
      </c>
      <c r="Z1392">
        <v>0</v>
      </c>
      <c r="AB1392">
        <v>0</v>
      </c>
      <c r="AC1392">
        <v>9</v>
      </c>
      <c r="AD1392">
        <v>3</v>
      </c>
      <c r="AE1392">
        <v>0</v>
      </c>
      <c r="AF1392">
        <v>9</v>
      </c>
      <c r="AG1392" t="s">
        <v>158</v>
      </c>
      <c r="AH1392">
        <v>0</v>
      </c>
      <c r="AI1392">
        <v>3</v>
      </c>
      <c r="AJ1392">
        <v>1</v>
      </c>
      <c r="AK1392">
        <v>0</v>
      </c>
      <c r="AL1392" t="s">
        <v>2739</v>
      </c>
      <c r="AM1392">
        <v>46.809117999999998</v>
      </c>
      <c r="AN1392" t="s">
        <v>2740</v>
      </c>
      <c r="AO1392">
        <v>-122.71983899999999</v>
      </c>
      <c r="AP1392">
        <v>100</v>
      </c>
      <c r="AQ1392">
        <v>2000</v>
      </c>
      <c r="AR1392" t="s">
        <v>118</v>
      </c>
      <c r="AS1392">
        <v>-79</v>
      </c>
      <c r="AT1392">
        <v>-24</v>
      </c>
      <c r="AU1392">
        <v>-192</v>
      </c>
      <c r="BC1392">
        <v>1200</v>
      </c>
      <c r="BD1392">
        <v>1</v>
      </c>
      <c r="BE1392" t="str">
        <f t="shared" si="65"/>
        <v xml:space="preserve">N215T   </v>
      </c>
      <c r="BF1392">
        <v>1</v>
      </c>
      <c r="BH1392">
        <v>0</v>
      </c>
      <c r="BI1392">
        <v>0</v>
      </c>
      <c r="BJ1392">
        <v>0</v>
      </c>
      <c r="BK1392">
        <v>2350</v>
      </c>
      <c r="BL1392">
        <v>350</v>
      </c>
      <c r="BM1392" t="s">
        <v>119</v>
      </c>
      <c r="BN1392">
        <v>1</v>
      </c>
      <c r="BO1392">
        <v>1</v>
      </c>
      <c r="BP1392">
        <v>1</v>
      </c>
      <c r="BQ1392">
        <v>0</v>
      </c>
      <c r="BT1392">
        <v>0</v>
      </c>
      <c r="BU1392">
        <v>0</v>
      </c>
      <c r="BV1392">
        <v>0</v>
      </c>
      <c r="CC1392" t="str">
        <f>"18:57:57.719"</f>
        <v>18:57:57.719</v>
      </c>
      <c r="CD1392" t="str">
        <f>"716311503"</f>
        <v>716311503</v>
      </c>
      <c r="CQ1392">
        <v>0</v>
      </c>
      <c r="CR1392">
        <v>2</v>
      </c>
      <c r="CS1392">
        <v>0</v>
      </c>
      <c r="CT1392">
        <v>2</v>
      </c>
      <c r="CU1392">
        <v>0</v>
      </c>
      <c r="CV1392">
        <v>6</v>
      </c>
      <c r="CW1392" t="s">
        <v>120</v>
      </c>
      <c r="CX1392">
        <v>261</v>
      </c>
      <c r="CY1392">
        <v>2</v>
      </c>
      <c r="CZ1392" t="s">
        <v>121</v>
      </c>
      <c r="DA1392" t="s">
        <v>122</v>
      </c>
      <c r="DD1392">
        <v>15043978</v>
      </c>
      <c r="DE1392" t="s">
        <v>123</v>
      </c>
    </row>
    <row r="1393" spans="1:109" x14ac:dyDescent="0.3">
      <c r="A1393" t="str">
        <f>"18:57:58.961"</f>
        <v>18:57:58.961</v>
      </c>
      <c r="B1393" t="s">
        <v>110</v>
      </c>
      <c r="C1393" t="str">
        <f t="shared" si="63"/>
        <v>ffdfd3c0</v>
      </c>
      <c r="D1393" t="s">
        <v>111</v>
      </c>
      <c r="E1393">
        <v>18</v>
      </c>
      <c r="F1393">
        <v>1018</v>
      </c>
      <c r="G1393" t="s">
        <v>112</v>
      </c>
      <c r="J1393" t="s">
        <v>113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R1393" t="s">
        <v>114</v>
      </c>
      <c r="S1393" t="str">
        <f>"18:57:58.719"</f>
        <v>18:57:58.719</v>
      </c>
      <c r="T1393" t="str">
        <f>"18:57:58.219"</f>
        <v>18:57:58.219</v>
      </c>
      <c r="U1393" t="str">
        <f t="shared" si="64"/>
        <v>a1cdbe</v>
      </c>
      <c r="V1393">
        <v>0</v>
      </c>
      <c r="W1393">
        <v>0</v>
      </c>
      <c r="X1393">
        <v>1</v>
      </c>
      <c r="Y1393">
        <v>0</v>
      </c>
      <c r="Z1393">
        <v>0</v>
      </c>
      <c r="AB1393">
        <v>0</v>
      </c>
      <c r="AC1393">
        <v>9</v>
      </c>
      <c r="AD1393">
        <v>3</v>
      </c>
      <c r="AE1393">
        <v>0</v>
      </c>
      <c r="AF1393">
        <v>9</v>
      </c>
      <c r="AG1393" t="s">
        <v>158</v>
      </c>
      <c r="AH1393">
        <v>0</v>
      </c>
      <c r="AI1393">
        <v>3</v>
      </c>
      <c r="AJ1393">
        <v>1</v>
      </c>
      <c r="AK1393">
        <v>0</v>
      </c>
      <c r="AL1393" t="s">
        <v>2741</v>
      </c>
      <c r="AM1393">
        <v>46.809010999999998</v>
      </c>
      <c r="AN1393" t="s">
        <v>2742</v>
      </c>
      <c r="AO1393">
        <v>-122.720311</v>
      </c>
      <c r="AP1393">
        <v>100</v>
      </c>
      <c r="AQ1393">
        <v>2000</v>
      </c>
      <c r="AR1393" t="s">
        <v>118</v>
      </c>
      <c r="AS1393">
        <v>-79</v>
      </c>
      <c r="AT1393">
        <v>-23</v>
      </c>
      <c r="AU1393">
        <v>-192</v>
      </c>
      <c r="BC1393">
        <v>1200</v>
      </c>
      <c r="BD1393">
        <v>1</v>
      </c>
      <c r="BE1393" t="str">
        <f t="shared" si="65"/>
        <v xml:space="preserve">N215T   </v>
      </c>
      <c r="BF1393">
        <v>1</v>
      </c>
      <c r="BH1393">
        <v>0</v>
      </c>
      <c r="BI1393">
        <v>0</v>
      </c>
      <c r="BJ1393">
        <v>0</v>
      </c>
      <c r="BK1393">
        <v>2350</v>
      </c>
      <c r="BL1393">
        <v>350</v>
      </c>
      <c r="BM1393" t="s">
        <v>119</v>
      </c>
      <c r="BN1393">
        <v>1</v>
      </c>
      <c r="BO1393">
        <v>1</v>
      </c>
      <c r="BP1393">
        <v>1</v>
      </c>
      <c r="BQ1393">
        <v>0</v>
      </c>
      <c r="BT1393">
        <v>0</v>
      </c>
      <c r="BU1393">
        <v>0</v>
      </c>
      <c r="BV1393">
        <v>0</v>
      </c>
      <c r="CC1393" t="str">
        <f>"18:57:58.719"</f>
        <v>18:57:58.719</v>
      </c>
      <c r="CD1393" t="str">
        <f>"721212581"</f>
        <v>721212581</v>
      </c>
      <c r="CQ1393">
        <v>0</v>
      </c>
      <c r="CR1393">
        <v>2</v>
      </c>
      <c r="CS1393">
        <v>0</v>
      </c>
      <c r="CT1393">
        <v>2</v>
      </c>
      <c r="CU1393">
        <v>0</v>
      </c>
      <c r="CV1393">
        <v>7</v>
      </c>
      <c r="CW1393" t="s">
        <v>120</v>
      </c>
      <c r="CX1393">
        <v>261</v>
      </c>
      <c r="CY1393">
        <v>2</v>
      </c>
      <c r="CZ1393" t="s">
        <v>121</v>
      </c>
      <c r="DA1393" t="s">
        <v>122</v>
      </c>
      <c r="DD1393">
        <v>15044667</v>
      </c>
      <c r="DE1393" t="s">
        <v>123</v>
      </c>
    </row>
    <row r="1394" spans="1:109" x14ac:dyDescent="0.3">
      <c r="A1394" t="str">
        <f>"18:57:59.914"</f>
        <v>18:57:59.914</v>
      </c>
      <c r="B1394" t="s">
        <v>110</v>
      </c>
      <c r="C1394" t="str">
        <f t="shared" si="63"/>
        <v>ffdfd3c0</v>
      </c>
      <c r="D1394" t="s">
        <v>111</v>
      </c>
      <c r="E1394">
        <v>18</v>
      </c>
      <c r="F1394">
        <v>1018</v>
      </c>
      <c r="G1394" t="s">
        <v>112</v>
      </c>
      <c r="J1394" t="s">
        <v>113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R1394" t="s">
        <v>114</v>
      </c>
      <c r="S1394" t="str">
        <f>"18:57:59.695"</f>
        <v>18:57:59.695</v>
      </c>
      <c r="T1394" t="str">
        <f>"18:57:59.297"</f>
        <v>18:57:59.297</v>
      </c>
      <c r="U1394" t="str">
        <f t="shared" si="64"/>
        <v>a1cdbe</v>
      </c>
      <c r="V1394">
        <v>0</v>
      </c>
      <c r="W1394">
        <v>0</v>
      </c>
      <c r="X1394">
        <v>1</v>
      </c>
      <c r="Y1394">
        <v>0</v>
      </c>
      <c r="Z1394">
        <v>0</v>
      </c>
      <c r="AB1394">
        <v>0</v>
      </c>
      <c r="AC1394">
        <v>9</v>
      </c>
      <c r="AD1394">
        <v>3</v>
      </c>
      <c r="AE1394">
        <v>0</v>
      </c>
      <c r="AF1394">
        <v>9</v>
      </c>
      <c r="AG1394" t="s">
        <v>158</v>
      </c>
      <c r="AH1394">
        <v>0</v>
      </c>
      <c r="AI1394">
        <v>3</v>
      </c>
      <c r="AJ1394">
        <v>1</v>
      </c>
      <c r="AK1394">
        <v>0</v>
      </c>
      <c r="AL1394" t="s">
        <v>2743</v>
      </c>
      <c r="AM1394">
        <v>46.808903000000001</v>
      </c>
      <c r="AN1394" t="s">
        <v>2744</v>
      </c>
      <c r="AO1394">
        <v>-122.720826</v>
      </c>
      <c r="AP1394">
        <v>100</v>
      </c>
      <c r="AQ1394">
        <v>2000</v>
      </c>
      <c r="AR1394" t="s">
        <v>118</v>
      </c>
      <c r="AS1394">
        <v>-79</v>
      </c>
      <c r="AT1394">
        <v>-22</v>
      </c>
      <c r="AU1394">
        <v>-256</v>
      </c>
      <c r="BC1394">
        <v>1200</v>
      </c>
      <c r="BD1394">
        <v>1</v>
      </c>
      <c r="BE1394" t="str">
        <f t="shared" si="65"/>
        <v xml:space="preserve">N215T   </v>
      </c>
      <c r="BF1394">
        <v>1</v>
      </c>
      <c r="BH1394">
        <v>0</v>
      </c>
      <c r="BI1394">
        <v>0</v>
      </c>
      <c r="BJ1394">
        <v>0</v>
      </c>
      <c r="BK1394">
        <v>2350</v>
      </c>
      <c r="BL1394">
        <v>350</v>
      </c>
      <c r="BM1394" t="s">
        <v>119</v>
      </c>
      <c r="BN1394">
        <v>1</v>
      </c>
      <c r="BO1394">
        <v>1</v>
      </c>
      <c r="BP1394">
        <v>1</v>
      </c>
      <c r="BQ1394">
        <v>0</v>
      </c>
      <c r="BT1394">
        <v>0</v>
      </c>
      <c r="BU1394">
        <v>0</v>
      </c>
      <c r="BV1394">
        <v>0</v>
      </c>
      <c r="CC1394" t="str">
        <f>"18:57:59.695"</f>
        <v>18:57:59.695</v>
      </c>
      <c r="CD1394" t="str">
        <f>"696116590"</f>
        <v>696116590</v>
      </c>
      <c r="CQ1394">
        <v>0</v>
      </c>
      <c r="CR1394">
        <v>2</v>
      </c>
      <c r="CS1394">
        <v>0</v>
      </c>
      <c r="CT1394">
        <v>2</v>
      </c>
      <c r="CU1394">
        <v>0</v>
      </c>
      <c r="CV1394">
        <v>6</v>
      </c>
      <c r="CW1394" t="s">
        <v>120</v>
      </c>
      <c r="CX1394">
        <v>261</v>
      </c>
      <c r="CY1394">
        <v>2</v>
      </c>
      <c r="CZ1394" t="s">
        <v>121</v>
      </c>
      <c r="DA1394" t="s">
        <v>122</v>
      </c>
      <c r="DD1394">
        <v>15045322</v>
      </c>
      <c r="DE1394" t="s">
        <v>123</v>
      </c>
    </row>
    <row r="1395" spans="1:109" x14ac:dyDescent="0.3">
      <c r="A1395" t="str">
        <f>"18:58:01.023"</f>
        <v>18:58:01.023</v>
      </c>
      <c r="B1395" t="s">
        <v>110</v>
      </c>
      <c r="C1395" t="str">
        <f t="shared" si="63"/>
        <v>ffdfd3c0</v>
      </c>
      <c r="D1395" t="s">
        <v>111</v>
      </c>
      <c r="E1395">
        <v>18</v>
      </c>
      <c r="F1395">
        <v>1018</v>
      </c>
      <c r="G1395" t="s">
        <v>112</v>
      </c>
      <c r="J1395" t="s">
        <v>113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R1395" t="s">
        <v>114</v>
      </c>
      <c r="S1395" t="str">
        <f>"18:58:00.789"</f>
        <v>18:58:00.789</v>
      </c>
      <c r="T1395" t="str">
        <f>"18:58:00.789"</f>
        <v>18:58:00.789</v>
      </c>
      <c r="U1395" t="str">
        <f t="shared" si="64"/>
        <v>a1cdbe</v>
      </c>
      <c r="V1395">
        <v>0</v>
      </c>
      <c r="W1395">
        <v>0</v>
      </c>
      <c r="X1395">
        <v>1</v>
      </c>
      <c r="Y1395">
        <v>0</v>
      </c>
      <c r="Z1395">
        <v>0</v>
      </c>
      <c r="AB1395">
        <v>0</v>
      </c>
      <c r="AC1395">
        <v>9</v>
      </c>
      <c r="AD1395">
        <v>3</v>
      </c>
      <c r="AE1395">
        <v>0</v>
      </c>
      <c r="AF1395">
        <v>9</v>
      </c>
      <c r="AG1395" t="s">
        <v>158</v>
      </c>
      <c r="AH1395">
        <v>0</v>
      </c>
      <c r="AI1395">
        <v>3</v>
      </c>
      <c r="AJ1395">
        <v>1</v>
      </c>
      <c r="AK1395">
        <v>0</v>
      </c>
      <c r="AL1395" t="s">
        <v>2745</v>
      </c>
      <c r="AM1395">
        <v>46.808816999999998</v>
      </c>
      <c r="AN1395" t="s">
        <v>2746</v>
      </c>
      <c r="AO1395">
        <v>-122.721448</v>
      </c>
      <c r="AP1395">
        <v>100</v>
      </c>
      <c r="AQ1395">
        <v>2000</v>
      </c>
      <c r="AR1395" t="s">
        <v>118</v>
      </c>
      <c r="AS1395">
        <v>-80</v>
      </c>
      <c r="AT1395">
        <v>-19</v>
      </c>
      <c r="AU1395">
        <v>-320</v>
      </c>
      <c r="BC1395">
        <v>1200</v>
      </c>
      <c r="BD1395">
        <v>1</v>
      </c>
      <c r="BE1395" t="str">
        <f t="shared" si="65"/>
        <v xml:space="preserve">N215T   </v>
      </c>
      <c r="BF1395">
        <v>1</v>
      </c>
      <c r="BH1395">
        <v>0</v>
      </c>
      <c r="BI1395">
        <v>0</v>
      </c>
      <c r="BJ1395">
        <v>0</v>
      </c>
      <c r="BK1395">
        <v>2350</v>
      </c>
      <c r="BL1395">
        <v>350</v>
      </c>
      <c r="BM1395" t="s">
        <v>119</v>
      </c>
      <c r="BN1395">
        <v>1</v>
      </c>
      <c r="BO1395">
        <v>1</v>
      </c>
      <c r="BP1395">
        <v>1</v>
      </c>
      <c r="BQ1395">
        <v>0</v>
      </c>
      <c r="BT1395">
        <v>0</v>
      </c>
      <c r="BU1395">
        <v>0</v>
      </c>
      <c r="BV1395">
        <v>0</v>
      </c>
      <c r="CC1395" t="str">
        <f>"18:58:00.789"</f>
        <v>18:58:00.789</v>
      </c>
      <c r="CD1395" t="str">
        <f>"791008801"</f>
        <v>791008801</v>
      </c>
      <c r="CQ1395">
        <v>0</v>
      </c>
      <c r="CR1395">
        <v>2</v>
      </c>
      <c r="CS1395">
        <v>0</v>
      </c>
      <c r="CT1395">
        <v>2</v>
      </c>
      <c r="CU1395">
        <v>0</v>
      </c>
      <c r="CV1395">
        <v>7</v>
      </c>
      <c r="CW1395" t="s">
        <v>120</v>
      </c>
      <c r="CX1395">
        <v>261</v>
      </c>
      <c r="CY1395">
        <v>2</v>
      </c>
      <c r="CZ1395" t="s">
        <v>121</v>
      </c>
      <c r="DA1395" t="s">
        <v>122</v>
      </c>
      <c r="DD1395">
        <v>15046058</v>
      </c>
      <c r="DE1395" t="s">
        <v>123</v>
      </c>
    </row>
    <row r="1396" spans="1:109" x14ac:dyDescent="0.3">
      <c r="A1396" t="str">
        <f>"18:58:02.023"</f>
        <v>18:58:02.023</v>
      </c>
      <c r="B1396" t="s">
        <v>110</v>
      </c>
      <c r="C1396" t="str">
        <f t="shared" si="63"/>
        <v>ffdfd3c0</v>
      </c>
      <c r="D1396" t="s">
        <v>111</v>
      </c>
      <c r="E1396">
        <v>18</v>
      </c>
      <c r="F1396">
        <v>1018</v>
      </c>
      <c r="G1396" t="s">
        <v>112</v>
      </c>
      <c r="J1396" t="s">
        <v>113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R1396" t="s">
        <v>114</v>
      </c>
      <c r="S1396" t="str">
        <f>"18:58:01.750"</f>
        <v>18:58:01.750</v>
      </c>
      <c r="T1396" t="str">
        <f>"18:58:01.750"</f>
        <v>18:58:01.750</v>
      </c>
      <c r="U1396" t="str">
        <f t="shared" si="64"/>
        <v>a1cdbe</v>
      </c>
      <c r="V1396">
        <v>0</v>
      </c>
      <c r="W1396">
        <v>0</v>
      </c>
      <c r="X1396">
        <v>1</v>
      </c>
      <c r="Y1396">
        <v>0</v>
      </c>
      <c r="Z1396">
        <v>0</v>
      </c>
      <c r="AB1396">
        <v>0</v>
      </c>
      <c r="AC1396">
        <v>9</v>
      </c>
      <c r="AD1396">
        <v>3</v>
      </c>
      <c r="AE1396">
        <v>0</v>
      </c>
      <c r="AF1396">
        <v>9</v>
      </c>
      <c r="AG1396" t="s">
        <v>158</v>
      </c>
      <c r="AH1396">
        <v>0</v>
      </c>
      <c r="AI1396">
        <v>3</v>
      </c>
      <c r="AJ1396">
        <v>1</v>
      </c>
      <c r="AK1396">
        <v>0</v>
      </c>
      <c r="AL1396" t="s">
        <v>2747</v>
      </c>
      <c r="AM1396">
        <v>46.808731999999999</v>
      </c>
      <c r="AN1396" t="s">
        <v>2748</v>
      </c>
      <c r="AO1396">
        <v>-122.721963</v>
      </c>
      <c r="AP1396">
        <v>100</v>
      </c>
      <c r="AQ1396">
        <v>2000</v>
      </c>
      <c r="AR1396" t="s">
        <v>118</v>
      </c>
      <c r="AS1396">
        <v>-81</v>
      </c>
      <c r="AT1396">
        <v>-18</v>
      </c>
      <c r="AU1396">
        <v>-320</v>
      </c>
      <c r="BC1396">
        <v>1200</v>
      </c>
      <c r="BD1396">
        <v>1</v>
      </c>
      <c r="BE1396" t="str">
        <f t="shared" si="65"/>
        <v xml:space="preserve">N215T   </v>
      </c>
      <c r="BF1396">
        <v>1</v>
      </c>
      <c r="BH1396">
        <v>0</v>
      </c>
      <c r="BI1396">
        <v>0</v>
      </c>
      <c r="BJ1396">
        <v>0</v>
      </c>
      <c r="BK1396">
        <v>2350</v>
      </c>
      <c r="BL1396">
        <v>350</v>
      </c>
      <c r="BM1396" t="s">
        <v>119</v>
      </c>
      <c r="BN1396">
        <v>1</v>
      </c>
      <c r="BO1396">
        <v>1</v>
      </c>
      <c r="BP1396">
        <v>1</v>
      </c>
      <c r="BQ1396">
        <v>0</v>
      </c>
      <c r="BT1396">
        <v>0</v>
      </c>
      <c r="BU1396">
        <v>0</v>
      </c>
      <c r="BV1396">
        <v>0</v>
      </c>
      <c r="CC1396" t="str">
        <f>"18:58:01.750"</f>
        <v>18:58:01.750</v>
      </c>
      <c r="CD1396" t="str">
        <f>"750914286"</f>
        <v>750914286</v>
      </c>
      <c r="CQ1396">
        <v>0</v>
      </c>
      <c r="CR1396">
        <v>2</v>
      </c>
      <c r="CS1396">
        <v>0</v>
      </c>
      <c r="CT1396">
        <v>2</v>
      </c>
      <c r="CU1396">
        <v>0</v>
      </c>
      <c r="CV1396">
        <v>7</v>
      </c>
      <c r="CW1396" t="s">
        <v>120</v>
      </c>
      <c r="CX1396">
        <v>261</v>
      </c>
      <c r="CY1396">
        <v>2</v>
      </c>
      <c r="CZ1396" t="s">
        <v>121</v>
      </c>
      <c r="DA1396" t="s">
        <v>122</v>
      </c>
      <c r="DD1396">
        <v>15046697</v>
      </c>
      <c r="DE1396" t="s">
        <v>123</v>
      </c>
    </row>
    <row r="1397" spans="1:109" x14ac:dyDescent="0.3">
      <c r="A1397" t="str">
        <f>"18:58:02.984"</f>
        <v>18:58:02.984</v>
      </c>
      <c r="B1397" t="s">
        <v>110</v>
      </c>
      <c r="C1397" t="str">
        <f t="shared" si="63"/>
        <v>ffdfd3c0</v>
      </c>
      <c r="D1397" t="s">
        <v>111</v>
      </c>
      <c r="E1397">
        <v>18</v>
      </c>
      <c r="F1397">
        <v>1018</v>
      </c>
      <c r="G1397" t="s">
        <v>112</v>
      </c>
      <c r="J1397" t="s">
        <v>113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R1397" t="s">
        <v>114</v>
      </c>
      <c r="S1397" t="str">
        <f>"18:58:02.719"</f>
        <v>18:58:02.719</v>
      </c>
      <c r="T1397" t="str">
        <f>"18:58:02.219"</f>
        <v>18:58:02.219</v>
      </c>
      <c r="U1397" t="str">
        <f t="shared" si="64"/>
        <v>a1cdbe</v>
      </c>
      <c r="V1397">
        <v>0</v>
      </c>
      <c r="W1397">
        <v>0</v>
      </c>
      <c r="X1397">
        <v>1</v>
      </c>
      <c r="Y1397">
        <v>0</v>
      </c>
      <c r="Z1397">
        <v>0</v>
      </c>
      <c r="AB1397">
        <v>0</v>
      </c>
      <c r="AC1397">
        <v>9</v>
      </c>
      <c r="AD1397">
        <v>3</v>
      </c>
      <c r="AE1397">
        <v>0</v>
      </c>
      <c r="AF1397">
        <v>9</v>
      </c>
      <c r="AG1397" t="s">
        <v>158</v>
      </c>
      <c r="AH1397">
        <v>0</v>
      </c>
      <c r="AI1397">
        <v>3</v>
      </c>
      <c r="AJ1397">
        <v>1</v>
      </c>
      <c r="AK1397">
        <v>0</v>
      </c>
      <c r="AL1397" t="s">
        <v>2749</v>
      </c>
      <c r="AM1397">
        <v>46.808646000000003</v>
      </c>
      <c r="AN1397" t="s">
        <v>2750</v>
      </c>
      <c r="AO1397">
        <v>-122.722499</v>
      </c>
      <c r="AP1397">
        <v>100</v>
      </c>
      <c r="AQ1397">
        <v>2000</v>
      </c>
      <c r="AR1397" t="s">
        <v>118</v>
      </c>
      <c r="AS1397">
        <v>-81</v>
      </c>
      <c r="AT1397">
        <v>-17</v>
      </c>
      <c r="AU1397">
        <v>-320</v>
      </c>
      <c r="BC1397">
        <v>1200</v>
      </c>
      <c r="BD1397">
        <v>1</v>
      </c>
      <c r="BE1397" t="str">
        <f t="shared" si="65"/>
        <v xml:space="preserve">N215T   </v>
      </c>
      <c r="BF1397">
        <v>1</v>
      </c>
      <c r="BH1397">
        <v>0</v>
      </c>
      <c r="BI1397">
        <v>0</v>
      </c>
      <c r="BJ1397">
        <v>0</v>
      </c>
      <c r="BK1397">
        <v>2350</v>
      </c>
      <c r="BL1397">
        <v>350</v>
      </c>
      <c r="BM1397" t="s">
        <v>119</v>
      </c>
      <c r="BN1397">
        <v>1</v>
      </c>
      <c r="BO1397">
        <v>1</v>
      </c>
      <c r="BP1397">
        <v>1</v>
      </c>
      <c r="BQ1397">
        <v>0</v>
      </c>
      <c r="BT1397">
        <v>0</v>
      </c>
      <c r="BU1397">
        <v>0</v>
      </c>
      <c r="BV1397">
        <v>0</v>
      </c>
      <c r="CC1397" t="str">
        <f>"18:58:02.727"</f>
        <v>18:58:02.727</v>
      </c>
      <c r="CD1397" t="str">
        <f>"725818300"</f>
        <v>725818300</v>
      </c>
      <c r="CQ1397">
        <v>0</v>
      </c>
      <c r="CR1397">
        <v>2</v>
      </c>
      <c r="CS1397">
        <v>0</v>
      </c>
      <c r="CT1397">
        <v>2</v>
      </c>
      <c r="CU1397">
        <v>0</v>
      </c>
      <c r="CV1397">
        <v>7</v>
      </c>
      <c r="CW1397" t="s">
        <v>120</v>
      </c>
      <c r="CX1397">
        <v>261</v>
      </c>
      <c r="CY1397">
        <v>2</v>
      </c>
      <c r="CZ1397" t="s">
        <v>121</v>
      </c>
      <c r="DA1397" t="s">
        <v>122</v>
      </c>
      <c r="DD1397">
        <v>15047407</v>
      </c>
      <c r="DE1397" t="s">
        <v>123</v>
      </c>
    </row>
    <row r="1398" spans="1:109" x14ac:dyDescent="0.3">
      <c r="A1398" t="str">
        <f>"18:58:03.938"</f>
        <v>18:58:03.938</v>
      </c>
      <c r="B1398" t="s">
        <v>110</v>
      </c>
      <c r="C1398" t="str">
        <f t="shared" si="63"/>
        <v>ffdfd3c0</v>
      </c>
      <c r="D1398" t="s">
        <v>111</v>
      </c>
      <c r="E1398">
        <v>18</v>
      </c>
      <c r="F1398">
        <v>1018</v>
      </c>
      <c r="G1398" t="s">
        <v>112</v>
      </c>
      <c r="J1398" t="s">
        <v>113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R1398" t="s">
        <v>114</v>
      </c>
      <c r="S1398" t="str">
        <f>"18:58:03.695"</f>
        <v>18:58:03.695</v>
      </c>
      <c r="T1398" t="str">
        <f>"18:58:03.695"</f>
        <v>18:58:03.695</v>
      </c>
      <c r="U1398" t="str">
        <f t="shared" si="64"/>
        <v>a1cdbe</v>
      </c>
      <c r="V1398">
        <v>0</v>
      </c>
      <c r="W1398">
        <v>0</v>
      </c>
      <c r="X1398">
        <v>1</v>
      </c>
      <c r="Y1398">
        <v>0</v>
      </c>
      <c r="Z1398">
        <v>0</v>
      </c>
      <c r="AB1398">
        <v>0</v>
      </c>
      <c r="AC1398">
        <v>9</v>
      </c>
      <c r="AD1398">
        <v>3</v>
      </c>
      <c r="AE1398">
        <v>0</v>
      </c>
      <c r="AF1398">
        <v>9</v>
      </c>
      <c r="AG1398" t="s">
        <v>158</v>
      </c>
      <c r="AH1398">
        <v>0</v>
      </c>
      <c r="AI1398">
        <v>3</v>
      </c>
      <c r="AJ1398">
        <v>1</v>
      </c>
      <c r="AK1398">
        <v>0</v>
      </c>
      <c r="AL1398" t="s">
        <v>2751</v>
      </c>
      <c r="AM1398">
        <v>46.808580999999997</v>
      </c>
      <c r="AN1398" t="s">
        <v>2752</v>
      </c>
      <c r="AO1398">
        <v>-122.72303599999999</v>
      </c>
      <c r="AP1398">
        <v>100</v>
      </c>
      <c r="AQ1398">
        <v>1900</v>
      </c>
      <c r="AR1398" t="s">
        <v>118</v>
      </c>
      <c r="AS1398">
        <v>-82</v>
      </c>
      <c r="AT1398">
        <v>-14</v>
      </c>
      <c r="AU1398">
        <v>-256</v>
      </c>
      <c r="BC1398">
        <v>1200</v>
      </c>
      <c r="BD1398">
        <v>1</v>
      </c>
      <c r="BE1398" t="str">
        <f t="shared" si="65"/>
        <v xml:space="preserve">N215T   </v>
      </c>
      <c r="BF1398">
        <v>1</v>
      </c>
      <c r="BH1398">
        <v>0</v>
      </c>
      <c r="BI1398">
        <v>0</v>
      </c>
      <c r="BJ1398">
        <v>0</v>
      </c>
      <c r="BK1398">
        <v>2325</v>
      </c>
      <c r="BL1398">
        <v>425</v>
      </c>
      <c r="BM1398" t="s">
        <v>119</v>
      </c>
      <c r="BN1398">
        <v>1</v>
      </c>
      <c r="BO1398">
        <v>1</v>
      </c>
      <c r="BP1398">
        <v>1</v>
      </c>
      <c r="BQ1398">
        <v>0</v>
      </c>
      <c r="BT1398">
        <v>0</v>
      </c>
      <c r="BU1398">
        <v>0</v>
      </c>
      <c r="BV1398">
        <v>0</v>
      </c>
      <c r="CC1398" t="str">
        <f>"18:58:03.703"</f>
        <v>18:58:03.703</v>
      </c>
      <c r="CD1398" t="str">
        <f>"700779290"</f>
        <v>700779290</v>
      </c>
      <c r="CQ1398">
        <v>0</v>
      </c>
      <c r="CR1398">
        <v>2</v>
      </c>
      <c r="CS1398">
        <v>0</v>
      </c>
      <c r="CT1398">
        <v>2</v>
      </c>
      <c r="CU1398">
        <v>0</v>
      </c>
      <c r="CV1398">
        <v>5</v>
      </c>
      <c r="CW1398" t="s">
        <v>120</v>
      </c>
      <c r="CX1398">
        <v>257</v>
      </c>
      <c r="CY1398">
        <v>0</v>
      </c>
      <c r="CZ1398" t="s">
        <v>615</v>
      </c>
      <c r="DA1398" t="s">
        <v>616</v>
      </c>
      <c r="DD1398">
        <v>15278982</v>
      </c>
      <c r="DE1398" t="s">
        <v>123</v>
      </c>
    </row>
    <row r="1399" spans="1:109" x14ac:dyDescent="0.3">
      <c r="A1399" t="str">
        <f>"18:58:04.945"</f>
        <v>18:58:04.945</v>
      </c>
      <c r="B1399" t="s">
        <v>110</v>
      </c>
      <c r="C1399" t="str">
        <f t="shared" si="63"/>
        <v>ffdfd3c0</v>
      </c>
      <c r="D1399" t="s">
        <v>111</v>
      </c>
      <c r="E1399">
        <v>18</v>
      </c>
      <c r="F1399">
        <v>1018</v>
      </c>
      <c r="G1399" t="s">
        <v>112</v>
      </c>
      <c r="J1399" t="s">
        <v>113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R1399" t="s">
        <v>114</v>
      </c>
      <c r="S1399" t="str">
        <f>"18:58:04.703"</f>
        <v>18:58:04.703</v>
      </c>
      <c r="T1399" t="str">
        <f>"18:58:04.203"</f>
        <v>18:58:04.203</v>
      </c>
      <c r="U1399" t="str">
        <f t="shared" si="64"/>
        <v>a1cdbe</v>
      </c>
      <c r="V1399">
        <v>0</v>
      </c>
      <c r="W1399">
        <v>0</v>
      </c>
      <c r="X1399">
        <v>1</v>
      </c>
      <c r="Y1399">
        <v>0</v>
      </c>
      <c r="Z1399">
        <v>0</v>
      </c>
      <c r="AB1399">
        <v>0</v>
      </c>
      <c r="AC1399">
        <v>9</v>
      </c>
      <c r="AD1399">
        <v>3</v>
      </c>
      <c r="AE1399">
        <v>0</v>
      </c>
      <c r="AF1399">
        <v>9</v>
      </c>
      <c r="AG1399" t="s">
        <v>158</v>
      </c>
      <c r="AH1399">
        <v>0</v>
      </c>
      <c r="AI1399">
        <v>3</v>
      </c>
      <c r="AJ1399">
        <v>1</v>
      </c>
      <c r="AK1399">
        <v>0</v>
      </c>
      <c r="AL1399" t="s">
        <v>2753</v>
      </c>
      <c r="AM1399">
        <v>46.80856</v>
      </c>
      <c r="AN1399" t="s">
        <v>2754</v>
      </c>
      <c r="AO1399">
        <v>-122.72359400000001</v>
      </c>
      <c r="AP1399">
        <v>100</v>
      </c>
      <c r="AQ1399">
        <v>1900</v>
      </c>
      <c r="AR1399" t="s">
        <v>118</v>
      </c>
      <c r="AS1399">
        <v>-82</v>
      </c>
      <c r="AT1399">
        <v>-13</v>
      </c>
      <c r="AU1399">
        <v>-256</v>
      </c>
      <c r="BC1399">
        <v>1200</v>
      </c>
      <c r="BD1399">
        <v>1</v>
      </c>
      <c r="BE1399" t="str">
        <f t="shared" si="65"/>
        <v xml:space="preserve">N215T   </v>
      </c>
      <c r="BF1399">
        <v>1</v>
      </c>
      <c r="BH1399">
        <v>0</v>
      </c>
      <c r="BI1399">
        <v>0</v>
      </c>
      <c r="BJ1399">
        <v>0</v>
      </c>
      <c r="BK1399">
        <v>2325</v>
      </c>
      <c r="BL1399">
        <v>425</v>
      </c>
      <c r="BM1399" t="s">
        <v>119</v>
      </c>
      <c r="BN1399">
        <v>1</v>
      </c>
      <c r="BO1399">
        <v>1</v>
      </c>
      <c r="BP1399">
        <v>1</v>
      </c>
      <c r="BQ1399">
        <v>0</v>
      </c>
      <c r="BT1399">
        <v>0</v>
      </c>
      <c r="BU1399">
        <v>0</v>
      </c>
      <c r="BV1399">
        <v>0</v>
      </c>
      <c r="CC1399" t="str">
        <f>"18:58:04.703"</f>
        <v>18:58:04.703</v>
      </c>
      <c r="CD1399" t="str">
        <f>"705623356"</f>
        <v>705623356</v>
      </c>
      <c r="CQ1399">
        <v>0</v>
      </c>
      <c r="CR1399">
        <v>2</v>
      </c>
      <c r="CS1399">
        <v>0</v>
      </c>
      <c r="CT1399">
        <v>2</v>
      </c>
      <c r="CU1399">
        <v>0</v>
      </c>
      <c r="CV1399">
        <v>6</v>
      </c>
      <c r="CW1399" t="s">
        <v>120</v>
      </c>
      <c r="CX1399">
        <v>261</v>
      </c>
      <c r="CY1399">
        <v>2</v>
      </c>
      <c r="CZ1399" t="s">
        <v>121</v>
      </c>
      <c r="DA1399" t="s">
        <v>122</v>
      </c>
      <c r="DD1399">
        <v>15048781</v>
      </c>
      <c r="DE1399" t="s">
        <v>123</v>
      </c>
    </row>
    <row r="1400" spans="1:109" x14ac:dyDescent="0.3">
      <c r="A1400" t="str">
        <f>"18:58:05.844"</f>
        <v>18:58:05.844</v>
      </c>
      <c r="B1400" t="s">
        <v>110</v>
      </c>
      <c r="C1400" t="str">
        <f t="shared" si="63"/>
        <v>ffdfd3c0</v>
      </c>
      <c r="D1400" t="s">
        <v>111</v>
      </c>
      <c r="E1400">
        <v>18</v>
      </c>
      <c r="F1400">
        <v>1018</v>
      </c>
      <c r="G1400" t="s">
        <v>112</v>
      </c>
      <c r="J1400" t="s">
        <v>113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R1400" t="s">
        <v>114</v>
      </c>
      <c r="S1400" t="str">
        <f>"18:58:05.648"</f>
        <v>18:58:05.648</v>
      </c>
      <c r="T1400" t="str">
        <f>"18:58:05.250"</f>
        <v>18:58:05.250</v>
      </c>
      <c r="U1400" t="str">
        <f t="shared" si="64"/>
        <v>a1cdbe</v>
      </c>
      <c r="V1400">
        <v>0</v>
      </c>
      <c r="W1400">
        <v>0</v>
      </c>
      <c r="X1400">
        <v>1</v>
      </c>
      <c r="Y1400">
        <v>0</v>
      </c>
      <c r="Z1400">
        <v>0</v>
      </c>
      <c r="AB1400">
        <v>0</v>
      </c>
      <c r="AC1400">
        <v>9</v>
      </c>
      <c r="AD1400">
        <v>3</v>
      </c>
      <c r="AE1400">
        <v>0</v>
      </c>
      <c r="AF1400">
        <v>9</v>
      </c>
      <c r="AG1400" t="s">
        <v>158</v>
      </c>
      <c r="AH1400">
        <v>0</v>
      </c>
      <c r="AI1400">
        <v>3</v>
      </c>
      <c r="AJ1400">
        <v>1</v>
      </c>
      <c r="AK1400">
        <v>0</v>
      </c>
      <c r="AL1400" t="s">
        <v>2755</v>
      </c>
      <c r="AM1400">
        <v>46.808495999999998</v>
      </c>
      <c r="AN1400" t="s">
        <v>2756</v>
      </c>
      <c r="AO1400">
        <v>-122.724109</v>
      </c>
      <c r="AP1400">
        <v>100</v>
      </c>
      <c r="AQ1400">
        <v>1900</v>
      </c>
      <c r="AR1400" t="s">
        <v>118</v>
      </c>
      <c r="AS1400">
        <v>-83</v>
      </c>
      <c r="AT1400">
        <v>-12</v>
      </c>
      <c r="AU1400">
        <v>-256</v>
      </c>
      <c r="BC1400">
        <v>1200</v>
      </c>
      <c r="BD1400">
        <v>1</v>
      </c>
      <c r="BE1400" t="str">
        <f t="shared" si="65"/>
        <v xml:space="preserve">N215T   </v>
      </c>
      <c r="BF1400">
        <v>1</v>
      </c>
      <c r="BH1400">
        <v>0</v>
      </c>
      <c r="BI1400">
        <v>0</v>
      </c>
      <c r="BJ1400">
        <v>0</v>
      </c>
      <c r="BK1400">
        <v>2325</v>
      </c>
      <c r="BL1400">
        <v>425</v>
      </c>
      <c r="BM1400" t="s">
        <v>119</v>
      </c>
      <c r="BN1400">
        <v>1</v>
      </c>
      <c r="BO1400">
        <v>1</v>
      </c>
      <c r="BP1400">
        <v>1</v>
      </c>
      <c r="BQ1400">
        <v>0</v>
      </c>
      <c r="BT1400">
        <v>0</v>
      </c>
      <c r="BU1400">
        <v>0</v>
      </c>
      <c r="BV1400">
        <v>0</v>
      </c>
      <c r="CC1400" t="str">
        <f>"18:58:05.648"</f>
        <v>18:58:05.648</v>
      </c>
      <c r="CD1400" t="str">
        <f>"650530317"</f>
        <v>650530317</v>
      </c>
      <c r="CQ1400">
        <v>0</v>
      </c>
      <c r="CR1400">
        <v>2</v>
      </c>
      <c r="CS1400">
        <v>0</v>
      </c>
      <c r="CT1400">
        <v>2</v>
      </c>
      <c r="CU1400">
        <v>0</v>
      </c>
      <c r="CV1400">
        <v>7</v>
      </c>
      <c r="CW1400" t="s">
        <v>120</v>
      </c>
      <c r="CX1400">
        <v>261</v>
      </c>
      <c r="CY1400">
        <v>2</v>
      </c>
      <c r="CZ1400" t="s">
        <v>121</v>
      </c>
      <c r="DA1400" t="s">
        <v>122</v>
      </c>
      <c r="DD1400">
        <v>15049403</v>
      </c>
      <c r="DE1400" t="s">
        <v>123</v>
      </c>
    </row>
    <row r="1401" spans="1:109" x14ac:dyDescent="0.3">
      <c r="A1401" t="str">
        <f>"18:58:06.953"</f>
        <v>18:58:06.953</v>
      </c>
      <c r="B1401" t="s">
        <v>110</v>
      </c>
      <c r="C1401" t="str">
        <f t="shared" si="63"/>
        <v>ffdfd3c0</v>
      </c>
      <c r="D1401" t="s">
        <v>111</v>
      </c>
      <c r="E1401">
        <v>18</v>
      </c>
      <c r="F1401">
        <v>1018</v>
      </c>
      <c r="G1401" t="s">
        <v>112</v>
      </c>
      <c r="J1401" t="s">
        <v>113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R1401" t="s">
        <v>114</v>
      </c>
      <c r="S1401" t="str">
        <f>"18:58:06.695"</f>
        <v>18:58:06.695</v>
      </c>
      <c r="T1401" t="str">
        <f>"18:58:06.695"</f>
        <v>18:58:06.695</v>
      </c>
      <c r="U1401" t="str">
        <f t="shared" si="64"/>
        <v>a1cdbe</v>
      </c>
      <c r="V1401">
        <v>0</v>
      </c>
      <c r="W1401">
        <v>0</v>
      </c>
      <c r="X1401">
        <v>1</v>
      </c>
      <c r="Y1401">
        <v>0</v>
      </c>
      <c r="Z1401">
        <v>0</v>
      </c>
      <c r="AB1401">
        <v>0</v>
      </c>
      <c r="AC1401">
        <v>9</v>
      </c>
      <c r="AD1401">
        <v>3</v>
      </c>
      <c r="AE1401">
        <v>0</v>
      </c>
      <c r="AF1401">
        <v>9</v>
      </c>
      <c r="AG1401" t="s">
        <v>158</v>
      </c>
      <c r="AH1401">
        <v>0</v>
      </c>
      <c r="AI1401">
        <v>3</v>
      </c>
      <c r="AJ1401">
        <v>1</v>
      </c>
      <c r="AK1401">
        <v>0</v>
      </c>
      <c r="AL1401" t="s">
        <v>2757</v>
      </c>
      <c r="AM1401">
        <v>46.808410000000002</v>
      </c>
      <c r="AN1401" t="s">
        <v>2758</v>
      </c>
      <c r="AO1401">
        <v>-122.72471</v>
      </c>
      <c r="AP1401">
        <v>100</v>
      </c>
      <c r="AQ1401">
        <v>1900</v>
      </c>
      <c r="AR1401" t="s">
        <v>118</v>
      </c>
      <c r="AS1401">
        <v>-83</v>
      </c>
      <c r="AT1401">
        <v>-10</v>
      </c>
      <c r="AU1401">
        <v>-256</v>
      </c>
      <c r="BC1401">
        <v>1200</v>
      </c>
      <c r="BD1401">
        <v>1</v>
      </c>
      <c r="BE1401" t="str">
        <f t="shared" si="65"/>
        <v xml:space="preserve">N215T   </v>
      </c>
      <c r="BF1401">
        <v>1</v>
      </c>
      <c r="BH1401">
        <v>0</v>
      </c>
      <c r="BI1401">
        <v>0</v>
      </c>
      <c r="BJ1401">
        <v>0</v>
      </c>
      <c r="BK1401">
        <v>2325</v>
      </c>
      <c r="BL1401">
        <v>425</v>
      </c>
      <c r="BM1401" t="s">
        <v>119</v>
      </c>
      <c r="BN1401">
        <v>1</v>
      </c>
      <c r="BO1401">
        <v>1</v>
      </c>
      <c r="BP1401">
        <v>1</v>
      </c>
      <c r="BQ1401">
        <v>0</v>
      </c>
      <c r="BT1401">
        <v>0</v>
      </c>
      <c r="BU1401">
        <v>0</v>
      </c>
      <c r="BV1401">
        <v>0</v>
      </c>
      <c r="CC1401" t="str">
        <f>"18:58:06.703"</f>
        <v>18:58:06.703</v>
      </c>
      <c r="CD1401" t="str">
        <f>"700426926"</f>
        <v>700426926</v>
      </c>
      <c r="CQ1401">
        <v>0</v>
      </c>
      <c r="CR1401">
        <v>2</v>
      </c>
      <c r="CS1401">
        <v>0</v>
      </c>
      <c r="CT1401">
        <v>2</v>
      </c>
      <c r="CU1401">
        <v>0</v>
      </c>
      <c r="CV1401">
        <v>7</v>
      </c>
      <c r="CW1401" t="s">
        <v>120</v>
      </c>
      <c r="CX1401">
        <v>261</v>
      </c>
      <c r="CY1401">
        <v>2</v>
      </c>
      <c r="CZ1401" t="s">
        <v>121</v>
      </c>
      <c r="DA1401" t="s">
        <v>122</v>
      </c>
      <c r="DD1401">
        <v>15050190</v>
      </c>
      <c r="DE1401" t="s">
        <v>123</v>
      </c>
    </row>
    <row r="1402" spans="1:109" x14ac:dyDescent="0.3">
      <c r="A1402" t="str">
        <f>"18:58:08.461"</f>
        <v>18:58:08.461</v>
      </c>
      <c r="B1402" t="s">
        <v>110</v>
      </c>
      <c r="C1402" t="str">
        <f t="shared" si="63"/>
        <v>ffdfd3c0</v>
      </c>
      <c r="D1402" t="s">
        <v>111</v>
      </c>
      <c r="E1402">
        <v>18</v>
      </c>
      <c r="F1402">
        <v>1018</v>
      </c>
      <c r="G1402" t="s">
        <v>112</v>
      </c>
      <c r="J1402" t="s">
        <v>113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R1402" t="s">
        <v>114</v>
      </c>
      <c r="S1402" t="str">
        <f>"18:58:08.211"</f>
        <v>18:58:08.211</v>
      </c>
      <c r="T1402" t="str">
        <f>"18:58:08.211"</f>
        <v>18:58:08.211</v>
      </c>
      <c r="U1402" t="str">
        <f t="shared" si="64"/>
        <v>a1cdbe</v>
      </c>
      <c r="V1402">
        <v>0</v>
      </c>
      <c r="W1402">
        <v>0</v>
      </c>
      <c r="X1402">
        <v>1</v>
      </c>
      <c r="Y1402">
        <v>0</v>
      </c>
      <c r="Z1402">
        <v>0</v>
      </c>
      <c r="AB1402">
        <v>0</v>
      </c>
      <c r="AC1402">
        <v>9</v>
      </c>
      <c r="AD1402">
        <v>3</v>
      </c>
      <c r="AE1402">
        <v>0</v>
      </c>
      <c r="AF1402">
        <v>9</v>
      </c>
      <c r="AG1402" t="s">
        <v>158</v>
      </c>
      <c r="AH1402">
        <v>0</v>
      </c>
      <c r="AI1402">
        <v>3</v>
      </c>
      <c r="AJ1402">
        <v>1</v>
      </c>
      <c r="AK1402">
        <v>0</v>
      </c>
      <c r="AL1402" t="s">
        <v>2759</v>
      </c>
      <c r="AM1402">
        <v>46.808366999999997</v>
      </c>
      <c r="AN1402" t="s">
        <v>2760</v>
      </c>
      <c r="AO1402">
        <v>-122.725525</v>
      </c>
      <c r="AP1402">
        <v>100</v>
      </c>
      <c r="AQ1402">
        <v>1900</v>
      </c>
      <c r="AR1402" t="s">
        <v>118</v>
      </c>
      <c r="AS1402">
        <v>-83</v>
      </c>
      <c r="AT1402">
        <v>-8</v>
      </c>
      <c r="AU1402">
        <v>-128</v>
      </c>
      <c r="BC1402">
        <v>1200</v>
      </c>
      <c r="BD1402">
        <v>1</v>
      </c>
      <c r="BE1402" t="str">
        <f t="shared" si="65"/>
        <v xml:space="preserve">N215T   </v>
      </c>
      <c r="BF1402">
        <v>1</v>
      </c>
      <c r="BH1402">
        <v>0</v>
      </c>
      <c r="BI1402">
        <v>0</v>
      </c>
      <c r="BJ1402">
        <v>0</v>
      </c>
      <c r="BK1402">
        <v>2325</v>
      </c>
      <c r="BL1402">
        <v>425</v>
      </c>
      <c r="BM1402" t="s">
        <v>119</v>
      </c>
      <c r="BN1402">
        <v>1</v>
      </c>
      <c r="BO1402">
        <v>1</v>
      </c>
      <c r="BP1402">
        <v>1</v>
      </c>
      <c r="BQ1402">
        <v>0</v>
      </c>
      <c r="BT1402">
        <v>0</v>
      </c>
      <c r="BU1402">
        <v>0</v>
      </c>
      <c r="BV1402">
        <v>0</v>
      </c>
      <c r="CC1402" t="str">
        <f>"18:58:08.219"</f>
        <v>18:58:08.219</v>
      </c>
      <c r="CD1402" t="str">
        <f>"215277748"</f>
        <v>215277748</v>
      </c>
      <c r="CQ1402">
        <v>0</v>
      </c>
      <c r="CR1402">
        <v>2</v>
      </c>
      <c r="CS1402">
        <v>0</v>
      </c>
      <c r="CT1402">
        <v>2</v>
      </c>
      <c r="CU1402">
        <v>0</v>
      </c>
      <c r="CV1402">
        <v>7</v>
      </c>
      <c r="CW1402" t="s">
        <v>120</v>
      </c>
      <c r="CX1402">
        <v>261</v>
      </c>
      <c r="CY1402">
        <v>2</v>
      </c>
      <c r="CZ1402" t="s">
        <v>121</v>
      </c>
      <c r="DA1402" t="s">
        <v>122</v>
      </c>
      <c r="DD1402">
        <v>15051279</v>
      </c>
      <c r="DE1402" t="s">
        <v>123</v>
      </c>
    </row>
    <row r="1403" spans="1:109" x14ac:dyDescent="0.3">
      <c r="A1403" t="str">
        <f>"18:58:09.469"</f>
        <v>18:58:09.469</v>
      </c>
      <c r="B1403" t="s">
        <v>110</v>
      </c>
      <c r="C1403" t="str">
        <f t="shared" si="63"/>
        <v>ffdfd3c0</v>
      </c>
      <c r="D1403" t="s">
        <v>111</v>
      </c>
      <c r="E1403">
        <v>18</v>
      </c>
      <c r="F1403">
        <v>1018</v>
      </c>
      <c r="G1403" t="s">
        <v>112</v>
      </c>
      <c r="J1403" t="s">
        <v>113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R1403" t="s">
        <v>114</v>
      </c>
      <c r="S1403" t="str">
        <f>"18:58:09.234"</f>
        <v>18:58:09.234</v>
      </c>
      <c r="T1403" t="str">
        <f>"18:58:09.234"</f>
        <v>18:58:09.234</v>
      </c>
      <c r="U1403" t="str">
        <f t="shared" si="64"/>
        <v>a1cdbe</v>
      </c>
      <c r="V1403">
        <v>0</v>
      </c>
      <c r="W1403">
        <v>0</v>
      </c>
      <c r="X1403">
        <v>1</v>
      </c>
      <c r="Y1403">
        <v>0</v>
      </c>
      <c r="Z1403">
        <v>0</v>
      </c>
      <c r="AB1403">
        <v>0</v>
      </c>
      <c r="AC1403">
        <v>9</v>
      </c>
      <c r="AD1403">
        <v>3</v>
      </c>
      <c r="AE1403">
        <v>0</v>
      </c>
      <c r="AF1403">
        <v>9</v>
      </c>
      <c r="AG1403" t="s">
        <v>158</v>
      </c>
      <c r="AH1403">
        <v>0</v>
      </c>
      <c r="AI1403">
        <v>3</v>
      </c>
      <c r="AJ1403">
        <v>1</v>
      </c>
      <c r="AK1403">
        <v>0</v>
      </c>
      <c r="AL1403" t="s">
        <v>2761</v>
      </c>
      <c r="AM1403">
        <v>46.808345000000003</v>
      </c>
      <c r="AN1403" t="s">
        <v>2762</v>
      </c>
      <c r="AO1403">
        <v>-122.72612599999999</v>
      </c>
      <c r="AP1403">
        <v>100</v>
      </c>
      <c r="AQ1403">
        <v>1900</v>
      </c>
      <c r="AR1403" t="s">
        <v>118</v>
      </c>
      <c r="AS1403">
        <v>-83</v>
      </c>
      <c r="AT1403">
        <v>-7</v>
      </c>
      <c r="AU1403">
        <v>64</v>
      </c>
      <c r="BC1403">
        <v>1200</v>
      </c>
      <c r="BD1403">
        <v>1</v>
      </c>
      <c r="BE1403" t="str">
        <f t="shared" si="65"/>
        <v xml:space="preserve">N215T   </v>
      </c>
      <c r="BF1403">
        <v>1</v>
      </c>
      <c r="BH1403">
        <v>0</v>
      </c>
      <c r="BI1403">
        <v>0</v>
      </c>
      <c r="BJ1403">
        <v>0</v>
      </c>
      <c r="BK1403">
        <v>2325</v>
      </c>
      <c r="BL1403">
        <v>425</v>
      </c>
      <c r="BM1403" t="s">
        <v>119</v>
      </c>
      <c r="BN1403">
        <v>1</v>
      </c>
      <c r="BO1403">
        <v>1</v>
      </c>
      <c r="BP1403">
        <v>1</v>
      </c>
      <c r="BQ1403">
        <v>0</v>
      </c>
      <c r="BT1403">
        <v>0</v>
      </c>
      <c r="BU1403">
        <v>0</v>
      </c>
      <c r="BV1403">
        <v>0</v>
      </c>
      <c r="CC1403" t="str">
        <f>"18:58:09.234"</f>
        <v>18:58:09.234</v>
      </c>
      <c r="CD1403" t="str">
        <f>"235177316"</f>
        <v>235177316</v>
      </c>
      <c r="CQ1403">
        <v>0</v>
      </c>
      <c r="CR1403">
        <v>2</v>
      </c>
      <c r="CS1403">
        <v>0</v>
      </c>
      <c r="CT1403">
        <v>2</v>
      </c>
      <c r="CU1403">
        <v>0</v>
      </c>
      <c r="CV1403">
        <v>7</v>
      </c>
      <c r="CW1403" t="s">
        <v>120</v>
      </c>
      <c r="CX1403">
        <v>261</v>
      </c>
      <c r="CY1403">
        <v>2</v>
      </c>
      <c r="CZ1403" t="s">
        <v>121</v>
      </c>
      <c r="DA1403" t="s">
        <v>122</v>
      </c>
      <c r="DD1403">
        <v>15051983</v>
      </c>
      <c r="DE1403" t="s">
        <v>123</v>
      </c>
    </row>
    <row r="1404" spans="1:109" x14ac:dyDescent="0.3">
      <c r="A1404" t="str">
        <f>"18:58:10.320"</f>
        <v>18:58:10.320</v>
      </c>
      <c r="B1404" t="s">
        <v>110</v>
      </c>
      <c r="C1404" t="str">
        <f t="shared" si="63"/>
        <v>ffdfd3c0</v>
      </c>
      <c r="D1404" t="s">
        <v>111</v>
      </c>
      <c r="E1404">
        <v>18</v>
      </c>
      <c r="F1404">
        <v>1018</v>
      </c>
      <c r="G1404" t="s">
        <v>112</v>
      </c>
      <c r="J1404" t="s">
        <v>113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R1404" t="s">
        <v>114</v>
      </c>
      <c r="S1404" t="str">
        <f>"18:58:10.086"</f>
        <v>18:58:10.086</v>
      </c>
      <c r="T1404" t="str">
        <f>"18:58:09.789"</f>
        <v>18:58:09.789</v>
      </c>
      <c r="U1404" t="str">
        <f t="shared" si="64"/>
        <v>a1cdbe</v>
      </c>
      <c r="V1404">
        <v>0</v>
      </c>
      <c r="W1404">
        <v>0</v>
      </c>
      <c r="X1404">
        <v>1</v>
      </c>
      <c r="Y1404">
        <v>0</v>
      </c>
      <c r="Z1404">
        <v>0</v>
      </c>
      <c r="AB1404">
        <v>0</v>
      </c>
      <c r="AC1404">
        <v>9</v>
      </c>
      <c r="AD1404">
        <v>3</v>
      </c>
      <c r="AE1404">
        <v>0</v>
      </c>
      <c r="AF1404">
        <v>9</v>
      </c>
      <c r="AG1404" t="s">
        <v>158</v>
      </c>
      <c r="AH1404">
        <v>0</v>
      </c>
      <c r="AI1404">
        <v>3</v>
      </c>
      <c r="AJ1404">
        <v>1</v>
      </c>
      <c r="AK1404">
        <v>0</v>
      </c>
      <c r="AL1404" t="s">
        <v>2763</v>
      </c>
      <c r="AM1404">
        <v>46.808301999999998</v>
      </c>
      <c r="AN1404" t="s">
        <v>2764</v>
      </c>
      <c r="AO1404">
        <v>-122.726598</v>
      </c>
      <c r="AP1404">
        <v>100</v>
      </c>
      <c r="AQ1404">
        <v>1900</v>
      </c>
      <c r="AR1404" t="s">
        <v>118</v>
      </c>
      <c r="AS1404">
        <v>-83</v>
      </c>
      <c r="AT1404">
        <v>-7</v>
      </c>
      <c r="AU1404">
        <v>64</v>
      </c>
      <c r="BC1404">
        <v>1200</v>
      </c>
      <c r="BD1404">
        <v>1</v>
      </c>
      <c r="BE1404" t="str">
        <f t="shared" si="65"/>
        <v xml:space="preserve">N215T   </v>
      </c>
      <c r="BF1404">
        <v>1</v>
      </c>
      <c r="BH1404">
        <v>0</v>
      </c>
      <c r="BI1404">
        <v>0</v>
      </c>
      <c r="BJ1404">
        <v>0</v>
      </c>
      <c r="BK1404">
        <v>2325</v>
      </c>
      <c r="BL1404">
        <v>425</v>
      </c>
      <c r="BM1404" t="s">
        <v>119</v>
      </c>
      <c r="BN1404">
        <v>1</v>
      </c>
      <c r="BO1404">
        <v>1</v>
      </c>
      <c r="BP1404">
        <v>1</v>
      </c>
      <c r="BQ1404">
        <v>0</v>
      </c>
      <c r="BT1404">
        <v>0</v>
      </c>
      <c r="BU1404">
        <v>0</v>
      </c>
      <c r="BV1404">
        <v>0</v>
      </c>
      <c r="CC1404" t="str">
        <f>"18:58:10.094"</f>
        <v>18:58:10.094</v>
      </c>
      <c r="CD1404" t="str">
        <f>"090093120"</f>
        <v>090093120</v>
      </c>
      <c r="CQ1404">
        <v>0</v>
      </c>
      <c r="CR1404">
        <v>2</v>
      </c>
      <c r="CS1404">
        <v>0</v>
      </c>
      <c r="CT1404">
        <v>2</v>
      </c>
      <c r="CU1404">
        <v>0</v>
      </c>
      <c r="CV1404">
        <v>6</v>
      </c>
      <c r="CW1404" t="s">
        <v>120</v>
      </c>
      <c r="CX1404">
        <v>261</v>
      </c>
      <c r="CY1404">
        <v>2</v>
      </c>
      <c r="CZ1404" t="s">
        <v>121</v>
      </c>
      <c r="DA1404" t="s">
        <v>122</v>
      </c>
      <c r="DD1404">
        <v>15052540</v>
      </c>
      <c r="DE1404" t="s">
        <v>123</v>
      </c>
    </row>
    <row r="1405" spans="1:109" x14ac:dyDescent="0.3">
      <c r="A1405" t="str">
        <f>"18:58:11.430"</f>
        <v>18:58:11.430</v>
      </c>
      <c r="B1405" t="s">
        <v>110</v>
      </c>
      <c r="C1405" t="str">
        <f t="shared" si="63"/>
        <v>ffdfd3c0</v>
      </c>
      <c r="D1405" t="s">
        <v>111</v>
      </c>
      <c r="E1405">
        <v>18</v>
      </c>
      <c r="F1405">
        <v>1018</v>
      </c>
      <c r="G1405" t="s">
        <v>112</v>
      </c>
      <c r="J1405" t="s">
        <v>113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R1405" t="s">
        <v>114</v>
      </c>
      <c r="S1405" t="str">
        <f>"18:58:11.211"</f>
        <v>18:58:11.211</v>
      </c>
      <c r="T1405" t="str">
        <f>"18:58:10.711"</f>
        <v>18:58:10.711</v>
      </c>
      <c r="U1405" t="str">
        <f t="shared" si="64"/>
        <v>a1cdbe</v>
      </c>
      <c r="V1405">
        <v>0</v>
      </c>
      <c r="W1405">
        <v>0</v>
      </c>
      <c r="X1405">
        <v>1</v>
      </c>
      <c r="Y1405">
        <v>0</v>
      </c>
      <c r="Z1405">
        <v>0</v>
      </c>
      <c r="AB1405">
        <v>0</v>
      </c>
      <c r="AC1405">
        <v>9</v>
      </c>
      <c r="AD1405">
        <v>3</v>
      </c>
      <c r="AE1405">
        <v>0</v>
      </c>
      <c r="AF1405">
        <v>9</v>
      </c>
      <c r="AG1405" t="s">
        <v>158</v>
      </c>
      <c r="AH1405">
        <v>0</v>
      </c>
      <c r="AI1405">
        <v>3</v>
      </c>
      <c r="AJ1405">
        <v>1</v>
      </c>
      <c r="AK1405">
        <v>0</v>
      </c>
      <c r="AL1405" t="s">
        <v>2763</v>
      </c>
      <c r="AM1405">
        <v>46.808301999999998</v>
      </c>
      <c r="AN1405" t="s">
        <v>2765</v>
      </c>
      <c r="AO1405">
        <v>-122.727199</v>
      </c>
      <c r="AP1405">
        <v>100</v>
      </c>
      <c r="AQ1405">
        <v>1900</v>
      </c>
      <c r="AR1405" t="s">
        <v>118</v>
      </c>
      <c r="AS1405">
        <v>-82</v>
      </c>
      <c r="AT1405">
        <v>-6</v>
      </c>
      <c r="AU1405">
        <v>192</v>
      </c>
      <c r="BC1405">
        <v>1200</v>
      </c>
      <c r="BD1405">
        <v>1</v>
      </c>
      <c r="BE1405" t="str">
        <f t="shared" si="65"/>
        <v xml:space="preserve">N215T   </v>
      </c>
      <c r="BF1405">
        <v>1</v>
      </c>
      <c r="BH1405">
        <v>0</v>
      </c>
      <c r="BI1405">
        <v>0</v>
      </c>
      <c r="BJ1405">
        <v>0</v>
      </c>
      <c r="BK1405">
        <v>2325</v>
      </c>
      <c r="BL1405">
        <v>425</v>
      </c>
      <c r="BM1405" t="s">
        <v>119</v>
      </c>
      <c r="BN1405">
        <v>1</v>
      </c>
      <c r="BO1405">
        <v>1</v>
      </c>
      <c r="BP1405">
        <v>1</v>
      </c>
      <c r="BQ1405">
        <v>0</v>
      </c>
      <c r="BT1405">
        <v>0</v>
      </c>
      <c r="BU1405">
        <v>0</v>
      </c>
      <c r="BV1405">
        <v>0</v>
      </c>
      <c r="CC1405" t="str">
        <f>"18:58:11.219"</f>
        <v>18:58:11.219</v>
      </c>
      <c r="CD1405" t="str">
        <f>"214982339"</f>
        <v>214982339</v>
      </c>
      <c r="CQ1405">
        <v>0</v>
      </c>
      <c r="CR1405">
        <v>2</v>
      </c>
      <c r="CS1405">
        <v>0</v>
      </c>
      <c r="CT1405">
        <v>2</v>
      </c>
      <c r="CU1405">
        <v>0</v>
      </c>
      <c r="CV1405">
        <v>7</v>
      </c>
      <c r="CW1405" t="s">
        <v>120</v>
      </c>
      <c r="CX1405">
        <v>261</v>
      </c>
      <c r="CY1405">
        <v>2</v>
      </c>
      <c r="CZ1405" t="s">
        <v>121</v>
      </c>
      <c r="DA1405" t="s">
        <v>122</v>
      </c>
      <c r="DD1405">
        <v>15053317</v>
      </c>
      <c r="DE1405" t="s">
        <v>123</v>
      </c>
    </row>
    <row r="1406" spans="1:109" x14ac:dyDescent="0.3">
      <c r="A1406" t="str">
        <f>"18:58:12.336"</f>
        <v>18:58:12.336</v>
      </c>
      <c r="B1406" t="s">
        <v>110</v>
      </c>
      <c r="C1406" t="str">
        <f t="shared" si="63"/>
        <v>ffdfd3c0</v>
      </c>
      <c r="D1406" t="s">
        <v>111</v>
      </c>
      <c r="E1406">
        <v>18</v>
      </c>
      <c r="F1406">
        <v>1018</v>
      </c>
      <c r="G1406" t="s">
        <v>112</v>
      </c>
      <c r="J1406" t="s">
        <v>113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R1406" t="s">
        <v>114</v>
      </c>
      <c r="S1406" t="str">
        <f>"18:58:12.109"</f>
        <v>18:58:12.109</v>
      </c>
      <c r="T1406" t="str">
        <f>"18:58:11.711"</f>
        <v>18:58:11.711</v>
      </c>
      <c r="U1406" t="str">
        <f t="shared" si="64"/>
        <v>a1cdbe</v>
      </c>
      <c r="V1406">
        <v>0</v>
      </c>
      <c r="W1406">
        <v>0</v>
      </c>
      <c r="X1406">
        <v>1</v>
      </c>
      <c r="Y1406">
        <v>0</v>
      </c>
      <c r="Z1406">
        <v>0</v>
      </c>
      <c r="AB1406">
        <v>0</v>
      </c>
      <c r="AC1406">
        <v>9</v>
      </c>
      <c r="AD1406">
        <v>3</v>
      </c>
      <c r="AE1406">
        <v>0</v>
      </c>
      <c r="AF1406">
        <v>9</v>
      </c>
      <c r="AG1406" t="s">
        <v>158</v>
      </c>
      <c r="AH1406">
        <v>0</v>
      </c>
      <c r="AI1406">
        <v>3</v>
      </c>
      <c r="AJ1406">
        <v>1</v>
      </c>
      <c r="AK1406">
        <v>0</v>
      </c>
      <c r="AL1406" t="s">
        <v>2766</v>
      </c>
      <c r="AM1406">
        <v>46.808259</v>
      </c>
      <c r="AN1406" t="s">
        <v>2767</v>
      </c>
      <c r="AO1406">
        <v>-122.727735</v>
      </c>
      <c r="AP1406">
        <v>100</v>
      </c>
      <c r="AQ1406">
        <v>1900</v>
      </c>
      <c r="AR1406" t="s">
        <v>118</v>
      </c>
      <c r="AS1406">
        <v>-81</v>
      </c>
      <c r="AT1406">
        <v>-5</v>
      </c>
      <c r="AU1406">
        <v>256</v>
      </c>
      <c r="BC1406">
        <v>1200</v>
      </c>
      <c r="BD1406">
        <v>1</v>
      </c>
      <c r="BE1406" t="str">
        <f t="shared" si="65"/>
        <v xml:space="preserve">N215T   </v>
      </c>
      <c r="BF1406">
        <v>1</v>
      </c>
      <c r="BH1406">
        <v>0</v>
      </c>
      <c r="BI1406">
        <v>0</v>
      </c>
      <c r="BJ1406">
        <v>0</v>
      </c>
      <c r="BK1406">
        <v>2325</v>
      </c>
      <c r="BL1406">
        <v>425</v>
      </c>
      <c r="BM1406" t="s">
        <v>119</v>
      </c>
      <c r="BN1406">
        <v>1</v>
      </c>
      <c r="BO1406">
        <v>1</v>
      </c>
      <c r="BP1406">
        <v>1</v>
      </c>
      <c r="BQ1406">
        <v>0</v>
      </c>
      <c r="BT1406">
        <v>0</v>
      </c>
      <c r="BU1406">
        <v>0</v>
      </c>
      <c r="BV1406">
        <v>0</v>
      </c>
      <c r="CC1406" t="str">
        <f>"18:58:12.117"</f>
        <v>18:58:12.117</v>
      </c>
      <c r="CD1406" t="str">
        <f>"114893716"</f>
        <v>114893716</v>
      </c>
      <c r="CQ1406">
        <v>0</v>
      </c>
      <c r="CR1406">
        <v>2</v>
      </c>
      <c r="CS1406">
        <v>0</v>
      </c>
      <c r="CT1406">
        <v>2</v>
      </c>
      <c r="CU1406">
        <v>0</v>
      </c>
      <c r="CV1406">
        <v>7</v>
      </c>
      <c r="CW1406" t="s">
        <v>120</v>
      </c>
      <c r="CX1406">
        <v>261</v>
      </c>
      <c r="CY1406">
        <v>2</v>
      </c>
      <c r="CZ1406" t="s">
        <v>121</v>
      </c>
      <c r="DA1406" t="s">
        <v>122</v>
      </c>
      <c r="DD1406">
        <v>15054004</v>
      </c>
      <c r="DE1406" t="s">
        <v>123</v>
      </c>
    </row>
    <row r="1407" spans="1:109" x14ac:dyDescent="0.3">
      <c r="A1407" t="str">
        <f>"18:58:13.289"</f>
        <v>18:58:13.289</v>
      </c>
      <c r="B1407" t="s">
        <v>110</v>
      </c>
      <c r="C1407" t="str">
        <f t="shared" si="63"/>
        <v>ffdfd3c0</v>
      </c>
      <c r="D1407" t="s">
        <v>111</v>
      </c>
      <c r="E1407">
        <v>18</v>
      </c>
      <c r="F1407">
        <v>1018</v>
      </c>
      <c r="G1407" t="s">
        <v>112</v>
      </c>
      <c r="J1407" t="s">
        <v>113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R1407" t="s">
        <v>114</v>
      </c>
      <c r="S1407" t="str">
        <f>"18:58:13.055"</f>
        <v>18:58:13.055</v>
      </c>
      <c r="T1407" t="str">
        <f>"18:58:12.758"</f>
        <v>18:58:12.758</v>
      </c>
      <c r="U1407" t="str">
        <f t="shared" si="64"/>
        <v>a1cdbe</v>
      </c>
      <c r="V1407">
        <v>0</v>
      </c>
      <c r="W1407">
        <v>0</v>
      </c>
      <c r="X1407">
        <v>1</v>
      </c>
      <c r="Y1407">
        <v>0</v>
      </c>
      <c r="Z1407">
        <v>0</v>
      </c>
      <c r="AB1407">
        <v>0</v>
      </c>
      <c r="AC1407">
        <v>9</v>
      </c>
      <c r="AD1407">
        <v>3</v>
      </c>
      <c r="AE1407">
        <v>0</v>
      </c>
      <c r="AF1407">
        <v>9</v>
      </c>
      <c r="AG1407" t="s">
        <v>158</v>
      </c>
      <c r="AH1407">
        <v>0</v>
      </c>
      <c r="AI1407">
        <v>3</v>
      </c>
      <c r="AJ1407">
        <v>1</v>
      </c>
      <c r="AK1407">
        <v>0</v>
      </c>
      <c r="AL1407" t="s">
        <v>2768</v>
      </c>
      <c r="AM1407">
        <v>46.808281000000001</v>
      </c>
      <c r="AN1407" t="s">
        <v>2769</v>
      </c>
      <c r="AO1407">
        <v>-122.728207</v>
      </c>
      <c r="AP1407">
        <v>100</v>
      </c>
      <c r="AQ1407">
        <v>1900</v>
      </c>
      <c r="AR1407" t="s">
        <v>118</v>
      </c>
      <c r="AS1407">
        <v>-80</v>
      </c>
      <c r="AT1407">
        <v>-4</v>
      </c>
      <c r="AU1407">
        <v>320</v>
      </c>
      <c r="BC1407">
        <v>1200</v>
      </c>
      <c r="BD1407">
        <v>1</v>
      </c>
      <c r="BE1407" t="str">
        <f t="shared" si="65"/>
        <v xml:space="preserve">N215T   </v>
      </c>
      <c r="BF1407">
        <v>1</v>
      </c>
      <c r="BH1407">
        <v>0</v>
      </c>
      <c r="BI1407">
        <v>0</v>
      </c>
      <c r="BJ1407">
        <v>0</v>
      </c>
      <c r="BK1407">
        <v>2325</v>
      </c>
      <c r="BL1407">
        <v>425</v>
      </c>
      <c r="BM1407" t="s">
        <v>119</v>
      </c>
      <c r="BN1407">
        <v>1</v>
      </c>
      <c r="BO1407">
        <v>1</v>
      </c>
      <c r="BP1407">
        <v>1</v>
      </c>
      <c r="BQ1407">
        <v>0</v>
      </c>
      <c r="BT1407">
        <v>0</v>
      </c>
      <c r="BU1407">
        <v>0</v>
      </c>
      <c r="BV1407">
        <v>0</v>
      </c>
      <c r="CC1407" t="str">
        <f>"18:58:13.063"</f>
        <v>18:58:13.063</v>
      </c>
      <c r="CD1407" t="str">
        <f>"059800649"</f>
        <v>059800649</v>
      </c>
      <c r="CQ1407">
        <v>0</v>
      </c>
      <c r="CR1407">
        <v>2</v>
      </c>
      <c r="CS1407">
        <v>0</v>
      </c>
      <c r="CT1407">
        <v>2</v>
      </c>
      <c r="CU1407">
        <v>0</v>
      </c>
      <c r="CV1407">
        <v>7</v>
      </c>
      <c r="CW1407" t="s">
        <v>120</v>
      </c>
      <c r="CX1407">
        <v>261</v>
      </c>
      <c r="CY1407">
        <v>2</v>
      </c>
      <c r="CZ1407" t="s">
        <v>121</v>
      </c>
      <c r="DA1407" t="s">
        <v>122</v>
      </c>
      <c r="DD1407">
        <v>15054631</v>
      </c>
      <c r="DE1407" t="s">
        <v>123</v>
      </c>
    </row>
    <row r="1408" spans="1:109" x14ac:dyDescent="0.3">
      <c r="A1408" t="str">
        <f>"18:58:14.242"</f>
        <v>18:58:14.242</v>
      </c>
      <c r="B1408" t="s">
        <v>110</v>
      </c>
      <c r="C1408" t="str">
        <f t="shared" si="63"/>
        <v>ffdfd3c0</v>
      </c>
      <c r="D1408" t="s">
        <v>111</v>
      </c>
      <c r="E1408">
        <v>18</v>
      </c>
      <c r="F1408">
        <v>1018</v>
      </c>
      <c r="G1408" t="s">
        <v>112</v>
      </c>
      <c r="J1408" t="s">
        <v>113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R1408" t="s">
        <v>114</v>
      </c>
      <c r="S1408" t="str">
        <f>"18:58:14.031"</f>
        <v>18:58:14.031</v>
      </c>
      <c r="T1408" t="str">
        <f>"18:58:13.734"</f>
        <v>18:58:13.734</v>
      </c>
      <c r="U1408" t="str">
        <f t="shared" si="64"/>
        <v>a1cdbe</v>
      </c>
      <c r="V1408">
        <v>0</v>
      </c>
      <c r="W1408">
        <v>0</v>
      </c>
      <c r="X1408">
        <v>1</v>
      </c>
      <c r="Y1408">
        <v>0</v>
      </c>
      <c r="Z1408">
        <v>0</v>
      </c>
      <c r="AB1408">
        <v>0</v>
      </c>
      <c r="AC1408">
        <v>9</v>
      </c>
      <c r="AD1408">
        <v>3</v>
      </c>
      <c r="AE1408">
        <v>0</v>
      </c>
      <c r="AF1408">
        <v>9</v>
      </c>
      <c r="AG1408" t="s">
        <v>158</v>
      </c>
      <c r="AH1408">
        <v>0</v>
      </c>
      <c r="AI1408">
        <v>3</v>
      </c>
      <c r="AJ1408">
        <v>1</v>
      </c>
      <c r="AK1408">
        <v>0</v>
      </c>
      <c r="AL1408" t="s">
        <v>2770</v>
      </c>
      <c r="AM1408">
        <v>46.808216999999999</v>
      </c>
      <c r="AN1408" t="s">
        <v>2771</v>
      </c>
      <c r="AO1408">
        <v>-122.72874400000001</v>
      </c>
      <c r="AP1408">
        <v>100</v>
      </c>
      <c r="AQ1408">
        <v>2000</v>
      </c>
      <c r="AR1408" t="s">
        <v>118</v>
      </c>
      <c r="AS1408">
        <v>-80</v>
      </c>
      <c r="AT1408">
        <v>-4</v>
      </c>
      <c r="AU1408">
        <v>320</v>
      </c>
      <c r="BC1408">
        <v>1200</v>
      </c>
      <c r="BD1408">
        <v>1</v>
      </c>
      <c r="BE1408" t="str">
        <f t="shared" si="65"/>
        <v xml:space="preserve">N215T   </v>
      </c>
      <c r="BF1408">
        <v>1</v>
      </c>
      <c r="BH1408">
        <v>0</v>
      </c>
      <c r="BI1408">
        <v>0</v>
      </c>
      <c r="BJ1408">
        <v>0</v>
      </c>
      <c r="BK1408">
        <v>2225</v>
      </c>
      <c r="BL1408">
        <v>225</v>
      </c>
      <c r="BM1408" t="s">
        <v>119</v>
      </c>
      <c r="BN1408">
        <v>1</v>
      </c>
      <c r="BO1408">
        <v>1</v>
      </c>
      <c r="BP1408">
        <v>1</v>
      </c>
      <c r="BQ1408">
        <v>0</v>
      </c>
      <c r="BT1408">
        <v>0</v>
      </c>
      <c r="BU1408">
        <v>0</v>
      </c>
      <c r="BV1408">
        <v>0</v>
      </c>
      <c r="CC1408" t="str">
        <f>"18:58:14.031"</f>
        <v>18:58:14.031</v>
      </c>
      <c r="CD1408" t="str">
        <f>"034704643"</f>
        <v>034704643</v>
      </c>
      <c r="CQ1408">
        <v>0</v>
      </c>
      <c r="CR1408">
        <v>2</v>
      </c>
      <c r="CS1408">
        <v>0</v>
      </c>
      <c r="CT1408">
        <v>2</v>
      </c>
      <c r="CU1408">
        <v>0</v>
      </c>
      <c r="CV1408">
        <v>7</v>
      </c>
      <c r="CW1408" t="s">
        <v>120</v>
      </c>
      <c r="CX1408">
        <v>261</v>
      </c>
      <c r="CY1408">
        <v>2</v>
      </c>
      <c r="CZ1408" t="s">
        <v>121</v>
      </c>
      <c r="DA1408" t="s">
        <v>122</v>
      </c>
      <c r="DD1408">
        <v>15055312</v>
      </c>
      <c r="DE1408" t="s">
        <v>123</v>
      </c>
    </row>
    <row r="1409" spans="1:109" x14ac:dyDescent="0.3">
      <c r="A1409" t="str">
        <f>"18:58:15.398"</f>
        <v>18:58:15.398</v>
      </c>
      <c r="B1409" t="s">
        <v>110</v>
      </c>
      <c r="C1409" t="str">
        <f t="shared" si="63"/>
        <v>ffdfd3c0</v>
      </c>
      <c r="D1409" t="s">
        <v>111</v>
      </c>
      <c r="E1409">
        <v>18</v>
      </c>
      <c r="F1409">
        <v>1018</v>
      </c>
      <c r="G1409" t="s">
        <v>112</v>
      </c>
      <c r="J1409" t="s">
        <v>113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R1409" t="s">
        <v>114</v>
      </c>
      <c r="S1409" t="str">
        <f>"18:58:15.172"</f>
        <v>18:58:15.172</v>
      </c>
      <c r="T1409" t="str">
        <f>"18:58:14.773"</f>
        <v>18:58:14.773</v>
      </c>
      <c r="U1409" t="str">
        <f t="shared" si="64"/>
        <v>a1cdbe</v>
      </c>
      <c r="V1409">
        <v>0</v>
      </c>
      <c r="W1409">
        <v>0</v>
      </c>
      <c r="X1409">
        <v>1</v>
      </c>
      <c r="Y1409">
        <v>0</v>
      </c>
      <c r="Z1409">
        <v>0</v>
      </c>
      <c r="AB1409">
        <v>0</v>
      </c>
      <c r="AC1409">
        <v>9</v>
      </c>
      <c r="AD1409">
        <v>3</v>
      </c>
      <c r="AE1409">
        <v>0</v>
      </c>
      <c r="AF1409">
        <v>9</v>
      </c>
      <c r="AG1409" t="s">
        <v>158</v>
      </c>
      <c r="AH1409">
        <v>0</v>
      </c>
      <c r="AI1409">
        <v>3</v>
      </c>
      <c r="AJ1409">
        <v>1</v>
      </c>
      <c r="AK1409">
        <v>0</v>
      </c>
      <c r="AL1409" t="s">
        <v>2770</v>
      </c>
      <c r="AM1409">
        <v>46.808216999999999</v>
      </c>
      <c r="AN1409" t="s">
        <v>2772</v>
      </c>
      <c r="AO1409">
        <v>-122.729344</v>
      </c>
      <c r="AP1409">
        <v>100</v>
      </c>
      <c r="AQ1409">
        <v>2000</v>
      </c>
      <c r="AR1409" t="s">
        <v>118</v>
      </c>
      <c r="AS1409">
        <v>-79</v>
      </c>
      <c r="AT1409">
        <v>-4</v>
      </c>
      <c r="AU1409">
        <v>320</v>
      </c>
      <c r="BC1409">
        <v>1200</v>
      </c>
      <c r="BD1409">
        <v>1</v>
      </c>
      <c r="BE1409" t="str">
        <f t="shared" si="65"/>
        <v xml:space="preserve">N215T   </v>
      </c>
      <c r="BF1409">
        <v>1</v>
      </c>
      <c r="BH1409">
        <v>0</v>
      </c>
      <c r="BI1409">
        <v>0</v>
      </c>
      <c r="BJ1409">
        <v>0</v>
      </c>
      <c r="BK1409">
        <v>2325</v>
      </c>
      <c r="BL1409">
        <v>325</v>
      </c>
      <c r="BM1409" t="s">
        <v>119</v>
      </c>
      <c r="BN1409">
        <v>1</v>
      </c>
      <c r="BO1409">
        <v>1</v>
      </c>
      <c r="BP1409">
        <v>1</v>
      </c>
      <c r="BQ1409">
        <v>0</v>
      </c>
      <c r="BT1409">
        <v>0</v>
      </c>
      <c r="BU1409">
        <v>0</v>
      </c>
      <c r="BV1409">
        <v>0</v>
      </c>
      <c r="CC1409" t="str">
        <f>"18:58:15.172"</f>
        <v>18:58:15.172</v>
      </c>
      <c r="CD1409" t="str">
        <f>"174592379"</f>
        <v>174592379</v>
      </c>
      <c r="CQ1409">
        <v>0</v>
      </c>
      <c r="CR1409">
        <v>2</v>
      </c>
      <c r="CS1409">
        <v>0</v>
      </c>
      <c r="CT1409">
        <v>2</v>
      </c>
      <c r="CU1409">
        <v>0</v>
      </c>
      <c r="CV1409">
        <v>7</v>
      </c>
      <c r="CW1409" t="s">
        <v>120</v>
      </c>
      <c r="CX1409">
        <v>261</v>
      </c>
      <c r="CY1409">
        <v>2</v>
      </c>
      <c r="CZ1409" t="s">
        <v>121</v>
      </c>
      <c r="DA1409" t="s">
        <v>122</v>
      </c>
      <c r="DD1409">
        <v>15056078</v>
      </c>
      <c r="DE1409" t="s">
        <v>123</v>
      </c>
    </row>
    <row r="1410" spans="1:109" x14ac:dyDescent="0.3">
      <c r="A1410" t="str">
        <f>"18:58:16.352"</f>
        <v>18:58:16.352</v>
      </c>
      <c r="B1410" t="s">
        <v>110</v>
      </c>
      <c r="C1410" t="str">
        <f t="shared" ref="C1410:C1473" si="66">"ffdfd3c0"</f>
        <v>ffdfd3c0</v>
      </c>
      <c r="D1410" t="s">
        <v>111</v>
      </c>
      <c r="E1410">
        <v>18</v>
      </c>
      <c r="F1410">
        <v>1018</v>
      </c>
      <c r="G1410" t="s">
        <v>112</v>
      </c>
      <c r="J1410" t="s">
        <v>113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R1410" t="s">
        <v>114</v>
      </c>
      <c r="S1410" t="str">
        <f>"18:58:16.117"</f>
        <v>18:58:16.117</v>
      </c>
      <c r="T1410" t="str">
        <f>"18:58:15.820"</f>
        <v>18:58:15.820</v>
      </c>
      <c r="U1410" t="str">
        <f t="shared" ref="U1410:U1473" si="67">"a1cdbe"</f>
        <v>a1cdbe</v>
      </c>
      <c r="V1410">
        <v>0</v>
      </c>
      <c r="W1410">
        <v>0</v>
      </c>
      <c r="X1410">
        <v>1</v>
      </c>
      <c r="Y1410">
        <v>0</v>
      </c>
      <c r="Z1410">
        <v>0</v>
      </c>
      <c r="AB1410">
        <v>0</v>
      </c>
      <c r="AC1410">
        <v>9</v>
      </c>
      <c r="AD1410">
        <v>3</v>
      </c>
      <c r="AE1410">
        <v>0</v>
      </c>
      <c r="AF1410">
        <v>9</v>
      </c>
      <c r="AG1410" t="s">
        <v>158</v>
      </c>
      <c r="AH1410">
        <v>0</v>
      </c>
      <c r="AI1410">
        <v>3</v>
      </c>
      <c r="AJ1410">
        <v>1</v>
      </c>
      <c r="AK1410">
        <v>0</v>
      </c>
      <c r="AL1410" t="s">
        <v>2770</v>
      </c>
      <c r="AM1410">
        <v>46.808216999999999</v>
      </c>
      <c r="AN1410" t="s">
        <v>2773</v>
      </c>
      <c r="AO1410">
        <v>-122.729816</v>
      </c>
      <c r="AP1410">
        <v>100</v>
      </c>
      <c r="AQ1410">
        <v>2000</v>
      </c>
      <c r="AR1410" t="s">
        <v>118</v>
      </c>
      <c r="AS1410">
        <v>-78</v>
      </c>
      <c r="AT1410">
        <v>-3</v>
      </c>
      <c r="AU1410">
        <v>320</v>
      </c>
      <c r="BC1410">
        <v>1200</v>
      </c>
      <c r="BD1410">
        <v>1</v>
      </c>
      <c r="BE1410" t="str">
        <f t="shared" ref="BE1410:BE1473" si="68">"N215T   "</f>
        <v xml:space="preserve">N215T   </v>
      </c>
      <c r="BF1410">
        <v>1</v>
      </c>
      <c r="BH1410">
        <v>0</v>
      </c>
      <c r="BI1410">
        <v>0</v>
      </c>
      <c r="BJ1410">
        <v>0</v>
      </c>
      <c r="BK1410">
        <v>2325</v>
      </c>
      <c r="BL1410">
        <v>325</v>
      </c>
      <c r="BM1410" t="s">
        <v>119</v>
      </c>
      <c r="BN1410">
        <v>1</v>
      </c>
      <c r="BO1410">
        <v>1</v>
      </c>
      <c r="BP1410">
        <v>1</v>
      </c>
      <c r="BQ1410">
        <v>0</v>
      </c>
      <c r="BT1410">
        <v>0</v>
      </c>
      <c r="BU1410">
        <v>0</v>
      </c>
      <c r="BV1410">
        <v>0</v>
      </c>
      <c r="CC1410" t="str">
        <f>"18:58:16.117"</f>
        <v>18:58:16.117</v>
      </c>
      <c r="CD1410" t="str">
        <f>"119499318"</f>
        <v>119499318</v>
      </c>
      <c r="CQ1410">
        <v>0</v>
      </c>
      <c r="CR1410">
        <v>2</v>
      </c>
      <c r="CS1410">
        <v>0</v>
      </c>
      <c r="CT1410">
        <v>2</v>
      </c>
      <c r="CU1410">
        <v>0</v>
      </c>
      <c r="CV1410">
        <v>7</v>
      </c>
      <c r="CW1410" t="s">
        <v>120</v>
      </c>
      <c r="CX1410">
        <v>261</v>
      </c>
      <c r="CY1410">
        <v>2</v>
      </c>
      <c r="CZ1410" t="s">
        <v>121</v>
      </c>
      <c r="DA1410" t="s">
        <v>122</v>
      </c>
      <c r="DD1410">
        <v>15056724</v>
      </c>
      <c r="DE1410" t="s">
        <v>123</v>
      </c>
    </row>
    <row r="1411" spans="1:109" x14ac:dyDescent="0.3">
      <c r="A1411" t="str">
        <f>"18:58:17.414"</f>
        <v>18:58:17.414</v>
      </c>
      <c r="B1411" t="s">
        <v>110</v>
      </c>
      <c r="C1411" t="str">
        <f t="shared" si="66"/>
        <v>ffdfd3c0</v>
      </c>
      <c r="D1411" t="s">
        <v>111</v>
      </c>
      <c r="E1411">
        <v>18</v>
      </c>
      <c r="F1411">
        <v>1018</v>
      </c>
      <c r="G1411" t="s">
        <v>112</v>
      </c>
      <c r="J1411" t="s">
        <v>113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R1411" t="s">
        <v>114</v>
      </c>
      <c r="S1411" t="str">
        <f>"18:58:17.180"</f>
        <v>18:58:17.180</v>
      </c>
      <c r="T1411" t="str">
        <f>"18:58:16.883"</f>
        <v>18:58:16.883</v>
      </c>
      <c r="U1411" t="str">
        <f t="shared" si="67"/>
        <v>a1cdbe</v>
      </c>
      <c r="V1411">
        <v>0</v>
      </c>
      <c r="W1411">
        <v>0</v>
      </c>
      <c r="X1411">
        <v>1</v>
      </c>
      <c r="Y1411">
        <v>0</v>
      </c>
      <c r="Z1411">
        <v>0</v>
      </c>
      <c r="AB1411">
        <v>0</v>
      </c>
      <c r="AC1411">
        <v>9</v>
      </c>
      <c r="AD1411">
        <v>3</v>
      </c>
      <c r="AE1411">
        <v>0</v>
      </c>
      <c r="AF1411">
        <v>9</v>
      </c>
      <c r="AG1411" t="s">
        <v>158</v>
      </c>
      <c r="AH1411">
        <v>0</v>
      </c>
      <c r="AI1411">
        <v>3</v>
      </c>
      <c r="AJ1411">
        <v>1</v>
      </c>
      <c r="AK1411">
        <v>0</v>
      </c>
      <c r="AL1411" t="s">
        <v>2770</v>
      </c>
      <c r="AM1411">
        <v>46.808216999999999</v>
      </c>
      <c r="AN1411" t="s">
        <v>2774</v>
      </c>
      <c r="AO1411">
        <v>-122.730417</v>
      </c>
      <c r="AP1411">
        <v>100</v>
      </c>
      <c r="AQ1411">
        <v>2000</v>
      </c>
      <c r="AR1411" t="s">
        <v>118</v>
      </c>
      <c r="AS1411">
        <v>-78</v>
      </c>
      <c r="AT1411">
        <v>-3</v>
      </c>
      <c r="AU1411">
        <v>256</v>
      </c>
      <c r="BC1411">
        <v>1200</v>
      </c>
      <c r="BD1411">
        <v>1</v>
      </c>
      <c r="BE1411" t="str">
        <f t="shared" si="68"/>
        <v xml:space="preserve">N215T   </v>
      </c>
      <c r="BF1411">
        <v>1</v>
      </c>
      <c r="BH1411">
        <v>0</v>
      </c>
      <c r="BI1411">
        <v>0</v>
      </c>
      <c r="BJ1411">
        <v>0</v>
      </c>
      <c r="BK1411">
        <v>2350</v>
      </c>
      <c r="BL1411">
        <v>350</v>
      </c>
      <c r="BM1411" t="s">
        <v>119</v>
      </c>
      <c r="BN1411">
        <v>1</v>
      </c>
      <c r="BO1411">
        <v>1</v>
      </c>
      <c r="BP1411">
        <v>1</v>
      </c>
      <c r="BQ1411">
        <v>0</v>
      </c>
      <c r="BT1411">
        <v>0</v>
      </c>
      <c r="BU1411">
        <v>0</v>
      </c>
      <c r="BV1411">
        <v>0</v>
      </c>
      <c r="CC1411" t="str">
        <f>"18:58:17.188"</f>
        <v>18:58:17.188</v>
      </c>
      <c r="CD1411" t="str">
        <f>"184394442"</f>
        <v>184394442</v>
      </c>
      <c r="CQ1411">
        <v>0</v>
      </c>
      <c r="CR1411">
        <v>2</v>
      </c>
      <c r="CS1411">
        <v>0</v>
      </c>
      <c r="CT1411">
        <v>2</v>
      </c>
      <c r="CU1411">
        <v>0</v>
      </c>
      <c r="CV1411">
        <v>7</v>
      </c>
      <c r="CW1411" t="s">
        <v>120</v>
      </c>
      <c r="CX1411">
        <v>261</v>
      </c>
      <c r="CY1411">
        <v>2</v>
      </c>
      <c r="CZ1411" t="s">
        <v>121</v>
      </c>
      <c r="DA1411" t="s">
        <v>122</v>
      </c>
      <c r="DD1411">
        <v>15057456</v>
      </c>
      <c r="DE1411" t="s">
        <v>123</v>
      </c>
    </row>
    <row r="1412" spans="1:109" x14ac:dyDescent="0.3">
      <c r="A1412" t="str">
        <f>"18:58:18.469"</f>
        <v>18:58:18.469</v>
      </c>
      <c r="B1412" t="s">
        <v>110</v>
      </c>
      <c r="C1412" t="str">
        <f t="shared" si="66"/>
        <v>ffdfd3c0</v>
      </c>
      <c r="D1412" t="s">
        <v>111</v>
      </c>
      <c r="E1412">
        <v>18</v>
      </c>
      <c r="F1412">
        <v>1018</v>
      </c>
      <c r="G1412" t="s">
        <v>112</v>
      </c>
      <c r="J1412" t="s">
        <v>113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R1412" t="s">
        <v>114</v>
      </c>
      <c r="S1412" t="str">
        <f>"18:58:18.242"</f>
        <v>18:58:18.242</v>
      </c>
      <c r="T1412" t="str">
        <f>"18:58:17.844"</f>
        <v>18:58:17.844</v>
      </c>
      <c r="U1412" t="str">
        <f t="shared" si="67"/>
        <v>a1cdbe</v>
      </c>
      <c r="V1412">
        <v>0</v>
      </c>
      <c r="W1412">
        <v>0</v>
      </c>
      <c r="X1412">
        <v>1</v>
      </c>
      <c r="Y1412">
        <v>0</v>
      </c>
      <c r="Z1412">
        <v>0</v>
      </c>
      <c r="AB1412">
        <v>0</v>
      </c>
      <c r="AC1412">
        <v>9</v>
      </c>
      <c r="AD1412">
        <v>3</v>
      </c>
      <c r="AE1412">
        <v>0</v>
      </c>
      <c r="AF1412">
        <v>9</v>
      </c>
      <c r="AG1412" t="s">
        <v>158</v>
      </c>
      <c r="AH1412">
        <v>0</v>
      </c>
      <c r="AI1412">
        <v>3</v>
      </c>
      <c r="AJ1412">
        <v>1</v>
      </c>
      <c r="AK1412">
        <v>0</v>
      </c>
      <c r="AL1412" t="s">
        <v>2775</v>
      </c>
      <c r="AM1412">
        <v>46.808174000000001</v>
      </c>
      <c r="AN1412" t="s">
        <v>2776</v>
      </c>
      <c r="AO1412">
        <v>-122.730954</v>
      </c>
      <c r="AP1412">
        <v>100</v>
      </c>
      <c r="AQ1412">
        <v>2000</v>
      </c>
      <c r="AR1412" t="s">
        <v>118</v>
      </c>
      <c r="AS1412">
        <v>-78</v>
      </c>
      <c r="AT1412">
        <v>-3</v>
      </c>
      <c r="AU1412">
        <v>128</v>
      </c>
      <c r="BC1412">
        <v>1200</v>
      </c>
      <c r="BD1412">
        <v>1</v>
      </c>
      <c r="BE1412" t="str">
        <f t="shared" si="68"/>
        <v xml:space="preserve">N215T   </v>
      </c>
      <c r="BF1412">
        <v>1</v>
      </c>
      <c r="BH1412">
        <v>0</v>
      </c>
      <c r="BI1412">
        <v>0</v>
      </c>
      <c r="BJ1412">
        <v>0</v>
      </c>
      <c r="BK1412">
        <v>2350</v>
      </c>
      <c r="BL1412">
        <v>350</v>
      </c>
      <c r="BM1412" t="s">
        <v>119</v>
      </c>
      <c r="BN1412">
        <v>1</v>
      </c>
      <c r="BO1412">
        <v>1</v>
      </c>
      <c r="BP1412">
        <v>1</v>
      </c>
      <c r="BQ1412">
        <v>0</v>
      </c>
      <c r="BT1412">
        <v>0</v>
      </c>
      <c r="BU1412">
        <v>0</v>
      </c>
      <c r="BV1412">
        <v>0</v>
      </c>
      <c r="CC1412" t="str">
        <f>"18:58:18.250"</f>
        <v>18:58:18.250</v>
      </c>
      <c r="CD1412" t="str">
        <f>"249289570"</f>
        <v>249289570</v>
      </c>
      <c r="CQ1412">
        <v>0</v>
      </c>
      <c r="CR1412">
        <v>2</v>
      </c>
      <c r="CS1412">
        <v>0</v>
      </c>
      <c r="CT1412">
        <v>2</v>
      </c>
      <c r="CU1412">
        <v>0</v>
      </c>
      <c r="CV1412">
        <v>7</v>
      </c>
      <c r="CW1412" t="s">
        <v>120</v>
      </c>
      <c r="CX1412">
        <v>261</v>
      </c>
      <c r="CY1412">
        <v>2</v>
      </c>
      <c r="CZ1412" t="s">
        <v>121</v>
      </c>
      <c r="DA1412" t="s">
        <v>122</v>
      </c>
      <c r="DD1412">
        <v>15058182</v>
      </c>
      <c r="DE1412" t="s">
        <v>123</v>
      </c>
    </row>
    <row r="1413" spans="1:109" x14ac:dyDescent="0.3">
      <c r="A1413" t="str">
        <f>"18:58:19.523"</f>
        <v>18:58:19.523</v>
      </c>
      <c r="B1413" t="s">
        <v>110</v>
      </c>
      <c r="C1413" t="str">
        <f t="shared" si="66"/>
        <v>ffdfd3c0</v>
      </c>
      <c r="D1413" t="s">
        <v>111</v>
      </c>
      <c r="E1413">
        <v>18</v>
      </c>
      <c r="F1413">
        <v>1018</v>
      </c>
      <c r="G1413" t="s">
        <v>112</v>
      </c>
      <c r="J1413" t="s">
        <v>113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R1413" t="s">
        <v>114</v>
      </c>
      <c r="S1413" t="str">
        <f>"18:58:19.297"</f>
        <v>18:58:19.297</v>
      </c>
      <c r="T1413" t="str">
        <f>"18:58:19.297"</f>
        <v>18:58:19.297</v>
      </c>
      <c r="U1413" t="str">
        <f t="shared" si="67"/>
        <v>a1cdbe</v>
      </c>
      <c r="V1413">
        <v>0</v>
      </c>
      <c r="W1413">
        <v>0</v>
      </c>
      <c r="X1413">
        <v>1</v>
      </c>
      <c r="Y1413">
        <v>0</v>
      </c>
      <c r="Z1413">
        <v>0</v>
      </c>
      <c r="AB1413">
        <v>0</v>
      </c>
      <c r="AC1413">
        <v>9</v>
      </c>
      <c r="AD1413">
        <v>3</v>
      </c>
      <c r="AE1413">
        <v>0</v>
      </c>
      <c r="AF1413">
        <v>9</v>
      </c>
      <c r="AG1413" t="s">
        <v>158</v>
      </c>
      <c r="AH1413">
        <v>0</v>
      </c>
      <c r="AI1413">
        <v>3</v>
      </c>
      <c r="AJ1413">
        <v>1</v>
      </c>
      <c r="AK1413">
        <v>0</v>
      </c>
      <c r="AL1413" t="s">
        <v>2775</v>
      </c>
      <c r="AM1413">
        <v>46.808174000000001</v>
      </c>
      <c r="AN1413" t="s">
        <v>2777</v>
      </c>
      <c r="AO1413">
        <v>-122.73148999999999</v>
      </c>
      <c r="AP1413">
        <v>100</v>
      </c>
      <c r="AQ1413">
        <v>2000</v>
      </c>
      <c r="AR1413" t="s">
        <v>118</v>
      </c>
      <c r="AS1413">
        <v>-78</v>
      </c>
      <c r="AT1413">
        <v>-3</v>
      </c>
      <c r="AU1413">
        <v>64</v>
      </c>
      <c r="BC1413">
        <v>1200</v>
      </c>
      <c r="BD1413">
        <v>1</v>
      </c>
      <c r="BE1413" t="str">
        <f t="shared" si="68"/>
        <v xml:space="preserve">N215T   </v>
      </c>
      <c r="BF1413">
        <v>1</v>
      </c>
      <c r="BH1413">
        <v>0</v>
      </c>
      <c r="BI1413">
        <v>0</v>
      </c>
      <c r="BJ1413">
        <v>0</v>
      </c>
      <c r="BK1413">
        <v>2350</v>
      </c>
      <c r="BL1413">
        <v>350</v>
      </c>
      <c r="BM1413" t="s">
        <v>119</v>
      </c>
      <c r="BN1413">
        <v>1</v>
      </c>
      <c r="BO1413">
        <v>1</v>
      </c>
      <c r="BP1413">
        <v>1</v>
      </c>
      <c r="BQ1413">
        <v>0</v>
      </c>
      <c r="BT1413">
        <v>0</v>
      </c>
      <c r="BU1413">
        <v>0</v>
      </c>
      <c r="BV1413">
        <v>0</v>
      </c>
      <c r="CC1413" t="str">
        <f>"18:58:19.297"</f>
        <v>18:58:19.297</v>
      </c>
      <c r="CD1413" t="str">
        <f>"299186164"</f>
        <v>299186164</v>
      </c>
      <c r="CQ1413">
        <v>0</v>
      </c>
      <c r="CR1413">
        <v>2</v>
      </c>
      <c r="CS1413">
        <v>0</v>
      </c>
      <c r="CT1413">
        <v>2</v>
      </c>
      <c r="CU1413">
        <v>0</v>
      </c>
      <c r="CV1413">
        <v>7</v>
      </c>
      <c r="CW1413" t="s">
        <v>120</v>
      </c>
      <c r="CX1413">
        <v>261</v>
      </c>
      <c r="CY1413">
        <v>2</v>
      </c>
      <c r="CZ1413" t="s">
        <v>121</v>
      </c>
      <c r="DA1413" t="s">
        <v>122</v>
      </c>
      <c r="DD1413">
        <v>15058936</v>
      </c>
      <c r="DE1413" t="s">
        <v>123</v>
      </c>
    </row>
    <row r="1414" spans="1:109" x14ac:dyDescent="0.3">
      <c r="A1414" t="str">
        <f>"18:58:20.531"</f>
        <v>18:58:20.531</v>
      </c>
      <c r="B1414" t="s">
        <v>110</v>
      </c>
      <c r="C1414" t="str">
        <f t="shared" si="66"/>
        <v>ffdfd3c0</v>
      </c>
      <c r="D1414" t="s">
        <v>111</v>
      </c>
      <c r="E1414">
        <v>18</v>
      </c>
      <c r="F1414">
        <v>1018</v>
      </c>
      <c r="G1414" t="s">
        <v>112</v>
      </c>
      <c r="J1414" t="s">
        <v>113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R1414" t="s">
        <v>114</v>
      </c>
      <c r="S1414" t="str">
        <f>"18:58:20.242"</f>
        <v>18:58:20.242</v>
      </c>
      <c r="T1414" t="str">
        <f>"18:58:20.242"</f>
        <v>18:58:20.242</v>
      </c>
      <c r="U1414" t="str">
        <f t="shared" si="67"/>
        <v>a1cdbe</v>
      </c>
      <c r="V1414">
        <v>0</v>
      </c>
      <c r="W1414">
        <v>0</v>
      </c>
      <c r="X1414">
        <v>1</v>
      </c>
      <c r="Y1414">
        <v>0</v>
      </c>
      <c r="Z1414">
        <v>0</v>
      </c>
      <c r="AB1414">
        <v>0</v>
      </c>
      <c r="AC1414">
        <v>9</v>
      </c>
      <c r="AD1414">
        <v>3</v>
      </c>
      <c r="AE1414">
        <v>0</v>
      </c>
      <c r="AF1414">
        <v>9</v>
      </c>
      <c r="AG1414" t="s">
        <v>158</v>
      </c>
      <c r="AH1414">
        <v>0</v>
      </c>
      <c r="AI1414">
        <v>3</v>
      </c>
      <c r="AJ1414">
        <v>1</v>
      </c>
      <c r="AK1414">
        <v>0</v>
      </c>
      <c r="AL1414" t="s">
        <v>2775</v>
      </c>
      <c r="AM1414">
        <v>46.808174000000001</v>
      </c>
      <c r="AN1414" t="s">
        <v>2778</v>
      </c>
      <c r="AO1414">
        <v>-122.731984</v>
      </c>
      <c r="AP1414">
        <v>100</v>
      </c>
      <c r="AQ1414">
        <v>2000</v>
      </c>
      <c r="AR1414" t="s">
        <v>118</v>
      </c>
      <c r="AS1414">
        <v>-78</v>
      </c>
      <c r="AT1414">
        <v>-2</v>
      </c>
      <c r="AU1414">
        <v>0</v>
      </c>
      <c r="BC1414">
        <v>1200</v>
      </c>
      <c r="BD1414">
        <v>1</v>
      </c>
      <c r="BE1414" t="str">
        <f t="shared" si="68"/>
        <v xml:space="preserve">N215T   </v>
      </c>
      <c r="BF1414">
        <v>1</v>
      </c>
      <c r="BH1414">
        <v>0</v>
      </c>
      <c r="BI1414">
        <v>0</v>
      </c>
      <c r="BJ1414">
        <v>0</v>
      </c>
      <c r="BK1414">
        <v>2350</v>
      </c>
      <c r="BL1414">
        <v>350</v>
      </c>
      <c r="BM1414" t="s">
        <v>119</v>
      </c>
      <c r="BN1414">
        <v>1</v>
      </c>
      <c r="BO1414">
        <v>1</v>
      </c>
      <c r="BP1414">
        <v>1</v>
      </c>
      <c r="BQ1414">
        <v>0</v>
      </c>
      <c r="BT1414">
        <v>0</v>
      </c>
      <c r="BU1414">
        <v>0</v>
      </c>
      <c r="BV1414">
        <v>0</v>
      </c>
      <c r="CC1414" t="str">
        <f>"18:58:20.242"</f>
        <v>18:58:20.242</v>
      </c>
      <c r="CD1414" t="str">
        <f>"244147946"</f>
        <v>244147946</v>
      </c>
      <c r="CQ1414">
        <v>0</v>
      </c>
      <c r="CR1414">
        <v>2</v>
      </c>
      <c r="CS1414">
        <v>0</v>
      </c>
      <c r="CT1414">
        <v>2</v>
      </c>
      <c r="CU1414">
        <v>0</v>
      </c>
      <c r="CV1414">
        <v>5</v>
      </c>
      <c r="CW1414" t="s">
        <v>120</v>
      </c>
      <c r="CX1414">
        <v>257</v>
      </c>
      <c r="CY1414">
        <v>1</v>
      </c>
      <c r="CZ1414" t="s">
        <v>615</v>
      </c>
      <c r="DA1414" t="s">
        <v>616</v>
      </c>
      <c r="DD1414">
        <v>11424627</v>
      </c>
      <c r="DE1414" t="s">
        <v>123</v>
      </c>
    </row>
    <row r="1415" spans="1:109" x14ac:dyDescent="0.3">
      <c r="A1415" t="str">
        <f>"18:58:21.383"</f>
        <v>18:58:21.383</v>
      </c>
      <c r="B1415" t="s">
        <v>110</v>
      </c>
      <c r="C1415" t="str">
        <f t="shared" si="66"/>
        <v>ffdfd3c0</v>
      </c>
      <c r="D1415" t="s">
        <v>111</v>
      </c>
      <c r="E1415">
        <v>18</v>
      </c>
      <c r="F1415">
        <v>1018</v>
      </c>
      <c r="G1415" t="s">
        <v>112</v>
      </c>
      <c r="J1415" t="s">
        <v>113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R1415" t="s">
        <v>114</v>
      </c>
      <c r="S1415" t="str">
        <f>"18:58:21.156"</f>
        <v>18:58:21.156</v>
      </c>
      <c r="T1415" t="str">
        <f>"18:58:20.758"</f>
        <v>18:58:20.758</v>
      </c>
      <c r="U1415" t="str">
        <f t="shared" si="67"/>
        <v>a1cdbe</v>
      </c>
      <c r="V1415">
        <v>0</v>
      </c>
      <c r="W1415">
        <v>0</v>
      </c>
      <c r="X1415">
        <v>1</v>
      </c>
      <c r="Y1415">
        <v>0</v>
      </c>
      <c r="Z1415">
        <v>0</v>
      </c>
      <c r="AB1415">
        <v>0</v>
      </c>
      <c r="AC1415">
        <v>9</v>
      </c>
      <c r="AD1415">
        <v>3</v>
      </c>
      <c r="AE1415">
        <v>0</v>
      </c>
      <c r="AF1415">
        <v>9</v>
      </c>
      <c r="AG1415" t="s">
        <v>158</v>
      </c>
      <c r="AH1415">
        <v>0</v>
      </c>
      <c r="AI1415">
        <v>3</v>
      </c>
      <c r="AJ1415">
        <v>1</v>
      </c>
      <c r="AK1415">
        <v>0</v>
      </c>
      <c r="AL1415" t="s">
        <v>2775</v>
      </c>
      <c r="AM1415">
        <v>46.808174000000001</v>
      </c>
      <c r="AN1415" t="s">
        <v>2779</v>
      </c>
      <c r="AO1415">
        <v>-122.732499</v>
      </c>
      <c r="AP1415">
        <v>100</v>
      </c>
      <c r="AQ1415">
        <v>2000</v>
      </c>
      <c r="AR1415" t="s">
        <v>118</v>
      </c>
      <c r="AS1415">
        <v>-78</v>
      </c>
      <c r="AT1415">
        <v>-2</v>
      </c>
      <c r="AU1415">
        <v>0</v>
      </c>
      <c r="BC1415">
        <v>1200</v>
      </c>
      <c r="BD1415">
        <v>1</v>
      </c>
      <c r="BE1415" t="str">
        <f t="shared" si="68"/>
        <v xml:space="preserve">N215T   </v>
      </c>
      <c r="BF1415">
        <v>1</v>
      </c>
      <c r="BH1415">
        <v>0</v>
      </c>
      <c r="BI1415">
        <v>0</v>
      </c>
      <c r="BJ1415">
        <v>0</v>
      </c>
      <c r="BK1415">
        <v>2350</v>
      </c>
      <c r="BL1415">
        <v>350</v>
      </c>
      <c r="BM1415" t="s">
        <v>119</v>
      </c>
      <c r="BN1415">
        <v>1</v>
      </c>
      <c r="BO1415">
        <v>1</v>
      </c>
      <c r="BP1415">
        <v>1</v>
      </c>
      <c r="BQ1415">
        <v>0</v>
      </c>
      <c r="BT1415">
        <v>0</v>
      </c>
      <c r="BU1415">
        <v>0</v>
      </c>
      <c r="BV1415">
        <v>0</v>
      </c>
      <c r="CC1415" t="str">
        <f>"18:58:21.156"</f>
        <v>18:58:21.156</v>
      </c>
      <c r="CD1415" t="str">
        <f>"159002997"</f>
        <v>159002997</v>
      </c>
      <c r="CQ1415">
        <v>0</v>
      </c>
      <c r="CR1415">
        <v>2</v>
      </c>
      <c r="CS1415">
        <v>0</v>
      </c>
      <c r="CT1415">
        <v>2</v>
      </c>
      <c r="CU1415">
        <v>0</v>
      </c>
      <c r="CV1415">
        <v>7</v>
      </c>
      <c r="CW1415" t="s">
        <v>120</v>
      </c>
      <c r="CX1415">
        <v>261</v>
      </c>
      <c r="CY1415">
        <v>2</v>
      </c>
      <c r="CZ1415" t="s">
        <v>121</v>
      </c>
      <c r="DA1415" t="s">
        <v>122</v>
      </c>
      <c r="DD1415">
        <v>15060313</v>
      </c>
      <c r="DE1415" t="s">
        <v>123</v>
      </c>
    </row>
    <row r="1416" spans="1:109" x14ac:dyDescent="0.3">
      <c r="A1416" t="str">
        <f>"18:58:22.336"</f>
        <v>18:58:22.336</v>
      </c>
      <c r="B1416" t="s">
        <v>110</v>
      </c>
      <c r="C1416" t="str">
        <f t="shared" si="66"/>
        <v>ffdfd3c0</v>
      </c>
      <c r="D1416" t="s">
        <v>111</v>
      </c>
      <c r="E1416">
        <v>18</v>
      </c>
      <c r="F1416">
        <v>1018</v>
      </c>
      <c r="G1416" t="s">
        <v>112</v>
      </c>
      <c r="J1416" t="s">
        <v>113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R1416" t="s">
        <v>114</v>
      </c>
      <c r="S1416" t="str">
        <f>"18:58:22.086"</f>
        <v>18:58:22.086</v>
      </c>
      <c r="T1416" t="str">
        <f>"18:58:21.789"</f>
        <v>18:58:21.789</v>
      </c>
      <c r="U1416" t="str">
        <f t="shared" si="67"/>
        <v>a1cdbe</v>
      </c>
      <c r="V1416">
        <v>0</v>
      </c>
      <c r="W1416">
        <v>0</v>
      </c>
      <c r="X1416">
        <v>1</v>
      </c>
      <c r="Y1416">
        <v>0</v>
      </c>
      <c r="Z1416">
        <v>0</v>
      </c>
      <c r="AB1416">
        <v>0</v>
      </c>
      <c r="AC1416">
        <v>9</v>
      </c>
      <c r="AD1416">
        <v>3</v>
      </c>
      <c r="AE1416">
        <v>0</v>
      </c>
      <c r="AF1416">
        <v>9</v>
      </c>
      <c r="AG1416" t="s">
        <v>158</v>
      </c>
      <c r="AH1416">
        <v>0</v>
      </c>
      <c r="AI1416">
        <v>3</v>
      </c>
      <c r="AJ1416">
        <v>1</v>
      </c>
      <c r="AK1416">
        <v>0</v>
      </c>
      <c r="AL1416" t="s">
        <v>2775</v>
      </c>
      <c r="AM1416">
        <v>46.808174000000001</v>
      </c>
      <c r="AN1416" t="s">
        <v>2780</v>
      </c>
      <c r="AO1416">
        <v>-122.73297100000001</v>
      </c>
      <c r="AP1416">
        <v>100</v>
      </c>
      <c r="AQ1416">
        <v>2000</v>
      </c>
      <c r="AR1416" t="s">
        <v>118</v>
      </c>
      <c r="AS1416">
        <v>-78</v>
      </c>
      <c r="AT1416">
        <v>-2</v>
      </c>
      <c r="AU1416">
        <v>0</v>
      </c>
      <c r="BC1416">
        <v>1200</v>
      </c>
      <c r="BD1416">
        <v>1</v>
      </c>
      <c r="BE1416" t="str">
        <f t="shared" si="68"/>
        <v xml:space="preserve">N215T   </v>
      </c>
      <c r="BF1416">
        <v>1</v>
      </c>
      <c r="BH1416">
        <v>0</v>
      </c>
      <c r="BI1416">
        <v>0</v>
      </c>
      <c r="BJ1416">
        <v>0</v>
      </c>
      <c r="BK1416">
        <v>2350</v>
      </c>
      <c r="BL1416">
        <v>350</v>
      </c>
      <c r="BM1416" t="s">
        <v>119</v>
      </c>
      <c r="BN1416">
        <v>1</v>
      </c>
      <c r="BO1416">
        <v>1</v>
      </c>
      <c r="BP1416">
        <v>1</v>
      </c>
      <c r="BQ1416">
        <v>0</v>
      </c>
      <c r="BT1416">
        <v>0</v>
      </c>
      <c r="BU1416">
        <v>0</v>
      </c>
      <c r="BV1416">
        <v>0</v>
      </c>
      <c r="CC1416" t="str">
        <f>"18:58:22.086"</f>
        <v>18:58:22.086</v>
      </c>
      <c r="CD1416" t="str">
        <f>"088911412"</f>
        <v>088911412</v>
      </c>
      <c r="CQ1416">
        <v>0</v>
      </c>
      <c r="CR1416">
        <v>2</v>
      </c>
      <c r="CS1416">
        <v>0</v>
      </c>
      <c r="CT1416">
        <v>2</v>
      </c>
      <c r="CU1416">
        <v>0</v>
      </c>
      <c r="CV1416">
        <v>7</v>
      </c>
      <c r="CW1416" t="s">
        <v>120</v>
      </c>
      <c r="CX1416">
        <v>261</v>
      </c>
      <c r="CY1416">
        <v>2</v>
      </c>
      <c r="CZ1416" t="s">
        <v>121</v>
      </c>
      <c r="DA1416" t="s">
        <v>122</v>
      </c>
      <c r="DD1416">
        <v>15060974</v>
      </c>
      <c r="DE1416" t="s">
        <v>123</v>
      </c>
    </row>
    <row r="1417" spans="1:109" x14ac:dyDescent="0.3">
      <c r="A1417" t="str">
        <f>"18:58:23.344"</f>
        <v>18:58:23.344</v>
      </c>
      <c r="B1417" t="s">
        <v>110</v>
      </c>
      <c r="C1417" t="str">
        <f t="shared" si="66"/>
        <v>ffdfd3c0</v>
      </c>
      <c r="D1417" t="s">
        <v>111</v>
      </c>
      <c r="E1417">
        <v>18</v>
      </c>
      <c r="F1417">
        <v>1018</v>
      </c>
      <c r="G1417" t="s">
        <v>112</v>
      </c>
      <c r="J1417" t="s">
        <v>113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R1417" t="s">
        <v>114</v>
      </c>
      <c r="S1417" t="str">
        <f>"18:58:23.102"</f>
        <v>18:58:23.102</v>
      </c>
      <c r="T1417" t="str">
        <f>"18:58:22.898"</f>
        <v>18:58:22.898</v>
      </c>
      <c r="U1417" t="str">
        <f t="shared" si="67"/>
        <v>a1cdbe</v>
      </c>
      <c r="V1417">
        <v>0</v>
      </c>
      <c r="W1417">
        <v>0</v>
      </c>
      <c r="X1417">
        <v>1</v>
      </c>
      <c r="Y1417">
        <v>0</v>
      </c>
      <c r="Z1417">
        <v>0</v>
      </c>
      <c r="AB1417">
        <v>0</v>
      </c>
      <c r="AC1417">
        <v>9</v>
      </c>
      <c r="AD1417">
        <v>3</v>
      </c>
      <c r="AE1417">
        <v>0</v>
      </c>
      <c r="AF1417">
        <v>9</v>
      </c>
      <c r="AG1417" t="s">
        <v>158</v>
      </c>
      <c r="AH1417">
        <v>0</v>
      </c>
      <c r="AI1417">
        <v>3</v>
      </c>
      <c r="AJ1417">
        <v>1</v>
      </c>
      <c r="AK1417">
        <v>0</v>
      </c>
      <c r="AL1417" t="s">
        <v>2781</v>
      </c>
      <c r="AM1417">
        <v>46.808131000000003</v>
      </c>
      <c r="AN1417" t="s">
        <v>2782</v>
      </c>
      <c r="AO1417">
        <v>-122.733486</v>
      </c>
      <c r="AP1417">
        <v>100</v>
      </c>
      <c r="AQ1417">
        <v>2000</v>
      </c>
      <c r="AR1417" t="s">
        <v>118</v>
      </c>
      <c r="AS1417">
        <v>-78</v>
      </c>
      <c r="AT1417">
        <v>-2</v>
      </c>
      <c r="AU1417">
        <v>0</v>
      </c>
      <c r="BC1417">
        <v>1200</v>
      </c>
      <c r="BD1417">
        <v>1</v>
      </c>
      <c r="BE1417" t="str">
        <f t="shared" si="68"/>
        <v xml:space="preserve">N215T   </v>
      </c>
      <c r="BF1417">
        <v>1</v>
      </c>
      <c r="BH1417">
        <v>0</v>
      </c>
      <c r="BI1417">
        <v>0</v>
      </c>
      <c r="BJ1417">
        <v>0</v>
      </c>
      <c r="BK1417">
        <v>2350</v>
      </c>
      <c r="BL1417">
        <v>350</v>
      </c>
      <c r="BM1417" t="s">
        <v>119</v>
      </c>
      <c r="BN1417">
        <v>1</v>
      </c>
      <c r="BO1417">
        <v>1</v>
      </c>
      <c r="BP1417">
        <v>1</v>
      </c>
      <c r="BQ1417">
        <v>0</v>
      </c>
      <c r="BT1417">
        <v>0</v>
      </c>
      <c r="BU1417">
        <v>0</v>
      </c>
      <c r="BV1417">
        <v>0</v>
      </c>
      <c r="CC1417" t="str">
        <f>"18:58:23.109"</f>
        <v>18:58:23.109</v>
      </c>
      <c r="CD1417" t="str">
        <f>"108810966"</f>
        <v>108810966</v>
      </c>
      <c r="CQ1417">
        <v>0</v>
      </c>
      <c r="CR1417">
        <v>2</v>
      </c>
      <c r="CS1417">
        <v>0</v>
      </c>
      <c r="CT1417">
        <v>2</v>
      </c>
      <c r="CU1417">
        <v>0</v>
      </c>
      <c r="CV1417">
        <v>7</v>
      </c>
      <c r="CW1417" t="s">
        <v>120</v>
      </c>
      <c r="CX1417">
        <v>261</v>
      </c>
      <c r="CY1417">
        <v>2</v>
      </c>
      <c r="CZ1417" t="s">
        <v>121</v>
      </c>
      <c r="DA1417" t="s">
        <v>122</v>
      </c>
      <c r="DD1417">
        <v>15061676</v>
      </c>
      <c r="DE1417" t="s">
        <v>123</v>
      </c>
    </row>
    <row r="1418" spans="1:109" x14ac:dyDescent="0.3">
      <c r="A1418" t="str">
        <f>"18:58:24.297"</f>
        <v>18:58:24.297</v>
      </c>
      <c r="B1418" t="s">
        <v>110</v>
      </c>
      <c r="C1418" t="str">
        <f t="shared" si="66"/>
        <v>ffdfd3c0</v>
      </c>
      <c r="D1418" t="s">
        <v>111</v>
      </c>
      <c r="E1418">
        <v>18</v>
      </c>
      <c r="F1418">
        <v>1018</v>
      </c>
      <c r="G1418" t="s">
        <v>112</v>
      </c>
      <c r="J1418" t="s">
        <v>113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R1418" t="s">
        <v>114</v>
      </c>
      <c r="S1418" t="str">
        <f>"18:58:24.094"</f>
        <v>18:58:24.094</v>
      </c>
      <c r="T1418" t="str">
        <f>"18:58:23.992"</f>
        <v>18:58:23.992</v>
      </c>
      <c r="U1418" t="str">
        <f t="shared" si="67"/>
        <v>a1cdbe</v>
      </c>
      <c r="V1418">
        <v>0</v>
      </c>
      <c r="W1418">
        <v>0</v>
      </c>
      <c r="X1418">
        <v>1</v>
      </c>
      <c r="Y1418">
        <v>0</v>
      </c>
      <c r="Z1418">
        <v>0</v>
      </c>
      <c r="AB1418">
        <v>0</v>
      </c>
      <c r="AC1418">
        <v>9</v>
      </c>
      <c r="AD1418">
        <v>3</v>
      </c>
      <c r="AE1418">
        <v>0</v>
      </c>
      <c r="AF1418">
        <v>9</v>
      </c>
      <c r="AG1418" t="s">
        <v>158</v>
      </c>
      <c r="AH1418">
        <v>0</v>
      </c>
      <c r="AI1418">
        <v>3</v>
      </c>
      <c r="AJ1418">
        <v>1</v>
      </c>
      <c r="AK1418">
        <v>0</v>
      </c>
      <c r="AL1418" t="s">
        <v>2781</v>
      </c>
      <c r="AM1418">
        <v>46.808131000000003</v>
      </c>
      <c r="AN1418" t="s">
        <v>2783</v>
      </c>
      <c r="AO1418">
        <v>-122.734022</v>
      </c>
      <c r="AP1418">
        <v>100</v>
      </c>
      <c r="AQ1418">
        <v>2000</v>
      </c>
      <c r="AR1418" t="s">
        <v>118</v>
      </c>
      <c r="AS1418">
        <v>-77</v>
      </c>
      <c r="AT1418">
        <v>-2</v>
      </c>
      <c r="AU1418">
        <v>64</v>
      </c>
      <c r="BC1418">
        <v>1200</v>
      </c>
      <c r="BD1418">
        <v>1</v>
      </c>
      <c r="BE1418" t="str">
        <f t="shared" si="68"/>
        <v xml:space="preserve">N215T   </v>
      </c>
      <c r="BF1418">
        <v>1</v>
      </c>
      <c r="BH1418">
        <v>0</v>
      </c>
      <c r="BI1418">
        <v>0</v>
      </c>
      <c r="BJ1418">
        <v>0</v>
      </c>
      <c r="BK1418">
        <v>2350</v>
      </c>
      <c r="BL1418">
        <v>350</v>
      </c>
      <c r="BM1418" t="s">
        <v>119</v>
      </c>
      <c r="BN1418">
        <v>1</v>
      </c>
      <c r="BO1418">
        <v>1</v>
      </c>
      <c r="BP1418">
        <v>1</v>
      </c>
      <c r="BQ1418">
        <v>0</v>
      </c>
      <c r="BT1418">
        <v>0</v>
      </c>
      <c r="BU1418">
        <v>0</v>
      </c>
      <c r="BV1418">
        <v>0</v>
      </c>
      <c r="CC1418" t="str">
        <f>"18:58:24.102"</f>
        <v>18:58:24.102</v>
      </c>
      <c r="CD1418" t="str">
        <f>"098713460"</f>
        <v>098713460</v>
      </c>
      <c r="CQ1418">
        <v>0</v>
      </c>
      <c r="CR1418">
        <v>2</v>
      </c>
      <c r="CS1418">
        <v>0</v>
      </c>
      <c r="CT1418">
        <v>2</v>
      </c>
      <c r="CU1418">
        <v>0</v>
      </c>
      <c r="CV1418">
        <v>7</v>
      </c>
      <c r="CW1418" t="s">
        <v>120</v>
      </c>
      <c r="CX1418">
        <v>261</v>
      </c>
      <c r="CY1418">
        <v>2</v>
      </c>
      <c r="CZ1418" t="s">
        <v>121</v>
      </c>
      <c r="DA1418" t="s">
        <v>122</v>
      </c>
      <c r="DD1418">
        <v>15062399</v>
      </c>
      <c r="DE1418" t="s">
        <v>123</v>
      </c>
    </row>
    <row r="1419" spans="1:109" x14ac:dyDescent="0.3">
      <c r="A1419" t="str">
        <f>"18:58:25.508"</f>
        <v>18:58:25.508</v>
      </c>
      <c r="B1419" t="s">
        <v>110</v>
      </c>
      <c r="C1419" t="str">
        <f t="shared" si="66"/>
        <v>ffdfd3c0</v>
      </c>
      <c r="D1419" t="s">
        <v>111</v>
      </c>
      <c r="E1419">
        <v>18</v>
      </c>
      <c r="F1419">
        <v>1018</v>
      </c>
      <c r="G1419" t="s">
        <v>112</v>
      </c>
      <c r="J1419" t="s">
        <v>113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R1419" t="s">
        <v>114</v>
      </c>
      <c r="S1419" t="str">
        <f>"18:58:25.281"</f>
        <v>18:58:25.281</v>
      </c>
      <c r="T1419" t="str">
        <f>"18:58:24.781"</f>
        <v>18:58:24.781</v>
      </c>
      <c r="U1419" t="str">
        <f t="shared" si="67"/>
        <v>a1cdbe</v>
      </c>
      <c r="V1419">
        <v>0</v>
      </c>
      <c r="W1419">
        <v>0</v>
      </c>
      <c r="X1419">
        <v>1</v>
      </c>
      <c r="Y1419">
        <v>0</v>
      </c>
      <c r="Z1419">
        <v>0</v>
      </c>
      <c r="AB1419">
        <v>0</v>
      </c>
      <c r="AC1419">
        <v>9</v>
      </c>
      <c r="AD1419">
        <v>3</v>
      </c>
      <c r="AE1419">
        <v>0</v>
      </c>
      <c r="AF1419">
        <v>9</v>
      </c>
      <c r="AG1419" t="s">
        <v>158</v>
      </c>
      <c r="AH1419">
        <v>0</v>
      </c>
      <c r="AI1419">
        <v>3</v>
      </c>
      <c r="AJ1419">
        <v>1</v>
      </c>
      <c r="AK1419">
        <v>0</v>
      </c>
      <c r="AL1419" t="s">
        <v>2781</v>
      </c>
      <c r="AM1419">
        <v>46.808131000000003</v>
      </c>
      <c r="AN1419" t="s">
        <v>2784</v>
      </c>
      <c r="AO1419">
        <v>-122.734644</v>
      </c>
      <c r="AP1419">
        <v>100</v>
      </c>
      <c r="AQ1419">
        <v>2000</v>
      </c>
      <c r="AR1419" t="s">
        <v>118</v>
      </c>
      <c r="AS1419">
        <v>-77</v>
      </c>
      <c r="AT1419">
        <v>-1</v>
      </c>
      <c r="AU1419">
        <v>128</v>
      </c>
      <c r="BC1419">
        <v>1200</v>
      </c>
      <c r="BD1419">
        <v>1</v>
      </c>
      <c r="BE1419" t="str">
        <f t="shared" si="68"/>
        <v xml:space="preserve">N215T   </v>
      </c>
      <c r="BF1419">
        <v>1</v>
      </c>
      <c r="BH1419">
        <v>0</v>
      </c>
      <c r="BI1419">
        <v>0</v>
      </c>
      <c r="BJ1419">
        <v>0</v>
      </c>
      <c r="BK1419">
        <v>2350</v>
      </c>
      <c r="BL1419">
        <v>350</v>
      </c>
      <c r="BM1419" t="s">
        <v>119</v>
      </c>
      <c r="BN1419">
        <v>1</v>
      </c>
      <c r="BO1419">
        <v>1</v>
      </c>
      <c r="BP1419">
        <v>1</v>
      </c>
      <c r="BQ1419">
        <v>0</v>
      </c>
      <c r="BT1419">
        <v>0</v>
      </c>
      <c r="BU1419">
        <v>0</v>
      </c>
      <c r="BV1419">
        <v>0</v>
      </c>
      <c r="CC1419" t="str">
        <f>"18:58:25.281"</f>
        <v>18:58:25.281</v>
      </c>
      <c r="CD1419" t="str">
        <f>"283596763"</f>
        <v>283596763</v>
      </c>
      <c r="CQ1419">
        <v>0</v>
      </c>
      <c r="CR1419">
        <v>2</v>
      </c>
      <c r="CS1419">
        <v>0</v>
      </c>
      <c r="CT1419">
        <v>2</v>
      </c>
      <c r="CU1419">
        <v>0</v>
      </c>
      <c r="CV1419">
        <v>7</v>
      </c>
      <c r="CW1419" t="s">
        <v>120</v>
      </c>
      <c r="CX1419">
        <v>261</v>
      </c>
      <c r="CY1419">
        <v>2</v>
      </c>
      <c r="CZ1419" t="s">
        <v>121</v>
      </c>
      <c r="DA1419" t="s">
        <v>122</v>
      </c>
      <c r="DD1419">
        <v>15063235</v>
      </c>
      <c r="DE1419" t="s">
        <v>123</v>
      </c>
    </row>
    <row r="1420" spans="1:109" x14ac:dyDescent="0.3">
      <c r="A1420" t="str">
        <f>"18:58:26.508"</f>
        <v>18:58:26.508</v>
      </c>
      <c r="B1420" t="s">
        <v>110</v>
      </c>
      <c r="C1420" t="str">
        <f t="shared" si="66"/>
        <v>ffdfd3c0</v>
      </c>
      <c r="D1420" t="s">
        <v>111</v>
      </c>
      <c r="E1420">
        <v>18</v>
      </c>
      <c r="F1420">
        <v>1018</v>
      </c>
      <c r="G1420" t="s">
        <v>112</v>
      </c>
      <c r="J1420" t="s">
        <v>113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R1420" t="s">
        <v>114</v>
      </c>
      <c r="S1420" t="str">
        <f>"18:58:26.273"</f>
        <v>18:58:26.273</v>
      </c>
      <c r="T1420" t="str">
        <f>"18:58:26.273"</f>
        <v>18:58:26.273</v>
      </c>
      <c r="U1420" t="str">
        <f t="shared" si="67"/>
        <v>a1cdbe</v>
      </c>
      <c r="V1420">
        <v>0</v>
      </c>
      <c r="W1420">
        <v>0</v>
      </c>
      <c r="X1420">
        <v>1</v>
      </c>
      <c r="Y1420">
        <v>0</v>
      </c>
      <c r="Z1420">
        <v>0</v>
      </c>
      <c r="AB1420">
        <v>0</v>
      </c>
      <c r="AC1420">
        <v>9</v>
      </c>
      <c r="AD1420">
        <v>3</v>
      </c>
      <c r="AE1420">
        <v>0</v>
      </c>
      <c r="AF1420">
        <v>9</v>
      </c>
      <c r="AG1420" t="s">
        <v>158</v>
      </c>
      <c r="AH1420">
        <v>0</v>
      </c>
      <c r="AI1420">
        <v>3</v>
      </c>
      <c r="AJ1420">
        <v>1</v>
      </c>
      <c r="AK1420">
        <v>0</v>
      </c>
      <c r="AL1420" t="s">
        <v>2785</v>
      </c>
      <c r="AM1420">
        <v>46.808087999999998</v>
      </c>
      <c r="AN1420" t="s">
        <v>2786</v>
      </c>
      <c r="AO1420">
        <v>-122.73513800000001</v>
      </c>
      <c r="AP1420">
        <v>100</v>
      </c>
      <c r="AQ1420">
        <v>2000</v>
      </c>
      <c r="AR1420" t="s">
        <v>118</v>
      </c>
      <c r="AS1420">
        <v>-76</v>
      </c>
      <c r="AT1420">
        <v>-1</v>
      </c>
      <c r="AU1420">
        <v>128</v>
      </c>
      <c r="BC1420">
        <v>1200</v>
      </c>
      <c r="BD1420">
        <v>1</v>
      </c>
      <c r="BE1420" t="str">
        <f t="shared" si="68"/>
        <v xml:space="preserve">N215T   </v>
      </c>
      <c r="BF1420">
        <v>1</v>
      </c>
      <c r="BH1420">
        <v>0</v>
      </c>
      <c r="BI1420">
        <v>0</v>
      </c>
      <c r="BJ1420">
        <v>0</v>
      </c>
      <c r="BK1420">
        <v>2350</v>
      </c>
      <c r="BL1420">
        <v>350</v>
      </c>
      <c r="BM1420" t="s">
        <v>119</v>
      </c>
      <c r="BN1420">
        <v>1</v>
      </c>
      <c r="BO1420">
        <v>1</v>
      </c>
      <c r="BP1420">
        <v>1</v>
      </c>
      <c r="BQ1420">
        <v>0</v>
      </c>
      <c r="BT1420">
        <v>0</v>
      </c>
      <c r="BU1420">
        <v>0</v>
      </c>
      <c r="BV1420">
        <v>0</v>
      </c>
      <c r="CC1420" t="str">
        <f>"18:58:26.273"</f>
        <v>18:58:26.273</v>
      </c>
      <c r="CD1420" t="str">
        <f>"273499271"</f>
        <v>273499271</v>
      </c>
      <c r="CQ1420">
        <v>0</v>
      </c>
      <c r="CR1420">
        <v>2</v>
      </c>
      <c r="CS1420">
        <v>0</v>
      </c>
      <c r="CT1420">
        <v>2</v>
      </c>
      <c r="CU1420">
        <v>0</v>
      </c>
      <c r="CV1420">
        <v>7</v>
      </c>
      <c r="CW1420" t="s">
        <v>120</v>
      </c>
      <c r="CX1420">
        <v>261</v>
      </c>
      <c r="CY1420">
        <v>2</v>
      </c>
      <c r="CZ1420" t="s">
        <v>121</v>
      </c>
      <c r="DA1420" t="s">
        <v>122</v>
      </c>
      <c r="DD1420">
        <v>15063914</v>
      </c>
      <c r="DE1420" t="s">
        <v>123</v>
      </c>
    </row>
    <row r="1421" spans="1:109" x14ac:dyDescent="0.3">
      <c r="A1421" t="str">
        <f>"18:58:27.516"</f>
        <v>18:58:27.516</v>
      </c>
      <c r="B1421" t="s">
        <v>110</v>
      </c>
      <c r="C1421" t="str">
        <f t="shared" si="66"/>
        <v>ffdfd3c0</v>
      </c>
      <c r="D1421" t="s">
        <v>111</v>
      </c>
      <c r="E1421">
        <v>18</v>
      </c>
      <c r="F1421">
        <v>1018</v>
      </c>
      <c r="G1421" t="s">
        <v>112</v>
      </c>
      <c r="J1421" t="s">
        <v>113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R1421" t="s">
        <v>114</v>
      </c>
      <c r="S1421" t="str">
        <f>"18:58:27.320"</f>
        <v>18:58:27.320</v>
      </c>
      <c r="T1421" t="str">
        <f>"18:58:27.219"</f>
        <v>18:58:27.219</v>
      </c>
      <c r="U1421" t="str">
        <f t="shared" si="67"/>
        <v>a1cdbe</v>
      </c>
      <c r="V1421">
        <v>0</v>
      </c>
      <c r="W1421">
        <v>0</v>
      </c>
      <c r="X1421">
        <v>1</v>
      </c>
      <c r="Y1421">
        <v>0</v>
      </c>
      <c r="Z1421">
        <v>0</v>
      </c>
      <c r="AB1421">
        <v>0</v>
      </c>
      <c r="AC1421">
        <v>9</v>
      </c>
      <c r="AD1421">
        <v>3</v>
      </c>
      <c r="AE1421">
        <v>0</v>
      </c>
      <c r="AF1421">
        <v>9</v>
      </c>
      <c r="AG1421" t="s">
        <v>158</v>
      </c>
      <c r="AH1421">
        <v>0</v>
      </c>
      <c r="AI1421">
        <v>3</v>
      </c>
      <c r="AJ1421">
        <v>1</v>
      </c>
      <c r="AK1421">
        <v>0</v>
      </c>
      <c r="AL1421" t="s">
        <v>2781</v>
      </c>
      <c r="AM1421">
        <v>46.808131000000003</v>
      </c>
      <c r="AN1421" t="s">
        <v>2787</v>
      </c>
      <c r="AO1421">
        <v>-122.73571699999999</v>
      </c>
      <c r="AP1421">
        <v>100</v>
      </c>
      <c r="AQ1421">
        <v>2000</v>
      </c>
      <c r="AR1421" t="s">
        <v>118</v>
      </c>
      <c r="AS1421">
        <v>-75</v>
      </c>
      <c r="AT1421">
        <v>-1</v>
      </c>
      <c r="AU1421">
        <v>256</v>
      </c>
      <c r="BC1421">
        <v>1200</v>
      </c>
      <c r="BD1421">
        <v>1</v>
      </c>
      <c r="BE1421" t="str">
        <f t="shared" si="68"/>
        <v xml:space="preserve">N215T   </v>
      </c>
      <c r="BF1421">
        <v>1</v>
      </c>
      <c r="BH1421">
        <v>0</v>
      </c>
      <c r="BI1421">
        <v>0</v>
      </c>
      <c r="BJ1421">
        <v>0</v>
      </c>
      <c r="BK1421">
        <v>2350</v>
      </c>
      <c r="BL1421">
        <v>350</v>
      </c>
      <c r="BM1421" t="s">
        <v>119</v>
      </c>
      <c r="BN1421">
        <v>1</v>
      </c>
      <c r="BO1421">
        <v>1</v>
      </c>
      <c r="BP1421">
        <v>1</v>
      </c>
      <c r="BQ1421">
        <v>0</v>
      </c>
      <c r="BT1421">
        <v>0</v>
      </c>
      <c r="BU1421">
        <v>0</v>
      </c>
      <c r="BV1421">
        <v>0</v>
      </c>
      <c r="CC1421" t="str">
        <f>"18:58:27.320"</f>
        <v>18:58:27.320</v>
      </c>
      <c r="CD1421" t="str">
        <f>"323395872"</f>
        <v>323395872</v>
      </c>
      <c r="CQ1421">
        <v>0</v>
      </c>
      <c r="CR1421">
        <v>2</v>
      </c>
      <c r="CS1421">
        <v>0</v>
      </c>
      <c r="CT1421">
        <v>2</v>
      </c>
      <c r="CU1421">
        <v>0</v>
      </c>
      <c r="CV1421">
        <v>7</v>
      </c>
      <c r="CW1421" t="s">
        <v>120</v>
      </c>
      <c r="CX1421">
        <v>261</v>
      </c>
      <c r="CY1421">
        <v>2</v>
      </c>
      <c r="CZ1421" t="s">
        <v>121</v>
      </c>
      <c r="DA1421" t="s">
        <v>122</v>
      </c>
      <c r="DD1421">
        <v>15064616</v>
      </c>
      <c r="DE1421" t="s">
        <v>123</v>
      </c>
    </row>
    <row r="1422" spans="1:109" x14ac:dyDescent="0.3">
      <c r="A1422" t="str">
        <f>"18:58:28.422"</f>
        <v>18:58:28.422</v>
      </c>
      <c r="B1422" t="s">
        <v>110</v>
      </c>
      <c r="C1422" t="str">
        <f t="shared" si="66"/>
        <v>ffdfd3c0</v>
      </c>
      <c r="D1422" t="s">
        <v>111</v>
      </c>
      <c r="E1422">
        <v>18</v>
      </c>
      <c r="F1422">
        <v>1018</v>
      </c>
      <c r="G1422" t="s">
        <v>112</v>
      </c>
      <c r="J1422" t="s">
        <v>113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R1422" t="s">
        <v>114</v>
      </c>
      <c r="S1422" t="str">
        <f>"18:58:28.188"</f>
        <v>18:58:28.188</v>
      </c>
      <c r="T1422" t="str">
        <f>"18:58:27.891"</f>
        <v>18:58:27.891</v>
      </c>
      <c r="U1422" t="str">
        <f t="shared" si="67"/>
        <v>a1cdbe</v>
      </c>
      <c r="V1422">
        <v>0</v>
      </c>
      <c r="W1422">
        <v>0</v>
      </c>
      <c r="X1422">
        <v>1</v>
      </c>
      <c r="Y1422">
        <v>0</v>
      </c>
      <c r="Z1422">
        <v>0</v>
      </c>
      <c r="AB1422">
        <v>0</v>
      </c>
      <c r="AC1422">
        <v>9</v>
      </c>
      <c r="AD1422">
        <v>3</v>
      </c>
      <c r="AE1422">
        <v>0</v>
      </c>
      <c r="AF1422">
        <v>9</v>
      </c>
      <c r="AG1422" t="s">
        <v>158</v>
      </c>
      <c r="AH1422">
        <v>0</v>
      </c>
      <c r="AI1422">
        <v>3</v>
      </c>
      <c r="AJ1422">
        <v>1</v>
      </c>
      <c r="AK1422">
        <v>0</v>
      </c>
      <c r="AL1422" t="s">
        <v>2785</v>
      </c>
      <c r="AM1422">
        <v>46.808087999999998</v>
      </c>
      <c r="AN1422" t="s">
        <v>2788</v>
      </c>
      <c r="AO1422">
        <v>-122.736104</v>
      </c>
      <c r="AP1422">
        <v>100</v>
      </c>
      <c r="AQ1422">
        <v>2000</v>
      </c>
      <c r="AR1422" t="s">
        <v>118</v>
      </c>
      <c r="AS1422">
        <v>-75</v>
      </c>
      <c r="AT1422">
        <v>0</v>
      </c>
      <c r="AU1422">
        <v>320</v>
      </c>
      <c r="BC1422">
        <v>1200</v>
      </c>
      <c r="BD1422">
        <v>1</v>
      </c>
      <c r="BE1422" t="str">
        <f t="shared" si="68"/>
        <v xml:space="preserve">N215T   </v>
      </c>
      <c r="BF1422">
        <v>1</v>
      </c>
      <c r="BH1422">
        <v>0</v>
      </c>
      <c r="BI1422">
        <v>0</v>
      </c>
      <c r="BJ1422">
        <v>0</v>
      </c>
      <c r="BK1422">
        <v>2375</v>
      </c>
      <c r="BL1422">
        <v>375</v>
      </c>
      <c r="BM1422" t="s">
        <v>119</v>
      </c>
      <c r="BN1422">
        <v>1</v>
      </c>
      <c r="BO1422">
        <v>1</v>
      </c>
      <c r="BP1422">
        <v>1</v>
      </c>
      <c r="BQ1422">
        <v>0</v>
      </c>
      <c r="BT1422">
        <v>0</v>
      </c>
      <c r="BU1422">
        <v>0</v>
      </c>
      <c r="BV1422">
        <v>0</v>
      </c>
      <c r="CC1422" t="str">
        <f>"18:58:28.195"</f>
        <v>18:58:28.195</v>
      </c>
      <c r="CD1422" t="str">
        <f>"193310189"</f>
        <v>193310189</v>
      </c>
      <c r="CQ1422">
        <v>0</v>
      </c>
      <c r="CR1422">
        <v>2</v>
      </c>
      <c r="CS1422">
        <v>0</v>
      </c>
      <c r="CT1422">
        <v>2</v>
      </c>
      <c r="CU1422">
        <v>0</v>
      </c>
      <c r="CV1422">
        <v>7</v>
      </c>
      <c r="CW1422" t="s">
        <v>120</v>
      </c>
      <c r="CX1422">
        <v>261</v>
      </c>
      <c r="CY1422">
        <v>2</v>
      </c>
      <c r="CZ1422" t="s">
        <v>121</v>
      </c>
      <c r="DA1422" t="s">
        <v>122</v>
      </c>
      <c r="DD1422">
        <v>15065213</v>
      </c>
      <c r="DE1422" t="s">
        <v>123</v>
      </c>
    </row>
    <row r="1423" spans="1:109" x14ac:dyDescent="0.3">
      <c r="A1423" t="str">
        <f>"18:58:29.523"</f>
        <v>18:58:29.523</v>
      </c>
      <c r="B1423" t="s">
        <v>110</v>
      </c>
      <c r="C1423" t="str">
        <f t="shared" si="66"/>
        <v>ffdfd3c0</v>
      </c>
      <c r="D1423" t="s">
        <v>111</v>
      </c>
      <c r="E1423">
        <v>18</v>
      </c>
      <c r="F1423">
        <v>1018</v>
      </c>
      <c r="G1423" t="s">
        <v>112</v>
      </c>
      <c r="J1423" t="s">
        <v>113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R1423" t="s">
        <v>114</v>
      </c>
      <c r="S1423" t="str">
        <f>"18:58:29.266"</f>
        <v>18:58:29.266</v>
      </c>
      <c r="T1423" t="str">
        <f>"18:58:28.969"</f>
        <v>18:58:28.969</v>
      </c>
      <c r="U1423" t="str">
        <f t="shared" si="67"/>
        <v>a1cdbe</v>
      </c>
      <c r="V1423">
        <v>0</v>
      </c>
      <c r="W1423">
        <v>0</v>
      </c>
      <c r="X1423">
        <v>1</v>
      </c>
      <c r="Y1423">
        <v>0</v>
      </c>
      <c r="Z1423">
        <v>0</v>
      </c>
      <c r="AB1423">
        <v>0</v>
      </c>
      <c r="AC1423">
        <v>9</v>
      </c>
      <c r="AD1423">
        <v>3</v>
      </c>
      <c r="AE1423">
        <v>0</v>
      </c>
      <c r="AF1423">
        <v>9</v>
      </c>
      <c r="AG1423" t="s">
        <v>158</v>
      </c>
      <c r="AH1423">
        <v>0</v>
      </c>
      <c r="AI1423">
        <v>3</v>
      </c>
      <c r="AJ1423">
        <v>1</v>
      </c>
      <c r="AK1423">
        <v>0</v>
      </c>
      <c r="AL1423" t="s">
        <v>2781</v>
      </c>
      <c r="AM1423">
        <v>46.808131000000003</v>
      </c>
      <c r="AN1423" t="s">
        <v>2789</v>
      </c>
      <c r="AO1423">
        <v>-122.73663999999999</v>
      </c>
      <c r="AP1423">
        <v>100</v>
      </c>
      <c r="AQ1423">
        <v>2000</v>
      </c>
      <c r="AR1423" t="s">
        <v>118</v>
      </c>
      <c r="AS1423">
        <v>-74</v>
      </c>
      <c r="AT1423">
        <v>0</v>
      </c>
      <c r="AU1423">
        <v>448</v>
      </c>
      <c r="BC1423">
        <v>1200</v>
      </c>
      <c r="BD1423">
        <v>1</v>
      </c>
      <c r="BE1423" t="str">
        <f t="shared" si="68"/>
        <v xml:space="preserve">N215T   </v>
      </c>
      <c r="BF1423">
        <v>1</v>
      </c>
      <c r="BH1423">
        <v>0</v>
      </c>
      <c r="BI1423">
        <v>0</v>
      </c>
      <c r="BJ1423">
        <v>0</v>
      </c>
      <c r="BK1423">
        <v>2375</v>
      </c>
      <c r="BL1423">
        <v>375</v>
      </c>
      <c r="BM1423" t="s">
        <v>119</v>
      </c>
      <c r="BN1423">
        <v>1</v>
      </c>
      <c r="BO1423">
        <v>1</v>
      </c>
      <c r="BP1423">
        <v>1</v>
      </c>
      <c r="BQ1423">
        <v>0</v>
      </c>
      <c r="BT1423">
        <v>0</v>
      </c>
      <c r="BU1423">
        <v>0</v>
      </c>
      <c r="BV1423">
        <v>0</v>
      </c>
      <c r="CC1423" t="str">
        <f>"18:58:29.273"</f>
        <v>18:58:29.273</v>
      </c>
      <c r="CD1423" t="str">
        <f>"273257653"</f>
        <v>273257653</v>
      </c>
      <c r="CQ1423">
        <v>0</v>
      </c>
      <c r="CR1423">
        <v>2</v>
      </c>
      <c r="CS1423">
        <v>0</v>
      </c>
      <c r="CT1423">
        <v>2</v>
      </c>
      <c r="CU1423">
        <v>0</v>
      </c>
      <c r="CV1423">
        <v>5</v>
      </c>
      <c r="CW1423" t="s">
        <v>120</v>
      </c>
      <c r="CX1423">
        <v>257</v>
      </c>
      <c r="CY1423">
        <v>1</v>
      </c>
      <c r="CZ1423" t="s">
        <v>615</v>
      </c>
      <c r="DA1423" t="s">
        <v>616</v>
      </c>
      <c r="DD1423">
        <v>11431626</v>
      </c>
      <c r="DE1423" t="s">
        <v>123</v>
      </c>
    </row>
    <row r="1424" spans="1:109" x14ac:dyDescent="0.3">
      <c r="A1424" t="str">
        <f>"18:58:30.430"</f>
        <v>18:58:30.430</v>
      </c>
      <c r="B1424" t="s">
        <v>110</v>
      </c>
      <c r="C1424" t="str">
        <f t="shared" si="66"/>
        <v>ffdfd3c0</v>
      </c>
      <c r="D1424" t="s">
        <v>111</v>
      </c>
      <c r="E1424">
        <v>18</v>
      </c>
      <c r="F1424">
        <v>1018</v>
      </c>
      <c r="G1424" t="s">
        <v>112</v>
      </c>
      <c r="J1424" t="s">
        <v>113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R1424" t="s">
        <v>114</v>
      </c>
      <c r="S1424" t="str">
        <f>"18:58:30.211"</f>
        <v>18:58:30.211</v>
      </c>
      <c r="T1424" t="str">
        <f>"18:58:29.813"</f>
        <v>18:58:29.813</v>
      </c>
      <c r="U1424" t="str">
        <f t="shared" si="67"/>
        <v>a1cdbe</v>
      </c>
      <c r="V1424">
        <v>0</v>
      </c>
      <c r="W1424">
        <v>0</v>
      </c>
      <c r="X1424">
        <v>1</v>
      </c>
      <c r="Y1424">
        <v>0</v>
      </c>
      <c r="Z1424">
        <v>0</v>
      </c>
      <c r="AB1424">
        <v>0</v>
      </c>
      <c r="AC1424">
        <v>9</v>
      </c>
      <c r="AD1424">
        <v>3</v>
      </c>
      <c r="AE1424">
        <v>0</v>
      </c>
      <c r="AF1424">
        <v>9</v>
      </c>
      <c r="AG1424" t="s">
        <v>158</v>
      </c>
      <c r="AH1424">
        <v>0</v>
      </c>
      <c r="AI1424">
        <v>3</v>
      </c>
      <c r="AJ1424">
        <v>1</v>
      </c>
      <c r="AK1424">
        <v>0</v>
      </c>
      <c r="AL1424" t="s">
        <v>2785</v>
      </c>
      <c r="AM1424">
        <v>46.808087999999998</v>
      </c>
      <c r="AN1424" t="s">
        <v>2790</v>
      </c>
      <c r="AO1424">
        <v>-122.737134</v>
      </c>
      <c r="AP1424">
        <v>100</v>
      </c>
      <c r="AQ1424">
        <v>2000</v>
      </c>
      <c r="AR1424" t="s">
        <v>118</v>
      </c>
      <c r="AS1424">
        <v>-74</v>
      </c>
      <c r="AT1424">
        <v>1</v>
      </c>
      <c r="AU1424">
        <v>512</v>
      </c>
      <c r="BC1424">
        <v>1200</v>
      </c>
      <c r="BD1424">
        <v>1</v>
      </c>
      <c r="BE1424" t="str">
        <f t="shared" si="68"/>
        <v xml:space="preserve">N215T   </v>
      </c>
      <c r="BF1424">
        <v>1</v>
      </c>
      <c r="BH1424">
        <v>0</v>
      </c>
      <c r="BI1424">
        <v>0</v>
      </c>
      <c r="BJ1424">
        <v>0</v>
      </c>
      <c r="BK1424">
        <v>2375</v>
      </c>
      <c r="BL1424">
        <v>375</v>
      </c>
      <c r="BM1424" t="s">
        <v>119</v>
      </c>
      <c r="BN1424">
        <v>1</v>
      </c>
      <c r="BO1424">
        <v>1</v>
      </c>
      <c r="BP1424">
        <v>1</v>
      </c>
      <c r="BQ1424">
        <v>0</v>
      </c>
      <c r="BT1424">
        <v>0</v>
      </c>
      <c r="BU1424">
        <v>0</v>
      </c>
      <c r="BV1424">
        <v>0</v>
      </c>
      <c r="CC1424" t="str">
        <f>"18:58:30.219"</f>
        <v>18:58:30.219</v>
      </c>
      <c r="CD1424" t="str">
        <f>"218110768"</f>
        <v>218110768</v>
      </c>
      <c r="CQ1424">
        <v>0</v>
      </c>
      <c r="CR1424">
        <v>2</v>
      </c>
      <c r="CS1424">
        <v>0</v>
      </c>
      <c r="CT1424">
        <v>2</v>
      </c>
      <c r="CU1424">
        <v>0</v>
      </c>
      <c r="CV1424">
        <v>7</v>
      </c>
      <c r="CW1424" t="s">
        <v>120</v>
      </c>
      <c r="CX1424">
        <v>261</v>
      </c>
      <c r="CY1424">
        <v>2</v>
      </c>
      <c r="CZ1424" t="s">
        <v>121</v>
      </c>
      <c r="DA1424" t="s">
        <v>122</v>
      </c>
      <c r="DD1424">
        <v>15066730</v>
      </c>
      <c r="DE1424" t="s">
        <v>123</v>
      </c>
    </row>
    <row r="1425" spans="1:109" x14ac:dyDescent="0.3">
      <c r="A1425" t="str">
        <f>"18:58:31.484"</f>
        <v>18:58:31.484</v>
      </c>
      <c r="B1425" t="s">
        <v>110</v>
      </c>
      <c r="C1425" t="str">
        <f t="shared" si="66"/>
        <v>ffdfd3c0</v>
      </c>
      <c r="D1425" t="s">
        <v>111</v>
      </c>
      <c r="E1425">
        <v>18</v>
      </c>
      <c r="F1425">
        <v>1018</v>
      </c>
      <c r="G1425" t="s">
        <v>112</v>
      </c>
      <c r="J1425" t="s">
        <v>113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R1425" t="s">
        <v>114</v>
      </c>
      <c r="S1425" t="str">
        <f>"18:58:31.234"</f>
        <v>18:58:31.234</v>
      </c>
      <c r="T1425" t="str">
        <f>"18:58:30.938"</f>
        <v>18:58:30.938</v>
      </c>
      <c r="U1425" t="str">
        <f t="shared" si="67"/>
        <v>a1cdbe</v>
      </c>
      <c r="V1425">
        <v>0</v>
      </c>
      <c r="W1425">
        <v>0</v>
      </c>
      <c r="X1425">
        <v>1</v>
      </c>
      <c r="Y1425">
        <v>0</v>
      </c>
      <c r="Z1425">
        <v>0</v>
      </c>
      <c r="AB1425">
        <v>0</v>
      </c>
      <c r="AC1425">
        <v>9</v>
      </c>
      <c r="AD1425">
        <v>3</v>
      </c>
      <c r="AE1425">
        <v>0</v>
      </c>
      <c r="AF1425">
        <v>9</v>
      </c>
      <c r="AG1425" t="s">
        <v>158</v>
      </c>
      <c r="AH1425">
        <v>0</v>
      </c>
      <c r="AI1425">
        <v>3</v>
      </c>
      <c r="AJ1425">
        <v>1</v>
      </c>
      <c r="AK1425">
        <v>0</v>
      </c>
      <c r="AL1425" t="s">
        <v>2781</v>
      </c>
      <c r="AM1425">
        <v>46.808131000000003</v>
      </c>
      <c r="AN1425" t="s">
        <v>2791</v>
      </c>
      <c r="AO1425">
        <v>-122.73764799999999</v>
      </c>
      <c r="AP1425">
        <v>100</v>
      </c>
      <c r="AQ1425">
        <v>2000</v>
      </c>
      <c r="AR1425" t="s">
        <v>118</v>
      </c>
      <c r="AS1425">
        <v>-74</v>
      </c>
      <c r="AT1425">
        <v>2</v>
      </c>
      <c r="AU1425">
        <v>448</v>
      </c>
      <c r="BC1425">
        <v>1200</v>
      </c>
      <c r="BD1425">
        <v>1</v>
      </c>
      <c r="BE1425" t="str">
        <f t="shared" si="68"/>
        <v xml:space="preserve">N215T   </v>
      </c>
      <c r="BF1425">
        <v>1</v>
      </c>
      <c r="BH1425">
        <v>0</v>
      </c>
      <c r="BI1425">
        <v>0</v>
      </c>
      <c r="BJ1425">
        <v>0</v>
      </c>
      <c r="BK1425">
        <v>2375</v>
      </c>
      <c r="BL1425">
        <v>375</v>
      </c>
      <c r="BM1425" t="s">
        <v>119</v>
      </c>
      <c r="BN1425">
        <v>1</v>
      </c>
      <c r="BO1425">
        <v>1</v>
      </c>
      <c r="BP1425">
        <v>1</v>
      </c>
      <c r="BQ1425">
        <v>0</v>
      </c>
      <c r="BT1425">
        <v>0</v>
      </c>
      <c r="BU1425">
        <v>0</v>
      </c>
      <c r="BV1425">
        <v>0</v>
      </c>
      <c r="CC1425" t="str">
        <f>"18:58:31.234"</f>
        <v>18:58:31.234</v>
      </c>
      <c r="CD1425" t="str">
        <f>"238010309"</f>
        <v>238010309</v>
      </c>
      <c r="CQ1425">
        <v>0</v>
      </c>
      <c r="CR1425">
        <v>2</v>
      </c>
      <c r="CS1425">
        <v>0</v>
      </c>
      <c r="CT1425">
        <v>2</v>
      </c>
      <c r="CU1425">
        <v>0</v>
      </c>
      <c r="CV1425">
        <v>7</v>
      </c>
      <c r="CW1425" t="s">
        <v>120</v>
      </c>
      <c r="CX1425">
        <v>261</v>
      </c>
      <c r="CY1425">
        <v>2</v>
      </c>
      <c r="CZ1425" t="s">
        <v>121</v>
      </c>
      <c r="DA1425" t="s">
        <v>122</v>
      </c>
      <c r="DD1425">
        <v>15067448</v>
      </c>
      <c r="DE1425" t="s">
        <v>123</v>
      </c>
    </row>
    <row r="1426" spans="1:109" x14ac:dyDescent="0.3">
      <c r="A1426" t="str">
        <f>"18:58:32.547"</f>
        <v>18:58:32.547</v>
      </c>
      <c r="B1426" t="s">
        <v>110</v>
      </c>
      <c r="C1426" t="str">
        <f t="shared" si="66"/>
        <v>ffdfd3c0</v>
      </c>
      <c r="D1426" t="s">
        <v>111</v>
      </c>
      <c r="E1426">
        <v>18</v>
      </c>
      <c r="F1426">
        <v>1018</v>
      </c>
      <c r="G1426" t="s">
        <v>112</v>
      </c>
      <c r="J1426" t="s">
        <v>113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R1426" t="s">
        <v>114</v>
      </c>
      <c r="S1426" t="str">
        <f>"18:58:32.313"</f>
        <v>18:58:32.313</v>
      </c>
      <c r="T1426" t="str">
        <f>"18:58:31.813"</f>
        <v>18:58:31.813</v>
      </c>
      <c r="U1426" t="str">
        <f t="shared" si="67"/>
        <v>a1cdbe</v>
      </c>
      <c r="V1426">
        <v>0</v>
      </c>
      <c r="W1426">
        <v>0</v>
      </c>
      <c r="X1426">
        <v>1</v>
      </c>
      <c r="Y1426">
        <v>0</v>
      </c>
      <c r="Z1426">
        <v>0</v>
      </c>
      <c r="AB1426">
        <v>0</v>
      </c>
      <c r="AC1426">
        <v>9</v>
      </c>
      <c r="AD1426">
        <v>3</v>
      </c>
      <c r="AE1426">
        <v>0</v>
      </c>
      <c r="AF1426">
        <v>9</v>
      </c>
      <c r="AG1426" t="s">
        <v>158</v>
      </c>
      <c r="AH1426">
        <v>0</v>
      </c>
      <c r="AI1426">
        <v>3</v>
      </c>
      <c r="AJ1426">
        <v>1</v>
      </c>
      <c r="AK1426">
        <v>0</v>
      </c>
      <c r="AL1426" t="s">
        <v>2781</v>
      </c>
      <c r="AM1426">
        <v>46.808131000000003</v>
      </c>
      <c r="AN1426" t="s">
        <v>2792</v>
      </c>
      <c r="AO1426">
        <v>-122.738163</v>
      </c>
      <c r="AP1426">
        <v>100</v>
      </c>
      <c r="AQ1426">
        <v>2000</v>
      </c>
      <c r="AR1426" t="s">
        <v>118</v>
      </c>
      <c r="AS1426">
        <v>-73</v>
      </c>
      <c r="AT1426">
        <v>4</v>
      </c>
      <c r="AU1426">
        <v>320</v>
      </c>
      <c r="BC1426">
        <v>1200</v>
      </c>
      <c r="BD1426">
        <v>1</v>
      </c>
      <c r="BE1426" t="str">
        <f t="shared" si="68"/>
        <v xml:space="preserve">N215T   </v>
      </c>
      <c r="BF1426">
        <v>1</v>
      </c>
      <c r="BH1426">
        <v>0</v>
      </c>
      <c r="BI1426">
        <v>0</v>
      </c>
      <c r="BJ1426">
        <v>0</v>
      </c>
      <c r="BK1426">
        <v>2400</v>
      </c>
      <c r="BL1426">
        <v>400</v>
      </c>
      <c r="BM1426" t="s">
        <v>119</v>
      </c>
      <c r="BN1426">
        <v>1</v>
      </c>
      <c r="BO1426">
        <v>1</v>
      </c>
      <c r="BP1426">
        <v>1</v>
      </c>
      <c r="BQ1426">
        <v>0</v>
      </c>
      <c r="BT1426">
        <v>0</v>
      </c>
      <c r="BU1426">
        <v>0</v>
      </c>
      <c r="BV1426">
        <v>0</v>
      </c>
      <c r="CC1426" t="str">
        <f>"18:58:32.320"</f>
        <v>18:58:32.320</v>
      </c>
      <c r="CD1426" t="str">
        <f>"317903942"</f>
        <v>317903942</v>
      </c>
      <c r="CQ1426">
        <v>0</v>
      </c>
      <c r="CR1426">
        <v>2</v>
      </c>
      <c r="CS1426">
        <v>0</v>
      </c>
      <c r="CT1426">
        <v>2</v>
      </c>
      <c r="CU1426">
        <v>0</v>
      </c>
      <c r="CV1426">
        <v>7</v>
      </c>
      <c r="CW1426" t="s">
        <v>120</v>
      </c>
      <c r="CX1426">
        <v>261</v>
      </c>
      <c r="CY1426">
        <v>2</v>
      </c>
      <c r="CZ1426" t="s">
        <v>121</v>
      </c>
      <c r="DA1426" t="s">
        <v>122</v>
      </c>
      <c r="DD1426">
        <v>15068165</v>
      </c>
      <c r="DE1426" t="s">
        <v>123</v>
      </c>
    </row>
    <row r="1427" spans="1:109" x14ac:dyDescent="0.3">
      <c r="A1427" t="str">
        <f>"18:58:33.500"</f>
        <v>18:58:33.500</v>
      </c>
      <c r="B1427" t="s">
        <v>110</v>
      </c>
      <c r="C1427" t="str">
        <f t="shared" si="66"/>
        <v>ffdfd3c0</v>
      </c>
      <c r="D1427" t="s">
        <v>111</v>
      </c>
      <c r="E1427">
        <v>18</v>
      </c>
      <c r="F1427">
        <v>1018</v>
      </c>
      <c r="G1427" t="s">
        <v>112</v>
      </c>
      <c r="J1427" t="s">
        <v>113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R1427" t="s">
        <v>114</v>
      </c>
      <c r="S1427" t="str">
        <f>"18:58:33.305"</f>
        <v>18:58:33.305</v>
      </c>
      <c r="T1427" t="str">
        <f>"18:58:32.805"</f>
        <v>18:58:32.805</v>
      </c>
      <c r="U1427" t="str">
        <f t="shared" si="67"/>
        <v>a1cdbe</v>
      </c>
      <c r="V1427">
        <v>0</v>
      </c>
      <c r="W1427">
        <v>0</v>
      </c>
      <c r="X1427">
        <v>1</v>
      </c>
      <c r="Y1427">
        <v>0</v>
      </c>
      <c r="Z1427">
        <v>0</v>
      </c>
      <c r="AB1427">
        <v>0</v>
      </c>
      <c r="AC1427">
        <v>9</v>
      </c>
      <c r="AD1427">
        <v>3</v>
      </c>
      <c r="AE1427">
        <v>0</v>
      </c>
      <c r="AF1427">
        <v>9</v>
      </c>
      <c r="AG1427" t="s">
        <v>158</v>
      </c>
      <c r="AH1427">
        <v>0</v>
      </c>
      <c r="AI1427">
        <v>3</v>
      </c>
      <c r="AJ1427">
        <v>1</v>
      </c>
      <c r="AK1427">
        <v>0</v>
      </c>
      <c r="AL1427" t="s">
        <v>2775</v>
      </c>
      <c r="AM1427">
        <v>46.808174000000001</v>
      </c>
      <c r="AN1427" t="s">
        <v>2793</v>
      </c>
      <c r="AO1427">
        <v>-122.738657</v>
      </c>
      <c r="AP1427">
        <v>100</v>
      </c>
      <c r="AQ1427">
        <v>2000</v>
      </c>
      <c r="AR1427" t="s">
        <v>118</v>
      </c>
      <c r="AS1427">
        <v>-73</v>
      </c>
      <c r="AT1427">
        <v>6</v>
      </c>
      <c r="AU1427">
        <v>320</v>
      </c>
      <c r="BC1427">
        <v>1200</v>
      </c>
      <c r="BD1427">
        <v>1</v>
      </c>
      <c r="BE1427" t="str">
        <f t="shared" si="68"/>
        <v xml:space="preserve">N215T   </v>
      </c>
      <c r="BF1427">
        <v>1</v>
      </c>
      <c r="BH1427">
        <v>0</v>
      </c>
      <c r="BI1427">
        <v>0</v>
      </c>
      <c r="BJ1427">
        <v>0</v>
      </c>
      <c r="BK1427">
        <v>2400</v>
      </c>
      <c r="BL1427">
        <v>400</v>
      </c>
      <c r="BM1427" t="s">
        <v>119</v>
      </c>
      <c r="BN1427">
        <v>1</v>
      </c>
      <c r="BO1427">
        <v>1</v>
      </c>
      <c r="BP1427">
        <v>1</v>
      </c>
      <c r="BQ1427">
        <v>0</v>
      </c>
      <c r="BT1427">
        <v>0</v>
      </c>
      <c r="BU1427">
        <v>0</v>
      </c>
      <c r="BV1427">
        <v>0</v>
      </c>
      <c r="CC1427" t="str">
        <f>"18:58:33.305"</f>
        <v>18:58:33.305</v>
      </c>
      <c r="CD1427" t="str">
        <f>"307806431"</f>
        <v>307806431</v>
      </c>
      <c r="CQ1427">
        <v>0</v>
      </c>
      <c r="CR1427">
        <v>2</v>
      </c>
      <c r="CS1427">
        <v>0</v>
      </c>
      <c r="CT1427">
        <v>2</v>
      </c>
      <c r="CU1427">
        <v>0</v>
      </c>
      <c r="CV1427">
        <v>7</v>
      </c>
      <c r="CW1427" t="s">
        <v>120</v>
      </c>
      <c r="CX1427">
        <v>261</v>
      </c>
      <c r="CY1427">
        <v>2</v>
      </c>
      <c r="CZ1427" t="s">
        <v>121</v>
      </c>
      <c r="DA1427" t="s">
        <v>122</v>
      </c>
      <c r="DD1427">
        <v>15068838</v>
      </c>
      <c r="DE1427" t="s">
        <v>123</v>
      </c>
    </row>
    <row r="1428" spans="1:109" x14ac:dyDescent="0.3">
      <c r="A1428" t="str">
        <f>"18:58:34.508"</f>
        <v>18:58:34.508</v>
      </c>
      <c r="B1428" t="s">
        <v>110</v>
      </c>
      <c r="C1428" t="str">
        <f t="shared" si="66"/>
        <v>ffdfd3c0</v>
      </c>
      <c r="D1428" t="s">
        <v>111</v>
      </c>
      <c r="E1428">
        <v>18</v>
      </c>
      <c r="F1428">
        <v>1018</v>
      </c>
      <c r="G1428" t="s">
        <v>112</v>
      </c>
      <c r="J1428" t="s">
        <v>113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R1428" t="s">
        <v>114</v>
      </c>
      <c r="S1428" t="str">
        <f>"18:58:34.219"</f>
        <v>18:58:34.219</v>
      </c>
      <c r="T1428" t="str">
        <f>"18:58:34.219"</f>
        <v>18:58:34.219</v>
      </c>
      <c r="U1428" t="str">
        <f t="shared" si="67"/>
        <v>a1cdbe</v>
      </c>
      <c r="V1428">
        <v>0</v>
      </c>
      <c r="W1428">
        <v>0</v>
      </c>
      <c r="X1428">
        <v>1</v>
      </c>
      <c r="Y1428">
        <v>0</v>
      </c>
      <c r="Z1428">
        <v>0</v>
      </c>
      <c r="AB1428">
        <v>0</v>
      </c>
      <c r="AC1428">
        <v>9</v>
      </c>
      <c r="AD1428">
        <v>3</v>
      </c>
      <c r="AE1428">
        <v>0</v>
      </c>
      <c r="AF1428">
        <v>9</v>
      </c>
      <c r="AG1428" t="s">
        <v>158</v>
      </c>
      <c r="AH1428">
        <v>0</v>
      </c>
      <c r="AI1428">
        <v>3</v>
      </c>
      <c r="AJ1428">
        <v>1</v>
      </c>
      <c r="AK1428">
        <v>0</v>
      </c>
      <c r="AL1428" t="s">
        <v>2794</v>
      </c>
      <c r="AM1428">
        <v>46.808238000000003</v>
      </c>
      <c r="AN1428" t="s">
        <v>2795</v>
      </c>
      <c r="AO1428">
        <v>-122.739043</v>
      </c>
      <c r="AP1428">
        <v>100</v>
      </c>
      <c r="AQ1428">
        <v>2000</v>
      </c>
      <c r="AR1428" t="s">
        <v>118</v>
      </c>
      <c r="AS1428">
        <v>-72</v>
      </c>
      <c r="AT1428">
        <v>9</v>
      </c>
      <c r="AU1428">
        <v>384</v>
      </c>
      <c r="BC1428">
        <v>1200</v>
      </c>
      <c r="BD1428">
        <v>1</v>
      </c>
      <c r="BE1428" t="str">
        <f t="shared" si="68"/>
        <v xml:space="preserve">N215T   </v>
      </c>
      <c r="BF1428">
        <v>1</v>
      </c>
      <c r="BH1428">
        <v>0</v>
      </c>
      <c r="BI1428">
        <v>0</v>
      </c>
      <c r="BJ1428">
        <v>0</v>
      </c>
      <c r="BK1428">
        <v>2400</v>
      </c>
      <c r="BL1428">
        <v>400</v>
      </c>
      <c r="BM1428" t="s">
        <v>119</v>
      </c>
      <c r="BN1428">
        <v>1</v>
      </c>
      <c r="BO1428">
        <v>1</v>
      </c>
      <c r="BP1428">
        <v>1</v>
      </c>
      <c r="BQ1428">
        <v>0</v>
      </c>
      <c r="BT1428">
        <v>0</v>
      </c>
      <c r="BU1428">
        <v>0</v>
      </c>
      <c r="BV1428">
        <v>0</v>
      </c>
      <c r="CC1428" t="str">
        <f>"18:58:34.227"</f>
        <v>18:58:34.227</v>
      </c>
      <c r="CD1428" t="str">
        <f>"222769646"</f>
        <v>222769646</v>
      </c>
      <c r="CQ1428">
        <v>0</v>
      </c>
      <c r="CR1428">
        <v>2</v>
      </c>
      <c r="CS1428">
        <v>0</v>
      </c>
      <c r="CT1428">
        <v>2</v>
      </c>
      <c r="CU1428">
        <v>0</v>
      </c>
      <c r="CV1428">
        <v>6</v>
      </c>
      <c r="CW1428" t="s">
        <v>120</v>
      </c>
      <c r="CX1428">
        <v>257</v>
      </c>
      <c r="CY1428">
        <v>1</v>
      </c>
      <c r="CZ1428" t="s">
        <v>615</v>
      </c>
      <c r="DA1428" t="s">
        <v>616</v>
      </c>
      <c r="DD1428">
        <v>11435584</v>
      </c>
      <c r="DE1428" t="s">
        <v>123</v>
      </c>
    </row>
    <row r="1429" spans="1:109" x14ac:dyDescent="0.3">
      <c r="A1429" t="str">
        <f>"18:58:35.508"</f>
        <v>18:58:35.508</v>
      </c>
      <c r="B1429" t="s">
        <v>110</v>
      </c>
      <c r="C1429" t="str">
        <f t="shared" si="66"/>
        <v>ffdfd3c0</v>
      </c>
      <c r="D1429" t="s">
        <v>111</v>
      </c>
      <c r="E1429">
        <v>18</v>
      </c>
      <c r="F1429">
        <v>1018</v>
      </c>
      <c r="G1429" t="s">
        <v>112</v>
      </c>
      <c r="J1429" t="s">
        <v>113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R1429" t="s">
        <v>114</v>
      </c>
      <c r="S1429" t="str">
        <f>"18:58:35.266"</f>
        <v>18:58:35.266</v>
      </c>
      <c r="T1429" t="str">
        <f>"18:58:35.164"</f>
        <v>18:58:35.164</v>
      </c>
      <c r="U1429" t="str">
        <f t="shared" si="67"/>
        <v>a1cdbe</v>
      </c>
      <c r="V1429">
        <v>0</v>
      </c>
      <c r="W1429">
        <v>0</v>
      </c>
      <c r="X1429">
        <v>1</v>
      </c>
      <c r="Y1429">
        <v>0</v>
      </c>
      <c r="Z1429">
        <v>0</v>
      </c>
      <c r="AB1429">
        <v>0</v>
      </c>
      <c r="AC1429">
        <v>9</v>
      </c>
      <c r="AD1429">
        <v>3</v>
      </c>
      <c r="AE1429">
        <v>0</v>
      </c>
      <c r="AF1429">
        <v>9</v>
      </c>
      <c r="AG1429" t="s">
        <v>158</v>
      </c>
      <c r="AH1429">
        <v>0</v>
      </c>
      <c r="AI1429">
        <v>3</v>
      </c>
      <c r="AJ1429">
        <v>1</v>
      </c>
      <c r="AK1429">
        <v>0</v>
      </c>
      <c r="AL1429" t="s">
        <v>2766</v>
      </c>
      <c r="AM1429">
        <v>46.808259</v>
      </c>
      <c r="AN1429" t="s">
        <v>2796</v>
      </c>
      <c r="AO1429">
        <v>-122.73960099999999</v>
      </c>
      <c r="AP1429">
        <v>100</v>
      </c>
      <c r="AQ1429">
        <v>2000</v>
      </c>
      <c r="AR1429" t="s">
        <v>118</v>
      </c>
      <c r="AS1429">
        <v>-72</v>
      </c>
      <c r="AT1429">
        <v>9</v>
      </c>
      <c r="AU1429">
        <v>256</v>
      </c>
      <c r="BC1429">
        <v>1200</v>
      </c>
      <c r="BD1429">
        <v>1</v>
      </c>
      <c r="BE1429" t="str">
        <f t="shared" si="68"/>
        <v xml:space="preserve">N215T   </v>
      </c>
      <c r="BF1429">
        <v>1</v>
      </c>
      <c r="BH1429">
        <v>0</v>
      </c>
      <c r="BI1429">
        <v>0</v>
      </c>
      <c r="BJ1429">
        <v>0</v>
      </c>
      <c r="BK1429">
        <v>2400</v>
      </c>
      <c r="BL1429">
        <v>400</v>
      </c>
      <c r="BM1429" t="s">
        <v>119</v>
      </c>
      <c r="BN1429">
        <v>1</v>
      </c>
      <c r="BO1429">
        <v>1</v>
      </c>
      <c r="BP1429">
        <v>1</v>
      </c>
      <c r="BQ1429">
        <v>0</v>
      </c>
      <c r="BT1429">
        <v>0</v>
      </c>
      <c r="BU1429">
        <v>0</v>
      </c>
      <c r="BV1429">
        <v>0</v>
      </c>
      <c r="CC1429" t="str">
        <f>"18:58:35.273"</f>
        <v>18:58:35.273</v>
      </c>
      <c r="CD1429" t="str">
        <f>"272612881"</f>
        <v>272612881</v>
      </c>
      <c r="CQ1429">
        <v>0</v>
      </c>
      <c r="CR1429">
        <v>2</v>
      </c>
      <c r="CS1429">
        <v>0</v>
      </c>
      <c r="CT1429">
        <v>2</v>
      </c>
      <c r="CU1429">
        <v>0</v>
      </c>
      <c r="CV1429">
        <v>7</v>
      </c>
      <c r="CW1429" t="s">
        <v>120</v>
      </c>
      <c r="CX1429">
        <v>261</v>
      </c>
      <c r="CY1429">
        <v>2</v>
      </c>
      <c r="CZ1429" t="s">
        <v>121</v>
      </c>
      <c r="DA1429" t="s">
        <v>122</v>
      </c>
      <c r="DD1429">
        <v>15070249</v>
      </c>
      <c r="DE1429" t="s">
        <v>123</v>
      </c>
    </row>
    <row r="1430" spans="1:109" x14ac:dyDescent="0.3">
      <c r="A1430" t="str">
        <f>"18:58:36.461"</f>
        <v>18:58:36.461</v>
      </c>
      <c r="B1430" t="s">
        <v>110</v>
      </c>
      <c r="C1430" t="str">
        <f t="shared" si="66"/>
        <v>ffdfd3c0</v>
      </c>
      <c r="D1430" t="s">
        <v>111</v>
      </c>
      <c r="E1430">
        <v>18</v>
      </c>
      <c r="F1430">
        <v>1018</v>
      </c>
      <c r="G1430" t="s">
        <v>112</v>
      </c>
      <c r="J1430" t="s">
        <v>113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R1430" t="s">
        <v>114</v>
      </c>
      <c r="S1430" t="str">
        <f>"18:58:36.227"</f>
        <v>18:58:36.227</v>
      </c>
      <c r="T1430" t="str">
        <f>"18:58:36.227"</f>
        <v>18:58:36.227</v>
      </c>
      <c r="U1430" t="str">
        <f t="shared" si="67"/>
        <v>a1cdbe</v>
      </c>
      <c r="V1430">
        <v>0</v>
      </c>
      <c r="W1430">
        <v>0</v>
      </c>
      <c r="X1430">
        <v>1</v>
      </c>
      <c r="Y1430">
        <v>0</v>
      </c>
      <c r="Z1430">
        <v>0</v>
      </c>
      <c r="AB1430">
        <v>0</v>
      </c>
      <c r="AC1430">
        <v>9</v>
      </c>
      <c r="AD1430">
        <v>3</v>
      </c>
      <c r="AE1430">
        <v>0</v>
      </c>
      <c r="AF1430">
        <v>9</v>
      </c>
      <c r="AG1430" t="s">
        <v>158</v>
      </c>
      <c r="AH1430">
        <v>0</v>
      </c>
      <c r="AI1430">
        <v>3</v>
      </c>
      <c r="AJ1430">
        <v>1</v>
      </c>
      <c r="AK1430">
        <v>0</v>
      </c>
      <c r="AL1430" t="s">
        <v>2797</v>
      </c>
      <c r="AM1430">
        <v>46.808323999999999</v>
      </c>
      <c r="AN1430" t="s">
        <v>2798</v>
      </c>
      <c r="AO1430">
        <v>-122.740073</v>
      </c>
      <c r="AP1430">
        <v>100</v>
      </c>
      <c r="AQ1430">
        <v>2000</v>
      </c>
      <c r="AR1430" t="s">
        <v>118</v>
      </c>
      <c r="AS1430">
        <v>-72</v>
      </c>
      <c r="AT1430">
        <v>10</v>
      </c>
      <c r="AU1430">
        <v>192</v>
      </c>
      <c r="BC1430">
        <v>1200</v>
      </c>
      <c r="BD1430">
        <v>1</v>
      </c>
      <c r="BE1430" t="str">
        <f t="shared" si="68"/>
        <v xml:space="preserve">N215T   </v>
      </c>
      <c r="BF1430">
        <v>1</v>
      </c>
      <c r="BH1430">
        <v>0</v>
      </c>
      <c r="BI1430">
        <v>0</v>
      </c>
      <c r="BJ1430">
        <v>0</v>
      </c>
      <c r="BK1430">
        <v>2425</v>
      </c>
      <c r="BL1430">
        <v>425</v>
      </c>
      <c r="BM1430" t="s">
        <v>119</v>
      </c>
      <c r="BN1430">
        <v>1</v>
      </c>
      <c r="BO1430">
        <v>1</v>
      </c>
      <c r="BP1430">
        <v>1</v>
      </c>
      <c r="BQ1430">
        <v>0</v>
      </c>
      <c r="BT1430">
        <v>0</v>
      </c>
      <c r="BU1430">
        <v>0</v>
      </c>
      <c r="BV1430">
        <v>0</v>
      </c>
      <c r="CC1430" t="str">
        <f>"18:58:36.234"</f>
        <v>18:58:36.234</v>
      </c>
      <c r="CD1430" t="str">
        <f>"232518332"</f>
        <v>232518332</v>
      </c>
      <c r="CQ1430">
        <v>0</v>
      </c>
      <c r="CR1430">
        <v>2</v>
      </c>
      <c r="CS1430">
        <v>0</v>
      </c>
      <c r="CT1430">
        <v>2</v>
      </c>
      <c r="CU1430">
        <v>0</v>
      </c>
      <c r="CV1430">
        <v>7</v>
      </c>
      <c r="CW1430" t="s">
        <v>120</v>
      </c>
      <c r="CX1430">
        <v>261</v>
      </c>
      <c r="CY1430">
        <v>2</v>
      </c>
      <c r="CZ1430" t="s">
        <v>121</v>
      </c>
      <c r="DA1430" t="s">
        <v>122</v>
      </c>
      <c r="DD1430">
        <v>15070874</v>
      </c>
      <c r="DE1430" t="s">
        <v>123</v>
      </c>
    </row>
    <row r="1431" spans="1:109" x14ac:dyDescent="0.3">
      <c r="A1431" t="str">
        <f>"18:58:37.523"</f>
        <v>18:58:37.523</v>
      </c>
      <c r="B1431" t="s">
        <v>110</v>
      </c>
      <c r="C1431" t="str">
        <f t="shared" si="66"/>
        <v>ffdfd3c0</v>
      </c>
      <c r="D1431" t="s">
        <v>111</v>
      </c>
      <c r="E1431">
        <v>18</v>
      </c>
      <c r="F1431">
        <v>1018</v>
      </c>
      <c r="G1431" t="s">
        <v>112</v>
      </c>
      <c r="J1431" t="s">
        <v>113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R1431" t="s">
        <v>114</v>
      </c>
      <c r="S1431" t="str">
        <f>"18:58:37.281"</f>
        <v>18:58:37.281</v>
      </c>
      <c r="T1431" t="str">
        <f>"18:58:37.180"</f>
        <v>18:58:37.180</v>
      </c>
      <c r="U1431" t="str">
        <f t="shared" si="67"/>
        <v>a1cdbe</v>
      </c>
      <c r="V1431">
        <v>0</v>
      </c>
      <c r="W1431">
        <v>0</v>
      </c>
      <c r="X1431">
        <v>1</v>
      </c>
      <c r="Y1431">
        <v>0</v>
      </c>
      <c r="Z1431">
        <v>0</v>
      </c>
      <c r="AB1431">
        <v>0</v>
      </c>
      <c r="AC1431">
        <v>9</v>
      </c>
      <c r="AD1431">
        <v>3</v>
      </c>
      <c r="AE1431">
        <v>0</v>
      </c>
      <c r="AF1431">
        <v>9</v>
      </c>
      <c r="AG1431" t="s">
        <v>158</v>
      </c>
      <c r="AH1431">
        <v>0</v>
      </c>
      <c r="AI1431">
        <v>3</v>
      </c>
      <c r="AJ1431">
        <v>1</v>
      </c>
      <c r="AK1431">
        <v>0</v>
      </c>
      <c r="AL1431" t="s">
        <v>2761</v>
      </c>
      <c r="AM1431">
        <v>46.808345000000003</v>
      </c>
      <c r="AN1431" t="s">
        <v>2799</v>
      </c>
      <c r="AO1431">
        <v>-122.740588</v>
      </c>
      <c r="AP1431">
        <v>100</v>
      </c>
      <c r="AQ1431">
        <v>2000</v>
      </c>
      <c r="AR1431" t="s">
        <v>118</v>
      </c>
      <c r="AS1431">
        <v>-72</v>
      </c>
      <c r="AT1431">
        <v>9</v>
      </c>
      <c r="AU1431">
        <v>64</v>
      </c>
      <c r="BC1431">
        <v>1200</v>
      </c>
      <c r="BD1431">
        <v>1</v>
      </c>
      <c r="BE1431" t="str">
        <f t="shared" si="68"/>
        <v xml:space="preserve">N215T   </v>
      </c>
      <c r="BF1431">
        <v>1</v>
      </c>
      <c r="BH1431">
        <v>0</v>
      </c>
      <c r="BI1431">
        <v>0</v>
      </c>
      <c r="BJ1431">
        <v>0</v>
      </c>
      <c r="BK1431">
        <v>2425</v>
      </c>
      <c r="BL1431">
        <v>425</v>
      </c>
      <c r="BM1431" t="s">
        <v>119</v>
      </c>
      <c r="BN1431">
        <v>1</v>
      </c>
      <c r="BO1431">
        <v>1</v>
      </c>
      <c r="BP1431">
        <v>1</v>
      </c>
      <c r="BQ1431">
        <v>0</v>
      </c>
      <c r="BT1431">
        <v>0</v>
      </c>
      <c r="BU1431">
        <v>0</v>
      </c>
      <c r="BV1431">
        <v>0</v>
      </c>
      <c r="CC1431" t="str">
        <f>"18:58:37.281"</f>
        <v>18:58:37.281</v>
      </c>
      <c r="CD1431" t="str">
        <f>"282414915"</f>
        <v>282414915</v>
      </c>
      <c r="CQ1431">
        <v>0</v>
      </c>
      <c r="CR1431">
        <v>2</v>
      </c>
      <c r="CS1431">
        <v>0</v>
      </c>
      <c r="CT1431">
        <v>2</v>
      </c>
      <c r="CU1431">
        <v>0</v>
      </c>
      <c r="CV1431">
        <v>7</v>
      </c>
      <c r="CW1431" t="s">
        <v>120</v>
      </c>
      <c r="CX1431">
        <v>261</v>
      </c>
      <c r="CY1431">
        <v>2</v>
      </c>
      <c r="CZ1431" t="s">
        <v>121</v>
      </c>
      <c r="DA1431" t="s">
        <v>122</v>
      </c>
      <c r="DD1431">
        <v>15071589</v>
      </c>
      <c r="DE1431" t="s">
        <v>123</v>
      </c>
    </row>
    <row r="1432" spans="1:109" x14ac:dyDescent="0.3">
      <c r="A1432" t="str">
        <f>"18:58:38.523"</f>
        <v>18:58:38.523</v>
      </c>
      <c r="B1432" t="s">
        <v>110</v>
      </c>
      <c r="C1432" t="str">
        <f t="shared" si="66"/>
        <v>ffdfd3c0</v>
      </c>
      <c r="D1432" t="s">
        <v>111</v>
      </c>
      <c r="E1432">
        <v>18</v>
      </c>
      <c r="F1432">
        <v>1018</v>
      </c>
      <c r="G1432" t="s">
        <v>112</v>
      </c>
      <c r="J1432" t="s">
        <v>113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R1432" t="s">
        <v>114</v>
      </c>
      <c r="S1432" t="str">
        <f>"18:58:38.297"</f>
        <v>18:58:38.297</v>
      </c>
      <c r="T1432" t="str">
        <f>"18:58:38.297"</f>
        <v>18:58:38.297</v>
      </c>
      <c r="U1432" t="str">
        <f t="shared" si="67"/>
        <v>a1cdbe</v>
      </c>
      <c r="V1432">
        <v>0</v>
      </c>
      <c r="W1432">
        <v>0</v>
      </c>
      <c r="X1432">
        <v>1</v>
      </c>
      <c r="Y1432">
        <v>0</v>
      </c>
      <c r="Z1432">
        <v>0</v>
      </c>
      <c r="AB1432">
        <v>0</v>
      </c>
      <c r="AC1432">
        <v>9</v>
      </c>
      <c r="AD1432">
        <v>3</v>
      </c>
      <c r="AE1432">
        <v>0</v>
      </c>
      <c r="AF1432">
        <v>9</v>
      </c>
      <c r="AG1432" t="s">
        <v>158</v>
      </c>
      <c r="AH1432">
        <v>0</v>
      </c>
      <c r="AI1432">
        <v>3</v>
      </c>
      <c r="AJ1432">
        <v>1</v>
      </c>
      <c r="AK1432">
        <v>0</v>
      </c>
      <c r="AL1432" t="s">
        <v>2759</v>
      </c>
      <c r="AM1432">
        <v>46.808366999999997</v>
      </c>
      <c r="AN1432" t="s">
        <v>2800</v>
      </c>
      <c r="AO1432">
        <v>-122.741039</v>
      </c>
      <c r="AP1432">
        <v>100</v>
      </c>
      <c r="AQ1432">
        <v>2000</v>
      </c>
      <c r="AR1432" t="s">
        <v>118</v>
      </c>
      <c r="AS1432">
        <v>-72</v>
      </c>
      <c r="AT1432">
        <v>8</v>
      </c>
      <c r="AU1432">
        <v>0</v>
      </c>
      <c r="BC1432">
        <v>1200</v>
      </c>
      <c r="BD1432">
        <v>1</v>
      </c>
      <c r="BE1432" t="str">
        <f t="shared" si="68"/>
        <v xml:space="preserve">N215T   </v>
      </c>
      <c r="BF1432">
        <v>1</v>
      </c>
      <c r="BH1432">
        <v>0</v>
      </c>
      <c r="BI1432">
        <v>0</v>
      </c>
      <c r="BJ1432">
        <v>0</v>
      </c>
      <c r="BK1432">
        <v>2425</v>
      </c>
      <c r="BL1432">
        <v>425</v>
      </c>
      <c r="BM1432" t="s">
        <v>119</v>
      </c>
      <c r="BN1432">
        <v>1</v>
      </c>
      <c r="BO1432">
        <v>1</v>
      </c>
      <c r="BP1432">
        <v>1</v>
      </c>
      <c r="BQ1432">
        <v>0</v>
      </c>
      <c r="BT1432">
        <v>0</v>
      </c>
      <c r="BU1432">
        <v>0</v>
      </c>
      <c r="BV1432">
        <v>0</v>
      </c>
      <c r="CC1432" t="str">
        <f>"18:58:38.305"</f>
        <v>18:58:38.305</v>
      </c>
      <c r="CD1432" t="str">
        <f>"302314451"</f>
        <v>302314451</v>
      </c>
      <c r="CQ1432">
        <v>0</v>
      </c>
      <c r="CR1432">
        <v>2</v>
      </c>
      <c r="CS1432">
        <v>0</v>
      </c>
      <c r="CT1432">
        <v>2</v>
      </c>
      <c r="CU1432">
        <v>0</v>
      </c>
      <c r="CV1432">
        <v>7</v>
      </c>
      <c r="CW1432" t="s">
        <v>120</v>
      </c>
      <c r="CX1432">
        <v>261</v>
      </c>
      <c r="CY1432">
        <v>2</v>
      </c>
      <c r="CZ1432" t="s">
        <v>121</v>
      </c>
      <c r="DA1432" t="s">
        <v>122</v>
      </c>
      <c r="DD1432">
        <v>15072320</v>
      </c>
      <c r="DE1432" t="s">
        <v>123</v>
      </c>
    </row>
    <row r="1433" spans="1:109" x14ac:dyDescent="0.3">
      <c r="A1433" t="str">
        <f>"18:58:39.578"</f>
        <v>18:58:39.578</v>
      </c>
      <c r="B1433" t="s">
        <v>110</v>
      </c>
      <c r="C1433" t="str">
        <f t="shared" si="66"/>
        <v>ffdfd3c0</v>
      </c>
      <c r="D1433" t="s">
        <v>111</v>
      </c>
      <c r="E1433">
        <v>18</v>
      </c>
      <c r="F1433">
        <v>1018</v>
      </c>
      <c r="G1433" t="s">
        <v>112</v>
      </c>
      <c r="J1433" t="s">
        <v>113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R1433" t="s">
        <v>114</v>
      </c>
      <c r="S1433" t="str">
        <f>"18:58:39.352"</f>
        <v>18:58:39.352</v>
      </c>
      <c r="T1433" t="str">
        <f>"18:58:38.852"</f>
        <v>18:58:38.852</v>
      </c>
      <c r="U1433" t="str">
        <f t="shared" si="67"/>
        <v>a1cdbe</v>
      </c>
      <c r="V1433">
        <v>0</v>
      </c>
      <c r="W1433">
        <v>0</v>
      </c>
      <c r="X1433">
        <v>1</v>
      </c>
      <c r="Y1433">
        <v>0</v>
      </c>
      <c r="Z1433">
        <v>0</v>
      </c>
      <c r="AB1433">
        <v>0</v>
      </c>
      <c r="AC1433">
        <v>9</v>
      </c>
      <c r="AD1433">
        <v>3</v>
      </c>
      <c r="AE1433">
        <v>0</v>
      </c>
      <c r="AF1433">
        <v>9</v>
      </c>
      <c r="AG1433" t="s">
        <v>158</v>
      </c>
      <c r="AH1433">
        <v>0</v>
      </c>
      <c r="AI1433">
        <v>3</v>
      </c>
      <c r="AJ1433">
        <v>1</v>
      </c>
      <c r="AK1433">
        <v>0</v>
      </c>
      <c r="AL1433" t="s">
        <v>2801</v>
      </c>
      <c r="AM1433">
        <v>46.808430999999999</v>
      </c>
      <c r="AN1433" t="s">
        <v>2802</v>
      </c>
      <c r="AO1433">
        <v>-122.741597</v>
      </c>
      <c r="AP1433">
        <v>100</v>
      </c>
      <c r="AQ1433">
        <v>2000</v>
      </c>
      <c r="AR1433" t="s">
        <v>118</v>
      </c>
      <c r="AS1433">
        <v>-72</v>
      </c>
      <c r="AT1433">
        <v>8</v>
      </c>
      <c r="AU1433">
        <v>0</v>
      </c>
      <c r="BC1433">
        <v>1200</v>
      </c>
      <c r="BD1433">
        <v>1</v>
      </c>
      <c r="BE1433" t="str">
        <f t="shared" si="68"/>
        <v xml:space="preserve">N215T   </v>
      </c>
      <c r="BF1433">
        <v>1</v>
      </c>
      <c r="BH1433">
        <v>0</v>
      </c>
      <c r="BI1433">
        <v>0</v>
      </c>
      <c r="BJ1433">
        <v>0</v>
      </c>
      <c r="BK1433">
        <v>2425</v>
      </c>
      <c r="BL1433">
        <v>425</v>
      </c>
      <c r="BM1433" t="s">
        <v>119</v>
      </c>
      <c r="BN1433">
        <v>1</v>
      </c>
      <c r="BO1433">
        <v>1</v>
      </c>
      <c r="BP1433">
        <v>1</v>
      </c>
      <c r="BQ1433">
        <v>0</v>
      </c>
      <c r="BT1433">
        <v>0</v>
      </c>
      <c r="BU1433">
        <v>0</v>
      </c>
      <c r="BV1433">
        <v>0</v>
      </c>
      <c r="CC1433" t="str">
        <f>"18:58:39.352"</f>
        <v>18:58:39.352</v>
      </c>
      <c r="CD1433" t="str">
        <f>"352210919"</f>
        <v>352210919</v>
      </c>
      <c r="CQ1433">
        <v>0</v>
      </c>
      <c r="CR1433">
        <v>2</v>
      </c>
      <c r="CS1433">
        <v>0</v>
      </c>
      <c r="CT1433">
        <v>2</v>
      </c>
      <c r="CU1433">
        <v>0</v>
      </c>
      <c r="CV1433">
        <v>7</v>
      </c>
      <c r="CW1433" t="s">
        <v>120</v>
      </c>
      <c r="CX1433">
        <v>261</v>
      </c>
      <c r="CY1433">
        <v>2</v>
      </c>
      <c r="CZ1433" t="s">
        <v>121</v>
      </c>
      <c r="DA1433" t="s">
        <v>122</v>
      </c>
      <c r="DD1433">
        <v>15073115</v>
      </c>
      <c r="DE1433" t="s">
        <v>123</v>
      </c>
    </row>
    <row r="1434" spans="1:109" x14ac:dyDescent="0.3">
      <c r="A1434" t="str">
        <f>"18:58:40.484"</f>
        <v>18:58:40.484</v>
      </c>
      <c r="B1434" t="s">
        <v>110</v>
      </c>
      <c r="C1434" t="str">
        <f t="shared" si="66"/>
        <v>ffdfd3c0</v>
      </c>
      <c r="D1434" t="s">
        <v>111</v>
      </c>
      <c r="E1434">
        <v>18</v>
      </c>
      <c r="F1434">
        <v>1018</v>
      </c>
      <c r="G1434" t="s">
        <v>112</v>
      </c>
      <c r="J1434" t="s">
        <v>113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R1434" t="s">
        <v>114</v>
      </c>
      <c r="S1434" t="str">
        <f>"18:58:40.250"</f>
        <v>18:58:40.250</v>
      </c>
      <c r="T1434" t="str">
        <f>"18:58:39.852"</f>
        <v>18:58:39.852</v>
      </c>
      <c r="U1434" t="str">
        <f t="shared" si="67"/>
        <v>a1cdbe</v>
      </c>
      <c r="V1434">
        <v>0</v>
      </c>
      <c r="W1434">
        <v>0</v>
      </c>
      <c r="X1434">
        <v>1</v>
      </c>
      <c r="Y1434">
        <v>0</v>
      </c>
      <c r="Z1434">
        <v>0</v>
      </c>
      <c r="AB1434">
        <v>0</v>
      </c>
      <c r="AC1434">
        <v>9</v>
      </c>
      <c r="AD1434">
        <v>3</v>
      </c>
      <c r="AE1434">
        <v>0</v>
      </c>
      <c r="AF1434">
        <v>9</v>
      </c>
      <c r="AG1434" t="s">
        <v>158</v>
      </c>
      <c r="AH1434">
        <v>0</v>
      </c>
      <c r="AI1434">
        <v>3</v>
      </c>
      <c r="AJ1434">
        <v>1</v>
      </c>
      <c r="AK1434">
        <v>0</v>
      </c>
      <c r="AL1434" t="s">
        <v>2803</v>
      </c>
      <c r="AM1434">
        <v>46.808453</v>
      </c>
      <c r="AN1434" t="s">
        <v>2804</v>
      </c>
      <c r="AO1434">
        <v>-122.74200399999999</v>
      </c>
      <c r="AP1434">
        <v>100</v>
      </c>
      <c r="AQ1434">
        <v>2000</v>
      </c>
      <c r="AR1434" t="s">
        <v>118</v>
      </c>
      <c r="AS1434">
        <v>-72</v>
      </c>
      <c r="AT1434">
        <v>8</v>
      </c>
      <c r="AU1434">
        <v>-64</v>
      </c>
      <c r="BC1434">
        <v>1200</v>
      </c>
      <c r="BD1434">
        <v>1</v>
      </c>
      <c r="BE1434" t="str">
        <f t="shared" si="68"/>
        <v xml:space="preserve">N215T   </v>
      </c>
      <c r="BF1434">
        <v>1</v>
      </c>
      <c r="BH1434">
        <v>0</v>
      </c>
      <c r="BI1434">
        <v>0</v>
      </c>
      <c r="BJ1434">
        <v>0</v>
      </c>
      <c r="BK1434">
        <v>2425</v>
      </c>
      <c r="BL1434">
        <v>425</v>
      </c>
      <c r="BM1434" t="s">
        <v>119</v>
      </c>
      <c r="BN1434">
        <v>1</v>
      </c>
      <c r="BO1434">
        <v>1</v>
      </c>
      <c r="BP1434">
        <v>1</v>
      </c>
      <c r="BQ1434">
        <v>0</v>
      </c>
      <c r="BT1434">
        <v>0</v>
      </c>
      <c r="BU1434">
        <v>0</v>
      </c>
      <c r="BV1434">
        <v>0</v>
      </c>
      <c r="CC1434" t="str">
        <f>"18:58:40.250"</f>
        <v>18:58:40.250</v>
      </c>
      <c r="CD1434" t="str">
        <f>"252122393"</f>
        <v>252122393</v>
      </c>
      <c r="CQ1434">
        <v>0</v>
      </c>
      <c r="CR1434">
        <v>2</v>
      </c>
      <c r="CS1434">
        <v>0</v>
      </c>
      <c r="CT1434">
        <v>2</v>
      </c>
      <c r="CU1434">
        <v>0</v>
      </c>
      <c r="CV1434">
        <v>7</v>
      </c>
      <c r="CW1434" t="s">
        <v>120</v>
      </c>
      <c r="CX1434">
        <v>261</v>
      </c>
      <c r="CY1434">
        <v>2</v>
      </c>
      <c r="CZ1434" t="s">
        <v>121</v>
      </c>
      <c r="DA1434" t="s">
        <v>122</v>
      </c>
      <c r="DD1434">
        <v>15073775</v>
      </c>
      <c r="DE1434" t="s">
        <v>123</v>
      </c>
    </row>
    <row r="1435" spans="1:109" x14ac:dyDescent="0.3">
      <c r="A1435" t="str">
        <f>"18:58:41.492"</f>
        <v>18:58:41.492</v>
      </c>
      <c r="B1435" t="s">
        <v>110</v>
      </c>
      <c r="C1435" t="str">
        <f t="shared" si="66"/>
        <v>ffdfd3c0</v>
      </c>
      <c r="D1435" t="s">
        <v>111</v>
      </c>
      <c r="E1435">
        <v>18</v>
      </c>
      <c r="F1435">
        <v>1018</v>
      </c>
      <c r="G1435" t="s">
        <v>112</v>
      </c>
      <c r="J1435" t="s">
        <v>113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R1435" t="s">
        <v>114</v>
      </c>
      <c r="S1435" t="str">
        <f>"18:58:41.234"</f>
        <v>18:58:41.234</v>
      </c>
      <c r="T1435" t="str">
        <f>"18:58:41.234"</f>
        <v>18:58:41.234</v>
      </c>
      <c r="U1435" t="str">
        <f t="shared" si="67"/>
        <v>a1cdbe</v>
      </c>
      <c r="V1435">
        <v>0</v>
      </c>
      <c r="W1435">
        <v>0</v>
      </c>
      <c r="X1435">
        <v>1</v>
      </c>
      <c r="Y1435">
        <v>0</v>
      </c>
      <c r="Z1435">
        <v>0</v>
      </c>
      <c r="AB1435">
        <v>0</v>
      </c>
      <c r="AC1435">
        <v>9</v>
      </c>
      <c r="AD1435">
        <v>3</v>
      </c>
      <c r="AE1435">
        <v>0</v>
      </c>
      <c r="AF1435">
        <v>9</v>
      </c>
      <c r="AG1435" t="s">
        <v>158</v>
      </c>
      <c r="AH1435">
        <v>0</v>
      </c>
      <c r="AI1435">
        <v>3</v>
      </c>
      <c r="AJ1435">
        <v>1</v>
      </c>
      <c r="AK1435">
        <v>0</v>
      </c>
      <c r="AL1435" t="s">
        <v>2755</v>
      </c>
      <c r="AM1435">
        <v>46.808495999999998</v>
      </c>
      <c r="AN1435" t="s">
        <v>2805</v>
      </c>
      <c r="AO1435">
        <v>-122.742476</v>
      </c>
      <c r="AP1435">
        <v>100</v>
      </c>
      <c r="AQ1435">
        <v>2000</v>
      </c>
      <c r="AR1435" t="s">
        <v>118</v>
      </c>
      <c r="AS1435">
        <v>-73</v>
      </c>
      <c r="AT1435">
        <v>8</v>
      </c>
      <c r="AU1435">
        <v>-128</v>
      </c>
      <c r="BC1435">
        <v>1200</v>
      </c>
      <c r="BD1435">
        <v>1</v>
      </c>
      <c r="BE1435" t="str">
        <f t="shared" si="68"/>
        <v xml:space="preserve">N215T   </v>
      </c>
      <c r="BF1435">
        <v>1</v>
      </c>
      <c r="BH1435">
        <v>0</v>
      </c>
      <c r="BI1435">
        <v>0</v>
      </c>
      <c r="BJ1435">
        <v>0</v>
      </c>
      <c r="BK1435">
        <v>2425</v>
      </c>
      <c r="BL1435">
        <v>425</v>
      </c>
      <c r="BM1435" t="s">
        <v>119</v>
      </c>
      <c r="BN1435">
        <v>1</v>
      </c>
      <c r="BO1435">
        <v>1</v>
      </c>
      <c r="BP1435">
        <v>1</v>
      </c>
      <c r="BQ1435">
        <v>0</v>
      </c>
      <c r="BT1435">
        <v>0</v>
      </c>
      <c r="BU1435">
        <v>0</v>
      </c>
      <c r="BV1435">
        <v>0</v>
      </c>
      <c r="CC1435" t="str">
        <f>"18:58:41.242"</f>
        <v>18:58:41.242</v>
      </c>
      <c r="CD1435" t="str">
        <f>"242024877"</f>
        <v>242024877</v>
      </c>
      <c r="CQ1435">
        <v>0</v>
      </c>
      <c r="CR1435">
        <v>2</v>
      </c>
      <c r="CS1435">
        <v>0</v>
      </c>
      <c r="CT1435">
        <v>2</v>
      </c>
      <c r="CU1435">
        <v>0</v>
      </c>
      <c r="CV1435">
        <v>6</v>
      </c>
      <c r="CW1435" t="s">
        <v>120</v>
      </c>
      <c r="CX1435">
        <v>261</v>
      </c>
      <c r="CY1435">
        <v>2</v>
      </c>
      <c r="CZ1435" t="s">
        <v>121</v>
      </c>
      <c r="DA1435" t="s">
        <v>122</v>
      </c>
      <c r="DD1435">
        <v>15074439</v>
      </c>
      <c r="DE1435" t="s">
        <v>123</v>
      </c>
    </row>
    <row r="1436" spans="1:109" x14ac:dyDescent="0.3">
      <c r="A1436" t="str">
        <f>"18:58:42.445"</f>
        <v>18:58:42.445</v>
      </c>
      <c r="B1436" t="s">
        <v>110</v>
      </c>
      <c r="C1436" t="str">
        <f t="shared" si="66"/>
        <v>ffdfd3c0</v>
      </c>
      <c r="D1436" t="s">
        <v>111</v>
      </c>
      <c r="E1436">
        <v>18</v>
      </c>
      <c r="F1436">
        <v>1018</v>
      </c>
      <c r="G1436" t="s">
        <v>112</v>
      </c>
      <c r="J1436" t="s">
        <v>113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R1436" t="s">
        <v>114</v>
      </c>
      <c r="S1436" t="str">
        <f>"18:58:42.242"</f>
        <v>18:58:42.242</v>
      </c>
      <c r="T1436" t="str">
        <f>"18:58:42.141"</f>
        <v>18:58:42.141</v>
      </c>
      <c r="U1436" t="str">
        <f t="shared" si="67"/>
        <v>a1cdbe</v>
      </c>
      <c r="V1436">
        <v>0</v>
      </c>
      <c r="W1436">
        <v>0</v>
      </c>
      <c r="X1436">
        <v>1</v>
      </c>
      <c r="Y1436">
        <v>0</v>
      </c>
      <c r="Z1436">
        <v>0</v>
      </c>
      <c r="AB1436">
        <v>0</v>
      </c>
      <c r="AC1436">
        <v>9</v>
      </c>
      <c r="AD1436">
        <v>3</v>
      </c>
      <c r="AE1436">
        <v>0</v>
      </c>
      <c r="AF1436">
        <v>9</v>
      </c>
      <c r="AG1436" t="s">
        <v>158</v>
      </c>
      <c r="AH1436">
        <v>0</v>
      </c>
      <c r="AI1436">
        <v>3</v>
      </c>
      <c r="AJ1436">
        <v>1</v>
      </c>
      <c r="AK1436">
        <v>0</v>
      </c>
      <c r="AL1436" t="s">
        <v>2753</v>
      </c>
      <c r="AM1436">
        <v>46.80856</v>
      </c>
      <c r="AN1436" t="s">
        <v>2806</v>
      </c>
      <c r="AO1436">
        <v>-122.74297</v>
      </c>
      <c r="AP1436">
        <v>100</v>
      </c>
      <c r="AQ1436">
        <v>2000</v>
      </c>
      <c r="AR1436" t="s">
        <v>118</v>
      </c>
      <c r="AS1436">
        <v>-73</v>
      </c>
      <c r="AT1436">
        <v>7</v>
      </c>
      <c r="AU1436">
        <v>-128</v>
      </c>
      <c r="BC1436">
        <v>1200</v>
      </c>
      <c r="BD1436">
        <v>1</v>
      </c>
      <c r="BE1436" t="str">
        <f t="shared" si="68"/>
        <v xml:space="preserve">N215T   </v>
      </c>
      <c r="BF1436">
        <v>1</v>
      </c>
      <c r="BH1436">
        <v>0</v>
      </c>
      <c r="BI1436">
        <v>0</v>
      </c>
      <c r="BJ1436">
        <v>0</v>
      </c>
      <c r="BK1436">
        <v>2425</v>
      </c>
      <c r="BL1436">
        <v>425</v>
      </c>
      <c r="BM1436" t="s">
        <v>119</v>
      </c>
      <c r="BN1436">
        <v>1</v>
      </c>
      <c r="BO1436">
        <v>1</v>
      </c>
      <c r="BP1436">
        <v>1</v>
      </c>
      <c r="BQ1436">
        <v>0</v>
      </c>
      <c r="BT1436">
        <v>0</v>
      </c>
      <c r="BU1436">
        <v>0</v>
      </c>
      <c r="BV1436">
        <v>0</v>
      </c>
      <c r="CC1436" t="str">
        <f>"18:58:42.250"</f>
        <v>18:58:42.250</v>
      </c>
      <c r="CD1436" t="str">
        <f>"246925902"</f>
        <v>246925902</v>
      </c>
      <c r="CQ1436">
        <v>0</v>
      </c>
      <c r="CR1436">
        <v>2</v>
      </c>
      <c r="CS1436">
        <v>0</v>
      </c>
      <c r="CT1436">
        <v>2</v>
      </c>
      <c r="CU1436">
        <v>0</v>
      </c>
      <c r="CV1436">
        <v>7</v>
      </c>
      <c r="CW1436" t="s">
        <v>120</v>
      </c>
      <c r="CX1436">
        <v>261</v>
      </c>
      <c r="CY1436">
        <v>2</v>
      </c>
      <c r="CZ1436" t="s">
        <v>121</v>
      </c>
      <c r="DA1436" t="s">
        <v>122</v>
      </c>
      <c r="DD1436">
        <v>15075143</v>
      </c>
      <c r="DE1436" t="s">
        <v>123</v>
      </c>
    </row>
    <row r="1437" spans="1:109" x14ac:dyDescent="0.3">
      <c r="A1437" t="str">
        <f>"18:58:43.602"</f>
        <v>18:58:43.602</v>
      </c>
      <c r="B1437" t="s">
        <v>110</v>
      </c>
      <c r="C1437" t="str">
        <f t="shared" si="66"/>
        <v>ffdfd3c0</v>
      </c>
      <c r="D1437" t="s">
        <v>111</v>
      </c>
      <c r="E1437">
        <v>18</v>
      </c>
      <c r="F1437">
        <v>1018</v>
      </c>
      <c r="G1437" t="s">
        <v>112</v>
      </c>
      <c r="J1437" t="s">
        <v>113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R1437" t="s">
        <v>114</v>
      </c>
      <c r="S1437" t="str">
        <f>"18:58:43.367"</f>
        <v>18:58:43.367</v>
      </c>
      <c r="T1437" t="str">
        <f>"18:58:43.266"</f>
        <v>18:58:43.266</v>
      </c>
      <c r="U1437" t="str">
        <f t="shared" si="67"/>
        <v>a1cdbe</v>
      </c>
      <c r="V1437">
        <v>0</v>
      </c>
      <c r="W1437">
        <v>0</v>
      </c>
      <c r="X1437">
        <v>1</v>
      </c>
      <c r="Y1437">
        <v>0</v>
      </c>
      <c r="Z1437">
        <v>0</v>
      </c>
      <c r="AB1437">
        <v>0</v>
      </c>
      <c r="AC1437">
        <v>9</v>
      </c>
      <c r="AD1437">
        <v>3</v>
      </c>
      <c r="AE1437">
        <v>0</v>
      </c>
      <c r="AF1437">
        <v>9</v>
      </c>
      <c r="AG1437" t="s">
        <v>158</v>
      </c>
      <c r="AH1437">
        <v>0</v>
      </c>
      <c r="AI1437">
        <v>3</v>
      </c>
      <c r="AJ1437">
        <v>1</v>
      </c>
      <c r="AK1437">
        <v>0</v>
      </c>
      <c r="AL1437" t="s">
        <v>2753</v>
      </c>
      <c r="AM1437">
        <v>46.80856</v>
      </c>
      <c r="AN1437" t="s">
        <v>2807</v>
      </c>
      <c r="AO1437">
        <v>-122.743506</v>
      </c>
      <c r="AP1437">
        <v>100</v>
      </c>
      <c r="AQ1437">
        <v>2000</v>
      </c>
      <c r="AR1437" t="s">
        <v>118</v>
      </c>
      <c r="AS1437">
        <v>-73</v>
      </c>
      <c r="AT1437">
        <v>7</v>
      </c>
      <c r="AU1437">
        <v>-128</v>
      </c>
      <c r="BC1437">
        <v>1200</v>
      </c>
      <c r="BD1437">
        <v>1</v>
      </c>
      <c r="BE1437" t="str">
        <f t="shared" si="68"/>
        <v xml:space="preserve">N215T   </v>
      </c>
      <c r="BF1437">
        <v>1</v>
      </c>
      <c r="BH1437">
        <v>0</v>
      </c>
      <c r="BI1437">
        <v>0</v>
      </c>
      <c r="BJ1437">
        <v>0</v>
      </c>
      <c r="BK1437">
        <v>2425</v>
      </c>
      <c r="BL1437">
        <v>425</v>
      </c>
      <c r="BM1437" t="s">
        <v>119</v>
      </c>
      <c r="BN1437">
        <v>1</v>
      </c>
      <c r="BO1437">
        <v>1</v>
      </c>
      <c r="BP1437">
        <v>1</v>
      </c>
      <c r="BQ1437">
        <v>0</v>
      </c>
      <c r="BT1437">
        <v>0</v>
      </c>
      <c r="BU1437">
        <v>0</v>
      </c>
      <c r="BV1437">
        <v>0</v>
      </c>
      <c r="CC1437" t="str">
        <f>"18:58:43.375"</f>
        <v>18:58:43.375</v>
      </c>
      <c r="CD1437" t="str">
        <f>"371815097"</f>
        <v>371815097</v>
      </c>
      <c r="CQ1437">
        <v>0</v>
      </c>
      <c r="CR1437">
        <v>2</v>
      </c>
      <c r="CS1437">
        <v>0</v>
      </c>
      <c r="CT1437">
        <v>2</v>
      </c>
      <c r="CU1437">
        <v>0</v>
      </c>
      <c r="CV1437">
        <v>7</v>
      </c>
      <c r="CW1437" t="s">
        <v>120</v>
      </c>
      <c r="CX1437">
        <v>261</v>
      </c>
      <c r="CY1437">
        <v>2</v>
      </c>
      <c r="CZ1437" t="s">
        <v>121</v>
      </c>
      <c r="DA1437" t="s">
        <v>122</v>
      </c>
      <c r="DD1437">
        <v>15075991</v>
      </c>
      <c r="DE1437" t="s">
        <v>123</v>
      </c>
    </row>
    <row r="1438" spans="1:109" x14ac:dyDescent="0.3">
      <c r="A1438" t="str">
        <f>"18:58:44.609"</f>
        <v>18:58:44.609</v>
      </c>
      <c r="B1438" t="s">
        <v>110</v>
      </c>
      <c r="C1438" t="str">
        <f t="shared" si="66"/>
        <v>ffdfd3c0</v>
      </c>
      <c r="D1438" t="s">
        <v>111</v>
      </c>
      <c r="E1438">
        <v>18</v>
      </c>
      <c r="F1438">
        <v>1018</v>
      </c>
      <c r="G1438" t="s">
        <v>112</v>
      </c>
      <c r="J1438" t="s">
        <v>113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R1438" t="s">
        <v>114</v>
      </c>
      <c r="S1438" t="str">
        <f>"18:58:44.391"</f>
        <v>18:58:44.391</v>
      </c>
      <c r="T1438" t="str">
        <f>"18:58:44.289"</f>
        <v>18:58:44.289</v>
      </c>
      <c r="U1438" t="str">
        <f t="shared" si="67"/>
        <v>a1cdbe</v>
      </c>
      <c r="V1438">
        <v>0</v>
      </c>
      <c r="W1438">
        <v>0</v>
      </c>
      <c r="X1438">
        <v>1</v>
      </c>
      <c r="Y1438">
        <v>0</v>
      </c>
      <c r="Z1438">
        <v>0</v>
      </c>
      <c r="AB1438">
        <v>0</v>
      </c>
      <c r="AC1438">
        <v>9</v>
      </c>
      <c r="AD1438">
        <v>3</v>
      </c>
      <c r="AE1438">
        <v>0</v>
      </c>
      <c r="AF1438">
        <v>9</v>
      </c>
      <c r="AG1438" t="s">
        <v>158</v>
      </c>
      <c r="AH1438">
        <v>0</v>
      </c>
      <c r="AI1438">
        <v>3</v>
      </c>
      <c r="AJ1438">
        <v>1</v>
      </c>
      <c r="AK1438">
        <v>0</v>
      </c>
      <c r="AL1438" t="s">
        <v>2808</v>
      </c>
      <c r="AM1438">
        <v>46.808624000000002</v>
      </c>
      <c r="AN1438" t="s">
        <v>2809</v>
      </c>
      <c r="AO1438">
        <v>-122.744021</v>
      </c>
      <c r="AP1438">
        <v>100</v>
      </c>
      <c r="AQ1438">
        <v>2000</v>
      </c>
      <c r="AR1438" t="s">
        <v>118</v>
      </c>
      <c r="AS1438">
        <v>-73</v>
      </c>
      <c r="AT1438">
        <v>8</v>
      </c>
      <c r="AU1438">
        <v>-256</v>
      </c>
      <c r="BC1438">
        <v>1200</v>
      </c>
      <c r="BD1438">
        <v>1</v>
      </c>
      <c r="BE1438" t="str">
        <f t="shared" si="68"/>
        <v xml:space="preserve">N215T   </v>
      </c>
      <c r="BF1438">
        <v>1</v>
      </c>
      <c r="BH1438">
        <v>0</v>
      </c>
      <c r="BI1438">
        <v>0</v>
      </c>
      <c r="BJ1438">
        <v>0</v>
      </c>
      <c r="BK1438">
        <v>2400</v>
      </c>
      <c r="BL1438">
        <v>400</v>
      </c>
      <c r="BM1438" t="s">
        <v>119</v>
      </c>
      <c r="BN1438">
        <v>1</v>
      </c>
      <c r="BO1438">
        <v>1</v>
      </c>
      <c r="BP1438">
        <v>1</v>
      </c>
      <c r="BQ1438">
        <v>0</v>
      </c>
      <c r="BT1438">
        <v>0</v>
      </c>
      <c r="BU1438">
        <v>0</v>
      </c>
      <c r="BV1438">
        <v>0</v>
      </c>
      <c r="CC1438" t="str">
        <f>"18:58:44.391"</f>
        <v>18:58:44.391</v>
      </c>
      <c r="CD1438" t="str">
        <f>"391714630"</f>
        <v>391714630</v>
      </c>
      <c r="CQ1438">
        <v>0</v>
      </c>
      <c r="CR1438">
        <v>2</v>
      </c>
      <c r="CS1438">
        <v>0</v>
      </c>
      <c r="CT1438">
        <v>2</v>
      </c>
      <c r="CU1438">
        <v>0</v>
      </c>
      <c r="CV1438">
        <v>7</v>
      </c>
      <c r="CW1438" t="s">
        <v>120</v>
      </c>
      <c r="CX1438">
        <v>261</v>
      </c>
      <c r="CY1438">
        <v>2</v>
      </c>
      <c r="CZ1438" t="s">
        <v>121</v>
      </c>
      <c r="DA1438" t="s">
        <v>122</v>
      </c>
      <c r="DD1438">
        <v>15076777</v>
      </c>
      <c r="DE1438" t="s">
        <v>123</v>
      </c>
    </row>
    <row r="1439" spans="1:109" x14ac:dyDescent="0.3">
      <c r="A1439" t="str">
        <f>"18:58:45.617"</f>
        <v>18:58:45.617</v>
      </c>
      <c r="B1439" t="s">
        <v>110</v>
      </c>
      <c r="C1439" t="str">
        <f t="shared" si="66"/>
        <v>ffdfd3c0</v>
      </c>
      <c r="D1439" t="s">
        <v>111</v>
      </c>
      <c r="E1439">
        <v>18</v>
      </c>
      <c r="F1439">
        <v>1018</v>
      </c>
      <c r="G1439" t="s">
        <v>112</v>
      </c>
      <c r="J1439" t="s">
        <v>113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R1439" t="s">
        <v>114</v>
      </c>
      <c r="S1439" t="str">
        <f>"18:58:45.375"</f>
        <v>18:58:45.375</v>
      </c>
      <c r="T1439" t="str">
        <f>"18:58:45.375"</f>
        <v>18:58:45.375</v>
      </c>
      <c r="U1439" t="str">
        <f t="shared" si="67"/>
        <v>a1cdbe</v>
      </c>
      <c r="V1439">
        <v>0</v>
      </c>
      <c r="W1439">
        <v>0</v>
      </c>
      <c r="X1439">
        <v>1</v>
      </c>
      <c r="Y1439">
        <v>0</v>
      </c>
      <c r="Z1439">
        <v>0</v>
      </c>
      <c r="AB1439">
        <v>0</v>
      </c>
      <c r="AC1439">
        <v>9</v>
      </c>
      <c r="AD1439">
        <v>3</v>
      </c>
      <c r="AE1439">
        <v>0</v>
      </c>
      <c r="AF1439">
        <v>9</v>
      </c>
      <c r="AG1439" t="s">
        <v>158</v>
      </c>
      <c r="AH1439">
        <v>0</v>
      </c>
      <c r="AI1439">
        <v>3</v>
      </c>
      <c r="AJ1439">
        <v>1</v>
      </c>
      <c r="AK1439">
        <v>0</v>
      </c>
      <c r="AL1439" t="s">
        <v>2749</v>
      </c>
      <c r="AM1439">
        <v>46.808646000000003</v>
      </c>
      <c r="AN1439" t="s">
        <v>2810</v>
      </c>
      <c r="AO1439">
        <v>-122.744536</v>
      </c>
      <c r="AP1439">
        <v>100</v>
      </c>
      <c r="AQ1439">
        <v>2000</v>
      </c>
      <c r="AR1439" t="s">
        <v>118</v>
      </c>
      <c r="AS1439">
        <v>-74</v>
      </c>
      <c r="AT1439">
        <v>8</v>
      </c>
      <c r="AU1439">
        <v>-192</v>
      </c>
      <c r="BC1439">
        <v>1200</v>
      </c>
      <c r="BD1439">
        <v>1</v>
      </c>
      <c r="BE1439" t="str">
        <f t="shared" si="68"/>
        <v xml:space="preserve">N215T   </v>
      </c>
      <c r="BF1439">
        <v>1</v>
      </c>
      <c r="BH1439">
        <v>0</v>
      </c>
      <c r="BI1439">
        <v>0</v>
      </c>
      <c r="BJ1439">
        <v>0</v>
      </c>
      <c r="BK1439">
        <v>2400</v>
      </c>
      <c r="BL1439">
        <v>400</v>
      </c>
      <c r="BM1439" t="s">
        <v>119</v>
      </c>
      <c r="BN1439">
        <v>1</v>
      </c>
      <c r="BO1439">
        <v>1</v>
      </c>
      <c r="BP1439">
        <v>1</v>
      </c>
      <c r="BQ1439">
        <v>0</v>
      </c>
      <c r="BT1439">
        <v>0</v>
      </c>
      <c r="BU1439">
        <v>0</v>
      </c>
      <c r="BV1439">
        <v>0</v>
      </c>
      <c r="CC1439" t="str">
        <f>"18:58:45.383"</f>
        <v>18:58:45.383</v>
      </c>
      <c r="CD1439" t="str">
        <f>"381669509"</f>
        <v>381669509</v>
      </c>
      <c r="CQ1439">
        <v>0</v>
      </c>
      <c r="CR1439">
        <v>2</v>
      </c>
      <c r="CS1439">
        <v>0</v>
      </c>
      <c r="CT1439">
        <v>2</v>
      </c>
      <c r="CU1439">
        <v>0</v>
      </c>
      <c r="CV1439">
        <v>6</v>
      </c>
      <c r="CW1439" t="s">
        <v>120</v>
      </c>
      <c r="CX1439">
        <v>257</v>
      </c>
      <c r="CY1439">
        <v>1</v>
      </c>
      <c r="CZ1439" t="s">
        <v>615</v>
      </c>
      <c r="DA1439" t="s">
        <v>616</v>
      </c>
      <c r="DD1439">
        <v>11444549</v>
      </c>
      <c r="DE1439" t="s">
        <v>123</v>
      </c>
    </row>
    <row r="1440" spans="1:109" x14ac:dyDescent="0.3">
      <c r="A1440" t="str">
        <f>"18:58:46.625"</f>
        <v>18:58:46.625</v>
      </c>
      <c r="B1440" t="s">
        <v>110</v>
      </c>
      <c r="C1440" t="str">
        <f t="shared" si="66"/>
        <v>ffdfd3c0</v>
      </c>
      <c r="D1440" t="s">
        <v>111</v>
      </c>
      <c r="E1440">
        <v>18</v>
      </c>
      <c r="F1440">
        <v>1018</v>
      </c>
      <c r="G1440" t="s">
        <v>112</v>
      </c>
      <c r="J1440" t="s">
        <v>113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R1440" t="s">
        <v>114</v>
      </c>
      <c r="S1440" t="str">
        <f>"18:58:46.383"</f>
        <v>18:58:46.383</v>
      </c>
      <c r="T1440" t="str">
        <f>"18:58:45.883"</f>
        <v>18:58:45.883</v>
      </c>
      <c r="U1440" t="str">
        <f t="shared" si="67"/>
        <v>a1cdbe</v>
      </c>
      <c r="V1440">
        <v>0</v>
      </c>
      <c r="W1440">
        <v>0</v>
      </c>
      <c r="X1440">
        <v>1</v>
      </c>
      <c r="Y1440">
        <v>0</v>
      </c>
      <c r="Z1440">
        <v>0</v>
      </c>
      <c r="AB1440">
        <v>0</v>
      </c>
      <c r="AC1440">
        <v>9</v>
      </c>
      <c r="AD1440">
        <v>3</v>
      </c>
      <c r="AE1440">
        <v>0</v>
      </c>
      <c r="AF1440">
        <v>9</v>
      </c>
      <c r="AG1440" t="s">
        <v>158</v>
      </c>
      <c r="AH1440">
        <v>0</v>
      </c>
      <c r="AI1440">
        <v>3</v>
      </c>
      <c r="AJ1440">
        <v>1</v>
      </c>
      <c r="AK1440">
        <v>0</v>
      </c>
      <c r="AL1440" t="s">
        <v>2811</v>
      </c>
      <c r="AM1440">
        <v>46.808667</v>
      </c>
      <c r="AN1440" t="s">
        <v>2812</v>
      </c>
      <c r="AO1440">
        <v>-122.745008</v>
      </c>
      <c r="AP1440">
        <v>100</v>
      </c>
      <c r="AQ1440">
        <v>2000</v>
      </c>
      <c r="AR1440" t="s">
        <v>118</v>
      </c>
      <c r="AS1440">
        <v>-74</v>
      </c>
      <c r="AT1440">
        <v>8</v>
      </c>
      <c r="AU1440">
        <v>-128</v>
      </c>
      <c r="BC1440">
        <v>1200</v>
      </c>
      <c r="BD1440">
        <v>1</v>
      </c>
      <c r="BE1440" t="str">
        <f t="shared" si="68"/>
        <v xml:space="preserve">N215T   </v>
      </c>
      <c r="BF1440">
        <v>1</v>
      </c>
      <c r="BH1440">
        <v>0</v>
      </c>
      <c r="BI1440">
        <v>0</v>
      </c>
      <c r="BJ1440">
        <v>0</v>
      </c>
      <c r="BK1440">
        <v>2400</v>
      </c>
      <c r="BL1440">
        <v>400</v>
      </c>
      <c r="BM1440" t="s">
        <v>119</v>
      </c>
      <c r="BN1440">
        <v>1</v>
      </c>
      <c r="BO1440">
        <v>1</v>
      </c>
      <c r="BP1440">
        <v>1</v>
      </c>
      <c r="BQ1440">
        <v>0</v>
      </c>
      <c r="BT1440">
        <v>0</v>
      </c>
      <c r="BU1440">
        <v>0</v>
      </c>
      <c r="BV1440">
        <v>0</v>
      </c>
      <c r="CC1440" t="str">
        <f>"18:58:46.383"</f>
        <v>18:58:46.383</v>
      </c>
      <c r="CD1440" t="str">
        <f>"386570426"</f>
        <v>386570426</v>
      </c>
      <c r="CQ1440">
        <v>0</v>
      </c>
      <c r="CR1440">
        <v>2</v>
      </c>
      <c r="CS1440">
        <v>0</v>
      </c>
      <c r="CT1440">
        <v>2</v>
      </c>
      <c r="CU1440">
        <v>0</v>
      </c>
      <c r="CV1440">
        <v>6</v>
      </c>
      <c r="CW1440" t="s">
        <v>120</v>
      </c>
      <c r="CX1440">
        <v>257</v>
      </c>
      <c r="CY1440">
        <v>1</v>
      </c>
      <c r="CZ1440" t="s">
        <v>615</v>
      </c>
      <c r="DA1440" t="s">
        <v>616</v>
      </c>
      <c r="DD1440">
        <v>11445305</v>
      </c>
      <c r="DE1440" t="s">
        <v>123</v>
      </c>
    </row>
    <row r="1441" spans="1:109" x14ac:dyDescent="0.3">
      <c r="A1441" t="str">
        <f>"18:58:47.781"</f>
        <v>18:58:47.781</v>
      </c>
      <c r="B1441" t="s">
        <v>110</v>
      </c>
      <c r="C1441" t="str">
        <f t="shared" si="66"/>
        <v>ffdfd3c0</v>
      </c>
      <c r="D1441" t="s">
        <v>111</v>
      </c>
      <c r="E1441">
        <v>18</v>
      </c>
      <c r="F1441">
        <v>1018</v>
      </c>
      <c r="G1441" t="s">
        <v>112</v>
      </c>
      <c r="J1441" t="s">
        <v>113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R1441" t="s">
        <v>114</v>
      </c>
      <c r="S1441" t="str">
        <f>"18:58:47.523"</f>
        <v>18:58:47.523</v>
      </c>
      <c r="T1441" t="str">
        <f>"18:58:47.422"</f>
        <v>18:58:47.422</v>
      </c>
      <c r="U1441" t="str">
        <f t="shared" si="67"/>
        <v>a1cdbe</v>
      </c>
      <c r="V1441">
        <v>0</v>
      </c>
      <c r="W1441">
        <v>0</v>
      </c>
      <c r="X1441">
        <v>1</v>
      </c>
      <c r="Y1441">
        <v>0</v>
      </c>
      <c r="Z1441">
        <v>0</v>
      </c>
      <c r="AB1441">
        <v>0</v>
      </c>
      <c r="AC1441">
        <v>9</v>
      </c>
      <c r="AD1441">
        <v>3</v>
      </c>
      <c r="AE1441">
        <v>0</v>
      </c>
      <c r="AF1441">
        <v>9</v>
      </c>
      <c r="AG1441" t="s">
        <v>158</v>
      </c>
      <c r="AH1441">
        <v>0</v>
      </c>
      <c r="AI1441">
        <v>3</v>
      </c>
      <c r="AJ1441">
        <v>1</v>
      </c>
      <c r="AK1441">
        <v>0</v>
      </c>
      <c r="AL1441" t="s">
        <v>2747</v>
      </c>
      <c r="AM1441">
        <v>46.808731999999999</v>
      </c>
      <c r="AN1441" t="s">
        <v>2813</v>
      </c>
      <c r="AO1441">
        <v>-122.745566</v>
      </c>
      <c r="AP1441">
        <v>100</v>
      </c>
      <c r="AQ1441">
        <v>2000</v>
      </c>
      <c r="AR1441" t="s">
        <v>118</v>
      </c>
      <c r="AS1441">
        <v>-74</v>
      </c>
      <c r="AT1441">
        <v>8</v>
      </c>
      <c r="AU1441">
        <v>0</v>
      </c>
      <c r="BC1441">
        <v>1200</v>
      </c>
      <c r="BD1441">
        <v>1</v>
      </c>
      <c r="BE1441" t="str">
        <f t="shared" si="68"/>
        <v xml:space="preserve">N215T   </v>
      </c>
      <c r="BF1441">
        <v>1</v>
      </c>
      <c r="BH1441">
        <v>0</v>
      </c>
      <c r="BI1441">
        <v>0</v>
      </c>
      <c r="BJ1441">
        <v>0</v>
      </c>
      <c r="BK1441">
        <v>2400</v>
      </c>
      <c r="BL1441">
        <v>400</v>
      </c>
      <c r="BM1441" t="s">
        <v>119</v>
      </c>
      <c r="BN1441">
        <v>1</v>
      </c>
      <c r="BO1441">
        <v>1</v>
      </c>
      <c r="BP1441">
        <v>1</v>
      </c>
      <c r="BQ1441">
        <v>0</v>
      </c>
      <c r="BT1441">
        <v>0</v>
      </c>
      <c r="BU1441">
        <v>0</v>
      </c>
      <c r="BV1441">
        <v>0</v>
      </c>
      <c r="CC1441" t="str">
        <f>"18:58:47.523"</f>
        <v>18:58:47.523</v>
      </c>
      <c r="CD1441" t="str">
        <f>"526458048"</f>
        <v>526458048</v>
      </c>
      <c r="CQ1441">
        <v>0</v>
      </c>
      <c r="CR1441">
        <v>2</v>
      </c>
      <c r="CS1441">
        <v>0</v>
      </c>
      <c r="CT1441">
        <v>2</v>
      </c>
      <c r="CU1441">
        <v>0</v>
      </c>
      <c r="CV1441">
        <v>6</v>
      </c>
      <c r="CW1441" t="s">
        <v>120</v>
      </c>
      <c r="CX1441">
        <v>257</v>
      </c>
      <c r="CY1441">
        <v>1</v>
      </c>
      <c r="CZ1441" t="s">
        <v>615</v>
      </c>
      <c r="DA1441" t="s">
        <v>616</v>
      </c>
      <c r="DD1441">
        <v>11446200</v>
      </c>
      <c r="DE1441" t="s">
        <v>123</v>
      </c>
    </row>
    <row r="1442" spans="1:109" x14ac:dyDescent="0.3">
      <c r="A1442" t="str">
        <f>"18:58:48.883"</f>
        <v>18:58:48.883</v>
      </c>
      <c r="B1442" t="s">
        <v>110</v>
      </c>
      <c r="C1442" t="str">
        <f t="shared" si="66"/>
        <v>ffdfd3c0</v>
      </c>
      <c r="D1442" t="s">
        <v>111</v>
      </c>
      <c r="E1442">
        <v>18</v>
      </c>
      <c r="F1442">
        <v>1018</v>
      </c>
      <c r="G1442" t="s">
        <v>112</v>
      </c>
      <c r="J1442" t="s">
        <v>113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R1442" t="s">
        <v>114</v>
      </c>
      <c r="S1442" t="str">
        <f>"18:58:48.664"</f>
        <v>18:58:48.664</v>
      </c>
      <c r="T1442" t="str">
        <f>"18:58:48.461"</f>
        <v>18:58:48.461</v>
      </c>
      <c r="U1442" t="str">
        <f t="shared" si="67"/>
        <v>a1cdbe</v>
      </c>
      <c r="V1442">
        <v>0</v>
      </c>
      <c r="W1442">
        <v>0</v>
      </c>
      <c r="X1442">
        <v>1</v>
      </c>
      <c r="Y1442">
        <v>0</v>
      </c>
      <c r="Z1442">
        <v>0</v>
      </c>
      <c r="AB1442">
        <v>0</v>
      </c>
      <c r="AC1442">
        <v>9</v>
      </c>
      <c r="AD1442">
        <v>3</v>
      </c>
      <c r="AE1442">
        <v>0</v>
      </c>
      <c r="AF1442">
        <v>9</v>
      </c>
      <c r="AG1442" t="s">
        <v>158</v>
      </c>
      <c r="AH1442">
        <v>0</v>
      </c>
      <c r="AI1442">
        <v>3</v>
      </c>
      <c r="AJ1442">
        <v>1</v>
      </c>
      <c r="AK1442">
        <v>0</v>
      </c>
      <c r="AL1442" t="s">
        <v>2747</v>
      </c>
      <c r="AM1442">
        <v>46.808731999999999</v>
      </c>
      <c r="AN1442" t="s">
        <v>2814</v>
      </c>
      <c r="AO1442">
        <v>-122.74612399999999</v>
      </c>
      <c r="AP1442">
        <v>100</v>
      </c>
      <c r="AQ1442">
        <v>2000</v>
      </c>
      <c r="AR1442" t="s">
        <v>118</v>
      </c>
      <c r="AS1442">
        <v>-74</v>
      </c>
      <c r="AT1442">
        <v>8</v>
      </c>
      <c r="AU1442">
        <v>0</v>
      </c>
      <c r="BC1442">
        <v>1200</v>
      </c>
      <c r="BD1442">
        <v>1</v>
      </c>
      <c r="BE1442" t="str">
        <f t="shared" si="68"/>
        <v xml:space="preserve">N215T   </v>
      </c>
      <c r="BF1442">
        <v>1</v>
      </c>
      <c r="BH1442">
        <v>0</v>
      </c>
      <c r="BI1442">
        <v>0</v>
      </c>
      <c r="BJ1442">
        <v>0</v>
      </c>
      <c r="BK1442">
        <v>2400</v>
      </c>
      <c r="BL1442">
        <v>400</v>
      </c>
      <c r="BM1442" t="s">
        <v>119</v>
      </c>
      <c r="BN1442">
        <v>1</v>
      </c>
      <c r="BO1442">
        <v>1</v>
      </c>
      <c r="BP1442">
        <v>1</v>
      </c>
      <c r="BQ1442">
        <v>0</v>
      </c>
      <c r="BT1442">
        <v>0</v>
      </c>
      <c r="BU1442">
        <v>0</v>
      </c>
      <c r="BV1442">
        <v>0</v>
      </c>
      <c r="CC1442" t="str">
        <f>"18:58:48.664"</f>
        <v>18:58:48.664</v>
      </c>
      <c r="CD1442" t="str">
        <f>"666345668"</f>
        <v>666345668</v>
      </c>
      <c r="CQ1442">
        <v>0</v>
      </c>
      <c r="CR1442">
        <v>2</v>
      </c>
      <c r="CS1442">
        <v>0</v>
      </c>
      <c r="CT1442">
        <v>2</v>
      </c>
      <c r="CU1442">
        <v>0</v>
      </c>
      <c r="CV1442">
        <v>6</v>
      </c>
      <c r="CW1442" t="s">
        <v>120</v>
      </c>
      <c r="CX1442">
        <v>257</v>
      </c>
      <c r="CY1442">
        <v>1</v>
      </c>
      <c r="CZ1442" t="s">
        <v>615</v>
      </c>
      <c r="DA1442" t="s">
        <v>616</v>
      </c>
      <c r="DD1442">
        <v>11447142</v>
      </c>
      <c r="DE1442" t="s">
        <v>123</v>
      </c>
    </row>
    <row r="1443" spans="1:109" x14ac:dyDescent="0.3">
      <c r="A1443" t="str">
        <f>"18:58:49.836"</f>
        <v>18:58:49.836</v>
      </c>
      <c r="B1443" t="s">
        <v>110</v>
      </c>
      <c r="C1443" t="str">
        <f t="shared" si="66"/>
        <v>ffdfd3c0</v>
      </c>
      <c r="D1443" t="s">
        <v>111</v>
      </c>
      <c r="E1443">
        <v>18</v>
      </c>
      <c r="F1443">
        <v>1018</v>
      </c>
      <c r="G1443" t="s">
        <v>112</v>
      </c>
      <c r="J1443" t="s">
        <v>113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R1443" t="s">
        <v>114</v>
      </c>
      <c r="S1443" t="str">
        <f>"18:58:49.609"</f>
        <v>18:58:49.609</v>
      </c>
      <c r="T1443" t="str">
        <f>"18:58:49.406"</f>
        <v>18:58:49.406</v>
      </c>
      <c r="U1443" t="str">
        <f t="shared" si="67"/>
        <v>a1cdbe</v>
      </c>
      <c r="V1443">
        <v>0</v>
      </c>
      <c r="W1443">
        <v>0</v>
      </c>
      <c r="X1443">
        <v>1</v>
      </c>
      <c r="Y1443">
        <v>0</v>
      </c>
      <c r="Z1443">
        <v>0</v>
      </c>
      <c r="AB1443">
        <v>0</v>
      </c>
      <c r="AC1443">
        <v>9</v>
      </c>
      <c r="AD1443">
        <v>3</v>
      </c>
      <c r="AE1443">
        <v>0</v>
      </c>
      <c r="AF1443">
        <v>9</v>
      </c>
      <c r="AG1443" t="s">
        <v>158</v>
      </c>
      <c r="AH1443">
        <v>0</v>
      </c>
      <c r="AI1443">
        <v>3</v>
      </c>
      <c r="AJ1443">
        <v>1</v>
      </c>
      <c r="AK1443">
        <v>0</v>
      </c>
      <c r="AL1443" t="s">
        <v>2745</v>
      </c>
      <c r="AM1443">
        <v>46.808816999999998</v>
      </c>
      <c r="AN1443" t="s">
        <v>2815</v>
      </c>
      <c r="AO1443">
        <v>-122.746618</v>
      </c>
      <c r="AP1443">
        <v>100</v>
      </c>
      <c r="AQ1443">
        <v>2000</v>
      </c>
      <c r="AR1443" t="s">
        <v>118</v>
      </c>
      <c r="AS1443">
        <v>-74</v>
      </c>
      <c r="AT1443">
        <v>8</v>
      </c>
      <c r="AU1443">
        <v>64</v>
      </c>
      <c r="BC1443">
        <v>1200</v>
      </c>
      <c r="BD1443">
        <v>1</v>
      </c>
      <c r="BE1443" t="str">
        <f t="shared" si="68"/>
        <v xml:space="preserve">N215T   </v>
      </c>
      <c r="BF1443">
        <v>1</v>
      </c>
      <c r="BH1443">
        <v>0</v>
      </c>
      <c r="BI1443">
        <v>0</v>
      </c>
      <c r="BJ1443">
        <v>0</v>
      </c>
      <c r="BK1443">
        <v>2400</v>
      </c>
      <c r="BL1443">
        <v>400</v>
      </c>
      <c r="BM1443" t="s">
        <v>119</v>
      </c>
      <c r="BN1443">
        <v>1</v>
      </c>
      <c r="BO1443">
        <v>1</v>
      </c>
      <c r="BP1443">
        <v>1</v>
      </c>
      <c r="BQ1443">
        <v>0</v>
      </c>
      <c r="BT1443">
        <v>0</v>
      </c>
      <c r="BU1443">
        <v>0</v>
      </c>
      <c r="BV1443">
        <v>0</v>
      </c>
      <c r="CC1443" t="str">
        <f>"18:58:49.609"</f>
        <v>18:58:49.609</v>
      </c>
      <c r="CD1443" t="str">
        <f>"611200496"</f>
        <v>611200496</v>
      </c>
      <c r="CQ1443">
        <v>0</v>
      </c>
      <c r="CR1443">
        <v>2</v>
      </c>
      <c r="CS1443">
        <v>0</v>
      </c>
      <c r="CT1443">
        <v>2</v>
      </c>
      <c r="CU1443">
        <v>0</v>
      </c>
      <c r="CV1443">
        <v>7</v>
      </c>
      <c r="CW1443" t="s">
        <v>120</v>
      </c>
      <c r="CX1443">
        <v>261</v>
      </c>
      <c r="CY1443">
        <v>2</v>
      </c>
      <c r="CZ1443" t="s">
        <v>121</v>
      </c>
      <c r="DA1443" t="s">
        <v>122</v>
      </c>
      <c r="DD1443">
        <v>15080413</v>
      </c>
      <c r="DE1443" t="s">
        <v>123</v>
      </c>
    </row>
    <row r="1444" spans="1:109" x14ac:dyDescent="0.3">
      <c r="A1444" t="str">
        <f>"18:58:50.742"</f>
        <v>18:58:50.742</v>
      </c>
      <c r="B1444" t="s">
        <v>110</v>
      </c>
      <c r="C1444" t="str">
        <f t="shared" si="66"/>
        <v>ffdfd3c0</v>
      </c>
      <c r="D1444" t="s">
        <v>111</v>
      </c>
      <c r="E1444">
        <v>18</v>
      </c>
      <c r="F1444">
        <v>1018</v>
      </c>
      <c r="G1444" t="s">
        <v>112</v>
      </c>
      <c r="J1444" t="s">
        <v>113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R1444" t="s">
        <v>114</v>
      </c>
      <c r="S1444" t="str">
        <f>"18:58:50.539"</f>
        <v>18:58:50.539</v>
      </c>
      <c r="T1444" t="str">
        <f>"18:58:50.438"</f>
        <v>18:58:50.438</v>
      </c>
      <c r="U1444" t="str">
        <f t="shared" si="67"/>
        <v>a1cdbe</v>
      </c>
      <c r="V1444">
        <v>0</v>
      </c>
      <c r="W1444">
        <v>0</v>
      </c>
      <c r="X1444">
        <v>1</v>
      </c>
      <c r="Y1444">
        <v>0</v>
      </c>
      <c r="Z1444">
        <v>0</v>
      </c>
      <c r="AB1444">
        <v>0</v>
      </c>
      <c r="AC1444">
        <v>9</v>
      </c>
      <c r="AD1444">
        <v>3</v>
      </c>
      <c r="AE1444">
        <v>0</v>
      </c>
      <c r="AF1444">
        <v>9</v>
      </c>
      <c r="AG1444" t="s">
        <v>158</v>
      </c>
      <c r="AH1444">
        <v>0</v>
      </c>
      <c r="AI1444">
        <v>3</v>
      </c>
      <c r="AJ1444">
        <v>1</v>
      </c>
      <c r="AK1444">
        <v>0</v>
      </c>
      <c r="AL1444" t="s">
        <v>2816</v>
      </c>
      <c r="AM1444">
        <v>46.808860000000003</v>
      </c>
      <c r="AN1444" t="s">
        <v>2817</v>
      </c>
      <c r="AO1444">
        <v>-122.74709</v>
      </c>
      <c r="AP1444">
        <v>100</v>
      </c>
      <c r="AQ1444">
        <v>2000</v>
      </c>
      <c r="AR1444" t="s">
        <v>118</v>
      </c>
      <c r="AS1444">
        <v>-74</v>
      </c>
      <c r="AT1444">
        <v>9</v>
      </c>
      <c r="AU1444">
        <v>128</v>
      </c>
      <c r="BC1444">
        <v>1200</v>
      </c>
      <c r="BD1444">
        <v>1</v>
      </c>
      <c r="BE1444" t="str">
        <f t="shared" si="68"/>
        <v xml:space="preserve">N215T   </v>
      </c>
      <c r="BF1444">
        <v>1</v>
      </c>
      <c r="BH1444">
        <v>0</v>
      </c>
      <c r="BI1444">
        <v>0</v>
      </c>
      <c r="BJ1444">
        <v>0</v>
      </c>
      <c r="BK1444">
        <v>2400</v>
      </c>
      <c r="BL1444">
        <v>400</v>
      </c>
      <c r="BM1444" t="s">
        <v>119</v>
      </c>
      <c r="BN1444">
        <v>1</v>
      </c>
      <c r="BO1444">
        <v>1</v>
      </c>
      <c r="BP1444">
        <v>1</v>
      </c>
      <c r="BQ1444">
        <v>0</v>
      </c>
      <c r="BT1444">
        <v>0</v>
      </c>
      <c r="BU1444">
        <v>0</v>
      </c>
      <c r="BV1444">
        <v>0</v>
      </c>
      <c r="CC1444" t="str">
        <f>"18:58:50.539"</f>
        <v>18:58:50.539</v>
      </c>
      <c r="CD1444" t="str">
        <f>"541108902"</f>
        <v>541108902</v>
      </c>
      <c r="CQ1444">
        <v>0</v>
      </c>
      <c r="CR1444">
        <v>2</v>
      </c>
      <c r="CS1444">
        <v>0</v>
      </c>
      <c r="CT1444">
        <v>2</v>
      </c>
      <c r="CU1444">
        <v>0</v>
      </c>
      <c r="CV1444">
        <v>7</v>
      </c>
      <c r="CW1444" t="s">
        <v>120</v>
      </c>
      <c r="CX1444">
        <v>261</v>
      </c>
      <c r="CY1444">
        <v>2</v>
      </c>
      <c r="CZ1444" t="s">
        <v>121</v>
      </c>
      <c r="DA1444" t="s">
        <v>122</v>
      </c>
      <c r="DD1444">
        <v>15081046</v>
      </c>
      <c r="DE1444" t="s">
        <v>123</v>
      </c>
    </row>
    <row r="1445" spans="1:109" x14ac:dyDescent="0.3">
      <c r="A1445" t="str">
        <f>"18:58:51.750"</f>
        <v>18:58:51.750</v>
      </c>
      <c r="B1445" t="s">
        <v>110</v>
      </c>
      <c r="C1445" t="str">
        <f t="shared" si="66"/>
        <v>ffdfd3c0</v>
      </c>
      <c r="D1445" t="s">
        <v>111</v>
      </c>
      <c r="E1445">
        <v>18</v>
      </c>
      <c r="F1445">
        <v>1018</v>
      </c>
      <c r="G1445" t="s">
        <v>112</v>
      </c>
      <c r="J1445" t="s">
        <v>113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R1445" t="s">
        <v>114</v>
      </c>
      <c r="S1445" t="str">
        <f>"18:58:51.555"</f>
        <v>18:58:51.555</v>
      </c>
      <c r="T1445" t="str">
        <f>"18:58:51.453"</f>
        <v>18:58:51.453</v>
      </c>
      <c r="U1445" t="str">
        <f t="shared" si="67"/>
        <v>a1cdbe</v>
      </c>
      <c r="V1445">
        <v>0</v>
      </c>
      <c r="W1445">
        <v>0</v>
      </c>
      <c r="X1445">
        <v>1</v>
      </c>
      <c r="Y1445">
        <v>0</v>
      </c>
      <c r="Z1445">
        <v>0</v>
      </c>
      <c r="AB1445">
        <v>0</v>
      </c>
      <c r="AC1445">
        <v>9</v>
      </c>
      <c r="AD1445">
        <v>3</v>
      </c>
      <c r="AE1445">
        <v>0</v>
      </c>
      <c r="AF1445">
        <v>9</v>
      </c>
      <c r="AG1445" t="s">
        <v>158</v>
      </c>
      <c r="AH1445">
        <v>0</v>
      </c>
      <c r="AI1445">
        <v>3</v>
      </c>
      <c r="AJ1445">
        <v>1</v>
      </c>
      <c r="AK1445">
        <v>0</v>
      </c>
      <c r="AL1445" t="s">
        <v>2743</v>
      </c>
      <c r="AM1445">
        <v>46.808903000000001</v>
      </c>
      <c r="AN1445" t="s">
        <v>2818</v>
      </c>
      <c r="AO1445">
        <v>-122.747626</v>
      </c>
      <c r="AP1445">
        <v>100</v>
      </c>
      <c r="AQ1445">
        <v>2000</v>
      </c>
      <c r="AR1445" t="s">
        <v>118</v>
      </c>
      <c r="AS1445">
        <v>-74</v>
      </c>
      <c r="AT1445">
        <v>9</v>
      </c>
      <c r="AU1445">
        <v>128</v>
      </c>
      <c r="BC1445">
        <v>1200</v>
      </c>
      <c r="BD1445">
        <v>1</v>
      </c>
      <c r="BE1445" t="str">
        <f t="shared" si="68"/>
        <v xml:space="preserve">N215T   </v>
      </c>
      <c r="BF1445">
        <v>1</v>
      </c>
      <c r="BH1445">
        <v>0</v>
      </c>
      <c r="BI1445">
        <v>0</v>
      </c>
      <c r="BJ1445">
        <v>0</v>
      </c>
      <c r="BK1445">
        <v>2400</v>
      </c>
      <c r="BL1445">
        <v>400</v>
      </c>
      <c r="BM1445" t="s">
        <v>119</v>
      </c>
      <c r="BN1445">
        <v>1</v>
      </c>
      <c r="BO1445">
        <v>1</v>
      </c>
      <c r="BP1445">
        <v>1</v>
      </c>
      <c r="BQ1445">
        <v>0</v>
      </c>
      <c r="BT1445">
        <v>0</v>
      </c>
      <c r="BU1445">
        <v>0</v>
      </c>
      <c r="BV1445">
        <v>0</v>
      </c>
      <c r="CC1445" t="str">
        <f>"18:58:51.563"</f>
        <v>18:58:51.563</v>
      </c>
      <c r="CD1445" t="str">
        <f>"561008434"</f>
        <v>561008434</v>
      </c>
      <c r="CQ1445">
        <v>0</v>
      </c>
      <c r="CR1445">
        <v>2</v>
      </c>
      <c r="CS1445">
        <v>0</v>
      </c>
      <c r="CT1445">
        <v>2</v>
      </c>
      <c r="CU1445">
        <v>0</v>
      </c>
      <c r="CV1445">
        <v>7</v>
      </c>
      <c r="CW1445" t="s">
        <v>120</v>
      </c>
      <c r="CX1445">
        <v>261</v>
      </c>
      <c r="CY1445">
        <v>2</v>
      </c>
      <c r="CZ1445" t="s">
        <v>121</v>
      </c>
      <c r="DA1445" t="s">
        <v>122</v>
      </c>
      <c r="DD1445">
        <v>15081720</v>
      </c>
      <c r="DE1445" t="s">
        <v>123</v>
      </c>
    </row>
    <row r="1446" spans="1:109" x14ac:dyDescent="0.3">
      <c r="A1446" t="str">
        <f>"18:58:52.859"</f>
        <v>18:58:52.859</v>
      </c>
      <c r="B1446" t="s">
        <v>110</v>
      </c>
      <c r="C1446" t="str">
        <f t="shared" si="66"/>
        <v>ffdfd3c0</v>
      </c>
      <c r="D1446" t="s">
        <v>111</v>
      </c>
      <c r="E1446">
        <v>18</v>
      </c>
      <c r="F1446">
        <v>1018</v>
      </c>
      <c r="G1446" t="s">
        <v>112</v>
      </c>
      <c r="J1446" t="s">
        <v>113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R1446" t="s">
        <v>114</v>
      </c>
      <c r="S1446" t="str">
        <f>"18:58:52.578"</f>
        <v>18:58:52.578</v>
      </c>
      <c r="T1446" t="str">
        <f>"18:58:52.477"</f>
        <v>18:58:52.477</v>
      </c>
      <c r="U1446" t="str">
        <f t="shared" si="67"/>
        <v>a1cdbe</v>
      </c>
      <c r="V1446">
        <v>0</v>
      </c>
      <c r="W1446">
        <v>0</v>
      </c>
      <c r="X1446">
        <v>1</v>
      </c>
      <c r="Y1446">
        <v>0</v>
      </c>
      <c r="Z1446">
        <v>0</v>
      </c>
      <c r="AB1446">
        <v>0</v>
      </c>
      <c r="AC1446">
        <v>9</v>
      </c>
      <c r="AD1446">
        <v>3</v>
      </c>
      <c r="AE1446">
        <v>0</v>
      </c>
      <c r="AF1446">
        <v>9</v>
      </c>
      <c r="AG1446" t="s">
        <v>158</v>
      </c>
      <c r="AH1446">
        <v>0</v>
      </c>
      <c r="AI1446">
        <v>3</v>
      </c>
      <c r="AJ1446">
        <v>1</v>
      </c>
      <c r="AK1446">
        <v>0</v>
      </c>
      <c r="AL1446" t="s">
        <v>2819</v>
      </c>
      <c r="AM1446">
        <v>46.808925000000002</v>
      </c>
      <c r="AN1446" t="s">
        <v>2820</v>
      </c>
      <c r="AO1446">
        <v>-122.74812</v>
      </c>
      <c r="AP1446">
        <v>100</v>
      </c>
      <c r="AQ1446">
        <v>2000</v>
      </c>
      <c r="AR1446" t="s">
        <v>118</v>
      </c>
      <c r="AS1446">
        <v>-74</v>
      </c>
      <c r="AT1446">
        <v>10</v>
      </c>
      <c r="AU1446">
        <v>192</v>
      </c>
      <c r="BC1446">
        <v>1200</v>
      </c>
      <c r="BD1446">
        <v>1</v>
      </c>
      <c r="BE1446" t="str">
        <f t="shared" si="68"/>
        <v xml:space="preserve">N215T   </v>
      </c>
      <c r="BF1446">
        <v>1</v>
      </c>
      <c r="BH1446">
        <v>0</v>
      </c>
      <c r="BI1446">
        <v>0</v>
      </c>
      <c r="BJ1446">
        <v>0</v>
      </c>
      <c r="BK1446">
        <v>2400</v>
      </c>
      <c r="BL1446">
        <v>400</v>
      </c>
      <c r="BM1446" t="s">
        <v>119</v>
      </c>
      <c r="BN1446">
        <v>1</v>
      </c>
      <c r="BO1446">
        <v>1</v>
      </c>
      <c r="BP1446">
        <v>1</v>
      </c>
      <c r="BQ1446">
        <v>0</v>
      </c>
      <c r="BT1446">
        <v>0</v>
      </c>
      <c r="BU1446">
        <v>0</v>
      </c>
      <c r="BV1446">
        <v>0</v>
      </c>
      <c r="CC1446" t="str">
        <f>"18:58:52.578"</f>
        <v>18:58:52.578</v>
      </c>
      <c r="CD1446" t="str">
        <f>"580907974"</f>
        <v>580907974</v>
      </c>
      <c r="CQ1446">
        <v>0</v>
      </c>
      <c r="CR1446">
        <v>2</v>
      </c>
      <c r="CS1446">
        <v>0</v>
      </c>
      <c r="CT1446">
        <v>2</v>
      </c>
      <c r="CU1446">
        <v>0</v>
      </c>
      <c r="CV1446">
        <v>7</v>
      </c>
      <c r="CW1446" t="s">
        <v>120</v>
      </c>
      <c r="CX1446">
        <v>261</v>
      </c>
      <c r="CY1446">
        <v>2</v>
      </c>
      <c r="CZ1446" t="s">
        <v>121</v>
      </c>
      <c r="DA1446" t="s">
        <v>122</v>
      </c>
      <c r="DD1446">
        <v>15082437</v>
      </c>
      <c r="DE1446" t="s">
        <v>123</v>
      </c>
    </row>
    <row r="1447" spans="1:109" x14ac:dyDescent="0.3">
      <c r="A1447" t="str">
        <f>"18:58:53.656"</f>
        <v>18:58:53.656</v>
      </c>
      <c r="B1447" t="s">
        <v>110</v>
      </c>
      <c r="C1447" t="str">
        <f t="shared" si="66"/>
        <v>ffdfd3c0</v>
      </c>
      <c r="D1447" t="s">
        <v>111</v>
      </c>
      <c r="E1447">
        <v>18</v>
      </c>
      <c r="F1447">
        <v>1018</v>
      </c>
      <c r="G1447" t="s">
        <v>112</v>
      </c>
      <c r="J1447" t="s">
        <v>113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R1447" t="s">
        <v>114</v>
      </c>
      <c r="S1447" t="str">
        <f>"18:58:53.414"</f>
        <v>18:58:53.414</v>
      </c>
      <c r="T1447" t="str">
        <f>"18:58:53.016"</f>
        <v>18:58:53.016</v>
      </c>
      <c r="U1447" t="str">
        <f t="shared" si="67"/>
        <v>a1cdbe</v>
      </c>
      <c r="V1447">
        <v>0</v>
      </c>
      <c r="W1447">
        <v>0</v>
      </c>
      <c r="X1447">
        <v>1</v>
      </c>
      <c r="Y1447">
        <v>0</v>
      </c>
      <c r="Z1447">
        <v>0</v>
      </c>
      <c r="AB1447">
        <v>0</v>
      </c>
      <c r="AC1447">
        <v>9</v>
      </c>
      <c r="AD1447">
        <v>3</v>
      </c>
      <c r="AE1447">
        <v>0</v>
      </c>
      <c r="AF1447">
        <v>9</v>
      </c>
      <c r="AG1447" t="s">
        <v>158</v>
      </c>
      <c r="AH1447">
        <v>0</v>
      </c>
      <c r="AI1447">
        <v>3</v>
      </c>
      <c r="AJ1447">
        <v>1</v>
      </c>
      <c r="AK1447">
        <v>0</v>
      </c>
      <c r="AL1447" t="s">
        <v>2821</v>
      </c>
      <c r="AM1447">
        <v>46.808968</v>
      </c>
      <c r="AN1447" t="s">
        <v>2822</v>
      </c>
      <c r="AO1447">
        <v>-122.74852799999999</v>
      </c>
      <c r="AP1447">
        <v>100</v>
      </c>
      <c r="AQ1447">
        <v>2000</v>
      </c>
      <c r="AR1447" t="s">
        <v>118</v>
      </c>
      <c r="AS1447">
        <v>-74</v>
      </c>
      <c r="AT1447">
        <v>10</v>
      </c>
      <c r="AU1447">
        <v>320</v>
      </c>
      <c r="BC1447">
        <v>1200</v>
      </c>
      <c r="BD1447">
        <v>1</v>
      </c>
      <c r="BE1447" t="str">
        <f t="shared" si="68"/>
        <v xml:space="preserve">N215T   </v>
      </c>
      <c r="BF1447">
        <v>1</v>
      </c>
      <c r="BH1447">
        <v>0</v>
      </c>
      <c r="BI1447">
        <v>0</v>
      </c>
      <c r="BJ1447">
        <v>0</v>
      </c>
      <c r="BK1447">
        <v>2425</v>
      </c>
      <c r="BL1447">
        <v>425</v>
      </c>
      <c r="BM1447" t="s">
        <v>119</v>
      </c>
      <c r="BN1447">
        <v>1</v>
      </c>
      <c r="BO1447">
        <v>1</v>
      </c>
      <c r="BP1447">
        <v>1</v>
      </c>
      <c r="BQ1447">
        <v>0</v>
      </c>
      <c r="BT1447">
        <v>0</v>
      </c>
      <c r="BU1447">
        <v>0</v>
      </c>
      <c r="BV1447">
        <v>0</v>
      </c>
      <c r="CC1447" t="str">
        <f>"18:58:53.422"</f>
        <v>18:58:53.422</v>
      </c>
      <c r="CD1447" t="str">
        <f>"420825247"</f>
        <v>420825247</v>
      </c>
      <c r="CQ1447">
        <v>0</v>
      </c>
      <c r="CR1447">
        <v>2</v>
      </c>
      <c r="CS1447">
        <v>0</v>
      </c>
      <c r="CT1447">
        <v>2</v>
      </c>
      <c r="CU1447">
        <v>0</v>
      </c>
      <c r="CV1447">
        <v>7</v>
      </c>
      <c r="CW1447" t="s">
        <v>120</v>
      </c>
      <c r="CX1447">
        <v>261</v>
      </c>
      <c r="CY1447">
        <v>2</v>
      </c>
      <c r="CZ1447" t="s">
        <v>121</v>
      </c>
      <c r="DA1447" t="s">
        <v>122</v>
      </c>
      <c r="DD1447">
        <v>15083056</v>
      </c>
      <c r="DE1447" t="s">
        <v>123</v>
      </c>
    </row>
    <row r="1448" spans="1:109" x14ac:dyDescent="0.3">
      <c r="A1448" t="str">
        <f>"18:58:54.563"</f>
        <v>18:58:54.563</v>
      </c>
      <c r="B1448" t="s">
        <v>110</v>
      </c>
      <c r="C1448" t="str">
        <f t="shared" si="66"/>
        <v>ffdfd3c0</v>
      </c>
      <c r="D1448" t="s">
        <v>111</v>
      </c>
      <c r="E1448">
        <v>18</v>
      </c>
      <c r="F1448">
        <v>1018</v>
      </c>
      <c r="G1448" t="s">
        <v>112</v>
      </c>
      <c r="J1448" t="s">
        <v>113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R1448" t="s">
        <v>114</v>
      </c>
      <c r="S1448" t="str">
        <f>"18:58:54.344"</f>
        <v>18:58:54.344</v>
      </c>
      <c r="T1448" t="str">
        <f>"18:58:54.047"</f>
        <v>18:58:54.047</v>
      </c>
      <c r="U1448" t="str">
        <f t="shared" si="67"/>
        <v>a1cdbe</v>
      </c>
      <c r="V1448">
        <v>0</v>
      </c>
      <c r="W1448">
        <v>0</v>
      </c>
      <c r="X1448">
        <v>1</v>
      </c>
      <c r="Y1448">
        <v>0</v>
      </c>
      <c r="Z1448">
        <v>0</v>
      </c>
      <c r="AB1448">
        <v>0</v>
      </c>
      <c r="AC1448">
        <v>9</v>
      </c>
      <c r="AD1448">
        <v>3</v>
      </c>
      <c r="AE1448">
        <v>0</v>
      </c>
      <c r="AF1448">
        <v>9</v>
      </c>
      <c r="AG1448" t="s">
        <v>158</v>
      </c>
      <c r="AH1448">
        <v>0</v>
      </c>
      <c r="AI1448">
        <v>3</v>
      </c>
      <c r="AJ1448">
        <v>1</v>
      </c>
      <c r="AK1448">
        <v>0</v>
      </c>
      <c r="AL1448" t="s">
        <v>2741</v>
      </c>
      <c r="AM1448">
        <v>46.809010999999998</v>
      </c>
      <c r="AN1448" t="s">
        <v>2823</v>
      </c>
      <c r="AO1448">
        <v>-122.749</v>
      </c>
      <c r="AP1448">
        <v>100</v>
      </c>
      <c r="AQ1448">
        <v>2000</v>
      </c>
      <c r="AR1448" t="s">
        <v>118</v>
      </c>
      <c r="AS1448">
        <v>-75</v>
      </c>
      <c r="AT1448">
        <v>10</v>
      </c>
      <c r="AU1448">
        <v>192</v>
      </c>
      <c r="BC1448">
        <v>1200</v>
      </c>
      <c r="BD1448">
        <v>1</v>
      </c>
      <c r="BE1448" t="str">
        <f t="shared" si="68"/>
        <v xml:space="preserve">N215T   </v>
      </c>
      <c r="BF1448">
        <v>1</v>
      </c>
      <c r="BH1448">
        <v>0</v>
      </c>
      <c r="BI1448">
        <v>0</v>
      </c>
      <c r="BJ1448">
        <v>0</v>
      </c>
      <c r="BK1448">
        <v>2425</v>
      </c>
      <c r="BL1448">
        <v>425</v>
      </c>
      <c r="BM1448" t="s">
        <v>119</v>
      </c>
      <c r="BN1448">
        <v>1</v>
      </c>
      <c r="BO1448">
        <v>1</v>
      </c>
      <c r="BP1448">
        <v>1</v>
      </c>
      <c r="BQ1448">
        <v>0</v>
      </c>
      <c r="BT1448">
        <v>0</v>
      </c>
      <c r="BU1448">
        <v>0</v>
      </c>
      <c r="BV1448">
        <v>0</v>
      </c>
      <c r="CC1448" t="str">
        <f>"18:58:54.352"</f>
        <v>18:58:54.352</v>
      </c>
      <c r="CD1448" t="str">
        <f>"350733638"</f>
        <v>350733638</v>
      </c>
      <c r="CQ1448">
        <v>0</v>
      </c>
      <c r="CR1448">
        <v>2</v>
      </c>
      <c r="CS1448">
        <v>0</v>
      </c>
      <c r="CT1448">
        <v>2</v>
      </c>
      <c r="CU1448">
        <v>0</v>
      </c>
      <c r="CV1448">
        <v>7</v>
      </c>
      <c r="CW1448" t="s">
        <v>120</v>
      </c>
      <c r="CX1448">
        <v>261</v>
      </c>
      <c r="CY1448">
        <v>2</v>
      </c>
      <c r="CZ1448" t="s">
        <v>121</v>
      </c>
      <c r="DA1448" t="s">
        <v>122</v>
      </c>
      <c r="DD1448">
        <v>15083704</v>
      </c>
      <c r="DE1448" t="s">
        <v>123</v>
      </c>
    </row>
    <row r="1449" spans="1:109" x14ac:dyDescent="0.3">
      <c r="A1449" t="str">
        <f>"18:58:55.617"</f>
        <v>18:58:55.617</v>
      </c>
      <c r="B1449" t="s">
        <v>110</v>
      </c>
      <c r="C1449" t="str">
        <f t="shared" si="66"/>
        <v>ffdfd3c0</v>
      </c>
      <c r="D1449" t="s">
        <v>111</v>
      </c>
      <c r="E1449">
        <v>18</v>
      </c>
      <c r="F1449">
        <v>1018</v>
      </c>
      <c r="G1449" t="s">
        <v>112</v>
      </c>
      <c r="J1449" t="s">
        <v>113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R1449" t="s">
        <v>114</v>
      </c>
      <c r="S1449" t="str">
        <f>"18:58:55.367"</f>
        <v>18:58:55.367</v>
      </c>
      <c r="T1449" t="str">
        <f>"18:58:54.867"</f>
        <v>18:58:54.867</v>
      </c>
      <c r="U1449" t="str">
        <f t="shared" si="67"/>
        <v>a1cdbe</v>
      </c>
      <c r="V1449">
        <v>0</v>
      </c>
      <c r="W1449">
        <v>0</v>
      </c>
      <c r="X1449">
        <v>1</v>
      </c>
      <c r="Y1449">
        <v>0</v>
      </c>
      <c r="Z1449">
        <v>0</v>
      </c>
      <c r="AB1449">
        <v>0</v>
      </c>
      <c r="AC1449">
        <v>9</v>
      </c>
      <c r="AD1449">
        <v>3</v>
      </c>
      <c r="AE1449">
        <v>0</v>
      </c>
      <c r="AF1449">
        <v>9</v>
      </c>
      <c r="AG1449" t="s">
        <v>158</v>
      </c>
      <c r="AH1449">
        <v>0</v>
      </c>
      <c r="AI1449">
        <v>3</v>
      </c>
      <c r="AJ1449">
        <v>1</v>
      </c>
      <c r="AK1449">
        <v>0</v>
      </c>
      <c r="AL1449" t="s">
        <v>2824</v>
      </c>
      <c r="AM1449">
        <v>46.809075</v>
      </c>
      <c r="AN1449" t="s">
        <v>2825</v>
      </c>
      <c r="AO1449">
        <v>-122.749493</v>
      </c>
      <c r="AP1449">
        <v>100</v>
      </c>
      <c r="AQ1449">
        <v>2000</v>
      </c>
      <c r="AR1449" t="s">
        <v>118</v>
      </c>
      <c r="AS1449">
        <v>-75</v>
      </c>
      <c r="AT1449">
        <v>10</v>
      </c>
      <c r="AU1449">
        <v>192</v>
      </c>
      <c r="BC1449">
        <v>1200</v>
      </c>
      <c r="BD1449">
        <v>1</v>
      </c>
      <c r="BE1449" t="str">
        <f t="shared" si="68"/>
        <v xml:space="preserve">N215T   </v>
      </c>
      <c r="BF1449">
        <v>1</v>
      </c>
      <c r="BH1449">
        <v>0</v>
      </c>
      <c r="BI1449">
        <v>0</v>
      </c>
      <c r="BJ1449">
        <v>0</v>
      </c>
      <c r="BK1449">
        <v>2425</v>
      </c>
      <c r="BL1449">
        <v>425</v>
      </c>
      <c r="BM1449" t="s">
        <v>119</v>
      </c>
      <c r="BN1449">
        <v>1</v>
      </c>
      <c r="BO1449">
        <v>1</v>
      </c>
      <c r="BP1449">
        <v>1</v>
      </c>
      <c r="BQ1449">
        <v>0</v>
      </c>
      <c r="BT1449">
        <v>0</v>
      </c>
      <c r="BU1449">
        <v>0</v>
      </c>
      <c r="BV1449">
        <v>0</v>
      </c>
      <c r="CC1449" t="str">
        <f>"18:58:55.367"</f>
        <v>18:58:55.367</v>
      </c>
      <c r="CD1449" t="str">
        <f>"370633175"</f>
        <v>370633175</v>
      </c>
      <c r="CQ1449">
        <v>0</v>
      </c>
      <c r="CR1449">
        <v>2</v>
      </c>
      <c r="CS1449">
        <v>0</v>
      </c>
      <c r="CT1449">
        <v>2</v>
      </c>
      <c r="CU1449">
        <v>0</v>
      </c>
      <c r="CV1449">
        <v>7</v>
      </c>
      <c r="CW1449" t="s">
        <v>120</v>
      </c>
      <c r="CX1449">
        <v>261</v>
      </c>
      <c r="CY1449">
        <v>2</v>
      </c>
      <c r="CZ1449" t="s">
        <v>121</v>
      </c>
      <c r="DA1449" t="s">
        <v>122</v>
      </c>
      <c r="DD1449">
        <v>15084391</v>
      </c>
      <c r="DE1449" t="s">
        <v>123</v>
      </c>
    </row>
    <row r="1450" spans="1:109" x14ac:dyDescent="0.3">
      <c r="A1450" t="str">
        <f>"18:58:56.625"</f>
        <v>18:58:56.625</v>
      </c>
      <c r="B1450" t="s">
        <v>110</v>
      </c>
      <c r="C1450" t="str">
        <f t="shared" si="66"/>
        <v>ffdfd3c0</v>
      </c>
      <c r="D1450" t="s">
        <v>111</v>
      </c>
      <c r="E1450">
        <v>18</v>
      </c>
      <c r="F1450">
        <v>1018</v>
      </c>
      <c r="G1450" t="s">
        <v>112</v>
      </c>
      <c r="J1450" t="s">
        <v>113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R1450" t="s">
        <v>114</v>
      </c>
      <c r="S1450" t="str">
        <f>"18:58:56.398"</f>
        <v>18:58:56.398</v>
      </c>
      <c r="T1450" t="str">
        <f>"18:58:56.000"</f>
        <v>18:58:56.000</v>
      </c>
      <c r="U1450" t="str">
        <f t="shared" si="67"/>
        <v>a1cdbe</v>
      </c>
      <c r="V1450">
        <v>0</v>
      </c>
      <c r="W1450">
        <v>0</v>
      </c>
      <c r="X1450">
        <v>1</v>
      </c>
      <c r="Y1450">
        <v>0</v>
      </c>
      <c r="Z1450">
        <v>0</v>
      </c>
      <c r="AB1450">
        <v>0</v>
      </c>
      <c r="AC1450">
        <v>9</v>
      </c>
      <c r="AD1450">
        <v>3</v>
      </c>
      <c r="AE1450">
        <v>0</v>
      </c>
      <c r="AF1450">
        <v>9</v>
      </c>
      <c r="AG1450" t="s">
        <v>158</v>
      </c>
      <c r="AH1450">
        <v>0</v>
      </c>
      <c r="AI1450">
        <v>3</v>
      </c>
      <c r="AJ1450">
        <v>1</v>
      </c>
      <c r="AK1450">
        <v>0</v>
      </c>
      <c r="AL1450" t="s">
        <v>2739</v>
      </c>
      <c r="AM1450">
        <v>46.809117999999998</v>
      </c>
      <c r="AN1450" t="s">
        <v>2826</v>
      </c>
      <c r="AO1450">
        <v>-122.750051</v>
      </c>
      <c r="AP1450">
        <v>100</v>
      </c>
      <c r="AQ1450">
        <v>2000</v>
      </c>
      <c r="AR1450" t="s">
        <v>118</v>
      </c>
      <c r="AS1450">
        <v>-75</v>
      </c>
      <c r="AT1450">
        <v>11</v>
      </c>
      <c r="AU1450">
        <v>192</v>
      </c>
      <c r="BC1450">
        <v>1200</v>
      </c>
      <c r="BD1450">
        <v>1</v>
      </c>
      <c r="BE1450" t="str">
        <f t="shared" si="68"/>
        <v xml:space="preserve">N215T   </v>
      </c>
      <c r="BF1450">
        <v>1</v>
      </c>
      <c r="BH1450">
        <v>0</v>
      </c>
      <c r="BI1450">
        <v>0</v>
      </c>
      <c r="BJ1450">
        <v>0</v>
      </c>
      <c r="BK1450">
        <v>2425</v>
      </c>
      <c r="BL1450">
        <v>425</v>
      </c>
      <c r="BM1450" t="s">
        <v>119</v>
      </c>
      <c r="BN1450">
        <v>1</v>
      </c>
      <c r="BO1450">
        <v>1</v>
      </c>
      <c r="BP1450">
        <v>1</v>
      </c>
      <c r="BQ1450">
        <v>0</v>
      </c>
      <c r="BT1450">
        <v>0</v>
      </c>
      <c r="BU1450">
        <v>0</v>
      </c>
      <c r="BV1450">
        <v>0</v>
      </c>
      <c r="CC1450" t="str">
        <f>"18:58:56.406"</f>
        <v>18:58:56.406</v>
      </c>
      <c r="CD1450" t="str">
        <f>"405531231"</f>
        <v>405531231</v>
      </c>
      <c r="CQ1450">
        <v>0</v>
      </c>
      <c r="CR1450">
        <v>2</v>
      </c>
      <c r="CS1450">
        <v>0</v>
      </c>
      <c r="CT1450">
        <v>2</v>
      </c>
      <c r="CU1450">
        <v>0</v>
      </c>
      <c r="CV1450">
        <v>7</v>
      </c>
      <c r="CW1450" t="s">
        <v>120</v>
      </c>
      <c r="CX1450">
        <v>261</v>
      </c>
      <c r="CY1450">
        <v>2</v>
      </c>
      <c r="CZ1450" t="s">
        <v>121</v>
      </c>
      <c r="DA1450" t="s">
        <v>122</v>
      </c>
      <c r="DD1450">
        <v>15085053</v>
      </c>
      <c r="DE1450" t="s">
        <v>123</v>
      </c>
    </row>
    <row r="1451" spans="1:109" x14ac:dyDescent="0.3">
      <c r="A1451" t="str">
        <f>"18:58:57.633"</f>
        <v>18:58:57.633</v>
      </c>
      <c r="B1451" t="s">
        <v>110</v>
      </c>
      <c r="C1451" t="str">
        <f t="shared" si="66"/>
        <v>ffdfd3c0</v>
      </c>
      <c r="D1451" t="s">
        <v>111</v>
      </c>
      <c r="E1451">
        <v>18</v>
      </c>
      <c r="F1451">
        <v>1018</v>
      </c>
      <c r="G1451" t="s">
        <v>112</v>
      </c>
      <c r="J1451" t="s">
        <v>113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R1451" t="s">
        <v>114</v>
      </c>
      <c r="S1451" t="str">
        <f>"18:58:57.406"</f>
        <v>18:58:57.406</v>
      </c>
      <c r="T1451" t="str">
        <f>"18:58:57.406"</f>
        <v>18:58:57.406</v>
      </c>
      <c r="U1451" t="str">
        <f t="shared" si="67"/>
        <v>a1cdbe</v>
      </c>
      <c r="V1451">
        <v>0</v>
      </c>
      <c r="W1451">
        <v>0</v>
      </c>
      <c r="X1451">
        <v>1</v>
      </c>
      <c r="Y1451">
        <v>0</v>
      </c>
      <c r="Z1451">
        <v>0</v>
      </c>
      <c r="AB1451">
        <v>0</v>
      </c>
      <c r="AC1451">
        <v>9</v>
      </c>
      <c r="AD1451">
        <v>3</v>
      </c>
      <c r="AE1451">
        <v>0</v>
      </c>
      <c r="AF1451">
        <v>9</v>
      </c>
      <c r="AG1451" t="s">
        <v>158</v>
      </c>
      <c r="AH1451">
        <v>0</v>
      </c>
      <c r="AI1451">
        <v>3</v>
      </c>
      <c r="AJ1451">
        <v>1</v>
      </c>
      <c r="AK1451">
        <v>0</v>
      </c>
      <c r="AL1451" t="s">
        <v>2827</v>
      </c>
      <c r="AM1451">
        <v>46.809161000000003</v>
      </c>
      <c r="AN1451" t="s">
        <v>2828</v>
      </c>
      <c r="AO1451">
        <v>-122.750523</v>
      </c>
      <c r="AP1451">
        <v>100</v>
      </c>
      <c r="AQ1451">
        <v>2000</v>
      </c>
      <c r="AR1451" t="s">
        <v>118</v>
      </c>
      <c r="AS1451">
        <v>-75</v>
      </c>
      <c r="AT1451">
        <v>10</v>
      </c>
      <c r="AU1451">
        <v>128</v>
      </c>
      <c r="BC1451">
        <v>1200</v>
      </c>
      <c r="BD1451">
        <v>1</v>
      </c>
      <c r="BE1451" t="str">
        <f t="shared" si="68"/>
        <v xml:space="preserve">N215T   </v>
      </c>
      <c r="BF1451">
        <v>1</v>
      </c>
      <c r="BH1451">
        <v>0</v>
      </c>
      <c r="BI1451">
        <v>0</v>
      </c>
      <c r="BJ1451">
        <v>0</v>
      </c>
      <c r="BK1451">
        <v>2425</v>
      </c>
      <c r="BL1451">
        <v>425</v>
      </c>
      <c r="BM1451" t="s">
        <v>119</v>
      </c>
      <c r="BN1451">
        <v>1</v>
      </c>
      <c r="BO1451">
        <v>1</v>
      </c>
      <c r="BP1451">
        <v>1</v>
      </c>
      <c r="BQ1451">
        <v>0</v>
      </c>
      <c r="BT1451">
        <v>0</v>
      </c>
      <c r="BU1451">
        <v>0</v>
      </c>
      <c r="BV1451">
        <v>0</v>
      </c>
      <c r="CC1451" t="str">
        <f>"18:58:57.414"</f>
        <v>18:58:57.414</v>
      </c>
      <c r="CD1451" t="str">
        <f>"410432249"</f>
        <v>410432249</v>
      </c>
      <c r="CQ1451">
        <v>0</v>
      </c>
      <c r="CR1451">
        <v>2</v>
      </c>
      <c r="CS1451">
        <v>0</v>
      </c>
      <c r="CT1451">
        <v>2</v>
      </c>
      <c r="CU1451">
        <v>0</v>
      </c>
      <c r="CV1451">
        <v>7</v>
      </c>
      <c r="CW1451" t="s">
        <v>120</v>
      </c>
      <c r="CX1451">
        <v>261</v>
      </c>
      <c r="CY1451">
        <v>2</v>
      </c>
      <c r="CZ1451" t="s">
        <v>121</v>
      </c>
      <c r="DA1451" t="s">
        <v>122</v>
      </c>
      <c r="DD1451">
        <v>15085766</v>
      </c>
      <c r="DE1451" t="s">
        <v>123</v>
      </c>
    </row>
    <row r="1452" spans="1:109" x14ac:dyDescent="0.3">
      <c r="A1452" t="str">
        <f>"18:58:58.688"</f>
        <v>18:58:58.688</v>
      </c>
      <c r="B1452" t="s">
        <v>110</v>
      </c>
      <c r="C1452" t="str">
        <f t="shared" si="66"/>
        <v>ffdfd3c0</v>
      </c>
      <c r="D1452" t="s">
        <v>111</v>
      </c>
      <c r="E1452">
        <v>18</v>
      </c>
      <c r="F1452">
        <v>1018</v>
      </c>
      <c r="G1452" t="s">
        <v>112</v>
      </c>
      <c r="J1452" t="s">
        <v>113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R1452" t="s">
        <v>114</v>
      </c>
      <c r="S1452" t="str">
        <f>"18:58:58.445"</f>
        <v>18:58:58.445</v>
      </c>
      <c r="T1452" t="str">
        <f>"18:58:58.445"</f>
        <v>18:58:58.445</v>
      </c>
      <c r="U1452" t="str">
        <f t="shared" si="67"/>
        <v>a1cdbe</v>
      </c>
      <c r="V1452">
        <v>0</v>
      </c>
      <c r="W1452">
        <v>0</v>
      </c>
      <c r="X1452">
        <v>1</v>
      </c>
      <c r="Y1452">
        <v>0</v>
      </c>
      <c r="Z1452">
        <v>0</v>
      </c>
      <c r="AB1452">
        <v>0</v>
      </c>
      <c r="AC1452">
        <v>9</v>
      </c>
      <c r="AD1452">
        <v>3</v>
      </c>
      <c r="AE1452">
        <v>0</v>
      </c>
      <c r="AF1452">
        <v>9</v>
      </c>
      <c r="AG1452" t="s">
        <v>158</v>
      </c>
      <c r="AH1452">
        <v>0</v>
      </c>
      <c r="AI1452">
        <v>3</v>
      </c>
      <c r="AJ1452">
        <v>1</v>
      </c>
      <c r="AK1452">
        <v>0</v>
      </c>
      <c r="AL1452" t="s">
        <v>2829</v>
      </c>
      <c r="AM1452">
        <v>46.809224999999998</v>
      </c>
      <c r="AN1452" t="s">
        <v>2830</v>
      </c>
      <c r="AO1452">
        <v>-122.75103799999999</v>
      </c>
      <c r="AP1452">
        <v>100</v>
      </c>
      <c r="AQ1452">
        <v>2000</v>
      </c>
      <c r="AR1452" t="s">
        <v>118</v>
      </c>
      <c r="AS1452">
        <v>-75</v>
      </c>
      <c r="AT1452">
        <v>10</v>
      </c>
      <c r="AU1452">
        <v>128</v>
      </c>
      <c r="BC1452">
        <v>1200</v>
      </c>
      <c r="BD1452">
        <v>1</v>
      </c>
      <c r="BE1452" t="str">
        <f t="shared" si="68"/>
        <v xml:space="preserve">N215T   </v>
      </c>
      <c r="BF1452">
        <v>1</v>
      </c>
      <c r="BH1452">
        <v>0</v>
      </c>
      <c r="BI1452">
        <v>0</v>
      </c>
      <c r="BJ1452">
        <v>0</v>
      </c>
      <c r="BK1452">
        <v>2425</v>
      </c>
      <c r="BL1452">
        <v>425</v>
      </c>
      <c r="BM1452" t="s">
        <v>119</v>
      </c>
      <c r="BN1452">
        <v>1</v>
      </c>
      <c r="BO1452">
        <v>1</v>
      </c>
      <c r="BP1452">
        <v>1</v>
      </c>
      <c r="BQ1452">
        <v>0</v>
      </c>
      <c r="BT1452">
        <v>0</v>
      </c>
      <c r="BU1452">
        <v>0</v>
      </c>
      <c r="BV1452">
        <v>0</v>
      </c>
      <c r="CC1452" t="str">
        <f>"18:58:58.445"</f>
        <v>18:58:58.445</v>
      </c>
      <c r="CD1452" t="str">
        <f>"445330318"</f>
        <v>445330318</v>
      </c>
      <c r="CQ1452">
        <v>0</v>
      </c>
      <c r="CR1452">
        <v>2</v>
      </c>
      <c r="CS1452">
        <v>0</v>
      </c>
      <c r="CT1452">
        <v>2</v>
      </c>
      <c r="CU1452">
        <v>0</v>
      </c>
      <c r="CV1452">
        <v>7</v>
      </c>
      <c r="CW1452" t="s">
        <v>120</v>
      </c>
      <c r="CX1452">
        <v>261</v>
      </c>
      <c r="CY1452">
        <v>2</v>
      </c>
      <c r="CZ1452" t="s">
        <v>121</v>
      </c>
      <c r="DA1452" t="s">
        <v>122</v>
      </c>
      <c r="DD1452">
        <v>15086530</v>
      </c>
      <c r="DE1452" t="s">
        <v>123</v>
      </c>
    </row>
    <row r="1453" spans="1:109" x14ac:dyDescent="0.3">
      <c r="A1453" t="str">
        <f>"18:59:00.148"</f>
        <v>18:59:00.148</v>
      </c>
      <c r="B1453" t="s">
        <v>110</v>
      </c>
      <c r="C1453" t="str">
        <f t="shared" si="66"/>
        <v>ffdfd3c0</v>
      </c>
      <c r="D1453" t="s">
        <v>111</v>
      </c>
      <c r="E1453">
        <v>18</v>
      </c>
      <c r="F1453">
        <v>1018</v>
      </c>
      <c r="G1453" t="s">
        <v>112</v>
      </c>
      <c r="J1453" t="s">
        <v>113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R1453" t="s">
        <v>114</v>
      </c>
      <c r="S1453" t="str">
        <f>"18:58:59.898"</f>
        <v>18:58:59.898</v>
      </c>
      <c r="T1453" t="str">
        <f>"18:58:59.500"</f>
        <v>18:58:59.500</v>
      </c>
      <c r="U1453" t="str">
        <f t="shared" si="67"/>
        <v>a1cdbe</v>
      </c>
      <c r="V1453">
        <v>0</v>
      </c>
      <c r="W1453">
        <v>0</v>
      </c>
      <c r="X1453">
        <v>1</v>
      </c>
      <c r="Y1453">
        <v>0</v>
      </c>
      <c r="Z1453">
        <v>0</v>
      </c>
      <c r="AB1453">
        <v>0</v>
      </c>
      <c r="AC1453">
        <v>9</v>
      </c>
      <c r="AD1453">
        <v>3</v>
      </c>
      <c r="AE1453">
        <v>0</v>
      </c>
      <c r="AF1453">
        <v>9</v>
      </c>
      <c r="AG1453" t="s">
        <v>158</v>
      </c>
      <c r="AH1453">
        <v>0</v>
      </c>
      <c r="AI1453">
        <v>3</v>
      </c>
      <c r="AJ1453">
        <v>1</v>
      </c>
      <c r="AK1453">
        <v>0</v>
      </c>
      <c r="AL1453" t="s">
        <v>2737</v>
      </c>
      <c r="AM1453">
        <v>46.809246999999999</v>
      </c>
      <c r="AN1453" t="s">
        <v>2831</v>
      </c>
      <c r="AO1453">
        <v>-122.75183199999999</v>
      </c>
      <c r="AP1453">
        <v>100</v>
      </c>
      <c r="AQ1453">
        <v>2000</v>
      </c>
      <c r="AR1453" t="s">
        <v>118</v>
      </c>
      <c r="AS1453">
        <v>-75</v>
      </c>
      <c r="AT1453">
        <v>9</v>
      </c>
      <c r="AU1453">
        <v>128</v>
      </c>
      <c r="BC1453">
        <v>1200</v>
      </c>
      <c r="BD1453">
        <v>1</v>
      </c>
      <c r="BE1453" t="str">
        <f t="shared" si="68"/>
        <v xml:space="preserve">N215T   </v>
      </c>
      <c r="BF1453">
        <v>1</v>
      </c>
      <c r="BH1453">
        <v>0</v>
      </c>
      <c r="BI1453">
        <v>0</v>
      </c>
      <c r="BJ1453">
        <v>0</v>
      </c>
      <c r="BK1453">
        <v>2425</v>
      </c>
      <c r="BL1453">
        <v>425</v>
      </c>
      <c r="BM1453" t="s">
        <v>119</v>
      </c>
      <c r="BN1453">
        <v>1</v>
      </c>
      <c r="BO1453">
        <v>1</v>
      </c>
      <c r="BP1453">
        <v>1</v>
      </c>
      <c r="BQ1453">
        <v>0</v>
      </c>
      <c r="BT1453">
        <v>0</v>
      </c>
      <c r="BU1453">
        <v>0</v>
      </c>
      <c r="BV1453">
        <v>0</v>
      </c>
      <c r="CC1453" t="str">
        <f>"18:58:59.898"</f>
        <v>18:58:59.898</v>
      </c>
      <c r="CD1453" t="str">
        <f>"900238117"</f>
        <v>900238117</v>
      </c>
      <c r="CQ1453">
        <v>0</v>
      </c>
      <c r="CR1453">
        <v>2</v>
      </c>
      <c r="CS1453">
        <v>0</v>
      </c>
      <c r="CT1453">
        <v>2</v>
      </c>
      <c r="CU1453">
        <v>0</v>
      </c>
      <c r="CV1453">
        <v>6</v>
      </c>
      <c r="CW1453" t="s">
        <v>120</v>
      </c>
      <c r="CX1453">
        <v>257</v>
      </c>
      <c r="CY1453">
        <v>1</v>
      </c>
      <c r="CZ1453" t="s">
        <v>615</v>
      </c>
      <c r="DA1453" t="s">
        <v>616</v>
      </c>
      <c r="DD1453">
        <v>11455931</v>
      </c>
      <c r="DE1453" t="s">
        <v>123</v>
      </c>
    </row>
    <row r="1454" spans="1:109" x14ac:dyDescent="0.3">
      <c r="A1454" t="str">
        <f>"18:59:01.305"</f>
        <v>18:59:01.305</v>
      </c>
      <c r="B1454" t="s">
        <v>110</v>
      </c>
      <c r="C1454" t="str">
        <f t="shared" si="66"/>
        <v>ffdfd3c0</v>
      </c>
      <c r="D1454" t="s">
        <v>111</v>
      </c>
      <c r="E1454">
        <v>18</v>
      </c>
      <c r="F1454">
        <v>1018</v>
      </c>
      <c r="G1454" t="s">
        <v>112</v>
      </c>
      <c r="J1454" t="s">
        <v>113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R1454" t="s">
        <v>114</v>
      </c>
      <c r="S1454" t="str">
        <f>"18:59:01.039"</f>
        <v>18:59:01.039</v>
      </c>
      <c r="T1454" t="str">
        <f>"18:59:01.039"</f>
        <v>18:59:01.039</v>
      </c>
      <c r="U1454" t="str">
        <f t="shared" si="67"/>
        <v>a1cdbe</v>
      </c>
      <c r="V1454">
        <v>0</v>
      </c>
      <c r="W1454">
        <v>0</v>
      </c>
      <c r="X1454">
        <v>1</v>
      </c>
      <c r="Y1454">
        <v>0</v>
      </c>
      <c r="Z1454">
        <v>0</v>
      </c>
      <c r="AB1454">
        <v>0</v>
      </c>
      <c r="AC1454">
        <v>9</v>
      </c>
      <c r="AD1454">
        <v>3</v>
      </c>
      <c r="AE1454">
        <v>0</v>
      </c>
      <c r="AF1454">
        <v>9</v>
      </c>
      <c r="AG1454" t="s">
        <v>158</v>
      </c>
      <c r="AH1454">
        <v>0</v>
      </c>
      <c r="AI1454">
        <v>3</v>
      </c>
      <c r="AJ1454">
        <v>1</v>
      </c>
      <c r="AK1454">
        <v>0</v>
      </c>
      <c r="AL1454" t="s">
        <v>2832</v>
      </c>
      <c r="AM1454">
        <v>46.809289</v>
      </c>
      <c r="AN1454" t="s">
        <v>2833</v>
      </c>
      <c r="AO1454">
        <v>-122.752433</v>
      </c>
      <c r="AP1454">
        <v>100</v>
      </c>
      <c r="AQ1454">
        <v>2000</v>
      </c>
      <c r="AR1454" t="s">
        <v>118</v>
      </c>
      <c r="AS1454">
        <v>-75</v>
      </c>
      <c r="AT1454">
        <v>8</v>
      </c>
      <c r="AU1454">
        <v>64</v>
      </c>
      <c r="BC1454">
        <v>1200</v>
      </c>
      <c r="BD1454">
        <v>1</v>
      </c>
      <c r="BE1454" t="str">
        <f t="shared" si="68"/>
        <v xml:space="preserve">N215T   </v>
      </c>
      <c r="BF1454">
        <v>1</v>
      </c>
      <c r="BH1454">
        <v>0</v>
      </c>
      <c r="BI1454">
        <v>0</v>
      </c>
      <c r="BJ1454">
        <v>0</v>
      </c>
      <c r="BK1454">
        <v>2425</v>
      </c>
      <c r="BL1454">
        <v>425</v>
      </c>
      <c r="BM1454" t="s">
        <v>119</v>
      </c>
      <c r="BN1454">
        <v>1</v>
      </c>
      <c r="BO1454">
        <v>1</v>
      </c>
      <c r="BP1454">
        <v>1</v>
      </c>
      <c r="BQ1454">
        <v>0</v>
      </c>
      <c r="BT1454">
        <v>0</v>
      </c>
      <c r="BU1454">
        <v>0</v>
      </c>
      <c r="BV1454">
        <v>0</v>
      </c>
      <c r="CC1454" t="str">
        <f>"18:59:01.039"</f>
        <v>18:59:01.039</v>
      </c>
      <c r="CD1454" t="str">
        <f>"040074748"</f>
        <v>040074748</v>
      </c>
      <c r="CQ1454">
        <v>0</v>
      </c>
      <c r="CR1454">
        <v>2</v>
      </c>
      <c r="CS1454">
        <v>0</v>
      </c>
      <c r="CT1454">
        <v>2</v>
      </c>
      <c r="CU1454">
        <v>0</v>
      </c>
      <c r="CV1454">
        <v>7</v>
      </c>
      <c r="CW1454" t="s">
        <v>120</v>
      </c>
      <c r="CX1454">
        <v>261</v>
      </c>
      <c r="CY1454">
        <v>2</v>
      </c>
      <c r="CZ1454" t="s">
        <v>121</v>
      </c>
      <c r="DA1454" t="s">
        <v>122</v>
      </c>
      <c r="DD1454">
        <v>15088313</v>
      </c>
      <c r="DE1454" t="s">
        <v>123</v>
      </c>
    </row>
    <row r="1455" spans="1:109" x14ac:dyDescent="0.3">
      <c r="A1455" t="str">
        <f>"18:59:02.211"</f>
        <v>18:59:02.211</v>
      </c>
      <c r="B1455" t="s">
        <v>110</v>
      </c>
      <c r="C1455" t="str">
        <f t="shared" si="66"/>
        <v>ffdfd3c0</v>
      </c>
      <c r="D1455" t="s">
        <v>111</v>
      </c>
      <c r="E1455">
        <v>18</v>
      </c>
      <c r="F1455">
        <v>1018</v>
      </c>
      <c r="G1455" t="s">
        <v>112</v>
      </c>
      <c r="J1455" t="s">
        <v>113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R1455" t="s">
        <v>114</v>
      </c>
      <c r="S1455" t="str">
        <f>"18:59:01.953"</f>
        <v>18:59:01.953</v>
      </c>
      <c r="T1455" t="str">
        <f>"18:59:01.453"</f>
        <v>18:59:01.453</v>
      </c>
      <c r="U1455" t="str">
        <f t="shared" si="67"/>
        <v>a1cdbe</v>
      </c>
      <c r="V1455">
        <v>0</v>
      </c>
      <c r="W1455">
        <v>0</v>
      </c>
      <c r="X1455">
        <v>1</v>
      </c>
      <c r="Y1455">
        <v>0</v>
      </c>
      <c r="Z1455">
        <v>0</v>
      </c>
      <c r="AB1455">
        <v>0</v>
      </c>
      <c r="AC1455">
        <v>9</v>
      </c>
      <c r="AD1455">
        <v>3</v>
      </c>
      <c r="AE1455">
        <v>0</v>
      </c>
      <c r="AF1455">
        <v>9</v>
      </c>
      <c r="AG1455" t="s">
        <v>158</v>
      </c>
      <c r="AH1455">
        <v>0</v>
      </c>
      <c r="AI1455">
        <v>3</v>
      </c>
      <c r="AJ1455">
        <v>1</v>
      </c>
      <c r="AK1455">
        <v>0</v>
      </c>
      <c r="AL1455" t="s">
        <v>2735</v>
      </c>
      <c r="AM1455">
        <v>46.809353999999999</v>
      </c>
      <c r="AN1455" t="s">
        <v>2834</v>
      </c>
      <c r="AO1455">
        <v>-122.75286199999999</v>
      </c>
      <c r="AP1455">
        <v>100</v>
      </c>
      <c r="AQ1455">
        <v>2000</v>
      </c>
      <c r="AR1455" t="s">
        <v>118</v>
      </c>
      <c r="AS1455">
        <v>-75</v>
      </c>
      <c r="AT1455">
        <v>8</v>
      </c>
      <c r="AU1455">
        <v>64</v>
      </c>
      <c r="BC1455">
        <v>1200</v>
      </c>
      <c r="BD1455">
        <v>1</v>
      </c>
      <c r="BE1455" t="str">
        <f t="shared" si="68"/>
        <v xml:space="preserve">N215T   </v>
      </c>
      <c r="BF1455">
        <v>1</v>
      </c>
      <c r="BH1455">
        <v>0</v>
      </c>
      <c r="BI1455">
        <v>0</v>
      </c>
      <c r="BJ1455">
        <v>0</v>
      </c>
      <c r="BK1455">
        <v>2425</v>
      </c>
      <c r="BL1455">
        <v>425</v>
      </c>
      <c r="BM1455" t="s">
        <v>119</v>
      </c>
      <c r="BN1455">
        <v>1</v>
      </c>
      <c r="BO1455">
        <v>1</v>
      </c>
      <c r="BP1455">
        <v>1</v>
      </c>
      <c r="BQ1455">
        <v>0</v>
      </c>
      <c r="BT1455">
        <v>0</v>
      </c>
      <c r="BU1455">
        <v>0</v>
      </c>
      <c r="BV1455">
        <v>0</v>
      </c>
      <c r="CC1455" t="str">
        <f>"18:59:01.953"</f>
        <v>18:59:01.953</v>
      </c>
      <c r="CD1455" t="str">
        <f>"954984624"</f>
        <v>954984624</v>
      </c>
      <c r="CQ1455">
        <v>0</v>
      </c>
      <c r="CR1455">
        <v>2</v>
      </c>
      <c r="CS1455">
        <v>0</v>
      </c>
      <c r="CT1455">
        <v>2</v>
      </c>
      <c r="CU1455">
        <v>0</v>
      </c>
      <c r="CV1455">
        <v>6</v>
      </c>
      <c r="CW1455" t="s">
        <v>120</v>
      </c>
      <c r="CX1455">
        <v>261</v>
      </c>
      <c r="CY1455">
        <v>2</v>
      </c>
      <c r="CZ1455" t="s">
        <v>121</v>
      </c>
      <c r="DA1455" t="s">
        <v>122</v>
      </c>
      <c r="DD1455">
        <v>15088955</v>
      </c>
      <c r="DE1455" t="s">
        <v>123</v>
      </c>
    </row>
    <row r="1456" spans="1:109" x14ac:dyDescent="0.3">
      <c r="A1456" t="str">
        <f>"18:59:03.266"</f>
        <v>18:59:03.266</v>
      </c>
      <c r="B1456" t="s">
        <v>110</v>
      </c>
      <c r="C1456" t="str">
        <f t="shared" si="66"/>
        <v>ffdfd3c0</v>
      </c>
      <c r="D1456" t="s">
        <v>111</v>
      </c>
      <c r="E1456">
        <v>18</v>
      </c>
      <c r="F1456">
        <v>1018</v>
      </c>
      <c r="G1456" t="s">
        <v>112</v>
      </c>
      <c r="J1456" t="s">
        <v>113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R1456" t="s">
        <v>114</v>
      </c>
      <c r="S1456" t="str">
        <f>"18:59:03.031"</f>
        <v>18:59:03.031</v>
      </c>
      <c r="T1456" t="str">
        <f>"18:59:02.531"</f>
        <v>18:59:02.531</v>
      </c>
      <c r="U1456" t="str">
        <f t="shared" si="67"/>
        <v>a1cdbe</v>
      </c>
      <c r="V1456">
        <v>0</v>
      </c>
      <c r="W1456">
        <v>0</v>
      </c>
      <c r="X1456">
        <v>1</v>
      </c>
      <c r="Y1456">
        <v>0</v>
      </c>
      <c r="Z1456">
        <v>0</v>
      </c>
      <c r="AB1456">
        <v>0</v>
      </c>
      <c r="AC1456">
        <v>9</v>
      </c>
      <c r="AD1456">
        <v>3</v>
      </c>
      <c r="AE1456">
        <v>0</v>
      </c>
      <c r="AF1456">
        <v>9</v>
      </c>
      <c r="AG1456" t="s">
        <v>158</v>
      </c>
      <c r="AH1456">
        <v>0</v>
      </c>
      <c r="AI1456">
        <v>3</v>
      </c>
      <c r="AJ1456">
        <v>1</v>
      </c>
      <c r="AK1456">
        <v>0</v>
      </c>
      <c r="AL1456" t="s">
        <v>2835</v>
      </c>
      <c r="AM1456">
        <v>46.809396999999997</v>
      </c>
      <c r="AN1456" t="s">
        <v>2836</v>
      </c>
      <c r="AO1456">
        <v>-122.753398</v>
      </c>
      <c r="AP1456">
        <v>100</v>
      </c>
      <c r="AQ1456">
        <v>2000</v>
      </c>
      <c r="AR1456" t="s">
        <v>118</v>
      </c>
      <c r="AS1456">
        <v>-76</v>
      </c>
      <c r="AT1456">
        <v>9</v>
      </c>
      <c r="AU1456">
        <v>128</v>
      </c>
      <c r="BC1456">
        <v>1200</v>
      </c>
      <c r="BD1456">
        <v>1</v>
      </c>
      <c r="BE1456" t="str">
        <f t="shared" si="68"/>
        <v xml:space="preserve">N215T   </v>
      </c>
      <c r="BF1456">
        <v>1</v>
      </c>
      <c r="BH1456">
        <v>0</v>
      </c>
      <c r="BI1456">
        <v>0</v>
      </c>
      <c r="BJ1456">
        <v>0</v>
      </c>
      <c r="BK1456">
        <v>2425</v>
      </c>
      <c r="BL1456">
        <v>425</v>
      </c>
      <c r="BM1456" t="s">
        <v>119</v>
      </c>
      <c r="BN1456">
        <v>1</v>
      </c>
      <c r="BO1456">
        <v>1</v>
      </c>
      <c r="BP1456">
        <v>1</v>
      </c>
      <c r="BQ1456">
        <v>0</v>
      </c>
      <c r="BT1456">
        <v>0</v>
      </c>
      <c r="BU1456">
        <v>0</v>
      </c>
      <c r="BV1456">
        <v>0</v>
      </c>
      <c r="CC1456" t="str">
        <f>"18:59:03.031"</f>
        <v>18:59:03.031</v>
      </c>
      <c r="CD1456" t="str">
        <f>"034929060"</f>
        <v>034929060</v>
      </c>
      <c r="CQ1456">
        <v>0</v>
      </c>
      <c r="CR1456">
        <v>2</v>
      </c>
      <c r="CS1456">
        <v>0</v>
      </c>
      <c r="CT1456">
        <v>2</v>
      </c>
      <c r="CU1456">
        <v>0</v>
      </c>
      <c r="CV1456">
        <v>6</v>
      </c>
      <c r="CW1456" t="s">
        <v>120</v>
      </c>
      <c r="CX1456">
        <v>257</v>
      </c>
      <c r="CY1456">
        <v>0</v>
      </c>
      <c r="CZ1456" t="s">
        <v>615</v>
      </c>
      <c r="DA1456" t="s">
        <v>616</v>
      </c>
      <c r="DD1456">
        <v>15319633</v>
      </c>
      <c r="DE1456" t="s">
        <v>123</v>
      </c>
    </row>
    <row r="1457" spans="1:109" x14ac:dyDescent="0.3">
      <c r="A1457" t="str">
        <f>"18:59:04.219"</f>
        <v>18:59:04.219</v>
      </c>
      <c r="B1457" t="s">
        <v>110</v>
      </c>
      <c r="C1457" t="str">
        <f t="shared" si="66"/>
        <v>ffdfd3c0</v>
      </c>
      <c r="D1457" t="s">
        <v>111</v>
      </c>
      <c r="E1457">
        <v>18</v>
      </c>
      <c r="F1457">
        <v>1018</v>
      </c>
      <c r="G1457" t="s">
        <v>112</v>
      </c>
      <c r="J1457" t="s">
        <v>113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R1457" t="s">
        <v>114</v>
      </c>
      <c r="S1457" t="str">
        <f>"18:59:04.023"</f>
        <v>18:59:04.023</v>
      </c>
      <c r="T1457" t="str">
        <f>"18:59:03.523"</f>
        <v>18:59:03.523</v>
      </c>
      <c r="U1457" t="str">
        <f t="shared" si="67"/>
        <v>a1cdbe</v>
      </c>
      <c r="V1457">
        <v>0</v>
      </c>
      <c r="W1457">
        <v>0</v>
      </c>
      <c r="X1457">
        <v>1</v>
      </c>
      <c r="Y1457">
        <v>0</v>
      </c>
      <c r="Z1457">
        <v>0</v>
      </c>
      <c r="AB1457">
        <v>0</v>
      </c>
      <c r="AC1457">
        <v>9</v>
      </c>
      <c r="AD1457">
        <v>3</v>
      </c>
      <c r="AE1457">
        <v>0</v>
      </c>
      <c r="AF1457">
        <v>9</v>
      </c>
      <c r="AG1457" t="s">
        <v>158</v>
      </c>
      <c r="AH1457">
        <v>0</v>
      </c>
      <c r="AI1457">
        <v>3</v>
      </c>
      <c r="AJ1457">
        <v>1</v>
      </c>
      <c r="AK1457">
        <v>0</v>
      </c>
      <c r="AL1457" t="s">
        <v>2837</v>
      </c>
      <c r="AM1457">
        <v>46.809440000000002</v>
      </c>
      <c r="AN1457" t="s">
        <v>2838</v>
      </c>
      <c r="AO1457">
        <v>-122.753935</v>
      </c>
      <c r="AP1457">
        <v>100</v>
      </c>
      <c r="AQ1457">
        <v>2100</v>
      </c>
      <c r="AR1457" t="s">
        <v>118</v>
      </c>
      <c r="AS1457">
        <v>-76</v>
      </c>
      <c r="AT1457">
        <v>10</v>
      </c>
      <c r="AU1457">
        <v>192</v>
      </c>
      <c r="BC1457">
        <v>1200</v>
      </c>
      <c r="BD1457">
        <v>1</v>
      </c>
      <c r="BE1457" t="str">
        <f t="shared" si="68"/>
        <v xml:space="preserve">N215T   </v>
      </c>
      <c r="BF1457">
        <v>1</v>
      </c>
      <c r="BH1457">
        <v>0</v>
      </c>
      <c r="BI1457">
        <v>0</v>
      </c>
      <c r="BJ1457">
        <v>0</v>
      </c>
      <c r="BK1457">
        <v>2425</v>
      </c>
      <c r="BL1457">
        <v>325</v>
      </c>
      <c r="BM1457" t="s">
        <v>119</v>
      </c>
      <c r="BN1457">
        <v>1</v>
      </c>
      <c r="BO1457">
        <v>1</v>
      </c>
      <c r="BP1457">
        <v>1</v>
      </c>
      <c r="BQ1457">
        <v>0</v>
      </c>
      <c r="BT1457">
        <v>0</v>
      </c>
      <c r="BU1457">
        <v>0</v>
      </c>
      <c r="BV1457">
        <v>0</v>
      </c>
      <c r="CC1457" t="str">
        <f>"18:59:04.023"</f>
        <v>18:59:04.023</v>
      </c>
      <c r="CD1457" t="str">
        <f>"024780750"</f>
        <v>024780750</v>
      </c>
      <c r="CQ1457">
        <v>0</v>
      </c>
      <c r="CR1457">
        <v>2</v>
      </c>
      <c r="CS1457">
        <v>0</v>
      </c>
      <c r="CT1457">
        <v>2</v>
      </c>
      <c r="CU1457">
        <v>0</v>
      </c>
      <c r="CV1457">
        <v>7</v>
      </c>
      <c r="CW1457" t="s">
        <v>120</v>
      </c>
      <c r="CX1457">
        <v>261</v>
      </c>
      <c r="CY1457">
        <v>2</v>
      </c>
      <c r="CZ1457" t="s">
        <v>121</v>
      </c>
      <c r="DA1457" t="s">
        <v>122</v>
      </c>
      <c r="DD1457">
        <v>15090408</v>
      </c>
      <c r="DE1457" t="s">
        <v>123</v>
      </c>
    </row>
    <row r="1458" spans="1:109" x14ac:dyDescent="0.3">
      <c r="A1458" t="str">
        <f>"18:59:05.273"</f>
        <v>18:59:05.273</v>
      </c>
      <c r="B1458" t="s">
        <v>110</v>
      </c>
      <c r="C1458" t="str">
        <f t="shared" si="66"/>
        <v>ffdfd3c0</v>
      </c>
      <c r="D1458" t="s">
        <v>111</v>
      </c>
      <c r="E1458">
        <v>18</v>
      </c>
      <c r="F1458">
        <v>1018</v>
      </c>
      <c r="G1458" t="s">
        <v>112</v>
      </c>
      <c r="J1458" t="s">
        <v>113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R1458" t="s">
        <v>114</v>
      </c>
      <c r="S1458" t="str">
        <f>"18:59:05.055"</f>
        <v>18:59:05.055</v>
      </c>
      <c r="T1458" t="str">
        <f>"18:59:04.555"</f>
        <v>18:59:04.555</v>
      </c>
      <c r="U1458" t="str">
        <f t="shared" si="67"/>
        <v>a1cdbe</v>
      </c>
      <c r="V1458">
        <v>0</v>
      </c>
      <c r="W1458">
        <v>0</v>
      </c>
      <c r="X1458">
        <v>1</v>
      </c>
      <c r="Y1458">
        <v>0</v>
      </c>
      <c r="Z1458">
        <v>0</v>
      </c>
      <c r="AB1458">
        <v>0</v>
      </c>
      <c r="AC1458">
        <v>9</v>
      </c>
      <c r="AD1458">
        <v>3</v>
      </c>
      <c r="AE1458">
        <v>0</v>
      </c>
      <c r="AF1458">
        <v>9</v>
      </c>
      <c r="AG1458" t="s">
        <v>158</v>
      </c>
      <c r="AH1458">
        <v>0</v>
      </c>
      <c r="AI1458">
        <v>3</v>
      </c>
      <c r="AJ1458">
        <v>1</v>
      </c>
      <c r="AK1458">
        <v>0</v>
      </c>
      <c r="AL1458" t="s">
        <v>2839</v>
      </c>
      <c r="AM1458">
        <v>46.809483</v>
      </c>
      <c r="AN1458" t="s">
        <v>2840</v>
      </c>
      <c r="AO1458">
        <v>-122.754428</v>
      </c>
      <c r="AP1458">
        <v>100</v>
      </c>
      <c r="AQ1458">
        <v>2100</v>
      </c>
      <c r="AR1458" t="s">
        <v>118</v>
      </c>
      <c r="AS1458">
        <v>-77</v>
      </c>
      <c r="AT1458">
        <v>11</v>
      </c>
      <c r="AU1458">
        <v>256</v>
      </c>
      <c r="BC1458">
        <v>1200</v>
      </c>
      <c r="BD1458">
        <v>1</v>
      </c>
      <c r="BE1458" t="str">
        <f t="shared" si="68"/>
        <v xml:space="preserve">N215T   </v>
      </c>
      <c r="BF1458">
        <v>1</v>
      </c>
      <c r="BH1458">
        <v>0</v>
      </c>
      <c r="BI1458">
        <v>0</v>
      </c>
      <c r="BJ1458">
        <v>0</v>
      </c>
      <c r="BK1458">
        <v>2450</v>
      </c>
      <c r="BL1458">
        <v>350</v>
      </c>
      <c r="BM1458" t="s">
        <v>119</v>
      </c>
      <c r="BN1458">
        <v>1</v>
      </c>
      <c r="BO1458">
        <v>1</v>
      </c>
      <c r="BP1458">
        <v>1</v>
      </c>
      <c r="BQ1458">
        <v>0</v>
      </c>
      <c r="BT1458">
        <v>0</v>
      </c>
      <c r="BU1458">
        <v>0</v>
      </c>
      <c r="BV1458">
        <v>0</v>
      </c>
      <c r="CC1458" t="str">
        <f>"18:59:05.063"</f>
        <v>18:59:05.063</v>
      </c>
      <c r="CD1458" t="str">
        <f>"059678814"</f>
        <v>059678814</v>
      </c>
      <c r="CQ1458">
        <v>0</v>
      </c>
      <c r="CR1458">
        <v>2</v>
      </c>
      <c r="CS1458">
        <v>0</v>
      </c>
      <c r="CT1458">
        <v>2</v>
      </c>
      <c r="CU1458">
        <v>0</v>
      </c>
      <c r="CV1458">
        <v>7</v>
      </c>
      <c r="CW1458" t="s">
        <v>120</v>
      </c>
      <c r="CX1458">
        <v>261</v>
      </c>
      <c r="CY1458">
        <v>2</v>
      </c>
      <c r="CZ1458" t="s">
        <v>121</v>
      </c>
      <c r="DA1458" t="s">
        <v>122</v>
      </c>
      <c r="DD1458">
        <v>15091084</v>
      </c>
      <c r="DE1458" t="s">
        <v>123</v>
      </c>
    </row>
    <row r="1459" spans="1:109" x14ac:dyDescent="0.3">
      <c r="A1459" t="str">
        <f>"18:59:06.328"</f>
        <v>18:59:06.328</v>
      </c>
      <c r="B1459" t="s">
        <v>110</v>
      </c>
      <c r="C1459" t="str">
        <f t="shared" si="66"/>
        <v>ffdfd3c0</v>
      </c>
      <c r="D1459" t="s">
        <v>111</v>
      </c>
      <c r="E1459">
        <v>18</v>
      </c>
      <c r="F1459">
        <v>1018</v>
      </c>
      <c r="G1459" t="s">
        <v>112</v>
      </c>
      <c r="J1459" t="s">
        <v>113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R1459" t="s">
        <v>114</v>
      </c>
      <c r="S1459" t="str">
        <f>"18:59:06.117"</f>
        <v>18:59:06.117</v>
      </c>
      <c r="T1459" t="str">
        <f>"18:59:05.719"</f>
        <v>18:59:05.719</v>
      </c>
      <c r="U1459" t="str">
        <f t="shared" si="67"/>
        <v>a1cdbe</v>
      </c>
      <c r="V1459">
        <v>0</v>
      </c>
      <c r="W1459">
        <v>0</v>
      </c>
      <c r="X1459">
        <v>1</v>
      </c>
      <c r="Y1459">
        <v>0</v>
      </c>
      <c r="Z1459">
        <v>0</v>
      </c>
      <c r="AB1459">
        <v>0</v>
      </c>
      <c r="AC1459">
        <v>9</v>
      </c>
      <c r="AD1459">
        <v>3</v>
      </c>
      <c r="AE1459">
        <v>0</v>
      </c>
      <c r="AF1459">
        <v>9</v>
      </c>
      <c r="AG1459" t="s">
        <v>158</v>
      </c>
      <c r="AH1459">
        <v>0</v>
      </c>
      <c r="AI1459">
        <v>3</v>
      </c>
      <c r="AJ1459">
        <v>1</v>
      </c>
      <c r="AK1459">
        <v>0</v>
      </c>
      <c r="AL1459" t="s">
        <v>2841</v>
      </c>
      <c r="AM1459">
        <v>46.809547000000002</v>
      </c>
      <c r="AN1459" t="s">
        <v>2842</v>
      </c>
      <c r="AO1459">
        <v>-122.755008</v>
      </c>
      <c r="AP1459">
        <v>100</v>
      </c>
      <c r="AQ1459">
        <v>2100</v>
      </c>
      <c r="AR1459" t="s">
        <v>118</v>
      </c>
      <c r="AS1459">
        <v>-77</v>
      </c>
      <c r="AT1459">
        <v>11</v>
      </c>
      <c r="AU1459">
        <v>256</v>
      </c>
      <c r="BC1459">
        <v>1200</v>
      </c>
      <c r="BD1459">
        <v>1</v>
      </c>
      <c r="BE1459" t="str">
        <f t="shared" si="68"/>
        <v xml:space="preserve">N215T   </v>
      </c>
      <c r="BF1459">
        <v>1</v>
      </c>
      <c r="BH1459">
        <v>0</v>
      </c>
      <c r="BI1459">
        <v>0</v>
      </c>
      <c r="BJ1459">
        <v>0</v>
      </c>
      <c r="BK1459">
        <v>2450</v>
      </c>
      <c r="BL1459">
        <v>350</v>
      </c>
      <c r="BM1459" t="s">
        <v>119</v>
      </c>
      <c r="BN1459">
        <v>1</v>
      </c>
      <c r="BO1459">
        <v>1</v>
      </c>
      <c r="BP1459">
        <v>1</v>
      </c>
      <c r="BQ1459">
        <v>0</v>
      </c>
      <c r="BT1459">
        <v>0</v>
      </c>
      <c r="BU1459">
        <v>0</v>
      </c>
      <c r="BV1459">
        <v>0</v>
      </c>
      <c r="CC1459" t="str">
        <f>"18:59:06.125"</f>
        <v>18:59:06.125</v>
      </c>
      <c r="CD1459" t="str">
        <f>"124573915"</f>
        <v>124573915</v>
      </c>
      <c r="CQ1459">
        <v>0</v>
      </c>
      <c r="CR1459">
        <v>2</v>
      </c>
      <c r="CS1459">
        <v>0</v>
      </c>
      <c r="CT1459">
        <v>2</v>
      </c>
      <c r="CU1459">
        <v>0</v>
      </c>
      <c r="CV1459">
        <v>7</v>
      </c>
      <c r="CW1459" t="s">
        <v>120</v>
      </c>
      <c r="CX1459">
        <v>261</v>
      </c>
      <c r="CY1459">
        <v>2</v>
      </c>
      <c r="CZ1459" t="s">
        <v>121</v>
      </c>
      <c r="DA1459" t="s">
        <v>122</v>
      </c>
      <c r="DD1459">
        <v>15091768</v>
      </c>
      <c r="DE1459" t="s">
        <v>123</v>
      </c>
    </row>
    <row r="1460" spans="1:109" x14ac:dyDescent="0.3">
      <c r="A1460" t="str">
        <f>"18:59:07.336"</f>
        <v>18:59:07.336</v>
      </c>
      <c r="B1460" t="s">
        <v>110</v>
      </c>
      <c r="C1460" t="str">
        <f t="shared" si="66"/>
        <v>ffdfd3c0</v>
      </c>
      <c r="D1460" t="s">
        <v>111</v>
      </c>
      <c r="E1460">
        <v>18</v>
      </c>
      <c r="F1460">
        <v>1018</v>
      </c>
      <c r="G1460" t="s">
        <v>112</v>
      </c>
      <c r="J1460" t="s">
        <v>113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R1460" t="s">
        <v>114</v>
      </c>
      <c r="S1460" t="str">
        <f>"18:59:07.078"</f>
        <v>18:59:07.078</v>
      </c>
      <c r="T1460" t="str">
        <f>"18:59:07.078"</f>
        <v>18:59:07.078</v>
      </c>
      <c r="U1460" t="str">
        <f t="shared" si="67"/>
        <v>a1cdbe</v>
      </c>
      <c r="V1460">
        <v>0</v>
      </c>
      <c r="W1460">
        <v>0</v>
      </c>
      <c r="X1460">
        <v>1</v>
      </c>
      <c r="Y1460">
        <v>0</v>
      </c>
      <c r="Z1460">
        <v>0</v>
      </c>
      <c r="AB1460">
        <v>0</v>
      </c>
      <c r="AC1460">
        <v>9</v>
      </c>
      <c r="AD1460">
        <v>3</v>
      </c>
      <c r="AE1460">
        <v>0</v>
      </c>
      <c r="AF1460">
        <v>9</v>
      </c>
      <c r="AG1460" t="s">
        <v>158</v>
      </c>
      <c r="AH1460">
        <v>0</v>
      </c>
      <c r="AI1460">
        <v>3</v>
      </c>
      <c r="AJ1460">
        <v>1</v>
      </c>
      <c r="AK1460">
        <v>0</v>
      </c>
      <c r="AL1460" t="s">
        <v>2843</v>
      </c>
      <c r="AM1460">
        <v>46.809567999999999</v>
      </c>
      <c r="AN1460" t="s">
        <v>2844</v>
      </c>
      <c r="AO1460">
        <v>-122.755523</v>
      </c>
      <c r="AP1460">
        <v>100</v>
      </c>
      <c r="AQ1460">
        <v>2100</v>
      </c>
      <c r="AR1460" t="s">
        <v>118</v>
      </c>
      <c r="AS1460">
        <v>-78</v>
      </c>
      <c r="AT1460">
        <v>12</v>
      </c>
      <c r="AU1460">
        <v>256</v>
      </c>
      <c r="BC1460">
        <v>1200</v>
      </c>
      <c r="BD1460">
        <v>1</v>
      </c>
      <c r="BE1460" t="str">
        <f t="shared" si="68"/>
        <v xml:space="preserve">N215T   </v>
      </c>
      <c r="BF1460">
        <v>1</v>
      </c>
      <c r="BH1460">
        <v>0</v>
      </c>
      <c r="BI1460">
        <v>0</v>
      </c>
      <c r="BJ1460">
        <v>0</v>
      </c>
      <c r="BK1460">
        <v>2450</v>
      </c>
      <c r="BL1460">
        <v>350</v>
      </c>
      <c r="BM1460" t="s">
        <v>119</v>
      </c>
      <c r="BN1460">
        <v>1</v>
      </c>
      <c r="BO1460">
        <v>1</v>
      </c>
      <c r="BP1460">
        <v>1</v>
      </c>
      <c r="BQ1460">
        <v>0</v>
      </c>
      <c r="BT1460">
        <v>0</v>
      </c>
      <c r="BU1460">
        <v>0</v>
      </c>
      <c r="BV1460">
        <v>0</v>
      </c>
      <c r="CC1460" t="str">
        <f>"18:59:07.086"</f>
        <v>18:59:07.086</v>
      </c>
      <c r="CD1460" t="str">
        <f>"084479364"</f>
        <v>084479364</v>
      </c>
      <c r="CQ1460">
        <v>0</v>
      </c>
      <c r="CR1460">
        <v>2</v>
      </c>
      <c r="CS1460">
        <v>0</v>
      </c>
      <c r="CT1460">
        <v>2</v>
      </c>
      <c r="CU1460">
        <v>0</v>
      </c>
      <c r="CV1460">
        <v>7</v>
      </c>
      <c r="CW1460" t="s">
        <v>120</v>
      </c>
      <c r="CX1460">
        <v>261</v>
      </c>
      <c r="CY1460">
        <v>2</v>
      </c>
      <c r="CZ1460" t="s">
        <v>121</v>
      </c>
      <c r="DA1460" t="s">
        <v>122</v>
      </c>
      <c r="DD1460">
        <v>15092498</v>
      </c>
      <c r="DE1460" t="s">
        <v>123</v>
      </c>
    </row>
    <row r="1461" spans="1:109" x14ac:dyDescent="0.3">
      <c r="A1461" t="str">
        <f>"18:59:08.289"</f>
        <v>18:59:08.289</v>
      </c>
      <c r="B1461" t="s">
        <v>110</v>
      </c>
      <c r="C1461" t="str">
        <f t="shared" si="66"/>
        <v>ffdfd3c0</v>
      </c>
      <c r="D1461" t="s">
        <v>111</v>
      </c>
      <c r="E1461">
        <v>18</v>
      </c>
      <c r="F1461">
        <v>1018</v>
      </c>
      <c r="G1461" t="s">
        <v>112</v>
      </c>
      <c r="J1461" t="s">
        <v>113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R1461" t="s">
        <v>114</v>
      </c>
      <c r="S1461" t="str">
        <f>"18:59:08.023"</f>
        <v>18:59:08.023</v>
      </c>
      <c r="T1461" t="str">
        <f>"18:59:07.922"</f>
        <v>18:59:07.922</v>
      </c>
      <c r="U1461" t="str">
        <f t="shared" si="67"/>
        <v>a1cdbe</v>
      </c>
      <c r="V1461">
        <v>0</v>
      </c>
      <c r="W1461">
        <v>0</v>
      </c>
      <c r="X1461">
        <v>1</v>
      </c>
      <c r="Y1461">
        <v>0</v>
      </c>
      <c r="Z1461">
        <v>0</v>
      </c>
      <c r="AB1461">
        <v>0</v>
      </c>
      <c r="AC1461">
        <v>9</v>
      </c>
      <c r="AD1461">
        <v>3</v>
      </c>
      <c r="AE1461">
        <v>0</v>
      </c>
      <c r="AF1461">
        <v>9</v>
      </c>
      <c r="AG1461" t="s">
        <v>158</v>
      </c>
      <c r="AH1461">
        <v>0</v>
      </c>
      <c r="AI1461">
        <v>3</v>
      </c>
      <c r="AJ1461">
        <v>1</v>
      </c>
      <c r="AK1461">
        <v>0</v>
      </c>
      <c r="AL1461" t="s">
        <v>2845</v>
      </c>
      <c r="AM1461">
        <v>46.809676000000003</v>
      </c>
      <c r="AN1461" t="s">
        <v>2846</v>
      </c>
      <c r="AO1461">
        <v>-122.755995</v>
      </c>
      <c r="AP1461">
        <v>100</v>
      </c>
      <c r="AQ1461">
        <v>2100</v>
      </c>
      <c r="AR1461" t="s">
        <v>118</v>
      </c>
      <c r="AS1461">
        <v>-78</v>
      </c>
      <c r="AT1461">
        <v>13</v>
      </c>
      <c r="AU1461">
        <v>256</v>
      </c>
      <c r="BC1461">
        <v>1200</v>
      </c>
      <c r="BD1461">
        <v>1</v>
      </c>
      <c r="BE1461" t="str">
        <f t="shared" si="68"/>
        <v xml:space="preserve">N215T   </v>
      </c>
      <c r="BF1461">
        <v>1</v>
      </c>
      <c r="BH1461">
        <v>0</v>
      </c>
      <c r="BI1461">
        <v>0</v>
      </c>
      <c r="BJ1461">
        <v>0</v>
      </c>
      <c r="BK1461">
        <v>2450</v>
      </c>
      <c r="BL1461">
        <v>350</v>
      </c>
      <c r="BM1461" t="s">
        <v>119</v>
      </c>
      <c r="BN1461">
        <v>1</v>
      </c>
      <c r="BO1461">
        <v>1</v>
      </c>
      <c r="BP1461">
        <v>1</v>
      </c>
      <c r="BQ1461">
        <v>0</v>
      </c>
      <c r="BT1461">
        <v>0</v>
      </c>
      <c r="BU1461">
        <v>0</v>
      </c>
      <c r="BV1461">
        <v>0</v>
      </c>
      <c r="CC1461" t="str">
        <f>"18:59:08.031"</f>
        <v>18:59:08.031</v>
      </c>
      <c r="CD1461" t="str">
        <f>"029386275"</f>
        <v>029386275</v>
      </c>
      <c r="CQ1461">
        <v>0</v>
      </c>
      <c r="CR1461">
        <v>2</v>
      </c>
      <c r="CS1461">
        <v>0</v>
      </c>
      <c r="CT1461">
        <v>2</v>
      </c>
      <c r="CU1461">
        <v>0</v>
      </c>
      <c r="CV1461">
        <v>7</v>
      </c>
      <c r="CW1461" t="s">
        <v>120</v>
      </c>
      <c r="CX1461">
        <v>261</v>
      </c>
      <c r="CY1461">
        <v>2</v>
      </c>
      <c r="CZ1461" t="s">
        <v>121</v>
      </c>
      <c r="DA1461" t="s">
        <v>122</v>
      </c>
      <c r="DD1461">
        <v>15093153</v>
      </c>
      <c r="DE1461" t="s">
        <v>123</v>
      </c>
    </row>
    <row r="1462" spans="1:109" x14ac:dyDescent="0.3">
      <c r="A1462" t="str">
        <f>"18:59:09.148"</f>
        <v>18:59:09.148</v>
      </c>
      <c r="B1462" t="s">
        <v>110</v>
      </c>
      <c r="C1462" t="str">
        <f t="shared" si="66"/>
        <v>ffdfd3c0</v>
      </c>
      <c r="D1462" t="s">
        <v>111</v>
      </c>
      <c r="E1462">
        <v>18</v>
      </c>
      <c r="F1462">
        <v>1018</v>
      </c>
      <c r="G1462" t="s">
        <v>112</v>
      </c>
      <c r="J1462" t="s">
        <v>113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R1462" t="s">
        <v>114</v>
      </c>
      <c r="S1462" t="str">
        <f>"18:59:08.914"</f>
        <v>18:59:08.914</v>
      </c>
      <c r="T1462" t="str">
        <f>"18:59:08.813"</f>
        <v>18:59:08.813</v>
      </c>
      <c r="U1462" t="str">
        <f t="shared" si="67"/>
        <v>a1cdbe</v>
      </c>
      <c r="V1462">
        <v>0</v>
      </c>
      <c r="W1462">
        <v>0</v>
      </c>
      <c r="X1462">
        <v>1</v>
      </c>
      <c r="Y1462">
        <v>0</v>
      </c>
      <c r="Z1462">
        <v>0</v>
      </c>
      <c r="AB1462">
        <v>0</v>
      </c>
      <c r="AC1462">
        <v>9</v>
      </c>
      <c r="AD1462">
        <v>3</v>
      </c>
      <c r="AE1462">
        <v>0</v>
      </c>
      <c r="AF1462">
        <v>9</v>
      </c>
      <c r="AG1462" t="s">
        <v>158</v>
      </c>
      <c r="AH1462">
        <v>0</v>
      </c>
      <c r="AI1462">
        <v>3</v>
      </c>
      <c r="AJ1462">
        <v>1</v>
      </c>
      <c r="AK1462">
        <v>0</v>
      </c>
      <c r="AL1462" t="s">
        <v>2729</v>
      </c>
      <c r="AM1462">
        <v>46.809719000000001</v>
      </c>
      <c r="AN1462" t="s">
        <v>2847</v>
      </c>
      <c r="AO1462">
        <v>-122.756467</v>
      </c>
      <c r="AP1462">
        <v>100</v>
      </c>
      <c r="AQ1462">
        <v>2100</v>
      </c>
      <c r="AR1462" t="s">
        <v>118</v>
      </c>
      <c r="AS1462">
        <v>-78</v>
      </c>
      <c r="AT1462">
        <v>14</v>
      </c>
      <c r="AU1462">
        <v>128</v>
      </c>
      <c r="BC1462">
        <v>1200</v>
      </c>
      <c r="BD1462">
        <v>1</v>
      </c>
      <c r="BE1462" t="str">
        <f t="shared" si="68"/>
        <v xml:space="preserve">N215T   </v>
      </c>
      <c r="BF1462">
        <v>1</v>
      </c>
      <c r="BH1462">
        <v>0</v>
      </c>
      <c r="BI1462">
        <v>0</v>
      </c>
      <c r="BJ1462">
        <v>0</v>
      </c>
      <c r="BK1462">
        <v>2450</v>
      </c>
      <c r="BL1462">
        <v>350</v>
      </c>
      <c r="BM1462" t="s">
        <v>119</v>
      </c>
      <c r="BN1462">
        <v>1</v>
      </c>
      <c r="BO1462">
        <v>1</v>
      </c>
      <c r="BP1462">
        <v>1</v>
      </c>
      <c r="BQ1462">
        <v>0</v>
      </c>
      <c r="BT1462">
        <v>0</v>
      </c>
      <c r="BU1462">
        <v>0</v>
      </c>
      <c r="BV1462">
        <v>0</v>
      </c>
      <c r="CC1462" t="str">
        <f>"18:59:08.914"</f>
        <v>18:59:08.914</v>
      </c>
      <c r="CD1462" t="str">
        <f>"914299110"</f>
        <v>914299110</v>
      </c>
      <c r="CQ1462">
        <v>0</v>
      </c>
      <c r="CR1462">
        <v>2</v>
      </c>
      <c r="CS1462">
        <v>0</v>
      </c>
      <c r="CT1462">
        <v>2</v>
      </c>
      <c r="CU1462">
        <v>0</v>
      </c>
      <c r="CV1462">
        <v>7</v>
      </c>
      <c r="CW1462" t="s">
        <v>120</v>
      </c>
      <c r="CX1462">
        <v>261</v>
      </c>
      <c r="CY1462">
        <v>2</v>
      </c>
      <c r="CZ1462" t="s">
        <v>121</v>
      </c>
      <c r="DA1462" t="s">
        <v>122</v>
      </c>
      <c r="DD1462">
        <v>15093744</v>
      </c>
      <c r="DE1462" t="s">
        <v>123</v>
      </c>
    </row>
    <row r="1463" spans="1:109" x14ac:dyDescent="0.3">
      <c r="A1463" t="str">
        <f>"18:59:10.000"</f>
        <v>18:59:10.000</v>
      </c>
      <c r="B1463" t="s">
        <v>110</v>
      </c>
      <c r="C1463" t="str">
        <f t="shared" si="66"/>
        <v>ffdfd3c0</v>
      </c>
      <c r="D1463" t="s">
        <v>111</v>
      </c>
      <c r="E1463">
        <v>18</v>
      </c>
      <c r="F1463">
        <v>1018</v>
      </c>
      <c r="G1463" t="s">
        <v>112</v>
      </c>
      <c r="J1463" t="s">
        <v>113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R1463" t="s">
        <v>114</v>
      </c>
      <c r="S1463" t="str">
        <f>"18:59:09.781"</f>
        <v>18:59:09.781</v>
      </c>
      <c r="T1463" t="str">
        <f>"18:59:09.383"</f>
        <v>18:59:09.383</v>
      </c>
      <c r="U1463" t="str">
        <f t="shared" si="67"/>
        <v>a1cdbe</v>
      </c>
      <c r="V1463">
        <v>0</v>
      </c>
      <c r="W1463">
        <v>0</v>
      </c>
      <c r="X1463">
        <v>1</v>
      </c>
      <c r="Y1463">
        <v>0</v>
      </c>
      <c r="Z1463">
        <v>0</v>
      </c>
      <c r="AB1463">
        <v>0</v>
      </c>
      <c r="AC1463">
        <v>9</v>
      </c>
      <c r="AD1463">
        <v>3</v>
      </c>
      <c r="AE1463">
        <v>0</v>
      </c>
      <c r="AF1463">
        <v>9</v>
      </c>
      <c r="AG1463" t="s">
        <v>158</v>
      </c>
      <c r="AH1463">
        <v>0</v>
      </c>
      <c r="AI1463">
        <v>3</v>
      </c>
      <c r="AJ1463">
        <v>1</v>
      </c>
      <c r="AK1463">
        <v>0</v>
      </c>
      <c r="AL1463" t="s">
        <v>2848</v>
      </c>
      <c r="AM1463">
        <v>46.809761999999999</v>
      </c>
      <c r="AN1463" t="s">
        <v>2849</v>
      </c>
      <c r="AO1463">
        <v>-122.75698199999999</v>
      </c>
      <c r="AP1463">
        <v>100</v>
      </c>
      <c r="AQ1463">
        <v>2100</v>
      </c>
      <c r="AR1463" t="s">
        <v>118</v>
      </c>
      <c r="AS1463">
        <v>-78</v>
      </c>
      <c r="AT1463">
        <v>14</v>
      </c>
      <c r="AU1463">
        <v>192</v>
      </c>
      <c r="BC1463">
        <v>1200</v>
      </c>
      <c r="BD1463">
        <v>1</v>
      </c>
      <c r="BE1463" t="str">
        <f t="shared" si="68"/>
        <v xml:space="preserve">N215T   </v>
      </c>
      <c r="BF1463">
        <v>1</v>
      </c>
      <c r="BH1463">
        <v>0</v>
      </c>
      <c r="BI1463">
        <v>0</v>
      </c>
      <c r="BJ1463">
        <v>0</v>
      </c>
      <c r="BK1463">
        <v>2450</v>
      </c>
      <c r="BL1463">
        <v>350</v>
      </c>
      <c r="BM1463" t="s">
        <v>119</v>
      </c>
      <c r="BN1463">
        <v>1</v>
      </c>
      <c r="BO1463">
        <v>1</v>
      </c>
      <c r="BP1463">
        <v>1</v>
      </c>
      <c r="BQ1463">
        <v>0</v>
      </c>
      <c r="BT1463">
        <v>0</v>
      </c>
      <c r="BU1463">
        <v>0</v>
      </c>
      <c r="BV1463">
        <v>0</v>
      </c>
      <c r="CC1463" t="str">
        <f>"18:59:09.781"</f>
        <v>18:59:09.781</v>
      </c>
      <c r="CD1463" t="str">
        <f>"784213416"</f>
        <v>784213416</v>
      </c>
      <c r="CQ1463">
        <v>0</v>
      </c>
      <c r="CR1463">
        <v>2</v>
      </c>
      <c r="CS1463">
        <v>0</v>
      </c>
      <c r="CT1463">
        <v>2</v>
      </c>
      <c r="CU1463">
        <v>0</v>
      </c>
      <c r="CV1463">
        <v>7</v>
      </c>
      <c r="CW1463" t="s">
        <v>120</v>
      </c>
      <c r="CX1463">
        <v>261</v>
      </c>
      <c r="CY1463">
        <v>2</v>
      </c>
      <c r="CZ1463" t="s">
        <v>121</v>
      </c>
      <c r="DA1463" t="s">
        <v>122</v>
      </c>
      <c r="DD1463">
        <v>15094322</v>
      </c>
      <c r="DE1463" t="s">
        <v>123</v>
      </c>
    </row>
    <row r="1464" spans="1:109" x14ac:dyDescent="0.3">
      <c r="A1464" t="str">
        <f>"18:59:11.211"</f>
        <v>18:59:11.211</v>
      </c>
      <c r="B1464" t="s">
        <v>110</v>
      </c>
      <c r="C1464" t="str">
        <f t="shared" si="66"/>
        <v>ffdfd3c0</v>
      </c>
      <c r="D1464" t="s">
        <v>111</v>
      </c>
      <c r="E1464">
        <v>18</v>
      </c>
      <c r="F1464">
        <v>1018</v>
      </c>
      <c r="G1464" t="s">
        <v>112</v>
      </c>
      <c r="J1464" t="s">
        <v>113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R1464" t="s">
        <v>114</v>
      </c>
      <c r="S1464" t="str">
        <f>"18:59:10.969"</f>
        <v>18:59:10.969</v>
      </c>
      <c r="T1464" t="str">
        <f>"18:59:10.867"</f>
        <v>18:59:10.867</v>
      </c>
      <c r="U1464" t="str">
        <f t="shared" si="67"/>
        <v>a1cdbe</v>
      </c>
      <c r="V1464">
        <v>0</v>
      </c>
      <c r="W1464">
        <v>0</v>
      </c>
      <c r="X1464">
        <v>1</v>
      </c>
      <c r="Y1464">
        <v>0</v>
      </c>
      <c r="Z1464">
        <v>0</v>
      </c>
      <c r="AB1464">
        <v>0</v>
      </c>
      <c r="AC1464">
        <v>9</v>
      </c>
      <c r="AD1464">
        <v>3</v>
      </c>
      <c r="AE1464">
        <v>0</v>
      </c>
      <c r="AF1464">
        <v>9</v>
      </c>
      <c r="AG1464" t="s">
        <v>158</v>
      </c>
      <c r="AH1464">
        <v>0</v>
      </c>
      <c r="AI1464">
        <v>3</v>
      </c>
      <c r="AJ1464">
        <v>1</v>
      </c>
      <c r="AK1464">
        <v>0</v>
      </c>
      <c r="AL1464" t="s">
        <v>2850</v>
      </c>
      <c r="AM1464">
        <v>46.809846999999998</v>
      </c>
      <c r="AN1464" t="s">
        <v>2851</v>
      </c>
      <c r="AO1464">
        <v>-122.757583</v>
      </c>
      <c r="AP1464">
        <v>100</v>
      </c>
      <c r="AQ1464">
        <v>2100</v>
      </c>
      <c r="AR1464" t="s">
        <v>118</v>
      </c>
      <c r="AS1464">
        <v>-78</v>
      </c>
      <c r="AT1464">
        <v>13</v>
      </c>
      <c r="AU1464">
        <v>256</v>
      </c>
      <c r="BC1464">
        <v>1200</v>
      </c>
      <c r="BD1464">
        <v>1</v>
      </c>
      <c r="BE1464" t="str">
        <f t="shared" si="68"/>
        <v xml:space="preserve">N215T   </v>
      </c>
      <c r="BF1464">
        <v>1</v>
      </c>
      <c r="BH1464">
        <v>0</v>
      </c>
      <c r="BI1464">
        <v>0</v>
      </c>
      <c r="BJ1464">
        <v>0</v>
      </c>
      <c r="BK1464">
        <v>2475</v>
      </c>
      <c r="BL1464">
        <v>375</v>
      </c>
      <c r="BM1464" t="s">
        <v>119</v>
      </c>
      <c r="BN1464">
        <v>1</v>
      </c>
      <c r="BO1464">
        <v>1</v>
      </c>
      <c r="BP1464">
        <v>1</v>
      </c>
      <c r="BQ1464">
        <v>0</v>
      </c>
      <c r="BT1464">
        <v>0</v>
      </c>
      <c r="BU1464">
        <v>0</v>
      </c>
      <c r="BV1464">
        <v>0</v>
      </c>
      <c r="CC1464" t="str">
        <f>"18:59:10.969"</f>
        <v>18:59:10.969</v>
      </c>
      <c r="CD1464" t="str">
        <f>"969096698"</f>
        <v>969096698</v>
      </c>
      <c r="CQ1464">
        <v>0</v>
      </c>
      <c r="CR1464">
        <v>2</v>
      </c>
      <c r="CS1464">
        <v>0</v>
      </c>
      <c r="CT1464">
        <v>2</v>
      </c>
      <c r="CU1464">
        <v>0</v>
      </c>
      <c r="CV1464">
        <v>7</v>
      </c>
      <c r="CW1464" t="s">
        <v>120</v>
      </c>
      <c r="CX1464">
        <v>261</v>
      </c>
      <c r="CY1464">
        <v>2</v>
      </c>
      <c r="CZ1464" t="s">
        <v>121</v>
      </c>
      <c r="DA1464" t="s">
        <v>122</v>
      </c>
      <c r="DD1464">
        <v>15095111</v>
      </c>
      <c r="DE1464" t="s">
        <v>123</v>
      </c>
    </row>
    <row r="1465" spans="1:109" x14ac:dyDescent="0.3">
      <c r="A1465" t="str">
        <f>"18:59:12.266"</f>
        <v>18:59:12.266</v>
      </c>
      <c r="B1465" t="s">
        <v>110</v>
      </c>
      <c r="C1465" t="str">
        <f t="shared" si="66"/>
        <v>ffdfd3c0</v>
      </c>
      <c r="D1465" t="s">
        <v>111</v>
      </c>
      <c r="E1465">
        <v>18</v>
      </c>
      <c r="F1465">
        <v>1018</v>
      </c>
      <c r="G1465" t="s">
        <v>112</v>
      </c>
      <c r="J1465" t="s">
        <v>113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R1465" t="s">
        <v>114</v>
      </c>
      <c r="S1465" t="str">
        <f>"18:59:12.047"</f>
        <v>18:59:12.047</v>
      </c>
      <c r="T1465" t="str">
        <f>"18:59:11.945"</f>
        <v>18:59:11.945</v>
      </c>
      <c r="U1465" t="str">
        <f t="shared" si="67"/>
        <v>a1cdbe</v>
      </c>
      <c r="V1465">
        <v>0</v>
      </c>
      <c r="W1465">
        <v>0</v>
      </c>
      <c r="X1465">
        <v>1</v>
      </c>
      <c r="Y1465">
        <v>0</v>
      </c>
      <c r="Z1465">
        <v>0</v>
      </c>
      <c r="AB1465">
        <v>0</v>
      </c>
      <c r="AC1465">
        <v>9</v>
      </c>
      <c r="AD1465">
        <v>3</v>
      </c>
      <c r="AE1465">
        <v>0</v>
      </c>
      <c r="AF1465">
        <v>9</v>
      </c>
      <c r="AG1465" t="s">
        <v>158</v>
      </c>
      <c r="AH1465">
        <v>0</v>
      </c>
      <c r="AI1465">
        <v>3</v>
      </c>
      <c r="AJ1465">
        <v>1</v>
      </c>
      <c r="AK1465">
        <v>0</v>
      </c>
      <c r="AL1465" t="s">
        <v>2852</v>
      </c>
      <c r="AM1465">
        <v>46.809911999999997</v>
      </c>
      <c r="AN1465" t="s">
        <v>2853</v>
      </c>
      <c r="AO1465">
        <v>-122.75814099999999</v>
      </c>
      <c r="AP1465">
        <v>100</v>
      </c>
      <c r="AQ1465">
        <v>2100</v>
      </c>
      <c r="AR1465" t="s">
        <v>118</v>
      </c>
      <c r="AS1465">
        <v>-77</v>
      </c>
      <c r="AT1465">
        <v>14</v>
      </c>
      <c r="AU1465">
        <v>256</v>
      </c>
      <c r="BC1465">
        <v>1200</v>
      </c>
      <c r="BD1465">
        <v>1</v>
      </c>
      <c r="BE1465" t="str">
        <f t="shared" si="68"/>
        <v xml:space="preserve">N215T   </v>
      </c>
      <c r="BF1465">
        <v>1</v>
      </c>
      <c r="BH1465">
        <v>0</v>
      </c>
      <c r="BI1465">
        <v>0</v>
      </c>
      <c r="BJ1465">
        <v>0</v>
      </c>
      <c r="BK1465">
        <v>2475</v>
      </c>
      <c r="BL1465">
        <v>375</v>
      </c>
      <c r="BM1465" t="s">
        <v>119</v>
      </c>
      <c r="BN1465">
        <v>1</v>
      </c>
      <c r="BO1465">
        <v>1</v>
      </c>
      <c r="BP1465">
        <v>1</v>
      </c>
      <c r="BQ1465">
        <v>0</v>
      </c>
      <c r="BT1465">
        <v>0</v>
      </c>
      <c r="BU1465">
        <v>0</v>
      </c>
      <c r="BV1465">
        <v>0</v>
      </c>
      <c r="CC1465" t="str">
        <f>"18:59:12.047"</f>
        <v>18:59:12.047</v>
      </c>
      <c r="CD1465" t="str">
        <f>"048990319"</f>
        <v>048990319</v>
      </c>
      <c r="CQ1465">
        <v>0</v>
      </c>
      <c r="CR1465">
        <v>2</v>
      </c>
      <c r="CS1465">
        <v>0</v>
      </c>
      <c r="CT1465">
        <v>2</v>
      </c>
      <c r="CU1465">
        <v>0</v>
      </c>
      <c r="CV1465">
        <v>7</v>
      </c>
      <c r="CW1465" t="s">
        <v>120</v>
      </c>
      <c r="CX1465">
        <v>261</v>
      </c>
      <c r="CY1465">
        <v>2</v>
      </c>
      <c r="CZ1465" t="s">
        <v>121</v>
      </c>
      <c r="DA1465" t="s">
        <v>122</v>
      </c>
      <c r="DD1465">
        <v>15095913</v>
      </c>
      <c r="DE1465" t="s">
        <v>123</v>
      </c>
    </row>
    <row r="1466" spans="1:109" x14ac:dyDescent="0.3">
      <c r="A1466" t="str">
        <f>"18:59:13.320"</f>
        <v>18:59:13.320</v>
      </c>
      <c r="B1466" t="s">
        <v>110</v>
      </c>
      <c r="C1466" t="str">
        <f t="shared" si="66"/>
        <v>ffdfd3c0</v>
      </c>
      <c r="D1466" t="s">
        <v>111</v>
      </c>
      <c r="E1466">
        <v>18</v>
      </c>
      <c r="F1466">
        <v>1018</v>
      </c>
      <c r="G1466" t="s">
        <v>112</v>
      </c>
      <c r="J1466" t="s">
        <v>113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R1466" t="s">
        <v>114</v>
      </c>
      <c r="S1466" t="str">
        <f>"18:59:13.063"</f>
        <v>18:59:13.063</v>
      </c>
      <c r="T1466" t="str">
        <f>"18:59:12.961"</f>
        <v>18:59:12.961</v>
      </c>
      <c r="U1466" t="str">
        <f t="shared" si="67"/>
        <v>a1cdbe</v>
      </c>
      <c r="V1466">
        <v>0</v>
      </c>
      <c r="W1466">
        <v>0</v>
      </c>
      <c r="X1466">
        <v>1</v>
      </c>
      <c r="Y1466">
        <v>0</v>
      </c>
      <c r="Z1466">
        <v>0</v>
      </c>
      <c r="AB1466">
        <v>0</v>
      </c>
      <c r="AC1466">
        <v>9</v>
      </c>
      <c r="AD1466">
        <v>3</v>
      </c>
      <c r="AE1466">
        <v>0</v>
      </c>
      <c r="AF1466">
        <v>9</v>
      </c>
      <c r="AG1466" t="s">
        <v>158</v>
      </c>
      <c r="AH1466">
        <v>0</v>
      </c>
      <c r="AI1466">
        <v>3</v>
      </c>
      <c r="AJ1466">
        <v>1</v>
      </c>
      <c r="AK1466">
        <v>0</v>
      </c>
      <c r="AL1466" t="s">
        <v>2854</v>
      </c>
      <c r="AM1466">
        <v>46.809998</v>
      </c>
      <c r="AN1466" t="s">
        <v>2855</v>
      </c>
      <c r="AO1466">
        <v>-122.758613</v>
      </c>
      <c r="AP1466">
        <v>100</v>
      </c>
      <c r="AQ1466">
        <v>2100</v>
      </c>
      <c r="AR1466" t="s">
        <v>118</v>
      </c>
      <c r="AS1466">
        <v>-77</v>
      </c>
      <c r="AT1466">
        <v>14</v>
      </c>
      <c r="AU1466">
        <v>128</v>
      </c>
      <c r="BC1466">
        <v>1200</v>
      </c>
      <c r="BD1466">
        <v>1</v>
      </c>
      <c r="BE1466" t="str">
        <f t="shared" si="68"/>
        <v xml:space="preserve">N215T   </v>
      </c>
      <c r="BF1466">
        <v>1</v>
      </c>
      <c r="BH1466">
        <v>0</v>
      </c>
      <c r="BI1466">
        <v>0</v>
      </c>
      <c r="BJ1466">
        <v>0</v>
      </c>
      <c r="BK1466">
        <v>2475</v>
      </c>
      <c r="BL1466">
        <v>375</v>
      </c>
      <c r="BM1466" t="s">
        <v>119</v>
      </c>
      <c r="BN1466">
        <v>1</v>
      </c>
      <c r="BO1466">
        <v>1</v>
      </c>
      <c r="BP1466">
        <v>1</v>
      </c>
      <c r="BQ1466">
        <v>0</v>
      </c>
      <c r="BT1466">
        <v>0</v>
      </c>
      <c r="BU1466">
        <v>0</v>
      </c>
      <c r="BV1466">
        <v>0</v>
      </c>
      <c r="CC1466" t="str">
        <f>"18:59:13.070"</f>
        <v>18:59:13.070</v>
      </c>
      <c r="CD1466" t="str">
        <f>"068889847"</f>
        <v>068889847</v>
      </c>
      <c r="CQ1466">
        <v>0</v>
      </c>
      <c r="CR1466">
        <v>2</v>
      </c>
      <c r="CS1466">
        <v>0</v>
      </c>
      <c r="CT1466">
        <v>2</v>
      </c>
      <c r="CU1466">
        <v>0</v>
      </c>
      <c r="CV1466">
        <v>7</v>
      </c>
      <c r="CW1466" t="s">
        <v>120</v>
      </c>
      <c r="CX1466">
        <v>261</v>
      </c>
      <c r="CY1466">
        <v>2</v>
      </c>
      <c r="CZ1466" t="s">
        <v>121</v>
      </c>
      <c r="DA1466" t="s">
        <v>122</v>
      </c>
      <c r="DD1466">
        <v>15096596</v>
      </c>
      <c r="DE1466" t="s">
        <v>123</v>
      </c>
    </row>
    <row r="1467" spans="1:109" x14ac:dyDescent="0.3">
      <c r="A1467" t="str">
        <f>"18:59:14.172"</f>
        <v>18:59:14.172</v>
      </c>
      <c r="B1467" t="s">
        <v>110</v>
      </c>
      <c r="C1467" t="str">
        <f t="shared" si="66"/>
        <v>ffdfd3c0</v>
      </c>
      <c r="D1467" t="s">
        <v>111</v>
      </c>
      <c r="E1467">
        <v>18</v>
      </c>
      <c r="F1467">
        <v>1018</v>
      </c>
      <c r="G1467" t="s">
        <v>112</v>
      </c>
      <c r="J1467" t="s">
        <v>113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R1467" t="s">
        <v>114</v>
      </c>
      <c r="S1467" t="str">
        <f>"18:59:13.969"</f>
        <v>18:59:13.969</v>
      </c>
      <c r="T1467" t="str">
        <f>"18:59:13.969"</f>
        <v>18:59:13.969</v>
      </c>
      <c r="U1467" t="str">
        <f t="shared" si="67"/>
        <v>a1cdbe</v>
      </c>
      <c r="V1467">
        <v>0</v>
      </c>
      <c r="W1467">
        <v>0</v>
      </c>
      <c r="X1467">
        <v>1</v>
      </c>
      <c r="Y1467">
        <v>0</v>
      </c>
      <c r="Z1467">
        <v>0</v>
      </c>
      <c r="AB1467">
        <v>0</v>
      </c>
      <c r="AC1467">
        <v>9</v>
      </c>
      <c r="AD1467">
        <v>3</v>
      </c>
      <c r="AE1467">
        <v>0</v>
      </c>
      <c r="AF1467">
        <v>9</v>
      </c>
      <c r="AG1467" t="s">
        <v>158</v>
      </c>
      <c r="AH1467">
        <v>0</v>
      </c>
      <c r="AI1467">
        <v>3</v>
      </c>
      <c r="AJ1467">
        <v>1</v>
      </c>
      <c r="AK1467">
        <v>0</v>
      </c>
      <c r="AL1467" t="s">
        <v>2856</v>
      </c>
      <c r="AM1467">
        <v>46.810040000000001</v>
      </c>
      <c r="AN1467" t="s">
        <v>2857</v>
      </c>
      <c r="AO1467">
        <v>-122.75914899999999</v>
      </c>
      <c r="AP1467">
        <v>100</v>
      </c>
      <c r="AQ1467">
        <v>2100</v>
      </c>
      <c r="AR1467" t="s">
        <v>118</v>
      </c>
      <c r="AS1467">
        <v>-76</v>
      </c>
      <c r="AT1467">
        <v>15</v>
      </c>
      <c r="AU1467">
        <v>128</v>
      </c>
      <c r="BC1467">
        <v>1200</v>
      </c>
      <c r="BD1467">
        <v>1</v>
      </c>
      <c r="BE1467" t="str">
        <f t="shared" si="68"/>
        <v xml:space="preserve">N215T   </v>
      </c>
      <c r="BF1467">
        <v>1</v>
      </c>
      <c r="BH1467">
        <v>0</v>
      </c>
      <c r="BI1467">
        <v>0</v>
      </c>
      <c r="BJ1467">
        <v>0</v>
      </c>
      <c r="BK1467">
        <v>2475</v>
      </c>
      <c r="BL1467">
        <v>375</v>
      </c>
      <c r="BM1467" t="s">
        <v>119</v>
      </c>
      <c r="BN1467">
        <v>1</v>
      </c>
      <c r="BO1467">
        <v>1</v>
      </c>
      <c r="BP1467">
        <v>1</v>
      </c>
      <c r="BQ1467">
        <v>0</v>
      </c>
      <c r="BT1467">
        <v>0</v>
      </c>
      <c r="BU1467">
        <v>0</v>
      </c>
      <c r="BV1467">
        <v>0</v>
      </c>
      <c r="CC1467" t="str">
        <f>"18:59:13.969"</f>
        <v>18:59:13.969</v>
      </c>
      <c r="CD1467" t="str">
        <f>"968801203"</f>
        <v>968801203</v>
      </c>
      <c r="CQ1467">
        <v>0</v>
      </c>
      <c r="CR1467">
        <v>2</v>
      </c>
      <c r="CS1467">
        <v>0</v>
      </c>
      <c r="CT1467">
        <v>2</v>
      </c>
      <c r="CU1467">
        <v>0</v>
      </c>
      <c r="CV1467">
        <v>7</v>
      </c>
      <c r="CW1467" t="s">
        <v>120</v>
      </c>
      <c r="CX1467">
        <v>261</v>
      </c>
      <c r="CY1467">
        <v>2</v>
      </c>
      <c r="CZ1467" t="s">
        <v>121</v>
      </c>
      <c r="DA1467" t="s">
        <v>122</v>
      </c>
      <c r="DD1467">
        <v>15097223</v>
      </c>
      <c r="DE1467" t="s">
        <v>123</v>
      </c>
    </row>
    <row r="1468" spans="1:109" x14ac:dyDescent="0.3">
      <c r="A1468" t="str">
        <f>"18:59:15.227"</f>
        <v>18:59:15.227</v>
      </c>
      <c r="B1468" t="s">
        <v>110</v>
      </c>
      <c r="C1468" t="str">
        <f t="shared" si="66"/>
        <v>ffdfd3c0</v>
      </c>
      <c r="D1468" t="s">
        <v>111</v>
      </c>
      <c r="E1468">
        <v>18</v>
      </c>
      <c r="F1468">
        <v>1018</v>
      </c>
      <c r="G1468" t="s">
        <v>112</v>
      </c>
      <c r="J1468" t="s">
        <v>113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R1468" t="s">
        <v>114</v>
      </c>
      <c r="S1468" t="str">
        <f>"18:59:15.016"</f>
        <v>18:59:15.016</v>
      </c>
      <c r="T1468" t="str">
        <f>"18:59:15.016"</f>
        <v>18:59:15.016</v>
      </c>
      <c r="U1468" t="str">
        <f t="shared" si="67"/>
        <v>a1cdbe</v>
      </c>
      <c r="V1468">
        <v>0</v>
      </c>
      <c r="W1468">
        <v>0</v>
      </c>
      <c r="X1468">
        <v>1</v>
      </c>
      <c r="Y1468">
        <v>0</v>
      </c>
      <c r="Z1468">
        <v>0</v>
      </c>
      <c r="AB1468">
        <v>0</v>
      </c>
      <c r="AC1468">
        <v>9</v>
      </c>
      <c r="AD1468">
        <v>3</v>
      </c>
      <c r="AE1468">
        <v>0</v>
      </c>
      <c r="AF1468">
        <v>9</v>
      </c>
      <c r="AG1468" t="s">
        <v>158</v>
      </c>
      <c r="AH1468">
        <v>0</v>
      </c>
      <c r="AI1468">
        <v>3</v>
      </c>
      <c r="AJ1468">
        <v>1</v>
      </c>
      <c r="AK1468">
        <v>0</v>
      </c>
      <c r="AL1468" t="s">
        <v>2858</v>
      </c>
      <c r="AM1468">
        <v>46.810082999999999</v>
      </c>
      <c r="AN1468" t="s">
        <v>2859</v>
      </c>
      <c r="AO1468">
        <v>-122.759643</v>
      </c>
      <c r="AP1468">
        <v>100</v>
      </c>
      <c r="AQ1468">
        <v>2100</v>
      </c>
      <c r="AR1468" t="s">
        <v>118</v>
      </c>
      <c r="AS1468">
        <v>-75</v>
      </c>
      <c r="AT1468">
        <v>15</v>
      </c>
      <c r="AU1468">
        <v>64</v>
      </c>
      <c r="BC1468">
        <v>1200</v>
      </c>
      <c r="BD1468">
        <v>1</v>
      </c>
      <c r="BE1468" t="str">
        <f t="shared" si="68"/>
        <v xml:space="preserve">N215T   </v>
      </c>
      <c r="BF1468">
        <v>1</v>
      </c>
      <c r="BH1468">
        <v>0</v>
      </c>
      <c r="BI1468">
        <v>0</v>
      </c>
      <c r="BJ1468">
        <v>0</v>
      </c>
      <c r="BK1468">
        <v>2475</v>
      </c>
      <c r="BL1468">
        <v>375</v>
      </c>
      <c r="BM1468" t="s">
        <v>119</v>
      </c>
      <c r="BN1468">
        <v>1</v>
      </c>
      <c r="BO1468">
        <v>1</v>
      </c>
      <c r="BP1468">
        <v>1</v>
      </c>
      <c r="BQ1468">
        <v>0</v>
      </c>
      <c r="BT1468">
        <v>0</v>
      </c>
      <c r="BU1468">
        <v>0</v>
      </c>
      <c r="BV1468">
        <v>0</v>
      </c>
      <c r="CC1468" t="str">
        <f>"18:59:15.016"</f>
        <v>18:59:15.016</v>
      </c>
      <c r="CD1468" t="str">
        <f>"018697777"</f>
        <v>018697777</v>
      </c>
      <c r="CQ1468">
        <v>0</v>
      </c>
      <c r="CR1468">
        <v>2</v>
      </c>
      <c r="CS1468">
        <v>0</v>
      </c>
      <c r="CT1468">
        <v>2</v>
      </c>
      <c r="CU1468">
        <v>0</v>
      </c>
      <c r="CV1468">
        <v>7</v>
      </c>
      <c r="CW1468" t="s">
        <v>120</v>
      </c>
      <c r="CX1468">
        <v>261</v>
      </c>
      <c r="CY1468">
        <v>2</v>
      </c>
      <c r="CZ1468" t="s">
        <v>121</v>
      </c>
      <c r="DA1468" t="s">
        <v>122</v>
      </c>
      <c r="DD1468">
        <v>15097925</v>
      </c>
      <c r="DE1468" t="s">
        <v>123</v>
      </c>
    </row>
    <row r="1469" spans="1:109" x14ac:dyDescent="0.3">
      <c r="A1469" t="str">
        <f>"18:59:16.383"</f>
        <v>18:59:16.383</v>
      </c>
      <c r="B1469" t="s">
        <v>110</v>
      </c>
      <c r="C1469" t="str">
        <f t="shared" si="66"/>
        <v>ffdfd3c0</v>
      </c>
      <c r="D1469" t="s">
        <v>111</v>
      </c>
      <c r="E1469">
        <v>18</v>
      </c>
      <c r="F1469">
        <v>1018</v>
      </c>
      <c r="G1469" t="s">
        <v>112</v>
      </c>
      <c r="J1469" t="s">
        <v>113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R1469" t="s">
        <v>114</v>
      </c>
      <c r="S1469" t="str">
        <f>"18:59:16.172"</f>
        <v>18:59:16.172</v>
      </c>
      <c r="T1469" t="str">
        <f>"18:59:16.070"</f>
        <v>18:59:16.070</v>
      </c>
      <c r="U1469" t="str">
        <f t="shared" si="67"/>
        <v>a1cdbe</v>
      </c>
      <c r="V1469">
        <v>0</v>
      </c>
      <c r="W1469">
        <v>0</v>
      </c>
      <c r="X1469">
        <v>1</v>
      </c>
      <c r="Y1469">
        <v>0</v>
      </c>
      <c r="Z1469">
        <v>0</v>
      </c>
      <c r="AB1469">
        <v>0</v>
      </c>
      <c r="AC1469">
        <v>9</v>
      </c>
      <c r="AD1469">
        <v>3</v>
      </c>
      <c r="AE1469">
        <v>0</v>
      </c>
      <c r="AF1469">
        <v>9</v>
      </c>
      <c r="AG1469" t="s">
        <v>158</v>
      </c>
      <c r="AH1469">
        <v>0</v>
      </c>
      <c r="AI1469">
        <v>3</v>
      </c>
      <c r="AJ1469">
        <v>1</v>
      </c>
      <c r="AK1469">
        <v>0</v>
      </c>
      <c r="AL1469" t="s">
        <v>2860</v>
      </c>
      <c r="AM1469">
        <v>46.810191000000003</v>
      </c>
      <c r="AN1469" t="s">
        <v>2861</v>
      </c>
      <c r="AO1469">
        <v>-122.760265</v>
      </c>
      <c r="AP1469">
        <v>100</v>
      </c>
      <c r="AQ1469">
        <v>2100</v>
      </c>
      <c r="AR1469" t="s">
        <v>118</v>
      </c>
      <c r="AS1469">
        <v>-75</v>
      </c>
      <c r="AT1469">
        <v>14</v>
      </c>
      <c r="AU1469">
        <v>64</v>
      </c>
      <c r="BC1469">
        <v>1200</v>
      </c>
      <c r="BD1469">
        <v>1</v>
      </c>
      <c r="BE1469" t="str">
        <f t="shared" si="68"/>
        <v xml:space="preserve">N215T   </v>
      </c>
      <c r="BF1469">
        <v>1</v>
      </c>
      <c r="BH1469">
        <v>0</v>
      </c>
      <c r="BI1469">
        <v>0</v>
      </c>
      <c r="BJ1469">
        <v>0</v>
      </c>
      <c r="BK1469">
        <v>2475</v>
      </c>
      <c r="BL1469">
        <v>375</v>
      </c>
      <c r="BM1469" t="s">
        <v>119</v>
      </c>
      <c r="BN1469">
        <v>1</v>
      </c>
      <c r="BO1469">
        <v>1</v>
      </c>
      <c r="BP1469">
        <v>1</v>
      </c>
      <c r="BQ1469">
        <v>0</v>
      </c>
      <c r="BT1469">
        <v>0</v>
      </c>
      <c r="BU1469">
        <v>0</v>
      </c>
      <c r="BV1469">
        <v>0</v>
      </c>
      <c r="CC1469" t="str">
        <f>"18:59:16.172"</f>
        <v>18:59:16.172</v>
      </c>
      <c r="CD1469" t="str">
        <f>"173584010"</f>
        <v>173584010</v>
      </c>
      <c r="CQ1469">
        <v>0</v>
      </c>
      <c r="CR1469">
        <v>2</v>
      </c>
      <c r="CS1469">
        <v>0</v>
      </c>
      <c r="CT1469">
        <v>2</v>
      </c>
      <c r="CU1469">
        <v>0</v>
      </c>
      <c r="CV1469">
        <v>7</v>
      </c>
      <c r="CW1469" t="s">
        <v>120</v>
      </c>
      <c r="CX1469">
        <v>261</v>
      </c>
      <c r="CY1469">
        <v>2</v>
      </c>
      <c r="CZ1469" t="s">
        <v>121</v>
      </c>
      <c r="DA1469" t="s">
        <v>122</v>
      </c>
      <c r="DD1469">
        <v>15098761</v>
      </c>
      <c r="DE1469" t="s">
        <v>123</v>
      </c>
    </row>
    <row r="1470" spans="1:109" x14ac:dyDescent="0.3">
      <c r="A1470" t="str">
        <f>"18:59:17.344"</f>
        <v>18:59:17.344</v>
      </c>
      <c r="B1470" t="s">
        <v>110</v>
      </c>
      <c r="C1470" t="str">
        <f t="shared" si="66"/>
        <v>ffdfd3c0</v>
      </c>
      <c r="D1470" t="s">
        <v>111</v>
      </c>
      <c r="E1470">
        <v>18</v>
      </c>
      <c r="F1470">
        <v>1018</v>
      </c>
      <c r="G1470" t="s">
        <v>112</v>
      </c>
      <c r="J1470" t="s">
        <v>113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R1470" t="s">
        <v>114</v>
      </c>
      <c r="S1470" t="str">
        <f>"18:59:17.070"</f>
        <v>18:59:17.070</v>
      </c>
      <c r="T1470" t="str">
        <f>"18:59:17.070"</f>
        <v>18:59:17.070</v>
      </c>
      <c r="U1470" t="str">
        <f t="shared" si="67"/>
        <v>a1cdbe</v>
      </c>
      <c r="V1470">
        <v>0</v>
      </c>
      <c r="W1470">
        <v>0</v>
      </c>
      <c r="X1470">
        <v>1</v>
      </c>
      <c r="Y1470">
        <v>0</v>
      </c>
      <c r="Z1470">
        <v>0</v>
      </c>
      <c r="AB1470">
        <v>0</v>
      </c>
      <c r="AC1470">
        <v>9</v>
      </c>
      <c r="AD1470">
        <v>3</v>
      </c>
      <c r="AE1470">
        <v>0</v>
      </c>
      <c r="AF1470">
        <v>9</v>
      </c>
      <c r="AG1470" t="s">
        <v>158</v>
      </c>
      <c r="AH1470">
        <v>0</v>
      </c>
      <c r="AI1470">
        <v>3</v>
      </c>
      <c r="AJ1470">
        <v>1</v>
      </c>
      <c r="AK1470">
        <v>0</v>
      </c>
      <c r="AL1470" t="s">
        <v>2862</v>
      </c>
      <c r="AM1470">
        <v>46.810234000000001</v>
      </c>
      <c r="AN1470" t="s">
        <v>2863</v>
      </c>
      <c r="AO1470">
        <v>-122.760673</v>
      </c>
      <c r="AP1470">
        <v>100</v>
      </c>
      <c r="AQ1470">
        <v>2100</v>
      </c>
      <c r="AR1470" t="s">
        <v>118</v>
      </c>
      <c r="AS1470">
        <v>-75</v>
      </c>
      <c r="AT1470">
        <v>15</v>
      </c>
      <c r="AU1470">
        <v>256</v>
      </c>
      <c r="BC1470">
        <v>1200</v>
      </c>
      <c r="BD1470">
        <v>1</v>
      </c>
      <c r="BE1470" t="str">
        <f t="shared" si="68"/>
        <v xml:space="preserve">N215T   </v>
      </c>
      <c r="BF1470">
        <v>1</v>
      </c>
      <c r="BH1470">
        <v>0</v>
      </c>
      <c r="BI1470">
        <v>0</v>
      </c>
      <c r="BJ1470">
        <v>0</v>
      </c>
      <c r="BK1470">
        <v>2475</v>
      </c>
      <c r="BL1470">
        <v>375</v>
      </c>
      <c r="BM1470" t="s">
        <v>119</v>
      </c>
      <c r="BN1470">
        <v>1</v>
      </c>
      <c r="BO1470">
        <v>1</v>
      </c>
      <c r="BP1470">
        <v>1</v>
      </c>
      <c r="BQ1470">
        <v>0</v>
      </c>
      <c r="BT1470">
        <v>0</v>
      </c>
      <c r="BU1470">
        <v>0</v>
      </c>
      <c r="BV1470">
        <v>0</v>
      </c>
      <c r="CC1470" t="str">
        <f>"18:59:17.070"</f>
        <v>18:59:17.070</v>
      </c>
      <c r="CD1470" t="str">
        <f>"073495363"</f>
        <v>073495363</v>
      </c>
      <c r="CQ1470">
        <v>0</v>
      </c>
      <c r="CR1470">
        <v>2</v>
      </c>
      <c r="CS1470">
        <v>0</v>
      </c>
      <c r="CT1470">
        <v>2</v>
      </c>
      <c r="CU1470">
        <v>0</v>
      </c>
      <c r="CV1470">
        <v>7</v>
      </c>
      <c r="CW1470" t="s">
        <v>120</v>
      </c>
      <c r="CX1470">
        <v>261</v>
      </c>
      <c r="CY1470">
        <v>2</v>
      </c>
      <c r="CZ1470" t="s">
        <v>121</v>
      </c>
      <c r="DA1470" t="s">
        <v>122</v>
      </c>
      <c r="DD1470">
        <v>15099360</v>
      </c>
      <c r="DE1470" t="s">
        <v>123</v>
      </c>
    </row>
    <row r="1471" spans="1:109" x14ac:dyDescent="0.3">
      <c r="A1471" t="str">
        <f>"18:59:18.344"</f>
        <v>18:59:18.344</v>
      </c>
      <c r="B1471" t="s">
        <v>110</v>
      </c>
      <c r="C1471" t="str">
        <f t="shared" si="66"/>
        <v>ffdfd3c0</v>
      </c>
      <c r="D1471" t="s">
        <v>111</v>
      </c>
      <c r="E1471">
        <v>18</v>
      </c>
      <c r="F1471">
        <v>1018</v>
      </c>
      <c r="G1471" t="s">
        <v>112</v>
      </c>
      <c r="J1471" t="s">
        <v>113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R1471" t="s">
        <v>114</v>
      </c>
      <c r="S1471" t="str">
        <f>"18:59:18.102"</f>
        <v>18:59:18.102</v>
      </c>
      <c r="T1471" t="str">
        <f>"18:59:18.000"</f>
        <v>18:59:18.000</v>
      </c>
      <c r="U1471" t="str">
        <f t="shared" si="67"/>
        <v>a1cdbe</v>
      </c>
      <c r="V1471">
        <v>0</v>
      </c>
      <c r="W1471">
        <v>0</v>
      </c>
      <c r="X1471">
        <v>1</v>
      </c>
      <c r="Y1471">
        <v>0</v>
      </c>
      <c r="Z1471">
        <v>0</v>
      </c>
      <c r="AB1471">
        <v>0</v>
      </c>
      <c r="AC1471">
        <v>9</v>
      </c>
      <c r="AD1471">
        <v>3</v>
      </c>
      <c r="AE1471">
        <v>0</v>
      </c>
      <c r="AF1471">
        <v>9</v>
      </c>
      <c r="AG1471" t="s">
        <v>158</v>
      </c>
      <c r="AH1471">
        <v>0</v>
      </c>
      <c r="AI1471">
        <v>3</v>
      </c>
      <c r="AJ1471">
        <v>1</v>
      </c>
      <c r="AK1471">
        <v>0</v>
      </c>
      <c r="AL1471" t="s">
        <v>2864</v>
      </c>
      <c r="AM1471">
        <v>46.810319</v>
      </c>
      <c r="AN1471" t="s">
        <v>2865</v>
      </c>
      <c r="AO1471">
        <v>-122.76123</v>
      </c>
      <c r="AP1471">
        <v>100</v>
      </c>
      <c r="AQ1471">
        <v>2100</v>
      </c>
      <c r="AR1471" t="s">
        <v>118</v>
      </c>
      <c r="AS1471">
        <v>-75</v>
      </c>
      <c r="AT1471">
        <v>16</v>
      </c>
      <c r="AU1471">
        <v>192</v>
      </c>
      <c r="BC1471">
        <v>1200</v>
      </c>
      <c r="BD1471">
        <v>1</v>
      </c>
      <c r="BE1471" t="str">
        <f t="shared" si="68"/>
        <v xml:space="preserve">N215T   </v>
      </c>
      <c r="BF1471">
        <v>1</v>
      </c>
      <c r="BH1471">
        <v>0</v>
      </c>
      <c r="BI1471">
        <v>0</v>
      </c>
      <c r="BJ1471">
        <v>0</v>
      </c>
      <c r="BK1471">
        <v>2475</v>
      </c>
      <c r="BL1471">
        <v>375</v>
      </c>
      <c r="BM1471" t="s">
        <v>119</v>
      </c>
      <c r="BN1471">
        <v>1</v>
      </c>
      <c r="BO1471">
        <v>1</v>
      </c>
      <c r="BP1471">
        <v>1</v>
      </c>
      <c r="BQ1471">
        <v>0</v>
      </c>
      <c r="BT1471">
        <v>0</v>
      </c>
      <c r="BU1471">
        <v>0</v>
      </c>
      <c r="BV1471">
        <v>0</v>
      </c>
      <c r="CC1471" t="str">
        <f>"18:59:18.109"</f>
        <v>18:59:18.109</v>
      </c>
      <c r="CD1471" t="str">
        <f>"108393406"</f>
        <v>108393406</v>
      </c>
      <c r="CQ1471">
        <v>0</v>
      </c>
      <c r="CR1471">
        <v>2</v>
      </c>
      <c r="CS1471">
        <v>0</v>
      </c>
      <c r="CT1471">
        <v>2</v>
      </c>
      <c r="CU1471">
        <v>0</v>
      </c>
      <c r="CV1471">
        <v>7</v>
      </c>
      <c r="CW1471" t="s">
        <v>120</v>
      </c>
      <c r="CX1471">
        <v>261</v>
      </c>
      <c r="CY1471">
        <v>2</v>
      </c>
      <c r="CZ1471" t="s">
        <v>121</v>
      </c>
      <c r="DA1471" t="s">
        <v>122</v>
      </c>
      <c r="DD1471">
        <v>15100029</v>
      </c>
      <c r="DE1471" t="s">
        <v>123</v>
      </c>
    </row>
    <row r="1472" spans="1:109" x14ac:dyDescent="0.3">
      <c r="A1472" t="str">
        <f>"18:59:19.352"</f>
        <v>18:59:19.352</v>
      </c>
      <c r="B1472" t="s">
        <v>110</v>
      </c>
      <c r="C1472" t="str">
        <f t="shared" si="66"/>
        <v>ffdfd3c0</v>
      </c>
      <c r="D1472" t="s">
        <v>111</v>
      </c>
      <c r="E1472">
        <v>18</v>
      </c>
      <c r="F1472">
        <v>1018</v>
      </c>
      <c r="G1472" t="s">
        <v>112</v>
      </c>
      <c r="J1472" t="s">
        <v>113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R1472" t="s">
        <v>114</v>
      </c>
      <c r="S1472" t="str">
        <f>"18:59:19.125"</f>
        <v>18:59:19.125</v>
      </c>
      <c r="T1472" t="str">
        <f>"18:59:18.922"</f>
        <v>18:59:18.922</v>
      </c>
      <c r="U1472" t="str">
        <f t="shared" si="67"/>
        <v>a1cdbe</v>
      </c>
      <c r="V1472">
        <v>0</v>
      </c>
      <c r="W1472">
        <v>0</v>
      </c>
      <c r="X1472">
        <v>1</v>
      </c>
      <c r="Y1472">
        <v>0</v>
      </c>
      <c r="Z1472">
        <v>0</v>
      </c>
      <c r="AB1472">
        <v>0</v>
      </c>
      <c r="AC1472">
        <v>9</v>
      </c>
      <c r="AD1472">
        <v>3</v>
      </c>
      <c r="AE1472">
        <v>0</v>
      </c>
      <c r="AF1472">
        <v>9</v>
      </c>
      <c r="AG1472" t="s">
        <v>158</v>
      </c>
      <c r="AH1472">
        <v>0</v>
      </c>
      <c r="AI1472">
        <v>3</v>
      </c>
      <c r="AJ1472">
        <v>1</v>
      </c>
      <c r="AK1472">
        <v>0</v>
      </c>
      <c r="AL1472" t="s">
        <v>2719</v>
      </c>
      <c r="AM1472">
        <v>46.810426999999997</v>
      </c>
      <c r="AN1472" t="s">
        <v>2866</v>
      </c>
      <c r="AO1472">
        <v>-122.761703</v>
      </c>
      <c r="AP1472">
        <v>100</v>
      </c>
      <c r="AQ1472">
        <v>2100</v>
      </c>
      <c r="AR1472" t="s">
        <v>118</v>
      </c>
      <c r="AS1472">
        <v>-74</v>
      </c>
      <c r="AT1472">
        <v>16</v>
      </c>
      <c r="AU1472">
        <v>192</v>
      </c>
      <c r="BC1472">
        <v>1200</v>
      </c>
      <c r="BD1472">
        <v>1</v>
      </c>
      <c r="BE1472" t="str">
        <f t="shared" si="68"/>
        <v xml:space="preserve">N215T   </v>
      </c>
      <c r="BF1472">
        <v>1</v>
      </c>
      <c r="BH1472">
        <v>0</v>
      </c>
      <c r="BI1472">
        <v>0</v>
      </c>
      <c r="BJ1472">
        <v>0</v>
      </c>
      <c r="BK1472">
        <v>2475</v>
      </c>
      <c r="BL1472">
        <v>375</v>
      </c>
      <c r="BM1472" t="s">
        <v>119</v>
      </c>
      <c r="BN1472">
        <v>1</v>
      </c>
      <c r="BO1472">
        <v>1</v>
      </c>
      <c r="BP1472">
        <v>1</v>
      </c>
      <c r="BQ1472">
        <v>0</v>
      </c>
      <c r="BT1472">
        <v>0</v>
      </c>
      <c r="BU1472">
        <v>0</v>
      </c>
      <c r="BV1472">
        <v>0</v>
      </c>
      <c r="CC1472" t="str">
        <f>"18:59:19.125"</f>
        <v>18:59:19.125</v>
      </c>
      <c r="CD1472" t="str">
        <f>"128292931"</f>
        <v>128292931</v>
      </c>
      <c r="CQ1472">
        <v>0</v>
      </c>
      <c r="CR1472">
        <v>2</v>
      </c>
      <c r="CS1472">
        <v>0</v>
      </c>
      <c r="CT1472">
        <v>2</v>
      </c>
      <c r="CU1472">
        <v>0</v>
      </c>
      <c r="CV1472">
        <v>7</v>
      </c>
      <c r="CW1472" t="s">
        <v>120</v>
      </c>
      <c r="CX1472">
        <v>261</v>
      </c>
      <c r="CY1472">
        <v>2</v>
      </c>
      <c r="CZ1472" t="s">
        <v>121</v>
      </c>
      <c r="DA1472" t="s">
        <v>122</v>
      </c>
      <c r="DD1472">
        <v>15100732</v>
      </c>
      <c r="DE1472" t="s">
        <v>123</v>
      </c>
    </row>
    <row r="1473" spans="1:109" x14ac:dyDescent="0.3">
      <c r="A1473" t="str">
        <f>"18:59:20.406"</f>
        <v>18:59:20.406</v>
      </c>
      <c r="B1473" t="s">
        <v>110</v>
      </c>
      <c r="C1473" t="str">
        <f t="shared" si="66"/>
        <v>ffdfd3c0</v>
      </c>
      <c r="D1473" t="s">
        <v>111</v>
      </c>
      <c r="E1473">
        <v>18</v>
      </c>
      <c r="F1473">
        <v>1018</v>
      </c>
      <c r="G1473" t="s">
        <v>112</v>
      </c>
      <c r="J1473" t="s">
        <v>113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R1473" t="s">
        <v>114</v>
      </c>
      <c r="S1473" t="str">
        <f>"18:59:20.188"</f>
        <v>18:59:20.188</v>
      </c>
      <c r="T1473" t="str">
        <f>"18:59:19.891"</f>
        <v>18:59:19.891</v>
      </c>
      <c r="U1473" t="str">
        <f t="shared" si="67"/>
        <v>a1cdbe</v>
      </c>
      <c r="V1473">
        <v>0</v>
      </c>
      <c r="W1473">
        <v>0</v>
      </c>
      <c r="X1473">
        <v>1</v>
      </c>
      <c r="Y1473">
        <v>0</v>
      </c>
      <c r="Z1473">
        <v>0</v>
      </c>
      <c r="AB1473">
        <v>0</v>
      </c>
      <c r="AC1473">
        <v>9</v>
      </c>
      <c r="AD1473">
        <v>3</v>
      </c>
      <c r="AE1473">
        <v>0</v>
      </c>
      <c r="AF1473">
        <v>9</v>
      </c>
      <c r="AG1473" t="s">
        <v>158</v>
      </c>
      <c r="AH1473">
        <v>0</v>
      </c>
      <c r="AI1473">
        <v>3</v>
      </c>
      <c r="AJ1473">
        <v>1</v>
      </c>
      <c r="AK1473">
        <v>0</v>
      </c>
      <c r="AL1473" t="s">
        <v>2867</v>
      </c>
      <c r="AM1473">
        <v>46.810513</v>
      </c>
      <c r="AN1473" t="s">
        <v>2868</v>
      </c>
      <c r="AO1473">
        <v>-122.76226</v>
      </c>
      <c r="AP1473">
        <v>100</v>
      </c>
      <c r="AQ1473">
        <v>2100</v>
      </c>
      <c r="AR1473" t="s">
        <v>118</v>
      </c>
      <c r="AS1473">
        <v>-74</v>
      </c>
      <c r="AT1473">
        <v>18</v>
      </c>
      <c r="AU1473">
        <v>256</v>
      </c>
      <c r="BC1473">
        <v>1200</v>
      </c>
      <c r="BD1473">
        <v>1</v>
      </c>
      <c r="BE1473" t="str">
        <f t="shared" si="68"/>
        <v xml:space="preserve">N215T   </v>
      </c>
      <c r="BF1473">
        <v>1</v>
      </c>
      <c r="BH1473">
        <v>0</v>
      </c>
      <c r="BI1473">
        <v>0</v>
      </c>
      <c r="BJ1473">
        <v>0</v>
      </c>
      <c r="BK1473">
        <v>2500</v>
      </c>
      <c r="BL1473">
        <v>400</v>
      </c>
      <c r="BM1473" t="s">
        <v>119</v>
      </c>
      <c r="BN1473">
        <v>1</v>
      </c>
      <c r="BO1473">
        <v>1</v>
      </c>
      <c r="BP1473">
        <v>1</v>
      </c>
      <c r="BQ1473">
        <v>0</v>
      </c>
      <c r="BT1473">
        <v>0</v>
      </c>
      <c r="BU1473">
        <v>0</v>
      </c>
      <c r="BV1473">
        <v>0</v>
      </c>
      <c r="CC1473" t="str">
        <f>"18:59:20.195"</f>
        <v>18:59:20.195</v>
      </c>
      <c r="CD1473" t="str">
        <f>"193188006"</f>
        <v>193188006</v>
      </c>
      <c r="CQ1473">
        <v>0</v>
      </c>
      <c r="CR1473">
        <v>2</v>
      </c>
      <c r="CS1473">
        <v>0</v>
      </c>
      <c r="CT1473">
        <v>2</v>
      </c>
      <c r="CU1473">
        <v>0</v>
      </c>
      <c r="CV1473">
        <v>7</v>
      </c>
      <c r="CW1473" t="s">
        <v>120</v>
      </c>
      <c r="CX1473">
        <v>261</v>
      </c>
      <c r="CY1473">
        <v>2</v>
      </c>
      <c r="CZ1473" t="s">
        <v>121</v>
      </c>
      <c r="DA1473" t="s">
        <v>122</v>
      </c>
      <c r="DD1473">
        <v>15101507</v>
      </c>
      <c r="DE1473" t="s">
        <v>123</v>
      </c>
    </row>
    <row r="1474" spans="1:109" x14ac:dyDescent="0.3">
      <c r="A1474" t="str">
        <f>"18:59:21.414"</f>
        <v>18:59:21.414</v>
      </c>
      <c r="B1474" t="s">
        <v>110</v>
      </c>
      <c r="C1474" t="str">
        <f t="shared" ref="C1474:C1537" si="69">"ffdfd3c0"</f>
        <v>ffdfd3c0</v>
      </c>
      <c r="D1474" t="s">
        <v>111</v>
      </c>
      <c r="E1474">
        <v>18</v>
      </c>
      <c r="F1474">
        <v>1018</v>
      </c>
      <c r="G1474" t="s">
        <v>112</v>
      </c>
      <c r="J1474" t="s">
        <v>113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R1474" t="s">
        <v>114</v>
      </c>
      <c r="S1474" t="str">
        <f>"18:59:21.148"</f>
        <v>18:59:21.148</v>
      </c>
      <c r="T1474" t="str">
        <f>"18:59:21.047"</f>
        <v>18:59:21.047</v>
      </c>
      <c r="U1474" t="str">
        <f t="shared" ref="U1474:U1537" si="70">"a1cdbe"</f>
        <v>a1cdbe</v>
      </c>
      <c r="V1474">
        <v>0</v>
      </c>
      <c r="W1474">
        <v>0</v>
      </c>
      <c r="X1474">
        <v>1</v>
      </c>
      <c r="Y1474">
        <v>0</v>
      </c>
      <c r="Z1474">
        <v>0</v>
      </c>
      <c r="AB1474">
        <v>0</v>
      </c>
      <c r="AC1474">
        <v>9</v>
      </c>
      <c r="AD1474">
        <v>3</v>
      </c>
      <c r="AE1474">
        <v>0</v>
      </c>
      <c r="AF1474">
        <v>9</v>
      </c>
      <c r="AG1474" t="s">
        <v>158</v>
      </c>
      <c r="AH1474">
        <v>0</v>
      </c>
      <c r="AI1474">
        <v>3</v>
      </c>
      <c r="AJ1474">
        <v>1</v>
      </c>
      <c r="AK1474">
        <v>0</v>
      </c>
      <c r="AL1474" t="s">
        <v>2717</v>
      </c>
      <c r="AM1474">
        <v>46.810555000000001</v>
      </c>
      <c r="AN1474" t="s">
        <v>2869</v>
      </c>
      <c r="AO1474">
        <v>-122.762733</v>
      </c>
      <c r="AP1474">
        <v>100</v>
      </c>
      <c r="AQ1474">
        <v>2100</v>
      </c>
      <c r="AR1474" t="s">
        <v>118</v>
      </c>
      <c r="AS1474">
        <v>-74</v>
      </c>
      <c r="AT1474">
        <v>19</v>
      </c>
      <c r="AU1474">
        <v>256</v>
      </c>
      <c r="BC1474">
        <v>1200</v>
      </c>
      <c r="BD1474">
        <v>1</v>
      </c>
      <c r="BE1474" t="str">
        <f t="shared" ref="BE1474:BE1537" si="71">"N215T   "</f>
        <v xml:space="preserve">N215T   </v>
      </c>
      <c r="BF1474">
        <v>1</v>
      </c>
      <c r="BH1474">
        <v>0</v>
      </c>
      <c r="BI1474">
        <v>0</v>
      </c>
      <c r="BJ1474">
        <v>0</v>
      </c>
      <c r="BK1474">
        <v>2500</v>
      </c>
      <c r="BL1474">
        <v>400</v>
      </c>
      <c r="BM1474" t="s">
        <v>119</v>
      </c>
      <c r="BN1474">
        <v>1</v>
      </c>
      <c r="BO1474">
        <v>1</v>
      </c>
      <c r="BP1474">
        <v>1</v>
      </c>
      <c r="BQ1474">
        <v>0</v>
      </c>
      <c r="BT1474">
        <v>0</v>
      </c>
      <c r="BU1474">
        <v>0</v>
      </c>
      <c r="BV1474">
        <v>0</v>
      </c>
      <c r="CC1474" t="str">
        <f>"18:59:21.156"</f>
        <v>18:59:21.156</v>
      </c>
      <c r="CD1474" t="str">
        <f>"153093451"</f>
        <v>153093451</v>
      </c>
      <c r="CQ1474">
        <v>0</v>
      </c>
      <c r="CR1474">
        <v>2</v>
      </c>
      <c r="CS1474">
        <v>0</v>
      </c>
      <c r="CT1474">
        <v>2</v>
      </c>
      <c r="CU1474">
        <v>0</v>
      </c>
      <c r="CV1474">
        <v>7</v>
      </c>
      <c r="CW1474" t="s">
        <v>120</v>
      </c>
      <c r="CX1474">
        <v>261</v>
      </c>
      <c r="CY1474">
        <v>2</v>
      </c>
      <c r="CZ1474" t="s">
        <v>121</v>
      </c>
      <c r="DA1474" t="s">
        <v>122</v>
      </c>
      <c r="DD1474">
        <v>15102214</v>
      </c>
      <c r="DE1474" t="s">
        <v>123</v>
      </c>
    </row>
    <row r="1475" spans="1:109" x14ac:dyDescent="0.3">
      <c r="A1475" t="str">
        <f>"18:59:22.219"</f>
        <v>18:59:22.219</v>
      </c>
      <c r="B1475" t="s">
        <v>110</v>
      </c>
      <c r="C1475" t="str">
        <f t="shared" si="69"/>
        <v>ffdfd3c0</v>
      </c>
      <c r="D1475" t="s">
        <v>111</v>
      </c>
      <c r="E1475">
        <v>18</v>
      </c>
      <c r="F1475">
        <v>1018</v>
      </c>
      <c r="G1475" t="s">
        <v>112</v>
      </c>
      <c r="J1475" t="s">
        <v>113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R1475" t="s">
        <v>114</v>
      </c>
      <c r="S1475" t="str">
        <f>"18:59:21.961"</f>
        <v>18:59:21.961</v>
      </c>
      <c r="T1475" t="str">
        <f>"18:59:21.563"</f>
        <v>18:59:21.563</v>
      </c>
      <c r="U1475" t="str">
        <f t="shared" si="70"/>
        <v>a1cdbe</v>
      </c>
      <c r="V1475">
        <v>0</v>
      </c>
      <c r="W1475">
        <v>0</v>
      </c>
      <c r="X1475">
        <v>1</v>
      </c>
      <c r="Y1475">
        <v>0</v>
      </c>
      <c r="Z1475">
        <v>0</v>
      </c>
      <c r="AB1475">
        <v>0</v>
      </c>
      <c r="AC1475">
        <v>9</v>
      </c>
      <c r="AD1475">
        <v>3</v>
      </c>
      <c r="AE1475">
        <v>0</v>
      </c>
      <c r="AF1475">
        <v>9</v>
      </c>
      <c r="AG1475" t="s">
        <v>158</v>
      </c>
      <c r="AH1475">
        <v>0</v>
      </c>
      <c r="AI1475">
        <v>3</v>
      </c>
      <c r="AJ1475">
        <v>1</v>
      </c>
      <c r="AK1475">
        <v>0</v>
      </c>
      <c r="AL1475" t="s">
        <v>2870</v>
      </c>
      <c r="AM1475">
        <v>46.810640999999997</v>
      </c>
      <c r="AN1475" t="s">
        <v>2871</v>
      </c>
      <c r="AO1475">
        <v>-122.763097</v>
      </c>
      <c r="AP1475">
        <v>100</v>
      </c>
      <c r="AQ1475">
        <v>2100</v>
      </c>
      <c r="AR1475" t="s">
        <v>118</v>
      </c>
      <c r="AS1475">
        <v>-74</v>
      </c>
      <c r="AT1475">
        <v>20</v>
      </c>
      <c r="AU1475">
        <v>128</v>
      </c>
      <c r="BC1475">
        <v>1200</v>
      </c>
      <c r="BD1475">
        <v>1</v>
      </c>
      <c r="BE1475" t="str">
        <f t="shared" si="71"/>
        <v xml:space="preserve">N215T   </v>
      </c>
      <c r="BF1475">
        <v>1</v>
      </c>
      <c r="BH1475">
        <v>0</v>
      </c>
      <c r="BI1475">
        <v>0</v>
      </c>
      <c r="BJ1475">
        <v>0</v>
      </c>
      <c r="BK1475">
        <v>2500</v>
      </c>
      <c r="BL1475">
        <v>400</v>
      </c>
      <c r="BM1475" t="s">
        <v>119</v>
      </c>
      <c r="BN1475">
        <v>1</v>
      </c>
      <c r="BO1475">
        <v>1</v>
      </c>
      <c r="BP1475">
        <v>1</v>
      </c>
      <c r="BQ1475">
        <v>0</v>
      </c>
      <c r="BT1475">
        <v>0</v>
      </c>
      <c r="BU1475">
        <v>0</v>
      </c>
      <c r="BV1475">
        <v>0</v>
      </c>
      <c r="CC1475" t="str">
        <f>"18:59:21.961"</f>
        <v>18:59:21.961</v>
      </c>
      <c r="CD1475" t="str">
        <f>"963063015"</f>
        <v>963063015</v>
      </c>
      <c r="CQ1475">
        <v>0</v>
      </c>
      <c r="CR1475">
        <v>2</v>
      </c>
      <c r="CS1475">
        <v>0</v>
      </c>
      <c r="CT1475">
        <v>2</v>
      </c>
      <c r="CU1475">
        <v>0</v>
      </c>
      <c r="CV1475">
        <v>7</v>
      </c>
      <c r="CW1475" t="s">
        <v>120</v>
      </c>
      <c r="CX1475">
        <v>257</v>
      </c>
      <c r="CY1475">
        <v>1</v>
      </c>
      <c r="CZ1475" t="s">
        <v>615</v>
      </c>
      <c r="DA1475" t="s">
        <v>616</v>
      </c>
      <c r="DD1475">
        <v>11472875</v>
      </c>
      <c r="DE1475" t="s">
        <v>123</v>
      </c>
    </row>
    <row r="1476" spans="1:109" x14ac:dyDescent="0.3">
      <c r="A1476" t="str">
        <f>"18:59:23.172"</f>
        <v>18:59:23.172</v>
      </c>
      <c r="B1476" t="s">
        <v>110</v>
      </c>
      <c r="C1476" t="str">
        <f t="shared" si="69"/>
        <v>ffdfd3c0</v>
      </c>
      <c r="D1476" t="s">
        <v>111</v>
      </c>
      <c r="E1476">
        <v>18</v>
      </c>
      <c r="F1476">
        <v>1018</v>
      </c>
      <c r="G1476" t="s">
        <v>112</v>
      </c>
      <c r="J1476" t="s">
        <v>113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R1476" t="s">
        <v>114</v>
      </c>
      <c r="S1476" t="str">
        <f>"18:59:22.945"</f>
        <v>18:59:22.945</v>
      </c>
      <c r="T1476" t="str">
        <f>"18:59:22.945"</f>
        <v>18:59:22.945</v>
      </c>
      <c r="U1476" t="str">
        <f t="shared" si="70"/>
        <v>a1cdbe</v>
      </c>
      <c r="V1476">
        <v>0</v>
      </c>
      <c r="W1476">
        <v>0</v>
      </c>
      <c r="X1476">
        <v>1</v>
      </c>
      <c r="Y1476">
        <v>0</v>
      </c>
      <c r="Z1476">
        <v>0</v>
      </c>
      <c r="AB1476">
        <v>0</v>
      </c>
      <c r="AC1476">
        <v>9</v>
      </c>
      <c r="AD1476">
        <v>3</v>
      </c>
      <c r="AE1476">
        <v>0</v>
      </c>
      <c r="AF1476">
        <v>9</v>
      </c>
      <c r="AG1476" t="s">
        <v>158</v>
      </c>
      <c r="AH1476">
        <v>0</v>
      </c>
      <c r="AI1476">
        <v>3</v>
      </c>
      <c r="AJ1476">
        <v>1</v>
      </c>
      <c r="AK1476">
        <v>0</v>
      </c>
      <c r="AL1476" t="s">
        <v>2872</v>
      </c>
      <c r="AM1476">
        <v>46.810749000000001</v>
      </c>
      <c r="AN1476" t="s">
        <v>2873</v>
      </c>
      <c r="AO1476">
        <v>-122.763634</v>
      </c>
      <c r="AP1476">
        <v>100</v>
      </c>
      <c r="AQ1476">
        <v>2100</v>
      </c>
      <c r="AR1476" t="s">
        <v>118</v>
      </c>
      <c r="AS1476">
        <v>-73</v>
      </c>
      <c r="AT1476">
        <v>21</v>
      </c>
      <c r="AU1476">
        <v>-128</v>
      </c>
      <c r="BC1476">
        <v>1200</v>
      </c>
      <c r="BD1476">
        <v>1</v>
      </c>
      <c r="BE1476" t="str">
        <f t="shared" si="71"/>
        <v xml:space="preserve">N215T   </v>
      </c>
      <c r="BF1476">
        <v>1</v>
      </c>
      <c r="BH1476">
        <v>0</v>
      </c>
      <c r="BI1476">
        <v>0</v>
      </c>
      <c r="BJ1476">
        <v>0</v>
      </c>
      <c r="BK1476">
        <v>2500</v>
      </c>
      <c r="BL1476">
        <v>400</v>
      </c>
      <c r="BM1476" t="s">
        <v>119</v>
      </c>
      <c r="BN1476">
        <v>1</v>
      </c>
      <c r="BO1476">
        <v>1</v>
      </c>
      <c r="BP1476">
        <v>1</v>
      </c>
      <c r="BQ1476">
        <v>0</v>
      </c>
      <c r="BT1476">
        <v>0</v>
      </c>
      <c r="BU1476">
        <v>0</v>
      </c>
      <c r="BV1476">
        <v>0</v>
      </c>
      <c r="CC1476" t="str">
        <f>"18:59:22.953"</f>
        <v>18:59:22.953</v>
      </c>
      <c r="CD1476" t="str">
        <f>"952916135"</f>
        <v>952916135</v>
      </c>
      <c r="CQ1476">
        <v>0</v>
      </c>
      <c r="CR1476">
        <v>2</v>
      </c>
      <c r="CS1476">
        <v>0</v>
      </c>
      <c r="CT1476">
        <v>2</v>
      </c>
      <c r="CU1476">
        <v>0</v>
      </c>
      <c r="CV1476">
        <v>7</v>
      </c>
      <c r="CW1476" t="s">
        <v>120</v>
      </c>
      <c r="CX1476">
        <v>261</v>
      </c>
      <c r="CY1476">
        <v>2</v>
      </c>
      <c r="CZ1476" t="s">
        <v>121</v>
      </c>
      <c r="DA1476" t="s">
        <v>122</v>
      </c>
      <c r="DD1476">
        <v>15103376</v>
      </c>
      <c r="DE1476" t="s">
        <v>123</v>
      </c>
    </row>
    <row r="1477" spans="1:109" x14ac:dyDescent="0.3">
      <c r="A1477" t="str">
        <f>"18:59:24.125"</f>
        <v>18:59:24.125</v>
      </c>
      <c r="B1477" t="s">
        <v>110</v>
      </c>
      <c r="C1477" t="str">
        <f t="shared" si="69"/>
        <v>ffdfd3c0</v>
      </c>
      <c r="D1477" t="s">
        <v>111</v>
      </c>
      <c r="E1477">
        <v>18</v>
      </c>
      <c r="F1477">
        <v>1018</v>
      </c>
      <c r="G1477" t="s">
        <v>112</v>
      </c>
      <c r="J1477" t="s">
        <v>113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R1477" t="s">
        <v>114</v>
      </c>
      <c r="S1477" t="str">
        <f>"18:59:23.891"</f>
        <v>18:59:23.891</v>
      </c>
      <c r="T1477" t="str">
        <f>"18:59:23.891"</f>
        <v>18:59:23.891</v>
      </c>
      <c r="U1477" t="str">
        <f t="shared" si="70"/>
        <v>a1cdbe</v>
      </c>
      <c r="V1477">
        <v>0</v>
      </c>
      <c r="W1477">
        <v>0</v>
      </c>
      <c r="X1477">
        <v>1</v>
      </c>
      <c r="Y1477">
        <v>0</v>
      </c>
      <c r="Z1477">
        <v>0</v>
      </c>
      <c r="AB1477">
        <v>0</v>
      </c>
      <c r="AC1477">
        <v>9</v>
      </c>
      <c r="AD1477">
        <v>3</v>
      </c>
      <c r="AE1477">
        <v>0</v>
      </c>
      <c r="AF1477">
        <v>9</v>
      </c>
      <c r="AG1477" t="s">
        <v>158</v>
      </c>
      <c r="AH1477">
        <v>0</v>
      </c>
      <c r="AI1477">
        <v>3</v>
      </c>
      <c r="AJ1477">
        <v>1</v>
      </c>
      <c r="AK1477">
        <v>0</v>
      </c>
      <c r="AL1477" t="s">
        <v>2713</v>
      </c>
      <c r="AM1477">
        <v>46.810834</v>
      </c>
      <c r="AN1477" t="s">
        <v>2874</v>
      </c>
      <c r="AO1477">
        <v>-122.76404100000001</v>
      </c>
      <c r="AP1477">
        <v>100</v>
      </c>
      <c r="AQ1477">
        <v>2100</v>
      </c>
      <c r="AR1477" t="s">
        <v>118</v>
      </c>
      <c r="AS1477">
        <v>-73</v>
      </c>
      <c r="AT1477">
        <v>21</v>
      </c>
      <c r="AU1477">
        <v>-192</v>
      </c>
      <c r="BC1477">
        <v>1200</v>
      </c>
      <c r="BD1477">
        <v>1</v>
      </c>
      <c r="BE1477" t="str">
        <f t="shared" si="71"/>
        <v xml:space="preserve">N215T   </v>
      </c>
      <c r="BF1477">
        <v>1</v>
      </c>
      <c r="BH1477">
        <v>0</v>
      </c>
      <c r="BI1477">
        <v>0</v>
      </c>
      <c r="BJ1477">
        <v>0</v>
      </c>
      <c r="BK1477">
        <v>2500</v>
      </c>
      <c r="BL1477">
        <v>400</v>
      </c>
      <c r="BM1477" t="s">
        <v>119</v>
      </c>
      <c r="BN1477">
        <v>1</v>
      </c>
      <c r="BO1477">
        <v>1</v>
      </c>
      <c r="BP1477">
        <v>1</v>
      </c>
      <c r="BQ1477">
        <v>0</v>
      </c>
      <c r="BT1477">
        <v>0</v>
      </c>
      <c r="BU1477">
        <v>0</v>
      </c>
      <c r="BV1477">
        <v>0</v>
      </c>
      <c r="CC1477" t="str">
        <f>"18:59:23.898"</f>
        <v>18:59:23.898</v>
      </c>
      <c r="CD1477" t="str">
        <f>"897823042"</f>
        <v>897823042</v>
      </c>
      <c r="CQ1477">
        <v>0</v>
      </c>
      <c r="CR1477">
        <v>2</v>
      </c>
      <c r="CS1477">
        <v>0</v>
      </c>
      <c r="CT1477">
        <v>2</v>
      </c>
      <c r="CU1477">
        <v>0</v>
      </c>
      <c r="CV1477">
        <v>7</v>
      </c>
      <c r="CW1477" t="s">
        <v>120</v>
      </c>
      <c r="CX1477">
        <v>261</v>
      </c>
      <c r="CY1477">
        <v>2</v>
      </c>
      <c r="CZ1477" t="s">
        <v>121</v>
      </c>
      <c r="DA1477" t="s">
        <v>122</v>
      </c>
      <c r="DD1477">
        <v>15104026</v>
      </c>
      <c r="DE1477" t="s">
        <v>123</v>
      </c>
    </row>
    <row r="1478" spans="1:109" x14ac:dyDescent="0.3">
      <c r="A1478" t="str">
        <f>"18:59:25.281"</f>
        <v>18:59:25.281</v>
      </c>
      <c r="B1478" t="s">
        <v>110</v>
      </c>
      <c r="C1478" t="str">
        <f t="shared" si="69"/>
        <v>ffdfd3c0</v>
      </c>
      <c r="D1478" t="s">
        <v>111</v>
      </c>
      <c r="E1478">
        <v>18</v>
      </c>
      <c r="F1478">
        <v>1018</v>
      </c>
      <c r="G1478" t="s">
        <v>112</v>
      </c>
      <c r="J1478" t="s">
        <v>113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R1478" t="s">
        <v>114</v>
      </c>
      <c r="S1478" t="str">
        <f>"18:59:25.016"</f>
        <v>18:59:25.016</v>
      </c>
      <c r="T1478" t="str">
        <f>"18:59:25.016"</f>
        <v>18:59:25.016</v>
      </c>
      <c r="U1478" t="str">
        <f t="shared" si="70"/>
        <v>a1cdbe</v>
      </c>
      <c r="V1478">
        <v>0</v>
      </c>
      <c r="W1478">
        <v>0</v>
      </c>
      <c r="X1478">
        <v>1</v>
      </c>
      <c r="Y1478">
        <v>0</v>
      </c>
      <c r="Z1478">
        <v>0</v>
      </c>
      <c r="AB1478">
        <v>0</v>
      </c>
      <c r="AC1478">
        <v>9</v>
      </c>
      <c r="AD1478">
        <v>3</v>
      </c>
      <c r="AE1478">
        <v>0</v>
      </c>
      <c r="AF1478">
        <v>9</v>
      </c>
      <c r="AG1478" t="s">
        <v>158</v>
      </c>
      <c r="AH1478">
        <v>0</v>
      </c>
      <c r="AI1478">
        <v>3</v>
      </c>
      <c r="AJ1478">
        <v>1</v>
      </c>
      <c r="AK1478">
        <v>0</v>
      </c>
      <c r="AL1478" t="s">
        <v>2711</v>
      </c>
      <c r="AM1478">
        <v>46.810920000000003</v>
      </c>
      <c r="AN1478" t="s">
        <v>2875</v>
      </c>
      <c r="AO1478">
        <v>-122.764664</v>
      </c>
      <c r="AP1478">
        <v>100</v>
      </c>
      <c r="AQ1478">
        <v>2100</v>
      </c>
      <c r="AR1478" t="s">
        <v>118</v>
      </c>
      <c r="AS1478">
        <v>-74</v>
      </c>
      <c r="AT1478">
        <v>22</v>
      </c>
      <c r="AU1478">
        <v>-384</v>
      </c>
      <c r="BC1478">
        <v>1200</v>
      </c>
      <c r="BD1478">
        <v>1</v>
      </c>
      <c r="BE1478" t="str">
        <f t="shared" si="71"/>
        <v xml:space="preserve">N215T   </v>
      </c>
      <c r="BF1478">
        <v>1</v>
      </c>
      <c r="BH1478">
        <v>0</v>
      </c>
      <c r="BI1478">
        <v>0</v>
      </c>
      <c r="BJ1478">
        <v>0</v>
      </c>
      <c r="BK1478">
        <v>2500</v>
      </c>
      <c r="BL1478">
        <v>400</v>
      </c>
      <c r="BM1478" t="s">
        <v>119</v>
      </c>
      <c r="BN1478">
        <v>1</v>
      </c>
      <c r="BO1478">
        <v>1</v>
      </c>
      <c r="BP1478">
        <v>1</v>
      </c>
      <c r="BQ1478">
        <v>0</v>
      </c>
      <c r="BT1478">
        <v>0</v>
      </c>
      <c r="BU1478">
        <v>0</v>
      </c>
      <c r="BV1478">
        <v>0</v>
      </c>
      <c r="CC1478" t="str">
        <f>"18:59:25.023"</f>
        <v>18:59:25.023</v>
      </c>
      <c r="CD1478" t="str">
        <f>"022712212"</f>
        <v>022712212</v>
      </c>
      <c r="CQ1478">
        <v>0</v>
      </c>
      <c r="CR1478">
        <v>2</v>
      </c>
      <c r="CS1478">
        <v>0</v>
      </c>
      <c r="CT1478">
        <v>2</v>
      </c>
      <c r="CU1478">
        <v>0</v>
      </c>
      <c r="CV1478">
        <v>7</v>
      </c>
      <c r="CW1478" t="s">
        <v>120</v>
      </c>
      <c r="CX1478">
        <v>261</v>
      </c>
      <c r="CY1478">
        <v>2</v>
      </c>
      <c r="CZ1478" t="s">
        <v>121</v>
      </c>
      <c r="DA1478" t="s">
        <v>122</v>
      </c>
      <c r="DD1478">
        <v>15104825</v>
      </c>
      <c r="DE1478" t="s">
        <v>123</v>
      </c>
    </row>
    <row r="1479" spans="1:109" x14ac:dyDescent="0.3">
      <c r="A1479" t="str">
        <f>"18:59:26.336"</f>
        <v>18:59:26.336</v>
      </c>
      <c r="B1479" t="s">
        <v>110</v>
      </c>
      <c r="C1479" t="str">
        <f t="shared" si="69"/>
        <v>ffdfd3c0</v>
      </c>
      <c r="D1479" t="s">
        <v>111</v>
      </c>
      <c r="E1479">
        <v>18</v>
      </c>
      <c r="F1479">
        <v>1018</v>
      </c>
      <c r="G1479" t="s">
        <v>112</v>
      </c>
      <c r="J1479" t="s">
        <v>113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R1479" t="s">
        <v>114</v>
      </c>
      <c r="S1479" t="str">
        <f>"18:59:26.125"</f>
        <v>18:59:26.125</v>
      </c>
      <c r="T1479" t="str">
        <f>"18:59:26.023"</f>
        <v>18:59:26.023</v>
      </c>
      <c r="U1479" t="str">
        <f t="shared" si="70"/>
        <v>a1cdbe</v>
      </c>
      <c r="V1479">
        <v>0</v>
      </c>
      <c r="W1479">
        <v>0</v>
      </c>
      <c r="X1479">
        <v>1</v>
      </c>
      <c r="Y1479">
        <v>0</v>
      </c>
      <c r="Z1479">
        <v>0</v>
      </c>
      <c r="AB1479">
        <v>0</v>
      </c>
      <c r="AC1479">
        <v>9</v>
      </c>
      <c r="AD1479">
        <v>3</v>
      </c>
      <c r="AE1479">
        <v>0</v>
      </c>
      <c r="AF1479">
        <v>9</v>
      </c>
      <c r="AG1479" t="s">
        <v>158</v>
      </c>
      <c r="AH1479">
        <v>0</v>
      </c>
      <c r="AI1479">
        <v>3</v>
      </c>
      <c r="AJ1479">
        <v>1</v>
      </c>
      <c r="AK1479">
        <v>0</v>
      </c>
      <c r="AL1479" t="s">
        <v>2876</v>
      </c>
      <c r="AM1479">
        <v>46.811048999999997</v>
      </c>
      <c r="AN1479" t="s">
        <v>2877</v>
      </c>
      <c r="AO1479">
        <v>-122.765243</v>
      </c>
      <c r="AP1479">
        <v>100</v>
      </c>
      <c r="AQ1479">
        <v>2100</v>
      </c>
      <c r="AR1479" t="s">
        <v>118</v>
      </c>
      <c r="AS1479">
        <v>-75</v>
      </c>
      <c r="AT1479">
        <v>21</v>
      </c>
      <c r="AU1479">
        <v>-384</v>
      </c>
      <c r="BC1479">
        <v>1200</v>
      </c>
      <c r="BD1479">
        <v>1</v>
      </c>
      <c r="BE1479" t="str">
        <f t="shared" si="71"/>
        <v xml:space="preserve">N215T   </v>
      </c>
      <c r="BF1479">
        <v>1</v>
      </c>
      <c r="BH1479">
        <v>0</v>
      </c>
      <c r="BI1479">
        <v>0</v>
      </c>
      <c r="BJ1479">
        <v>0</v>
      </c>
      <c r="BK1479">
        <v>2475</v>
      </c>
      <c r="BL1479">
        <v>375</v>
      </c>
      <c r="BM1479" t="s">
        <v>119</v>
      </c>
      <c r="BN1479">
        <v>1</v>
      </c>
      <c r="BO1479">
        <v>1</v>
      </c>
      <c r="BP1479">
        <v>1</v>
      </c>
      <c r="BQ1479">
        <v>0</v>
      </c>
      <c r="BT1479">
        <v>0</v>
      </c>
      <c r="BU1479">
        <v>0</v>
      </c>
      <c r="BV1479">
        <v>0</v>
      </c>
      <c r="CC1479" t="str">
        <f>"18:59:26.133"</f>
        <v>18:59:26.133</v>
      </c>
      <c r="CD1479" t="str">
        <f>"132602862"</f>
        <v>132602862</v>
      </c>
      <c r="CQ1479">
        <v>0</v>
      </c>
      <c r="CR1479">
        <v>2</v>
      </c>
      <c r="CS1479">
        <v>0</v>
      </c>
      <c r="CT1479">
        <v>2</v>
      </c>
      <c r="CU1479">
        <v>0</v>
      </c>
      <c r="CV1479">
        <v>7</v>
      </c>
      <c r="CW1479" t="s">
        <v>120</v>
      </c>
      <c r="CX1479">
        <v>261</v>
      </c>
      <c r="CY1479">
        <v>2</v>
      </c>
      <c r="CZ1479" t="s">
        <v>121</v>
      </c>
      <c r="DA1479" t="s">
        <v>122</v>
      </c>
      <c r="DD1479">
        <v>15105641</v>
      </c>
      <c r="DE1479" t="s">
        <v>123</v>
      </c>
    </row>
    <row r="1480" spans="1:109" x14ac:dyDescent="0.3">
      <c r="A1480" t="str">
        <f>"18:59:27.344"</f>
        <v>18:59:27.344</v>
      </c>
      <c r="B1480" t="s">
        <v>110</v>
      </c>
      <c r="C1480" t="str">
        <f t="shared" si="69"/>
        <v>ffdfd3c0</v>
      </c>
      <c r="D1480" t="s">
        <v>111</v>
      </c>
      <c r="E1480">
        <v>18</v>
      </c>
      <c r="F1480">
        <v>1018</v>
      </c>
      <c r="G1480" t="s">
        <v>112</v>
      </c>
      <c r="J1480" t="s">
        <v>113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R1480" t="s">
        <v>114</v>
      </c>
      <c r="S1480" t="str">
        <f>"18:59:27.117"</f>
        <v>18:59:27.117</v>
      </c>
      <c r="T1480" t="str">
        <f>"18:59:26.914"</f>
        <v>18:59:26.914</v>
      </c>
      <c r="U1480" t="str">
        <f t="shared" si="70"/>
        <v>a1cdbe</v>
      </c>
      <c r="V1480">
        <v>0</v>
      </c>
      <c r="W1480">
        <v>0</v>
      </c>
      <c r="X1480">
        <v>1</v>
      </c>
      <c r="Y1480">
        <v>0</v>
      </c>
      <c r="Z1480">
        <v>0</v>
      </c>
      <c r="AB1480">
        <v>0</v>
      </c>
      <c r="AC1480">
        <v>9</v>
      </c>
      <c r="AD1480">
        <v>3</v>
      </c>
      <c r="AE1480">
        <v>0</v>
      </c>
      <c r="AF1480">
        <v>9</v>
      </c>
      <c r="AG1480" t="s">
        <v>158</v>
      </c>
      <c r="AH1480">
        <v>0</v>
      </c>
      <c r="AI1480">
        <v>3</v>
      </c>
      <c r="AJ1480">
        <v>1</v>
      </c>
      <c r="AK1480">
        <v>0</v>
      </c>
      <c r="AL1480" t="s">
        <v>2878</v>
      </c>
      <c r="AM1480">
        <v>46.811155999999997</v>
      </c>
      <c r="AN1480" t="s">
        <v>2879</v>
      </c>
      <c r="AO1480">
        <v>-122.765694</v>
      </c>
      <c r="AP1480">
        <v>100</v>
      </c>
      <c r="AQ1480">
        <v>2100</v>
      </c>
      <c r="AR1480" t="s">
        <v>118</v>
      </c>
      <c r="AS1480">
        <v>-76</v>
      </c>
      <c r="AT1480">
        <v>19</v>
      </c>
      <c r="AU1480">
        <v>-448</v>
      </c>
      <c r="BC1480">
        <v>1200</v>
      </c>
      <c r="BD1480">
        <v>1</v>
      </c>
      <c r="BE1480" t="str">
        <f t="shared" si="71"/>
        <v xml:space="preserve">N215T   </v>
      </c>
      <c r="BF1480">
        <v>1</v>
      </c>
      <c r="BH1480">
        <v>0</v>
      </c>
      <c r="BI1480">
        <v>0</v>
      </c>
      <c r="BJ1480">
        <v>0</v>
      </c>
      <c r="BK1480">
        <v>2475</v>
      </c>
      <c r="BL1480">
        <v>375</v>
      </c>
      <c r="BM1480" t="s">
        <v>119</v>
      </c>
      <c r="BN1480">
        <v>1</v>
      </c>
      <c r="BO1480">
        <v>1</v>
      </c>
      <c r="BP1480">
        <v>1</v>
      </c>
      <c r="BQ1480">
        <v>0</v>
      </c>
      <c r="BT1480">
        <v>0</v>
      </c>
      <c r="BU1480">
        <v>0</v>
      </c>
      <c r="BV1480">
        <v>0</v>
      </c>
      <c r="CC1480" t="str">
        <f>"18:59:27.125"</f>
        <v>18:59:27.125</v>
      </c>
      <c r="CD1480" t="str">
        <f>"122505331"</f>
        <v>122505331</v>
      </c>
      <c r="CQ1480">
        <v>0</v>
      </c>
      <c r="CR1480">
        <v>2</v>
      </c>
      <c r="CS1480">
        <v>0</v>
      </c>
      <c r="CT1480">
        <v>2</v>
      </c>
      <c r="CU1480">
        <v>0</v>
      </c>
      <c r="CV1480">
        <v>7</v>
      </c>
      <c r="CW1480" t="s">
        <v>120</v>
      </c>
      <c r="CX1480">
        <v>261</v>
      </c>
      <c r="CY1480">
        <v>2</v>
      </c>
      <c r="CZ1480" t="s">
        <v>121</v>
      </c>
      <c r="DA1480" t="s">
        <v>122</v>
      </c>
      <c r="DD1480">
        <v>15106292</v>
      </c>
      <c r="DE1480" t="s">
        <v>123</v>
      </c>
    </row>
    <row r="1481" spans="1:109" x14ac:dyDescent="0.3">
      <c r="A1481" t="str">
        <f>"18:59:28.398"</f>
        <v>18:59:28.398</v>
      </c>
      <c r="B1481" t="s">
        <v>110</v>
      </c>
      <c r="C1481" t="str">
        <f t="shared" si="69"/>
        <v>ffdfd3c0</v>
      </c>
      <c r="D1481" t="s">
        <v>111</v>
      </c>
      <c r="E1481">
        <v>18</v>
      </c>
      <c r="F1481">
        <v>1018</v>
      </c>
      <c r="G1481" t="s">
        <v>112</v>
      </c>
      <c r="J1481" t="s">
        <v>113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R1481" t="s">
        <v>114</v>
      </c>
      <c r="S1481" t="str">
        <f>"18:59:28.156"</f>
        <v>18:59:28.156</v>
      </c>
      <c r="T1481" t="str">
        <f>"18:59:28.055"</f>
        <v>18:59:28.055</v>
      </c>
      <c r="U1481" t="str">
        <f t="shared" si="70"/>
        <v>a1cdbe</v>
      </c>
      <c r="V1481">
        <v>0</v>
      </c>
      <c r="W1481">
        <v>0</v>
      </c>
      <c r="X1481">
        <v>1</v>
      </c>
      <c r="Y1481">
        <v>0</v>
      </c>
      <c r="Z1481">
        <v>0</v>
      </c>
      <c r="AB1481">
        <v>0</v>
      </c>
      <c r="AC1481">
        <v>9</v>
      </c>
      <c r="AD1481">
        <v>3</v>
      </c>
      <c r="AE1481">
        <v>0</v>
      </c>
      <c r="AF1481">
        <v>9</v>
      </c>
      <c r="AG1481" t="s">
        <v>158</v>
      </c>
      <c r="AH1481">
        <v>0</v>
      </c>
      <c r="AI1481">
        <v>3</v>
      </c>
      <c r="AJ1481">
        <v>1</v>
      </c>
      <c r="AK1481">
        <v>0</v>
      </c>
      <c r="AL1481" t="s">
        <v>2707</v>
      </c>
      <c r="AM1481">
        <v>46.811199000000002</v>
      </c>
      <c r="AN1481" t="s">
        <v>2880</v>
      </c>
      <c r="AO1481">
        <v>-122.76625199999999</v>
      </c>
      <c r="AP1481">
        <v>100</v>
      </c>
      <c r="AQ1481">
        <v>2100</v>
      </c>
      <c r="AR1481" t="s">
        <v>118</v>
      </c>
      <c r="AS1481">
        <v>-79</v>
      </c>
      <c r="AT1481">
        <v>16</v>
      </c>
      <c r="AU1481">
        <v>-512</v>
      </c>
      <c r="BC1481">
        <v>1200</v>
      </c>
      <c r="BD1481">
        <v>1</v>
      </c>
      <c r="BE1481" t="str">
        <f t="shared" si="71"/>
        <v xml:space="preserve">N215T   </v>
      </c>
      <c r="BF1481">
        <v>1</v>
      </c>
      <c r="BH1481">
        <v>0</v>
      </c>
      <c r="BI1481">
        <v>0</v>
      </c>
      <c r="BJ1481">
        <v>0</v>
      </c>
      <c r="BK1481">
        <v>2475</v>
      </c>
      <c r="BL1481">
        <v>375</v>
      </c>
      <c r="BM1481" t="s">
        <v>119</v>
      </c>
      <c r="BN1481">
        <v>1</v>
      </c>
      <c r="BO1481">
        <v>1</v>
      </c>
      <c r="BP1481">
        <v>1</v>
      </c>
      <c r="BQ1481">
        <v>0</v>
      </c>
      <c r="BT1481">
        <v>0</v>
      </c>
      <c r="BU1481">
        <v>0</v>
      </c>
      <c r="BV1481">
        <v>0</v>
      </c>
      <c r="CC1481" t="str">
        <f>"18:59:28.156"</f>
        <v>18:59:28.156</v>
      </c>
      <c r="CD1481" t="str">
        <f>"157403379"</f>
        <v>157403379</v>
      </c>
      <c r="CQ1481">
        <v>0</v>
      </c>
      <c r="CR1481">
        <v>2</v>
      </c>
      <c r="CS1481">
        <v>0</v>
      </c>
      <c r="CT1481">
        <v>2</v>
      </c>
      <c r="CU1481">
        <v>0</v>
      </c>
      <c r="CV1481">
        <v>7</v>
      </c>
      <c r="CW1481" t="s">
        <v>120</v>
      </c>
      <c r="CX1481">
        <v>261</v>
      </c>
      <c r="CY1481">
        <v>2</v>
      </c>
      <c r="CZ1481" t="s">
        <v>121</v>
      </c>
      <c r="DA1481" t="s">
        <v>122</v>
      </c>
      <c r="DD1481">
        <v>15106956</v>
      </c>
      <c r="DE1481" t="s">
        <v>123</v>
      </c>
    </row>
    <row r="1482" spans="1:109" x14ac:dyDescent="0.3">
      <c r="A1482" t="str">
        <f>"18:59:29.305"</f>
        <v>18:59:29.305</v>
      </c>
      <c r="B1482" t="s">
        <v>110</v>
      </c>
      <c r="C1482" t="str">
        <f t="shared" si="69"/>
        <v>ffdfd3c0</v>
      </c>
      <c r="D1482" t="s">
        <v>111</v>
      </c>
      <c r="E1482">
        <v>18</v>
      </c>
      <c r="F1482">
        <v>1018</v>
      </c>
      <c r="G1482" t="s">
        <v>112</v>
      </c>
      <c r="J1482" t="s">
        <v>113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R1482" t="s">
        <v>114</v>
      </c>
      <c r="S1482" t="str">
        <f>"18:59:29.102"</f>
        <v>18:59:29.102</v>
      </c>
      <c r="T1482" t="str">
        <f>"18:59:29.102"</f>
        <v>18:59:29.102</v>
      </c>
      <c r="U1482" t="str">
        <f t="shared" si="70"/>
        <v>a1cdbe</v>
      </c>
      <c r="V1482">
        <v>0</v>
      </c>
      <c r="W1482">
        <v>0</v>
      </c>
      <c r="X1482">
        <v>1</v>
      </c>
      <c r="Y1482">
        <v>0</v>
      </c>
      <c r="Z1482">
        <v>0</v>
      </c>
      <c r="AB1482">
        <v>0</v>
      </c>
      <c r="AC1482">
        <v>9</v>
      </c>
      <c r="AD1482">
        <v>3</v>
      </c>
      <c r="AE1482">
        <v>0</v>
      </c>
      <c r="AF1482">
        <v>9</v>
      </c>
      <c r="AG1482" t="s">
        <v>158</v>
      </c>
      <c r="AH1482">
        <v>0</v>
      </c>
      <c r="AI1482">
        <v>3</v>
      </c>
      <c r="AJ1482">
        <v>1</v>
      </c>
      <c r="AK1482">
        <v>0</v>
      </c>
      <c r="AL1482" t="s">
        <v>2881</v>
      </c>
      <c r="AM1482">
        <v>46.811306000000002</v>
      </c>
      <c r="AN1482" t="s">
        <v>2882</v>
      </c>
      <c r="AO1482">
        <v>-122.766724</v>
      </c>
      <c r="AP1482">
        <v>100</v>
      </c>
      <c r="AQ1482">
        <v>2100</v>
      </c>
      <c r="AR1482" t="s">
        <v>118</v>
      </c>
      <c r="AS1482">
        <v>-81</v>
      </c>
      <c r="AT1482">
        <v>14</v>
      </c>
      <c r="AU1482">
        <v>-512</v>
      </c>
      <c r="BC1482">
        <v>1200</v>
      </c>
      <c r="BD1482">
        <v>1</v>
      </c>
      <c r="BE1482" t="str">
        <f t="shared" si="71"/>
        <v xml:space="preserve">N215T   </v>
      </c>
      <c r="BF1482">
        <v>1</v>
      </c>
      <c r="BH1482">
        <v>0</v>
      </c>
      <c r="BI1482">
        <v>0</v>
      </c>
      <c r="BJ1482">
        <v>0</v>
      </c>
      <c r="BK1482">
        <v>2450</v>
      </c>
      <c r="BL1482">
        <v>350</v>
      </c>
      <c r="BM1482" t="s">
        <v>119</v>
      </c>
      <c r="BN1482">
        <v>1</v>
      </c>
      <c r="BO1482">
        <v>1</v>
      </c>
      <c r="BP1482">
        <v>1</v>
      </c>
      <c r="BQ1482">
        <v>0</v>
      </c>
      <c r="BT1482">
        <v>0</v>
      </c>
      <c r="BU1482">
        <v>0</v>
      </c>
      <c r="BV1482">
        <v>0</v>
      </c>
      <c r="CC1482" t="str">
        <f>"18:59:29.102"</f>
        <v>18:59:29.102</v>
      </c>
      <c r="CD1482" t="str">
        <f>"102310298"</f>
        <v>102310298</v>
      </c>
      <c r="CQ1482">
        <v>0</v>
      </c>
      <c r="CR1482">
        <v>2</v>
      </c>
      <c r="CS1482">
        <v>0</v>
      </c>
      <c r="CT1482">
        <v>2</v>
      </c>
      <c r="CU1482">
        <v>0</v>
      </c>
      <c r="CV1482">
        <v>7</v>
      </c>
      <c r="CW1482" t="s">
        <v>120</v>
      </c>
      <c r="CX1482">
        <v>261</v>
      </c>
      <c r="CY1482">
        <v>2</v>
      </c>
      <c r="CZ1482" t="s">
        <v>121</v>
      </c>
      <c r="DA1482" t="s">
        <v>122</v>
      </c>
      <c r="DD1482">
        <v>15107601</v>
      </c>
      <c r="DE1482" t="s">
        <v>123</v>
      </c>
    </row>
    <row r="1483" spans="1:109" x14ac:dyDescent="0.3">
      <c r="A1483" t="str">
        <f>"18:59:30.313"</f>
        <v>18:59:30.313</v>
      </c>
      <c r="B1483" t="s">
        <v>110</v>
      </c>
      <c r="C1483" t="str">
        <f t="shared" si="69"/>
        <v>ffdfd3c0</v>
      </c>
      <c r="D1483" t="s">
        <v>111</v>
      </c>
      <c r="E1483">
        <v>18</v>
      </c>
      <c r="F1483">
        <v>1018</v>
      </c>
      <c r="G1483" t="s">
        <v>112</v>
      </c>
      <c r="J1483" t="s">
        <v>113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R1483" t="s">
        <v>114</v>
      </c>
      <c r="S1483" t="str">
        <f>"18:59:30.086"</f>
        <v>18:59:30.086</v>
      </c>
      <c r="T1483" t="str">
        <f>"18:59:30.086"</f>
        <v>18:59:30.086</v>
      </c>
      <c r="U1483" t="str">
        <f t="shared" si="70"/>
        <v>a1cdbe</v>
      </c>
      <c r="V1483">
        <v>0</v>
      </c>
      <c r="W1483">
        <v>0</v>
      </c>
      <c r="X1483">
        <v>1</v>
      </c>
      <c r="Y1483">
        <v>0</v>
      </c>
      <c r="Z1483">
        <v>0</v>
      </c>
      <c r="AB1483">
        <v>0</v>
      </c>
      <c r="AC1483">
        <v>9</v>
      </c>
      <c r="AD1483">
        <v>3</v>
      </c>
      <c r="AE1483">
        <v>0</v>
      </c>
      <c r="AF1483">
        <v>9</v>
      </c>
      <c r="AG1483" t="s">
        <v>158</v>
      </c>
      <c r="AH1483">
        <v>0</v>
      </c>
      <c r="AI1483">
        <v>3</v>
      </c>
      <c r="AJ1483">
        <v>1</v>
      </c>
      <c r="AK1483">
        <v>0</v>
      </c>
      <c r="AL1483" t="s">
        <v>2883</v>
      </c>
      <c r="AM1483">
        <v>46.811371000000001</v>
      </c>
      <c r="AN1483" t="s">
        <v>2884</v>
      </c>
      <c r="AO1483">
        <v>-122.767324</v>
      </c>
      <c r="AP1483">
        <v>100</v>
      </c>
      <c r="AQ1483">
        <v>2100</v>
      </c>
      <c r="AR1483" t="s">
        <v>118</v>
      </c>
      <c r="AS1483">
        <v>-82</v>
      </c>
      <c r="AT1483">
        <v>13</v>
      </c>
      <c r="AU1483">
        <v>-512</v>
      </c>
      <c r="BC1483">
        <v>1200</v>
      </c>
      <c r="BD1483">
        <v>1</v>
      </c>
      <c r="BE1483" t="str">
        <f t="shared" si="71"/>
        <v xml:space="preserve">N215T   </v>
      </c>
      <c r="BF1483">
        <v>1</v>
      </c>
      <c r="BH1483">
        <v>0</v>
      </c>
      <c r="BI1483">
        <v>0</v>
      </c>
      <c r="BJ1483">
        <v>0</v>
      </c>
      <c r="BK1483">
        <v>2450</v>
      </c>
      <c r="BL1483">
        <v>350</v>
      </c>
      <c r="BM1483" t="s">
        <v>119</v>
      </c>
      <c r="BN1483">
        <v>1</v>
      </c>
      <c r="BO1483">
        <v>1</v>
      </c>
      <c r="BP1483">
        <v>1</v>
      </c>
      <c r="BQ1483">
        <v>0</v>
      </c>
      <c r="BT1483">
        <v>0</v>
      </c>
      <c r="BU1483">
        <v>0</v>
      </c>
      <c r="BV1483">
        <v>0</v>
      </c>
      <c r="CC1483" t="str">
        <f>"18:59:30.094"</f>
        <v>18:59:30.094</v>
      </c>
      <c r="CD1483" t="str">
        <f>"092212783"</f>
        <v>092212783</v>
      </c>
      <c r="CQ1483">
        <v>0</v>
      </c>
      <c r="CR1483">
        <v>2</v>
      </c>
      <c r="CS1483">
        <v>0</v>
      </c>
      <c r="CT1483">
        <v>2</v>
      </c>
      <c r="CU1483">
        <v>0</v>
      </c>
      <c r="CV1483">
        <v>7</v>
      </c>
      <c r="CW1483" t="s">
        <v>120</v>
      </c>
      <c r="CX1483">
        <v>261</v>
      </c>
      <c r="CY1483">
        <v>2</v>
      </c>
      <c r="CZ1483" t="s">
        <v>121</v>
      </c>
      <c r="DA1483" t="s">
        <v>122</v>
      </c>
      <c r="DD1483">
        <v>15108354</v>
      </c>
      <c r="DE1483" t="s">
        <v>123</v>
      </c>
    </row>
    <row r="1484" spans="1:109" x14ac:dyDescent="0.3">
      <c r="A1484" t="str">
        <f>"18:59:31.469"</f>
        <v>18:59:31.469</v>
      </c>
      <c r="B1484" t="s">
        <v>110</v>
      </c>
      <c r="C1484" t="str">
        <f t="shared" si="69"/>
        <v>ffdfd3c0</v>
      </c>
      <c r="D1484" t="s">
        <v>111</v>
      </c>
      <c r="E1484">
        <v>18</v>
      </c>
      <c r="F1484">
        <v>1018</v>
      </c>
      <c r="G1484" t="s">
        <v>112</v>
      </c>
      <c r="J1484" t="s">
        <v>113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R1484" t="s">
        <v>114</v>
      </c>
      <c r="S1484" t="str">
        <f>"18:59:31.227"</f>
        <v>18:59:31.227</v>
      </c>
      <c r="T1484" t="str">
        <f>"18:59:31.125"</f>
        <v>18:59:31.125</v>
      </c>
      <c r="U1484" t="str">
        <f t="shared" si="70"/>
        <v>a1cdbe</v>
      </c>
      <c r="V1484">
        <v>0</v>
      </c>
      <c r="W1484">
        <v>0</v>
      </c>
      <c r="X1484">
        <v>1</v>
      </c>
      <c r="Y1484">
        <v>0</v>
      </c>
      <c r="Z1484">
        <v>0</v>
      </c>
      <c r="AB1484">
        <v>0</v>
      </c>
      <c r="AC1484">
        <v>9</v>
      </c>
      <c r="AD1484">
        <v>3</v>
      </c>
      <c r="AE1484">
        <v>0</v>
      </c>
      <c r="AF1484">
        <v>9</v>
      </c>
      <c r="AG1484" t="s">
        <v>158</v>
      </c>
      <c r="AH1484">
        <v>0</v>
      </c>
      <c r="AI1484">
        <v>3</v>
      </c>
      <c r="AJ1484">
        <v>1</v>
      </c>
      <c r="AK1484">
        <v>0</v>
      </c>
      <c r="AL1484" t="s">
        <v>2885</v>
      </c>
      <c r="AM1484">
        <v>46.811413999999999</v>
      </c>
      <c r="AN1484" t="s">
        <v>2886</v>
      </c>
      <c r="AO1484">
        <v>-122.76792500000001</v>
      </c>
      <c r="AP1484">
        <v>100</v>
      </c>
      <c r="AQ1484">
        <v>2100</v>
      </c>
      <c r="AR1484" t="s">
        <v>118</v>
      </c>
      <c r="AS1484">
        <v>-83</v>
      </c>
      <c r="AT1484">
        <v>14</v>
      </c>
      <c r="AU1484">
        <v>-448</v>
      </c>
      <c r="BC1484">
        <v>1200</v>
      </c>
      <c r="BD1484">
        <v>1</v>
      </c>
      <c r="BE1484" t="str">
        <f t="shared" si="71"/>
        <v xml:space="preserve">N215T   </v>
      </c>
      <c r="BF1484">
        <v>1</v>
      </c>
      <c r="BH1484">
        <v>0</v>
      </c>
      <c r="BI1484">
        <v>0</v>
      </c>
      <c r="BJ1484">
        <v>0</v>
      </c>
      <c r="BK1484">
        <v>2450</v>
      </c>
      <c r="BL1484">
        <v>350</v>
      </c>
      <c r="BM1484" t="s">
        <v>119</v>
      </c>
      <c r="BN1484">
        <v>1</v>
      </c>
      <c r="BO1484">
        <v>1</v>
      </c>
      <c r="BP1484">
        <v>1</v>
      </c>
      <c r="BQ1484">
        <v>0</v>
      </c>
      <c r="BT1484">
        <v>0</v>
      </c>
      <c r="BU1484">
        <v>0</v>
      </c>
      <c r="BV1484">
        <v>0</v>
      </c>
      <c r="CC1484" t="str">
        <f>"18:59:31.234"</f>
        <v>18:59:31.234</v>
      </c>
      <c r="CD1484" t="str">
        <f>"232100491"</f>
        <v>232100491</v>
      </c>
      <c r="CQ1484">
        <v>0</v>
      </c>
      <c r="CR1484">
        <v>2</v>
      </c>
      <c r="CS1484">
        <v>0</v>
      </c>
      <c r="CT1484">
        <v>2</v>
      </c>
      <c r="CU1484">
        <v>0</v>
      </c>
      <c r="CV1484">
        <v>6</v>
      </c>
      <c r="CW1484" t="s">
        <v>120</v>
      </c>
      <c r="CX1484">
        <v>261</v>
      </c>
      <c r="CY1484">
        <v>2</v>
      </c>
      <c r="CZ1484" t="s">
        <v>121</v>
      </c>
      <c r="DA1484" t="s">
        <v>122</v>
      </c>
      <c r="DD1484">
        <v>15109117</v>
      </c>
      <c r="DE1484" t="s">
        <v>123</v>
      </c>
    </row>
    <row r="1485" spans="1:109" x14ac:dyDescent="0.3">
      <c r="A1485" t="str">
        <f>"18:59:32.523"</f>
        <v>18:59:32.523</v>
      </c>
      <c r="B1485" t="s">
        <v>110</v>
      </c>
      <c r="C1485" t="str">
        <f t="shared" si="69"/>
        <v>ffdfd3c0</v>
      </c>
      <c r="D1485" t="s">
        <v>111</v>
      </c>
      <c r="E1485">
        <v>18</v>
      </c>
      <c r="F1485">
        <v>1018</v>
      </c>
      <c r="G1485" t="s">
        <v>112</v>
      </c>
      <c r="J1485" t="s">
        <v>113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R1485" t="s">
        <v>114</v>
      </c>
      <c r="S1485" t="str">
        <f>"18:59:32.266"</f>
        <v>18:59:32.266</v>
      </c>
      <c r="T1485" t="str">
        <f>"18:59:32.164"</f>
        <v>18:59:32.164</v>
      </c>
      <c r="U1485" t="str">
        <f t="shared" si="70"/>
        <v>a1cdbe</v>
      </c>
      <c r="V1485">
        <v>0</v>
      </c>
      <c r="W1485">
        <v>0</v>
      </c>
      <c r="X1485">
        <v>1</v>
      </c>
      <c r="Y1485">
        <v>0</v>
      </c>
      <c r="Z1485">
        <v>0</v>
      </c>
      <c r="AB1485">
        <v>0</v>
      </c>
      <c r="AC1485">
        <v>9</v>
      </c>
      <c r="AD1485">
        <v>3</v>
      </c>
      <c r="AE1485">
        <v>0</v>
      </c>
      <c r="AF1485">
        <v>9</v>
      </c>
      <c r="AG1485" t="s">
        <v>158</v>
      </c>
      <c r="AH1485">
        <v>0</v>
      </c>
      <c r="AI1485">
        <v>3</v>
      </c>
      <c r="AJ1485">
        <v>1</v>
      </c>
      <c r="AK1485">
        <v>0</v>
      </c>
      <c r="AL1485" t="s">
        <v>2887</v>
      </c>
      <c r="AM1485">
        <v>46.811478000000001</v>
      </c>
      <c r="AN1485" t="s">
        <v>2888</v>
      </c>
      <c r="AO1485">
        <v>-122.768505</v>
      </c>
      <c r="AP1485">
        <v>100</v>
      </c>
      <c r="AQ1485">
        <v>2100</v>
      </c>
      <c r="AR1485" t="s">
        <v>118</v>
      </c>
      <c r="AS1485">
        <v>-83</v>
      </c>
      <c r="AT1485">
        <v>14</v>
      </c>
      <c r="AU1485">
        <v>-448</v>
      </c>
      <c r="BC1485">
        <v>1200</v>
      </c>
      <c r="BD1485">
        <v>1</v>
      </c>
      <c r="BE1485" t="str">
        <f t="shared" si="71"/>
        <v xml:space="preserve">N215T   </v>
      </c>
      <c r="BF1485">
        <v>1</v>
      </c>
      <c r="BH1485">
        <v>0</v>
      </c>
      <c r="BI1485">
        <v>0</v>
      </c>
      <c r="BJ1485">
        <v>0</v>
      </c>
      <c r="BK1485">
        <v>2325</v>
      </c>
      <c r="BL1485">
        <v>225</v>
      </c>
      <c r="BM1485" t="s">
        <v>119</v>
      </c>
      <c r="BN1485">
        <v>1</v>
      </c>
      <c r="BO1485">
        <v>1</v>
      </c>
      <c r="BP1485">
        <v>1</v>
      </c>
      <c r="BQ1485">
        <v>0</v>
      </c>
      <c r="BT1485">
        <v>0</v>
      </c>
      <c r="BU1485">
        <v>0</v>
      </c>
      <c r="BV1485">
        <v>0</v>
      </c>
      <c r="CC1485" t="str">
        <f>"18:59:32.266"</f>
        <v>18:59:32.266</v>
      </c>
      <c r="CD1485" t="str">
        <f>"266998541"</f>
        <v>266998541</v>
      </c>
      <c r="CQ1485">
        <v>0</v>
      </c>
      <c r="CR1485">
        <v>2</v>
      </c>
      <c r="CS1485">
        <v>0</v>
      </c>
      <c r="CT1485">
        <v>2</v>
      </c>
      <c r="CU1485">
        <v>0</v>
      </c>
      <c r="CV1485">
        <v>7</v>
      </c>
      <c r="CW1485" t="s">
        <v>120</v>
      </c>
      <c r="CX1485">
        <v>261</v>
      </c>
      <c r="CY1485">
        <v>2</v>
      </c>
      <c r="CZ1485" t="s">
        <v>121</v>
      </c>
      <c r="DA1485" t="s">
        <v>122</v>
      </c>
      <c r="DD1485">
        <v>15109813</v>
      </c>
      <c r="DE1485" t="s">
        <v>123</v>
      </c>
    </row>
    <row r="1486" spans="1:109" x14ac:dyDescent="0.3">
      <c r="A1486" t="str">
        <f>"18:59:33.633"</f>
        <v>18:59:33.633</v>
      </c>
      <c r="B1486" t="s">
        <v>110</v>
      </c>
      <c r="C1486" t="str">
        <f t="shared" si="69"/>
        <v>ffdfd3c0</v>
      </c>
      <c r="D1486" t="s">
        <v>111</v>
      </c>
      <c r="E1486">
        <v>18</v>
      </c>
      <c r="F1486">
        <v>1018</v>
      </c>
      <c r="G1486" t="s">
        <v>112</v>
      </c>
      <c r="J1486" t="s">
        <v>113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R1486" t="s">
        <v>114</v>
      </c>
      <c r="S1486" t="str">
        <f>"18:59:33.391"</f>
        <v>18:59:33.391</v>
      </c>
      <c r="T1486" t="str">
        <f>"18:59:33.188"</f>
        <v>18:59:33.188</v>
      </c>
      <c r="U1486" t="str">
        <f t="shared" si="70"/>
        <v>a1cdbe</v>
      </c>
      <c r="V1486">
        <v>0</v>
      </c>
      <c r="W1486">
        <v>0</v>
      </c>
      <c r="X1486">
        <v>1</v>
      </c>
      <c r="Y1486">
        <v>0</v>
      </c>
      <c r="Z1486">
        <v>0</v>
      </c>
      <c r="AB1486">
        <v>0</v>
      </c>
      <c r="AC1486">
        <v>9</v>
      </c>
      <c r="AD1486">
        <v>3</v>
      </c>
      <c r="AE1486">
        <v>0</v>
      </c>
      <c r="AF1486">
        <v>9</v>
      </c>
      <c r="AG1486" t="s">
        <v>158</v>
      </c>
      <c r="AH1486">
        <v>0</v>
      </c>
      <c r="AI1486">
        <v>3</v>
      </c>
      <c r="AJ1486">
        <v>1</v>
      </c>
      <c r="AK1486">
        <v>0</v>
      </c>
      <c r="AL1486" t="s">
        <v>2701</v>
      </c>
      <c r="AM1486">
        <v>46.811585000000001</v>
      </c>
      <c r="AN1486" t="s">
        <v>2889</v>
      </c>
      <c r="AO1486">
        <v>-122.769127</v>
      </c>
      <c r="AP1486">
        <v>100</v>
      </c>
      <c r="AQ1486">
        <v>2000</v>
      </c>
      <c r="AR1486" t="s">
        <v>118</v>
      </c>
      <c r="AS1486">
        <v>-83</v>
      </c>
      <c r="AT1486">
        <v>16</v>
      </c>
      <c r="AU1486">
        <v>-448</v>
      </c>
      <c r="BC1486">
        <v>1200</v>
      </c>
      <c r="BD1486">
        <v>1</v>
      </c>
      <c r="BE1486" t="str">
        <f t="shared" si="71"/>
        <v xml:space="preserve">N215T   </v>
      </c>
      <c r="BF1486">
        <v>1</v>
      </c>
      <c r="BH1486">
        <v>0</v>
      </c>
      <c r="BI1486">
        <v>0</v>
      </c>
      <c r="BJ1486">
        <v>0</v>
      </c>
      <c r="BK1486">
        <v>2425</v>
      </c>
      <c r="BL1486">
        <v>425</v>
      </c>
      <c r="BM1486" t="s">
        <v>119</v>
      </c>
      <c r="BN1486">
        <v>1</v>
      </c>
      <c r="BO1486">
        <v>1</v>
      </c>
      <c r="BP1486">
        <v>1</v>
      </c>
      <c r="BQ1486">
        <v>0</v>
      </c>
      <c r="BT1486">
        <v>0</v>
      </c>
      <c r="BU1486">
        <v>0</v>
      </c>
      <c r="BV1486">
        <v>0</v>
      </c>
      <c r="CC1486" t="str">
        <f>"18:59:33.391"</f>
        <v>18:59:33.391</v>
      </c>
      <c r="CD1486" t="str">
        <f>"391887714"</f>
        <v>391887714</v>
      </c>
      <c r="CQ1486">
        <v>0</v>
      </c>
      <c r="CR1486">
        <v>2</v>
      </c>
      <c r="CS1486">
        <v>0</v>
      </c>
      <c r="CT1486">
        <v>2</v>
      </c>
      <c r="CU1486">
        <v>0</v>
      </c>
      <c r="CV1486">
        <v>7</v>
      </c>
      <c r="CW1486" t="s">
        <v>120</v>
      </c>
      <c r="CX1486">
        <v>261</v>
      </c>
      <c r="CY1486">
        <v>2</v>
      </c>
      <c r="CZ1486" t="s">
        <v>121</v>
      </c>
      <c r="DA1486" t="s">
        <v>122</v>
      </c>
      <c r="DD1486">
        <v>15110574</v>
      </c>
      <c r="DE1486" t="s">
        <v>123</v>
      </c>
    </row>
    <row r="1487" spans="1:109" x14ac:dyDescent="0.3">
      <c r="A1487" t="str">
        <f>"18:59:34.531"</f>
        <v>18:59:34.531</v>
      </c>
      <c r="B1487" t="s">
        <v>110</v>
      </c>
      <c r="C1487" t="str">
        <f t="shared" si="69"/>
        <v>ffdfd3c0</v>
      </c>
      <c r="D1487" t="s">
        <v>111</v>
      </c>
      <c r="E1487">
        <v>18</v>
      </c>
      <c r="F1487">
        <v>1018</v>
      </c>
      <c r="G1487" t="s">
        <v>112</v>
      </c>
      <c r="J1487" t="s">
        <v>113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R1487" t="s">
        <v>114</v>
      </c>
      <c r="S1487" t="str">
        <f>"18:59:34.289"</f>
        <v>18:59:34.289</v>
      </c>
      <c r="T1487" t="str">
        <f>"18:59:34.086"</f>
        <v>18:59:34.086</v>
      </c>
      <c r="U1487" t="str">
        <f t="shared" si="70"/>
        <v>a1cdbe</v>
      </c>
      <c r="V1487">
        <v>0</v>
      </c>
      <c r="W1487">
        <v>0</v>
      </c>
      <c r="X1487">
        <v>1</v>
      </c>
      <c r="Y1487">
        <v>0</v>
      </c>
      <c r="Z1487">
        <v>0</v>
      </c>
      <c r="AB1487">
        <v>0</v>
      </c>
      <c r="AC1487">
        <v>9</v>
      </c>
      <c r="AD1487">
        <v>3</v>
      </c>
      <c r="AE1487">
        <v>0</v>
      </c>
      <c r="AF1487">
        <v>9</v>
      </c>
      <c r="AG1487" t="s">
        <v>158</v>
      </c>
      <c r="AH1487">
        <v>0</v>
      </c>
      <c r="AI1487">
        <v>3</v>
      </c>
      <c r="AJ1487">
        <v>1</v>
      </c>
      <c r="AK1487">
        <v>0</v>
      </c>
      <c r="AL1487" t="s">
        <v>2890</v>
      </c>
      <c r="AM1487">
        <v>46.811627999999999</v>
      </c>
      <c r="AN1487" t="s">
        <v>2891</v>
      </c>
      <c r="AO1487">
        <v>-122.769685</v>
      </c>
      <c r="AP1487">
        <v>100</v>
      </c>
      <c r="AQ1487">
        <v>2000</v>
      </c>
      <c r="AR1487" t="s">
        <v>118</v>
      </c>
      <c r="AS1487">
        <v>-83</v>
      </c>
      <c r="AT1487">
        <v>19</v>
      </c>
      <c r="AU1487">
        <v>-320</v>
      </c>
      <c r="BC1487">
        <v>1200</v>
      </c>
      <c r="BD1487">
        <v>1</v>
      </c>
      <c r="BE1487" t="str">
        <f t="shared" si="71"/>
        <v xml:space="preserve">N215T   </v>
      </c>
      <c r="BF1487">
        <v>1</v>
      </c>
      <c r="BH1487">
        <v>0</v>
      </c>
      <c r="BI1487">
        <v>0</v>
      </c>
      <c r="BJ1487">
        <v>0</v>
      </c>
      <c r="BK1487">
        <v>2425</v>
      </c>
      <c r="BL1487">
        <v>425</v>
      </c>
      <c r="BM1487" t="s">
        <v>119</v>
      </c>
      <c r="BN1487">
        <v>1</v>
      </c>
      <c r="BO1487">
        <v>1</v>
      </c>
      <c r="BP1487">
        <v>1</v>
      </c>
      <c r="BQ1487">
        <v>0</v>
      </c>
      <c r="BT1487">
        <v>0</v>
      </c>
      <c r="BU1487">
        <v>0</v>
      </c>
      <c r="BV1487">
        <v>0</v>
      </c>
      <c r="CC1487" t="str">
        <f>"18:59:34.289"</f>
        <v>18:59:34.289</v>
      </c>
      <c r="CD1487" t="str">
        <f>"291799065"</f>
        <v>291799065</v>
      </c>
      <c r="CQ1487">
        <v>0</v>
      </c>
      <c r="CR1487">
        <v>2</v>
      </c>
      <c r="CS1487">
        <v>0</v>
      </c>
      <c r="CT1487">
        <v>2</v>
      </c>
      <c r="CU1487">
        <v>0</v>
      </c>
      <c r="CV1487">
        <v>7</v>
      </c>
      <c r="CW1487" t="s">
        <v>120</v>
      </c>
      <c r="CX1487">
        <v>261</v>
      </c>
      <c r="CY1487">
        <v>2</v>
      </c>
      <c r="CZ1487" t="s">
        <v>121</v>
      </c>
      <c r="DA1487" t="s">
        <v>122</v>
      </c>
      <c r="DD1487">
        <v>15111189</v>
      </c>
      <c r="DE1487" t="s">
        <v>123</v>
      </c>
    </row>
    <row r="1488" spans="1:109" x14ac:dyDescent="0.3">
      <c r="A1488" t="str">
        <f>"18:59:35.438"</f>
        <v>18:59:35.438</v>
      </c>
      <c r="B1488" t="s">
        <v>110</v>
      </c>
      <c r="C1488" t="str">
        <f t="shared" si="69"/>
        <v>ffdfd3c0</v>
      </c>
      <c r="D1488" t="s">
        <v>111</v>
      </c>
      <c r="E1488">
        <v>18</v>
      </c>
      <c r="F1488">
        <v>1018</v>
      </c>
      <c r="G1488" t="s">
        <v>112</v>
      </c>
      <c r="J1488" t="s">
        <v>113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R1488" t="s">
        <v>114</v>
      </c>
      <c r="S1488" t="str">
        <f>"18:59:35.188"</f>
        <v>18:59:35.188</v>
      </c>
      <c r="T1488" t="str">
        <f>"18:59:35.086"</f>
        <v>18:59:35.086</v>
      </c>
      <c r="U1488" t="str">
        <f t="shared" si="70"/>
        <v>a1cdbe</v>
      </c>
      <c r="V1488">
        <v>0</v>
      </c>
      <c r="W1488">
        <v>0</v>
      </c>
      <c r="X1488">
        <v>1</v>
      </c>
      <c r="Y1488">
        <v>0</v>
      </c>
      <c r="Z1488">
        <v>0</v>
      </c>
      <c r="AB1488">
        <v>0</v>
      </c>
      <c r="AC1488">
        <v>9</v>
      </c>
      <c r="AD1488">
        <v>3</v>
      </c>
      <c r="AE1488">
        <v>0</v>
      </c>
      <c r="AF1488">
        <v>9</v>
      </c>
      <c r="AG1488" t="s">
        <v>158</v>
      </c>
      <c r="AH1488">
        <v>0</v>
      </c>
      <c r="AI1488">
        <v>3</v>
      </c>
      <c r="AJ1488">
        <v>1</v>
      </c>
      <c r="AK1488">
        <v>0</v>
      </c>
      <c r="AL1488" t="s">
        <v>2892</v>
      </c>
      <c r="AM1488">
        <v>46.811736000000003</v>
      </c>
      <c r="AN1488" t="s">
        <v>2893</v>
      </c>
      <c r="AO1488">
        <v>-122.7702</v>
      </c>
      <c r="AP1488">
        <v>100</v>
      </c>
      <c r="AQ1488">
        <v>2000</v>
      </c>
      <c r="AR1488" t="s">
        <v>118</v>
      </c>
      <c r="AS1488">
        <v>-82</v>
      </c>
      <c r="AT1488">
        <v>20</v>
      </c>
      <c r="AU1488">
        <v>-192</v>
      </c>
      <c r="BC1488">
        <v>1200</v>
      </c>
      <c r="BD1488">
        <v>1</v>
      </c>
      <c r="BE1488" t="str">
        <f t="shared" si="71"/>
        <v xml:space="preserve">N215T   </v>
      </c>
      <c r="BF1488">
        <v>1</v>
      </c>
      <c r="BH1488">
        <v>0</v>
      </c>
      <c r="BI1488">
        <v>0</v>
      </c>
      <c r="BJ1488">
        <v>0</v>
      </c>
      <c r="BK1488">
        <v>2425</v>
      </c>
      <c r="BL1488">
        <v>425</v>
      </c>
      <c r="BM1488" t="s">
        <v>119</v>
      </c>
      <c r="BN1488">
        <v>1</v>
      </c>
      <c r="BO1488">
        <v>1</v>
      </c>
      <c r="BP1488">
        <v>1</v>
      </c>
      <c r="BQ1488">
        <v>0</v>
      </c>
      <c r="BT1488">
        <v>0</v>
      </c>
      <c r="BU1488">
        <v>0</v>
      </c>
      <c r="BV1488">
        <v>0</v>
      </c>
      <c r="CC1488" t="str">
        <f>"18:59:35.195"</f>
        <v>18:59:35.195</v>
      </c>
      <c r="CD1488" t="str">
        <f>"191710398"</f>
        <v>191710398</v>
      </c>
      <c r="CQ1488">
        <v>0</v>
      </c>
      <c r="CR1488">
        <v>2</v>
      </c>
      <c r="CS1488">
        <v>0</v>
      </c>
      <c r="CT1488">
        <v>2</v>
      </c>
      <c r="CU1488">
        <v>0</v>
      </c>
      <c r="CV1488">
        <v>7</v>
      </c>
      <c r="CW1488" t="s">
        <v>120</v>
      </c>
      <c r="CX1488">
        <v>261</v>
      </c>
      <c r="CY1488">
        <v>2</v>
      </c>
      <c r="CZ1488" t="s">
        <v>121</v>
      </c>
      <c r="DA1488" t="s">
        <v>122</v>
      </c>
      <c r="DD1488">
        <v>15111860</v>
      </c>
      <c r="DE1488" t="s">
        <v>123</v>
      </c>
    </row>
    <row r="1489" spans="1:109" x14ac:dyDescent="0.3">
      <c r="A1489" t="str">
        <f>"18:59:36.445"</f>
        <v>18:59:36.445</v>
      </c>
      <c r="B1489" t="s">
        <v>110</v>
      </c>
      <c r="C1489" t="str">
        <f t="shared" si="69"/>
        <v>ffdfd3c0</v>
      </c>
      <c r="D1489" t="s">
        <v>111</v>
      </c>
      <c r="E1489">
        <v>18</v>
      </c>
      <c r="F1489">
        <v>1018</v>
      </c>
      <c r="G1489" t="s">
        <v>112</v>
      </c>
      <c r="J1489" t="s">
        <v>113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R1489" t="s">
        <v>114</v>
      </c>
      <c r="S1489" t="str">
        <f>"18:59:36.211"</f>
        <v>18:59:36.211</v>
      </c>
      <c r="T1489" t="str">
        <f>"18:59:36.109"</f>
        <v>18:59:36.109</v>
      </c>
      <c r="U1489" t="str">
        <f t="shared" si="70"/>
        <v>a1cdbe</v>
      </c>
      <c r="V1489">
        <v>0</v>
      </c>
      <c r="W1489">
        <v>0</v>
      </c>
      <c r="X1489">
        <v>1</v>
      </c>
      <c r="Y1489">
        <v>0</v>
      </c>
      <c r="Z1489">
        <v>0</v>
      </c>
      <c r="AB1489">
        <v>0</v>
      </c>
      <c r="AC1489">
        <v>9</v>
      </c>
      <c r="AD1489">
        <v>3</v>
      </c>
      <c r="AE1489">
        <v>0</v>
      </c>
      <c r="AF1489">
        <v>9</v>
      </c>
      <c r="AG1489" t="s">
        <v>158</v>
      </c>
      <c r="AH1489">
        <v>0</v>
      </c>
      <c r="AI1489">
        <v>3</v>
      </c>
      <c r="AJ1489">
        <v>1</v>
      </c>
      <c r="AK1489">
        <v>0</v>
      </c>
      <c r="AL1489" t="s">
        <v>2894</v>
      </c>
      <c r="AM1489">
        <v>46.811821000000002</v>
      </c>
      <c r="AN1489" t="s">
        <v>2895</v>
      </c>
      <c r="AO1489">
        <v>-122.770715</v>
      </c>
      <c r="AP1489">
        <v>100</v>
      </c>
      <c r="AQ1489">
        <v>2000</v>
      </c>
      <c r="AR1489" t="s">
        <v>118</v>
      </c>
      <c r="AS1489">
        <v>-81</v>
      </c>
      <c r="AT1489">
        <v>21</v>
      </c>
      <c r="AU1489">
        <v>-128</v>
      </c>
      <c r="BC1489">
        <v>1200</v>
      </c>
      <c r="BD1489">
        <v>1</v>
      </c>
      <c r="BE1489" t="str">
        <f t="shared" si="71"/>
        <v xml:space="preserve">N215T   </v>
      </c>
      <c r="BF1489">
        <v>1</v>
      </c>
      <c r="BH1489">
        <v>0</v>
      </c>
      <c r="BI1489">
        <v>0</v>
      </c>
      <c r="BJ1489">
        <v>0</v>
      </c>
      <c r="BK1489">
        <v>2425</v>
      </c>
      <c r="BL1489">
        <v>425</v>
      </c>
      <c r="BM1489" t="s">
        <v>119</v>
      </c>
      <c r="BN1489">
        <v>1</v>
      </c>
      <c r="BO1489">
        <v>1</v>
      </c>
      <c r="BP1489">
        <v>1</v>
      </c>
      <c r="BQ1489">
        <v>0</v>
      </c>
      <c r="BT1489">
        <v>0</v>
      </c>
      <c r="BU1489">
        <v>0</v>
      </c>
      <c r="BV1489">
        <v>0</v>
      </c>
      <c r="CC1489" t="str">
        <f>"18:59:36.211"</f>
        <v>18:59:36.211</v>
      </c>
      <c r="CD1489" t="str">
        <f>"211658226"</f>
        <v>211658226</v>
      </c>
      <c r="CQ1489">
        <v>0</v>
      </c>
      <c r="CR1489">
        <v>2</v>
      </c>
      <c r="CS1489">
        <v>0</v>
      </c>
      <c r="CT1489">
        <v>2</v>
      </c>
      <c r="CU1489">
        <v>0</v>
      </c>
      <c r="CV1489">
        <v>7</v>
      </c>
      <c r="CW1489" t="s">
        <v>120</v>
      </c>
      <c r="CX1489">
        <v>257</v>
      </c>
      <c r="CY1489">
        <v>1</v>
      </c>
      <c r="CZ1489" t="s">
        <v>615</v>
      </c>
      <c r="DA1489" t="s">
        <v>616</v>
      </c>
      <c r="DD1489">
        <v>11483746</v>
      </c>
      <c r="DE1489" t="s">
        <v>123</v>
      </c>
    </row>
    <row r="1490" spans="1:109" x14ac:dyDescent="0.3">
      <c r="A1490" t="str">
        <f>"18:59:37.352"</f>
        <v>18:59:37.352</v>
      </c>
      <c r="B1490" t="s">
        <v>110</v>
      </c>
      <c r="C1490" t="str">
        <f t="shared" si="69"/>
        <v>ffdfd3c0</v>
      </c>
      <c r="D1490" t="s">
        <v>111</v>
      </c>
      <c r="E1490">
        <v>18</v>
      </c>
      <c r="F1490">
        <v>1018</v>
      </c>
      <c r="G1490" t="s">
        <v>112</v>
      </c>
      <c r="J1490" t="s">
        <v>113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R1490" t="s">
        <v>114</v>
      </c>
      <c r="S1490" t="str">
        <f>"18:59:37.141"</f>
        <v>18:59:37.141</v>
      </c>
      <c r="T1490" t="str">
        <f>"18:59:37.039"</f>
        <v>18:59:37.039</v>
      </c>
      <c r="U1490" t="str">
        <f t="shared" si="70"/>
        <v>a1cdbe</v>
      </c>
      <c r="V1490">
        <v>0</v>
      </c>
      <c r="W1490">
        <v>0</v>
      </c>
      <c r="X1490">
        <v>1</v>
      </c>
      <c r="Y1490">
        <v>0</v>
      </c>
      <c r="Z1490">
        <v>0</v>
      </c>
      <c r="AB1490">
        <v>0</v>
      </c>
      <c r="AC1490">
        <v>9</v>
      </c>
      <c r="AD1490">
        <v>3</v>
      </c>
      <c r="AE1490">
        <v>0</v>
      </c>
      <c r="AF1490">
        <v>9</v>
      </c>
      <c r="AG1490" t="s">
        <v>158</v>
      </c>
      <c r="AH1490">
        <v>0</v>
      </c>
      <c r="AI1490">
        <v>3</v>
      </c>
      <c r="AJ1490">
        <v>1</v>
      </c>
      <c r="AK1490">
        <v>0</v>
      </c>
      <c r="AL1490" t="s">
        <v>2896</v>
      </c>
      <c r="AM1490">
        <v>46.811906999999998</v>
      </c>
      <c r="AN1490" t="s">
        <v>2897</v>
      </c>
      <c r="AO1490">
        <v>-122.77125100000001</v>
      </c>
      <c r="AP1490">
        <v>100</v>
      </c>
      <c r="AQ1490">
        <v>2000</v>
      </c>
      <c r="AR1490" t="s">
        <v>118</v>
      </c>
      <c r="AS1490">
        <v>-80</v>
      </c>
      <c r="AT1490">
        <v>22</v>
      </c>
      <c r="AU1490">
        <v>64</v>
      </c>
      <c r="BC1490">
        <v>1200</v>
      </c>
      <c r="BD1490">
        <v>1</v>
      </c>
      <c r="BE1490" t="str">
        <f t="shared" si="71"/>
        <v xml:space="preserve">N215T   </v>
      </c>
      <c r="BF1490">
        <v>1</v>
      </c>
      <c r="BH1490">
        <v>0</v>
      </c>
      <c r="BI1490">
        <v>0</v>
      </c>
      <c r="BJ1490">
        <v>0</v>
      </c>
      <c r="BK1490">
        <v>2425</v>
      </c>
      <c r="BL1490">
        <v>425</v>
      </c>
      <c r="BM1490" t="s">
        <v>119</v>
      </c>
      <c r="BN1490">
        <v>1</v>
      </c>
      <c r="BO1490">
        <v>1</v>
      </c>
      <c r="BP1490">
        <v>1</v>
      </c>
      <c r="BQ1490">
        <v>0</v>
      </c>
      <c r="BT1490">
        <v>0</v>
      </c>
      <c r="BU1490">
        <v>0</v>
      </c>
      <c r="BV1490">
        <v>0</v>
      </c>
      <c r="CC1490" t="str">
        <f>"18:59:37.141"</f>
        <v>18:59:37.141</v>
      </c>
      <c r="CD1490" t="str">
        <f>"141566547"</f>
        <v>141566547</v>
      </c>
      <c r="CQ1490">
        <v>0</v>
      </c>
      <c r="CR1490">
        <v>2</v>
      </c>
      <c r="CS1490">
        <v>0</v>
      </c>
      <c r="CT1490">
        <v>2</v>
      </c>
      <c r="CU1490">
        <v>0</v>
      </c>
      <c r="CV1490">
        <v>7</v>
      </c>
      <c r="CW1490" t="s">
        <v>120</v>
      </c>
      <c r="CX1490">
        <v>257</v>
      </c>
      <c r="CY1490">
        <v>1</v>
      </c>
      <c r="CZ1490" t="s">
        <v>615</v>
      </c>
      <c r="DA1490" t="s">
        <v>616</v>
      </c>
      <c r="DD1490">
        <v>11484421</v>
      </c>
      <c r="DE1490" t="s">
        <v>123</v>
      </c>
    </row>
    <row r="1491" spans="1:109" x14ac:dyDescent="0.3">
      <c r="A1491" t="str">
        <f>"18:59:38.258"</f>
        <v>18:59:38.258</v>
      </c>
      <c r="B1491" t="s">
        <v>110</v>
      </c>
      <c r="C1491" t="str">
        <f t="shared" si="69"/>
        <v>ffdfd3c0</v>
      </c>
      <c r="D1491" t="s">
        <v>111</v>
      </c>
      <c r="E1491">
        <v>18</v>
      </c>
      <c r="F1491">
        <v>1018</v>
      </c>
      <c r="G1491" t="s">
        <v>112</v>
      </c>
      <c r="J1491" t="s">
        <v>113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R1491" t="s">
        <v>114</v>
      </c>
      <c r="S1491" t="str">
        <f>"18:59:38.008"</f>
        <v>18:59:38.008</v>
      </c>
      <c r="T1491" t="str">
        <f>"18:59:38.008"</f>
        <v>18:59:38.008</v>
      </c>
      <c r="U1491" t="str">
        <f t="shared" si="70"/>
        <v>a1cdbe</v>
      </c>
      <c r="V1491">
        <v>0</v>
      </c>
      <c r="W1491">
        <v>0</v>
      </c>
      <c r="X1491">
        <v>1</v>
      </c>
      <c r="Y1491">
        <v>0</v>
      </c>
      <c r="Z1491">
        <v>0</v>
      </c>
      <c r="AB1491">
        <v>0</v>
      </c>
      <c r="AC1491">
        <v>9</v>
      </c>
      <c r="AD1491">
        <v>3</v>
      </c>
      <c r="AE1491">
        <v>0</v>
      </c>
      <c r="AF1491">
        <v>9</v>
      </c>
      <c r="AG1491" t="s">
        <v>158</v>
      </c>
      <c r="AH1491">
        <v>0</v>
      </c>
      <c r="AI1491">
        <v>3</v>
      </c>
      <c r="AJ1491">
        <v>1</v>
      </c>
      <c r="AK1491">
        <v>0</v>
      </c>
      <c r="AL1491" t="s">
        <v>2898</v>
      </c>
      <c r="AM1491">
        <v>46.812015000000002</v>
      </c>
      <c r="AN1491" t="s">
        <v>2899</v>
      </c>
      <c r="AO1491">
        <v>-122.77168</v>
      </c>
      <c r="AP1491">
        <v>100</v>
      </c>
      <c r="AQ1491">
        <v>2000</v>
      </c>
      <c r="AR1491" t="s">
        <v>118</v>
      </c>
      <c r="AS1491">
        <v>-79</v>
      </c>
      <c r="AT1491">
        <v>23</v>
      </c>
      <c r="AU1491">
        <v>192</v>
      </c>
      <c r="BC1491">
        <v>1200</v>
      </c>
      <c r="BD1491">
        <v>1</v>
      </c>
      <c r="BE1491" t="str">
        <f t="shared" si="71"/>
        <v xml:space="preserve">N215T   </v>
      </c>
      <c r="BF1491">
        <v>1</v>
      </c>
      <c r="BH1491">
        <v>0</v>
      </c>
      <c r="BI1491">
        <v>0</v>
      </c>
      <c r="BJ1491">
        <v>0</v>
      </c>
      <c r="BK1491">
        <v>2425</v>
      </c>
      <c r="BL1491">
        <v>425</v>
      </c>
      <c r="BM1491" t="s">
        <v>119</v>
      </c>
      <c r="BN1491">
        <v>1</v>
      </c>
      <c r="BO1491">
        <v>1</v>
      </c>
      <c r="BP1491">
        <v>1</v>
      </c>
      <c r="BQ1491">
        <v>0</v>
      </c>
      <c r="BT1491">
        <v>0</v>
      </c>
      <c r="BU1491">
        <v>0</v>
      </c>
      <c r="BV1491">
        <v>0</v>
      </c>
      <c r="CC1491" t="str">
        <f>"18:59:38.008"</f>
        <v>18:59:38.008</v>
      </c>
      <c r="CD1491" t="str">
        <f>"011480787"</f>
        <v>011480787</v>
      </c>
      <c r="CQ1491">
        <v>0</v>
      </c>
      <c r="CR1491">
        <v>2</v>
      </c>
      <c r="CS1491">
        <v>0</v>
      </c>
      <c r="CT1491">
        <v>2</v>
      </c>
      <c r="CU1491">
        <v>0</v>
      </c>
      <c r="CV1491">
        <v>7</v>
      </c>
      <c r="CW1491" t="s">
        <v>120</v>
      </c>
      <c r="CX1491">
        <v>257</v>
      </c>
      <c r="CY1491">
        <v>1</v>
      </c>
      <c r="CZ1491" t="s">
        <v>615</v>
      </c>
      <c r="DA1491" t="s">
        <v>616</v>
      </c>
      <c r="DD1491">
        <v>11485062</v>
      </c>
      <c r="DE1491" t="s">
        <v>123</v>
      </c>
    </row>
    <row r="1492" spans="1:109" x14ac:dyDescent="0.3">
      <c r="A1492" t="str">
        <f>"18:59:39.313"</f>
        <v>18:59:39.313</v>
      </c>
      <c r="B1492" t="s">
        <v>110</v>
      </c>
      <c r="C1492" t="str">
        <f t="shared" si="69"/>
        <v>ffdfd3c0</v>
      </c>
      <c r="D1492" t="s">
        <v>111</v>
      </c>
      <c r="E1492">
        <v>18</v>
      </c>
      <c r="F1492">
        <v>1018</v>
      </c>
      <c r="G1492" t="s">
        <v>112</v>
      </c>
      <c r="J1492" t="s">
        <v>113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R1492" t="s">
        <v>114</v>
      </c>
      <c r="S1492" t="str">
        <f>"18:59:39.055"</f>
        <v>18:59:39.055</v>
      </c>
      <c r="T1492" t="str">
        <f>"18:59:38.953"</f>
        <v>18:59:38.953</v>
      </c>
      <c r="U1492" t="str">
        <f t="shared" si="70"/>
        <v>a1cdbe</v>
      </c>
      <c r="V1492">
        <v>0</v>
      </c>
      <c r="W1492">
        <v>0</v>
      </c>
      <c r="X1492">
        <v>1</v>
      </c>
      <c r="Y1492">
        <v>0</v>
      </c>
      <c r="Z1492">
        <v>0</v>
      </c>
      <c r="AB1492">
        <v>0</v>
      </c>
      <c r="AC1492">
        <v>9</v>
      </c>
      <c r="AD1492">
        <v>3</v>
      </c>
      <c r="AE1492">
        <v>0</v>
      </c>
      <c r="AF1492">
        <v>9</v>
      </c>
      <c r="AG1492" t="s">
        <v>158</v>
      </c>
      <c r="AH1492">
        <v>0</v>
      </c>
      <c r="AI1492">
        <v>3</v>
      </c>
      <c r="AJ1492">
        <v>1</v>
      </c>
      <c r="AK1492">
        <v>0</v>
      </c>
      <c r="AL1492" t="s">
        <v>2900</v>
      </c>
      <c r="AM1492">
        <v>46.812142999999999</v>
      </c>
      <c r="AN1492" t="s">
        <v>2901</v>
      </c>
      <c r="AO1492">
        <v>-122.772217</v>
      </c>
      <c r="AP1492">
        <v>100</v>
      </c>
      <c r="AQ1492">
        <v>2000</v>
      </c>
      <c r="AR1492" t="s">
        <v>118</v>
      </c>
      <c r="AS1492">
        <v>-78</v>
      </c>
      <c r="AT1492">
        <v>24</v>
      </c>
      <c r="AU1492">
        <v>256</v>
      </c>
      <c r="BC1492">
        <v>1200</v>
      </c>
      <c r="BD1492">
        <v>1</v>
      </c>
      <c r="BE1492" t="str">
        <f t="shared" si="71"/>
        <v xml:space="preserve">N215T   </v>
      </c>
      <c r="BF1492">
        <v>1</v>
      </c>
      <c r="BH1492">
        <v>0</v>
      </c>
      <c r="BI1492">
        <v>0</v>
      </c>
      <c r="BJ1492">
        <v>0</v>
      </c>
      <c r="BK1492">
        <v>2425</v>
      </c>
      <c r="BL1492">
        <v>425</v>
      </c>
      <c r="BM1492" t="s">
        <v>119</v>
      </c>
      <c r="BN1492">
        <v>1</v>
      </c>
      <c r="BO1492">
        <v>1</v>
      </c>
      <c r="BP1492">
        <v>1</v>
      </c>
      <c r="BQ1492">
        <v>0</v>
      </c>
      <c r="BT1492">
        <v>0</v>
      </c>
      <c r="BU1492">
        <v>0</v>
      </c>
      <c r="BV1492">
        <v>0</v>
      </c>
      <c r="CC1492" t="str">
        <f>"18:59:39.063"</f>
        <v>18:59:39.063</v>
      </c>
      <c r="CD1492" t="str">
        <f>"061329153"</f>
        <v>061329153</v>
      </c>
      <c r="CQ1492">
        <v>0</v>
      </c>
      <c r="CR1492">
        <v>2</v>
      </c>
      <c r="CS1492">
        <v>0</v>
      </c>
      <c r="CT1492">
        <v>2</v>
      </c>
      <c r="CU1492">
        <v>0</v>
      </c>
      <c r="CV1492">
        <v>7</v>
      </c>
      <c r="CW1492" t="s">
        <v>120</v>
      </c>
      <c r="CX1492">
        <v>261</v>
      </c>
      <c r="CY1492">
        <v>2</v>
      </c>
      <c r="CZ1492" t="s">
        <v>121</v>
      </c>
      <c r="DA1492" t="s">
        <v>122</v>
      </c>
      <c r="DD1492">
        <v>15114416</v>
      </c>
      <c r="DE1492" t="s">
        <v>123</v>
      </c>
    </row>
    <row r="1493" spans="1:109" x14ac:dyDescent="0.3">
      <c r="A1493" t="str">
        <f>"18:59:40.219"</f>
        <v>18:59:40.219</v>
      </c>
      <c r="B1493" t="s">
        <v>110</v>
      </c>
      <c r="C1493" t="str">
        <f t="shared" si="69"/>
        <v>ffdfd3c0</v>
      </c>
      <c r="D1493" t="s">
        <v>111</v>
      </c>
      <c r="E1493">
        <v>18</v>
      </c>
      <c r="F1493">
        <v>1018</v>
      </c>
      <c r="G1493" t="s">
        <v>112</v>
      </c>
      <c r="J1493" t="s">
        <v>113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R1493" t="s">
        <v>114</v>
      </c>
      <c r="S1493" t="str">
        <f>"18:59:40.016"</f>
        <v>18:59:40.016</v>
      </c>
      <c r="T1493" t="str">
        <f>"18:59:39.914"</f>
        <v>18:59:39.914</v>
      </c>
      <c r="U1493" t="str">
        <f t="shared" si="70"/>
        <v>a1cdbe</v>
      </c>
      <c r="V1493">
        <v>0</v>
      </c>
      <c r="W1493">
        <v>0</v>
      </c>
      <c r="X1493">
        <v>1</v>
      </c>
      <c r="Y1493">
        <v>0</v>
      </c>
      <c r="Z1493">
        <v>0</v>
      </c>
      <c r="AB1493">
        <v>0</v>
      </c>
      <c r="AC1493">
        <v>9</v>
      </c>
      <c r="AD1493">
        <v>3</v>
      </c>
      <c r="AE1493">
        <v>0</v>
      </c>
      <c r="AF1493">
        <v>9</v>
      </c>
      <c r="AG1493" t="s">
        <v>158</v>
      </c>
      <c r="AH1493">
        <v>0</v>
      </c>
      <c r="AI1493">
        <v>3</v>
      </c>
      <c r="AJ1493">
        <v>1</v>
      </c>
      <c r="AK1493">
        <v>0</v>
      </c>
      <c r="AL1493" t="s">
        <v>2691</v>
      </c>
      <c r="AM1493">
        <v>46.812251000000003</v>
      </c>
      <c r="AN1493" t="s">
        <v>2902</v>
      </c>
      <c r="AO1493">
        <v>-122.77275299999999</v>
      </c>
      <c r="AP1493">
        <v>100</v>
      </c>
      <c r="AQ1493">
        <v>2000</v>
      </c>
      <c r="AR1493" t="s">
        <v>118</v>
      </c>
      <c r="AS1493">
        <v>-78</v>
      </c>
      <c r="AT1493">
        <v>24</v>
      </c>
      <c r="AU1493">
        <v>256</v>
      </c>
      <c r="BC1493">
        <v>1200</v>
      </c>
      <c r="BD1493">
        <v>1</v>
      </c>
      <c r="BE1493" t="str">
        <f t="shared" si="71"/>
        <v xml:space="preserve">N215T   </v>
      </c>
      <c r="BF1493">
        <v>1</v>
      </c>
      <c r="BH1493">
        <v>0</v>
      </c>
      <c r="BI1493">
        <v>0</v>
      </c>
      <c r="BJ1493">
        <v>0</v>
      </c>
      <c r="BK1493">
        <v>2425</v>
      </c>
      <c r="BL1493">
        <v>425</v>
      </c>
      <c r="BM1493" t="s">
        <v>119</v>
      </c>
      <c r="BN1493">
        <v>1</v>
      </c>
      <c r="BO1493">
        <v>1</v>
      </c>
      <c r="BP1493">
        <v>1</v>
      </c>
      <c r="BQ1493">
        <v>0</v>
      </c>
      <c r="BT1493">
        <v>0</v>
      </c>
      <c r="BU1493">
        <v>0</v>
      </c>
      <c r="BV1493">
        <v>0</v>
      </c>
      <c r="CC1493" t="str">
        <f>"18:59:40.023"</f>
        <v>18:59:40.023</v>
      </c>
      <c r="CD1493" t="str">
        <f>"021234567"</f>
        <v>021234567</v>
      </c>
      <c r="CQ1493">
        <v>0</v>
      </c>
      <c r="CR1493">
        <v>2</v>
      </c>
      <c r="CS1493">
        <v>0</v>
      </c>
      <c r="CT1493">
        <v>2</v>
      </c>
      <c r="CU1493">
        <v>0</v>
      </c>
      <c r="CV1493">
        <v>7</v>
      </c>
      <c r="CW1493" t="s">
        <v>120</v>
      </c>
      <c r="CX1493">
        <v>261</v>
      </c>
      <c r="CY1493">
        <v>2</v>
      </c>
      <c r="CZ1493" t="s">
        <v>121</v>
      </c>
      <c r="DA1493" t="s">
        <v>122</v>
      </c>
      <c r="DD1493">
        <v>15115087</v>
      </c>
      <c r="DE1493" t="s">
        <v>123</v>
      </c>
    </row>
    <row r="1494" spans="1:109" x14ac:dyDescent="0.3">
      <c r="A1494" t="str">
        <f>"18:59:41.375"</f>
        <v>18:59:41.375</v>
      </c>
      <c r="B1494" t="s">
        <v>110</v>
      </c>
      <c r="C1494" t="str">
        <f t="shared" si="69"/>
        <v>ffdfd3c0</v>
      </c>
      <c r="D1494" t="s">
        <v>111</v>
      </c>
      <c r="E1494">
        <v>18</v>
      </c>
      <c r="F1494">
        <v>1018</v>
      </c>
      <c r="G1494" t="s">
        <v>112</v>
      </c>
      <c r="J1494" t="s">
        <v>113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R1494" t="s">
        <v>114</v>
      </c>
      <c r="S1494" t="str">
        <f>"18:59:41.125"</f>
        <v>18:59:41.125</v>
      </c>
      <c r="T1494" t="str">
        <f>"18:59:41.125"</f>
        <v>18:59:41.125</v>
      </c>
      <c r="U1494" t="str">
        <f t="shared" si="70"/>
        <v>a1cdbe</v>
      </c>
      <c r="V1494">
        <v>0</v>
      </c>
      <c r="W1494">
        <v>0</v>
      </c>
      <c r="X1494">
        <v>1</v>
      </c>
      <c r="Y1494">
        <v>0</v>
      </c>
      <c r="Z1494">
        <v>0</v>
      </c>
      <c r="AB1494">
        <v>0</v>
      </c>
      <c r="AC1494">
        <v>9</v>
      </c>
      <c r="AD1494">
        <v>3</v>
      </c>
      <c r="AE1494">
        <v>0</v>
      </c>
      <c r="AF1494">
        <v>9</v>
      </c>
      <c r="AG1494" t="s">
        <v>158</v>
      </c>
      <c r="AH1494">
        <v>0</v>
      </c>
      <c r="AI1494">
        <v>3</v>
      </c>
      <c r="AJ1494">
        <v>1</v>
      </c>
      <c r="AK1494">
        <v>0</v>
      </c>
      <c r="AL1494" t="s">
        <v>2903</v>
      </c>
      <c r="AM1494">
        <v>46.812379</v>
      </c>
      <c r="AN1494" t="s">
        <v>2904</v>
      </c>
      <c r="AO1494">
        <v>-122.77331100000001</v>
      </c>
      <c r="AP1494">
        <v>100</v>
      </c>
      <c r="AQ1494">
        <v>2100</v>
      </c>
      <c r="AR1494" t="s">
        <v>118</v>
      </c>
      <c r="AS1494">
        <v>-77</v>
      </c>
      <c r="AT1494">
        <v>23</v>
      </c>
      <c r="AU1494">
        <v>256</v>
      </c>
      <c r="BC1494">
        <v>1200</v>
      </c>
      <c r="BD1494">
        <v>1</v>
      </c>
      <c r="BE1494" t="str">
        <f t="shared" si="71"/>
        <v xml:space="preserve">N215T   </v>
      </c>
      <c r="BF1494">
        <v>1</v>
      </c>
      <c r="BH1494">
        <v>0</v>
      </c>
      <c r="BI1494">
        <v>0</v>
      </c>
      <c r="BJ1494">
        <v>0</v>
      </c>
      <c r="BK1494">
        <v>2325</v>
      </c>
      <c r="BL1494">
        <v>225</v>
      </c>
      <c r="BM1494" t="s">
        <v>119</v>
      </c>
      <c r="BN1494">
        <v>1</v>
      </c>
      <c r="BO1494">
        <v>1</v>
      </c>
      <c r="BP1494">
        <v>1</v>
      </c>
      <c r="BQ1494">
        <v>0</v>
      </c>
      <c r="BT1494">
        <v>0</v>
      </c>
      <c r="BU1494">
        <v>0</v>
      </c>
      <c r="BV1494">
        <v>0</v>
      </c>
      <c r="CC1494" t="str">
        <f>"18:59:41.133"</f>
        <v>18:59:41.133</v>
      </c>
      <c r="CD1494" t="str">
        <f>"131125215"</f>
        <v>131125215</v>
      </c>
      <c r="CQ1494">
        <v>0</v>
      </c>
      <c r="CR1494">
        <v>2</v>
      </c>
      <c r="CS1494">
        <v>0</v>
      </c>
      <c r="CT1494">
        <v>2</v>
      </c>
      <c r="CU1494">
        <v>0</v>
      </c>
      <c r="CV1494">
        <v>7</v>
      </c>
      <c r="CW1494" t="s">
        <v>120</v>
      </c>
      <c r="CX1494">
        <v>261</v>
      </c>
      <c r="CY1494">
        <v>2</v>
      </c>
      <c r="CZ1494" t="s">
        <v>121</v>
      </c>
      <c r="DA1494" t="s">
        <v>122</v>
      </c>
      <c r="DD1494">
        <v>15115771</v>
      </c>
      <c r="DE1494" t="s">
        <v>123</v>
      </c>
    </row>
    <row r="1495" spans="1:109" x14ac:dyDescent="0.3">
      <c r="A1495" t="str">
        <f>"18:59:42.477"</f>
        <v>18:59:42.477</v>
      </c>
      <c r="B1495" t="s">
        <v>110</v>
      </c>
      <c r="C1495" t="str">
        <f t="shared" si="69"/>
        <v>ffdfd3c0</v>
      </c>
      <c r="D1495" t="s">
        <v>111</v>
      </c>
      <c r="E1495">
        <v>18</v>
      </c>
      <c r="F1495">
        <v>1018</v>
      </c>
      <c r="G1495" t="s">
        <v>112</v>
      </c>
      <c r="J1495" t="s">
        <v>113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R1495" t="s">
        <v>114</v>
      </c>
      <c r="S1495" t="str">
        <f>"18:59:42.211"</f>
        <v>18:59:42.211</v>
      </c>
      <c r="T1495" t="str">
        <f>"18:59:42.211"</f>
        <v>18:59:42.211</v>
      </c>
      <c r="U1495" t="str">
        <f t="shared" si="70"/>
        <v>a1cdbe</v>
      </c>
      <c r="V1495">
        <v>0</v>
      </c>
      <c r="W1495">
        <v>0</v>
      </c>
      <c r="X1495">
        <v>1</v>
      </c>
      <c r="Y1495">
        <v>0</v>
      </c>
      <c r="Z1495">
        <v>0</v>
      </c>
      <c r="AB1495">
        <v>0</v>
      </c>
      <c r="AC1495">
        <v>9</v>
      </c>
      <c r="AD1495">
        <v>3</v>
      </c>
      <c r="AE1495">
        <v>0</v>
      </c>
      <c r="AF1495">
        <v>9</v>
      </c>
      <c r="AG1495" t="s">
        <v>158</v>
      </c>
      <c r="AH1495">
        <v>0</v>
      </c>
      <c r="AI1495">
        <v>3</v>
      </c>
      <c r="AJ1495">
        <v>1</v>
      </c>
      <c r="AK1495">
        <v>0</v>
      </c>
      <c r="AL1495" t="s">
        <v>2905</v>
      </c>
      <c r="AM1495">
        <v>46.812465000000003</v>
      </c>
      <c r="AN1495" t="s">
        <v>2906</v>
      </c>
      <c r="AO1495">
        <v>-122.773869</v>
      </c>
      <c r="AP1495">
        <v>100</v>
      </c>
      <c r="AQ1495">
        <v>2100</v>
      </c>
      <c r="AR1495" t="s">
        <v>118</v>
      </c>
      <c r="AS1495">
        <v>-76</v>
      </c>
      <c r="AT1495">
        <v>23</v>
      </c>
      <c r="AU1495">
        <v>64</v>
      </c>
      <c r="BC1495">
        <v>1200</v>
      </c>
      <c r="BD1495">
        <v>1</v>
      </c>
      <c r="BE1495" t="str">
        <f t="shared" si="71"/>
        <v xml:space="preserve">N215T   </v>
      </c>
      <c r="BF1495">
        <v>1</v>
      </c>
      <c r="BH1495">
        <v>0</v>
      </c>
      <c r="BI1495">
        <v>0</v>
      </c>
      <c r="BJ1495">
        <v>0</v>
      </c>
      <c r="BK1495">
        <v>2425</v>
      </c>
      <c r="BL1495">
        <v>325</v>
      </c>
      <c r="BM1495" t="s">
        <v>119</v>
      </c>
      <c r="BN1495">
        <v>1</v>
      </c>
      <c r="BO1495">
        <v>1</v>
      </c>
      <c r="BP1495">
        <v>1</v>
      </c>
      <c r="BQ1495">
        <v>0</v>
      </c>
      <c r="BT1495">
        <v>0</v>
      </c>
      <c r="BU1495">
        <v>0</v>
      </c>
      <c r="BV1495">
        <v>0</v>
      </c>
      <c r="CC1495" t="str">
        <f>"18:59:42.211"</f>
        <v>18:59:42.211</v>
      </c>
      <c r="CD1495" t="str">
        <f>"211018816"</f>
        <v>211018816</v>
      </c>
      <c r="CQ1495">
        <v>0</v>
      </c>
      <c r="CR1495">
        <v>2</v>
      </c>
      <c r="CS1495">
        <v>0</v>
      </c>
      <c r="CT1495">
        <v>2</v>
      </c>
      <c r="CU1495">
        <v>0</v>
      </c>
      <c r="CV1495">
        <v>7</v>
      </c>
      <c r="CW1495" t="s">
        <v>120</v>
      </c>
      <c r="CX1495">
        <v>261</v>
      </c>
      <c r="CY1495">
        <v>2</v>
      </c>
      <c r="CZ1495" t="s">
        <v>121</v>
      </c>
      <c r="DA1495" t="s">
        <v>122</v>
      </c>
      <c r="DD1495">
        <v>15116469</v>
      </c>
      <c r="DE1495" t="s">
        <v>123</v>
      </c>
    </row>
    <row r="1496" spans="1:109" x14ac:dyDescent="0.3">
      <c r="A1496" t="str">
        <f>"18:59:43.336"</f>
        <v>18:59:43.336</v>
      </c>
      <c r="B1496" t="s">
        <v>110</v>
      </c>
      <c r="C1496" t="str">
        <f t="shared" si="69"/>
        <v>ffdfd3c0</v>
      </c>
      <c r="D1496" t="s">
        <v>111</v>
      </c>
      <c r="E1496">
        <v>18</v>
      </c>
      <c r="F1496">
        <v>1018</v>
      </c>
      <c r="G1496" t="s">
        <v>112</v>
      </c>
      <c r="J1496" t="s">
        <v>113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R1496" t="s">
        <v>114</v>
      </c>
      <c r="S1496" t="str">
        <f>"18:59:43.109"</f>
        <v>18:59:43.109</v>
      </c>
      <c r="T1496" t="str">
        <f>"18:59:42.711"</f>
        <v>18:59:42.711</v>
      </c>
      <c r="U1496" t="str">
        <f t="shared" si="70"/>
        <v>a1cdbe</v>
      </c>
      <c r="V1496">
        <v>0</v>
      </c>
      <c r="W1496">
        <v>0</v>
      </c>
      <c r="X1496">
        <v>1</v>
      </c>
      <c r="Y1496">
        <v>0</v>
      </c>
      <c r="Z1496">
        <v>0</v>
      </c>
      <c r="AB1496">
        <v>0</v>
      </c>
      <c r="AC1496">
        <v>9</v>
      </c>
      <c r="AD1496">
        <v>3</v>
      </c>
      <c r="AE1496">
        <v>0</v>
      </c>
      <c r="AF1496">
        <v>9</v>
      </c>
      <c r="AG1496" t="s">
        <v>158</v>
      </c>
      <c r="AH1496">
        <v>0</v>
      </c>
      <c r="AI1496">
        <v>3</v>
      </c>
      <c r="AJ1496">
        <v>1</v>
      </c>
      <c r="AK1496">
        <v>0</v>
      </c>
      <c r="AL1496" t="s">
        <v>2687</v>
      </c>
      <c r="AM1496">
        <v>46.812550999999999</v>
      </c>
      <c r="AN1496" t="s">
        <v>2907</v>
      </c>
      <c r="AO1496">
        <v>-122.77434100000001</v>
      </c>
      <c r="AP1496">
        <v>100</v>
      </c>
      <c r="AQ1496">
        <v>2100</v>
      </c>
      <c r="AR1496" t="s">
        <v>118</v>
      </c>
      <c r="AS1496">
        <v>-76</v>
      </c>
      <c r="AT1496">
        <v>23</v>
      </c>
      <c r="AU1496">
        <v>192</v>
      </c>
      <c r="BC1496">
        <v>1200</v>
      </c>
      <c r="BD1496">
        <v>1</v>
      </c>
      <c r="BE1496" t="str">
        <f t="shared" si="71"/>
        <v xml:space="preserve">N215T   </v>
      </c>
      <c r="BF1496">
        <v>1</v>
      </c>
      <c r="BH1496">
        <v>0</v>
      </c>
      <c r="BI1496">
        <v>0</v>
      </c>
      <c r="BJ1496">
        <v>0</v>
      </c>
      <c r="BK1496">
        <v>2425</v>
      </c>
      <c r="BL1496">
        <v>325</v>
      </c>
      <c r="BM1496" t="s">
        <v>119</v>
      </c>
      <c r="BN1496">
        <v>1</v>
      </c>
      <c r="BO1496">
        <v>1</v>
      </c>
      <c r="BP1496">
        <v>1</v>
      </c>
      <c r="BQ1496">
        <v>0</v>
      </c>
      <c r="BT1496">
        <v>0</v>
      </c>
      <c r="BU1496">
        <v>0</v>
      </c>
      <c r="BV1496">
        <v>0</v>
      </c>
      <c r="CC1496" t="str">
        <f>"18:59:43.109"</f>
        <v>18:59:43.109</v>
      </c>
      <c r="CD1496" t="str">
        <f>"110930152"</f>
        <v>110930152</v>
      </c>
      <c r="CQ1496">
        <v>0</v>
      </c>
      <c r="CR1496">
        <v>2</v>
      </c>
      <c r="CS1496">
        <v>0</v>
      </c>
      <c r="CT1496">
        <v>2</v>
      </c>
      <c r="CU1496">
        <v>0</v>
      </c>
      <c r="CV1496">
        <v>7</v>
      </c>
      <c r="CW1496" t="s">
        <v>120</v>
      </c>
      <c r="CX1496">
        <v>261</v>
      </c>
      <c r="CY1496">
        <v>2</v>
      </c>
      <c r="CZ1496" t="s">
        <v>121</v>
      </c>
      <c r="DA1496" t="s">
        <v>122</v>
      </c>
      <c r="DD1496">
        <v>15117085</v>
      </c>
      <c r="DE1496" t="s">
        <v>123</v>
      </c>
    </row>
    <row r="1497" spans="1:109" x14ac:dyDescent="0.3">
      <c r="A1497" t="str">
        <f>"18:59:44.188"</f>
        <v>18:59:44.188</v>
      </c>
      <c r="B1497" t="s">
        <v>110</v>
      </c>
      <c r="C1497" t="str">
        <f t="shared" si="69"/>
        <v>ffdfd3c0</v>
      </c>
      <c r="D1497" t="s">
        <v>111</v>
      </c>
      <c r="E1497">
        <v>18</v>
      </c>
      <c r="F1497">
        <v>1018</v>
      </c>
      <c r="G1497" t="s">
        <v>112</v>
      </c>
      <c r="J1497" t="s">
        <v>113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R1497" t="s">
        <v>114</v>
      </c>
      <c r="S1497" t="str">
        <f>"18:59:43.977"</f>
        <v>18:59:43.977</v>
      </c>
      <c r="T1497" t="str">
        <f>"18:59:43.875"</f>
        <v>18:59:43.875</v>
      </c>
      <c r="U1497" t="str">
        <f t="shared" si="70"/>
        <v>a1cdbe</v>
      </c>
      <c r="V1497">
        <v>0</v>
      </c>
      <c r="W1497">
        <v>0</v>
      </c>
      <c r="X1497">
        <v>1</v>
      </c>
      <c r="Y1497">
        <v>0</v>
      </c>
      <c r="Z1497">
        <v>0</v>
      </c>
      <c r="AB1497">
        <v>0</v>
      </c>
      <c r="AC1497">
        <v>9</v>
      </c>
      <c r="AD1497">
        <v>3</v>
      </c>
      <c r="AE1497">
        <v>0</v>
      </c>
      <c r="AF1497">
        <v>9</v>
      </c>
      <c r="AG1497" t="s">
        <v>158</v>
      </c>
      <c r="AH1497">
        <v>0</v>
      </c>
      <c r="AI1497">
        <v>3</v>
      </c>
      <c r="AJ1497">
        <v>1</v>
      </c>
      <c r="AK1497">
        <v>0</v>
      </c>
      <c r="AL1497" t="s">
        <v>2908</v>
      </c>
      <c r="AM1497">
        <v>46.812657999999999</v>
      </c>
      <c r="AN1497" t="s">
        <v>2909</v>
      </c>
      <c r="AO1497">
        <v>-122.77477</v>
      </c>
      <c r="AP1497">
        <v>100</v>
      </c>
      <c r="AQ1497">
        <v>2100</v>
      </c>
      <c r="AR1497" t="s">
        <v>118</v>
      </c>
      <c r="AS1497">
        <v>-75</v>
      </c>
      <c r="AT1497">
        <v>22</v>
      </c>
      <c r="AU1497">
        <v>192</v>
      </c>
      <c r="BC1497">
        <v>1200</v>
      </c>
      <c r="BD1497">
        <v>1</v>
      </c>
      <c r="BE1497" t="str">
        <f t="shared" si="71"/>
        <v xml:space="preserve">N215T   </v>
      </c>
      <c r="BF1497">
        <v>1</v>
      </c>
      <c r="BH1497">
        <v>0</v>
      </c>
      <c r="BI1497">
        <v>0</v>
      </c>
      <c r="BJ1497">
        <v>0</v>
      </c>
      <c r="BK1497">
        <v>2450</v>
      </c>
      <c r="BL1497">
        <v>350</v>
      </c>
      <c r="BM1497" t="s">
        <v>119</v>
      </c>
      <c r="BN1497">
        <v>1</v>
      </c>
      <c r="BO1497">
        <v>1</v>
      </c>
      <c r="BP1497">
        <v>1</v>
      </c>
      <c r="BQ1497">
        <v>0</v>
      </c>
      <c r="BT1497">
        <v>0</v>
      </c>
      <c r="BU1497">
        <v>0</v>
      </c>
      <c r="BV1497">
        <v>0</v>
      </c>
      <c r="CC1497" t="str">
        <f>"18:59:43.984"</f>
        <v>18:59:43.984</v>
      </c>
      <c r="CD1497" t="str">
        <f>"980844443"</f>
        <v>980844443</v>
      </c>
      <c r="CQ1497">
        <v>0</v>
      </c>
      <c r="CR1497">
        <v>2</v>
      </c>
      <c r="CS1497">
        <v>0</v>
      </c>
      <c r="CT1497">
        <v>2</v>
      </c>
      <c r="CU1497">
        <v>0</v>
      </c>
      <c r="CV1497">
        <v>7</v>
      </c>
      <c r="CW1497" t="s">
        <v>120</v>
      </c>
      <c r="CX1497">
        <v>261</v>
      </c>
      <c r="CY1497">
        <v>2</v>
      </c>
      <c r="CZ1497" t="s">
        <v>121</v>
      </c>
      <c r="DA1497" t="s">
        <v>122</v>
      </c>
      <c r="DD1497">
        <v>15117719</v>
      </c>
      <c r="DE1497" t="s">
        <v>123</v>
      </c>
    </row>
    <row r="1498" spans="1:109" x14ac:dyDescent="0.3">
      <c r="A1498" t="str">
        <f>"18:59:45.141"</f>
        <v>18:59:45.141</v>
      </c>
      <c r="B1498" t="s">
        <v>110</v>
      </c>
      <c r="C1498" t="str">
        <f t="shared" si="69"/>
        <v>ffdfd3c0</v>
      </c>
      <c r="D1498" t="s">
        <v>111</v>
      </c>
      <c r="E1498">
        <v>18</v>
      </c>
      <c r="F1498">
        <v>1018</v>
      </c>
      <c r="G1498" t="s">
        <v>112</v>
      </c>
      <c r="J1498" t="s">
        <v>113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R1498" t="s">
        <v>114</v>
      </c>
      <c r="S1498" t="str">
        <f>"18:59:44.922"</f>
        <v>18:59:44.922</v>
      </c>
      <c r="T1498" t="str">
        <f>"18:59:44.719"</f>
        <v>18:59:44.719</v>
      </c>
      <c r="U1498" t="str">
        <f t="shared" si="70"/>
        <v>a1cdbe</v>
      </c>
      <c r="V1498">
        <v>0</v>
      </c>
      <c r="W1498">
        <v>0</v>
      </c>
      <c r="X1498">
        <v>1</v>
      </c>
      <c r="Y1498">
        <v>0</v>
      </c>
      <c r="Z1498">
        <v>0</v>
      </c>
      <c r="AB1498">
        <v>0</v>
      </c>
      <c r="AC1498">
        <v>9</v>
      </c>
      <c r="AD1498">
        <v>3</v>
      </c>
      <c r="AE1498">
        <v>0</v>
      </c>
      <c r="AF1498">
        <v>9</v>
      </c>
      <c r="AG1498" t="s">
        <v>158</v>
      </c>
      <c r="AH1498">
        <v>0</v>
      </c>
      <c r="AI1498">
        <v>3</v>
      </c>
      <c r="AJ1498">
        <v>1</v>
      </c>
      <c r="AK1498">
        <v>0</v>
      </c>
      <c r="AL1498" t="s">
        <v>2910</v>
      </c>
      <c r="AM1498">
        <v>46.812744000000002</v>
      </c>
      <c r="AN1498" t="s">
        <v>2911</v>
      </c>
      <c r="AO1498">
        <v>-122.775307</v>
      </c>
      <c r="AP1498">
        <v>100</v>
      </c>
      <c r="AQ1498">
        <v>2100</v>
      </c>
      <c r="AR1498" t="s">
        <v>118</v>
      </c>
      <c r="AS1498">
        <v>-76</v>
      </c>
      <c r="AT1498">
        <v>20</v>
      </c>
      <c r="AU1498">
        <v>64</v>
      </c>
      <c r="BC1498">
        <v>1200</v>
      </c>
      <c r="BD1498">
        <v>1</v>
      </c>
      <c r="BE1498" t="str">
        <f t="shared" si="71"/>
        <v xml:space="preserve">N215T   </v>
      </c>
      <c r="BF1498">
        <v>1</v>
      </c>
      <c r="BH1498">
        <v>0</v>
      </c>
      <c r="BI1498">
        <v>0</v>
      </c>
      <c r="BJ1498">
        <v>0</v>
      </c>
      <c r="BK1498">
        <v>2450</v>
      </c>
      <c r="BL1498">
        <v>350</v>
      </c>
      <c r="BM1498" t="s">
        <v>119</v>
      </c>
      <c r="BN1498">
        <v>1</v>
      </c>
      <c r="BO1498">
        <v>1</v>
      </c>
      <c r="BP1498">
        <v>1</v>
      </c>
      <c r="BQ1498">
        <v>0</v>
      </c>
      <c r="BT1498">
        <v>0</v>
      </c>
      <c r="BU1498">
        <v>0</v>
      </c>
      <c r="BV1498">
        <v>0</v>
      </c>
      <c r="CC1498" t="str">
        <f>"18:59:44.922"</f>
        <v>18:59:44.922</v>
      </c>
      <c r="CD1498" t="str">
        <f>"925751352"</f>
        <v>925751352</v>
      </c>
      <c r="CQ1498">
        <v>0</v>
      </c>
      <c r="CR1498">
        <v>2</v>
      </c>
      <c r="CS1498">
        <v>0</v>
      </c>
      <c r="CT1498">
        <v>2</v>
      </c>
      <c r="CU1498">
        <v>0</v>
      </c>
      <c r="CV1498">
        <v>7</v>
      </c>
      <c r="CW1498" t="s">
        <v>120</v>
      </c>
      <c r="CX1498">
        <v>261</v>
      </c>
      <c r="CY1498">
        <v>2</v>
      </c>
      <c r="CZ1498" t="s">
        <v>121</v>
      </c>
      <c r="DA1498" t="s">
        <v>122</v>
      </c>
      <c r="DD1498">
        <v>15118342</v>
      </c>
      <c r="DE1498" t="s">
        <v>123</v>
      </c>
    </row>
    <row r="1499" spans="1:109" x14ac:dyDescent="0.3">
      <c r="A1499" t="str">
        <f>"18:59:46.203"</f>
        <v>18:59:46.203</v>
      </c>
      <c r="B1499" t="s">
        <v>110</v>
      </c>
      <c r="C1499" t="str">
        <f t="shared" si="69"/>
        <v>ffdfd3c0</v>
      </c>
      <c r="D1499" t="s">
        <v>111</v>
      </c>
      <c r="E1499">
        <v>18</v>
      </c>
      <c r="F1499">
        <v>1018</v>
      </c>
      <c r="G1499" t="s">
        <v>112</v>
      </c>
      <c r="J1499" t="s">
        <v>113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R1499" t="s">
        <v>114</v>
      </c>
      <c r="S1499" t="str">
        <f>"18:59:45.953"</f>
        <v>18:59:45.953</v>
      </c>
      <c r="T1499" t="str">
        <f>"18:59:45.656"</f>
        <v>18:59:45.656</v>
      </c>
      <c r="U1499" t="str">
        <f t="shared" si="70"/>
        <v>a1cdbe</v>
      </c>
      <c r="V1499">
        <v>0</v>
      </c>
      <c r="W1499">
        <v>0</v>
      </c>
      <c r="X1499">
        <v>1</v>
      </c>
      <c r="Y1499">
        <v>0</v>
      </c>
      <c r="Z1499">
        <v>0</v>
      </c>
      <c r="AB1499">
        <v>0</v>
      </c>
      <c r="AC1499">
        <v>9</v>
      </c>
      <c r="AD1499">
        <v>3</v>
      </c>
      <c r="AE1499">
        <v>0</v>
      </c>
      <c r="AF1499">
        <v>9</v>
      </c>
      <c r="AG1499" t="s">
        <v>158</v>
      </c>
      <c r="AH1499">
        <v>0</v>
      </c>
      <c r="AI1499">
        <v>3</v>
      </c>
      <c r="AJ1499">
        <v>1</v>
      </c>
      <c r="AK1499">
        <v>0</v>
      </c>
      <c r="AL1499" t="s">
        <v>2912</v>
      </c>
      <c r="AM1499">
        <v>46.812829999999998</v>
      </c>
      <c r="AN1499" t="s">
        <v>2913</v>
      </c>
      <c r="AO1499">
        <v>-122.775757</v>
      </c>
      <c r="AP1499">
        <v>100</v>
      </c>
      <c r="AQ1499">
        <v>2100</v>
      </c>
      <c r="AR1499" t="s">
        <v>118</v>
      </c>
      <c r="AS1499">
        <v>-76</v>
      </c>
      <c r="AT1499">
        <v>19</v>
      </c>
      <c r="AU1499">
        <v>-192</v>
      </c>
      <c r="BC1499">
        <v>1200</v>
      </c>
      <c r="BD1499">
        <v>1</v>
      </c>
      <c r="BE1499" t="str">
        <f t="shared" si="71"/>
        <v xml:space="preserve">N215T   </v>
      </c>
      <c r="BF1499">
        <v>1</v>
      </c>
      <c r="BH1499">
        <v>0</v>
      </c>
      <c r="BI1499">
        <v>0</v>
      </c>
      <c r="BJ1499">
        <v>0</v>
      </c>
      <c r="BK1499">
        <v>2450</v>
      </c>
      <c r="BL1499">
        <v>350</v>
      </c>
      <c r="BM1499" t="s">
        <v>119</v>
      </c>
      <c r="BN1499">
        <v>1</v>
      </c>
      <c r="BO1499">
        <v>1</v>
      </c>
      <c r="BP1499">
        <v>1</v>
      </c>
      <c r="BQ1499">
        <v>0</v>
      </c>
      <c r="BT1499">
        <v>0</v>
      </c>
      <c r="BU1499">
        <v>0</v>
      </c>
      <c r="BV1499">
        <v>0</v>
      </c>
      <c r="CC1499" t="str">
        <f>"18:59:45.961"</f>
        <v>18:59:45.961</v>
      </c>
      <c r="CD1499" t="str">
        <f>"960649398"</f>
        <v>960649398</v>
      </c>
      <c r="CQ1499">
        <v>0</v>
      </c>
      <c r="CR1499">
        <v>2</v>
      </c>
      <c r="CS1499">
        <v>0</v>
      </c>
      <c r="CT1499">
        <v>2</v>
      </c>
      <c r="CU1499">
        <v>0</v>
      </c>
      <c r="CV1499">
        <v>7</v>
      </c>
      <c r="CW1499" t="s">
        <v>120</v>
      </c>
      <c r="CX1499">
        <v>261</v>
      </c>
      <c r="CY1499">
        <v>2</v>
      </c>
      <c r="CZ1499" t="s">
        <v>121</v>
      </c>
      <c r="DA1499" t="s">
        <v>122</v>
      </c>
      <c r="DD1499">
        <v>15118969</v>
      </c>
      <c r="DE1499" t="s">
        <v>123</v>
      </c>
    </row>
    <row r="1500" spans="1:109" x14ac:dyDescent="0.3">
      <c r="A1500" t="str">
        <f>"18:59:47.156"</f>
        <v>18:59:47.156</v>
      </c>
      <c r="B1500" t="s">
        <v>110</v>
      </c>
      <c r="C1500" t="str">
        <f t="shared" si="69"/>
        <v>ffdfd3c0</v>
      </c>
      <c r="D1500" t="s">
        <v>111</v>
      </c>
      <c r="E1500">
        <v>18</v>
      </c>
      <c r="F1500">
        <v>1018</v>
      </c>
      <c r="G1500" t="s">
        <v>112</v>
      </c>
      <c r="J1500" t="s">
        <v>113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R1500" t="s">
        <v>114</v>
      </c>
      <c r="S1500" t="str">
        <f>"18:59:46.945"</f>
        <v>18:59:46.945</v>
      </c>
      <c r="T1500" t="str">
        <f>"18:59:46.742"</f>
        <v>18:59:46.742</v>
      </c>
      <c r="U1500" t="str">
        <f t="shared" si="70"/>
        <v>a1cdbe</v>
      </c>
      <c r="V1500">
        <v>0</v>
      </c>
      <c r="W1500">
        <v>0</v>
      </c>
      <c r="X1500">
        <v>1</v>
      </c>
      <c r="Y1500">
        <v>0</v>
      </c>
      <c r="Z1500">
        <v>0</v>
      </c>
      <c r="AB1500">
        <v>0</v>
      </c>
      <c r="AC1500">
        <v>9</v>
      </c>
      <c r="AD1500">
        <v>3</v>
      </c>
      <c r="AE1500">
        <v>0</v>
      </c>
      <c r="AF1500">
        <v>9</v>
      </c>
      <c r="AG1500" t="s">
        <v>158</v>
      </c>
      <c r="AH1500">
        <v>0</v>
      </c>
      <c r="AI1500">
        <v>3</v>
      </c>
      <c r="AJ1500">
        <v>1</v>
      </c>
      <c r="AK1500">
        <v>0</v>
      </c>
      <c r="AL1500" t="s">
        <v>2681</v>
      </c>
      <c r="AM1500">
        <v>46.812936999999998</v>
      </c>
      <c r="AN1500" t="s">
        <v>2914</v>
      </c>
      <c r="AO1500">
        <v>-122.776337</v>
      </c>
      <c r="AP1500">
        <v>100</v>
      </c>
      <c r="AQ1500">
        <v>2000</v>
      </c>
      <c r="AR1500" t="s">
        <v>118</v>
      </c>
      <c r="AS1500">
        <v>-76</v>
      </c>
      <c r="AT1500">
        <v>18</v>
      </c>
      <c r="AU1500">
        <v>-192</v>
      </c>
      <c r="BC1500">
        <v>1200</v>
      </c>
      <c r="BD1500">
        <v>1</v>
      </c>
      <c r="BE1500" t="str">
        <f t="shared" si="71"/>
        <v xml:space="preserve">N215T   </v>
      </c>
      <c r="BF1500">
        <v>1</v>
      </c>
      <c r="BH1500">
        <v>0</v>
      </c>
      <c r="BI1500">
        <v>0</v>
      </c>
      <c r="BJ1500">
        <v>0</v>
      </c>
      <c r="BK1500">
        <v>2350</v>
      </c>
      <c r="BL1500">
        <v>350</v>
      </c>
      <c r="BM1500" t="s">
        <v>119</v>
      </c>
      <c r="BN1500">
        <v>1</v>
      </c>
      <c r="BO1500">
        <v>1</v>
      </c>
      <c r="BP1500">
        <v>1</v>
      </c>
      <c r="BQ1500">
        <v>0</v>
      </c>
      <c r="BT1500">
        <v>0</v>
      </c>
      <c r="BU1500">
        <v>0</v>
      </c>
      <c r="BV1500">
        <v>0</v>
      </c>
      <c r="CC1500" t="str">
        <f>"18:59:46.953"</f>
        <v>18:59:46.953</v>
      </c>
      <c r="CD1500" t="str">
        <f>"950551849"</f>
        <v>950551849</v>
      </c>
      <c r="CQ1500">
        <v>0</v>
      </c>
      <c r="CR1500">
        <v>2</v>
      </c>
      <c r="CS1500">
        <v>0</v>
      </c>
      <c r="CT1500">
        <v>2</v>
      </c>
      <c r="CU1500">
        <v>0</v>
      </c>
      <c r="CV1500">
        <v>7</v>
      </c>
      <c r="CW1500" t="s">
        <v>120</v>
      </c>
      <c r="CX1500">
        <v>261</v>
      </c>
      <c r="CY1500">
        <v>2</v>
      </c>
      <c r="CZ1500" t="s">
        <v>121</v>
      </c>
      <c r="DA1500" t="s">
        <v>122</v>
      </c>
      <c r="DD1500">
        <v>15119568</v>
      </c>
      <c r="DE1500" t="s">
        <v>123</v>
      </c>
    </row>
    <row r="1501" spans="1:109" x14ac:dyDescent="0.3">
      <c r="A1501" t="str">
        <f>"18:59:48.266"</f>
        <v>18:59:48.266</v>
      </c>
      <c r="B1501" t="s">
        <v>110</v>
      </c>
      <c r="C1501" t="str">
        <f t="shared" si="69"/>
        <v>ffdfd3c0</v>
      </c>
      <c r="D1501" t="s">
        <v>111</v>
      </c>
      <c r="E1501">
        <v>18</v>
      </c>
      <c r="F1501">
        <v>1018</v>
      </c>
      <c r="G1501" t="s">
        <v>112</v>
      </c>
      <c r="J1501" t="s">
        <v>113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R1501" t="s">
        <v>114</v>
      </c>
      <c r="S1501" t="str">
        <f>"18:59:48.055"</f>
        <v>18:59:48.055</v>
      </c>
      <c r="T1501" t="str">
        <f>"18:59:47.656"</f>
        <v>18:59:47.656</v>
      </c>
      <c r="U1501" t="str">
        <f t="shared" si="70"/>
        <v>a1cdbe</v>
      </c>
      <c r="V1501">
        <v>0</v>
      </c>
      <c r="W1501">
        <v>0</v>
      </c>
      <c r="X1501">
        <v>1</v>
      </c>
      <c r="Y1501">
        <v>0</v>
      </c>
      <c r="Z1501">
        <v>0</v>
      </c>
      <c r="AB1501">
        <v>0</v>
      </c>
      <c r="AC1501">
        <v>9</v>
      </c>
      <c r="AD1501">
        <v>3</v>
      </c>
      <c r="AE1501">
        <v>0</v>
      </c>
      <c r="AF1501">
        <v>9</v>
      </c>
      <c r="AG1501" t="s">
        <v>158</v>
      </c>
      <c r="AH1501">
        <v>0</v>
      </c>
      <c r="AI1501">
        <v>3</v>
      </c>
      <c r="AJ1501">
        <v>1</v>
      </c>
      <c r="AK1501">
        <v>0</v>
      </c>
      <c r="AL1501" t="s">
        <v>2679</v>
      </c>
      <c r="AM1501">
        <v>46.813023000000001</v>
      </c>
      <c r="AN1501" t="s">
        <v>2915</v>
      </c>
      <c r="AO1501">
        <v>-122.77683</v>
      </c>
      <c r="AP1501">
        <v>100</v>
      </c>
      <c r="AQ1501">
        <v>2000</v>
      </c>
      <c r="AR1501" t="s">
        <v>118</v>
      </c>
      <c r="AS1501">
        <v>-76</v>
      </c>
      <c r="AT1501">
        <v>17</v>
      </c>
      <c r="AU1501">
        <v>-256</v>
      </c>
      <c r="BC1501">
        <v>1200</v>
      </c>
      <c r="BD1501">
        <v>1</v>
      </c>
      <c r="BE1501" t="str">
        <f t="shared" si="71"/>
        <v xml:space="preserve">N215T   </v>
      </c>
      <c r="BF1501">
        <v>1</v>
      </c>
      <c r="BH1501">
        <v>0</v>
      </c>
      <c r="BI1501">
        <v>0</v>
      </c>
      <c r="BJ1501">
        <v>0</v>
      </c>
      <c r="BK1501">
        <v>2425</v>
      </c>
      <c r="BL1501">
        <v>425</v>
      </c>
      <c r="BM1501" t="s">
        <v>119</v>
      </c>
      <c r="BN1501">
        <v>1</v>
      </c>
      <c r="BO1501">
        <v>1</v>
      </c>
      <c r="BP1501">
        <v>1</v>
      </c>
      <c r="BQ1501">
        <v>0</v>
      </c>
      <c r="BT1501">
        <v>0</v>
      </c>
      <c r="BU1501">
        <v>0</v>
      </c>
      <c r="BV1501">
        <v>0</v>
      </c>
      <c r="CC1501" t="str">
        <f>"18:59:48.063"</f>
        <v>18:59:48.063</v>
      </c>
      <c r="CD1501" t="str">
        <f>"060490125"</f>
        <v>060490125</v>
      </c>
      <c r="CQ1501">
        <v>0</v>
      </c>
      <c r="CR1501">
        <v>2</v>
      </c>
      <c r="CS1501">
        <v>0</v>
      </c>
      <c r="CT1501">
        <v>2</v>
      </c>
      <c r="CU1501">
        <v>0</v>
      </c>
      <c r="CV1501">
        <v>6</v>
      </c>
      <c r="CW1501" t="s">
        <v>120</v>
      </c>
      <c r="CX1501">
        <v>257</v>
      </c>
      <c r="CY1501">
        <v>1</v>
      </c>
      <c r="CZ1501" t="s">
        <v>615</v>
      </c>
      <c r="DA1501" t="s">
        <v>616</v>
      </c>
      <c r="DD1501">
        <v>11492720</v>
      </c>
      <c r="DE1501" t="s">
        <v>123</v>
      </c>
    </row>
    <row r="1502" spans="1:109" x14ac:dyDescent="0.3">
      <c r="A1502" t="str">
        <f>"18:59:49.367"</f>
        <v>18:59:49.367</v>
      </c>
      <c r="B1502" t="s">
        <v>110</v>
      </c>
      <c r="C1502" t="str">
        <f t="shared" si="69"/>
        <v>ffdfd3c0</v>
      </c>
      <c r="D1502" t="s">
        <v>111</v>
      </c>
      <c r="E1502">
        <v>18</v>
      </c>
      <c r="F1502">
        <v>1018</v>
      </c>
      <c r="G1502" t="s">
        <v>112</v>
      </c>
      <c r="J1502" t="s">
        <v>113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R1502" t="s">
        <v>114</v>
      </c>
      <c r="S1502" t="str">
        <f>"18:59:49.148"</f>
        <v>18:59:49.148</v>
      </c>
      <c r="T1502" t="str">
        <f>"18:59:49.148"</f>
        <v>18:59:49.148</v>
      </c>
      <c r="U1502" t="str">
        <f t="shared" si="70"/>
        <v>a1cdbe</v>
      </c>
      <c r="V1502">
        <v>0</v>
      </c>
      <c r="W1502">
        <v>0</v>
      </c>
      <c r="X1502">
        <v>1</v>
      </c>
      <c r="Y1502">
        <v>0</v>
      </c>
      <c r="Z1502">
        <v>0</v>
      </c>
      <c r="AB1502">
        <v>0</v>
      </c>
      <c r="AC1502">
        <v>9</v>
      </c>
      <c r="AD1502">
        <v>3</v>
      </c>
      <c r="AE1502">
        <v>0</v>
      </c>
      <c r="AF1502">
        <v>9</v>
      </c>
      <c r="AG1502" t="s">
        <v>158</v>
      </c>
      <c r="AH1502">
        <v>0</v>
      </c>
      <c r="AI1502">
        <v>3</v>
      </c>
      <c r="AJ1502">
        <v>1</v>
      </c>
      <c r="AK1502">
        <v>0</v>
      </c>
      <c r="AL1502" t="s">
        <v>2916</v>
      </c>
      <c r="AM1502">
        <v>46.813108999999997</v>
      </c>
      <c r="AN1502" t="s">
        <v>2917</v>
      </c>
      <c r="AO1502">
        <v>-122.777452</v>
      </c>
      <c r="AP1502">
        <v>100</v>
      </c>
      <c r="AQ1502">
        <v>2000</v>
      </c>
      <c r="AR1502" t="s">
        <v>118</v>
      </c>
      <c r="AS1502">
        <v>-77</v>
      </c>
      <c r="AT1502">
        <v>17</v>
      </c>
      <c r="AU1502">
        <v>-320</v>
      </c>
      <c r="BC1502">
        <v>1200</v>
      </c>
      <c r="BD1502">
        <v>1</v>
      </c>
      <c r="BE1502" t="str">
        <f t="shared" si="71"/>
        <v xml:space="preserve">N215T   </v>
      </c>
      <c r="BF1502">
        <v>1</v>
      </c>
      <c r="BH1502">
        <v>0</v>
      </c>
      <c r="BI1502">
        <v>0</v>
      </c>
      <c r="BJ1502">
        <v>0</v>
      </c>
      <c r="BK1502">
        <v>2425</v>
      </c>
      <c r="BL1502">
        <v>425</v>
      </c>
      <c r="BM1502" t="s">
        <v>119</v>
      </c>
      <c r="BN1502">
        <v>1</v>
      </c>
      <c r="BO1502">
        <v>1</v>
      </c>
      <c r="BP1502">
        <v>1</v>
      </c>
      <c r="BQ1502">
        <v>0</v>
      </c>
      <c r="BT1502">
        <v>0</v>
      </c>
      <c r="BU1502">
        <v>0</v>
      </c>
      <c r="BV1502">
        <v>0</v>
      </c>
      <c r="CC1502" t="str">
        <f>"18:59:49.156"</f>
        <v>18:59:49.156</v>
      </c>
      <c r="CD1502" t="str">
        <f>"155382185"</f>
        <v>155382185</v>
      </c>
      <c r="CQ1502">
        <v>0</v>
      </c>
      <c r="CR1502">
        <v>2</v>
      </c>
      <c r="CS1502">
        <v>0</v>
      </c>
      <c r="CT1502">
        <v>2</v>
      </c>
      <c r="CU1502">
        <v>0</v>
      </c>
      <c r="CV1502">
        <v>6</v>
      </c>
      <c r="CW1502" t="s">
        <v>120</v>
      </c>
      <c r="CX1502">
        <v>257</v>
      </c>
      <c r="CY1502">
        <v>1</v>
      </c>
      <c r="CZ1502" t="s">
        <v>615</v>
      </c>
      <c r="DA1502" t="s">
        <v>616</v>
      </c>
      <c r="DD1502">
        <v>11493594</v>
      </c>
      <c r="DE1502" t="s">
        <v>123</v>
      </c>
    </row>
    <row r="1503" spans="1:109" x14ac:dyDescent="0.3">
      <c r="A1503" t="str">
        <f>"18:59:50.422"</f>
        <v>18:59:50.422</v>
      </c>
      <c r="B1503" t="s">
        <v>110</v>
      </c>
      <c r="C1503" t="str">
        <f t="shared" si="69"/>
        <v>ffdfd3c0</v>
      </c>
      <c r="D1503" t="s">
        <v>111</v>
      </c>
      <c r="E1503">
        <v>18</v>
      </c>
      <c r="F1503">
        <v>1018</v>
      </c>
      <c r="G1503" t="s">
        <v>112</v>
      </c>
      <c r="J1503" t="s">
        <v>113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R1503" t="s">
        <v>114</v>
      </c>
      <c r="S1503" t="str">
        <f>"18:59:50.172"</f>
        <v>18:59:50.172</v>
      </c>
      <c r="T1503" t="str">
        <f>"18:59:50.172"</f>
        <v>18:59:50.172</v>
      </c>
      <c r="U1503" t="str">
        <f t="shared" si="70"/>
        <v>a1cdbe</v>
      </c>
      <c r="V1503">
        <v>0</v>
      </c>
      <c r="W1503">
        <v>0</v>
      </c>
      <c r="X1503">
        <v>1</v>
      </c>
      <c r="Y1503">
        <v>0</v>
      </c>
      <c r="Z1503">
        <v>0</v>
      </c>
      <c r="AB1503">
        <v>0</v>
      </c>
      <c r="AC1503">
        <v>9</v>
      </c>
      <c r="AD1503">
        <v>3</v>
      </c>
      <c r="AE1503">
        <v>0</v>
      </c>
      <c r="AF1503">
        <v>9</v>
      </c>
      <c r="AG1503" t="s">
        <v>158</v>
      </c>
      <c r="AH1503">
        <v>0</v>
      </c>
      <c r="AI1503">
        <v>3</v>
      </c>
      <c r="AJ1503">
        <v>1</v>
      </c>
      <c r="AK1503">
        <v>0</v>
      </c>
      <c r="AL1503" t="s">
        <v>2918</v>
      </c>
      <c r="AM1503">
        <v>46.813172999999999</v>
      </c>
      <c r="AN1503" t="s">
        <v>2919</v>
      </c>
      <c r="AO1503">
        <v>-122.77798900000001</v>
      </c>
      <c r="AP1503">
        <v>100</v>
      </c>
      <c r="AQ1503">
        <v>2000</v>
      </c>
      <c r="AR1503" t="s">
        <v>118</v>
      </c>
      <c r="AS1503">
        <v>-77</v>
      </c>
      <c r="AT1503">
        <v>18</v>
      </c>
      <c r="AU1503">
        <v>-384</v>
      </c>
      <c r="BC1503">
        <v>1200</v>
      </c>
      <c r="BD1503">
        <v>1</v>
      </c>
      <c r="BE1503" t="str">
        <f t="shared" si="71"/>
        <v xml:space="preserve">N215T   </v>
      </c>
      <c r="BF1503">
        <v>1</v>
      </c>
      <c r="BH1503">
        <v>0</v>
      </c>
      <c r="BI1503">
        <v>0</v>
      </c>
      <c r="BJ1503">
        <v>0</v>
      </c>
      <c r="BK1503">
        <v>2425</v>
      </c>
      <c r="BL1503">
        <v>425</v>
      </c>
      <c r="BM1503" t="s">
        <v>119</v>
      </c>
      <c r="BN1503">
        <v>1</v>
      </c>
      <c r="BO1503">
        <v>1</v>
      </c>
      <c r="BP1503">
        <v>1</v>
      </c>
      <c r="BQ1503">
        <v>0</v>
      </c>
      <c r="BT1503">
        <v>0</v>
      </c>
      <c r="BU1503">
        <v>0</v>
      </c>
      <c r="BV1503">
        <v>0</v>
      </c>
      <c r="CC1503" t="str">
        <f>"18:59:50.172"</f>
        <v>18:59:50.172</v>
      </c>
      <c r="CD1503" t="str">
        <f>"175281636"</f>
        <v>175281636</v>
      </c>
      <c r="CQ1503">
        <v>0</v>
      </c>
      <c r="CR1503">
        <v>2</v>
      </c>
      <c r="CS1503">
        <v>0</v>
      </c>
      <c r="CT1503">
        <v>2</v>
      </c>
      <c r="CU1503">
        <v>0</v>
      </c>
      <c r="CV1503">
        <v>6</v>
      </c>
      <c r="CW1503" t="s">
        <v>120</v>
      </c>
      <c r="CX1503">
        <v>257</v>
      </c>
      <c r="CY1503">
        <v>1</v>
      </c>
      <c r="CZ1503" t="s">
        <v>615</v>
      </c>
      <c r="DA1503" t="s">
        <v>616</v>
      </c>
      <c r="DD1503">
        <v>11494332</v>
      </c>
      <c r="DE1503" t="s">
        <v>123</v>
      </c>
    </row>
    <row r="1504" spans="1:109" x14ac:dyDescent="0.3">
      <c r="A1504" t="str">
        <f>"18:59:51.531"</f>
        <v>18:59:51.531</v>
      </c>
      <c r="B1504" t="s">
        <v>110</v>
      </c>
      <c r="C1504" t="str">
        <f t="shared" si="69"/>
        <v>ffdfd3c0</v>
      </c>
      <c r="D1504" t="s">
        <v>111</v>
      </c>
      <c r="E1504">
        <v>18</v>
      </c>
      <c r="F1504">
        <v>1018</v>
      </c>
      <c r="G1504" t="s">
        <v>112</v>
      </c>
      <c r="J1504" t="s">
        <v>113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R1504" t="s">
        <v>114</v>
      </c>
      <c r="S1504" t="str">
        <f>"18:59:51.250"</f>
        <v>18:59:51.250</v>
      </c>
      <c r="T1504" t="str">
        <f>"18:59:51.148"</f>
        <v>18:59:51.148</v>
      </c>
      <c r="U1504" t="str">
        <f t="shared" si="70"/>
        <v>a1cdbe</v>
      </c>
      <c r="V1504">
        <v>0</v>
      </c>
      <c r="W1504">
        <v>0</v>
      </c>
      <c r="X1504">
        <v>1</v>
      </c>
      <c r="Y1504">
        <v>0</v>
      </c>
      <c r="Z1504">
        <v>0</v>
      </c>
      <c r="AB1504">
        <v>0</v>
      </c>
      <c r="AC1504">
        <v>9</v>
      </c>
      <c r="AD1504">
        <v>3</v>
      </c>
      <c r="AE1504">
        <v>0</v>
      </c>
      <c r="AF1504">
        <v>9</v>
      </c>
      <c r="AG1504" t="s">
        <v>158</v>
      </c>
      <c r="AH1504">
        <v>0</v>
      </c>
      <c r="AI1504">
        <v>3</v>
      </c>
      <c r="AJ1504">
        <v>1</v>
      </c>
      <c r="AK1504">
        <v>0</v>
      </c>
      <c r="AL1504" t="s">
        <v>2920</v>
      </c>
      <c r="AM1504">
        <v>46.813302</v>
      </c>
      <c r="AN1504" t="s">
        <v>2921</v>
      </c>
      <c r="AO1504">
        <v>-122.778504</v>
      </c>
      <c r="AP1504">
        <v>100</v>
      </c>
      <c r="AQ1504">
        <v>2000</v>
      </c>
      <c r="AR1504" t="s">
        <v>118</v>
      </c>
      <c r="AS1504">
        <v>-77</v>
      </c>
      <c r="AT1504">
        <v>18</v>
      </c>
      <c r="AU1504">
        <v>-384</v>
      </c>
      <c r="BC1504">
        <v>1200</v>
      </c>
      <c r="BD1504">
        <v>1</v>
      </c>
      <c r="BE1504" t="str">
        <f t="shared" si="71"/>
        <v xml:space="preserve">N215T   </v>
      </c>
      <c r="BF1504">
        <v>1</v>
      </c>
      <c r="BH1504">
        <v>0</v>
      </c>
      <c r="BI1504">
        <v>0</v>
      </c>
      <c r="BJ1504">
        <v>0</v>
      </c>
      <c r="BK1504">
        <v>2400</v>
      </c>
      <c r="BL1504">
        <v>400</v>
      </c>
      <c r="BM1504" t="s">
        <v>119</v>
      </c>
      <c r="BN1504">
        <v>1</v>
      </c>
      <c r="BO1504">
        <v>1</v>
      </c>
      <c r="BP1504">
        <v>1</v>
      </c>
      <c r="BQ1504">
        <v>0</v>
      </c>
      <c r="BT1504">
        <v>0</v>
      </c>
      <c r="BU1504">
        <v>0</v>
      </c>
      <c r="BV1504">
        <v>0</v>
      </c>
      <c r="CC1504" t="str">
        <f>"18:59:51.258"</f>
        <v>18:59:51.258</v>
      </c>
      <c r="CD1504" t="str">
        <f>"255127827"</f>
        <v>255127827</v>
      </c>
      <c r="CQ1504">
        <v>0</v>
      </c>
      <c r="CR1504">
        <v>2</v>
      </c>
      <c r="CS1504">
        <v>0</v>
      </c>
      <c r="CT1504">
        <v>2</v>
      </c>
      <c r="CU1504">
        <v>0</v>
      </c>
      <c r="CV1504">
        <v>7</v>
      </c>
      <c r="CW1504" t="s">
        <v>120</v>
      </c>
      <c r="CX1504">
        <v>261</v>
      </c>
      <c r="CY1504">
        <v>2</v>
      </c>
      <c r="CZ1504" t="s">
        <v>121</v>
      </c>
      <c r="DA1504" t="s">
        <v>122</v>
      </c>
      <c r="DD1504">
        <v>15122426</v>
      </c>
      <c r="DE1504" t="s">
        <v>123</v>
      </c>
    </row>
    <row r="1505" spans="1:109" x14ac:dyDescent="0.3">
      <c r="A1505" t="str">
        <f>"18:59:52.484"</f>
        <v>18:59:52.484</v>
      </c>
      <c r="B1505" t="s">
        <v>110</v>
      </c>
      <c r="C1505" t="str">
        <f t="shared" si="69"/>
        <v>ffdfd3c0</v>
      </c>
      <c r="D1505" t="s">
        <v>111</v>
      </c>
      <c r="E1505">
        <v>18</v>
      </c>
      <c r="F1505">
        <v>1018</v>
      </c>
      <c r="G1505" t="s">
        <v>112</v>
      </c>
      <c r="J1505" t="s">
        <v>113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R1505" t="s">
        <v>114</v>
      </c>
      <c r="S1505" t="str">
        <f>"18:59:52.273"</f>
        <v>18:59:52.273</v>
      </c>
      <c r="T1505" t="str">
        <f>"18:59:52.070"</f>
        <v>18:59:52.070</v>
      </c>
      <c r="U1505" t="str">
        <f t="shared" si="70"/>
        <v>a1cdbe</v>
      </c>
      <c r="V1505">
        <v>0</v>
      </c>
      <c r="W1505">
        <v>0</v>
      </c>
      <c r="X1505">
        <v>1</v>
      </c>
      <c r="Y1505">
        <v>0</v>
      </c>
      <c r="Z1505">
        <v>0</v>
      </c>
      <c r="AB1505">
        <v>0</v>
      </c>
      <c r="AC1505">
        <v>9</v>
      </c>
      <c r="AD1505">
        <v>3</v>
      </c>
      <c r="AE1505">
        <v>0</v>
      </c>
      <c r="AF1505">
        <v>9</v>
      </c>
      <c r="AG1505" t="s">
        <v>158</v>
      </c>
      <c r="AH1505">
        <v>0</v>
      </c>
      <c r="AI1505">
        <v>3</v>
      </c>
      <c r="AJ1505">
        <v>1</v>
      </c>
      <c r="AK1505">
        <v>0</v>
      </c>
      <c r="AL1505" t="s">
        <v>2922</v>
      </c>
      <c r="AM1505">
        <v>46.813344999999998</v>
      </c>
      <c r="AN1505" t="s">
        <v>2923</v>
      </c>
      <c r="AO1505">
        <v>-122.779083</v>
      </c>
      <c r="AP1505">
        <v>100</v>
      </c>
      <c r="AQ1505">
        <v>2000</v>
      </c>
      <c r="AR1505" t="s">
        <v>118</v>
      </c>
      <c r="AS1505">
        <v>-77</v>
      </c>
      <c r="AT1505">
        <v>19</v>
      </c>
      <c r="AU1505">
        <v>-320</v>
      </c>
      <c r="BC1505">
        <v>1200</v>
      </c>
      <c r="BD1505">
        <v>1</v>
      </c>
      <c r="BE1505" t="str">
        <f t="shared" si="71"/>
        <v xml:space="preserve">N215T   </v>
      </c>
      <c r="BF1505">
        <v>1</v>
      </c>
      <c r="BH1505">
        <v>0</v>
      </c>
      <c r="BI1505">
        <v>0</v>
      </c>
      <c r="BJ1505">
        <v>0</v>
      </c>
      <c r="BK1505">
        <v>2400</v>
      </c>
      <c r="BL1505">
        <v>400</v>
      </c>
      <c r="BM1505" t="s">
        <v>119</v>
      </c>
      <c r="BN1505">
        <v>1</v>
      </c>
      <c r="BO1505">
        <v>1</v>
      </c>
      <c r="BP1505">
        <v>1</v>
      </c>
      <c r="BQ1505">
        <v>0</v>
      </c>
      <c r="BT1505">
        <v>0</v>
      </c>
      <c r="BU1505">
        <v>0</v>
      </c>
      <c r="BV1505">
        <v>0</v>
      </c>
      <c r="CC1505" t="str">
        <f>"18:59:52.273"</f>
        <v>18:59:52.273</v>
      </c>
      <c r="CD1505" t="str">
        <f>"275027342"</f>
        <v>275027342</v>
      </c>
      <c r="CQ1505">
        <v>0</v>
      </c>
      <c r="CR1505">
        <v>2</v>
      </c>
      <c r="CS1505">
        <v>0</v>
      </c>
      <c r="CT1505">
        <v>2</v>
      </c>
      <c r="CU1505">
        <v>0</v>
      </c>
      <c r="CV1505">
        <v>7</v>
      </c>
      <c r="CW1505" t="s">
        <v>120</v>
      </c>
      <c r="CX1505">
        <v>261</v>
      </c>
      <c r="CY1505">
        <v>2</v>
      </c>
      <c r="CZ1505" t="s">
        <v>121</v>
      </c>
      <c r="DA1505" t="s">
        <v>122</v>
      </c>
      <c r="DD1505">
        <v>15123089</v>
      </c>
      <c r="DE1505" t="s">
        <v>123</v>
      </c>
    </row>
    <row r="1506" spans="1:109" x14ac:dyDescent="0.3">
      <c r="A1506" t="str">
        <f>"18:59:53.391"</f>
        <v>18:59:53.391</v>
      </c>
      <c r="B1506" t="s">
        <v>110</v>
      </c>
      <c r="C1506" t="str">
        <f t="shared" si="69"/>
        <v>ffdfd3c0</v>
      </c>
      <c r="D1506" t="s">
        <v>111</v>
      </c>
      <c r="E1506">
        <v>18</v>
      </c>
      <c r="F1506">
        <v>1018</v>
      </c>
      <c r="G1506" t="s">
        <v>112</v>
      </c>
      <c r="J1506" t="s">
        <v>113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R1506" t="s">
        <v>114</v>
      </c>
      <c r="S1506" t="str">
        <f>"18:59:53.188"</f>
        <v>18:59:53.188</v>
      </c>
      <c r="T1506" t="str">
        <f>"18:59:53.188"</f>
        <v>18:59:53.188</v>
      </c>
      <c r="U1506" t="str">
        <f t="shared" si="70"/>
        <v>a1cdbe</v>
      </c>
      <c r="V1506">
        <v>0</v>
      </c>
      <c r="W1506">
        <v>0</v>
      </c>
      <c r="X1506">
        <v>1</v>
      </c>
      <c r="Y1506">
        <v>0</v>
      </c>
      <c r="Z1506">
        <v>0</v>
      </c>
      <c r="AB1506">
        <v>0</v>
      </c>
      <c r="AC1506">
        <v>9</v>
      </c>
      <c r="AD1506">
        <v>3</v>
      </c>
      <c r="AE1506">
        <v>0</v>
      </c>
      <c r="AF1506">
        <v>9</v>
      </c>
      <c r="AG1506" t="s">
        <v>158</v>
      </c>
      <c r="AH1506">
        <v>0</v>
      </c>
      <c r="AI1506">
        <v>3</v>
      </c>
      <c r="AJ1506">
        <v>1</v>
      </c>
      <c r="AK1506">
        <v>0</v>
      </c>
      <c r="AL1506" t="s">
        <v>2924</v>
      </c>
      <c r="AM1506">
        <v>46.813431000000001</v>
      </c>
      <c r="AN1506" t="s">
        <v>2925</v>
      </c>
      <c r="AO1506">
        <v>-122.779512</v>
      </c>
      <c r="AP1506">
        <v>100</v>
      </c>
      <c r="AQ1506">
        <v>2000</v>
      </c>
      <c r="AR1506" t="s">
        <v>118</v>
      </c>
      <c r="AS1506">
        <v>-77</v>
      </c>
      <c r="AT1506">
        <v>21</v>
      </c>
      <c r="AU1506">
        <v>-192</v>
      </c>
      <c r="BC1506">
        <v>1200</v>
      </c>
      <c r="BD1506">
        <v>1</v>
      </c>
      <c r="BE1506" t="str">
        <f t="shared" si="71"/>
        <v xml:space="preserve">N215T   </v>
      </c>
      <c r="BF1506">
        <v>1</v>
      </c>
      <c r="BH1506">
        <v>0</v>
      </c>
      <c r="BI1506">
        <v>0</v>
      </c>
      <c r="BJ1506">
        <v>0</v>
      </c>
      <c r="BK1506">
        <v>2400</v>
      </c>
      <c r="BL1506">
        <v>400</v>
      </c>
      <c r="BM1506" t="s">
        <v>119</v>
      </c>
      <c r="BN1506">
        <v>1</v>
      </c>
      <c r="BO1506">
        <v>1</v>
      </c>
      <c r="BP1506">
        <v>1</v>
      </c>
      <c r="BQ1506">
        <v>0</v>
      </c>
      <c r="BT1506">
        <v>0</v>
      </c>
      <c r="BU1506">
        <v>0</v>
      </c>
      <c r="BV1506">
        <v>0</v>
      </c>
      <c r="CC1506" t="str">
        <f>"18:59:53.188"</f>
        <v>18:59:53.188</v>
      </c>
      <c r="CD1506" t="str">
        <f>"189984434"</f>
        <v>189984434</v>
      </c>
      <c r="CQ1506">
        <v>0</v>
      </c>
      <c r="CR1506">
        <v>2</v>
      </c>
      <c r="CS1506">
        <v>0</v>
      </c>
      <c r="CT1506">
        <v>2</v>
      </c>
      <c r="CU1506">
        <v>0</v>
      </c>
      <c r="CV1506">
        <v>7</v>
      </c>
      <c r="CW1506" t="s">
        <v>120</v>
      </c>
      <c r="CX1506">
        <v>257</v>
      </c>
      <c r="CY1506">
        <v>1</v>
      </c>
      <c r="CZ1506" t="s">
        <v>615</v>
      </c>
      <c r="DA1506" t="s">
        <v>616</v>
      </c>
      <c r="DD1506">
        <v>11496694</v>
      </c>
      <c r="DE1506" t="s">
        <v>123</v>
      </c>
    </row>
    <row r="1507" spans="1:109" x14ac:dyDescent="0.3">
      <c r="A1507" t="str">
        <f>"18:59:54.344"</f>
        <v>18:59:54.344</v>
      </c>
      <c r="B1507" t="s">
        <v>110</v>
      </c>
      <c r="C1507" t="str">
        <f t="shared" si="69"/>
        <v>ffdfd3c0</v>
      </c>
      <c r="D1507" t="s">
        <v>111</v>
      </c>
      <c r="E1507">
        <v>18</v>
      </c>
      <c r="F1507">
        <v>1018</v>
      </c>
      <c r="G1507" t="s">
        <v>112</v>
      </c>
      <c r="J1507" t="s">
        <v>113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R1507" t="s">
        <v>114</v>
      </c>
      <c r="S1507" t="str">
        <f>"18:59:54.102"</f>
        <v>18:59:54.102</v>
      </c>
      <c r="T1507" t="str">
        <f>"18:59:53.703"</f>
        <v>18:59:53.703</v>
      </c>
      <c r="U1507" t="str">
        <f t="shared" si="70"/>
        <v>a1cdbe</v>
      </c>
      <c r="V1507">
        <v>0</v>
      </c>
      <c r="W1507">
        <v>0</v>
      </c>
      <c r="X1507">
        <v>1</v>
      </c>
      <c r="Y1507">
        <v>0</v>
      </c>
      <c r="Z1507">
        <v>0</v>
      </c>
      <c r="AB1507">
        <v>0</v>
      </c>
      <c r="AC1507">
        <v>9</v>
      </c>
      <c r="AD1507">
        <v>3</v>
      </c>
      <c r="AE1507">
        <v>0</v>
      </c>
      <c r="AF1507">
        <v>9</v>
      </c>
      <c r="AG1507" t="s">
        <v>158</v>
      </c>
      <c r="AH1507">
        <v>0</v>
      </c>
      <c r="AI1507">
        <v>3</v>
      </c>
      <c r="AJ1507">
        <v>1</v>
      </c>
      <c r="AK1507">
        <v>0</v>
      </c>
      <c r="AL1507" t="s">
        <v>2926</v>
      </c>
      <c r="AM1507">
        <v>46.813516999999997</v>
      </c>
      <c r="AN1507" t="s">
        <v>2927</v>
      </c>
      <c r="AO1507">
        <v>-122.779984</v>
      </c>
      <c r="AP1507">
        <v>100</v>
      </c>
      <c r="AQ1507">
        <v>2000</v>
      </c>
      <c r="AR1507" t="s">
        <v>118</v>
      </c>
      <c r="AS1507">
        <v>-77</v>
      </c>
      <c r="AT1507">
        <v>21</v>
      </c>
      <c r="AU1507">
        <v>-128</v>
      </c>
      <c r="BC1507">
        <v>1200</v>
      </c>
      <c r="BD1507">
        <v>1</v>
      </c>
      <c r="BE1507" t="str">
        <f t="shared" si="71"/>
        <v xml:space="preserve">N215T   </v>
      </c>
      <c r="BF1507">
        <v>1</v>
      </c>
      <c r="BH1507">
        <v>0</v>
      </c>
      <c r="BI1507">
        <v>0</v>
      </c>
      <c r="BJ1507">
        <v>0</v>
      </c>
      <c r="BK1507">
        <v>2400</v>
      </c>
      <c r="BL1507">
        <v>400</v>
      </c>
      <c r="BM1507" t="s">
        <v>119</v>
      </c>
      <c r="BN1507">
        <v>1</v>
      </c>
      <c r="BO1507">
        <v>1</v>
      </c>
      <c r="BP1507">
        <v>1</v>
      </c>
      <c r="BQ1507">
        <v>0</v>
      </c>
      <c r="BT1507">
        <v>0</v>
      </c>
      <c r="BU1507">
        <v>0</v>
      </c>
      <c r="BV1507">
        <v>0</v>
      </c>
      <c r="CC1507" t="str">
        <f>"18:59:54.102"</f>
        <v>18:59:54.102</v>
      </c>
      <c r="CD1507" t="str">
        <f>"104894234"</f>
        <v>104894234</v>
      </c>
      <c r="CQ1507">
        <v>0</v>
      </c>
      <c r="CR1507">
        <v>2</v>
      </c>
      <c r="CS1507">
        <v>0</v>
      </c>
      <c r="CT1507">
        <v>2</v>
      </c>
      <c r="CU1507">
        <v>0</v>
      </c>
      <c r="CV1507">
        <v>7</v>
      </c>
      <c r="CW1507" t="s">
        <v>120</v>
      </c>
      <c r="CX1507">
        <v>257</v>
      </c>
      <c r="CY1507">
        <v>1</v>
      </c>
      <c r="CZ1507" t="s">
        <v>615</v>
      </c>
      <c r="DA1507" t="s">
        <v>616</v>
      </c>
      <c r="DD1507">
        <v>11497378</v>
      </c>
      <c r="DE1507" t="s">
        <v>123</v>
      </c>
    </row>
    <row r="1508" spans="1:109" x14ac:dyDescent="0.3">
      <c r="A1508" t="str">
        <f>"18:59:55.352"</f>
        <v>18:59:55.352</v>
      </c>
      <c r="B1508" t="s">
        <v>110</v>
      </c>
      <c r="C1508" t="str">
        <f t="shared" si="69"/>
        <v>ffdfd3c0</v>
      </c>
      <c r="D1508" t="s">
        <v>111</v>
      </c>
      <c r="E1508">
        <v>18</v>
      </c>
      <c r="F1508">
        <v>1018</v>
      </c>
      <c r="G1508" t="s">
        <v>112</v>
      </c>
      <c r="J1508" t="s">
        <v>113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R1508" t="s">
        <v>114</v>
      </c>
      <c r="S1508" t="str">
        <f>"18:59:55.094"</f>
        <v>18:59:55.094</v>
      </c>
      <c r="T1508" t="str">
        <f>"18:59:54.695"</f>
        <v>18:59:54.695</v>
      </c>
      <c r="U1508" t="str">
        <f t="shared" si="70"/>
        <v>a1cdbe</v>
      </c>
      <c r="V1508">
        <v>0</v>
      </c>
      <c r="W1508">
        <v>0</v>
      </c>
      <c r="X1508">
        <v>1</v>
      </c>
      <c r="Y1508">
        <v>0</v>
      </c>
      <c r="Z1508">
        <v>0</v>
      </c>
      <c r="AB1508">
        <v>0</v>
      </c>
      <c r="AC1508">
        <v>9</v>
      </c>
      <c r="AD1508">
        <v>3</v>
      </c>
      <c r="AE1508">
        <v>0</v>
      </c>
      <c r="AF1508">
        <v>9</v>
      </c>
      <c r="AG1508" t="s">
        <v>158</v>
      </c>
      <c r="AH1508">
        <v>0</v>
      </c>
      <c r="AI1508">
        <v>3</v>
      </c>
      <c r="AJ1508">
        <v>1</v>
      </c>
      <c r="AK1508">
        <v>0</v>
      </c>
      <c r="AL1508" t="s">
        <v>2928</v>
      </c>
      <c r="AM1508">
        <v>46.813623999999997</v>
      </c>
      <c r="AN1508" t="s">
        <v>2929</v>
      </c>
      <c r="AO1508">
        <v>-122.78052099999999</v>
      </c>
      <c r="AP1508">
        <v>100</v>
      </c>
      <c r="AQ1508">
        <v>2000</v>
      </c>
      <c r="AR1508" t="s">
        <v>118</v>
      </c>
      <c r="AS1508">
        <v>-77</v>
      </c>
      <c r="AT1508">
        <v>23</v>
      </c>
      <c r="AU1508">
        <v>-192</v>
      </c>
      <c r="BC1508">
        <v>1200</v>
      </c>
      <c r="BD1508">
        <v>1</v>
      </c>
      <c r="BE1508" t="str">
        <f t="shared" si="71"/>
        <v xml:space="preserve">N215T   </v>
      </c>
      <c r="BF1508">
        <v>1</v>
      </c>
      <c r="BH1508">
        <v>0</v>
      </c>
      <c r="BI1508">
        <v>0</v>
      </c>
      <c r="BJ1508">
        <v>0</v>
      </c>
      <c r="BK1508">
        <v>2400</v>
      </c>
      <c r="BL1508">
        <v>400</v>
      </c>
      <c r="BM1508" t="s">
        <v>119</v>
      </c>
      <c r="BN1508">
        <v>1</v>
      </c>
      <c r="BO1508">
        <v>1</v>
      </c>
      <c r="BP1508">
        <v>1</v>
      </c>
      <c r="BQ1508">
        <v>0</v>
      </c>
      <c r="BT1508">
        <v>0</v>
      </c>
      <c r="BU1508">
        <v>0</v>
      </c>
      <c r="BV1508">
        <v>0</v>
      </c>
      <c r="CC1508" t="str">
        <f>"18:59:55.094"</f>
        <v>18:59:55.094</v>
      </c>
      <c r="CD1508" t="str">
        <f>"094749535"</f>
        <v>094749535</v>
      </c>
      <c r="CQ1508">
        <v>0</v>
      </c>
      <c r="CR1508">
        <v>2</v>
      </c>
      <c r="CS1508">
        <v>0</v>
      </c>
      <c r="CT1508">
        <v>2</v>
      </c>
      <c r="CU1508">
        <v>0</v>
      </c>
      <c r="CV1508">
        <v>7</v>
      </c>
      <c r="CW1508" t="s">
        <v>120</v>
      </c>
      <c r="CX1508">
        <v>261</v>
      </c>
      <c r="CY1508">
        <v>2</v>
      </c>
      <c r="CZ1508" t="s">
        <v>121</v>
      </c>
      <c r="DA1508" t="s">
        <v>122</v>
      </c>
      <c r="DD1508">
        <v>15125025</v>
      </c>
      <c r="DE1508" t="s">
        <v>123</v>
      </c>
    </row>
    <row r="1509" spans="1:109" x14ac:dyDescent="0.3">
      <c r="A1509" t="str">
        <f>"18:59:56.406"</f>
        <v>18:59:56.406</v>
      </c>
      <c r="B1509" t="s">
        <v>110</v>
      </c>
      <c r="C1509" t="str">
        <f t="shared" si="69"/>
        <v>ffdfd3c0</v>
      </c>
      <c r="D1509" t="s">
        <v>111</v>
      </c>
      <c r="E1509">
        <v>18</v>
      </c>
      <c r="F1509">
        <v>1018</v>
      </c>
      <c r="G1509" t="s">
        <v>112</v>
      </c>
      <c r="J1509" t="s">
        <v>113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R1509" t="s">
        <v>114</v>
      </c>
      <c r="S1509" t="str">
        <f>"18:59:56.156"</f>
        <v>18:59:56.156</v>
      </c>
      <c r="T1509" t="str">
        <f>"18:59:55.258"</f>
        <v>18:59:55.258</v>
      </c>
      <c r="U1509" t="str">
        <f t="shared" si="70"/>
        <v>a1cdbe</v>
      </c>
      <c r="V1509">
        <v>0</v>
      </c>
      <c r="W1509">
        <v>0</v>
      </c>
      <c r="X1509">
        <v>1</v>
      </c>
      <c r="Y1509">
        <v>0</v>
      </c>
      <c r="Z1509">
        <v>0</v>
      </c>
      <c r="AB1509">
        <v>0</v>
      </c>
      <c r="AC1509">
        <v>9</v>
      </c>
      <c r="AD1509">
        <v>3</v>
      </c>
      <c r="AE1509">
        <v>0</v>
      </c>
      <c r="AF1509">
        <v>9</v>
      </c>
      <c r="AG1509" t="s">
        <v>158</v>
      </c>
      <c r="AH1509">
        <v>0</v>
      </c>
      <c r="AI1509">
        <v>3</v>
      </c>
      <c r="AJ1509">
        <v>1</v>
      </c>
      <c r="AK1509">
        <v>0</v>
      </c>
      <c r="AL1509" t="s">
        <v>2930</v>
      </c>
      <c r="AM1509">
        <v>46.813774000000002</v>
      </c>
      <c r="AN1509" t="s">
        <v>2931</v>
      </c>
      <c r="AO1509">
        <v>-122.78107900000001</v>
      </c>
      <c r="AP1509">
        <v>100</v>
      </c>
      <c r="AQ1509">
        <v>2000</v>
      </c>
      <c r="AR1509" t="s">
        <v>118</v>
      </c>
      <c r="AS1509">
        <v>-77</v>
      </c>
      <c r="AT1509">
        <v>24</v>
      </c>
      <c r="AU1509">
        <v>-192</v>
      </c>
      <c r="BC1509">
        <v>1200</v>
      </c>
      <c r="BD1509">
        <v>1</v>
      </c>
      <c r="BE1509" t="str">
        <f t="shared" si="71"/>
        <v xml:space="preserve">N215T   </v>
      </c>
      <c r="BF1509">
        <v>1</v>
      </c>
      <c r="BH1509">
        <v>0</v>
      </c>
      <c r="BI1509">
        <v>0</v>
      </c>
      <c r="BJ1509">
        <v>0</v>
      </c>
      <c r="BK1509">
        <v>2400</v>
      </c>
      <c r="BL1509">
        <v>400</v>
      </c>
      <c r="BM1509" t="s">
        <v>119</v>
      </c>
      <c r="BN1509">
        <v>1</v>
      </c>
      <c r="BO1509">
        <v>1</v>
      </c>
      <c r="BP1509">
        <v>1</v>
      </c>
      <c r="BQ1509">
        <v>0</v>
      </c>
      <c r="BT1509">
        <v>0</v>
      </c>
      <c r="BU1509">
        <v>0</v>
      </c>
      <c r="BV1509">
        <v>0</v>
      </c>
      <c r="CC1509" t="str">
        <f>"18:59:56.156"</f>
        <v>18:59:56.156</v>
      </c>
      <c r="CD1509" t="str">
        <f>"159644626"</f>
        <v>159644626</v>
      </c>
      <c r="CQ1509">
        <v>0</v>
      </c>
      <c r="CR1509">
        <v>2</v>
      </c>
      <c r="CS1509">
        <v>0</v>
      </c>
      <c r="CT1509">
        <v>2</v>
      </c>
      <c r="CU1509">
        <v>0</v>
      </c>
      <c r="CV1509">
        <v>5</v>
      </c>
      <c r="CW1509" t="s">
        <v>120</v>
      </c>
      <c r="CX1509">
        <v>261</v>
      </c>
      <c r="CY1509">
        <v>3</v>
      </c>
      <c r="CZ1509" t="s">
        <v>121</v>
      </c>
      <c r="DA1509" t="s">
        <v>122</v>
      </c>
      <c r="DD1509">
        <v>3492695</v>
      </c>
      <c r="DE1509" t="s">
        <v>123</v>
      </c>
    </row>
    <row r="1510" spans="1:109" x14ac:dyDescent="0.3">
      <c r="A1510" t="str">
        <f>"18:59:57.563"</f>
        <v>18:59:57.563</v>
      </c>
      <c r="B1510" t="s">
        <v>110</v>
      </c>
      <c r="C1510" t="str">
        <f t="shared" si="69"/>
        <v>ffdfd3c0</v>
      </c>
      <c r="D1510" t="s">
        <v>111</v>
      </c>
      <c r="E1510">
        <v>18</v>
      </c>
      <c r="F1510">
        <v>1018</v>
      </c>
      <c r="G1510" t="s">
        <v>112</v>
      </c>
      <c r="J1510" t="s">
        <v>113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R1510" t="s">
        <v>114</v>
      </c>
      <c r="S1510" t="str">
        <f>"18:59:57.328"</f>
        <v>18:59:57.328</v>
      </c>
      <c r="T1510" t="str">
        <f>"18:59:57.328"</f>
        <v>18:59:57.328</v>
      </c>
      <c r="U1510" t="str">
        <f t="shared" si="70"/>
        <v>a1cdbe</v>
      </c>
      <c r="V1510">
        <v>0</v>
      </c>
      <c r="W1510">
        <v>0</v>
      </c>
      <c r="X1510">
        <v>1</v>
      </c>
      <c r="Y1510">
        <v>0</v>
      </c>
      <c r="Z1510">
        <v>0</v>
      </c>
      <c r="AB1510">
        <v>0</v>
      </c>
      <c r="AC1510">
        <v>9</v>
      </c>
      <c r="AD1510">
        <v>3</v>
      </c>
      <c r="AE1510">
        <v>0</v>
      </c>
      <c r="AF1510">
        <v>9</v>
      </c>
      <c r="AG1510" t="s">
        <v>158</v>
      </c>
      <c r="AH1510">
        <v>0</v>
      </c>
      <c r="AI1510">
        <v>3</v>
      </c>
      <c r="AJ1510">
        <v>1</v>
      </c>
      <c r="AK1510">
        <v>0</v>
      </c>
      <c r="AL1510" t="s">
        <v>2932</v>
      </c>
      <c r="AM1510">
        <v>46.813881000000002</v>
      </c>
      <c r="AN1510" t="s">
        <v>2933</v>
      </c>
      <c r="AO1510">
        <v>-122.78165799999999</v>
      </c>
      <c r="AP1510">
        <v>100</v>
      </c>
      <c r="AQ1510">
        <v>2000</v>
      </c>
      <c r="AR1510" t="s">
        <v>118</v>
      </c>
      <c r="AS1510">
        <v>-76</v>
      </c>
      <c r="AT1510">
        <v>26</v>
      </c>
      <c r="AU1510">
        <v>-192</v>
      </c>
      <c r="BC1510">
        <v>1200</v>
      </c>
      <c r="BD1510">
        <v>1</v>
      </c>
      <c r="BE1510" t="str">
        <f t="shared" si="71"/>
        <v xml:space="preserve">N215T   </v>
      </c>
      <c r="BF1510">
        <v>1</v>
      </c>
      <c r="BH1510">
        <v>0</v>
      </c>
      <c r="BI1510">
        <v>0</v>
      </c>
      <c r="BJ1510">
        <v>0</v>
      </c>
      <c r="BK1510">
        <v>2375</v>
      </c>
      <c r="BL1510">
        <v>375</v>
      </c>
      <c r="BM1510" t="s">
        <v>119</v>
      </c>
      <c r="BN1510">
        <v>1</v>
      </c>
      <c r="BO1510">
        <v>1</v>
      </c>
      <c r="BP1510">
        <v>1</v>
      </c>
      <c r="BQ1510">
        <v>0</v>
      </c>
      <c r="BT1510">
        <v>0</v>
      </c>
      <c r="BU1510">
        <v>0</v>
      </c>
      <c r="BV1510">
        <v>0</v>
      </c>
      <c r="CC1510" t="str">
        <f>"18:59:57.328"</f>
        <v>18:59:57.328</v>
      </c>
      <c r="CD1510" t="str">
        <f>"329529341"</f>
        <v>329529341</v>
      </c>
      <c r="CQ1510">
        <v>0</v>
      </c>
      <c r="CR1510">
        <v>2</v>
      </c>
      <c r="CS1510">
        <v>0</v>
      </c>
      <c r="CT1510">
        <v>2</v>
      </c>
      <c r="CU1510">
        <v>0</v>
      </c>
      <c r="CV1510">
        <v>7</v>
      </c>
      <c r="CW1510" t="s">
        <v>120</v>
      </c>
      <c r="CX1510">
        <v>261</v>
      </c>
      <c r="CY1510">
        <v>2</v>
      </c>
      <c r="CZ1510" t="s">
        <v>121</v>
      </c>
      <c r="DA1510" t="s">
        <v>122</v>
      </c>
      <c r="DD1510">
        <v>15126484</v>
      </c>
      <c r="DE1510" t="s">
        <v>123</v>
      </c>
    </row>
    <row r="1511" spans="1:109" x14ac:dyDescent="0.3">
      <c r="A1511" t="str">
        <f>"18:59:58.617"</f>
        <v>18:59:58.617</v>
      </c>
      <c r="B1511" t="s">
        <v>110</v>
      </c>
      <c r="C1511" t="str">
        <f t="shared" si="69"/>
        <v>ffdfd3c0</v>
      </c>
      <c r="D1511" t="s">
        <v>111</v>
      </c>
      <c r="E1511">
        <v>18</v>
      </c>
      <c r="F1511">
        <v>1018</v>
      </c>
      <c r="G1511" t="s">
        <v>112</v>
      </c>
      <c r="J1511" t="s">
        <v>113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R1511" t="s">
        <v>114</v>
      </c>
      <c r="S1511" t="str">
        <f>"18:59:58.406"</f>
        <v>18:59:58.406</v>
      </c>
      <c r="T1511" t="str">
        <f>"18:59:58.203"</f>
        <v>18:59:58.203</v>
      </c>
      <c r="U1511" t="str">
        <f t="shared" si="70"/>
        <v>a1cdbe</v>
      </c>
      <c r="V1511">
        <v>0</v>
      </c>
      <c r="W1511">
        <v>0</v>
      </c>
      <c r="X1511">
        <v>1</v>
      </c>
      <c r="Y1511">
        <v>0</v>
      </c>
      <c r="Z1511">
        <v>0</v>
      </c>
      <c r="AB1511">
        <v>0</v>
      </c>
      <c r="AC1511">
        <v>9</v>
      </c>
      <c r="AD1511">
        <v>3</v>
      </c>
      <c r="AE1511">
        <v>0</v>
      </c>
      <c r="AF1511">
        <v>9</v>
      </c>
      <c r="AG1511" t="s">
        <v>158</v>
      </c>
      <c r="AH1511">
        <v>0</v>
      </c>
      <c r="AI1511">
        <v>3</v>
      </c>
      <c r="AJ1511">
        <v>1</v>
      </c>
      <c r="AK1511">
        <v>0</v>
      </c>
      <c r="AL1511" t="s">
        <v>2659</v>
      </c>
      <c r="AM1511">
        <v>46.814031999999997</v>
      </c>
      <c r="AN1511" t="s">
        <v>2934</v>
      </c>
      <c r="AO1511">
        <v>-122.782195</v>
      </c>
      <c r="AP1511">
        <v>100</v>
      </c>
      <c r="AQ1511">
        <v>2000</v>
      </c>
      <c r="AR1511" t="s">
        <v>118</v>
      </c>
      <c r="AS1511">
        <v>-76</v>
      </c>
      <c r="AT1511">
        <v>26</v>
      </c>
      <c r="AU1511">
        <v>0</v>
      </c>
      <c r="BC1511">
        <v>1200</v>
      </c>
      <c r="BD1511">
        <v>1</v>
      </c>
      <c r="BE1511" t="str">
        <f t="shared" si="71"/>
        <v xml:space="preserve">N215T   </v>
      </c>
      <c r="BF1511">
        <v>1</v>
      </c>
      <c r="BH1511">
        <v>0</v>
      </c>
      <c r="BI1511">
        <v>0</v>
      </c>
      <c r="BJ1511">
        <v>0</v>
      </c>
      <c r="BK1511">
        <v>2375</v>
      </c>
      <c r="BL1511">
        <v>375</v>
      </c>
      <c r="BM1511" t="s">
        <v>119</v>
      </c>
      <c r="BN1511">
        <v>1</v>
      </c>
      <c r="BO1511">
        <v>1</v>
      </c>
      <c r="BP1511">
        <v>1</v>
      </c>
      <c r="BQ1511">
        <v>0</v>
      </c>
      <c r="BT1511">
        <v>0</v>
      </c>
      <c r="BU1511">
        <v>0</v>
      </c>
      <c r="BV1511">
        <v>0</v>
      </c>
      <c r="CC1511" t="str">
        <f>"18:59:58.406"</f>
        <v>18:59:58.406</v>
      </c>
      <c r="CD1511" t="str">
        <f>"409422938"</f>
        <v>409422938</v>
      </c>
      <c r="CQ1511">
        <v>0</v>
      </c>
      <c r="CR1511">
        <v>2</v>
      </c>
      <c r="CS1511">
        <v>0</v>
      </c>
      <c r="CT1511">
        <v>2</v>
      </c>
      <c r="CU1511">
        <v>0</v>
      </c>
      <c r="CV1511">
        <v>7</v>
      </c>
      <c r="CW1511" t="s">
        <v>120</v>
      </c>
      <c r="CX1511">
        <v>261</v>
      </c>
      <c r="CY1511">
        <v>2</v>
      </c>
      <c r="CZ1511" t="s">
        <v>121</v>
      </c>
      <c r="DA1511" t="s">
        <v>122</v>
      </c>
      <c r="DD1511">
        <v>15127240</v>
      </c>
      <c r="DE1511" t="s">
        <v>123</v>
      </c>
    </row>
    <row r="1512" spans="1:109" x14ac:dyDescent="0.3">
      <c r="A1512" t="str">
        <f>"18:59:59.672"</f>
        <v>18:59:59.672</v>
      </c>
      <c r="B1512" t="s">
        <v>110</v>
      </c>
      <c r="C1512" t="str">
        <f t="shared" si="69"/>
        <v>ffdfd3c0</v>
      </c>
      <c r="D1512" t="s">
        <v>111</v>
      </c>
      <c r="E1512">
        <v>18</v>
      </c>
      <c r="F1512">
        <v>1018</v>
      </c>
      <c r="G1512" t="s">
        <v>112</v>
      </c>
      <c r="J1512" t="s">
        <v>113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R1512" t="s">
        <v>114</v>
      </c>
      <c r="S1512" t="str">
        <f>"18:59:59.453"</f>
        <v>18:59:59.453</v>
      </c>
      <c r="T1512" t="str">
        <f>"18:59:59.156"</f>
        <v>18:59:59.156</v>
      </c>
      <c r="U1512" t="str">
        <f t="shared" si="70"/>
        <v>a1cdbe</v>
      </c>
      <c r="V1512">
        <v>0</v>
      </c>
      <c r="W1512">
        <v>0</v>
      </c>
      <c r="X1512">
        <v>1</v>
      </c>
      <c r="Y1512">
        <v>0</v>
      </c>
      <c r="Z1512">
        <v>0</v>
      </c>
      <c r="AB1512">
        <v>0</v>
      </c>
      <c r="AC1512">
        <v>9</v>
      </c>
      <c r="AD1512">
        <v>3</v>
      </c>
      <c r="AE1512">
        <v>0</v>
      </c>
      <c r="AF1512">
        <v>9</v>
      </c>
      <c r="AG1512" t="s">
        <v>158</v>
      </c>
      <c r="AH1512">
        <v>0</v>
      </c>
      <c r="AI1512">
        <v>3</v>
      </c>
      <c r="AJ1512">
        <v>1</v>
      </c>
      <c r="AK1512">
        <v>0</v>
      </c>
      <c r="AL1512" t="s">
        <v>2935</v>
      </c>
      <c r="AM1512">
        <v>46.814138999999997</v>
      </c>
      <c r="AN1512" t="s">
        <v>2936</v>
      </c>
      <c r="AO1512">
        <v>-122.782731</v>
      </c>
      <c r="AP1512">
        <v>100</v>
      </c>
      <c r="AQ1512">
        <v>2000</v>
      </c>
      <c r="AR1512" t="s">
        <v>118</v>
      </c>
      <c r="AS1512">
        <v>-76</v>
      </c>
      <c r="AT1512">
        <v>25</v>
      </c>
      <c r="AU1512">
        <v>64</v>
      </c>
      <c r="BC1512">
        <v>1200</v>
      </c>
      <c r="BD1512">
        <v>1</v>
      </c>
      <c r="BE1512" t="str">
        <f t="shared" si="71"/>
        <v xml:space="preserve">N215T   </v>
      </c>
      <c r="BF1512">
        <v>1</v>
      </c>
      <c r="BH1512">
        <v>0</v>
      </c>
      <c r="BI1512">
        <v>0</v>
      </c>
      <c r="BJ1512">
        <v>0</v>
      </c>
      <c r="BK1512">
        <v>2375</v>
      </c>
      <c r="BL1512">
        <v>375</v>
      </c>
      <c r="BM1512" t="s">
        <v>119</v>
      </c>
      <c r="BN1512">
        <v>1</v>
      </c>
      <c r="BO1512">
        <v>1</v>
      </c>
      <c r="BP1512">
        <v>1</v>
      </c>
      <c r="BQ1512">
        <v>0</v>
      </c>
      <c r="BT1512">
        <v>0</v>
      </c>
      <c r="BU1512">
        <v>0</v>
      </c>
      <c r="BV1512">
        <v>0</v>
      </c>
      <c r="CC1512" t="str">
        <f>"18:59:59.461"</f>
        <v>18:59:59.461</v>
      </c>
      <c r="CD1512" t="str">
        <f>"459319489"</f>
        <v>459319489</v>
      </c>
      <c r="CQ1512">
        <v>0</v>
      </c>
      <c r="CR1512">
        <v>2</v>
      </c>
      <c r="CS1512">
        <v>0</v>
      </c>
      <c r="CT1512">
        <v>2</v>
      </c>
      <c r="CU1512">
        <v>0</v>
      </c>
      <c r="CV1512">
        <v>7</v>
      </c>
      <c r="CW1512" t="s">
        <v>120</v>
      </c>
      <c r="CX1512">
        <v>261</v>
      </c>
      <c r="CY1512">
        <v>2</v>
      </c>
      <c r="CZ1512" t="s">
        <v>121</v>
      </c>
      <c r="DA1512" t="s">
        <v>122</v>
      </c>
      <c r="DD1512">
        <v>15127925</v>
      </c>
      <c r="DE1512" t="s">
        <v>123</v>
      </c>
    </row>
    <row r="1513" spans="1:109" x14ac:dyDescent="0.3">
      <c r="A1513" t="str">
        <f>"19:00:00.680"</f>
        <v>19:00:00.680</v>
      </c>
      <c r="B1513" t="s">
        <v>110</v>
      </c>
      <c r="C1513" t="str">
        <f t="shared" si="69"/>
        <v>ffdfd3c0</v>
      </c>
      <c r="D1513" t="s">
        <v>111</v>
      </c>
      <c r="E1513">
        <v>18</v>
      </c>
      <c r="F1513">
        <v>1018</v>
      </c>
      <c r="G1513" t="s">
        <v>112</v>
      </c>
      <c r="J1513" t="s">
        <v>113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R1513" t="s">
        <v>114</v>
      </c>
      <c r="S1513" t="str">
        <f>"19:00:00.430"</f>
        <v>19:00:00.430</v>
      </c>
      <c r="T1513" t="str">
        <f>"19:00:00.133"</f>
        <v>19:00:00.133</v>
      </c>
      <c r="U1513" t="str">
        <f t="shared" si="70"/>
        <v>a1cdbe</v>
      </c>
      <c r="V1513">
        <v>0</v>
      </c>
      <c r="W1513">
        <v>0</v>
      </c>
      <c r="X1513">
        <v>1</v>
      </c>
      <c r="Y1513">
        <v>0</v>
      </c>
      <c r="Z1513">
        <v>0</v>
      </c>
      <c r="AB1513">
        <v>0</v>
      </c>
      <c r="AC1513">
        <v>9</v>
      </c>
      <c r="AD1513">
        <v>3</v>
      </c>
      <c r="AE1513">
        <v>0</v>
      </c>
      <c r="AF1513">
        <v>9</v>
      </c>
      <c r="AG1513" t="s">
        <v>158</v>
      </c>
      <c r="AH1513">
        <v>0</v>
      </c>
      <c r="AI1513">
        <v>3</v>
      </c>
      <c r="AJ1513">
        <v>1</v>
      </c>
      <c r="AK1513">
        <v>0</v>
      </c>
      <c r="AL1513" t="s">
        <v>2653</v>
      </c>
      <c r="AM1513">
        <v>46.814245999999997</v>
      </c>
      <c r="AN1513" t="s">
        <v>2937</v>
      </c>
      <c r="AO1513">
        <v>-122.783267</v>
      </c>
      <c r="AP1513">
        <v>100</v>
      </c>
      <c r="AQ1513">
        <v>2000</v>
      </c>
      <c r="AR1513" t="s">
        <v>118</v>
      </c>
      <c r="AS1513">
        <v>-75</v>
      </c>
      <c r="AT1513">
        <v>24</v>
      </c>
      <c r="AU1513">
        <v>128</v>
      </c>
      <c r="BC1513">
        <v>1200</v>
      </c>
      <c r="BD1513">
        <v>1</v>
      </c>
      <c r="BE1513" t="str">
        <f t="shared" si="71"/>
        <v xml:space="preserve">N215T   </v>
      </c>
      <c r="BF1513">
        <v>1</v>
      </c>
      <c r="BH1513">
        <v>0</v>
      </c>
      <c r="BI1513">
        <v>0</v>
      </c>
      <c r="BJ1513">
        <v>0</v>
      </c>
      <c r="BK1513">
        <v>2375</v>
      </c>
      <c r="BL1513">
        <v>375</v>
      </c>
      <c r="BM1513" t="s">
        <v>119</v>
      </c>
      <c r="BN1513">
        <v>1</v>
      </c>
      <c r="BO1513">
        <v>1</v>
      </c>
      <c r="BP1513">
        <v>1</v>
      </c>
      <c r="BQ1513">
        <v>0</v>
      </c>
      <c r="BT1513">
        <v>0</v>
      </c>
      <c r="BU1513">
        <v>0</v>
      </c>
      <c r="BV1513">
        <v>0</v>
      </c>
      <c r="CC1513" t="str">
        <f>"19:00:00.438"</f>
        <v>19:00:00.438</v>
      </c>
      <c r="CD1513" t="str">
        <f>"434270289"</f>
        <v>434270289</v>
      </c>
      <c r="CQ1513">
        <v>0</v>
      </c>
      <c r="CR1513">
        <v>2</v>
      </c>
      <c r="CS1513">
        <v>0</v>
      </c>
      <c r="CT1513">
        <v>2</v>
      </c>
      <c r="CU1513">
        <v>0</v>
      </c>
      <c r="CV1513">
        <v>7</v>
      </c>
      <c r="CW1513" t="s">
        <v>120</v>
      </c>
      <c r="CX1513">
        <v>257</v>
      </c>
      <c r="CY1513">
        <v>1</v>
      </c>
      <c r="CZ1513" t="s">
        <v>615</v>
      </c>
      <c r="DA1513" t="s">
        <v>616</v>
      </c>
      <c r="DD1513">
        <v>11502313</v>
      </c>
      <c r="DE1513" t="s">
        <v>123</v>
      </c>
    </row>
    <row r="1514" spans="1:109" x14ac:dyDescent="0.3">
      <c r="A1514" t="str">
        <f>"19:00:01.688"</f>
        <v>19:00:01.688</v>
      </c>
      <c r="B1514" t="s">
        <v>110</v>
      </c>
      <c r="C1514" t="str">
        <f t="shared" si="69"/>
        <v>ffdfd3c0</v>
      </c>
      <c r="D1514" t="s">
        <v>111</v>
      </c>
      <c r="E1514">
        <v>18</v>
      </c>
      <c r="F1514">
        <v>1018</v>
      </c>
      <c r="G1514" t="s">
        <v>112</v>
      </c>
      <c r="J1514" t="s">
        <v>113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R1514" t="s">
        <v>114</v>
      </c>
      <c r="S1514" t="str">
        <f>"19:00:01.469"</f>
        <v>19:00:01.469</v>
      </c>
      <c r="T1514" t="str">
        <f>"19:00:01.172"</f>
        <v>19:00:01.172</v>
      </c>
      <c r="U1514" t="str">
        <f t="shared" si="70"/>
        <v>a1cdbe</v>
      </c>
      <c r="V1514">
        <v>0</v>
      </c>
      <c r="W1514">
        <v>0</v>
      </c>
      <c r="X1514">
        <v>1</v>
      </c>
      <c r="Y1514">
        <v>0</v>
      </c>
      <c r="Z1514">
        <v>0</v>
      </c>
      <c r="AB1514">
        <v>0</v>
      </c>
      <c r="AC1514">
        <v>9</v>
      </c>
      <c r="AD1514">
        <v>3</v>
      </c>
      <c r="AE1514">
        <v>0</v>
      </c>
      <c r="AF1514">
        <v>9</v>
      </c>
      <c r="AG1514" t="s">
        <v>158</v>
      </c>
      <c r="AH1514">
        <v>0</v>
      </c>
      <c r="AI1514">
        <v>3</v>
      </c>
      <c r="AJ1514">
        <v>1</v>
      </c>
      <c r="AK1514">
        <v>0</v>
      </c>
      <c r="AL1514" t="s">
        <v>2938</v>
      </c>
      <c r="AM1514">
        <v>46.814374999999998</v>
      </c>
      <c r="AN1514" t="s">
        <v>2939</v>
      </c>
      <c r="AO1514">
        <v>-122.783761</v>
      </c>
      <c r="AP1514">
        <v>100</v>
      </c>
      <c r="AQ1514">
        <v>2000</v>
      </c>
      <c r="AR1514" t="s">
        <v>118</v>
      </c>
      <c r="AS1514">
        <v>-74</v>
      </c>
      <c r="AT1514">
        <v>24</v>
      </c>
      <c r="AU1514">
        <v>320</v>
      </c>
      <c r="BC1514">
        <v>1200</v>
      </c>
      <c r="BD1514">
        <v>1</v>
      </c>
      <c r="BE1514" t="str">
        <f t="shared" si="71"/>
        <v xml:space="preserve">N215T   </v>
      </c>
      <c r="BF1514">
        <v>1</v>
      </c>
      <c r="BH1514">
        <v>0</v>
      </c>
      <c r="BI1514">
        <v>0</v>
      </c>
      <c r="BJ1514">
        <v>0</v>
      </c>
      <c r="BK1514">
        <v>2400</v>
      </c>
      <c r="BL1514">
        <v>400</v>
      </c>
      <c r="BM1514" t="s">
        <v>119</v>
      </c>
      <c r="BN1514">
        <v>1</v>
      </c>
      <c r="BO1514">
        <v>1</v>
      </c>
      <c r="BP1514">
        <v>1</v>
      </c>
      <c r="BQ1514">
        <v>0</v>
      </c>
      <c r="BT1514">
        <v>0</v>
      </c>
      <c r="BU1514">
        <v>0</v>
      </c>
      <c r="BV1514">
        <v>0</v>
      </c>
      <c r="CC1514" t="str">
        <f>"19:00:01.469"</f>
        <v>19:00:01.469</v>
      </c>
      <c r="CD1514" t="str">
        <f>"469168282"</f>
        <v>469168282</v>
      </c>
      <c r="CQ1514">
        <v>0</v>
      </c>
      <c r="CR1514">
        <v>2</v>
      </c>
      <c r="CS1514">
        <v>0</v>
      </c>
      <c r="CT1514">
        <v>2</v>
      </c>
      <c r="CU1514">
        <v>0</v>
      </c>
      <c r="CV1514">
        <v>7</v>
      </c>
      <c r="CW1514" t="s">
        <v>120</v>
      </c>
      <c r="CX1514">
        <v>257</v>
      </c>
      <c r="CY1514">
        <v>1</v>
      </c>
      <c r="CZ1514" t="s">
        <v>615</v>
      </c>
      <c r="DA1514" t="s">
        <v>616</v>
      </c>
      <c r="DD1514">
        <v>11503076</v>
      </c>
      <c r="DE1514" t="s">
        <v>123</v>
      </c>
    </row>
    <row r="1515" spans="1:109" x14ac:dyDescent="0.3">
      <c r="A1515" t="str">
        <f>"19:00:02.688"</f>
        <v>19:00:02.688</v>
      </c>
      <c r="B1515" t="s">
        <v>110</v>
      </c>
      <c r="C1515" t="str">
        <f t="shared" si="69"/>
        <v>ffdfd3c0</v>
      </c>
      <c r="D1515" t="s">
        <v>111</v>
      </c>
      <c r="E1515">
        <v>18</v>
      </c>
      <c r="F1515">
        <v>1018</v>
      </c>
      <c r="G1515" t="s">
        <v>112</v>
      </c>
      <c r="J1515" t="s">
        <v>113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R1515" t="s">
        <v>114</v>
      </c>
      <c r="S1515" t="str">
        <f>"19:00:02.469"</f>
        <v>19:00:02.469</v>
      </c>
      <c r="T1515" t="str">
        <f>"19:00:02.367"</f>
        <v>19:00:02.367</v>
      </c>
      <c r="U1515" t="str">
        <f t="shared" si="70"/>
        <v>a1cdbe</v>
      </c>
      <c r="V1515">
        <v>0</v>
      </c>
      <c r="W1515">
        <v>0</v>
      </c>
      <c r="X1515">
        <v>1</v>
      </c>
      <c r="Y1515">
        <v>0</v>
      </c>
      <c r="Z1515">
        <v>0</v>
      </c>
      <c r="AB1515">
        <v>0</v>
      </c>
      <c r="AC1515">
        <v>9</v>
      </c>
      <c r="AD1515">
        <v>3</v>
      </c>
      <c r="AE1515">
        <v>0</v>
      </c>
      <c r="AF1515">
        <v>9</v>
      </c>
      <c r="AG1515" t="s">
        <v>158</v>
      </c>
      <c r="AH1515">
        <v>0</v>
      </c>
      <c r="AI1515">
        <v>3</v>
      </c>
      <c r="AJ1515">
        <v>1</v>
      </c>
      <c r="AK1515">
        <v>0</v>
      </c>
      <c r="AL1515" t="s">
        <v>2940</v>
      </c>
      <c r="AM1515">
        <v>46.814481999999998</v>
      </c>
      <c r="AN1515" t="s">
        <v>2941</v>
      </c>
      <c r="AO1515">
        <v>-122.78427600000001</v>
      </c>
      <c r="AP1515">
        <v>100</v>
      </c>
      <c r="AQ1515">
        <v>2000</v>
      </c>
      <c r="AR1515" t="s">
        <v>118</v>
      </c>
      <c r="AS1515">
        <v>-74</v>
      </c>
      <c r="AT1515">
        <v>25</v>
      </c>
      <c r="AU1515">
        <v>384</v>
      </c>
      <c r="BC1515">
        <v>1200</v>
      </c>
      <c r="BD1515">
        <v>1</v>
      </c>
      <c r="BE1515" t="str">
        <f t="shared" si="71"/>
        <v xml:space="preserve">N215T   </v>
      </c>
      <c r="BF1515">
        <v>1</v>
      </c>
      <c r="BH1515">
        <v>0</v>
      </c>
      <c r="BI1515">
        <v>0</v>
      </c>
      <c r="BJ1515">
        <v>0</v>
      </c>
      <c r="BK1515">
        <v>2400</v>
      </c>
      <c r="BL1515">
        <v>400</v>
      </c>
      <c r="BM1515" t="s">
        <v>119</v>
      </c>
      <c r="BN1515">
        <v>1</v>
      </c>
      <c r="BO1515">
        <v>1</v>
      </c>
      <c r="BP1515">
        <v>1</v>
      </c>
      <c r="BQ1515">
        <v>0</v>
      </c>
      <c r="BT1515">
        <v>0</v>
      </c>
      <c r="BU1515">
        <v>0</v>
      </c>
      <c r="BV1515">
        <v>0</v>
      </c>
      <c r="CC1515" t="str">
        <f>"19:00:02.477"</f>
        <v>19:00:02.477</v>
      </c>
      <c r="CD1515" t="str">
        <f>"474022466"</f>
        <v>474022466</v>
      </c>
      <c r="CQ1515">
        <v>0</v>
      </c>
      <c r="CR1515">
        <v>2</v>
      </c>
      <c r="CS1515">
        <v>0</v>
      </c>
      <c r="CT1515">
        <v>2</v>
      </c>
      <c r="CU1515">
        <v>0</v>
      </c>
      <c r="CV1515">
        <v>7</v>
      </c>
      <c r="CW1515" t="s">
        <v>120</v>
      </c>
      <c r="CX1515">
        <v>261</v>
      </c>
      <c r="CY1515">
        <v>2</v>
      </c>
      <c r="CZ1515" t="s">
        <v>121</v>
      </c>
      <c r="DA1515" t="s">
        <v>122</v>
      </c>
      <c r="DD1515">
        <v>15129970</v>
      </c>
      <c r="DE1515" t="s">
        <v>123</v>
      </c>
    </row>
    <row r="1516" spans="1:109" x14ac:dyDescent="0.3">
      <c r="A1516" t="str">
        <f>"19:00:03.547"</f>
        <v>19:00:03.547</v>
      </c>
      <c r="B1516" t="s">
        <v>110</v>
      </c>
      <c r="C1516" t="str">
        <f t="shared" si="69"/>
        <v>ffdfd3c0</v>
      </c>
      <c r="D1516" t="s">
        <v>111</v>
      </c>
      <c r="E1516">
        <v>18</v>
      </c>
      <c r="F1516">
        <v>1018</v>
      </c>
      <c r="G1516" t="s">
        <v>112</v>
      </c>
      <c r="J1516" t="s">
        <v>113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R1516" t="s">
        <v>114</v>
      </c>
      <c r="S1516" t="str">
        <f>"19:00:03.297"</f>
        <v>19:00:03.297</v>
      </c>
      <c r="T1516" t="str">
        <f>"19:00:03.297"</f>
        <v>19:00:03.297</v>
      </c>
      <c r="U1516" t="str">
        <f t="shared" si="70"/>
        <v>a1cdbe</v>
      </c>
      <c r="V1516">
        <v>0</v>
      </c>
      <c r="W1516">
        <v>0</v>
      </c>
      <c r="X1516">
        <v>1</v>
      </c>
      <c r="Y1516">
        <v>0</v>
      </c>
      <c r="Z1516">
        <v>0</v>
      </c>
      <c r="AB1516">
        <v>0</v>
      </c>
      <c r="AC1516">
        <v>9</v>
      </c>
      <c r="AD1516">
        <v>3</v>
      </c>
      <c r="AE1516">
        <v>0</v>
      </c>
      <c r="AF1516">
        <v>9</v>
      </c>
      <c r="AG1516" t="s">
        <v>158</v>
      </c>
      <c r="AH1516">
        <v>0</v>
      </c>
      <c r="AI1516">
        <v>3</v>
      </c>
      <c r="AJ1516">
        <v>1</v>
      </c>
      <c r="AK1516">
        <v>0</v>
      </c>
      <c r="AL1516" t="s">
        <v>2942</v>
      </c>
      <c r="AM1516">
        <v>46.814568000000001</v>
      </c>
      <c r="AN1516" t="s">
        <v>2943</v>
      </c>
      <c r="AO1516">
        <v>-122.784684</v>
      </c>
      <c r="AP1516">
        <v>100</v>
      </c>
      <c r="AQ1516">
        <v>2000</v>
      </c>
      <c r="AR1516" t="s">
        <v>118</v>
      </c>
      <c r="AS1516">
        <v>-73</v>
      </c>
      <c r="AT1516">
        <v>26</v>
      </c>
      <c r="AU1516">
        <v>0</v>
      </c>
      <c r="BC1516">
        <v>1200</v>
      </c>
      <c r="BD1516">
        <v>1</v>
      </c>
      <c r="BE1516" t="str">
        <f t="shared" si="71"/>
        <v xml:space="preserve">N215T   </v>
      </c>
      <c r="BF1516">
        <v>1</v>
      </c>
      <c r="BH1516">
        <v>0</v>
      </c>
      <c r="BI1516">
        <v>0</v>
      </c>
      <c r="BJ1516">
        <v>0</v>
      </c>
      <c r="BK1516">
        <v>2400</v>
      </c>
      <c r="BL1516">
        <v>400</v>
      </c>
      <c r="BM1516" t="s">
        <v>119</v>
      </c>
      <c r="BN1516">
        <v>1</v>
      </c>
      <c r="BO1516">
        <v>1</v>
      </c>
      <c r="BP1516">
        <v>1</v>
      </c>
      <c r="BQ1516">
        <v>0</v>
      </c>
      <c r="BT1516">
        <v>0</v>
      </c>
      <c r="BU1516">
        <v>0</v>
      </c>
      <c r="BV1516">
        <v>0</v>
      </c>
      <c r="CC1516" t="str">
        <f>"19:00:03.297"</f>
        <v>19:00:03.297</v>
      </c>
      <c r="CD1516" t="str">
        <f>"298941186"</f>
        <v>298941186</v>
      </c>
      <c r="CQ1516">
        <v>0</v>
      </c>
      <c r="CR1516">
        <v>2</v>
      </c>
      <c r="CS1516">
        <v>0</v>
      </c>
      <c r="CT1516">
        <v>2</v>
      </c>
      <c r="CU1516">
        <v>0</v>
      </c>
      <c r="CV1516">
        <v>7</v>
      </c>
      <c r="CW1516" t="s">
        <v>120</v>
      </c>
      <c r="CX1516">
        <v>261</v>
      </c>
      <c r="CY1516">
        <v>2</v>
      </c>
      <c r="CZ1516" t="s">
        <v>121</v>
      </c>
      <c r="DA1516" t="s">
        <v>122</v>
      </c>
      <c r="DD1516">
        <v>15130491</v>
      </c>
      <c r="DE1516" t="s">
        <v>123</v>
      </c>
    </row>
    <row r="1517" spans="1:109" x14ac:dyDescent="0.3">
      <c r="A1517" t="str">
        <f>"19:00:04.398"</f>
        <v>19:00:04.398</v>
      </c>
      <c r="B1517" t="s">
        <v>110</v>
      </c>
      <c r="C1517" t="str">
        <f t="shared" si="69"/>
        <v>ffdfd3c0</v>
      </c>
      <c r="D1517" t="s">
        <v>111</v>
      </c>
      <c r="E1517">
        <v>18</v>
      </c>
      <c r="F1517">
        <v>1018</v>
      </c>
      <c r="G1517" t="s">
        <v>112</v>
      </c>
      <c r="J1517" t="s">
        <v>113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R1517" t="s">
        <v>114</v>
      </c>
      <c r="S1517" t="str">
        <f>"19:00:04.180"</f>
        <v>19:00:04.180</v>
      </c>
      <c r="T1517" t="str">
        <f>"19:00:03.781"</f>
        <v>19:00:03.781</v>
      </c>
      <c r="U1517" t="str">
        <f t="shared" si="70"/>
        <v>a1cdbe</v>
      </c>
      <c r="V1517">
        <v>0</v>
      </c>
      <c r="W1517">
        <v>0</v>
      </c>
      <c r="X1517">
        <v>1</v>
      </c>
      <c r="Y1517">
        <v>0</v>
      </c>
      <c r="Z1517">
        <v>0</v>
      </c>
      <c r="AB1517">
        <v>0</v>
      </c>
      <c r="AC1517">
        <v>9</v>
      </c>
      <c r="AD1517">
        <v>3</v>
      </c>
      <c r="AE1517">
        <v>0</v>
      </c>
      <c r="AF1517">
        <v>9</v>
      </c>
      <c r="AG1517" t="s">
        <v>158</v>
      </c>
      <c r="AH1517">
        <v>0</v>
      </c>
      <c r="AI1517">
        <v>3</v>
      </c>
      <c r="AJ1517">
        <v>1</v>
      </c>
      <c r="AK1517">
        <v>0</v>
      </c>
      <c r="AL1517" t="s">
        <v>2643</v>
      </c>
      <c r="AM1517">
        <v>46.814697000000002</v>
      </c>
      <c r="AN1517" t="s">
        <v>2944</v>
      </c>
      <c r="AO1517">
        <v>-122.785134</v>
      </c>
      <c r="AP1517">
        <v>100</v>
      </c>
      <c r="AQ1517">
        <v>2000</v>
      </c>
      <c r="AR1517" t="s">
        <v>118</v>
      </c>
      <c r="AS1517">
        <v>-73</v>
      </c>
      <c r="AT1517">
        <v>27</v>
      </c>
      <c r="AU1517">
        <v>-64</v>
      </c>
      <c r="BC1517">
        <v>1200</v>
      </c>
      <c r="BD1517">
        <v>1</v>
      </c>
      <c r="BE1517" t="str">
        <f t="shared" si="71"/>
        <v xml:space="preserve">N215T   </v>
      </c>
      <c r="BF1517">
        <v>1</v>
      </c>
      <c r="BH1517">
        <v>0</v>
      </c>
      <c r="BI1517">
        <v>0</v>
      </c>
      <c r="BJ1517">
        <v>0</v>
      </c>
      <c r="BK1517">
        <v>2400</v>
      </c>
      <c r="BL1517">
        <v>400</v>
      </c>
      <c r="BM1517" t="s">
        <v>119</v>
      </c>
      <c r="BN1517">
        <v>1</v>
      </c>
      <c r="BO1517">
        <v>1</v>
      </c>
      <c r="BP1517">
        <v>1</v>
      </c>
      <c r="BQ1517">
        <v>0</v>
      </c>
      <c r="BT1517">
        <v>0</v>
      </c>
      <c r="BU1517">
        <v>0</v>
      </c>
      <c r="BV1517">
        <v>0</v>
      </c>
      <c r="CC1517" t="str">
        <f>"19:00:04.188"</f>
        <v>19:00:04.188</v>
      </c>
      <c r="CD1517" t="str">
        <f>"183900677"</f>
        <v>183900677</v>
      </c>
      <c r="CQ1517">
        <v>0</v>
      </c>
      <c r="CR1517">
        <v>2</v>
      </c>
      <c r="CS1517">
        <v>0</v>
      </c>
      <c r="CT1517">
        <v>2</v>
      </c>
      <c r="CU1517">
        <v>0</v>
      </c>
      <c r="CV1517">
        <v>7</v>
      </c>
      <c r="CW1517" t="s">
        <v>120</v>
      </c>
      <c r="CX1517">
        <v>257</v>
      </c>
      <c r="CY1517">
        <v>1</v>
      </c>
      <c r="CZ1517" t="s">
        <v>615</v>
      </c>
      <c r="DA1517" t="s">
        <v>616</v>
      </c>
      <c r="DD1517">
        <v>11505106</v>
      </c>
      <c r="DE1517" t="s">
        <v>123</v>
      </c>
    </row>
    <row r="1518" spans="1:109" x14ac:dyDescent="0.3">
      <c r="A1518" t="str">
        <f>"19:00:05.508"</f>
        <v>19:00:05.508</v>
      </c>
      <c r="B1518" t="s">
        <v>110</v>
      </c>
      <c r="C1518" t="str">
        <f t="shared" si="69"/>
        <v>ffdfd3c0</v>
      </c>
      <c r="D1518" t="s">
        <v>111</v>
      </c>
      <c r="E1518">
        <v>18</v>
      </c>
      <c r="F1518">
        <v>1018</v>
      </c>
      <c r="G1518" t="s">
        <v>112</v>
      </c>
      <c r="J1518" t="s">
        <v>113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R1518" t="s">
        <v>114</v>
      </c>
      <c r="S1518" t="str">
        <f>"19:00:05.273"</f>
        <v>19:00:05.273</v>
      </c>
      <c r="T1518" t="str">
        <f>"19:00:04.773"</f>
        <v>19:00:04.773</v>
      </c>
      <c r="U1518" t="str">
        <f t="shared" si="70"/>
        <v>a1cdbe</v>
      </c>
      <c r="V1518">
        <v>0</v>
      </c>
      <c r="W1518">
        <v>0</v>
      </c>
      <c r="X1518">
        <v>1</v>
      </c>
      <c r="Y1518">
        <v>0</v>
      </c>
      <c r="Z1518">
        <v>0</v>
      </c>
      <c r="AB1518">
        <v>0</v>
      </c>
      <c r="AC1518">
        <v>9</v>
      </c>
      <c r="AD1518">
        <v>3</v>
      </c>
      <c r="AE1518">
        <v>0</v>
      </c>
      <c r="AF1518">
        <v>9</v>
      </c>
      <c r="AG1518" t="s">
        <v>158</v>
      </c>
      <c r="AH1518">
        <v>0</v>
      </c>
      <c r="AI1518">
        <v>3</v>
      </c>
      <c r="AJ1518">
        <v>1</v>
      </c>
      <c r="AK1518">
        <v>0</v>
      </c>
      <c r="AL1518" t="s">
        <v>2945</v>
      </c>
      <c r="AM1518">
        <v>46.814847</v>
      </c>
      <c r="AN1518" t="s">
        <v>2946</v>
      </c>
      <c r="AO1518">
        <v>-122.785606</v>
      </c>
      <c r="AP1518">
        <v>100</v>
      </c>
      <c r="AQ1518">
        <v>2000</v>
      </c>
      <c r="AR1518" t="s">
        <v>118</v>
      </c>
      <c r="AS1518">
        <v>-72</v>
      </c>
      <c r="AT1518">
        <v>28</v>
      </c>
      <c r="AU1518">
        <v>-128</v>
      </c>
      <c r="BC1518">
        <v>1200</v>
      </c>
      <c r="BD1518">
        <v>1</v>
      </c>
      <c r="BE1518" t="str">
        <f t="shared" si="71"/>
        <v xml:space="preserve">N215T   </v>
      </c>
      <c r="BF1518">
        <v>1</v>
      </c>
      <c r="BH1518">
        <v>0</v>
      </c>
      <c r="BI1518">
        <v>0</v>
      </c>
      <c r="BJ1518">
        <v>0</v>
      </c>
      <c r="BK1518">
        <v>2400</v>
      </c>
      <c r="BL1518">
        <v>400</v>
      </c>
      <c r="BM1518" t="s">
        <v>119</v>
      </c>
      <c r="BN1518">
        <v>1</v>
      </c>
      <c r="BO1518">
        <v>1</v>
      </c>
      <c r="BP1518">
        <v>1</v>
      </c>
      <c r="BQ1518">
        <v>0</v>
      </c>
      <c r="BT1518">
        <v>0</v>
      </c>
      <c r="BU1518">
        <v>0</v>
      </c>
      <c r="BV1518">
        <v>0</v>
      </c>
      <c r="CC1518" t="str">
        <f>"19:00:05.281"</f>
        <v>19:00:05.281</v>
      </c>
      <c r="CD1518" t="str">
        <f>"278792751"</f>
        <v>278792751</v>
      </c>
      <c r="CQ1518">
        <v>0</v>
      </c>
      <c r="CR1518">
        <v>2</v>
      </c>
      <c r="CS1518">
        <v>0</v>
      </c>
      <c r="CT1518">
        <v>2</v>
      </c>
      <c r="CU1518">
        <v>0</v>
      </c>
      <c r="CV1518">
        <v>7</v>
      </c>
      <c r="CW1518" t="s">
        <v>120</v>
      </c>
      <c r="CX1518">
        <v>257</v>
      </c>
      <c r="CY1518">
        <v>1</v>
      </c>
      <c r="CZ1518" t="s">
        <v>615</v>
      </c>
      <c r="DA1518" t="s">
        <v>616</v>
      </c>
      <c r="DD1518">
        <v>11505935</v>
      </c>
      <c r="DE1518" t="s">
        <v>123</v>
      </c>
    </row>
    <row r="1519" spans="1:109" x14ac:dyDescent="0.3">
      <c r="A1519" t="str">
        <f>"19:00:06.508"</f>
        <v>19:00:06.508</v>
      </c>
      <c r="B1519" t="s">
        <v>110</v>
      </c>
      <c r="C1519" t="str">
        <f t="shared" si="69"/>
        <v>ffdfd3c0</v>
      </c>
      <c r="D1519" t="s">
        <v>111</v>
      </c>
      <c r="E1519">
        <v>18</v>
      </c>
      <c r="F1519">
        <v>1018</v>
      </c>
      <c r="G1519" t="s">
        <v>112</v>
      </c>
      <c r="J1519" t="s">
        <v>113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R1519" t="s">
        <v>114</v>
      </c>
      <c r="S1519" t="str">
        <f>"19:00:06.297"</f>
        <v>19:00:06.297</v>
      </c>
      <c r="T1519" t="str">
        <f>"19:00:05.898"</f>
        <v>19:00:05.898</v>
      </c>
      <c r="U1519" t="str">
        <f t="shared" si="70"/>
        <v>a1cdbe</v>
      </c>
      <c r="V1519">
        <v>0</v>
      </c>
      <c r="W1519">
        <v>0</v>
      </c>
      <c r="X1519">
        <v>1</v>
      </c>
      <c r="Y1519">
        <v>0</v>
      </c>
      <c r="Z1519">
        <v>0</v>
      </c>
      <c r="AB1519">
        <v>0</v>
      </c>
      <c r="AC1519">
        <v>9</v>
      </c>
      <c r="AD1519">
        <v>3</v>
      </c>
      <c r="AE1519">
        <v>0</v>
      </c>
      <c r="AF1519">
        <v>9</v>
      </c>
      <c r="AG1519" t="s">
        <v>158</v>
      </c>
      <c r="AH1519">
        <v>0</v>
      </c>
      <c r="AI1519">
        <v>3</v>
      </c>
      <c r="AJ1519">
        <v>1</v>
      </c>
      <c r="AK1519">
        <v>0</v>
      </c>
      <c r="AL1519" t="s">
        <v>2947</v>
      </c>
      <c r="AM1519">
        <v>46.814976000000001</v>
      </c>
      <c r="AN1519" t="s">
        <v>2948</v>
      </c>
      <c r="AO1519">
        <v>-122.786078</v>
      </c>
      <c r="AP1519">
        <v>100</v>
      </c>
      <c r="AQ1519">
        <v>2000</v>
      </c>
      <c r="AR1519" t="s">
        <v>118</v>
      </c>
      <c r="AS1519">
        <v>-73</v>
      </c>
      <c r="AT1519">
        <v>29</v>
      </c>
      <c r="AU1519">
        <v>-192</v>
      </c>
      <c r="BC1519">
        <v>1200</v>
      </c>
      <c r="BD1519">
        <v>1</v>
      </c>
      <c r="BE1519" t="str">
        <f t="shared" si="71"/>
        <v xml:space="preserve">N215T   </v>
      </c>
      <c r="BF1519">
        <v>1</v>
      </c>
      <c r="BH1519">
        <v>0</v>
      </c>
      <c r="BI1519">
        <v>0</v>
      </c>
      <c r="BJ1519">
        <v>0</v>
      </c>
      <c r="BK1519">
        <v>2400</v>
      </c>
      <c r="BL1519">
        <v>400</v>
      </c>
      <c r="BM1519" t="s">
        <v>119</v>
      </c>
      <c r="BN1519">
        <v>1</v>
      </c>
      <c r="BO1519">
        <v>1</v>
      </c>
      <c r="BP1519">
        <v>1</v>
      </c>
      <c r="BQ1519">
        <v>0</v>
      </c>
      <c r="BT1519">
        <v>0</v>
      </c>
      <c r="BU1519">
        <v>0</v>
      </c>
      <c r="BV1519">
        <v>0</v>
      </c>
      <c r="CC1519" t="str">
        <f>"19:00:06.297"</f>
        <v>19:00:06.297</v>
      </c>
      <c r="CD1519" t="str">
        <f>"298645626"</f>
        <v>298645626</v>
      </c>
      <c r="CQ1519">
        <v>0</v>
      </c>
      <c r="CR1519">
        <v>2</v>
      </c>
      <c r="CS1519">
        <v>0</v>
      </c>
      <c r="CT1519">
        <v>2</v>
      </c>
      <c r="CU1519">
        <v>0</v>
      </c>
      <c r="CV1519">
        <v>7</v>
      </c>
      <c r="CW1519" t="s">
        <v>120</v>
      </c>
      <c r="CX1519">
        <v>261</v>
      </c>
      <c r="CY1519">
        <v>2</v>
      </c>
      <c r="CZ1519" t="s">
        <v>121</v>
      </c>
      <c r="DA1519" t="s">
        <v>122</v>
      </c>
      <c r="DD1519">
        <v>15132402</v>
      </c>
      <c r="DE1519" t="s">
        <v>123</v>
      </c>
    </row>
    <row r="1520" spans="1:109" x14ac:dyDescent="0.3">
      <c r="A1520" t="str">
        <f>"19:00:07.422"</f>
        <v>19:00:07.422</v>
      </c>
      <c r="B1520" t="s">
        <v>110</v>
      </c>
      <c r="C1520" t="str">
        <f t="shared" si="69"/>
        <v>ffdfd3c0</v>
      </c>
      <c r="D1520" t="s">
        <v>111</v>
      </c>
      <c r="E1520">
        <v>18</v>
      </c>
      <c r="F1520">
        <v>1018</v>
      </c>
      <c r="G1520" t="s">
        <v>112</v>
      </c>
      <c r="J1520" t="s">
        <v>113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R1520" t="s">
        <v>114</v>
      </c>
      <c r="S1520" t="str">
        <f>"19:00:07.180"</f>
        <v>19:00:07.180</v>
      </c>
      <c r="T1520" t="str">
        <f>"19:00:06.883"</f>
        <v>19:00:06.883</v>
      </c>
      <c r="U1520" t="str">
        <f t="shared" si="70"/>
        <v>a1cdbe</v>
      </c>
      <c r="V1520">
        <v>0</v>
      </c>
      <c r="W1520">
        <v>0</v>
      </c>
      <c r="X1520">
        <v>1</v>
      </c>
      <c r="Y1520">
        <v>0</v>
      </c>
      <c r="Z1520">
        <v>0</v>
      </c>
      <c r="AB1520">
        <v>0</v>
      </c>
      <c r="AC1520">
        <v>9</v>
      </c>
      <c r="AD1520">
        <v>3</v>
      </c>
      <c r="AE1520">
        <v>0</v>
      </c>
      <c r="AF1520">
        <v>9</v>
      </c>
      <c r="AG1520" t="s">
        <v>158</v>
      </c>
      <c r="AH1520">
        <v>0</v>
      </c>
      <c r="AI1520">
        <v>3</v>
      </c>
      <c r="AJ1520">
        <v>1</v>
      </c>
      <c r="AK1520">
        <v>0</v>
      </c>
      <c r="AL1520" t="s">
        <v>2949</v>
      </c>
      <c r="AM1520">
        <v>46.815083000000001</v>
      </c>
      <c r="AN1520" t="s">
        <v>2950</v>
      </c>
      <c r="AO1520">
        <v>-122.786551</v>
      </c>
      <c r="AP1520">
        <v>100</v>
      </c>
      <c r="AQ1520">
        <v>2000</v>
      </c>
      <c r="AR1520" t="s">
        <v>118</v>
      </c>
      <c r="AS1520">
        <v>-73</v>
      </c>
      <c r="AT1520">
        <v>28</v>
      </c>
      <c r="AU1520">
        <v>-128</v>
      </c>
      <c r="BC1520">
        <v>1200</v>
      </c>
      <c r="BD1520">
        <v>1</v>
      </c>
      <c r="BE1520" t="str">
        <f t="shared" si="71"/>
        <v xml:space="preserve">N215T   </v>
      </c>
      <c r="BF1520">
        <v>1</v>
      </c>
      <c r="BH1520">
        <v>0</v>
      </c>
      <c r="BI1520">
        <v>0</v>
      </c>
      <c r="BJ1520">
        <v>0</v>
      </c>
      <c r="BK1520">
        <v>2400</v>
      </c>
      <c r="BL1520">
        <v>400</v>
      </c>
      <c r="BM1520" t="s">
        <v>119</v>
      </c>
      <c r="BN1520">
        <v>1</v>
      </c>
      <c r="BO1520">
        <v>1</v>
      </c>
      <c r="BP1520">
        <v>1</v>
      </c>
      <c r="BQ1520">
        <v>0</v>
      </c>
      <c r="BT1520">
        <v>0</v>
      </c>
      <c r="BU1520">
        <v>0</v>
      </c>
      <c r="BV1520">
        <v>0</v>
      </c>
      <c r="CC1520" t="str">
        <f>"19:00:07.180"</f>
        <v>19:00:07.180</v>
      </c>
      <c r="CD1520" t="str">
        <f>"183558432"</f>
        <v>183558432</v>
      </c>
      <c r="CQ1520">
        <v>0</v>
      </c>
      <c r="CR1520">
        <v>2</v>
      </c>
      <c r="CS1520">
        <v>0</v>
      </c>
      <c r="CT1520">
        <v>2</v>
      </c>
      <c r="CU1520">
        <v>0</v>
      </c>
      <c r="CV1520">
        <v>7</v>
      </c>
      <c r="CW1520" t="s">
        <v>120</v>
      </c>
      <c r="CX1520">
        <v>261</v>
      </c>
      <c r="CY1520">
        <v>2</v>
      </c>
      <c r="CZ1520" t="s">
        <v>121</v>
      </c>
      <c r="DA1520" t="s">
        <v>122</v>
      </c>
      <c r="DD1520">
        <v>15133041</v>
      </c>
      <c r="DE1520" t="s">
        <v>123</v>
      </c>
    </row>
    <row r="1521" spans="1:109" x14ac:dyDescent="0.3">
      <c r="A1521" t="str">
        <f>"19:00:08.375"</f>
        <v>19:00:08.375</v>
      </c>
      <c r="B1521" t="s">
        <v>110</v>
      </c>
      <c r="C1521" t="str">
        <f t="shared" si="69"/>
        <v>ffdfd3c0</v>
      </c>
      <c r="D1521" t="s">
        <v>111</v>
      </c>
      <c r="E1521">
        <v>18</v>
      </c>
      <c r="F1521">
        <v>1018</v>
      </c>
      <c r="G1521" t="s">
        <v>112</v>
      </c>
      <c r="J1521" t="s">
        <v>113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R1521" t="s">
        <v>114</v>
      </c>
      <c r="S1521" t="str">
        <f>"19:00:08.156"</f>
        <v>19:00:08.156</v>
      </c>
      <c r="T1521" t="str">
        <f>"19:00:07.859"</f>
        <v>19:00:07.859</v>
      </c>
      <c r="U1521" t="str">
        <f t="shared" si="70"/>
        <v>a1cdbe</v>
      </c>
      <c r="V1521">
        <v>0</v>
      </c>
      <c r="W1521">
        <v>0</v>
      </c>
      <c r="X1521">
        <v>1</v>
      </c>
      <c r="Y1521">
        <v>0</v>
      </c>
      <c r="Z1521">
        <v>0</v>
      </c>
      <c r="AB1521">
        <v>0</v>
      </c>
      <c r="AC1521">
        <v>9</v>
      </c>
      <c r="AD1521">
        <v>3</v>
      </c>
      <c r="AE1521">
        <v>0</v>
      </c>
      <c r="AF1521">
        <v>9</v>
      </c>
      <c r="AG1521" t="s">
        <v>158</v>
      </c>
      <c r="AH1521">
        <v>0</v>
      </c>
      <c r="AI1521">
        <v>3</v>
      </c>
      <c r="AJ1521">
        <v>1</v>
      </c>
      <c r="AK1521">
        <v>0</v>
      </c>
      <c r="AL1521" t="s">
        <v>2631</v>
      </c>
      <c r="AM1521">
        <v>46.815212000000002</v>
      </c>
      <c r="AN1521" t="s">
        <v>2951</v>
      </c>
      <c r="AO1521">
        <v>-122.787023</v>
      </c>
      <c r="AP1521">
        <v>100</v>
      </c>
      <c r="AQ1521">
        <v>2000</v>
      </c>
      <c r="AR1521" t="s">
        <v>118</v>
      </c>
      <c r="AS1521">
        <v>-74</v>
      </c>
      <c r="AT1521">
        <v>28</v>
      </c>
      <c r="AU1521">
        <v>-192</v>
      </c>
      <c r="BC1521">
        <v>1200</v>
      </c>
      <c r="BD1521">
        <v>1</v>
      </c>
      <c r="BE1521" t="str">
        <f t="shared" si="71"/>
        <v xml:space="preserve">N215T   </v>
      </c>
      <c r="BF1521">
        <v>1</v>
      </c>
      <c r="BH1521">
        <v>0</v>
      </c>
      <c r="BI1521">
        <v>0</v>
      </c>
      <c r="BJ1521">
        <v>0</v>
      </c>
      <c r="BK1521">
        <v>2400</v>
      </c>
      <c r="BL1521">
        <v>400</v>
      </c>
      <c r="BM1521" t="s">
        <v>119</v>
      </c>
      <c r="BN1521">
        <v>1</v>
      </c>
      <c r="BO1521">
        <v>1</v>
      </c>
      <c r="BP1521">
        <v>1</v>
      </c>
      <c r="BQ1521">
        <v>0</v>
      </c>
      <c r="BT1521">
        <v>0</v>
      </c>
      <c r="BU1521">
        <v>0</v>
      </c>
      <c r="BV1521">
        <v>0</v>
      </c>
      <c r="CC1521" t="str">
        <f>"19:00:08.156"</f>
        <v>19:00:08.156</v>
      </c>
      <c r="CD1521" t="str">
        <f>"158462376"</f>
        <v>158462376</v>
      </c>
      <c r="CQ1521">
        <v>0</v>
      </c>
      <c r="CR1521">
        <v>2</v>
      </c>
      <c r="CS1521">
        <v>0</v>
      </c>
      <c r="CT1521">
        <v>2</v>
      </c>
      <c r="CU1521">
        <v>0</v>
      </c>
      <c r="CV1521">
        <v>7</v>
      </c>
      <c r="CW1521" t="s">
        <v>120</v>
      </c>
      <c r="CX1521">
        <v>261</v>
      </c>
      <c r="CY1521">
        <v>2</v>
      </c>
      <c r="CZ1521" t="s">
        <v>121</v>
      </c>
      <c r="DA1521" t="s">
        <v>122</v>
      </c>
      <c r="DD1521">
        <v>15133649</v>
      </c>
      <c r="DE1521" t="s">
        <v>123</v>
      </c>
    </row>
    <row r="1522" spans="1:109" x14ac:dyDescent="0.3">
      <c r="A1522" t="str">
        <f>"19:00:09.531"</f>
        <v>19:00:09.531</v>
      </c>
      <c r="B1522" t="s">
        <v>110</v>
      </c>
      <c r="C1522" t="str">
        <f t="shared" si="69"/>
        <v>ffdfd3c0</v>
      </c>
      <c r="D1522" t="s">
        <v>111</v>
      </c>
      <c r="E1522">
        <v>18</v>
      </c>
      <c r="F1522">
        <v>1018</v>
      </c>
      <c r="G1522" t="s">
        <v>112</v>
      </c>
      <c r="J1522" t="s">
        <v>113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R1522" t="s">
        <v>114</v>
      </c>
      <c r="S1522" t="str">
        <f>"19:00:09.281"</f>
        <v>19:00:09.281</v>
      </c>
      <c r="T1522" t="str">
        <f>"19:00:08.781"</f>
        <v>19:00:08.781</v>
      </c>
      <c r="U1522" t="str">
        <f t="shared" si="70"/>
        <v>a1cdbe</v>
      </c>
      <c r="V1522">
        <v>0</v>
      </c>
      <c r="W1522">
        <v>0</v>
      </c>
      <c r="X1522">
        <v>1</v>
      </c>
      <c r="Y1522">
        <v>0</v>
      </c>
      <c r="Z1522">
        <v>0</v>
      </c>
      <c r="AB1522">
        <v>0</v>
      </c>
      <c r="AC1522">
        <v>9</v>
      </c>
      <c r="AD1522">
        <v>3</v>
      </c>
      <c r="AE1522">
        <v>0</v>
      </c>
      <c r="AF1522">
        <v>9</v>
      </c>
      <c r="AG1522" t="s">
        <v>158</v>
      </c>
      <c r="AH1522">
        <v>0</v>
      </c>
      <c r="AI1522">
        <v>3</v>
      </c>
      <c r="AJ1522">
        <v>1</v>
      </c>
      <c r="AK1522">
        <v>0</v>
      </c>
      <c r="AL1522" t="s">
        <v>2952</v>
      </c>
      <c r="AM1522">
        <v>46.815362</v>
      </c>
      <c r="AN1522" t="s">
        <v>2953</v>
      </c>
      <c r="AO1522">
        <v>-122.787623</v>
      </c>
      <c r="AP1522">
        <v>100</v>
      </c>
      <c r="AQ1522">
        <v>2000</v>
      </c>
      <c r="AR1522" t="s">
        <v>118</v>
      </c>
      <c r="AS1522">
        <v>-74</v>
      </c>
      <c r="AT1522">
        <v>28</v>
      </c>
      <c r="AU1522">
        <v>-128</v>
      </c>
      <c r="BC1522">
        <v>1200</v>
      </c>
      <c r="BD1522">
        <v>1</v>
      </c>
      <c r="BE1522" t="str">
        <f t="shared" si="71"/>
        <v xml:space="preserve">N215T   </v>
      </c>
      <c r="BF1522">
        <v>1</v>
      </c>
      <c r="BH1522">
        <v>0</v>
      </c>
      <c r="BI1522">
        <v>0</v>
      </c>
      <c r="BJ1522">
        <v>0</v>
      </c>
      <c r="BK1522">
        <v>2400</v>
      </c>
      <c r="BL1522">
        <v>400</v>
      </c>
      <c r="BM1522" t="s">
        <v>119</v>
      </c>
      <c r="BN1522">
        <v>1</v>
      </c>
      <c r="BO1522">
        <v>1</v>
      </c>
      <c r="BP1522">
        <v>1</v>
      </c>
      <c r="BQ1522">
        <v>0</v>
      </c>
      <c r="BT1522">
        <v>0</v>
      </c>
      <c r="BU1522">
        <v>0</v>
      </c>
      <c r="BV1522">
        <v>0</v>
      </c>
      <c r="CC1522" t="str">
        <f>"19:00:09.281"</f>
        <v>19:00:09.281</v>
      </c>
      <c r="CD1522" t="str">
        <f>"283398003"</f>
        <v>283398003</v>
      </c>
      <c r="CQ1522">
        <v>0</v>
      </c>
      <c r="CR1522">
        <v>2</v>
      </c>
      <c r="CS1522">
        <v>0</v>
      </c>
      <c r="CT1522">
        <v>2</v>
      </c>
      <c r="CU1522">
        <v>0</v>
      </c>
      <c r="CV1522">
        <v>7</v>
      </c>
      <c r="CW1522" t="s">
        <v>120</v>
      </c>
      <c r="CX1522">
        <v>257</v>
      </c>
      <c r="CY1522">
        <v>1</v>
      </c>
      <c r="CZ1522" t="s">
        <v>615</v>
      </c>
      <c r="DA1522" t="s">
        <v>616</v>
      </c>
      <c r="DD1522">
        <v>11509066</v>
      </c>
      <c r="DE1522" t="s">
        <v>123</v>
      </c>
    </row>
    <row r="1523" spans="1:109" x14ac:dyDescent="0.3">
      <c r="A1523" t="str">
        <f>"19:00:10.484"</f>
        <v>19:00:10.484</v>
      </c>
      <c r="B1523" t="s">
        <v>110</v>
      </c>
      <c r="C1523" t="str">
        <f t="shared" si="69"/>
        <v>ffdfd3c0</v>
      </c>
      <c r="D1523" t="s">
        <v>111</v>
      </c>
      <c r="E1523">
        <v>18</v>
      </c>
      <c r="F1523">
        <v>1018</v>
      </c>
      <c r="G1523" t="s">
        <v>112</v>
      </c>
      <c r="J1523" t="s">
        <v>113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R1523" t="s">
        <v>114</v>
      </c>
      <c r="S1523" t="str">
        <f>"19:00:10.266"</f>
        <v>19:00:10.266</v>
      </c>
      <c r="T1523" t="str">
        <f>"19:00:09.867"</f>
        <v>19:00:09.867</v>
      </c>
      <c r="U1523" t="str">
        <f t="shared" si="70"/>
        <v>a1cdbe</v>
      </c>
      <c r="V1523">
        <v>0</v>
      </c>
      <c r="W1523">
        <v>0</v>
      </c>
      <c r="X1523">
        <v>1</v>
      </c>
      <c r="Y1523">
        <v>0</v>
      </c>
      <c r="Z1523">
        <v>0</v>
      </c>
      <c r="AB1523">
        <v>0</v>
      </c>
      <c r="AC1523">
        <v>9</v>
      </c>
      <c r="AD1523">
        <v>3</v>
      </c>
      <c r="AE1523">
        <v>0</v>
      </c>
      <c r="AF1523">
        <v>9</v>
      </c>
      <c r="AG1523" t="s">
        <v>158</v>
      </c>
      <c r="AH1523">
        <v>0</v>
      </c>
      <c r="AI1523">
        <v>3</v>
      </c>
      <c r="AJ1523">
        <v>1</v>
      </c>
      <c r="AK1523">
        <v>0</v>
      </c>
      <c r="AL1523" t="s">
        <v>2625</v>
      </c>
      <c r="AM1523">
        <v>46.815491000000002</v>
      </c>
      <c r="AN1523" t="s">
        <v>2954</v>
      </c>
      <c r="AO1523">
        <v>-122.788138</v>
      </c>
      <c r="AP1523">
        <v>100</v>
      </c>
      <c r="AQ1523">
        <v>2000</v>
      </c>
      <c r="AR1523" t="s">
        <v>118</v>
      </c>
      <c r="AS1523">
        <v>-75</v>
      </c>
      <c r="AT1523">
        <v>28</v>
      </c>
      <c r="AU1523">
        <v>-64</v>
      </c>
      <c r="BC1523">
        <v>1200</v>
      </c>
      <c r="BD1523">
        <v>1</v>
      </c>
      <c r="BE1523" t="str">
        <f t="shared" si="71"/>
        <v xml:space="preserve">N215T   </v>
      </c>
      <c r="BF1523">
        <v>1</v>
      </c>
      <c r="BH1523">
        <v>0</v>
      </c>
      <c r="BI1523">
        <v>0</v>
      </c>
      <c r="BJ1523">
        <v>0</v>
      </c>
      <c r="BK1523">
        <v>2400</v>
      </c>
      <c r="BL1523">
        <v>400</v>
      </c>
      <c r="BM1523" t="s">
        <v>119</v>
      </c>
      <c r="BN1523">
        <v>1</v>
      </c>
      <c r="BO1523">
        <v>1</v>
      </c>
      <c r="BP1523">
        <v>1</v>
      </c>
      <c r="BQ1523">
        <v>0</v>
      </c>
      <c r="BT1523">
        <v>0</v>
      </c>
      <c r="BU1523">
        <v>0</v>
      </c>
      <c r="BV1523">
        <v>0</v>
      </c>
      <c r="CC1523" t="str">
        <f>"19:00:10.273"</f>
        <v>19:00:10.273</v>
      </c>
      <c r="CD1523" t="str">
        <f>"273300429"</f>
        <v>273300429</v>
      </c>
      <c r="CQ1523">
        <v>0</v>
      </c>
      <c r="CR1523">
        <v>2</v>
      </c>
      <c r="CS1523">
        <v>0</v>
      </c>
      <c r="CT1523">
        <v>2</v>
      </c>
      <c r="CU1523">
        <v>0</v>
      </c>
      <c r="CV1523">
        <v>7</v>
      </c>
      <c r="CW1523" t="s">
        <v>120</v>
      </c>
      <c r="CX1523">
        <v>257</v>
      </c>
      <c r="CY1523">
        <v>1</v>
      </c>
      <c r="CZ1523" t="s">
        <v>615</v>
      </c>
      <c r="DA1523" t="s">
        <v>616</v>
      </c>
      <c r="DD1523">
        <v>11509822</v>
      </c>
      <c r="DE1523" t="s">
        <v>123</v>
      </c>
    </row>
    <row r="1524" spans="1:109" x14ac:dyDescent="0.3">
      <c r="A1524" t="str">
        <f>"19:00:11.586"</f>
        <v>19:00:11.586</v>
      </c>
      <c r="B1524" t="s">
        <v>110</v>
      </c>
      <c r="C1524" t="str">
        <f t="shared" si="69"/>
        <v>ffdfd3c0</v>
      </c>
      <c r="D1524" t="s">
        <v>111</v>
      </c>
      <c r="E1524">
        <v>18</v>
      </c>
      <c r="F1524">
        <v>1018</v>
      </c>
      <c r="G1524" t="s">
        <v>112</v>
      </c>
      <c r="J1524" t="s">
        <v>113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R1524" t="s">
        <v>114</v>
      </c>
      <c r="S1524" t="str">
        <f>"19:00:11.391"</f>
        <v>19:00:11.391</v>
      </c>
      <c r="T1524" t="str">
        <f>"19:00:11.391"</f>
        <v>19:00:11.391</v>
      </c>
      <c r="U1524" t="str">
        <f t="shared" si="70"/>
        <v>a1cdbe</v>
      </c>
      <c r="V1524">
        <v>0</v>
      </c>
      <c r="W1524">
        <v>0</v>
      </c>
      <c r="X1524">
        <v>1</v>
      </c>
      <c r="Y1524">
        <v>0</v>
      </c>
      <c r="Z1524">
        <v>0</v>
      </c>
      <c r="AB1524">
        <v>0</v>
      </c>
      <c r="AC1524">
        <v>9</v>
      </c>
      <c r="AD1524">
        <v>3</v>
      </c>
      <c r="AE1524">
        <v>0</v>
      </c>
      <c r="AF1524">
        <v>9</v>
      </c>
      <c r="AG1524" t="s">
        <v>158</v>
      </c>
      <c r="AH1524">
        <v>0</v>
      </c>
      <c r="AI1524">
        <v>3</v>
      </c>
      <c r="AJ1524">
        <v>1</v>
      </c>
      <c r="AK1524">
        <v>0</v>
      </c>
      <c r="AL1524" t="s">
        <v>2955</v>
      </c>
      <c r="AM1524">
        <v>46.815640999999999</v>
      </c>
      <c r="AN1524" t="s">
        <v>2956</v>
      </c>
      <c r="AO1524">
        <v>-122.788696</v>
      </c>
      <c r="AP1524">
        <v>100</v>
      </c>
      <c r="AQ1524">
        <v>2000</v>
      </c>
      <c r="AR1524" t="s">
        <v>118</v>
      </c>
      <c r="AS1524">
        <v>-74</v>
      </c>
      <c r="AT1524">
        <v>28</v>
      </c>
      <c r="AU1524">
        <v>-64</v>
      </c>
      <c r="BC1524">
        <v>1200</v>
      </c>
      <c r="BD1524">
        <v>1</v>
      </c>
      <c r="BE1524" t="str">
        <f t="shared" si="71"/>
        <v xml:space="preserve">N215T   </v>
      </c>
      <c r="BF1524">
        <v>1</v>
      </c>
      <c r="BH1524">
        <v>0</v>
      </c>
      <c r="BI1524">
        <v>0</v>
      </c>
      <c r="BJ1524">
        <v>0</v>
      </c>
      <c r="BK1524">
        <v>2400</v>
      </c>
      <c r="BL1524">
        <v>400</v>
      </c>
      <c r="BM1524" t="s">
        <v>119</v>
      </c>
      <c r="BN1524">
        <v>1</v>
      </c>
      <c r="BO1524">
        <v>1</v>
      </c>
      <c r="BP1524">
        <v>1</v>
      </c>
      <c r="BQ1524">
        <v>0</v>
      </c>
      <c r="BT1524">
        <v>0</v>
      </c>
      <c r="BU1524">
        <v>0</v>
      </c>
      <c r="BV1524">
        <v>0</v>
      </c>
      <c r="CC1524" t="str">
        <f>"19:00:11.398"</f>
        <v>19:00:11.398</v>
      </c>
      <c r="CD1524" t="str">
        <f>"398189550"</f>
        <v>398189550</v>
      </c>
      <c r="CQ1524">
        <v>0</v>
      </c>
      <c r="CR1524">
        <v>2</v>
      </c>
      <c r="CS1524">
        <v>0</v>
      </c>
      <c r="CT1524">
        <v>2</v>
      </c>
      <c r="CU1524">
        <v>0</v>
      </c>
      <c r="CV1524">
        <v>7</v>
      </c>
      <c r="CW1524" t="s">
        <v>120</v>
      </c>
      <c r="CX1524">
        <v>257</v>
      </c>
      <c r="CY1524">
        <v>1</v>
      </c>
      <c r="CZ1524" t="s">
        <v>615</v>
      </c>
      <c r="DA1524" t="s">
        <v>616</v>
      </c>
      <c r="DD1524">
        <v>11510716</v>
      </c>
      <c r="DE1524" t="s">
        <v>123</v>
      </c>
    </row>
    <row r="1525" spans="1:109" x14ac:dyDescent="0.3">
      <c r="A1525" t="str">
        <f>"19:00:12.445"</f>
        <v>19:00:12.445</v>
      </c>
      <c r="B1525" t="s">
        <v>110</v>
      </c>
      <c r="C1525" t="str">
        <f t="shared" si="69"/>
        <v>ffdfd3c0</v>
      </c>
      <c r="D1525" t="s">
        <v>111</v>
      </c>
      <c r="E1525">
        <v>18</v>
      </c>
      <c r="F1525">
        <v>1018</v>
      </c>
      <c r="G1525" t="s">
        <v>112</v>
      </c>
      <c r="J1525" t="s">
        <v>113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R1525" t="s">
        <v>114</v>
      </c>
      <c r="S1525" t="str">
        <f>"19:00:12.219"</f>
        <v>19:00:12.219</v>
      </c>
      <c r="T1525" t="str">
        <f>"19:00:11.922"</f>
        <v>19:00:11.922</v>
      </c>
      <c r="U1525" t="str">
        <f t="shared" si="70"/>
        <v>a1cdbe</v>
      </c>
      <c r="V1525">
        <v>0</v>
      </c>
      <c r="W1525">
        <v>0</v>
      </c>
      <c r="X1525">
        <v>1</v>
      </c>
      <c r="Y1525">
        <v>0</v>
      </c>
      <c r="Z1525">
        <v>0</v>
      </c>
      <c r="AB1525">
        <v>0</v>
      </c>
      <c r="AC1525">
        <v>9</v>
      </c>
      <c r="AD1525">
        <v>3</v>
      </c>
      <c r="AE1525">
        <v>0</v>
      </c>
      <c r="AF1525">
        <v>9</v>
      </c>
      <c r="AG1525" t="s">
        <v>158</v>
      </c>
      <c r="AH1525">
        <v>0</v>
      </c>
      <c r="AI1525">
        <v>3</v>
      </c>
      <c r="AJ1525">
        <v>1</v>
      </c>
      <c r="AK1525">
        <v>0</v>
      </c>
      <c r="AL1525" t="s">
        <v>2957</v>
      </c>
      <c r="AM1525">
        <v>46.815727000000003</v>
      </c>
      <c r="AN1525" t="s">
        <v>2958</v>
      </c>
      <c r="AO1525">
        <v>-122.78910399999999</v>
      </c>
      <c r="AP1525">
        <v>100</v>
      </c>
      <c r="AQ1525">
        <v>2000</v>
      </c>
      <c r="AR1525" t="s">
        <v>118</v>
      </c>
      <c r="AS1525">
        <v>-74</v>
      </c>
      <c r="AT1525">
        <v>28</v>
      </c>
      <c r="AU1525">
        <v>-64</v>
      </c>
      <c r="BC1525">
        <v>1200</v>
      </c>
      <c r="BD1525">
        <v>1</v>
      </c>
      <c r="BE1525" t="str">
        <f t="shared" si="71"/>
        <v xml:space="preserve">N215T   </v>
      </c>
      <c r="BF1525">
        <v>1</v>
      </c>
      <c r="BH1525">
        <v>0</v>
      </c>
      <c r="BI1525">
        <v>0</v>
      </c>
      <c r="BJ1525">
        <v>0</v>
      </c>
      <c r="BK1525">
        <v>2400</v>
      </c>
      <c r="BL1525">
        <v>400</v>
      </c>
      <c r="BM1525" t="s">
        <v>119</v>
      </c>
      <c r="BN1525">
        <v>1</v>
      </c>
      <c r="BO1525">
        <v>1</v>
      </c>
      <c r="BP1525">
        <v>1</v>
      </c>
      <c r="BQ1525">
        <v>0</v>
      </c>
      <c r="BT1525">
        <v>0</v>
      </c>
      <c r="BU1525">
        <v>0</v>
      </c>
      <c r="BV1525">
        <v>0</v>
      </c>
      <c r="CC1525" t="str">
        <f>"19:00:12.227"</f>
        <v>19:00:12.227</v>
      </c>
      <c r="CD1525" t="str">
        <f>"223061878"</f>
        <v>223061878</v>
      </c>
      <c r="CQ1525">
        <v>0</v>
      </c>
      <c r="CR1525">
        <v>2</v>
      </c>
      <c r="CS1525">
        <v>0</v>
      </c>
      <c r="CT1525">
        <v>2</v>
      </c>
      <c r="CU1525">
        <v>0</v>
      </c>
      <c r="CV1525">
        <v>7</v>
      </c>
      <c r="CW1525" t="s">
        <v>120</v>
      </c>
      <c r="CX1525">
        <v>261</v>
      </c>
      <c r="CY1525">
        <v>2</v>
      </c>
      <c r="CZ1525" t="s">
        <v>121</v>
      </c>
      <c r="DA1525" t="s">
        <v>122</v>
      </c>
      <c r="DD1525">
        <v>15136305</v>
      </c>
      <c r="DE1525" t="s">
        <v>123</v>
      </c>
    </row>
    <row r="1526" spans="1:109" x14ac:dyDescent="0.3">
      <c r="A1526" t="str">
        <f>"19:00:14.102"</f>
        <v>19:00:14.102</v>
      </c>
      <c r="B1526" t="s">
        <v>110</v>
      </c>
      <c r="C1526" t="str">
        <f t="shared" si="69"/>
        <v>ffdfd3c0</v>
      </c>
      <c r="D1526" t="s">
        <v>111</v>
      </c>
      <c r="E1526">
        <v>18</v>
      </c>
      <c r="F1526">
        <v>1018</v>
      </c>
      <c r="G1526" t="s">
        <v>112</v>
      </c>
      <c r="J1526" t="s">
        <v>113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R1526" t="s">
        <v>114</v>
      </c>
      <c r="S1526" t="str">
        <f>"19:00:13.867"</f>
        <v>19:00:13.867</v>
      </c>
      <c r="T1526" t="str">
        <f>"19:00:13.867"</f>
        <v>19:00:13.867</v>
      </c>
      <c r="U1526" t="str">
        <f t="shared" si="70"/>
        <v>a1cdbe</v>
      </c>
      <c r="V1526">
        <v>0</v>
      </c>
      <c r="W1526">
        <v>0</v>
      </c>
      <c r="X1526">
        <v>1</v>
      </c>
      <c r="Y1526">
        <v>0</v>
      </c>
      <c r="Z1526">
        <v>0</v>
      </c>
      <c r="AB1526">
        <v>0</v>
      </c>
      <c r="AC1526">
        <v>9</v>
      </c>
      <c r="AD1526">
        <v>3</v>
      </c>
      <c r="AE1526">
        <v>0</v>
      </c>
      <c r="AF1526">
        <v>9</v>
      </c>
      <c r="AG1526" t="s">
        <v>158</v>
      </c>
      <c r="AH1526">
        <v>0</v>
      </c>
      <c r="AI1526">
        <v>3</v>
      </c>
      <c r="AJ1526">
        <v>1</v>
      </c>
      <c r="AK1526">
        <v>0</v>
      </c>
      <c r="AL1526" t="s">
        <v>2959</v>
      </c>
      <c r="AM1526">
        <v>46.815963000000004</v>
      </c>
      <c r="AN1526" t="s">
        <v>2960</v>
      </c>
      <c r="AO1526">
        <v>-122.789941</v>
      </c>
      <c r="AP1526">
        <v>100</v>
      </c>
      <c r="AQ1526">
        <v>2000</v>
      </c>
      <c r="AR1526" t="s">
        <v>118</v>
      </c>
      <c r="AS1526">
        <v>-74</v>
      </c>
      <c r="AT1526">
        <v>27</v>
      </c>
      <c r="AU1526">
        <v>128</v>
      </c>
      <c r="BC1526">
        <v>1200</v>
      </c>
      <c r="BD1526">
        <v>1</v>
      </c>
      <c r="BE1526" t="str">
        <f t="shared" si="71"/>
        <v xml:space="preserve">N215T   </v>
      </c>
      <c r="BF1526">
        <v>1</v>
      </c>
      <c r="BH1526">
        <v>0</v>
      </c>
      <c r="BI1526">
        <v>0</v>
      </c>
      <c r="BJ1526">
        <v>0</v>
      </c>
      <c r="BK1526">
        <v>2400</v>
      </c>
      <c r="BL1526">
        <v>400</v>
      </c>
      <c r="BM1526" t="s">
        <v>119</v>
      </c>
      <c r="BN1526">
        <v>1</v>
      </c>
      <c r="BO1526">
        <v>1</v>
      </c>
      <c r="BP1526">
        <v>1</v>
      </c>
      <c r="BQ1526">
        <v>0</v>
      </c>
      <c r="BT1526">
        <v>0</v>
      </c>
      <c r="BU1526">
        <v>0</v>
      </c>
      <c r="BV1526">
        <v>0</v>
      </c>
      <c r="CC1526" t="str">
        <f>"19:00:13.875"</f>
        <v>19:00:13.875</v>
      </c>
      <c r="CD1526" t="str">
        <f>"872899317"</f>
        <v>872899317</v>
      </c>
      <c r="CQ1526">
        <v>0</v>
      </c>
      <c r="CR1526">
        <v>2</v>
      </c>
      <c r="CS1526">
        <v>0</v>
      </c>
      <c r="CT1526">
        <v>2</v>
      </c>
      <c r="CU1526">
        <v>0</v>
      </c>
      <c r="CV1526">
        <v>7</v>
      </c>
      <c r="CW1526" t="s">
        <v>120</v>
      </c>
      <c r="CX1526">
        <v>261</v>
      </c>
      <c r="CY1526">
        <v>2</v>
      </c>
      <c r="CZ1526" t="s">
        <v>121</v>
      </c>
      <c r="DA1526" t="s">
        <v>122</v>
      </c>
      <c r="DD1526">
        <v>15137280</v>
      </c>
      <c r="DE1526" t="s">
        <v>123</v>
      </c>
    </row>
    <row r="1527" spans="1:109" x14ac:dyDescent="0.3">
      <c r="A1527" t="str">
        <f>"19:00:15.055"</f>
        <v>19:00:15.055</v>
      </c>
      <c r="B1527" t="s">
        <v>110</v>
      </c>
      <c r="C1527" t="str">
        <f t="shared" si="69"/>
        <v>ffdfd3c0</v>
      </c>
      <c r="D1527" t="s">
        <v>111</v>
      </c>
      <c r="E1527">
        <v>18</v>
      </c>
      <c r="F1527">
        <v>1018</v>
      </c>
      <c r="G1527" t="s">
        <v>112</v>
      </c>
      <c r="J1527" t="s">
        <v>113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R1527" t="s">
        <v>114</v>
      </c>
      <c r="S1527" t="str">
        <f>"19:00:14.813"</f>
        <v>19:00:14.813</v>
      </c>
      <c r="T1527" t="str">
        <f>"19:00:14.313"</f>
        <v>19:00:14.313</v>
      </c>
      <c r="U1527" t="str">
        <f t="shared" si="70"/>
        <v>a1cdbe</v>
      </c>
      <c r="V1527">
        <v>0</v>
      </c>
      <c r="W1527">
        <v>0</v>
      </c>
      <c r="X1527">
        <v>1</v>
      </c>
      <c r="Y1527">
        <v>0</v>
      </c>
      <c r="Z1527">
        <v>0</v>
      </c>
      <c r="AB1527">
        <v>0</v>
      </c>
      <c r="AC1527">
        <v>9</v>
      </c>
      <c r="AD1527">
        <v>3</v>
      </c>
      <c r="AE1527">
        <v>0</v>
      </c>
      <c r="AF1527">
        <v>9</v>
      </c>
      <c r="AG1527" t="s">
        <v>158</v>
      </c>
      <c r="AH1527">
        <v>0</v>
      </c>
      <c r="AI1527">
        <v>3</v>
      </c>
      <c r="AJ1527">
        <v>1</v>
      </c>
      <c r="AK1527">
        <v>0</v>
      </c>
      <c r="AL1527" t="s">
        <v>2961</v>
      </c>
      <c r="AM1527">
        <v>46.816091999999998</v>
      </c>
      <c r="AN1527" t="s">
        <v>2962</v>
      </c>
      <c r="AO1527">
        <v>-122.79037</v>
      </c>
      <c r="AP1527">
        <v>100</v>
      </c>
      <c r="AQ1527">
        <v>2000</v>
      </c>
      <c r="AR1527" t="s">
        <v>118</v>
      </c>
      <c r="AS1527">
        <v>-74</v>
      </c>
      <c r="AT1527">
        <v>27</v>
      </c>
      <c r="AU1527">
        <v>128</v>
      </c>
      <c r="BC1527">
        <v>1200</v>
      </c>
      <c r="BD1527">
        <v>1</v>
      </c>
      <c r="BE1527" t="str">
        <f t="shared" si="71"/>
        <v xml:space="preserve">N215T   </v>
      </c>
      <c r="BF1527">
        <v>1</v>
      </c>
      <c r="BH1527">
        <v>0</v>
      </c>
      <c r="BI1527">
        <v>0</v>
      </c>
      <c r="BJ1527">
        <v>0</v>
      </c>
      <c r="BK1527">
        <v>2400</v>
      </c>
      <c r="BL1527">
        <v>400</v>
      </c>
      <c r="BM1527" t="s">
        <v>119</v>
      </c>
      <c r="BN1527">
        <v>1</v>
      </c>
      <c r="BO1527">
        <v>1</v>
      </c>
      <c r="BP1527">
        <v>1</v>
      </c>
      <c r="BQ1527">
        <v>0</v>
      </c>
      <c r="BT1527">
        <v>0</v>
      </c>
      <c r="BU1527">
        <v>0</v>
      </c>
      <c r="BV1527">
        <v>0</v>
      </c>
      <c r="CC1527" t="str">
        <f>"19:00:14.820"</f>
        <v>19:00:14.820</v>
      </c>
      <c r="CD1527" t="str">
        <f>"817806226"</f>
        <v>817806226</v>
      </c>
      <c r="CQ1527">
        <v>0</v>
      </c>
      <c r="CR1527">
        <v>2</v>
      </c>
      <c r="CS1527">
        <v>0</v>
      </c>
      <c r="CT1527">
        <v>2</v>
      </c>
      <c r="CU1527">
        <v>0</v>
      </c>
      <c r="CV1527">
        <v>7</v>
      </c>
      <c r="CW1527" t="s">
        <v>120</v>
      </c>
      <c r="CX1527">
        <v>261</v>
      </c>
      <c r="CY1527">
        <v>2</v>
      </c>
      <c r="CZ1527" t="s">
        <v>121</v>
      </c>
      <c r="DA1527" t="s">
        <v>122</v>
      </c>
      <c r="DD1527">
        <v>15137873</v>
      </c>
      <c r="DE1527" t="s">
        <v>123</v>
      </c>
    </row>
    <row r="1528" spans="1:109" x14ac:dyDescent="0.3">
      <c r="A1528" t="str">
        <f>"19:00:16.016"</f>
        <v>19:00:16.016</v>
      </c>
      <c r="B1528" t="s">
        <v>110</v>
      </c>
      <c r="C1528" t="str">
        <f t="shared" si="69"/>
        <v>ffdfd3c0</v>
      </c>
      <c r="D1528" t="s">
        <v>111</v>
      </c>
      <c r="E1528">
        <v>18</v>
      </c>
      <c r="F1528">
        <v>1018</v>
      </c>
      <c r="G1528" t="s">
        <v>112</v>
      </c>
      <c r="J1528" t="s">
        <v>113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R1528" t="s">
        <v>114</v>
      </c>
      <c r="S1528" t="str">
        <f>"19:00:15.789"</f>
        <v>19:00:15.789</v>
      </c>
      <c r="T1528" t="str">
        <f>"19:00:15.492"</f>
        <v>19:00:15.492</v>
      </c>
      <c r="U1528" t="str">
        <f t="shared" si="70"/>
        <v>a1cdbe</v>
      </c>
      <c r="V1528">
        <v>0</v>
      </c>
      <c r="W1528">
        <v>0</v>
      </c>
      <c r="X1528">
        <v>1</v>
      </c>
      <c r="Y1528">
        <v>0</v>
      </c>
      <c r="Z1528">
        <v>0</v>
      </c>
      <c r="AB1528">
        <v>0</v>
      </c>
      <c r="AC1528">
        <v>9</v>
      </c>
      <c r="AD1528">
        <v>3</v>
      </c>
      <c r="AE1528">
        <v>0</v>
      </c>
      <c r="AF1528">
        <v>9</v>
      </c>
      <c r="AG1528" t="s">
        <v>158</v>
      </c>
      <c r="AH1528">
        <v>0</v>
      </c>
      <c r="AI1528">
        <v>3</v>
      </c>
      <c r="AJ1528">
        <v>1</v>
      </c>
      <c r="AK1528">
        <v>0</v>
      </c>
      <c r="AL1528" t="s">
        <v>2963</v>
      </c>
      <c r="AM1528">
        <v>46.816198999999997</v>
      </c>
      <c r="AN1528" t="s">
        <v>2964</v>
      </c>
      <c r="AO1528">
        <v>-122.790885</v>
      </c>
      <c r="AP1528">
        <v>100</v>
      </c>
      <c r="AQ1528">
        <v>2000</v>
      </c>
      <c r="AR1528" t="s">
        <v>118</v>
      </c>
      <c r="AS1528">
        <v>-74</v>
      </c>
      <c r="AT1528">
        <v>26</v>
      </c>
      <c r="AU1528">
        <v>256</v>
      </c>
      <c r="BC1528">
        <v>1200</v>
      </c>
      <c r="BD1528">
        <v>1</v>
      </c>
      <c r="BE1528" t="str">
        <f t="shared" si="71"/>
        <v xml:space="preserve">N215T   </v>
      </c>
      <c r="BF1528">
        <v>1</v>
      </c>
      <c r="BH1528">
        <v>0</v>
      </c>
      <c r="BI1528">
        <v>0</v>
      </c>
      <c r="BJ1528">
        <v>0</v>
      </c>
      <c r="BK1528">
        <v>2400</v>
      </c>
      <c r="BL1528">
        <v>400</v>
      </c>
      <c r="BM1528" t="s">
        <v>119</v>
      </c>
      <c r="BN1528">
        <v>1</v>
      </c>
      <c r="BO1528">
        <v>1</v>
      </c>
      <c r="BP1528">
        <v>1</v>
      </c>
      <c r="BQ1528">
        <v>0</v>
      </c>
      <c r="BT1528">
        <v>0</v>
      </c>
      <c r="BU1528">
        <v>0</v>
      </c>
      <c r="BV1528">
        <v>0</v>
      </c>
      <c r="CC1528" t="str">
        <f>"19:00:15.789"</f>
        <v>19:00:15.789</v>
      </c>
      <c r="CD1528" t="str">
        <f>"792710168"</f>
        <v>792710168</v>
      </c>
      <c r="CQ1528">
        <v>0</v>
      </c>
      <c r="CR1528">
        <v>2</v>
      </c>
      <c r="CS1528">
        <v>0</v>
      </c>
      <c r="CT1528">
        <v>2</v>
      </c>
      <c r="CU1528">
        <v>0</v>
      </c>
      <c r="CV1528">
        <v>7</v>
      </c>
      <c r="CW1528" t="s">
        <v>120</v>
      </c>
      <c r="CX1528">
        <v>261</v>
      </c>
      <c r="CY1528">
        <v>2</v>
      </c>
      <c r="CZ1528" t="s">
        <v>121</v>
      </c>
      <c r="DA1528" t="s">
        <v>122</v>
      </c>
      <c r="DD1528">
        <v>15138502</v>
      </c>
      <c r="DE1528" t="s">
        <v>123</v>
      </c>
    </row>
    <row r="1529" spans="1:109" x14ac:dyDescent="0.3">
      <c r="A1529" t="str">
        <f>"19:00:17.117"</f>
        <v>19:00:17.117</v>
      </c>
      <c r="B1529" t="s">
        <v>110</v>
      </c>
      <c r="C1529" t="str">
        <f t="shared" si="69"/>
        <v>ffdfd3c0</v>
      </c>
      <c r="D1529" t="s">
        <v>111</v>
      </c>
      <c r="E1529">
        <v>18</v>
      </c>
      <c r="F1529">
        <v>1018</v>
      </c>
      <c r="G1529" t="s">
        <v>112</v>
      </c>
      <c r="J1529" t="s">
        <v>113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R1529" t="s">
        <v>114</v>
      </c>
      <c r="S1529" t="str">
        <f>"19:00:16.883"</f>
        <v>19:00:16.883</v>
      </c>
      <c r="T1529" t="str">
        <f>"19:00:16.484"</f>
        <v>19:00:16.484</v>
      </c>
      <c r="U1529" t="str">
        <f t="shared" si="70"/>
        <v>a1cdbe</v>
      </c>
      <c r="V1529">
        <v>0</v>
      </c>
      <c r="W1529">
        <v>0</v>
      </c>
      <c r="X1529">
        <v>1</v>
      </c>
      <c r="Y1529">
        <v>0</v>
      </c>
      <c r="Z1529">
        <v>0</v>
      </c>
      <c r="AB1529">
        <v>0</v>
      </c>
      <c r="AC1529">
        <v>9</v>
      </c>
      <c r="AD1529">
        <v>3</v>
      </c>
      <c r="AE1529">
        <v>0</v>
      </c>
      <c r="AF1529">
        <v>9</v>
      </c>
      <c r="AG1529" t="s">
        <v>158</v>
      </c>
      <c r="AH1529">
        <v>0</v>
      </c>
      <c r="AI1529">
        <v>3</v>
      </c>
      <c r="AJ1529">
        <v>1</v>
      </c>
      <c r="AK1529">
        <v>0</v>
      </c>
      <c r="AL1529" t="s">
        <v>2605</v>
      </c>
      <c r="AM1529">
        <v>46.816305999999997</v>
      </c>
      <c r="AN1529" t="s">
        <v>2965</v>
      </c>
      <c r="AO1529">
        <v>-122.79137799999999</v>
      </c>
      <c r="AP1529">
        <v>100</v>
      </c>
      <c r="AQ1529">
        <v>2000</v>
      </c>
      <c r="AR1529" t="s">
        <v>118</v>
      </c>
      <c r="AS1529">
        <v>-74</v>
      </c>
      <c r="AT1529">
        <v>25</v>
      </c>
      <c r="AU1529">
        <v>256</v>
      </c>
      <c r="BC1529">
        <v>1200</v>
      </c>
      <c r="BD1529">
        <v>1</v>
      </c>
      <c r="BE1529" t="str">
        <f t="shared" si="71"/>
        <v xml:space="preserve">N215T   </v>
      </c>
      <c r="BF1529">
        <v>1</v>
      </c>
      <c r="BH1529">
        <v>0</v>
      </c>
      <c r="BI1529">
        <v>0</v>
      </c>
      <c r="BJ1529">
        <v>0</v>
      </c>
      <c r="BK1529">
        <v>2400</v>
      </c>
      <c r="BL1529">
        <v>400</v>
      </c>
      <c r="BM1529" t="s">
        <v>119</v>
      </c>
      <c r="BN1529">
        <v>1</v>
      </c>
      <c r="BO1529">
        <v>1</v>
      </c>
      <c r="BP1529">
        <v>1</v>
      </c>
      <c r="BQ1529">
        <v>0</v>
      </c>
      <c r="BT1529">
        <v>0</v>
      </c>
      <c r="BU1529">
        <v>0</v>
      </c>
      <c r="BV1529">
        <v>0</v>
      </c>
      <c r="CC1529" t="str">
        <f>"19:00:16.891"</f>
        <v>19:00:16.891</v>
      </c>
      <c r="CD1529" t="str">
        <f>"887602284"</f>
        <v>887602284</v>
      </c>
      <c r="CQ1529">
        <v>0</v>
      </c>
      <c r="CR1529">
        <v>2</v>
      </c>
      <c r="CS1529">
        <v>0</v>
      </c>
      <c r="CT1529">
        <v>2</v>
      </c>
      <c r="CU1529">
        <v>0</v>
      </c>
      <c r="CV1529">
        <v>7</v>
      </c>
      <c r="CW1529" t="s">
        <v>120</v>
      </c>
      <c r="CX1529">
        <v>261</v>
      </c>
      <c r="CY1529">
        <v>2</v>
      </c>
      <c r="CZ1529" t="s">
        <v>121</v>
      </c>
      <c r="DA1529" t="s">
        <v>122</v>
      </c>
      <c r="DD1529">
        <v>15139206</v>
      </c>
      <c r="DE1529" t="s">
        <v>123</v>
      </c>
    </row>
    <row r="1530" spans="1:109" x14ac:dyDescent="0.3">
      <c r="A1530" t="str">
        <f>"19:00:18.031"</f>
        <v>19:00:18.031</v>
      </c>
      <c r="B1530" t="s">
        <v>110</v>
      </c>
      <c r="C1530" t="str">
        <f t="shared" si="69"/>
        <v>ffdfd3c0</v>
      </c>
      <c r="D1530" t="s">
        <v>111</v>
      </c>
      <c r="E1530">
        <v>18</v>
      </c>
      <c r="F1530">
        <v>1018</v>
      </c>
      <c r="G1530" t="s">
        <v>112</v>
      </c>
      <c r="J1530" t="s">
        <v>113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R1530" t="s">
        <v>114</v>
      </c>
      <c r="S1530" t="str">
        <f>"19:00:17.828"</f>
        <v>19:00:17.828</v>
      </c>
      <c r="T1530" t="str">
        <f>"19:00:17.430"</f>
        <v>19:00:17.430</v>
      </c>
      <c r="U1530" t="str">
        <f t="shared" si="70"/>
        <v>a1cdbe</v>
      </c>
      <c r="V1530">
        <v>0</v>
      </c>
      <c r="W1530">
        <v>0</v>
      </c>
      <c r="X1530">
        <v>1</v>
      </c>
      <c r="Y1530">
        <v>0</v>
      </c>
      <c r="Z1530">
        <v>0</v>
      </c>
      <c r="AB1530">
        <v>0</v>
      </c>
      <c r="AC1530">
        <v>9</v>
      </c>
      <c r="AD1530">
        <v>3</v>
      </c>
      <c r="AE1530">
        <v>0</v>
      </c>
      <c r="AF1530">
        <v>9</v>
      </c>
      <c r="AG1530" t="s">
        <v>158</v>
      </c>
      <c r="AH1530">
        <v>0</v>
      </c>
      <c r="AI1530">
        <v>3</v>
      </c>
      <c r="AJ1530">
        <v>1</v>
      </c>
      <c r="AK1530">
        <v>0</v>
      </c>
      <c r="AL1530" t="s">
        <v>2603</v>
      </c>
      <c r="AM1530">
        <v>46.816412999999997</v>
      </c>
      <c r="AN1530" t="s">
        <v>2966</v>
      </c>
      <c r="AO1530">
        <v>-122.79185099999999</v>
      </c>
      <c r="AP1530">
        <v>100</v>
      </c>
      <c r="AQ1530">
        <v>2000</v>
      </c>
      <c r="AR1530" t="s">
        <v>118</v>
      </c>
      <c r="AS1530">
        <v>-73</v>
      </c>
      <c r="AT1530">
        <v>26</v>
      </c>
      <c r="AU1530">
        <v>128</v>
      </c>
      <c r="BC1530">
        <v>1200</v>
      </c>
      <c r="BD1530">
        <v>1</v>
      </c>
      <c r="BE1530" t="str">
        <f t="shared" si="71"/>
        <v xml:space="preserve">N215T   </v>
      </c>
      <c r="BF1530">
        <v>1</v>
      </c>
      <c r="BH1530">
        <v>0</v>
      </c>
      <c r="BI1530">
        <v>0</v>
      </c>
      <c r="BJ1530">
        <v>0</v>
      </c>
      <c r="BK1530">
        <v>2400</v>
      </c>
      <c r="BL1530">
        <v>400</v>
      </c>
      <c r="BM1530" t="s">
        <v>119</v>
      </c>
      <c r="BN1530">
        <v>1</v>
      </c>
      <c r="BO1530">
        <v>1</v>
      </c>
      <c r="BP1530">
        <v>1</v>
      </c>
      <c r="BQ1530">
        <v>0</v>
      </c>
      <c r="BT1530">
        <v>0</v>
      </c>
      <c r="BU1530">
        <v>0</v>
      </c>
      <c r="BV1530">
        <v>0</v>
      </c>
      <c r="CC1530" t="str">
        <f>"19:00:17.836"</f>
        <v>19:00:17.836</v>
      </c>
      <c r="CD1530" t="str">
        <f>"832509182"</f>
        <v>832509182</v>
      </c>
      <c r="CQ1530">
        <v>0</v>
      </c>
      <c r="CR1530">
        <v>2</v>
      </c>
      <c r="CS1530">
        <v>0</v>
      </c>
      <c r="CT1530">
        <v>2</v>
      </c>
      <c r="CU1530">
        <v>0</v>
      </c>
      <c r="CV1530">
        <v>7</v>
      </c>
      <c r="CW1530" t="s">
        <v>120</v>
      </c>
      <c r="CX1530">
        <v>261</v>
      </c>
      <c r="CY1530">
        <v>2</v>
      </c>
      <c r="CZ1530" t="s">
        <v>121</v>
      </c>
      <c r="DA1530" t="s">
        <v>122</v>
      </c>
      <c r="DD1530">
        <v>15139799</v>
      </c>
      <c r="DE1530" t="s">
        <v>123</v>
      </c>
    </row>
    <row r="1531" spans="1:109" x14ac:dyDescent="0.3">
      <c r="A1531" t="str">
        <f>"19:00:18.883"</f>
        <v>19:00:18.883</v>
      </c>
      <c r="B1531" t="s">
        <v>110</v>
      </c>
      <c r="C1531" t="str">
        <f t="shared" si="69"/>
        <v>ffdfd3c0</v>
      </c>
      <c r="D1531" t="s">
        <v>111</v>
      </c>
      <c r="E1531">
        <v>18</v>
      </c>
      <c r="F1531">
        <v>1018</v>
      </c>
      <c r="G1531" t="s">
        <v>112</v>
      </c>
      <c r="J1531" t="s">
        <v>113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R1531" t="s">
        <v>114</v>
      </c>
      <c r="S1531" t="str">
        <f>"19:00:18.656"</f>
        <v>19:00:18.656</v>
      </c>
      <c r="T1531" t="str">
        <f>"19:00:18.453"</f>
        <v>19:00:18.453</v>
      </c>
      <c r="U1531" t="str">
        <f t="shared" si="70"/>
        <v>a1cdbe</v>
      </c>
      <c r="V1531">
        <v>0</v>
      </c>
      <c r="W1531">
        <v>0</v>
      </c>
      <c r="X1531">
        <v>1</v>
      </c>
      <c r="Y1531">
        <v>0</v>
      </c>
      <c r="Z1531">
        <v>0</v>
      </c>
      <c r="AB1531">
        <v>0</v>
      </c>
      <c r="AC1531">
        <v>9</v>
      </c>
      <c r="AD1531">
        <v>3</v>
      </c>
      <c r="AE1531">
        <v>0</v>
      </c>
      <c r="AF1531">
        <v>9</v>
      </c>
      <c r="AG1531" t="s">
        <v>158</v>
      </c>
      <c r="AH1531">
        <v>0</v>
      </c>
      <c r="AI1531">
        <v>3</v>
      </c>
      <c r="AJ1531">
        <v>1</v>
      </c>
      <c r="AK1531">
        <v>0</v>
      </c>
      <c r="AL1531" t="s">
        <v>2967</v>
      </c>
      <c r="AM1531">
        <v>46.816521000000002</v>
      </c>
      <c r="AN1531" t="s">
        <v>2968</v>
      </c>
      <c r="AO1531">
        <v>-122.792258</v>
      </c>
      <c r="AP1531">
        <v>100</v>
      </c>
      <c r="AQ1531">
        <v>2000</v>
      </c>
      <c r="AR1531" t="s">
        <v>118</v>
      </c>
      <c r="AS1531">
        <v>-73</v>
      </c>
      <c r="AT1531">
        <v>26</v>
      </c>
      <c r="AU1531">
        <v>128</v>
      </c>
      <c r="BC1531">
        <v>1200</v>
      </c>
      <c r="BD1531">
        <v>1</v>
      </c>
      <c r="BE1531" t="str">
        <f t="shared" si="71"/>
        <v xml:space="preserve">N215T   </v>
      </c>
      <c r="BF1531">
        <v>1</v>
      </c>
      <c r="BH1531">
        <v>0</v>
      </c>
      <c r="BI1531">
        <v>0</v>
      </c>
      <c r="BJ1531">
        <v>0</v>
      </c>
      <c r="BK1531">
        <v>2400</v>
      </c>
      <c r="BL1531">
        <v>400</v>
      </c>
      <c r="BM1531" t="s">
        <v>119</v>
      </c>
      <c r="BN1531">
        <v>1</v>
      </c>
      <c r="BO1531">
        <v>1</v>
      </c>
      <c r="BP1531">
        <v>1</v>
      </c>
      <c r="BQ1531">
        <v>0</v>
      </c>
      <c r="BT1531">
        <v>0</v>
      </c>
      <c r="BU1531">
        <v>0</v>
      </c>
      <c r="BV1531">
        <v>0</v>
      </c>
      <c r="CC1531" t="str">
        <f>"19:00:18.656"</f>
        <v>19:00:18.656</v>
      </c>
      <c r="CD1531" t="str">
        <f>"657427905"</f>
        <v>657427905</v>
      </c>
      <c r="CQ1531">
        <v>0</v>
      </c>
      <c r="CR1531">
        <v>2</v>
      </c>
      <c r="CS1531">
        <v>0</v>
      </c>
      <c r="CT1531">
        <v>2</v>
      </c>
      <c r="CU1531">
        <v>0</v>
      </c>
      <c r="CV1531">
        <v>7</v>
      </c>
      <c r="CW1531" t="s">
        <v>120</v>
      </c>
      <c r="CX1531">
        <v>261</v>
      </c>
      <c r="CY1531">
        <v>2</v>
      </c>
      <c r="CZ1531" t="s">
        <v>121</v>
      </c>
      <c r="DA1531" t="s">
        <v>122</v>
      </c>
      <c r="DD1531">
        <v>15140344</v>
      </c>
      <c r="DE1531" t="s">
        <v>123</v>
      </c>
    </row>
    <row r="1532" spans="1:109" x14ac:dyDescent="0.3">
      <c r="A1532" t="str">
        <f>"19:00:19.938"</f>
        <v>19:00:19.938</v>
      </c>
      <c r="B1532" t="s">
        <v>110</v>
      </c>
      <c r="C1532" t="str">
        <f t="shared" si="69"/>
        <v>ffdfd3c0</v>
      </c>
      <c r="D1532" t="s">
        <v>111</v>
      </c>
      <c r="E1532">
        <v>18</v>
      </c>
      <c r="F1532">
        <v>1018</v>
      </c>
      <c r="G1532" t="s">
        <v>112</v>
      </c>
      <c r="J1532" t="s">
        <v>113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R1532" t="s">
        <v>114</v>
      </c>
      <c r="S1532" t="str">
        <f>"19:00:19.703"</f>
        <v>19:00:19.703</v>
      </c>
      <c r="T1532" t="str">
        <f>"19:00:19.500"</f>
        <v>19:00:19.500</v>
      </c>
      <c r="U1532" t="str">
        <f t="shared" si="70"/>
        <v>a1cdbe</v>
      </c>
      <c r="V1532">
        <v>0</v>
      </c>
      <c r="W1532">
        <v>0</v>
      </c>
      <c r="X1532">
        <v>1</v>
      </c>
      <c r="Y1532">
        <v>0</v>
      </c>
      <c r="Z1532">
        <v>0</v>
      </c>
      <c r="AB1532">
        <v>0</v>
      </c>
      <c r="AC1532">
        <v>9</v>
      </c>
      <c r="AD1532">
        <v>3</v>
      </c>
      <c r="AE1532">
        <v>0</v>
      </c>
      <c r="AF1532">
        <v>9</v>
      </c>
      <c r="AG1532" t="s">
        <v>158</v>
      </c>
      <c r="AH1532">
        <v>0</v>
      </c>
      <c r="AI1532">
        <v>3</v>
      </c>
      <c r="AJ1532">
        <v>1</v>
      </c>
      <c r="AK1532">
        <v>0</v>
      </c>
      <c r="AL1532" t="s">
        <v>2969</v>
      </c>
      <c r="AM1532">
        <v>46.816628000000001</v>
      </c>
      <c r="AN1532" t="s">
        <v>2970</v>
      </c>
      <c r="AO1532">
        <v>-122.792773</v>
      </c>
      <c r="AP1532">
        <v>100</v>
      </c>
      <c r="AQ1532">
        <v>2000</v>
      </c>
      <c r="AR1532" t="s">
        <v>118</v>
      </c>
      <c r="AS1532">
        <v>-72</v>
      </c>
      <c r="AT1532">
        <v>26</v>
      </c>
      <c r="AU1532">
        <v>0</v>
      </c>
      <c r="BC1532">
        <v>1200</v>
      </c>
      <c r="BD1532">
        <v>1</v>
      </c>
      <c r="BE1532" t="str">
        <f t="shared" si="71"/>
        <v xml:space="preserve">N215T   </v>
      </c>
      <c r="BF1532">
        <v>1</v>
      </c>
      <c r="BH1532">
        <v>0</v>
      </c>
      <c r="BI1532">
        <v>0</v>
      </c>
      <c r="BJ1532">
        <v>0</v>
      </c>
      <c r="BK1532">
        <v>2400</v>
      </c>
      <c r="BL1532">
        <v>400</v>
      </c>
      <c r="BM1532" t="s">
        <v>119</v>
      </c>
      <c r="BN1532">
        <v>1</v>
      </c>
      <c r="BO1532">
        <v>1</v>
      </c>
      <c r="BP1532">
        <v>1</v>
      </c>
      <c r="BQ1532">
        <v>0</v>
      </c>
      <c r="BT1532">
        <v>0</v>
      </c>
      <c r="BU1532">
        <v>0</v>
      </c>
      <c r="BV1532">
        <v>0</v>
      </c>
      <c r="CC1532" t="str">
        <f>"19:00:19.711"</f>
        <v>19:00:19.711</v>
      </c>
      <c r="CD1532" t="str">
        <f>"707324459"</f>
        <v>707324459</v>
      </c>
      <c r="CQ1532">
        <v>0</v>
      </c>
      <c r="CR1532">
        <v>2</v>
      </c>
      <c r="CS1532">
        <v>0</v>
      </c>
      <c r="CT1532">
        <v>2</v>
      </c>
      <c r="CU1532">
        <v>0</v>
      </c>
      <c r="CV1532">
        <v>6</v>
      </c>
      <c r="CW1532" t="s">
        <v>120</v>
      </c>
      <c r="CX1532">
        <v>261</v>
      </c>
      <c r="CY1532">
        <v>2</v>
      </c>
      <c r="CZ1532" t="s">
        <v>121</v>
      </c>
      <c r="DA1532" t="s">
        <v>122</v>
      </c>
      <c r="DD1532">
        <v>15141040</v>
      </c>
      <c r="DE1532" t="s">
        <v>123</v>
      </c>
    </row>
    <row r="1533" spans="1:109" x14ac:dyDescent="0.3">
      <c r="A1533" t="str">
        <f>"19:00:20.992"</f>
        <v>19:00:20.992</v>
      </c>
      <c r="B1533" t="s">
        <v>110</v>
      </c>
      <c r="C1533" t="str">
        <f t="shared" si="69"/>
        <v>ffdfd3c0</v>
      </c>
      <c r="D1533" t="s">
        <v>111</v>
      </c>
      <c r="E1533">
        <v>18</v>
      </c>
      <c r="F1533">
        <v>1018</v>
      </c>
      <c r="G1533" t="s">
        <v>112</v>
      </c>
      <c r="J1533" t="s">
        <v>113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R1533" t="s">
        <v>114</v>
      </c>
      <c r="S1533" t="str">
        <f>"19:00:20.781"</f>
        <v>19:00:20.781</v>
      </c>
      <c r="T1533" t="str">
        <f>"19:00:20.281"</f>
        <v>19:00:20.281</v>
      </c>
      <c r="U1533" t="str">
        <f t="shared" si="70"/>
        <v>a1cdbe</v>
      </c>
      <c r="V1533">
        <v>0</v>
      </c>
      <c r="W1533">
        <v>0</v>
      </c>
      <c r="X1533">
        <v>1</v>
      </c>
      <c r="Y1533">
        <v>0</v>
      </c>
      <c r="Z1533">
        <v>0</v>
      </c>
      <c r="AB1533">
        <v>0</v>
      </c>
      <c r="AC1533">
        <v>9</v>
      </c>
      <c r="AD1533">
        <v>3</v>
      </c>
      <c r="AE1533">
        <v>0</v>
      </c>
      <c r="AF1533">
        <v>9</v>
      </c>
      <c r="AG1533" t="s">
        <v>158</v>
      </c>
      <c r="AH1533">
        <v>0</v>
      </c>
      <c r="AI1533">
        <v>3</v>
      </c>
      <c r="AJ1533">
        <v>1</v>
      </c>
      <c r="AK1533">
        <v>0</v>
      </c>
      <c r="AL1533" t="s">
        <v>2593</v>
      </c>
      <c r="AM1533">
        <v>46.816777999999999</v>
      </c>
      <c r="AN1533" t="s">
        <v>2971</v>
      </c>
      <c r="AO1533">
        <v>-122.79331000000001</v>
      </c>
      <c r="AP1533">
        <v>100</v>
      </c>
      <c r="AQ1533">
        <v>2000</v>
      </c>
      <c r="AR1533" t="s">
        <v>118</v>
      </c>
      <c r="AS1533">
        <v>-72</v>
      </c>
      <c r="AT1533">
        <v>26</v>
      </c>
      <c r="AU1533">
        <v>0</v>
      </c>
      <c r="BC1533">
        <v>1200</v>
      </c>
      <c r="BD1533">
        <v>1</v>
      </c>
      <c r="BE1533" t="str">
        <f t="shared" si="71"/>
        <v xml:space="preserve">N215T   </v>
      </c>
      <c r="BF1533">
        <v>1</v>
      </c>
      <c r="BH1533">
        <v>0</v>
      </c>
      <c r="BI1533">
        <v>0</v>
      </c>
      <c r="BJ1533">
        <v>0</v>
      </c>
      <c r="BK1533">
        <v>2400</v>
      </c>
      <c r="BL1533">
        <v>400</v>
      </c>
      <c r="BM1533" t="s">
        <v>119</v>
      </c>
      <c r="BN1533">
        <v>1</v>
      </c>
      <c r="BO1533">
        <v>1</v>
      </c>
      <c r="BP1533">
        <v>1</v>
      </c>
      <c r="BQ1533">
        <v>0</v>
      </c>
      <c r="BT1533">
        <v>0</v>
      </c>
      <c r="BU1533">
        <v>0</v>
      </c>
      <c r="BV1533">
        <v>0</v>
      </c>
      <c r="CC1533" t="str">
        <f>"19:00:20.789"</f>
        <v>19:00:20.789</v>
      </c>
      <c r="CD1533" t="str">
        <f>"787218071"</f>
        <v>787218071</v>
      </c>
      <c r="CQ1533">
        <v>0</v>
      </c>
      <c r="CR1533">
        <v>2</v>
      </c>
      <c r="CS1533">
        <v>0</v>
      </c>
      <c r="CT1533">
        <v>2</v>
      </c>
      <c r="CU1533">
        <v>0</v>
      </c>
      <c r="CV1533">
        <v>7</v>
      </c>
      <c r="CW1533" t="s">
        <v>120</v>
      </c>
      <c r="CX1533">
        <v>261</v>
      </c>
      <c r="CY1533">
        <v>2</v>
      </c>
      <c r="CZ1533" t="s">
        <v>121</v>
      </c>
      <c r="DA1533" t="s">
        <v>122</v>
      </c>
      <c r="DD1533">
        <v>15141791</v>
      </c>
      <c r="DE1533" t="s">
        <v>123</v>
      </c>
    </row>
    <row r="1534" spans="1:109" x14ac:dyDescent="0.3">
      <c r="A1534" t="str">
        <f>"19:00:22.094"</f>
        <v>19:00:22.094</v>
      </c>
      <c r="B1534" t="s">
        <v>110</v>
      </c>
      <c r="C1534" t="str">
        <f t="shared" si="69"/>
        <v>ffdfd3c0</v>
      </c>
      <c r="D1534" t="s">
        <v>111</v>
      </c>
      <c r="E1534">
        <v>18</v>
      </c>
      <c r="F1534">
        <v>1018</v>
      </c>
      <c r="G1534" t="s">
        <v>112</v>
      </c>
      <c r="J1534" t="s">
        <v>113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R1534" t="s">
        <v>114</v>
      </c>
      <c r="S1534" t="str">
        <f>"19:00:21.852"</f>
        <v>19:00:21.852</v>
      </c>
      <c r="T1534" t="str">
        <f>"19:00:21.750"</f>
        <v>19:00:21.750</v>
      </c>
      <c r="U1534" t="str">
        <f t="shared" si="70"/>
        <v>a1cdbe</v>
      </c>
      <c r="V1534">
        <v>0</v>
      </c>
      <c r="W1534">
        <v>0</v>
      </c>
      <c r="X1534">
        <v>1</v>
      </c>
      <c r="Y1534">
        <v>0</v>
      </c>
      <c r="Z1534">
        <v>0</v>
      </c>
      <c r="AB1534">
        <v>0</v>
      </c>
      <c r="AC1534">
        <v>9</v>
      </c>
      <c r="AD1534">
        <v>3</v>
      </c>
      <c r="AE1534">
        <v>0</v>
      </c>
      <c r="AF1534">
        <v>9</v>
      </c>
      <c r="AG1534" t="s">
        <v>158</v>
      </c>
      <c r="AH1534">
        <v>0</v>
      </c>
      <c r="AI1534">
        <v>3</v>
      </c>
      <c r="AJ1534">
        <v>1</v>
      </c>
      <c r="AK1534">
        <v>0</v>
      </c>
      <c r="AL1534" t="s">
        <v>2972</v>
      </c>
      <c r="AM1534">
        <v>46.816884999999999</v>
      </c>
      <c r="AN1534" t="s">
        <v>2973</v>
      </c>
      <c r="AO1534">
        <v>-122.79378199999999</v>
      </c>
      <c r="AP1534">
        <v>100</v>
      </c>
      <c r="AQ1534">
        <v>2000</v>
      </c>
      <c r="AR1534" t="s">
        <v>118</v>
      </c>
      <c r="AS1534">
        <v>-71</v>
      </c>
      <c r="AT1534">
        <v>26</v>
      </c>
      <c r="AU1534">
        <v>64</v>
      </c>
      <c r="BC1534">
        <v>1200</v>
      </c>
      <c r="BD1534">
        <v>1</v>
      </c>
      <c r="BE1534" t="str">
        <f t="shared" si="71"/>
        <v xml:space="preserve">N215T   </v>
      </c>
      <c r="BF1534">
        <v>1</v>
      </c>
      <c r="BH1534">
        <v>0</v>
      </c>
      <c r="BI1534">
        <v>0</v>
      </c>
      <c r="BJ1534">
        <v>0</v>
      </c>
      <c r="BK1534">
        <v>2400</v>
      </c>
      <c r="BL1534">
        <v>400</v>
      </c>
      <c r="BM1534" t="s">
        <v>119</v>
      </c>
      <c r="BN1534">
        <v>1</v>
      </c>
      <c r="BO1534">
        <v>1</v>
      </c>
      <c r="BP1534">
        <v>1</v>
      </c>
      <c r="BQ1534">
        <v>0</v>
      </c>
      <c r="BT1534">
        <v>0</v>
      </c>
      <c r="BU1534">
        <v>0</v>
      </c>
      <c r="BV1534">
        <v>0</v>
      </c>
      <c r="CC1534" t="str">
        <f>"19:00:21.852"</f>
        <v>19:00:21.852</v>
      </c>
      <c r="CD1534" t="str">
        <f>"852113146"</f>
        <v>852113146</v>
      </c>
      <c r="CQ1534">
        <v>0</v>
      </c>
      <c r="CR1534">
        <v>2</v>
      </c>
      <c r="CS1534">
        <v>0</v>
      </c>
      <c r="CT1534">
        <v>2</v>
      </c>
      <c r="CU1534">
        <v>0</v>
      </c>
      <c r="CV1534">
        <v>6</v>
      </c>
      <c r="CW1534" t="s">
        <v>120</v>
      </c>
      <c r="CX1534">
        <v>261</v>
      </c>
      <c r="CY1534">
        <v>2</v>
      </c>
      <c r="CZ1534" t="s">
        <v>121</v>
      </c>
      <c r="DA1534" t="s">
        <v>122</v>
      </c>
      <c r="DD1534">
        <v>15142428</v>
      </c>
      <c r="DE1534" t="s">
        <v>123</v>
      </c>
    </row>
    <row r="1535" spans="1:109" x14ac:dyDescent="0.3">
      <c r="A1535" t="str">
        <f>"19:00:23.000"</f>
        <v>19:00:23.000</v>
      </c>
      <c r="B1535" t="s">
        <v>110</v>
      </c>
      <c r="C1535" t="str">
        <f t="shared" si="69"/>
        <v>ffdfd3c0</v>
      </c>
      <c r="D1535" t="s">
        <v>111</v>
      </c>
      <c r="E1535">
        <v>18</v>
      </c>
      <c r="F1535">
        <v>1018</v>
      </c>
      <c r="G1535" t="s">
        <v>112</v>
      </c>
      <c r="J1535" t="s">
        <v>113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R1535" t="s">
        <v>114</v>
      </c>
      <c r="S1535" t="str">
        <f>"19:00:22.766"</f>
        <v>19:00:22.766</v>
      </c>
      <c r="T1535" t="str">
        <f>"19:00:22.266"</f>
        <v>19:00:22.266</v>
      </c>
      <c r="U1535" t="str">
        <f t="shared" si="70"/>
        <v>a1cdbe</v>
      </c>
      <c r="V1535">
        <v>0</v>
      </c>
      <c r="W1535">
        <v>0</v>
      </c>
      <c r="X1535">
        <v>1</v>
      </c>
      <c r="Y1535">
        <v>0</v>
      </c>
      <c r="Z1535">
        <v>0</v>
      </c>
      <c r="AB1535">
        <v>0</v>
      </c>
      <c r="AC1535">
        <v>9</v>
      </c>
      <c r="AD1535">
        <v>3</v>
      </c>
      <c r="AE1535">
        <v>0</v>
      </c>
      <c r="AF1535">
        <v>9</v>
      </c>
      <c r="AG1535" t="s">
        <v>158</v>
      </c>
      <c r="AH1535">
        <v>0</v>
      </c>
      <c r="AI1535">
        <v>3</v>
      </c>
      <c r="AJ1535">
        <v>1</v>
      </c>
      <c r="AK1535">
        <v>0</v>
      </c>
      <c r="AL1535" t="s">
        <v>2974</v>
      </c>
      <c r="AM1535">
        <v>46.816992999999997</v>
      </c>
      <c r="AN1535" t="s">
        <v>2975</v>
      </c>
      <c r="AO1535">
        <v>-122.794254</v>
      </c>
      <c r="AP1535">
        <v>100</v>
      </c>
      <c r="AQ1535">
        <v>2000</v>
      </c>
      <c r="AR1535" t="s">
        <v>118</v>
      </c>
      <c r="AS1535">
        <v>-71</v>
      </c>
      <c r="AT1535">
        <v>25</v>
      </c>
      <c r="AU1535">
        <v>0</v>
      </c>
      <c r="BC1535">
        <v>1200</v>
      </c>
      <c r="BD1535">
        <v>1</v>
      </c>
      <c r="BE1535" t="str">
        <f t="shared" si="71"/>
        <v xml:space="preserve">N215T   </v>
      </c>
      <c r="BF1535">
        <v>1</v>
      </c>
      <c r="BH1535">
        <v>0</v>
      </c>
      <c r="BI1535">
        <v>0</v>
      </c>
      <c r="BJ1535">
        <v>0</v>
      </c>
      <c r="BK1535">
        <v>2400</v>
      </c>
      <c r="BL1535">
        <v>400</v>
      </c>
      <c r="BM1535" t="s">
        <v>119</v>
      </c>
      <c r="BN1535">
        <v>1</v>
      </c>
      <c r="BO1535">
        <v>1</v>
      </c>
      <c r="BP1535">
        <v>1</v>
      </c>
      <c r="BQ1535">
        <v>0</v>
      </c>
      <c r="BT1535">
        <v>0</v>
      </c>
      <c r="BU1535">
        <v>0</v>
      </c>
      <c r="BV1535">
        <v>0</v>
      </c>
      <c r="CC1535" t="str">
        <f>"19:00:22.766"</f>
        <v>19:00:22.766</v>
      </c>
      <c r="CD1535" t="str">
        <f>"767036814"</f>
        <v>767036814</v>
      </c>
      <c r="CQ1535">
        <v>0</v>
      </c>
      <c r="CR1535">
        <v>2</v>
      </c>
      <c r="CS1535">
        <v>0</v>
      </c>
      <c r="CT1535">
        <v>2</v>
      </c>
      <c r="CU1535">
        <v>0</v>
      </c>
      <c r="CV1535">
        <v>4</v>
      </c>
      <c r="CW1535" t="s">
        <v>172</v>
      </c>
      <c r="CX1535">
        <v>326</v>
      </c>
      <c r="CY1535">
        <v>0</v>
      </c>
      <c r="CZ1535" t="s">
        <v>173</v>
      </c>
      <c r="DA1535" t="s">
        <v>174</v>
      </c>
      <c r="DD1535">
        <v>6529590</v>
      </c>
      <c r="DE1535" t="s">
        <v>123</v>
      </c>
    </row>
    <row r="1536" spans="1:109" x14ac:dyDescent="0.3">
      <c r="A1536" t="str">
        <f>"19:00:24.008"</f>
        <v>19:00:24.008</v>
      </c>
      <c r="B1536" t="s">
        <v>110</v>
      </c>
      <c r="C1536" t="str">
        <f t="shared" si="69"/>
        <v>ffdfd3c0</v>
      </c>
      <c r="D1536" t="s">
        <v>111</v>
      </c>
      <c r="E1536">
        <v>18</v>
      </c>
      <c r="F1536">
        <v>1018</v>
      </c>
      <c r="G1536" t="s">
        <v>112</v>
      </c>
      <c r="J1536" t="s">
        <v>113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R1536" t="s">
        <v>114</v>
      </c>
      <c r="S1536" t="str">
        <f>"19:00:23.750"</f>
        <v>19:00:23.750</v>
      </c>
      <c r="T1536" t="str">
        <f>"19:00:23.352"</f>
        <v>19:00:23.352</v>
      </c>
      <c r="U1536" t="str">
        <f t="shared" si="70"/>
        <v>a1cdbe</v>
      </c>
      <c r="V1536">
        <v>0</v>
      </c>
      <c r="W1536">
        <v>0</v>
      </c>
      <c r="X1536">
        <v>1</v>
      </c>
      <c r="Y1536">
        <v>0</v>
      </c>
      <c r="Z1536">
        <v>0</v>
      </c>
      <c r="AB1536">
        <v>0</v>
      </c>
      <c r="AC1536">
        <v>9</v>
      </c>
      <c r="AD1536">
        <v>3</v>
      </c>
      <c r="AE1536">
        <v>0</v>
      </c>
      <c r="AF1536">
        <v>9</v>
      </c>
      <c r="AG1536" t="s">
        <v>158</v>
      </c>
      <c r="AH1536">
        <v>0</v>
      </c>
      <c r="AI1536">
        <v>3</v>
      </c>
      <c r="AJ1536">
        <v>1</v>
      </c>
      <c r="AK1536">
        <v>0</v>
      </c>
      <c r="AL1536" t="s">
        <v>2581</v>
      </c>
      <c r="AM1536">
        <v>46.817121999999998</v>
      </c>
      <c r="AN1536" t="s">
        <v>2976</v>
      </c>
      <c r="AO1536">
        <v>-122.794747</v>
      </c>
      <c r="AP1536">
        <v>100</v>
      </c>
      <c r="AQ1536">
        <v>2000</v>
      </c>
      <c r="AR1536" t="s">
        <v>118</v>
      </c>
      <c r="AS1536">
        <v>-71</v>
      </c>
      <c r="AT1536">
        <v>25</v>
      </c>
      <c r="AU1536">
        <v>-192</v>
      </c>
      <c r="BC1536">
        <v>1200</v>
      </c>
      <c r="BD1536">
        <v>1</v>
      </c>
      <c r="BE1536" t="str">
        <f t="shared" si="71"/>
        <v xml:space="preserve">N215T   </v>
      </c>
      <c r="BF1536">
        <v>1</v>
      </c>
      <c r="BH1536">
        <v>0</v>
      </c>
      <c r="BI1536">
        <v>0</v>
      </c>
      <c r="BJ1536">
        <v>0</v>
      </c>
      <c r="BK1536">
        <v>2400</v>
      </c>
      <c r="BL1536">
        <v>400</v>
      </c>
      <c r="BM1536" t="s">
        <v>119</v>
      </c>
      <c r="BN1536">
        <v>1</v>
      </c>
      <c r="BO1536">
        <v>1</v>
      </c>
      <c r="BP1536">
        <v>1</v>
      </c>
      <c r="BQ1536">
        <v>0</v>
      </c>
      <c r="BT1536">
        <v>0</v>
      </c>
      <c r="BU1536">
        <v>0</v>
      </c>
      <c r="BV1536">
        <v>0</v>
      </c>
      <c r="CC1536" t="str">
        <f>"19:00:23.758"</f>
        <v>19:00:23.758</v>
      </c>
      <c r="CD1536" t="str">
        <f>"756971300"</f>
        <v>756971300</v>
      </c>
      <c r="CQ1536">
        <v>0</v>
      </c>
      <c r="CR1536">
        <v>2</v>
      </c>
      <c r="CS1536">
        <v>0</v>
      </c>
      <c r="CT1536">
        <v>2</v>
      </c>
      <c r="CU1536">
        <v>0</v>
      </c>
      <c r="CV1536">
        <v>7</v>
      </c>
      <c r="CW1536" t="s">
        <v>120</v>
      </c>
      <c r="CX1536">
        <v>257</v>
      </c>
      <c r="CY1536">
        <v>1</v>
      </c>
      <c r="CZ1536" t="s">
        <v>615</v>
      </c>
      <c r="DA1536" t="s">
        <v>616</v>
      </c>
      <c r="DD1536">
        <v>11520102</v>
      </c>
      <c r="DE1536" t="s">
        <v>123</v>
      </c>
    </row>
    <row r="1537" spans="1:109" x14ac:dyDescent="0.3">
      <c r="A1537" t="str">
        <f>"19:00:25.109"</f>
        <v>19:00:25.109</v>
      </c>
      <c r="B1537" t="s">
        <v>110</v>
      </c>
      <c r="C1537" t="str">
        <f t="shared" si="69"/>
        <v>ffdfd3c0</v>
      </c>
      <c r="D1537" t="s">
        <v>111</v>
      </c>
      <c r="E1537">
        <v>18</v>
      </c>
      <c r="F1537">
        <v>1018</v>
      </c>
      <c r="G1537" t="s">
        <v>112</v>
      </c>
      <c r="J1537" t="s">
        <v>113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R1537" t="s">
        <v>114</v>
      </c>
      <c r="S1537" t="str">
        <f>"19:00:24.859"</f>
        <v>19:00:24.859</v>
      </c>
      <c r="T1537" t="str">
        <f>"19:00:24.461"</f>
        <v>19:00:24.461</v>
      </c>
      <c r="U1537" t="str">
        <f t="shared" si="70"/>
        <v>a1cdbe</v>
      </c>
      <c r="V1537">
        <v>0</v>
      </c>
      <c r="W1537">
        <v>0</v>
      </c>
      <c r="X1537">
        <v>1</v>
      </c>
      <c r="Y1537">
        <v>0</v>
      </c>
      <c r="Z1537">
        <v>0</v>
      </c>
      <c r="AB1537">
        <v>0</v>
      </c>
      <c r="AC1537">
        <v>9</v>
      </c>
      <c r="AD1537">
        <v>3</v>
      </c>
      <c r="AE1537">
        <v>0</v>
      </c>
      <c r="AF1537">
        <v>9</v>
      </c>
      <c r="AG1537" t="s">
        <v>158</v>
      </c>
      <c r="AH1537">
        <v>0</v>
      </c>
      <c r="AI1537">
        <v>3</v>
      </c>
      <c r="AJ1537">
        <v>1</v>
      </c>
      <c r="AK1537">
        <v>0</v>
      </c>
      <c r="AL1537" t="s">
        <v>2577</v>
      </c>
      <c r="AM1537">
        <v>46.817272000000003</v>
      </c>
      <c r="AN1537" t="s">
        <v>2977</v>
      </c>
      <c r="AO1537">
        <v>-122.79526199999999</v>
      </c>
      <c r="AP1537">
        <v>100</v>
      </c>
      <c r="AQ1537">
        <v>2000</v>
      </c>
      <c r="AR1537" t="s">
        <v>118</v>
      </c>
      <c r="AS1537">
        <v>-71</v>
      </c>
      <c r="AT1537">
        <v>25</v>
      </c>
      <c r="AU1537">
        <v>-128</v>
      </c>
      <c r="BC1537">
        <v>1200</v>
      </c>
      <c r="BD1537">
        <v>1</v>
      </c>
      <c r="BE1537" t="str">
        <f t="shared" si="71"/>
        <v xml:space="preserve">N215T   </v>
      </c>
      <c r="BF1537">
        <v>1</v>
      </c>
      <c r="BH1537">
        <v>0</v>
      </c>
      <c r="BI1537">
        <v>0</v>
      </c>
      <c r="BJ1537">
        <v>0</v>
      </c>
      <c r="BK1537">
        <v>2400</v>
      </c>
      <c r="BL1537">
        <v>400</v>
      </c>
      <c r="BM1537" t="s">
        <v>119</v>
      </c>
      <c r="BN1537">
        <v>1</v>
      </c>
      <c r="BO1537">
        <v>1</v>
      </c>
      <c r="BP1537">
        <v>1</v>
      </c>
      <c r="BQ1537">
        <v>0</v>
      </c>
      <c r="BT1537">
        <v>0</v>
      </c>
      <c r="BU1537">
        <v>0</v>
      </c>
      <c r="BV1537">
        <v>0</v>
      </c>
      <c r="CC1537" t="str">
        <f>"19:00:24.867"</f>
        <v>19:00:24.867</v>
      </c>
      <c r="CD1537" t="str">
        <f>"866861891"</f>
        <v>866861891</v>
      </c>
      <c r="CQ1537">
        <v>0</v>
      </c>
      <c r="CR1537">
        <v>2</v>
      </c>
      <c r="CS1537">
        <v>0</v>
      </c>
      <c r="CT1537">
        <v>2</v>
      </c>
      <c r="CU1537">
        <v>0</v>
      </c>
      <c r="CV1537">
        <v>7</v>
      </c>
      <c r="CW1537" t="s">
        <v>120</v>
      </c>
      <c r="CX1537">
        <v>257</v>
      </c>
      <c r="CY1537">
        <v>1</v>
      </c>
      <c r="CZ1537" t="s">
        <v>615</v>
      </c>
      <c r="DA1537" t="s">
        <v>616</v>
      </c>
      <c r="DD1537">
        <v>11520947</v>
      </c>
      <c r="DE1537" t="s">
        <v>123</v>
      </c>
    </row>
    <row r="1538" spans="1:109" x14ac:dyDescent="0.3">
      <c r="A1538" t="str">
        <f>"19:00:26.016"</f>
        <v>19:00:26.016</v>
      </c>
      <c r="B1538" t="s">
        <v>110</v>
      </c>
      <c r="C1538" t="str">
        <f t="shared" ref="C1538:C1601" si="72">"ffdfd3c0"</f>
        <v>ffdfd3c0</v>
      </c>
      <c r="D1538" t="s">
        <v>111</v>
      </c>
      <c r="E1538">
        <v>18</v>
      </c>
      <c r="F1538">
        <v>1018</v>
      </c>
      <c r="G1538" t="s">
        <v>112</v>
      </c>
      <c r="J1538" t="s">
        <v>113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R1538" t="s">
        <v>114</v>
      </c>
      <c r="S1538" t="str">
        <f>"19:00:25.781"</f>
        <v>19:00:25.781</v>
      </c>
      <c r="T1538" t="str">
        <f>"19:00:25.781"</f>
        <v>19:00:25.781</v>
      </c>
      <c r="U1538" t="str">
        <f t="shared" ref="U1538:U1601" si="73">"a1cdbe"</f>
        <v>a1cdbe</v>
      </c>
      <c r="V1538">
        <v>0</v>
      </c>
      <c r="W1538">
        <v>0</v>
      </c>
      <c r="X1538">
        <v>1</v>
      </c>
      <c r="Y1538">
        <v>0</v>
      </c>
      <c r="Z1538">
        <v>0</v>
      </c>
      <c r="AB1538">
        <v>0</v>
      </c>
      <c r="AC1538">
        <v>9</v>
      </c>
      <c r="AD1538">
        <v>3</v>
      </c>
      <c r="AE1538">
        <v>0</v>
      </c>
      <c r="AF1538">
        <v>9</v>
      </c>
      <c r="AG1538" t="s">
        <v>158</v>
      </c>
      <c r="AH1538">
        <v>0</v>
      </c>
      <c r="AI1538">
        <v>3</v>
      </c>
      <c r="AJ1538">
        <v>1</v>
      </c>
      <c r="AK1538">
        <v>0</v>
      </c>
      <c r="AL1538" t="s">
        <v>2573</v>
      </c>
      <c r="AM1538">
        <v>46.817357999999999</v>
      </c>
      <c r="AN1538" t="s">
        <v>2978</v>
      </c>
      <c r="AO1538">
        <v>-122.79569100000001</v>
      </c>
      <c r="AP1538">
        <v>100</v>
      </c>
      <c r="AQ1538">
        <v>2000</v>
      </c>
      <c r="AR1538" t="s">
        <v>118</v>
      </c>
      <c r="AS1538">
        <v>-71</v>
      </c>
      <c r="AT1538">
        <v>25</v>
      </c>
      <c r="AU1538">
        <v>-256</v>
      </c>
      <c r="BC1538">
        <v>1200</v>
      </c>
      <c r="BD1538">
        <v>1</v>
      </c>
      <c r="BE1538" t="str">
        <f t="shared" ref="BE1538:BE1601" si="74">"N215T   "</f>
        <v xml:space="preserve">N215T   </v>
      </c>
      <c r="BF1538">
        <v>1</v>
      </c>
      <c r="BH1538">
        <v>0</v>
      </c>
      <c r="BI1538">
        <v>0</v>
      </c>
      <c r="BJ1538">
        <v>0</v>
      </c>
      <c r="BK1538">
        <v>2400</v>
      </c>
      <c r="BL1538">
        <v>400</v>
      </c>
      <c r="BM1538" t="s">
        <v>119</v>
      </c>
      <c r="BN1538">
        <v>1</v>
      </c>
      <c r="BO1538">
        <v>1</v>
      </c>
      <c r="BP1538">
        <v>1</v>
      </c>
      <c r="BQ1538">
        <v>0</v>
      </c>
      <c r="BT1538">
        <v>0</v>
      </c>
      <c r="BU1538">
        <v>0</v>
      </c>
      <c r="BV1538">
        <v>0</v>
      </c>
      <c r="CC1538" t="str">
        <f>"19:00:25.781"</f>
        <v>19:00:25.781</v>
      </c>
      <c r="CD1538" t="str">
        <f>"781771707"</f>
        <v>781771707</v>
      </c>
      <c r="CQ1538">
        <v>0</v>
      </c>
      <c r="CR1538">
        <v>2</v>
      </c>
      <c r="CS1538">
        <v>0</v>
      </c>
      <c r="CT1538">
        <v>2</v>
      </c>
      <c r="CU1538">
        <v>0</v>
      </c>
      <c r="CV1538">
        <v>7</v>
      </c>
      <c r="CW1538" t="s">
        <v>120</v>
      </c>
      <c r="CX1538">
        <v>257</v>
      </c>
      <c r="CY1538">
        <v>1</v>
      </c>
      <c r="CZ1538" t="s">
        <v>615</v>
      </c>
      <c r="DA1538" t="s">
        <v>616</v>
      </c>
      <c r="DD1538">
        <v>11521700</v>
      </c>
      <c r="DE1538" t="s">
        <v>123</v>
      </c>
    </row>
    <row r="1539" spans="1:109" x14ac:dyDescent="0.3">
      <c r="A1539" t="str">
        <f>"19:00:27.125"</f>
        <v>19:00:27.125</v>
      </c>
      <c r="B1539" t="s">
        <v>110</v>
      </c>
      <c r="C1539" t="str">
        <f t="shared" si="72"/>
        <v>ffdfd3c0</v>
      </c>
      <c r="D1539" t="s">
        <v>111</v>
      </c>
      <c r="E1539">
        <v>18</v>
      </c>
      <c r="F1539">
        <v>1018</v>
      </c>
      <c r="G1539" t="s">
        <v>112</v>
      </c>
      <c r="J1539" t="s">
        <v>113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R1539" t="s">
        <v>114</v>
      </c>
      <c r="S1539" t="str">
        <f>"19:00:26.891"</f>
        <v>19:00:26.891</v>
      </c>
      <c r="T1539" t="str">
        <f>"19:00:26.688"</f>
        <v>19:00:26.688</v>
      </c>
      <c r="U1539" t="str">
        <f t="shared" si="73"/>
        <v>a1cdbe</v>
      </c>
      <c r="V1539">
        <v>0</v>
      </c>
      <c r="W1539">
        <v>0</v>
      </c>
      <c r="X1539">
        <v>1</v>
      </c>
      <c r="Y1539">
        <v>0</v>
      </c>
      <c r="Z1539">
        <v>0</v>
      </c>
      <c r="AB1539">
        <v>0</v>
      </c>
      <c r="AC1539">
        <v>9</v>
      </c>
      <c r="AD1539">
        <v>3</v>
      </c>
      <c r="AE1539">
        <v>0</v>
      </c>
      <c r="AF1539">
        <v>9</v>
      </c>
      <c r="AG1539" t="s">
        <v>158</v>
      </c>
      <c r="AH1539">
        <v>0</v>
      </c>
      <c r="AI1539">
        <v>3</v>
      </c>
      <c r="AJ1539">
        <v>1</v>
      </c>
      <c r="AK1539">
        <v>0</v>
      </c>
      <c r="AL1539" t="s">
        <v>2979</v>
      </c>
      <c r="AM1539">
        <v>46.817507999999997</v>
      </c>
      <c r="AN1539" t="s">
        <v>2980</v>
      </c>
      <c r="AO1539">
        <v>-122.796206</v>
      </c>
      <c r="AP1539">
        <v>100</v>
      </c>
      <c r="AQ1539">
        <v>2000</v>
      </c>
      <c r="AR1539" t="s">
        <v>118</v>
      </c>
      <c r="AS1539">
        <v>-70</v>
      </c>
      <c r="AT1539">
        <v>26</v>
      </c>
      <c r="AU1539">
        <v>-384</v>
      </c>
      <c r="BC1539">
        <v>1200</v>
      </c>
      <c r="BD1539">
        <v>1</v>
      </c>
      <c r="BE1539" t="str">
        <f t="shared" si="74"/>
        <v xml:space="preserve">N215T   </v>
      </c>
      <c r="BF1539">
        <v>1</v>
      </c>
      <c r="BH1539">
        <v>0</v>
      </c>
      <c r="BI1539">
        <v>0</v>
      </c>
      <c r="BJ1539">
        <v>0</v>
      </c>
      <c r="BK1539">
        <v>2400</v>
      </c>
      <c r="BL1539">
        <v>400</v>
      </c>
      <c r="BM1539" t="s">
        <v>119</v>
      </c>
      <c r="BN1539">
        <v>1</v>
      </c>
      <c r="BO1539">
        <v>1</v>
      </c>
      <c r="BP1539">
        <v>1</v>
      </c>
      <c r="BQ1539">
        <v>0</v>
      </c>
      <c r="BT1539">
        <v>0</v>
      </c>
      <c r="BU1539">
        <v>0</v>
      </c>
      <c r="BV1539">
        <v>0</v>
      </c>
      <c r="CC1539" t="str">
        <f>"19:00:26.891"</f>
        <v>19:00:26.891</v>
      </c>
      <c r="CD1539" t="str">
        <f>"891662310"</f>
        <v>891662310</v>
      </c>
      <c r="CQ1539">
        <v>0</v>
      </c>
      <c r="CR1539">
        <v>2</v>
      </c>
      <c r="CS1539">
        <v>0</v>
      </c>
      <c r="CT1539">
        <v>2</v>
      </c>
      <c r="CU1539">
        <v>0</v>
      </c>
      <c r="CV1539">
        <v>7</v>
      </c>
      <c r="CW1539" t="s">
        <v>120</v>
      </c>
      <c r="CX1539">
        <v>257</v>
      </c>
      <c r="CY1539">
        <v>1</v>
      </c>
      <c r="CZ1539" t="s">
        <v>615</v>
      </c>
      <c r="DA1539" t="s">
        <v>616</v>
      </c>
      <c r="DD1539">
        <v>11522458</v>
      </c>
      <c r="DE1539" t="s">
        <v>123</v>
      </c>
    </row>
    <row r="1540" spans="1:109" x14ac:dyDescent="0.3">
      <c r="A1540" t="str">
        <f>"19:00:28.125"</f>
        <v>19:00:28.125</v>
      </c>
      <c r="B1540" t="s">
        <v>110</v>
      </c>
      <c r="C1540" t="str">
        <f t="shared" si="72"/>
        <v>ffdfd3c0</v>
      </c>
      <c r="D1540" t="s">
        <v>111</v>
      </c>
      <c r="E1540">
        <v>18</v>
      </c>
      <c r="F1540">
        <v>1018</v>
      </c>
      <c r="G1540" t="s">
        <v>112</v>
      </c>
      <c r="J1540" t="s">
        <v>113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R1540" t="s">
        <v>114</v>
      </c>
      <c r="S1540" t="str">
        <f>"19:00:27.891"</f>
        <v>19:00:27.891</v>
      </c>
      <c r="T1540" t="str">
        <f>"19:00:27.789"</f>
        <v>19:00:27.789</v>
      </c>
      <c r="U1540" t="str">
        <f t="shared" si="73"/>
        <v>a1cdbe</v>
      </c>
      <c r="V1540">
        <v>0</v>
      </c>
      <c r="W1540">
        <v>0</v>
      </c>
      <c r="X1540">
        <v>1</v>
      </c>
      <c r="Y1540">
        <v>0</v>
      </c>
      <c r="Z1540">
        <v>0</v>
      </c>
      <c r="AB1540">
        <v>0</v>
      </c>
      <c r="AC1540">
        <v>9</v>
      </c>
      <c r="AD1540">
        <v>3</v>
      </c>
      <c r="AE1540">
        <v>0</v>
      </c>
      <c r="AF1540">
        <v>9</v>
      </c>
      <c r="AG1540" t="s">
        <v>158</v>
      </c>
      <c r="AH1540">
        <v>0</v>
      </c>
      <c r="AI1540">
        <v>3</v>
      </c>
      <c r="AJ1540">
        <v>1</v>
      </c>
      <c r="AK1540">
        <v>0</v>
      </c>
      <c r="AL1540" t="s">
        <v>2981</v>
      </c>
      <c r="AM1540">
        <v>46.817636</v>
      </c>
      <c r="AN1540" t="s">
        <v>2982</v>
      </c>
      <c r="AO1540">
        <v>-122.796657</v>
      </c>
      <c r="AP1540">
        <v>100</v>
      </c>
      <c r="AQ1540">
        <v>2000</v>
      </c>
      <c r="AR1540" t="s">
        <v>118</v>
      </c>
      <c r="AS1540">
        <v>-70</v>
      </c>
      <c r="AT1540">
        <v>28</v>
      </c>
      <c r="AU1540">
        <v>-192</v>
      </c>
      <c r="BC1540">
        <v>1200</v>
      </c>
      <c r="BD1540">
        <v>1</v>
      </c>
      <c r="BE1540" t="str">
        <f t="shared" si="74"/>
        <v xml:space="preserve">N215T   </v>
      </c>
      <c r="BF1540">
        <v>1</v>
      </c>
      <c r="BH1540">
        <v>0</v>
      </c>
      <c r="BI1540">
        <v>0</v>
      </c>
      <c r="BJ1540">
        <v>0</v>
      </c>
      <c r="BK1540">
        <v>2375</v>
      </c>
      <c r="BL1540">
        <v>375</v>
      </c>
      <c r="BM1540" t="s">
        <v>119</v>
      </c>
      <c r="BN1540">
        <v>1</v>
      </c>
      <c r="BO1540">
        <v>1</v>
      </c>
      <c r="BP1540">
        <v>1</v>
      </c>
      <c r="BQ1540">
        <v>0</v>
      </c>
      <c r="BT1540">
        <v>0</v>
      </c>
      <c r="BU1540">
        <v>0</v>
      </c>
      <c r="BV1540">
        <v>0</v>
      </c>
      <c r="CC1540" t="str">
        <f>"19:00:27.898"</f>
        <v>19:00:27.898</v>
      </c>
      <c r="CD1540" t="str">
        <f>"896517621"</f>
        <v>896517621</v>
      </c>
      <c r="CQ1540">
        <v>0</v>
      </c>
      <c r="CR1540">
        <v>2</v>
      </c>
      <c r="CS1540">
        <v>0</v>
      </c>
      <c r="CT1540">
        <v>2</v>
      </c>
      <c r="CU1540">
        <v>0</v>
      </c>
      <c r="CV1540">
        <v>7</v>
      </c>
      <c r="CW1540" t="s">
        <v>120</v>
      </c>
      <c r="CX1540">
        <v>261</v>
      </c>
      <c r="CY1540">
        <v>2</v>
      </c>
      <c r="CZ1540" t="s">
        <v>121</v>
      </c>
      <c r="DA1540" t="s">
        <v>122</v>
      </c>
      <c r="DD1540">
        <v>15146356</v>
      </c>
      <c r="DE1540" t="s">
        <v>123</v>
      </c>
    </row>
    <row r="1541" spans="1:109" x14ac:dyDescent="0.3">
      <c r="A1541" t="str">
        <f>"19:00:29.086"</f>
        <v>19:00:29.086</v>
      </c>
      <c r="B1541" t="s">
        <v>110</v>
      </c>
      <c r="C1541" t="str">
        <f t="shared" si="72"/>
        <v>ffdfd3c0</v>
      </c>
      <c r="D1541" t="s">
        <v>111</v>
      </c>
      <c r="E1541">
        <v>18</v>
      </c>
      <c r="F1541">
        <v>1018</v>
      </c>
      <c r="G1541" t="s">
        <v>112</v>
      </c>
      <c r="J1541" t="s">
        <v>113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R1541" t="s">
        <v>114</v>
      </c>
      <c r="S1541" t="str">
        <f>"19:00:28.867"</f>
        <v>19:00:28.867</v>
      </c>
      <c r="T1541" t="str">
        <f>"19:00:28.469"</f>
        <v>19:00:28.469</v>
      </c>
      <c r="U1541" t="str">
        <f t="shared" si="73"/>
        <v>a1cdbe</v>
      </c>
      <c r="V1541">
        <v>0</v>
      </c>
      <c r="W1541">
        <v>0</v>
      </c>
      <c r="X1541">
        <v>1</v>
      </c>
      <c r="Y1541">
        <v>0</v>
      </c>
      <c r="Z1541">
        <v>0</v>
      </c>
      <c r="AB1541">
        <v>0</v>
      </c>
      <c r="AC1541">
        <v>9</v>
      </c>
      <c r="AD1541">
        <v>3</v>
      </c>
      <c r="AE1541">
        <v>0</v>
      </c>
      <c r="AF1541">
        <v>9</v>
      </c>
      <c r="AG1541" t="s">
        <v>158</v>
      </c>
      <c r="AH1541">
        <v>0</v>
      </c>
      <c r="AI1541">
        <v>3</v>
      </c>
      <c r="AJ1541">
        <v>1</v>
      </c>
      <c r="AK1541">
        <v>0</v>
      </c>
      <c r="AL1541" t="s">
        <v>2561</v>
      </c>
      <c r="AM1541">
        <v>46.817787000000003</v>
      </c>
      <c r="AN1541" t="s">
        <v>2983</v>
      </c>
      <c r="AO1541">
        <v>-122.797129</v>
      </c>
      <c r="AP1541">
        <v>100</v>
      </c>
      <c r="AQ1541">
        <v>2000</v>
      </c>
      <c r="AR1541" t="s">
        <v>118</v>
      </c>
      <c r="AS1541">
        <v>-71</v>
      </c>
      <c r="AT1541">
        <v>29</v>
      </c>
      <c r="AU1541">
        <v>64</v>
      </c>
      <c r="BC1541">
        <v>1200</v>
      </c>
      <c r="BD1541">
        <v>1</v>
      </c>
      <c r="BE1541" t="str">
        <f t="shared" si="74"/>
        <v xml:space="preserve">N215T   </v>
      </c>
      <c r="BF1541">
        <v>1</v>
      </c>
      <c r="BH1541">
        <v>0</v>
      </c>
      <c r="BI1541">
        <v>0</v>
      </c>
      <c r="BJ1541">
        <v>0</v>
      </c>
      <c r="BK1541">
        <v>2375</v>
      </c>
      <c r="BL1541">
        <v>375</v>
      </c>
      <c r="BM1541" t="s">
        <v>119</v>
      </c>
      <c r="BN1541">
        <v>1</v>
      </c>
      <c r="BO1541">
        <v>1</v>
      </c>
      <c r="BP1541">
        <v>1</v>
      </c>
      <c r="BQ1541">
        <v>0</v>
      </c>
      <c r="BT1541">
        <v>0</v>
      </c>
      <c r="BU1541">
        <v>0</v>
      </c>
      <c r="BV1541">
        <v>0</v>
      </c>
      <c r="CC1541" t="str">
        <f>"19:00:28.875"</f>
        <v>19:00:28.875</v>
      </c>
      <c r="CD1541" t="str">
        <f>"871467154"</f>
        <v>871467154</v>
      </c>
      <c r="CQ1541">
        <v>0</v>
      </c>
      <c r="CR1541">
        <v>2</v>
      </c>
      <c r="CS1541">
        <v>0</v>
      </c>
      <c r="CT1541">
        <v>2</v>
      </c>
      <c r="CU1541">
        <v>0</v>
      </c>
      <c r="CV1541">
        <v>7</v>
      </c>
      <c r="CW1541" t="s">
        <v>120</v>
      </c>
      <c r="CX1541">
        <v>257</v>
      </c>
      <c r="CY1541">
        <v>1</v>
      </c>
      <c r="CZ1541" t="s">
        <v>615</v>
      </c>
      <c r="DA1541" t="s">
        <v>616</v>
      </c>
      <c r="DD1541">
        <v>11523832</v>
      </c>
      <c r="DE1541" t="s">
        <v>123</v>
      </c>
    </row>
    <row r="1542" spans="1:109" x14ac:dyDescent="0.3">
      <c r="A1542" t="str">
        <f>"19:00:30.039"</f>
        <v>19:00:30.039</v>
      </c>
      <c r="B1542" t="s">
        <v>110</v>
      </c>
      <c r="C1542" t="str">
        <f t="shared" si="72"/>
        <v>ffdfd3c0</v>
      </c>
      <c r="D1542" t="s">
        <v>111</v>
      </c>
      <c r="E1542">
        <v>18</v>
      </c>
      <c r="F1542">
        <v>1018</v>
      </c>
      <c r="G1542" t="s">
        <v>112</v>
      </c>
      <c r="J1542" t="s">
        <v>113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R1542" t="s">
        <v>114</v>
      </c>
      <c r="S1542" t="str">
        <f>"19:00:29.781"</f>
        <v>19:00:29.781</v>
      </c>
      <c r="T1542" t="str">
        <f>"19:00:29.484"</f>
        <v>19:00:29.484</v>
      </c>
      <c r="U1542" t="str">
        <f t="shared" si="73"/>
        <v>a1cdbe</v>
      </c>
      <c r="V1542">
        <v>0</v>
      </c>
      <c r="W1542">
        <v>0</v>
      </c>
      <c r="X1542">
        <v>1</v>
      </c>
      <c r="Y1542">
        <v>0</v>
      </c>
      <c r="Z1542">
        <v>0</v>
      </c>
      <c r="AB1542">
        <v>0</v>
      </c>
      <c r="AC1542">
        <v>9</v>
      </c>
      <c r="AD1542">
        <v>3</v>
      </c>
      <c r="AE1542">
        <v>0</v>
      </c>
      <c r="AF1542">
        <v>9</v>
      </c>
      <c r="AG1542" t="s">
        <v>158</v>
      </c>
      <c r="AH1542">
        <v>0</v>
      </c>
      <c r="AI1542">
        <v>3</v>
      </c>
      <c r="AJ1542">
        <v>1</v>
      </c>
      <c r="AK1542">
        <v>0</v>
      </c>
      <c r="AL1542" t="s">
        <v>2984</v>
      </c>
      <c r="AM1542">
        <v>46.817872999999999</v>
      </c>
      <c r="AN1542" t="s">
        <v>2985</v>
      </c>
      <c r="AO1542">
        <v>-122.797623</v>
      </c>
      <c r="AP1542">
        <v>100</v>
      </c>
      <c r="AQ1542">
        <v>2000</v>
      </c>
      <c r="AR1542" t="s">
        <v>118</v>
      </c>
      <c r="AS1542">
        <v>-72</v>
      </c>
      <c r="AT1542">
        <v>29</v>
      </c>
      <c r="AU1542">
        <v>0</v>
      </c>
      <c r="BC1542">
        <v>1200</v>
      </c>
      <c r="BD1542">
        <v>1</v>
      </c>
      <c r="BE1542" t="str">
        <f t="shared" si="74"/>
        <v xml:space="preserve">N215T   </v>
      </c>
      <c r="BF1542">
        <v>1</v>
      </c>
      <c r="BH1542">
        <v>0</v>
      </c>
      <c r="BI1542">
        <v>0</v>
      </c>
      <c r="BJ1542">
        <v>0</v>
      </c>
      <c r="BK1542">
        <v>2375</v>
      </c>
      <c r="BL1542">
        <v>375</v>
      </c>
      <c r="BM1542" t="s">
        <v>119</v>
      </c>
      <c r="BN1542">
        <v>1</v>
      </c>
      <c r="BO1542">
        <v>1</v>
      </c>
      <c r="BP1542">
        <v>1</v>
      </c>
      <c r="BQ1542">
        <v>0</v>
      </c>
      <c r="BT1542">
        <v>0</v>
      </c>
      <c r="BU1542">
        <v>0</v>
      </c>
      <c r="BV1542">
        <v>0</v>
      </c>
      <c r="CC1542" t="str">
        <f>"19:00:29.789"</f>
        <v>19:00:29.789</v>
      </c>
      <c r="CD1542" t="str">
        <f>"786376983"</f>
        <v>786376983</v>
      </c>
      <c r="CQ1542">
        <v>0</v>
      </c>
      <c r="CR1542">
        <v>2</v>
      </c>
      <c r="CS1542">
        <v>0</v>
      </c>
      <c r="CT1542">
        <v>2</v>
      </c>
      <c r="CU1542">
        <v>0</v>
      </c>
      <c r="CV1542">
        <v>7</v>
      </c>
      <c r="CW1542" t="s">
        <v>120</v>
      </c>
      <c r="CX1542">
        <v>257</v>
      </c>
      <c r="CY1542">
        <v>1</v>
      </c>
      <c r="CZ1542" t="s">
        <v>615</v>
      </c>
      <c r="DA1542" t="s">
        <v>616</v>
      </c>
      <c r="DD1542">
        <v>11524560</v>
      </c>
      <c r="DE1542" t="s">
        <v>123</v>
      </c>
    </row>
    <row r="1543" spans="1:109" x14ac:dyDescent="0.3">
      <c r="A1543" t="str">
        <f>"19:00:31.148"</f>
        <v>19:00:31.148</v>
      </c>
      <c r="B1543" t="s">
        <v>110</v>
      </c>
      <c r="C1543" t="str">
        <f t="shared" si="72"/>
        <v>ffdfd3c0</v>
      </c>
      <c r="D1543" t="s">
        <v>111</v>
      </c>
      <c r="E1543">
        <v>18</v>
      </c>
      <c r="F1543">
        <v>1018</v>
      </c>
      <c r="G1543" t="s">
        <v>112</v>
      </c>
      <c r="J1543" t="s">
        <v>113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R1543" t="s">
        <v>114</v>
      </c>
      <c r="S1543" t="str">
        <f>"19:00:30.922"</f>
        <v>19:00:30.922</v>
      </c>
      <c r="T1543" t="str">
        <f>"19:00:30.922"</f>
        <v>19:00:30.922</v>
      </c>
      <c r="U1543" t="str">
        <f t="shared" si="73"/>
        <v>a1cdbe</v>
      </c>
      <c r="V1543">
        <v>0</v>
      </c>
      <c r="W1543">
        <v>0</v>
      </c>
      <c r="X1543">
        <v>1</v>
      </c>
      <c r="Y1543">
        <v>0</v>
      </c>
      <c r="Z1543">
        <v>0</v>
      </c>
      <c r="AB1543">
        <v>0</v>
      </c>
      <c r="AC1543">
        <v>9</v>
      </c>
      <c r="AD1543">
        <v>3</v>
      </c>
      <c r="AE1543">
        <v>0</v>
      </c>
      <c r="AF1543">
        <v>9</v>
      </c>
      <c r="AG1543" t="s">
        <v>158</v>
      </c>
      <c r="AH1543">
        <v>0</v>
      </c>
      <c r="AI1543">
        <v>3</v>
      </c>
      <c r="AJ1543">
        <v>1</v>
      </c>
      <c r="AK1543">
        <v>0</v>
      </c>
      <c r="AL1543" t="s">
        <v>2553</v>
      </c>
      <c r="AM1543">
        <v>46.818044</v>
      </c>
      <c r="AN1543" t="s">
        <v>2986</v>
      </c>
      <c r="AO1543">
        <v>-122.79813799999999</v>
      </c>
      <c r="AP1543">
        <v>100</v>
      </c>
      <c r="AQ1543">
        <v>2000</v>
      </c>
      <c r="AR1543" t="s">
        <v>118</v>
      </c>
      <c r="AS1543">
        <v>-72</v>
      </c>
      <c r="AT1543">
        <v>31</v>
      </c>
      <c r="AU1543">
        <v>-128</v>
      </c>
      <c r="BC1543">
        <v>1200</v>
      </c>
      <c r="BD1543">
        <v>1</v>
      </c>
      <c r="BE1543" t="str">
        <f t="shared" si="74"/>
        <v xml:space="preserve">N215T   </v>
      </c>
      <c r="BF1543">
        <v>1</v>
      </c>
      <c r="BH1543">
        <v>0</v>
      </c>
      <c r="BI1543">
        <v>0</v>
      </c>
      <c r="BJ1543">
        <v>0</v>
      </c>
      <c r="BK1543">
        <v>2375</v>
      </c>
      <c r="BL1543">
        <v>375</v>
      </c>
      <c r="BM1543" t="s">
        <v>119</v>
      </c>
      <c r="BN1543">
        <v>1</v>
      </c>
      <c r="BO1543">
        <v>1</v>
      </c>
      <c r="BP1543">
        <v>1</v>
      </c>
      <c r="BQ1543">
        <v>0</v>
      </c>
      <c r="BT1543">
        <v>0</v>
      </c>
      <c r="BU1543">
        <v>0</v>
      </c>
      <c r="BV1543">
        <v>0</v>
      </c>
      <c r="CC1543" t="str">
        <f>"19:00:30.930"</f>
        <v>19:00:30.930</v>
      </c>
      <c r="CD1543" t="str">
        <f>"926264622"</f>
        <v>926264622</v>
      </c>
      <c r="CQ1543">
        <v>0</v>
      </c>
      <c r="CR1543">
        <v>2</v>
      </c>
      <c r="CS1543">
        <v>0</v>
      </c>
      <c r="CT1543">
        <v>2</v>
      </c>
      <c r="CU1543">
        <v>0</v>
      </c>
      <c r="CV1543">
        <v>7</v>
      </c>
      <c r="CW1543" t="s">
        <v>120</v>
      </c>
      <c r="CX1543">
        <v>257</v>
      </c>
      <c r="CY1543">
        <v>1</v>
      </c>
      <c r="CZ1543" t="s">
        <v>615</v>
      </c>
      <c r="DA1543" t="s">
        <v>616</v>
      </c>
      <c r="DD1543">
        <v>11525427</v>
      </c>
      <c r="DE1543" t="s">
        <v>123</v>
      </c>
    </row>
    <row r="1544" spans="1:109" x14ac:dyDescent="0.3">
      <c r="A1544" t="str">
        <f>"19:00:32.102"</f>
        <v>19:00:32.102</v>
      </c>
      <c r="B1544" t="s">
        <v>110</v>
      </c>
      <c r="C1544" t="str">
        <f t="shared" si="72"/>
        <v>ffdfd3c0</v>
      </c>
      <c r="D1544" t="s">
        <v>111</v>
      </c>
      <c r="E1544">
        <v>18</v>
      </c>
      <c r="F1544">
        <v>1018</v>
      </c>
      <c r="G1544" t="s">
        <v>112</v>
      </c>
      <c r="J1544" t="s">
        <v>113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R1544" t="s">
        <v>114</v>
      </c>
      <c r="S1544" t="str">
        <f>"19:00:31.898"</f>
        <v>19:00:31.898</v>
      </c>
      <c r="T1544" t="str">
        <f>"19:00:31.398"</f>
        <v>19:00:31.398</v>
      </c>
      <c r="U1544" t="str">
        <f t="shared" si="73"/>
        <v>a1cdbe</v>
      </c>
      <c r="V1544">
        <v>0</v>
      </c>
      <c r="W1544">
        <v>0</v>
      </c>
      <c r="X1544">
        <v>1</v>
      </c>
      <c r="Y1544">
        <v>0</v>
      </c>
      <c r="Z1544">
        <v>0</v>
      </c>
      <c r="AB1544">
        <v>0</v>
      </c>
      <c r="AC1544">
        <v>9</v>
      </c>
      <c r="AD1544">
        <v>3</v>
      </c>
      <c r="AE1544">
        <v>0</v>
      </c>
      <c r="AF1544">
        <v>9</v>
      </c>
      <c r="AG1544" t="s">
        <v>158</v>
      </c>
      <c r="AH1544">
        <v>0</v>
      </c>
      <c r="AI1544">
        <v>3</v>
      </c>
      <c r="AJ1544">
        <v>1</v>
      </c>
      <c r="AK1544">
        <v>0</v>
      </c>
      <c r="AL1544" t="s">
        <v>2549</v>
      </c>
      <c r="AM1544">
        <v>46.818193999999998</v>
      </c>
      <c r="AN1544" t="s">
        <v>2987</v>
      </c>
      <c r="AO1544">
        <v>-122.798653</v>
      </c>
      <c r="AP1544">
        <v>100</v>
      </c>
      <c r="AQ1544">
        <v>2000</v>
      </c>
      <c r="AR1544" t="s">
        <v>118</v>
      </c>
      <c r="AS1544">
        <v>-72</v>
      </c>
      <c r="AT1544">
        <v>31</v>
      </c>
      <c r="AU1544">
        <v>-128</v>
      </c>
      <c r="BC1544">
        <v>1200</v>
      </c>
      <c r="BD1544">
        <v>1</v>
      </c>
      <c r="BE1544" t="str">
        <f t="shared" si="74"/>
        <v xml:space="preserve">N215T   </v>
      </c>
      <c r="BF1544">
        <v>1</v>
      </c>
      <c r="BH1544">
        <v>0</v>
      </c>
      <c r="BI1544">
        <v>0</v>
      </c>
      <c r="BJ1544">
        <v>0</v>
      </c>
      <c r="BK1544">
        <v>2375</v>
      </c>
      <c r="BL1544">
        <v>375</v>
      </c>
      <c r="BM1544" t="s">
        <v>119</v>
      </c>
      <c r="BN1544">
        <v>1</v>
      </c>
      <c r="BO1544">
        <v>1</v>
      </c>
      <c r="BP1544">
        <v>1</v>
      </c>
      <c r="BQ1544">
        <v>0</v>
      </c>
      <c r="BT1544">
        <v>0</v>
      </c>
      <c r="BU1544">
        <v>0</v>
      </c>
      <c r="BV1544">
        <v>0</v>
      </c>
      <c r="CC1544" t="str">
        <f>"19:00:31.898"</f>
        <v>19:00:31.898</v>
      </c>
      <c r="CD1544" t="str">
        <f>"901123013"</f>
        <v>901123013</v>
      </c>
      <c r="CQ1544">
        <v>0</v>
      </c>
      <c r="CR1544">
        <v>2</v>
      </c>
      <c r="CS1544">
        <v>0</v>
      </c>
      <c r="CT1544">
        <v>2</v>
      </c>
      <c r="CU1544">
        <v>0</v>
      </c>
      <c r="CV1544">
        <v>6</v>
      </c>
      <c r="CW1544" t="s">
        <v>120</v>
      </c>
      <c r="CX1544">
        <v>261</v>
      </c>
      <c r="CY1544">
        <v>2</v>
      </c>
      <c r="CZ1544" t="s">
        <v>121</v>
      </c>
      <c r="DA1544" t="s">
        <v>122</v>
      </c>
      <c r="DD1544">
        <v>15149141</v>
      </c>
      <c r="DE1544" t="s">
        <v>123</v>
      </c>
    </row>
    <row r="1545" spans="1:109" x14ac:dyDescent="0.3">
      <c r="A1545" t="str">
        <f>"19:00:33.266"</f>
        <v>19:00:33.266</v>
      </c>
      <c r="B1545" t="s">
        <v>110</v>
      </c>
      <c r="C1545" t="str">
        <f t="shared" si="72"/>
        <v>ffdfd3c0</v>
      </c>
      <c r="D1545" t="s">
        <v>111</v>
      </c>
      <c r="E1545">
        <v>18</v>
      </c>
      <c r="F1545">
        <v>1018</v>
      </c>
      <c r="G1545" t="s">
        <v>112</v>
      </c>
      <c r="J1545" t="s">
        <v>113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R1545" t="s">
        <v>114</v>
      </c>
      <c r="S1545" t="str">
        <f>"19:00:33.023"</f>
        <v>19:00:33.023</v>
      </c>
      <c r="T1545" t="str">
        <f>"19:00:32.922"</f>
        <v>19:00:32.922</v>
      </c>
      <c r="U1545" t="str">
        <f t="shared" si="73"/>
        <v>a1cdbe</v>
      </c>
      <c r="V1545">
        <v>0</v>
      </c>
      <c r="W1545">
        <v>0</v>
      </c>
      <c r="X1545">
        <v>1</v>
      </c>
      <c r="Y1545">
        <v>0</v>
      </c>
      <c r="Z1545">
        <v>0</v>
      </c>
      <c r="AB1545">
        <v>0</v>
      </c>
      <c r="AC1545">
        <v>9</v>
      </c>
      <c r="AD1545">
        <v>3</v>
      </c>
      <c r="AE1545">
        <v>0</v>
      </c>
      <c r="AF1545">
        <v>9</v>
      </c>
      <c r="AG1545" t="s">
        <v>158</v>
      </c>
      <c r="AH1545">
        <v>0</v>
      </c>
      <c r="AI1545">
        <v>3</v>
      </c>
      <c r="AJ1545">
        <v>1</v>
      </c>
      <c r="AK1545">
        <v>0</v>
      </c>
      <c r="AL1545" t="s">
        <v>2543</v>
      </c>
      <c r="AM1545">
        <v>46.818322999999999</v>
      </c>
      <c r="AN1545" t="s">
        <v>2988</v>
      </c>
      <c r="AO1545">
        <v>-122.799211</v>
      </c>
      <c r="AP1545">
        <v>100</v>
      </c>
      <c r="AQ1545">
        <v>2000</v>
      </c>
      <c r="AR1545" t="s">
        <v>118</v>
      </c>
      <c r="AS1545">
        <v>-73</v>
      </c>
      <c r="AT1545">
        <v>29</v>
      </c>
      <c r="AU1545">
        <v>-128</v>
      </c>
      <c r="BC1545">
        <v>1200</v>
      </c>
      <c r="BD1545">
        <v>1</v>
      </c>
      <c r="BE1545" t="str">
        <f t="shared" si="74"/>
        <v xml:space="preserve">N215T   </v>
      </c>
      <c r="BF1545">
        <v>1</v>
      </c>
      <c r="BH1545">
        <v>0</v>
      </c>
      <c r="BI1545">
        <v>0</v>
      </c>
      <c r="BJ1545">
        <v>0</v>
      </c>
      <c r="BK1545">
        <v>2375</v>
      </c>
      <c r="BL1545">
        <v>375</v>
      </c>
      <c r="BM1545" t="s">
        <v>119</v>
      </c>
      <c r="BN1545">
        <v>1</v>
      </c>
      <c r="BO1545">
        <v>1</v>
      </c>
      <c r="BP1545">
        <v>1</v>
      </c>
      <c r="BQ1545">
        <v>0</v>
      </c>
      <c r="BT1545">
        <v>0</v>
      </c>
      <c r="BU1545">
        <v>0</v>
      </c>
      <c r="BV1545">
        <v>0</v>
      </c>
      <c r="CC1545" t="str">
        <f>"19:00:33.023"</f>
        <v>19:00:33.023</v>
      </c>
      <c r="CD1545" t="str">
        <f>"026012172"</f>
        <v>026012172</v>
      </c>
      <c r="CQ1545">
        <v>0</v>
      </c>
      <c r="CR1545">
        <v>2</v>
      </c>
      <c r="CS1545">
        <v>0</v>
      </c>
      <c r="CT1545">
        <v>2</v>
      </c>
      <c r="CU1545">
        <v>0</v>
      </c>
      <c r="CV1545">
        <v>7</v>
      </c>
      <c r="CW1545" t="s">
        <v>120</v>
      </c>
      <c r="CX1545">
        <v>261</v>
      </c>
      <c r="CY1545">
        <v>2</v>
      </c>
      <c r="CZ1545" t="s">
        <v>121</v>
      </c>
      <c r="DA1545" t="s">
        <v>122</v>
      </c>
      <c r="DD1545">
        <v>15149895</v>
      </c>
      <c r="DE1545" t="s">
        <v>123</v>
      </c>
    </row>
    <row r="1546" spans="1:109" x14ac:dyDescent="0.3">
      <c r="A1546" t="str">
        <f>"19:00:34.117"</f>
        <v>19:00:34.117</v>
      </c>
      <c r="B1546" t="s">
        <v>110</v>
      </c>
      <c r="C1546" t="str">
        <f t="shared" si="72"/>
        <v>ffdfd3c0</v>
      </c>
      <c r="D1546" t="s">
        <v>111</v>
      </c>
      <c r="E1546">
        <v>18</v>
      </c>
      <c r="F1546">
        <v>1018</v>
      </c>
      <c r="G1546" t="s">
        <v>112</v>
      </c>
      <c r="J1546" t="s">
        <v>113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R1546" t="s">
        <v>114</v>
      </c>
      <c r="S1546" t="str">
        <f>"19:00:33.875"</f>
        <v>19:00:33.875</v>
      </c>
      <c r="T1546" t="str">
        <f>"19:00:33.875"</f>
        <v>19:00:33.875</v>
      </c>
      <c r="U1546" t="str">
        <f t="shared" si="73"/>
        <v>a1cdbe</v>
      </c>
      <c r="V1546">
        <v>0</v>
      </c>
      <c r="W1546">
        <v>0</v>
      </c>
      <c r="X1546">
        <v>1</v>
      </c>
      <c r="Y1546">
        <v>0</v>
      </c>
      <c r="Z1546">
        <v>0</v>
      </c>
      <c r="AB1546">
        <v>0</v>
      </c>
      <c r="AC1546">
        <v>9</v>
      </c>
      <c r="AD1546">
        <v>3</v>
      </c>
      <c r="AE1546">
        <v>0</v>
      </c>
      <c r="AF1546">
        <v>9</v>
      </c>
      <c r="AG1546" t="s">
        <v>158</v>
      </c>
      <c r="AH1546">
        <v>0</v>
      </c>
      <c r="AI1546">
        <v>3</v>
      </c>
      <c r="AJ1546">
        <v>1</v>
      </c>
      <c r="AK1546">
        <v>0</v>
      </c>
      <c r="AL1546" t="s">
        <v>2537</v>
      </c>
      <c r="AM1546">
        <v>46.818472999999997</v>
      </c>
      <c r="AN1546" t="s">
        <v>2989</v>
      </c>
      <c r="AO1546">
        <v>-122.799618</v>
      </c>
      <c r="AP1546">
        <v>100</v>
      </c>
      <c r="AQ1546">
        <v>2000</v>
      </c>
      <c r="AR1546" t="s">
        <v>118</v>
      </c>
      <c r="AS1546">
        <v>-74</v>
      </c>
      <c r="AT1546">
        <v>28</v>
      </c>
      <c r="AU1546">
        <v>-64</v>
      </c>
      <c r="BC1546">
        <v>1200</v>
      </c>
      <c r="BD1546">
        <v>1</v>
      </c>
      <c r="BE1546" t="str">
        <f t="shared" si="74"/>
        <v xml:space="preserve">N215T   </v>
      </c>
      <c r="BF1546">
        <v>1</v>
      </c>
      <c r="BH1546">
        <v>0</v>
      </c>
      <c r="BI1546">
        <v>0</v>
      </c>
      <c r="BJ1546">
        <v>0</v>
      </c>
      <c r="BK1546">
        <v>2375</v>
      </c>
      <c r="BL1546">
        <v>375</v>
      </c>
      <c r="BM1546" t="s">
        <v>119</v>
      </c>
      <c r="BN1546">
        <v>1</v>
      </c>
      <c r="BO1546">
        <v>1</v>
      </c>
      <c r="BP1546">
        <v>1</v>
      </c>
      <c r="BQ1546">
        <v>0</v>
      </c>
      <c r="BT1546">
        <v>0</v>
      </c>
      <c r="BU1546">
        <v>0</v>
      </c>
      <c r="BV1546">
        <v>0</v>
      </c>
      <c r="CC1546" t="str">
        <f>"19:00:33.883"</f>
        <v>19:00:33.883</v>
      </c>
      <c r="CD1546" t="str">
        <f>"880927943"</f>
        <v>880927943</v>
      </c>
      <c r="CQ1546">
        <v>0</v>
      </c>
      <c r="CR1546">
        <v>2</v>
      </c>
      <c r="CS1546">
        <v>0</v>
      </c>
      <c r="CT1546">
        <v>2</v>
      </c>
      <c r="CU1546">
        <v>0</v>
      </c>
      <c r="CV1546">
        <v>6</v>
      </c>
      <c r="CW1546" t="s">
        <v>120</v>
      </c>
      <c r="CX1546">
        <v>261</v>
      </c>
      <c r="CY1546">
        <v>2</v>
      </c>
      <c r="CZ1546" t="s">
        <v>121</v>
      </c>
      <c r="DA1546" t="s">
        <v>122</v>
      </c>
      <c r="DD1546">
        <v>15150463</v>
      </c>
      <c r="DE1546" t="s">
        <v>123</v>
      </c>
    </row>
    <row r="1547" spans="1:109" x14ac:dyDescent="0.3">
      <c r="A1547" t="str">
        <f>"19:00:35.219"</f>
        <v>19:00:35.219</v>
      </c>
      <c r="B1547" t="s">
        <v>110</v>
      </c>
      <c r="C1547" t="str">
        <f t="shared" si="72"/>
        <v>ffdfd3c0</v>
      </c>
      <c r="D1547" t="s">
        <v>111</v>
      </c>
      <c r="E1547">
        <v>18</v>
      </c>
      <c r="F1547">
        <v>1018</v>
      </c>
      <c r="G1547" t="s">
        <v>112</v>
      </c>
      <c r="J1547" t="s">
        <v>113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R1547" t="s">
        <v>114</v>
      </c>
      <c r="S1547" t="str">
        <f>"19:00:35.000"</f>
        <v>19:00:35.000</v>
      </c>
      <c r="T1547" t="str">
        <f>"19:00:34.797"</f>
        <v>19:00:34.797</v>
      </c>
      <c r="U1547" t="str">
        <f t="shared" si="73"/>
        <v>a1cdbe</v>
      </c>
      <c r="V1547">
        <v>0</v>
      </c>
      <c r="W1547">
        <v>0</v>
      </c>
      <c r="X1547">
        <v>1</v>
      </c>
      <c r="Y1547">
        <v>0</v>
      </c>
      <c r="Z1547">
        <v>0</v>
      </c>
      <c r="AB1547">
        <v>0</v>
      </c>
      <c r="AC1547">
        <v>9</v>
      </c>
      <c r="AD1547">
        <v>3</v>
      </c>
      <c r="AE1547">
        <v>0</v>
      </c>
      <c r="AF1547">
        <v>9</v>
      </c>
      <c r="AG1547" t="s">
        <v>158</v>
      </c>
      <c r="AH1547">
        <v>0</v>
      </c>
      <c r="AI1547">
        <v>3</v>
      </c>
      <c r="AJ1547">
        <v>1</v>
      </c>
      <c r="AK1547">
        <v>0</v>
      </c>
      <c r="AL1547" t="s">
        <v>2533</v>
      </c>
      <c r="AM1547">
        <v>46.818601999999998</v>
      </c>
      <c r="AN1547" t="s">
        <v>2990</v>
      </c>
      <c r="AO1547">
        <v>-122.800155</v>
      </c>
      <c r="AP1547">
        <v>100</v>
      </c>
      <c r="AQ1547">
        <v>2000</v>
      </c>
      <c r="AR1547" t="s">
        <v>118</v>
      </c>
      <c r="AS1547">
        <v>-74</v>
      </c>
      <c r="AT1547">
        <v>27</v>
      </c>
      <c r="AU1547">
        <v>0</v>
      </c>
      <c r="BC1547">
        <v>1200</v>
      </c>
      <c r="BD1547">
        <v>1</v>
      </c>
      <c r="BE1547" t="str">
        <f t="shared" si="74"/>
        <v xml:space="preserve">N215T   </v>
      </c>
      <c r="BF1547">
        <v>1</v>
      </c>
      <c r="BH1547">
        <v>0</v>
      </c>
      <c r="BI1547">
        <v>0</v>
      </c>
      <c r="BJ1547">
        <v>0</v>
      </c>
      <c r="BK1547">
        <v>2375</v>
      </c>
      <c r="BL1547">
        <v>375</v>
      </c>
      <c r="BM1547" t="s">
        <v>119</v>
      </c>
      <c r="BN1547">
        <v>1</v>
      </c>
      <c r="BO1547">
        <v>1</v>
      </c>
      <c r="BP1547">
        <v>1</v>
      </c>
      <c r="BQ1547">
        <v>0</v>
      </c>
      <c r="BT1547">
        <v>0</v>
      </c>
      <c r="BU1547">
        <v>0</v>
      </c>
      <c r="BV1547">
        <v>0</v>
      </c>
      <c r="CC1547" t="str">
        <f>"19:00:35.008"</f>
        <v>19:00:35.008</v>
      </c>
      <c r="CD1547" t="str">
        <f>"005862494"</f>
        <v>005862494</v>
      </c>
      <c r="CQ1547">
        <v>0</v>
      </c>
      <c r="CR1547">
        <v>2</v>
      </c>
      <c r="CS1547">
        <v>0</v>
      </c>
      <c r="CT1547">
        <v>2</v>
      </c>
      <c r="CU1547">
        <v>0</v>
      </c>
      <c r="CV1547">
        <v>6</v>
      </c>
      <c r="CW1547" t="s">
        <v>120</v>
      </c>
      <c r="CX1547">
        <v>257</v>
      </c>
      <c r="CY1547">
        <v>1</v>
      </c>
      <c r="CZ1547" t="s">
        <v>615</v>
      </c>
      <c r="DA1547" t="s">
        <v>616</v>
      </c>
      <c r="DD1547">
        <v>11528357</v>
      </c>
      <c r="DE1547" t="s">
        <v>123</v>
      </c>
    </row>
    <row r="1548" spans="1:109" x14ac:dyDescent="0.3">
      <c r="A1548" t="str">
        <f>"19:00:36.125"</f>
        <v>19:00:36.125</v>
      </c>
      <c r="B1548" t="s">
        <v>110</v>
      </c>
      <c r="C1548" t="str">
        <f t="shared" si="72"/>
        <v>ffdfd3c0</v>
      </c>
      <c r="D1548" t="s">
        <v>111</v>
      </c>
      <c r="E1548">
        <v>18</v>
      </c>
      <c r="F1548">
        <v>1018</v>
      </c>
      <c r="G1548" t="s">
        <v>112</v>
      </c>
      <c r="J1548" t="s">
        <v>113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R1548" t="s">
        <v>114</v>
      </c>
      <c r="S1548" t="str">
        <f>"19:00:35.898"</f>
        <v>19:00:35.898</v>
      </c>
      <c r="T1548" t="str">
        <f>"19:00:35.797"</f>
        <v>19:00:35.797</v>
      </c>
      <c r="U1548" t="str">
        <f t="shared" si="73"/>
        <v>a1cdbe</v>
      </c>
      <c r="V1548">
        <v>0</v>
      </c>
      <c r="W1548">
        <v>0</v>
      </c>
      <c r="X1548">
        <v>1</v>
      </c>
      <c r="Y1548">
        <v>0</v>
      </c>
      <c r="Z1548">
        <v>0</v>
      </c>
      <c r="AB1548">
        <v>0</v>
      </c>
      <c r="AC1548">
        <v>9</v>
      </c>
      <c r="AD1548">
        <v>3</v>
      </c>
      <c r="AE1548">
        <v>0</v>
      </c>
      <c r="AF1548">
        <v>9</v>
      </c>
      <c r="AG1548" t="s">
        <v>158</v>
      </c>
      <c r="AH1548">
        <v>0</v>
      </c>
      <c r="AI1548">
        <v>3</v>
      </c>
      <c r="AJ1548">
        <v>1</v>
      </c>
      <c r="AK1548">
        <v>0</v>
      </c>
      <c r="AL1548" t="s">
        <v>2991</v>
      </c>
      <c r="AM1548">
        <v>46.818708999999998</v>
      </c>
      <c r="AN1548" t="s">
        <v>2992</v>
      </c>
      <c r="AO1548">
        <v>-122.800648</v>
      </c>
      <c r="AP1548">
        <v>100</v>
      </c>
      <c r="AQ1548">
        <v>2000</v>
      </c>
      <c r="AR1548" t="s">
        <v>118</v>
      </c>
      <c r="AS1548">
        <v>-75</v>
      </c>
      <c r="AT1548">
        <v>26</v>
      </c>
      <c r="AU1548">
        <v>-192</v>
      </c>
      <c r="BC1548">
        <v>1200</v>
      </c>
      <c r="BD1548">
        <v>1</v>
      </c>
      <c r="BE1548" t="str">
        <f t="shared" si="74"/>
        <v xml:space="preserve">N215T   </v>
      </c>
      <c r="BF1548">
        <v>1</v>
      </c>
      <c r="BH1548">
        <v>0</v>
      </c>
      <c r="BI1548">
        <v>0</v>
      </c>
      <c r="BJ1548">
        <v>0</v>
      </c>
      <c r="BK1548">
        <v>2375</v>
      </c>
      <c r="BL1548">
        <v>375</v>
      </c>
      <c r="BM1548" t="s">
        <v>119</v>
      </c>
      <c r="BN1548">
        <v>1</v>
      </c>
      <c r="BO1548">
        <v>1</v>
      </c>
      <c r="BP1548">
        <v>1</v>
      </c>
      <c r="BQ1548">
        <v>0</v>
      </c>
      <c r="BT1548">
        <v>0</v>
      </c>
      <c r="BU1548">
        <v>0</v>
      </c>
      <c r="BV1548">
        <v>0</v>
      </c>
      <c r="CC1548" t="str">
        <f>"19:00:35.906"</f>
        <v>19:00:35.906</v>
      </c>
      <c r="CD1548" t="str">
        <f>"905773780"</f>
        <v>905773780</v>
      </c>
      <c r="CQ1548">
        <v>0</v>
      </c>
      <c r="CR1548">
        <v>2</v>
      </c>
      <c r="CS1548">
        <v>0</v>
      </c>
      <c r="CT1548">
        <v>2</v>
      </c>
      <c r="CU1548">
        <v>0</v>
      </c>
      <c r="CV1548">
        <v>7</v>
      </c>
      <c r="CW1548" t="s">
        <v>120</v>
      </c>
      <c r="CX1548">
        <v>257</v>
      </c>
      <c r="CY1548">
        <v>1</v>
      </c>
      <c r="CZ1548" t="s">
        <v>615</v>
      </c>
      <c r="DA1548" t="s">
        <v>616</v>
      </c>
      <c r="DD1548">
        <v>11529010</v>
      </c>
      <c r="DE1548" t="s">
        <v>123</v>
      </c>
    </row>
    <row r="1549" spans="1:109" x14ac:dyDescent="0.3">
      <c r="A1549" t="str">
        <f>"19:00:37.227"</f>
        <v>19:00:37.227</v>
      </c>
      <c r="B1549" t="s">
        <v>110</v>
      </c>
      <c r="C1549" t="str">
        <f t="shared" si="72"/>
        <v>ffdfd3c0</v>
      </c>
      <c r="D1549" t="s">
        <v>111</v>
      </c>
      <c r="E1549">
        <v>18</v>
      </c>
      <c r="F1549">
        <v>1018</v>
      </c>
      <c r="G1549" t="s">
        <v>112</v>
      </c>
      <c r="J1549" t="s">
        <v>113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R1549" t="s">
        <v>114</v>
      </c>
      <c r="S1549" t="str">
        <f>"19:00:37.008"</f>
        <v>19:00:37.008</v>
      </c>
      <c r="T1549" t="str">
        <f>"19:00:36.805"</f>
        <v>19:00:36.805</v>
      </c>
      <c r="U1549" t="str">
        <f t="shared" si="73"/>
        <v>a1cdbe</v>
      </c>
      <c r="V1549">
        <v>0</v>
      </c>
      <c r="W1549">
        <v>0</v>
      </c>
      <c r="X1549">
        <v>1</v>
      </c>
      <c r="Y1549">
        <v>0</v>
      </c>
      <c r="Z1549">
        <v>0</v>
      </c>
      <c r="AB1549">
        <v>0</v>
      </c>
      <c r="AC1549">
        <v>9</v>
      </c>
      <c r="AD1549">
        <v>3</v>
      </c>
      <c r="AE1549">
        <v>0</v>
      </c>
      <c r="AF1549">
        <v>9</v>
      </c>
      <c r="AG1549" t="s">
        <v>158</v>
      </c>
      <c r="AH1549">
        <v>0</v>
      </c>
      <c r="AI1549">
        <v>3</v>
      </c>
      <c r="AJ1549">
        <v>1</v>
      </c>
      <c r="AK1549">
        <v>0</v>
      </c>
      <c r="AL1549" t="s">
        <v>2527</v>
      </c>
      <c r="AM1549">
        <v>46.818838</v>
      </c>
      <c r="AN1549" t="s">
        <v>2993</v>
      </c>
      <c r="AO1549">
        <v>-122.801185</v>
      </c>
      <c r="AP1549">
        <v>100</v>
      </c>
      <c r="AQ1549">
        <v>2000</v>
      </c>
      <c r="AR1549" t="s">
        <v>118</v>
      </c>
      <c r="AS1549">
        <v>-75</v>
      </c>
      <c r="AT1549">
        <v>26</v>
      </c>
      <c r="AU1549">
        <v>-192</v>
      </c>
      <c r="BC1549">
        <v>1200</v>
      </c>
      <c r="BD1549">
        <v>1</v>
      </c>
      <c r="BE1549" t="str">
        <f t="shared" si="74"/>
        <v xml:space="preserve">N215T   </v>
      </c>
      <c r="BF1549">
        <v>1</v>
      </c>
      <c r="BH1549">
        <v>0</v>
      </c>
      <c r="BI1549">
        <v>0</v>
      </c>
      <c r="BJ1549">
        <v>0</v>
      </c>
      <c r="BK1549">
        <v>2375</v>
      </c>
      <c r="BL1549">
        <v>375</v>
      </c>
      <c r="BM1549" t="s">
        <v>119</v>
      </c>
      <c r="BN1549">
        <v>1</v>
      </c>
      <c r="BO1549">
        <v>1</v>
      </c>
      <c r="BP1549">
        <v>1</v>
      </c>
      <c r="BQ1549">
        <v>0</v>
      </c>
      <c r="BT1549">
        <v>0</v>
      </c>
      <c r="BU1549">
        <v>0</v>
      </c>
      <c r="BV1549">
        <v>0</v>
      </c>
      <c r="CC1549" t="str">
        <f>"19:00:37.016"</f>
        <v>19:00:37.016</v>
      </c>
      <c r="CD1549" t="str">
        <f>"015619081"</f>
        <v>015619081</v>
      </c>
      <c r="CQ1549">
        <v>0</v>
      </c>
      <c r="CR1549">
        <v>2</v>
      </c>
      <c r="CS1549">
        <v>0</v>
      </c>
      <c r="CT1549">
        <v>2</v>
      </c>
      <c r="CU1549">
        <v>0</v>
      </c>
      <c r="CV1549">
        <v>6</v>
      </c>
      <c r="CW1549" t="s">
        <v>120</v>
      </c>
      <c r="CX1549">
        <v>261</v>
      </c>
      <c r="CY1549">
        <v>2</v>
      </c>
      <c r="CZ1549" t="s">
        <v>121</v>
      </c>
      <c r="DA1549" t="s">
        <v>122</v>
      </c>
      <c r="DD1549">
        <v>15152548</v>
      </c>
      <c r="DE1549" t="s">
        <v>123</v>
      </c>
    </row>
    <row r="1550" spans="1:109" x14ac:dyDescent="0.3">
      <c r="A1550" t="str">
        <f>"19:00:38.133"</f>
        <v>19:00:38.133</v>
      </c>
      <c r="B1550" t="s">
        <v>110</v>
      </c>
      <c r="C1550" t="str">
        <f t="shared" si="72"/>
        <v>ffdfd3c0</v>
      </c>
      <c r="D1550" t="s">
        <v>111</v>
      </c>
      <c r="E1550">
        <v>18</v>
      </c>
      <c r="F1550">
        <v>1018</v>
      </c>
      <c r="G1550" t="s">
        <v>112</v>
      </c>
      <c r="J1550" t="s">
        <v>113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R1550" t="s">
        <v>114</v>
      </c>
      <c r="S1550" t="str">
        <f>"19:00:37.914"</f>
        <v>19:00:37.914</v>
      </c>
      <c r="T1550" t="str">
        <f>"19:00:37.914"</f>
        <v>19:00:37.914</v>
      </c>
      <c r="U1550" t="str">
        <f t="shared" si="73"/>
        <v>a1cdbe</v>
      </c>
      <c r="V1550">
        <v>0</v>
      </c>
      <c r="W1550">
        <v>0</v>
      </c>
      <c r="X1550">
        <v>1</v>
      </c>
      <c r="Y1550">
        <v>0</v>
      </c>
      <c r="Z1550">
        <v>0</v>
      </c>
      <c r="AB1550">
        <v>0</v>
      </c>
      <c r="AC1550">
        <v>9</v>
      </c>
      <c r="AD1550">
        <v>3</v>
      </c>
      <c r="AE1550">
        <v>0</v>
      </c>
      <c r="AF1550">
        <v>9</v>
      </c>
      <c r="AG1550" t="s">
        <v>158</v>
      </c>
      <c r="AH1550">
        <v>0</v>
      </c>
      <c r="AI1550">
        <v>3</v>
      </c>
      <c r="AJ1550">
        <v>1</v>
      </c>
      <c r="AK1550">
        <v>0</v>
      </c>
      <c r="AL1550" t="s">
        <v>2994</v>
      </c>
      <c r="AM1550">
        <v>46.818944999999999</v>
      </c>
      <c r="AN1550" t="s">
        <v>2995</v>
      </c>
      <c r="AO1550">
        <v>-122.801614</v>
      </c>
      <c r="AP1550">
        <v>100</v>
      </c>
      <c r="AQ1550">
        <v>2000</v>
      </c>
      <c r="AR1550" t="s">
        <v>118</v>
      </c>
      <c r="AS1550">
        <v>-75</v>
      </c>
      <c r="AT1550">
        <v>25</v>
      </c>
      <c r="AU1550">
        <v>-192</v>
      </c>
      <c r="BC1550">
        <v>1200</v>
      </c>
      <c r="BD1550">
        <v>1</v>
      </c>
      <c r="BE1550" t="str">
        <f t="shared" si="74"/>
        <v xml:space="preserve">N215T   </v>
      </c>
      <c r="BF1550">
        <v>1</v>
      </c>
      <c r="BH1550">
        <v>0</v>
      </c>
      <c r="BI1550">
        <v>0</v>
      </c>
      <c r="BJ1550">
        <v>0</v>
      </c>
      <c r="BK1550">
        <v>2375</v>
      </c>
      <c r="BL1550">
        <v>375</v>
      </c>
      <c r="BM1550" t="s">
        <v>119</v>
      </c>
      <c r="BN1550">
        <v>1</v>
      </c>
      <c r="BO1550">
        <v>1</v>
      </c>
      <c r="BP1550">
        <v>1</v>
      </c>
      <c r="BQ1550">
        <v>0</v>
      </c>
      <c r="BT1550">
        <v>0</v>
      </c>
      <c r="BU1550">
        <v>0</v>
      </c>
      <c r="BV1550">
        <v>0</v>
      </c>
      <c r="CC1550" t="str">
        <f>"19:00:37.914"</f>
        <v>19:00:37.914</v>
      </c>
      <c r="CD1550" t="str">
        <f>"915530435"</f>
        <v>915530435</v>
      </c>
      <c r="CQ1550">
        <v>0</v>
      </c>
      <c r="CR1550">
        <v>2</v>
      </c>
      <c r="CS1550">
        <v>0</v>
      </c>
      <c r="CT1550">
        <v>2</v>
      </c>
      <c r="CU1550">
        <v>0</v>
      </c>
      <c r="CV1550">
        <v>7</v>
      </c>
      <c r="CW1550" t="s">
        <v>120</v>
      </c>
      <c r="CX1550">
        <v>261</v>
      </c>
      <c r="CY1550">
        <v>2</v>
      </c>
      <c r="CZ1550" t="s">
        <v>121</v>
      </c>
      <c r="DA1550" t="s">
        <v>122</v>
      </c>
      <c r="DD1550">
        <v>15153109</v>
      </c>
      <c r="DE1550" t="s">
        <v>123</v>
      </c>
    </row>
    <row r="1551" spans="1:109" x14ac:dyDescent="0.3">
      <c r="A1551" t="str">
        <f>"19:00:39.141"</f>
        <v>19:00:39.141</v>
      </c>
      <c r="B1551" t="s">
        <v>110</v>
      </c>
      <c r="C1551" t="str">
        <f t="shared" si="72"/>
        <v>ffdfd3c0</v>
      </c>
      <c r="D1551" t="s">
        <v>111</v>
      </c>
      <c r="E1551">
        <v>18</v>
      </c>
      <c r="F1551">
        <v>1018</v>
      </c>
      <c r="G1551" t="s">
        <v>112</v>
      </c>
      <c r="J1551" t="s">
        <v>113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R1551" t="s">
        <v>114</v>
      </c>
      <c r="S1551" t="str">
        <f>"19:00:38.930"</f>
        <v>19:00:38.930</v>
      </c>
      <c r="T1551" t="str">
        <f>"19:00:38.430"</f>
        <v>19:00:38.430</v>
      </c>
      <c r="U1551" t="str">
        <f t="shared" si="73"/>
        <v>a1cdbe</v>
      </c>
      <c r="V1551">
        <v>0</v>
      </c>
      <c r="W1551">
        <v>0</v>
      </c>
      <c r="X1551">
        <v>1</v>
      </c>
      <c r="Y1551">
        <v>0</v>
      </c>
      <c r="Z1551">
        <v>0</v>
      </c>
      <c r="AB1551">
        <v>0</v>
      </c>
      <c r="AC1551">
        <v>9</v>
      </c>
      <c r="AD1551">
        <v>3</v>
      </c>
      <c r="AE1551">
        <v>0</v>
      </c>
      <c r="AF1551">
        <v>9</v>
      </c>
      <c r="AG1551" t="s">
        <v>158</v>
      </c>
      <c r="AH1551">
        <v>0</v>
      </c>
      <c r="AI1551">
        <v>3</v>
      </c>
      <c r="AJ1551">
        <v>1</v>
      </c>
      <c r="AK1551">
        <v>0</v>
      </c>
      <c r="AL1551" t="s">
        <v>2996</v>
      </c>
      <c r="AM1551">
        <v>46.819052999999997</v>
      </c>
      <c r="AN1551" t="s">
        <v>2997</v>
      </c>
      <c r="AO1551">
        <v>-122.802172</v>
      </c>
      <c r="AP1551">
        <v>100</v>
      </c>
      <c r="AQ1551">
        <v>2000</v>
      </c>
      <c r="AR1551" t="s">
        <v>118</v>
      </c>
      <c r="AS1551">
        <v>-75</v>
      </c>
      <c r="AT1551">
        <v>25</v>
      </c>
      <c r="AU1551">
        <v>-192</v>
      </c>
      <c r="BC1551">
        <v>1200</v>
      </c>
      <c r="BD1551">
        <v>1</v>
      </c>
      <c r="BE1551" t="str">
        <f t="shared" si="74"/>
        <v xml:space="preserve">N215T   </v>
      </c>
      <c r="BF1551">
        <v>1</v>
      </c>
      <c r="BH1551">
        <v>0</v>
      </c>
      <c r="BI1551">
        <v>0</v>
      </c>
      <c r="BJ1551">
        <v>0</v>
      </c>
      <c r="BK1551">
        <v>2375</v>
      </c>
      <c r="BL1551">
        <v>375</v>
      </c>
      <c r="BM1551" t="s">
        <v>119</v>
      </c>
      <c r="BN1551">
        <v>1</v>
      </c>
      <c r="BO1551">
        <v>1</v>
      </c>
      <c r="BP1551">
        <v>1</v>
      </c>
      <c r="BQ1551">
        <v>0</v>
      </c>
      <c r="BT1551">
        <v>0</v>
      </c>
      <c r="BU1551">
        <v>0</v>
      </c>
      <c r="BV1551">
        <v>0</v>
      </c>
      <c r="CC1551" t="str">
        <f>"19:00:38.938"</f>
        <v>19:00:38.938</v>
      </c>
      <c r="CD1551" t="str">
        <f>"935429943"</f>
        <v>935429943</v>
      </c>
      <c r="CQ1551">
        <v>0</v>
      </c>
      <c r="CR1551">
        <v>2</v>
      </c>
      <c r="CS1551">
        <v>0</v>
      </c>
      <c r="CT1551">
        <v>2</v>
      </c>
      <c r="CU1551">
        <v>0</v>
      </c>
      <c r="CV1551">
        <v>7</v>
      </c>
      <c r="CW1551" t="s">
        <v>120</v>
      </c>
      <c r="CX1551">
        <v>261</v>
      </c>
      <c r="CY1551">
        <v>2</v>
      </c>
      <c r="CZ1551" t="s">
        <v>121</v>
      </c>
      <c r="DA1551" t="s">
        <v>122</v>
      </c>
      <c r="DD1551">
        <v>15153772</v>
      </c>
      <c r="DE1551" t="s">
        <v>123</v>
      </c>
    </row>
    <row r="1552" spans="1:109" x14ac:dyDescent="0.3">
      <c r="A1552" t="str">
        <f>"19:00:40.094"</f>
        <v>19:00:40.094</v>
      </c>
      <c r="B1552" t="s">
        <v>110</v>
      </c>
      <c r="C1552" t="str">
        <f t="shared" si="72"/>
        <v>ffdfd3c0</v>
      </c>
      <c r="D1552" t="s">
        <v>111</v>
      </c>
      <c r="E1552">
        <v>18</v>
      </c>
      <c r="F1552">
        <v>1018</v>
      </c>
      <c r="G1552" t="s">
        <v>112</v>
      </c>
      <c r="J1552" t="s">
        <v>113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R1552" t="s">
        <v>114</v>
      </c>
      <c r="S1552" t="str">
        <f>"19:00:39.859"</f>
        <v>19:00:39.859</v>
      </c>
      <c r="T1552" t="str">
        <f>"19:00:39.461"</f>
        <v>19:00:39.461</v>
      </c>
      <c r="U1552" t="str">
        <f t="shared" si="73"/>
        <v>a1cdbe</v>
      </c>
      <c r="V1552">
        <v>0</v>
      </c>
      <c r="W1552">
        <v>0</v>
      </c>
      <c r="X1552">
        <v>1</v>
      </c>
      <c r="Y1552">
        <v>0</v>
      </c>
      <c r="Z1552">
        <v>0</v>
      </c>
      <c r="AB1552">
        <v>0</v>
      </c>
      <c r="AC1552">
        <v>9</v>
      </c>
      <c r="AD1552">
        <v>3</v>
      </c>
      <c r="AE1552">
        <v>0</v>
      </c>
      <c r="AF1552">
        <v>9</v>
      </c>
      <c r="AG1552" t="s">
        <v>158</v>
      </c>
      <c r="AH1552">
        <v>0</v>
      </c>
      <c r="AI1552">
        <v>3</v>
      </c>
      <c r="AJ1552">
        <v>1</v>
      </c>
      <c r="AK1552">
        <v>0</v>
      </c>
      <c r="AL1552" t="s">
        <v>2519</v>
      </c>
      <c r="AM1552">
        <v>46.819159999999997</v>
      </c>
      <c r="AN1552" t="s">
        <v>2998</v>
      </c>
      <c r="AO1552">
        <v>-122.802644</v>
      </c>
      <c r="AP1552">
        <v>100</v>
      </c>
      <c r="AQ1552">
        <v>2000</v>
      </c>
      <c r="AR1552" t="s">
        <v>118</v>
      </c>
      <c r="AS1552">
        <v>-75</v>
      </c>
      <c r="AT1552">
        <v>24</v>
      </c>
      <c r="AU1552">
        <v>-64</v>
      </c>
      <c r="BC1552">
        <v>1200</v>
      </c>
      <c r="BD1552">
        <v>1</v>
      </c>
      <c r="BE1552" t="str">
        <f t="shared" si="74"/>
        <v xml:space="preserve">N215T   </v>
      </c>
      <c r="BF1552">
        <v>1</v>
      </c>
      <c r="BH1552">
        <v>0</v>
      </c>
      <c r="BI1552">
        <v>0</v>
      </c>
      <c r="BJ1552">
        <v>0</v>
      </c>
      <c r="BK1552">
        <v>2375</v>
      </c>
      <c r="BL1552">
        <v>375</v>
      </c>
      <c r="BM1552" t="s">
        <v>119</v>
      </c>
      <c r="BN1552">
        <v>1</v>
      </c>
      <c r="BO1552">
        <v>1</v>
      </c>
      <c r="BP1552">
        <v>1</v>
      </c>
      <c r="BQ1552">
        <v>0</v>
      </c>
      <c r="BT1552">
        <v>0</v>
      </c>
      <c r="BU1552">
        <v>0</v>
      </c>
      <c r="BV1552">
        <v>0</v>
      </c>
      <c r="CC1552" t="str">
        <f>"19:00:39.867"</f>
        <v>19:00:39.867</v>
      </c>
      <c r="CD1552" t="str">
        <f>"865338320"</f>
        <v>865338320</v>
      </c>
      <c r="CQ1552">
        <v>0</v>
      </c>
      <c r="CR1552">
        <v>2</v>
      </c>
      <c r="CS1552">
        <v>0</v>
      </c>
      <c r="CT1552">
        <v>2</v>
      </c>
      <c r="CU1552">
        <v>0</v>
      </c>
      <c r="CV1552">
        <v>7</v>
      </c>
      <c r="CW1552" t="s">
        <v>120</v>
      </c>
      <c r="CX1552">
        <v>261</v>
      </c>
      <c r="CY1552">
        <v>2</v>
      </c>
      <c r="CZ1552" t="s">
        <v>121</v>
      </c>
      <c r="DA1552" t="s">
        <v>122</v>
      </c>
      <c r="DD1552">
        <v>15154416</v>
      </c>
      <c r="DE1552" t="s">
        <v>123</v>
      </c>
    </row>
    <row r="1553" spans="1:109" x14ac:dyDescent="0.3">
      <c r="A1553" t="str">
        <f>"19:00:41.000"</f>
        <v>19:00:41.000</v>
      </c>
      <c r="B1553" t="s">
        <v>110</v>
      </c>
      <c r="C1553" t="str">
        <f t="shared" si="72"/>
        <v>ffdfd3c0</v>
      </c>
      <c r="D1553" t="s">
        <v>111</v>
      </c>
      <c r="E1553">
        <v>18</v>
      </c>
      <c r="F1553">
        <v>1018</v>
      </c>
      <c r="G1553" t="s">
        <v>112</v>
      </c>
      <c r="J1553" t="s">
        <v>113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R1553" t="s">
        <v>114</v>
      </c>
      <c r="S1553" t="str">
        <f>"19:00:40.750"</f>
        <v>19:00:40.750</v>
      </c>
      <c r="T1553" t="str">
        <f>"19:00:40.648"</f>
        <v>19:00:40.648</v>
      </c>
      <c r="U1553" t="str">
        <f t="shared" si="73"/>
        <v>a1cdbe</v>
      </c>
      <c r="V1553">
        <v>0</v>
      </c>
      <c r="W1553">
        <v>0</v>
      </c>
      <c r="X1553">
        <v>1</v>
      </c>
      <c r="Y1553">
        <v>0</v>
      </c>
      <c r="Z1553">
        <v>0</v>
      </c>
      <c r="AB1553">
        <v>0</v>
      </c>
      <c r="AC1553">
        <v>9</v>
      </c>
      <c r="AD1553">
        <v>3</v>
      </c>
      <c r="AE1553">
        <v>0</v>
      </c>
      <c r="AF1553">
        <v>9</v>
      </c>
      <c r="AG1553" t="s">
        <v>158</v>
      </c>
      <c r="AH1553">
        <v>0</v>
      </c>
      <c r="AI1553">
        <v>3</v>
      </c>
      <c r="AJ1553">
        <v>1</v>
      </c>
      <c r="AK1553">
        <v>0</v>
      </c>
      <c r="AL1553" t="s">
        <v>2999</v>
      </c>
      <c r="AM1553">
        <v>46.819267000000004</v>
      </c>
      <c r="AN1553" t="s">
        <v>3000</v>
      </c>
      <c r="AO1553">
        <v>-122.803051</v>
      </c>
      <c r="AP1553">
        <v>100</v>
      </c>
      <c r="AQ1553">
        <v>2000</v>
      </c>
      <c r="AR1553" t="s">
        <v>118</v>
      </c>
      <c r="AS1553">
        <v>-75</v>
      </c>
      <c r="AT1553">
        <v>23</v>
      </c>
      <c r="AU1553">
        <v>-128</v>
      </c>
      <c r="BC1553">
        <v>1200</v>
      </c>
      <c r="BD1553">
        <v>1</v>
      </c>
      <c r="BE1553" t="str">
        <f t="shared" si="74"/>
        <v xml:space="preserve">N215T   </v>
      </c>
      <c r="BF1553">
        <v>1</v>
      </c>
      <c r="BH1553">
        <v>0</v>
      </c>
      <c r="BI1553">
        <v>0</v>
      </c>
      <c r="BJ1553">
        <v>0</v>
      </c>
      <c r="BK1553">
        <v>2375</v>
      </c>
      <c r="BL1553">
        <v>375</v>
      </c>
      <c r="BM1553" t="s">
        <v>119</v>
      </c>
      <c r="BN1553">
        <v>1</v>
      </c>
      <c r="BO1553">
        <v>1</v>
      </c>
      <c r="BP1553">
        <v>1</v>
      </c>
      <c r="BQ1553">
        <v>0</v>
      </c>
      <c r="BT1553">
        <v>0</v>
      </c>
      <c r="BU1553">
        <v>0</v>
      </c>
      <c r="BV1553">
        <v>0</v>
      </c>
      <c r="CC1553" t="str">
        <f>"19:00:40.750"</f>
        <v>19:00:40.750</v>
      </c>
      <c r="CD1553" t="str">
        <f>"750296218"</f>
        <v>750296218</v>
      </c>
      <c r="CQ1553">
        <v>0</v>
      </c>
      <c r="CR1553">
        <v>2</v>
      </c>
      <c r="CS1553">
        <v>0</v>
      </c>
      <c r="CT1553">
        <v>2</v>
      </c>
      <c r="CU1553">
        <v>0</v>
      </c>
      <c r="CV1553">
        <v>6</v>
      </c>
      <c r="CW1553" t="s">
        <v>120</v>
      </c>
      <c r="CX1553">
        <v>257</v>
      </c>
      <c r="CY1553">
        <v>0</v>
      </c>
      <c r="CZ1553" t="s">
        <v>615</v>
      </c>
      <c r="DA1553" t="s">
        <v>616</v>
      </c>
      <c r="DD1553">
        <v>15383000</v>
      </c>
      <c r="DE1553" t="s">
        <v>123</v>
      </c>
    </row>
    <row r="1554" spans="1:109" x14ac:dyDescent="0.3">
      <c r="A1554" t="str">
        <f>"19:00:41.953"</f>
        <v>19:00:41.953</v>
      </c>
      <c r="B1554" t="s">
        <v>110</v>
      </c>
      <c r="C1554" t="str">
        <f t="shared" si="72"/>
        <v>ffdfd3c0</v>
      </c>
      <c r="D1554" t="s">
        <v>111</v>
      </c>
      <c r="E1554">
        <v>18</v>
      </c>
      <c r="F1554">
        <v>1018</v>
      </c>
      <c r="G1554" t="s">
        <v>112</v>
      </c>
      <c r="J1554" t="s">
        <v>113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R1554" t="s">
        <v>114</v>
      </c>
      <c r="S1554" t="str">
        <f>"19:00:41.750"</f>
        <v>19:00:41.750</v>
      </c>
      <c r="T1554" t="str">
        <f>"19:00:41.547"</f>
        <v>19:00:41.547</v>
      </c>
      <c r="U1554" t="str">
        <f t="shared" si="73"/>
        <v>a1cdbe</v>
      </c>
      <c r="V1554">
        <v>0</v>
      </c>
      <c r="W1554">
        <v>0</v>
      </c>
      <c r="X1554">
        <v>1</v>
      </c>
      <c r="Y1554">
        <v>0</v>
      </c>
      <c r="Z1554">
        <v>0</v>
      </c>
      <c r="AB1554">
        <v>0</v>
      </c>
      <c r="AC1554">
        <v>9</v>
      </c>
      <c r="AD1554">
        <v>3</v>
      </c>
      <c r="AE1554">
        <v>0</v>
      </c>
      <c r="AF1554">
        <v>9</v>
      </c>
      <c r="AG1554" t="s">
        <v>158</v>
      </c>
      <c r="AH1554">
        <v>0</v>
      </c>
      <c r="AI1554">
        <v>3</v>
      </c>
      <c r="AJ1554">
        <v>1</v>
      </c>
      <c r="AK1554">
        <v>0</v>
      </c>
      <c r="AL1554" t="s">
        <v>3001</v>
      </c>
      <c r="AM1554">
        <v>46.819353</v>
      </c>
      <c r="AN1554" t="s">
        <v>3002</v>
      </c>
      <c r="AO1554">
        <v>-122.803588</v>
      </c>
      <c r="AP1554">
        <v>100</v>
      </c>
      <c r="AQ1554">
        <v>2000</v>
      </c>
      <c r="AR1554" t="s">
        <v>118</v>
      </c>
      <c r="AS1554">
        <v>-75</v>
      </c>
      <c r="AT1554">
        <v>23</v>
      </c>
      <c r="AU1554">
        <v>-64</v>
      </c>
      <c r="BC1554">
        <v>1200</v>
      </c>
      <c r="BD1554">
        <v>1</v>
      </c>
      <c r="BE1554" t="str">
        <f t="shared" si="74"/>
        <v xml:space="preserve">N215T   </v>
      </c>
      <c r="BF1554">
        <v>1</v>
      </c>
      <c r="BH1554">
        <v>0</v>
      </c>
      <c r="BI1554">
        <v>0</v>
      </c>
      <c r="BJ1554">
        <v>0</v>
      </c>
      <c r="BK1554">
        <v>2350</v>
      </c>
      <c r="BL1554">
        <v>350</v>
      </c>
      <c r="BM1554" t="s">
        <v>119</v>
      </c>
      <c r="BN1554">
        <v>1</v>
      </c>
      <c r="BO1554">
        <v>1</v>
      </c>
      <c r="BP1554">
        <v>1</v>
      </c>
      <c r="BQ1554">
        <v>0</v>
      </c>
      <c r="BT1554">
        <v>0</v>
      </c>
      <c r="BU1554">
        <v>0</v>
      </c>
      <c r="BV1554">
        <v>0</v>
      </c>
      <c r="CC1554" t="str">
        <f>"19:00:41.758"</f>
        <v>19:00:41.758</v>
      </c>
      <c r="CD1554" t="str">
        <f>"755152138"</f>
        <v>755152138</v>
      </c>
      <c r="CQ1554">
        <v>0</v>
      </c>
      <c r="CR1554">
        <v>2</v>
      </c>
      <c r="CS1554">
        <v>0</v>
      </c>
      <c r="CT1554">
        <v>2</v>
      </c>
      <c r="CU1554">
        <v>0</v>
      </c>
      <c r="CV1554">
        <v>7</v>
      </c>
      <c r="CW1554" t="s">
        <v>120</v>
      </c>
      <c r="CX1554">
        <v>261</v>
      </c>
      <c r="CY1554">
        <v>2</v>
      </c>
      <c r="CZ1554" t="s">
        <v>121</v>
      </c>
      <c r="DA1554" t="s">
        <v>122</v>
      </c>
      <c r="DD1554">
        <v>15155660</v>
      </c>
      <c r="DE1554" t="s">
        <v>123</v>
      </c>
    </row>
    <row r="1555" spans="1:109" x14ac:dyDescent="0.3">
      <c r="A1555" t="str">
        <f>"19:00:43.008"</f>
        <v>19:00:43.008</v>
      </c>
      <c r="B1555" t="s">
        <v>110</v>
      </c>
      <c r="C1555" t="str">
        <f t="shared" si="72"/>
        <v>ffdfd3c0</v>
      </c>
      <c r="D1555" t="s">
        <v>111</v>
      </c>
      <c r="E1555">
        <v>18</v>
      </c>
      <c r="F1555">
        <v>1018</v>
      </c>
      <c r="G1555" t="s">
        <v>112</v>
      </c>
      <c r="J1555" t="s">
        <v>113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R1555" t="s">
        <v>114</v>
      </c>
      <c r="S1555" t="str">
        <f>"19:00:42.773"</f>
        <v>19:00:42.773</v>
      </c>
      <c r="T1555" t="str">
        <f>"19:00:42.570"</f>
        <v>19:00:42.570</v>
      </c>
      <c r="U1555" t="str">
        <f t="shared" si="73"/>
        <v>a1cdbe</v>
      </c>
      <c r="V1555">
        <v>0</v>
      </c>
      <c r="W1555">
        <v>0</v>
      </c>
      <c r="X1555">
        <v>1</v>
      </c>
      <c r="Y1555">
        <v>0</v>
      </c>
      <c r="Z1555">
        <v>0</v>
      </c>
      <c r="AB1555">
        <v>0</v>
      </c>
      <c r="AC1555">
        <v>9</v>
      </c>
      <c r="AD1555">
        <v>3</v>
      </c>
      <c r="AE1555">
        <v>0</v>
      </c>
      <c r="AF1555">
        <v>9</v>
      </c>
      <c r="AG1555" t="s">
        <v>158</v>
      </c>
      <c r="AH1555">
        <v>0</v>
      </c>
      <c r="AI1555">
        <v>3</v>
      </c>
      <c r="AJ1555">
        <v>1</v>
      </c>
      <c r="AK1555">
        <v>0</v>
      </c>
      <c r="AL1555" t="s">
        <v>3003</v>
      </c>
      <c r="AM1555">
        <v>46.819482000000001</v>
      </c>
      <c r="AN1555" t="s">
        <v>3004</v>
      </c>
      <c r="AO1555">
        <v>-122.804103</v>
      </c>
      <c r="AP1555">
        <v>100</v>
      </c>
      <c r="AQ1555">
        <v>2000</v>
      </c>
      <c r="AR1555" t="s">
        <v>118</v>
      </c>
      <c r="AS1555">
        <v>-75</v>
      </c>
      <c r="AT1555">
        <v>23</v>
      </c>
      <c r="AU1555">
        <v>0</v>
      </c>
      <c r="BC1555">
        <v>1200</v>
      </c>
      <c r="BD1555">
        <v>1</v>
      </c>
      <c r="BE1555" t="str">
        <f t="shared" si="74"/>
        <v xml:space="preserve">N215T   </v>
      </c>
      <c r="BF1555">
        <v>1</v>
      </c>
      <c r="BH1555">
        <v>0</v>
      </c>
      <c r="BI1555">
        <v>0</v>
      </c>
      <c r="BJ1555">
        <v>0</v>
      </c>
      <c r="BK1555">
        <v>2350</v>
      </c>
      <c r="BL1555">
        <v>350</v>
      </c>
      <c r="BM1555" t="s">
        <v>119</v>
      </c>
      <c r="BN1555">
        <v>1</v>
      </c>
      <c r="BO1555">
        <v>1</v>
      </c>
      <c r="BP1555">
        <v>1</v>
      </c>
      <c r="BQ1555">
        <v>0</v>
      </c>
      <c r="BT1555">
        <v>0</v>
      </c>
      <c r="BU1555">
        <v>0</v>
      </c>
      <c r="BV1555">
        <v>0</v>
      </c>
      <c r="CC1555" t="str">
        <f>"19:00:42.773"</f>
        <v>19:00:42.773</v>
      </c>
      <c r="CD1555" t="str">
        <f>"775096614"</f>
        <v>775096614</v>
      </c>
      <c r="CQ1555">
        <v>0</v>
      </c>
      <c r="CR1555">
        <v>2</v>
      </c>
      <c r="CS1555">
        <v>0</v>
      </c>
      <c r="CT1555">
        <v>2</v>
      </c>
      <c r="CU1555">
        <v>0</v>
      </c>
      <c r="CV1555">
        <v>7</v>
      </c>
      <c r="CW1555" t="s">
        <v>120</v>
      </c>
      <c r="CX1555">
        <v>257</v>
      </c>
      <c r="CY1555">
        <v>1</v>
      </c>
      <c r="CZ1555" t="s">
        <v>615</v>
      </c>
      <c r="DA1555" t="s">
        <v>616</v>
      </c>
      <c r="DD1555">
        <v>11534125</v>
      </c>
      <c r="DE1555" t="s">
        <v>123</v>
      </c>
    </row>
    <row r="1556" spans="1:109" x14ac:dyDescent="0.3">
      <c r="A1556" t="str">
        <f>"19:00:44.117"</f>
        <v>19:00:44.117</v>
      </c>
      <c r="B1556" t="s">
        <v>110</v>
      </c>
      <c r="C1556" t="str">
        <f t="shared" si="72"/>
        <v>ffdfd3c0</v>
      </c>
      <c r="D1556" t="s">
        <v>111</v>
      </c>
      <c r="E1556">
        <v>18</v>
      </c>
      <c r="F1556">
        <v>1018</v>
      </c>
      <c r="G1556" t="s">
        <v>112</v>
      </c>
      <c r="J1556" t="s">
        <v>113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R1556" t="s">
        <v>114</v>
      </c>
      <c r="S1556" t="str">
        <f>"19:00:43.867"</f>
        <v>19:00:43.867</v>
      </c>
      <c r="T1556" t="str">
        <f>"19:00:43.570"</f>
        <v>19:00:43.570</v>
      </c>
      <c r="U1556" t="str">
        <f t="shared" si="73"/>
        <v>a1cdbe</v>
      </c>
      <c r="V1556">
        <v>0</v>
      </c>
      <c r="W1556">
        <v>0</v>
      </c>
      <c r="X1556">
        <v>1</v>
      </c>
      <c r="Y1556">
        <v>0</v>
      </c>
      <c r="Z1556">
        <v>0</v>
      </c>
      <c r="AB1556">
        <v>0</v>
      </c>
      <c r="AC1556">
        <v>9</v>
      </c>
      <c r="AD1556">
        <v>3</v>
      </c>
      <c r="AE1556">
        <v>0</v>
      </c>
      <c r="AF1556">
        <v>9</v>
      </c>
      <c r="AG1556" t="s">
        <v>158</v>
      </c>
      <c r="AH1556">
        <v>0</v>
      </c>
      <c r="AI1556">
        <v>3</v>
      </c>
      <c r="AJ1556">
        <v>1</v>
      </c>
      <c r="AK1556">
        <v>0</v>
      </c>
      <c r="AL1556" t="s">
        <v>3005</v>
      </c>
      <c r="AM1556">
        <v>46.819589000000001</v>
      </c>
      <c r="AN1556" t="s">
        <v>3006</v>
      </c>
      <c r="AO1556">
        <v>-122.804618</v>
      </c>
      <c r="AP1556">
        <v>100</v>
      </c>
      <c r="AQ1556">
        <v>2000</v>
      </c>
      <c r="AR1556" t="s">
        <v>118</v>
      </c>
      <c r="AS1556">
        <v>-75</v>
      </c>
      <c r="AT1556">
        <v>22</v>
      </c>
      <c r="AU1556">
        <v>0</v>
      </c>
      <c r="BC1556">
        <v>1200</v>
      </c>
      <c r="BD1556">
        <v>1</v>
      </c>
      <c r="BE1556" t="str">
        <f t="shared" si="74"/>
        <v xml:space="preserve">N215T   </v>
      </c>
      <c r="BF1556">
        <v>1</v>
      </c>
      <c r="BH1556">
        <v>0</v>
      </c>
      <c r="BI1556">
        <v>0</v>
      </c>
      <c r="BJ1556">
        <v>0</v>
      </c>
      <c r="BK1556">
        <v>2350</v>
      </c>
      <c r="BL1556">
        <v>350</v>
      </c>
      <c r="BM1556" t="s">
        <v>119</v>
      </c>
      <c r="BN1556">
        <v>1</v>
      </c>
      <c r="BO1556">
        <v>1</v>
      </c>
      <c r="BP1556">
        <v>1</v>
      </c>
      <c r="BQ1556">
        <v>0</v>
      </c>
      <c r="BT1556">
        <v>0</v>
      </c>
      <c r="BU1556">
        <v>0</v>
      </c>
      <c r="BV1556">
        <v>0</v>
      </c>
      <c r="CC1556" t="str">
        <f>"19:00:43.867"</f>
        <v>19:00:43.867</v>
      </c>
      <c r="CD1556" t="str">
        <f>"869988692"</f>
        <v>869988692</v>
      </c>
      <c r="CQ1556">
        <v>0</v>
      </c>
      <c r="CR1556">
        <v>2</v>
      </c>
      <c r="CS1556">
        <v>0</v>
      </c>
      <c r="CT1556">
        <v>2</v>
      </c>
      <c r="CU1556">
        <v>0</v>
      </c>
      <c r="CV1556">
        <v>7</v>
      </c>
      <c r="CW1556" t="s">
        <v>120</v>
      </c>
      <c r="CX1556">
        <v>257</v>
      </c>
      <c r="CY1556">
        <v>1</v>
      </c>
      <c r="CZ1556" t="s">
        <v>615</v>
      </c>
      <c r="DA1556" t="s">
        <v>616</v>
      </c>
      <c r="DD1556">
        <v>11535027</v>
      </c>
      <c r="DE1556" t="s">
        <v>123</v>
      </c>
    </row>
    <row r="1557" spans="1:109" x14ac:dyDescent="0.3">
      <c r="A1557" t="str">
        <f>"19:00:45.125"</f>
        <v>19:00:45.125</v>
      </c>
      <c r="B1557" t="s">
        <v>110</v>
      </c>
      <c r="C1557" t="str">
        <f t="shared" si="72"/>
        <v>ffdfd3c0</v>
      </c>
      <c r="D1557" t="s">
        <v>111</v>
      </c>
      <c r="E1557">
        <v>18</v>
      </c>
      <c r="F1557">
        <v>1018</v>
      </c>
      <c r="G1557" t="s">
        <v>112</v>
      </c>
      <c r="J1557" t="s">
        <v>113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R1557" t="s">
        <v>114</v>
      </c>
      <c r="S1557" t="str">
        <f>"19:00:44.914"</f>
        <v>19:00:44.914</v>
      </c>
      <c r="T1557" t="str">
        <f>"19:00:44.617"</f>
        <v>19:00:44.617</v>
      </c>
      <c r="U1557" t="str">
        <f t="shared" si="73"/>
        <v>a1cdbe</v>
      </c>
      <c r="V1557">
        <v>0</v>
      </c>
      <c r="W1557">
        <v>0</v>
      </c>
      <c r="X1557">
        <v>1</v>
      </c>
      <c r="Y1557">
        <v>0</v>
      </c>
      <c r="Z1557">
        <v>0</v>
      </c>
      <c r="AB1557">
        <v>0</v>
      </c>
      <c r="AC1557">
        <v>9</v>
      </c>
      <c r="AD1557">
        <v>3</v>
      </c>
      <c r="AE1557">
        <v>0</v>
      </c>
      <c r="AF1557">
        <v>9</v>
      </c>
      <c r="AG1557" t="s">
        <v>158</v>
      </c>
      <c r="AH1557">
        <v>0</v>
      </c>
      <c r="AI1557">
        <v>3</v>
      </c>
      <c r="AJ1557">
        <v>1</v>
      </c>
      <c r="AK1557">
        <v>0</v>
      </c>
      <c r="AL1557" t="s">
        <v>2509</v>
      </c>
      <c r="AM1557">
        <v>46.819696</v>
      </c>
      <c r="AN1557" t="s">
        <v>3007</v>
      </c>
      <c r="AO1557">
        <v>-122.805176</v>
      </c>
      <c r="AP1557">
        <v>100</v>
      </c>
      <c r="AQ1557">
        <v>2000</v>
      </c>
      <c r="AR1557" t="s">
        <v>118</v>
      </c>
      <c r="AS1557">
        <v>-76</v>
      </c>
      <c r="AT1557">
        <v>22</v>
      </c>
      <c r="AU1557">
        <v>64</v>
      </c>
      <c r="BC1557">
        <v>1200</v>
      </c>
      <c r="BD1557">
        <v>1</v>
      </c>
      <c r="BE1557" t="str">
        <f t="shared" si="74"/>
        <v xml:space="preserve">N215T   </v>
      </c>
      <c r="BF1557">
        <v>1</v>
      </c>
      <c r="BH1557">
        <v>0</v>
      </c>
      <c r="BI1557">
        <v>0</v>
      </c>
      <c r="BJ1557">
        <v>0</v>
      </c>
      <c r="BK1557">
        <v>2350</v>
      </c>
      <c r="BL1557">
        <v>350</v>
      </c>
      <c r="BM1557" t="s">
        <v>119</v>
      </c>
      <c r="BN1557">
        <v>1</v>
      </c>
      <c r="BO1557">
        <v>1</v>
      </c>
      <c r="BP1557">
        <v>1</v>
      </c>
      <c r="BQ1557">
        <v>0</v>
      </c>
      <c r="BT1557">
        <v>0</v>
      </c>
      <c r="BU1557">
        <v>0</v>
      </c>
      <c r="BV1557">
        <v>0</v>
      </c>
      <c r="CC1557" t="str">
        <f>"19:00:44.922"</f>
        <v>19:00:44.922</v>
      </c>
      <c r="CD1557" t="str">
        <f>"919885186"</f>
        <v>919885186</v>
      </c>
      <c r="CQ1557">
        <v>0</v>
      </c>
      <c r="CR1557">
        <v>2</v>
      </c>
      <c r="CS1557">
        <v>0</v>
      </c>
      <c r="CT1557">
        <v>2</v>
      </c>
      <c r="CU1557">
        <v>0</v>
      </c>
      <c r="CV1557">
        <v>7</v>
      </c>
      <c r="CW1557" t="s">
        <v>120</v>
      </c>
      <c r="CX1557">
        <v>257</v>
      </c>
      <c r="CY1557">
        <v>1</v>
      </c>
      <c r="CZ1557" t="s">
        <v>615</v>
      </c>
      <c r="DA1557" t="s">
        <v>616</v>
      </c>
      <c r="DD1557">
        <v>11535789</v>
      </c>
      <c r="DE1557" t="s">
        <v>123</v>
      </c>
    </row>
    <row r="1558" spans="1:109" x14ac:dyDescent="0.3">
      <c r="A1558" t="str">
        <f>"19:00:46.180"</f>
        <v>19:00:46.180</v>
      </c>
      <c r="B1558" t="s">
        <v>110</v>
      </c>
      <c r="C1558" t="str">
        <f t="shared" si="72"/>
        <v>ffdfd3c0</v>
      </c>
      <c r="D1558" t="s">
        <v>111</v>
      </c>
      <c r="E1558">
        <v>18</v>
      </c>
      <c r="F1558">
        <v>1018</v>
      </c>
      <c r="G1558" t="s">
        <v>112</v>
      </c>
      <c r="J1558" t="s">
        <v>113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R1558" t="s">
        <v>114</v>
      </c>
      <c r="S1558" t="str">
        <f>"19:00:45.969"</f>
        <v>19:00:45.969</v>
      </c>
      <c r="T1558" t="str">
        <f>"19:00:45.570"</f>
        <v>19:00:45.570</v>
      </c>
      <c r="U1558" t="str">
        <f t="shared" si="73"/>
        <v>a1cdbe</v>
      </c>
      <c r="V1558">
        <v>0</v>
      </c>
      <c r="W1558">
        <v>0</v>
      </c>
      <c r="X1558">
        <v>1</v>
      </c>
      <c r="Y1558">
        <v>0</v>
      </c>
      <c r="Z1558">
        <v>0</v>
      </c>
      <c r="AB1558">
        <v>0</v>
      </c>
      <c r="AC1558">
        <v>9</v>
      </c>
      <c r="AD1558">
        <v>3</v>
      </c>
      <c r="AE1558">
        <v>0</v>
      </c>
      <c r="AF1558">
        <v>9</v>
      </c>
      <c r="AG1558" t="s">
        <v>158</v>
      </c>
      <c r="AH1558">
        <v>0</v>
      </c>
      <c r="AI1558">
        <v>3</v>
      </c>
      <c r="AJ1558">
        <v>1</v>
      </c>
      <c r="AK1558">
        <v>0</v>
      </c>
      <c r="AL1558" t="s">
        <v>2507</v>
      </c>
      <c r="AM1558">
        <v>46.819803999999998</v>
      </c>
      <c r="AN1558" t="s">
        <v>3008</v>
      </c>
      <c r="AO1558">
        <v>-122.805712</v>
      </c>
      <c r="AP1558">
        <v>100</v>
      </c>
      <c r="AQ1558">
        <v>2000</v>
      </c>
      <c r="AR1558" t="s">
        <v>118</v>
      </c>
      <c r="AS1558">
        <v>-76</v>
      </c>
      <c r="AT1558">
        <v>22</v>
      </c>
      <c r="AU1558">
        <v>64</v>
      </c>
      <c r="BC1558">
        <v>1200</v>
      </c>
      <c r="BD1558">
        <v>1</v>
      </c>
      <c r="BE1558" t="str">
        <f t="shared" si="74"/>
        <v xml:space="preserve">N215T   </v>
      </c>
      <c r="BF1558">
        <v>1</v>
      </c>
      <c r="BH1558">
        <v>0</v>
      </c>
      <c r="BI1558">
        <v>0</v>
      </c>
      <c r="BJ1558">
        <v>0</v>
      </c>
      <c r="BK1558">
        <v>2350</v>
      </c>
      <c r="BL1558">
        <v>350</v>
      </c>
      <c r="BM1558" t="s">
        <v>119</v>
      </c>
      <c r="BN1558">
        <v>1</v>
      </c>
      <c r="BO1558">
        <v>1</v>
      </c>
      <c r="BP1558">
        <v>1</v>
      </c>
      <c r="BQ1558">
        <v>0</v>
      </c>
      <c r="BT1558">
        <v>0</v>
      </c>
      <c r="BU1558">
        <v>0</v>
      </c>
      <c r="BV1558">
        <v>0</v>
      </c>
      <c r="CC1558" t="str">
        <f>"19:00:45.969"</f>
        <v>19:00:45.969</v>
      </c>
      <c r="CD1558" t="str">
        <f>"969781683"</f>
        <v>969781683</v>
      </c>
      <c r="CQ1558">
        <v>0</v>
      </c>
      <c r="CR1558">
        <v>2</v>
      </c>
      <c r="CS1558">
        <v>0</v>
      </c>
      <c r="CT1558">
        <v>2</v>
      </c>
      <c r="CU1558">
        <v>0</v>
      </c>
      <c r="CV1558">
        <v>7</v>
      </c>
      <c r="CW1558" t="s">
        <v>120</v>
      </c>
      <c r="CX1558">
        <v>257</v>
      </c>
      <c r="CY1558">
        <v>1</v>
      </c>
      <c r="CZ1558" t="s">
        <v>615</v>
      </c>
      <c r="DA1558" t="s">
        <v>616</v>
      </c>
      <c r="DD1558">
        <v>11536508</v>
      </c>
      <c r="DE1558" t="s">
        <v>123</v>
      </c>
    </row>
    <row r="1559" spans="1:109" x14ac:dyDescent="0.3">
      <c r="A1559" t="str">
        <f>"19:00:47.289"</f>
        <v>19:00:47.289</v>
      </c>
      <c r="B1559" t="s">
        <v>110</v>
      </c>
      <c r="C1559" t="str">
        <f t="shared" si="72"/>
        <v>ffdfd3c0</v>
      </c>
      <c r="D1559" t="s">
        <v>111</v>
      </c>
      <c r="E1559">
        <v>18</v>
      </c>
      <c r="F1559">
        <v>1018</v>
      </c>
      <c r="G1559" t="s">
        <v>112</v>
      </c>
      <c r="J1559" t="s">
        <v>113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R1559" t="s">
        <v>114</v>
      </c>
      <c r="S1559" t="str">
        <f>"19:00:47.031"</f>
        <v>19:00:47.031</v>
      </c>
      <c r="T1559" t="str">
        <f>"19:00:47.031"</f>
        <v>19:00:47.031</v>
      </c>
      <c r="U1559" t="str">
        <f t="shared" si="73"/>
        <v>a1cdbe</v>
      </c>
      <c r="V1559">
        <v>0</v>
      </c>
      <c r="W1559">
        <v>0</v>
      </c>
      <c r="X1559">
        <v>1</v>
      </c>
      <c r="Y1559">
        <v>0</v>
      </c>
      <c r="Z1559">
        <v>0</v>
      </c>
      <c r="AB1559">
        <v>0</v>
      </c>
      <c r="AC1559">
        <v>9</v>
      </c>
      <c r="AD1559">
        <v>3</v>
      </c>
      <c r="AE1559">
        <v>0</v>
      </c>
      <c r="AF1559">
        <v>9</v>
      </c>
      <c r="AG1559" t="s">
        <v>158</v>
      </c>
      <c r="AH1559">
        <v>0</v>
      </c>
      <c r="AI1559">
        <v>3</v>
      </c>
      <c r="AJ1559">
        <v>1</v>
      </c>
      <c r="AK1559">
        <v>0</v>
      </c>
      <c r="AL1559" t="s">
        <v>3009</v>
      </c>
      <c r="AM1559">
        <v>46.819910999999998</v>
      </c>
      <c r="AN1559" t="s">
        <v>3010</v>
      </c>
      <c r="AO1559">
        <v>-122.80627</v>
      </c>
      <c r="AP1559">
        <v>100</v>
      </c>
      <c r="AQ1559">
        <v>2000</v>
      </c>
      <c r="AR1559" t="s">
        <v>118</v>
      </c>
      <c r="AS1559">
        <v>-75</v>
      </c>
      <c r="AT1559">
        <v>24</v>
      </c>
      <c r="AU1559">
        <v>64</v>
      </c>
      <c r="BC1559">
        <v>1200</v>
      </c>
      <c r="BD1559">
        <v>1</v>
      </c>
      <c r="BE1559" t="str">
        <f t="shared" si="74"/>
        <v xml:space="preserve">N215T   </v>
      </c>
      <c r="BF1559">
        <v>1</v>
      </c>
      <c r="BH1559">
        <v>0</v>
      </c>
      <c r="BI1559">
        <v>0</v>
      </c>
      <c r="BJ1559">
        <v>0</v>
      </c>
      <c r="BK1559">
        <v>2375</v>
      </c>
      <c r="BL1559">
        <v>375</v>
      </c>
      <c r="BM1559" t="s">
        <v>119</v>
      </c>
      <c r="BN1559">
        <v>1</v>
      </c>
      <c r="BO1559">
        <v>1</v>
      </c>
      <c r="BP1559">
        <v>1</v>
      </c>
      <c r="BQ1559">
        <v>0</v>
      </c>
      <c r="BT1559">
        <v>0</v>
      </c>
      <c r="BU1559">
        <v>0</v>
      </c>
      <c r="BV1559">
        <v>0</v>
      </c>
      <c r="CC1559" t="str">
        <f>"19:00:47.031"</f>
        <v>19:00:47.031</v>
      </c>
      <c r="CD1559" t="str">
        <f>"034676712"</f>
        <v>034676712</v>
      </c>
      <c r="CQ1559">
        <v>0</v>
      </c>
      <c r="CR1559">
        <v>2</v>
      </c>
      <c r="CS1559">
        <v>0</v>
      </c>
      <c r="CT1559">
        <v>2</v>
      </c>
      <c r="CU1559">
        <v>0</v>
      </c>
      <c r="CV1559">
        <v>7</v>
      </c>
      <c r="CW1559" t="s">
        <v>120</v>
      </c>
      <c r="CX1559">
        <v>257</v>
      </c>
      <c r="CY1559">
        <v>1</v>
      </c>
      <c r="CZ1559" t="s">
        <v>615</v>
      </c>
      <c r="DA1559" t="s">
        <v>616</v>
      </c>
      <c r="DD1559">
        <v>11537279</v>
      </c>
      <c r="DE1559" t="s">
        <v>123</v>
      </c>
    </row>
    <row r="1560" spans="1:109" x14ac:dyDescent="0.3">
      <c r="A1560" t="str">
        <f>"19:00:48.242"</f>
        <v>19:00:48.242</v>
      </c>
      <c r="B1560" t="s">
        <v>110</v>
      </c>
      <c r="C1560" t="str">
        <f t="shared" si="72"/>
        <v>ffdfd3c0</v>
      </c>
      <c r="D1560" t="s">
        <v>111</v>
      </c>
      <c r="E1560">
        <v>18</v>
      </c>
      <c r="F1560">
        <v>1018</v>
      </c>
      <c r="G1560" t="s">
        <v>112</v>
      </c>
      <c r="J1560" t="s">
        <v>113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R1560" t="s">
        <v>114</v>
      </c>
      <c r="S1560" t="str">
        <f>"19:00:47.992"</f>
        <v>19:00:47.992</v>
      </c>
      <c r="T1560" t="str">
        <f>"19:00:47.891"</f>
        <v>19:00:47.891</v>
      </c>
      <c r="U1560" t="str">
        <f t="shared" si="73"/>
        <v>a1cdbe</v>
      </c>
      <c r="V1560">
        <v>0</v>
      </c>
      <c r="W1560">
        <v>0</v>
      </c>
      <c r="X1560">
        <v>1</v>
      </c>
      <c r="Y1560">
        <v>0</v>
      </c>
      <c r="Z1560">
        <v>0</v>
      </c>
      <c r="AB1560">
        <v>0</v>
      </c>
      <c r="AC1560">
        <v>9</v>
      </c>
      <c r="AD1560">
        <v>3</v>
      </c>
      <c r="AE1560">
        <v>0</v>
      </c>
      <c r="AF1560">
        <v>9</v>
      </c>
      <c r="AG1560" t="s">
        <v>158</v>
      </c>
      <c r="AH1560">
        <v>0</v>
      </c>
      <c r="AI1560">
        <v>3</v>
      </c>
      <c r="AJ1560">
        <v>1</v>
      </c>
      <c r="AK1560">
        <v>0</v>
      </c>
      <c r="AL1560" t="s">
        <v>3011</v>
      </c>
      <c r="AM1560">
        <v>46.820017999999997</v>
      </c>
      <c r="AN1560" t="s">
        <v>3012</v>
      </c>
      <c r="AO1560">
        <v>-122.806785</v>
      </c>
      <c r="AP1560">
        <v>100</v>
      </c>
      <c r="AQ1560">
        <v>2000</v>
      </c>
      <c r="AR1560" t="s">
        <v>118</v>
      </c>
      <c r="AS1560">
        <v>-76</v>
      </c>
      <c r="AT1560">
        <v>24</v>
      </c>
      <c r="AU1560">
        <v>128</v>
      </c>
      <c r="BC1560">
        <v>1200</v>
      </c>
      <c r="BD1560">
        <v>1</v>
      </c>
      <c r="BE1560" t="str">
        <f t="shared" si="74"/>
        <v xml:space="preserve">N215T   </v>
      </c>
      <c r="BF1560">
        <v>1</v>
      </c>
      <c r="BH1560">
        <v>0</v>
      </c>
      <c r="BI1560">
        <v>0</v>
      </c>
      <c r="BJ1560">
        <v>0</v>
      </c>
      <c r="BK1560">
        <v>2375</v>
      </c>
      <c r="BL1560">
        <v>375</v>
      </c>
      <c r="BM1560" t="s">
        <v>119</v>
      </c>
      <c r="BN1560">
        <v>1</v>
      </c>
      <c r="BO1560">
        <v>1</v>
      </c>
      <c r="BP1560">
        <v>1</v>
      </c>
      <c r="BQ1560">
        <v>0</v>
      </c>
      <c r="BT1560">
        <v>0</v>
      </c>
      <c r="BU1560">
        <v>0</v>
      </c>
      <c r="BV1560">
        <v>0</v>
      </c>
      <c r="CC1560" t="str">
        <f>"19:00:47.992"</f>
        <v>19:00:47.992</v>
      </c>
      <c r="CD1560" t="str">
        <f>"994582085"</f>
        <v>994582085</v>
      </c>
      <c r="CQ1560">
        <v>0</v>
      </c>
      <c r="CR1560">
        <v>2</v>
      </c>
      <c r="CS1560">
        <v>0</v>
      </c>
      <c r="CT1560">
        <v>2</v>
      </c>
      <c r="CU1560">
        <v>0</v>
      </c>
      <c r="CV1560">
        <v>7</v>
      </c>
      <c r="CW1560" t="s">
        <v>120</v>
      </c>
      <c r="CX1560">
        <v>257</v>
      </c>
      <c r="CY1560">
        <v>1</v>
      </c>
      <c r="CZ1560" t="s">
        <v>615</v>
      </c>
      <c r="DA1560" t="s">
        <v>616</v>
      </c>
      <c r="DD1560">
        <v>11538031</v>
      </c>
      <c r="DE1560" t="s">
        <v>123</v>
      </c>
    </row>
    <row r="1561" spans="1:109" x14ac:dyDescent="0.3">
      <c r="A1561" t="str">
        <f>"19:00:49.094"</f>
        <v>19:00:49.094</v>
      </c>
      <c r="B1561" t="s">
        <v>110</v>
      </c>
      <c r="C1561" t="str">
        <f t="shared" si="72"/>
        <v>ffdfd3c0</v>
      </c>
      <c r="D1561" t="s">
        <v>111</v>
      </c>
      <c r="E1561">
        <v>18</v>
      </c>
      <c r="F1561">
        <v>1018</v>
      </c>
      <c r="G1561" t="s">
        <v>112</v>
      </c>
      <c r="J1561" t="s">
        <v>113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R1561" t="s">
        <v>114</v>
      </c>
      <c r="S1561" t="str">
        <f>"19:00:48.875"</f>
        <v>19:00:48.875</v>
      </c>
      <c r="T1561" t="str">
        <f>"19:00:48.875"</f>
        <v>19:00:48.875</v>
      </c>
      <c r="U1561" t="str">
        <f t="shared" si="73"/>
        <v>a1cdbe</v>
      </c>
      <c r="V1561">
        <v>0</v>
      </c>
      <c r="W1561">
        <v>0</v>
      </c>
      <c r="X1561">
        <v>1</v>
      </c>
      <c r="Y1561">
        <v>0</v>
      </c>
      <c r="Z1561">
        <v>0</v>
      </c>
      <c r="AB1561">
        <v>0</v>
      </c>
      <c r="AC1561">
        <v>9</v>
      </c>
      <c r="AD1561">
        <v>3</v>
      </c>
      <c r="AE1561">
        <v>0</v>
      </c>
      <c r="AF1561">
        <v>9</v>
      </c>
      <c r="AG1561" t="s">
        <v>158</v>
      </c>
      <c r="AH1561">
        <v>0</v>
      </c>
      <c r="AI1561">
        <v>3</v>
      </c>
      <c r="AJ1561">
        <v>1</v>
      </c>
      <c r="AK1561">
        <v>0</v>
      </c>
      <c r="AL1561" t="s">
        <v>2501</v>
      </c>
      <c r="AM1561">
        <v>46.820104000000001</v>
      </c>
      <c r="AN1561" t="s">
        <v>3013</v>
      </c>
      <c r="AO1561">
        <v>-122.80725700000001</v>
      </c>
      <c r="AP1561">
        <v>100</v>
      </c>
      <c r="AQ1561">
        <v>2000</v>
      </c>
      <c r="AR1561" t="s">
        <v>118</v>
      </c>
      <c r="AS1561">
        <v>-76</v>
      </c>
      <c r="AT1561">
        <v>25</v>
      </c>
      <c r="AU1561">
        <v>192</v>
      </c>
      <c r="BC1561">
        <v>1200</v>
      </c>
      <c r="BD1561">
        <v>1</v>
      </c>
      <c r="BE1561" t="str">
        <f t="shared" si="74"/>
        <v xml:space="preserve">N215T   </v>
      </c>
      <c r="BF1561">
        <v>1</v>
      </c>
      <c r="BH1561">
        <v>0</v>
      </c>
      <c r="BI1561">
        <v>0</v>
      </c>
      <c r="BJ1561">
        <v>0</v>
      </c>
      <c r="BK1561">
        <v>2375</v>
      </c>
      <c r="BL1561">
        <v>375</v>
      </c>
      <c r="BM1561" t="s">
        <v>119</v>
      </c>
      <c r="BN1561">
        <v>1</v>
      </c>
      <c r="BO1561">
        <v>1</v>
      </c>
      <c r="BP1561">
        <v>1</v>
      </c>
      <c r="BQ1561">
        <v>0</v>
      </c>
      <c r="BT1561">
        <v>0</v>
      </c>
      <c r="BU1561">
        <v>0</v>
      </c>
      <c r="BV1561">
        <v>0</v>
      </c>
      <c r="CC1561" t="str">
        <f>"19:00:48.883"</f>
        <v>19:00:48.883</v>
      </c>
      <c r="CD1561" t="str">
        <f>"879494845"</f>
        <v>879494845</v>
      </c>
      <c r="CQ1561">
        <v>0</v>
      </c>
      <c r="CR1561">
        <v>2</v>
      </c>
      <c r="CS1561">
        <v>0</v>
      </c>
      <c r="CT1561">
        <v>2</v>
      </c>
      <c r="CU1561">
        <v>0</v>
      </c>
      <c r="CV1561">
        <v>7</v>
      </c>
      <c r="CW1561" t="s">
        <v>120</v>
      </c>
      <c r="CX1561">
        <v>257</v>
      </c>
      <c r="CY1561">
        <v>1</v>
      </c>
      <c r="CZ1561" t="s">
        <v>615</v>
      </c>
      <c r="DA1561" t="s">
        <v>616</v>
      </c>
      <c r="DD1561">
        <v>11538735</v>
      </c>
      <c r="DE1561" t="s">
        <v>123</v>
      </c>
    </row>
    <row r="1562" spans="1:109" x14ac:dyDescent="0.3">
      <c r="A1562" t="str">
        <f>"19:00:50.203"</f>
        <v>19:00:50.203</v>
      </c>
      <c r="B1562" t="s">
        <v>110</v>
      </c>
      <c r="C1562" t="str">
        <f t="shared" si="72"/>
        <v>ffdfd3c0</v>
      </c>
      <c r="D1562" t="s">
        <v>111</v>
      </c>
      <c r="E1562">
        <v>18</v>
      </c>
      <c r="F1562">
        <v>1018</v>
      </c>
      <c r="G1562" t="s">
        <v>112</v>
      </c>
      <c r="J1562" t="s">
        <v>113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R1562" t="s">
        <v>114</v>
      </c>
      <c r="S1562" t="str">
        <f>"19:00:49.984"</f>
        <v>19:00:49.984</v>
      </c>
      <c r="T1562" t="str">
        <f>"19:00:49.984"</f>
        <v>19:00:49.984</v>
      </c>
      <c r="U1562" t="str">
        <f t="shared" si="73"/>
        <v>a1cdbe</v>
      </c>
      <c r="V1562">
        <v>0</v>
      </c>
      <c r="W1562">
        <v>0</v>
      </c>
      <c r="X1562">
        <v>1</v>
      </c>
      <c r="Y1562">
        <v>0</v>
      </c>
      <c r="Z1562">
        <v>0</v>
      </c>
      <c r="AB1562">
        <v>0</v>
      </c>
      <c r="AC1562">
        <v>9</v>
      </c>
      <c r="AD1562">
        <v>3</v>
      </c>
      <c r="AE1562">
        <v>0</v>
      </c>
      <c r="AF1562">
        <v>9</v>
      </c>
      <c r="AG1562" t="s">
        <v>158</v>
      </c>
      <c r="AH1562">
        <v>0</v>
      </c>
      <c r="AI1562">
        <v>3</v>
      </c>
      <c r="AJ1562">
        <v>1</v>
      </c>
      <c r="AK1562">
        <v>0</v>
      </c>
      <c r="AL1562" t="s">
        <v>2499</v>
      </c>
      <c r="AM1562">
        <v>46.820253999999998</v>
      </c>
      <c r="AN1562" t="s">
        <v>3014</v>
      </c>
      <c r="AO1562">
        <v>-122.807794</v>
      </c>
      <c r="AP1562">
        <v>100</v>
      </c>
      <c r="AQ1562">
        <v>2000</v>
      </c>
      <c r="AR1562" t="s">
        <v>118</v>
      </c>
      <c r="AS1562">
        <v>-76</v>
      </c>
      <c r="AT1562">
        <v>25</v>
      </c>
      <c r="AU1562">
        <v>192</v>
      </c>
      <c r="BC1562">
        <v>1200</v>
      </c>
      <c r="BD1562">
        <v>1</v>
      </c>
      <c r="BE1562" t="str">
        <f t="shared" si="74"/>
        <v xml:space="preserve">N215T   </v>
      </c>
      <c r="BF1562">
        <v>1</v>
      </c>
      <c r="BH1562">
        <v>0</v>
      </c>
      <c r="BI1562">
        <v>0</v>
      </c>
      <c r="BJ1562">
        <v>0</v>
      </c>
      <c r="BK1562">
        <v>2375</v>
      </c>
      <c r="BL1562">
        <v>375</v>
      </c>
      <c r="BM1562" t="s">
        <v>119</v>
      </c>
      <c r="BN1562">
        <v>1</v>
      </c>
      <c r="BO1562">
        <v>1</v>
      </c>
      <c r="BP1562">
        <v>1</v>
      </c>
      <c r="BQ1562">
        <v>0</v>
      </c>
      <c r="BT1562">
        <v>0</v>
      </c>
      <c r="BU1562">
        <v>0</v>
      </c>
      <c r="BV1562">
        <v>0</v>
      </c>
      <c r="CC1562" t="str">
        <f>"19:00:49.992"</f>
        <v>19:00:49.992</v>
      </c>
      <c r="CD1562" t="str">
        <f>"989385432"</f>
        <v>989385432</v>
      </c>
      <c r="CQ1562">
        <v>0</v>
      </c>
      <c r="CR1562">
        <v>2</v>
      </c>
      <c r="CS1562">
        <v>0</v>
      </c>
      <c r="CT1562">
        <v>2</v>
      </c>
      <c r="CU1562">
        <v>0</v>
      </c>
      <c r="CV1562">
        <v>6</v>
      </c>
      <c r="CW1562" t="s">
        <v>120</v>
      </c>
      <c r="CX1562">
        <v>257</v>
      </c>
      <c r="CY1562">
        <v>1</v>
      </c>
      <c r="CZ1562" t="s">
        <v>615</v>
      </c>
      <c r="DA1562" t="s">
        <v>616</v>
      </c>
      <c r="DD1562">
        <v>11539555</v>
      </c>
      <c r="DE1562" t="s">
        <v>123</v>
      </c>
    </row>
    <row r="1563" spans="1:109" x14ac:dyDescent="0.3">
      <c r="A1563" t="str">
        <f>"19:00:51.156"</f>
        <v>19:00:51.156</v>
      </c>
      <c r="B1563" t="s">
        <v>110</v>
      </c>
      <c r="C1563" t="str">
        <f t="shared" si="72"/>
        <v>ffdfd3c0</v>
      </c>
      <c r="D1563" t="s">
        <v>111</v>
      </c>
      <c r="E1563">
        <v>18</v>
      </c>
      <c r="F1563">
        <v>1018</v>
      </c>
      <c r="G1563" t="s">
        <v>112</v>
      </c>
      <c r="J1563" t="s">
        <v>113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R1563" t="s">
        <v>114</v>
      </c>
      <c r="S1563" t="str">
        <f>"19:00:50.945"</f>
        <v>19:00:50.945</v>
      </c>
      <c r="T1563" t="str">
        <f>"19:00:50.945"</f>
        <v>19:00:50.945</v>
      </c>
      <c r="U1563" t="str">
        <f t="shared" si="73"/>
        <v>a1cdbe</v>
      </c>
      <c r="V1563">
        <v>0</v>
      </c>
      <c r="W1563">
        <v>0</v>
      </c>
      <c r="X1563">
        <v>1</v>
      </c>
      <c r="Y1563">
        <v>0</v>
      </c>
      <c r="Z1563">
        <v>0</v>
      </c>
      <c r="AB1563">
        <v>0</v>
      </c>
      <c r="AC1563">
        <v>9</v>
      </c>
      <c r="AD1563">
        <v>3</v>
      </c>
      <c r="AE1563">
        <v>0</v>
      </c>
      <c r="AF1563">
        <v>9</v>
      </c>
      <c r="AG1563" t="s">
        <v>158</v>
      </c>
      <c r="AH1563">
        <v>0</v>
      </c>
      <c r="AI1563">
        <v>3</v>
      </c>
      <c r="AJ1563">
        <v>1</v>
      </c>
      <c r="AK1563">
        <v>0</v>
      </c>
      <c r="AL1563" t="s">
        <v>2497</v>
      </c>
      <c r="AM1563">
        <v>46.820383</v>
      </c>
      <c r="AN1563" t="s">
        <v>3015</v>
      </c>
      <c r="AO1563">
        <v>-122.808266</v>
      </c>
      <c r="AP1563">
        <v>100</v>
      </c>
      <c r="AQ1563">
        <v>2000</v>
      </c>
      <c r="AR1563" t="s">
        <v>118</v>
      </c>
      <c r="AS1563">
        <v>-76</v>
      </c>
      <c r="AT1563">
        <v>24</v>
      </c>
      <c r="AU1563">
        <v>256</v>
      </c>
      <c r="BC1563">
        <v>1200</v>
      </c>
      <c r="BD1563">
        <v>1</v>
      </c>
      <c r="BE1563" t="str">
        <f t="shared" si="74"/>
        <v xml:space="preserve">N215T   </v>
      </c>
      <c r="BF1563">
        <v>1</v>
      </c>
      <c r="BH1563">
        <v>0</v>
      </c>
      <c r="BI1563">
        <v>0</v>
      </c>
      <c r="BJ1563">
        <v>0</v>
      </c>
      <c r="BK1563">
        <v>2375</v>
      </c>
      <c r="BL1563">
        <v>375</v>
      </c>
      <c r="BM1563" t="s">
        <v>119</v>
      </c>
      <c r="BN1563">
        <v>1</v>
      </c>
      <c r="BO1563">
        <v>1</v>
      </c>
      <c r="BP1563">
        <v>1</v>
      </c>
      <c r="BQ1563">
        <v>0</v>
      </c>
      <c r="BT1563">
        <v>0</v>
      </c>
      <c r="BU1563">
        <v>0</v>
      </c>
      <c r="BV1563">
        <v>0</v>
      </c>
      <c r="CC1563" t="str">
        <f>"19:00:50.953"</f>
        <v>19:00:50.953</v>
      </c>
      <c r="CD1563" t="str">
        <f>"949290806"</f>
        <v>949290806</v>
      </c>
      <c r="CQ1563">
        <v>0</v>
      </c>
      <c r="CR1563">
        <v>2</v>
      </c>
      <c r="CS1563">
        <v>0</v>
      </c>
      <c r="CT1563">
        <v>2</v>
      </c>
      <c r="CU1563">
        <v>0</v>
      </c>
      <c r="CV1563">
        <v>7</v>
      </c>
      <c r="CW1563" t="s">
        <v>120</v>
      </c>
      <c r="CX1563">
        <v>257</v>
      </c>
      <c r="CY1563">
        <v>1</v>
      </c>
      <c r="CZ1563" t="s">
        <v>615</v>
      </c>
      <c r="DA1563" t="s">
        <v>616</v>
      </c>
      <c r="DD1563">
        <v>11540266</v>
      </c>
      <c r="DE1563" t="s">
        <v>123</v>
      </c>
    </row>
    <row r="1564" spans="1:109" x14ac:dyDescent="0.3">
      <c r="A1564" t="str">
        <f>"19:00:52.211"</f>
        <v>19:00:52.211</v>
      </c>
      <c r="B1564" t="s">
        <v>110</v>
      </c>
      <c r="C1564" t="str">
        <f t="shared" si="72"/>
        <v>ffdfd3c0</v>
      </c>
      <c r="D1564" t="s">
        <v>111</v>
      </c>
      <c r="E1564">
        <v>18</v>
      </c>
      <c r="F1564">
        <v>1018</v>
      </c>
      <c r="G1564" t="s">
        <v>112</v>
      </c>
      <c r="J1564" t="s">
        <v>113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R1564" t="s">
        <v>114</v>
      </c>
      <c r="S1564" t="str">
        <f>"19:00:51.977"</f>
        <v>19:00:51.977</v>
      </c>
      <c r="T1564" t="str">
        <f>"19:00:51.477"</f>
        <v>19:00:51.477</v>
      </c>
      <c r="U1564" t="str">
        <f t="shared" si="73"/>
        <v>a1cdbe</v>
      </c>
      <c r="V1564">
        <v>0</v>
      </c>
      <c r="W1564">
        <v>0</v>
      </c>
      <c r="X1564">
        <v>1</v>
      </c>
      <c r="Y1564">
        <v>0</v>
      </c>
      <c r="Z1564">
        <v>0</v>
      </c>
      <c r="AB1564">
        <v>0</v>
      </c>
      <c r="AC1564">
        <v>9</v>
      </c>
      <c r="AD1564">
        <v>3</v>
      </c>
      <c r="AE1564">
        <v>0</v>
      </c>
      <c r="AF1564">
        <v>9</v>
      </c>
      <c r="AG1564" t="s">
        <v>158</v>
      </c>
      <c r="AH1564">
        <v>0</v>
      </c>
      <c r="AI1564">
        <v>3</v>
      </c>
      <c r="AJ1564">
        <v>1</v>
      </c>
      <c r="AK1564">
        <v>0</v>
      </c>
      <c r="AL1564" t="s">
        <v>3016</v>
      </c>
      <c r="AM1564">
        <v>46.820489999999999</v>
      </c>
      <c r="AN1564" t="s">
        <v>3017</v>
      </c>
      <c r="AO1564">
        <v>-122.808802</v>
      </c>
      <c r="AP1564">
        <v>100</v>
      </c>
      <c r="AQ1564">
        <v>2000</v>
      </c>
      <c r="AR1564" t="s">
        <v>118</v>
      </c>
      <c r="AS1564">
        <v>-76</v>
      </c>
      <c r="AT1564">
        <v>24</v>
      </c>
      <c r="AU1564">
        <v>256</v>
      </c>
      <c r="BC1564">
        <v>1200</v>
      </c>
      <c r="BD1564">
        <v>1</v>
      </c>
      <c r="BE1564" t="str">
        <f t="shared" si="74"/>
        <v xml:space="preserve">N215T   </v>
      </c>
      <c r="BF1564">
        <v>1</v>
      </c>
      <c r="BH1564">
        <v>0</v>
      </c>
      <c r="BI1564">
        <v>0</v>
      </c>
      <c r="BJ1564">
        <v>0</v>
      </c>
      <c r="BK1564">
        <v>2375</v>
      </c>
      <c r="BL1564">
        <v>375</v>
      </c>
      <c r="BM1564" t="s">
        <v>119</v>
      </c>
      <c r="BN1564">
        <v>1</v>
      </c>
      <c r="BO1564">
        <v>1</v>
      </c>
      <c r="BP1564">
        <v>1</v>
      </c>
      <c r="BQ1564">
        <v>0</v>
      </c>
      <c r="BT1564">
        <v>0</v>
      </c>
      <c r="BU1564">
        <v>0</v>
      </c>
      <c r="BV1564">
        <v>0</v>
      </c>
      <c r="CC1564" t="str">
        <f>"19:00:51.984"</f>
        <v>19:00:51.984</v>
      </c>
      <c r="CD1564" t="str">
        <f>"984188793"</f>
        <v>984188793</v>
      </c>
      <c r="CQ1564">
        <v>0</v>
      </c>
      <c r="CR1564">
        <v>2</v>
      </c>
      <c r="CS1564">
        <v>0</v>
      </c>
      <c r="CT1564">
        <v>2</v>
      </c>
      <c r="CU1564">
        <v>0</v>
      </c>
      <c r="CV1564">
        <v>7</v>
      </c>
      <c r="CW1564" t="s">
        <v>120</v>
      </c>
      <c r="CX1564">
        <v>257</v>
      </c>
      <c r="CY1564">
        <v>1</v>
      </c>
      <c r="CZ1564" t="s">
        <v>615</v>
      </c>
      <c r="DA1564" t="s">
        <v>616</v>
      </c>
      <c r="DD1564">
        <v>11541041</v>
      </c>
      <c r="DE1564" t="s">
        <v>123</v>
      </c>
    </row>
    <row r="1565" spans="1:109" x14ac:dyDescent="0.3">
      <c r="A1565" t="str">
        <f>"19:00:53.219"</f>
        <v>19:00:53.219</v>
      </c>
      <c r="B1565" t="s">
        <v>110</v>
      </c>
      <c r="C1565" t="str">
        <f t="shared" si="72"/>
        <v>ffdfd3c0</v>
      </c>
      <c r="D1565" t="s">
        <v>111</v>
      </c>
      <c r="E1565">
        <v>18</v>
      </c>
      <c r="F1565">
        <v>1018</v>
      </c>
      <c r="G1565" t="s">
        <v>112</v>
      </c>
      <c r="J1565" t="s">
        <v>113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R1565" t="s">
        <v>114</v>
      </c>
      <c r="S1565" t="str">
        <f>"19:00:53.000"</f>
        <v>19:00:53.000</v>
      </c>
      <c r="T1565" t="str">
        <f>"19:00:52.500"</f>
        <v>19:00:52.500</v>
      </c>
      <c r="U1565" t="str">
        <f t="shared" si="73"/>
        <v>a1cdbe</v>
      </c>
      <c r="V1565">
        <v>0</v>
      </c>
      <c r="W1565">
        <v>0</v>
      </c>
      <c r="X1565">
        <v>1</v>
      </c>
      <c r="Y1565">
        <v>0</v>
      </c>
      <c r="Z1565">
        <v>0</v>
      </c>
      <c r="AB1565">
        <v>0</v>
      </c>
      <c r="AC1565">
        <v>9</v>
      </c>
      <c r="AD1565">
        <v>3</v>
      </c>
      <c r="AE1565">
        <v>0</v>
      </c>
      <c r="AF1565">
        <v>9</v>
      </c>
      <c r="AG1565" t="s">
        <v>158</v>
      </c>
      <c r="AH1565">
        <v>0</v>
      </c>
      <c r="AI1565">
        <v>3</v>
      </c>
      <c r="AJ1565">
        <v>1</v>
      </c>
      <c r="AK1565">
        <v>0</v>
      </c>
      <c r="AL1565" t="s">
        <v>3018</v>
      </c>
      <c r="AM1565">
        <v>46.820619000000001</v>
      </c>
      <c r="AN1565" t="s">
        <v>3019</v>
      </c>
      <c r="AO1565">
        <v>-122.809296</v>
      </c>
      <c r="AP1565">
        <v>100</v>
      </c>
      <c r="AQ1565">
        <v>2000</v>
      </c>
      <c r="AR1565" t="s">
        <v>118</v>
      </c>
      <c r="AS1565">
        <v>-75</v>
      </c>
      <c r="AT1565">
        <v>24</v>
      </c>
      <c r="AU1565">
        <v>256</v>
      </c>
      <c r="BC1565">
        <v>1200</v>
      </c>
      <c r="BD1565">
        <v>1</v>
      </c>
      <c r="BE1565" t="str">
        <f t="shared" si="74"/>
        <v xml:space="preserve">N215T   </v>
      </c>
      <c r="BF1565">
        <v>1</v>
      </c>
      <c r="BH1565">
        <v>0</v>
      </c>
      <c r="BI1565">
        <v>0</v>
      </c>
      <c r="BJ1565">
        <v>0</v>
      </c>
      <c r="BK1565">
        <v>2375</v>
      </c>
      <c r="BL1565">
        <v>375</v>
      </c>
      <c r="BM1565" t="s">
        <v>119</v>
      </c>
      <c r="BN1565">
        <v>1</v>
      </c>
      <c r="BO1565">
        <v>1</v>
      </c>
      <c r="BP1565">
        <v>1</v>
      </c>
      <c r="BQ1565">
        <v>0</v>
      </c>
      <c r="BT1565">
        <v>0</v>
      </c>
      <c r="BU1565">
        <v>0</v>
      </c>
      <c r="BV1565">
        <v>0</v>
      </c>
      <c r="CC1565" t="str">
        <f>"19:00:53.008"</f>
        <v>19:00:53.008</v>
      </c>
      <c r="CD1565" t="str">
        <f>"004043875"</f>
        <v>004043875</v>
      </c>
      <c r="CQ1565">
        <v>0</v>
      </c>
      <c r="CR1565">
        <v>2</v>
      </c>
      <c r="CS1565">
        <v>0</v>
      </c>
      <c r="CT1565">
        <v>2</v>
      </c>
      <c r="CU1565">
        <v>0</v>
      </c>
      <c r="CV1565">
        <v>7</v>
      </c>
      <c r="CW1565" t="s">
        <v>120</v>
      </c>
      <c r="CX1565">
        <v>261</v>
      </c>
      <c r="CY1565">
        <v>2</v>
      </c>
      <c r="CZ1565" t="s">
        <v>121</v>
      </c>
      <c r="DA1565" t="s">
        <v>122</v>
      </c>
      <c r="DD1565">
        <v>15163415</v>
      </c>
      <c r="DE1565" t="s">
        <v>123</v>
      </c>
    </row>
    <row r="1566" spans="1:109" x14ac:dyDescent="0.3">
      <c r="A1566" t="str">
        <f>"19:00:54.375"</f>
        <v>19:00:54.375</v>
      </c>
      <c r="B1566" t="s">
        <v>110</v>
      </c>
      <c r="C1566" t="str">
        <f t="shared" si="72"/>
        <v>ffdfd3c0</v>
      </c>
      <c r="D1566" t="s">
        <v>111</v>
      </c>
      <c r="E1566">
        <v>18</v>
      </c>
      <c r="F1566">
        <v>1018</v>
      </c>
      <c r="G1566" t="s">
        <v>112</v>
      </c>
      <c r="J1566" t="s">
        <v>113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R1566" t="s">
        <v>114</v>
      </c>
      <c r="S1566" t="str">
        <f>"19:00:54.141"</f>
        <v>19:00:54.141</v>
      </c>
      <c r="T1566" t="str">
        <f>"19:00:54.039"</f>
        <v>19:00:54.039</v>
      </c>
      <c r="U1566" t="str">
        <f t="shared" si="73"/>
        <v>a1cdbe</v>
      </c>
      <c r="V1566">
        <v>0</v>
      </c>
      <c r="W1566">
        <v>0</v>
      </c>
      <c r="X1566">
        <v>1</v>
      </c>
      <c r="Y1566">
        <v>0</v>
      </c>
      <c r="Z1566">
        <v>0</v>
      </c>
      <c r="AB1566">
        <v>0</v>
      </c>
      <c r="AC1566">
        <v>9</v>
      </c>
      <c r="AD1566">
        <v>3</v>
      </c>
      <c r="AE1566">
        <v>0</v>
      </c>
      <c r="AF1566">
        <v>9</v>
      </c>
      <c r="AG1566" t="s">
        <v>158</v>
      </c>
      <c r="AH1566">
        <v>0</v>
      </c>
      <c r="AI1566">
        <v>3</v>
      </c>
      <c r="AJ1566">
        <v>1</v>
      </c>
      <c r="AK1566">
        <v>0</v>
      </c>
      <c r="AL1566" t="s">
        <v>2493</v>
      </c>
      <c r="AM1566">
        <v>46.820704999999997</v>
      </c>
      <c r="AN1566" t="s">
        <v>3020</v>
      </c>
      <c r="AO1566">
        <v>-122.809854</v>
      </c>
      <c r="AP1566">
        <v>100</v>
      </c>
      <c r="AQ1566">
        <v>2000</v>
      </c>
      <c r="AR1566" t="s">
        <v>118</v>
      </c>
      <c r="AS1566">
        <v>-74</v>
      </c>
      <c r="AT1566">
        <v>25</v>
      </c>
      <c r="AU1566">
        <v>256</v>
      </c>
      <c r="BC1566">
        <v>1200</v>
      </c>
      <c r="BD1566">
        <v>1</v>
      </c>
      <c r="BE1566" t="str">
        <f t="shared" si="74"/>
        <v xml:space="preserve">N215T   </v>
      </c>
      <c r="BF1566">
        <v>1</v>
      </c>
      <c r="BH1566">
        <v>0</v>
      </c>
      <c r="BI1566">
        <v>0</v>
      </c>
      <c r="BJ1566">
        <v>0</v>
      </c>
      <c r="BK1566">
        <v>2375</v>
      </c>
      <c r="BL1566">
        <v>375</v>
      </c>
      <c r="BM1566" t="s">
        <v>119</v>
      </c>
      <c r="BN1566">
        <v>1</v>
      </c>
      <c r="BO1566">
        <v>1</v>
      </c>
      <c r="BP1566">
        <v>1</v>
      </c>
      <c r="BQ1566">
        <v>0</v>
      </c>
      <c r="BT1566">
        <v>0</v>
      </c>
      <c r="BU1566">
        <v>0</v>
      </c>
      <c r="BV1566">
        <v>0</v>
      </c>
      <c r="CC1566" t="str">
        <f>"19:00:54.141"</f>
        <v>19:00:54.141</v>
      </c>
      <c r="CD1566" t="str">
        <f>"143975882"</f>
        <v>143975882</v>
      </c>
      <c r="CQ1566">
        <v>0</v>
      </c>
      <c r="CR1566">
        <v>2</v>
      </c>
      <c r="CS1566">
        <v>0</v>
      </c>
      <c r="CT1566">
        <v>2</v>
      </c>
      <c r="CU1566">
        <v>0</v>
      </c>
      <c r="CV1566">
        <v>7</v>
      </c>
      <c r="CW1566" t="s">
        <v>120</v>
      </c>
      <c r="CX1566">
        <v>257</v>
      </c>
      <c r="CY1566">
        <v>1</v>
      </c>
      <c r="CZ1566" t="s">
        <v>615</v>
      </c>
      <c r="DA1566" t="s">
        <v>616</v>
      </c>
      <c r="DD1566">
        <v>11542661</v>
      </c>
      <c r="DE1566" t="s">
        <v>123</v>
      </c>
    </row>
    <row r="1567" spans="1:109" x14ac:dyDescent="0.3">
      <c r="A1567" t="str">
        <f>"19:00:55.281"</f>
        <v>19:00:55.281</v>
      </c>
      <c r="B1567" t="s">
        <v>110</v>
      </c>
      <c r="C1567" t="str">
        <f t="shared" si="72"/>
        <v>ffdfd3c0</v>
      </c>
      <c r="D1567" t="s">
        <v>111</v>
      </c>
      <c r="E1567">
        <v>18</v>
      </c>
      <c r="F1567">
        <v>1018</v>
      </c>
      <c r="G1567" t="s">
        <v>112</v>
      </c>
      <c r="J1567" t="s">
        <v>113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R1567" t="s">
        <v>114</v>
      </c>
      <c r="S1567" t="str">
        <f>"19:00:55.008"</f>
        <v>19:00:55.008</v>
      </c>
      <c r="T1567" t="str">
        <f>"19:00:54.508"</f>
        <v>19:00:54.508</v>
      </c>
      <c r="U1567" t="str">
        <f t="shared" si="73"/>
        <v>a1cdbe</v>
      </c>
      <c r="V1567">
        <v>0</v>
      </c>
      <c r="W1567">
        <v>0</v>
      </c>
      <c r="X1567">
        <v>1</v>
      </c>
      <c r="Y1567">
        <v>0</v>
      </c>
      <c r="Z1567">
        <v>0</v>
      </c>
      <c r="AB1567">
        <v>0</v>
      </c>
      <c r="AC1567">
        <v>9</v>
      </c>
      <c r="AD1567">
        <v>3</v>
      </c>
      <c r="AE1567">
        <v>0</v>
      </c>
      <c r="AF1567">
        <v>9</v>
      </c>
      <c r="AG1567" t="s">
        <v>158</v>
      </c>
      <c r="AH1567">
        <v>0</v>
      </c>
      <c r="AI1567">
        <v>3</v>
      </c>
      <c r="AJ1567">
        <v>1</v>
      </c>
      <c r="AK1567">
        <v>0</v>
      </c>
      <c r="AL1567" t="s">
        <v>2491</v>
      </c>
      <c r="AM1567">
        <v>46.820833999999998</v>
      </c>
      <c r="AN1567" t="s">
        <v>3021</v>
      </c>
      <c r="AO1567">
        <v>-122.810326</v>
      </c>
      <c r="AP1567">
        <v>100</v>
      </c>
      <c r="AQ1567">
        <v>2000</v>
      </c>
      <c r="AR1567" t="s">
        <v>118</v>
      </c>
      <c r="AS1567">
        <v>-74</v>
      </c>
      <c r="AT1567">
        <v>25</v>
      </c>
      <c r="AU1567">
        <v>256</v>
      </c>
      <c r="BC1567">
        <v>1200</v>
      </c>
      <c r="BD1567">
        <v>1</v>
      </c>
      <c r="BE1567" t="str">
        <f t="shared" si="74"/>
        <v xml:space="preserve">N215T   </v>
      </c>
      <c r="BF1567">
        <v>1</v>
      </c>
      <c r="BH1567">
        <v>0</v>
      </c>
      <c r="BI1567">
        <v>0</v>
      </c>
      <c r="BJ1567">
        <v>0</v>
      </c>
      <c r="BK1567">
        <v>2375</v>
      </c>
      <c r="BL1567">
        <v>375</v>
      </c>
      <c r="BM1567" t="s">
        <v>119</v>
      </c>
      <c r="BN1567">
        <v>1</v>
      </c>
      <c r="BO1567">
        <v>1</v>
      </c>
      <c r="BP1567">
        <v>1</v>
      </c>
      <c r="BQ1567">
        <v>0</v>
      </c>
      <c r="BT1567">
        <v>0</v>
      </c>
      <c r="BU1567">
        <v>0</v>
      </c>
      <c r="BV1567">
        <v>0</v>
      </c>
      <c r="CC1567" t="str">
        <f>"19:00:55.016"</f>
        <v>19:00:55.016</v>
      </c>
      <c r="CD1567" t="str">
        <f>"013890128"</f>
        <v>013890128</v>
      </c>
      <c r="CQ1567">
        <v>0</v>
      </c>
      <c r="CR1567">
        <v>2</v>
      </c>
      <c r="CS1567">
        <v>0</v>
      </c>
      <c r="CT1567">
        <v>2</v>
      </c>
      <c r="CU1567">
        <v>0</v>
      </c>
      <c r="CV1567">
        <v>7</v>
      </c>
      <c r="CW1567" t="s">
        <v>120</v>
      </c>
      <c r="CX1567">
        <v>257</v>
      </c>
      <c r="CY1567">
        <v>1</v>
      </c>
      <c r="CZ1567" t="s">
        <v>615</v>
      </c>
      <c r="DA1567" t="s">
        <v>616</v>
      </c>
      <c r="DD1567">
        <v>11543331</v>
      </c>
      <c r="DE1567" t="s">
        <v>123</v>
      </c>
    </row>
    <row r="1568" spans="1:109" x14ac:dyDescent="0.3">
      <c r="A1568" t="str">
        <f>"19:00:56.141"</f>
        <v>19:00:56.141</v>
      </c>
      <c r="B1568" t="s">
        <v>110</v>
      </c>
      <c r="C1568" t="str">
        <f t="shared" si="72"/>
        <v>ffdfd3c0</v>
      </c>
      <c r="D1568" t="s">
        <v>111</v>
      </c>
      <c r="E1568">
        <v>18</v>
      </c>
      <c r="F1568">
        <v>1018</v>
      </c>
      <c r="G1568" t="s">
        <v>112</v>
      </c>
      <c r="J1568" t="s">
        <v>113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R1568" t="s">
        <v>114</v>
      </c>
      <c r="S1568" t="str">
        <f>"19:00:55.906"</f>
        <v>19:00:55.906</v>
      </c>
      <c r="T1568" t="str">
        <f>"19:00:55.703"</f>
        <v>19:00:55.703</v>
      </c>
      <c r="U1568" t="str">
        <f t="shared" si="73"/>
        <v>a1cdbe</v>
      </c>
      <c r="V1568">
        <v>0</v>
      </c>
      <c r="W1568">
        <v>0</v>
      </c>
      <c r="X1568">
        <v>1</v>
      </c>
      <c r="Y1568">
        <v>0</v>
      </c>
      <c r="Z1568">
        <v>0</v>
      </c>
      <c r="AB1568">
        <v>0</v>
      </c>
      <c r="AC1568">
        <v>9</v>
      </c>
      <c r="AD1568">
        <v>3</v>
      </c>
      <c r="AE1568">
        <v>0</v>
      </c>
      <c r="AF1568">
        <v>9</v>
      </c>
      <c r="AG1568" t="s">
        <v>158</v>
      </c>
      <c r="AH1568">
        <v>0</v>
      </c>
      <c r="AI1568">
        <v>3</v>
      </c>
      <c r="AJ1568">
        <v>1</v>
      </c>
      <c r="AK1568">
        <v>0</v>
      </c>
      <c r="AL1568" t="s">
        <v>3022</v>
      </c>
      <c r="AM1568">
        <v>46.820940999999998</v>
      </c>
      <c r="AN1568" t="s">
        <v>3023</v>
      </c>
      <c r="AO1568">
        <v>-122.810733</v>
      </c>
      <c r="AP1568">
        <v>100</v>
      </c>
      <c r="AQ1568">
        <v>2000</v>
      </c>
      <c r="AR1568" t="s">
        <v>118</v>
      </c>
      <c r="AS1568">
        <v>-74</v>
      </c>
      <c r="AT1568">
        <v>25</v>
      </c>
      <c r="AU1568">
        <v>256</v>
      </c>
      <c r="BC1568">
        <v>1200</v>
      </c>
      <c r="BD1568">
        <v>1</v>
      </c>
      <c r="BE1568" t="str">
        <f t="shared" si="74"/>
        <v xml:space="preserve">N215T   </v>
      </c>
      <c r="BF1568">
        <v>1</v>
      </c>
      <c r="BH1568">
        <v>0</v>
      </c>
      <c r="BI1568">
        <v>0</v>
      </c>
      <c r="BJ1568">
        <v>0</v>
      </c>
      <c r="BK1568">
        <v>2400</v>
      </c>
      <c r="BL1568">
        <v>400</v>
      </c>
      <c r="BM1568" t="s">
        <v>119</v>
      </c>
      <c r="BN1568">
        <v>1</v>
      </c>
      <c r="BO1568">
        <v>1</v>
      </c>
      <c r="BP1568">
        <v>1</v>
      </c>
      <c r="BQ1568">
        <v>0</v>
      </c>
      <c r="BT1568">
        <v>0</v>
      </c>
      <c r="BU1568">
        <v>0</v>
      </c>
      <c r="BV1568">
        <v>0</v>
      </c>
      <c r="CC1568" t="str">
        <f>"19:00:55.914"</f>
        <v>19:00:55.914</v>
      </c>
      <c r="CD1568" t="str">
        <f>"913757194"</f>
        <v>913757194</v>
      </c>
      <c r="CQ1568">
        <v>0</v>
      </c>
      <c r="CR1568">
        <v>2</v>
      </c>
      <c r="CS1568">
        <v>0</v>
      </c>
      <c r="CT1568">
        <v>2</v>
      </c>
      <c r="CU1568">
        <v>0</v>
      </c>
      <c r="CV1568">
        <v>7</v>
      </c>
      <c r="CW1568" t="s">
        <v>120</v>
      </c>
      <c r="CX1568">
        <v>261</v>
      </c>
      <c r="CY1568">
        <v>2</v>
      </c>
      <c r="CZ1568" t="s">
        <v>121</v>
      </c>
      <c r="DA1568" t="s">
        <v>122</v>
      </c>
      <c r="DD1568">
        <v>15165438</v>
      </c>
      <c r="DE1568" t="s">
        <v>123</v>
      </c>
    </row>
    <row r="1569" spans="1:109" x14ac:dyDescent="0.3">
      <c r="A1569" t="str">
        <f>"19:00:57.188"</f>
        <v>19:00:57.188</v>
      </c>
      <c r="B1569" t="s">
        <v>110</v>
      </c>
      <c r="C1569" t="str">
        <f t="shared" si="72"/>
        <v>ffdfd3c0</v>
      </c>
      <c r="D1569" t="s">
        <v>111</v>
      </c>
      <c r="E1569">
        <v>18</v>
      </c>
      <c r="F1569">
        <v>1018</v>
      </c>
      <c r="G1569" t="s">
        <v>112</v>
      </c>
      <c r="J1569" t="s">
        <v>113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R1569" t="s">
        <v>114</v>
      </c>
      <c r="S1569" t="str">
        <f>"19:00:56.977"</f>
        <v>19:00:56.977</v>
      </c>
      <c r="T1569" t="str">
        <f>"19:00:56.578"</f>
        <v>19:00:56.578</v>
      </c>
      <c r="U1569" t="str">
        <f t="shared" si="73"/>
        <v>a1cdbe</v>
      </c>
      <c r="V1569">
        <v>0</v>
      </c>
      <c r="W1569">
        <v>0</v>
      </c>
      <c r="X1569">
        <v>1</v>
      </c>
      <c r="Y1569">
        <v>0</v>
      </c>
      <c r="Z1569">
        <v>0</v>
      </c>
      <c r="AB1569">
        <v>0</v>
      </c>
      <c r="AC1569">
        <v>9</v>
      </c>
      <c r="AD1569">
        <v>3</v>
      </c>
      <c r="AE1569">
        <v>0</v>
      </c>
      <c r="AF1569">
        <v>9</v>
      </c>
      <c r="AG1569" t="s">
        <v>158</v>
      </c>
      <c r="AH1569">
        <v>0</v>
      </c>
      <c r="AI1569">
        <v>3</v>
      </c>
      <c r="AJ1569">
        <v>1</v>
      </c>
      <c r="AK1569">
        <v>0</v>
      </c>
      <c r="AL1569" t="s">
        <v>3024</v>
      </c>
      <c r="AM1569">
        <v>46.821027000000001</v>
      </c>
      <c r="AN1569" t="s">
        <v>3025</v>
      </c>
      <c r="AO1569">
        <v>-122.811291</v>
      </c>
      <c r="AP1569">
        <v>100</v>
      </c>
      <c r="AQ1569">
        <v>2000</v>
      </c>
      <c r="AR1569" t="s">
        <v>118</v>
      </c>
      <c r="AS1569">
        <v>-74</v>
      </c>
      <c r="AT1569">
        <v>25</v>
      </c>
      <c r="AU1569">
        <v>192</v>
      </c>
      <c r="BC1569">
        <v>1200</v>
      </c>
      <c r="BD1569">
        <v>1</v>
      </c>
      <c r="BE1569" t="str">
        <f t="shared" si="74"/>
        <v xml:space="preserve">N215T   </v>
      </c>
      <c r="BF1569">
        <v>1</v>
      </c>
      <c r="BH1569">
        <v>0</v>
      </c>
      <c r="BI1569">
        <v>0</v>
      </c>
      <c r="BJ1569">
        <v>0</v>
      </c>
      <c r="BK1569">
        <v>2400</v>
      </c>
      <c r="BL1569">
        <v>400</v>
      </c>
      <c r="BM1569" t="s">
        <v>119</v>
      </c>
      <c r="BN1569">
        <v>1</v>
      </c>
      <c r="BO1569">
        <v>1</v>
      </c>
      <c r="BP1569">
        <v>1</v>
      </c>
      <c r="BQ1569">
        <v>0</v>
      </c>
      <c r="BT1569">
        <v>0</v>
      </c>
      <c r="BU1569">
        <v>0</v>
      </c>
      <c r="BV1569">
        <v>0</v>
      </c>
      <c r="CC1569" t="str">
        <f>"19:00:56.977"</f>
        <v>19:00:56.977</v>
      </c>
      <c r="CD1569" t="str">
        <f>"978652279"</f>
        <v>978652279</v>
      </c>
      <c r="CQ1569">
        <v>0</v>
      </c>
      <c r="CR1569">
        <v>2</v>
      </c>
      <c r="CS1569">
        <v>0</v>
      </c>
      <c r="CT1569">
        <v>2</v>
      </c>
      <c r="CU1569">
        <v>0</v>
      </c>
      <c r="CV1569">
        <v>7</v>
      </c>
      <c r="CW1569" t="s">
        <v>120</v>
      </c>
      <c r="CX1569">
        <v>261</v>
      </c>
      <c r="CY1569">
        <v>2</v>
      </c>
      <c r="CZ1569" t="s">
        <v>121</v>
      </c>
      <c r="DA1569" t="s">
        <v>122</v>
      </c>
      <c r="DD1569">
        <v>15166158</v>
      </c>
      <c r="DE1569" t="s">
        <v>123</v>
      </c>
    </row>
    <row r="1570" spans="1:109" x14ac:dyDescent="0.3">
      <c r="A1570" t="str">
        <f>"19:00:58.094"</f>
        <v>19:00:58.094</v>
      </c>
      <c r="B1570" t="s">
        <v>110</v>
      </c>
      <c r="C1570" t="str">
        <f t="shared" si="72"/>
        <v>ffdfd3c0</v>
      </c>
      <c r="D1570" t="s">
        <v>111</v>
      </c>
      <c r="E1570">
        <v>18</v>
      </c>
      <c r="F1570">
        <v>1018</v>
      </c>
      <c r="G1570" t="s">
        <v>112</v>
      </c>
      <c r="J1570" t="s">
        <v>113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R1570" t="s">
        <v>114</v>
      </c>
      <c r="S1570" t="str">
        <f>"19:00:57.875"</f>
        <v>19:00:57.875</v>
      </c>
      <c r="T1570" t="str">
        <f>"19:00:57.477"</f>
        <v>19:00:57.477</v>
      </c>
      <c r="U1570" t="str">
        <f t="shared" si="73"/>
        <v>a1cdbe</v>
      </c>
      <c r="V1570">
        <v>0</v>
      </c>
      <c r="W1570">
        <v>0</v>
      </c>
      <c r="X1570">
        <v>1</v>
      </c>
      <c r="Y1570">
        <v>0</v>
      </c>
      <c r="Z1570">
        <v>0</v>
      </c>
      <c r="AB1570">
        <v>0</v>
      </c>
      <c r="AC1570">
        <v>9</v>
      </c>
      <c r="AD1570">
        <v>3</v>
      </c>
      <c r="AE1570">
        <v>0</v>
      </c>
      <c r="AF1570">
        <v>9</v>
      </c>
      <c r="AG1570" t="s">
        <v>158</v>
      </c>
      <c r="AH1570">
        <v>0</v>
      </c>
      <c r="AI1570">
        <v>3</v>
      </c>
      <c r="AJ1570">
        <v>1</v>
      </c>
      <c r="AK1570">
        <v>0</v>
      </c>
      <c r="AL1570" t="s">
        <v>3026</v>
      </c>
      <c r="AM1570">
        <v>46.821134000000001</v>
      </c>
      <c r="AN1570" t="s">
        <v>3027</v>
      </c>
      <c r="AO1570">
        <v>-122.811763</v>
      </c>
      <c r="AP1570">
        <v>100</v>
      </c>
      <c r="AQ1570">
        <v>2000</v>
      </c>
      <c r="AR1570" t="s">
        <v>118</v>
      </c>
      <c r="AS1570">
        <v>-74</v>
      </c>
      <c r="AT1570">
        <v>24</v>
      </c>
      <c r="AU1570">
        <v>128</v>
      </c>
      <c r="BC1570">
        <v>1200</v>
      </c>
      <c r="BD1570">
        <v>1</v>
      </c>
      <c r="BE1570" t="str">
        <f t="shared" si="74"/>
        <v xml:space="preserve">N215T   </v>
      </c>
      <c r="BF1570">
        <v>1</v>
      </c>
      <c r="BH1570">
        <v>0</v>
      </c>
      <c r="BI1570">
        <v>0</v>
      </c>
      <c r="BJ1570">
        <v>0</v>
      </c>
      <c r="BK1570">
        <v>2400</v>
      </c>
      <c r="BL1570">
        <v>400</v>
      </c>
      <c r="BM1570" t="s">
        <v>119</v>
      </c>
      <c r="BN1570">
        <v>1</v>
      </c>
      <c r="BO1570">
        <v>1</v>
      </c>
      <c r="BP1570">
        <v>1</v>
      </c>
      <c r="BQ1570">
        <v>0</v>
      </c>
      <c r="BT1570">
        <v>0</v>
      </c>
      <c r="BU1570">
        <v>0</v>
      </c>
      <c r="BV1570">
        <v>0</v>
      </c>
      <c r="CC1570" t="str">
        <f>"19:00:57.875"</f>
        <v>19:00:57.875</v>
      </c>
      <c r="CD1570" t="str">
        <f>"878563608"</f>
        <v>878563608</v>
      </c>
      <c r="CQ1570">
        <v>0</v>
      </c>
      <c r="CR1570">
        <v>2</v>
      </c>
      <c r="CS1570">
        <v>0</v>
      </c>
      <c r="CT1570">
        <v>2</v>
      </c>
      <c r="CU1570">
        <v>0</v>
      </c>
      <c r="CV1570">
        <v>7</v>
      </c>
      <c r="CW1570" t="s">
        <v>120</v>
      </c>
      <c r="CX1570">
        <v>261</v>
      </c>
      <c r="CY1570">
        <v>2</v>
      </c>
      <c r="CZ1570" t="s">
        <v>121</v>
      </c>
      <c r="DA1570" t="s">
        <v>122</v>
      </c>
      <c r="DD1570">
        <v>15166823</v>
      </c>
      <c r="DE1570" t="s">
        <v>123</v>
      </c>
    </row>
    <row r="1571" spans="1:109" x14ac:dyDescent="0.3">
      <c r="A1571" t="str">
        <f>"19:00:59.203"</f>
        <v>19:00:59.203</v>
      </c>
      <c r="B1571" t="s">
        <v>110</v>
      </c>
      <c r="C1571" t="str">
        <f t="shared" si="72"/>
        <v>ffdfd3c0</v>
      </c>
      <c r="D1571" t="s">
        <v>111</v>
      </c>
      <c r="E1571">
        <v>18</v>
      </c>
      <c r="F1571">
        <v>1018</v>
      </c>
      <c r="G1571" t="s">
        <v>112</v>
      </c>
      <c r="J1571" t="s">
        <v>113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R1571" t="s">
        <v>114</v>
      </c>
      <c r="S1571" t="str">
        <f>"19:00:58.984"</f>
        <v>19:00:58.984</v>
      </c>
      <c r="T1571" t="str">
        <f>"19:00:58.984"</f>
        <v>19:00:58.984</v>
      </c>
      <c r="U1571" t="str">
        <f t="shared" si="73"/>
        <v>a1cdbe</v>
      </c>
      <c r="V1571">
        <v>0</v>
      </c>
      <c r="W1571">
        <v>0</v>
      </c>
      <c r="X1571">
        <v>1</v>
      </c>
      <c r="Y1571">
        <v>0</v>
      </c>
      <c r="Z1571">
        <v>0</v>
      </c>
      <c r="AB1571">
        <v>0</v>
      </c>
      <c r="AC1571">
        <v>9</v>
      </c>
      <c r="AD1571">
        <v>3</v>
      </c>
      <c r="AE1571">
        <v>0</v>
      </c>
      <c r="AF1571">
        <v>9</v>
      </c>
      <c r="AG1571" t="s">
        <v>158</v>
      </c>
      <c r="AH1571">
        <v>0</v>
      </c>
      <c r="AI1571">
        <v>3</v>
      </c>
      <c r="AJ1571">
        <v>1</v>
      </c>
      <c r="AK1571">
        <v>0</v>
      </c>
      <c r="AL1571" t="s">
        <v>3028</v>
      </c>
      <c r="AM1571">
        <v>46.821263000000002</v>
      </c>
      <c r="AN1571" t="s">
        <v>3029</v>
      </c>
      <c r="AO1571">
        <v>-122.812321</v>
      </c>
      <c r="AP1571">
        <v>100</v>
      </c>
      <c r="AQ1571">
        <v>2000</v>
      </c>
      <c r="AR1571" t="s">
        <v>118</v>
      </c>
      <c r="AS1571">
        <v>-75</v>
      </c>
      <c r="AT1571">
        <v>22</v>
      </c>
      <c r="AU1571">
        <v>192</v>
      </c>
      <c r="BC1571">
        <v>1200</v>
      </c>
      <c r="BD1571">
        <v>1</v>
      </c>
      <c r="BE1571" t="str">
        <f t="shared" si="74"/>
        <v xml:space="preserve">N215T   </v>
      </c>
      <c r="BF1571">
        <v>1</v>
      </c>
      <c r="BH1571">
        <v>0</v>
      </c>
      <c r="BI1571">
        <v>0</v>
      </c>
      <c r="BJ1571">
        <v>0</v>
      </c>
      <c r="BK1571">
        <v>2400</v>
      </c>
      <c r="BL1571">
        <v>400</v>
      </c>
      <c r="BM1571" t="s">
        <v>119</v>
      </c>
      <c r="BN1571">
        <v>1</v>
      </c>
      <c r="BO1571">
        <v>1</v>
      </c>
      <c r="BP1571">
        <v>1</v>
      </c>
      <c r="BQ1571">
        <v>0</v>
      </c>
      <c r="BT1571">
        <v>0</v>
      </c>
      <c r="BU1571">
        <v>0</v>
      </c>
      <c r="BV1571">
        <v>0</v>
      </c>
      <c r="CC1571" t="str">
        <f>"19:00:58.992"</f>
        <v>19:00:58.992</v>
      </c>
      <c r="CD1571" t="str">
        <f>"988454264"</f>
        <v>988454264</v>
      </c>
      <c r="CQ1571">
        <v>0</v>
      </c>
      <c r="CR1571">
        <v>2</v>
      </c>
      <c r="CS1571">
        <v>0</v>
      </c>
      <c r="CT1571">
        <v>2</v>
      </c>
      <c r="CU1571">
        <v>0</v>
      </c>
      <c r="CV1571">
        <v>7</v>
      </c>
      <c r="CW1571" t="s">
        <v>120</v>
      </c>
      <c r="CX1571">
        <v>261</v>
      </c>
      <c r="CY1571">
        <v>2</v>
      </c>
      <c r="CZ1571" t="s">
        <v>121</v>
      </c>
      <c r="DA1571" t="s">
        <v>122</v>
      </c>
      <c r="DD1571">
        <v>15167531</v>
      </c>
      <c r="DE1571" t="s">
        <v>123</v>
      </c>
    </row>
    <row r="1572" spans="1:109" x14ac:dyDescent="0.3">
      <c r="A1572" t="str">
        <f>"19:01:00.258"</f>
        <v>19:01:00.258</v>
      </c>
      <c r="B1572" t="s">
        <v>110</v>
      </c>
      <c r="C1572" t="str">
        <f t="shared" si="72"/>
        <v>ffdfd3c0</v>
      </c>
      <c r="D1572" t="s">
        <v>111</v>
      </c>
      <c r="E1572">
        <v>18</v>
      </c>
      <c r="F1572">
        <v>1018</v>
      </c>
      <c r="G1572" t="s">
        <v>112</v>
      </c>
      <c r="J1572" t="s">
        <v>113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R1572" t="s">
        <v>114</v>
      </c>
      <c r="S1572" t="str">
        <f>"19:01:00.031"</f>
        <v>19:01:00.031</v>
      </c>
      <c r="T1572" t="str">
        <f>"19:00:59.633"</f>
        <v>19:00:59.633</v>
      </c>
      <c r="U1572" t="str">
        <f t="shared" si="73"/>
        <v>a1cdbe</v>
      </c>
      <c r="V1572">
        <v>0</v>
      </c>
      <c r="W1572">
        <v>0</v>
      </c>
      <c r="X1572">
        <v>1</v>
      </c>
      <c r="Y1572">
        <v>0</v>
      </c>
      <c r="Z1572">
        <v>0</v>
      </c>
      <c r="AB1572">
        <v>0</v>
      </c>
      <c r="AC1572">
        <v>9</v>
      </c>
      <c r="AD1572">
        <v>3</v>
      </c>
      <c r="AE1572">
        <v>0</v>
      </c>
      <c r="AF1572">
        <v>9</v>
      </c>
      <c r="AG1572" t="s">
        <v>158</v>
      </c>
      <c r="AH1572">
        <v>0</v>
      </c>
      <c r="AI1572">
        <v>3</v>
      </c>
      <c r="AJ1572">
        <v>1</v>
      </c>
      <c r="AK1572">
        <v>0</v>
      </c>
      <c r="AL1572" t="s">
        <v>3030</v>
      </c>
      <c r="AM1572">
        <v>46.821348999999998</v>
      </c>
      <c r="AN1572" t="s">
        <v>3031</v>
      </c>
      <c r="AO1572">
        <v>-122.812815</v>
      </c>
      <c r="AP1572">
        <v>100</v>
      </c>
      <c r="AQ1572">
        <v>2000</v>
      </c>
      <c r="AR1572" t="s">
        <v>118</v>
      </c>
      <c r="AS1572">
        <v>-76</v>
      </c>
      <c r="AT1572">
        <v>21</v>
      </c>
      <c r="AU1572">
        <v>192</v>
      </c>
      <c r="BC1572">
        <v>1200</v>
      </c>
      <c r="BD1572">
        <v>1</v>
      </c>
      <c r="BE1572" t="str">
        <f t="shared" si="74"/>
        <v xml:space="preserve">N215T   </v>
      </c>
      <c r="BF1572">
        <v>1</v>
      </c>
      <c r="BH1572">
        <v>0</v>
      </c>
      <c r="BI1572">
        <v>0</v>
      </c>
      <c r="BJ1572">
        <v>0</v>
      </c>
      <c r="BK1572">
        <v>2400</v>
      </c>
      <c r="BL1572">
        <v>400</v>
      </c>
      <c r="BM1572" t="s">
        <v>119</v>
      </c>
      <c r="BN1572">
        <v>1</v>
      </c>
      <c r="BO1572">
        <v>1</v>
      </c>
      <c r="BP1572">
        <v>1</v>
      </c>
      <c r="BQ1572">
        <v>0</v>
      </c>
      <c r="BT1572">
        <v>0</v>
      </c>
      <c r="BU1572">
        <v>0</v>
      </c>
      <c r="BV1572">
        <v>0</v>
      </c>
      <c r="CC1572" t="str">
        <f>"19:01:00.039"</f>
        <v>19:01:00.039</v>
      </c>
      <c r="CD1572" t="str">
        <f>"038394818"</f>
        <v>038394818</v>
      </c>
      <c r="CQ1572">
        <v>0</v>
      </c>
      <c r="CR1572">
        <v>2</v>
      </c>
      <c r="CS1572">
        <v>0</v>
      </c>
      <c r="CT1572">
        <v>2</v>
      </c>
      <c r="CU1572">
        <v>0</v>
      </c>
      <c r="CV1572">
        <v>7</v>
      </c>
      <c r="CW1572" t="s">
        <v>120</v>
      </c>
      <c r="CX1572">
        <v>257</v>
      </c>
      <c r="CY1572">
        <v>1</v>
      </c>
      <c r="CZ1572" t="s">
        <v>615</v>
      </c>
      <c r="DA1572" t="s">
        <v>616</v>
      </c>
      <c r="DD1572">
        <v>11547094</v>
      </c>
      <c r="DE1572" t="s">
        <v>123</v>
      </c>
    </row>
    <row r="1573" spans="1:109" x14ac:dyDescent="0.3">
      <c r="A1573" t="str">
        <f>"19:01:01.266"</f>
        <v>19:01:01.266</v>
      </c>
      <c r="B1573" t="s">
        <v>110</v>
      </c>
      <c r="C1573" t="str">
        <f t="shared" si="72"/>
        <v>ffdfd3c0</v>
      </c>
      <c r="D1573" t="s">
        <v>111</v>
      </c>
      <c r="E1573">
        <v>18</v>
      </c>
      <c r="F1573">
        <v>1018</v>
      </c>
      <c r="G1573" t="s">
        <v>112</v>
      </c>
      <c r="J1573" t="s">
        <v>113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R1573" t="s">
        <v>114</v>
      </c>
      <c r="S1573" t="str">
        <f>"19:01:01.039"</f>
        <v>19:01:01.039</v>
      </c>
      <c r="T1573" t="str">
        <f>"19:01:00.641"</f>
        <v>19:01:00.641</v>
      </c>
      <c r="U1573" t="str">
        <f t="shared" si="73"/>
        <v>a1cdbe</v>
      </c>
      <c r="V1573">
        <v>0</v>
      </c>
      <c r="W1573">
        <v>0</v>
      </c>
      <c r="X1573">
        <v>1</v>
      </c>
      <c r="Y1573">
        <v>0</v>
      </c>
      <c r="Z1573">
        <v>0</v>
      </c>
      <c r="AB1573">
        <v>0</v>
      </c>
      <c r="AC1573">
        <v>9</v>
      </c>
      <c r="AD1573">
        <v>3</v>
      </c>
      <c r="AE1573">
        <v>0</v>
      </c>
      <c r="AF1573">
        <v>9</v>
      </c>
      <c r="AG1573" t="s">
        <v>158</v>
      </c>
      <c r="AH1573">
        <v>0</v>
      </c>
      <c r="AI1573">
        <v>3</v>
      </c>
      <c r="AJ1573">
        <v>1</v>
      </c>
      <c r="AK1573">
        <v>0</v>
      </c>
      <c r="AL1573" t="s">
        <v>3032</v>
      </c>
      <c r="AM1573">
        <v>46.821455999999998</v>
      </c>
      <c r="AN1573" t="s">
        <v>3033</v>
      </c>
      <c r="AO1573">
        <v>-122.813351</v>
      </c>
      <c r="AP1573">
        <v>100</v>
      </c>
      <c r="AQ1573">
        <v>2000</v>
      </c>
      <c r="AR1573" t="s">
        <v>118</v>
      </c>
      <c r="AS1573">
        <v>-76</v>
      </c>
      <c r="AT1573">
        <v>20</v>
      </c>
      <c r="AU1573">
        <v>128</v>
      </c>
      <c r="BC1573">
        <v>1200</v>
      </c>
      <c r="BD1573">
        <v>1</v>
      </c>
      <c r="BE1573" t="str">
        <f t="shared" si="74"/>
        <v xml:space="preserve">N215T   </v>
      </c>
      <c r="BF1573">
        <v>1</v>
      </c>
      <c r="BH1573">
        <v>0</v>
      </c>
      <c r="BI1573">
        <v>0</v>
      </c>
      <c r="BJ1573">
        <v>0</v>
      </c>
      <c r="BK1573">
        <v>2400</v>
      </c>
      <c r="BL1573">
        <v>400</v>
      </c>
      <c r="BM1573" t="s">
        <v>119</v>
      </c>
      <c r="BN1573">
        <v>1</v>
      </c>
      <c r="BO1573">
        <v>1</v>
      </c>
      <c r="BP1573">
        <v>1</v>
      </c>
      <c r="BQ1573">
        <v>0</v>
      </c>
      <c r="BT1573">
        <v>0</v>
      </c>
      <c r="BU1573">
        <v>0</v>
      </c>
      <c r="BV1573">
        <v>0</v>
      </c>
      <c r="CC1573" t="str">
        <f>"19:01:01.047"</f>
        <v>19:01:01.047</v>
      </c>
      <c r="CD1573" t="str">
        <f>"043295750"</f>
        <v>043295750</v>
      </c>
      <c r="CQ1573">
        <v>0</v>
      </c>
      <c r="CR1573">
        <v>2</v>
      </c>
      <c r="CS1573">
        <v>0</v>
      </c>
      <c r="CT1573">
        <v>2</v>
      </c>
      <c r="CU1573">
        <v>0</v>
      </c>
      <c r="CV1573">
        <v>7</v>
      </c>
      <c r="CW1573" t="s">
        <v>120</v>
      </c>
      <c r="CX1573">
        <v>257</v>
      </c>
      <c r="CY1573">
        <v>1</v>
      </c>
      <c r="CZ1573" t="s">
        <v>615</v>
      </c>
      <c r="DA1573" t="s">
        <v>616</v>
      </c>
      <c r="DD1573">
        <v>11547834</v>
      </c>
      <c r="DE1573" t="s">
        <v>123</v>
      </c>
    </row>
    <row r="1574" spans="1:109" x14ac:dyDescent="0.3">
      <c r="A1574" t="str">
        <f>"19:01:02.164"</f>
        <v>19:01:02.164</v>
      </c>
      <c r="B1574" t="s">
        <v>110</v>
      </c>
      <c r="C1574" t="str">
        <f t="shared" si="72"/>
        <v>ffdfd3c0</v>
      </c>
      <c r="D1574" t="s">
        <v>111</v>
      </c>
      <c r="E1574">
        <v>18</v>
      </c>
      <c r="F1574">
        <v>1018</v>
      </c>
      <c r="G1574" t="s">
        <v>112</v>
      </c>
      <c r="J1574" t="s">
        <v>113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R1574" t="s">
        <v>114</v>
      </c>
      <c r="S1574" t="str">
        <f>"19:01:01.906"</f>
        <v>19:01:01.906</v>
      </c>
      <c r="T1574" t="str">
        <f>"19:01:01.609"</f>
        <v>19:01:01.609</v>
      </c>
      <c r="U1574" t="str">
        <f t="shared" si="73"/>
        <v>a1cdbe</v>
      </c>
      <c r="V1574">
        <v>0</v>
      </c>
      <c r="W1574">
        <v>0</v>
      </c>
      <c r="X1574">
        <v>1</v>
      </c>
      <c r="Y1574">
        <v>0</v>
      </c>
      <c r="Z1574">
        <v>0</v>
      </c>
      <c r="AB1574">
        <v>0</v>
      </c>
      <c r="AC1574">
        <v>9</v>
      </c>
      <c r="AD1574">
        <v>3</v>
      </c>
      <c r="AE1574">
        <v>0</v>
      </c>
      <c r="AF1574">
        <v>9</v>
      </c>
      <c r="AG1574" t="s">
        <v>158</v>
      </c>
      <c r="AH1574">
        <v>0</v>
      </c>
      <c r="AI1574">
        <v>3</v>
      </c>
      <c r="AJ1574">
        <v>1</v>
      </c>
      <c r="AK1574">
        <v>0</v>
      </c>
      <c r="AL1574" t="s">
        <v>3034</v>
      </c>
      <c r="AM1574">
        <v>46.821542000000001</v>
      </c>
      <c r="AN1574" t="s">
        <v>3035</v>
      </c>
      <c r="AO1574">
        <v>-122.813823</v>
      </c>
      <c r="AP1574">
        <v>100</v>
      </c>
      <c r="AQ1574">
        <v>2000</v>
      </c>
      <c r="AR1574" t="s">
        <v>118</v>
      </c>
      <c r="AS1574">
        <v>-76</v>
      </c>
      <c r="AT1574">
        <v>19</v>
      </c>
      <c r="AU1574">
        <v>256</v>
      </c>
      <c r="BC1574">
        <v>1200</v>
      </c>
      <c r="BD1574">
        <v>1</v>
      </c>
      <c r="BE1574" t="str">
        <f t="shared" si="74"/>
        <v xml:space="preserve">N215T   </v>
      </c>
      <c r="BF1574">
        <v>1</v>
      </c>
      <c r="BH1574">
        <v>0</v>
      </c>
      <c r="BI1574">
        <v>0</v>
      </c>
      <c r="BJ1574">
        <v>0</v>
      </c>
      <c r="BK1574">
        <v>2425</v>
      </c>
      <c r="BL1574">
        <v>425</v>
      </c>
      <c r="BM1574" t="s">
        <v>119</v>
      </c>
      <c r="BN1574">
        <v>1</v>
      </c>
      <c r="BO1574">
        <v>1</v>
      </c>
      <c r="BP1574">
        <v>1</v>
      </c>
      <c r="BQ1574">
        <v>0</v>
      </c>
      <c r="BT1574">
        <v>0</v>
      </c>
      <c r="BU1574">
        <v>0</v>
      </c>
      <c r="BV1574">
        <v>0</v>
      </c>
      <c r="CC1574" t="str">
        <f>"19:01:01.914"</f>
        <v>19:01:01.914</v>
      </c>
      <c r="CD1574" t="str">
        <f>"913209978"</f>
        <v>913209978</v>
      </c>
      <c r="CQ1574">
        <v>0</v>
      </c>
      <c r="CR1574">
        <v>2</v>
      </c>
      <c r="CS1574">
        <v>0</v>
      </c>
      <c r="CT1574">
        <v>2</v>
      </c>
      <c r="CU1574">
        <v>0</v>
      </c>
      <c r="CV1574">
        <v>7</v>
      </c>
      <c r="CW1574" t="s">
        <v>120</v>
      </c>
      <c r="CX1574">
        <v>257</v>
      </c>
      <c r="CY1574">
        <v>1</v>
      </c>
      <c r="CZ1574" t="s">
        <v>615</v>
      </c>
      <c r="DA1574" t="s">
        <v>616</v>
      </c>
      <c r="DD1574">
        <v>11548477</v>
      </c>
      <c r="DE1574" t="s">
        <v>123</v>
      </c>
    </row>
    <row r="1575" spans="1:109" x14ac:dyDescent="0.3">
      <c r="A1575" t="str">
        <f>"19:01:03.078"</f>
        <v>19:01:03.078</v>
      </c>
      <c r="B1575" t="s">
        <v>110</v>
      </c>
      <c r="C1575" t="str">
        <f t="shared" si="72"/>
        <v>ffdfd3c0</v>
      </c>
      <c r="D1575" t="s">
        <v>111</v>
      </c>
      <c r="E1575">
        <v>18</v>
      </c>
      <c r="F1575">
        <v>1018</v>
      </c>
      <c r="G1575" t="s">
        <v>112</v>
      </c>
      <c r="J1575" t="s">
        <v>113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R1575" t="s">
        <v>114</v>
      </c>
      <c r="S1575" t="str">
        <f>"19:01:02.867"</f>
        <v>19:01:02.867</v>
      </c>
      <c r="T1575" t="str">
        <f>"19:01:02.570"</f>
        <v>19:01:02.570</v>
      </c>
      <c r="U1575" t="str">
        <f t="shared" si="73"/>
        <v>a1cdbe</v>
      </c>
      <c r="V1575">
        <v>0</v>
      </c>
      <c r="W1575">
        <v>0</v>
      </c>
      <c r="X1575">
        <v>1</v>
      </c>
      <c r="Y1575">
        <v>0</v>
      </c>
      <c r="Z1575">
        <v>0</v>
      </c>
      <c r="AB1575">
        <v>0</v>
      </c>
      <c r="AC1575">
        <v>9</v>
      </c>
      <c r="AD1575">
        <v>3</v>
      </c>
      <c r="AE1575">
        <v>0</v>
      </c>
      <c r="AF1575">
        <v>9</v>
      </c>
      <c r="AG1575" t="s">
        <v>158</v>
      </c>
      <c r="AH1575">
        <v>0</v>
      </c>
      <c r="AI1575">
        <v>3</v>
      </c>
      <c r="AJ1575">
        <v>1</v>
      </c>
      <c r="AK1575">
        <v>0</v>
      </c>
      <c r="AL1575" t="s">
        <v>3036</v>
      </c>
      <c r="AM1575">
        <v>46.821627999999997</v>
      </c>
      <c r="AN1575" t="s">
        <v>3037</v>
      </c>
      <c r="AO1575">
        <v>-122.814295</v>
      </c>
      <c r="AP1575">
        <v>100</v>
      </c>
      <c r="AQ1575">
        <v>2000</v>
      </c>
      <c r="AR1575" t="s">
        <v>118</v>
      </c>
      <c r="AS1575">
        <v>-76</v>
      </c>
      <c r="AT1575">
        <v>19</v>
      </c>
      <c r="AU1575">
        <v>256</v>
      </c>
      <c r="BC1575">
        <v>1200</v>
      </c>
      <c r="BD1575">
        <v>1</v>
      </c>
      <c r="BE1575" t="str">
        <f t="shared" si="74"/>
        <v xml:space="preserve">N215T   </v>
      </c>
      <c r="BF1575">
        <v>1</v>
      </c>
      <c r="BH1575">
        <v>0</v>
      </c>
      <c r="BI1575">
        <v>0</v>
      </c>
      <c r="BJ1575">
        <v>0</v>
      </c>
      <c r="BK1575">
        <v>2425</v>
      </c>
      <c r="BL1575">
        <v>425</v>
      </c>
      <c r="BM1575" t="s">
        <v>119</v>
      </c>
      <c r="BN1575">
        <v>1</v>
      </c>
      <c r="BO1575">
        <v>1</v>
      </c>
      <c r="BP1575">
        <v>1</v>
      </c>
      <c r="BQ1575">
        <v>0</v>
      </c>
      <c r="BT1575">
        <v>0</v>
      </c>
      <c r="BU1575">
        <v>0</v>
      </c>
      <c r="BV1575">
        <v>0</v>
      </c>
      <c r="CC1575" t="str">
        <f>"19:01:02.875"</f>
        <v>19:01:02.875</v>
      </c>
      <c r="CD1575" t="str">
        <f>"873071557"</f>
        <v>873071557</v>
      </c>
      <c r="CQ1575">
        <v>0</v>
      </c>
      <c r="CR1575">
        <v>2</v>
      </c>
      <c r="CS1575">
        <v>0</v>
      </c>
      <c r="CT1575">
        <v>2</v>
      </c>
      <c r="CU1575">
        <v>0</v>
      </c>
      <c r="CV1575">
        <v>7</v>
      </c>
      <c r="CW1575" t="s">
        <v>120</v>
      </c>
      <c r="CX1575">
        <v>261</v>
      </c>
      <c r="CY1575">
        <v>2</v>
      </c>
      <c r="CZ1575" t="s">
        <v>121</v>
      </c>
      <c r="DA1575" t="s">
        <v>122</v>
      </c>
      <c r="DD1575">
        <v>15170130</v>
      </c>
      <c r="DE1575" t="s">
        <v>123</v>
      </c>
    </row>
    <row r="1576" spans="1:109" x14ac:dyDescent="0.3">
      <c r="A1576" t="str">
        <f>"19:01:04.281"</f>
        <v>19:01:04.281</v>
      </c>
      <c r="B1576" t="s">
        <v>110</v>
      </c>
      <c r="C1576" t="str">
        <f t="shared" si="72"/>
        <v>ffdfd3c0</v>
      </c>
      <c r="D1576" t="s">
        <v>111</v>
      </c>
      <c r="E1576">
        <v>18</v>
      </c>
      <c r="F1576">
        <v>1018</v>
      </c>
      <c r="G1576" t="s">
        <v>112</v>
      </c>
      <c r="J1576" t="s">
        <v>113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R1576" t="s">
        <v>114</v>
      </c>
      <c r="S1576" t="str">
        <f>"19:01:04.055"</f>
        <v>19:01:04.055</v>
      </c>
      <c r="T1576" t="str">
        <f>"19:01:04.055"</f>
        <v>19:01:04.055</v>
      </c>
      <c r="U1576" t="str">
        <f t="shared" si="73"/>
        <v>a1cdbe</v>
      </c>
      <c r="V1576">
        <v>0</v>
      </c>
      <c r="W1576">
        <v>0</v>
      </c>
      <c r="X1576">
        <v>1</v>
      </c>
      <c r="Y1576">
        <v>0</v>
      </c>
      <c r="Z1576">
        <v>0</v>
      </c>
      <c r="AB1576">
        <v>0</v>
      </c>
      <c r="AC1576">
        <v>9</v>
      </c>
      <c r="AD1576">
        <v>3</v>
      </c>
      <c r="AE1576">
        <v>0</v>
      </c>
      <c r="AF1576">
        <v>9</v>
      </c>
      <c r="AG1576" t="s">
        <v>158</v>
      </c>
      <c r="AH1576">
        <v>0</v>
      </c>
      <c r="AI1576">
        <v>3</v>
      </c>
      <c r="AJ1576">
        <v>1</v>
      </c>
      <c r="AK1576">
        <v>0</v>
      </c>
      <c r="AL1576" t="s">
        <v>3038</v>
      </c>
      <c r="AM1576">
        <v>46.821713000000003</v>
      </c>
      <c r="AN1576" t="s">
        <v>3039</v>
      </c>
      <c r="AO1576">
        <v>-122.814896</v>
      </c>
      <c r="AP1576">
        <v>100</v>
      </c>
      <c r="AQ1576">
        <v>2000</v>
      </c>
      <c r="AR1576" t="s">
        <v>118</v>
      </c>
      <c r="AS1576">
        <v>-76</v>
      </c>
      <c r="AT1576">
        <v>19</v>
      </c>
      <c r="AU1576">
        <v>256</v>
      </c>
      <c r="BC1576">
        <v>1200</v>
      </c>
      <c r="BD1576">
        <v>1</v>
      </c>
      <c r="BE1576" t="str">
        <f t="shared" si="74"/>
        <v xml:space="preserve">N215T   </v>
      </c>
      <c r="BF1576">
        <v>1</v>
      </c>
      <c r="BH1576">
        <v>0</v>
      </c>
      <c r="BI1576">
        <v>0</v>
      </c>
      <c r="BJ1576">
        <v>0</v>
      </c>
      <c r="BK1576">
        <v>2425</v>
      </c>
      <c r="BL1576">
        <v>425</v>
      </c>
      <c r="BM1576" t="s">
        <v>119</v>
      </c>
      <c r="BN1576">
        <v>1</v>
      </c>
      <c r="BO1576">
        <v>1</v>
      </c>
      <c r="BP1576">
        <v>1</v>
      </c>
      <c r="BQ1576">
        <v>0</v>
      </c>
      <c r="BT1576">
        <v>0</v>
      </c>
      <c r="BU1576">
        <v>0</v>
      </c>
      <c r="BV1576">
        <v>0</v>
      </c>
      <c r="CC1576" t="str">
        <f>"19:01:04.055"</f>
        <v>19:01:04.055</v>
      </c>
      <c r="CD1576" t="str">
        <f>"057998542"</f>
        <v>057998542</v>
      </c>
      <c r="CQ1576">
        <v>0</v>
      </c>
      <c r="CR1576">
        <v>2</v>
      </c>
      <c r="CS1576">
        <v>0</v>
      </c>
      <c r="CT1576">
        <v>2</v>
      </c>
      <c r="CU1576">
        <v>0</v>
      </c>
      <c r="CV1576">
        <v>7</v>
      </c>
      <c r="CW1576" t="s">
        <v>120</v>
      </c>
      <c r="CX1576">
        <v>257</v>
      </c>
      <c r="CY1576">
        <v>1</v>
      </c>
      <c r="CZ1576" t="s">
        <v>615</v>
      </c>
      <c r="DA1576" t="s">
        <v>616</v>
      </c>
      <c r="DD1576">
        <v>11550010</v>
      </c>
      <c r="DE1576" t="s">
        <v>123</v>
      </c>
    </row>
    <row r="1577" spans="1:109" x14ac:dyDescent="0.3">
      <c r="A1577" t="str">
        <f>"19:01:05.289"</f>
        <v>19:01:05.289</v>
      </c>
      <c r="B1577" t="s">
        <v>110</v>
      </c>
      <c r="C1577" t="str">
        <f t="shared" si="72"/>
        <v>ffdfd3c0</v>
      </c>
      <c r="D1577" t="s">
        <v>111</v>
      </c>
      <c r="E1577">
        <v>18</v>
      </c>
      <c r="F1577">
        <v>1018</v>
      </c>
      <c r="G1577" t="s">
        <v>112</v>
      </c>
      <c r="J1577" t="s">
        <v>113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R1577" t="s">
        <v>114</v>
      </c>
      <c r="S1577" t="str">
        <f>"19:01:05.047"</f>
        <v>19:01:05.047</v>
      </c>
      <c r="T1577" t="str">
        <f>"19:01:05.047"</f>
        <v>19:01:05.047</v>
      </c>
      <c r="U1577" t="str">
        <f t="shared" si="73"/>
        <v>a1cdbe</v>
      </c>
      <c r="V1577">
        <v>0</v>
      </c>
      <c r="W1577">
        <v>0</v>
      </c>
      <c r="X1577">
        <v>1</v>
      </c>
      <c r="Y1577">
        <v>0</v>
      </c>
      <c r="Z1577">
        <v>0</v>
      </c>
      <c r="AB1577">
        <v>0</v>
      </c>
      <c r="AC1577">
        <v>9</v>
      </c>
      <c r="AD1577">
        <v>3</v>
      </c>
      <c r="AE1577">
        <v>0</v>
      </c>
      <c r="AF1577">
        <v>9</v>
      </c>
      <c r="AG1577" t="s">
        <v>158</v>
      </c>
      <c r="AH1577">
        <v>0</v>
      </c>
      <c r="AI1577">
        <v>3</v>
      </c>
      <c r="AJ1577">
        <v>1</v>
      </c>
      <c r="AK1577">
        <v>0</v>
      </c>
      <c r="AL1577" t="s">
        <v>2479</v>
      </c>
      <c r="AM1577">
        <v>46.821821</v>
      </c>
      <c r="AN1577" t="s">
        <v>3040</v>
      </c>
      <c r="AO1577">
        <v>-122.815411</v>
      </c>
      <c r="AP1577">
        <v>100</v>
      </c>
      <c r="AQ1577">
        <v>2000</v>
      </c>
      <c r="AR1577" t="s">
        <v>118</v>
      </c>
      <c r="AS1577">
        <v>-76</v>
      </c>
      <c r="AT1577">
        <v>19</v>
      </c>
      <c r="AU1577">
        <v>192</v>
      </c>
      <c r="BC1577">
        <v>1200</v>
      </c>
      <c r="BD1577">
        <v>1</v>
      </c>
      <c r="BE1577" t="str">
        <f t="shared" si="74"/>
        <v xml:space="preserve">N215T   </v>
      </c>
      <c r="BF1577">
        <v>1</v>
      </c>
      <c r="BH1577">
        <v>0</v>
      </c>
      <c r="BI1577">
        <v>0</v>
      </c>
      <c r="BJ1577">
        <v>0</v>
      </c>
      <c r="BK1577">
        <v>2425</v>
      </c>
      <c r="BL1577">
        <v>425</v>
      </c>
      <c r="BM1577" t="s">
        <v>119</v>
      </c>
      <c r="BN1577">
        <v>1</v>
      </c>
      <c r="BO1577">
        <v>1</v>
      </c>
      <c r="BP1577">
        <v>1</v>
      </c>
      <c r="BQ1577">
        <v>0</v>
      </c>
      <c r="BT1577">
        <v>0</v>
      </c>
      <c r="BU1577">
        <v>0</v>
      </c>
      <c r="BV1577">
        <v>0</v>
      </c>
      <c r="CC1577" t="str">
        <f>"19:01:05.047"</f>
        <v>19:01:05.047</v>
      </c>
      <c r="CD1577" t="str">
        <f>"047900945"</f>
        <v>047900945</v>
      </c>
      <c r="CQ1577">
        <v>0</v>
      </c>
      <c r="CR1577">
        <v>2</v>
      </c>
      <c r="CS1577">
        <v>0</v>
      </c>
      <c r="CT1577">
        <v>2</v>
      </c>
      <c r="CU1577">
        <v>0</v>
      </c>
      <c r="CV1577">
        <v>7</v>
      </c>
      <c r="CW1577" t="s">
        <v>120</v>
      </c>
      <c r="CX1577">
        <v>257</v>
      </c>
      <c r="CY1577">
        <v>1</v>
      </c>
      <c r="CZ1577" t="s">
        <v>615</v>
      </c>
      <c r="DA1577" t="s">
        <v>616</v>
      </c>
      <c r="DD1577">
        <v>11550716</v>
      </c>
      <c r="DE1577" t="s">
        <v>123</v>
      </c>
    </row>
    <row r="1578" spans="1:109" x14ac:dyDescent="0.3">
      <c r="A1578" t="str">
        <f>"19:01:06.344"</f>
        <v>19:01:06.344</v>
      </c>
      <c r="B1578" t="s">
        <v>110</v>
      </c>
      <c r="C1578" t="str">
        <f t="shared" si="72"/>
        <v>ffdfd3c0</v>
      </c>
      <c r="D1578" t="s">
        <v>111</v>
      </c>
      <c r="E1578">
        <v>18</v>
      </c>
      <c r="F1578">
        <v>1018</v>
      </c>
      <c r="G1578" t="s">
        <v>112</v>
      </c>
      <c r="J1578" t="s">
        <v>113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R1578" t="s">
        <v>114</v>
      </c>
      <c r="S1578" t="str">
        <f>"19:01:06.109"</f>
        <v>19:01:06.109</v>
      </c>
      <c r="T1578" t="str">
        <f>"19:01:06.008"</f>
        <v>19:01:06.008</v>
      </c>
      <c r="U1578" t="str">
        <f t="shared" si="73"/>
        <v>a1cdbe</v>
      </c>
      <c r="V1578">
        <v>0</v>
      </c>
      <c r="W1578">
        <v>0</v>
      </c>
      <c r="X1578">
        <v>1</v>
      </c>
      <c r="Y1578">
        <v>0</v>
      </c>
      <c r="Z1578">
        <v>0</v>
      </c>
      <c r="AB1578">
        <v>0</v>
      </c>
      <c r="AC1578">
        <v>9</v>
      </c>
      <c r="AD1578">
        <v>3</v>
      </c>
      <c r="AE1578">
        <v>0</v>
      </c>
      <c r="AF1578">
        <v>9</v>
      </c>
      <c r="AG1578" t="s">
        <v>158</v>
      </c>
      <c r="AH1578">
        <v>0</v>
      </c>
      <c r="AI1578">
        <v>3</v>
      </c>
      <c r="AJ1578">
        <v>1</v>
      </c>
      <c r="AK1578">
        <v>0</v>
      </c>
      <c r="AL1578" t="s">
        <v>3041</v>
      </c>
      <c r="AM1578">
        <v>46.821907000000003</v>
      </c>
      <c r="AN1578" t="s">
        <v>3042</v>
      </c>
      <c r="AO1578">
        <v>-122.815969</v>
      </c>
      <c r="AP1578">
        <v>100</v>
      </c>
      <c r="AQ1578">
        <v>2000</v>
      </c>
      <c r="AR1578" t="s">
        <v>118</v>
      </c>
      <c r="AS1578">
        <v>-76</v>
      </c>
      <c r="AT1578">
        <v>20</v>
      </c>
      <c r="AU1578">
        <v>192</v>
      </c>
      <c r="BC1578">
        <v>1200</v>
      </c>
      <c r="BD1578">
        <v>1</v>
      </c>
      <c r="BE1578" t="str">
        <f t="shared" si="74"/>
        <v xml:space="preserve">N215T   </v>
      </c>
      <c r="BF1578">
        <v>1</v>
      </c>
      <c r="BH1578">
        <v>0</v>
      </c>
      <c r="BI1578">
        <v>0</v>
      </c>
      <c r="BJ1578">
        <v>0</v>
      </c>
      <c r="BK1578">
        <v>2425</v>
      </c>
      <c r="BL1578">
        <v>425</v>
      </c>
      <c r="BM1578" t="s">
        <v>119</v>
      </c>
      <c r="BN1578">
        <v>1</v>
      </c>
      <c r="BO1578">
        <v>1</v>
      </c>
      <c r="BP1578">
        <v>1</v>
      </c>
      <c r="BQ1578">
        <v>0</v>
      </c>
      <c r="BT1578">
        <v>0</v>
      </c>
      <c r="BU1578">
        <v>0</v>
      </c>
      <c r="BV1578">
        <v>0</v>
      </c>
      <c r="CC1578" t="str">
        <f>"19:01:06.109"</f>
        <v>19:01:06.109</v>
      </c>
      <c r="CD1578" t="str">
        <f>"112795961"</f>
        <v>112795961</v>
      </c>
      <c r="CQ1578">
        <v>0</v>
      </c>
      <c r="CR1578">
        <v>2</v>
      </c>
      <c r="CS1578">
        <v>0</v>
      </c>
      <c r="CT1578">
        <v>2</v>
      </c>
      <c r="CU1578">
        <v>0</v>
      </c>
      <c r="CV1578">
        <v>7</v>
      </c>
      <c r="CW1578" t="s">
        <v>120</v>
      </c>
      <c r="CX1578">
        <v>257</v>
      </c>
      <c r="CY1578">
        <v>1</v>
      </c>
      <c r="CZ1578" t="s">
        <v>615</v>
      </c>
      <c r="DA1578" t="s">
        <v>616</v>
      </c>
      <c r="DD1578">
        <v>11551505</v>
      </c>
      <c r="DE1578" t="s">
        <v>123</v>
      </c>
    </row>
    <row r="1579" spans="1:109" x14ac:dyDescent="0.3">
      <c r="A1579" t="str">
        <f>"19:01:07.297"</f>
        <v>19:01:07.297</v>
      </c>
      <c r="B1579" t="s">
        <v>110</v>
      </c>
      <c r="C1579" t="str">
        <f t="shared" si="72"/>
        <v>ffdfd3c0</v>
      </c>
      <c r="D1579" t="s">
        <v>111</v>
      </c>
      <c r="E1579">
        <v>18</v>
      </c>
      <c r="F1579">
        <v>1018</v>
      </c>
      <c r="G1579" t="s">
        <v>112</v>
      </c>
      <c r="J1579" t="s">
        <v>113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R1579" t="s">
        <v>114</v>
      </c>
      <c r="S1579" t="str">
        <f>"19:01:07.070"</f>
        <v>19:01:07.070</v>
      </c>
      <c r="T1579" t="str">
        <f>"19:01:06.570"</f>
        <v>19:01:06.570</v>
      </c>
      <c r="U1579" t="str">
        <f t="shared" si="73"/>
        <v>a1cdbe</v>
      </c>
      <c r="V1579">
        <v>0</v>
      </c>
      <c r="W1579">
        <v>0</v>
      </c>
      <c r="X1579">
        <v>1</v>
      </c>
      <c r="Y1579">
        <v>0</v>
      </c>
      <c r="Z1579">
        <v>0</v>
      </c>
      <c r="AB1579">
        <v>0</v>
      </c>
      <c r="AC1579">
        <v>9</v>
      </c>
      <c r="AD1579">
        <v>3</v>
      </c>
      <c r="AE1579">
        <v>0</v>
      </c>
      <c r="AF1579">
        <v>9</v>
      </c>
      <c r="AG1579" t="s">
        <v>158</v>
      </c>
      <c r="AH1579">
        <v>0</v>
      </c>
      <c r="AI1579">
        <v>3</v>
      </c>
      <c r="AJ1579">
        <v>1</v>
      </c>
      <c r="AK1579">
        <v>0</v>
      </c>
      <c r="AL1579" t="s">
        <v>3043</v>
      </c>
      <c r="AM1579">
        <v>46.822014000000003</v>
      </c>
      <c r="AN1579" t="s">
        <v>3044</v>
      </c>
      <c r="AO1579">
        <v>-122.816441</v>
      </c>
      <c r="AP1579">
        <v>100</v>
      </c>
      <c r="AQ1579">
        <v>2000</v>
      </c>
      <c r="AR1579" t="s">
        <v>118</v>
      </c>
      <c r="AS1579">
        <v>-76</v>
      </c>
      <c r="AT1579">
        <v>20</v>
      </c>
      <c r="AU1579">
        <v>128</v>
      </c>
      <c r="BC1579">
        <v>1200</v>
      </c>
      <c r="BD1579">
        <v>1</v>
      </c>
      <c r="BE1579" t="str">
        <f t="shared" si="74"/>
        <v xml:space="preserve">N215T   </v>
      </c>
      <c r="BF1579">
        <v>1</v>
      </c>
      <c r="BH1579">
        <v>0</v>
      </c>
      <c r="BI1579">
        <v>0</v>
      </c>
      <c r="BJ1579">
        <v>0</v>
      </c>
      <c r="BK1579">
        <v>2425</v>
      </c>
      <c r="BL1579">
        <v>425</v>
      </c>
      <c r="BM1579" t="s">
        <v>119</v>
      </c>
      <c r="BN1579">
        <v>1</v>
      </c>
      <c r="BO1579">
        <v>1</v>
      </c>
      <c r="BP1579">
        <v>1</v>
      </c>
      <c r="BQ1579">
        <v>0</v>
      </c>
      <c r="BT1579">
        <v>0</v>
      </c>
      <c r="BU1579">
        <v>0</v>
      </c>
      <c r="BV1579">
        <v>0</v>
      </c>
      <c r="CC1579" t="str">
        <f>"19:01:07.070"</f>
        <v>19:01:07.070</v>
      </c>
      <c r="CD1579" t="str">
        <f>"072701322"</f>
        <v>072701322</v>
      </c>
      <c r="CQ1579">
        <v>0</v>
      </c>
      <c r="CR1579">
        <v>2</v>
      </c>
      <c r="CS1579">
        <v>0</v>
      </c>
      <c r="CT1579">
        <v>2</v>
      </c>
      <c r="CU1579">
        <v>0</v>
      </c>
      <c r="CV1579">
        <v>7</v>
      </c>
      <c r="CW1579" t="s">
        <v>120</v>
      </c>
      <c r="CX1579">
        <v>257</v>
      </c>
      <c r="CY1579">
        <v>1</v>
      </c>
      <c r="CZ1579" t="s">
        <v>615</v>
      </c>
      <c r="DA1579" t="s">
        <v>616</v>
      </c>
      <c r="DD1579">
        <v>11552289</v>
      </c>
      <c r="DE1579" t="s">
        <v>123</v>
      </c>
    </row>
    <row r="1580" spans="1:109" x14ac:dyDescent="0.3">
      <c r="A1580" t="str">
        <f>"19:01:08.352"</f>
        <v>19:01:08.352</v>
      </c>
      <c r="B1580" t="s">
        <v>110</v>
      </c>
      <c r="C1580" t="str">
        <f t="shared" si="72"/>
        <v>ffdfd3c0</v>
      </c>
      <c r="D1580" t="s">
        <v>111</v>
      </c>
      <c r="E1580">
        <v>18</v>
      </c>
      <c r="F1580">
        <v>1018</v>
      </c>
      <c r="G1580" t="s">
        <v>112</v>
      </c>
      <c r="J1580" t="s">
        <v>113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R1580" t="s">
        <v>114</v>
      </c>
      <c r="S1580" t="str">
        <f>"19:01:08.102"</f>
        <v>19:01:08.102</v>
      </c>
      <c r="T1580" t="str">
        <f>"19:01:08.102"</f>
        <v>19:01:08.102</v>
      </c>
      <c r="U1580" t="str">
        <f t="shared" si="73"/>
        <v>a1cdbe</v>
      </c>
      <c r="V1580">
        <v>0</v>
      </c>
      <c r="W1580">
        <v>0</v>
      </c>
      <c r="X1580">
        <v>1</v>
      </c>
      <c r="Y1580">
        <v>0</v>
      </c>
      <c r="Z1580">
        <v>0</v>
      </c>
      <c r="AB1580">
        <v>0</v>
      </c>
      <c r="AC1580">
        <v>9</v>
      </c>
      <c r="AD1580">
        <v>3</v>
      </c>
      <c r="AE1580">
        <v>0</v>
      </c>
      <c r="AF1580">
        <v>9</v>
      </c>
      <c r="AG1580" t="s">
        <v>158</v>
      </c>
      <c r="AH1580">
        <v>0</v>
      </c>
      <c r="AI1580">
        <v>3</v>
      </c>
      <c r="AJ1580">
        <v>1</v>
      </c>
      <c r="AK1580">
        <v>0</v>
      </c>
      <c r="AL1580" t="s">
        <v>3045</v>
      </c>
      <c r="AM1580">
        <v>46.822077999999998</v>
      </c>
      <c r="AN1580" t="s">
        <v>3046</v>
      </c>
      <c r="AO1580">
        <v>-122.816956</v>
      </c>
      <c r="AP1580">
        <v>100</v>
      </c>
      <c r="AQ1580">
        <v>2100</v>
      </c>
      <c r="AR1580" t="s">
        <v>118</v>
      </c>
      <c r="AS1580">
        <v>-76</v>
      </c>
      <c r="AT1580">
        <v>21</v>
      </c>
      <c r="AU1580">
        <v>192</v>
      </c>
      <c r="BC1580">
        <v>1200</v>
      </c>
      <c r="BD1580">
        <v>1</v>
      </c>
      <c r="BE1580" t="str">
        <f t="shared" si="74"/>
        <v xml:space="preserve">N215T   </v>
      </c>
      <c r="BF1580">
        <v>1</v>
      </c>
      <c r="BH1580">
        <v>0</v>
      </c>
      <c r="BI1580">
        <v>0</v>
      </c>
      <c r="BJ1580">
        <v>0</v>
      </c>
      <c r="BK1580">
        <v>2325</v>
      </c>
      <c r="BL1580">
        <v>225</v>
      </c>
      <c r="BM1580" t="s">
        <v>119</v>
      </c>
      <c r="BN1580">
        <v>1</v>
      </c>
      <c r="BO1580">
        <v>1</v>
      </c>
      <c r="BP1580">
        <v>1</v>
      </c>
      <c r="BQ1580">
        <v>0</v>
      </c>
      <c r="BT1580">
        <v>0</v>
      </c>
      <c r="BU1580">
        <v>0</v>
      </c>
      <c r="BV1580">
        <v>0</v>
      </c>
      <c r="CC1580" t="str">
        <f>"19:01:08.109"</f>
        <v>19:01:08.109</v>
      </c>
      <c r="CD1580" t="str">
        <f>"107555870"</f>
        <v>107555870</v>
      </c>
      <c r="CQ1580">
        <v>0</v>
      </c>
      <c r="CR1580">
        <v>2</v>
      </c>
      <c r="CS1580">
        <v>0</v>
      </c>
      <c r="CT1580">
        <v>2</v>
      </c>
      <c r="CU1580">
        <v>0</v>
      </c>
      <c r="CV1580">
        <v>7</v>
      </c>
      <c r="CW1580" t="s">
        <v>120</v>
      </c>
      <c r="CX1580">
        <v>261</v>
      </c>
      <c r="CY1580">
        <v>2</v>
      </c>
      <c r="CZ1580" t="s">
        <v>121</v>
      </c>
      <c r="DA1580" t="s">
        <v>122</v>
      </c>
      <c r="DD1580">
        <v>15173577</v>
      </c>
      <c r="DE1580" t="s">
        <v>123</v>
      </c>
    </row>
    <row r="1581" spans="1:109" x14ac:dyDescent="0.3">
      <c r="A1581" t="str">
        <f>"19:01:09.406"</f>
        <v>19:01:09.406</v>
      </c>
      <c r="B1581" t="s">
        <v>110</v>
      </c>
      <c r="C1581" t="str">
        <f t="shared" si="72"/>
        <v>ffdfd3c0</v>
      </c>
      <c r="D1581" t="s">
        <v>111</v>
      </c>
      <c r="E1581">
        <v>18</v>
      </c>
      <c r="F1581">
        <v>1018</v>
      </c>
      <c r="G1581" t="s">
        <v>112</v>
      </c>
      <c r="J1581" t="s">
        <v>113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R1581" t="s">
        <v>114</v>
      </c>
      <c r="S1581" t="str">
        <f>"19:01:09.180"</f>
        <v>19:01:09.180</v>
      </c>
      <c r="T1581" t="str">
        <f>"19:01:09.078"</f>
        <v>19:01:09.078</v>
      </c>
      <c r="U1581" t="str">
        <f t="shared" si="73"/>
        <v>a1cdbe</v>
      </c>
      <c r="V1581">
        <v>0</v>
      </c>
      <c r="W1581">
        <v>0</v>
      </c>
      <c r="X1581">
        <v>1</v>
      </c>
      <c r="Y1581">
        <v>0</v>
      </c>
      <c r="Z1581">
        <v>0</v>
      </c>
      <c r="AB1581">
        <v>0</v>
      </c>
      <c r="AC1581">
        <v>9</v>
      </c>
      <c r="AD1581">
        <v>3</v>
      </c>
      <c r="AE1581">
        <v>0</v>
      </c>
      <c r="AF1581">
        <v>9</v>
      </c>
      <c r="AG1581" t="s">
        <v>158</v>
      </c>
      <c r="AH1581">
        <v>0</v>
      </c>
      <c r="AI1581">
        <v>3</v>
      </c>
      <c r="AJ1581">
        <v>1</v>
      </c>
      <c r="AK1581">
        <v>0</v>
      </c>
      <c r="AL1581" t="s">
        <v>3047</v>
      </c>
      <c r="AM1581">
        <v>46.822228000000003</v>
      </c>
      <c r="AN1581" t="s">
        <v>3048</v>
      </c>
      <c r="AO1581">
        <v>-122.817492</v>
      </c>
      <c r="AP1581">
        <v>100</v>
      </c>
      <c r="AQ1581">
        <v>2100</v>
      </c>
      <c r="AR1581" t="s">
        <v>118</v>
      </c>
      <c r="AS1581">
        <v>-75</v>
      </c>
      <c r="AT1581">
        <v>22</v>
      </c>
      <c r="AU1581">
        <v>0</v>
      </c>
      <c r="BC1581">
        <v>1200</v>
      </c>
      <c r="BD1581">
        <v>1</v>
      </c>
      <c r="BE1581" t="str">
        <f t="shared" si="74"/>
        <v xml:space="preserve">N215T   </v>
      </c>
      <c r="BF1581">
        <v>1</v>
      </c>
      <c r="BH1581">
        <v>0</v>
      </c>
      <c r="BI1581">
        <v>0</v>
      </c>
      <c r="BJ1581">
        <v>0</v>
      </c>
      <c r="BK1581">
        <v>2425</v>
      </c>
      <c r="BL1581">
        <v>325</v>
      </c>
      <c r="BM1581" t="s">
        <v>119</v>
      </c>
      <c r="BN1581">
        <v>1</v>
      </c>
      <c r="BO1581">
        <v>1</v>
      </c>
      <c r="BP1581">
        <v>1</v>
      </c>
      <c r="BQ1581">
        <v>0</v>
      </c>
      <c r="BT1581">
        <v>0</v>
      </c>
      <c r="BU1581">
        <v>0</v>
      </c>
      <c r="BV1581">
        <v>0</v>
      </c>
      <c r="CC1581" t="str">
        <f>"19:01:09.188"</f>
        <v>19:01:09.188</v>
      </c>
      <c r="CD1581" t="str">
        <f>"187492846"</f>
        <v>187492846</v>
      </c>
      <c r="CQ1581">
        <v>0</v>
      </c>
      <c r="CR1581">
        <v>2</v>
      </c>
      <c r="CS1581">
        <v>0</v>
      </c>
      <c r="CT1581">
        <v>2</v>
      </c>
      <c r="CU1581">
        <v>0</v>
      </c>
      <c r="CV1581">
        <v>7</v>
      </c>
      <c r="CW1581" t="s">
        <v>120</v>
      </c>
      <c r="CX1581">
        <v>257</v>
      </c>
      <c r="CY1581">
        <v>1</v>
      </c>
      <c r="CZ1581" t="s">
        <v>615</v>
      </c>
      <c r="DA1581" t="s">
        <v>616</v>
      </c>
      <c r="DD1581">
        <v>11553876</v>
      </c>
      <c r="DE1581" t="s">
        <v>123</v>
      </c>
    </row>
    <row r="1582" spans="1:109" x14ac:dyDescent="0.3">
      <c r="A1582" t="str">
        <f>"19:01:10.359"</f>
        <v>19:01:10.359</v>
      </c>
      <c r="B1582" t="s">
        <v>110</v>
      </c>
      <c r="C1582" t="str">
        <f t="shared" si="72"/>
        <v>ffdfd3c0</v>
      </c>
      <c r="D1582" t="s">
        <v>111</v>
      </c>
      <c r="E1582">
        <v>18</v>
      </c>
      <c r="F1582">
        <v>1018</v>
      </c>
      <c r="G1582" t="s">
        <v>112</v>
      </c>
      <c r="J1582" t="s">
        <v>113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R1582" t="s">
        <v>114</v>
      </c>
      <c r="S1582" t="str">
        <f>"19:01:10.156"</f>
        <v>19:01:10.156</v>
      </c>
      <c r="T1582" t="str">
        <f>"19:01:09.953"</f>
        <v>19:01:09.953</v>
      </c>
      <c r="U1582" t="str">
        <f t="shared" si="73"/>
        <v>a1cdbe</v>
      </c>
      <c r="V1582">
        <v>0</v>
      </c>
      <c r="W1582">
        <v>0</v>
      </c>
      <c r="X1582">
        <v>1</v>
      </c>
      <c r="Y1582">
        <v>0</v>
      </c>
      <c r="Z1582">
        <v>0</v>
      </c>
      <c r="AB1582">
        <v>0</v>
      </c>
      <c r="AC1582">
        <v>9</v>
      </c>
      <c r="AD1582">
        <v>3</v>
      </c>
      <c r="AE1582">
        <v>0</v>
      </c>
      <c r="AF1582">
        <v>9</v>
      </c>
      <c r="AG1582" t="s">
        <v>158</v>
      </c>
      <c r="AH1582">
        <v>0</v>
      </c>
      <c r="AI1582">
        <v>3</v>
      </c>
      <c r="AJ1582">
        <v>1</v>
      </c>
      <c r="AK1582">
        <v>0</v>
      </c>
      <c r="AL1582" t="s">
        <v>3049</v>
      </c>
      <c r="AM1582">
        <v>46.822293000000002</v>
      </c>
      <c r="AN1582" t="s">
        <v>3050</v>
      </c>
      <c r="AO1582">
        <v>-122.81800699999999</v>
      </c>
      <c r="AP1582">
        <v>100</v>
      </c>
      <c r="AQ1582">
        <v>2100</v>
      </c>
      <c r="AR1582" t="s">
        <v>118</v>
      </c>
      <c r="AS1582">
        <v>-76</v>
      </c>
      <c r="AT1582">
        <v>22</v>
      </c>
      <c r="AU1582">
        <v>0</v>
      </c>
      <c r="BC1582">
        <v>1200</v>
      </c>
      <c r="BD1582">
        <v>1</v>
      </c>
      <c r="BE1582" t="str">
        <f t="shared" si="74"/>
        <v xml:space="preserve">N215T   </v>
      </c>
      <c r="BF1582">
        <v>1</v>
      </c>
      <c r="BH1582">
        <v>0</v>
      </c>
      <c r="BI1582">
        <v>0</v>
      </c>
      <c r="BJ1582">
        <v>0</v>
      </c>
      <c r="BK1582">
        <v>2425</v>
      </c>
      <c r="BL1582">
        <v>325</v>
      </c>
      <c r="BM1582" t="s">
        <v>119</v>
      </c>
      <c r="BN1582">
        <v>1</v>
      </c>
      <c r="BO1582">
        <v>1</v>
      </c>
      <c r="BP1582">
        <v>1</v>
      </c>
      <c r="BQ1582">
        <v>0</v>
      </c>
      <c r="BT1582">
        <v>0</v>
      </c>
      <c r="BU1582">
        <v>0</v>
      </c>
      <c r="BV1582">
        <v>0</v>
      </c>
      <c r="CC1582" t="str">
        <f>"19:01:10.164"</f>
        <v>19:01:10.164</v>
      </c>
      <c r="CD1582" t="str">
        <f>"162353432"</f>
        <v>162353432</v>
      </c>
      <c r="CQ1582">
        <v>0</v>
      </c>
      <c r="CR1582">
        <v>2</v>
      </c>
      <c r="CS1582">
        <v>0</v>
      </c>
      <c r="CT1582">
        <v>2</v>
      </c>
      <c r="CU1582">
        <v>0</v>
      </c>
      <c r="CV1582">
        <v>7</v>
      </c>
      <c r="CW1582" t="s">
        <v>120</v>
      </c>
      <c r="CX1582">
        <v>261</v>
      </c>
      <c r="CY1582">
        <v>2</v>
      </c>
      <c r="CZ1582" t="s">
        <v>121</v>
      </c>
      <c r="DA1582" t="s">
        <v>122</v>
      </c>
      <c r="DD1582">
        <v>15174885</v>
      </c>
      <c r="DE1582" t="s">
        <v>123</v>
      </c>
    </row>
    <row r="1583" spans="1:109" x14ac:dyDescent="0.3">
      <c r="A1583" t="str">
        <f>"19:01:11.422"</f>
        <v>19:01:11.422</v>
      </c>
      <c r="B1583" t="s">
        <v>110</v>
      </c>
      <c r="C1583" t="str">
        <f t="shared" si="72"/>
        <v>ffdfd3c0</v>
      </c>
      <c r="D1583" t="s">
        <v>111</v>
      </c>
      <c r="E1583">
        <v>18</v>
      </c>
      <c r="F1583">
        <v>1018</v>
      </c>
      <c r="G1583" t="s">
        <v>112</v>
      </c>
      <c r="J1583" t="s">
        <v>113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R1583" t="s">
        <v>114</v>
      </c>
      <c r="S1583" t="str">
        <f>"19:01:11.195"</f>
        <v>19:01:11.195</v>
      </c>
      <c r="T1583" t="str">
        <f>"19:01:10.992"</f>
        <v>19:01:10.992</v>
      </c>
      <c r="U1583" t="str">
        <f t="shared" si="73"/>
        <v>a1cdbe</v>
      </c>
      <c r="V1583">
        <v>0</v>
      </c>
      <c r="W1583">
        <v>0</v>
      </c>
      <c r="X1583">
        <v>1</v>
      </c>
      <c r="Y1583">
        <v>0</v>
      </c>
      <c r="Z1583">
        <v>0</v>
      </c>
      <c r="AB1583">
        <v>0</v>
      </c>
      <c r="AC1583">
        <v>9</v>
      </c>
      <c r="AD1583">
        <v>3</v>
      </c>
      <c r="AE1583">
        <v>0</v>
      </c>
      <c r="AF1583">
        <v>9</v>
      </c>
      <c r="AG1583" t="s">
        <v>158</v>
      </c>
      <c r="AH1583">
        <v>0</v>
      </c>
      <c r="AI1583">
        <v>3</v>
      </c>
      <c r="AJ1583">
        <v>1</v>
      </c>
      <c r="AK1583">
        <v>0</v>
      </c>
      <c r="AL1583" t="s">
        <v>3051</v>
      </c>
      <c r="AM1583">
        <v>46.822400000000002</v>
      </c>
      <c r="AN1583" t="s">
        <v>3052</v>
      </c>
      <c r="AO1583">
        <v>-122.81856500000001</v>
      </c>
      <c r="AP1583">
        <v>100</v>
      </c>
      <c r="AQ1583">
        <v>2100</v>
      </c>
      <c r="AR1583" t="s">
        <v>118</v>
      </c>
      <c r="AS1583">
        <v>-76</v>
      </c>
      <c r="AT1583">
        <v>22</v>
      </c>
      <c r="AU1583">
        <v>-64</v>
      </c>
      <c r="BC1583">
        <v>1200</v>
      </c>
      <c r="BD1583">
        <v>1</v>
      </c>
      <c r="BE1583" t="str">
        <f t="shared" si="74"/>
        <v xml:space="preserve">N215T   </v>
      </c>
      <c r="BF1583">
        <v>1</v>
      </c>
      <c r="BH1583">
        <v>0</v>
      </c>
      <c r="BI1583">
        <v>0</v>
      </c>
      <c r="BJ1583">
        <v>0</v>
      </c>
      <c r="BK1583">
        <v>2425</v>
      </c>
      <c r="BL1583">
        <v>325</v>
      </c>
      <c r="BM1583" t="s">
        <v>119</v>
      </c>
      <c r="BN1583">
        <v>1</v>
      </c>
      <c r="BO1583">
        <v>1</v>
      </c>
      <c r="BP1583">
        <v>1</v>
      </c>
      <c r="BQ1583">
        <v>0</v>
      </c>
      <c r="BT1583">
        <v>0</v>
      </c>
      <c r="BU1583">
        <v>0</v>
      </c>
      <c r="BV1583">
        <v>0</v>
      </c>
      <c r="CC1583" t="str">
        <f>"19:01:11.195"</f>
        <v>19:01:11.195</v>
      </c>
      <c r="CD1583" t="str">
        <f>"197294718"</f>
        <v>197294718</v>
      </c>
      <c r="CQ1583">
        <v>0</v>
      </c>
      <c r="CR1583">
        <v>2</v>
      </c>
      <c r="CS1583">
        <v>0</v>
      </c>
      <c r="CT1583">
        <v>2</v>
      </c>
      <c r="CU1583">
        <v>0</v>
      </c>
      <c r="CV1583">
        <v>7</v>
      </c>
      <c r="CW1583" t="s">
        <v>120</v>
      </c>
      <c r="CX1583">
        <v>257</v>
      </c>
      <c r="CY1583">
        <v>1</v>
      </c>
      <c r="CZ1583" t="s">
        <v>615</v>
      </c>
      <c r="DA1583" t="s">
        <v>616</v>
      </c>
      <c r="DD1583">
        <v>11555381</v>
      </c>
      <c r="DE1583" t="s">
        <v>123</v>
      </c>
    </row>
    <row r="1584" spans="1:109" x14ac:dyDescent="0.3">
      <c r="A1584" t="str">
        <f>"19:01:12.523"</f>
        <v>19:01:12.523</v>
      </c>
      <c r="B1584" t="s">
        <v>110</v>
      </c>
      <c r="C1584" t="str">
        <f t="shared" si="72"/>
        <v>ffdfd3c0</v>
      </c>
      <c r="D1584" t="s">
        <v>111</v>
      </c>
      <c r="E1584">
        <v>18</v>
      </c>
      <c r="F1584">
        <v>1018</v>
      </c>
      <c r="G1584" t="s">
        <v>112</v>
      </c>
      <c r="J1584" t="s">
        <v>113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R1584" t="s">
        <v>114</v>
      </c>
      <c r="S1584" t="str">
        <f>"19:01:12.320"</f>
        <v>19:01:12.320</v>
      </c>
      <c r="T1584" t="str">
        <f>"19:01:11.922"</f>
        <v>19:01:11.922</v>
      </c>
      <c r="U1584" t="str">
        <f t="shared" si="73"/>
        <v>a1cdbe</v>
      </c>
      <c r="V1584">
        <v>0</v>
      </c>
      <c r="W1584">
        <v>0</v>
      </c>
      <c r="X1584">
        <v>1</v>
      </c>
      <c r="Y1584">
        <v>0</v>
      </c>
      <c r="Z1584">
        <v>0</v>
      </c>
      <c r="AB1584">
        <v>0</v>
      </c>
      <c r="AC1584">
        <v>9</v>
      </c>
      <c r="AD1584">
        <v>3</v>
      </c>
      <c r="AE1584">
        <v>0</v>
      </c>
      <c r="AF1584">
        <v>9</v>
      </c>
      <c r="AG1584" t="s">
        <v>158</v>
      </c>
      <c r="AH1584">
        <v>0</v>
      </c>
      <c r="AI1584">
        <v>3</v>
      </c>
      <c r="AJ1584">
        <v>1</v>
      </c>
      <c r="AK1584">
        <v>0</v>
      </c>
      <c r="AL1584" t="s">
        <v>2471</v>
      </c>
      <c r="AM1584">
        <v>46.822529000000003</v>
      </c>
      <c r="AN1584" t="s">
        <v>3053</v>
      </c>
      <c r="AO1584">
        <v>-122.819123</v>
      </c>
      <c r="AP1584">
        <v>100</v>
      </c>
      <c r="AQ1584">
        <v>2100</v>
      </c>
      <c r="AR1584" t="s">
        <v>118</v>
      </c>
      <c r="AS1584">
        <v>-76</v>
      </c>
      <c r="AT1584">
        <v>22</v>
      </c>
      <c r="AU1584">
        <v>-128</v>
      </c>
      <c r="BC1584">
        <v>1200</v>
      </c>
      <c r="BD1584">
        <v>1</v>
      </c>
      <c r="BE1584" t="str">
        <f t="shared" si="74"/>
        <v xml:space="preserve">N215T   </v>
      </c>
      <c r="BF1584">
        <v>1</v>
      </c>
      <c r="BH1584">
        <v>0</v>
      </c>
      <c r="BI1584">
        <v>0</v>
      </c>
      <c r="BJ1584">
        <v>0</v>
      </c>
      <c r="BK1584">
        <v>2425</v>
      </c>
      <c r="BL1584">
        <v>325</v>
      </c>
      <c r="BM1584" t="s">
        <v>119</v>
      </c>
      <c r="BN1584">
        <v>1</v>
      </c>
      <c r="BO1584">
        <v>1</v>
      </c>
      <c r="BP1584">
        <v>1</v>
      </c>
      <c r="BQ1584">
        <v>0</v>
      </c>
      <c r="BT1584">
        <v>0</v>
      </c>
      <c r="BU1584">
        <v>0</v>
      </c>
      <c r="BV1584">
        <v>0</v>
      </c>
      <c r="CC1584" t="str">
        <f>"19:01:12.320"</f>
        <v>19:01:12.320</v>
      </c>
      <c r="CD1584" t="str">
        <f>"322183824"</f>
        <v>322183824</v>
      </c>
      <c r="CQ1584">
        <v>0</v>
      </c>
      <c r="CR1584">
        <v>2</v>
      </c>
      <c r="CS1584">
        <v>0</v>
      </c>
      <c r="CT1584">
        <v>2</v>
      </c>
      <c r="CU1584">
        <v>0</v>
      </c>
      <c r="CV1584">
        <v>7</v>
      </c>
      <c r="CW1584" t="s">
        <v>120</v>
      </c>
      <c r="CX1584">
        <v>257</v>
      </c>
      <c r="CY1584">
        <v>1</v>
      </c>
      <c r="CZ1584" t="s">
        <v>615</v>
      </c>
      <c r="DA1584" t="s">
        <v>616</v>
      </c>
      <c r="DD1584">
        <v>11556319</v>
      </c>
      <c r="DE1584" t="s">
        <v>123</v>
      </c>
    </row>
    <row r="1585" spans="1:109" x14ac:dyDescent="0.3">
      <c r="A1585" t="str">
        <f>"19:01:13.438"</f>
        <v>19:01:13.438</v>
      </c>
      <c r="B1585" t="s">
        <v>110</v>
      </c>
      <c r="C1585" t="str">
        <f t="shared" si="72"/>
        <v>ffdfd3c0</v>
      </c>
      <c r="D1585" t="s">
        <v>111</v>
      </c>
      <c r="E1585">
        <v>18</v>
      </c>
      <c r="F1585">
        <v>1018</v>
      </c>
      <c r="G1585" t="s">
        <v>112</v>
      </c>
      <c r="J1585" t="s">
        <v>113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R1585" t="s">
        <v>114</v>
      </c>
      <c r="S1585" t="str">
        <f>"19:01:13.188"</f>
        <v>19:01:13.188</v>
      </c>
      <c r="T1585" t="str">
        <f>"19:01:13.086"</f>
        <v>19:01:13.086</v>
      </c>
      <c r="U1585" t="str">
        <f t="shared" si="73"/>
        <v>a1cdbe</v>
      </c>
      <c r="V1585">
        <v>0</v>
      </c>
      <c r="W1585">
        <v>0</v>
      </c>
      <c r="X1585">
        <v>1</v>
      </c>
      <c r="Y1585">
        <v>0</v>
      </c>
      <c r="Z1585">
        <v>0</v>
      </c>
      <c r="AB1585">
        <v>0</v>
      </c>
      <c r="AC1585">
        <v>9</v>
      </c>
      <c r="AD1585">
        <v>3</v>
      </c>
      <c r="AE1585">
        <v>0</v>
      </c>
      <c r="AF1585">
        <v>9</v>
      </c>
      <c r="AG1585" t="s">
        <v>158</v>
      </c>
      <c r="AH1585">
        <v>0</v>
      </c>
      <c r="AI1585">
        <v>3</v>
      </c>
      <c r="AJ1585">
        <v>1</v>
      </c>
      <c r="AK1585">
        <v>0</v>
      </c>
      <c r="AL1585" t="s">
        <v>3054</v>
      </c>
      <c r="AM1585">
        <v>46.822636000000003</v>
      </c>
      <c r="AN1585" t="s">
        <v>3055</v>
      </c>
      <c r="AO1585">
        <v>-122.819574</v>
      </c>
      <c r="AP1585">
        <v>100</v>
      </c>
      <c r="AQ1585">
        <v>2000</v>
      </c>
      <c r="AR1585" t="s">
        <v>118</v>
      </c>
      <c r="AS1585">
        <v>-76</v>
      </c>
      <c r="AT1585">
        <v>21</v>
      </c>
      <c r="AU1585">
        <v>-256</v>
      </c>
      <c r="BC1585">
        <v>1200</v>
      </c>
      <c r="BD1585">
        <v>1</v>
      </c>
      <c r="BE1585" t="str">
        <f t="shared" si="74"/>
        <v xml:space="preserve">N215T   </v>
      </c>
      <c r="BF1585">
        <v>1</v>
      </c>
      <c r="BH1585">
        <v>0</v>
      </c>
      <c r="BI1585">
        <v>0</v>
      </c>
      <c r="BJ1585">
        <v>0</v>
      </c>
      <c r="BK1585">
        <v>2425</v>
      </c>
      <c r="BL1585">
        <v>425</v>
      </c>
      <c r="BM1585" t="s">
        <v>119</v>
      </c>
      <c r="BN1585">
        <v>1</v>
      </c>
      <c r="BO1585">
        <v>1</v>
      </c>
      <c r="BP1585">
        <v>1</v>
      </c>
      <c r="BQ1585">
        <v>0</v>
      </c>
      <c r="BT1585">
        <v>0</v>
      </c>
      <c r="BU1585">
        <v>0</v>
      </c>
      <c r="BV1585">
        <v>0</v>
      </c>
      <c r="CC1585" t="str">
        <f>"19:01:13.195"</f>
        <v>19:01:13.195</v>
      </c>
      <c r="CD1585" t="str">
        <f>"192054946"</f>
        <v>192054946</v>
      </c>
      <c r="CQ1585">
        <v>0</v>
      </c>
      <c r="CR1585">
        <v>2</v>
      </c>
      <c r="CS1585">
        <v>0</v>
      </c>
      <c r="CT1585">
        <v>2</v>
      </c>
      <c r="CU1585">
        <v>0</v>
      </c>
      <c r="CV1585">
        <v>7</v>
      </c>
      <c r="CW1585" t="s">
        <v>120</v>
      </c>
      <c r="CX1585">
        <v>261</v>
      </c>
      <c r="CY1585">
        <v>2</v>
      </c>
      <c r="CZ1585" t="s">
        <v>121</v>
      </c>
      <c r="DA1585" t="s">
        <v>122</v>
      </c>
      <c r="DD1585">
        <v>15176898</v>
      </c>
      <c r="DE1585" t="s">
        <v>123</v>
      </c>
    </row>
    <row r="1586" spans="1:109" x14ac:dyDescent="0.3">
      <c r="A1586" t="str">
        <f>"19:01:14.336"</f>
        <v>19:01:14.336</v>
      </c>
      <c r="B1586" t="s">
        <v>110</v>
      </c>
      <c r="C1586" t="str">
        <f t="shared" si="72"/>
        <v>ffdfd3c0</v>
      </c>
      <c r="D1586" t="s">
        <v>111</v>
      </c>
      <c r="E1586">
        <v>18</v>
      </c>
      <c r="F1586">
        <v>1018</v>
      </c>
      <c r="G1586" t="s">
        <v>112</v>
      </c>
      <c r="J1586" t="s">
        <v>113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R1586" t="s">
        <v>114</v>
      </c>
      <c r="S1586" t="str">
        <f>"19:01:14.102"</f>
        <v>19:01:14.102</v>
      </c>
      <c r="T1586" t="str">
        <f>"19:01:13.602"</f>
        <v>19:01:13.602</v>
      </c>
      <c r="U1586" t="str">
        <f t="shared" si="73"/>
        <v>a1cdbe</v>
      </c>
      <c r="V1586">
        <v>0</v>
      </c>
      <c r="W1586">
        <v>0</v>
      </c>
      <c r="X1586">
        <v>1</v>
      </c>
      <c r="Y1586">
        <v>0</v>
      </c>
      <c r="Z1586">
        <v>0</v>
      </c>
      <c r="AB1586">
        <v>0</v>
      </c>
      <c r="AC1586">
        <v>9</v>
      </c>
      <c r="AD1586">
        <v>3</v>
      </c>
      <c r="AE1586">
        <v>0</v>
      </c>
      <c r="AF1586">
        <v>9</v>
      </c>
      <c r="AG1586" t="s">
        <v>158</v>
      </c>
      <c r="AH1586">
        <v>0</v>
      </c>
      <c r="AI1586">
        <v>3</v>
      </c>
      <c r="AJ1586">
        <v>1</v>
      </c>
      <c r="AK1586">
        <v>0</v>
      </c>
      <c r="AL1586" t="s">
        <v>3056</v>
      </c>
      <c r="AM1586">
        <v>46.822721999999999</v>
      </c>
      <c r="AN1586" t="s">
        <v>3057</v>
      </c>
      <c r="AO1586">
        <v>-122.820046</v>
      </c>
      <c r="AP1586">
        <v>100</v>
      </c>
      <c r="AQ1586">
        <v>2000</v>
      </c>
      <c r="AR1586" t="s">
        <v>118</v>
      </c>
      <c r="AS1586">
        <v>-76</v>
      </c>
      <c r="AT1586">
        <v>22</v>
      </c>
      <c r="AU1586">
        <v>-320</v>
      </c>
      <c r="BC1586">
        <v>1200</v>
      </c>
      <c r="BD1586">
        <v>1</v>
      </c>
      <c r="BE1586" t="str">
        <f t="shared" si="74"/>
        <v xml:space="preserve">N215T   </v>
      </c>
      <c r="BF1586">
        <v>1</v>
      </c>
      <c r="BH1586">
        <v>0</v>
      </c>
      <c r="BI1586">
        <v>0</v>
      </c>
      <c r="BJ1586">
        <v>0</v>
      </c>
      <c r="BK1586">
        <v>2425</v>
      </c>
      <c r="BL1586">
        <v>425</v>
      </c>
      <c r="BM1586" t="s">
        <v>119</v>
      </c>
      <c r="BN1586">
        <v>1</v>
      </c>
      <c r="BO1586">
        <v>1</v>
      </c>
      <c r="BP1586">
        <v>1</v>
      </c>
      <c r="BQ1586">
        <v>0</v>
      </c>
      <c r="BT1586">
        <v>0</v>
      </c>
      <c r="BU1586">
        <v>0</v>
      </c>
      <c r="BV1586">
        <v>0</v>
      </c>
      <c r="CC1586" t="str">
        <f>"19:01:14.109"</f>
        <v>19:01:14.109</v>
      </c>
      <c r="CD1586" t="str">
        <f>"107007874"</f>
        <v>107007874</v>
      </c>
      <c r="CQ1586">
        <v>0</v>
      </c>
      <c r="CR1586">
        <v>2</v>
      </c>
      <c r="CS1586">
        <v>0</v>
      </c>
      <c r="CT1586">
        <v>2</v>
      </c>
      <c r="CU1586">
        <v>0</v>
      </c>
      <c r="CV1586">
        <v>7</v>
      </c>
      <c r="CW1586" t="s">
        <v>120</v>
      </c>
      <c r="CX1586">
        <v>257</v>
      </c>
      <c r="CY1586">
        <v>1</v>
      </c>
      <c r="CZ1586" t="s">
        <v>615</v>
      </c>
      <c r="DA1586" t="s">
        <v>616</v>
      </c>
      <c r="DD1586">
        <v>11557610</v>
      </c>
      <c r="DE1586" t="s">
        <v>123</v>
      </c>
    </row>
    <row r="1587" spans="1:109" x14ac:dyDescent="0.3">
      <c r="A1587" t="str">
        <f>"19:01:15.188"</f>
        <v>19:01:15.188</v>
      </c>
      <c r="B1587" t="s">
        <v>110</v>
      </c>
      <c r="C1587" t="str">
        <f t="shared" si="72"/>
        <v>ffdfd3c0</v>
      </c>
      <c r="D1587" t="s">
        <v>111</v>
      </c>
      <c r="E1587">
        <v>18</v>
      </c>
      <c r="F1587">
        <v>1018</v>
      </c>
      <c r="G1587" t="s">
        <v>112</v>
      </c>
      <c r="J1587" t="s">
        <v>113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R1587" t="s">
        <v>114</v>
      </c>
      <c r="S1587" t="str">
        <f>"19:01:14.961"</f>
        <v>19:01:14.961</v>
      </c>
      <c r="T1587" t="str">
        <f>"19:01:14.758"</f>
        <v>19:01:14.758</v>
      </c>
      <c r="U1587" t="str">
        <f t="shared" si="73"/>
        <v>a1cdbe</v>
      </c>
      <c r="V1587">
        <v>0</v>
      </c>
      <c r="W1587">
        <v>0</v>
      </c>
      <c r="X1587">
        <v>1</v>
      </c>
      <c r="Y1587">
        <v>0</v>
      </c>
      <c r="Z1587">
        <v>0</v>
      </c>
      <c r="AB1587">
        <v>0</v>
      </c>
      <c r="AC1587">
        <v>9</v>
      </c>
      <c r="AD1587">
        <v>3</v>
      </c>
      <c r="AE1587">
        <v>0</v>
      </c>
      <c r="AF1587">
        <v>9</v>
      </c>
      <c r="AG1587" t="s">
        <v>158</v>
      </c>
      <c r="AH1587">
        <v>0</v>
      </c>
      <c r="AI1587">
        <v>3</v>
      </c>
      <c r="AJ1587">
        <v>1</v>
      </c>
      <c r="AK1587">
        <v>0</v>
      </c>
      <c r="AL1587" t="s">
        <v>3058</v>
      </c>
      <c r="AM1587">
        <v>46.822808000000002</v>
      </c>
      <c r="AN1587" t="s">
        <v>3059</v>
      </c>
      <c r="AO1587">
        <v>-122.820497</v>
      </c>
      <c r="AP1587">
        <v>100</v>
      </c>
      <c r="AQ1587">
        <v>2000</v>
      </c>
      <c r="AR1587" t="s">
        <v>118</v>
      </c>
      <c r="AS1587">
        <v>-76</v>
      </c>
      <c r="AT1587">
        <v>23</v>
      </c>
      <c r="AU1587">
        <v>-256</v>
      </c>
      <c r="BC1587">
        <v>1200</v>
      </c>
      <c r="BD1587">
        <v>1</v>
      </c>
      <c r="BE1587" t="str">
        <f t="shared" si="74"/>
        <v xml:space="preserve">N215T   </v>
      </c>
      <c r="BF1587">
        <v>1</v>
      </c>
      <c r="BH1587">
        <v>0</v>
      </c>
      <c r="BI1587">
        <v>0</v>
      </c>
      <c r="BJ1587">
        <v>0</v>
      </c>
      <c r="BK1587">
        <v>2425</v>
      </c>
      <c r="BL1587">
        <v>425</v>
      </c>
      <c r="BM1587" t="s">
        <v>119</v>
      </c>
      <c r="BN1587">
        <v>1</v>
      </c>
      <c r="BO1587">
        <v>1</v>
      </c>
      <c r="BP1587">
        <v>1</v>
      </c>
      <c r="BQ1587">
        <v>0</v>
      </c>
      <c r="BT1587">
        <v>0</v>
      </c>
      <c r="BU1587">
        <v>0</v>
      </c>
      <c r="BV1587">
        <v>0</v>
      </c>
      <c r="CC1587" t="str">
        <f>"19:01:14.961"</f>
        <v>19:01:14.961</v>
      </c>
      <c r="CD1587" t="str">
        <f>"961880584"</f>
        <v>961880584</v>
      </c>
      <c r="CQ1587">
        <v>0</v>
      </c>
      <c r="CR1587">
        <v>2</v>
      </c>
      <c r="CS1587">
        <v>0</v>
      </c>
      <c r="CT1587">
        <v>2</v>
      </c>
      <c r="CU1587">
        <v>0</v>
      </c>
      <c r="CV1587">
        <v>7</v>
      </c>
      <c r="CW1587" t="s">
        <v>120</v>
      </c>
      <c r="CX1587">
        <v>261</v>
      </c>
      <c r="CY1587">
        <v>2</v>
      </c>
      <c r="CZ1587" t="s">
        <v>121</v>
      </c>
      <c r="DA1587" t="s">
        <v>122</v>
      </c>
      <c r="DD1587">
        <v>15178012</v>
      </c>
      <c r="DE1587" t="s">
        <v>123</v>
      </c>
    </row>
    <row r="1588" spans="1:109" x14ac:dyDescent="0.3">
      <c r="A1588" t="str">
        <f>"19:01:16.195"</f>
        <v>19:01:16.195</v>
      </c>
      <c r="B1588" t="s">
        <v>110</v>
      </c>
      <c r="C1588" t="str">
        <f t="shared" si="72"/>
        <v>ffdfd3c0</v>
      </c>
      <c r="D1588" t="s">
        <v>111</v>
      </c>
      <c r="E1588">
        <v>18</v>
      </c>
      <c r="F1588">
        <v>1018</v>
      </c>
      <c r="G1588" t="s">
        <v>112</v>
      </c>
      <c r="J1588" t="s">
        <v>113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R1588" t="s">
        <v>114</v>
      </c>
      <c r="S1588" t="str">
        <f>"19:01:15.961"</f>
        <v>19:01:15.961</v>
      </c>
      <c r="T1588" t="str">
        <f>"19:01:15.758"</f>
        <v>19:01:15.758</v>
      </c>
      <c r="U1588" t="str">
        <f t="shared" si="73"/>
        <v>a1cdbe</v>
      </c>
      <c r="V1588">
        <v>0</v>
      </c>
      <c r="W1588">
        <v>0</v>
      </c>
      <c r="X1588">
        <v>1</v>
      </c>
      <c r="Y1588">
        <v>0</v>
      </c>
      <c r="Z1588">
        <v>0</v>
      </c>
      <c r="AB1588">
        <v>0</v>
      </c>
      <c r="AC1588">
        <v>9</v>
      </c>
      <c r="AD1588">
        <v>3</v>
      </c>
      <c r="AE1588">
        <v>0</v>
      </c>
      <c r="AF1588">
        <v>9</v>
      </c>
      <c r="AG1588" t="s">
        <v>158</v>
      </c>
      <c r="AH1588">
        <v>0</v>
      </c>
      <c r="AI1588">
        <v>3</v>
      </c>
      <c r="AJ1588">
        <v>1</v>
      </c>
      <c r="AK1588">
        <v>0</v>
      </c>
      <c r="AL1588" t="s">
        <v>3060</v>
      </c>
      <c r="AM1588">
        <v>46.822915000000002</v>
      </c>
      <c r="AN1588" t="s">
        <v>3061</v>
      </c>
      <c r="AO1588">
        <v>-122.821054</v>
      </c>
      <c r="AP1588">
        <v>100</v>
      </c>
      <c r="AQ1588">
        <v>2000</v>
      </c>
      <c r="AR1588" t="s">
        <v>118</v>
      </c>
      <c r="AS1588">
        <v>-76</v>
      </c>
      <c r="AT1588">
        <v>23</v>
      </c>
      <c r="AU1588">
        <v>-192</v>
      </c>
      <c r="BC1588">
        <v>1200</v>
      </c>
      <c r="BD1588">
        <v>1</v>
      </c>
      <c r="BE1588" t="str">
        <f t="shared" si="74"/>
        <v xml:space="preserve">N215T   </v>
      </c>
      <c r="BF1588">
        <v>1</v>
      </c>
      <c r="BH1588">
        <v>0</v>
      </c>
      <c r="BI1588">
        <v>0</v>
      </c>
      <c r="BJ1588">
        <v>0</v>
      </c>
      <c r="BK1588">
        <v>2425</v>
      </c>
      <c r="BL1588">
        <v>425</v>
      </c>
      <c r="BM1588" t="s">
        <v>119</v>
      </c>
      <c r="BN1588">
        <v>1</v>
      </c>
      <c r="BO1588">
        <v>1</v>
      </c>
      <c r="BP1588">
        <v>1</v>
      </c>
      <c r="BQ1588">
        <v>0</v>
      </c>
      <c r="BT1588">
        <v>0</v>
      </c>
      <c r="BU1588">
        <v>0</v>
      </c>
      <c r="BV1588">
        <v>0</v>
      </c>
      <c r="CC1588" t="str">
        <f>"19:01:15.969"</f>
        <v>19:01:15.969</v>
      </c>
      <c r="CD1588" t="str">
        <f>"966781576"</f>
        <v>966781576</v>
      </c>
      <c r="CQ1588">
        <v>0</v>
      </c>
      <c r="CR1588">
        <v>2</v>
      </c>
      <c r="CS1588">
        <v>0</v>
      </c>
      <c r="CT1588">
        <v>2</v>
      </c>
      <c r="CU1588">
        <v>0</v>
      </c>
      <c r="CV1588">
        <v>7</v>
      </c>
      <c r="CW1588" t="s">
        <v>120</v>
      </c>
      <c r="CX1588">
        <v>261</v>
      </c>
      <c r="CY1588">
        <v>2</v>
      </c>
      <c r="CZ1588" t="s">
        <v>121</v>
      </c>
      <c r="DA1588" t="s">
        <v>122</v>
      </c>
      <c r="DD1588">
        <v>15178673</v>
      </c>
      <c r="DE1588" t="s">
        <v>123</v>
      </c>
    </row>
    <row r="1589" spans="1:109" x14ac:dyDescent="0.3">
      <c r="A1589" t="str">
        <f>"19:01:17.203"</f>
        <v>19:01:17.203</v>
      </c>
      <c r="B1589" t="s">
        <v>110</v>
      </c>
      <c r="C1589" t="str">
        <f t="shared" si="72"/>
        <v>ffdfd3c0</v>
      </c>
      <c r="D1589" t="s">
        <v>111</v>
      </c>
      <c r="E1589">
        <v>18</v>
      </c>
      <c r="F1589">
        <v>1018</v>
      </c>
      <c r="G1589" t="s">
        <v>112</v>
      </c>
      <c r="J1589" t="s">
        <v>113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R1589" t="s">
        <v>114</v>
      </c>
      <c r="S1589" t="str">
        <f>"19:01:16.969"</f>
        <v>19:01:16.969</v>
      </c>
      <c r="T1589" t="str">
        <f>"19:01:16.672"</f>
        <v>19:01:16.672</v>
      </c>
      <c r="U1589" t="str">
        <f t="shared" si="73"/>
        <v>a1cdbe</v>
      </c>
      <c r="V1589">
        <v>0</v>
      </c>
      <c r="W1589">
        <v>0</v>
      </c>
      <c r="X1589">
        <v>1</v>
      </c>
      <c r="Y1589">
        <v>0</v>
      </c>
      <c r="Z1589">
        <v>0</v>
      </c>
      <c r="AB1589">
        <v>0</v>
      </c>
      <c r="AC1589">
        <v>9</v>
      </c>
      <c r="AD1589">
        <v>3</v>
      </c>
      <c r="AE1589">
        <v>0</v>
      </c>
      <c r="AF1589">
        <v>9</v>
      </c>
      <c r="AG1589" t="s">
        <v>158</v>
      </c>
      <c r="AH1589">
        <v>0</v>
      </c>
      <c r="AI1589">
        <v>3</v>
      </c>
      <c r="AJ1589">
        <v>1</v>
      </c>
      <c r="AK1589">
        <v>0</v>
      </c>
      <c r="AL1589" t="s">
        <v>3062</v>
      </c>
      <c r="AM1589">
        <v>46.823022000000002</v>
      </c>
      <c r="AN1589" t="s">
        <v>3063</v>
      </c>
      <c r="AO1589">
        <v>-122.821527</v>
      </c>
      <c r="AP1589">
        <v>100</v>
      </c>
      <c r="AQ1589">
        <v>2000</v>
      </c>
      <c r="AR1589" t="s">
        <v>118</v>
      </c>
      <c r="AS1589">
        <v>-77</v>
      </c>
      <c r="AT1589">
        <v>23</v>
      </c>
      <c r="AU1589">
        <v>-192</v>
      </c>
      <c r="BC1589">
        <v>1200</v>
      </c>
      <c r="BD1589">
        <v>1</v>
      </c>
      <c r="BE1589" t="str">
        <f t="shared" si="74"/>
        <v xml:space="preserve">N215T   </v>
      </c>
      <c r="BF1589">
        <v>1</v>
      </c>
      <c r="BH1589">
        <v>0</v>
      </c>
      <c r="BI1589">
        <v>0</v>
      </c>
      <c r="BJ1589">
        <v>0</v>
      </c>
      <c r="BK1589">
        <v>2425</v>
      </c>
      <c r="BL1589">
        <v>425</v>
      </c>
      <c r="BM1589" t="s">
        <v>119</v>
      </c>
      <c r="BN1589">
        <v>1</v>
      </c>
      <c r="BO1589">
        <v>1</v>
      </c>
      <c r="BP1589">
        <v>1</v>
      </c>
      <c r="BQ1589">
        <v>0</v>
      </c>
      <c r="BT1589">
        <v>0</v>
      </c>
      <c r="BU1589">
        <v>0</v>
      </c>
      <c r="BV1589">
        <v>0</v>
      </c>
      <c r="CC1589" t="str">
        <f>"19:01:16.969"</f>
        <v>19:01:16.969</v>
      </c>
      <c r="CD1589" t="str">
        <f>"971682573"</f>
        <v>971682573</v>
      </c>
      <c r="CQ1589">
        <v>0</v>
      </c>
      <c r="CR1589">
        <v>2</v>
      </c>
      <c r="CS1589">
        <v>0</v>
      </c>
      <c r="CT1589">
        <v>2</v>
      </c>
      <c r="CU1589">
        <v>0</v>
      </c>
      <c r="CV1589">
        <v>7</v>
      </c>
      <c r="CW1589" t="s">
        <v>120</v>
      </c>
      <c r="CX1589">
        <v>261</v>
      </c>
      <c r="CY1589">
        <v>2</v>
      </c>
      <c r="CZ1589" t="s">
        <v>121</v>
      </c>
      <c r="DA1589" t="s">
        <v>122</v>
      </c>
      <c r="DD1589">
        <v>15179342</v>
      </c>
      <c r="DE1589" t="s">
        <v>123</v>
      </c>
    </row>
    <row r="1590" spans="1:109" x14ac:dyDescent="0.3">
      <c r="A1590" t="str">
        <f>"19:01:18.156"</f>
        <v>19:01:18.156</v>
      </c>
      <c r="B1590" t="s">
        <v>110</v>
      </c>
      <c r="C1590" t="str">
        <f t="shared" si="72"/>
        <v>ffdfd3c0</v>
      </c>
      <c r="D1590" t="s">
        <v>111</v>
      </c>
      <c r="E1590">
        <v>18</v>
      </c>
      <c r="F1590">
        <v>1018</v>
      </c>
      <c r="G1590" t="s">
        <v>112</v>
      </c>
      <c r="J1590" t="s">
        <v>113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R1590" t="s">
        <v>114</v>
      </c>
      <c r="S1590" t="str">
        <f>"19:01:17.961"</f>
        <v>19:01:17.961</v>
      </c>
      <c r="T1590" t="str">
        <f>"19:01:17.664"</f>
        <v>19:01:17.664</v>
      </c>
      <c r="U1590" t="str">
        <f t="shared" si="73"/>
        <v>a1cdbe</v>
      </c>
      <c r="V1590">
        <v>0</v>
      </c>
      <c r="W1590">
        <v>0</v>
      </c>
      <c r="X1590">
        <v>1</v>
      </c>
      <c r="Y1590">
        <v>0</v>
      </c>
      <c r="Z1590">
        <v>0</v>
      </c>
      <c r="AB1590">
        <v>0</v>
      </c>
      <c r="AC1590">
        <v>9</v>
      </c>
      <c r="AD1590">
        <v>3</v>
      </c>
      <c r="AE1590">
        <v>0</v>
      </c>
      <c r="AF1590">
        <v>9</v>
      </c>
      <c r="AG1590" t="s">
        <v>158</v>
      </c>
      <c r="AH1590">
        <v>0</v>
      </c>
      <c r="AI1590">
        <v>3</v>
      </c>
      <c r="AJ1590">
        <v>1</v>
      </c>
      <c r="AK1590">
        <v>0</v>
      </c>
      <c r="AL1590" t="s">
        <v>3064</v>
      </c>
      <c r="AM1590">
        <v>46.823129999999999</v>
      </c>
      <c r="AN1590" t="s">
        <v>3065</v>
      </c>
      <c r="AO1590">
        <v>-122.822063</v>
      </c>
      <c r="AP1590">
        <v>100</v>
      </c>
      <c r="AQ1590">
        <v>2000</v>
      </c>
      <c r="AR1590" t="s">
        <v>118</v>
      </c>
      <c r="AS1590">
        <v>-77</v>
      </c>
      <c r="AT1590">
        <v>23</v>
      </c>
      <c r="AU1590">
        <v>-320</v>
      </c>
      <c r="BC1590">
        <v>1200</v>
      </c>
      <c r="BD1590">
        <v>1</v>
      </c>
      <c r="BE1590" t="str">
        <f t="shared" si="74"/>
        <v xml:space="preserve">N215T   </v>
      </c>
      <c r="BF1590">
        <v>1</v>
      </c>
      <c r="BH1590">
        <v>0</v>
      </c>
      <c r="BI1590">
        <v>0</v>
      </c>
      <c r="BJ1590">
        <v>0</v>
      </c>
      <c r="BK1590">
        <v>2400</v>
      </c>
      <c r="BL1590">
        <v>400</v>
      </c>
      <c r="BM1590" t="s">
        <v>119</v>
      </c>
      <c r="BN1590">
        <v>1</v>
      </c>
      <c r="BO1590">
        <v>1</v>
      </c>
      <c r="BP1590">
        <v>1</v>
      </c>
      <c r="BQ1590">
        <v>0</v>
      </c>
      <c r="BT1590">
        <v>0</v>
      </c>
      <c r="BU1590">
        <v>0</v>
      </c>
      <c r="BV1590">
        <v>0</v>
      </c>
      <c r="CC1590" t="str">
        <f>"19:01:17.961"</f>
        <v>19:01:17.961</v>
      </c>
      <c r="CD1590" t="str">
        <f>"961585047"</f>
        <v>961585047</v>
      </c>
      <c r="CQ1590">
        <v>0</v>
      </c>
      <c r="CR1590">
        <v>2</v>
      </c>
      <c r="CS1590">
        <v>0</v>
      </c>
      <c r="CT1590">
        <v>2</v>
      </c>
      <c r="CU1590">
        <v>0</v>
      </c>
      <c r="CV1590">
        <v>7</v>
      </c>
      <c r="CW1590" t="s">
        <v>120</v>
      </c>
      <c r="CX1590">
        <v>261</v>
      </c>
      <c r="CY1590">
        <v>2</v>
      </c>
      <c r="CZ1590" t="s">
        <v>121</v>
      </c>
      <c r="DA1590" t="s">
        <v>122</v>
      </c>
      <c r="DD1590">
        <v>15179963</v>
      </c>
      <c r="DE1590" t="s">
        <v>123</v>
      </c>
    </row>
    <row r="1591" spans="1:109" x14ac:dyDescent="0.3">
      <c r="A1591" t="str">
        <f>"19:01:19.313"</f>
        <v>19:01:19.313</v>
      </c>
      <c r="B1591" t="s">
        <v>110</v>
      </c>
      <c r="C1591" t="str">
        <f t="shared" si="72"/>
        <v>ffdfd3c0</v>
      </c>
      <c r="D1591" t="s">
        <v>111</v>
      </c>
      <c r="E1591">
        <v>18</v>
      </c>
      <c r="F1591">
        <v>1018</v>
      </c>
      <c r="G1591" t="s">
        <v>112</v>
      </c>
      <c r="J1591" t="s">
        <v>113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R1591" t="s">
        <v>114</v>
      </c>
      <c r="S1591" t="str">
        <f>"19:01:19.070"</f>
        <v>19:01:19.070</v>
      </c>
      <c r="T1591" t="str">
        <f>"19:01:18.672"</f>
        <v>19:01:18.672</v>
      </c>
      <c r="U1591" t="str">
        <f t="shared" si="73"/>
        <v>a1cdbe</v>
      </c>
      <c r="V1591">
        <v>0</v>
      </c>
      <c r="W1591">
        <v>0</v>
      </c>
      <c r="X1591">
        <v>1</v>
      </c>
      <c r="Y1591">
        <v>0</v>
      </c>
      <c r="Z1591">
        <v>0</v>
      </c>
      <c r="AB1591">
        <v>0</v>
      </c>
      <c r="AC1591">
        <v>9</v>
      </c>
      <c r="AD1591">
        <v>3</v>
      </c>
      <c r="AE1591">
        <v>0</v>
      </c>
      <c r="AF1591">
        <v>9</v>
      </c>
      <c r="AG1591" t="s">
        <v>158</v>
      </c>
      <c r="AH1591">
        <v>0</v>
      </c>
      <c r="AI1591">
        <v>3</v>
      </c>
      <c r="AJ1591">
        <v>1</v>
      </c>
      <c r="AK1591">
        <v>0</v>
      </c>
      <c r="AL1591" t="s">
        <v>3066</v>
      </c>
      <c r="AM1591">
        <v>46.823258000000003</v>
      </c>
      <c r="AN1591" t="s">
        <v>3067</v>
      </c>
      <c r="AO1591">
        <v>-122.822621</v>
      </c>
      <c r="AP1591">
        <v>100</v>
      </c>
      <c r="AQ1591">
        <v>2000</v>
      </c>
      <c r="AR1591" t="s">
        <v>118</v>
      </c>
      <c r="AS1591">
        <v>-77</v>
      </c>
      <c r="AT1591">
        <v>23</v>
      </c>
      <c r="AU1591">
        <v>-320</v>
      </c>
      <c r="BC1591">
        <v>1200</v>
      </c>
      <c r="BD1591">
        <v>1</v>
      </c>
      <c r="BE1591" t="str">
        <f t="shared" si="74"/>
        <v xml:space="preserve">N215T   </v>
      </c>
      <c r="BF1591">
        <v>1</v>
      </c>
      <c r="BH1591">
        <v>0</v>
      </c>
      <c r="BI1591">
        <v>0</v>
      </c>
      <c r="BJ1591">
        <v>0</v>
      </c>
      <c r="BK1591">
        <v>2400</v>
      </c>
      <c r="BL1591">
        <v>400</v>
      </c>
      <c r="BM1591" t="s">
        <v>119</v>
      </c>
      <c r="BN1591">
        <v>1</v>
      </c>
      <c r="BO1591">
        <v>1</v>
      </c>
      <c r="BP1591">
        <v>1</v>
      </c>
      <c r="BQ1591">
        <v>0</v>
      </c>
      <c r="BT1591">
        <v>0</v>
      </c>
      <c r="BU1591">
        <v>0</v>
      </c>
      <c r="BV1591">
        <v>0</v>
      </c>
      <c r="CC1591" t="str">
        <f>"19:01:19.070"</f>
        <v>19:01:19.070</v>
      </c>
      <c r="CD1591" t="str">
        <f>"071475701"</f>
        <v>071475701</v>
      </c>
      <c r="CQ1591">
        <v>0</v>
      </c>
      <c r="CR1591">
        <v>2</v>
      </c>
      <c r="CS1591">
        <v>0</v>
      </c>
      <c r="CT1591">
        <v>2</v>
      </c>
      <c r="CU1591">
        <v>0</v>
      </c>
      <c r="CV1591">
        <v>7</v>
      </c>
      <c r="CW1591" t="s">
        <v>120</v>
      </c>
      <c r="CX1591">
        <v>261</v>
      </c>
      <c r="CY1591">
        <v>2</v>
      </c>
      <c r="CZ1591" t="s">
        <v>121</v>
      </c>
      <c r="DA1591" t="s">
        <v>122</v>
      </c>
      <c r="DD1591">
        <v>15180686</v>
      </c>
      <c r="DE1591" t="s">
        <v>123</v>
      </c>
    </row>
    <row r="1592" spans="1:109" x14ac:dyDescent="0.3">
      <c r="A1592" t="str">
        <f>"19:01:20.266"</f>
        <v>19:01:20.266</v>
      </c>
      <c r="B1592" t="s">
        <v>110</v>
      </c>
      <c r="C1592" t="str">
        <f t="shared" si="72"/>
        <v>ffdfd3c0</v>
      </c>
      <c r="D1592" t="s">
        <v>111</v>
      </c>
      <c r="E1592">
        <v>18</v>
      </c>
      <c r="F1592">
        <v>1018</v>
      </c>
      <c r="G1592" t="s">
        <v>112</v>
      </c>
      <c r="J1592" t="s">
        <v>113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R1592" t="s">
        <v>114</v>
      </c>
      <c r="S1592" t="str">
        <f>"19:01:20.031"</f>
        <v>19:01:20.031</v>
      </c>
      <c r="T1592" t="str">
        <f>"19:01:19.734"</f>
        <v>19:01:19.734</v>
      </c>
      <c r="U1592" t="str">
        <f t="shared" si="73"/>
        <v>a1cdbe</v>
      </c>
      <c r="V1592">
        <v>0</v>
      </c>
      <c r="W1592">
        <v>0</v>
      </c>
      <c r="X1592">
        <v>1</v>
      </c>
      <c r="Y1592">
        <v>0</v>
      </c>
      <c r="Z1592">
        <v>0</v>
      </c>
      <c r="AB1592">
        <v>0</v>
      </c>
      <c r="AC1592">
        <v>9</v>
      </c>
      <c r="AD1592">
        <v>3</v>
      </c>
      <c r="AE1592">
        <v>0</v>
      </c>
      <c r="AF1592">
        <v>9</v>
      </c>
      <c r="AG1592" t="s">
        <v>158</v>
      </c>
      <c r="AH1592">
        <v>0</v>
      </c>
      <c r="AI1592">
        <v>3</v>
      </c>
      <c r="AJ1592">
        <v>1</v>
      </c>
      <c r="AK1592">
        <v>0</v>
      </c>
      <c r="AL1592" t="s">
        <v>2461</v>
      </c>
      <c r="AM1592">
        <v>46.823366</v>
      </c>
      <c r="AN1592" t="s">
        <v>3068</v>
      </c>
      <c r="AO1592">
        <v>-122.82313600000001</v>
      </c>
      <c r="AP1592">
        <v>100</v>
      </c>
      <c r="AQ1592">
        <v>2000</v>
      </c>
      <c r="AR1592" t="s">
        <v>118</v>
      </c>
      <c r="AS1592">
        <v>-78</v>
      </c>
      <c r="AT1592">
        <v>23</v>
      </c>
      <c r="AU1592">
        <v>-256</v>
      </c>
      <c r="BC1592">
        <v>1200</v>
      </c>
      <c r="BD1592">
        <v>1</v>
      </c>
      <c r="BE1592" t="str">
        <f t="shared" si="74"/>
        <v xml:space="preserve">N215T   </v>
      </c>
      <c r="BF1592">
        <v>1</v>
      </c>
      <c r="BH1592">
        <v>0</v>
      </c>
      <c r="BI1592">
        <v>0</v>
      </c>
      <c r="BJ1592">
        <v>0</v>
      </c>
      <c r="BK1592">
        <v>2400</v>
      </c>
      <c r="BL1592">
        <v>400</v>
      </c>
      <c r="BM1592" t="s">
        <v>119</v>
      </c>
      <c r="BN1592">
        <v>1</v>
      </c>
      <c r="BO1592">
        <v>1</v>
      </c>
      <c r="BP1592">
        <v>1</v>
      </c>
      <c r="BQ1592">
        <v>0</v>
      </c>
      <c r="BT1592">
        <v>0</v>
      </c>
      <c r="BU1592">
        <v>0</v>
      </c>
      <c r="BV1592">
        <v>0</v>
      </c>
      <c r="CC1592" t="str">
        <f>"19:01:20.031"</f>
        <v>19:01:20.031</v>
      </c>
      <c r="CD1592" t="str">
        <f>"031381132"</f>
        <v>031381132</v>
      </c>
      <c r="CQ1592">
        <v>0</v>
      </c>
      <c r="CR1592">
        <v>2</v>
      </c>
      <c r="CS1592">
        <v>0</v>
      </c>
      <c r="CT1592">
        <v>2</v>
      </c>
      <c r="CU1592">
        <v>0</v>
      </c>
      <c r="CV1592">
        <v>7</v>
      </c>
      <c r="CW1592" t="s">
        <v>120</v>
      </c>
      <c r="CX1592">
        <v>261</v>
      </c>
      <c r="CY1592">
        <v>2</v>
      </c>
      <c r="CZ1592" t="s">
        <v>121</v>
      </c>
      <c r="DA1592" t="s">
        <v>122</v>
      </c>
      <c r="DD1592">
        <v>15181297</v>
      </c>
      <c r="DE1592" t="s">
        <v>123</v>
      </c>
    </row>
    <row r="1593" spans="1:109" x14ac:dyDescent="0.3">
      <c r="A1593" t="str">
        <f>"19:01:21.375"</f>
        <v>19:01:21.375</v>
      </c>
      <c r="B1593" t="s">
        <v>110</v>
      </c>
      <c r="C1593" t="str">
        <f t="shared" si="72"/>
        <v>ffdfd3c0</v>
      </c>
      <c r="D1593" t="s">
        <v>111</v>
      </c>
      <c r="E1593">
        <v>18</v>
      </c>
      <c r="F1593">
        <v>1018</v>
      </c>
      <c r="G1593" t="s">
        <v>112</v>
      </c>
      <c r="J1593" t="s">
        <v>113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R1593" t="s">
        <v>114</v>
      </c>
      <c r="S1593" t="str">
        <f>"19:01:21.141"</f>
        <v>19:01:21.141</v>
      </c>
      <c r="T1593" t="str">
        <f>"19:01:20.742"</f>
        <v>19:01:20.742</v>
      </c>
      <c r="U1593" t="str">
        <f t="shared" si="73"/>
        <v>a1cdbe</v>
      </c>
      <c r="V1593">
        <v>0</v>
      </c>
      <c r="W1593">
        <v>0</v>
      </c>
      <c r="X1593">
        <v>1</v>
      </c>
      <c r="Y1593">
        <v>0</v>
      </c>
      <c r="Z1593">
        <v>0</v>
      </c>
      <c r="AB1593">
        <v>0</v>
      </c>
      <c r="AC1593">
        <v>9</v>
      </c>
      <c r="AD1593">
        <v>3</v>
      </c>
      <c r="AE1593">
        <v>0</v>
      </c>
      <c r="AF1593">
        <v>9</v>
      </c>
      <c r="AG1593" t="s">
        <v>158</v>
      </c>
      <c r="AH1593">
        <v>0</v>
      </c>
      <c r="AI1593">
        <v>3</v>
      </c>
      <c r="AJ1593">
        <v>1</v>
      </c>
      <c r="AK1593">
        <v>0</v>
      </c>
      <c r="AL1593" t="s">
        <v>3069</v>
      </c>
      <c r="AM1593">
        <v>46.823452000000003</v>
      </c>
      <c r="AN1593" t="s">
        <v>3070</v>
      </c>
      <c r="AO1593">
        <v>-122.82371500000001</v>
      </c>
      <c r="AP1593">
        <v>100</v>
      </c>
      <c r="AQ1593">
        <v>2000</v>
      </c>
      <c r="AR1593" t="s">
        <v>118</v>
      </c>
      <c r="AS1593">
        <v>-78</v>
      </c>
      <c r="AT1593">
        <v>22</v>
      </c>
      <c r="AU1593">
        <v>-192</v>
      </c>
      <c r="BC1593">
        <v>1200</v>
      </c>
      <c r="BD1593">
        <v>1</v>
      </c>
      <c r="BE1593" t="str">
        <f t="shared" si="74"/>
        <v xml:space="preserve">N215T   </v>
      </c>
      <c r="BF1593">
        <v>1</v>
      </c>
      <c r="BH1593">
        <v>0</v>
      </c>
      <c r="BI1593">
        <v>0</v>
      </c>
      <c r="BJ1593">
        <v>0</v>
      </c>
      <c r="BK1593">
        <v>2400</v>
      </c>
      <c r="BL1593">
        <v>400</v>
      </c>
      <c r="BM1593" t="s">
        <v>119</v>
      </c>
      <c r="BN1593">
        <v>1</v>
      </c>
      <c r="BO1593">
        <v>1</v>
      </c>
      <c r="BP1593">
        <v>1</v>
      </c>
      <c r="BQ1593">
        <v>0</v>
      </c>
      <c r="BT1593">
        <v>0</v>
      </c>
      <c r="BU1593">
        <v>0</v>
      </c>
      <c r="BV1593">
        <v>0</v>
      </c>
      <c r="CC1593" t="str">
        <f>"19:01:21.141"</f>
        <v>19:01:21.141</v>
      </c>
      <c r="CD1593" t="str">
        <f>"141271785"</f>
        <v>141271785</v>
      </c>
      <c r="CQ1593">
        <v>0</v>
      </c>
      <c r="CR1593">
        <v>2</v>
      </c>
      <c r="CS1593">
        <v>0</v>
      </c>
      <c r="CT1593">
        <v>2</v>
      </c>
      <c r="CU1593">
        <v>0</v>
      </c>
      <c r="CV1593">
        <v>7</v>
      </c>
      <c r="CW1593" t="s">
        <v>120</v>
      </c>
      <c r="CX1593">
        <v>261</v>
      </c>
      <c r="CY1593">
        <v>2</v>
      </c>
      <c r="CZ1593" t="s">
        <v>121</v>
      </c>
      <c r="DA1593" t="s">
        <v>122</v>
      </c>
      <c r="DD1593">
        <v>15182035</v>
      </c>
      <c r="DE1593" t="s">
        <v>123</v>
      </c>
    </row>
    <row r="1594" spans="1:109" x14ac:dyDescent="0.3">
      <c r="A1594" t="str">
        <f>"19:01:22.375"</f>
        <v>19:01:22.375</v>
      </c>
      <c r="B1594" t="s">
        <v>110</v>
      </c>
      <c r="C1594" t="str">
        <f t="shared" si="72"/>
        <v>ffdfd3c0</v>
      </c>
      <c r="D1594" t="s">
        <v>111</v>
      </c>
      <c r="E1594">
        <v>18</v>
      </c>
      <c r="F1594">
        <v>1018</v>
      </c>
      <c r="G1594" t="s">
        <v>112</v>
      </c>
      <c r="J1594" t="s">
        <v>113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R1594" t="s">
        <v>114</v>
      </c>
      <c r="S1594" t="str">
        <f>"19:01:22.172"</f>
        <v>19:01:22.172</v>
      </c>
      <c r="T1594" t="str">
        <f>"19:01:22.172"</f>
        <v>19:01:22.172</v>
      </c>
      <c r="U1594" t="str">
        <f t="shared" si="73"/>
        <v>a1cdbe</v>
      </c>
      <c r="V1594">
        <v>0</v>
      </c>
      <c r="W1594">
        <v>0</v>
      </c>
      <c r="X1594">
        <v>1</v>
      </c>
      <c r="Y1594">
        <v>0</v>
      </c>
      <c r="Z1594">
        <v>0</v>
      </c>
      <c r="AB1594">
        <v>0</v>
      </c>
      <c r="AC1594">
        <v>9</v>
      </c>
      <c r="AD1594">
        <v>3</v>
      </c>
      <c r="AE1594">
        <v>0</v>
      </c>
      <c r="AF1594">
        <v>9</v>
      </c>
      <c r="AG1594" t="s">
        <v>158</v>
      </c>
      <c r="AH1594">
        <v>0</v>
      </c>
      <c r="AI1594">
        <v>3</v>
      </c>
      <c r="AJ1594">
        <v>1</v>
      </c>
      <c r="AK1594">
        <v>0</v>
      </c>
      <c r="AL1594" t="s">
        <v>2459</v>
      </c>
      <c r="AM1594">
        <v>46.823537000000002</v>
      </c>
      <c r="AN1594" t="s">
        <v>3071</v>
      </c>
      <c r="AO1594">
        <v>-122.82427300000001</v>
      </c>
      <c r="AP1594">
        <v>100</v>
      </c>
      <c r="AQ1594">
        <v>2000</v>
      </c>
      <c r="AR1594" t="s">
        <v>118</v>
      </c>
      <c r="AS1594">
        <v>-78</v>
      </c>
      <c r="AT1594">
        <v>22</v>
      </c>
      <c r="AU1594">
        <v>-192</v>
      </c>
      <c r="BC1594">
        <v>1200</v>
      </c>
      <c r="BD1594">
        <v>1</v>
      </c>
      <c r="BE1594" t="str">
        <f t="shared" si="74"/>
        <v xml:space="preserve">N215T   </v>
      </c>
      <c r="BF1594">
        <v>1</v>
      </c>
      <c r="BH1594">
        <v>0</v>
      </c>
      <c r="BI1594">
        <v>0</v>
      </c>
      <c r="BJ1594">
        <v>0</v>
      </c>
      <c r="BK1594">
        <v>2400</v>
      </c>
      <c r="BL1594">
        <v>400</v>
      </c>
      <c r="BM1594" t="s">
        <v>119</v>
      </c>
      <c r="BN1594">
        <v>1</v>
      </c>
      <c r="BO1594">
        <v>1</v>
      </c>
      <c r="BP1594">
        <v>1</v>
      </c>
      <c r="BQ1594">
        <v>0</v>
      </c>
      <c r="BT1594">
        <v>0</v>
      </c>
      <c r="BU1594">
        <v>0</v>
      </c>
      <c r="BV1594">
        <v>0</v>
      </c>
      <c r="CC1594" t="str">
        <f>"19:01:22.180"</f>
        <v>19:01:22.180</v>
      </c>
      <c r="CD1594" t="str">
        <f>"176169832"</f>
        <v>176169832</v>
      </c>
      <c r="CQ1594">
        <v>0</v>
      </c>
      <c r="CR1594">
        <v>2</v>
      </c>
      <c r="CS1594">
        <v>0</v>
      </c>
      <c r="CT1594">
        <v>2</v>
      </c>
      <c r="CU1594">
        <v>0</v>
      </c>
      <c r="CV1594">
        <v>7</v>
      </c>
      <c r="CW1594" t="s">
        <v>120</v>
      </c>
      <c r="CX1594">
        <v>261</v>
      </c>
      <c r="CY1594">
        <v>2</v>
      </c>
      <c r="CZ1594" t="s">
        <v>121</v>
      </c>
      <c r="DA1594" t="s">
        <v>122</v>
      </c>
      <c r="DD1594">
        <v>15182667</v>
      </c>
      <c r="DE1594" t="s">
        <v>123</v>
      </c>
    </row>
    <row r="1595" spans="1:109" x14ac:dyDescent="0.3">
      <c r="A1595" t="str">
        <f>"19:01:23.281"</f>
        <v>19:01:23.281</v>
      </c>
      <c r="B1595" t="s">
        <v>110</v>
      </c>
      <c r="C1595" t="str">
        <f t="shared" si="72"/>
        <v>ffdfd3c0</v>
      </c>
      <c r="D1595" t="s">
        <v>111</v>
      </c>
      <c r="E1595">
        <v>18</v>
      </c>
      <c r="F1595">
        <v>1018</v>
      </c>
      <c r="G1595" t="s">
        <v>112</v>
      </c>
      <c r="J1595" t="s">
        <v>113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R1595" t="s">
        <v>114</v>
      </c>
      <c r="S1595" t="str">
        <f>"19:01:23.039"</f>
        <v>19:01:23.039</v>
      </c>
      <c r="T1595" t="str">
        <f>"19:01:22.641"</f>
        <v>19:01:22.641</v>
      </c>
      <c r="U1595" t="str">
        <f t="shared" si="73"/>
        <v>a1cdbe</v>
      </c>
      <c r="V1595">
        <v>0</v>
      </c>
      <c r="W1595">
        <v>0</v>
      </c>
      <c r="X1595">
        <v>1</v>
      </c>
      <c r="Y1595">
        <v>0</v>
      </c>
      <c r="Z1595">
        <v>0</v>
      </c>
      <c r="AB1595">
        <v>0</v>
      </c>
      <c r="AC1595">
        <v>9</v>
      </c>
      <c r="AD1595">
        <v>3</v>
      </c>
      <c r="AE1595">
        <v>0</v>
      </c>
      <c r="AF1595">
        <v>9</v>
      </c>
      <c r="AG1595" t="s">
        <v>158</v>
      </c>
      <c r="AH1595">
        <v>0</v>
      </c>
      <c r="AI1595">
        <v>3</v>
      </c>
      <c r="AJ1595">
        <v>1</v>
      </c>
      <c r="AK1595">
        <v>0</v>
      </c>
      <c r="AL1595" t="s">
        <v>3072</v>
      </c>
      <c r="AM1595">
        <v>46.823644999999999</v>
      </c>
      <c r="AN1595" t="s">
        <v>3073</v>
      </c>
      <c r="AO1595">
        <v>-122.82474499999999</v>
      </c>
      <c r="AP1595">
        <v>100</v>
      </c>
      <c r="AQ1595">
        <v>2000</v>
      </c>
      <c r="AR1595" t="s">
        <v>118</v>
      </c>
      <c r="AS1595">
        <v>-78</v>
      </c>
      <c r="AT1595">
        <v>21</v>
      </c>
      <c r="AU1595">
        <v>-128</v>
      </c>
      <c r="BC1595">
        <v>1200</v>
      </c>
      <c r="BD1595">
        <v>1</v>
      </c>
      <c r="BE1595" t="str">
        <f t="shared" si="74"/>
        <v xml:space="preserve">N215T   </v>
      </c>
      <c r="BF1595">
        <v>1</v>
      </c>
      <c r="BH1595">
        <v>0</v>
      </c>
      <c r="BI1595">
        <v>0</v>
      </c>
      <c r="BJ1595">
        <v>0</v>
      </c>
      <c r="BK1595">
        <v>2400</v>
      </c>
      <c r="BL1595">
        <v>400</v>
      </c>
      <c r="BM1595" t="s">
        <v>119</v>
      </c>
      <c r="BN1595">
        <v>1</v>
      </c>
      <c r="BO1595">
        <v>1</v>
      </c>
      <c r="BP1595">
        <v>1</v>
      </c>
      <c r="BQ1595">
        <v>0</v>
      </c>
      <c r="BT1595">
        <v>0</v>
      </c>
      <c r="BU1595">
        <v>0</v>
      </c>
      <c r="BV1595">
        <v>0</v>
      </c>
      <c r="CC1595" t="str">
        <f>"19:01:23.047"</f>
        <v>19:01:23.047</v>
      </c>
      <c r="CD1595" t="str">
        <f>"046084131"</f>
        <v>046084131</v>
      </c>
      <c r="CQ1595">
        <v>0</v>
      </c>
      <c r="CR1595">
        <v>2</v>
      </c>
      <c r="CS1595">
        <v>0</v>
      </c>
      <c r="CT1595">
        <v>2</v>
      </c>
      <c r="CU1595">
        <v>0</v>
      </c>
      <c r="CV1595">
        <v>7</v>
      </c>
      <c r="CW1595" t="s">
        <v>120</v>
      </c>
      <c r="CX1595">
        <v>261</v>
      </c>
      <c r="CY1595">
        <v>2</v>
      </c>
      <c r="CZ1595" t="s">
        <v>121</v>
      </c>
      <c r="DA1595" t="s">
        <v>122</v>
      </c>
      <c r="DD1595">
        <v>15183192</v>
      </c>
      <c r="DE1595" t="s">
        <v>123</v>
      </c>
    </row>
    <row r="1596" spans="1:109" x14ac:dyDescent="0.3">
      <c r="A1596" t="str">
        <f>"19:01:24.336"</f>
        <v>19:01:24.336</v>
      </c>
      <c r="B1596" t="s">
        <v>110</v>
      </c>
      <c r="C1596" t="str">
        <f t="shared" si="72"/>
        <v>ffdfd3c0</v>
      </c>
      <c r="D1596" t="s">
        <v>111</v>
      </c>
      <c r="E1596">
        <v>18</v>
      </c>
      <c r="F1596">
        <v>1018</v>
      </c>
      <c r="G1596" t="s">
        <v>112</v>
      </c>
      <c r="J1596" t="s">
        <v>113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R1596" t="s">
        <v>114</v>
      </c>
      <c r="S1596" t="str">
        <f>"19:01:24.141"</f>
        <v>19:01:24.141</v>
      </c>
      <c r="T1596" t="str">
        <f>"19:01:24.141"</f>
        <v>19:01:24.141</v>
      </c>
      <c r="U1596" t="str">
        <f t="shared" si="73"/>
        <v>a1cdbe</v>
      </c>
      <c r="V1596">
        <v>0</v>
      </c>
      <c r="W1596">
        <v>0</v>
      </c>
      <c r="X1596">
        <v>1</v>
      </c>
      <c r="Y1596">
        <v>0</v>
      </c>
      <c r="Z1596">
        <v>0</v>
      </c>
      <c r="AB1596">
        <v>0</v>
      </c>
      <c r="AC1596">
        <v>9</v>
      </c>
      <c r="AD1596">
        <v>3</v>
      </c>
      <c r="AE1596">
        <v>0</v>
      </c>
      <c r="AF1596">
        <v>9</v>
      </c>
      <c r="AG1596" t="s">
        <v>158</v>
      </c>
      <c r="AH1596">
        <v>0</v>
      </c>
      <c r="AI1596">
        <v>3</v>
      </c>
      <c r="AJ1596">
        <v>1</v>
      </c>
      <c r="AK1596">
        <v>0</v>
      </c>
      <c r="AL1596" t="s">
        <v>2457</v>
      </c>
      <c r="AM1596">
        <v>46.823729999999998</v>
      </c>
      <c r="AN1596" t="s">
        <v>3074</v>
      </c>
      <c r="AO1596">
        <v>-122.825346</v>
      </c>
      <c r="AP1596">
        <v>100</v>
      </c>
      <c r="AQ1596">
        <v>2000</v>
      </c>
      <c r="AR1596" t="s">
        <v>118</v>
      </c>
      <c r="AS1596">
        <v>-79</v>
      </c>
      <c r="AT1596">
        <v>21</v>
      </c>
      <c r="AU1596">
        <v>-128</v>
      </c>
      <c r="BC1596">
        <v>1200</v>
      </c>
      <c r="BD1596">
        <v>1</v>
      </c>
      <c r="BE1596" t="str">
        <f t="shared" si="74"/>
        <v xml:space="preserve">N215T   </v>
      </c>
      <c r="BF1596">
        <v>1</v>
      </c>
      <c r="BH1596">
        <v>0</v>
      </c>
      <c r="BI1596">
        <v>0</v>
      </c>
      <c r="BJ1596">
        <v>0</v>
      </c>
      <c r="BK1596">
        <v>2400</v>
      </c>
      <c r="BL1596">
        <v>400</v>
      </c>
      <c r="BM1596" t="s">
        <v>119</v>
      </c>
      <c r="BN1596">
        <v>1</v>
      </c>
      <c r="BO1596">
        <v>1</v>
      </c>
      <c r="BP1596">
        <v>1</v>
      </c>
      <c r="BQ1596">
        <v>0</v>
      </c>
      <c r="BT1596">
        <v>0</v>
      </c>
      <c r="BU1596">
        <v>0</v>
      </c>
      <c r="BV1596">
        <v>0</v>
      </c>
      <c r="CC1596" t="str">
        <f>"19:01:24.141"</f>
        <v>19:01:24.141</v>
      </c>
      <c r="CD1596" t="str">
        <f>"140976259"</f>
        <v>140976259</v>
      </c>
      <c r="CQ1596">
        <v>0</v>
      </c>
      <c r="CR1596">
        <v>2</v>
      </c>
      <c r="CS1596">
        <v>0</v>
      </c>
      <c r="CT1596">
        <v>2</v>
      </c>
      <c r="CU1596">
        <v>0</v>
      </c>
      <c r="CV1596">
        <v>6</v>
      </c>
      <c r="CW1596" t="s">
        <v>120</v>
      </c>
      <c r="CX1596">
        <v>261</v>
      </c>
      <c r="CY1596">
        <v>2</v>
      </c>
      <c r="CZ1596" t="s">
        <v>121</v>
      </c>
      <c r="DA1596" t="s">
        <v>122</v>
      </c>
      <c r="DD1596">
        <v>15183900</v>
      </c>
      <c r="DE1596" t="s">
        <v>123</v>
      </c>
    </row>
    <row r="1597" spans="1:109" x14ac:dyDescent="0.3">
      <c r="A1597" t="str">
        <f>"19:01:25.297"</f>
        <v>19:01:25.297</v>
      </c>
      <c r="B1597" t="s">
        <v>110</v>
      </c>
      <c r="C1597" t="str">
        <f t="shared" si="72"/>
        <v>ffdfd3c0</v>
      </c>
      <c r="D1597" t="s">
        <v>111</v>
      </c>
      <c r="E1597">
        <v>18</v>
      </c>
      <c r="F1597">
        <v>1018</v>
      </c>
      <c r="G1597" t="s">
        <v>112</v>
      </c>
      <c r="J1597" t="s">
        <v>113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R1597" t="s">
        <v>114</v>
      </c>
      <c r="S1597" t="str">
        <f>"19:01:25.070"</f>
        <v>19:01:25.070</v>
      </c>
      <c r="T1597" t="str">
        <f>"19:01:24.672"</f>
        <v>19:01:24.672</v>
      </c>
      <c r="U1597" t="str">
        <f t="shared" si="73"/>
        <v>a1cdbe</v>
      </c>
      <c r="V1597">
        <v>0</v>
      </c>
      <c r="W1597">
        <v>0</v>
      </c>
      <c r="X1597">
        <v>1</v>
      </c>
      <c r="Y1597">
        <v>0</v>
      </c>
      <c r="Z1597">
        <v>0</v>
      </c>
      <c r="AB1597">
        <v>0</v>
      </c>
      <c r="AC1597">
        <v>9</v>
      </c>
      <c r="AD1597">
        <v>3</v>
      </c>
      <c r="AE1597">
        <v>0</v>
      </c>
      <c r="AF1597">
        <v>9</v>
      </c>
      <c r="AG1597" t="s">
        <v>158</v>
      </c>
      <c r="AH1597">
        <v>0</v>
      </c>
      <c r="AI1597">
        <v>3</v>
      </c>
      <c r="AJ1597">
        <v>1</v>
      </c>
      <c r="AK1597">
        <v>0</v>
      </c>
      <c r="AL1597" t="s">
        <v>3075</v>
      </c>
      <c r="AM1597">
        <v>46.823816000000001</v>
      </c>
      <c r="AN1597" t="s">
        <v>3076</v>
      </c>
      <c r="AO1597">
        <v>-122.82577499999999</v>
      </c>
      <c r="AP1597">
        <v>100</v>
      </c>
      <c r="AQ1597">
        <v>2000</v>
      </c>
      <c r="AR1597" t="s">
        <v>118</v>
      </c>
      <c r="AS1597">
        <v>-78</v>
      </c>
      <c r="AT1597">
        <v>21</v>
      </c>
      <c r="AU1597">
        <v>-192</v>
      </c>
      <c r="BC1597">
        <v>1200</v>
      </c>
      <c r="BD1597">
        <v>1</v>
      </c>
      <c r="BE1597" t="str">
        <f t="shared" si="74"/>
        <v xml:space="preserve">N215T   </v>
      </c>
      <c r="BF1597">
        <v>1</v>
      </c>
      <c r="BH1597">
        <v>0</v>
      </c>
      <c r="BI1597">
        <v>0</v>
      </c>
      <c r="BJ1597">
        <v>0</v>
      </c>
      <c r="BK1597">
        <v>2375</v>
      </c>
      <c r="BL1597">
        <v>375</v>
      </c>
      <c r="BM1597" t="s">
        <v>119</v>
      </c>
      <c r="BN1597">
        <v>1</v>
      </c>
      <c r="BO1597">
        <v>1</v>
      </c>
      <c r="BP1597">
        <v>1</v>
      </c>
      <c r="BQ1597">
        <v>0</v>
      </c>
      <c r="BT1597">
        <v>0</v>
      </c>
      <c r="BU1597">
        <v>0</v>
      </c>
      <c r="BV1597">
        <v>0</v>
      </c>
      <c r="CC1597" t="str">
        <f>"19:01:25.070"</f>
        <v>19:01:25.070</v>
      </c>
      <c r="CD1597" t="str">
        <f>"070884658"</f>
        <v>070884658</v>
      </c>
      <c r="CQ1597">
        <v>0</v>
      </c>
      <c r="CR1597">
        <v>2</v>
      </c>
      <c r="CS1597">
        <v>0</v>
      </c>
      <c r="CT1597">
        <v>2</v>
      </c>
      <c r="CU1597">
        <v>0</v>
      </c>
      <c r="CV1597">
        <v>7</v>
      </c>
      <c r="CW1597" t="s">
        <v>120</v>
      </c>
      <c r="CX1597">
        <v>261</v>
      </c>
      <c r="CY1597">
        <v>2</v>
      </c>
      <c r="CZ1597" t="s">
        <v>121</v>
      </c>
      <c r="DA1597" t="s">
        <v>122</v>
      </c>
      <c r="DD1597">
        <v>15184524</v>
      </c>
      <c r="DE1597" t="s">
        <v>123</v>
      </c>
    </row>
    <row r="1598" spans="1:109" x14ac:dyDescent="0.3">
      <c r="A1598" t="str">
        <f>"19:01:26.250"</f>
        <v>19:01:26.250</v>
      </c>
      <c r="B1598" t="s">
        <v>110</v>
      </c>
      <c r="C1598" t="str">
        <f t="shared" si="72"/>
        <v>ffdfd3c0</v>
      </c>
      <c r="D1598" t="s">
        <v>111</v>
      </c>
      <c r="E1598">
        <v>18</v>
      </c>
      <c r="F1598">
        <v>1018</v>
      </c>
      <c r="G1598" t="s">
        <v>112</v>
      </c>
      <c r="J1598" t="s">
        <v>113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R1598" t="s">
        <v>114</v>
      </c>
      <c r="S1598" t="str">
        <f>"19:01:26.039"</f>
        <v>19:01:26.039</v>
      </c>
      <c r="T1598" t="str">
        <f>"19:01:25.742"</f>
        <v>19:01:25.742</v>
      </c>
      <c r="U1598" t="str">
        <f t="shared" si="73"/>
        <v>a1cdbe</v>
      </c>
      <c r="V1598">
        <v>0</v>
      </c>
      <c r="W1598">
        <v>0</v>
      </c>
      <c r="X1598">
        <v>1</v>
      </c>
      <c r="Y1598">
        <v>0</v>
      </c>
      <c r="Z1598">
        <v>0</v>
      </c>
      <c r="AB1598">
        <v>0</v>
      </c>
      <c r="AC1598">
        <v>9</v>
      </c>
      <c r="AD1598">
        <v>3</v>
      </c>
      <c r="AE1598">
        <v>0</v>
      </c>
      <c r="AF1598">
        <v>9</v>
      </c>
      <c r="AG1598" t="s">
        <v>158</v>
      </c>
      <c r="AH1598">
        <v>0</v>
      </c>
      <c r="AI1598">
        <v>3</v>
      </c>
      <c r="AJ1598">
        <v>1</v>
      </c>
      <c r="AK1598">
        <v>0</v>
      </c>
      <c r="AL1598" t="s">
        <v>3077</v>
      </c>
      <c r="AM1598">
        <v>46.823923999999998</v>
      </c>
      <c r="AN1598" t="s">
        <v>3078</v>
      </c>
      <c r="AO1598">
        <v>-122.82635500000001</v>
      </c>
      <c r="AP1598">
        <v>100</v>
      </c>
      <c r="AQ1598">
        <v>2000</v>
      </c>
      <c r="AR1598" t="s">
        <v>118</v>
      </c>
      <c r="AS1598">
        <v>-78</v>
      </c>
      <c r="AT1598">
        <v>21</v>
      </c>
      <c r="AU1598">
        <v>-192</v>
      </c>
      <c r="BC1598">
        <v>1200</v>
      </c>
      <c r="BD1598">
        <v>1</v>
      </c>
      <c r="BE1598" t="str">
        <f t="shared" si="74"/>
        <v xml:space="preserve">N215T   </v>
      </c>
      <c r="BF1598">
        <v>1</v>
      </c>
      <c r="BH1598">
        <v>0</v>
      </c>
      <c r="BI1598">
        <v>0</v>
      </c>
      <c r="BJ1598">
        <v>0</v>
      </c>
      <c r="BK1598">
        <v>2375</v>
      </c>
      <c r="BL1598">
        <v>375</v>
      </c>
      <c r="BM1598" t="s">
        <v>119</v>
      </c>
      <c r="BN1598">
        <v>1</v>
      </c>
      <c r="BO1598">
        <v>1</v>
      </c>
      <c r="BP1598">
        <v>1</v>
      </c>
      <c r="BQ1598">
        <v>0</v>
      </c>
      <c r="BT1598">
        <v>0</v>
      </c>
      <c r="BU1598">
        <v>0</v>
      </c>
      <c r="BV1598">
        <v>0</v>
      </c>
      <c r="CC1598" t="str">
        <f>"19:01:26.047"</f>
        <v>19:01:26.047</v>
      </c>
      <c r="CD1598" t="str">
        <f>"045788614"</f>
        <v>045788614</v>
      </c>
      <c r="CQ1598">
        <v>0</v>
      </c>
      <c r="CR1598">
        <v>2</v>
      </c>
      <c r="CS1598">
        <v>0</v>
      </c>
      <c r="CT1598">
        <v>2</v>
      </c>
      <c r="CU1598">
        <v>0</v>
      </c>
      <c r="CV1598">
        <v>7</v>
      </c>
      <c r="CW1598" t="s">
        <v>120</v>
      </c>
      <c r="CX1598">
        <v>261</v>
      </c>
      <c r="CY1598">
        <v>2</v>
      </c>
      <c r="CZ1598" t="s">
        <v>121</v>
      </c>
      <c r="DA1598" t="s">
        <v>122</v>
      </c>
      <c r="DD1598">
        <v>15185162</v>
      </c>
      <c r="DE1598" t="s">
        <v>123</v>
      </c>
    </row>
    <row r="1599" spans="1:109" x14ac:dyDescent="0.3">
      <c r="A1599" t="str">
        <f>"19:01:27.406"</f>
        <v>19:01:27.406</v>
      </c>
      <c r="B1599" t="s">
        <v>110</v>
      </c>
      <c r="C1599" t="str">
        <f t="shared" si="72"/>
        <v>ffdfd3c0</v>
      </c>
      <c r="D1599" t="s">
        <v>111</v>
      </c>
      <c r="E1599">
        <v>18</v>
      </c>
      <c r="F1599">
        <v>1018</v>
      </c>
      <c r="G1599" t="s">
        <v>112</v>
      </c>
      <c r="J1599" t="s">
        <v>113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R1599" t="s">
        <v>114</v>
      </c>
      <c r="S1599" t="str">
        <f>"19:01:27.148"</f>
        <v>19:01:27.148</v>
      </c>
      <c r="T1599" t="str">
        <f>"19:01:27.148"</f>
        <v>19:01:27.148</v>
      </c>
      <c r="U1599" t="str">
        <f t="shared" si="73"/>
        <v>a1cdbe</v>
      </c>
      <c r="V1599">
        <v>0</v>
      </c>
      <c r="W1599">
        <v>0</v>
      </c>
      <c r="X1599">
        <v>1</v>
      </c>
      <c r="Y1599">
        <v>0</v>
      </c>
      <c r="Z1599">
        <v>0</v>
      </c>
      <c r="AB1599">
        <v>0</v>
      </c>
      <c r="AC1599">
        <v>9</v>
      </c>
      <c r="AD1599">
        <v>3</v>
      </c>
      <c r="AE1599">
        <v>0</v>
      </c>
      <c r="AF1599">
        <v>9</v>
      </c>
      <c r="AG1599" t="s">
        <v>158</v>
      </c>
      <c r="AH1599">
        <v>0</v>
      </c>
      <c r="AI1599">
        <v>3</v>
      </c>
      <c r="AJ1599">
        <v>1</v>
      </c>
      <c r="AK1599">
        <v>0</v>
      </c>
      <c r="AL1599" t="s">
        <v>3079</v>
      </c>
      <c r="AM1599">
        <v>46.824052000000002</v>
      </c>
      <c r="AN1599" t="s">
        <v>3080</v>
      </c>
      <c r="AO1599">
        <v>-122.826891</v>
      </c>
      <c r="AP1599">
        <v>100</v>
      </c>
      <c r="AQ1599">
        <v>2000</v>
      </c>
      <c r="AR1599" t="s">
        <v>118</v>
      </c>
      <c r="AS1599">
        <v>-78</v>
      </c>
      <c r="AT1599">
        <v>21</v>
      </c>
      <c r="AU1599">
        <v>-320</v>
      </c>
      <c r="BC1599">
        <v>1200</v>
      </c>
      <c r="BD1599">
        <v>1</v>
      </c>
      <c r="BE1599" t="str">
        <f t="shared" si="74"/>
        <v xml:space="preserve">N215T   </v>
      </c>
      <c r="BF1599">
        <v>1</v>
      </c>
      <c r="BH1599">
        <v>0</v>
      </c>
      <c r="BI1599">
        <v>0</v>
      </c>
      <c r="BJ1599">
        <v>0</v>
      </c>
      <c r="BK1599">
        <v>2375</v>
      </c>
      <c r="BL1599">
        <v>375</v>
      </c>
      <c r="BM1599" t="s">
        <v>119</v>
      </c>
      <c r="BN1599">
        <v>1</v>
      </c>
      <c r="BO1599">
        <v>1</v>
      </c>
      <c r="BP1599">
        <v>1</v>
      </c>
      <c r="BQ1599">
        <v>0</v>
      </c>
      <c r="BT1599">
        <v>0</v>
      </c>
      <c r="BU1599">
        <v>0</v>
      </c>
      <c r="BV1599">
        <v>0</v>
      </c>
      <c r="CC1599" t="str">
        <f>"19:01:27.156"</f>
        <v>19:01:27.156</v>
      </c>
      <c r="CD1599" t="str">
        <f>"155679264"</f>
        <v>155679264</v>
      </c>
      <c r="CQ1599">
        <v>0</v>
      </c>
      <c r="CR1599">
        <v>2</v>
      </c>
      <c r="CS1599">
        <v>0</v>
      </c>
      <c r="CT1599">
        <v>2</v>
      </c>
      <c r="CU1599">
        <v>0</v>
      </c>
      <c r="CV1599">
        <v>7</v>
      </c>
      <c r="CW1599" t="s">
        <v>120</v>
      </c>
      <c r="CX1599">
        <v>261</v>
      </c>
      <c r="CY1599">
        <v>2</v>
      </c>
      <c r="CZ1599" t="s">
        <v>121</v>
      </c>
      <c r="DA1599" t="s">
        <v>122</v>
      </c>
      <c r="DD1599">
        <v>15185815</v>
      </c>
      <c r="DE1599" t="s">
        <v>123</v>
      </c>
    </row>
    <row r="1600" spans="1:109" x14ac:dyDescent="0.3">
      <c r="A1600" t="str">
        <f>"19:01:28.414"</f>
        <v>19:01:28.414</v>
      </c>
      <c r="B1600" t="s">
        <v>110</v>
      </c>
      <c r="C1600" t="str">
        <f t="shared" si="72"/>
        <v>ffdfd3c0</v>
      </c>
      <c r="D1600" t="s">
        <v>111</v>
      </c>
      <c r="E1600">
        <v>18</v>
      </c>
      <c r="F1600">
        <v>1018</v>
      </c>
      <c r="G1600" t="s">
        <v>112</v>
      </c>
      <c r="J1600" t="s">
        <v>113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R1600" t="s">
        <v>114</v>
      </c>
      <c r="S1600" t="str">
        <f>"19:01:28.172"</f>
        <v>19:01:28.172</v>
      </c>
      <c r="T1600" t="str">
        <f>"19:01:27.672"</f>
        <v>19:01:27.672</v>
      </c>
      <c r="U1600" t="str">
        <f t="shared" si="73"/>
        <v>a1cdbe</v>
      </c>
      <c r="V1600">
        <v>0</v>
      </c>
      <c r="W1600">
        <v>0</v>
      </c>
      <c r="X1600">
        <v>1</v>
      </c>
      <c r="Y1600">
        <v>0</v>
      </c>
      <c r="Z1600">
        <v>0</v>
      </c>
      <c r="AB1600">
        <v>0</v>
      </c>
      <c r="AC1600">
        <v>9</v>
      </c>
      <c r="AD1600">
        <v>3</v>
      </c>
      <c r="AE1600">
        <v>0</v>
      </c>
      <c r="AF1600">
        <v>9</v>
      </c>
      <c r="AG1600" t="s">
        <v>158</v>
      </c>
      <c r="AH1600">
        <v>0</v>
      </c>
      <c r="AI1600">
        <v>3</v>
      </c>
      <c r="AJ1600">
        <v>1</v>
      </c>
      <c r="AK1600">
        <v>0</v>
      </c>
      <c r="AL1600" t="s">
        <v>3081</v>
      </c>
      <c r="AM1600">
        <v>46.824159999999999</v>
      </c>
      <c r="AN1600" t="s">
        <v>3082</v>
      </c>
      <c r="AO1600">
        <v>-122.827427</v>
      </c>
      <c r="AP1600">
        <v>100</v>
      </c>
      <c r="AQ1600">
        <v>2000</v>
      </c>
      <c r="AR1600" t="s">
        <v>118</v>
      </c>
      <c r="AS1600">
        <v>-78</v>
      </c>
      <c r="AT1600">
        <v>22</v>
      </c>
      <c r="AU1600">
        <v>-320</v>
      </c>
      <c r="BC1600">
        <v>1200</v>
      </c>
      <c r="BD1600">
        <v>1</v>
      </c>
      <c r="BE1600" t="str">
        <f t="shared" si="74"/>
        <v xml:space="preserve">N215T   </v>
      </c>
      <c r="BF1600">
        <v>1</v>
      </c>
      <c r="BH1600">
        <v>0</v>
      </c>
      <c r="BI1600">
        <v>0</v>
      </c>
      <c r="BJ1600">
        <v>0</v>
      </c>
      <c r="BK1600">
        <v>2375</v>
      </c>
      <c r="BL1600">
        <v>375</v>
      </c>
      <c r="BM1600" t="s">
        <v>119</v>
      </c>
      <c r="BN1600">
        <v>1</v>
      </c>
      <c r="BO1600">
        <v>1</v>
      </c>
      <c r="BP1600">
        <v>1</v>
      </c>
      <c r="BQ1600">
        <v>0</v>
      </c>
      <c r="BT1600">
        <v>0</v>
      </c>
      <c r="BU1600">
        <v>0</v>
      </c>
      <c r="BV1600">
        <v>0</v>
      </c>
      <c r="CC1600" t="str">
        <f>"19:01:28.172"</f>
        <v>19:01:28.172</v>
      </c>
      <c r="CD1600" t="str">
        <f>"175578786"</f>
        <v>175578786</v>
      </c>
      <c r="CQ1600">
        <v>0</v>
      </c>
      <c r="CR1600">
        <v>2</v>
      </c>
      <c r="CS1600">
        <v>0</v>
      </c>
      <c r="CT1600">
        <v>2</v>
      </c>
      <c r="CU1600">
        <v>0</v>
      </c>
      <c r="CV1600">
        <v>7</v>
      </c>
      <c r="CW1600" t="s">
        <v>120</v>
      </c>
      <c r="CX1600">
        <v>261</v>
      </c>
      <c r="CY1600">
        <v>2</v>
      </c>
      <c r="CZ1600" t="s">
        <v>121</v>
      </c>
      <c r="DA1600" t="s">
        <v>122</v>
      </c>
      <c r="DD1600">
        <v>15186484</v>
      </c>
      <c r="DE1600" t="s">
        <v>123</v>
      </c>
    </row>
    <row r="1601" spans="1:109" x14ac:dyDescent="0.3">
      <c r="A1601" t="str">
        <f>"19:01:29.414"</f>
        <v>19:01:29.414</v>
      </c>
      <c r="B1601" t="s">
        <v>110</v>
      </c>
      <c r="C1601" t="str">
        <f t="shared" si="72"/>
        <v>ffdfd3c0</v>
      </c>
      <c r="D1601" t="s">
        <v>111</v>
      </c>
      <c r="E1601">
        <v>18</v>
      </c>
      <c r="F1601">
        <v>1018</v>
      </c>
      <c r="G1601" t="s">
        <v>112</v>
      </c>
      <c r="J1601" t="s">
        <v>113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R1601" t="s">
        <v>114</v>
      </c>
      <c r="S1601" t="str">
        <f>"19:01:29.180"</f>
        <v>19:01:29.180</v>
      </c>
      <c r="T1601" t="str">
        <f>"19:01:29.180"</f>
        <v>19:01:29.180</v>
      </c>
      <c r="U1601" t="str">
        <f t="shared" si="73"/>
        <v>a1cdbe</v>
      </c>
      <c r="V1601">
        <v>0</v>
      </c>
      <c r="W1601">
        <v>0</v>
      </c>
      <c r="X1601">
        <v>1</v>
      </c>
      <c r="Y1601">
        <v>0</v>
      </c>
      <c r="Z1601">
        <v>0</v>
      </c>
      <c r="AB1601">
        <v>0</v>
      </c>
      <c r="AC1601">
        <v>9</v>
      </c>
      <c r="AD1601">
        <v>3</v>
      </c>
      <c r="AE1601">
        <v>0</v>
      </c>
      <c r="AF1601">
        <v>9</v>
      </c>
      <c r="AG1601" t="s">
        <v>158</v>
      </c>
      <c r="AH1601">
        <v>0</v>
      </c>
      <c r="AI1601">
        <v>3</v>
      </c>
      <c r="AJ1601">
        <v>1</v>
      </c>
      <c r="AK1601">
        <v>0</v>
      </c>
      <c r="AL1601" t="s">
        <v>3083</v>
      </c>
      <c r="AM1601">
        <v>46.824224000000001</v>
      </c>
      <c r="AN1601" t="s">
        <v>3084</v>
      </c>
      <c r="AO1601">
        <v>-122.82794199999999</v>
      </c>
      <c r="AP1601">
        <v>100</v>
      </c>
      <c r="AQ1601">
        <v>2000</v>
      </c>
      <c r="AR1601" t="s">
        <v>118</v>
      </c>
      <c r="AS1601">
        <v>-78</v>
      </c>
      <c r="AT1601">
        <v>23</v>
      </c>
      <c r="AU1601">
        <v>-256</v>
      </c>
      <c r="BC1601">
        <v>1200</v>
      </c>
      <c r="BD1601">
        <v>1</v>
      </c>
      <c r="BE1601" t="str">
        <f t="shared" si="74"/>
        <v xml:space="preserve">N215T   </v>
      </c>
      <c r="BF1601">
        <v>1</v>
      </c>
      <c r="BH1601">
        <v>0</v>
      </c>
      <c r="BI1601">
        <v>0</v>
      </c>
      <c r="BJ1601">
        <v>0</v>
      </c>
      <c r="BK1601">
        <v>2375</v>
      </c>
      <c r="BL1601">
        <v>375</v>
      </c>
      <c r="BM1601" t="s">
        <v>119</v>
      </c>
      <c r="BN1601">
        <v>1</v>
      </c>
      <c r="BO1601">
        <v>1</v>
      </c>
      <c r="BP1601">
        <v>1</v>
      </c>
      <c r="BQ1601">
        <v>0</v>
      </c>
      <c r="BT1601">
        <v>0</v>
      </c>
      <c r="BU1601">
        <v>0</v>
      </c>
      <c r="BV1601">
        <v>0</v>
      </c>
      <c r="CC1601" t="str">
        <f>"19:01:29.180"</f>
        <v>19:01:29.180</v>
      </c>
      <c r="CD1601" t="str">
        <f>"180479784"</f>
        <v>180479784</v>
      </c>
      <c r="CQ1601">
        <v>0</v>
      </c>
      <c r="CR1601">
        <v>2</v>
      </c>
      <c r="CS1601">
        <v>0</v>
      </c>
      <c r="CT1601">
        <v>2</v>
      </c>
      <c r="CU1601">
        <v>0</v>
      </c>
      <c r="CV1601">
        <v>7</v>
      </c>
      <c r="CW1601" t="s">
        <v>120</v>
      </c>
      <c r="CX1601">
        <v>261</v>
      </c>
      <c r="CY1601">
        <v>2</v>
      </c>
      <c r="CZ1601" t="s">
        <v>121</v>
      </c>
      <c r="DA1601" t="s">
        <v>122</v>
      </c>
      <c r="DD1601">
        <v>15187088</v>
      </c>
      <c r="DE1601" t="s">
        <v>123</v>
      </c>
    </row>
    <row r="1602" spans="1:109" x14ac:dyDescent="0.3">
      <c r="A1602" t="str">
        <f>"19:01:30.375"</f>
        <v>19:01:30.375</v>
      </c>
      <c r="B1602" t="s">
        <v>110</v>
      </c>
      <c r="C1602" t="str">
        <f t="shared" ref="C1602:C1665" si="75">"ffdfd3c0"</f>
        <v>ffdfd3c0</v>
      </c>
      <c r="D1602" t="s">
        <v>111</v>
      </c>
      <c r="E1602">
        <v>18</v>
      </c>
      <c r="F1602">
        <v>1018</v>
      </c>
      <c r="G1602" t="s">
        <v>112</v>
      </c>
      <c r="J1602" t="s">
        <v>113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R1602" t="s">
        <v>114</v>
      </c>
      <c r="S1602" t="str">
        <f>"19:01:30.148"</f>
        <v>19:01:30.148</v>
      </c>
      <c r="T1602" t="str">
        <f>"19:01:29.852"</f>
        <v>19:01:29.852</v>
      </c>
      <c r="U1602" t="str">
        <f t="shared" ref="U1602:U1665" si="76">"a1cdbe"</f>
        <v>a1cdbe</v>
      </c>
      <c r="V1602">
        <v>0</v>
      </c>
      <c r="W1602">
        <v>0</v>
      </c>
      <c r="X1602">
        <v>1</v>
      </c>
      <c r="Y1602">
        <v>0</v>
      </c>
      <c r="Z1602">
        <v>0</v>
      </c>
      <c r="AB1602">
        <v>0</v>
      </c>
      <c r="AC1602">
        <v>9</v>
      </c>
      <c r="AD1602">
        <v>3</v>
      </c>
      <c r="AE1602">
        <v>0</v>
      </c>
      <c r="AF1602">
        <v>9</v>
      </c>
      <c r="AG1602" t="s">
        <v>158</v>
      </c>
      <c r="AH1602">
        <v>0</v>
      </c>
      <c r="AI1602">
        <v>3</v>
      </c>
      <c r="AJ1602">
        <v>1</v>
      </c>
      <c r="AK1602">
        <v>0</v>
      </c>
      <c r="AL1602" t="s">
        <v>3085</v>
      </c>
      <c r="AM1602">
        <v>46.824373999999999</v>
      </c>
      <c r="AN1602" t="s">
        <v>3086</v>
      </c>
      <c r="AO1602">
        <v>-122.828479</v>
      </c>
      <c r="AP1602">
        <v>100</v>
      </c>
      <c r="AQ1602">
        <v>2000</v>
      </c>
      <c r="AR1602" t="s">
        <v>118</v>
      </c>
      <c r="AS1602">
        <v>-78</v>
      </c>
      <c r="AT1602">
        <v>23</v>
      </c>
      <c r="AU1602">
        <v>-192</v>
      </c>
      <c r="BC1602">
        <v>1200</v>
      </c>
      <c r="BD1602">
        <v>1</v>
      </c>
      <c r="BE1602" t="str">
        <f t="shared" ref="BE1602:BE1665" si="77">"N215T   "</f>
        <v xml:space="preserve">N215T   </v>
      </c>
      <c r="BF1602">
        <v>1</v>
      </c>
      <c r="BH1602">
        <v>0</v>
      </c>
      <c r="BI1602">
        <v>0</v>
      </c>
      <c r="BJ1602">
        <v>0</v>
      </c>
      <c r="BK1602">
        <v>2350</v>
      </c>
      <c r="BL1602">
        <v>350</v>
      </c>
      <c r="BM1602" t="s">
        <v>119</v>
      </c>
      <c r="BN1602">
        <v>1</v>
      </c>
      <c r="BO1602">
        <v>1</v>
      </c>
      <c r="BP1602">
        <v>1</v>
      </c>
      <c r="BQ1602">
        <v>0</v>
      </c>
      <c r="BT1602">
        <v>0</v>
      </c>
      <c r="BU1602">
        <v>0</v>
      </c>
      <c r="BV1602">
        <v>0</v>
      </c>
      <c r="CC1602" t="str">
        <f>"19:01:30.156"</f>
        <v>19:01:30.156</v>
      </c>
      <c r="CD1602" t="str">
        <f>"155383729"</f>
        <v>155383729</v>
      </c>
      <c r="CQ1602">
        <v>0</v>
      </c>
      <c r="CR1602">
        <v>2</v>
      </c>
      <c r="CS1602">
        <v>0</v>
      </c>
      <c r="CT1602">
        <v>2</v>
      </c>
      <c r="CU1602">
        <v>0</v>
      </c>
      <c r="CV1602">
        <v>7</v>
      </c>
      <c r="CW1602" t="s">
        <v>120</v>
      </c>
      <c r="CX1602">
        <v>261</v>
      </c>
      <c r="CY1602">
        <v>2</v>
      </c>
      <c r="CZ1602" t="s">
        <v>121</v>
      </c>
      <c r="DA1602" t="s">
        <v>122</v>
      </c>
      <c r="DD1602">
        <v>15187756</v>
      </c>
      <c r="DE1602" t="s">
        <v>123</v>
      </c>
    </row>
    <row r="1603" spans="1:109" x14ac:dyDescent="0.3">
      <c r="A1603" t="str">
        <f>"19:01:31.227"</f>
        <v>19:01:31.227</v>
      </c>
      <c r="B1603" t="s">
        <v>110</v>
      </c>
      <c r="C1603" t="str">
        <f t="shared" si="75"/>
        <v>ffdfd3c0</v>
      </c>
      <c r="D1603" t="s">
        <v>111</v>
      </c>
      <c r="E1603">
        <v>18</v>
      </c>
      <c r="F1603">
        <v>1018</v>
      </c>
      <c r="G1603" t="s">
        <v>112</v>
      </c>
      <c r="J1603" t="s">
        <v>113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R1603" t="s">
        <v>114</v>
      </c>
      <c r="S1603" t="str">
        <f>"19:01:31.023"</f>
        <v>19:01:31.023</v>
      </c>
      <c r="T1603" t="str">
        <f>"19:01:30.820"</f>
        <v>19:01:30.820</v>
      </c>
      <c r="U1603" t="str">
        <f t="shared" si="76"/>
        <v>a1cdbe</v>
      </c>
      <c r="V1603">
        <v>0</v>
      </c>
      <c r="W1603">
        <v>0</v>
      </c>
      <c r="X1603">
        <v>1</v>
      </c>
      <c r="Y1603">
        <v>0</v>
      </c>
      <c r="Z1603">
        <v>0</v>
      </c>
      <c r="AB1603">
        <v>0</v>
      </c>
      <c r="AC1603">
        <v>9</v>
      </c>
      <c r="AD1603">
        <v>3</v>
      </c>
      <c r="AE1603">
        <v>0</v>
      </c>
      <c r="AF1603">
        <v>9</v>
      </c>
      <c r="AG1603" t="s">
        <v>158</v>
      </c>
      <c r="AH1603">
        <v>0</v>
      </c>
      <c r="AI1603">
        <v>3</v>
      </c>
      <c r="AJ1603">
        <v>1</v>
      </c>
      <c r="AK1603">
        <v>0</v>
      </c>
      <c r="AL1603" t="s">
        <v>3087</v>
      </c>
      <c r="AM1603">
        <v>46.824480999999999</v>
      </c>
      <c r="AN1603" t="s">
        <v>3088</v>
      </c>
      <c r="AO1603">
        <v>-122.828929</v>
      </c>
      <c r="AP1603">
        <v>100</v>
      </c>
      <c r="AQ1603">
        <v>2000</v>
      </c>
      <c r="AR1603" t="s">
        <v>118</v>
      </c>
      <c r="AS1603">
        <v>-77</v>
      </c>
      <c r="AT1603">
        <v>24</v>
      </c>
      <c r="AU1603">
        <v>-192</v>
      </c>
      <c r="BC1603">
        <v>1200</v>
      </c>
      <c r="BD1603">
        <v>1</v>
      </c>
      <c r="BE1603" t="str">
        <f t="shared" si="77"/>
        <v xml:space="preserve">N215T   </v>
      </c>
      <c r="BF1603">
        <v>1</v>
      </c>
      <c r="BH1603">
        <v>0</v>
      </c>
      <c r="BI1603">
        <v>0</v>
      </c>
      <c r="BJ1603">
        <v>0</v>
      </c>
      <c r="BK1603">
        <v>2350</v>
      </c>
      <c r="BL1603">
        <v>350</v>
      </c>
      <c r="BM1603" t="s">
        <v>119</v>
      </c>
      <c r="BN1603">
        <v>1</v>
      </c>
      <c r="BO1603">
        <v>1</v>
      </c>
      <c r="BP1603">
        <v>1</v>
      </c>
      <c r="BQ1603">
        <v>0</v>
      </c>
      <c r="BT1603">
        <v>0</v>
      </c>
      <c r="BU1603">
        <v>0</v>
      </c>
      <c r="BV1603">
        <v>0</v>
      </c>
      <c r="CC1603" t="str">
        <f>"19:01:31.023"</f>
        <v>19:01:31.023</v>
      </c>
      <c r="CD1603" t="str">
        <f>"025298021"</f>
        <v>025298021</v>
      </c>
      <c r="CQ1603">
        <v>0</v>
      </c>
      <c r="CR1603">
        <v>2</v>
      </c>
      <c r="CS1603">
        <v>0</v>
      </c>
      <c r="CT1603">
        <v>2</v>
      </c>
      <c r="CU1603">
        <v>0</v>
      </c>
      <c r="CV1603">
        <v>7</v>
      </c>
      <c r="CW1603" t="s">
        <v>120</v>
      </c>
      <c r="CX1603">
        <v>261</v>
      </c>
      <c r="CY1603">
        <v>2</v>
      </c>
      <c r="CZ1603" t="s">
        <v>121</v>
      </c>
      <c r="DA1603" t="s">
        <v>122</v>
      </c>
      <c r="DD1603">
        <v>15188306</v>
      </c>
      <c r="DE1603" t="s">
        <v>123</v>
      </c>
    </row>
    <row r="1604" spans="1:109" x14ac:dyDescent="0.3">
      <c r="A1604" t="str">
        <f>"19:01:32.281"</f>
        <v>19:01:32.281</v>
      </c>
      <c r="B1604" t="s">
        <v>110</v>
      </c>
      <c r="C1604" t="str">
        <f t="shared" si="75"/>
        <v>ffdfd3c0</v>
      </c>
      <c r="D1604" t="s">
        <v>111</v>
      </c>
      <c r="E1604">
        <v>18</v>
      </c>
      <c r="F1604">
        <v>1018</v>
      </c>
      <c r="G1604" t="s">
        <v>112</v>
      </c>
      <c r="J1604" t="s">
        <v>113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R1604" t="s">
        <v>114</v>
      </c>
      <c r="S1604" t="str">
        <f>"19:01:32.039"</f>
        <v>19:01:32.039</v>
      </c>
      <c r="T1604" t="str">
        <f>"19:01:31.742"</f>
        <v>19:01:31.742</v>
      </c>
      <c r="U1604" t="str">
        <f t="shared" si="76"/>
        <v>a1cdbe</v>
      </c>
      <c r="V1604">
        <v>0</v>
      </c>
      <c r="W1604">
        <v>0</v>
      </c>
      <c r="X1604">
        <v>1</v>
      </c>
      <c r="Y1604">
        <v>0</v>
      </c>
      <c r="Z1604">
        <v>0</v>
      </c>
      <c r="AB1604">
        <v>0</v>
      </c>
      <c r="AC1604">
        <v>9</v>
      </c>
      <c r="AD1604">
        <v>3</v>
      </c>
      <c r="AE1604">
        <v>0</v>
      </c>
      <c r="AF1604">
        <v>9</v>
      </c>
      <c r="AG1604" t="s">
        <v>158</v>
      </c>
      <c r="AH1604">
        <v>0</v>
      </c>
      <c r="AI1604">
        <v>3</v>
      </c>
      <c r="AJ1604">
        <v>1</v>
      </c>
      <c r="AK1604">
        <v>0</v>
      </c>
      <c r="AL1604" t="s">
        <v>3089</v>
      </c>
      <c r="AM1604">
        <v>46.82461</v>
      </c>
      <c r="AN1604" t="s">
        <v>3090</v>
      </c>
      <c r="AO1604">
        <v>-122.82942300000001</v>
      </c>
      <c r="AP1604">
        <v>100</v>
      </c>
      <c r="AQ1604">
        <v>2000</v>
      </c>
      <c r="AR1604" t="s">
        <v>118</v>
      </c>
      <c r="AS1604">
        <v>-77</v>
      </c>
      <c r="AT1604">
        <v>25</v>
      </c>
      <c r="AU1604">
        <v>-128</v>
      </c>
      <c r="BC1604">
        <v>1200</v>
      </c>
      <c r="BD1604">
        <v>1</v>
      </c>
      <c r="BE1604" t="str">
        <f t="shared" si="77"/>
        <v xml:space="preserve">N215T   </v>
      </c>
      <c r="BF1604">
        <v>1</v>
      </c>
      <c r="BH1604">
        <v>0</v>
      </c>
      <c r="BI1604">
        <v>0</v>
      </c>
      <c r="BJ1604">
        <v>0</v>
      </c>
      <c r="BK1604">
        <v>2350</v>
      </c>
      <c r="BL1604">
        <v>350</v>
      </c>
      <c r="BM1604" t="s">
        <v>119</v>
      </c>
      <c r="BN1604">
        <v>1</v>
      </c>
      <c r="BO1604">
        <v>1</v>
      </c>
      <c r="BP1604">
        <v>1</v>
      </c>
      <c r="BQ1604">
        <v>0</v>
      </c>
      <c r="BT1604">
        <v>0</v>
      </c>
      <c r="BU1604">
        <v>0</v>
      </c>
      <c r="BV1604">
        <v>0</v>
      </c>
      <c r="CC1604" t="str">
        <f>"19:01:32.047"</f>
        <v>19:01:32.047</v>
      </c>
      <c r="CD1604" t="str">
        <f>"045197538"</f>
        <v>045197538</v>
      </c>
      <c r="CQ1604">
        <v>0</v>
      </c>
      <c r="CR1604">
        <v>2</v>
      </c>
      <c r="CS1604">
        <v>0</v>
      </c>
      <c r="CT1604">
        <v>2</v>
      </c>
      <c r="CU1604">
        <v>0</v>
      </c>
      <c r="CV1604">
        <v>7</v>
      </c>
      <c r="CW1604" t="s">
        <v>120</v>
      </c>
      <c r="CX1604">
        <v>261</v>
      </c>
      <c r="CY1604">
        <v>2</v>
      </c>
      <c r="CZ1604" t="s">
        <v>121</v>
      </c>
      <c r="DA1604" t="s">
        <v>122</v>
      </c>
      <c r="DD1604">
        <v>15188948</v>
      </c>
      <c r="DE1604" t="s">
        <v>123</v>
      </c>
    </row>
    <row r="1605" spans="1:109" x14ac:dyDescent="0.3">
      <c r="A1605" t="str">
        <f>"19:01:33.289"</f>
        <v>19:01:33.289</v>
      </c>
      <c r="B1605" t="s">
        <v>110</v>
      </c>
      <c r="C1605" t="str">
        <f t="shared" si="75"/>
        <v>ffdfd3c0</v>
      </c>
      <c r="D1605" t="s">
        <v>111</v>
      </c>
      <c r="E1605">
        <v>18</v>
      </c>
      <c r="F1605">
        <v>1018</v>
      </c>
      <c r="G1605" t="s">
        <v>112</v>
      </c>
      <c r="J1605" t="s">
        <v>113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R1605" t="s">
        <v>114</v>
      </c>
      <c r="S1605" t="str">
        <f>"19:01:33.078"</f>
        <v>19:01:33.078</v>
      </c>
      <c r="T1605" t="str">
        <f>"19:01:32.875"</f>
        <v>19:01:32.875</v>
      </c>
      <c r="U1605" t="str">
        <f t="shared" si="76"/>
        <v>a1cdbe</v>
      </c>
      <c r="V1605">
        <v>0</v>
      </c>
      <c r="W1605">
        <v>0</v>
      </c>
      <c r="X1605">
        <v>1</v>
      </c>
      <c r="Y1605">
        <v>0</v>
      </c>
      <c r="Z1605">
        <v>0</v>
      </c>
      <c r="AB1605">
        <v>0</v>
      </c>
      <c r="AC1605">
        <v>9</v>
      </c>
      <c r="AD1605">
        <v>3</v>
      </c>
      <c r="AE1605">
        <v>0</v>
      </c>
      <c r="AF1605">
        <v>9</v>
      </c>
      <c r="AG1605" t="s">
        <v>158</v>
      </c>
      <c r="AH1605">
        <v>0</v>
      </c>
      <c r="AI1605">
        <v>3</v>
      </c>
      <c r="AJ1605">
        <v>1</v>
      </c>
      <c r="AK1605">
        <v>0</v>
      </c>
      <c r="AL1605" t="s">
        <v>2447</v>
      </c>
      <c r="AM1605">
        <v>46.824717999999997</v>
      </c>
      <c r="AN1605" t="s">
        <v>3091</v>
      </c>
      <c r="AO1605">
        <v>-122.829959</v>
      </c>
      <c r="AP1605">
        <v>100</v>
      </c>
      <c r="AQ1605">
        <v>2000</v>
      </c>
      <c r="AR1605" t="s">
        <v>118</v>
      </c>
      <c r="AS1605">
        <v>-77</v>
      </c>
      <c r="AT1605">
        <v>25</v>
      </c>
      <c r="AU1605">
        <v>-128</v>
      </c>
      <c r="BC1605">
        <v>1200</v>
      </c>
      <c r="BD1605">
        <v>1</v>
      </c>
      <c r="BE1605" t="str">
        <f t="shared" si="77"/>
        <v xml:space="preserve">N215T   </v>
      </c>
      <c r="BF1605">
        <v>1</v>
      </c>
      <c r="BH1605">
        <v>0</v>
      </c>
      <c r="BI1605">
        <v>0</v>
      </c>
      <c r="BJ1605">
        <v>0</v>
      </c>
      <c r="BK1605">
        <v>2350</v>
      </c>
      <c r="BL1605">
        <v>350</v>
      </c>
      <c r="BM1605" t="s">
        <v>119</v>
      </c>
      <c r="BN1605">
        <v>1</v>
      </c>
      <c r="BO1605">
        <v>1</v>
      </c>
      <c r="BP1605">
        <v>1</v>
      </c>
      <c r="BQ1605">
        <v>0</v>
      </c>
      <c r="BT1605">
        <v>0</v>
      </c>
      <c r="BU1605">
        <v>0</v>
      </c>
      <c r="BV1605">
        <v>0</v>
      </c>
      <c r="CC1605" t="str">
        <f>"19:01:33.078"</f>
        <v>19:01:33.078</v>
      </c>
      <c r="CD1605" t="str">
        <f>"080095567"</f>
        <v>080095567</v>
      </c>
      <c r="CQ1605">
        <v>0</v>
      </c>
      <c r="CR1605">
        <v>2</v>
      </c>
      <c r="CS1605">
        <v>0</v>
      </c>
      <c r="CT1605">
        <v>2</v>
      </c>
      <c r="CU1605">
        <v>0</v>
      </c>
      <c r="CV1605">
        <v>7</v>
      </c>
      <c r="CW1605" t="s">
        <v>120</v>
      </c>
      <c r="CX1605">
        <v>261</v>
      </c>
      <c r="CY1605">
        <v>2</v>
      </c>
      <c r="CZ1605" t="s">
        <v>121</v>
      </c>
      <c r="DA1605" t="s">
        <v>122</v>
      </c>
      <c r="DD1605">
        <v>15189537</v>
      </c>
      <c r="DE1605" t="s">
        <v>123</v>
      </c>
    </row>
    <row r="1606" spans="1:109" x14ac:dyDescent="0.3">
      <c r="A1606" t="str">
        <f>"19:01:34.297"</f>
        <v>19:01:34.297</v>
      </c>
      <c r="B1606" t="s">
        <v>110</v>
      </c>
      <c r="C1606" t="str">
        <f t="shared" si="75"/>
        <v>ffdfd3c0</v>
      </c>
      <c r="D1606" t="s">
        <v>111</v>
      </c>
      <c r="E1606">
        <v>18</v>
      </c>
      <c r="F1606">
        <v>1018</v>
      </c>
      <c r="G1606" t="s">
        <v>112</v>
      </c>
      <c r="J1606" t="s">
        <v>113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R1606" t="s">
        <v>114</v>
      </c>
      <c r="S1606" t="str">
        <f>"19:01:34.039"</f>
        <v>19:01:34.039</v>
      </c>
      <c r="T1606" t="str">
        <f>"19:01:33.938"</f>
        <v>19:01:33.938</v>
      </c>
      <c r="U1606" t="str">
        <f t="shared" si="76"/>
        <v>a1cdbe</v>
      </c>
      <c r="V1606">
        <v>0</v>
      </c>
      <c r="W1606">
        <v>0</v>
      </c>
      <c r="X1606">
        <v>1</v>
      </c>
      <c r="Y1606">
        <v>0</v>
      </c>
      <c r="Z1606">
        <v>0</v>
      </c>
      <c r="AB1606">
        <v>0</v>
      </c>
      <c r="AC1606">
        <v>9</v>
      </c>
      <c r="AD1606">
        <v>3</v>
      </c>
      <c r="AE1606">
        <v>0</v>
      </c>
      <c r="AF1606">
        <v>9</v>
      </c>
      <c r="AG1606" t="s">
        <v>158</v>
      </c>
      <c r="AH1606">
        <v>0</v>
      </c>
      <c r="AI1606">
        <v>3</v>
      </c>
      <c r="AJ1606">
        <v>1</v>
      </c>
      <c r="AK1606">
        <v>0</v>
      </c>
      <c r="AL1606" t="s">
        <v>3092</v>
      </c>
      <c r="AM1606">
        <v>46.824781999999999</v>
      </c>
      <c r="AN1606" t="s">
        <v>3093</v>
      </c>
      <c r="AO1606">
        <v>-122.830496</v>
      </c>
      <c r="AP1606">
        <v>100</v>
      </c>
      <c r="AQ1606">
        <v>2000</v>
      </c>
      <c r="AR1606" t="s">
        <v>118</v>
      </c>
      <c r="AS1606">
        <v>-77</v>
      </c>
      <c r="AT1606">
        <v>25</v>
      </c>
      <c r="AU1606">
        <v>-64</v>
      </c>
      <c r="BC1606">
        <v>1200</v>
      </c>
      <c r="BD1606">
        <v>1</v>
      </c>
      <c r="BE1606" t="str">
        <f t="shared" si="77"/>
        <v xml:space="preserve">N215T   </v>
      </c>
      <c r="BF1606">
        <v>1</v>
      </c>
      <c r="BH1606">
        <v>0</v>
      </c>
      <c r="BI1606">
        <v>0</v>
      </c>
      <c r="BJ1606">
        <v>0</v>
      </c>
      <c r="BK1606">
        <v>2350</v>
      </c>
      <c r="BL1606">
        <v>350</v>
      </c>
      <c r="BM1606" t="s">
        <v>119</v>
      </c>
      <c r="BN1606">
        <v>1</v>
      </c>
      <c r="BO1606">
        <v>1</v>
      </c>
      <c r="BP1606">
        <v>1</v>
      </c>
      <c r="BQ1606">
        <v>0</v>
      </c>
      <c r="BT1606">
        <v>0</v>
      </c>
      <c r="BU1606">
        <v>0</v>
      </c>
      <c r="BV1606">
        <v>0</v>
      </c>
      <c r="CC1606" t="str">
        <f>"19:01:34.039"</f>
        <v>19:01:34.039</v>
      </c>
      <c r="CD1606" t="str">
        <f>"040000997"</f>
        <v>040000997</v>
      </c>
      <c r="CQ1606">
        <v>0</v>
      </c>
      <c r="CR1606">
        <v>2</v>
      </c>
      <c r="CS1606">
        <v>0</v>
      </c>
      <c r="CT1606">
        <v>2</v>
      </c>
      <c r="CU1606">
        <v>0</v>
      </c>
      <c r="CV1606">
        <v>7</v>
      </c>
      <c r="CW1606" t="s">
        <v>120</v>
      </c>
      <c r="CX1606">
        <v>261</v>
      </c>
      <c r="CY1606">
        <v>2</v>
      </c>
      <c r="CZ1606" t="s">
        <v>121</v>
      </c>
      <c r="DA1606" t="s">
        <v>122</v>
      </c>
      <c r="DD1606">
        <v>15190162</v>
      </c>
      <c r="DE1606" t="s">
        <v>123</v>
      </c>
    </row>
    <row r="1607" spans="1:109" x14ac:dyDescent="0.3">
      <c r="A1607" t="str">
        <f>"19:01:35.453"</f>
        <v>19:01:35.453</v>
      </c>
      <c r="B1607" t="s">
        <v>110</v>
      </c>
      <c r="C1607" t="str">
        <f t="shared" si="75"/>
        <v>ffdfd3c0</v>
      </c>
      <c r="D1607" t="s">
        <v>111</v>
      </c>
      <c r="E1607">
        <v>18</v>
      </c>
      <c r="F1607">
        <v>1018</v>
      </c>
      <c r="G1607" t="s">
        <v>112</v>
      </c>
      <c r="J1607" t="s">
        <v>113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R1607" t="s">
        <v>114</v>
      </c>
      <c r="S1607" t="str">
        <f>"19:01:35.203"</f>
        <v>19:01:35.203</v>
      </c>
      <c r="T1607" t="str">
        <f>"19:01:34.805"</f>
        <v>19:01:34.805</v>
      </c>
      <c r="U1607" t="str">
        <f t="shared" si="76"/>
        <v>a1cdbe</v>
      </c>
      <c r="V1607">
        <v>0</v>
      </c>
      <c r="W1607">
        <v>0</v>
      </c>
      <c r="X1607">
        <v>1</v>
      </c>
      <c r="Y1607">
        <v>0</v>
      </c>
      <c r="Z1607">
        <v>0</v>
      </c>
      <c r="AB1607">
        <v>0</v>
      </c>
      <c r="AC1607">
        <v>9</v>
      </c>
      <c r="AD1607">
        <v>3</v>
      </c>
      <c r="AE1607">
        <v>0</v>
      </c>
      <c r="AF1607">
        <v>9</v>
      </c>
      <c r="AG1607" t="s">
        <v>158</v>
      </c>
      <c r="AH1607">
        <v>0</v>
      </c>
      <c r="AI1607">
        <v>3</v>
      </c>
      <c r="AJ1607">
        <v>1</v>
      </c>
      <c r="AK1607">
        <v>0</v>
      </c>
      <c r="AL1607" t="s">
        <v>3094</v>
      </c>
      <c r="AM1607">
        <v>46.824911</v>
      </c>
      <c r="AN1607" t="s">
        <v>3095</v>
      </c>
      <c r="AO1607">
        <v>-122.831097</v>
      </c>
      <c r="AP1607">
        <v>100</v>
      </c>
      <c r="AQ1607">
        <v>2000</v>
      </c>
      <c r="AR1607" t="s">
        <v>118</v>
      </c>
      <c r="AS1607">
        <v>-77</v>
      </c>
      <c r="AT1607">
        <v>25</v>
      </c>
      <c r="AU1607">
        <v>-64</v>
      </c>
      <c r="BC1607">
        <v>1200</v>
      </c>
      <c r="BD1607">
        <v>1</v>
      </c>
      <c r="BE1607" t="str">
        <f t="shared" si="77"/>
        <v xml:space="preserve">N215T   </v>
      </c>
      <c r="BF1607">
        <v>1</v>
      </c>
      <c r="BH1607">
        <v>0</v>
      </c>
      <c r="BI1607">
        <v>0</v>
      </c>
      <c r="BJ1607">
        <v>0</v>
      </c>
      <c r="BK1607">
        <v>2350</v>
      </c>
      <c r="BL1607">
        <v>350</v>
      </c>
      <c r="BM1607" t="s">
        <v>119</v>
      </c>
      <c r="BN1607">
        <v>1</v>
      </c>
      <c r="BO1607">
        <v>1</v>
      </c>
      <c r="BP1607">
        <v>1</v>
      </c>
      <c r="BQ1607">
        <v>0</v>
      </c>
      <c r="BT1607">
        <v>0</v>
      </c>
      <c r="BU1607">
        <v>0</v>
      </c>
      <c r="BV1607">
        <v>0</v>
      </c>
      <c r="CC1607" t="str">
        <f>"19:01:35.211"</f>
        <v>19:01:35.211</v>
      </c>
      <c r="CD1607" t="str">
        <f>"209885737"</f>
        <v>209885737</v>
      </c>
      <c r="CQ1607">
        <v>0</v>
      </c>
      <c r="CR1607">
        <v>2</v>
      </c>
      <c r="CS1607">
        <v>0</v>
      </c>
      <c r="CT1607">
        <v>2</v>
      </c>
      <c r="CU1607">
        <v>0</v>
      </c>
      <c r="CV1607">
        <v>7</v>
      </c>
      <c r="CW1607" t="s">
        <v>120</v>
      </c>
      <c r="CX1607">
        <v>261</v>
      </c>
      <c r="CY1607">
        <v>2</v>
      </c>
      <c r="CZ1607" t="s">
        <v>121</v>
      </c>
      <c r="DA1607" t="s">
        <v>122</v>
      </c>
      <c r="DD1607">
        <v>15190906</v>
      </c>
      <c r="DE1607" t="s">
        <v>123</v>
      </c>
    </row>
    <row r="1608" spans="1:109" x14ac:dyDescent="0.3">
      <c r="A1608" t="str">
        <f>"19:01:36.406"</f>
        <v>19:01:36.406</v>
      </c>
      <c r="B1608" t="s">
        <v>110</v>
      </c>
      <c r="C1608" t="str">
        <f t="shared" si="75"/>
        <v>ffdfd3c0</v>
      </c>
      <c r="D1608" t="s">
        <v>111</v>
      </c>
      <c r="E1608">
        <v>18</v>
      </c>
      <c r="F1608">
        <v>1018</v>
      </c>
      <c r="G1608" t="s">
        <v>112</v>
      </c>
      <c r="J1608" t="s">
        <v>113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R1608" t="s">
        <v>114</v>
      </c>
      <c r="S1608" t="str">
        <f>"19:01:36.195"</f>
        <v>19:01:36.195</v>
      </c>
      <c r="T1608" t="str">
        <f>"19:01:35.695"</f>
        <v>19:01:35.695</v>
      </c>
      <c r="U1608" t="str">
        <f t="shared" si="76"/>
        <v>a1cdbe</v>
      </c>
      <c r="V1608">
        <v>0</v>
      </c>
      <c r="W1608">
        <v>0</v>
      </c>
      <c r="X1608">
        <v>1</v>
      </c>
      <c r="Y1608">
        <v>0</v>
      </c>
      <c r="Z1608">
        <v>0</v>
      </c>
      <c r="AB1608">
        <v>0</v>
      </c>
      <c r="AC1608">
        <v>9</v>
      </c>
      <c r="AD1608">
        <v>3</v>
      </c>
      <c r="AE1608">
        <v>0</v>
      </c>
      <c r="AF1608">
        <v>9</v>
      </c>
      <c r="AG1608" t="s">
        <v>158</v>
      </c>
      <c r="AH1608">
        <v>0</v>
      </c>
      <c r="AI1608">
        <v>3</v>
      </c>
      <c r="AJ1608">
        <v>1</v>
      </c>
      <c r="AK1608">
        <v>0</v>
      </c>
      <c r="AL1608" t="s">
        <v>3096</v>
      </c>
      <c r="AM1608">
        <v>46.825038999999997</v>
      </c>
      <c r="AN1608" t="s">
        <v>3097</v>
      </c>
      <c r="AO1608">
        <v>-122.83161200000001</v>
      </c>
      <c r="AP1608">
        <v>100</v>
      </c>
      <c r="AQ1608">
        <v>2000</v>
      </c>
      <c r="AR1608" t="s">
        <v>118</v>
      </c>
      <c r="AS1608">
        <v>-77</v>
      </c>
      <c r="AT1608">
        <v>25</v>
      </c>
      <c r="AU1608">
        <v>0</v>
      </c>
      <c r="BC1608">
        <v>1200</v>
      </c>
      <c r="BD1608">
        <v>1</v>
      </c>
      <c r="BE1608" t="str">
        <f t="shared" si="77"/>
        <v xml:space="preserve">N215T   </v>
      </c>
      <c r="BF1608">
        <v>1</v>
      </c>
      <c r="BH1608">
        <v>0</v>
      </c>
      <c r="BI1608">
        <v>0</v>
      </c>
      <c r="BJ1608">
        <v>0</v>
      </c>
      <c r="BK1608">
        <v>2350</v>
      </c>
      <c r="BL1608">
        <v>350</v>
      </c>
      <c r="BM1608" t="s">
        <v>119</v>
      </c>
      <c r="BN1608">
        <v>1</v>
      </c>
      <c r="BO1608">
        <v>1</v>
      </c>
      <c r="BP1608">
        <v>1</v>
      </c>
      <c r="BQ1608">
        <v>0</v>
      </c>
      <c r="BT1608">
        <v>0</v>
      </c>
      <c r="BU1608">
        <v>0</v>
      </c>
      <c r="BV1608">
        <v>0</v>
      </c>
      <c r="CC1608" t="str">
        <f>"19:01:36.203"</f>
        <v>19:01:36.203</v>
      </c>
      <c r="CD1608" t="str">
        <f>"199829902"</f>
        <v>199829902</v>
      </c>
      <c r="CQ1608">
        <v>0</v>
      </c>
      <c r="CR1608">
        <v>2</v>
      </c>
      <c r="CS1608">
        <v>0</v>
      </c>
      <c r="CT1608">
        <v>2</v>
      </c>
      <c r="CU1608">
        <v>0</v>
      </c>
      <c r="CV1608">
        <v>5</v>
      </c>
      <c r="CW1608" t="s">
        <v>120</v>
      </c>
      <c r="CX1608">
        <v>257</v>
      </c>
      <c r="CY1608">
        <v>1</v>
      </c>
      <c r="CZ1608" t="s">
        <v>615</v>
      </c>
      <c r="DA1608" t="s">
        <v>616</v>
      </c>
      <c r="DD1608">
        <v>11573919</v>
      </c>
      <c r="DE1608" t="s">
        <v>123</v>
      </c>
    </row>
    <row r="1609" spans="1:109" x14ac:dyDescent="0.3">
      <c r="A1609" t="str">
        <f>"19:01:37.461"</f>
        <v>19:01:37.461</v>
      </c>
      <c r="B1609" t="s">
        <v>110</v>
      </c>
      <c r="C1609" t="str">
        <f t="shared" si="75"/>
        <v>ffdfd3c0</v>
      </c>
      <c r="D1609" t="s">
        <v>111</v>
      </c>
      <c r="E1609">
        <v>18</v>
      </c>
      <c r="F1609">
        <v>1018</v>
      </c>
      <c r="G1609" t="s">
        <v>112</v>
      </c>
      <c r="J1609" t="s">
        <v>113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R1609" t="s">
        <v>114</v>
      </c>
      <c r="S1609" t="str">
        <f>"19:01:37.258"</f>
        <v>19:01:37.258</v>
      </c>
      <c r="T1609" t="str">
        <f>"19:01:37.258"</f>
        <v>19:01:37.258</v>
      </c>
      <c r="U1609" t="str">
        <f t="shared" si="76"/>
        <v>a1cdbe</v>
      </c>
      <c r="V1609">
        <v>0</v>
      </c>
      <c r="W1609">
        <v>0</v>
      </c>
      <c r="X1609">
        <v>1</v>
      </c>
      <c r="Y1609">
        <v>0</v>
      </c>
      <c r="Z1609">
        <v>0</v>
      </c>
      <c r="AB1609">
        <v>0</v>
      </c>
      <c r="AC1609">
        <v>9</v>
      </c>
      <c r="AD1609">
        <v>3</v>
      </c>
      <c r="AE1609">
        <v>0</v>
      </c>
      <c r="AF1609">
        <v>9</v>
      </c>
      <c r="AG1609" t="s">
        <v>158</v>
      </c>
      <c r="AH1609">
        <v>0</v>
      </c>
      <c r="AI1609">
        <v>3</v>
      </c>
      <c r="AJ1609">
        <v>1</v>
      </c>
      <c r="AK1609">
        <v>0</v>
      </c>
      <c r="AL1609" t="s">
        <v>3098</v>
      </c>
      <c r="AM1609">
        <v>46.825189999999999</v>
      </c>
      <c r="AN1609" t="s">
        <v>3099</v>
      </c>
      <c r="AO1609">
        <v>-122.83217</v>
      </c>
      <c r="AP1609">
        <v>100</v>
      </c>
      <c r="AQ1609">
        <v>2000</v>
      </c>
      <c r="AR1609" t="s">
        <v>118</v>
      </c>
      <c r="AS1609">
        <v>-78</v>
      </c>
      <c r="AT1609">
        <v>25</v>
      </c>
      <c r="AU1609">
        <v>0</v>
      </c>
      <c r="BC1609">
        <v>1200</v>
      </c>
      <c r="BD1609">
        <v>1</v>
      </c>
      <c r="BE1609" t="str">
        <f t="shared" si="77"/>
        <v xml:space="preserve">N215T   </v>
      </c>
      <c r="BF1609">
        <v>1</v>
      </c>
      <c r="BH1609">
        <v>0</v>
      </c>
      <c r="BI1609">
        <v>0</v>
      </c>
      <c r="BJ1609">
        <v>0</v>
      </c>
      <c r="BK1609">
        <v>2350</v>
      </c>
      <c r="BL1609">
        <v>350</v>
      </c>
      <c r="BM1609" t="s">
        <v>119</v>
      </c>
      <c r="BN1609">
        <v>1</v>
      </c>
      <c r="BO1609">
        <v>1</v>
      </c>
      <c r="BP1609">
        <v>1</v>
      </c>
      <c r="BQ1609">
        <v>0</v>
      </c>
      <c r="BT1609">
        <v>0</v>
      </c>
      <c r="BU1609">
        <v>0</v>
      </c>
      <c r="BV1609">
        <v>0</v>
      </c>
      <c r="CC1609" t="str">
        <f>"19:01:37.266"</f>
        <v>19:01:37.266</v>
      </c>
      <c r="CD1609" t="str">
        <f>"264683306"</f>
        <v>264683306</v>
      </c>
      <c r="CQ1609">
        <v>0</v>
      </c>
      <c r="CR1609">
        <v>2</v>
      </c>
      <c r="CS1609">
        <v>0</v>
      </c>
      <c r="CT1609">
        <v>2</v>
      </c>
      <c r="CU1609">
        <v>0</v>
      </c>
      <c r="CV1609">
        <v>7</v>
      </c>
      <c r="CW1609" t="s">
        <v>120</v>
      </c>
      <c r="CX1609">
        <v>261</v>
      </c>
      <c r="CY1609">
        <v>2</v>
      </c>
      <c r="CZ1609" t="s">
        <v>121</v>
      </c>
      <c r="DA1609" t="s">
        <v>122</v>
      </c>
      <c r="DD1609">
        <v>15192177</v>
      </c>
      <c r="DE1609" t="s">
        <v>123</v>
      </c>
    </row>
    <row r="1610" spans="1:109" x14ac:dyDescent="0.3">
      <c r="A1610" t="str">
        <f>"19:01:38.523"</f>
        <v>19:01:38.523</v>
      </c>
      <c r="B1610" t="s">
        <v>110</v>
      </c>
      <c r="C1610" t="str">
        <f t="shared" si="75"/>
        <v>ffdfd3c0</v>
      </c>
      <c r="D1610" t="s">
        <v>111</v>
      </c>
      <c r="E1610">
        <v>18</v>
      </c>
      <c r="F1610">
        <v>1018</v>
      </c>
      <c r="G1610" t="s">
        <v>112</v>
      </c>
      <c r="J1610" t="s">
        <v>113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R1610" t="s">
        <v>114</v>
      </c>
      <c r="S1610" t="str">
        <f>"19:01:38.281"</f>
        <v>19:01:38.281</v>
      </c>
      <c r="T1610" t="str">
        <f>"19:01:38.281"</f>
        <v>19:01:38.281</v>
      </c>
      <c r="U1610" t="str">
        <f t="shared" si="76"/>
        <v>a1cdbe</v>
      </c>
      <c r="V1610">
        <v>0</v>
      </c>
      <c r="W1610">
        <v>0</v>
      </c>
      <c r="X1610">
        <v>1</v>
      </c>
      <c r="Y1610">
        <v>0</v>
      </c>
      <c r="Z1610">
        <v>0</v>
      </c>
      <c r="AB1610">
        <v>0</v>
      </c>
      <c r="AC1610">
        <v>9</v>
      </c>
      <c r="AD1610">
        <v>3</v>
      </c>
      <c r="AE1610">
        <v>0</v>
      </c>
      <c r="AF1610">
        <v>9</v>
      </c>
      <c r="AG1610" t="s">
        <v>158</v>
      </c>
      <c r="AH1610">
        <v>0</v>
      </c>
      <c r="AI1610">
        <v>3</v>
      </c>
      <c r="AJ1610">
        <v>1</v>
      </c>
      <c r="AK1610">
        <v>0</v>
      </c>
      <c r="AL1610" t="s">
        <v>2441</v>
      </c>
      <c r="AM1610">
        <v>46.825318000000003</v>
      </c>
      <c r="AN1610" t="s">
        <v>3100</v>
      </c>
      <c r="AO1610">
        <v>-122.832706</v>
      </c>
      <c r="AP1610">
        <v>100</v>
      </c>
      <c r="AQ1610">
        <v>2000</v>
      </c>
      <c r="AR1610" t="s">
        <v>118</v>
      </c>
      <c r="AS1610">
        <v>-78</v>
      </c>
      <c r="AT1610">
        <v>24</v>
      </c>
      <c r="AU1610">
        <v>64</v>
      </c>
      <c r="BC1610">
        <v>1200</v>
      </c>
      <c r="BD1610">
        <v>1</v>
      </c>
      <c r="BE1610" t="str">
        <f t="shared" si="77"/>
        <v xml:space="preserve">N215T   </v>
      </c>
      <c r="BF1610">
        <v>1</v>
      </c>
      <c r="BH1610">
        <v>0</v>
      </c>
      <c r="BI1610">
        <v>0</v>
      </c>
      <c r="BJ1610">
        <v>0</v>
      </c>
      <c r="BK1610">
        <v>2375</v>
      </c>
      <c r="BL1610">
        <v>375</v>
      </c>
      <c r="BM1610" t="s">
        <v>119</v>
      </c>
      <c r="BN1610">
        <v>1</v>
      </c>
      <c r="BO1610">
        <v>1</v>
      </c>
      <c r="BP1610">
        <v>1</v>
      </c>
      <c r="BQ1610">
        <v>0</v>
      </c>
      <c r="BT1610">
        <v>0</v>
      </c>
      <c r="BU1610">
        <v>0</v>
      </c>
      <c r="BV1610">
        <v>0</v>
      </c>
      <c r="CC1610" t="str">
        <f>"19:01:38.281"</f>
        <v>19:01:38.281</v>
      </c>
      <c r="CD1610" t="str">
        <f>"284582811"</f>
        <v>284582811</v>
      </c>
      <c r="CQ1610">
        <v>0</v>
      </c>
      <c r="CR1610">
        <v>2</v>
      </c>
      <c r="CS1610">
        <v>0</v>
      </c>
      <c r="CT1610">
        <v>2</v>
      </c>
      <c r="CU1610">
        <v>0</v>
      </c>
      <c r="CV1610">
        <v>7</v>
      </c>
      <c r="CW1610" t="s">
        <v>120</v>
      </c>
      <c r="CX1610">
        <v>261</v>
      </c>
      <c r="CY1610">
        <v>2</v>
      </c>
      <c r="CZ1610" t="s">
        <v>121</v>
      </c>
      <c r="DA1610" t="s">
        <v>122</v>
      </c>
      <c r="DD1610">
        <v>15192791</v>
      </c>
      <c r="DE1610" t="s">
        <v>123</v>
      </c>
    </row>
    <row r="1611" spans="1:109" x14ac:dyDescent="0.3">
      <c r="A1611" t="str">
        <f>"19:01:39.320"</f>
        <v>19:01:39.320</v>
      </c>
      <c r="B1611" t="s">
        <v>110</v>
      </c>
      <c r="C1611" t="str">
        <f t="shared" si="75"/>
        <v>ffdfd3c0</v>
      </c>
      <c r="D1611" t="s">
        <v>111</v>
      </c>
      <c r="E1611">
        <v>18</v>
      </c>
      <c r="F1611">
        <v>1018</v>
      </c>
      <c r="G1611" t="s">
        <v>112</v>
      </c>
      <c r="J1611" t="s">
        <v>113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R1611" t="s">
        <v>114</v>
      </c>
      <c r="S1611" t="str">
        <f>"19:01:39.109"</f>
        <v>19:01:39.109</v>
      </c>
      <c r="T1611" t="str">
        <f>"19:01:38.813"</f>
        <v>19:01:38.813</v>
      </c>
      <c r="U1611" t="str">
        <f t="shared" si="76"/>
        <v>a1cdbe</v>
      </c>
      <c r="V1611">
        <v>0</v>
      </c>
      <c r="W1611">
        <v>0</v>
      </c>
      <c r="X1611">
        <v>1</v>
      </c>
      <c r="Y1611">
        <v>0</v>
      </c>
      <c r="Z1611">
        <v>0</v>
      </c>
      <c r="AB1611">
        <v>0</v>
      </c>
      <c r="AC1611">
        <v>9</v>
      </c>
      <c r="AD1611">
        <v>3</v>
      </c>
      <c r="AE1611">
        <v>0</v>
      </c>
      <c r="AF1611">
        <v>9</v>
      </c>
      <c r="AG1611" t="s">
        <v>158</v>
      </c>
      <c r="AH1611">
        <v>0</v>
      </c>
      <c r="AI1611">
        <v>3</v>
      </c>
      <c r="AJ1611">
        <v>1</v>
      </c>
      <c r="AK1611">
        <v>0</v>
      </c>
      <c r="AL1611" t="s">
        <v>3101</v>
      </c>
      <c r="AM1611">
        <v>46.825403999999999</v>
      </c>
      <c r="AN1611" t="s">
        <v>3102</v>
      </c>
      <c r="AO1611">
        <v>-122.83311399999999</v>
      </c>
      <c r="AP1611">
        <v>100</v>
      </c>
      <c r="AQ1611">
        <v>2000</v>
      </c>
      <c r="AR1611" t="s">
        <v>118</v>
      </c>
      <c r="AS1611">
        <v>-78</v>
      </c>
      <c r="AT1611">
        <v>24</v>
      </c>
      <c r="AU1611">
        <v>64</v>
      </c>
      <c r="BC1611">
        <v>1200</v>
      </c>
      <c r="BD1611">
        <v>1</v>
      </c>
      <c r="BE1611" t="str">
        <f t="shared" si="77"/>
        <v xml:space="preserve">N215T   </v>
      </c>
      <c r="BF1611">
        <v>1</v>
      </c>
      <c r="BH1611">
        <v>0</v>
      </c>
      <c r="BI1611">
        <v>0</v>
      </c>
      <c r="BJ1611">
        <v>0</v>
      </c>
      <c r="BK1611">
        <v>2375</v>
      </c>
      <c r="BL1611">
        <v>375</v>
      </c>
      <c r="BM1611" t="s">
        <v>119</v>
      </c>
      <c r="BN1611">
        <v>1</v>
      </c>
      <c r="BO1611">
        <v>1</v>
      </c>
      <c r="BP1611">
        <v>1</v>
      </c>
      <c r="BQ1611">
        <v>0</v>
      </c>
      <c r="BT1611">
        <v>0</v>
      </c>
      <c r="BU1611">
        <v>0</v>
      </c>
      <c r="BV1611">
        <v>0</v>
      </c>
      <c r="CC1611" t="str">
        <f>"19:01:39.109"</f>
        <v>19:01:39.109</v>
      </c>
      <c r="CD1611" t="str">
        <f>"109501548"</f>
        <v>109501548</v>
      </c>
      <c r="CQ1611">
        <v>0</v>
      </c>
      <c r="CR1611">
        <v>2</v>
      </c>
      <c r="CS1611">
        <v>0</v>
      </c>
      <c r="CT1611">
        <v>2</v>
      </c>
      <c r="CU1611">
        <v>0</v>
      </c>
      <c r="CV1611">
        <v>7</v>
      </c>
      <c r="CW1611" t="s">
        <v>120</v>
      </c>
      <c r="CX1611">
        <v>261</v>
      </c>
      <c r="CY1611">
        <v>2</v>
      </c>
      <c r="CZ1611" t="s">
        <v>121</v>
      </c>
      <c r="DA1611" t="s">
        <v>122</v>
      </c>
      <c r="DD1611">
        <v>15193345</v>
      </c>
      <c r="DE1611" t="s">
        <v>123</v>
      </c>
    </row>
    <row r="1612" spans="1:109" x14ac:dyDescent="0.3">
      <c r="A1612" t="str">
        <f>"19:01:40.477"</f>
        <v>19:01:40.477</v>
      </c>
      <c r="B1612" t="s">
        <v>110</v>
      </c>
      <c r="C1612" t="str">
        <f t="shared" si="75"/>
        <v>ffdfd3c0</v>
      </c>
      <c r="D1612" t="s">
        <v>111</v>
      </c>
      <c r="E1612">
        <v>18</v>
      </c>
      <c r="F1612">
        <v>1018</v>
      </c>
      <c r="G1612" t="s">
        <v>112</v>
      </c>
      <c r="J1612" t="s">
        <v>113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R1612" t="s">
        <v>114</v>
      </c>
      <c r="S1612" t="str">
        <f>"19:01:40.242"</f>
        <v>19:01:40.242</v>
      </c>
      <c r="T1612" t="str">
        <f>"19:01:40.242"</f>
        <v>19:01:40.242</v>
      </c>
      <c r="U1612" t="str">
        <f t="shared" si="76"/>
        <v>a1cdbe</v>
      </c>
      <c r="V1612">
        <v>0</v>
      </c>
      <c r="W1612">
        <v>0</v>
      </c>
      <c r="X1612">
        <v>1</v>
      </c>
      <c r="Y1612">
        <v>0</v>
      </c>
      <c r="Z1612">
        <v>0</v>
      </c>
      <c r="AB1612">
        <v>0</v>
      </c>
      <c r="AC1612">
        <v>9</v>
      </c>
      <c r="AD1612">
        <v>3</v>
      </c>
      <c r="AE1612">
        <v>0</v>
      </c>
      <c r="AF1612">
        <v>9</v>
      </c>
      <c r="AG1612" t="s">
        <v>158</v>
      </c>
      <c r="AH1612">
        <v>0</v>
      </c>
      <c r="AI1612">
        <v>3</v>
      </c>
      <c r="AJ1612">
        <v>1</v>
      </c>
      <c r="AK1612">
        <v>0</v>
      </c>
      <c r="AL1612" t="s">
        <v>3103</v>
      </c>
      <c r="AM1612">
        <v>46.825490000000002</v>
      </c>
      <c r="AN1612" t="s">
        <v>3104</v>
      </c>
      <c r="AO1612">
        <v>-122.833736</v>
      </c>
      <c r="AP1612">
        <v>100</v>
      </c>
      <c r="AQ1612">
        <v>2000</v>
      </c>
      <c r="AR1612" t="s">
        <v>118</v>
      </c>
      <c r="AS1612">
        <v>-78</v>
      </c>
      <c r="AT1612">
        <v>24</v>
      </c>
      <c r="AU1612">
        <v>64</v>
      </c>
      <c r="BC1612">
        <v>1200</v>
      </c>
      <c r="BD1612">
        <v>1</v>
      </c>
      <c r="BE1612" t="str">
        <f t="shared" si="77"/>
        <v xml:space="preserve">N215T   </v>
      </c>
      <c r="BF1612">
        <v>1</v>
      </c>
      <c r="BH1612">
        <v>0</v>
      </c>
      <c r="BI1612">
        <v>0</v>
      </c>
      <c r="BJ1612">
        <v>0</v>
      </c>
      <c r="BK1612">
        <v>2375</v>
      </c>
      <c r="BL1612">
        <v>375</v>
      </c>
      <c r="BM1612" t="s">
        <v>119</v>
      </c>
      <c r="BN1612">
        <v>1</v>
      </c>
      <c r="BO1612">
        <v>1</v>
      </c>
      <c r="BP1612">
        <v>1</v>
      </c>
      <c r="BQ1612">
        <v>0</v>
      </c>
      <c r="BT1612">
        <v>0</v>
      </c>
      <c r="BU1612">
        <v>0</v>
      </c>
      <c r="BV1612">
        <v>0</v>
      </c>
      <c r="CC1612" t="str">
        <f>"19:01:40.250"</f>
        <v>19:01:40.250</v>
      </c>
      <c r="CD1612" t="str">
        <f>"249389235"</f>
        <v>249389235</v>
      </c>
      <c r="CQ1612">
        <v>0</v>
      </c>
      <c r="CR1612">
        <v>2</v>
      </c>
      <c r="CS1612">
        <v>0</v>
      </c>
      <c r="CT1612">
        <v>2</v>
      </c>
      <c r="CU1612">
        <v>0</v>
      </c>
      <c r="CV1612">
        <v>7</v>
      </c>
      <c r="CW1612" t="s">
        <v>120</v>
      </c>
      <c r="CX1612">
        <v>261</v>
      </c>
      <c r="CY1612">
        <v>2</v>
      </c>
      <c r="CZ1612" t="s">
        <v>121</v>
      </c>
      <c r="DA1612" t="s">
        <v>122</v>
      </c>
      <c r="DD1612">
        <v>15194094</v>
      </c>
      <c r="DE1612" t="s">
        <v>123</v>
      </c>
    </row>
    <row r="1613" spans="1:109" x14ac:dyDescent="0.3">
      <c r="A1613" t="str">
        <f>"19:01:41.531"</f>
        <v>19:01:41.531</v>
      </c>
      <c r="B1613" t="s">
        <v>110</v>
      </c>
      <c r="C1613" t="str">
        <f t="shared" si="75"/>
        <v>ffdfd3c0</v>
      </c>
      <c r="D1613" t="s">
        <v>111</v>
      </c>
      <c r="E1613">
        <v>18</v>
      </c>
      <c r="F1613">
        <v>1018</v>
      </c>
      <c r="G1613" t="s">
        <v>112</v>
      </c>
      <c r="J1613" t="s">
        <v>113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R1613" t="s">
        <v>114</v>
      </c>
      <c r="S1613" t="str">
        <f>"19:01:41.328"</f>
        <v>19:01:41.328</v>
      </c>
      <c r="T1613" t="str">
        <f>"19:01:41.328"</f>
        <v>19:01:41.328</v>
      </c>
      <c r="U1613" t="str">
        <f t="shared" si="76"/>
        <v>a1cdbe</v>
      </c>
      <c r="V1613">
        <v>0</v>
      </c>
      <c r="W1613">
        <v>0</v>
      </c>
      <c r="X1613">
        <v>1</v>
      </c>
      <c r="Y1613">
        <v>0</v>
      </c>
      <c r="Z1613">
        <v>0</v>
      </c>
      <c r="AB1613">
        <v>0</v>
      </c>
      <c r="AC1613">
        <v>9</v>
      </c>
      <c r="AD1613">
        <v>3</v>
      </c>
      <c r="AE1613">
        <v>0</v>
      </c>
      <c r="AF1613">
        <v>9</v>
      </c>
      <c r="AG1613" t="s">
        <v>158</v>
      </c>
      <c r="AH1613">
        <v>0</v>
      </c>
      <c r="AI1613">
        <v>3</v>
      </c>
      <c r="AJ1613">
        <v>1</v>
      </c>
      <c r="AK1613">
        <v>0</v>
      </c>
      <c r="AL1613" t="s">
        <v>2437</v>
      </c>
      <c r="AM1613">
        <v>46.825597000000002</v>
      </c>
      <c r="AN1613" t="s">
        <v>3105</v>
      </c>
      <c r="AO1613">
        <v>-122.834315</v>
      </c>
      <c r="AP1613">
        <v>100</v>
      </c>
      <c r="AQ1613">
        <v>2000</v>
      </c>
      <c r="AR1613" t="s">
        <v>118</v>
      </c>
      <c r="AS1613">
        <v>-77</v>
      </c>
      <c r="AT1613">
        <v>24</v>
      </c>
      <c r="AU1613">
        <v>64</v>
      </c>
      <c r="BC1613">
        <v>1200</v>
      </c>
      <c r="BD1613">
        <v>1</v>
      </c>
      <c r="BE1613" t="str">
        <f t="shared" si="77"/>
        <v xml:space="preserve">N215T   </v>
      </c>
      <c r="BF1613">
        <v>1</v>
      </c>
      <c r="BH1613">
        <v>0</v>
      </c>
      <c r="BI1613">
        <v>0</v>
      </c>
      <c r="BJ1613">
        <v>0</v>
      </c>
      <c r="BK1613">
        <v>2375</v>
      </c>
      <c r="BL1613">
        <v>375</v>
      </c>
      <c r="BM1613" t="s">
        <v>119</v>
      </c>
      <c r="BN1613">
        <v>1</v>
      </c>
      <c r="BO1613">
        <v>1</v>
      </c>
      <c r="BP1613">
        <v>1</v>
      </c>
      <c r="BQ1613">
        <v>0</v>
      </c>
      <c r="BT1613">
        <v>0</v>
      </c>
      <c r="BU1613">
        <v>0</v>
      </c>
      <c r="BV1613">
        <v>0</v>
      </c>
      <c r="CC1613" t="str">
        <f>"19:01:41.328"</f>
        <v>19:01:41.328</v>
      </c>
      <c r="CD1613" t="str">
        <f>"329282846"</f>
        <v>329282846</v>
      </c>
      <c r="CQ1613">
        <v>0</v>
      </c>
      <c r="CR1613">
        <v>2</v>
      </c>
      <c r="CS1613">
        <v>0</v>
      </c>
      <c r="CT1613">
        <v>2</v>
      </c>
      <c r="CU1613">
        <v>0</v>
      </c>
      <c r="CV1613">
        <v>7</v>
      </c>
      <c r="CW1613" t="s">
        <v>120</v>
      </c>
      <c r="CX1613">
        <v>261</v>
      </c>
      <c r="CY1613">
        <v>2</v>
      </c>
      <c r="CZ1613" t="s">
        <v>121</v>
      </c>
      <c r="DA1613" t="s">
        <v>122</v>
      </c>
      <c r="DD1613">
        <v>15194736</v>
      </c>
      <c r="DE1613" t="s">
        <v>123</v>
      </c>
    </row>
    <row r="1614" spans="1:109" x14ac:dyDescent="0.3">
      <c r="A1614" t="str">
        <f>"19:01:42.492"</f>
        <v>19:01:42.492</v>
      </c>
      <c r="B1614" t="s">
        <v>110</v>
      </c>
      <c r="C1614" t="str">
        <f t="shared" si="75"/>
        <v>ffdfd3c0</v>
      </c>
      <c r="D1614" t="s">
        <v>111</v>
      </c>
      <c r="E1614">
        <v>18</v>
      </c>
      <c r="F1614">
        <v>1018</v>
      </c>
      <c r="G1614" t="s">
        <v>112</v>
      </c>
      <c r="J1614" t="s">
        <v>113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R1614" t="s">
        <v>114</v>
      </c>
      <c r="S1614" t="str">
        <f>"19:01:42.242"</f>
        <v>19:01:42.242</v>
      </c>
      <c r="T1614" t="str">
        <f>"19:01:41.742"</f>
        <v>19:01:41.742</v>
      </c>
      <c r="U1614" t="str">
        <f t="shared" si="76"/>
        <v>a1cdbe</v>
      </c>
      <c r="V1614">
        <v>0</v>
      </c>
      <c r="W1614">
        <v>0</v>
      </c>
      <c r="X1614">
        <v>1</v>
      </c>
      <c r="Y1614">
        <v>0</v>
      </c>
      <c r="Z1614">
        <v>0</v>
      </c>
      <c r="AB1614">
        <v>0</v>
      </c>
      <c r="AC1614">
        <v>9</v>
      </c>
      <c r="AD1614">
        <v>3</v>
      </c>
      <c r="AE1614">
        <v>0</v>
      </c>
      <c r="AF1614">
        <v>9</v>
      </c>
      <c r="AG1614" t="s">
        <v>158</v>
      </c>
      <c r="AH1614">
        <v>0</v>
      </c>
      <c r="AI1614">
        <v>3</v>
      </c>
      <c r="AJ1614">
        <v>1</v>
      </c>
      <c r="AK1614">
        <v>0</v>
      </c>
      <c r="AL1614" t="s">
        <v>3106</v>
      </c>
      <c r="AM1614">
        <v>46.825726000000003</v>
      </c>
      <c r="AN1614" t="s">
        <v>3107</v>
      </c>
      <c r="AO1614">
        <v>-122.834766</v>
      </c>
      <c r="AP1614">
        <v>100</v>
      </c>
      <c r="AQ1614">
        <v>2000</v>
      </c>
      <c r="AR1614" t="s">
        <v>118</v>
      </c>
      <c r="AS1614">
        <v>-77</v>
      </c>
      <c r="AT1614">
        <v>24</v>
      </c>
      <c r="AU1614">
        <v>64</v>
      </c>
      <c r="BC1614">
        <v>1200</v>
      </c>
      <c r="BD1614">
        <v>1</v>
      </c>
      <c r="BE1614" t="str">
        <f t="shared" si="77"/>
        <v xml:space="preserve">N215T   </v>
      </c>
      <c r="BF1614">
        <v>1</v>
      </c>
      <c r="BH1614">
        <v>0</v>
      </c>
      <c r="BI1614">
        <v>0</v>
      </c>
      <c r="BJ1614">
        <v>0</v>
      </c>
      <c r="BK1614">
        <v>2350</v>
      </c>
      <c r="BL1614">
        <v>350</v>
      </c>
      <c r="BM1614" t="s">
        <v>119</v>
      </c>
      <c r="BN1614">
        <v>1</v>
      </c>
      <c r="BO1614">
        <v>1</v>
      </c>
      <c r="BP1614">
        <v>1</v>
      </c>
      <c r="BQ1614">
        <v>0</v>
      </c>
      <c r="BT1614">
        <v>0</v>
      </c>
      <c r="BU1614">
        <v>0</v>
      </c>
      <c r="BV1614">
        <v>0</v>
      </c>
      <c r="CC1614" t="str">
        <f>"19:01:42.242"</f>
        <v>19:01:42.242</v>
      </c>
      <c r="CD1614" t="str">
        <f>"244192708"</f>
        <v>244192708</v>
      </c>
      <c r="CQ1614">
        <v>0</v>
      </c>
      <c r="CR1614">
        <v>2</v>
      </c>
      <c r="CS1614">
        <v>0</v>
      </c>
      <c r="CT1614">
        <v>2</v>
      </c>
      <c r="CU1614">
        <v>0</v>
      </c>
      <c r="CV1614">
        <v>7</v>
      </c>
      <c r="CW1614" t="s">
        <v>120</v>
      </c>
      <c r="CX1614">
        <v>261</v>
      </c>
      <c r="CY1614">
        <v>2</v>
      </c>
      <c r="CZ1614" t="s">
        <v>121</v>
      </c>
      <c r="DA1614" t="s">
        <v>122</v>
      </c>
      <c r="DD1614">
        <v>15195356</v>
      </c>
      <c r="DE1614" t="s">
        <v>123</v>
      </c>
    </row>
    <row r="1615" spans="1:109" x14ac:dyDescent="0.3">
      <c r="A1615" t="str">
        <f>"19:01:43.547"</f>
        <v>19:01:43.547</v>
      </c>
      <c r="B1615" t="s">
        <v>110</v>
      </c>
      <c r="C1615" t="str">
        <f t="shared" si="75"/>
        <v>ffdfd3c0</v>
      </c>
      <c r="D1615" t="s">
        <v>111</v>
      </c>
      <c r="E1615">
        <v>18</v>
      </c>
      <c r="F1615">
        <v>1018</v>
      </c>
      <c r="G1615" t="s">
        <v>112</v>
      </c>
      <c r="J1615" t="s">
        <v>113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R1615" t="s">
        <v>114</v>
      </c>
      <c r="S1615" t="str">
        <f>"19:01:43.305"</f>
        <v>19:01:43.305</v>
      </c>
      <c r="T1615" t="str">
        <f>"19:01:43.305"</f>
        <v>19:01:43.305</v>
      </c>
      <c r="U1615" t="str">
        <f t="shared" si="76"/>
        <v>a1cdbe</v>
      </c>
      <c r="V1615">
        <v>0</v>
      </c>
      <c r="W1615">
        <v>0</v>
      </c>
      <c r="X1615">
        <v>1</v>
      </c>
      <c r="Y1615">
        <v>0</v>
      </c>
      <c r="Z1615">
        <v>0</v>
      </c>
      <c r="AB1615">
        <v>0</v>
      </c>
      <c r="AC1615">
        <v>9</v>
      </c>
      <c r="AD1615">
        <v>3</v>
      </c>
      <c r="AE1615">
        <v>0</v>
      </c>
      <c r="AF1615">
        <v>9</v>
      </c>
      <c r="AG1615" t="s">
        <v>158</v>
      </c>
      <c r="AH1615">
        <v>0</v>
      </c>
      <c r="AI1615">
        <v>3</v>
      </c>
      <c r="AJ1615">
        <v>1</v>
      </c>
      <c r="AK1615">
        <v>0</v>
      </c>
      <c r="AL1615" t="s">
        <v>3108</v>
      </c>
      <c r="AM1615">
        <v>46.825833000000003</v>
      </c>
      <c r="AN1615" t="s">
        <v>3109</v>
      </c>
      <c r="AO1615">
        <v>-122.835324</v>
      </c>
      <c r="AP1615">
        <v>100</v>
      </c>
      <c r="AQ1615">
        <v>2000</v>
      </c>
      <c r="AR1615" t="s">
        <v>118</v>
      </c>
      <c r="AS1615">
        <v>-76</v>
      </c>
      <c r="AT1615">
        <v>24</v>
      </c>
      <c r="AU1615">
        <v>256</v>
      </c>
      <c r="BC1615">
        <v>1200</v>
      </c>
      <c r="BD1615">
        <v>1</v>
      </c>
      <c r="BE1615" t="str">
        <f t="shared" si="77"/>
        <v xml:space="preserve">N215T   </v>
      </c>
      <c r="BF1615">
        <v>1</v>
      </c>
      <c r="BH1615">
        <v>0</v>
      </c>
      <c r="BI1615">
        <v>0</v>
      </c>
      <c r="BJ1615">
        <v>0</v>
      </c>
      <c r="BK1615">
        <v>2375</v>
      </c>
      <c r="BL1615">
        <v>375</v>
      </c>
      <c r="BM1615" t="s">
        <v>119</v>
      </c>
      <c r="BN1615">
        <v>1</v>
      </c>
      <c r="BO1615">
        <v>1</v>
      </c>
      <c r="BP1615">
        <v>1</v>
      </c>
      <c r="BQ1615">
        <v>0</v>
      </c>
      <c r="BT1615">
        <v>0</v>
      </c>
      <c r="BU1615">
        <v>0</v>
      </c>
      <c r="BV1615">
        <v>0</v>
      </c>
      <c r="CC1615" t="str">
        <f>"19:01:43.313"</f>
        <v>19:01:43.313</v>
      </c>
      <c r="CD1615" t="str">
        <f>"309087794"</f>
        <v>309087794</v>
      </c>
      <c r="CQ1615">
        <v>0</v>
      </c>
      <c r="CR1615">
        <v>2</v>
      </c>
      <c r="CS1615">
        <v>0</v>
      </c>
      <c r="CT1615">
        <v>2</v>
      </c>
      <c r="CU1615">
        <v>0</v>
      </c>
      <c r="CV1615">
        <v>7</v>
      </c>
      <c r="CW1615" t="s">
        <v>120</v>
      </c>
      <c r="CX1615">
        <v>261</v>
      </c>
      <c r="CY1615">
        <v>2</v>
      </c>
      <c r="CZ1615" t="s">
        <v>121</v>
      </c>
      <c r="DA1615" t="s">
        <v>122</v>
      </c>
      <c r="DD1615">
        <v>15196061</v>
      </c>
      <c r="DE1615" t="s">
        <v>123</v>
      </c>
    </row>
    <row r="1616" spans="1:109" x14ac:dyDescent="0.3">
      <c r="A1616" t="str">
        <f>"19:01:44.602"</f>
        <v>19:01:44.602</v>
      </c>
      <c r="B1616" t="s">
        <v>110</v>
      </c>
      <c r="C1616" t="str">
        <f t="shared" si="75"/>
        <v>ffdfd3c0</v>
      </c>
      <c r="D1616" t="s">
        <v>111</v>
      </c>
      <c r="E1616">
        <v>18</v>
      </c>
      <c r="F1616">
        <v>1018</v>
      </c>
      <c r="G1616" t="s">
        <v>112</v>
      </c>
      <c r="J1616" t="s">
        <v>113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R1616" t="s">
        <v>114</v>
      </c>
      <c r="S1616" t="str">
        <f>"19:01:44.367"</f>
        <v>19:01:44.367</v>
      </c>
      <c r="T1616" t="str">
        <f>"19:01:44.164"</f>
        <v>19:01:44.164</v>
      </c>
      <c r="U1616" t="str">
        <f t="shared" si="76"/>
        <v>a1cdbe</v>
      </c>
      <c r="V1616">
        <v>0</v>
      </c>
      <c r="W1616">
        <v>0</v>
      </c>
      <c r="X1616">
        <v>1</v>
      </c>
      <c r="Y1616">
        <v>0</v>
      </c>
      <c r="Z1616">
        <v>0</v>
      </c>
      <c r="AB1616">
        <v>0</v>
      </c>
      <c r="AC1616">
        <v>9</v>
      </c>
      <c r="AD1616">
        <v>3</v>
      </c>
      <c r="AE1616">
        <v>0</v>
      </c>
      <c r="AF1616">
        <v>9</v>
      </c>
      <c r="AG1616" t="s">
        <v>158</v>
      </c>
      <c r="AH1616">
        <v>0</v>
      </c>
      <c r="AI1616">
        <v>3</v>
      </c>
      <c r="AJ1616">
        <v>1</v>
      </c>
      <c r="AK1616">
        <v>0</v>
      </c>
      <c r="AL1616" t="s">
        <v>3110</v>
      </c>
      <c r="AM1616">
        <v>46.825983999999998</v>
      </c>
      <c r="AN1616" t="s">
        <v>3111</v>
      </c>
      <c r="AO1616">
        <v>-122.83586</v>
      </c>
      <c r="AP1616">
        <v>100</v>
      </c>
      <c r="AQ1616">
        <v>2000</v>
      </c>
      <c r="AR1616" t="s">
        <v>118</v>
      </c>
      <c r="AS1616">
        <v>-75</v>
      </c>
      <c r="AT1616">
        <v>24</v>
      </c>
      <c r="AU1616">
        <v>192</v>
      </c>
      <c r="BC1616">
        <v>1200</v>
      </c>
      <c r="BD1616">
        <v>1</v>
      </c>
      <c r="BE1616" t="str">
        <f t="shared" si="77"/>
        <v xml:space="preserve">N215T   </v>
      </c>
      <c r="BF1616">
        <v>1</v>
      </c>
      <c r="BH1616">
        <v>0</v>
      </c>
      <c r="BI1616">
        <v>0</v>
      </c>
      <c r="BJ1616">
        <v>0</v>
      </c>
      <c r="BK1616">
        <v>2375</v>
      </c>
      <c r="BL1616">
        <v>375</v>
      </c>
      <c r="BM1616" t="s">
        <v>119</v>
      </c>
      <c r="BN1616">
        <v>1</v>
      </c>
      <c r="BO1616">
        <v>1</v>
      </c>
      <c r="BP1616">
        <v>1</v>
      </c>
      <c r="BQ1616">
        <v>0</v>
      </c>
      <c r="BT1616">
        <v>0</v>
      </c>
      <c r="BU1616">
        <v>0</v>
      </c>
      <c r="BV1616">
        <v>0</v>
      </c>
      <c r="CC1616" t="str">
        <f>"19:01:44.375"</f>
        <v>19:01:44.375</v>
      </c>
      <c r="CD1616" t="str">
        <f>"373982869"</f>
        <v>373982869</v>
      </c>
      <c r="CQ1616">
        <v>0</v>
      </c>
      <c r="CR1616">
        <v>2</v>
      </c>
      <c r="CS1616">
        <v>0</v>
      </c>
      <c r="CT1616">
        <v>2</v>
      </c>
      <c r="CU1616">
        <v>0</v>
      </c>
      <c r="CV1616">
        <v>7</v>
      </c>
      <c r="CW1616" t="s">
        <v>120</v>
      </c>
      <c r="CX1616">
        <v>261</v>
      </c>
      <c r="CY1616">
        <v>2</v>
      </c>
      <c r="CZ1616" t="s">
        <v>121</v>
      </c>
      <c r="DA1616" t="s">
        <v>122</v>
      </c>
      <c r="DD1616">
        <v>15196788</v>
      </c>
      <c r="DE1616" t="s">
        <v>123</v>
      </c>
    </row>
    <row r="1617" spans="1:109" x14ac:dyDescent="0.3">
      <c r="A1617" t="str">
        <f>"19:01:45.758"</f>
        <v>19:01:45.758</v>
      </c>
      <c r="B1617" t="s">
        <v>110</v>
      </c>
      <c r="C1617" t="str">
        <f t="shared" si="75"/>
        <v>ffdfd3c0</v>
      </c>
      <c r="D1617" t="s">
        <v>111</v>
      </c>
      <c r="E1617">
        <v>18</v>
      </c>
      <c r="F1617">
        <v>1018</v>
      </c>
      <c r="G1617" t="s">
        <v>112</v>
      </c>
      <c r="J1617" t="s">
        <v>113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R1617" t="s">
        <v>114</v>
      </c>
      <c r="S1617" t="str">
        <f>"19:01:45.555"</f>
        <v>19:01:45.555</v>
      </c>
      <c r="T1617" t="str">
        <f>"19:01:45.156"</f>
        <v>19:01:45.156</v>
      </c>
      <c r="U1617" t="str">
        <f t="shared" si="76"/>
        <v>a1cdbe</v>
      </c>
      <c r="V1617">
        <v>0</v>
      </c>
      <c r="W1617">
        <v>0</v>
      </c>
      <c r="X1617">
        <v>1</v>
      </c>
      <c r="Y1617">
        <v>0</v>
      </c>
      <c r="Z1617">
        <v>0</v>
      </c>
      <c r="AB1617">
        <v>0</v>
      </c>
      <c r="AC1617">
        <v>9</v>
      </c>
      <c r="AD1617">
        <v>3</v>
      </c>
      <c r="AE1617">
        <v>0</v>
      </c>
      <c r="AF1617">
        <v>9</v>
      </c>
      <c r="AG1617" t="s">
        <v>158</v>
      </c>
      <c r="AH1617">
        <v>0</v>
      </c>
      <c r="AI1617">
        <v>3</v>
      </c>
      <c r="AJ1617">
        <v>1</v>
      </c>
      <c r="AK1617">
        <v>0</v>
      </c>
      <c r="AL1617" t="s">
        <v>3112</v>
      </c>
      <c r="AM1617">
        <v>46.826112000000002</v>
      </c>
      <c r="AN1617" t="s">
        <v>3113</v>
      </c>
      <c r="AO1617">
        <v>-122.836461</v>
      </c>
      <c r="AP1617">
        <v>100</v>
      </c>
      <c r="AQ1617">
        <v>2000</v>
      </c>
      <c r="AR1617" t="s">
        <v>118</v>
      </c>
      <c r="AS1617">
        <v>-75</v>
      </c>
      <c r="AT1617">
        <v>24</v>
      </c>
      <c r="AU1617">
        <v>64</v>
      </c>
      <c r="BC1617">
        <v>1200</v>
      </c>
      <c r="BD1617">
        <v>1</v>
      </c>
      <c r="BE1617" t="str">
        <f t="shared" si="77"/>
        <v xml:space="preserve">N215T   </v>
      </c>
      <c r="BF1617">
        <v>1</v>
      </c>
      <c r="BH1617">
        <v>0</v>
      </c>
      <c r="BI1617">
        <v>0</v>
      </c>
      <c r="BJ1617">
        <v>0</v>
      </c>
      <c r="BK1617">
        <v>2375</v>
      </c>
      <c r="BL1617">
        <v>375</v>
      </c>
      <c r="BM1617" t="s">
        <v>119</v>
      </c>
      <c r="BN1617">
        <v>1</v>
      </c>
      <c r="BO1617">
        <v>1</v>
      </c>
      <c r="BP1617">
        <v>1</v>
      </c>
      <c r="BQ1617">
        <v>0</v>
      </c>
      <c r="BT1617">
        <v>0</v>
      </c>
      <c r="BU1617">
        <v>0</v>
      </c>
      <c r="BV1617">
        <v>0</v>
      </c>
      <c r="CC1617" t="str">
        <f>"19:01:45.563"</f>
        <v>19:01:45.563</v>
      </c>
      <c r="CD1617" t="str">
        <f>"558866133"</f>
        <v>558866133</v>
      </c>
      <c r="CQ1617">
        <v>0</v>
      </c>
      <c r="CR1617">
        <v>2</v>
      </c>
      <c r="CS1617">
        <v>0</v>
      </c>
      <c r="CT1617">
        <v>2</v>
      </c>
      <c r="CU1617">
        <v>0</v>
      </c>
      <c r="CV1617">
        <v>7</v>
      </c>
      <c r="CW1617" t="s">
        <v>120</v>
      </c>
      <c r="CX1617">
        <v>261</v>
      </c>
      <c r="CY1617">
        <v>2</v>
      </c>
      <c r="CZ1617" t="s">
        <v>121</v>
      </c>
      <c r="DA1617" t="s">
        <v>122</v>
      </c>
      <c r="DD1617">
        <v>15197517</v>
      </c>
      <c r="DE1617" t="s">
        <v>123</v>
      </c>
    </row>
    <row r="1618" spans="1:109" x14ac:dyDescent="0.3">
      <c r="A1618" t="str">
        <f>"19:01:46.766"</f>
        <v>19:01:46.766</v>
      </c>
      <c r="B1618" t="s">
        <v>110</v>
      </c>
      <c r="C1618" t="str">
        <f t="shared" si="75"/>
        <v>ffdfd3c0</v>
      </c>
      <c r="D1618" t="s">
        <v>111</v>
      </c>
      <c r="E1618">
        <v>18</v>
      </c>
      <c r="F1618">
        <v>1018</v>
      </c>
      <c r="G1618" t="s">
        <v>112</v>
      </c>
      <c r="J1618" t="s">
        <v>113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R1618" t="s">
        <v>114</v>
      </c>
      <c r="S1618" t="str">
        <f>"19:01:46.563"</f>
        <v>19:01:46.563</v>
      </c>
      <c r="T1618" t="str">
        <f>"19:01:46.063"</f>
        <v>19:01:46.063</v>
      </c>
      <c r="U1618" t="str">
        <f t="shared" si="76"/>
        <v>a1cdbe</v>
      </c>
      <c r="V1618">
        <v>0</v>
      </c>
      <c r="W1618">
        <v>0</v>
      </c>
      <c r="X1618">
        <v>1</v>
      </c>
      <c r="Y1618">
        <v>0</v>
      </c>
      <c r="Z1618">
        <v>0</v>
      </c>
      <c r="AB1618">
        <v>0</v>
      </c>
      <c r="AC1618">
        <v>9</v>
      </c>
      <c r="AD1618">
        <v>3</v>
      </c>
      <c r="AE1618">
        <v>0</v>
      </c>
      <c r="AF1618">
        <v>9</v>
      </c>
      <c r="AG1618" t="s">
        <v>158</v>
      </c>
      <c r="AH1618">
        <v>0</v>
      </c>
      <c r="AI1618">
        <v>3</v>
      </c>
      <c r="AJ1618">
        <v>1</v>
      </c>
      <c r="AK1618">
        <v>0</v>
      </c>
      <c r="AL1618" t="s">
        <v>2429</v>
      </c>
      <c r="AM1618">
        <v>46.826197999999998</v>
      </c>
      <c r="AN1618" t="s">
        <v>3114</v>
      </c>
      <c r="AO1618">
        <v>-122.83697600000001</v>
      </c>
      <c r="AP1618">
        <v>100</v>
      </c>
      <c r="AQ1618">
        <v>2000</v>
      </c>
      <c r="AR1618" t="s">
        <v>118</v>
      </c>
      <c r="AS1618">
        <v>-74</v>
      </c>
      <c r="AT1618">
        <v>23</v>
      </c>
      <c r="AU1618">
        <v>64</v>
      </c>
      <c r="BC1618">
        <v>1200</v>
      </c>
      <c r="BD1618">
        <v>1</v>
      </c>
      <c r="BE1618" t="str">
        <f t="shared" si="77"/>
        <v xml:space="preserve">N215T   </v>
      </c>
      <c r="BF1618">
        <v>1</v>
      </c>
      <c r="BH1618">
        <v>0</v>
      </c>
      <c r="BI1618">
        <v>0</v>
      </c>
      <c r="BJ1618">
        <v>0</v>
      </c>
      <c r="BK1618">
        <v>2375</v>
      </c>
      <c r="BL1618">
        <v>375</v>
      </c>
      <c r="BM1618" t="s">
        <v>119</v>
      </c>
      <c r="BN1618">
        <v>1</v>
      </c>
      <c r="BO1618">
        <v>1</v>
      </c>
      <c r="BP1618">
        <v>1</v>
      </c>
      <c r="BQ1618">
        <v>0</v>
      </c>
      <c r="BT1618">
        <v>0</v>
      </c>
      <c r="BU1618">
        <v>0</v>
      </c>
      <c r="BV1618">
        <v>0</v>
      </c>
      <c r="CC1618" t="str">
        <f>"19:01:46.563"</f>
        <v>19:01:46.563</v>
      </c>
      <c r="CD1618" t="str">
        <f>"563767140"</f>
        <v>563767140</v>
      </c>
      <c r="CQ1618">
        <v>0</v>
      </c>
      <c r="CR1618">
        <v>2</v>
      </c>
      <c r="CS1618">
        <v>0</v>
      </c>
      <c r="CT1618">
        <v>2</v>
      </c>
      <c r="CU1618">
        <v>0</v>
      </c>
      <c r="CV1618">
        <v>7</v>
      </c>
      <c r="CW1618" t="s">
        <v>120</v>
      </c>
      <c r="CX1618">
        <v>261</v>
      </c>
      <c r="CY1618">
        <v>2</v>
      </c>
      <c r="CZ1618" t="s">
        <v>121</v>
      </c>
      <c r="DA1618" t="s">
        <v>122</v>
      </c>
      <c r="DD1618">
        <v>15198155</v>
      </c>
      <c r="DE1618" t="s">
        <v>123</v>
      </c>
    </row>
    <row r="1619" spans="1:109" x14ac:dyDescent="0.3">
      <c r="A1619" t="str">
        <f>"19:01:47.672"</f>
        <v>19:01:47.672</v>
      </c>
      <c r="B1619" t="s">
        <v>110</v>
      </c>
      <c r="C1619" t="str">
        <f t="shared" si="75"/>
        <v>ffdfd3c0</v>
      </c>
      <c r="D1619" t="s">
        <v>111</v>
      </c>
      <c r="E1619">
        <v>18</v>
      </c>
      <c r="F1619">
        <v>1018</v>
      </c>
      <c r="G1619" t="s">
        <v>112</v>
      </c>
      <c r="J1619" t="s">
        <v>113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R1619" t="s">
        <v>114</v>
      </c>
      <c r="S1619" t="str">
        <f>"19:01:47.414"</f>
        <v>19:01:47.414</v>
      </c>
      <c r="T1619" t="str">
        <f>"19:01:47.211"</f>
        <v>19:01:47.211</v>
      </c>
      <c r="U1619" t="str">
        <f t="shared" si="76"/>
        <v>a1cdbe</v>
      </c>
      <c r="V1619">
        <v>0</v>
      </c>
      <c r="W1619">
        <v>0</v>
      </c>
      <c r="X1619">
        <v>1</v>
      </c>
      <c r="Y1619">
        <v>0</v>
      </c>
      <c r="Z1619">
        <v>0</v>
      </c>
      <c r="AB1619">
        <v>0</v>
      </c>
      <c r="AC1619">
        <v>9</v>
      </c>
      <c r="AD1619">
        <v>3</v>
      </c>
      <c r="AE1619">
        <v>0</v>
      </c>
      <c r="AF1619">
        <v>9</v>
      </c>
      <c r="AG1619" t="s">
        <v>158</v>
      </c>
      <c r="AH1619">
        <v>0</v>
      </c>
      <c r="AI1619">
        <v>3</v>
      </c>
      <c r="AJ1619">
        <v>1</v>
      </c>
      <c r="AK1619">
        <v>0</v>
      </c>
      <c r="AL1619" t="s">
        <v>3115</v>
      </c>
      <c r="AM1619">
        <v>46.826284000000001</v>
      </c>
      <c r="AN1619" t="s">
        <v>3116</v>
      </c>
      <c r="AO1619">
        <v>-122.837384</v>
      </c>
      <c r="AP1619">
        <v>100</v>
      </c>
      <c r="AQ1619">
        <v>2000</v>
      </c>
      <c r="AR1619" t="s">
        <v>118</v>
      </c>
      <c r="AS1619">
        <v>-74</v>
      </c>
      <c r="AT1619">
        <v>23</v>
      </c>
      <c r="AU1619">
        <v>128</v>
      </c>
      <c r="BC1619">
        <v>1200</v>
      </c>
      <c r="BD1619">
        <v>1</v>
      </c>
      <c r="BE1619" t="str">
        <f t="shared" si="77"/>
        <v xml:space="preserve">N215T   </v>
      </c>
      <c r="BF1619">
        <v>1</v>
      </c>
      <c r="BH1619">
        <v>0</v>
      </c>
      <c r="BI1619">
        <v>0</v>
      </c>
      <c r="BJ1619">
        <v>0</v>
      </c>
      <c r="BK1619">
        <v>2375</v>
      </c>
      <c r="BL1619">
        <v>375</v>
      </c>
      <c r="BM1619" t="s">
        <v>119</v>
      </c>
      <c r="BN1619">
        <v>1</v>
      </c>
      <c r="BO1619">
        <v>1</v>
      </c>
      <c r="BP1619">
        <v>1</v>
      </c>
      <c r="BQ1619">
        <v>0</v>
      </c>
      <c r="BT1619">
        <v>0</v>
      </c>
      <c r="BU1619">
        <v>0</v>
      </c>
      <c r="BV1619">
        <v>0</v>
      </c>
      <c r="CC1619" t="str">
        <f>"19:01:47.422"</f>
        <v>19:01:47.422</v>
      </c>
      <c r="CD1619" t="str">
        <f>"418682912"</f>
        <v>418682912</v>
      </c>
      <c r="CQ1619">
        <v>0</v>
      </c>
      <c r="CR1619">
        <v>2</v>
      </c>
      <c r="CS1619">
        <v>0</v>
      </c>
      <c r="CT1619">
        <v>2</v>
      </c>
      <c r="CU1619">
        <v>0</v>
      </c>
      <c r="CV1619">
        <v>7</v>
      </c>
      <c r="CW1619" t="s">
        <v>120</v>
      </c>
      <c r="CX1619">
        <v>261</v>
      </c>
      <c r="CY1619">
        <v>2</v>
      </c>
      <c r="CZ1619" t="s">
        <v>121</v>
      </c>
      <c r="DA1619" t="s">
        <v>122</v>
      </c>
      <c r="DD1619">
        <v>15198731</v>
      </c>
      <c r="DE1619" t="s">
        <v>123</v>
      </c>
    </row>
    <row r="1620" spans="1:109" x14ac:dyDescent="0.3">
      <c r="A1620" t="str">
        <f>"19:01:48.570"</f>
        <v>19:01:48.570</v>
      </c>
      <c r="B1620" t="s">
        <v>110</v>
      </c>
      <c r="C1620" t="str">
        <f t="shared" si="75"/>
        <v>ffdfd3c0</v>
      </c>
      <c r="D1620" t="s">
        <v>111</v>
      </c>
      <c r="E1620">
        <v>18</v>
      </c>
      <c r="F1620">
        <v>1018</v>
      </c>
      <c r="G1620" t="s">
        <v>112</v>
      </c>
      <c r="J1620" t="s">
        <v>113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R1620" t="s">
        <v>114</v>
      </c>
      <c r="S1620" t="str">
        <f>"19:01:48.375"</f>
        <v>19:01:48.375</v>
      </c>
      <c r="T1620" t="str">
        <f>"19:01:48.273"</f>
        <v>19:01:48.273</v>
      </c>
      <c r="U1620" t="str">
        <f t="shared" si="76"/>
        <v>a1cdbe</v>
      </c>
      <c r="V1620">
        <v>0</v>
      </c>
      <c r="W1620">
        <v>0</v>
      </c>
      <c r="X1620">
        <v>1</v>
      </c>
      <c r="Y1620">
        <v>0</v>
      </c>
      <c r="Z1620">
        <v>0</v>
      </c>
      <c r="AB1620">
        <v>0</v>
      </c>
      <c r="AC1620">
        <v>9</v>
      </c>
      <c r="AD1620">
        <v>3</v>
      </c>
      <c r="AE1620">
        <v>0</v>
      </c>
      <c r="AF1620">
        <v>9</v>
      </c>
      <c r="AG1620" t="s">
        <v>158</v>
      </c>
      <c r="AH1620">
        <v>0</v>
      </c>
      <c r="AI1620">
        <v>3</v>
      </c>
      <c r="AJ1620">
        <v>1</v>
      </c>
      <c r="AK1620">
        <v>0</v>
      </c>
      <c r="AL1620" t="s">
        <v>3117</v>
      </c>
      <c r="AM1620">
        <v>46.826391000000001</v>
      </c>
      <c r="AN1620" t="s">
        <v>3118</v>
      </c>
      <c r="AO1620">
        <v>-122.83787700000001</v>
      </c>
      <c r="AP1620">
        <v>100</v>
      </c>
      <c r="AQ1620">
        <v>2000</v>
      </c>
      <c r="AR1620" t="s">
        <v>118</v>
      </c>
      <c r="AS1620">
        <v>-74</v>
      </c>
      <c r="AT1620">
        <v>23</v>
      </c>
      <c r="AU1620">
        <v>192</v>
      </c>
      <c r="BC1620">
        <v>1200</v>
      </c>
      <c r="BD1620">
        <v>1</v>
      </c>
      <c r="BE1620" t="str">
        <f t="shared" si="77"/>
        <v xml:space="preserve">N215T   </v>
      </c>
      <c r="BF1620">
        <v>1</v>
      </c>
      <c r="BH1620">
        <v>0</v>
      </c>
      <c r="BI1620">
        <v>0</v>
      </c>
      <c r="BJ1620">
        <v>0</v>
      </c>
      <c r="BK1620">
        <v>2375</v>
      </c>
      <c r="BL1620">
        <v>375</v>
      </c>
      <c r="BM1620" t="s">
        <v>119</v>
      </c>
      <c r="BN1620">
        <v>1</v>
      </c>
      <c r="BO1620">
        <v>1</v>
      </c>
      <c r="BP1620">
        <v>1</v>
      </c>
      <c r="BQ1620">
        <v>0</v>
      </c>
      <c r="BT1620">
        <v>0</v>
      </c>
      <c r="BU1620">
        <v>0</v>
      </c>
      <c r="BV1620">
        <v>0</v>
      </c>
      <c r="CC1620" t="str">
        <f>"19:01:48.375"</f>
        <v>19:01:48.375</v>
      </c>
      <c r="CD1620" t="str">
        <f>"378588341"</f>
        <v>378588341</v>
      </c>
      <c r="CQ1620">
        <v>0</v>
      </c>
      <c r="CR1620">
        <v>2</v>
      </c>
      <c r="CS1620">
        <v>0</v>
      </c>
      <c r="CT1620">
        <v>2</v>
      </c>
      <c r="CU1620">
        <v>0</v>
      </c>
      <c r="CV1620">
        <v>7</v>
      </c>
      <c r="CW1620" t="s">
        <v>120</v>
      </c>
      <c r="CX1620">
        <v>261</v>
      </c>
      <c r="CY1620">
        <v>2</v>
      </c>
      <c r="CZ1620" t="s">
        <v>121</v>
      </c>
      <c r="DA1620" t="s">
        <v>122</v>
      </c>
      <c r="DD1620">
        <v>15199382</v>
      </c>
      <c r="DE1620" t="s">
        <v>123</v>
      </c>
    </row>
    <row r="1621" spans="1:109" x14ac:dyDescent="0.3">
      <c r="A1621" t="str">
        <f>"19:01:49.531"</f>
        <v>19:01:49.531</v>
      </c>
      <c r="B1621" t="s">
        <v>110</v>
      </c>
      <c r="C1621" t="str">
        <f t="shared" si="75"/>
        <v>ffdfd3c0</v>
      </c>
      <c r="D1621" t="s">
        <v>111</v>
      </c>
      <c r="E1621">
        <v>18</v>
      </c>
      <c r="F1621">
        <v>1018</v>
      </c>
      <c r="G1621" t="s">
        <v>112</v>
      </c>
      <c r="J1621" t="s">
        <v>113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R1621" t="s">
        <v>114</v>
      </c>
      <c r="S1621" t="str">
        <f>"19:01:49.273"</f>
        <v>19:01:49.273</v>
      </c>
      <c r="T1621" t="str">
        <f>"19:01:48.773"</f>
        <v>19:01:48.773</v>
      </c>
      <c r="U1621" t="str">
        <f t="shared" si="76"/>
        <v>a1cdbe</v>
      </c>
      <c r="V1621">
        <v>0</v>
      </c>
      <c r="W1621">
        <v>0</v>
      </c>
      <c r="X1621">
        <v>1</v>
      </c>
      <c r="Y1621">
        <v>0</v>
      </c>
      <c r="Z1621">
        <v>0</v>
      </c>
      <c r="AB1621">
        <v>0</v>
      </c>
      <c r="AC1621">
        <v>9</v>
      </c>
      <c r="AD1621">
        <v>3</v>
      </c>
      <c r="AE1621">
        <v>0</v>
      </c>
      <c r="AF1621">
        <v>9</v>
      </c>
      <c r="AG1621" t="s">
        <v>158</v>
      </c>
      <c r="AH1621">
        <v>0</v>
      </c>
      <c r="AI1621">
        <v>3</v>
      </c>
      <c r="AJ1621">
        <v>1</v>
      </c>
      <c r="AK1621">
        <v>0</v>
      </c>
      <c r="AL1621" t="s">
        <v>2425</v>
      </c>
      <c r="AM1621">
        <v>46.826476999999997</v>
      </c>
      <c r="AN1621" t="s">
        <v>3119</v>
      </c>
      <c r="AO1621">
        <v>-122.838328</v>
      </c>
      <c r="AP1621">
        <v>100</v>
      </c>
      <c r="AQ1621">
        <v>2000</v>
      </c>
      <c r="AR1621" t="s">
        <v>118</v>
      </c>
      <c r="AS1621">
        <v>-73</v>
      </c>
      <c r="AT1621">
        <v>23</v>
      </c>
      <c r="AU1621">
        <v>256</v>
      </c>
      <c r="BC1621">
        <v>1200</v>
      </c>
      <c r="BD1621">
        <v>1</v>
      </c>
      <c r="BE1621" t="str">
        <f t="shared" si="77"/>
        <v xml:space="preserve">N215T   </v>
      </c>
      <c r="BF1621">
        <v>1</v>
      </c>
      <c r="BH1621">
        <v>0</v>
      </c>
      <c r="BI1621">
        <v>0</v>
      </c>
      <c r="BJ1621">
        <v>0</v>
      </c>
      <c r="BK1621">
        <v>2375</v>
      </c>
      <c r="BL1621">
        <v>375</v>
      </c>
      <c r="BM1621" t="s">
        <v>119</v>
      </c>
      <c r="BN1621">
        <v>1</v>
      </c>
      <c r="BO1621">
        <v>1</v>
      </c>
      <c r="BP1621">
        <v>1</v>
      </c>
      <c r="BQ1621">
        <v>0</v>
      </c>
      <c r="BT1621">
        <v>0</v>
      </c>
      <c r="BU1621">
        <v>0</v>
      </c>
      <c r="BV1621">
        <v>0</v>
      </c>
      <c r="CC1621" t="str">
        <f>"19:01:49.281"</f>
        <v>19:01:49.281</v>
      </c>
      <c r="CD1621" t="str">
        <f>"278499681"</f>
        <v>278499681</v>
      </c>
      <c r="CQ1621">
        <v>0</v>
      </c>
      <c r="CR1621">
        <v>2</v>
      </c>
      <c r="CS1621">
        <v>0</v>
      </c>
      <c r="CT1621">
        <v>2</v>
      </c>
      <c r="CU1621">
        <v>0</v>
      </c>
      <c r="CV1621">
        <v>7</v>
      </c>
      <c r="CW1621" t="s">
        <v>120</v>
      </c>
      <c r="CX1621">
        <v>261</v>
      </c>
      <c r="CY1621">
        <v>2</v>
      </c>
      <c r="CZ1621" t="s">
        <v>121</v>
      </c>
      <c r="DA1621" t="s">
        <v>122</v>
      </c>
      <c r="DD1621">
        <v>15199948</v>
      </c>
      <c r="DE1621" t="s">
        <v>123</v>
      </c>
    </row>
    <row r="1622" spans="1:109" x14ac:dyDescent="0.3">
      <c r="A1622" t="str">
        <f>"19:01:50.531"</f>
        <v>19:01:50.531</v>
      </c>
      <c r="B1622" t="s">
        <v>110</v>
      </c>
      <c r="C1622" t="str">
        <f t="shared" si="75"/>
        <v>ffdfd3c0</v>
      </c>
      <c r="D1622" t="s">
        <v>111</v>
      </c>
      <c r="E1622">
        <v>18</v>
      </c>
      <c r="F1622">
        <v>1018</v>
      </c>
      <c r="G1622" t="s">
        <v>112</v>
      </c>
      <c r="J1622" t="s">
        <v>113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R1622" t="s">
        <v>114</v>
      </c>
      <c r="S1622" t="str">
        <f>"19:01:50.313"</f>
        <v>19:01:50.313</v>
      </c>
      <c r="T1622" t="str">
        <f>"19:01:50.211"</f>
        <v>19:01:50.211</v>
      </c>
      <c r="U1622" t="str">
        <f t="shared" si="76"/>
        <v>a1cdbe</v>
      </c>
      <c r="V1622">
        <v>0</v>
      </c>
      <c r="W1622">
        <v>0</v>
      </c>
      <c r="X1622">
        <v>1</v>
      </c>
      <c r="Y1622">
        <v>0</v>
      </c>
      <c r="Z1622">
        <v>0</v>
      </c>
      <c r="AB1622">
        <v>0</v>
      </c>
      <c r="AC1622">
        <v>9</v>
      </c>
      <c r="AD1622">
        <v>3</v>
      </c>
      <c r="AE1622">
        <v>0</v>
      </c>
      <c r="AF1622">
        <v>9</v>
      </c>
      <c r="AG1622" t="s">
        <v>158</v>
      </c>
      <c r="AH1622">
        <v>0</v>
      </c>
      <c r="AI1622">
        <v>3</v>
      </c>
      <c r="AJ1622">
        <v>1</v>
      </c>
      <c r="AK1622">
        <v>0</v>
      </c>
      <c r="AL1622" t="s">
        <v>2423</v>
      </c>
      <c r="AM1622">
        <v>46.826563</v>
      </c>
      <c r="AN1622" t="s">
        <v>3120</v>
      </c>
      <c r="AO1622">
        <v>-122.838821</v>
      </c>
      <c r="AP1622">
        <v>100</v>
      </c>
      <c r="AQ1622">
        <v>2000</v>
      </c>
      <c r="AR1622" t="s">
        <v>118</v>
      </c>
      <c r="AS1622">
        <v>-72</v>
      </c>
      <c r="AT1622">
        <v>22</v>
      </c>
      <c r="AU1622">
        <v>256</v>
      </c>
      <c r="BC1622">
        <v>1200</v>
      </c>
      <c r="BD1622">
        <v>1</v>
      </c>
      <c r="BE1622" t="str">
        <f t="shared" si="77"/>
        <v xml:space="preserve">N215T   </v>
      </c>
      <c r="BF1622">
        <v>1</v>
      </c>
      <c r="BH1622">
        <v>0</v>
      </c>
      <c r="BI1622">
        <v>0</v>
      </c>
      <c r="BJ1622">
        <v>0</v>
      </c>
      <c r="BK1622">
        <v>2375</v>
      </c>
      <c r="BL1622">
        <v>375</v>
      </c>
      <c r="BM1622" t="s">
        <v>119</v>
      </c>
      <c r="BN1622">
        <v>1</v>
      </c>
      <c r="BO1622">
        <v>1</v>
      </c>
      <c r="BP1622">
        <v>1</v>
      </c>
      <c r="BQ1622">
        <v>0</v>
      </c>
      <c r="BT1622">
        <v>0</v>
      </c>
      <c r="BU1622">
        <v>0</v>
      </c>
      <c r="BV1622">
        <v>0</v>
      </c>
      <c r="CC1622" t="str">
        <f>"19:01:50.313"</f>
        <v>19:01:50.313</v>
      </c>
      <c r="CD1622" t="str">
        <f>"313397716"</f>
        <v>313397716</v>
      </c>
      <c r="CQ1622">
        <v>0</v>
      </c>
      <c r="CR1622">
        <v>2</v>
      </c>
      <c r="CS1622">
        <v>0</v>
      </c>
      <c r="CT1622">
        <v>2</v>
      </c>
      <c r="CU1622">
        <v>0</v>
      </c>
      <c r="CV1622">
        <v>7</v>
      </c>
      <c r="CW1622" t="s">
        <v>120</v>
      </c>
      <c r="CX1622">
        <v>261</v>
      </c>
      <c r="CY1622">
        <v>2</v>
      </c>
      <c r="CZ1622" t="s">
        <v>121</v>
      </c>
      <c r="DA1622" t="s">
        <v>122</v>
      </c>
      <c r="DD1622">
        <v>15200586</v>
      </c>
      <c r="DE1622" t="s">
        <v>123</v>
      </c>
    </row>
    <row r="1623" spans="1:109" x14ac:dyDescent="0.3">
      <c r="A1623" t="str">
        <f>"19:01:51.539"</f>
        <v>19:01:51.539</v>
      </c>
      <c r="B1623" t="s">
        <v>110</v>
      </c>
      <c r="C1623" t="str">
        <f t="shared" si="75"/>
        <v>ffdfd3c0</v>
      </c>
      <c r="D1623" t="s">
        <v>111</v>
      </c>
      <c r="E1623">
        <v>18</v>
      </c>
      <c r="F1623">
        <v>1018</v>
      </c>
      <c r="G1623" t="s">
        <v>112</v>
      </c>
      <c r="J1623" t="s">
        <v>113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R1623" t="s">
        <v>114</v>
      </c>
      <c r="S1623" t="str">
        <f>"19:01:51.328"</f>
        <v>19:01:51.328</v>
      </c>
      <c r="T1623" t="str">
        <f>"19:01:51.227"</f>
        <v>19:01:51.227</v>
      </c>
      <c r="U1623" t="str">
        <f t="shared" si="76"/>
        <v>a1cdbe</v>
      </c>
      <c r="V1623">
        <v>0</v>
      </c>
      <c r="W1623">
        <v>0</v>
      </c>
      <c r="X1623">
        <v>1</v>
      </c>
      <c r="Y1623">
        <v>0</v>
      </c>
      <c r="Z1623">
        <v>0</v>
      </c>
      <c r="AB1623">
        <v>0</v>
      </c>
      <c r="AC1623">
        <v>9</v>
      </c>
      <c r="AD1623">
        <v>3</v>
      </c>
      <c r="AE1623">
        <v>0</v>
      </c>
      <c r="AF1623">
        <v>9</v>
      </c>
      <c r="AG1623" t="s">
        <v>158</v>
      </c>
      <c r="AH1623">
        <v>0</v>
      </c>
      <c r="AI1623">
        <v>3</v>
      </c>
      <c r="AJ1623">
        <v>1</v>
      </c>
      <c r="AK1623">
        <v>0</v>
      </c>
      <c r="AL1623" t="s">
        <v>2421</v>
      </c>
      <c r="AM1623">
        <v>46.826712999999998</v>
      </c>
      <c r="AN1623" t="s">
        <v>3121</v>
      </c>
      <c r="AO1623">
        <v>-122.83927199999999</v>
      </c>
      <c r="AP1623">
        <v>100</v>
      </c>
      <c r="AQ1623">
        <v>2000</v>
      </c>
      <c r="AR1623" t="s">
        <v>118</v>
      </c>
      <c r="AS1623">
        <v>-72</v>
      </c>
      <c r="AT1623">
        <v>22</v>
      </c>
      <c r="AU1623">
        <v>256</v>
      </c>
      <c r="BC1623">
        <v>1200</v>
      </c>
      <c r="BD1623">
        <v>1</v>
      </c>
      <c r="BE1623" t="str">
        <f t="shared" si="77"/>
        <v xml:space="preserve">N215T   </v>
      </c>
      <c r="BF1623">
        <v>1</v>
      </c>
      <c r="BH1623">
        <v>0</v>
      </c>
      <c r="BI1623">
        <v>0</v>
      </c>
      <c r="BJ1623">
        <v>0</v>
      </c>
      <c r="BK1623">
        <v>2375</v>
      </c>
      <c r="BL1623">
        <v>375</v>
      </c>
      <c r="BM1623" t="s">
        <v>119</v>
      </c>
      <c r="BN1623">
        <v>1</v>
      </c>
      <c r="BO1623">
        <v>1</v>
      </c>
      <c r="BP1623">
        <v>1</v>
      </c>
      <c r="BQ1623">
        <v>0</v>
      </c>
      <c r="BT1623">
        <v>0</v>
      </c>
      <c r="BU1623">
        <v>0</v>
      </c>
      <c r="BV1623">
        <v>0</v>
      </c>
      <c r="CC1623" t="str">
        <f>"19:01:51.336"</f>
        <v>19:01:51.336</v>
      </c>
      <c r="CD1623" t="str">
        <f>"333297241"</f>
        <v>333297241</v>
      </c>
      <c r="CQ1623">
        <v>0</v>
      </c>
      <c r="CR1623">
        <v>2</v>
      </c>
      <c r="CS1623">
        <v>0</v>
      </c>
      <c r="CT1623">
        <v>2</v>
      </c>
      <c r="CU1623">
        <v>0</v>
      </c>
      <c r="CV1623">
        <v>7</v>
      </c>
      <c r="CW1623" t="s">
        <v>120</v>
      </c>
      <c r="CX1623">
        <v>261</v>
      </c>
      <c r="CY1623">
        <v>2</v>
      </c>
      <c r="CZ1623" t="s">
        <v>121</v>
      </c>
      <c r="DA1623" t="s">
        <v>122</v>
      </c>
      <c r="DD1623">
        <v>15201210</v>
      </c>
      <c r="DE1623" t="s">
        <v>123</v>
      </c>
    </row>
    <row r="1624" spans="1:109" x14ac:dyDescent="0.3">
      <c r="A1624" t="str">
        <f>"19:01:52.547"</f>
        <v>19:01:52.547</v>
      </c>
      <c r="B1624" t="s">
        <v>110</v>
      </c>
      <c r="C1624" t="str">
        <f t="shared" si="75"/>
        <v>ffdfd3c0</v>
      </c>
      <c r="D1624" t="s">
        <v>111</v>
      </c>
      <c r="E1624">
        <v>18</v>
      </c>
      <c r="F1624">
        <v>1018</v>
      </c>
      <c r="G1624" t="s">
        <v>112</v>
      </c>
      <c r="J1624" t="s">
        <v>113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R1624" t="s">
        <v>114</v>
      </c>
      <c r="S1624" t="str">
        <f>"19:01:52.305"</f>
        <v>19:01:52.305</v>
      </c>
      <c r="T1624" t="str">
        <f>"19:01:52.203"</f>
        <v>19:01:52.203</v>
      </c>
      <c r="U1624" t="str">
        <f t="shared" si="76"/>
        <v>a1cdbe</v>
      </c>
      <c r="V1624">
        <v>0</v>
      </c>
      <c r="W1624">
        <v>0</v>
      </c>
      <c r="X1624">
        <v>1</v>
      </c>
      <c r="Y1624">
        <v>0</v>
      </c>
      <c r="Z1624">
        <v>0</v>
      </c>
      <c r="AB1624">
        <v>0</v>
      </c>
      <c r="AC1624">
        <v>9</v>
      </c>
      <c r="AD1624">
        <v>3</v>
      </c>
      <c r="AE1624">
        <v>0</v>
      </c>
      <c r="AF1624">
        <v>9</v>
      </c>
      <c r="AG1624" t="s">
        <v>158</v>
      </c>
      <c r="AH1624">
        <v>0</v>
      </c>
      <c r="AI1624">
        <v>3</v>
      </c>
      <c r="AJ1624">
        <v>1</v>
      </c>
      <c r="AK1624">
        <v>0</v>
      </c>
      <c r="AL1624" t="s">
        <v>3122</v>
      </c>
      <c r="AM1624">
        <v>46.826799000000001</v>
      </c>
      <c r="AN1624" t="s">
        <v>3123</v>
      </c>
      <c r="AO1624">
        <v>-122.839787</v>
      </c>
      <c r="AP1624">
        <v>100</v>
      </c>
      <c r="AQ1624">
        <v>2000</v>
      </c>
      <c r="AR1624" t="s">
        <v>118</v>
      </c>
      <c r="AS1624">
        <v>-72</v>
      </c>
      <c r="AT1624">
        <v>21</v>
      </c>
      <c r="AU1624">
        <v>64</v>
      </c>
      <c r="BC1624">
        <v>1200</v>
      </c>
      <c r="BD1624">
        <v>1</v>
      </c>
      <c r="BE1624" t="str">
        <f t="shared" si="77"/>
        <v xml:space="preserve">N215T   </v>
      </c>
      <c r="BF1624">
        <v>1</v>
      </c>
      <c r="BH1624">
        <v>0</v>
      </c>
      <c r="BI1624">
        <v>0</v>
      </c>
      <c r="BJ1624">
        <v>0</v>
      </c>
      <c r="BK1624">
        <v>2400</v>
      </c>
      <c r="BL1624">
        <v>400</v>
      </c>
      <c r="BM1624" t="s">
        <v>119</v>
      </c>
      <c r="BN1624">
        <v>1</v>
      </c>
      <c r="BO1624">
        <v>1</v>
      </c>
      <c r="BP1624">
        <v>1</v>
      </c>
      <c r="BQ1624">
        <v>0</v>
      </c>
      <c r="BT1624">
        <v>0</v>
      </c>
      <c r="BU1624">
        <v>0</v>
      </c>
      <c r="BV1624">
        <v>0</v>
      </c>
      <c r="CC1624" t="str">
        <f>"19:01:52.305"</f>
        <v>19:01:52.305</v>
      </c>
      <c r="CD1624" t="str">
        <f>"308201200"</f>
        <v>308201200</v>
      </c>
      <c r="CQ1624">
        <v>0</v>
      </c>
      <c r="CR1624">
        <v>2</v>
      </c>
      <c r="CS1624">
        <v>0</v>
      </c>
      <c r="CT1624">
        <v>2</v>
      </c>
      <c r="CU1624">
        <v>0</v>
      </c>
      <c r="CV1624">
        <v>7</v>
      </c>
      <c r="CW1624" t="s">
        <v>120</v>
      </c>
      <c r="CX1624">
        <v>261</v>
      </c>
      <c r="CY1624">
        <v>2</v>
      </c>
      <c r="CZ1624" t="s">
        <v>121</v>
      </c>
      <c r="DA1624" t="s">
        <v>122</v>
      </c>
      <c r="DD1624">
        <v>15201862</v>
      </c>
      <c r="DE1624" t="s">
        <v>123</v>
      </c>
    </row>
    <row r="1625" spans="1:109" x14ac:dyDescent="0.3">
      <c r="A1625" t="str">
        <f>"19:01:53.453"</f>
        <v>19:01:53.453</v>
      </c>
      <c r="B1625" t="s">
        <v>110</v>
      </c>
      <c r="C1625" t="str">
        <f t="shared" si="75"/>
        <v>ffdfd3c0</v>
      </c>
      <c r="D1625" t="s">
        <v>111</v>
      </c>
      <c r="E1625">
        <v>18</v>
      </c>
      <c r="F1625">
        <v>1018</v>
      </c>
      <c r="G1625" t="s">
        <v>112</v>
      </c>
      <c r="J1625" t="s">
        <v>113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R1625" t="s">
        <v>114</v>
      </c>
      <c r="S1625" t="str">
        <f>"19:01:53.250"</f>
        <v>19:01:53.250</v>
      </c>
      <c r="T1625" t="str">
        <f>"19:01:53.047"</f>
        <v>19:01:53.047</v>
      </c>
      <c r="U1625" t="str">
        <f t="shared" si="76"/>
        <v>a1cdbe</v>
      </c>
      <c r="V1625">
        <v>0</v>
      </c>
      <c r="W1625">
        <v>0</v>
      </c>
      <c r="X1625">
        <v>1</v>
      </c>
      <c r="Y1625">
        <v>0</v>
      </c>
      <c r="Z1625">
        <v>0</v>
      </c>
      <c r="AB1625">
        <v>0</v>
      </c>
      <c r="AC1625">
        <v>9</v>
      </c>
      <c r="AD1625">
        <v>3</v>
      </c>
      <c r="AE1625">
        <v>0</v>
      </c>
      <c r="AF1625">
        <v>9</v>
      </c>
      <c r="AG1625" t="s">
        <v>158</v>
      </c>
      <c r="AH1625">
        <v>0</v>
      </c>
      <c r="AI1625">
        <v>3</v>
      </c>
      <c r="AJ1625">
        <v>1</v>
      </c>
      <c r="AK1625">
        <v>0</v>
      </c>
      <c r="AL1625" t="s">
        <v>3124</v>
      </c>
      <c r="AM1625">
        <v>46.826884999999997</v>
      </c>
      <c r="AN1625" t="s">
        <v>3125</v>
      </c>
      <c r="AO1625">
        <v>-122.840216</v>
      </c>
      <c r="AP1625">
        <v>100</v>
      </c>
      <c r="AQ1625">
        <v>2000</v>
      </c>
      <c r="AR1625" t="s">
        <v>118</v>
      </c>
      <c r="AS1625">
        <v>-71</v>
      </c>
      <c r="AT1625">
        <v>21</v>
      </c>
      <c r="AU1625">
        <v>64</v>
      </c>
      <c r="BC1625">
        <v>1200</v>
      </c>
      <c r="BD1625">
        <v>1</v>
      </c>
      <c r="BE1625" t="str">
        <f t="shared" si="77"/>
        <v xml:space="preserve">N215T   </v>
      </c>
      <c r="BF1625">
        <v>1</v>
      </c>
      <c r="BH1625">
        <v>0</v>
      </c>
      <c r="BI1625">
        <v>0</v>
      </c>
      <c r="BJ1625">
        <v>0</v>
      </c>
      <c r="BK1625">
        <v>2400</v>
      </c>
      <c r="BL1625">
        <v>400</v>
      </c>
      <c r="BM1625" t="s">
        <v>119</v>
      </c>
      <c r="BN1625">
        <v>1</v>
      </c>
      <c r="BO1625">
        <v>1</v>
      </c>
      <c r="BP1625">
        <v>1</v>
      </c>
      <c r="BQ1625">
        <v>0</v>
      </c>
      <c r="BT1625">
        <v>0</v>
      </c>
      <c r="BU1625">
        <v>0</v>
      </c>
      <c r="BV1625">
        <v>0</v>
      </c>
      <c r="CC1625" t="str">
        <f>"19:01:53.250"</f>
        <v>19:01:53.250</v>
      </c>
      <c r="CD1625" t="str">
        <f>"253108110"</f>
        <v>253108110</v>
      </c>
      <c r="CQ1625">
        <v>0</v>
      </c>
      <c r="CR1625">
        <v>2</v>
      </c>
      <c r="CS1625">
        <v>0</v>
      </c>
      <c r="CT1625">
        <v>2</v>
      </c>
      <c r="CU1625">
        <v>0</v>
      </c>
      <c r="CV1625">
        <v>7</v>
      </c>
      <c r="CW1625" t="s">
        <v>120</v>
      </c>
      <c r="CX1625">
        <v>261</v>
      </c>
      <c r="CY1625">
        <v>2</v>
      </c>
      <c r="CZ1625" t="s">
        <v>121</v>
      </c>
      <c r="DA1625" t="s">
        <v>122</v>
      </c>
      <c r="DD1625">
        <v>15202521</v>
      </c>
      <c r="DE1625" t="s">
        <v>123</v>
      </c>
    </row>
    <row r="1626" spans="1:109" x14ac:dyDescent="0.3">
      <c r="A1626" t="str">
        <f>"19:01:54.508"</f>
        <v>19:01:54.508</v>
      </c>
      <c r="B1626" t="s">
        <v>110</v>
      </c>
      <c r="C1626" t="str">
        <f t="shared" si="75"/>
        <v>ffdfd3c0</v>
      </c>
      <c r="D1626" t="s">
        <v>111</v>
      </c>
      <c r="E1626">
        <v>18</v>
      </c>
      <c r="F1626">
        <v>1018</v>
      </c>
      <c r="G1626" t="s">
        <v>112</v>
      </c>
      <c r="J1626" t="s">
        <v>113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R1626" t="s">
        <v>114</v>
      </c>
      <c r="S1626" t="str">
        <f>"19:01:54.266"</f>
        <v>19:01:54.266</v>
      </c>
      <c r="T1626" t="str">
        <f>"19:01:54.063"</f>
        <v>19:01:54.063</v>
      </c>
      <c r="U1626" t="str">
        <f t="shared" si="76"/>
        <v>a1cdbe</v>
      </c>
      <c r="V1626">
        <v>0</v>
      </c>
      <c r="W1626">
        <v>0</v>
      </c>
      <c r="X1626">
        <v>1</v>
      </c>
      <c r="Y1626">
        <v>0</v>
      </c>
      <c r="Z1626">
        <v>0</v>
      </c>
      <c r="AB1626">
        <v>0</v>
      </c>
      <c r="AC1626">
        <v>9</v>
      </c>
      <c r="AD1626">
        <v>3</v>
      </c>
      <c r="AE1626">
        <v>0</v>
      </c>
      <c r="AF1626">
        <v>9</v>
      </c>
      <c r="AG1626" t="s">
        <v>158</v>
      </c>
      <c r="AH1626">
        <v>0</v>
      </c>
      <c r="AI1626">
        <v>3</v>
      </c>
      <c r="AJ1626">
        <v>1</v>
      </c>
      <c r="AK1626">
        <v>0</v>
      </c>
      <c r="AL1626" t="s">
        <v>3126</v>
      </c>
      <c r="AM1626">
        <v>46.826991999999997</v>
      </c>
      <c r="AN1626" t="s">
        <v>3127</v>
      </c>
      <c r="AO1626">
        <v>-122.840667</v>
      </c>
      <c r="AP1626">
        <v>100</v>
      </c>
      <c r="AQ1626">
        <v>2000</v>
      </c>
      <c r="AR1626" t="s">
        <v>118</v>
      </c>
      <c r="AS1626">
        <v>-71</v>
      </c>
      <c r="AT1626">
        <v>21</v>
      </c>
      <c r="AU1626">
        <v>64</v>
      </c>
      <c r="BC1626">
        <v>1200</v>
      </c>
      <c r="BD1626">
        <v>1</v>
      </c>
      <c r="BE1626" t="str">
        <f t="shared" si="77"/>
        <v xml:space="preserve">N215T   </v>
      </c>
      <c r="BF1626">
        <v>1</v>
      </c>
      <c r="BH1626">
        <v>0</v>
      </c>
      <c r="BI1626">
        <v>0</v>
      </c>
      <c r="BJ1626">
        <v>0</v>
      </c>
      <c r="BK1626">
        <v>2375</v>
      </c>
      <c r="BL1626">
        <v>375</v>
      </c>
      <c r="BM1626" t="s">
        <v>119</v>
      </c>
      <c r="BN1626">
        <v>1</v>
      </c>
      <c r="BO1626">
        <v>1</v>
      </c>
      <c r="BP1626">
        <v>1</v>
      </c>
      <c r="BQ1626">
        <v>0</v>
      </c>
      <c r="BT1626">
        <v>0</v>
      </c>
      <c r="BU1626">
        <v>0</v>
      </c>
      <c r="BV1626">
        <v>0</v>
      </c>
      <c r="CC1626" t="str">
        <f>"19:01:54.273"</f>
        <v>19:01:54.273</v>
      </c>
      <c r="CD1626" t="str">
        <f>"273007630"</f>
        <v>273007630</v>
      </c>
      <c r="CQ1626">
        <v>0</v>
      </c>
      <c r="CR1626">
        <v>2</v>
      </c>
      <c r="CS1626">
        <v>0</v>
      </c>
      <c r="CT1626">
        <v>2</v>
      </c>
      <c r="CU1626">
        <v>0</v>
      </c>
      <c r="CV1626">
        <v>7</v>
      </c>
      <c r="CW1626" t="s">
        <v>120</v>
      </c>
      <c r="CX1626">
        <v>261</v>
      </c>
      <c r="CY1626">
        <v>2</v>
      </c>
      <c r="CZ1626" t="s">
        <v>121</v>
      </c>
      <c r="DA1626" t="s">
        <v>122</v>
      </c>
      <c r="DD1626">
        <v>15203158</v>
      </c>
      <c r="DE1626" t="s">
        <v>123</v>
      </c>
    </row>
    <row r="1627" spans="1:109" x14ac:dyDescent="0.3">
      <c r="A1627" t="str">
        <f>"19:01:55.461"</f>
        <v>19:01:55.461</v>
      </c>
      <c r="B1627" t="s">
        <v>110</v>
      </c>
      <c r="C1627" t="str">
        <f t="shared" si="75"/>
        <v>ffdfd3c0</v>
      </c>
      <c r="D1627" t="s">
        <v>111</v>
      </c>
      <c r="E1627">
        <v>18</v>
      </c>
      <c r="F1627">
        <v>1018</v>
      </c>
      <c r="G1627" t="s">
        <v>112</v>
      </c>
      <c r="J1627" t="s">
        <v>113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R1627" t="s">
        <v>114</v>
      </c>
      <c r="S1627" t="str">
        <f>"19:01:55.242"</f>
        <v>19:01:55.242</v>
      </c>
      <c r="T1627" t="str">
        <f>"19:01:55.242"</f>
        <v>19:01:55.242</v>
      </c>
      <c r="U1627" t="str">
        <f t="shared" si="76"/>
        <v>a1cdbe</v>
      </c>
      <c r="V1627">
        <v>0</v>
      </c>
      <c r="W1627">
        <v>0</v>
      </c>
      <c r="X1627">
        <v>1</v>
      </c>
      <c r="Y1627">
        <v>0</v>
      </c>
      <c r="Z1627">
        <v>0</v>
      </c>
      <c r="AB1627">
        <v>0</v>
      </c>
      <c r="AC1627">
        <v>9</v>
      </c>
      <c r="AD1627">
        <v>3</v>
      </c>
      <c r="AE1627">
        <v>0</v>
      </c>
      <c r="AF1627">
        <v>9</v>
      </c>
      <c r="AG1627" t="s">
        <v>158</v>
      </c>
      <c r="AH1627">
        <v>0</v>
      </c>
      <c r="AI1627">
        <v>3</v>
      </c>
      <c r="AJ1627">
        <v>1</v>
      </c>
      <c r="AK1627">
        <v>0</v>
      </c>
      <c r="AL1627" t="s">
        <v>2415</v>
      </c>
      <c r="AM1627">
        <v>46.827078</v>
      </c>
      <c r="AN1627" t="s">
        <v>3128</v>
      </c>
      <c r="AO1627">
        <v>-122.841139</v>
      </c>
      <c r="AP1627">
        <v>100</v>
      </c>
      <c r="AQ1627">
        <v>2000</v>
      </c>
      <c r="AR1627" t="s">
        <v>118</v>
      </c>
      <c r="AS1627">
        <v>-71</v>
      </c>
      <c r="AT1627">
        <v>20</v>
      </c>
      <c r="AU1627">
        <v>-64</v>
      </c>
      <c r="BC1627">
        <v>1200</v>
      </c>
      <c r="BD1627">
        <v>1</v>
      </c>
      <c r="BE1627" t="str">
        <f t="shared" si="77"/>
        <v xml:space="preserve">N215T   </v>
      </c>
      <c r="BF1627">
        <v>1</v>
      </c>
      <c r="BH1627">
        <v>0</v>
      </c>
      <c r="BI1627">
        <v>0</v>
      </c>
      <c r="BJ1627">
        <v>0</v>
      </c>
      <c r="BK1627">
        <v>2400</v>
      </c>
      <c r="BL1627">
        <v>400</v>
      </c>
      <c r="BM1627" t="s">
        <v>119</v>
      </c>
      <c r="BN1627">
        <v>1</v>
      </c>
      <c r="BO1627">
        <v>1</v>
      </c>
      <c r="BP1627">
        <v>1</v>
      </c>
      <c r="BQ1627">
        <v>0</v>
      </c>
      <c r="BT1627">
        <v>0</v>
      </c>
      <c r="BU1627">
        <v>0</v>
      </c>
      <c r="BV1627">
        <v>0</v>
      </c>
      <c r="CC1627" t="str">
        <f>"19:01:55.250"</f>
        <v>19:01:55.250</v>
      </c>
      <c r="CD1627" t="str">
        <f>"247952133"</f>
        <v>247952133</v>
      </c>
      <c r="CQ1627">
        <v>0</v>
      </c>
      <c r="CR1627">
        <v>2</v>
      </c>
      <c r="CS1627">
        <v>0</v>
      </c>
      <c r="CT1627">
        <v>2</v>
      </c>
      <c r="CU1627">
        <v>0</v>
      </c>
      <c r="CV1627">
        <v>4</v>
      </c>
      <c r="CW1627" t="s">
        <v>120</v>
      </c>
      <c r="CX1627">
        <v>257</v>
      </c>
      <c r="CY1627">
        <v>1</v>
      </c>
      <c r="CZ1627" t="s">
        <v>615</v>
      </c>
      <c r="DA1627" t="s">
        <v>616</v>
      </c>
      <c r="DD1627">
        <v>11588132</v>
      </c>
      <c r="DE1627" t="s">
        <v>123</v>
      </c>
    </row>
    <row r="1628" spans="1:109" x14ac:dyDescent="0.3">
      <c r="A1628" t="str">
        <f>"19:01:56.516"</f>
        <v>19:01:56.516</v>
      </c>
      <c r="B1628" t="s">
        <v>110</v>
      </c>
      <c r="C1628" t="str">
        <f t="shared" si="75"/>
        <v>ffdfd3c0</v>
      </c>
      <c r="D1628" t="s">
        <v>111</v>
      </c>
      <c r="E1628">
        <v>18</v>
      </c>
      <c r="F1628">
        <v>1018</v>
      </c>
      <c r="G1628" t="s">
        <v>112</v>
      </c>
      <c r="J1628" t="s">
        <v>113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R1628" t="s">
        <v>114</v>
      </c>
      <c r="S1628" t="str">
        <f>"19:01:56.313"</f>
        <v>19:01:56.313</v>
      </c>
      <c r="T1628" t="str">
        <f>"19:01:55.813"</f>
        <v>19:01:55.813</v>
      </c>
      <c r="U1628" t="str">
        <f t="shared" si="76"/>
        <v>a1cdbe</v>
      </c>
      <c r="V1628">
        <v>0</v>
      </c>
      <c r="W1628">
        <v>0</v>
      </c>
      <c r="X1628">
        <v>1</v>
      </c>
      <c r="Y1628">
        <v>0</v>
      </c>
      <c r="Z1628">
        <v>0</v>
      </c>
      <c r="AB1628">
        <v>0</v>
      </c>
      <c r="AC1628">
        <v>9</v>
      </c>
      <c r="AD1628">
        <v>3</v>
      </c>
      <c r="AE1628">
        <v>0</v>
      </c>
      <c r="AF1628">
        <v>9</v>
      </c>
      <c r="AG1628" t="s">
        <v>158</v>
      </c>
      <c r="AH1628">
        <v>0</v>
      </c>
      <c r="AI1628">
        <v>3</v>
      </c>
      <c r="AJ1628">
        <v>1</v>
      </c>
      <c r="AK1628">
        <v>0</v>
      </c>
      <c r="AL1628" t="s">
        <v>3129</v>
      </c>
      <c r="AM1628">
        <v>46.827185</v>
      </c>
      <c r="AN1628" t="s">
        <v>3130</v>
      </c>
      <c r="AO1628">
        <v>-122.841697</v>
      </c>
      <c r="AP1628">
        <v>100</v>
      </c>
      <c r="AQ1628">
        <v>2000</v>
      </c>
      <c r="AR1628" t="s">
        <v>118</v>
      </c>
      <c r="AS1628">
        <v>-71</v>
      </c>
      <c r="AT1628">
        <v>20</v>
      </c>
      <c r="AU1628">
        <v>-128</v>
      </c>
      <c r="BC1628">
        <v>1200</v>
      </c>
      <c r="BD1628">
        <v>1</v>
      </c>
      <c r="BE1628" t="str">
        <f t="shared" si="77"/>
        <v xml:space="preserve">N215T   </v>
      </c>
      <c r="BF1628">
        <v>1</v>
      </c>
      <c r="BH1628">
        <v>0</v>
      </c>
      <c r="BI1628">
        <v>0</v>
      </c>
      <c r="BJ1628">
        <v>0</v>
      </c>
      <c r="BK1628">
        <v>2400</v>
      </c>
      <c r="BL1628">
        <v>400</v>
      </c>
      <c r="BM1628" t="s">
        <v>119</v>
      </c>
      <c r="BN1628">
        <v>1</v>
      </c>
      <c r="BO1628">
        <v>1</v>
      </c>
      <c r="BP1628">
        <v>1</v>
      </c>
      <c r="BQ1628">
        <v>0</v>
      </c>
      <c r="BT1628">
        <v>0</v>
      </c>
      <c r="BU1628">
        <v>0</v>
      </c>
      <c r="BV1628">
        <v>0</v>
      </c>
      <c r="CC1628" t="str">
        <f>"19:01:56.313"</f>
        <v>19:01:56.313</v>
      </c>
      <c r="CD1628" t="str">
        <f>"312806670"</f>
        <v>312806670</v>
      </c>
      <c r="CQ1628">
        <v>0</v>
      </c>
      <c r="CR1628">
        <v>2</v>
      </c>
      <c r="CS1628">
        <v>0</v>
      </c>
      <c r="CT1628">
        <v>2</v>
      </c>
      <c r="CU1628">
        <v>0</v>
      </c>
      <c r="CV1628">
        <v>7</v>
      </c>
      <c r="CW1628" t="s">
        <v>120</v>
      </c>
      <c r="CX1628">
        <v>261</v>
      </c>
      <c r="CY1628">
        <v>2</v>
      </c>
      <c r="CZ1628" t="s">
        <v>121</v>
      </c>
      <c r="DA1628" t="s">
        <v>122</v>
      </c>
      <c r="DD1628">
        <v>15204519</v>
      </c>
      <c r="DE1628" t="s">
        <v>123</v>
      </c>
    </row>
    <row r="1629" spans="1:109" x14ac:dyDescent="0.3">
      <c r="A1629" t="str">
        <f>"19:01:57.672"</f>
        <v>19:01:57.672</v>
      </c>
      <c r="B1629" t="s">
        <v>110</v>
      </c>
      <c r="C1629" t="str">
        <f t="shared" si="75"/>
        <v>ffdfd3c0</v>
      </c>
      <c r="D1629" t="s">
        <v>111</v>
      </c>
      <c r="E1629">
        <v>18</v>
      </c>
      <c r="F1629">
        <v>1018</v>
      </c>
      <c r="G1629" t="s">
        <v>112</v>
      </c>
      <c r="J1629" t="s">
        <v>113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R1629" t="s">
        <v>114</v>
      </c>
      <c r="S1629" t="str">
        <f>"19:01:57.406"</f>
        <v>19:01:57.406</v>
      </c>
      <c r="T1629" t="str">
        <f>"19:01:57.203"</f>
        <v>19:01:57.203</v>
      </c>
      <c r="U1629" t="str">
        <f t="shared" si="76"/>
        <v>a1cdbe</v>
      </c>
      <c r="V1629">
        <v>0</v>
      </c>
      <c r="W1629">
        <v>0</v>
      </c>
      <c r="X1629">
        <v>1</v>
      </c>
      <c r="Y1629">
        <v>0</v>
      </c>
      <c r="Z1629">
        <v>0</v>
      </c>
      <c r="AB1629">
        <v>0</v>
      </c>
      <c r="AC1629">
        <v>9</v>
      </c>
      <c r="AD1629">
        <v>3</v>
      </c>
      <c r="AE1629">
        <v>0</v>
      </c>
      <c r="AF1629">
        <v>9</v>
      </c>
      <c r="AG1629" t="s">
        <v>158</v>
      </c>
      <c r="AH1629">
        <v>0</v>
      </c>
      <c r="AI1629">
        <v>3</v>
      </c>
      <c r="AJ1629">
        <v>1</v>
      </c>
      <c r="AK1629">
        <v>0</v>
      </c>
      <c r="AL1629" t="s">
        <v>2413</v>
      </c>
      <c r="AM1629">
        <v>46.827271000000003</v>
      </c>
      <c r="AN1629" t="s">
        <v>3131</v>
      </c>
      <c r="AO1629">
        <v>-122.84225499999999</v>
      </c>
      <c r="AP1629">
        <v>100</v>
      </c>
      <c r="AQ1629">
        <v>2000</v>
      </c>
      <c r="AR1629" t="s">
        <v>118</v>
      </c>
      <c r="AS1629">
        <v>-72</v>
      </c>
      <c r="AT1629">
        <v>20</v>
      </c>
      <c r="AU1629">
        <v>-192</v>
      </c>
      <c r="BC1629">
        <v>1200</v>
      </c>
      <c r="BD1629">
        <v>1</v>
      </c>
      <c r="BE1629" t="str">
        <f t="shared" si="77"/>
        <v xml:space="preserve">N215T   </v>
      </c>
      <c r="BF1629">
        <v>1</v>
      </c>
      <c r="BH1629">
        <v>0</v>
      </c>
      <c r="BI1629">
        <v>0</v>
      </c>
      <c r="BJ1629">
        <v>0</v>
      </c>
      <c r="BK1629">
        <v>2375</v>
      </c>
      <c r="BL1629">
        <v>375</v>
      </c>
      <c r="BM1629" t="s">
        <v>119</v>
      </c>
      <c r="BN1629">
        <v>1</v>
      </c>
      <c r="BO1629">
        <v>1</v>
      </c>
      <c r="BP1629">
        <v>1</v>
      </c>
      <c r="BQ1629">
        <v>0</v>
      </c>
      <c r="BT1629">
        <v>0</v>
      </c>
      <c r="BU1629">
        <v>0</v>
      </c>
      <c r="BV1629">
        <v>0</v>
      </c>
      <c r="CC1629" t="str">
        <f>"19:01:57.406"</f>
        <v>19:01:57.406</v>
      </c>
      <c r="CD1629" t="str">
        <f>"407698811"</f>
        <v>407698811</v>
      </c>
      <c r="CQ1629">
        <v>0</v>
      </c>
      <c r="CR1629">
        <v>2</v>
      </c>
      <c r="CS1629">
        <v>0</v>
      </c>
      <c r="CT1629">
        <v>2</v>
      </c>
      <c r="CU1629">
        <v>0</v>
      </c>
      <c r="CV1629">
        <v>7</v>
      </c>
      <c r="CW1629" t="s">
        <v>120</v>
      </c>
      <c r="CX1629">
        <v>261</v>
      </c>
      <c r="CY1629">
        <v>2</v>
      </c>
      <c r="CZ1629" t="s">
        <v>121</v>
      </c>
      <c r="DA1629" t="s">
        <v>122</v>
      </c>
      <c r="DD1629">
        <v>15205223</v>
      </c>
      <c r="DE1629" t="s">
        <v>123</v>
      </c>
    </row>
    <row r="1630" spans="1:109" x14ac:dyDescent="0.3">
      <c r="A1630" t="str">
        <f>"19:01:58.477"</f>
        <v>19:01:58.477</v>
      </c>
      <c r="B1630" t="s">
        <v>110</v>
      </c>
      <c r="C1630" t="str">
        <f t="shared" si="75"/>
        <v>ffdfd3c0</v>
      </c>
      <c r="D1630" t="s">
        <v>111</v>
      </c>
      <c r="E1630">
        <v>18</v>
      </c>
      <c r="F1630">
        <v>1018</v>
      </c>
      <c r="G1630" t="s">
        <v>112</v>
      </c>
      <c r="J1630" t="s">
        <v>113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R1630" t="s">
        <v>114</v>
      </c>
      <c r="S1630" t="str">
        <f>"19:01:58.258"</f>
        <v>19:01:58.258</v>
      </c>
      <c r="T1630" t="str">
        <f>"19:01:58.258"</f>
        <v>19:01:58.258</v>
      </c>
      <c r="U1630" t="str">
        <f t="shared" si="76"/>
        <v>a1cdbe</v>
      </c>
      <c r="V1630">
        <v>0</v>
      </c>
      <c r="W1630">
        <v>0</v>
      </c>
      <c r="X1630">
        <v>1</v>
      </c>
      <c r="Y1630">
        <v>0</v>
      </c>
      <c r="Z1630">
        <v>0</v>
      </c>
      <c r="AB1630">
        <v>0</v>
      </c>
      <c r="AC1630">
        <v>9</v>
      </c>
      <c r="AD1630">
        <v>3</v>
      </c>
      <c r="AE1630">
        <v>0</v>
      </c>
      <c r="AF1630">
        <v>9</v>
      </c>
      <c r="AG1630" t="s">
        <v>158</v>
      </c>
      <c r="AH1630">
        <v>0</v>
      </c>
      <c r="AI1630">
        <v>3</v>
      </c>
      <c r="AJ1630">
        <v>1</v>
      </c>
      <c r="AK1630">
        <v>0</v>
      </c>
      <c r="AL1630" t="s">
        <v>3132</v>
      </c>
      <c r="AM1630">
        <v>46.827356999999999</v>
      </c>
      <c r="AN1630" t="s">
        <v>3133</v>
      </c>
      <c r="AO1630">
        <v>-122.842598</v>
      </c>
      <c r="AP1630">
        <v>100</v>
      </c>
      <c r="AQ1630">
        <v>2000</v>
      </c>
      <c r="AR1630" t="s">
        <v>118</v>
      </c>
      <c r="AS1630">
        <v>-72</v>
      </c>
      <c r="AT1630">
        <v>20</v>
      </c>
      <c r="AU1630">
        <v>-192</v>
      </c>
      <c r="BC1630">
        <v>1200</v>
      </c>
      <c r="BD1630">
        <v>1</v>
      </c>
      <c r="BE1630" t="str">
        <f t="shared" si="77"/>
        <v xml:space="preserve">N215T   </v>
      </c>
      <c r="BF1630">
        <v>1</v>
      </c>
      <c r="BH1630">
        <v>0</v>
      </c>
      <c r="BI1630">
        <v>0</v>
      </c>
      <c r="BJ1630">
        <v>0</v>
      </c>
      <c r="BK1630">
        <v>2375</v>
      </c>
      <c r="BL1630">
        <v>375</v>
      </c>
      <c r="BM1630" t="s">
        <v>119</v>
      </c>
      <c r="BN1630">
        <v>1</v>
      </c>
      <c r="BO1630">
        <v>1</v>
      </c>
      <c r="BP1630">
        <v>1</v>
      </c>
      <c r="BQ1630">
        <v>0</v>
      </c>
      <c r="BT1630">
        <v>0</v>
      </c>
      <c r="BU1630">
        <v>0</v>
      </c>
      <c r="BV1630">
        <v>0</v>
      </c>
      <c r="CC1630" t="str">
        <f>"19:01:58.266"</f>
        <v>19:01:58.266</v>
      </c>
      <c r="CD1630" t="str">
        <f>"262614577"</f>
        <v>262614577</v>
      </c>
      <c r="CQ1630">
        <v>0</v>
      </c>
      <c r="CR1630">
        <v>2</v>
      </c>
      <c r="CS1630">
        <v>0</v>
      </c>
      <c r="CT1630">
        <v>2</v>
      </c>
      <c r="CU1630">
        <v>0</v>
      </c>
      <c r="CV1630">
        <v>7</v>
      </c>
      <c r="CW1630" t="s">
        <v>120</v>
      </c>
      <c r="CX1630">
        <v>261</v>
      </c>
      <c r="CY1630">
        <v>2</v>
      </c>
      <c r="CZ1630" t="s">
        <v>121</v>
      </c>
      <c r="DA1630" t="s">
        <v>122</v>
      </c>
      <c r="DD1630">
        <v>15205800</v>
      </c>
      <c r="DE1630" t="s">
        <v>123</v>
      </c>
    </row>
    <row r="1631" spans="1:109" x14ac:dyDescent="0.3">
      <c r="A1631" t="str">
        <f>"19:01:59.531"</f>
        <v>19:01:59.531</v>
      </c>
      <c r="B1631" t="s">
        <v>110</v>
      </c>
      <c r="C1631" t="str">
        <f t="shared" si="75"/>
        <v>ffdfd3c0</v>
      </c>
      <c r="D1631" t="s">
        <v>111</v>
      </c>
      <c r="E1631">
        <v>18</v>
      </c>
      <c r="F1631">
        <v>1018</v>
      </c>
      <c r="G1631" t="s">
        <v>112</v>
      </c>
      <c r="J1631" t="s">
        <v>113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R1631" t="s">
        <v>114</v>
      </c>
      <c r="S1631" t="str">
        <f>"19:01:59.320"</f>
        <v>19:01:59.320</v>
      </c>
      <c r="T1631" t="str">
        <f>"19:01:59.117"</f>
        <v>19:01:59.117</v>
      </c>
      <c r="U1631" t="str">
        <f t="shared" si="76"/>
        <v>a1cdbe</v>
      </c>
      <c r="V1631">
        <v>0</v>
      </c>
      <c r="W1631">
        <v>0</v>
      </c>
      <c r="X1631">
        <v>1</v>
      </c>
      <c r="Y1631">
        <v>0</v>
      </c>
      <c r="Z1631">
        <v>0</v>
      </c>
      <c r="AB1631">
        <v>0</v>
      </c>
      <c r="AC1631">
        <v>9</v>
      </c>
      <c r="AD1631">
        <v>3</v>
      </c>
      <c r="AE1631">
        <v>0</v>
      </c>
      <c r="AF1631">
        <v>9</v>
      </c>
      <c r="AG1631" t="s">
        <v>158</v>
      </c>
      <c r="AH1631">
        <v>0</v>
      </c>
      <c r="AI1631">
        <v>3</v>
      </c>
      <c r="AJ1631">
        <v>1</v>
      </c>
      <c r="AK1631">
        <v>0</v>
      </c>
      <c r="AL1631" t="s">
        <v>3134</v>
      </c>
      <c r="AM1631">
        <v>46.827443000000002</v>
      </c>
      <c r="AN1631" t="s">
        <v>3135</v>
      </c>
      <c r="AO1631">
        <v>-122.84315599999999</v>
      </c>
      <c r="AP1631">
        <v>100</v>
      </c>
      <c r="AQ1631">
        <v>2000</v>
      </c>
      <c r="AR1631" t="s">
        <v>118</v>
      </c>
      <c r="AS1631">
        <v>-73</v>
      </c>
      <c r="AT1631">
        <v>20</v>
      </c>
      <c r="AU1631">
        <v>-256</v>
      </c>
      <c r="BC1631">
        <v>1200</v>
      </c>
      <c r="BD1631">
        <v>1</v>
      </c>
      <c r="BE1631" t="str">
        <f t="shared" si="77"/>
        <v xml:space="preserve">N215T   </v>
      </c>
      <c r="BF1631">
        <v>1</v>
      </c>
      <c r="BH1631">
        <v>0</v>
      </c>
      <c r="BI1631">
        <v>0</v>
      </c>
      <c r="BJ1631">
        <v>0</v>
      </c>
      <c r="BK1631">
        <v>2375</v>
      </c>
      <c r="BL1631">
        <v>375</v>
      </c>
      <c r="BM1631" t="s">
        <v>119</v>
      </c>
      <c r="BN1631">
        <v>1</v>
      </c>
      <c r="BO1631">
        <v>1</v>
      </c>
      <c r="BP1631">
        <v>1</v>
      </c>
      <c r="BQ1631">
        <v>0</v>
      </c>
      <c r="BT1631">
        <v>0</v>
      </c>
      <c r="BU1631">
        <v>0</v>
      </c>
      <c r="BV1631">
        <v>0</v>
      </c>
      <c r="CC1631" t="str">
        <f>"19:01:59.328"</f>
        <v>19:01:59.328</v>
      </c>
      <c r="CD1631" t="str">
        <f>"327509671"</f>
        <v>327509671</v>
      </c>
      <c r="CQ1631">
        <v>0</v>
      </c>
      <c r="CR1631">
        <v>2</v>
      </c>
      <c r="CS1631">
        <v>0</v>
      </c>
      <c r="CT1631">
        <v>2</v>
      </c>
      <c r="CU1631">
        <v>0</v>
      </c>
      <c r="CV1631">
        <v>7</v>
      </c>
      <c r="CW1631" t="s">
        <v>120</v>
      </c>
      <c r="CX1631">
        <v>261</v>
      </c>
      <c r="CY1631">
        <v>2</v>
      </c>
      <c r="CZ1631" t="s">
        <v>121</v>
      </c>
      <c r="DA1631" t="s">
        <v>122</v>
      </c>
      <c r="DD1631">
        <v>15206479</v>
      </c>
      <c r="DE1631" t="s">
        <v>123</v>
      </c>
    </row>
    <row r="1632" spans="1:109" x14ac:dyDescent="0.3">
      <c r="A1632" t="str">
        <f>"19:02:00.594"</f>
        <v>19:02:00.594</v>
      </c>
      <c r="B1632" t="s">
        <v>110</v>
      </c>
      <c r="C1632" t="str">
        <f t="shared" si="75"/>
        <v>ffdfd3c0</v>
      </c>
      <c r="D1632" t="s">
        <v>111</v>
      </c>
      <c r="E1632">
        <v>18</v>
      </c>
      <c r="F1632">
        <v>1018</v>
      </c>
      <c r="G1632" t="s">
        <v>112</v>
      </c>
      <c r="J1632" t="s">
        <v>113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R1632" t="s">
        <v>114</v>
      </c>
      <c r="S1632" t="str">
        <f>"19:02:00.328"</f>
        <v>19:02:00.328</v>
      </c>
      <c r="T1632" t="str">
        <f>"19:02:00.227"</f>
        <v>19:02:00.227</v>
      </c>
      <c r="U1632" t="str">
        <f t="shared" si="76"/>
        <v>a1cdbe</v>
      </c>
      <c r="V1632">
        <v>0</v>
      </c>
      <c r="W1632">
        <v>0</v>
      </c>
      <c r="X1632">
        <v>1</v>
      </c>
      <c r="Y1632">
        <v>0</v>
      </c>
      <c r="Z1632">
        <v>0</v>
      </c>
      <c r="AB1632">
        <v>0</v>
      </c>
      <c r="AC1632">
        <v>9</v>
      </c>
      <c r="AD1632">
        <v>3</v>
      </c>
      <c r="AE1632">
        <v>0</v>
      </c>
      <c r="AF1632">
        <v>9</v>
      </c>
      <c r="AG1632" t="s">
        <v>158</v>
      </c>
      <c r="AH1632">
        <v>0</v>
      </c>
      <c r="AI1632">
        <v>3</v>
      </c>
      <c r="AJ1632">
        <v>1</v>
      </c>
      <c r="AK1632">
        <v>0</v>
      </c>
      <c r="AL1632" t="s">
        <v>3136</v>
      </c>
      <c r="AM1632">
        <v>46.827550000000002</v>
      </c>
      <c r="AN1632" t="s">
        <v>3137</v>
      </c>
      <c r="AO1632">
        <v>-122.843628</v>
      </c>
      <c r="AP1632">
        <v>100</v>
      </c>
      <c r="AQ1632">
        <v>2000</v>
      </c>
      <c r="AR1632" t="s">
        <v>118</v>
      </c>
      <c r="AS1632">
        <v>-73</v>
      </c>
      <c r="AT1632">
        <v>21</v>
      </c>
      <c r="AU1632">
        <v>-384</v>
      </c>
      <c r="BC1632">
        <v>1200</v>
      </c>
      <c r="BD1632">
        <v>1</v>
      </c>
      <c r="BE1632" t="str">
        <f t="shared" si="77"/>
        <v xml:space="preserve">N215T   </v>
      </c>
      <c r="BF1632">
        <v>1</v>
      </c>
      <c r="BH1632">
        <v>0</v>
      </c>
      <c r="BI1632">
        <v>0</v>
      </c>
      <c r="BJ1632">
        <v>0</v>
      </c>
      <c r="BK1632">
        <v>2375</v>
      </c>
      <c r="BL1632">
        <v>375</v>
      </c>
      <c r="BM1632" t="s">
        <v>119</v>
      </c>
      <c r="BN1632">
        <v>1</v>
      </c>
      <c r="BO1632">
        <v>1</v>
      </c>
      <c r="BP1632">
        <v>1</v>
      </c>
      <c r="BQ1632">
        <v>0</v>
      </c>
      <c r="BT1632">
        <v>0</v>
      </c>
      <c r="BU1632">
        <v>0</v>
      </c>
      <c r="BV1632">
        <v>0</v>
      </c>
      <c r="CC1632" t="str">
        <f>"19:02:00.336"</f>
        <v>19:02:00.336</v>
      </c>
      <c r="CD1632" t="str">
        <f>"332410680"</f>
        <v>332410680</v>
      </c>
      <c r="CQ1632">
        <v>0</v>
      </c>
      <c r="CR1632">
        <v>2</v>
      </c>
      <c r="CS1632">
        <v>0</v>
      </c>
      <c r="CT1632">
        <v>2</v>
      </c>
      <c r="CU1632">
        <v>0</v>
      </c>
      <c r="CV1632">
        <v>7</v>
      </c>
      <c r="CW1632" t="s">
        <v>120</v>
      </c>
      <c r="CX1632">
        <v>261</v>
      </c>
      <c r="CY1632">
        <v>2</v>
      </c>
      <c r="CZ1632" t="s">
        <v>121</v>
      </c>
      <c r="DA1632" t="s">
        <v>122</v>
      </c>
      <c r="DD1632">
        <v>15207132</v>
      </c>
      <c r="DE1632" t="s">
        <v>123</v>
      </c>
    </row>
    <row r="1633" spans="1:109" x14ac:dyDescent="0.3">
      <c r="A1633" t="str">
        <f>"19:02:01.492"</f>
        <v>19:02:01.492</v>
      </c>
      <c r="B1633" t="s">
        <v>110</v>
      </c>
      <c r="C1633" t="str">
        <f t="shared" si="75"/>
        <v>ffdfd3c0</v>
      </c>
      <c r="D1633" t="s">
        <v>111</v>
      </c>
      <c r="E1633">
        <v>18</v>
      </c>
      <c r="F1633">
        <v>1018</v>
      </c>
      <c r="G1633" t="s">
        <v>112</v>
      </c>
      <c r="J1633" t="s">
        <v>113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R1633" t="s">
        <v>114</v>
      </c>
      <c r="S1633" t="str">
        <f>"19:02:01.273"</f>
        <v>19:02:01.273</v>
      </c>
      <c r="T1633" t="str">
        <f>"19:02:01.273"</f>
        <v>19:02:01.273</v>
      </c>
      <c r="U1633" t="str">
        <f t="shared" si="76"/>
        <v>a1cdbe</v>
      </c>
      <c r="V1633">
        <v>0</v>
      </c>
      <c r="W1633">
        <v>0</v>
      </c>
      <c r="X1633">
        <v>1</v>
      </c>
      <c r="Y1633">
        <v>0</v>
      </c>
      <c r="Z1633">
        <v>0</v>
      </c>
      <c r="AB1633">
        <v>0</v>
      </c>
      <c r="AC1633">
        <v>9</v>
      </c>
      <c r="AD1633">
        <v>3</v>
      </c>
      <c r="AE1633">
        <v>0</v>
      </c>
      <c r="AF1633">
        <v>9</v>
      </c>
      <c r="AG1633" t="s">
        <v>158</v>
      </c>
      <c r="AH1633">
        <v>0</v>
      </c>
      <c r="AI1633">
        <v>3</v>
      </c>
      <c r="AJ1633">
        <v>1</v>
      </c>
      <c r="AK1633">
        <v>0</v>
      </c>
      <c r="AL1633" t="s">
        <v>3138</v>
      </c>
      <c r="AM1633">
        <v>46.827613999999997</v>
      </c>
      <c r="AN1633" t="s">
        <v>3139</v>
      </c>
      <c r="AO1633">
        <v>-122.84416400000001</v>
      </c>
      <c r="AP1633">
        <v>100</v>
      </c>
      <c r="AQ1633">
        <v>2000</v>
      </c>
      <c r="AR1633" t="s">
        <v>118</v>
      </c>
      <c r="AS1633">
        <v>-73</v>
      </c>
      <c r="AT1633">
        <v>21</v>
      </c>
      <c r="AU1633">
        <v>-448</v>
      </c>
      <c r="BC1633">
        <v>1200</v>
      </c>
      <c r="BD1633">
        <v>1</v>
      </c>
      <c r="BE1633" t="str">
        <f t="shared" si="77"/>
        <v xml:space="preserve">N215T   </v>
      </c>
      <c r="BF1633">
        <v>1</v>
      </c>
      <c r="BH1633">
        <v>0</v>
      </c>
      <c r="BI1633">
        <v>0</v>
      </c>
      <c r="BJ1633">
        <v>0</v>
      </c>
      <c r="BK1633">
        <v>2375</v>
      </c>
      <c r="BL1633">
        <v>375</v>
      </c>
      <c r="BM1633" t="s">
        <v>119</v>
      </c>
      <c r="BN1633">
        <v>1</v>
      </c>
      <c r="BO1633">
        <v>1</v>
      </c>
      <c r="BP1633">
        <v>1</v>
      </c>
      <c r="BQ1633">
        <v>0</v>
      </c>
      <c r="BT1633">
        <v>0</v>
      </c>
      <c r="BU1633">
        <v>0</v>
      </c>
      <c r="BV1633">
        <v>0</v>
      </c>
      <c r="CC1633" t="str">
        <f>"19:02:01.273"</f>
        <v>19:02:01.273</v>
      </c>
      <c r="CD1633" t="str">
        <f>"277317581"</f>
        <v>277317581</v>
      </c>
      <c r="CQ1633">
        <v>0</v>
      </c>
      <c r="CR1633">
        <v>2</v>
      </c>
      <c r="CS1633">
        <v>0</v>
      </c>
      <c r="CT1633">
        <v>2</v>
      </c>
      <c r="CU1633">
        <v>0</v>
      </c>
      <c r="CV1633">
        <v>7</v>
      </c>
      <c r="CW1633" t="s">
        <v>120</v>
      </c>
      <c r="CX1633">
        <v>261</v>
      </c>
      <c r="CY1633">
        <v>2</v>
      </c>
      <c r="CZ1633" t="s">
        <v>121</v>
      </c>
      <c r="DA1633" t="s">
        <v>122</v>
      </c>
      <c r="DD1633">
        <v>15207722</v>
      </c>
      <c r="DE1633" t="s">
        <v>123</v>
      </c>
    </row>
    <row r="1634" spans="1:109" x14ac:dyDescent="0.3">
      <c r="A1634" t="str">
        <f>"19:02:02.500"</f>
        <v>19:02:02.500</v>
      </c>
      <c r="B1634" t="s">
        <v>110</v>
      </c>
      <c r="C1634" t="str">
        <f t="shared" si="75"/>
        <v>ffdfd3c0</v>
      </c>
      <c r="D1634" t="s">
        <v>111</v>
      </c>
      <c r="E1634">
        <v>18</v>
      </c>
      <c r="F1634">
        <v>1018</v>
      </c>
      <c r="G1634" t="s">
        <v>112</v>
      </c>
      <c r="J1634" t="s">
        <v>113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R1634" t="s">
        <v>114</v>
      </c>
      <c r="S1634" t="str">
        <f>"19:02:02.281"</f>
        <v>19:02:02.281</v>
      </c>
      <c r="T1634" t="str">
        <f>"19:02:01.883"</f>
        <v>19:02:01.883</v>
      </c>
      <c r="U1634" t="str">
        <f t="shared" si="76"/>
        <v>a1cdbe</v>
      </c>
      <c r="V1634">
        <v>0</v>
      </c>
      <c r="W1634">
        <v>0</v>
      </c>
      <c r="X1634">
        <v>1</v>
      </c>
      <c r="Y1634">
        <v>0</v>
      </c>
      <c r="Z1634">
        <v>0</v>
      </c>
      <c r="AB1634">
        <v>0</v>
      </c>
      <c r="AC1634">
        <v>9</v>
      </c>
      <c r="AD1634">
        <v>3</v>
      </c>
      <c r="AE1634">
        <v>0</v>
      </c>
      <c r="AF1634">
        <v>9</v>
      </c>
      <c r="AG1634" t="s">
        <v>158</v>
      </c>
      <c r="AH1634">
        <v>0</v>
      </c>
      <c r="AI1634">
        <v>3</v>
      </c>
      <c r="AJ1634">
        <v>1</v>
      </c>
      <c r="AK1634">
        <v>0</v>
      </c>
      <c r="AL1634" t="s">
        <v>3140</v>
      </c>
      <c r="AM1634">
        <v>46.827742999999998</v>
      </c>
      <c r="AN1634" t="s">
        <v>3141</v>
      </c>
      <c r="AO1634">
        <v>-122.844594</v>
      </c>
      <c r="AP1634">
        <v>100</v>
      </c>
      <c r="AQ1634">
        <v>2000</v>
      </c>
      <c r="AR1634" t="s">
        <v>118</v>
      </c>
      <c r="AS1634">
        <v>-73</v>
      </c>
      <c r="AT1634">
        <v>21</v>
      </c>
      <c r="AU1634">
        <v>-384</v>
      </c>
      <c r="BC1634">
        <v>1200</v>
      </c>
      <c r="BD1634">
        <v>1</v>
      </c>
      <c r="BE1634" t="str">
        <f t="shared" si="77"/>
        <v xml:space="preserve">N215T   </v>
      </c>
      <c r="BF1634">
        <v>1</v>
      </c>
      <c r="BH1634">
        <v>0</v>
      </c>
      <c r="BI1634">
        <v>0</v>
      </c>
      <c r="BJ1634">
        <v>0</v>
      </c>
      <c r="BK1634">
        <v>2350</v>
      </c>
      <c r="BL1634">
        <v>350</v>
      </c>
      <c r="BM1634" t="s">
        <v>119</v>
      </c>
      <c r="BN1634">
        <v>1</v>
      </c>
      <c r="BO1634">
        <v>1</v>
      </c>
      <c r="BP1634">
        <v>1</v>
      </c>
      <c r="BQ1634">
        <v>0</v>
      </c>
      <c r="BT1634">
        <v>0</v>
      </c>
      <c r="BU1634">
        <v>0</v>
      </c>
      <c r="BV1634">
        <v>0</v>
      </c>
      <c r="CC1634" t="str">
        <f>"19:02:02.281"</f>
        <v>19:02:02.281</v>
      </c>
      <c r="CD1634" t="str">
        <f>"282218578"</f>
        <v>282218578</v>
      </c>
      <c r="CQ1634">
        <v>0</v>
      </c>
      <c r="CR1634">
        <v>2</v>
      </c>
      <c r="CS1634">
        <v>0</v>
      </c>
      <c r="CT1634">
        <v>2</v>
      </c>
      <c r="CU1634">
        <v>0</v>
      </c>
      <c r="CV1634">
        <v>7</v>
      </c>
      <c r="CW1634" t="s">
        <v>120</v>
      </c>
      <c r="CX1634">
        <v>261</v>
      </c>
      <c r="CY1634">
        <v>2</v>
      </c>
      <c r="CZ1634" t="s">
        <v>121</v>
      </c>
      <c r="DA1634" t="s">
        <v>122</v>
      </c>
      <c r="DD1634">
        <v>15208411</v>
      </c>
      <c r="DE1634" t="s">
        <v>123</v>
      </c>
    </row>
    <row r="1635" spans="1:109" x14ac:dyDescent="0.3">
      <c r="A1635" t="str">
        <f>"19:02:03.555"</f>
        <v>19:02:03.555</v>
      </c>
      <c r="B1635" t="s">
        <v>110</v>
      </c>
      <c r="C1635" t="str">
        <f t="shared" si="75"/>
        <v>ffdfd3c0</v>
      </c>
      <c r="D1635" t="s">
        <v>111</v>
      </c>
      <c r="E1635">
        <v>18</v>
      </c>
      <c r="F1635">
        <v>1018</v>
      </c>
      <c r="G1635" t="s">
        <v>112</v>
      </c>
      <c r="J1635" t="s">
        <v>113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R1635" t="s">
        <v>114</v>
      </c>
      <c r="S1635" t="str">
        <f>"19:02:03.344"</f>
        <v>19:02:03.344</v>
      </c>
      <c r="T1635" t="str">
        <f>"19:02:02.844"</f>
        <v>19:02:02.844</v>
      </c>
      <c r="U1635" t="str">
        <f t="shared" si="76"/>
        <v>a1cdbe</v>
      </c>
      <c r="V1635">
        <v>0</v>
      </c>
      <c r="W1635">
        <v>0</v>
      </c>
      <c r="X1635">
        <v>1</v>
      </c>
      <c r="Y1635">
        <v>0</v>
      </c>
      <c r="Z1635">
        <v>0</v>
      </c>
      <c r="AB1635">
        <v>0</v>
      </c>
      <c r="AC1635">
        <v>9</v>
      </c>
      <c r="AD1635">
        <v>3</v>
      </c>
      <c r="AE1635">
        <v>0</v>
      </c>
      <c r="AF1635">
        <v>9</v>
      </c>
      <c r="AG1635" t="s">
        <v>158</v>
      </c>
      <c r="AH1635">
        <v>0</v>
      </c>
      <c r="AI1635">
        <v>3</v>
      </c>
      <c r="AJ1635">
        <v>1</v>
      </c>
      <c r="AK1635">
        <v>0</v>
      </c>
      <c r="AL1635" t="s">
        <v>3142</v>
      </c>
      <c r="AM1635">
        <v>46.827829000000001</v>
      </c>
      <c r="AN1635" t="s">
        <v>3143</v>
      </c>
      <c r="AO1635">
        <v>-122.84513</v>
      </c>
      <c r="AP1635">
        <v>100</v>
      </c>
      <c r="AQ1635">
        <v>2000</v>
      </c>
      <c r="AR1635" t="s">
        <v>118</v>
      </c>
      <c r="AS1635">
        <v>-73</v>
      </c>
      <c r="AT1635">
        <v>22</v>
      </c>
      <c r="AU1635">
        <v>-256</v>
      </c>
      <c r="BC1635">
        <v>1200</v>
      </c>
      <c r="BD1635">
        <v>1</v>
      </c>
      <c r="BE1635" t="str">
        <f t="shared" si="77"/>
        <v xml:space="preserve">N215T   </v>
      </c>
      <c r="BF1635">
        <v>1</v>
      </c>
      <c r="BH1635">
        <v>0</v>
      </c>
      <c r="BI1635">
        <v>0</v>
      </c>
      <c r="BJ1635">
        <v>0</v>
      </c>
      <c r="BK1635">
        <v>2350</v>
      </c>
      <c r="BL1635">
        <v>350</v>
      </c>
      <c r="BM1635" t="s">
        <v>119</v>
      </c>
      <c r="BN1635">
        <v>1</v>
      </c>
      <c r="BO1635">
        <v>1</v>
      </c>
      <c r="BP1635">
        <v>1</v>
      </c>
      <c r="BQ1635">
        <v>0</v>
      </c>
      <c r="BT1635">
        <v>0</v>
      </c>
      <c r="BU1635">
        <v>0</v>
      </c>
      <c r="BV1635">
        <v>0</v>
      </c>
      <c r="CC1635" t="str">
        <f>"19:02:03.344"</f>
        <v>19:02:03.344</v>
      </c>
      <c r="CD1635" t="str">
        <f>"347113654"</f>
        <v>347113654</v>
      </c>
      <c r="CQ1635">
        <v>0</v>
      </c>
      <c r="CR1635">
        <v>2</v>
      </c>
      <c r="CS1635">
        <v>0</v>
      </c>
      <c r="CT1635">
        <v>2</v>
      </c>
      <c r="CU1635">
        <v>0</v>
      </c>
      <c r="CV1635">
        <v>7</v>
      </c>
      <c r="CW1635" t="s">
        <v>120</v>
      </c>
      <c r="CX1635">
        <v>261</v>
      </c>
      <c r="CY1635">
        <v>2</v>
      </c>
      <c r="CZ1635" t="s">
        <v>121</v>
      </c>
      <c r="DA1635" t="s">
        <v>122</v>
      </c>
      <c r="DD1635">
        <v>15209085</v>
      </c>
      <c r="DE1635" t="s">
        <v>123</v>
      </c>
    </row>
    <row r="1636" spans="1:109" x14ac:dyDescent="0.3">
      <c r="A1636" t="str">
        <f>"19:02:04.461"</f>
        <v>19:02:04.461</v>
      </c>
      <c r="B1636" t="s">
        <v>110</v>
      </c>
      <c r="C1636" t="str">
        <f t="shared" si="75"/>
        <v>ffdfd3c0</v>
      </c>
      <c r="D1636" t="s">
        <v>111</v>
      </c>
      <c r="E1636">
        <v>18</v>
      </c>
      <c r="F1636">
        <v>1018</v>
      </c>
      <c r="G1636" t="s">
        <v>112</v>
      </c>
      <c r="J1636" t="s">
        <v>113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R1636" t="s">
        <v>114</v>
      </c>
      <c r="S1636" t="str">
        <f>"19:02:04.227"</f>
        <v>19:02:04.227</v>
      </c>
      <c r="T1636" t="str">
        <f>"19:02:03.930"</f>
        <v>19:02:03.930</v>
      </c>
      <c r="U1636" t="str">
        <f t="shared" si="76"/>
        <v>a1cdbe</v>
      </c>
      <c r="V1636">
        <v>0</v>
      </c>
      <c r="W1636">
        <v>0</v>
      </c>
      <c r="X1636">
        <v>1</v>
      </c>
      <c r="Y1636">
        <v>0</v>
      </c>
      <c r="Z1636">
        <v>0</v>
      </c>
      <c r="AB1636">
        <v>0</v>
      </c>
      <c r="AC1636">
        <v>9</v>
      </c>
      <c r="AD1636">
        <v>3</v>
      </c>
      <c r="AE1636">
        <v>0</v>
      </c>
      <c r="AF1636">
        <v>9</v>
      </c>
      <c r="AG1636" t="s">
        <v>158</v>
      </c>
      <c r="AH1636">
        <v>0</v>
      </c>
      <c r="AI1636">
        <v>3</v>
      </c>
      <c r="AJ1636">
        <v>1</v>
      </c>
      <c r="AK1636">
        <v>0</v>
      </c>
      <c r="AL1636" t="s">
        <v>3144</v>
      </c>
      <c r="AM1636">
        <v>46.827914999999997</v>
      </c>
      <c r="AN1636" t="s">
        <v>3145</v>
      </c>
      <c r="AO1636">
        <v>-122.845623</v>
      </c>
      <c r="AP1636">
        <v>100</v>
      </c>
      <c r="AQ1636">
        <v>2000</v>
      </c>
      <c r="AR1636" t="s">
        <v>118</v>
      </c>
      <c r="AS1636">
        <v>-74</v>
      </c>
      <c r="AT1636">
        <v>21</v>
      </c>
      <c r="AU1636">
        <v>-128</v>
      </c>
      <c r="BC1636">
        <v>1200</v>
      </c>
      <c r="BD1636">
        <v>1</v>
      </c>
      <c r="BE1636" t="str">
        <f t="shared" si="77"/>
        <v xml:space="preserve">N215T   </v>
      </c>
      <c r="BF1636">
        <v>1</v>
      </c>
      <c r="BH1636">
        <v>0</v>
      </c>
      <c r="BI1636">
        <v>0</v>
      </c>
      <c r="BJ1636">
        <v>0</v>
      </c>
      <c r="BK1636">
        <v>2350</v>
      </c>
      <c r="BL1636">
        <v>350</v>
      </c>
      <c r="BM1636" t="s">
        <v>119</v>
      </c>
      <c r="BN1636">
        <v>1</v>
      </c>
      <c r="BO1636">
        <v>1</v>
      </c>
      <c r="BP1636">
        <v>1</v>
      </c>
      <c r="BQ1636">
        <v>0</v>
      </c>
      <c r="BT1636">
        <v>0</v>
      </c>
      <c r="BU1636">
        <v>0</v>
      </c>
      <c r="BV1636">
        <v>0</v>
      </c>
      <c r="CC1636" t="str">
        <f>"19:02:04.234"</f>
        <v>19:02:04.234</v>
      </c>
      <c r="CD1636" t="str">
        <f>"232026480"</f>
        <v>232026480</v>
      </c>
      <c r="CQ1636">
        <v>0</v>
      </c>
      <c r="CR1636">
        <v>2</v>
      </c>
      <c r="CS1636">
        <v>0</v>
      </c>
      <c r="CT1636">
        <v>2</v>
      </c>
      <c r="CU1636">
        <v>0</v>
      </c>
      <c r="CV1636">
        <v>7</v>
      </c>
      <c r="CW1636" t="s">
        <v>120</v>
      </c>
      <c r="CX1636">
        <v>261</v>
      </c>
      <c r="CY1636">
        <v>2</v>
      </c>
      <c r="CZ1636" t="s">
        <v>121</v>
      </c>
      <c r="DA1636" t="s">
        <v>122</v>
      </c>
      <c r="DD1636">
        <v>15209628</v>
      </c>
      <c r="DE1636" t="s">
        <v>123</v>
      </c>
    </row>
    <row r="1637" spans="1:109" x14ac:dyDescent="0.3">
      <c r="A1637" t="str">
        <f>"19:02:05.469"</f>
        <v>19:02:05.469</v>
      </c>
      <c r="B1637" t="s">
        <v>110</v>
      </c>
      <c r="C1637" t="str">
        <f t="shared" si="75"/>
        <v>ffdfd3c0</v>
      </c>
      <c r="D1637" t="s">
        <v>111</v>
      </c>
      <c r="E1637">
        <v>18</v>
      </c>
      <c r="F1637">
        <v>1018</v>
      </c>
      <c r="G1637" t="s">
        <v>112</v>
      </c>
      <c r="J1637" t="s">
        <v>113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R1637" t="s">
        <v>114</v>
      </c>
      <c r="S1637" t="str">
        <f>"19:02:05.219"</f>
        <v>19:02:05.219</v>
      </c>
      <c r="T1637" t="str">
        <f>"19:02:04.922"</f>
        <v>19:02:04.922</v>
      </c>
      <c r="U1637" t="str">
        <f t="shared" si="76"/>
        <v>a1cdbe</v>
      </c>
      <c r="V1637">
        <v>0</v>
      </c>
      <c r="W1637">
        <v>0</v>
      </c>
      <c r="X1637">
        <v>1</v>
      </c>
      <c r="Y1637">
        <v>0</v>
      </c>
      <c r="Z1637">
        <v>0</v>
      </c>
      <c r="AB1637">
        <v>0</v>
      </c>
      <c r="AC1637">
        <v>9</v>
      </c>
      <c r="AD1637">
        <v>3</v>
      </c>
      <c r="AE1637">
        <v>0</v>
      </c>
      <c r="AF1637">
        <v>9</v>
      </c>
      <c r="AG1637" t="s">
        <v>158</v>
      </c>
      <c r="AH1637">
        <v>0</v>
      </c>
      <c r="AI1637">
        <v>3</v>
      </c>
      <c r="AJ1637">
        <v>1</v>
      </c>
      <c r="AK1637">
        <v>0</v>
      </c>
      <c r="AL1637" t="s">
        <v>3146</v>
      </c>
      <c r="AM1637">
        <v>46.828043000000001</v>
      </c>
      <c r="AN1637" t="s">
        <v>3147</v>
      </c>
      <c r="AO1637">
        <v>-122.84611700000001</v>
      </c>
      <c r="AP1637">
        <v>100</v>
      </c>
      <c r="AQ1637">
        <v>2000</v>
      </c>
      <c r="AR1637" t="s">
        <v>118</v>
      </c>
      <c r="AS1637">
        <v>-74</v>
      </c>
      <c r="AT1637">
        <v>21</v>
      </c>
      <c r="AU1637">
        <v>-128</v>
      </c>
      <c r="BC1637">
        <v>1200</v>
      </c>
      <c r="BD1637">
        <v>1</v>
      </c>
      <c r="BE1637" t="str">
        <f t="shared" si="77"/>
        <v xml:space="preserve">N215T   </v>
      </c>
      <c r="BF1637">
        <v>1</v>
      </c>
      <c r="BH1637">
        <v>0</v>
      </c>
      <c r="BI1637">
        <v>0</v>
      </c>
      <c r="BJ1637">
        <v>0</v>
      </c>
      <c r="BK1637">
        <v>2350</v>
      </c>
      <c r="BL1637">
        <v>350</v>
      </c>
      <c r="BM1637" t="s">
        <v>119</v>
      </c>
      <c r="BN1637">
        <v>1</v>
      </c>
      <c r="BO1637">
        <v>1</v>
      </c>
      <c r="BP1637">
        <v>1</v>
      </c>
      <c r="BQ1637">
        <v>0</v>
      </c>
      <c r="BT1637">
        <v>0</v>
      </c>
      <c r="BU1637">
        <v>0</v>
      </c>
      <c r="BV1637">
        <v>0</v>
      </c>
      <c r="CC1637" t="str">
        <f>"19:02:05.219"</f>
        <v>19:02:05.219</v>
      </c>
      <c r="CD1637" t="str">
        <f>"221928960"</f>
        <v>221928960</v>
      </c>
      <c r="CQ1637">
        <v>0</v>
      </c>
      <c r="CR1637">
        <v>2</v>
      </c>
      <c r="CS1637">
        <v>0</v>
      </c>
      <c r="CT1637">
        <v>2</v>
      </c>
      <c r="CU1637">
        <v>0</v>
      </c>
      <c r="CV1637">
        <v>7</v>
      </c>
      <c r="CW1637" t="s">
        <v>120</v>
      </c>
      <c r="CX1637">
        <v>261</v>
      </c>
      <c r="CY1637">
        <v>2</v>
      </c>
      <c r="CZ1637" t="s">
        <v>121</v>
      </c>
      <c r="DA1637" t="s">
        <v>122</v>
      </c>
      <c r="DD1637">
        <v>15210269</v>
      </c>
      <c r="DE1637" t="s">
        <v>123</v>
      </c>
    </row>
    <row r="1638" spans="1:109" x14ac:dyDescent="0.3">
      <c r="A1638" t="str">
        <f>"19:02:06.523"</f>
        <v>19:02:06.523</v>
      </c>
      <c r="B1638" t="s">
        <v>110</v>
      </c>
      <c r="C1638" t="str">
        <f t="shared" si="75"/>
        <v>ffdfd3c0</v>
      </c>
      <c r="D1638" t="s">
        <v>111</v>
      </c>
      <c r="E1638">
        <v>18</v>
      </c>
      <c r="F1638">
        <v>1018</v>
      </c>
      <c r="G1638" t="s">
        <v>112</v>
      </c>
      <c r="J1638" t="s">
        <v>113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R1638" t="s">
        <v>114</v>
      </c>
      <c r="S1638" t="str">
        <f>"19:02:06.281"</f>
        <v>19:02:06.281</v>
      </c>
      <c r="T1638" t="str">
        <f>"19:02:05.883"</f>
        <v>19:02:05.883</v>
      </c>
      <c r="U1638" t="str">
        <f t="shared" si="76"/>
        <v>a1cdbe</v>
      </c>
      <c r="V1638">
        <v>0</v>
      </c>
      <c r="W1638">
        <v>0</v>
      </c>
      <c r="X1638">
        <v>1</v>
      </c>
      <c r="Y1638">
        <v>0</v>
      </c>
      <c r="Z1638">
        <v>0</v>
      </c>
      <c r="AB1638">
        <v>0</v>
      </c>
      <c r="AC1638">
        <v>9</v>
      </c>
      <c r="AD1638">
        <v>3</v>
      </c>
      <c r="AE1638">
        <v>0</v>
      </c>
      <c r="AF1638">
        <v>9</v>
      </c>
      <c r="AG1638" t="s">
        <v>158</v>
      </c>
      <c r="AH1638">
        <v>0</v>
      </c>
      <c r="AI1638">
        <v>3</v>
      </c>
      <c r="AJ1638">
        <v>1</v>
      </c>
      <c r="AK1638">
        <v>0</v>
      </c>
      <c r="AL1638" t="s">
        <v>3148</v>
      </c>
      <c r="AM1638">
        <v>46.828108</v>
      </c>
      <c r="AN1638" t="s">
        <v>3149</v>
      </c>
      <c r="AO1638">
        <v>-122.846653</v>
      </c>
      <c r="AP1638">
        <v>100</v>
      </c>
      <c r="AQ1638">
        <v>2000</v>
      </c>
      <c r="AR1638" t="s">
        <v>118</v>
      </c>
      <c r="AS1638">
        <v>-75</v>
      </c>
      <c r="AT1638">
        <v>21</v>
      </c>
      <c r="AU1638">
        <v>-64</v>
      </c>
      <c r="BC1638">
        <v>1200</v>
      </c>
      <c r="BD1638">
        <v>1</v>
      </c>
      <c r="BE1638" t="str">
        <f t="shared" si="77"/>
        <v xml:space="preserve">N215T   </v>
      </c>
      <c r="BF1638">
        <v>1</v>
      </c>
      <c r="BH1638">
        <v>0</v>
      </c>
      <c r="BI1638">
        <v>0</v>
      </c>
      <c r="BJ1638">
        <v>0</v>
      </c>
      <c r="BK1638">
        <v>2350</v>
      </c>
      <c r="BL1638">
        <v>350</v>
      </c>
      <c r="BM1638" t="s">
        <v>119</v>
      </c>
      <c r="BN1638">
        <v>1</v>
      </c>
      <c r="BO1638">
        <v>1</v>
      </c>
      <c r="BP1638">
        <v>1</v>
      </c>
      <c r="BQ1638">
        <v>0</v>
      </c>
      <c r="BT1638">
        <v>0</v>
      </c>
      <c r="BU1638">
        <v>0</v>
      </c>
      <c r="BV1638">
        <v>0</v>
      </c>
      <c r="CC1638" t="str">
        <f>"19:02:06.289"</f>
        <v>19:02:06.289</v>
      </c>
      <c r="CD1638" t="str">
        <f>"286824050"</f>
        <v>286824050</v>
      </c>
      <c r="CQ1638">
        <v>0</v>
      </c>
      <c r="CR1638">
        <v>2</v>
      </c>
      <c r="CS1638">
        <v>0</v>
      </c>
      <c r="CT1638">
        <v>2</v>
      </c>
      <c r="CU1638">
        <v>0</v>
      </c>
      <c r="CV1638">
        <v>7</v>
      </c>
      <c r="CW1638" t="s">
        <v>120</v>
      </c>
      <c r="CX1638">
        <v>261</v>
      </c>
      <c r="CY1638">
        <v>2</v>
      </c>
      <c r="CZ1638" t="s">
        <v>121</v>
      </c>
      <c r="DA1638" t="s">
        <v>122</v>
      </c>
      <c r="DD1638">
        <v>15210992</v>
      </c>
      <c r="DE1638" t="s">
        <v>123</v>
      </c>
    </row>
    <row r="1639" spans="1:109" x14ac:dyDescent="0.3">
      <c r="A1639" t="str">
        <f>"19:02:07.680"</f>
        <v>19:02:07.680</v>
      </c>
      <c r="B1639" t="s">
        <v>110</v>
      </c>
      <c r="C1639" t="str">
        <f t="shared" si="75"/>
        <v>ffdfd3c0</v>
      </c>
      <c r="D1639" t="s">
        <v>111</v>
      </c>
      <c r="E1639">
        <v>18</v>
      </c>
      <c r="F1639">
        <v>1018</v>
      </c>
      <c r="G1639" t="s">
        <v>112</v>
      </c>
      <c r="J1639" t="s">
        <v>113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R1639" t="s">
        <v>114</v>
      </c>
      <c r="S1639" t="str">
        <f>"19:02:07.438"</f>
        <v>19:02:07.438</v>
      </c>
      <c r="T1639" t="str">
        <f>"19:02:07.336"</f>
        <v>19:02:07.336</v>
      </c>
      <c r="U1639" t="str">
        <f t="shared" si="76"/>
        <v>a1cdbe</v>
      </c>
      <c r="V1639">
        <v>0</v>
      </c>
      <c r="W1639">
        <v>0</v>
      </c>
      <c r="X1639">
        <v>1</v>
      </c>
      <c r="Y1639">
        <v>0</v>
      </c>
      <c r="Z1639">
        <v>0</v>
      </c>
      <c r="AB1639">
        <v>0</v>
      </c>
      <c r="AC1639">
        <v>9</v>
      </c>
      <c r="AD1639">
        <v>3</v>
      </c>
      <c r="AE1639">
        <v>0</v>
      </c>
      <c r="AF1639">
        <v>9</v>
      </c>
      <c r="AG1639" t="s">
        <v>158</v>
      </c>
      <c r="AH1639">
        <v>0</v>
      </c>
      <c r="AI1639">
        <v>3</v>
      </c>
      <c r="AJ1639">
        <v>1</v>
      </c>
      <c r="AK1639">
        <v>0</v>
      </c>
      <c r="AL1639" t="s">
        <v>3150</v>
      </c>
      <c r="AM1639">
        <v>46.828237000000001</v>
      </c>
      <c r="AN1639" t="s">
        <v>3151</v>
      </c>
      <c r="AO1639">
        <v>-122.84719</v>
      </c>
      <c r="AP1639">
        <v>100</v>
      </c>
      <c r="AQ1639">
        <v>2000</v>
      </c>
      <c r="AR1639" t="s">
        <v>118</v>
      </c>
      <c r="AS1639">
        <v>-75</v>
      </c>
      <c r="AT1639">
        <v>21</v>
      </c>
      <c r="AU1639">
        <v>-192</v>
      </c>
      <c r="BC1639">
        <v>1200</v>
      </c>
      <c r="BD1639">
        <v>1</v>
      </c>
      <c r="BE1639" t="str">
        <f t="shared" si="77"/>
        <v xml:space="preserve">N215T   </v>
      </c>
      <c r="BF1639">
        <v>1</v>
      </c>
      <c r="BH1639">
        <v>0</v>
      </c>
      <c r="BI1639">
        <v>0</v>
      </c>
      <c r="BJ1639">
        <v>0</v>
      </c>
      <c r="BK1639">
        <v>2350</v>
      </c>
      <c r="BL1639">
        <v>350</v>
      </c>
      <c r="BM1639" t="s">
        <v>119</v>
      </c>
      <c r="BN1639">
        <v>1</v>
      </c>
      <c r="BO1639">
        <v>1</v>
      </c>
      <c r="BP1639">
        <v>1</v>
      </c>
      <c r="BQ1639">
        <v>0</v>
      </c>
      <c r="BT1639">
        <v>0</v>
      </c>
      <c r="BU1639">
        <v>0</v>
      </c>
      <c r="BV1639">
        <v>0</v>
      </c>
      <c r="CC1639" t="str">
        <f>"19:02:07.445"</f>
        <v>19:02:07.445</v>
      </c>
      <c r="CD1639" t="str">
        <f>"441710279"</f>
        <v>441710279</v>
      </c>
      <c r="CQ1639">
        <v>0</v>
      </c>
      <c r="CR1639">
        <v>2</v>
      </c>
      <c r="CS1639">
        <v>0</v>
      </c>
      <c r="CT1639">
        <v>2</v>
      </c>
      <c r="CU1639">
        <v>0</v>
      </c>
      <c r="CV1639">
        <v>7</v>
      </c>
      <c r="CW1639" t="s">
        <v>120</v>
      </c>
      <c r="CX1639">
        <v>261</v>
      </c>
      <c r="CY1639">
        <v>2</v>
      </c>
      <c r="CZ1639" t="s">
        <v>121</v>
      </c>
      <c r="DA1639" t="s">
        <v>122</v>
      </c>
      <c r="DD1639">
        <v>15211817</v>
      </c>
      <c r="DE1639" t="s">
        <v>123</v>
      </c>
    </row>
    <row r="1640" spans="1:109" x14ac:dyDescent="0.3">
      <c r="A1640" t="str">
        <f>"19:02:08.836"</f>
        <v>19:02:08.836</v>
      </c>
      <c r="B1640" t="s">
        <v>110</v>
      </c>
      <c r="C1640" t="str">
        <f t="shared" si="75"/>
        <v>ffdfd3c0</v>
      </c>
      <c r="D1640" t="s">
        <v>111</v>
      </c>
      <c r="E1640">
        <v>18</v>
      </c>
      <c r="F1640">
        <v>1018</v>
      </c>
      <c r="G1640" t="s">
        <v>112</v>
      </c>
      <c r="J1640" t="s">
        <v>113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R1640" t="s">
        <v>114</v>
      </c>
      <c r="S1640" t="str">
        <f>"19:02:08.594"</f>
        <v>19:02:08.594</v>
      </c>
      <c r="T1640" t="str">
        <f>"19:02:08.391"</f>
        <v>19:02:08.391</v>
      </c>
      <c r="U1640" t="str">
        <f t="shared" si="76"/>
        <v>a1cdbe</v>
      </c>
      <c r="V1640">
        <v>0</v>
      </c>
      <c r="W1640">
        <v>0</v>
      </c>
      <c r="X1640">
        <v>1</v>
      </c>
      <c r="Y1640">
        <v>0</v>
      </c>
      <c r="Z1640">
        <v>0</v>
      </c>
      <c r="AB1640">
        <v>0</v>
      </c>
      <c r="AC1640">
        <v>9</v>
      </c>
      <c r="AD1640">
        <v>3</v>
      </c>
      <c r="AE1640">
        <v>0</v>
      </c>
      <c r="AF1640">
        <v>9</v>
      </c>
      <c r="AG1640" t="s">
        <v>158</v>
      </c>
      <c r="AH1640">
        <v>0</v>
      </c>
      <c r="AI1640">
        <v>3</v>
      </c>
      <c r="AJ1640">
        <v>1</v>
      </c>
      <c r="AK1640">
        <v>0</v>
      </c>
      <c r="AL1640" t="s">
        <v>2393</v>
      </c>
      <c r="AM1640">
        <v>46.828344000000001</v>
      </c>
      <c r="AN1640" t="s">
        <v>3152</v>
      </c>
      <c r="AO1640">
        <v>-122.847812</v>
      </c>
      <c r="AP1640">
        <v>100</v>
      </c>
      <c r="AQ1640">
        <v>2000</v>
      </c>
      <c r="AR1640" t="s">
        <v>118</v>
      </c>
      <c r="AS1640">
        <v>-74</v>
      </c>
      <c r="AT1640">
        <v>21</v>
      </c>
      <c r="AU1640">
        <v>-192</v>
      </c>
      <c r="BC1640">
        <v>1200</v>
      </c>
      <c r="BD1640">
        <v>1</v>
      </c>
      <c r="BE1640" t="str">
        <f t="shared" si="77"/>
        <v xml:space="preserve">N215T   </v>
      </c>
      <c r="BF1640">
        <v>1</v>
      </c>
      <c r="BH1640">
        <v>0</v>
      </c>
      <c r="BI1640">
        <v>0</v>
      </c>
      <c r="BJ1640">
        <v>0</v>
      </c>
      <c r="BK1640">
        <v>2350</v>
      </c>
      <c r="BL1640">
        <v>350</v>
      </c>
      <c r="BM1640" t="s">
        <v>119</v>
      </c>
      <c r="BN1640">
        <v>1</v>
      </c>
      <c r="BO1640">
        <v>1</v>
      </c>
      <c r="BP1640">
        <v>1</v>
      </c>
      <c r="BQ1640">
        <v>0</v>
      </c>
      <c r="BT1640">
        <v>0</v>
      </c>
      <c r="BU1640">
        <v>0</v>
      </c>
      <c r="BV1640">
        <v>0</v>
      </c>
      <c r="CC1640" t="str">
        <f>"19:02:08.594"</f>
        <v>19:02:08.594</v>
      </c>
      <c r="CD1640" t="str">
        <f>"596596511"</f>
        <v>596596511</v>
      </c>
      <c r="CQ1640">
        <v>0</v>
      </c>
      <c r="CR1640">
        <v>2</v>
      </c>
      <c r="CS1640">
        <v>0</v>
      </c>
      <c r="CT1640">
        <v>2</v>
      </c>
      <c r="CU1640">
        <v>0</v>
      </c>
      <c r="CV1640">
        <v>7</v>
      </c>
      <c r="CW1640" t="s">
        <v>120</v>
      </c>
      <c r="CX1640">
        <v>261</v>
      </c>
      <c r="CY1640">
        <v>2</v>
      </c>
      <c r="CZ1640" t="s">
        <v>121</v>
      </c>
      <c r="DA1640" t="s">
        <v>122</v>
      </c>
      <c r="DD1640">
        <v>15212541</v>
      </c>
      <c r="DE1640" t="s">
        <v>123</v>
      </c>
    </row>
    <row r="1641" spans="1:109" x14ac:dyDescent="0.3">
      <c r="A1641" t="str">
        <f>"19:02:09.742"</f>
        <v>19:02:09.742</v>
      </c>
      <c r="B1641" t="s">
        <v>110</v>
      </c>
      <c r="C1641" t="str">
        <f t="shared" si="75"/>
        <v>ffdfd3c0</v>
      </c>
      <c r="D1641" t="s">
        <v>111</v>
      </c>
      <c r="E1641">
        <v>18</v>
      </c>
      <c r="F1641">
        <v>1018</v>
      </c>
      <c r="G1641" t="s">
        <v>112</v>
      </c>
      <c r="J1641" t="s">
        <v>113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R1641" t="s">
        <v>114</v>
      </c>
      <c r="S1641" t="str">
        <f>"19:02:09.477"</f>
        <v>19:02:09.477</v>
      </c>
      <c r="T1641" t="str">
        <f>"19:02:09.477"</f>
        <v>19:02:09.477</v>
      </c>
      <c r="U1641" t="str">
        <f t="shared" si="76"/>
        <v>a1cdbe</v>
      </c>
      <c r="V1641">
        <v>0</v>
      </c>
      <c r="W1641">
        <v>0</v>
      </c>
      <c r="X1641">
        <v>1</v>
      </c>
      <c r="Y1641">
        <v>0</v>
      </c>
      <c r="Z1641">
        <v>0</v>
      </c>
      <c r="AB1641">
        <v>0</v>
      </c>
      <c r="AC1641">
        <v>9</v>
      </c>
      <c r="AD1641">
        <v>3</v>
      </c>
      <c r="AE1641">
        <v>0</v>
      </c>
      <c r="AF1641">
        <v>9</v>
      </c>
      <c r="AG1641" t="s">
        <v>158</v>
      </c>
      <c r="AH1641">
        <v>0</v>
      </c>
      <c r="AI1641">
        <v>3</v>
      </c>
      <c r="AJ1641">
        <v>1</v>
      </c>
      <c r="AK1641">
        <v>0</v>
      </c>
      <c r="AL1641" t="s">
        <v>3153</v>
      </c>
      <c r="AM1641">
        <v>46.828429999999997</v>
      </c>
      <c r="AN1641" t="s">
        <v>3154</v>
      </c>
      <c r="AO1641">
        <v>-122.84822</v>
      </c>
      <c r="AP1641">
        <v>100</v>
      </c>
      <c r="AQ1641">
        <v>2000</v>
      </c>
      <c r="AR1641" t="s">
        <v>118</v>
      </c>
      <c r="AS1641">
        <v>-74</v>
      </c>
      <c r="AT1641">
        <v>21</v>
      </c>
      <c r="AU1641">
        <v>-128</v>
      </c>
      <c r="BC1641">
        <v>1200</v>
      </c>
      <c r="BD1641">
        <v>1</v>
      </c>
      <c r="BE1641" t="str">
        <f t="shared" si="77"/>
        <v xml:space="preserve">N215T   </v>
      </c>
      <c r="BF1641">
        <v>1</v>
      </c>
      <c r="BH1641">
        <v>0</v>
      </c>
      <c r="BI1641">
        <v>0</v>
      </c>
      <c r="BJ1641">
        <v>0</v>
      </c>
      <c r="BK1641">
        <v>2350</v>
      </c>
      <c r="BL1641">
        <v>350</v>
      </c>
      <c r="BM1641" t="s">
        <v>119</v>
      </c>
      <c r="BN1641">
        <v>1</v>
      </c>
      <c r="BO1641">
        <v>1</v>
      </c>
      <c r="BP1641">
        <v>1</v>
      </c>
      <c r="BQ1641">
        <v>0</v>
      </c>
      <c r="BT1641">
        <v>0</v>
      </c>
      <c r="BU1641">
        <v>0</v>
      </c>
      <c r="BV1641">
        <v>0</v>
      </c>
      <c r="CC1641" t="str">
        <f>"19:02:09.484"</f>
        <v>19:02:09.484</v>
      </c>
      <c r="CD1641" t="str">
        <f>"481509324"</f>
        <v>481509324</v>
      </c>
      <c r="CQ1641">
        <v>0</v>
      </c>
      <c r="CR1641">
        <v>2</v>
      </c>
      <c r="CS1641">
        <v>0</v>
      </c>
      <c r="CT1641">
        <v>2</v>
      </c>
      <c r="CU1641">
        <v>0</v>
      </c>
      <c r="CV1641">
        <v>7</v>
      </c>
      <c r="CW1641" t="s">
        <v>120</v>
      </c>
      <c r="CX1641">
        <v>261</v>
      </c>
      <c r="CY1641">
        <v>2</v>
      </c>
      <c r="CZ1641" t="s">
        <v>121</v>
      </c>
      <c r="DA1641" t="s">
        <v>122</v>
      </c>
      <c r="DD1641">
        <v>15213146</v>
      </c>
      <c r="DE1641" t="s">
        <v>123</v>
      </c>
    </row>
    <row r="1642" spans="1:109" x14ac:dyDescent="0.3">
      <c r="A1642" t="str">
        <f>"19:02:10.594"</f>
        <v>19:02:10.594</v>
      </c>
      <c r="B1642" t="s">
        <v>110</v>
      </c>
      <c r="C1642" t="str">
        <f t="shared" si="75"/>
        <v>ffdfd3c0</v>
      </c>
      <c r="D1642" t="s">
        <v>111</v>
      </c>
      <c r="E1642">
        <v>18</v>
      </c>
      <c r="F1642">
        <v>1018</v>
      </c>
      <c r="G1642" t="s">
        <v>112</v>
      </c>
      <c r="J1642" t="s">
        <v>113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R1642" t="s">
        <v>114</v>
      </c>
      <c r="S1642" t="str">
        <f>"19:02:10.375"</f>
        <v>19:02:10.375</v>
      </c>
      <c r="T1642" t="str">
        <f>"19:02:09.977"</f>
        <v>19:02:09.977</v>
      </c>
      <c r="U1642" t="str">
        <f t="shared" si="76"/>
        <v>a1cdbe</v>
      </c>
      <c r="V1642">
        <v>0</v>
      </c>
      <c r="W1642">
        <v>0</v>
      </c>
      <c r="X1642">
        <v>1</v>
      </c>
      <c r="Y1642">
        <v>0</v>
      </c>
      <c r="Z1642">
        <v>0</v>
      </c>
      <c r="AB1642">
        <v>0</v>
      </c>
      <c r="AC1642">
        <v>9</v>
      </c>
      <c r="AD1642">
        <v>3</v>
      </c>
      <c r="AE1642">
        <v>0</v>
      </c>
      <c r="AF1642">
        <v>9</v>
      </c>
      <c r="AG1642" t="s">
        <v>158</v>
      </c>
      <c r="AH1642">
        <v>0</v>
      </c>
      <c r="AI1642">
        <v>3</v>
      </c>
      <c r="AJ1642">
        <v>1</v>
      </c>
      <c r="AK1642">
        <v>0</v>
      </c>
      <c r="AL1642" t="s">
        <v>3155</v>
      </c>
      <c r="AM1642">
        <v>46.828536999999997</v>
      </c>
      <c r="AN1642" t="s">
        <v>3156</v>
      </c>
      <c r="AO1642">
        <v>-122.848713</v>
      </c>
      <c r="AP1642">
        <v>100</v>
      </c>
      <c r="AQ1642">
        <v>2000</v>
      </c>
      <c r="AR1642" t="s">
        <v>118</v>
      </c>
      <c r="AS1642">
        <v>-74</v>
      </c>
      <c r="AT1642">
        <v>21</v>
      </c>
      <c r="AU1642">
        <v>-64</v>
      </c>
      <c r="BC1642">
        <v>1200</v>
      </c>
      <c r="BD1642">
        <v>1</v>
      </c>
      <c r="BE1642" t="str">
        <f t="shared" si="77"/>
        <v xml:space="preserve">N215T   </v>
      </c>
      <c r="BF1642">
        <v>1</v>
      </c>
      <c r="BH1642">
        <v>0</v>
      </c>
      <c r="BI1642">
        <v>0</v>
      </c>
      <c r="BJ1642">
        <v>0</v>
      </c>
      <c r="BK1642">
        <v>2350</v>
      </c>
      <c r="BL1642">
        <v>350</v>
      </c>
      <c r="BM1642" t="s">
        <v>119</v>
      </c>
      <c r="BN1642">
        <v>1</v>
      </c>
      <c r="BO1642">
        <v>1</v>
      </c>
      <c r="BP1642">
        <v>1</v>
      </c>
      <c r="BQ1642">
        <v>0</v>
      </c>
      <c r="BT1642">
        <v>0</v>
      </c>
      <c r="BU1642">
        <v>0</v>
      </c>
      <c r="BV1642">
        <v>0</v>
      </c>
      <c r="CC1642" t="str">
        <f>"19:02:10.383"</f>
        <v>19:02:10.383</v>
      </c>
      <c r="CD1642" t="str">
        <f>"381420672"</f>
        <v>381420672</v>
      </c>
      <c r="CQ1642">
        <v>0</v>
      </c>
      <c r="CR1642">
        <v>2</v>
      </c>
      <c r="CS1642">
        <v>0</v>
      </c>
      <c r="CT1642">
        <v>2</v>
      </c>
      <c r="CU1642">
        <v>0</v>
      </c>
      <c r="CV1642">
        <v>7</v>
      </c>
      <c r="CW1642" t="s">
        <v>120</v>
      </c>
      <c r="CX1642">
        <v>261</v>
      </c>
      <c r="CY1642">
        <v>2</v>
      </c>
      <c r="CZ1642" t="s">
        <v>121</v>
      </c>
      <c r="DA1642" t="s">
        <v>122</v>
      </c>
      <c r="DD1642">
        <v>15213696</v>
      </c>
      <c r="DE1642" t="s">
        <v>123</v>
      </c>
    </row>
    <row r="1643" spans="1:109" x14ac:dyDescent="0.3">
      <c r="A1643" t="str">
        <f>"19:02:11.602"</f>
        <v>19:02:11.602</v>
      </c>
      <c r="B1643" t="s">
        <v>110</v>
      </c>
      <c r="C1643" t="str">
        <f t="shared" si="75"/>
        <v>ffdfd3c0</v>
      </c>
      <c r="D1643" t="s">
        <v>111</v>
      </c>
      <c r="E1643">
        <v>18</v>
      </c>
      <c r="F1643">
        <v>1018</v>
      </c>
      <c r="G1643" t="s">
        <v>112</v>
      </c>
      <c r="J1643" t="s">
        <v>113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R1643" t="s">
        <v>114</v>
      </c>
      <c r="S1643" t="str">
        <f>"19:02:11.383"</f>
        <v>19:02:11.383</v>
      </c>
      <c r="T1643" t="str">
        <f>"19:02:10.883"</f>
        <v>19:02:10.883</v>
      </c>
      <c r="U1643" t="str">
        <f t="shared" si="76"/>
        <v>a1cdbe</v>
      </c>
      <c r="V1643">
        <v>0</v>
      </c>
      <c r="W1643">
        <v>0</v>
      </c>
      <c r="X1643">
        <v>1</v>
      </c>
      <c r="Y1643">
        <v>0</v>
      </c>
      <c r="Z1643">
        <v>0</v>
      </c>
      <c r="AB1643">
        <v>0</v>
      </c>
      <c r="AC1643">
        <v>9</v>
      </c>
      <c r="AD1643">
        <v>3</v>
      </c>
      <c r="AE1643">
        <v>0</v>
      </c>
      <c r="AF1643">
        <v>9</v>
      </c>
      <c r="AG1643" t="s">
        <v>158</v>
      </c>
      <c r="AH1643">
        <v>0</v>
      </c>
      <c r="AI1643">
        <v>3</v>
      </c>
      <c r="AJ1643">
        <v>1</v>
      </c>
      <c r="AK1643">
        <v>0</v>
      </c>
      <c r="AL1643" t="s">
        <v>2387</v>
      </c>
      <c r="AM1643">
        <v>46.828623</v>
      </c>
      <c r="AN1643" t="s">
        <v>3157</v>
      </c>
      <c r="AO1643">
        <v>-122.84918500000001</v>
      </c>
      <c r="AP1643">
        <v>100</v>
      </c>
      <c r="AQ1643">
        <v>2000</v>
      </c>
      <c r="AR1643" t="s">
        <v>118</v>
      </c>
      <c r="AS1643">
        <v>-74</v>
      </c>
      <c r="AT1643">
        <v>21</v>
      </c>
      <c r="AU1643">
        <v>-64</v>
      </c>
      <c r="BC1643">
        <v>1200</v>
      </c>
      <c r="BD1643">
        <v>1</v>
      </c>
      <c r="BE1643" t="str">
        <f t="shared" si="77"/>
        <v xml:space="preserve">N215T   </v>
      </c>
      <c r="BF1643">
        <v>1</v>
      </c>
      <c r="BH1643">
        <v>0</v>
      </c>
      <c r="BI1643">
        <v>0</v>
      </c>
      <c r="BJ1643">
        <v>0</v>
      </c>
      <c r="BK1643">
        <v>2350</v>
      </c>
      <c r="BL1643">
        <v>350</v>
      </c>
      <c r="BM1643" t="s">
        <v>119</v>
      </c>
      <c r="BN1643">
        <v>1</v>
      </c>
      <c r="BO1643">
        <v>1</v>
      </c>
      <c r="BP1643">
        <v>1</v>
      </c>
      <c r="BQ1643">
        <v>0</v>
      </c>
      <c r="BT1643">
        <v>0</v>
      </c>
      <c r="BU1643">
        <v>0</v>
      </c>
      <c r="BV1643">
        <v>0</v>
      </c>
      <c r="CC1643" t="str">
        <f>"19:02:11.383"</f>
        <v>19:02:11.383</v>
      </c>
      <c r="CD1643" t="str">
        <f>"386321669"</f>
        <v>386321669</v>
      </c>
      <c r="CQ1643">
        <v>0</v>
      </c>
      <c r="CR1643">
        <v>2</v>
      </c>
      <c r="CS1643">
        <v>0</v>
      </c>
      <c r="CT1643">
        <v>2</v>
      </c>
      <c r="CU1643">
        <v>0</v>
      </c>
      <c r="CV1643">
        <v>7</v>
      </c>
      <c r="CW1643" t="s">
        <v>120</v>
      </c>
      <c r="CX1643">
        <v>261</v>
      </c>
      <c r="CY1643">
        <v>2</v>
      </c>
      <c r="CZ1643" t="s">
        <v>121</v>
      </c>
      <c r="DA1643" t="s">
        <v>122</v>
      </c>
      <c r="DD1643">
        <v>15214402</v>
      </c>
      <c r="DE1643" t="s">
        <v>123</v>
      </c>
    </row>
    <row r="1644" spans="1:109" x14ac:dyDescent="0.3">
      <c r="A1644" t="str">
        <f>"19:02:12.656"</f>
        <v>19:02:12.656</v>
      </c>
      <c r="B1644" t="s">
        <v>110</v>
      </c>
      <c r="C1644" t="str">
        <f t="shared" si="75"/>
        <v>ffdfd3c0</v>
      </c>
      <c r="D1644" t="s">
        <v>111</v>
      </c>
      <c r="E1644">
        <v>18</v>
      </c>
      <c r="F1644">
        <v>1018</v>
      </c>
      <c r="G1644" t="s">
        <v>112</v>
      </c>
      <c r="J1644" t="s">
        <v>113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R1644" t="s">
        <v>114</v>
      </c>
      <c r="S1644" t="str">
        <f>"19:02:12.430"</f>
        <v>19:02:12.430</v>
      </c>
      <c r="T1644" t="str">
        <f>"19:02:12.031"</f>
        <v>19:02:12.031</v>
      </c>
      <c r="U1644" t="str">
        <f t="shared" si="76"/>
        <v>a1cdbe</v>
      </c>
      <c r="V1644">
        <v>0</v>
      </c>
      <c r="W1644">
        <v>0</v>
      </c>
      <c r="X1644">
        <v>1</v>
      </c>
      <c r="Y1644">
        <v>0</v>
      </c>
      <c r="Z1644">
        <v>0</v>
      </c>
      <c r="AB1644">
        <v>0</v>
      </c>
      <c r="AC1644">
        <v>9</v>
      </c>
      <c r="AD1644">
        <v>3</v>
      </c>
      <c r="AE1644">
        <v>0</v>
      </c>
      <c r="AF1644">
        <v>9</v>
      </c>
      <c r="AG1644" t="s">
        <v>158</v>
      </c>
      <c r="AH1644">
        <v>0</v>
      </c>
      <c r="AI1644">
        <v>3</v>
      </c>
      <c r="AJ1644">
        <v>1</v>
      </c>
      <c r="AK1644">
        <v>0</v>
      </c>
      <c r="AL1644" t="s">
        <v>3158</v>
      </c>
      <c r="AM1644">
        <v>46.82873</v>
      </c>
      <c r="AN1644" t="s">
        <v>3159</v>
      </c>
      <c r="AO1644">
        <v>-122.849722</v>
      </c>
      <c r="AP1644">
        <v>100</v>
      </c>
      <c r="AQ1644">
        <v>2000</v>
      </c>
      <c r="AR1644" t="s">
        <v>118</v>
      </c>
      <c r="AS1644">
        <v>-73</v>
      </c>
      <c r="AT1644">
        <v>20</v>
      </c>
      <c r="AU1644">
        <v>-64</v>
      </c>
      <c r="BC1644">
        <v>1200</v>
      </c>
      <c r="BD1644">
        <v>1</v>
      </c>
      <c r="BE1644" t="str">
        <f t="shared" si="77"/>
        <v xml:space="preserve">N215T   </v>
      </c>
      <c r="BF1644">
        <v>1</v>
      </c>
      <c r="BH1644">
        <v>0</v>
      </c>
      <c r="BI1644">
        <v>0</v>
      </c>
      <c r="BJ1644">
        <v>0</v>
      </c>
      <c r="BK1644">
        <v>2350</v>
      </c>
      <c r="BL1644">
        <v>350</v>
      </c>
      <c r="BM1644" t="s">
        <v>119</v>
      </c>
      <c r="BN1644">
        <v>1</v>
      </c>
      <c r="BO1644">
        <v>1</v>
      </c>
      <c r="BP1644">
        <v>1</v>
      </c>
      <c r="BQ1644">
        <v>0</v>
      </c>
      <c r="BT1644">
        <v>0</v>
      </c>
      <c r="BU1644">
        <v>0</v>
      </c>
      <c r="BV1644">
        <v>0</v>
      </c>
      <c r="CC1644" t="str">
        <f>"19:02:12.438"</f>
        <v>19:02:12.438</v>
      </c>
      <c r="CD1644" t="str">
        <f>"436218243"</f>
        <v>436218243</v>
      </c>
      <c r="CQ1644">
        <v>0</v>
      </c>
      <c r="CR1644">
        <v>2</v>
      </c>
      <c r="CS1644">
        <v>0</v>
      </c>
      <c r="CT1644">
        <v>2</v>
      </c>
      <c r="CU1644">
        <v>0</v>
      </c>
      <c r="CV1644">
        <v>7</v>
      </c>
      <c r="CW1644" t="s">
        <v>120</v>
      </c>
      <c r="CX1644">
        <v>261</v>
      </c>
      <c r="CY1644">
        <v>2</v>
      </c>
      <c r="CZ1644" t="s">
        <v>121</v>
      </c>
      <c r="DA1644" t="s">
        <v>122</v>
      </c>
      <c r="DD1644">
        <v>15215141</v>
      </c>
      <c r="DE1644" t="s">
        <v>123</v>
      </c>
    </row>
    <row r="1645" spans="1:109" x14ac:dyDescent="0.3">
      <c r="A1645" t="str">
        <f>"19:02:13.664"</f>
        <v>19:02:13.664</v>
      </c>
      <c r="B1645" t="s">
        <v>110</v>
      </c>
      <c r="C1645" t="str">
        <f t="shared" si="75"/>
        <v>ffdfd3c0</v>
      </c>
      <c r="D1645" t="s">
        <v>111</v>
      </c>
      <c r="E1645">
        <v>18</v>
      </c>
      <c r="F1645">
        <v>1018</v>
      </c>
      <c r="G1645" t="s">
        <v>112</v>
      </c>
      <c r="J1645" t="s">
        <v>113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R1645" t="s">
        <v>114</v>
      </c>
      <c r="S1645" t="str">
        <f>"19:02:13.406"</f>
        <v>19:02:13.406</v>
      </c>
      <c r="T1645" t="str">
        <f>"19:02:13.008"</f>
        <v>19:02:13.008</v>
      </c>
      <c r="U1645" t="str">
        <f t="shared" si="76"/>
        <v>a1cdbe</v>
      </c>
      <c r="V1645">
        <v>0</v>
      </c>
      <c r="W1645">
        <v>0</v>
      </c>
      <c r="X1645">
        <v>1</v>
      </c>
      <c r="Y1645">
        <v>0</v>
      </c>
      <c r="Z1645">
        <v>0</v>
      </c>
      <c r="AB1645">
        <v>0</v>
      </c>
      <c r="AC1645">
        <v>9</v>
      </c>
      <c r="AD1645">
        <v>3</v>
      </c>
      <c r="AE1645">
        <v>0</v>
      </c>
      <c r="AF1645">
        <v>9</v>
      </c>
      <c r="AG1645" t="s">
        <v>158</v>
      </c>
      <c r="AH1645">
        <v>0</v>
      </c>
      <c r="AI1645">
        <v>3</v>
      </c>
      <c r="AJ1645">
        <v>1</v>
      </c>
      <c r="AK1645">
        <v>0</v>
      </c>
      <c r="AL1645" t="s">
        <v>3160</v>
      </c>
      <c r="AM1645">
        <v>46.828794000000002</v>
      </c>
      <c r="AN1645" t="s">
        <v>3161</v>
      </c>
      <c r="AO1645">
        <v>-122.85021500000001</v>
      </c>
      <c r="AP1645">
        <v>100</v>
      </c>
      <c r="AQ1645">
        <v>2000</v>
      </c>
      <c r="AR1645" t="s">
        <v>118</v>
      </c>
      <c r="AS1645">
        <v>-73</v>
      </c>
      <c r="AT1645">
        <v>19</v>
      </c>
      <c r="AU1645">
        <v>-64</v>
      </c>
      <c r="BC1645">
        <v>1200</v>
      </c>
      <c r="BD1645">
        <v>1</v>
      </c>
      <c r="BE1645" t="str">
        <f t="shared" si="77"/>
        <v xml:space="preserve">N215T   </v>
      </c>
      <c r="BF1645">
        <v>1</v>
      </c>
      <c r="BH1645">
        <v>0</v>
      </c>
      <c r="BI1645">
        <v>0</v>
      </c>
      <c r="BJ1645">
        <v>0</v>
      </c>
      <c r="BK1645">
        <v>2350</v>
      </c>
      <c r="BL1645">
        <v>350</v>
      </c>
      <c r="BM1645" t="s">
        <v>119</v>
      </c>
      <c r="BN1645">
        <v>1</v>
      </c>
      <c r="BO1645">
        <v>1</v>
      </c>
      <c r="BP1645">
        <v>1</v>
      </c>
      <c r="BQ1645">
        <v>0</v>
      </c>
      <c r="BT1645">
        <v>0</v>
      </c>
      <c r="BU1645">
        <v>0</v>
      </c>
      <c r="BV1645">
        <v>0</v>
      </c>
      <c r="CC1645" t="str">
        <f>"19:02:13.414"</f>
        <v>19:02:13.414</v>
      </c>
      <c r="CD1645" t="str">
        <f>"411122148"</f>
        <v>411122148</v>
      </c>
      <c r="CQ1645">
        <v>0</v>
      </c>
      <c r="CR1645">
        <v>2</v>
      </c>
      <c r="CS1645">
        <v>0</v>
      </c>
      <c r="CT1645">
        <v>2</v>
      </c>
      <c r="CU1645">
        <v>0</v>
      </c>
      <c r="CV1645">
        <v>7</v>
      </c>
      <c r="CW1645" t="s">
        <v>120</v>
      </c>
      <c r="CX1645">
        <v>261</v>
      </c>
      <c r="CY1645">
        <v>2</v>
      </c>
      <c r="CZ1645" t="s">
        <v>121</v>
      </c>
      <c r="DA1645" t="s">
        <v>122</v>
      </c>
      <c r="DD1645">
        <v>15215756</v>
      </c>
      <c r="DE1645" t="s">
        <v>123</v>
      </c>
    </row>
    <row r="1646" spans="1:109" x14ac:dyDescent="0.3">
      <c r="A1646" t="str">
        <f>"19:02:14.516"</f>
        <v>19:02:14.516</v>
      </c>
      <c r="B1646" t="s">
        <v>110</v>
      </c>
      <c r="C1646" t="str">
        <f t="shared" si="75"/>
        <v>ffdfd3c0</v>
      </c>
      <c r="D1646" t="s">
        <v>111</v>
      </c>
      <c r="E1646">
        <v>18</v>
      </c>
      <c r="F1646">
        <v>1018</v>
      </c>
      <c r="G1646" t="s">
        <v>112</v>
      </c>
      <c r="J1646" t="s">
        <v>113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R1646" t="s">
        <v>114</v>
      </c>
      <c r="S1646" t="str">
        <f>"19:02:14.320"</f>
        <v>19:02:14.320</v>
      </c>
      <c r="T1646" t="str">
        <f>"19:02:13.922"</f>
        <v>19:02:13.922</v>
      </c>
      <c r="U1646" t="str">
        <f t="shared" si="76"/>
        <v>a1cdbe</v>
      </c>
      <c r="V1646">
        <v>0</v>
      </c>
      <c r="W1646">
        <v>0</v>
      </c>
      <c r="X1646">
        <v>1</v>
      </c>
      <c r="Y1646">
        <v>0</v>
      </c>
      <c r="Z1646">
        <v>0</v>
      </c>
      <c r="AB1646">
        <v>0</v>
      </c>
      <c r="AC1646">
        <v>9</v>
      </c>
      <c r="AD1646">
        <v>3</v>
      </c>
      <c r="AE1646">
        <v>0</v>
      </c>
      <c r="AF1646">
        <v>9</v>
      </c>
      <c r="AG1646" t="s">
        <v>158</v>
      </c>
      <c r="AH1646">
        <v>0</v>
      </c>
      <c r="AI1646">
        <v>3</v>
      </c>
      <c r="AJ1646">
        <v>1</v>
      </c>
      <c r="AK1646">
        <v>0</v>
      </c>
      <c r="AL1646" t="s">
        <v>2383</v>
      </c>
      <c r="AM1646">
        <v>46.828901999999999</v>
      </c>
      <c r="AN1646" t="s">
        <v>3162</v>
      </c>
      <c r="AO1646">
        <v>-122.850623</v>
      </c>
      <c r="AP1646">
        <v>100</v>
      </c>
      <c r="AQ1646">
        <v>2000</v>
      </c>
      <c r="AR1646" t="s">
        <v>118</v>
      </c>
      <c r="AS1646">
        <v>-73</v>
      </c>
      <c r="AT1646">
        <v>19</v>
      </c>
      <c r="AU1646">
        <v>-128</v>
      </c>
      <c r="BC1646">
        <v>1200</v>
      </c>
      <c r="BD1646">
        <v>1</v>
      </c>
      <c r="BE1646" t="str">
        <f t="shared" si="77"/>
        <v xml:space="preserve">N215T   </v>
      </c>
      <c r="BF1646">
        <v>1</v>
      </c>
      <c r="BH1646">
        <v>0</v>
      </c>
      <c r="BI1646">
        <v>0</v>
      </c>
      <c r="BJ1646">
        <v>0</v>
      </c>
      <c r="BK1646">
        <v>2350</v>
      </c>
      <c r="BL1646">
        <v>350</v>
      </c>
      <c r="BM1646" t="s">
        <v>119</v>
      </c>
      <c r="BN1646">
        <v>1</v>
      </c>
      <c r="BO1646">
        <v>1</v>
      </c>
      <c r="BP1646">
        <v>1</v>
      </c>
      <c r="BQ1646">
        <v>0</v>
      </c>
      <c r="BT1646">
        <v>0</v>
      </c>
      <c r="BU1646">
        <v>0</v>
      </c>
      <c r="BV1646">
        <v>0</v>
      </c>
      <c r="CC1646" t="str">
        <f>"19:02:14.328"</f>
        <v>19:02:14.328</v>
      </c>
      <c r="CD1646" t="str">
        <f>"326032058"</f>
        <v>326032058</v>
      </c>
      <c r="CQ1646">
        <v>0</v>
      </c>
      <c r="CR1646">
        <v>2</v>
      </c>
      <c r="CS1646">
        <v>0</v>
      </c>
      <c r="CT1646">
        <v>2</v>
      </c>
      <c r="CU1646">
        <v>0</v>
      </c>
      <c r="CV1646">
        <v>7</v>
      </c>
      <c r="CW1646" t="s">
        <v>120</v>
      </c>
      <c r="CX1646">
        <v>261</v>
      </c>
      <c r="CY1646">
        <v>2</v>
      </c>
      <c r="CZ1646" t="s">
        <v>121</v>
      </c>
      <c r="DA1646" t="s">
        <v>122</v>
      </c>
      <c r="DD1646">
        <v>15216362</v>
      </c>
      <c r="DE1646" t="s">
        <v>123</v>
      </c>
    </row>
    <row r="1647" spans="1:109" x14ac:dyDescent="0.3">
      <c r="A1647" t="str">
        <f>"19:02:15.672"</f>
        <v>19:02:15.672</v>
      </c>
      <c r="B1647" t="s">
        <v>110</v>
      </c>
      <c r="C1647" t="str">
        <f t="shared" si="75"/>
        <v>ffdfd3c0</v>
      </c>
      <c r="D1647" t="s">
        <v>111</v>
      </c>
      <c r="E1647">
        <v>18</v>
      </c>
      <c r="F1647">
        <v>1018</v>
      </c>
      <c r="G1647" t="s">
        <v>112</v>
      </c>
      <c r="J1647" t="s">
        <v>113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R1647" t="s">
        <v>114</v>
      </c>
      <c r="S1647" t="str">
        <f>"19:02:15.461"</f>
        <v>19:02:15.461</v>
      </c>
      <c r="T1647" t="str">
        <f>"19:02:15.258"</f>
        <v>19:02:15.258</v>
      </c>
      <c r="U1647" t="str">
        <f t="shared" si="76"/>
        <v>a1cdbe</v>
      </c>
      <c r="V1647">
        <v>0</v>
      </c>
      <c r="W1647">
        <v>0</v>
      </c>
      <c r="X1647">
        <v>1</v>
      </c>
      <c r="Y1647">
        <v>0</v>
      </c>
      <c r="Z1647">
        <v>0</v>
      </c>
      <c r="AB1647">
        <v>0</v>
      </c>
      <c r="AC1647">
        <v>9</v>
      </c>
      <c r="AD1647">
        <v>3</v>
      </c>
      <c r="AE1647">
        <v>0</v>
      </c>
      <c r="AF1647">
        <v>9</v>
      </c>
      <c r="AG1647" t="s">
        <v>158</v>
      </c>
      <c r="AH1647">
        <v>0</v>
      </c>
      <c r="AI1647">
        <v>3</v>
      </c>
      <c r="AJ1647">
        <v>1</v>
      </c>
      <c r="AK1647">
        <v>0</v>
      </c>
      <c r="AL1647" t="s">
        <v>3163</v>
      </c>
      <c r="AM1647">
        <v>46.828988000000003</v>
      </c>
      <c r="AN1647" t="s">
        <v>3164</v>
      </c>
      <c r="AO1647">
        <v>-122.851181</v>
      </c>
      <c r="AP1647">
        <v>100</v>
      </c>
      <c r="AQ1647">
        <v>1900</v>
      </c>
      <c r="AR1647" t="s">
        <v>118</v>
      </c>
      <c r="AS1647">
        <v>-73</v>
      </c>
      <c r="AT1647">
        <v>18</v>
      </c>
      <c r="AU1647">
        <v>-256</v>
      </c>
      <c r="BC1647">
        <v>1200</v>
      </c>
      <c r="BD1647">
        <v>1</v>
      </c>
      <c r="BE1647" t="str">
        <f t="shared" si="77"/>
        <v xml:space="preserve">N215T   </v>
      </c>
      <c r="BF1647">
        <v>1</v>
      </c>
      <c r="BH1647">
        <v>0</v>
      </c>
      <c r="BI1647">
        <v>0</v>
      </c>
      <c r="BJ1647">
        <v>0</v>
      </c>
      <c r="BK1647">
        <v>2325</v>
      </c>
      <c r="BL1647">
        <v>425</v>
      </c>
      <c r="BM1647" t="s">
        <v>119</v>
      </c>
      <c r="BN1647">
        <v>1</v>
      </c>
      <c r="BO1647">
        <v>1</v>
      </c>
      <c r="BP1647">
        <v>1</v>
      </c>
      <c r="BQ1647">
        <v>0</v>
      </c>
      <c r="BT1647">
        <v>0</v>
      </c>
      <c r="BU1647">
        <v>0</v>
      </c>
      <c r="BV1647">
        <v>0</v>
      </c>
      <c r="CC1647" t="str">
        <f>"19:02:15.469"</f>
        <v>19:02:15.469</v>
      </c>
      <c r="CD1647" t="str">
        <f>"465919776"</f>
        <v>465919776</v>
      </c>
      <c r="CQ1647">
        <v>0</v>
      </c>
      <c r="CR1647">
        <v>2</v>
      </c>
      <c r="CS1647">
        <v>0</v>
      </c>
      <c r="CT1647">
        <v>2</v>
      </c>
      <c r="CU1647">
        <v>0</v>
      </c>
      <c r="CV1647">
        <v>7</v>
      </c>
      <c r="CW1647" t="s">
        <v>120</v>
      </c>
      <c r="CX1647">
        <v>261</v>
      </c>
      <c r="CY1647">
        <v>2</v>
      </c>
      <c r="CZ1647" t="s">
        <v>121</v>
      </c>
      <c r="DA1647" t="s">
        <v>122</v>
      </c>
      <c r="DD1647">
        <v>15217098</v>
      </c>
      <c r="DE1647" t="s">
        <v>123</v>
      </c>
    </row>
    <row r="1648" spans="1:109" x14ac:dyDescent="0.3">
      <c r="A1648" t="str">
        <f>"19:02:16.781"</f>
        <v>19:02:16.781</v>
      </c>
      <c r="B1648" t="s">
        <v>110</v>
      </c>
      <c r="C1648" t="str">
        <f t="shared" si="75"/>
        <v>ffdfd3c0</v>
      </c>
      <c r="D1648" t="s">
        <v>111</v>
      </c>
      <c r="E1648">
        <v>18</v>
      </c>
      <c r="F1648">
        <v>1018</v>
      </c>
      <c r="G1648" t="s">
        <v>112</v>
      </c>
      <c r="J1648" t="s">
        <v>113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R1648" t="s">
        <v>114</v>
      </c>
      <c r="S1648" t="str">
        <f>"19:02:16.570"</f>
        <v>19:02:16.570</v>
      </c>
      <c r="T1648" t="str">
        <f>"19:02:16.367"</f>
        <v>19:02:16.367</v>
      </c>
      <c r="U1648" t="str">
        <f t="shared" si="76"/>
        <v>a1cdbe</v>
      </c>
      <c r="V1648">
        <v>0</v>
      </c>
      <c r="W1648">
        <v>0</v>
      </c>
      <c r="X1648">
        <v>1</v>
      </c>
      <c r="Y1648">
        <v>0</v>
      </c>
      <c r="Z1648">
        <v>0</v>
      </c>
      <c r="AB1648">
        <v>0</v>
      </c>
      <c r="AC1648">
        <v>9</v>
      </c>
      <c r="AD1648">
        <v>3</v>
      </c>
      <c r="AE1648">
        <v>0</v>
      </c>
      <c r="AF1648">
        <v>9</v>
      </c>
      <c r="AG1648" t="s">
        <v>158</v>
      </c>
      <c r="AH1648">
        <v>0</v>
      </c>
      <c r="AI1648">
        <v>3</v>
      </c>
      <c r="AJ1648">
        <v>1</v>
      </c>
      <c r="AK1648">
        <v>0</v>
      </c>
      <c r="AL1648" t="s">
        <v>2381</v>
      </c>
      <c r="AM1648">
        <v>46.829031000000001</v>
      </c>
      <c r="AN1648" t="s">
        <v>3165</v>
      </c>
      <c r="AO1648">
        <v>-122.85173899999999</v>
      </c>
      <c r="AP1648">
        <v>100</v>
      </c>
      <c r="AQ1648">
        <v>1900</v>
      </c>
      <c r="AR1648" t="s">
        <v>118</v>
      </c>
      <c r="AS1648">
        <v>-74</v>
      </c>
      <c r="AT1648">
        <v>17</v>
      </c>
      <c r="AU1648">
        <v>-320</v>
      </c>
      <c r="BC1648">
        <v>1200</v>
      </c>
      <c r="BD1648">
        <v>1</v>
      </c>
      <c r="BE1648" t="str">
        <f t="shared" si="77"/>
        <v xml:space="preserve">N215T   </v>
      </c>
      <c r="BF1648">
        <v>1</v>
      </c>
      <c r="BH1648">
        <v>0</v>
      </c>
      <c r="BI1648">
        <v>0</v>
      </c>
      <c r="BJ1648">
        <v>0</v>
      </c>
      <c r="BK1648">
        <v>2325</v>
      </c>
      <c r="BL1648">
        <v>425</v>
      </c>
      <c r="BM1648" t="s">
        <v>119</v>
      </c>
      <c r="BN1648">
        <v>1</v>
      </c>
      <c r="BO1648">
        <v>1</v>
      </c>
      <c r="BP1648">
        <v>1</v>
      </c>
      <c r="BQ1648">
        <v>0</v>
      </c>
      <c r="BT1648">
        <v>0</v>
      </c>
      <c r="BU1648">
        <v>0</v>
      </c>
      <c r="BV1648">
        <v>0</v>
      </c>
      <c r="CC1648" t="str">
        <f>"19:02:16.578"</f>
        <v>19:02:16.578</v>
      </c>
      <c r="CD1648" t="str">
        <f>"575810432"</f>
        <v>575810432</v>
      </c>
      <c r="CQ1648">
        <v>0</v>
      </c>
      <c r="CR1648">
        <v>2</v>
      </c>
      <c r="CS1648">
        <v>0</v>
      </c>
      <c r="CT1648">
        <v>2</v>
      </c>
      <c r="CU1648">
        <v>0</v>
      </c>
      <c r="CV1648">
        <v>7</v>
      </c>
      <c r="CW1648" t="s">
        <v>120</v>
      </c>
      <c r="CX1648">
        <v>261</v>
      </c>
      <c r="CY1648">
        <v>2</v>
      </c>
      <c r="CZ1648" t="s">
        <v>121</v>
      </c>
      <c r="DA1648" t="s">
        <v>122</v>
      </c>
      <c r="DD1648">
        <v>15217890</v>
      </c>
      <c r="DE1648" t="s">
        <v>123</v>
      </c>
    </row>
    <row r="1649" spans="1:109" x14ac:dyDescent="0.3">
      <c r="A1649" t="str">
        <f>"19:02:17.633"</f>
        <v>19:02:17.633</v>
      </c>
      <c r="B1649" t="s">
        <v>110</v>
      </c>
      <c r="C1649" t="str">
        <f t="shared" si="75"/>
        <v>ffdfd3c0</v>
      </c>
      <c r="D1649" t="s">
        <v>111</v>
      </c>
      <c r="E1649">
        <v>18</v>
      </c>
      <c r="F1649">
        <v>1018</v>
      </c>
      <c r="G1649" t="s">
        <v>112</v>
      </c>
      <c r="J1649" t="s">
        <v>113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R1649" t="s">
        <v>114</v>
      </c>
      <c r="S1649" t="str">
        <f>"19:02:17.414"</f>
        <v>19:02:17.414</v>
      </c>
      <c r="T1649" t="str">
        <f>"19:02:16.914"</f>
        <v>19:02:16.914</v>
      </c>
      <c r="U1649" t="str">
        <f t="shared" si="76"/>
        <v>a1cdbe</v>
      </c>
      <c r="V1649">
        <v>0</v>
      </c>
      <c r="W1649">
        <v>0</v>
      </c>
      <c r="X1649">
        <v>1</v>
      </c>
      <c r="Y1649">
        <v>0</v>
      </c>
      <c r="Z1649">
        <v>0</v>
      </c>
      <c r="AB1649">
        <v>0</v>
      </c>
      <c r="AC1649">
        <v>9</v>
      </c>
      <c r="AD1649">
        <v>3</v>
      </c>
      <c r="AE1649">
        <v>0</v>
      </c>
      <c r="AF1649">
        <v>9</v>
      </c>
      <c r="AG1649" t="s">
        <v>158</v>
      </c>
      <c r="AH1649">
        <v>0</v>
      </c>
      <c r="AI1649">
        <v>3</v>
      </c>
      <c r="AJ1649">
        <v>1</v>
      </c>
      <c r="AK1649">
        <v>0</v>
      </c>
      <c r="AL1649" t="s">
        <v>3166</v>
      </c>
      <c r="AM1649">
        <v>46.829138</v>
      </c>
      <c r="AN1649" t="s">
        <v>3167</v>
      </c>
      <c r="AO1649">
        <v>-122.852147</v>
      </c>
      <c r="AP1649">
        <v>100</v>
      </c>
      <c r="AQ1649">
        <v>1900</v>
      </c>
      <c r="AR1649" t="s">
        <v>118</v>
      </c>
      <c r="AS1649">
        <v>-74</v>
      </c>
      <c r="AT1649">
        <v>17</v>
      </c>
      <c r="AU1649">
        <v>-256</v>
      </c>
      <c r="BC1649">
        <v>1200</v>
      </c>
      <c r="BD1649">
        <v>1</v>
      </c>
      <c r="BE1649" t="str">
        <f t="shared" si="77"/>
        <v xml:space="preserve">N215T   </v>
      </c>
      <c r="BF1649">
        <v>1</v>
      </c>
      <c r="BH1649">
        <v>0</v>
      </c>
      <c r="BI1649">
        <v>0</v>
      </c>
      <c r="BJ1649">
        <v>0</v>
      </c>
      <c r="BK1649">
        <v>2325</v>
      </c>
      <c r="BL1649">
        <v>425</v>
      </c>
      <c r="BM1649" t="s">
        <v>119</v>
      </c>
      <c r="BN1649">
        <v>1</v>
      </c>
      <c r="BO1649">
        <v>1</v>
      </c>
      <c r="BP1649">
        <v>1</v>
      </c>
      <c r="BQ1649">
        <v>0</v>
      </c>
      <c r="BT1649">
        <v>0</v>
      </c>
      <c r="BU1649">
        <v>0</v>
      </c>
      <c r="BV1649">
        <v>0</v>
      </c>
      <c r="CC1649" t="str">
        <f>"19:02:17.414"</f>
        <v>19:02:17.414</v>
      </c>
      <c r="CD1649" t="str">
        <f>"415727694"</f>
        <v>415727694</v>
      </c>
      <c r="CQ1649">
        <v>0</v>
      </c>
      <c r="CR1649">
        <v>2</v>
      </c>
      <c r="CS1649">
        <v>0</v>
      </c>
      <c r="CT1649">
        <v>2</v>
      </c>
      <c r="CU1649">
        <v>0</v>
      </c>
      <c r="CV1649">
        <v>7</v>
      </c>
      <c r="CW1649" t="s">
        <v>120</v>
      </c>
      <c r="CX1649">
        <v>261</v>
      </c>
      <c r="CY1649">
        <v>2</v>
      </c>
      <c r="CZ1649" t="s">
        <v>121</v>
      </c>
      <c r="DA1649" t="s">
        <v>122</v>
      </c>
      <c r="DD1649">
        <v>15218438</v>
      </c>
      <c r="DE1649" t="s">
        <v>123</v>
      </c>
    </row>
    <row r="1650" spans="1:109" x14ac:dyDescent="0.3">
      <c r="A1650" t="str">
        <f>"19:02:18.539"</f>
        <v>19:02:18.539</v>
      </c>
      <c r="B1650" t="s">
        <v>110</v>
      </c>
      <c r="C1650" t="str">
        <f t="shared" si="75"/>
        <v>ffdfd3c0</v>
      </c>
      <c r="D1650" t="s">
        <v>111</v>
      </c>
      <c r="E1650">
        <v>18</v>
      </c>
      <c r="F1650">
        <v>1018</v>
      </c>
      <c r="G1650" t="s">
        <v>112</v>
      </c>
      <c r="J1650" t="s">
        <v>113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R1650" t="s">
        <v>114</v>
      </c>
      <c r="S1650" t="str">
        <f>"19:02:18.313"</f>
        <v>19:02:18.313</v>
      </c>
      <c r="T1650" t="str">
        <f>"19:02:17.914"</f>
        <v>19:02:17.914</v>
      </c>
      <c r="U1650" t="str">
        <f t="shared" si="76"/>
        <v>a1cdbe</v>
      </c>
      <c r="V1650">
        <v>0</v>
      </c>
      <c r="W1650">
        <v>0</v>
      </c>
      <c r="X1650">
        <v>1</v>
      </c>
      <c r="Y1650">
        <v>0</v>
      </c>
      <c r="Z1650">
        <v>0</v>
      </c>
      <c r="AB1650">
        <v>0</v>
      </c>
      <c r="AC1650">
        <v>9</v>
      </c>
      <c r="AD1650">
        <v>3</v>
      </c>
      <c r="AE1650">
        <v>0</v>
      </c>
      <c r="AF1650">
        <v>9</v>
      </c>
      <c r="AG1650" t="s">
        <v>158</v>
      </c>
      <c r="AH1650">
        <v>0</v>
      </c>
      <c r="AI1650">
        <v>3</v>
      </c>
      <c r="AJ1650">
        <v>1</v>
      </c>
      <c r="AK1650">
        <v>0</v>
      </c>
      <c r="AL1650" t="s">
        <v>3168</v>
      </c>
      <c r="AM1650">
        <v>46.829224000000004</v>
      </c>
      <c r="AN1650" t="s">
        <v>3169</v>
      </c>
      <c r="AO1650">
        <v>-122.852619</v>
      </c>
      <c r="AP1650">
        <v>100</v>
      </c>
      <c r="AQ1650">
        <v>1900</v>
      </c>
      <c r="AR1650" t="s">
        <v>118</v>
      </c>
      <c r="AS1650">
        <v>-75</v>
      </c>
      <c r="AT1650">
        <v>19</v>
      </c>
      <c r="AU1650">
        <v>-320</v>
      </c>
      <c r="BC1650">
        <v>1200</v>
      </c>
      <c r="BD1650">
        <v>1</v>
      </c>
      <c r="BE1650" t="str">
        <f t="shared" si="77"/>
        <v xml:space="preserve">N215T   </v>
      </c>
      <c r="BF1650">
        <v>1</v>
      </c>
      <c r="BH1650">
        <v>0</v>
      </c>
      <c r="BI1650">
        <v>0</v>
      </c>
      <c r="BJ1650">
        <v>0</v>
      </c>
      <c r="BK1650">
        <v>2325</v>
      </c>
      <c r="BL1650">
        <v>425</v>
      </c>
      <c r="BM1650" t="s">
        <v>119</v>
      </c>
      <c r="BN1650">
        <v>1</v>
      </c>
      <c r="BO1650">
        <v>1</v>
      </c>
      <c r="BP1650">
        <v>1</v>
      </c>
      <c r="BQ1650">
        <v>0</v>
      </c>
      <c r="BT1650">
        <v>0</v>
      </c>
      <c r="BU1650">
        <v>0</v>
      </c>
      <c r="BV1650">
        <v>0</v>
      </c>
      <c r="CC1650" t="str">
        <f>"19:02:18.313"</f>
        <v>19:02:18.313</v>
      </c>
      <c r="CD1650" t="str">
        <f>"315639037"</f>
        <v>315639037</v>
      </c>
      <c r="CQ1650">
        <v>0</v>
      </c>
      <c r="CR1650">
        <v>2</v>
      </c>
      <c r="CS1650">
        <v>0</v>
      </c>
      <c r="CT1650">
        <v>2</v>
      </c>
      <c r="CU1650">
        <v>0</v>
      </c>
      <c r="CV1650">
        <v>7</v>
      </c>
      <c r="CW1650" t="s">
        <v>120</v>
      </c>
      <c r="CX1650">
        <v>261</v>
      </c>
      <c r="CY1650">
        <v>2</v>
      </c>
      <c r="CZ1650" t="s">
        <v>121</v>
      </c>
      <c r="DA1650" t="s">
        <v>122</v>
      </c>
      <c r="DD1650">
        <v>15218988</v>
      </c>
      <c r="DE1650" t="s">
        <v>123</v>
      </c>
    </row>
    <row r="1651" spans="1:109" x14ac:dyDescent="0.3">
      <c r="A1651" t="str">
        <f>"19:02:19.547"</f>
        <v>19:02:19.547</v>
      </c>
      <c r="B1651" t="s">
        <v>110</v>
      </c>
      <c r="C1651" t="str">
        <f t="shared" si="75"/>
        <v>ffdfd3c0</v>
      </c>
      <c r="D1651" t="s">
        <v>111</v>
      </c>
      <c r="E1651">
        <v>18</v>
      </c>
      <c r="F1651">
        <v>1018</v>
      </c>
      <c r="G1651" t="s">
        <v>112</v>
      </c>
      <c r="J1651" t="s">
        <v>113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R1651" t="s">
        <v>114</v>
      </c>
      <c r="S1651" t="str">
        <f>"19:02:19.305"</f>
        <v>19:02:19.305</v>
      </c>
      <c r="T1651" t="str">
        <f>"19:02:18.906"</f>
        <v>19:02:18.906</v>
      </c>
      <c r="U1651" t="str">
        <f t="shared" si="76"/>
        <v>a1cdbe</v>
      </c>
      <c r="V1651">
        <v>0</v>
      </c>
      <c r="W1651">
        <v>0</v>
      </c>
      <c r="X1651">
        <v>1</v>
      </c>
      <c r="Y1651">
        <v>0</v>
      </c>
      <c r="Z1651">
        <v>0</v>
      </c>
      <c r="AB1651">
        <v>0</v>
      </c>
      <c r="AC1651">
        <v>9</v>
      </c>
      <c r="AD1651">
        <v>3</v>
      </c>
      <c r="AE1651">
        <v>0</v>
      </c>
      <c r="AF1651">
        <v>9</v>
      </c>
      <c r="AG1651" t="s">
        <v>158</v>
      </c>
      <c r="AH1651">
        <v>0</v>
      </c>
      <c r="AI1651">
        <v>3</v>
      </c>
      <c r="AJ1651">
        <v>1</v>
      </c>
      <c r="AK1651">
        <v>0</v>
      </c>
      <c r="AL1651" t="s">
        <v>3170</v>
      </c>
      <c r="AM1651">
        <v>46.829309000000002</v>
      </c>
      <c r="AN1651" t="s">
        <v>3171</v>
      </c>
      <c r="AO1651">
        <v>-122.853134</v>
      </c>
      <c r="AP1651">
        <v>100</v>
      </c>
      <c r="AQ1651">
        <v>1900</v>
      </c>
      <c r="AR1651" t="s">
        <v>118</v>
      </c>
      <c r="AS1651">
        <v>-75</v>
      </c>
      <c r="AT1651">
        <v>19</v>
      </c>
      <c r="AU1651">
        <v>-256</v>
      </c>
      <c r="BC1651">
        <v>1200</v>
      </c>
      <c r="BD1651">
        <v>1</v>
      </c>
      <c r="BE1651" t="str">
        <f t="shared" si="77"/>
        <v xml:space="preserve">N215T   </v>
      </c>
      <c r="BF1651">
        <v>1</v>
      </c>
      <c r="BH1651">
        <v>0</v>
      </c>
      <c r="BI1651">
        <v>0</v>
      </c>
      <c r="BJ1651">
        <v>0</v>
      </c>
      <c r="BK1651">
        <v>2300</v>
      </c>
      <c r="BL1651">
        <v>400</v>
      </c>
      <c r="BM1651" t="s">
        <v>119</v>
      </c>
      <c r="BN1651">
        <v>1</v>
      </c>
      <c r="BO1651">
        <v>1</v>
      </c>
      <c r="BP1651">
        <v>1</v>
      </c>
      <c r="BQ1651">
        <v>0</v>
      </c>
      <c r="BT1651">
        <v>0</v>
      </c>
      <c r="BU1651">
        <v>0</v>
      </c>
      <c r="BV1651">
        <v>0</v>
      </c>
      <c r="CC1651" t="str">
        <f>"19:02:19.305"</f>
        <v>19:02:19.305</v>
      </c>
      <c r="CD1651" t="str">
        <f>"305541523"</f>
        <v>305541523</v>
      </c>
      <c r="CQ1651">
        <v>0</v>
      </c>
      <c r="CR1651">
        <v>2</v>
      </c>
      <c r="CS1651">
        <v>0</v>
      </c>
      <c r="CT1651">
        <v>2</v>
      </c>
      <c r="CU1651">
        <v>0</v>
      </c>
      <c r="CV1651">
        <v>7</v>
      </c>
      <c r="CW1651" t="s">
        <v>120</v>
      </c>
      <c r="CX1651">
        <v>261</v>
      </c>
      <c r="CY1651">
        <v>2</v>
      </c>
      <c r="CZ1651" t="s">
        <v>121</v>
      </c>
      <c r="DA1651" t="s">
        <v>122</v>
      </c>
      <c r="DD1651">
        <v>15219661</v>
      </c>
      <c r="DE1651" t="s">
        <v>123</v>
      </c>
    </row>
    <row r="1652" spans="1:109" x14ac:dyDescent="0.3">
      <c r="A1652" t="str">
        <f>"19:02:20.555"</f>
        <v>19:02:20.555</v>
      </c>
      <c r="B1652" t="s">
        <v>110</v>
      </c>
      <c r="C1652" t="str">
        <f t="shared" si="75"/>
        <v>ffdfd3c0</v>
      </c>
      <c r="D1652" t="s">
        <v>111</v>
      </c>
      <c r="E1652">
        <v>18</v>
      </c>
      <c r="F1652">
        <v>1018</v>
      </c>
      <c r="G1652" t="s">
        <v>112</v>
      </c>
      <c r="J1652" t="s">
        <v>113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R1652" t="s">
        <v>114</v>
      </c>
      <c r="S1652" t="str">
        <f>"19:02:20.289"</f>
        <v>19:02:20.289</v>
      </c>
      <c r="T1652" t="str">
        <f>"19:02:19.891"</f>
        <v>19:02:19.891</v>
      </c>
      <c r="U1652" t="str">
        <f t="shared" si="76"/>
        <v>a1cdbe</v>
      </c>
      <c r="V1652">
        <v>0</v>
      </c>
      <c r="W1652">
        <v>0</v>
      </c>
      <c r="X1652">
        <v>1</v>
      </c>
      <c r="Y1652">
        <v>0</v>
      </c>
      <c r="Z1652">
        <v>0</v>
      </c>
      <c r="AB1652">
        <v>0</v>
      </c>
      <c r="AC1652">
        <v>9</v>
      </c>
      <c r="AD1652">
        <v>3</v>
      </c>
      <c r="AE1652">
        <v>0</v>
      </c>
      <c r="AF1652">
        <v>9</v>
      </c>
      <c r="AG1652" t="s">
        <v>158</v>
      </c>
      <c r="AH1652">
        <v>0</v>
      </c>
      <c r="AI1652">
        <v>3</v>
      </c>
      <c r="AJ1652">
        <v>1</v>
      </c>
      <c r="AK1652">
        <v>0</v>
      </c>
      <c r="AL1652" t="s">
        <v>2375</v>
      </c>
      <c r="AM1652">
        <v>46.829416999999999</v>
      </c>
      <c r="AN1652" t="s">
        <v>3172</v>
      </c>
      <c r="AO1652">
        <v>-122.853649</v>
      </c>
      <c r="AP1652">
        <v>100</v>
      </c>
      <c r="AQ1652">
        <v>1900</v>
      </c>
      <c r="AR1652" t="s">
        <v>118</v>
      </c>
      <c r="AS1652">
        <v>-76</v>
      </c>
      <c r="AT1652">
        <v>21</v>
      </c>
      <c r="AU1652">
        <v>-192</v>
      </c>
      <c r="BC1652">
        <v>1200</v>
      </c>
      <c r="BD1652">
        <v>1</v>
      </c>
      <c r="BE1652" t="str">
        <f t="shared" si="77"/>
        <v xml:space="preserve">N215T   </v>
      </c>
      <c r="BF1652">
        <v>1</v>
      </c>
      <c r="BH1652">
        <v>0</v>
      </c>
      <c r="BI1652">
        <v>0</v>
      </c>
      <c r="BJ1652">
        <v>0</v>
      </c>
      <c r="BK1652">
        <v>2300</v>
      </c>
      <c r="BL1652">
        <v>400</v>
      </c>
      <c r="BM1652" t="s">
        <v>119</v>
      </c>
      <c r="BN1652">
        <v>1</v>
      </c>
      <c r="BO1652">
        <v>1</v>
      </c>
      <c r="BP1652">
        <v>1</v>
      </c>
      <c r="BQ1652">
        <v>0</v>
      </c>
      <c r="BT1652">
        <v>0</v>
      </c>
      <c r="BU1652">
        <v>0</v>
      </c>
      <c r="BV1652">
        <v>0</v>
      </c>
      <c r="CC1652" t="str">
        <f>"19:02:20.297"</f>
        <v>19:02:20.297</v>
      </c>
      <c r="CD1652" t="str">
        <f>"295443995"</f>
        <v>295443995</v>
      </c>
      <c r="CQ1652">
        <v>0</v>
      </c>
      <c r="CR1652">
        <v>2</v>
      </c>
      <c r="CS1652">
        <v>0</v>
      </c>
      <c r="CT1652">
        <v>2</v>
      </c>
      <c r="CU1652">
        <v>0</v>
      </c>
      <c r="CV1652">
        <v>7</v>
      </c>
      <c r="CW1652" t="s">
        <v>120</v>
      </c>
      <c r="CX1652">
        <v>261</v>
      </c>
      <c r="CY1652">
        <v>2</v>
      </c>
      <c r="CZ1652" t="s">
        <v>121</v>
      </c>
      <c r="DA1652" t="s">
        <v>122</v>
      </c>
      <c r="DD1652">
        <v>15220323</v>
      </c>
      <c r="DE1652" t="s">
        <v>123</v>
      </c>
    </row>
    <row r="1653" spans="1:109" x14ac:dyDescent="0.3">
      <c r="A1653" t="str">
        <f>"19:02:21.406"</f>
        <v>19:02:21.406</v>
      </c>
      <c r="B1653" t="s">
        <v>110</v>
      </c>
      <c r="C1653" t="str">
        <f t="shared" si="75"/>
        <v>ffdfd3c0</v>
      </c>
      <c r="D1653" t="s">
        <v>111</v>
      </c>
      <c r="E1653">
        <v>18</v>
      </c>
      <c r="F1653">
        <v>1018</v>
      </c>
      <c r="G1653" t="s">
        <v>112</v>
      </c>
      <c r="J1653" t="s">
        <v>113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R1653" t="s">
        <v>114</v>
      </c>
      <c r="S1653" t="str">
        <f>"19:02:21.195"</f>
        <v>19:02:21.195</v>
      </c>
      <c r="T1653" t="str">
        <f>"19:02:20.992"</f>
        <v>19:02:20.992</v>
      </c>
      <c r="U1653" t="str">
        <f t="shared" si="76"/>
        <v>a1cdbe</v>
      </c>
      <c r="V1653">
        <v>0</v>
      </c>
      <c r="W1653">
        <v>0</v>
      </c>
      <c r="X1653">
        <v>1</v>
      </c>
      <c r="Y1653">
        <v>0</v>
      </c>
      <c r="Z1653">
        <v>0</v>
      </c>
      <c r="AB1653">
        <v>0</v>
      </c>
      <c r="AC1653">
        <v>9</v>
      </c>
      <c r="AD1653">
        <v>3</v>
      </c>
      <c r="AE1653">
        <v>0</v>
      </c>
      <c r="AF1653">
        <v>9</v>
      </c>
      <c r="AG1653" t="s">
        <v>158</v>
      </c>
      <c r="AH1653">
        <v>0</v>
      </c>
      <c r="AI1653">
        <v>3</v>
      </c>
      <c r="AJ1653">
        <v>1</v>
      </c>
      <c r="AK1653">
        <v>0</v>
      </c>
      <c r="AL1653" t="s">
        <v>2373</v>
      </c>
      <c r="AM1653">
        <v>46.829503000000003</v>
      </c>
      <c r="AN1653" t="s">
        <v>3173</v>
      </c>
      <c r="AO1653">
        <v>-122.854078</v>
      </c>
      <c r="AP1653">
        <v>100</v>
      </c>
      <c r="AQ1653">
        <v>1900</v>
      </c>
      <c r="AR1653" t="s">
        <v>118</v>
      </c>
      <c r="AS1653">
        <v>-76</v>
      </c>
      <c r="AT1653">
        <v>22</v>
      </c>
      <c r="AU1653">
        <v>-128</v>
      </c>
      <c r="BC1653">
        <v>1200</v>
      </c>
      <c r="BD1653">
        <v>1</v>
      </c>
      <c r="BE1653" t="str">
        <f t="shared" si="77"/>
        <v xml:space="preserve">N215T   </v>
      </c>
      <c r="BF1653">
        <v>1</v>
      </c>
      <c r="BH1653">
        <v>0</v>
      </c>
      <c r="BI1653">
        <v>0</v>
      </c>
      <c r="BJ1653">
        <v>0</v>
      </c>
      <c r="BK1653">
        <v>2300</v>
      </c>
      <c r="BL1653">
        <v>400</v>
      </c>
      <c r="BM1653" t="s">
        <v>119</v>
      </c>
      <c r="BN1653">
        <v>1</v>
      </c>
      <c r="BO1653">
        <v>1</v>
      </c>
      <c r="BP1653">
        <v>1</v>
      </c>
      <c r="BQ1653">
        <v>0</v>
      </c>
      <c r="BT1653">
        <v>0</v>
      </c>
      <c r="BU1653">
        <v>0</v>
      </c>
      <c r="BV1653">
        <v>0</v>
      </c>
      <c r="CC1653" t="str">
        <f>"19:02:21.195"</f>
        <v>19:02:21.195</v>
      </c>
      <c r="CD1653" t="str">
        <f>"195355344"</f>
        <v>195355344</v>
      </c>
      <c r="CQ1653">
        <v>0</v>
      </c>
      <c r="CR1653">
        <v>2</v>
      </c>
      <c r="CS1653">
        <v>0</v>
      </c>
      <c r="CT1653">
        <v>2</v>
      </c>
      <c r="CU1653">
        <v>0</v>
      </c>
      <c r="CV1653">
        <v>7</v>
      </c>
      <c r="CW1653" t="s">
        <v>120</v>
      </c>
      <c r="CX1653">
        <v>261</v>
      </c>
      <c r="CY1653">
        <v>2</v>
      </c>
      <c r="CZ1653" t="s">
        <v>121</v>
      </c>
      <c r="DA1653" t="s">
        <v>122</v>
      </c>
      <c r="DD1653">
        <v>15220932</v>
      </c>
      <c r="DE1653" t="s">
        <v>123</v>
      </c>
    </row>
    <row r="1654" spans="1:109" x14ac:dyDescent="0.3">
      <c r="A1654" t="str">
        <f>"19:02:22.461"</f>
        <v>19:02:22.461</v>
      </c>
      <c r="B1654" t="s">
        <v>110</v>
      </c>
      <c r="C1654" t="str">
        <f t="shared" si="75"/>
        <v>ffdfd3c0</v>
      </c>
      <c r="D1654" t="s">
        <v>111</v>
      </c>
      <c r="E1654">
        <v>18</v>
      </c>
      <c r="F1654">
        <v>1018</v>
      </c>
      <c r="G1654" t="s">
        <v>112</v>
      </c>
      <c r="J1654" t="s">
        <v>113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R1654" t="s">
        <v>114</v>
      </c>
      <c r="S1654" t="str">
        <f>"19:02:22.211"</f>
        <v>19:02:22.211</v>
      </c>
      <c r="T1654" t="str">
        <f>"19:02:22.008"</f>
        <v>19:02:22.008</v>
      </c>
      <c r="U1654" t="str">
        <f t="shared" si="76"/>
        <v>a1cdbe</v>
      </c>
      <c r="V1654">
        <v>0</v>
      </c>
      <c r="W1654">
        <v>0</v>
      </c>
      <c r="X1654">
        <v>1</v>
      </c>
      <c r="Y1654">
        <v>0</v>
      </c>
      <c r="Z1654">
        <v>0</v>
      </c>
      <c r="AB1654">
        <v>0</v>
      </c>
      <c r="AC1654">
        <v>9</v>
      </c>
      <c r="AD1654">
        <v>3</v>
      </c>
      <c r="AE1654">
        <v>0</v>
      </c>
      <c r="AF1654">
        <v>9</v>
      </c>
      <c r="AG1654" t="s">
        <v>158</v>
      </c>
      <c r="AH1654">
        <v>0</v>
      </c>
      <c r="AI1654">
        <v>3</v>
      </c>
      <c r="AJ1654">
        <v>1</v>
      </c>
      <c r="AK1654">
        <v>0</v>
      </c>
      <c r="AL1654" t="s">
        <v>2371</v>
      </c>
      <c r="AM1654">
        <v>46.829588000000001</v>
      </c>
      <c r="AN1654" t="s">
        <v>3174</v>
      </c>
      <c r="AO1654">
        <v>-122.854614</v>
      </c>
      <c r="AP1654">
        <v>100</v>
      </c>
      <c r="AQ1654">
        <v>1900</v>
      </c>
      <c r="AR1654" t="s">
        <v>118</v>
      </c>
      <c r="AS1654">
        <v>-76</v>
      </c>
      <c r="AT1654">
        <v>23</v>
      </c>
      <c r="AU1654">
        <v>128</v>
      </c>
      <c r="BC1654">
        <v>1200</v>
      </c>
      <c r="BD1654">
        <v>1</v>
      </c>
      <c r="BE1654" t="str">
        <f t="shared" si="77"/>
        <v xml:space="preserve">N215T   </v>
      </c>
      <c r="BF1654">
        <v>1</v>
      </c>
      <c r="BH1654">
        <v>0</v>
      </c>
      <c r="BI1654">
        <v>0</v>
      </c>
      <c r="BJ1654">
        <v>0</v>
      </c>
      <c r="BK1654">
        <v>2300</v>
      </c>
      <c r="BL1654">
        <v>400</v>
      </c>
      <c r="BM1654" t="s">
        <v>119</v>
      </c>
      <c r="BN1654">
        <v>1</v>
      </c>
      <c r="BO1654">
        <v>1</v>
      </c>
      <c r="BP1654">
        <v>1</v>
      </c>
      <c r="BQ1654">
        <v>0</v>
      </c>
      <c r="BT1654">
        <v>0</v>
      </c>
      <c r="BU1654">
        <v>0</v>
      </c>
      <c r="BV1654">
        <v>0</v>
      </c>
      <c r="CC1654" t="str">
        <f>"19:02:22.219"</f>
        <v>19:02:22.219</v>
      </c>
      <c r="CD1654" t="str">
        <f>"215254864"</f>
        <v>215254864</v>
      </c>
      <c r="CQ1654">
        <v>0</v>
      </c>
      <c r="CR1654">
        <v>2</v>
      </c>
      <c r="CS1654">
        <v>0</v>
      </c>
      <c r="CT1654">
        <v>2</v>
      </c>
      <c r="CU1654">
        <v>0</v>
      </c>
      <c r="CV1654">
        <v>7</v>
      </c>
      <c r="CW1654" t="s">
        <v>120</v>
      </c>
      <c r="CX1654">
        <v>261</v>
      </c>
      <c r="CY1654">
        <v>2</v>
      </c>
      <c r="CZ1654" t="s">
        <v>121</v>
      </c>
      <c r="DA1654" t="s">
        <v>122</v>
      </c>
      <c r="DD1654">
        <v>15221574</v>
      </c>
      <c r="DE1654" t="s">
        <v>123</v>
      </c>
    </row>
    <row r="1655" spans="1:109" x14ac:dyDescent="0.3">
      <c r="A1655" t="str">
        <f>"19:02:23.516"</f>
        <v>19:02:23.516</v>
      </c>
      <c r="B1655" t="s">
        <v>110</v>
      </c>
      <c r="C1655" t="str">
        <f t="shared" si="75"/>
        <v>ffdfd3c0</v>
      </c>
      <c r="D1655" t="s">
        <v>111</v>
      </c>
      <c r="E1655">
        <v>18</v>
      </c>
      <c r="F1655">
        <v>1018</v>
      </c>
      <c r="G1655" t="s">
        <v>112</v>
      </c>
      <c r="J1655" t="s">
        <v>113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R1655" t="s">
        <v>114</v>
      </c>
      <c r="S1655" t="str">
        <f>"19:02:23.320"</f>
        <v>19:02:23.320</v>
      </c>
      <c r="T1655" t="str">
        <f>"19:02:23.117"</f>
        <v>19:02:23.117</v>
      </c>
      <c r="U1655" t="str">
        <f t="shared" si="76"/>
        <v>a1cdbe</v>
      </c>
      <c r="V1655">
        <v>0</v>
      </c>
      <c r="W1655">
        <v>0</v>
      </c>
      <c r="X1655">
        <v>1</v>
      </c>
      <c r="Y1655">
        <v>0</v>
      </c>
      <c r="Z1655">
        <v>0</v>
      </c>
      <c r="AB1655">
        <v>0</v>
      </c>
      <c r="AC1655">
        <v>9</v>
      </c>
      <c r="AD1655">
        <v>3</v>
      </c>
      <c r="AE1655">
        <v>0</v>
      </c>
      <c r="AF1655">
        <v>9</v>
      </c>
      <c r="AG1655" t="s">
        <v>158</v>
      </c>
      <c r="AH1655">
        <v>0</v>
      </c>
      <c r="AI1655">
        <v>3</v>
      </c>
      <c r="AJ1655">
        <v>1</v>
      </c>
      <c r="AK1655">
        <v>0</v>
      </c>
      <c r="AL1655" t="s">
        <v>2369</v>
      </c>
      <c r="AM1655">
        <v>46.829717000000002</v>
      </c>
      <c r="AN1655" t="s">
        <v>3175</v>
      </c>
      <c r="AO1655">
        <v>-122.85515100000001</v>
      </c>
      <c r="AP1655">
        <v>100</v>
      </c>
      <c r="AQ1655">
        <v>1900</v>
      </c>
      <c r="AR1655" t="s">
        <v>118</v>
      </c>
      <c r="AS1655">
        <v>-75</v>
      </c>
      <c r="AT1655">
        <v>23</v>
      </c>
      <c r="AU1655">
        <v>128</v>
      </c>
      <c r="BC1655">
        <v>1200</v>
      </c>
      <c r="BD1655">
        <v>1</v>
      </c>
      <c r="BE1655" t="str">
        <f t="shared" si="77"/>
        <v xml:space="preserve">N215T   </v>
      </c>
      <c r="BF1655">
        <v>1</v>
      </c>
      <c r="BH1655">
        <v>0</v>
      </c>
      <c r="BI1655">
        <v>0</v>
      </c>
      <c r="BJ1655">
        <v>0</v>
      </c>
      <c r="BK1655">
        <v>2300</v>
      </c>
      <c r="BL1655">
        <v>400</v>
      </c>
      <c r="BM1655" t="s">
        <v>119</v>
      </c>
      <c r="BN1655">
        <v>1</v>
      </c>
      <c r="BO1655">
        <v>1</v>
      </c>
      <c r="BP1655">
        <v>1</v>
      </c>
      <c r="BQ1655">
        <v>0</v>
      </c>
      <c r="BT1655">
        <v>0</v>
      </c>
      <c r="BU1655">
        <v>0</v>
      </c>
      <c r="BV1655">
        <v>0</v>
      </c>
      <c r="CC1655" t="str">
        <f>"19:02:23.328"</f>
        <v>19:02:23.328</v>
      </c>
      <c r="CD1655" t="str">
        <f>"325145513"</f>
        <v>325145513</v>
      </c>
      <c r="CQ1655">
        <v>0</v>
      </c>
      <c r="CR1655">
        <v>2</v>
      </c>
      <c r="CS1655">
        <v>0</v>
      </c>
      <c r="CT1655">
        <v>2</v>
      </c>
      <c r="CU1655">
        <v>0</v>
      </c>
      <c r="CV1655">
        <v>7</v>
      </c>
      <c r="CW1655" t="s">
        <v>120</v>
      </c>
      <c r="CX1655">
        <v>261</v>
      </c>
      <c r="CY1655">
        <v>2</v>
      </c>
      <c r="CZ1655" t="s">
        <v>121</v>
      </c>
      <c r="DA1655" t="s">
        <v>122</v>
      </c>
      <c r="DD1655">
        <v>15222293</v>
      </c>
      <c r="DE1655" t="s">
        <v>123</v>
      </c>
    </row>
    <row r="1656" spans="1:109" x14ac:dyDescent="0.3">
      <c r="A1656" t="str">
        <f>"19:02:24.672"</f>
        <v>19:02:24.672</v>
      </c>
      <c r="B1656" t="s">
        <v>110</v>
      </c>
      <c r="C1656" t="str">
        <f t="shared" si="75"/>
        <v>ffdfd3c0</v>
      </c>
      <c r="D1656" t="s">
        <v>111</v>
      </c>
      <c r="E1656">
        <v>18</v>
      </c>
      <c r="F1656">
        <v>1018</v>
      </c>
      <c r="G1656" t="s">
        <v>112</v>
      </c>
      <c r="J1656" t="s">
        <v>113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R1656" t="s">
        <v>114</v>
      </c>
      <c r="S1656" t="str">
        <f>"19:02:24.445"</f>
        <v>19:02:24.445</v>
      </c>
      <c r="T1656" t="str">
        <f>"19:02:23.945"</f>
        <v>19:02:23.945</v>
      </c>
      <c r="U1656" t="str">
        <f t="shared" si="76"/>
        <v>a1cdbe</v>
      </c>
      <c r="V1656">
        <v>0</v>
      </c>
      <c r="W1656">
        <v>0</v>
      </c>
      <c r="X1656">
        <v>1</v>
      </c>
      <c r="Y1656">
        <v>0</v>
      </c>
      <c r="Z1656">
        <v>0</v>
      </c>
      <c r="AB1656">
        <v>0</v>
      </c>
      <c r="AC1656">
        <v>9</v>
      </c>
      <c r="AD1656">
        <v>3</v>
      </c>
      <c r="AE1656">
        <v>0</v>
      </c>
      <c r="AF1656">
        <v>9</v>
      </c>
      <c r="AG1656" t="s">
        <v>158</v>
      </c>
      <c r="AH1656">
        <v>0</v>
      </c>
      <c r="AI1656">
        <v>3</v>
      </c>
      <c r="AJ1656">
        <v>1</v>
      </c>
      <c r="AK1656">
        <v>0</v>
      </c>
      <c r="AL1656" t="s">
        <v>2367</v>
      </c>
      <c r="AM1656">
        <v>46.829824000000002</v>
      </c>
      <c r="AN1656" t="s">
        <v>3176</v>
      </c>
      <c r="AO1656">
        <v>-122.855752</v>
      </c>
      <c r="AP1656">
        <v>100</v>
      </c>
      <c r="AQ1656">
        <v>1900</v>
      </c>
      <c r="AR1656" t="s">
        <v>118</v>
      </c>
      <c r="AS1656">
        <v>-75</v>
      </c>
      <c r="AT1656">
        <v>23</v>
      </c>
      <c r="AU1656">
        <v>0</v>
      </c>
      <c r="BC1656">
        <v>1200</v>
      </c>
      <c r="BD1656">
        <v>1</v>
      </c>
      <c r="BE1656" t="str">
        <f t="shared" si="77"/>
        <v xml:space="preserve">N215T   </v>
      </c>
      <c r="BF1656">
        <v>1</v>
      </c>
      <c r="BH1656">
        <v>0</v>
      </c>
      <c r="BI1656">
        <v>0</v>
      </c>
      <c r="BJ1656">
        <v>0</v>
      </c>
      <c r="BK1656">
        <v>2300</v>
      </c>
      <c r="BL1656">
        <v>400</v>
      </c>
      <c r="BM1656" t="s">
        <v>119</v>
      </c>
      <c r="BN1656">
        <v>1</v>
      </c>
      <c r="BO1656">
        <v>1</v>
      </c>
      <c r="BP1656">
        <v>1</v>
      </c>
      <c r="BQ1656">
        <v>0</v>
      </c>
      <c r="BT1656">
        <v>0</v>
      </c>
      <c r="BU1656">
        <v>0</v>
      </c>
      <c r="BV1656">
        <v>0</v>
      </c>
      <c r="CC1656" t="str">
        <f>"19:02:24.453"</f>
        <v>19:02:24.453</v>
      </c>
      <c r="CD1656" t="str">
        <f>"450034689"</f>
        <v>450034689</v>
      </c>
      <c r="CQ1656">
        <v>0</v>
      </c>
      <c r="CR1656">
        <v>2</v>
      </c>
      <c r="CS1656">
        <v>0</v>
      </c>
      <c r="CT1656">
        <v>2</v>
      </c>
      <c r="CU1656">
        <v>0</v>
      </c>
      <c r="CV1656">
        <v>7</v>
      </c>
      <c r="CW1656" t="s">
        <v>120</v>
      </c>
      <c r="CX1656">
        <v>261</v>
      </c>
      <c r="CY1656">
        <v>2</v>
      </c>
      <c r="CZ1656" t="s">
        <v>121</v>
      </c>
      <c r="DA1656" t="s">
        <v>122</v>
      </c>
      <c r="DD1656">
        <v>15223026</v>
      </c>
      <c r="DE1656" t="s">
        <v>123</v>
      </c>
    </row>
    <row r="1657" spans="1:109" x14ac:dyDescent="0.3">
      <c r="A1657" t="str">
        <f>"19:02:25.727"</f>
        <v>19:02:25.727</v>
      </c>
      <c r="B1657" t="s">
        <v>110</v>
      </c>
      <c r="C1657" t="str">
        <f t="shared" si="75"/>
        <v>ffdfd3c0</v>
      </c>
      <c r="D1657" t="s">
        <v>111</v>
      </c>
      <c r="E1657">
        <v>18</v>
      </c>
      <c r="F1657">
        <v>1018</v>
      </c>
      <c r="G1657" t="s">
        <v>112</v>
      </c>
      <c r="J1657" t="s">
        <v>113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R1657" t="s">
        <v>114</v>
      </c>
      <c r="S1657" t="str">
        <f>"19:02:25.492"</f>
        <v>19:02:25.492</v>
      </c>
      <c r="T1657" t="str">
        <f>"19:02:25.492"</f>
        <v>19:02:25.492</v>
      </c>
      <c r="U1657" t="str">
        <f t="shared" si="76"/>
        <v>a1cdbe</v>
      </c>
      <c r="V1657">
        <v>0</v>
      </c>
      <c r="W1657">
        <v>0</v>
      </c>
      <c r="X1657">
        <v>1</v>
      </c>
      <c r="Y1657">
        <v>0</v>
      </c>
      <c r="Z1657">
        <v>0</v>
      </c>
      <c r="AB1657">
        <v>0</v>
      </c>
      <c r="AC1657">
        <v>9</v>
      </c>
      <c r="AD1657">
        <v>3</v>
      </c>
      <c r="AE1657">
        <v>0</v>
      </c>
      <c r="AF1657">
        <v>9</v>
      </c>
      <c r="AG1657" t="s">
        <v>158</v>
      </c>
      <c r="AH1657">
        <v>0</v>
      </c>
      <c r="AI1657">
        <v>3</v>
      </c>
      <c r="AJ1657">
        <v>1</v>
      </c>
      <c r="AK1657">
        <v>0</v>
      </c>
      <c r="AL1657" t="s">
        <v>3177</v>
      </c>
      <c r="AM1657">
        <v>46.829931999999999</v>
      </c>
      <c r="AN1657" t="s">
        <v>3178</v>
      </c>
      <c r="AO1657">
        <v>-122.85626600000001</v>
      </c>
      <c r="AP1657">
        <v>100</v>
      </c>
      <c r="AQ1657">
        <v>1900</v>
      </c>
      <c r="AR1657" t="s">
        <v>118</v>
      </c>
      <c r="AS1657">
        <v>-75</v>
      </c>
      <c r="AT1657">
        <v>22</v>
      </c>
      <c r="AU1657">
        <v>0</v>
      </c>
      <c r="BC1657">
        <v>1200</v>
      </c>
      <c r="BD1657">
        <v>1</v>
      </c>
      <c r="BE1657" t="str">
        <f t="shared" si="77"/>
        <v xml:space="preserve">N215T   </v>
      </c>
      <c r="BF1657">
        <v>1</v>
      </c>
      <c r="BH1657">
        <v>0</v>
      </c>
      <c r="BI1657">
        <v>0</v>
      </c>
      <c r="BJ1657">
        <v>0</v>
      </c>
      <c r="BK1657">
        <v>2300</v>
      </c>
      <c r="BL1657">
        <v>400</v>
      </c>
      <c r="BM1657" t="s">
        <v>119</v>
      </c>
      <c r="BN1657">
        <v>1</v>
      </c>
      <c r="BO1657">
        <v>1</v>
      </c>
      <c r="BP1657">
        <v>1</v>
      </c>
      <c r="BQ1657">
        <v>0</v>
      </c>
      <c r="BT1657">
        <v>0</v>
      </c>
      <c r="BU1657">
        <v>0</v>
      </c>
      <c r="BV1657">
        <v>0</v>
      </c>
      <c r="CC1657" t="str">
        <f>"19:02:25.500"</f>
        <v>19:02:25.500</v>
      </c>
      <c r="CD1657" t="str">
        <f>"499931262"</f>
        <v>499931262</v>
      </c>
      <c r="CQ1657">
        <v>0</v>
      </c>
      <c r="CR1657">
        <v>2</v>
      </c>
      <c r="CS1657">
        <v>0</v>
      </c>
      <c r="CT1657">
        <v>2</v>
      </c>
      <c r="CU1657">
        <v>0</v>
      </c>
      <c r="CV1657">
        <v>7</v>
      </c>
      <c r="CW1657" t="s">
        <v>120</v>
      </c>
      <c r="CX1657">
        <v>261</v>
      </c>
      <c r="CY1657">
        <v>2</v>
      </c>
      <c r="CZ1657" t="s">
        <v>121</v>
      </c>
      <c r="DA1657" t="s">
        <v>122</v>
      </c>
      <c r="DD1657">
        <v>15223718</v>
      </c>
      <c r="DE1657" t="s">
        <v>123</v>
      </c>
    </row>
    <row r="1658" spans="1:109" x14ac:dyDescent="0.3">
      <c r="A1658" t="str">
        <f>"19:02:26.680"</f>
        <v>19:02:26.680</v>
      </c>
      <c r="B1658" t="s">
        <v>110</v>
      </c>
      <c r="C1658" t="str">
        <f t="shared" si="75"/>
        <v>ffdfd3c0</v>
      </c>
      <c r="D1658" t="s">
        <v>111</v>
      </c>
      <c r="E1658">
        <v>18</v>
      </c>
      <c r="F1658">
        <v>1018</v>
      </c>
      <c r="G1658" t="s">
        <v>112</v>
      </c>
      <c r="J1658" t="s">
        <v>113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R1658" t="s">
        <v>114</v>
      </c>
      <c r="S1658" t="str">
        <f>"19:02:26.438"</f>
        <v>19:02:26.438</v>
      </c>
      <c r="T1658" t="str">
        <f>"19:02:26.039"</f>
        <v>19:02:26.039</v>
      </c>
      <c r="U1658" t="str">
        <f t="shared" si="76"/>
        <v>a1cdbe</v>
      </c>
      <c r="V1658">
        <v>0</v>
      </c>
      <c r="W1658">
        <v>0</v>
      </c>
      <c r="X1658">
        <v>1</v>
      </c>
      <c r="Y1658">
        <v>0</v>
      </c>
      <c r="Z1658">
        <v>0</v>
      </c>
      <c r="AB1658">
        <v>0</v>
      </c>
      <c r="AC1658">
        <v>9</v>
      </c>
      <c r="AD1658">
        <v>3</v>
      </c>
      <c r="AE1658">
        <v>0</v>
      </c>
      <c r="AF1658">
        <v>9</v>
      </c>
      <c r="AG1658" t="s">
        <v>158</v>
      </c>
      <c r="AH1658">
        <v>0</v>
      </c>
      <c r="AI1658">
        <v>3</v>
      </c>
      <c r="AJ1658">
        <v>1</v>
      </c>
      <c r="AK1658">
        <v>0</v>
      </c>
      <c r="AL1658" t="s">
        <v>3179</v>
      </c>
      <c r="AM1658">
        <v>46.830038999999999</v>
      </c>
      <c r="AN1658" t="s">
        <v>3180</v>
      </c>
      <c r="AO1658">
        <v>-122.85675999999999</v>
      </c>
      <c r="AP1658">
        <v>100</v>
      </c>
      <c r="AQ1658">
        <v>1900</v>
      </c>
      <c r="AR1658" t="s">
        <v>118</v>
      </c>
      <c r="AS1658">
        <v>-75</v>
      </c>
      <c r="AT1658">
        <v>22</v>
      </c>
      <c r="AU1658">
        <v>-64</v>
      </c>
      <c r="BC1658">
        <v>1200</v>
      </c>
      <c r="BD1658">
        <v>1</v>
      </c>
      <c r="BE1658" t="str">
        <f t="shared" si="77"/>
        <v xml:space="preserve">N215T   </v>
      </c>
      <c r="BF1658">
        <v>1</v>
      </c>
      <c r="BH1658">
        <v>0</v>
      </c>
      <c r="BI1658">
        <v>0</v>
      </c>
      <c r="BJ1658">
        <v>0</v>
      </c>
      <c r="BK1658">
        <v>2300</v>
      </c>
      <c r="BL1658">
        <v>400</v>
      </c>
      <c r="BM1658" t="s">
        <v>119</v>
      </c>
      <c r="BN1658">
        <v>1</v>
      </c>
      <c r="BO1658">
        <v>1</v>
      </c>
      <c r="BP1658">
        <v>1</v>
      </c>
      <c r="BQ1658">
        <v>0</v>
      </c>
      <c r="BT1658">
        <v>0</v>
      </c>
      <c r="BU1658">
        <v>0</v>
      </c>
      <c r="BV1658">
        <v>0</v>
      </c>
      <c r="CC1658" t="str">
        <f>"19:02:26.445"</f>
        <v>19:02:26.445</v>
      </c>
      <c r="CD1658" t="str">
        <f>"444838168"</f>
        <v>444838168</v>
      </c>
      <c r="CQ1658">
        <v>0</v>
      </c>
      <c r="CR1658">
        <v>2</v>
      </c>
      <c r="CS1658">
        <v>0</v>
      </c>
      <c r="CT1658">
        <v>2</v>
      </c>
      <c r="CU1658">
        <v>0</v>
      </c>
      <c r="CV1658">
        <v>7</v>
      </c>
      <c r="CW1658" t="s">
        <v>120</v>
      </c>
      <c r="CX1658">
        <v>261</v>
      </c>
      <c r="CY1658">
        <v>2</v>
      </c>
      <c r="CZ1658" t="s">
        <v>121</v>
      </c>
      <c r="DA1658" t="s">
        <v>122</v>
      </c>
      <c r="DD1658">
        <v>15224321</v>
      </c>
      <c r="DE1658" t="s">
        <v>123</v>
      </c>
    </row>
    <row r="1659" spans="1:109" x14ac:dyDescent="0.3">
      <c r="A1659" t="str">
        <f>"19:02:27.742"</f>
        <v>19:02:27.742</v>
      </c>
      <c r="B1659" t="s">
        <v>110</v>
      </c>
      <c r="C1659" t="str">
        <f t="shared" si="75"/>
        <v>ffdfd3c0</v>
      </c>
      <c r="D1659" t="s">
        <v>111</v>
      </c>
      <c r="E1659">
        <v>18</v>
      </c>
      <c r="F1659">
        <v>1018</v>
      </c>
      <c r="G1659" t="s">
        <v>112</v>
      </c>
      <c r="J1659" t="s">
        <v>113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R1659" t="s">
        <v>114</v>
      </c>
      <c r="S1659" t="str">
        <f>"19:02:27.477"</f>
        <v>19:02:27.477</v>
      </c>
      <c r="T1659" t="str">
        <f>"19:02:27.078"</f>
        <v>19:02:27.078</v>
      </c>
      <c r="U1659" t="str">
        <f t="shared" si="76"/>
        <v>a1cdbe</v>
      </c>
      <c r="V1659">
        <v>0</v>
      </c>
      <c r="W1659">
        <v>0</v>
      </c>
      <c r="X1659">
        <v>1</v>
      </c>
      <c r="Y1659">
        <v>0</v>
      </c>
      <c r="Z1659">
        <v>0</v>
      </c>
      <c r="AB1659">
        <v>0</v>
      </c>
      <c r="AC1659">
        <v>9</v>
      </c>
      <c r="AD1659">
        <v>3</v>
      </c>
      <c r="AE1659">
        <v>0</v>
      </c>
      <c r="AF1659">
        <v>9</v>
      </c>
      <c r="AG1659" t="s">
        <v>158</v>
      </c>
      <c r="AH1659">
        <v>0</v>
      </c>
      <c r="AI1659">
        <v>3</v>
      </c>
      <c r="AJ1659">
        <v>1</v>
      </c>
      <c r="AK1659">
        <v>0</v>
      </c>
      <c r="AL1659" t="s">
        <v>3181</v>
      </c>
      <c r="AM1659">
        <v>46.830145999999999</v>
      </c>
      <c r="AN1659" t="s">
        <v>3182</v>
      </c>
      <c r="AO1659">
        <v>-122.857232</v>
      </c>
      <c r="AP1659">
        <v>100</v>
      </c>
      <c r="AQ1659">
        <v>1900</v>
      </c>
      <c r="AR1659" t="s">
        <v>118</v>
      </c>
      <c r="AS1659">
        <v>-74</v>
      </c>
      <c r="AT1659">
        <v>22</v>
      </c>
      <c r="AU1659">
        <v>64</v>
      </c>
      <c r="BC1659">
        <v>1200</v>
      </c>
      <c r="BD1659">
        <v>1</v>
      </c>
      <c r="BE1659" t="str">
        <f t="shared" si="77"/>
        <v xml:space="preserve">N215T   </v>
      </c>
      <c r="BF1659">
        <v>1</v>
      </c>
      <c r="BH1659">
        <v>0</v>
      </c>
      <c r="BI1659">
        <v>0</v>
      </c>
      <c r="BJ1659">
        <v>0</v>
      </c>
      <c r="BK1659">
        <v>2300</v>
      </c>
      <c r="BL1659">
        <v>400</v>
      </c>
      <c r="BM1659" t="s">
        <v>119</v>
      </c>
      <c r="BN1659">
        <v>1</v>
      </c>
      <c r="BO1659">
        <v>1</v>
      </c>
      <c r="BP1659">
        <v>1</v>
      </c>
      <c r="BQ1659">
        <v>0</v>
      </c>
      <c r="BT1659">
        <v>0</v>
      </c>
      <c r="BU1659">
        <v>0</v>
      </c>
      <c r="BV1659">
        <v>0</v>
      </c>
      <c r="CC1659" t="str">
        <f>"19:02:27.477"</f>
        <v>19:02:27.477</v>
      </c>
      <c r="CD1659" t="str">
        <f>"479736215"</f>
        <v>479736215</v>
      </c>
      <c r="CQ1659">
        <v>0</v>
      </c>
      <c r="CR1659">
        <v>2</v>
      </c>
      <c r="CS1659">
        <v>0</v>
      </c>
      <c r="CT1659">
        <v>2</v>
      </c>
      <c r="CU1659">
        <v>0</v>
      </c>
      <c r="CV1659">
        <v>7</v>
      </c>
      <c r="CW1659" t="s">
        <v>120</v>
      </c>
      <c r="CX1659">
        <v>261</v>
      </c>
      <c r="CY1659">
        <v>2</v>
      </c>
      <c r="CZ1659" t="s">
        <v>121</v>
      </c>
      <c r="DA1659" t="s">
        <v>122</v>
      </c>
      <c r="DD1659">
        <v>15224949</v>
      </c>
      <c r="DE1659" t="s">
        <v>123</v>
      </c>
    </row>
    <row r="1660" spans="1:109" x14ac:dyDescent="0.3">
      <c r="A1660" t="str">
        <f>"19:02:28.797"</f>
        <v>19:02:28.797</v>
      </c>
      <c r="B1660" t="s">
        <v>110</v>
      </c>
      <c r="C1660" t="str">
        <f t="shared" si="75"/>
        <v>ffdfd3c0</v>
      </c>
      <c r="D1660" t="s">
        <v>111</v>
      </c>
      <c r="E1660">
        <v>18</v>
      </c>
      <c r="F1660">
        <v>1018</v>
      </c>
      <c r="G1660" t="s">
        <v>112</v>
      </c>
      <c r="J1660" t="s">
        <v>113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R1660" t="s">
        <v>114</v>
      </c>
      <c r="S1660" t="str">
        <f>"19:02:28.539"</f>
        <v>19:02:28.539</v>
      </c>
      <c r="T1660" t="str">
        <f>"19:02:28.141"</f>
        <v>19:02:28.141</v>
      </c>
      <c r="U1660" t="str">
        <f t="shared" si="76"/>
        <v>a1cdbe</v>
      </c>
      <c r="V1660">
        <v>0</v>
      </c>
      <c r="W1660">
        <v>0</v>
      </c>
      <c r="X1660">
        <v>1</v>
      </c>
      <c r="Y1660">
        <v>0</v>
      </c>
      <c r="Z1660">
        <v>0</v>
      </c>
      <c r="AB1660">
        <v>0</v>
      </c>
      <c r="AC1660">
        <v>9</v>
      </c>
      <c r="AD1660">
        <v>3</v>
      </c>
      <c r="AE1660">
        <v>0</v>
      </c>
      <c r="AF1660">
        <v>9</v>
      </c>
      <c r="AG1660" t="s">
        <v>158</v>
      </c>
      <c r="AH1660">
        <v>0</v>
      </c>
      <c r="AI1660">
        <v>3</v>
      </c>
      <c r="AJ1660">
        <v>1</v>
      </c>
      <c r="AK1660">
        <v>0</v>
      </c>
      <c r="AL1660" t="s">
        <v>3183</v>
      </c>
      <c r="AM1660">
        <v>46.830232000000002</v>
      </c>
      <c r="AN1660" t="s">
        <v>3184</v>
      </c>
      <c r="AO1660">
        <v>-122.857833</v>
      </c>
      <c r="AP1660">
        <v>100</v>
      </c>
      <c r="AQ1660">
        <v>1900</v>
      </c>
      <c r="AR1660" t="s">
        <v>118</v>
      </c>
      <c r="AS1660">
        <v>-74</v>
      </c>
      <c r="AT1660">
        <v>23</v>
      </c>
      <c r="AU1660">
        <v>128</v>
      </c>
      <c r="BC1660">
        <v>1200</v>
      </c>
      <c r="BD1660">
        <v>1</v>
      </c>
      <c r="BE1660" t="str">
        <f t="shared" si="77"/>
        <v xml:space="preserve">N215T   </v>
      </c>
      <c r="BF1660">
        <v>1</v>
      </c>
      <c r="BH1660">
        <v>0</v>
      </c>
      <c r="BI1660">
        <v>0</v>
      </c>
      <c r="BJ1660">
        <v>0</v>
      </c>
      <c r="BK1660">
        <v>2300</v>
      </c>
      <c r="BL1660">
        <v>400</v>
      </c>
      <c r="BM1660" t="s">
        <v>119</v>
      </c>
      <c r="BN1660">
        <v>1</v>
      </c>
      <c r="BO1660">
        <v>1</v>
      </c>
      <c r="BP1660">
        <v>1</v>
      </c>
      <c r="BQ1660">
        <v>0</v>
      </c>
      <c r="BT1660">
        <v>0</v>
      </c>
      <c r="BU1660">
        <v>0</v>
      </c>
      <c r="BV1660">
        <v>0</v>
      </c>
      <c r="CC1660" t="str">
        <f>"19:02:28.547"</f>
        <v>19:02:28.547</v>
      </c>
      <c r="CD1660" t="str">
        <f>"544631301"</f>
        <v>544631301</v>
      </c>
      <c r="CQ1660">
        <v>0</v>
      </c>
      <c r="CR1660">
        <v>2</v>
      </c>
      <c r="CS1660">
        <v>0</v>
      </c>
      <c r="CT1660">
        <v>2</v>
      </c>
      <c r="CU1660">
        <v>0</v>
      </c>
      <c r="CV1660">
        <v>7</v>
      </c>
      <c r="CW1660" t="s">
        <v>120</v>
      </c>
      <c r="CX1660">
        <v>261</v>
      </c>
      <c r="CY1660">
        <v>2</v>
      </c>
      <c r="CZ1660" t="s">
        <v>121</v>
      </c>
      <c r="DA1660" t="s">
        <v>122</v>
      </c>
      <c r="DD1660">
        <v>15225623</v>
      </c>
      <c r="DE1660" t="s">
        <v>123</v>
      </c>
    </row>
    <row r="1661" spans="1:109" x14ac:dyDescent="0.3">
      <c r="A1661" t="str">
        <f>"19:02:29.750"</f>
        <v>19:02:29.750</v>
      </c>
      <c r="B1661" t="s">
        <v>110</v>
      </c>
      <c r="C1661" t="str">
        <f t="shared" si="75"/>
        <v>ffdfd3c0</v>
      </c>
      <c r="D1661" t="s">
        <v>111</v>
      </c>
      <c r="E1661">
        <v>18</v>
      </c>
      <c r="F1661">
        <v>1018</v>
      </c>
      <c r="G1661" t="s">
        <v>112</v>
      </c>
      <c r="J1661" t="s">
        <v>113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R1661" t="s">
        <v>114</v>
      </c>
      <c r="S1661" t="str">
        <f>"19:02:29.500"</f>
        <v>19:02:29.500</v>
      </c>
      <c r="T1661" t="str">
        <f>"19:02:29.102"</f>
        <v>19:02:29.102</v>
      </c>
      <c r="U1661" t="str">
        <f t="shared" si="76"/>
        <v>a1cdbe</v>
      </c>
      <c r="V1661">
        <v>0</v>
      </c>
      <c r="W1661">
        <v>0</v>
      </c>
      <c r="X1661">
        <v>1</v>
      </c>
      <c r="Y1661">
        <v>0</v>
      </c>
      <c r="Z1661">
        <v>0</v>
      </c>
      <c r="AB1661">
        <v>0</v>
      </c>
      <c r="AC1661">
        <v>9</v>
      </c>
      <c r="AD1661">
        <v>3</v>
      </c>
      <c r="AE1661">
        <v>0</v>
      </c>
      <c r="AF1661">
        <v>9</v>
      </c>
      <c r="AG1661" t="s">
        <v>158</v>
      </c>
      <c r="AH1661">
        <v>0</v>
      </c>
      <c r="AI1661">
        <v>3</v>
      </c>
      <c r="AJ1661">
        <v>1</v>
      </c>
      <c r="AK1661">
        <v>0</v>
      </c>
      <c r="AL1661" t="s">
        <v>3185</v>
      </c>
      <c r="AM1661">
        <v>46.830339000000002</v>
      </c>
      <c r="AN1661" t="s">
        <v>3186</v>
      </c>
      <c r="AO1661">
        <v>-122.858262</v>
      </c>
      <c r="AP1661">
        <v>100</v>
      </c>
      <c r="AQ1661">
        <v>1900</v>
      </c>
      <c r="AR1661" t="s">
        <v>118</v>
      </c>
      <c r="AS1661">
        <v>-74</v>
      </c>
      <c r="AT1661">
        <v>23</v>
      </c>
      <c r="AU1661">
        <v>192</v>
      </c>
      <c r="BC1661">
        <v>1200</v>
      </c>
      <c r="BD1661">
        <v>1</v>
      </c>
      <c r="BE1661" t="str">
        <f t="shared" si="77"/>
        <v xml:space="preserve">N215T   </v>
      </c>
      <c r="BF1661">
        <v>1</v>
      </c>
      <c r="BH1661">
        <v>0</v>
      </c>
      <c r="BI1661">
        <v>0</v>
      </c>
      <c r="BJ1661">
        <v>0</v>
      </c>
      <c r="BK1661">
        <v>2300</v>
      </c>
      <c r="BL1661">
        <v>400</v>
      </c>
      <c r="BM1661" t="s">
        <v>119</v>
      </c>
      <c r="BN1661">
        <v>1</v>
      </c>
      <c r="BO1661">
        <v>1</v>
      </c>
      <c r="BP1661">
        <v>1</v>
      </c>
      <c r="BQ1661">
        <v>0</v>
      </c>
      <c r="BT1661">
        <v>0</v>
      </c>
      <c r="BU1661">
        <v>0</v>
      </c>
      <c r="BV1661">
        <v>0</v>
      </c>
      <c r="CC1661" t="str">
        <f>"19:02:29.508"</f>
        <v>19:02:29.508</v>
      </c>
      <c r="CD1661" t="str">
        <f>"504536728"</f>
        <v>504536728</v>
      </c>
      <c r="CQ1661">
        <v>0</v>
      </c>
      <c r="CR1661">
        <v>2</v>
      </c>
      <c r="CS1661">
        <v>0</v>
      </c>
      <c r="CT1661">
        <v>2</v>
      </c>
      <c r="CU1661">
        <v>0</v>
      </c>
      <c r="CV1661">
        <v>7</v>
      </c>
      <c r="CW1661" t="s">
        <v>120</v>
      </c>
      <c r="CX1661">
        <v>261</v>
      </c>
      <c r="CY1661">
        <v>2</v>
      </c>
      <c r="CZ1661" t="s">
        <v>121</v>
      </c>
      <c r="DA1661" t="s">
        <v>122</v>
      </c>
      <c r="DD1661">
        <v>15226266</v>
      </c>
      <c r="DE1661" t="s">
        <v>123</v>
      </c>
    </row>
    <row r="1662" spans="1:109" x14ac:dyDescent="0.3">
      <c r="A1662" t="str">
        <f>"19:02:30.703"</f>
        <v>19:02:30.703</v>
      </c>
      <c r="B1662" t="s">
        <v>110</v>
      </c>
      <c r="C1662" t="str">
        <f t="shared" si="75"/>
        <v>ffdfd3c0</v>
      </c>
      <c r="D1662" t="s">
        <v>111</v>
      </c>
      <c r="E1662">
        <v>18</v>
      </c>
      <c r="F1662">
        <v>1018</v>
      </c>
      <c r="G1662" t="s">
        <v>112</v>
      </c>
      <c r="J1662" t="s">
        <v>113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R1662" t="s">
        <v>114</v>
      </c>
      <c r="S1662" t="str">
        <f>"19:02:30.445"</f>
        <v>19:02:30.445</v>
      </c>
      <c r="T1662" t="str">
        <f>"19:02:30.047"</f>
        <v>19:02:30.047</v>
      </c>
      <c r="U1662" t="str">
        <f t="shared" si="76"/>
        <v>a1cdbe</v>
      </c>
      <c r="V1662">
        <v>0</v>
      </c>
      <c r="W1662">
        <v>0</v>
      </c>
      <c r="X1662">
        <v>1</v>
      </c>
      <c r="Y1662">
        <v>0</v>
      </c>
      <c r="Z1662">
        <v>0</v>
      </c>
      <c r="AB1662">
        <v>0</v>
      </c>
      <c r="AC1662">
        <v>9</v>
      </c>
      <c r="AD1662">
        <v>3</v>
      </c>
      <c r="AE1662">
        <v>0</v>
      </c>
      <c r="AF1662">
        <v>9</v>
      </c>
      <c r="AG1662" t="s">
        <v>158</v>
      </c>
      <c r="AH1662">
        <v>0</v>
      </c>
      <c r="AI1662">
        <v>3</v>
      </c>
      <c r="AJ1662">
        <v>1</v>
      </c>
      <c r="AK1662">
        <v>0</v>
      </c>
      <c r="AL1662" t="s">
        <v>3187</v>
      </c>
      <c r="AM1662">
        <v>46.830468000000003</v>
      </c>
      <c r="AN1662" t="s">
        <v>3188</v>
      </c>
      <c r="AO1662">
        <v>-122.858777</v>
      </c>
      <c r="AP1662">
        <v>100</v>
      </c>
      <c r="AQ1662">
        <v>1900</v>
      </c>
      <c r="AR1662" t="s">
        <v>118</v>
      </c>
      <c r="AS1662">
        <v>-73</v>
      </c>
      <c r="AT1662">
        <v>23</v>
      </c>
      <c r="AU1662">
        <v>256</v>
      </c>
      <c r="BC1662">
        <v>1200</v>
      </c>
      <c r="BD1662">
        <v>1</v>
      </c>
      <c r="BE1662" t="str">
        <f t="shared" si="77"/>
        <v xml:space="preserve">N215T   </v>
      </c>
      <c r="BF1662">
        <v>1</v>
      </c>
      <c r="BH1662">
        <v>0</v>
      </c>
      <c r="BI1662">
        <v>0</v>
      </c>
      <c r="BJ1662">
        <v>0</v>
      </c>
      <c r="BK1662">
        <v>2300</v>
      </c>
      <c r="BL1662">
        <v>400</v>
      </c>
      <c r="BM1662" t="s">
        <v>119</v>
      </c>
      <c r="BN1662">
        <v>1</v>
      </c>
      <c r="BO1662">
        <v>1</v>
      </c>
      <c r="BP1662">
        <v>1</v>
      </c>
      <c r="BQ1662">
        <v>0</v>
      </c>
      <c r="BT1662">
        <v>0</v>
      </c>
      <c r="BU1662">
        <v>0</v>
      </c>
      <c r="BV1662">
        <v>0</v>
      </c>
      <c r="CC1662" t="str">
        <f>"19:02:30.453"</f>
        <v>19:02:30.453</v>
      </c>
      <c r="CD1662" t="str">
        <f>"449443641"</f>
        <v>449443641</v>
      </c>
      <c r="CQ1662">
        <v>0</v>
      </c>
      <c r="CR1662">
        <v>2</v>
      </c>
      <c r="CS1662">
        <v>0</v>
      </c>
      <c r="CT1662">
        <v>2</v>
      </c>
      <c r="CU1662">
        <v>0</v>
      </c>
      <c r="CV1662">
        <v>7</v>
      </c>
      <c r="CW1662" t="s">
        <v>120</v>
      </c>
      <c r="CX1662">
        <v>261</v>
      </c>
      <c r="CY1662">
        <v>2</v>
      </c>
      <c r="CZ1662" t="s">
        <v>121</v>
      </c>
      <c r="DA1662" t="s">
        <v>122</v>
      </c>
      <c r="DD1662">
        <v>15226920</v>
      </c>
      <c r="DE1662" t="s">
        <v>123</v>
      </c>
    </row>
    <row r="1663" spans="1:109" x14ac:dyDescent="0.3">
      <c r="A1663" t="str">
        <f>"19:02:31.711"</f>
        <v>19:02:31.711</v>
      </c>
      <c r="B1663" t="s">
        <v>110</v>
      </c>
      <c r="C1663" t="str">
        <f t="shared" si="75"/>
        <v>ffdfd3c0</v>
      </c>
      <c r="D1663" t="s">
        <v>111</v>
      </c>
      <c r="E1663">
        <v>18</v>
      </c>
      <c r="F1663">
        <v>1018</v>
      </c>
      <c r="G1663" t="s">
        <v>112</v>
      </c>
      <c r="J1663" t="s">
        <v>113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R1663" t="s">
        <v>114</v>
      </c>
      <c r="S1663" t="str">
        <f>"19:02:31.477"</f>
        <v>19:02:31.477</v>
      </c>
      <c r="T1663" t="str">
        <f>"19:02:31.078"</f>
        <v>19:02:31.078</v>
      </c>
      <c r="U1663" t="str">
        <f t="shared" si="76"/>
        <v>a1cdbe</v>
      </c>
      <c r="V1663">
        <v>0</v>
      </c>
      <c r="W1663">
        <v>0</v>
      </c>
      <c r="X1663">
        <v>1</v>
      </c>
      <c r="Y1663">
        <v>0</v>
      </c>
      <c r="Z1663">
        <v>0</v>
      </c>
      <c r="AB1663">
        <v>0</v>
      </c>
      <c r="AC1663">
        <v>9</v>
      </c>
      <c r="AD1663">
        <v>3</v>
      </c>
      <c r="AE1663">
        <v>0</v>
      </c>
      <c r="AF1663">
        <v>9</v>
      </c>
      <c r="AG1663" t="s">
        <v>158</v>
      </c>
      <c r="AH1663">
        <v>0</v>
      </c>
      <c r="AI1663">
        <v>3</v>
      </c>
      <c r="AJ1663">
        <v>1</v>
      </c>
      <c r="AK1663">
        <v>0</v>
      </c>
      <c r="AL1663" t="s">
        <v>3189</v>
      </c>
      <c r="AM1663">
        <v>46.830575000000003</v>
      </c>
      <c r="AN1663" t="s">
        <v>3190</v>
      </c>
      <c r="AO1663">
        <v>-122.859292</v>
      </c>
      <c r="AP1663">
        <v>100</v>
      </c>
      <c r="AQ1663">
        <v>1900</v>
      </c>
      <c r="AR1663" t="s">
        <v>118</v>
      </c>
      <c r="AS1663">
        <v>-73</v>
      </c>
      <c r="AT1663">
        <v>23</v>
      </c>
      <c r="AU1663">
        <v>256</v>
      </c>
      <c r="BC1663">
        <v>1200</v>
      </c>
      <c r="BD1663">
        <v>1</v>
      </c>
      <c r="BE1663" t="str">
        <f t="shared" si="77"/>
        <v xml:space="preserve">N215T   </v>
      </c>
      <c r="BF1663">
        <v>1</v>
      </c>
      <c r="BH1663">
        <v>0</v>
      </c>
      <c r="BI1663">
        <v>0</v>
      </c>
      <c r="BJ1663">
        <v>0</v>
      </c>
      <c r="BK1663">
        <v>2325</v>
      </c>
      <c r="BL1663">
        <v>425</v>
      </c>
      <c r="BM1663" t="s">
        <v>119</v>
      </c>
      <c r="BN1663">
        <v>1</v>
      </c>
      <c r="BO1663">
        <v>1</v>
      </c>
      <c r="BP1663">
        <v>1</v>
      </c>
      <c r="BQ1663">
        <v>0</v>
      </c>
      <c r="BT1663">
        <v>0</v>
      </c>
      <c r="BU1663">
        <v>0</v>
      </c>
      <c r="BV1663">
        <v>0</v>
      </c>
      <c r="CC1663" t="str">
        <f>"19:02:31.484"</f>
        <v>19:02:31.484</v>
      </c>
      <c r="CD1663" t="str">
        <f>"484341679"</f>
        <v>484341679</v>
      </c>
      <c r="CQ1663">
        <v>0</v>
      </c>
      <c r="CR1663">
        <v>2</v>
      </c>
      <c r="CS1663">
        <v>0</v>
      </c>
      <c r="CT1663">
        <v>2</v>
      </c>
      <c r="CU1663">
        <v>0</v>
      </c>
      <c r="CV1663">
        <v>7</v>
      </c>
      <c r="CW1663" t="s">
        <v>120</v>
      </c>
      <c r="CX1663">
        <v>261</v>
      </c>
      <c r="CY1663">
        <v>2</v>
      </c>
      <c r="CZ1663" t="s">
        <v>121</v>
      </c>
      <c r="DA1663" t="s">
        <v>122</v>
      </c>
      <c r="DD1663">
        <v>15227637</v>
      </c>
      <c r="DE1663" t="s">
        <v>123</v>
      </c>
    </row>
    <row r="1664" spans="1:109" x14ac:dyDescent="0.3">
      <c r="A1664" t="str">
        <f>"19:02:32.563"</f>
        <v>19:02:32.563</v>
      </c>
      <c r="B1664" t="s">
        <v>110</v>
      </c>
      <c r="C1664" t="str">
        <f t="shared" si="75"/>
        <v>ffdfd3c0</v>
      </c>
      <c r="D1664" t="s">
        <v>111</v>
      </c>
      <c r="E1664">
        <v>18</v>
      </c>
      <c r="F1664">
        <v>1018</v>
      </c>
      <c r="G1664" t="s">
        <v>112</v>
      </c>
      <c r="J1664" t="s">
        <v>113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R1664" t="s">
        <v>114</v>
      </c>
      <c r="S1664" t="str">
        <f>"19:02:32.352"</f>
        <v>19:02:32.352</v>
      </c>
      <c r="T1664" t="str">
        <f>"19:02:32.055"</f>
        <v>19:02:32.055</v>
      </c>
      <c r="U1664" t="str">
        <f t="shared" si="76"/>
        <v>a1cdbe</v>
      </c>
      <c r="V1664">
        <v>0</v>
      </c>
      <c r="W1664">
        <v>0</v>
      </c>
      <c r="X1664">
        <v>1</v>
      </c>
      <c r="Y1664">
        <v>0</v>
      </c>
      <c r="Z1664">
        <v>0</v>
      </c>
      <c r="AB1664">
        <v>0</v>
      </c>
      <c r="AC1664">
        <v>9</v>
      </c>
      <c r="AD1664">
        <v>3</v>
      </c>
      <c r="AE1664">
        <v>0</v>
      </c>
      <c r="AF1664">
        <v>9</v>
      </c>
      <c r="AG1664" t="s">
        <v>158</v>
      </c>
      <c r="AH1664">
        <v>0</v>
      </c>
      <c r="AI1664">
        <v>3</v>
      </c>
      <c r="AJ1664">
        <v>1</v>
      </c>
      <c r="AK1664">
        <v>0</v>
      </c>
      <c r="AL1664" t="s">
        <v>3191</v>
      </c>
      <c r="AM1664">
        <v>46.830640000000002</v>
      </c>
      <c r="AN1664" t="s">
        <v>3192</v>
      </c>
      <c r="AO1664">
        <v>-122.8597</v>
      </c>
      <c r="AP1664">
        <v>100</v>
      </c>
      <c r="AQ1664">
        <v>1900</v>
      </c>
      <c r="AR1664" t="s">
        <v>118</v>
      </c>
      <c r="AS1664">
        <v>-73</v>
      </c>
      <c r="AT1664">
        <v>23</v>
      </c>
      <c r="AU1664">
        <v>256</v>
      </c>
      <c r="BC1664">
        <v>1200</v>
      </c>
      <c r="BD1664">
        <v>1</v>
      </c>
      <c r="BE1664" t="str">
        <f t="shared" si="77"/>
        <v xml:space="preserve">N215T   </v>
      </c>
      <c r="BF1664">
        <v>1</v>
      </c>
      <c r="BH1664">
        <v>0</v>
      </c>
      <c r="BI1664">
        <v>0</v>
      </c>
      <c r="BJ1664">
        <v>0</v>
      </c>
      <c r="BK1664">
        <v>2325</v>
      </c>
      <c r="BL1664">
        <v>425</v>
      </c>
      <c r="BM1664" t="s">
        <v>119</v>
      </c>
      <c r="BN1664">
        <v>1</v>
      </c>
      <c r="BO1664">
        <v>1</v>
      </c>
      <c r="BP1664">
        <v>1</v>
      </c>
      <c r="BQ1664">
        <v>0</v>
      </c>
      <c r="BT1664">
        <v>0</v>
      </c>
      <c r="BU1664">
        <v>0</v>
      </c>
      <c r="BV1664">
        <v>0</v>
      </c>
      <c r="CC1664" t="str">
        <f>"19:02:32.352"</f>
        <v>19:02:32.352</v>
      </c>
      <c r="CD1664" t="str">
        <f>"354255975"</f>
        <v>354255975</v>
      </c>
      <c r="CQ1664">
        <v>0</v>
      </c>
      <c r="CR1664">
        <v>2</v>
      </c>
      <c r="CS1664">
        <v>0</v>
      </c>
      <c r="CT1664">
        <v>2</v>
      </c>
      <c r="CU1664">
        <v>0</v>
      </c>
      <c r="CV1664">
        <v>7</v>
      </c>
      <c r="CW1664" t="s">
        <v>120</v>
      </c>
      <c r="CX1664">
        <v>261</v>
      </c>
      <c r="CY1664">
        <v>2</v>
      </c>
      <c r="CZ1664" t="s">
        <v>121</v>
      </c>
      <c r="DA1664" t="s">
        <v>122</v>
      </c>
      <c r="DD1664">
        <v>15228194</v>
      </c>
      <c r="DE1664" t="s">
        <v>123</v>
      </c>
    </row>
    <row r="1665" spans="1:109" x14ac:dyDescent="0.3">
      <c r="A1665" t="str">
        <f>"19:02:33.672"</f>
        <v>19:02:33.672</v>
      </c>
      <c r="B1665" t="s">
        <v>110</v>
      </c>
      <c r="C1665" t="str">
        <f t="shared" si="75"/>
        <v>ffdfd3c0</v>
      </c>
      <c r="D1665" t="s">
        <v>111</v>
      </c>
      <c r="E1665">
        <v>18</v>
      </c>
      <c r="F1665">
        <v>1018</v>
      </c>
      <c r="G1665" t="s">
        <v>112</v>
      </c>
      <c r="J1665" t="s">
        <v>113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R1665" t="s">
        <v>114</v>
      </c>
      <c r="S1665" t="str">
        <f>"19:02:33.461"</f>
        <v>19:02:33.461</v>
      </c>
      <c r="T1665" t="str">
        <f>"19:02:33.461"</f>
        <v>19:02:33.461</v>
      </c>
      <c r="U1665" t="str">
        <f t="shared" si="76"/>
        <v>a1cdbe</v>
      </c>
      <c r="V1665">
        <v>0</v>
      </c>
      <c r="W1665">
        <v>0</v>
      </c>
      <c r="X1665">
        <v>1</v>
      </c>
      <c r="Y1665">
        <v>0</v>
      </c>
      <c r="Z1665">
        <v>0</v>
      </c>
      <c r="AB1665">
        <v>0</v>
      </c>
      <c r="AC1665">
        <v>9</v>
      </c>
      <c r="AD1665">
        <v>3</v>
      </c>
      <c r="AE1665">
        <v>0</v>
      </c>
      <c r="AF1665">
        <v>9</v>
      </c>
      <c r="AG1665" t="s">
        <v>158</v>
      </c>
      <c r="AH1665">
        <v>0</v>
      </c>
      <c r="AI1665">
        <v>3</v>
      </c>
      <c r="AJ1665">
        <v>1</v>
      </c>
      <c r="AK1665">
        <v>0</v>
      </c>
      <c r="AL1665" t="s">
        <v>3193</v>
      </c>
      <c r="AM1665">
        <v>46.830768999999997</v>
      </c>
      <c r="AN1665" t="s">
        <v>3194</v>
      </c>
      <c r="AO1665">
        <v>-122.860236</v>
      </c>
      <c r="AP1665">
        <v>100</v>
      </c>
      <c r="AQ1665">
        <v>1900</v>
      </c>
      <c r="AR1665" t="s">
        <v>118</v>
      </c>
      <c r="AS1665">
        <v>-74</v>
      </c>
      <c r="AT1665">
        <v>23</v>
      </c>
      <c r="AU1665">
        <v>256</v>
      </c>
      <c r="BC1665">
        <v>1200</v>
      </c>
      <c r="BD1665">
        <v>1</v>
      </c>
      <c r="BE1665" t="str">
        <f t="shared" si="77"/>
        <v xml:space="preserve">N215T   </v>
      </c>
      <c r="BF1665">
        <v>1</v>
      </c>
      <c r="BH1665">
        <v>0</v>
      </c>
      <c r="BI1665">
        <v>0</v>
      </c>
      <c r="BJ1665">
        <v>0</v>
      </c>
      <c r="BK1665">
        <v>2325</v>
      </c>
      <c r="BL1665">
        <v>425</v>
      </c>
      <c r="BM1665" t="s">
        <v>119</v>
      </c>
      <c r="BN1665">
        <v>1</v>
      </c>
      <c r="BO1665">
        <v>1</v>
      </c>
      <c r="BP1665">
        <v>1</v>
      </c>
      <c r="BQ1665">
        <v>0</v>
      </c>
      <c r="BT1665">
        <v>0</v>
      </c>
      <c r="BU1665">
        <v>0</v>
      </c>
      <c r="BV1665">
        <v>0</v>
      </c>
      <c r="CC1665" t="str">
        <f>"19:02:33.461"</f>
        <v>19:02:33.461</v>
      </c>
      <c r="CD1665" t="str">
        <f>"464146632"</f>
        <v>464146632</v>
      </c>
      <c r="CQ1665">
        <v>0</v>
      </c>
      <c r="CR1665">
        <v>2</v>
      </c>
      <c r="CS1665">
        <v>0</v>
      </c>
      <c r="CT1665">
        <v>2</v>
      </c>
      <c r="CU1665">
        <v>0</v>
      </c>
      <c r="CV1665">
        <v>7</v>
      </c>
      <c r="CW1665" t="s">
        <v>120</v>
      </c>
      <c r="CX1665">
        <v>261</v>
      </c>
      <c r="CY1665">
        <v>2</v>
      </c>
      <c r="CZ1665" t="s">
        <v>121</v>
      </c>
      <c r="DA1665" t="s">
        <v>122</v>
      </c>
      <c r="DD1665">
        <v>15228915</v>
      </c>
      <c r="DE1665" t="s">
        <v>123</v>
      </c>
    </row>
    <row r="1666" spans="1:109" x14ac:dyDescent="0.3">
      <c r="A1666" t="str">
        <f>"19:02:34.625"</f>
        <v>19:02:34.625</v>
      </c>
      <c r="B1666" t="s">
        <v>110</v>
      </c>
      <c r="C1666" t="str">
        <f t="shared" ref="C1666:C1729" si="78">"ffdfd3c0"</f>
        <v>ffdfd3c0</v>
      </c>
      <c r="D1666" t="s">
        <v>111</v>
      </c>
      <c r="E1666">
        <v>18</v>
      </c>
      <c r="F1666">
        <v>1018</v>
      </c>
      <c r="G1666" t="s">
        <v>112</v>
      </c>
      <c r="J1666" t="s">
        <v>113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R1666" t="s">
        <v>114</v>
      </c>
      <c r="S1666" t="str">
        <f>"19:02:34.375"</f>
        <v>19:02:34.375</v>
      </c>
      <c r="T1666" t="str">
        <f>"19:02:34.375"</f>
        <v>19:02:34.375</v>
      </c>
      <c r="U1666" t="str">
        <f t="shared" ref="U1666:U1729" si="79">"a1cdbe"</f>
        <v>a1cdbe</v>
      </c>
      <c r="V1666">
        <v>0</v>
      </c>
      <c r="W1666">
        <v>0</v>
      </c>
      <c r="X1666">
        <v>1</v>
      </c>
      <c r="Y1666">
        <v>0</v>
      </c>
      <c r="Z1666">
        <v>0</v>
      </c>
      <c r="AB1666">
        <v>0</v>
      </c>
      <c r="AC1666">
        <v>9</v>
      </c>
      <c r="AD1666">
        <v>3</v>
      </c>
      <c r="AE1666">
        <v>0</v>
      </c>
      <c r="AF1666">
        <v>9</v>
      </c>
      <c r="AG1666" t="s">
        <v>158</v>
      </c>
      <c r="AH1666">
        <v>0</v>
      </c>
      <c r="AI1666">
        <v>3</v>
      </c>
      <c r="AJ1666">
        <v>1</v>
      </c>
      <c r="AK1666">
        <v>0</v>
      </c>
      <c r="AL1666" t="s">
        <v>3195</v>
      </c>
      <c r="AM1666">
        <v>46.830876000000004</v>
      </c>
      <c r="AN1666" t="s">
        <v>3196</v>
      </c>
      <c r="AO1666">
        <v>-122.860708</v>
      </c>
      <c r="AP1666">
        <v>100</v>
      </c>
      <c r="AQ1666">
        <v>1900</v>
      </c>
      <c r="AR1666" t="s">
        <v>118</v>
      </c>
      <c r="AS1666">
        <v>-74</v>
      </c>
      <c r="AT1666">
        <v>23</v>
      </c>
      <c r="AU1666">
        <v>192</v>
      </c>
      <c r="BC1666">
        <v>1200</v>
      </c>
      <c r="BD1666">
        <v>1</v>
      </c>
      <c r="BE1666" t="str">
        <f t="shared" ref="BE1666:BE1729" si="80">"N215T   "</f>
        <v xml:space="preserve">N215T   </v>
      </c>
      <c r="BF1666">
        <v>1</v>
      </c>
      <c r="BH1666">
        <v>0</v>
      </c>
      <c r="BI1666">
        <v>0</v>
      </c>
      <c r="BJ1666">
        <v>0</v>
      </c>
      <c r="BK1666">
        <v>2325</v>
      </c>
      <c r="BL1666">
        <v>425</v>
      </c>
      <c r="BM1666" t="s">
        <v>119</v>
      </c>
      <c r="BN1666">
        <v>1</v>
      </c>
      <c r="BO1666">
        <v>1</v>
      </c>
      <c r="BP1666">
        <v>1</v>
      </c>
      <c r="BQ1666">
        <v>0</v>
      </c>
      <c r="BT1666">
        <v>0</v>
      </c>
      <c r="BU1666">
        <v>0</v>
      </c>
      <c r="BV1666">
        <v>0</v>
      </c>
      <c r="CC1666" t="str">
        <f>"19:02:34.383"</f>
        <v>19:02:34.383</v>
      </c>
      <c r="CD1666" t="str">
        <f>"379056498"</f>
        <v>379056498</v>
      </c>
      <c r="CQ1666">
        <v>0</v>
      </c>
      <c r="CR1666">
        <v>2</v>
      </c>
      <c r="CS1666">
        <v>0</v>
      </c>
      <c r="CT1666">
        <v>2</v>
      </c>
      <c r="CU1666">
        <v>0</v>
      </c>
      <c r="CV1666">
        <v>7</v>
      </c>
      <c r="CW1666" t="s">
        <v>120</v>
      </c>
      <c r="CX1666">
        <v>261</v>
      </c>
      <c r="CY1666">
        <v>2</v>
      </c>
      <c r="CZ1666" t="s">
        <v>121</v>
      </c>
      <c r="DA1666" t="s">
        <v>122</v>
      </c>
      <c r="DD1666">
        <v>15229504</v>
      </c>
      <c r="DE1666" t="s">
        <v>123</v>
      </c>
    </row>
    <row r="1667" spans="1:109" x14ac:dyDescent="0.3">
      <c r="A1667" t="str">
        <f>"19:02:35.578"</f>
        <v>19:02:35.578</v>
      </c>
      <c r="B1667" t="s">
        <v>110</v>
      </c>
      <c r="C1667" t="str">
        <f t="shared" si="78"/>
        <v>ffdfd3c0</v>
      </c>
      <c r="D1667" t="s">
        <v>111</v>
      </c>
      <c r="E1667">
        <v>18</v>
      </c>
      <c r="F1667">
        <v>1018</v>
      </c>
      <c r="G1667" t="s">
        <v>112</v>
      </c>
      <c r="J1667" t="s">
        <v>113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R1667" t="s">
        <v>114</v>
      </c>
      <c r="S1667" t="str">
        <f>"19:02:35.336"</f>
        <v>19:02:35.336</v>
      </c>
      <c r="T1667" t="str">
        <f>"19:02:35.039"</f>
        <v>19:02:35.039</v>
      </c>
      <c r="U1667" t="str">
        <f t="shared" si="79"/>
        <v>a1cdbe</v>
      </c>
      <c r="V1667">
        <v>0</v>
      </c>
      <c r="W1667">
        <v>0</v>
      </c>
      <c r="X1667">
        <v>1</v>
      </c>
      <c r="Y1667">
        <v>0</v>
      </c>
      <c r="Z1667">
        <v>0</v>
      </c>
      <c r="AB1667">
        <v>0</v>
      </c>
      <c r="AC1667">
        <v>9</v>
      </c>
      <c r="AD1667">
        <v>3</v>
      </c>
      <c r="AE1667">
        <v>0</v>
      </c>
      <c r="AF1667">
        <v>9</v>
      </c>
      <c r="AG1667" t="s">
        <v>158</v>
      </c>
      <c r="AH1667">
        <v>0</v>
      </c>
      <c r="AI1667">
        <v>3</v>
      </c>
      <c r="AJ1667">
        <v>1</v>
      </c>
      <c r="AK1667">
        <v>0</v>
      </c>
      <c r="AL1667" t="s">
        <v>2347</v>
      </c>
      <c r="AM1667">
        <v>46.830962</v>
      </c>
      <c r="AN1667" t="s">
        <v>3197</v>
      </c>
      <c r="AO1667">
        <v>-122.86118</v>
      </c>
      <c r="AP1667">
        <v>100</v>
      </c>
      <c r="AQ1667">
        <v>2000</v>
      </c>
      <c r="AR1667" t="s">
        <v>118</v>
      </c>
      <c r="AS1667">
        <v>-75</v>
      </c>
      <c r="AT1667">
        <v>23</v>
      </c>
      <c r="AU1667">
        <v>192</v>
      </c>
      <c r="BC1667">
        <v>1200</v>
      </c>
      <c r="BD1667">
        <v>1</v>
      </c>
      <c r="BE1667" t="str">
        <f t="shared" si="80"/>
        <v xml:space="preserve">N215T   </v>
      </c>
      <c r="BF1667">
        <v>1</v>
      </c>
      <c r="BH1667">
        <v>0</v>
      </c>
      <c r="BI1667">
        <v>0</v>
      </c>
      <c r="BJ1667">
        <v>0</v>
      </c>
      <c r="BK1667">
        <v>2350</v>
      </c>
      <c r="BL1667">
        <v>350</v>
      </c>
      <c r="BM1667" t="s">
        <v>119</v>
      </c>
      <c r="BN1667">
        <v>1</v>
      </c>
      <c r="BO1667">
        <v>1</v>
      </c>
      <c r="BP1667">
        <v>1</v>
      </c>
      <c r="BQ1667">
        <v>0</v>
      </c>
      <c r="BT1667">
        <v>0</v>
      </c>
      <c r="BU1667">
        <v>0</v>
      </c>
      <c r="BV1667">
        <v>0</v>
      </c>
      <c r="CC1667" t="str">
        <f>"19:02:35.336"</f>
        <v>19:02:35.336</v>
      </c>
      <c r="CD1667" t="str">
        <f>"338961932"</f>
        <v>338961932</v>
      </c>
      <c r="CQ1667">
        <v>0</v>
      </c>
      <c r="CR1667">
        <v>2</v>
      </c>
      <c r="CS1667">
        <v>0</v>
      </c>
      <c r="CT1667">
        <v>2</v>
      </c>
      <c r="CU1667">
        <v>0</v>
      </c>
      <c r="CV1667">
        <v>7</v>
      </c>
      <c r="CW1667" t="s">
        <v>120</v>
      </c>
      <c r="CX1667">
        <v>261</v>
      </c>
      <c r="CY1667">
        <v>2</v>
      </c>
      <c r="CZ1667" t="s">
        <v>121</v>
      </c>
      <c r="DA1667" t="s">
        <v>122</v>
      </c>
      <c r="DD1667">
        <v>15230185</v>
      </c>
      <c r="DE1667" t="s">
        <v>123</v>
      </c>
    </row>
    <row r="1668" spans="1:109" x14ac:dyDescent="0.3">
      <c r="A1668" t="str">
        <f>"19:02:36.688"</f>
        <v>19:02:36.688</v>
      </c>
      <c r="B1668" t="s">
        <v>110</v>
      </c>
      <c r="C1668" t="str">
        <f t="shared" si="78"/>
        <v>ffdfd3c0</v>
      </c>
      <c r="D1668" t="s">
        <v>111</v>
      </c>
      <c r="E1668">
        <v>18</v>
      </c>
      <c r="F1668">
        <v>1018</v>
      </c>
      <c r="G1668" t="s">
        <v>112</v>
      </c>
      <c r="J1668" t="s">
        <v>113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R1668" t="s">
        <v>114</v>
      </c>
      <c r="S1668" t="str">
        <f>"19:02:36.445"</f>
        <v>19:02:36.445</v>
      </c>
      <c r="T1668" t="str">
        <f>"19:02:36.445"</f>
        <v>19:02:36.445</v>
      </c>
      <c r="U1668" t="str">
        <f t="shared" si="79"/>
        <v>a1cdbe</v>
      </c>
      <c r="V1668">
        <v>0</v>
      </c>
      <c r="W1668">
        <v>0</v>
      </c>
      <c r="X1668">
        <v>1</v>
      </c>
      <c r="Y1668">
        <v>0</v>
      </c>
      <c r="Z1668">
        <v>0</v>
      </c>
      <c r="AB1668">
        <v>0</v>
      </c>
      <c r="AC1668">
        <v>9</v>
      </c>
      <c r="AD1668">
        <v>3</v>
      </c>
      <c r="AE1668">
        <v>0</v>
      </c>
      <c r="AF1668">
        <v>9</v>
      </c>
      <c r="AG1668" t="s">
        <v>158</v>
      </c>
      <c r="AH1668">
        <v>0</v>
      </c>
      <c r="AI1668">
        <v>3</v>
      </c>
      <c r="AJ1668">
        <v>1</v>
      </c>
      <c r="AK1668">
        <v>0</v>
      </c>
      <c r="AL1668" t="s">
        <v>2345</v>
      </c>
      <c r="AM1668">
        <v>46.831090000000003</v>
      </c>
      <c r="AN1668" t="s">
        <v>3198</v>
      </c>
      <c r="AO1668">
        <v>-122.86178099999999</v>
      </c>
      <c r="AP1668">
        <v>100</v>
      </c>
      <c r="AQ1668">
        <v>2000</v>
      </c>
      <c r="AR1668" t="s">
        <v>118</v>
      </c>
      <c r="AS1668">
        <v>-75</v>
      </c>
      <c r="AT1668">
        <v>23</v>
      </c>
      <c r="AU1668">
        <v>192</v>
      </c>
      <c r="BC1668">
        <v>1200</v>
      </c>
      <c r="BD1668">
        <v>1</v>
      </c>
      <c r="BE1668" t="str">
        <f t="shared" si="80"/>
        <v xml:space="preserve">N215T   </v>
      </c>
      <c r="BF1668">
        <v>1</v>
      </c>
      <c r="BH1668">
        <v>0</v>
      </c>
      <c r="BI1668">
        <v>0</v>
      </c>
      <c r="BJ1668">
        <v>0</v>
      </c>
      <c r="BK1668">
        <v>2350</v>
      </c>
      <c r="BL1668">
        <v>350</v>
      </c>
      <c r="BM1668" t="s">
        <v>119</v>
      </c>
      <c r="BN1668">
        <v>1</v>
      </c>
      <c r="BO1668">
        <v>1</v>
      </c>
      <c r="BP1668">
        <v>1</v>
      </c>
      <c r="BQ1668">
        <v>0</v>
      </c>
      <c r="BT1668">
        <v>0</v>
      </c>
      <c r="BU1668">
        <v>0</v>
      </c>
      <c r="BV1668">
        <v>0</v>
      </c>
      <c r="CC1668" t="str">
        <f>"19:02:36.445"</f>
        <v>19:02:36.445</v>
      </c>
      <c r="CD1668" t="str">
        <f>"448852586"</f>
        <v>448852586</v>
      </c>
      <c r="CQ1668">
        <v>0</v>
      </c>
      <c r="CR1668">
        <v>2</v>
      </c>
      <c r="CS1668">
        <v>0</v>
      </c>
      <c r="CT1668">
        <v>2</v>
      </c>
      <c r="CU1668">
        <v>0</v>
      </c>
      <c r="CV1668">
        <v>7</v>
      </c>
      <c r="CW1668" t="s">
        <v>120</v>
      </c>
      <c r="CX1668">
        <v>261</v>
      </c>
      <c r="CY1668">
        <v>2</v>
      </c>
      <c r="CZ1668" t="s">
        <v>121</v>
      </c>
      <c r="DA1668" t="s">
        <v>122</v>
      </c>
      <c r="DD1668">
        <v>15230862</v>
      </c>
      <c r="DE1668" t="s">
        <v>123</v>
      </c>
    </row>
    <row r="1669" spans="1:109" x14ac:dyDescent="0.3">
      <c r="A1669" t="str">
        <f>"19:02:37.789"</f>
        <v>19:02:37.789</v>
      </c>
      <c r="B1669" t="s">
        <v>110</v>
      </c>
      <c r="C1669" t="str">
        <f t="shared" si="78"/>
        <v>ffdfd3c0</v>
      </c>
      <c r="D1669" t="s">
        <v>111</v>
      </c>
      <c r="E1669">
        <v>18</v>
      </c>
      <c r="F1669">
        <v>1018</v>
      </c>
      <c r="G1669" t="s">
        <v>112</v>
      </c>
      <c r="J1669" t="s">
        <v>113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R1669" t="s">
        <v>114</v>
      </c>
      <c r="S1669" t="str">
        <f>"19:02:37.602"</f>
        <v>19:02:37.602</v>
      </c>
      <c r="T1669" t="str">
        <f>"19:02:37.602"</f>
        <v>19:02:37.602</v>
      </c>
      <c r="U1669" t="str">
        <f t="shared" si="79"/>
        <v>a1cdbe</v>
      </c>
      <c r="V1669">
        <v>0</v>
      </c>
      <c r="W1669">
        <v>0</v>
      </c>
      <c r="X1669">
        <v>1</v>
      </c>
      <c r="Y1669">
        <v>0</v>
      </c>
      <c r="Z1669">
        <v>0</v>
      </c>
      <c r="AB1669">
        <v>0</v>
      </c>
      <c r="AC1669">
        <v>9</v>
      </c>
      <c r="AD1669">
        <v>3</v>
      </c>
      <c r="AE1669">
        <v>0</v>
      </c>
      <c r="AF1669">
        <v>9</v>
      </c>
      <c r="AG1669" t="s">
        <v>158</v>
      </c>
      <c r="AH1669">
        <v>0</v>
      </c>
      <c r="AI1669">
        <v>3</v>
      </c>
      <c r="AJ1669">
        <v>1</v>
      </c>
      <c r="AK1669">
        <v>0</v>
      </c>
      <c r="AL1669" t="s">
        <v>3199</v>
      </c>
      <c r="AM1669">
        <v>46.831198000000001</v>
      </c>
      <c r="AN1669" t="s">
        <v>3200</v>
      </c>
      <c r="AO1669">
        <v>-122.862318</v>
      </c>
      <c r="AP1669">
        <v>100</v>
      </c>
      <c r="AQ1669">
        <v>2000</v>
      </c>
      <c r="AR1669" t="s">
        <v>118</v>
      </c>
      <c r="AS1669">
        <v>-75</v>
      </c>
      <c r="AT1669">
        <v>23</v>
      </c>
      <c r="AU1669">
        <v>192</v>
      </c>
      <c r="BC1669">
        <v>1200</v>
      </c>
      <c r="BD1669">
        <v>1</v>
      </c>
      <c r="BE1669" t="str">
        <f t="shared" si="80"/>
        <v xml:space="preserve">N215T   </v>
      </c>
      <c r="BF1669">
        <v>1</v>
      </c>
      <c r="BH1669">
        <v>0</v>
      </c>
      <c r="BI1669">
        <v>0</v>
      </c>
      <c r="BJ1669">
        <v>0</v>
      </c>
      <c r="BK1669">
        <v>2350</v>
      </c>
      <c r="BL1669">
        <v>350</v>
      </c>
      <c r="BM1669" t="s">
        <v>119</v>
      </c>
      <c r="BN1669">
        <v>1</v>
      </c>
      <c r="BO1669">
        <v>1</v>
      </c>
      <c r="BP1669">
        <v>1</v>
      </c>
      <c r="BQ1669">
        <v>0</v>
      </c>
      <c r="BT1669">
        <v>0</v>
      </c>
      <c r="BU1669">
        <v>0</v>
      </c>
      <c r="BV1669">
        <v>0</v>
      </c>
      <c r="CC1669" t="str">
        <f>"19:02:37.602"</f>
        <v>19:02:37.602</v>
      </c>
      <c r="CD1669" t="str">
        <f>"603738801"</f>
        <v>603738801</v>
      </c>
      <c r="CQ1669">
        <v>0</v>
      </c>
      <c r="CR1669">
        <v>2</v>
      </c>
      <c r="CS1669">
        <v>0</v>
      </c>
      <c r="CT1669">
        <v>2</v>
      </c>
      <c r="CU1669">
        <v>0</v>
      </c>
      <c r="CV1669">
        <v>7</v>
      </c>
      <c r="CW1669" t="s">
        <v>120</v>
      </c>
      <c r="CX1669">
        <v>261</v>
      </c>
      <c r="CY1669">
        <v>2</v>
      </c>
      <c r="CZ1669" t="s">
        <v>121</v>
      </c>
      <c r="DA1669" t="s">
        <v>122</v>
      </c>
      <c r="DD1669">
        <v>15231618</v>
      </c>
      <c r="DE1669" t="s">
        <v>123</v>
      </c>
    </row>
    <row r="1670" spans="1:109" x14ac:dyDescent="0.3">
      <c r="A1670" t="str">
        <f>"19:02:38.750"</f>
        <v>19:02:38.750</v>
      </c>
      <c r="B1670" t="s">
        <v>110</v>
      </c>
      <c r="C1670" t="str">
        <f t="shared" si="78"/>
        <v>ffdfd3c0</v>
      </c>
      <c r="D1670" t="s">
        <v>111</v>
      </c>
      <c r="E1670">
        <v>18</v>
      </c>
      <c r="F1670">
        <v>1018</v>
      </c>
      <c r="G1670" t="s">
        <v>112</v>
      </c>
      <c r="J1670" t="s">
        <v>113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R1670" t="s">
        <v>114</v>
      </c>
      <c r="S1670" t="str">
        <f>"19:02:38.516"</f>
        <v>19:02:38.516</v>
      </c>
      <c r="T1670" t="str">
        <f>"19:02:38.016"</f>
        <v>19:02:38.016</v>
      </c>
      <c r="U1670" t="str">
        <f t="shared" si="79"/>
        <v>a1cdbe</v>
      </c>
      <c r="V1670">
        <v>0</v>
      </c>
      <c r="W1670">
        <v>0</v>
      </c>
      <c r="X1670">
        <v>1</v>
      </c>
      <c r="Y1670">
        <v>0</v>
      </c>
      <c r="Z1670">
        <v>0</v>
      </c>
      <c r="AB1670">
        <v>0</v>
      </c>
      <c r="AC1670">
        <v>9</v>
      </c>
      <c r="AD1670">
        <v>3</v>
      </c>
      <c r="AE1670">
        <v>0</v>
      </c>
      <c r="AF1670">
        <v>9</v>
      </c>
      <c r="AG1670" t="s">
        <v>158</v>
      </c>
      <c r="AH1670">
        <v>0</v>
      </c>
      <c r="AI1670">
        <v>3</v>
      </c>
      <c r="AJ1670">
        <v>1</v>
      </c>
      <c r="AK1670">
        <v>0</v>
      </c>
      <c r="AL1670" t="s">
        <v>3201</v>
      </c>
      <c r="AM1670">
        <v>46.831325999999997</v>
      </c>
      <c r="AN1670" t="s">
        <v>3202</v>
      </c>
      <c r="AO1670">
        <v>-122.86279</v>
      </c>
      <c r="AP1670">
        <v>100</v>
      </c>
      <c r="AQ1670">
        <v>2000</v>
      </c>
      <c r="AR1670" t="s">
        <v>118</v>
      </c>
      <c r="AS1670">
        <v>-75</v>
      </c>
      <c r="AT1670">
        <v>23</v>
      </c>
      <c r="AU1670">
        <v>128</v>
      </c>
      <c r="BC1670">
        <v>1200</v>
      </c>
      <c r="BD1670">
        <v>1</v>
      </c>
      <c r="BE1670" t="str">
        <f t="shared" si="80"/>
        <v xml:space="preserve">N215T   </v>
      </c>
      <c r="BF1670">
        <v>1</v>
      </c>
      <c r="BH1670">
        <v>0</v>
      </c>
      <c r="BI1670">
        <v>0</v>
      </c>
      <c r="BJ1670">
        <v>0</v>
      </c>
      <c r="BK1670">
        <v>2350</v>
      </c>
      <c r="BL1670">
        <v>350</v>
      </c>
      <c r="BM1670" t="s">
        <v>119</v>
      </c>
      <c r="BN1670">
        <v>1</v>
      </c>
      <c r="BO1670">
        <v>1</v>
      </c>
      <c r="BP1670">
        <v>1</v>
      </c>
      <c r="BQ1670">
        <v>0</v>
      </c>
      <c r="BT1670">
        <v>0</v>
      </c>
      <c r="BU1670">
        <v>0</v>
      </c>
      <c r="BV1670">
        <v>0</v>
      </c>
      <c r="CC1670" t="str">
        <f>"19:02:38.516"</f>
        <v>19:02:38.516</v>
      </c>
      <c r="CD1670" t="str">
        <f>"518648659"</f>
        <v>518648659</v>
      </c>
      <c r="CQ1670">
        <v>0</v>
      </c>
      <c r="CR1670">
        <v>2</v>
      </c>
      <c r="CS1670">
        <v>0</v>
      </c>
      <c r="CT1670">
        <v>2</v>
      </c>
      <c r="CU1670">
        <v>0</v>
      </c>
      <c r="CV1670">
        <v>7</v>
      </c>
      <c r="CW1670" t="s">
        <v>120</v>
      </c>
      <c r="CX1670">
        <v>261</v>
      </c>
      <c r="CY1670">
        <v>2</v>
      </c>
      <c r="CZ1670" t="s">
        <v>121</v>
      </c>
      <c r="DA1670" t="s">
        <v>122</v>
      </c>
      <c r="DD1670">
        <v>15232183</v>
      </c>
      <c r="DE1670" t="s">
        <v>123</v>
      </c>
    </row>
    <row r="1671" spans="1:109" x14ac:dyDescent="0.3">
      <c r="A1671" t="str">
        <f>"19:02:39.906"</f>
        <v>19:02:39.906</v>
      </c>
      <c r="B1671" t="s">
        <v>110</v>
      </c>
      <c r="C1671" t="str">
        <f t="shared" si="78"/>
        <v>ffdfd3c0</v>
      </c>
      <c r="D1671" t="s">
        <v>111</v>
      </c>
      <c r="E1671">
        <v>18</v>
      </c>
      <c r="F1671">
        <v>1018</v>
      </c>
      <c r="G1671" t="s">
        <v>112</v>
      </c>
      <c r="J1671" t="s">
        <v>113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R1671" t="s">
        <v>114</v>
      </c>
      <c r="S1671" t="str">
        <f>"19:02:39.641"</f>
        <v>19:02:39.641</v>
      </c>
      <c r="T1671" t="str">
        <f>"19:02:39.539"</f>
        <v>19:02:39.539</v>
      </c>
      <c r="U1671" t="str">
        <f t="shared" si="79"/>
        <v>a1cdbe</v>
      </c>
      <c r="V1671">
        <v>0</v>
      </c>
      <c r="W1671">
        <v>0</v>
      </c>
      <c r="X1671">
        <v>1</v>
      </c>
      <c r="Y1671">
        <v>0</v>
      </c>
      <c r="Z1671">
        <v>0</v>
      </c>
      <c r="AB1671">
        <v>0</v>
      </c>
      <c r="AC1671">
        <v>9</v>
      </c>
      <c r="AD1671">
        <v>3</v>
      </c>
      <c r="AE1671">
        <v>0</v>
      </c>
      <c r="AF1671">
        <v>9</v>
      </c>
      <c r="AG1671" t="s">
        <v>158</v>
      </c>
      <c r="AH1671">
        <v>0</v>
      </c>
      <c r="AI1671">
        <v>3</v>
      </c>
      <c r="AJ1671">
        <v>1</v>
      </c>
      <c r="AK1671">
        <v>0</v>
      </c>
      <c r="AL1671" t="s">
        <v>3203</v>
      </c>
      <c r="AM1671">
        <v>46.831412</v>
      </c>
      <c r="AN1671" t="s">
        <v>3204</v>
      </c>
      <c r="AO1671">
        <v>-122.86339</v>
      </c>
      <c r="AP1671">
        <v>100</v>
      </c>
      <c r="AQ1671">
        <v>2000</v>
      </c>
      <c r="AR1671" t="s">
        <v>118</v>
      </c>
      <c r="AS1671">
        <v>-75</v>
      </c>
      <c r="AT1671">
        <v>22</v>
      </c>
      <c r="AU1671">
        <v>128</v>
      </c>
      <c r="BC1671">
        <v>1200</v>
      </c>
      <c r="BD1671">
        <v>1</v>
      </c>
      <c r="BE1671" t="str">
        <f t="shared" si="80"/>
        <v xml:space="preserve">N215T   </v>
      </c>
      <c r="BF1671">
        <v>1</v>
      </c>
      <c r="BH1671">
        <v>0</v>
      </c>
      <c r="BI1671">
        <v>0</v>
      </c>
      <c r="BJ1671">
        <v>0</v>
      </c>
      <c r="BK1671">
        <v>2350</v>
      </c>
      <c r="BL1671">
        <v>350</v>
      </c>
      <c r="BM1671" t="s">
        <v>119</v>
      </c>
      <c r="BN1671">
        <v>1</v>
      </c>
      <c r="BO1671">
        <v>1</v>
      </c>
      <c r="BP1671">
        <v>1</v>
      </c>
      <c r="BQ1671">
        <v>0</v>
      </c>
      <c r="BT1671">
        <v>0</v>
      </c>
      <c r="BU1671">
        <v>0</v>
      </c>
      <c r="BV1671">
        <v>0</v>
      </c>
      <c r="CC1671" t="str">
        <f>"19:02:39.641"</f>
        <v>19:02:39.641</v>
      </c>
      <c r="CD1671" t="str">
        <f>"643537843"</f>
        <v>643537843</v>
      </c>
      <c r="CQ1671">
        <v>0</v>
      </c>
      <c r="CR1671">
        <v>2</v>
      </c>
      <c r="CS1671">
        <v>0</v>
      </c>
      <c r="CT1671">
        <v>2</v>
      </c>
      <c r="CU1671">
        <v>0</v>
      </c>
      <c r="CV1671">
        <v>7</v>
      </c>
      <c r="CW1671" t="s">
        <v>120</v>
      </c>
      <c r="CX1671">
        <v>261</v>
      </c>
      <c r="CY1671">
        <v>2</v>
      </c>
      <c r="CZ1671" t="s">
        <v>121</v>
      </c>
      <c r="DA1671" t="s">
        <v>122</v>
      </c>
      <c r="DD1671">
        <v>15232932</v>
      </c>
      <c r="DE1671" t="s">
        <v>123</v>
      </c>
    </row>
    <row r="1672" spans="1:109" x14ac:dyDescent="0.3">
      <c r="A1672" t="str">
        <f>"19:02:40.766"</f>
        <v>19:02:40.766</v>
      </c>
      <c r="B1672" t="s">
        <v>110</v>
      </c>
      <c r="C1672" t="str">
        <f t="shared" si="78"/>
        <v>ffdfd3c0</v>
      </c>
      <c r="D1672" t="s">
        <v>111</v>
      </c>
      <c r="E1672">
        <v>18</v>
      </c>
      <c r="F1672">
        <v>1018</v>
      </c>
      <c r="G1672" t="s">
        <v>112</v>
      </c>
      <c r="J1672" t="s">
        <v>113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R1672" t="s">
        <v>114</v>
      </c>
      <c r="S1672" t="str">
        <f>"19:02:40.508"</f>
        <v>19:02:40.508</v>
      </c>
      <c r="T1672" t="str">
        <f>"19:02:40.508"</f>
        <v>19:02:40.508</v>
      </c>
      <c r="U1672" t="str">
        <f t="shared" si="79"/>
        <v>a1cdbe</v>
      </c>
      <c r="V1672">
        <v>0</v>
      </c>
      <c r="W1672">
        <v>0</v>
      </c>
      <c r="X1672">
        <v>1</v>
      </c>
      <c r="Y1672">
        <v>0</v>
      </c>
      <c r="Z1672">
        <v>0</v>
      </c>
      <c r="AB1672">
        <v>0</v>
      </c>
      <c r="AC1672">
        <v>9</v>
      </c>
      <c r="AD1672">
        <v>3</v>
      </c>
      <c r="AE1672">
        <v>0</v>
      </c>
      <c r="AF1672">
        <v>9</v>
      </c>
      <c r="AG1672" t="s">
        <v>158</v>
      </c>
      <c r="AH1672">
        <v>0</v>
      </c>
      <c r="AI1672">
        <v>3</v>
      </c>
      <c r="AJ1672">
        <v>1</v>
      </c>
      <c r="AK1672">
        <v>0</v>
      </c>
      <c r="AL1672" t="s">
        <v>3205</v>
      </c>
      <c r="AM1672">
        <v>46.831519999999998</v>
      </c>
      <c r="AN1672" t="s">
        <v>3206</v>
      </c>
      <c r="AO1672">
        <v>-122.863798</v>
      </c>
      <c r="AP1672">
        <v>100</v>
      </c>
      <c r="AQ1672">
        <v>2000</v>
      </c>
      <c r="AR1672" t="s">
        <v>118</v>
      </c>
      <c r="AS1672">
        <v>-75</v>
      </c>
      <c r="AT1672">
        <v>22</v>
      </c>
      <c r="AU1672">
        <v>128</v>
      </c>
      <c r="BC1672">
        <v>1200</v>
      </c>
      <c r="BD1672">
        <v>1</v>
      </c>
      <c r="BE1672" t="str">
        <f t="shared" si="80"/>
        <v xml:space="preserve">N215T   </v>
      </c>
      <c r="BF1672">
        <v>1</v>
      </c>
      <c r="BH1672">
        <v>0</v>
      </c>
      <c r="BI1672">
        <v>0</v>
      </c>
      <c r="BJ1672">
        <v>0</v>
      </c>
      <c r="BK1672">
        <v>2350</v>
      </c>
      <c r="BL1672">
        <v>350</v>
      </c>
      <c r="BM1672" t="s">
        <v>119</v>
      </c>
      <c r="BN1672">
        <v>1</v>
      </c>
      <c r="BO1672">
        <v>1</v>
      </c>
      <c r="BP1672">
        <v>1</v>
      </c>
      <c r="BQ1672">
        <v>0</v>
      </c>
      <c r="BT1672">
        <v>0</v>
      </c>
      <c r="BU1672">
        <v>0</v>
      </c>
      <c r="BV1672">
        <v>0</v>
      </c>
      <c r="CC1672" t="str">
        <f>"19:02:40.516"</f>
        <v>19:02:40.516</v>
      </c>
      <c r="CD1672" t="str">
        <f>"513452143"</f>
        <v>513452143</v>
      </c>
      <c r="CQ1672">
        <v>0</v>
      </c>
      <c r="CR1672">
        <v>2</v>
      </c>
      <c r="CS1672">
        <v>0</v>
      </c>
      <c r="CT1672">
        <v>2</v>
      </c>
      <c r="CU1672">
        <v>0</v>
      </c>
      <c r="CV1672">
        <v>7</v>
      </c>
      <c r="CW1672" t="s">
        <v>120</v>
      </c>
      <c r="CX1672">
        <v>261</v>
      </c>
      <c r="CY1672">
        <v>2</v>
      </c>
      <c r="CZ1672" t="s">
        <v>121</v>
      </c>
      <c r="DA1672" t="s">
        <v>122</v>
      </c>
      <c r="DD1672">
        <v>15233445</v>
      </c>
      <c r="DE1672" t="s">
        <v>123</v>
      </c>
    </row>
    <row r="1673" spans="1:109" x14ac:dyDescent="0.3">
      <c r="A1673" t="str">
        <f>"19:02:41.711"</f>
        <v>19:02:41.711</v>
      </c>
      <c r="B1673" t="s">
        <v>110</v>
      </c>
      <c r="C1673" t="str">
        <f t="shared" si="78"/>
        <v>ffdfd3c0</v>
      </c>
      <c r="D1673" t="s">
        <v>111</v>
      </c>
      <c r="E1673">
        <v>18</v>
      </c>
      <c r="F1673">
        <v>1018</v>
      </c>
      <c r="G1673" t="s">
        <v>112</v>
      </c>
      <c r="J1673" t="s">
        <v>113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R1673" t="s">
        <v>114</v>
      </c>
      <c r="S1673" t="str">
        <f>"19:02:41.516"</f>
        <v>19:02:41.516</v>
      </c>
      <c r="T1673" t="str">
        <f>"19:02:41.016"</f>
        <v>19:02:41.016</v>
      </c>
      <c r="U1673" t="str">
        <f t="shared" si="79"/>
        <v>a1cdbe</v>
      </c>
      <c r="V1673">
        <v>0</v>
      </c>
      <c r="W1673">
        <v>0</v>
      </c>
      <c r="X1673">
        <v>1</v>
      </c>
      <c r="Y1673">
        <v>0</v>
      </c>
      <c r="Z1673">
        <v>0</v>
      </c>
      <c r="AB1673">
        <v>0</v>
      </c>
      <c r="AC1673">
        <v>9</v>
      </c>
      <c r="AD1673">
        <v>3</v>
      </c>
      <c r="AE1673">
        <v>0</v>
      </c>
      <c r="AF1673">
        <v>9</v>
      </c>
      <c r="AG1673" t="s">
        <v>158</v>
      </c>
      <c r="AH1673">
        <v>0</v>
      </c>
      <c r="AI1673">
        <v>3</v>
      </c>
      <c r="AJ1673">
        <v>1</v>
      </c>
      <c r="AK1673">
        <v>0</v>
      </c>
      <c r="AL1673" t="s">
        <v>3207</v>
      </c>
      <c r="AM1673">
        <v>46.831605000000003</v>
      </c>
      <c r="AN1673" t="s">
        <v>3208</v>
      </c>
      <c r="AO1673">
        <v>-122.86429200000001</v>
      </c>
      <c r="AP1673">
        <v>100</v>
      </c>
      <c r="AQ1673">
        <v>2000</v>
      </c>
      <c r="AR1673" t="s">
        <v>118</v>
      </c>
      <c r="AS1673">
        <v>-75</v>
      </c>
      <c r="AT1673">
        <v>22</v>
      </c>
      <c r="AU1673">
        <v>128</v>
      </c>
      <c r="BC1673">
        <v>1200</v>
      </c>
      <c r="BD1673">
        <v>1</v>
      </c>
      <c r="BE1673" t="str">
        <f t="shared" si="80"/>
        <v xml:space="preserve">N215T   </v>
      </c>
      <c r="BF1673">
        <v>1</v>
      </c>
      <c r="BH1673">
        <v>0</v>
      </c>
      <c r="BI1673">
        <v>0</v>
      </c>
      <c r="BJ1673">
        <v>0</v>
      </c>
      <c r="BK1673">
        <v>2350</v>
      </c>
      <c r="BL1673">
        <v>350</v>
      </c>
      <c r="BM1673" t="s">
        <v>119</v>
      </c>
      <c r="BN1673">
        <v>1</v>
      </c>
      <c r="BO1673">
        <v>1</v>
      </c>
      <c r="BP1673">
        <v>1</v>
      </c>
      <c r="BQ1673">
        <v>0</v>
      </c>
      <c r="BT1673">
        <v>0</v>
      </c>
      <c r="BU1673">
        <v>0</v>
      </c>
      <c r="BV1673">
        <v>0</v>
      </c>
      <c r="CC1673" t="str">
        <f>"19:02:41.516"</f>
        <v>19:02:41.516</v>
      </c>
      <c r="CD1673" t="str">
        <f>"518353138"</f>
        <v>518353138</v>
      </c>
      <c r="CQ1673">
        <v>0</v>
      </c>
      <c r="CR1673">
        <v>2</v>
      </c>
      <c r="CS1673">
        <v>0</v>
      </c>
      <c r="CT1673">
        <v>2</v>
      </c>
      <c r="CU1673">
        <v>0</v>
      </c>
      <c r="CV1673">
        <v>7</v>
      </c>
      <c r="CW1673" t="s">
        <v>120</v>
      </c>
      <c r="CX1673">
        <v>261</v>
      </c>
      <c r="CY1673">
        <v>2</v>
      </c>
      <c r="CZ1673" t="s">
        <v>121</v>
      </c>
      <c r="DA1673" t="s">
        <v>122</v>
      </c>
      <c r="DD1673">
        <v>15234089</v>
      </c>
      <c r="DE1673" t="s">
        <v>123</v>
      </c>
    </row>
    <row r="1674" spans="1:109" x14ac:dyDescent="0.3">
      <c r="A1674" t="str">
        <f>"19:02:42.875"</f>
        <v>19:02:42.875</v>
      </c>
      <c r="B1674" t="s">
        <v>110</v>
      </c>
      <c r="C1674" t="str">
        <f t="shared" si="78"/>
        <v>ffdfd3c0</v>
      </c>
      <c r="D1674" t="s">
        <v>111</v>
      </c>
      <c r="E1674">
        <v>18</v>
      </c>
      <c r="F1674">
        <v>1018</v>
      </c>
      <c r="G1674" t="s">
        <v>112</v>
      </c>
      <c r="J1674" t="s">
        <v>113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R1674" t="s">
        <v>114</v>
      </c>
      <c r="S1674" t="str">
        <f>"19:02:42.594"</f>
        <v>19:02:42.594</v>
      </c>
      <c r="T1674" t="str">
        <f>"19:02:42.594"</f>
        <v>19:02:42.594</v>
      </c>
      <c r="U1674" t="str">
        <f t="shared" si="79"/>
        <v>a1cdbe</v>
      </c>
      <c r="V1674">
        <v>0</v>
      </c>
      <c r="W1674">
        <v>0</v>
      </c>
      <c r="X1674">
        <v>1</v>
      </c>
      <c r="Y1674">
        <v>0</v>
      </c>
      <c r="Z1674">
        <v>0</v>
      </c>
      <c r="AB1674">
        <v>0</v>
      </c>
      <c r="AC1674">
        <v>9</v>
      </c>
      <c r="AD1674">
        <v>3</v>
      </c>
      <c r="AE1674">
        <v>0</v>
      </c>
      <c r="AF1674">
        <v>9</v>
      </c>
      <c r="AG1674" t="s">
        <v>158</v>
      </c>
      <c r="AH1674">
        <v>0</v>
      </c>
      <c r="AI1674">
        <v>3</v>
      </c>
      <c r="AJ1674">
        <v>1</v>
      </c>
      <c r="AK1674">
        <v>0</v>
      </c>
      <c r="AL1674" t="s">
        <v>3209</v>
      </c>
      <c r="AM1674">
        <v>46.831733999999997</v>
      </c>
      <c r="AN1674" t="s">
        <v>3210</v>
      </c>
      <c r="AO1674">
        <v>-122.86485</v>
      </c>
      <c r="AP1674">
        <v>100</v>
      </c>
      <c r="AQ1674">
        <v>2000</v>
      </c>
      <c r="AR1674" t="s">
        <v>118</v>
      </c>
      <c r="AS1674">
        <v>-75</v>
      </c>
      <c r="AT1674">
        <v>22</v>
      </c>
      <c r="AU1674">
        <v>128</v>
      </c>
      <c r="BC1674">
        <v>1200</v>
      </c>
      <c r="BD1674">
        <v>1</v>
      </c>
      <c r="BE1674" t="str">
        <f t="shared" si="80"/>
        <v xml:space="preserve">N215T   </v>
      </c>
      <c r="BF1674">
        <v>1</v>
      </c>
      <c r="BH1674">
        <v>0</v>
      </c>
      <c r="BI1674">
        <v>0</v>
      </c>
      <c r="BJ1674">
        <v>0</v>
      </c>
      <c r="BK1674">
        <v>2350</v>
      </c>
      <c r="BL1674">
        <v>350</v>
      </c>
      <c r="BM1674" t="s">
        <v>119</v>
      </c>
      <c r="BN1674">
        <v>1</v>
      </c>
      <c r="BO1674">
        <v>1</v>
      </c>
      <c r="BP1674">
        <v>1</v>
      </c>
      <c r="BQ1674">
        <v>0</v>
      </c>
      <c r="BT1674">
        <v>0</v>
      </c>
      <c r="BU1674">
        <v>0</v>
      </c>
      <c r="BV1674">
        <v>0</v>
      </c>
      <c r="CC1674" t="str">
        <f>"19:02:42.602"</f>
        <v>19:02:42.602</v>
      </c>
      <c r="CD1674" t="str">
        <f>"598246752"</f>
        <v>598246752</v>
      </c>
      <c r="CQ1674">
        <v>0</v>
      </c>
      <c r="CR1674">
        <v>2</v>
      </c>
      <c r="CS1674">
        <v>0</v>
      </c>
      <c r="CT1674">
        <v>2</v>
      </c>
      <c r="CU1674">
        <v>0</v>
      </c>
      <c r="CV1674">
        <v>7</v>
      </c>
      <c r="CW1674" t="s">
        <v>120</v>
      </c>
      <c r="CX1674">
        <v>261</v>
      </c>
      <c r="CY1674">
        <v>2</v>
      </c>
      <c r="CZ1674" t="s">
        <v>121</v>
      </c>
      <c r="DA1674" t="s">
        <v>122</v>
      </c>
      <c r="DD1674">
        <v>15234803</v>
      </c>
      <c r="DE1674" t="s">
        <v>123</v>
      </c>
    </row>
    <row r="1675" spans="1:109" x14ac:dyDescent="0.3">
      <c r="A1675" t="str">
        <f>"19:02:43.727"</f>
        <v>19:02:43.727</v>
      </c>
      <c r="B1675" t="s">
        <v>110</v>
      </c>
      <c r="C1675" t="str">
        <f t="shared" si="78"/>
        <v>ffdfd3c0</v>
      </c>
      <c r="D1675" t="s">
        <v>111</v>
      </c>
      <c r="E1675">
        <v>18</v>
      </c>
      <c r="F1675">
        <v>1018</v>
      </c>
      <c r="G1675" t="s">
        <v>112</v>
      </c>
      <c r="J1675" t="s">
        <v>113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R1675" t="s">
        <v>114</v>
      </c>
      <c r="S1675" t="str">
        <f>"19:02:43.508"</f>
        <v>19:02:43.508</v>
      </c>
      <c r="T1675" t="str">
        <f>"19:02:43.211"</f>
        <v>19:02:43.211</v>
      </c>
      <c r="U1675" t="str">
        <f t="shared" si="79"/>
        <v>a1cdbe</v>
      </c>
      <c r="V1675">
        <v>0</v>
      </c>
      <c r="W1675">
        <v>0</v>
      </c>
      <c r="X1675">
        <v>1</v>
      </c>
      <c r="Y1675">
        <v>0</v>
      </c>
      <c r="Z1675">
        <v>0</v>
      </c>
      <c r="AB1675">
        <v>0</v>
      </c>
      <c r="AC1675">
        <v>9</v>
      </c>
      <c r="AD1675">
        <v>3</v>
      </c>
      <c r="AE1675">
        <v>0</v>
      </c>
      <c r="AF1675">
        <v>9</v>
      </c>
      <c r="AG1675" t="s">
        <v>158</v>
      </c>
      <c r="AH1675">
        <v>0</v>
      </c>
      <c r="AI1675">
        <v>3</v>
      </c>
      <c r="AJ1675">
        <v>1</v>
      </c>
      <c r="AK1675">
        <v>0</v>
      </c>
      <c r="AL1675" t="s">
        <v>2333</v>
      </c>
      <c r="AM1675">
        <v>46.831777000000002</v>
      </c>
      <c r="AN1675" t="s">
        <v>3211</v>
      </c>
      <c r="AO1675">
        <v>-122.86532200000001</v>
      </c>
      <c r="AP1675">
        <v>100</v>
      </c>
      <c r="AQ1675">
        <v>2000</v>
      </c>
      <c r="AR1675" t="s">
        <v>118</v>
      </c>
      <c r="AS1675">
        <v>-74</v>
      </c>
      <c r="AT1675">
        <v>22</v>
      </c>
      <c r="AU1675">
        <v>64</v>
      </c>
      <c r="BC1675">
        <v>1200</v>
      </c>
      <c r="BD1675">
        <v>1</v>
      </c>
      <c r="BE1675" t="str">
        <f t="shared" si="80"/>
        <v xml:space="preserve">N215T   </v>
      </c>
      <c r="BF1675">
        <v>1</v>
      </c>
      <c r="BH1675">
        <v>0</v>
      </c>
      <c r="BI1675">
        <v>0</v>
      </c>
      <c r="BJ1675">
        <v>0</v>
      </c>
      <c r="BK1675">
        <v>2350</v>
      </c>
      <c r="BL1675">
        <v>350</v>
      </c>
      <c r="BM1675" t="s">
        <v>119</v>
      </c>
      <c r="BN1675">
        <v>1</v>
      </c>
      <c r="BO1675">
        <v>1</v>
      </c>
      <c r="BP1675">
        <v>1</v>
      </c>
      <c r="BQ1675">
        <v>0</v>
      </c>
      <c r="BT1675">
        <v>0</v>
      </c>
      <c r="BU1675">
        <v>0</v>
      </c>
      <c r="BV1675">
        <v>0</v>
      </c>
      <c r="CC1675" t="str">
        <f>"19:02:43.516"</f>
        <v>19:02:43.516</v>
      </c>
      <c r="CD1675" t="str">
        <f>"513156614"</f>
        <v>513156614</v>
      </c>
      <c r="CQ1675">
        <v>0</v>
      </c>
      <c r="CR1675">
        <v>2</v>
      </c>
      <c r="CS1675">
        <v>0</v>
      </c>
      <c r="CT1675">
        <v>2</v>
      </c>
      <c r="CU1675">
        <v>0</v>
      </c>
      <c r="CV1675">
        <v>7</v>
      </c>
      <c r="CW1675" t="s">
        <v>120</v>
      </c>
      <c r="CX1675">
        <v>261</v>
      </c>
      <c r="CY1675">
        <v>2</v>
      </c>
      <c r="CZ1675" t="s">
        <v>121</v>
      </c>
      <c r="DA1675" t="s">
        <v>122</v>
      </c>
      <c r="DD1675">
        <v>15235441</v>
      </c>
      <c r="DE1675" t="s">
        <v>123</v>
      </c>
    </row>
    <row r="1676" spans="1:109" x14ac:dyDescent="0.3">
      <c r="A1676" t="str">
        <f>"19:02:44.836"</f>
        <v>19:02:44.836</v>
      </c>
      <c r="B1676" t="s">
        <v>110</v>
      </c>
      <c r="C1676" t="str">
        <f t="shared" si="78"/>
        <v>ffdfd3c0</v>
      </c>
      <c r="D1676" t="s">
        <v>111</v>
      </c>
      <c r="E1676">
        <v>18</v>
      </c>
      <c r="F1676">
        <v>1018</v>
      </c>
      <c r="G1676" t="s">
        <v>112</v>
      </c>
      <c r="J1676" t="s">
        <v>113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R1676" t="s">
        <v>114</v>
      </c>
      <c r="S1676" t="str">
        <f>"19:02:44.570"</f>
        <v>19:02:44.570</v>
      </c>
      <c r="T1676" t="str">
        <f>"19:02:44.273"</f>
        <v>19:02:44.273</v>
      </c>
      <c r="U1676" t="str">
        <f t="shared" si="79"/>
        <v>a1cdbe</v>
      </c>
      <c r="V1676">
        <v>0</v>
      </c>
      <c r="W1676">
        <v>0</v>
      </c>
      <c r="X1676">
        <v>1</v>
      </c>
      <c r="Y1676">
        <v>0</v>
      </c>
      <c r="Z1676">
        <v>0</v>
      </c>
      <c r="AB1676">
        <v>0</v>
      </c>
      <c r="AC1676">
        <v>9</v>
      </c>
      <c r="AD1676">
        <v>3</v>
      </c>
      <c r="AE1676">
        <v>0</v>
      </c>
      <c r="AF1676">
        <v>9</v>
      </c>
      <c r="AG1676" t="s">
        <v>158</v>
      </c>
      <c r="AH1676">
        <v>0</v>
      </c>
      <c r="AI1676">
        <v>3</v>
      </c>
      <c r="AJ1676">
        <v>1</v>
      </c>
      <c r="AK1676">
        <v>0</v>
      </c>
      <c r="AL1676" t="s">
        <v>2331</v>
      </c>
      <c r="AM1676">
        <v>46.831927</v>
      </c>
      <c r="AN1676" t="s">
        <v>3212</v>
      </c>
      <c r="AO1676">
        <v>-122.865815</v>
      </c>
      <c r="AP1676">
        <v>100</v>
      </c>
      <c r="AQ1676">
        <v>2000</v>
      </c>
      <c r="AR1676" t="s">
        <v>118</v>
      </c>
      <c r="AS1676">
        <v>-74</v>
      </c>
      <c r="AT1676">
        <v>23</v>
      </c>
      <c r="AU1676">
        <v>128</v>
      </c>
      <c r="BC1676">
        <v>1200</v>
      </c>
      <c r="BD1676">
        <v>1</v>
      </c>
      <c r="BE1676" t="str">
        <f t="shared" si="80"/>
        <v xml:space="preserve">N215T   </v>
      </c>
      <c r="BF1676">
        <v>1</v>
      </c>
      <c r="BH1676">
        <v>0</v>
      </c>
      <c r="BI1676">
        <v>0</v>
      </c>
      <c r="BJ1676">
        <v>0</v>
      </c>
      <c r="BK1676">
        <v>2350</v>
      </c>
      <c r="BL1676">
        <v>350</v>
      </c>
      <c r="BM1676" t="s">
        <v>119</v>
      </c>
      <c r="BN1676">
        <v>1</v>
      </c>
      <c r="BO1676">
        <v>1</v>
      </c>
      <c r="BP1676">
        <v>1</v>
      </c>
      <c r="BQ1676">
        <v>0</v>
      </c>
      <c r="BT1676">
        <v>0</v>
      </c>
      <c r="BU1676">
        <v>0</v>
      </c>
      <c r="BV1676">
        <v>0</v>
      </c>
      <c r="CC1676" t="str">
        <f>"19:02:44.578"</f>
        <v>19:02:44.578</v>
      </c>
      <c r="CD1676" t="str">
        <f>"578051703"</f>
        <v>578051703</v>
      </c>
      <c r="CQ1676">
        <v>0</v>
      </c>
      <c r="CR1676">
        <v>2</v>
      </c>
      <c r="CS1676">
        <v>0</v>
      </c>
      <c r="CT1676">
        <v>2</v>
      </c>
      <c r="CU1676">
        <v>0</v>
      </c>
      <c r="CV1676">
        <v>7</v>
      </c>
      <c r="CW1676" t="s">
        <v>120</v>
      </c>
      <c r="CX1676">
        <v>261</v>
      </c>
      <c r="CY1676">
        <v>2</v>
      </c>
      <c r="CZ1676" t="s">
        <v>121</v>
      </c>
      <c r="DA1676" t="s">
        <v>122</v>
      </c>
      <c r="DD1676">
        <v>15236152</v>
      </c>
      <c r="DE1676" t="s">
        <v>123</v>
      </c>
    </row>
    <row r="1677" spans="1:109" x14ac:dyDescent="0.3">
      <c r="A1677" t="str">
        <f>"19:02:45.789"</f>
        <v>19:02:45.789</v>
      </c>
      <c r="B1677" t="s">
        <v>110</v>
      </c>
      <c r="C1677" t="str">
        <f t="shared" si="78"/>
        <v>ffdfd3c0</v>
      </c>
      <c r="D1677" t="s">
        <v>111</v>
      </c>
      <c r="E1677">
        <v>18</v>
      </c>
      <c r="F1677">
        <v>1018</v>
      </c>
      <c r="G1677" t="s">
        <v>112</v>
      </c>
      <c r="J1677" t="s">
        <v>113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R1677" t="s">
        <v>114</v>
      </c>
      <c r="S1677" t="str">
        <f>"19:02:45.547"</f>
        <v>19:02:45.547</v>
      </c>
      <c r="T1677" t="str">
        <f>"19:02:45.148"</f>
        <v>19:02:45.148</v>
      </c>
      <c r="U1677" t="str">
        <f t="shared" si="79"/>
        <v>a1cdbe</v>
      </c>
      <c r="V1677">
        <v>0</v>
      </c>
      <c r="W1677">
        <v>0</v>
      </c>
      <c r="X1677">
        <v>1</v>
      </c>
      <c r="Y1677">
        <v>0</v>
      </c>
      <c r="Z1677">
        <v>0</v>
      </c>
      <c r="AB1677">
        <v>0</v>
      </c>
      <c r="AC1677">
        <v>9</v>
      </c>
      <c r="AD1677">
        <v>3</v>
      </c>
      <c r="AE1677">
        <v>0</v>
      </c>
      <c r="AF1677">
        <v>9</v>
      </c>
      <c r="AG1677" t="s">
        <v>158</v>
      </c>
      <c r="AH1677">
        <v>0</v>
      </c>
      <c r="AI1677">
        <v>3</v>
      </c>
      <c r="AJ1677">
        <v>1</v>
      </c>
      <c r="AK1677">
        <v>0</v>
      </c>
      <c r="AL1677" t="s">
        <v>3213</v>
      </c>
      <c r="AM1677">
        <v>46.832013000000003</v>
      </c>
      <c r="AN1677" t="s">
        <v>3214</v>
      </c>
      <c r="AO1677">
        <v>-122.86635200000001</v>
      </c>
      <c r="AP1677">
        <v>100</v>
      </c>
      <c r="AQ1677">
        <v>2000</v>
      </c>
      <c r="AR1677" t="s">
        <v>118</v>
      </c>
      <c r="AS1677">
        <v>-74</v>
      </c>
      <c r="AT1677">
        <v>23</v>
      </c>
      <c r="AU1677">
        <v>128</v>
      </c>
      <c r="BC1677">
        <v>1200</v>
      </c>
      <c r="BD1677">
        <v>1</v>
      </c>
      <c r="BE1677" t="str">
        <f t="shared" si="80"/>
        <v xml:space="preserve">N215T   </v>
      </c>
      <c r="BF1677">
        <v>1</v>
      </c>
      <c r="BH1677">
        <v>0</v>
      </c>
      <c r="BI1677">
        <v>0</v>
      </c>
      <c r="BJ1677">
        <v>0</v>
      </c>
      <c r="BK1677">
        <v>2375</v>
      </c>
      <c r="BL1677">
        <v>375</v>
      </c>
      <c r="BM1677" t="s">
        <v>119</v>
      </c>
      <c r="BN1677">
        <v>1</v>
      </c>
      <c r="BO1677">
        <v>1</v>
      </c>
      <c r="BP1677">
        <v>1</v>
      </c>
      <c r="BQ1677">
        <v>0</v>
      </c>
      <c r="BT1677">
        <v>0</v>
      </c>
      <c r="BU1677">
        <v>0</v>
      </c>
      <c r="BV1677">
        <v>0</v>
      </c>
      <c r="CC1677" t="str">
        <f>"19:02:45.555"</f>
        <v>19:02:45.555</v>
      </c>
      <c r="CD1677" t="str">
        <f>"552955658"</f>
        <v>552955658</v>
      </c>
      <c r="CQ1677">
        <v>0</v>
      </c>
      <c r="CR1677">
        <v>2</v>
      </c>
      <c r="CS1677">
        <v>0</v>
      </c>
      <c r="CT1677">
        <v>2</v>
      </c>
      <c r="CU1677">
        <v>0</v>
      </c>
      <c r="CV1677">
        <v>7</v>
      </c>
      <c r="CW1677" t="s">
        <v>120</v>
      </c>
      <c r="CX1677">
        <v>261</v>
      </c>
      <c r="CY1677">
        <v>2</v>
      </c>
      <c r="CZ1677" t="s">
        <v>121</v>
      </c>
      <c r="DA1677" t="s">
        <v>122</v>
      </c>
      <c r="DD1677">
        <v>15236767</v>
      </c>
      <c r="DE1677" t="s">
        <v>123</v>
      </c>
    </row>
    <row r="1678" spans="1:109" x14ac:dyDescent="0.3">
      <c r="A1678" t="str">
        <f>"19:02:46.898"</f>
        <v>19:02:46.898</v>
      </c>
      <c r="B1678" t="s">
        <v>110</v>
      </c>
      <c r="C1678" t="str">
        <f t="shared" si="78"/>
        <v>ffdfd3c0</v>
      </c>
      <c r="D1678" t="s">
        <v>111</v>
      </c>
      <c r="E1678">
        <v>18</v>
      </c>
      <c r="F1678">
        <v>1018</v>
      </c>
      <c r="G1678" t="s">
        <v>112</v>
      </c>
      <c r="J1678" t="s">
        <v>113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R1678" t="s">
        <v>114</v>
      </c>
      <c r="S1678" t="str">
        <f>"19:02:46.672"</f>
        <v>19:02:46.672</v>
      </c>
      <c r="T1678" t="str">
        <f>"19:02:46.570"</f>
        <v>19:02:46.570</v>
      </c>
      <c r="U1678" t="str">
        <f t="shared" si="79"/>
        <v>a1cdbe</v>
      </c>
      <c r="V1678">
        <v>0</v>
      </c>
      <c r="W1678">
        <v>0</v>
      </c>
      <c r="X1678">
        <v>1</v>
      </c>
      <c r="Y1678">
        <v>0</v>
      </c>
      <c r="Z1678">
        <v>0</v>
      </c>
      <c r="AB1678">
        <v>0</v>
      </c>
      <c r="AC1678">
        <v>9</v>
      </c>
      <c r="AD1678">
        <v>3</v>
      </c>
      <c r="AE1678">
        <v>0</v>
      </c>
      <c r="AF1678">
        <v>9</v>
      </c>
      <c r="AG1678" t="s">
        <v>158</v>
      </c>
      <c r="AH1678">
        <v>0</v>
      </c>
      <c r="AI1678">
        <v>3</v>
      </c>
      <c r="AJ1678">
        <v>1</v>
      </c>
      <c r="AK1678">
        <v>0</v>
      </c>
      <c r="AL1678" t="s">
        <v>3215</v>
      </c>
      <c r="AM1678">
        <v>46.832163000000001</v>
      </c>
      <c r="AN1678" t="s">
        <v>3216</v>
      </c>
      <c r="AO1678">
        <v>-122.86691</v>
      </c>
      <c r="AP1678">
        <v>100</v>
      </c>
      <c r="AQ1678">
        <v>2000</v>
      </c>
      <c r="AR1678" t="s">
        <v>118</v>
      </c>
      <c r="AS1678">
        <v>-74</v>
      </c>
      <c r="AT1678">
        <v>23</v>
      </c>
      <c r="AU1678">
        <v>64</v>
      </c>
      <c r="BC1678">
        <v>1200</v>
      </c>
      <c r="BD1678">
        <v>1</v>
      </c>
      <c r="BE1678" t="str">
        <f t="shared" si="80"/>
        <v xml:space="preserve">N215T   </v>
      </c>
      <c r="BF1678">
        <v>1</v>
      </c>
      <c r="BH1678">
        <v>0</v>
      </c>
      <c r="BI1678">
        <v>0</v>
      </c>
      <c r="BJ1678">
        <v>0</v>
      </c>
      <c r="BK1678">
        <v>2375</v>
      </c>
      <c r="BL1678">
        <v>375</v>
      </c>
      <c r="BM1678" t="s">
        <v>119</v>
      </c>
      <c r="BN1678">
        <v>1</v>
      </c>
      <c r="BO1678">
        <v>1</v>
      </c>
      <c r="BP1678">
        <v>1</v>
      </c>
      <c r="BQ1678">
        <v>0</v>
      </c>
      <c r="BT1678">
        <v>0</v>
      </c>
      <c r="BU1678">
        <v>0</v>
      </c>
      <c r="BV1678">
        <v>0</v>
      </c>
      <c r="CC1678" t="str">
        <f>"19:02:46.680"</f>
        <v>19:02:46.680</v>
      </c>
      <c r="CD1678" t="str">
        <f>"677844831"</f>
        <v>677844831</v>
      </c>
      <c r="CQ1678">
        <v>0</v>
      </c>
      <c r="CR1678">
        <v>2</v>
      </c>
      <c r="CS1678">
        <v>0</v>
      </c>
      <c r="CT1678">
        <v>2</v>
      </c>
      <c r="CU1678">
        <v>0</v>
      </c>
      <c r="CV1678">
        <v>7</v>
      </c>
      <c r="CW1678" t="s">
        <v>120</v>
      </c>
      <c r="CX1678">
        <v>261</v>
      </c>
      <c r="CY1678">
        <v>2</v>
      </c>
      <c r="CZ1678" t="s">
        <v>121</v>
      </c>
      <c r="DA1678" t="s">
        <v>122</v>
      </c>
      <c r="DD1678">
        <v>15237470</v>
      </c>
      <c r="DE1678" t="s">
        <v>123</v>
      </c>
    </row>
    <row r="1679" spans="1:109" x14ac:dyDescent="0.3">
      <c r="A1679" t="str">
        <f>"19:02:48.102"</f>
        <v>19:02:48.102</v>
      </c>
      <c r="B1679" t="s">
        <v>110</v>
      </c>
      <c r="C1679" t="str">
        <f t="shared" si="78"/>
        <v>ffdfd3c0</v>
      </c>
      <c r="D1679" t="s">
        <v>111</v>
      </c>
      <c r="E1679">
        <v>18</v>
      </c>
      <c r="F1679">
        <v>1018</v>
      </c>
      <c r="G1679" t="s">
        <v>112</v>
      </c>
      <c r="J1679" t="s">
        <v>113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R1679" t="s">
        <v>114</v>
      </c>
      <c r="S1679" t="str">
        <f>"19:02:47.859"</f>
        <v>19:02:47.859</v>
      </c>
      <c r="T1679" t="str">
        <f>"19:02:47.656"</f>
        <v>19:02:47.656</v>
      </c>
      <c r="U1679" t="str">
        <f t="shared" si="79"/>
        <v>a1cdbe</v>
      </c>
      <c r="V1679">
        <v>0</v>
      </c>
      <c r="W1679">
        <v>0</v>
      </c>
      <c r="X1679">
        <v>1</v>
      </c>
      <c r="Y1679">
        <v>0</v>
      </c>
      <c r="Z1679">
        <v>0</v>
      </c>
      <c r="AB1679">
        <v>0</v>
      </c>
      <c r="AC1679">
        <v>9</v>
      </c>
      <c r="AD1679">
        <v>3</v>
      </c>
      <c r="AE1679">
        <v>0</v>
      </c>
      <c r="AF1679">
        <v>9</v>
      </c>
      <c r="AG1679" t="s">
        <v>158</v>
      </c>
      <c r="AH1679">
        <v>0</v>
      </c>
      <c r="AI1679">
        <v>3</v>
      </c>
      <c r="AJ1679">
        <v>1</v>
      </c>
      <c r="AK1679">
        <v>0</v>
      </c>
      <c r="AL1679" t="s">
        <v>3217</v>
      </c>
      <c r="AM1679">
        <v>46.832292000000002</v>
      </c>
      <c r="AN1679" t="s">
        <v>3218</v>
      </c>
      <c r="AO1679">
        <v>-122.867446</v>
      </c>
      <c r="AP1679">
        <v>100</v>
      </c>
      <c r="AQ1679">
        <v>2000</v>
      </c>
      <c r="AR1679" t="s">
        <v>118</v>
      </c>
      <c r="AS1679">
        <v>-74</v>
      </c>
      <c r="AT1679">
        <v>23</v>
      </c>
      <c r="AU1679">
        <v>0</v>
      </c>
      <c r="BC1679">
        <v>1200</v>
      </c>
      <c r="BD1679">
        <v>1</v>
      </c>
      <c r="BE1679" t="str">
        <f t="shared" si="80"/>
        <v xml:space="preserve">N215T   </v>
      </c>
      <c r="BF1679">
        <v>1</v>
      </c>
      <c r="BH1679">
        <v>0</v>
      </c>
      <c r="BI1679">
        <v>0</v>
      </c>
      <c r="BJ1679">
        <v>0</v>
      </c>
      <c r="BK1679">
        <v>2375</v>
      </c>
      <c r="BL1679">
        <v>375</v>
      </c>
      <c r="BM1679" t="s">
        <v>119</v>
      </c>
      <c r="BN1679">
        <v>1</v>
      </c>
      <c r="BO1679">
        <v>1</v>
      </c>
      <c r="BP1679">
        <v>1</v>
      </c>
      <c r="BQ1679">
        <v>0</v>
      </c>
      <c r="BT1679">
        <v>0</v>
      </c>
      <c r="BU1679">
        <v>0</v>
      </c>
      <c r="BV1679">
        <v>0</v>
      </c>
      <c r="CC1679" t="str">
        <f>"19:02:47.859"</f>
        <v>19:02:47.859</v>
      </c>
      <c r="CD1679" t="str">
        <f>"862728099"</f>
        <v>862728099</v>
      </c>
      <c r="CQ1679">
        <v>0</v>
      </c>
      <c r="CR1679">
        <v>2</v>
      </c>
      <c r="CS1679">
        <v>0</v>
      </c>
      <c r="CT1679">
        <v>2</v>
      </c>
      <c r="CU1679">
        <v>0</v>
      </c>
      <c r="CV1679">
        <v>7</v>
      </c>
      <c r="CW1679" t="s">
        <v>120</v>
      </c>
      <c r="CX1679">
        <v>261</v>
      </c>
      <c r="CY1679">
        <v>2</v>
      </c>
      <c r="CZ1679" t="s">
        <v>121</v>
      </c>
      <c r="DA1679" t="s">
        <v>122</v>
      </c>
      <c r="DD1679">
        <v>15238264</v>
      </c>
      <c r="DE1679" t="s">
        <v>123</v>
      </c>
    </row>
    <row r="1680" spans="1:109" x14ac:dyDescent="0.3">
      <c r="A1680" t="str">
        <f>"19:02:48.953"</f>
        <v>19:02:48.953</v>
      </c>
      <c r="B1680" t="s">
        <v>110</v>
      </c>
      <c r="C1680" t="str">
        <f t="shared" si="78"/>
        <v>ffdfd3c0</v>
      </c>
      <c r="D1680" t="s">
        <v>111</v>
      </c>
      <c r="E1680">
        <v>18</v>
      </c>
      <c r="F1680">
        <v>1018</v>
      </c>
      <c r="G1680" t="s">
        <v>112</v>
      </c>
      <c r="J1680" t="s">
        <v>113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R1680" t="s">
        <v>114</v>
      </c>
      <c r="S1680" t="str">
        <f>"19:02:48.727"</f>
        <v>19:02:48.727</v>
      </c>
      <c r="T1680" t="str">
        <f>"19:02:48.625"</f>
        <v>19:02:48.625</v>
      </c>
      <c r="U1680" t="str">
        <f t="shared" si="79"/>
        <v>a1cdbe</v>
      </c>
      <c r="V1680">
        <v>0</v>
      </c>
      <c r="W1680">
        <v>0</v>
      </c>
      <c r="X1680">
        <v>1</v>
      </c>
      <c r="Y1680">
        <v>0</v>
      </c>
      <c r="Z1680">
        <v>0</v>
      </c>
      <c r="AB1680">
        <v>0</v>
      </c>
      <c r="AC1680">
        <v>9</v>
      </c>
      <c r="AD1680">
        <v>3</v>
      </c>
      <c r="AE1680">
        <v>0</v>
      </c>
      <c r="AF1680">
        <v>9</v>
      </c>
      <c r="AG1680" t="s">
        <v>158</v>
      </c>
      <c r="AH1680">
        <v>0</v>
      </c>
      <c r="AI1680">
        <v>3</v>
      </c>
      <c r="AJ1680">
        <v>1</v>
      </c>
      <c r="AK1680">
        <v>0</v>
      </c>
      <c r="AL1680" t="s">
        <v>3219</v>
      </c>
      <c r="AM1680">
        <v>46.832399000000002</v>
      </c>
      <c r="AN1680" t="s">
        <v>3220</v>
      </c>
      <c r="AO1680">
        <v>-122.86793900000001</v>
      </c>
      <c r="AP1680">
        <v>100</v>
      </c>
      <c r="AQ1680">
        <v>2000</v>
      </c>
      <c r="AR1680" t="s">
        <v>118</v>
      </c>
      <c r="AS1680">
        <v>-74</v>
      </c>
      <c r="AT1680">
        <v>23</v>
      </c>
      <c r="AU1680">
        <v>0</v>
      </c>
      <c r="BC1680">
        <v>1200</v>
      </c>
      <c r="BD1680">
        <v>1</v>
      </c>
      <c r="BE1680" t="str">
        <f t="shared" si="80"/>
        <v xml:space="preserve">N215T   </v>
      </c>
      <c r="BF1680">
        <v>1</v>
      </c>
      <c r="BH1680">
        <v>0</v>
      </c>
      <c r="BI1680">
        <v>0</v>
      </c>
      <c r="BJ1680">
        <v>0</v>
      </c>
      <c r="BK1680">
        <v>2350</v>
      </c>
      <c r="BL1680">
        <v>350</v>
      </c>
      <c r="BM1680" t="s">
        <v>119</v>
      </c>
      <c r="BN1680">
        <v>1</v>
      </c>
      <c r="BO1680">
        <v>1</v>
      </c>
      <c r="BP1680">
        <v>1</v>
      </c>
      <c r="BQ1680">
        <v>0</v>
      </c>
      <c r="BT1680">
        <v>0</v>
      </c>
      <c r="BU1680">
        <v>0</v>
      </c>
      <c r="BV1680">
        <v>0</v>
      </c>
      <c r="CC1680" t="str">
        <f>"19:02:48.734"</f>
        <v>19:02:48.734</v>
      </c>
      <c r="CD1680" t="str">
        <f>"732642388"</f>
        <v>732642388</v>
      </c>
      <c r="CQ1680">
        <v>0</v>
      </c>
      <c r="CR1680">
        <v>2</v>
      </c>
      <c r="CS1680">
        <v>0</v>
      </c>
      <c r="CT1680">
        <v>2</v>
      </c>
      <c r="CU1680">
        <v>0</v>
      </c>
      <c r="CV1680">
        <v>7</v>
      </c>
      <c r="CW1680" t="s">
        <v>120</v>
      </c>
      <c r="CX1680">
        <v>261</v>
      </c>
      <c r="CY1680">
        <v>2</v>
      </c>
      <c r="CZ1680" t="s">
        <v>121</v>
      </c>
      <c r="DA1680" t="s">
        <v>122</v>
      </c>
      <c r="DD1680">
        <v>15238886</v>
      </c>
      <c r="DE1680" t="s">
        <v>123</v>
      </c>
    </row>
    <row r="1681" spans="1:109" x14ac:dyDescent="0.3">
      <c r="A1681" t="str">
        <f>"19:02:49.813"</f>
        <v>19:02:49.813</v>
      </c>
      <c r="B1681" t="s">
        <v>110</v>
      </c>
      <c r="C1681" t="str">
        <f t="shared" si="78"/>
        <v>ffdfd3c0</v>
      </c>
      <c r="D1681" t="s">
        <v>111</v>
      </c>
      <c r="E1681">
        <v>18</v>
      </c>
      <c r="F1681">
        <v>1018</v>
      </c>
      <c r="G1681" t="s">
        <v>112</v>
      </c>
      <c r="J1681" t="s">
        <v>113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R1681" t="s">
        <v>114</v>
      </c>
      <c r="S1681" t="str">
        <f>"19:02:49.570"</f>
        <v>19:02:49.570</v>
      </c>
      <c r="T1681" t="str">
        <f>"19:02:49.070"</f>
        <v>19:02:49.070</v>
      </c>
      <c r="U1681" t="str">
        <f t="shared" si="79"/>
        <v>a1cdbe</v>
      </c>
      <c r="V1681">
        <v>0</v>
      </c>
      <c r="W1681">
        <v>0</v>
      </c>
      <c r="X1681">
        <v>1</v>
      </c>
      <c r="Y1681">
        <v>0</v>
      </c>
      <c r="Z1681">
        <v>0</v>
      </c>
      <c r="AB1681">
        <v>0</v>
      </c>
      <c r="AC1681">
        <v>9</v>
      </c>
      <c r="AD1681">
        <v>3</v>
      </c>
      <c r="AE1681">
        <v>0</v>
      </c>
      <c r="AF1681">
        <v>9</v>
      </c>
      <c r="AG1681" t="s">
        <v>158</v>
      </c>
      <c r="AH1681">
        <v>0</v>
      </c>
      <c r="AI1681">
        <v>3</v>
      </c>
      <c r="AJ1681">
        <v>1</v>
      </c>
      <c r="AK1681">
        <v>0</v>
      </c>
      <c r="AL1681" t="s">
        <v>2323</v>
      </c>
      <c r="AM1681">
        <v>46.832464000000002</v>
      </c>
      <c r="AN1681" t="s">
        <v>3221</v>
      </c>
      <c r="AO1681">
        <v>-122.868347</v>
      </c>
      <c r="AP1681">
        <v>100</v>
      </c>
      <c r="AQ1681">
        <v>2000</v>
      </c>
      <c r="AR1681" t="s">
        <v>118</v>
      </c>
      <c r="AS1681">
        <v>-74</v>
      </c>
      <c r="AT1681">
        <v>23</v>
      </c>
      <c r="AU1681">
        <v>0</v>
      </c>
      <c r="BC1681">
        <v>1200</v>
      </c>
      <c r="BD1681">
        <v>1</v>
      </c>
      <c r="BE1681" t="str">
        <f t="shared" si="80"/>
        <v xml:space="preserve">N215T   </v>
      </c>
      <c r="BF1681">
        <v>1</v>
      </c>
      <c r="BH1681">
        <v>0</v>
      </c>
      <c r="BI1681">
        <v>0</v>
      </c>
      <c r="BJ1681">
        <v>0</v>
      </c>
      <c r="BK1681">
        <v>2350</v>
      </c>
      <c r="BL1681">
        <v>350</v>
      </c>
      <c r="BM1681" t="s">
        <v>119</v>
      </c>
      <c r="BN1681">
        <v>1</v>
      </c>
      <c r="BO1681">
        <v>1</v>
      </c>
      <c r="BP1681">
        <v>1</v>
      </c>
      <c r="BQ1681">
        <v>0</v>
      </c>
      <c r="BT1681">
        <v>0</v>
      </c>
      <c r="BU1681">
        <v>0</v>
      </c>
      <c r="BV1681">
        <v>0</v>
      </c>
      <c r="CC1681" t="str">
        <f>"19:02:49.570"</f>
        <v>19:02:49.570</v>
      </c>
      <c r="CD1681" t="str">
        <f>"572559646"</f>
        <v>572559646</v>
      </c>
      <c r="CQ1681">
        <v>0</v>
      </c>
      <c r="CR1681">
        <v>2</v>
      </c>
      <c r="CS1681">
        <v>0</v>
      </c>
      <c r="CT1681">
        <v>2</v>
      </c>
      <c r="CU1681">
        <v>0</v>
      </c>
      <c r="CV1681">
        <v>7</v>
      </c>
      <c r="CW1681" t="s">
        <v>120</v>
      </c>
      <c r="CX1681">
        <v>261</v>
      </c>
      <c r="CY1681">
        <v>2</v>
      </c>
      <c r="CZ1681" t="s">
        <v>121</v>
      </c>
      <c r="DA1681" t="s">
        <v>122</v>
      </c>
      <c r="DD1681">
        <v>15239449</v>
      </c>
      <c r="DE1681" t="s">
        <v>123</v>
      </c>
    </row>
    <row r="1682" spans="1:109" x14ac:dyDescent="0.3">
      <c r="A1682" t="str">
        <f>"19:02:50.820"</f>
        <v>19:02:50.820</v>
      </c>
      <c r="B1682" t="s">
        <v>110</v>
      </c>
      <c r="C1682" t="str">
        <f t="shared" si="78"/>
        <v>ffdfd3c0</v>
      </c>
      <c r="D1682" t="s">
        <v>111</v>
      </c>
      <c r="E1682">
        <v>18</v>
      </c>
      <c r="F1682">
        <v>1018</v>
      </c>
      <c r="G1682" t="s">
        <v>112</v>
      </c>
      <c r="J1682" t="s">
        <v>113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R1682" t="s">
        <v>114</v>
      </c>
      <c r="S1682" t="str">
        <f>"19:02:50.617"</f>
        <v>19:02:50.617</v>
      </c>
      <c r="T1682" t="str">
        <f>"19:02:50.617"</f>
        <v>19:02:50.617</v>
      </c>
      <c r="U1682" t="str">
        <f t="shared" si="79"/>
        <v>a1cdbe</v>
      </c>
      <c r="V1682">
        <v>0</v>
      </c>
      <c r="W1682">
        <v>0</v>
      </c>
      <c r="X1682">
        <v>1</v>
      </c>
      <c r="Y1682">
        <v>0</v>
      </c>
      <c r="Z1682">
        <v>0</v>
      </c>
      <c r="AB1682">
        <v>0</v>
      </c>
      <c r="AC1682">
        <v>9</v>
      </c>
      <c r="AD1682">
        <v>3</v>
      </c>
      <c r="AE1682">
        <v>0</v>
      </c>
      <c r="AF1682">
        <v>9</v>
      </c>
      <c r="AG1682" t="s">
        <v>158</v>
      </c>
      <c r="AH1682">
        <v>0</v>
      </c>
      <c r="AI1682">
        <v>3</v>
      </c>
      <c r="AJ1682">
        <v>1</v>
      </c>
      <c r="AK1682">
        <v>0</v>
      </c>
      <c r="AL1682" t="s">
        <v>3222</v>
      </c>
      <c r="AM1682">
        <v>46.832571000000002</v>
      </c>
      <c r="AN1682" t="s">
        <v>3223</v>
      </c>
      <c r="AO1682">
        <v>-122.868905</v>
      </c>
      <c r="AP1682">
        <v>100</v>
      </c>
      <c r="AQ1682">
        <v>2000</v>
      </c>
      <c r="AR1682" t="s">
        <v>118</v>
      </c>
      <c r="AS1682">
        <v>-75</v>
      </c>
      <c r="AT1682">
        <v>22</v>
      </c>
      <c r="AU1682">
        <v>-64</v>
      </c>
      <c r="BC1682">
        <v>1200</v>
      </c>
      <c r="BD1682">
        <v>1</v>
      </c>
      <c r="BE1682" t="str">
        <f t="shared" si="80"/>
        <v xml:space="preserve">N215T   </v>
      </c>
      <c r="BF1682">
        <v>1</v>
      </c>
      <c r="BH1682">
        <v>0</v>
      </c>
      <c r="BI1682">
        <v>0</v>
      </c>
      <c r="BJ1682">
        <v>0</v>
      </c>
      <c r="BK1682">
        <v>2375</v>
      </c>
      <c r="BL1682">
        <v>375</v>
      </c>
      <c r="BM1682" t="s">
        <v>119</v>
      </c>
      <c r="BN1682">
        <v>1</v>
      </c>
      <c r="BO1682">
        <v>1</v>
      </c>
      <c r="BP1682">
        <v>1</v>
      </c>
      <c r="BQ1682">
        <v>0</v>
      </c>
      <c r="BT1682">
        <v>0</v>
      </c>
      <c r="BU1682">
        <v>0</v>
      </c>
      <c r="BV1682">
        <v>0</v>
      </c>
      <c r="CC1682" t="str">
        <f>"19:02:50.625"</f>
        <v>19:02:50.625</v>
      </c>
      <c r="CD1682" t="str">
        <f>"622456217"</f>
        <v>622456217</v>
      </c>
      <c r="CQ1682">
        <v>0</v>
      </c>
      <c r="CR1682">
        <v>2</v>
      </c>
      <c r="CS1682">
        <v>0</v>
      </c>
      <c r="CT1682">
        <v>2</v>
      </c>
      <c r="CU1682">
        <v>0</v>
      </c>
      <c r="CV1682">
        <v>7</v>
      </c>
      <c r="CW1682" t="s">
        <v>120</v>
      </c>
      <c r="CX1682">
        <v>261</v>
      </c>
      <c r="CY1682">
        <v>2</v>
      </c>
      <c r="CZ1682" t="s">
        <v>121</v>
      </c>
      <c r="DA1682" t="s">
        <v>122</v>
      </c>
      <c r="DD1682">
        <v>15240115</v>
      </c>
      <c r="DE1682" t="s">
        <v>123</v>
      </c>
    </row>
    <row r="1683" spans="1:109" x14ac:dyDescent="0.3">
      <c r="A1683" t="str">
        <f>"19:02:51.875"</f>
        <v>19:02:51.875</v>
      </c>
      <c r="B1683" t="s">
        <v>110</v>
      </c>
      <c r="C1683" t="str">
        <f t="shared" si="78"/>
        <v>ffdfd3c0</v>
      </c>
      <c r="D1683" t="s">
        <v>111</v>
      </c>
      <c r="E1683">
        <v>18</v>
      </c>
      <c r="F1683">
        <v>1018</v>
      </c>
      <c r="G1683" t="s">
        <v>112</v>
      </c>
      <c r="J1683" t="s">
        <v>113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R1683" t="s">
        <v>114</v>
      </c>
      <c r="S1683" t="str">
        <f>"19:02:51.641"</f>
        <v>19:02:51.641</v>
      </c>
      <c r="T1683" t="str">
        <f>"19:02:51.641"</f>
        <v>19:02:51.641</v>
      </c>
      <c r="U1683" t="str">
        <f t="shared" si="79"/>
        <v>a1cdbe</v>
      </c>
      <c r="V1683">
        <v>0</v>
      </c>
      <c r="W1683">
        <v>0</v>
      </c>
      <c r="X1683">
        <v>1</v>
      </c>
      <c r="Y1683">
        <v>0</v>
      </c>
      <c r="Z1683">
        <v>0</v>
      </c>
      <c r="AB1683">
        <v>0</v>
      </c>
      <c r="AC1683">
        <v>9</v>
      </c>
      <c r="AD1683">
        <v>3</v>
      </c>
      <c r="AE1683">
        <v>0</v>
      </c>
      <c r="AF1683">
        <v>9</v>
      </c>
      <c r="AG1683" t="s">
        <v>158</v>
      </c>
      <c r="AH1683">
        <v>0</v>
      </c>
      <c r="AI1683">
        <v>3</v>
      </c>
      <c r="AJ1683">
        <v>1</v>
      </c>
      <c r="AK1683">
        <v>0</v>
      </c>
      <c r="AL1683" t="s">
        <v>3224</v>
      </c>
      <c r="AM1683">
        <v>46.832656999999998</v>
      </c>
      <c r="AN1683" t="s">
        <v>3225</v>
      </c>
      <c r="AO1683">
        <v>-122.869356</v>
      </c>
      <c r="AP1683">
        <v>100</v>
      </c>
      <c r="AQ1683">
        <v>2000</v>
      </c>
      <c r="AR1683" t="s">
        <v>118</v>
      </c>
      <c r="AS1683">
        <v>-75</v>
      </c>
      <c r="AT1683">
        <v>22</v>
      </c>
      <c r="AU1683">
        <v>-64</v>
      </c>
      <c r="BC1683">
        <v>1200</v>
      </c>
      <c r="BD1683">
        <v>1</v>
      </c>
      <c r="BE1683" t="str">
        <f t="shared" si="80"/>
        <v xml:space="preserve">N215T   </v>
      </c>
      <c r="BF1683">
        <v>1</v>
      </c>
      <c r="BH1683">
        <v>0</v>
      </c>
      <c r="BI1683">
        <v>0</v>
      </c>
      <c r="BJ1683">
        <v>0</v>
      </c>
      <c r="BK1683">
        <v>2375</v>
      </c>
      <c r="BL1683">
        <v>375</v>
      </c>
      <c r="BM1683" t="s">
        <v>119</v>
      </c>
      <c r="BN1683">
        <v>1</v>
      </c>
      <c r="BO1683">
        <v>1</v>
      </c>
      <c r="BP1683">
        <v>1</v>
      </c>
      <c r="BQ1683">
        <v>0</v>
      </c>
      <c r="BT1683">
        <v>0</v>
      </c>
      <c r="BU1683">
        <v>0</v>
      </c>
      <c r="BV1683">
        <v>0</v>
      </c>
      <c r="CC1683" t="str">
        <f>"19:02:51.641"</f>
        <v>19:02:51.641</v>
      </c>
      <c r="CD1683" t="str">
        <f>"642355738"</f>
        <v>642355738</v>
      </c>
      <c r="CQ1683">
        <v>0</v>
      </c>
      <c r="CR1683">
        <v>2</v>
      </c>
      <c r="CS1683">
        <v>0</v>
      </c>
      <c r="CT1683">
        <v>2</v>
      </c>
      <c r="CU1683">
        <v>0</v>
      </c>
      <c r="CV1683">
        <v>7</v>
      </c>
      <c r="CW1683" t="s">
        <v>120</v>
      </c>
      <c r="CX1683">
        <v>261</v>
      </c>
      <c r="CY1683">
        <v>2</v>
      </c>
      <c r="CZ1683" t="s">
        <v>121</v>
      </c>
      <c r="DA1683" t="s">
        <v>122</v>
      </c>
      <c r="DD1683">
        <v>15240791</v>
      </c>
      <c r="DE1683" t="s">
        <v>123</v>
      </c>
    </row>
    <row r="1684" spans="1:109" x14ac:dyDescent="0.3">
      <c r="A1684" t="str">
        <f>"19:02:52.781"</f>
        <v>19:02:52.781</v>
      </c>
      <c r="B1684" t="s">
        <v>110</v>
      </c>
      <c r="C1684" t="str">
        <f t="shared" si="78"/>
        <v>ffdfd3c0</v>
      </c>
      <c r="D1684" t="s">
        <v>111</v>
      </c>
      <c r="E1684">
        <v>18</v>
      </c>
      <c r="F1684">
        <v>1018</v>
      </c>
      <c r="G1684" t="s">
        <v>112</v>
      </c>
      <c r="J1684" t="s">
        <v>113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R1684" t="s">
        <v>114</v>
      </c>
      <c r="S1684" t="str">
        <f>"19:02:52.586"</f>
        <v>19:02:52.586</v>
      </c>
      <c r="T1684" t="str">
        <f>"19:02:52.188"</f>
        <v>19:02:52.188</v>
      </c>
      <c r="U1684" t="str">
        <f t="shared" si="79"/>
        <v>a1cdbe</v>
      </c>
      <c r="V1684">
        <v>0</v>
      </c>
      <c r="W1684">
        <v>0</v>
      </c>
      <c r="X1684">
        <v>1</v>
      </c>
      <c r="Y1684">
        <v>0</v>
      </c>
      <c r="Z1684">
        <v>0</v>
      </c>
      <c r="AB1684">
        <v>0</v>
      </c>
      <c r="AC1684">
        <v>9</v>
      </c>
      <c r="AD1684">
        <v>3</v>
      </c>
      <c r="AE1684">
        <v>0</v>
      </c>
      <c r="AF1684">
        <v>9</v>
      </c>
      <c r="AG1684" t="s">
        <v>158</v>
      </c>
      <c r="AH1684">
        <v>0</v>
      </c>
      <c r="AI1684">
        <v>3</v>
      </c>
      <c r="AJ1684">
        <v>1</v>
      </c>
      <c r="AK1684">
        <v>0</v>
      </c>
      <c r="AL1684" t="s">
        <v>3226</v>
      </c>
      <c r="AM1684">
        <v>46.832763999999997</v>
      </c>
      <c r="AN1684" t="s">
        <v>3227</v>
      </c>
      <c r="AO1684">
        <v>-122.869849</v>
      </c>
      <c r="AP1684">
        <v>100</v>
      </c>
      <c r="AQ1684">
        <v>2000</v>
      </c>
      <c r="AR1684" t="s">
        <v>118</v>
      </c>
      <c r="AS1684">
        <v>-75</v>
      </c>
      <c r="AT1684">
        <v>22</v>
      </c>
      <c r="AU1684">
        <v>-64</v>
      </c>
      <c r="BC1684">
        <v>1200</v>
      </c>
      <c r="BD1684">
        <v>1</v>
      </c>
      <c r="BE1684" t="str">
        <f t="shared" si="80"/>
        <v xml:space="preserve">N215T   </v>
      </c>
      <c r="BF1684">
        <v>1</v>
      </c>
      <c r="BH1684">
        <v>0</v>
      </c>
      <c r="BI1684">
        <v>0</v>
      </c>
      <c r="BJ1684">
        <v>0</v>
      </c>
      <c r="BK1684">
        <v>2375</v>
      </c>
      <c r="BL1684">
        <v>375</v>
      </c>
      <c r="BM1684" t="s">
        <v>119</v>
      </c>
      <c r="BN1684">
        <v>1</v>
      </c>
      <c r="BO1684">
        <v>1</v>
      </c>
      <c r="BP1684">
        <v>1</v>
      </c>
      <c r="BQ1684">
        <v>0</v>
      </c>
      <c r="BT1684">
        <v>0</v>
      </c>
      <c r="BU1684">
        <v>0</v>
      </c>
      <c r="BV1684">
        <v>0</v>
      </c>
      <c r="CC1684" t="str">
        <f>"19:02:52.586"</f>
        <v>19:02:52.586</v>
      </c>
      <c r="CD1684" t="str">
        <f>"587262642"</f>
        <v>587262642</v>
      </c>
      <c r="CQ1684">
        <v>0</v>
      </c>
      <c r="CR1684">
        <v>2</v>
      </c>
      <c r="CS1684">
        <v>0</v>
      </c>
      <c r="CT1684">
        <v>2</v>
      </c>
      <c r="CU1684">
        <v>0</v>
      </c>
      <c r="CV1684">
        <v>7</v>
      </c>
      <c r="CW1684" t="s">
        <v>120</v>
      </c>
      <c r="CX1684">
        <v>261</v>
      </c>
      <c r="CY1684">
        <v>2</v>
      </c>
      <c r="CZ1684" t="s">
        <v>121</v>
      </c>
      <c r="DA1684" t="s">
        <v>122</v>
      </c>
      <c r="DD1684">
        <v>15241377</v>
      </c>
      <c r="DE1684" t="s">
        <v>123</v>
      </c>
    </row>
    <row r="1685" spans="1:109" x14ac:dyDescent="0.3">
      <c r="A1685" t="str">
        <f>"19:02:53.836"</f>
        <v>19:02:53.836</v>
      </c>
      <c r="B1685" t="s">
        <v>110</v>
      </c>
      <c r="C1685" t="str">
        <f t="shared" si="78"/>
        <v>ffdfd3c0</v>
      </c>
      <c r="D1685" t="s">
        <v>111</v>
      </c>
      <c r="E1685">
        <v>18</v>
      </c>
      <c r="F1685">
        <v>1018</v>
      </c>
      <c r="G1685" t="s">
        <v>112</v>
      </c>
      <c r="J1685" t="s">
        <v>113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R1685" t="s">
        <v>114</v>
      </c>
      <c r="S1685" t="str">
        <f>"19:02:53.586"</f>
        <v>19:02:53.586</v>
      </c>
      <c r="T1685" t="str">
        <f>"19:02:53.484"</f>
        <v>19:02:53.484</v>
      </c>
      <c r="U1685" t="str">
        <f t="shared" si="79"/>
        <v>a1cdbe</v>
      </c>
      <c r="V1685">
        <v>0</v>
      </c>
      <c r="W1685">
        <v>0</v>
      </c>
      <c r="X1685">
        <v>1</v>
      </c>
      <c r="Y1685">
        <v>0</v>
      </c>
      <c r="Z1685">
        <v>0</v>
      </c>
      <c r="AB1685">
        <v>0</v>
      </c>
      <c r="AC1685">
        <v>9</v>
      </c>
      <c r="AD1685">
        <v>3</v>
      </c>
      <c r="AE1685">
        <v>0</v>
      </c>
      <c r="AF1685">
        <v>9</v>
      </c>
      <c r="AG1685" t="s">
        <v>158</v>
      </c>
      <c r="AH1685">
        <v>0</v>
      </c>
      <c r="AI1685">
        <v>3</v>
      </c>
      <c r="AJ1685">
        <v>1</v>
      </c>
      <c r="AK1685">
        <v>0</v>
      </c>
      <c r="AL1685" t="s">
        <v>3228</v>
      </c>
      <c r="AM1685">
        <v>46.832892999999999</v>
      </c>
      <c r="AN1685" t="s">
        <v>3229</v>
      </c>
      <c r="AO1685">
        <v>-122.870364</v>
      </c>
      <c r="AP1685">
        <v>100</v>
      </c>
      <c r="AQ1685">
        <v>2000</v>
      </c>
      <c r="AR1685" t="s">
        <v>118</v>
      </c>
      <c r="AS1685">
        <v>-75</v>
      </c>
      <c r="AT1685">
        <v>22</v>
      </c>
      <c r="AU1685">
        <v>-64</v>
      </c>
      <c r="BC1685">
        <v>1200</v>
      </c>
      <c r="BD1685">
        <v>1</v>
      </c>
      <c r="BE1685" t="str">
        <f t="shared" si="80"/>
        <v xml:space="preserve">N215T   </v>
      </c>
      <c r="BF1685">
        <v>1</v>
      </c>
      <c r="BH1685">
        <v>0</v>
      </c>
      <c r="BI1685">
        <v>0</v>
      </c>
      <c r="BJ1685">
        <v>0</v>
      </c>
      <c r="BK1685">
        <v>2375</v>
      </c>
      <c r="BL1685">
        <v>375</v>
      </c>
      <c r="BM1685" t="s">
        <v>119</v>
      </c>
      <c r="BN1685">
        <v>1</v>
      </c>
      <c r="BO1685">
        <v>1</v>
      </c>
      <c r="BP1685">
        <v>1</v>
      </c>
      <c r="BQ1685">
        <v>0</v>
      </c>
      <c r="BT1685">
        <v>0</v>
      </c>
      <c r="BU1685">
        <v>0</v>
      </c>
      <c r="BV1685">
        <v>0</v>
      </c>
      <c r="CC1685" t="str">
        <f>"19:02:53.594"</f>
        <v>19:02:53.594</v>
      </c>
      <c r="CD1685" t="str">
        <f>"592163646"</f>
        <v>592163646</v>
      </c>
      <c r="CQ1685">
        <v>0</v>
      </c>
      <c r="CR1685">
        <v>2</v>
      </c>
      <c r="CS1685">
        <v>0</v>
      </c>
      <c r="CT1685">
        <v>2</v>
      </c>
      <c r="CU1685">
        <v>0</v>
      </c>
      <c r="CV1685">
        <v>7</v>
      </c>
      <c r="CW1685" t="s">
        <v>120</v>
      </c>
      <c r="CX1685">
        <v>261</v>
      </c>
      <c r="CY1685">
        <v>2</v>
      </c>
      <c r="CZ1685" t="s">
        <v>121</v>
      </c>
      <c r="DA1685" t="s">
        <v>122</v>
      </c>
      <c r="DD1685">
        <v>15242035</v>
      </c>
      <c r="DE1685" t="s">
        <v>123</v>
      </c>
    </row>
    <row r="1686" spans="1:109" x14ac:dyDescent="0.3">
      <c r="A1686" t="str">
        <f>"19:02:54.688"</f>
        <v>19:02:54.688</v>
      </c>
      <c r="B1686" t="s">
        <v>110</v>
      </c>
      <c r="C1686" t="str">
        <f t="shared" si="78"/>
        <v>ffdfd3c0</v>
      </c>
      <c r="D1686" t="s">
        <v>111</v>
      </c>
      <c r="E1686">
        <v>18</v>
      </c>
      <c r="F1686">
        <v>1018</v>
      </c>
      <c r="G1686" t="s">
        <v>112</v>
      </c>
      <c r="J1686" t="s">
        <v>113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R1686" t="s">
        <v>114</v>
      </c>
      <c r="S1686" t="str">
        <f>"19:02:54.445"</f>
        <v>19:02:54.445</v>
      </c>
      <c r="T1686" t="str">
        <f>"19:02:54.344"</f>
        <v>19:02:54.344</v>
      </c>
      <c r="U1686" t="str">
        <f t="shared" si="79"/>
        <v>a1cdbe</v>
      </c>
      <c r="V1686">
        <v>0</v>
      </c>
      <c r="W1686">
        <v>0</v>
      </c>
      <c r="X1686">
        <v>1</v>
      </c>
      <c r="Y1686">
        <v>0</v>
      </c>
      <c r="Z1686">
        <v>0</v>
      </c>
      <c r="AB1686">
        <v>0</v>
      </c>
      <c r="AC1686">
        <v>9</v>
      </c>
      <c r="AD1686">
        <v>3</v>
      </c>
      <c r="AE1686">
        <v>0</v>
      </c>
      <c r="AF1686">
        <v>9</v>
      </c>
      <c r="AG1686" t="s">
        <v>158</v>
      </c>
      <c r="AH1686">
        <v>0</v>
      </c>
      <c r="AI1686">
        <v>3</v>
      </c>
      <c r="AJ1686">
        <v>1</v>
      </c>
      <c r="AK1686">
        <v>0</v>
      </c>
      <c r="AL1686" t="s">
        <v>2317</v>
      </c>
      <c r="AM1686">
        <v>46.832979000000002</v>
      </c>
      <c r="AN1686" t="s">
        <v>3230</v>
      </c>
      <c r="AO1686">
        <v>-122.870836</v>
      </c>
      <c r="AP1686">
        <v>100</v>
      </c>
      <c r="AQ1686">
        <v>2000</v>
      </c>
      <c r="AR1686" t="s">
        <v>118</v>
      </c>
      <c r="AS1686">
        <v>-75</v>
      </c>
      <c r="AT1686">
        <v>23</v>
      </c>
      <c r="AU1686">
        <v>-64</v>
      </c>
      <c r="BC1686">
        <v>1200</v>
      </c>
      <c r="BD1686">
        <v>1</v>
      </c>
      <c r="BE1686" t="str">
        <f t="shared" si="80"/>
        <v xml:space="preserve">N215T   </v>
      </c>
      <c r="BF1686">
        <v>1</v>
      </c>
      <c r="BH1686">
        <v>0</v>
      </c>
      <c r="BI1686">
        <v>0</v>
      </c>
      <c r="BJ1686">
        <v>0</v>
      </c>
      <c r="BK1686">
        <v>2350</v>
      </c>
      <c r="BL1686">
        <v>350</v>
      </c>
      <c r="BM1686" t="s">
        <v>119</v>
      </c>
      <c r="BN1686">
        <v>1</v>
      </c>
      <c r="BO1686">
        <v>1</v>
      </c>
      <c r="BP1686">
        <v>1</v>
      </c>
      <c r="BQ1686">
        <v>0</v>
      </c>
      <c r="BT1686">
        <v>0</v>
      </c>
      <c r="BU1686">
        <v>0</v>
      </c>
      <c r="BV1686">
        <v>0</v>
      </c>
      <c r="CC1686" t="str">
        <f>"19:02:54.445"</f>
        <v>19:02:54.445</v>
      </c>
      <c r="CD1686" t="str">
        <f>"447079415"</f>
        <v>447079415</v>
      </c>
      <c r="CQ1686">
        <v>0</v>
      </c>
      <c r="CR1686">
        <v>2</v>
      </c>
      <c r="CS1686">
        <v>0</v>
      </c>
      <c r="CT1686">
        <v>2</v>
      </c>
      <c r="CU1686">
        <v>0</v>
      </c>
      <c r="CV1686">
        <v>7</v>
      </c>
      <c r="CW1686" t="s">
        <v>120</v>
      </c>
      <c r="CX1686">
        <v>261</v>
      </c>
      <c r="CY1686">
        <v>2</v>
      </c>
      <c r="CZ1686" t="s">
        <v>121</v>
      </c>
      <c r="DA1686" t="s">
        <v>122</v>
      </c>
      <c r="DD1686">
        <v>15242589</v>
      </c>
      <c r="DE1686" t="s">
        <v>123</v>
      </c>
    </row>
    <row r="1687" spans="1:109" x14ac:dyDescent="0.3">
      <c r="A1687" t="str">
        <f>"19:02:55.641"</f>
        <v>19:02:55.641</v>
      </c>
      <c r="B1687" t="s">
        <v>110</v>
      </c>
      <c r="C1687" t="str">
        <f t="shared" si="78"/>
        <v>ffdfd3c0</v>
      </c>
      <c r="D1687" t="s">
        <v>111</v>
      </c>
      <c r="E1687">
        <v>18</v>
      </c>
      <c r="F1687">
        <v>1018</v>
      </c>
      <c r="G1687" t="s">
        <v>112</v>
      </c>
      <c r="J1687" t="s">
        <v>113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R1687" t="s">
        <v>114</v>
      </c>
      <c r="S1687" t="str">
        <f>"19:02:55.391"</f>
        <v>19:02:55.391</v>
      </c>
      <c r="T1687" t="str">
        <f>"19:02:55.391"</f>
        <v>19:02:55.391</v>
      </c>
      <c r="U1687" t="str">
        <f t="shared" si="79"/>
        <v>a1cdbe</v>
      </c>
      <c r="V1687">
        <v>0</v>
      </c>
      <c r="W1687">
        <v>0</v>
      </c>
      <c r="X1687">
        <v>1</v>
      </c>
      <c r="Y1687">
        <v>0</v>
      </c>
      <c r="Z1687">
        <v>0</v>
      </c>
      <c r="AB1687">
        <v>0</v>
      </c>
      <c r="AC1687">
        <v>9</v>
      </c>
      <c r="AD1687">
        <v>3</v>
      </c>
      <c r="AE1687">
        <v>0</v>
      </c>
      <c r="AF1687">
        <v>9</v>
      </c>
      <c r="AG1687" t="s">
        <v>158</v>
      </c>
      <c r="AH1687">
        <v>0</v>
      </c>
      <c r="AI1687">
        <v>3</v>
      </c>
      <c r="AJ1687">
        <v>1</v>
      </c>
      <c r="AK1687">
        <v>0</v>
      </c>
      <c r="AL1687" t="s">
        <v>3231</v>
      </c>
      <c r="AM1687">
        <v>46.833043000000004</v>
      </c>
      <c r="AN1687" t="s">
        <v>3232</v>
      </c>
      <c r="AO1687">
        <v>-122.871308</v>
      </c>
      <c r="AP1687">
        <v>100</v>
      </c>
      <c r="AQ1687">
        <v>2000</v>
      </c>
      <c r="AR1687" t="s">
        <v>118</v>
      </c>
      <c r="AS1687">
        <v>-75</v>
      </c>
      <c r="AT1687">
        <v>23</v>
      </c>
      <c r="AU1687">
        <v>-128</v>
      </c>
      <c r="BC1687">
        <v>1200</v>
      </c>
      <c r="BD1687">
        <v>1</v>
      </c>
      <c r="BE1687" t="str">
        <f t="shared" si="80"/>
        <v xml:space="preserve">N215T   </v>
      </c>
      <c r="BF1687">
        <v>1</v>
      </c>
      <c r="BH1687">
        <v>0</v>
      </c>
      <c r="BI1687">
        <v>0</v>
      </c>
      <c r="BJ1687">
        <v>0</v>
      </c>
      <c r="BK1687">
        <v>2350</v>
      </c>
      <c r="BL1687">
        <v>350</v>
      </c>
      <c r="BM1687" t="s">
        <v>119</v>
      </c>
      <c r="BN1687">
        <v>1</v>
      </c>
      <c r="BO1687">
        <v>1</v>
      </c>
      <c r="BP1687">
        <v>1</v>
      </c>
      <c r="BQ1687">
        <v>0</v>
      </c>
      <c r="BT1687">
        <v>0</v>
      </c>
      <c r="BU1687">
        <v>0</v>
      </c>
      <c r="BV1687">
        <v>0</v>
      </c>
      <c r="CC1687" t="str">
        <f>"19:02:55.391"</f>
        <v>19:02:55.391</v>
      </c>
      <c r="CD1687" t="str">
        <f>"391986321"</f>
        <v>391986321</v>
      </c>
      <c r="CQ1687">
        <v>0</v>
      </c>
      <c r="CR1687">
        <v>2</v>
      </c>
      <c r="CS1687">
        <v>0</v>
      </c>
      <c r="CT1687">
        <v>2</v>
      </c>
      <c r="CU1687">
        <v>0</v>
      </c>
      <c r="CV1687">
        <v>7</v>
      </c>
      <c r="CW1687" t="s">
        <v>120</v>
      </c>
      <c r="CX1687">
        <v>261</v>
      </c>
      <c r="CY1687">
        <v>2</v>
      </c>
      <c r="CZ1687" t="s">
        <v>121</v>
      </c>
      <c r="DA1687" t="s">
        <v>122</v>
      </c>
      <c r="DD1687">
        <v>15243201</v>
      </c>
      <c r="DE1687" t="s">
        <v>123</v>
      </c>
    </row>
    <row r="1688" spans="1:109" x14ac:dyDescent="0.3">
      <c r="A1688" t="str">
        <f>"19:02:56.797"</f>
        <v>19:02:56.797</v>
      </c>
      <c r="B1688" t="s">
        <v>110</v>
      </c>
      <c r="C1688" t="str">
        <f t="shared" si="78"/>
        <v>ffdfd3c0</v>
      </c>
      <c r="D1688" t="s">
        <v>111</v>
      </c>
      <c r="E1688">
        <v>18</v>
      </c>
      <c r="F1688">
        <v>1018</v>
      </c>
      <c r="G1688" t="s">
        <v>112</v>
      </c>
      <c r="J1688" t="s">
        <v>113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R1688" t="s">
        <v>114</v>
      </c>
      <c r="S1688" t="str">
        <f>"19:02:56.539"</f>
        <v>19:02:56.539</v>
      </c>
      <c r="T1688" t="str">
        <f>"19:02:56.438"</f>
        <v>19:02:56.438</v>
      </c>
      <c r="U1688" t="str">
        <f t="shared" si="79"/>
        <v>a1cdbe</v>
      </c>
      <c r="V1688">
        <v>0</v>
      </c>
      <c r="W1688">
        <v>0</v>
      </c>
      <c r="X1688">
        <v>1</v>
      </c>
      <c r="Y1688">
        <v>0</v>
      </c>
      <c r="Z1688">
        <v>0</v>
      </c>
      <c r="AB1688">
        <v>0</v>
      </c>
      <c r="AC1688">
        <v>9</v>
      </c>
      <c r="AD1688">
        <v>3</v>
      </c>
      <c r="AE1688">
        <v>0</v>
      </c>
      <c r="AF1688">
        <v>9</v>
      </c>
      <c r="AG1688" t="s">
        <v>158</v>
      </c>
      <c r="AH1688">
        <v>0</v>
      </c>
      <c r="AI1688">
        <v>3</v>
      </c>
      <c r="AJ1688">
        <v>1</v>
      </c>
      <c r="AK1688">
        <v>0</v>
      </c>
      <c r="AL1688" t="s">
        <v>3233</v>
      </c>
      <c r="AM1688">
        <v>46.833215000000003</v>
      </c>
      <c r="AN1688" t="s">
        <v>3234</v>
      </c>
      <c r="AO1688">
        <v>-122.871888</v>
      </c>
      <c r="AP1688">
        <v>100</v>
      </c>
      <c r="AQ1688">
        <v>2000</v>
      </c>
      <c r="AR1688" t="s">
        <v>118</v>
      </c>
      <c r="AS1688">
        <v>-75</v>
      </c>
      <c r="AT1688">
        <v>24</v>
      </c>
      <c r="AU1688">
        <v>-64</v>
      </c>
      <c r="BC1688">
        <v>1200</v>
      </c>
      <c r="BD1688">
        <v>1</v>
      </c>
      <c r="BE1688" t="str">
        <f t="shared" si="80"/>
        <v xml:space="preserve">N215T   </v>
      </c>
      <c r="BF1688">
        <v>1</v>
      </c>
      <c r="BH1688">
        <v>0</v>
      </c>
      <c r="BI1688">
        <v>0</v>
      </c>
      <c r="BJ1688">
        <v>0</v>
      </c>
      <c r="BK1688">
        <v>2350</v>
      </c>
      <c r="BL1688">
        <v>350</v>
      </c>
      <c r="BM1688" t="s">
        <v>119</v>
      </c>
      <c r="BN1688">
        <v>1</v>
      </c>
      <c r="BO1688">
        <v>1</v>
      </c>
      <c r="BP1688">
        <v>1</v>
      </c>
      <c r="BQ1688">
        <v>0</v>
      </c>
      <c r="BT1688">
        <v>0</v>
      </c>
      <c r="BU1688">
        <v>0</v>
      </c>
      <c r="BV1688">
        <v>0</v>
      </c>
      <c r="CC1688" t="str">
        <f>"19:02:56.547"</f>
        <v>19:02:56.547</v>
      </c>
      <c r="CD1688" t="str">
        <f>"546872543"</f>
        <v>546872543</v>
      </c>
      <c r="CQ1688">
        <v>0</v>
      </c>
      <c r="CR1688">
        <v>2</v>
      </c>
      <c r="CS1688">
        <v>0</v>
      </c>
      <c r="CT1688">
        <v>2</v>
      </c>
      <c r="CU1688">
        <v>0</v>
      </c>
      <c r="CV1688">
        <v>7</v>
      </c>
      <c r="CW1688" t="s">
        <v>120</v>
      </c>
      <c r="CX1688">
        <v>261</v>
      </c>
      <c r="CY1688">
        <v>2</v>
      </c>
      <c r="CZ1688" t="s">
        <v>121</v>
      </c>
      <c r="DA1688" t="s">
        <v>122</v>
      </c>
      <c r="DD1688">
        <v>15243907</v>
      </c>
      <c r="DE1688" t="s">
        <v>123</v>
      </c>
    </row>
    <row r="1689" spans="1:109" x14ac:dyDescent="0.3">
      <c r="A1689" t="str">
        <f>"19:02:57.703"</f>
        <v>19:02:57.703</v>
      </c>
      <c r="B1689" t="s">
        <v>110</v>
      </c>
      <c r="C1689" t="str">
        <f t="shared" si="78"/>
        <v>ffdfd3c0</v>
      </c>
      <c r="D1689" t="s">
        <v>111</v>
      </c>
      <c r="E1689">
        <v>18</v>
      </c>
      <c r="F1689">
        <v>1018</v>
      </c>
      <c r="G1689" t="s">
        <v>112</v>
      </c>
      <c r="J1689" t="s">
        <v>113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R1689" t="s">
        <v>114</v>
      </c>
      <c r="S1689" t="str">
        <f>"19:02:57.484"</f>
        <v>19:02:57.484</v>
      </c>
      <c r="T1689" t="str">
        <f>"19:02:56.984"</f>
        <v>19:02:56.984</v>
      </c>
      <c r="U1689" t="str">
        <f t="shared" si="79"/>
        <v>a1cdbe</v>
      </c>
      <c r="V1689">
        <v>0</v>
      </c>
      <c r="W1689">
        <v>0</v>
      </c>
      <c r="X1689">
        <v>1</v>
      </c>
      <c r="Y1689">
        <v>0</v>
      </c>
      <c r="Z1689">
        <v>0</v>
      </c>
      <c r="AB1689">
        <v>0</v>
      </c>
      <c r="AC1689">
        <v>9</v>
      </c>
      <c r="AD1689">
        <v>3</v>
      </c>
      <c r="AE1689">
        <v>0</v>
      </c>
      <c r="AF1689">
        <v>9</v>
      </c>
      <c r="AG1689" t="s">
        <v>158</v>
      </c>
      <c r="AH1689">
        <v>0</v>
      </c>
      <c r="AI1689">
        <v>3</v>
      </c>
      <c r="AJ1689">
        <v>1</v>
      </c>
      <c r="AK1689">
        <v>0</v>
      </c>
      <c r="AL1689" t="s">
        <v>3235</v>
      </c>
      <c r="AM1689">
        <v>46.833322000000003</v>
      </c>
      <c r="AN1689" t="s">
        <v>3236</v>
      </c>
      <c r="AO1689">
        <v>-122.872338</v>
      </c>
      <c r="AP1689">
        <v>100</v>
      </c>
      <c r="AQ1689">
        <v>2000</v>
      </c>
      <c r="AR1689" t="s">
        <v>118</v>
      </c>
      <c r="AS1689">
        <v>-75</v>
      </c>
      <c r="AT1689">
        <v>24</v>
      </c>
      <c r="AU1689">
        <v>-64</v>
      </c>
      <c r="BC1689">
        <v>1200</v>
      </c>
      <c r="BD1689">
        <v>1</v>
      </c>
      <c r="BE1689" t="str">
        <f t="shared" si="80"/>
        <v xml:space="preserve">N215T   </v>
      </c>
      <c r="BF1689">
        <v>1</v>
      </c>
      <c r="BH1689">
        <v>0</v>
      </c>
      <c r="BI1689">
        <v>0</v>
      </c>
      <c r="BJ1689">
        <v>0</v>
      </c>
      <c r="BK1689">
        <v>2350</v>
      </c>
      <c r="BL1689">
        <v>350</v>
      </c>
      <c r="BM1689" t="s">
        <v>119</v>
      </c>
      <c r="BN1689">
        <v>1</v>
      </c>
      <c r="BO1689">
        <v>1</v>
      </c>
      <c r="BP1689">
        <v>1</v>
      </c>
      <c r="BQ1689">
        <v>0</v>
      </c>
      <c r="BT1689">
        <v>0</v>
      </c>
      <c r="BU1689">
        <v>0</v>
      </c>
      <c r="BV1689">
        <v>0</v>
      </c>
      <c r="CC1689" t="str">
        <f>"19:02:57.492"</f>
        <v>19:02:57.492</v>
      </c>
      <c r="CD1689" t="str">
        <f>"491779442"</f>
        <v>491779442</v>
      </c>
      <c r="CQ1689">
        <v>0</v>
      </c>
      <c r="CR1689">
        <v>2</v>
      </c>
      <c r="CS1689">
        <v>0</v>
      </c>
      <c r="CT1689">
        <v>2</v>
      </c>
      <c r="CU1689">
        <v>0</v>
      </c>
      <c r="CV1689">
        <v>7</v>
      </c>
      <c r="CW1689" t="s">
        <v>120</v>
      </c>
      <c r="CX1689">
        <v>261</v>
      </c>
      <c r="CY1689">
        <v>2</v>
      </c>
      <c r="CZ1689" t="s">
        <v>121</v>
      </c>
      <c r="DA1689" t="s">
        <v>122</v>
      </c>
      <c r="DD1689">
        <v>15244537</v>
      </c>
      <c r="DE1689" t="s">
        <v>123</v>
      </c>
    </row>
    <row r="1690" spans="1:109" x14ac:dyDescent="0.3">
      <c r="A1690" t="str">
        <f>"19:02:58.859"</f>
        <v>19:02:58.859</v>
      </c>
      <c r="B1690" t="s">
        <v>110</v>
      </c>
      <c r="C1690" t="str">
        <f t="shared" si="78"/>
        <v>ffdfd3c0</v>
      </c>
      <c r="D1690" t="s">
        <v>111</v>
      </c>
      <c r="E1690">
        <v>18</v>
      </c>
      <c r="F1690">
        <v>1018</v>
      </c>
      <c r="G1690" t="s">
        <v>112</v>
      </c>
      <c r="J1690" t="s">
        <v>113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R1690" t="s">
        <v>114</v>
      </c>
      <c r="S1690" t="str">
        <f>"19:02:58.609"</f>
        <v>19:02:58.609</v>
      </c>
      <c r="T1690" t="str">
        <f>"19:02:58.609"</f>
        <v>19:02:58.609</v>
      </c>
      <c r="U1690" t="str">
        <f t="shared" si="79"/>
        <v>a1cdbe</v>
      </c>
      <c r="V1690">
        <v>0</v>
      </c>
      <c r="W1690">
        <v>0</v>
      </c>
      <c r="X1690">
        <v>1</v>
      </c>
      <c r="Y1690">
        <v>0</v>
      </c>
      <c r="Z1690">
        <v>0</v>
      </c>
      <c r="AB1690">
        <v>0</v>
      </c>
      <c r="AC1690">
        <v>9</v>
      </c>
      <c r="AD1690">
        <v>3</v>
      </c>
      <c r="AE1690">
        <v>0</v>
      </c>
      <c r="AF1690">
        <v>9</v>
      </c>
      <c r="AG1690" t="s">
        <v>158</v>
      </c>
      <c r="AH1690">
        <v>0</v>
      </c>
      <c r="AI1690">
        <v>3</v>
      </c>
      <c r="AJ1690">
        <v>1</v>
      </c>
      <c r="AK1690">
        <v>0</v>
      </c>
      <c r="AL1690" t="s">
        <v>3237</v>
      </c>
      <c r="AM1690">
        <v>46.833407999999999</v>
      </c>
      <c r="AN1690" t="s">
        <v>3238</v>
      </c>
      <c r="AO1690">
        <v>-122.872939</v>
      </c>
      <c r="AP1690">
        <v>100</v>
      </c>
      <c r="AQ1690">
        <v>2000</v>
      </c>
      <c r="AR1690" t="s">
        <v>118</v>
      </c>
      <c r="AS1690">
        <v>-75</v>
      </c>
      <c r="AT1690">
        <v>24</v>
      </c>
      <c r="AU1690">
        <v>-64</v>
      </c>
      <c r="BC1690">
        <v>1200</v>
      </c>
      <c r="BD1690">
        <v>1</v>
      </c>
      <c r="BE1690" t="str">
        <f t="shared" si="80"/>
        <v xml:space="preserve">N215T   </v>
      </c>
      <c r="BF1690">
        <v>1</v>
      </c>
      <c r="BH1690">
        <v>0</v>
      </c>
      <c r="BI1690">
        <v>0</v>
      </c>
      <c r="BJ1690">
        <v>0</v>
      </c>
      <c r="BK1690">
        <v>2350</v>
      </c>
      <c r="BL1690">
        <v>350</v>
      </c>
      <c r="BM1690" t="s">
        <v>119</v>
      </c>
      <c r="BN1690">
        <v>1</v>
      </c>
      <c r="BO1690">
        <v>1</v>
      </c>
      <c r="BP1690">
        <v>1</v>
      </c>
      <c r="BQ1690">
        <v>0</v>
      </c>
      <c r="BT1690">
        <v>0</v>
      </c>
      <c r="BU1690">
        <v>0</v>
      </c>
      <c r="BV1690">
        <v>0</v>
      </c>
      <c r="CC1690" t="str">
        <f>"19:02:58.617"</f>
        <v>19:02:58.617</v>
      </c>
      <c r="CD1690" t="str">
        <f>"616668628"</f>
        <v>616668628</v>
      </c>
      <c r="CQ1690">
        <v>0</v>
      </c>
      <c r="CR1690">
        <v>2</v>
      </c>
      <c r="CS1690">
        <v>0</v>
      </c>
      <c r="CT1690">
        <v>2</v>
      </c>
      <c r="CU1690">
        <v>0</v>
      </c>
      <c r="CV1690">
        <v>7</v>
      </c>
      <c r="CW1690" t="s">
        <v>120</v>
      </c>
      <c r="CX1690">
        <v>261</v>
      </c>
      <c r="CY1690">
        <v>2</v>
      </c>
      <c r="CZ1690" t="s">
        <v>121</v>
      </c>
      <c r="DA1690" t="s">
        <v>122</v>
      </c>
      <c r="DD1690">
        <v>15245240</v>
      </c>
      <c r="DE1690" t="s">
        <v>123</v>
      </c>
    </row>
    <row r="1691" spans="1:109" x14ac:dyDescent="0.3">
      <c r="A1691" t="str">
        <f>"19:02:59.820"</f>
        <v>19:02:59.820</v>
      </c>
      <c r="B1691" t="s">
        <v>110</v>
      </c>
      <c r="C1691" t="str">
        <f t="shared" si="78"/>
        <v>ffdfd3c0</v>
      </c>
      <c r="D1691" t="s">
        <v>111</v>
      </c>
      <c r="E1691">
        <v>18</v>
      </c>
      <c r="F1691">
        <v>1018</v>
      </c>
      <c r="G1691" t="s">
        <v>112</v>
      </c>
      <c r="J1691" t="s">
        <v>113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R1691" t="s">
        <v>114</v>
      </c>
      <c r="S1691" t="str">
        <f>"19:02:59.617"</f>
        <v>19:02:59.617</v>
      </c>
      <c r="T1691" t="str">
        <f>"19:02:59.117"</f>
        <v>19:02:59.117</v>
      </c>
      <c r="U1691" t="str">
        <f t="shared" si="79"/>
        <v>a1cdbe</v>
      </c>
      <c r="V1691">
        <v>0</v>
      </c>
      <c r="W1691">
        <v>0</v>
      </c>
      <c r="X1691">
        <v>1</v>
      </c>
      <c r="Y1691">
        <v>0</v>
      </c>
      <c r="Z1691">
        <v>0</v>
      </c>
      <c r="AB1691">
        <v>0</v>
      </c>
      <c r="AC1691">
        <v>9</v>
      </c>
      <c r="AD1691">
        <v>3</v>
      </c>
      <c r="AE1691">
        <v>0</v>
      </c>
      <c r="AF1691">
        <v>9</v>
      </c>
      <c r="AG1691" t="s">
        <v>158</v>
      </c>
      <c r="AH1691">
        <v>0</v>
      </c>
      <c r="AI1691">
        <v>3</v>
      </c>
      <c r="AJ1691">
        <v>1</v>
      </c>
      <c r="AK1691">
        <v>0</v>
      </c>
      <c r="AL1691" t="s">
        <v>2311</v>
      </c>
      <c r="AM1691">
        <v>46.833537</v>
      </c>
      <c r="AN1691" t="s">
        <v>3239</v>
      </c>
      <c r="AO1691">
        <v>-122.87343300000001</v>
      </c>
      <c r="AP1691">
        <v>100</v>
      </c>
      <c r="AQ1691">
        <v>2000</v>
      </c>
      <c r="AR1691" t="s">
        <v>118</v>
      </c>
      <c r="AS1691">
        <v>-75</v>
      </c>
      <c r="AT1691">
        <v>25</v>
      </c>
      <c r="AU1691">
        <v>0</v>
      </c>
      <c r="BC1691">
        <v>1200</v>
      </c>
      <c r="BD1691">
        <v>1</v>
      </c>
      <c r="BE1691" t="str">
        <f t="shared" si="80"/>
        <v xml:space="preserve">N215T   </v>
      </c>
      <c r="BF1691">
        <v>1</v>
      </c>
      <c r="BH1691">
        <v>0</v>
      </c>
      <c r="BI1691">
        <v>0</v>
      </c>
      <c r="BJ1691">
        <v>0</v>
      </c>
      <c r="BK1691">
        <v>2350</v>
      </c>
      <c r="BL1691">
        <v>350</v>
      </c>
      <c r="BM1691" t="s">
        <v>119</v>
      </c>
      <c r="BN1691">
        <v>1</v>
      </c>
      <c r="BO1691">
        <v>1</v>
      </c>
      <c r="BP1691">
        <v>1</v>
      </c>
      <c r="BQ1691">
        <v>0</v>
      </c>
      <c r="BT1691">
        <v>0</v>
      </c>
      <c r="BU1691">
        <v>0</v>
      </c>
      <c r="BV1691">
        <v>0</v>
      </c>
      <c r="CC1691" t="str">
        <f>"19:02:59.625"</f>
        <v>19:02:59.625</v>
      </c>
      <c r="CD1691" t="str">
        <f>"621569616"</f>
        <v>621569616</v>
      </c>
      <c r="CQ1691">
        <v>0</v>
      </c>
      <c r="CR1691">
        <v>2</v>
      </c>
      <c r="CS1691">
        <v>0</v>
      </c>
      <c r="CT1691">
        <v>2</v>
      </c>
      <c r="CU1691">
        <v>0</v>
      </c>
      <c r="CV1691">
        <v>7</v>
      </c>
      <c r="CW1691" t="s">
        <v>120</v>
      </c>
      <c r="CX1691">
        <v>261</v>
      </c>
      <c r="CY1691">
        <v>2</v>
      </c>
      <c r="CZ1691" t="s">
        <v>121</v>
      </c>
      <c r="DA1691" t="s">
        <v>122</v>
      </c>
      <c r="DD1691">
        <v>15245909</v>
      </c>
      <c r="DE1691" t="s">
        <v>123</v>
      </c>
    </row>
    <row r="1692" spans="1:109" x14ac:dyDescent="0.3">
      <c r="A1692" t="str">
        <f>"19:03:00.875"</f>
        <v>19:03:00.875</v>
      </c>
      <c r="B1692" t="s">
        <v>110</v>
      </c>
      <c r="C1692" t="str">
        <f t="shared" si="78"/>
        <v>ffdfd3c0</v>
      </c>
      <c r="D1692" t="s">
        <v>111</v>
      </c>
      <c r="E1692">
        <v>18</v>
      </c>
      <c r="F1692">
        <v>1018</v>
      </c>
      <c r="G1692" t="s">
        <v>112</v>
      </c>
      <c r="J1692" t="s">
        <v>113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R1692" t="s">
        <v>114</v>
      </c>
      <c r="S1692" t="str">
        <f>"19:03:00.664"</f>
        <v>19:03:00.664</v>
      </c>
      <c r="T1692" t="str">
        <f>"19:03:00.664"</f>
        <v>19:03:00.664</v>
      </c>
      <c r="U1692" t="str">
        <f t="shared" si="79"/>
        <v>a1cdbe</v>
      </c>
      <c r="V1692">
        <v>0</v>
      </c>
      <c r="W1692">
        <v>0</v>
      </c>
      <c r="X1692">
        <v>1</v>
      </c>
      <c r="Y1692">
        <v>0</v>
      </c>
      <c r="Z1692">
        <v>0</v>
      </c>
      <c r="AB1692">
        <v>0</v>
      </c>
      <c r="AC1692">
        <v>9</v>
      </c>
      <c r="AD1692">
        <v>3</v>
      </c>
      <c r="AE1692">
        <v>0</v>
      </c>
      <c r="AF1692">
        <v>9</v>
      </c>
      <c r="AG1692" t="s">
        <v>158</v>
      </c>
      <c r="AH1692">
        <v>0</v>
      </c>
      <c r="AI1692">
        <v>3</v>
      </c>
      <c r="AJ1692">
        <v>1</v>
      </c>
      <c r="AK1692">
        <v>0</v>
      </c>
      <c r="AL1692" t="s">
        <v>2309</v>
      </c>
      <c r="AM1692">
        <v>46.833644</v>
      </c>
      <c r="AN1692" t="s">
        <v>3240</v>
      </c>
      <c r="AO1692">
        <v>-122.87390499999999</v>
      </c>
      <c r="AP1692">
        <v>100</v>
      </c>
      <c r="AQ1692">
        <v>2000</v>
      </c>
      <c r="AR1692" t="s">
        <v>118</v>
      </c>
      <c r="AS1692">
        <v>-75</v>
      </c>
      <c r="AT1692">
        <v>25</v>
      </c>
      <c r="AU1692">
        <v>0</v>
      </c>
      <c r="BC1692">
        <v>1200</v>
      </c>
      <c r="BD1692">
        <v>1</v>
      </c>
      <c r="BE1692" t="str">
        <f t="shared" si="80"/>
        <v xml:space="preserve">N215T   </v>
      </c>
      <c r="BF1692">
        <v>1</v>
      </c>
      <c r="BH1692">
        <v>0</v>
      </c>
      <c r="BI1692">
        <v>0</v>
      </c>
      <c r="BJ1692">
        <v>0</v>
      </c>
      <c r="BK1692">
        <v>2350</v>
      </c>
      <c r="BL1692">
        <v>350</v>
      </c>
      <c r="BM1692" t="s">
        <v>119</v>
      </c>
      <c r="BN1692">
        <v>1</v>
      </c>
      <c r="BO1692">
        <v>1</v>
      </c>
      <c r="BP1692">
        <v>1</v>
      </c>
      <c r="BQ1692">
        <v>0</v>
      </c>
      <c r="BT1692">
        <v>0</v>
      </c>
      <c r="BU1692">
        <v>0</v>
      </c>
      <c r="BV1692">
        <v>0</v>
      </c>
      <c r="CC1692" t="str">
        <f>"19:03:00.672"</f>
        <v>19:03:00.672</v>
      </c>
      <c r="CD1692" t="str">
        <f>"671466172"</f>
        <v>671466172</v>
      </c>
      <c r="CQ1692">
        <v>0</v>
      </c>
      <c r="CR1692">
        <v>2</v>
      </c>
      <c r="CS1692">
        <v>0</v>
      </c>
      <c r="CT1692">
        <v>2</v>
      </c>
      <c r="CU1692">
        <v>0</v>
      </c>
      <c r="CV1692">
        <v>7</v>
      </c>
      <c r="CW1692" t="s">
        <v>120</v>
      </c>
      <c r="CX1692">
        <v>261</v>
      </c>
      <c r="CY1692">
        <v>2</v>
      </c>
      <c r="CZ1692" t="s">
        <v>121</v>
      </c>
      <c r="DA1692" t="s">
        <v>122</v>
      </c>
      <c r="DD1692">
        <v>15246579</v>
      </c>
      <c r="DE1692" t="s">
        <v>123</v>
      </c>
    </row>
    <row r="1693" spans="1:109" x14ac:dyDescent="0.3">
      <c r="A1693" t="str">
        <f>"19:03:01.930"</f>
        <v>19:03:01.930</v>
      </c>
      <c r="B1693" t="s">
        <v>110</v>
      </c>
      <c r="C1693" t="str">
        <f t="shared" si="78"/>
        <v>ffdfd3c0</v>
      </c>
      <c r="D1693" t="s">
        <v>111</v>
      </c>
      <c r="E1693">
        <v>18</v>
      </c>
      <c r="F1693">
        <v>1018</v>
      </c>
      <c r="G1693" t="s">
        <v>112</v>
      </c>
      <c r="J1693" t="s">
        <v>113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R1693" t="s">
        <v>114</v>
      </c>
      <c r="S1693" t="str">
        <f>"19:03:01.703"</f>
        <v>19:03:01.703</v>
      </c>
      <c r="T1693" t="str">
        <f>"19:03:01.500"</f>
        <v>19:03:01.500</v>
      </c>
      <c r="U1693" t="str">
        <f t="shared" si="79"/>
        <v>a1cdbe</v>
      </c>
      <c r="V1693">
        <v>0</v>
      </c>
      <c r="W1693">
        <v>0</v>
      </c>
      <c r="X1693">
        <v>1</v>
      </c>
      <c r="Y1693">
        <v>0</v>
      </c>
      <c r="Z1693">
        <v>0</v>
      </c>
      <c r="AB1693">
        <v>0</v>
      </c>
      <c r="AC1693">
        <v>9</v>
      </c>
      <c r="AD1693">
        <v>3</v>
      </c>
      <c r="AE1693">
        <v>0</v>
      </c>
      <c r="AF1693">
        <v>9</v>
      </c>
      <c r="AG1693" t="s">
        <v>158</v>
      </c>
      <c r="AH1693">
        <v>0</v>
      </c>
      <c r="AI1693">
        <v>3</v>
      </c>
      <c r="AJ1693">
        <v>1</v>
      </c>
      <c r="AK1693">
        <v>0</v>
      </c>
      <c r="AL1693" t="s">
        <v>3241</v>
      </c>
      <c r="AM1693">
        <v>46.833750999999999</v>
      </c>
      <c r="AN1693" t="s">
        <v>3242</v>
      </c>
      <c r="AO1693">
        <v>-122.874441</v>
      </c>
      <c r="AP1693">
        <v>100</v>
      </c>
      <c r="AQ1693">
        <v>2000</v>
      </c>
      <c r="AR1693" t="s">
        <v>118</v>
      </c>
      <c r="AS1693">
        <v>-74</v>
      </c>
      <c r="AT1693">
        <v>25</v>
      </c>
      <c r="AU1693">
        <v>64</v>
      </c>
      <c r="BC1693">
        <v>1200</v>
      </c>
      <c r="BD1693">
        <v>1</v>
      </c>
      <c r="BE1693" t="str">
        <f t="shared" si="80"/>
        <v xml:space="preserve">N215T   </v>
      </c>
      <c r="BF1693">
        <v>1</v>
      </c>
      <c r="BH1693">
        <v>0</v>
      </c>
      <c r="BI1693">
        <v>0</v>
      </c>
      <c r="BJ1693">
        <v>0</v>
      </c>
      <c r="BK1693">
        <v>2350</v>
      </c>
      <c r="BL1693">
        <v>350</v>
      </c>
      <c r="BM1693" t="s">
        <v>119</v>
      </c>
      <c r="BN1693">
        <v>1</v>
      </c>
      <c r="BO1693">
        <v>1</v>
      </c>
      <c r="BP1693">
        <v>1</v>
      </c>
      <c r="BQ1693">
        <v>0</v>
      </c>
      <c r="BT1693">
        <v>0</v>
      </c>
      <c r="BU1693">
        <v>0</v>
      </c>
      <c r="BV1693">
        <v>0</v>
      </c>
      <c r="CC1693" t="str">
        <f>"19:03:01.703"</f>
        <v>19:03:01.703</v>
      </c>
      <c r="CD1693" t="str">
        <f>"706364219"</f>
        <v>706364219</v>
      </c>
      <c r="CQ1693">
        <v>0</v>
      </c>
      <c r="CR1693">
        <v>2</v>
      </c>
      <c r="CS1693">
        <v>0</v>
      </c>
      <c r="CT1693">
        <v>2</v>
      </c>
      <c r="CU1693">
        <v>0</v>
      </c>
      <c r="CV1693">
        <v>7</v>
      </c>
      <c r="CW1693" t="s">
        <v>120</v>
      </c>
      <c r="CX1693">
        <v>261</v>
      </c>
      <c r="CY1693">
        <v>2</v>
      </c>
      <c r="CZ1693" t="s">
        <v>121</v>
      </c>
      <c r="DA1693" t="s">
        <v>122</v>
      </c>
      <c r="DD1693">
        <v>15247226</v>
      </c>
      <c r="DE1693" t="s">
        <v>123</v>
      </c>
    </row>
    <row r="1694" spans="1:109" x14ac:dyDescent="0.3">
      <c r="A1694" t="str">
        <f>"19:03:02.836"</f>
        <v>19:03:02.836</v>
      </c>
      <c r="B1694" t="s">
        <v>110</v>
      </c>
      <c r="C1694" t="str">
        <f t="shared" si="78"/>
        <v>ffdfd3c0</v>
      </c>
      <c r="D1694" t="s">
        <v>111</v>
      </c>
      <c r="E1694">
        <v>18</v>
      </c>
      <c r="F1694">
        <v>1018</v>
      </c>
      <c r="G1694" t="s">
        <v>112</v>
      </c>
      <c r="J1694" t="s">
        <v>113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R1694" t="s">
        <v>114</v>
      </c>
      <c r="S1694" t="str">
        <f>"19:03:02.586"</f>
        <v>19:03:02.586</v>
      </c>
      <c r="T1694" t="str">
        <f>"19:03:02.586"</f>
        <v>19:03:02.586</v>
      </c>
      <c r="U1694" t="str">
        <f t="shared" si="79"/>
        <v>a1cdbe</v>
      </c>
      <c r="V1694">
        <v>0</v>
      </c>
      <c r="W1694">
        <v>0</v>
      </c>
      <c r="X1694">
        <v>1</v>
      </c>
      <c r="Y1694">
        <v>0</v>
      </c>
      <c r="Z1694">
        <v>0</v>
      </c>
      <c r="AB1694">
        <v>0</v>
      </c>
      <c r="AC1694">
        <v>9</v>
      </c>
      <c r="AD1694">
        <v>3</v>
      </c>
      <c r="AE1694">
        <v>0</v>
      </c>
      <c r="AF1694">
        <v>9</v>
      </c>
      <c r="AG1694" t="s">
        <v>158</v>
      </c>
      <c r="AH1694">
        <v>0</v>
      </c>
      <c r="AI1694">
        <v>3</v>
      </c>
      <c r="AJ1694">
        <v>1</v>
      </c>
      <c r="AK1694">
        <v>0</v>
      </c>
      <c r="AL1694" t="s">
        <v>3243</v>
      </c>
      <c r="AM1694">
        <v>46.833880000000001</v>
      </c>
      <c r="AN1694" t="s">
        <v>3244</v>
      </c>
      <c r="AO1694">
        <v>-122.87487</v>
      </c>
      <c r="AP1694">
        <v>100</v>
      </c>
      <c r="AQ1694">
        <v>2000</v>
      </c>
      <c r="AR1694" t="s">
        <v>118</v>
      </c>
      <c r="AS1694">
        <v>-74</v>
      </c>
      <c r="AT1694">
        <v>25</v>
      </c>
      <c r="AU1694">
        <v>64</v>
      </c>
      <c r="BC1694">
        <v>1200</v>
      </c>
      <c r="BD1694">
        <v>1</v>
      </c>
      <c r="BE1694" t="str">
        <f t="shared" si="80"/>
        <v xml:space="preserve">N215T   </v>
      </c>
      <c r="BF1694">
        <v>1</v>
      </c>
      <c r="BH1694">
        <v>0</v>
      </c>
      <c r="BI1694">
        <v>0</v>
      </c>
      <c r="BJ1694">
        <v>0</v>
      </c>
      <c r="BK1694">
        <v>2350</v>
      </c>
      <c r="BL1694">
        <v>350</v>
      </c>
      <c r="BM1694" t="s">
        <v>119</v>
      </c>
      <c r="BN1694">
        <v>1</v>
      </c>
      <c r="BO1694">
        <v>1</v>
      </c>
      <c r="BP1694">
        <v>1</v>
      </c>
      <c r="BQ1694">
        <v>0</v>
      </c>
      <c r="BT1694">
        <v>0</v>
      </c>
      <c r="BU1694">
        <v>0</v>
      </c>
      <c r="BV1694">
        <v>0</v>
      </c>
      <c r="CC1694" t="str">
        <f>"19:03:02.594"</f>
        <v>19:03:02.594</v>
      </c>
      <c r="CD1694" t="str">
        <f>"591277029"</f>
        <v>591277029</v>
      </c>
      <c r="CQ1694">
        <v>0</v>
      </c>
      <c r="CR1694">
        <v>2</v>
      </c>
      <c r="CS1694">
        <v>0</v>
      </c>
      <c r="CT1694">
        <v>2</v>
      </c>
      <c r="CU1694">
        <v>0</v>
      </c>
      <c r="CV1694">
        <v>7</v>
      </c>
      <c r="CW1694" t="s">
        <v>120</v>
      </c>
      <c r="CX1694">
        <v>261</v>
      </c>
      <c r="CY1694">
        <v>2</v>
      </c>
      <c r="CZ1694" t="s">
        <v>121</v>
      </c>
      <c r="DA1694" t="s">
        <v>122</v>
      </c>
      <c r="DD1694">
        <v>15247826</v>
      </c>
      <c r="DE1694" t="s">
        <v>123</v>
      </c>
    </row>
    <row r="1695" spans="1:109" x14ac:dyDescent="0.3">
      <c r="A1695" t="str">
        <f>"19:03:03.789"</f>
        <v>19:03:03.789</v>
      </c>
      <c r="B1695" t="s">
        <v>110</v>
      </c>
      <c r="C1695" t="str">
        <f t="shared" si="78"/>
        <v>ffdfd3c0</v>
      </c>
      <c r="D1695" t="s">
        <v>111</v>
      </c>
      <c r="E1695">
        <v>18</v>
      </c>
      <c r="F1695">
        <v>1018</v>
      </c>
      <c r="G1695" t="s">
        <v>112</v>
      </c>
      <c r="J1695" t="s">
        <v>113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R1695" t="s">
        <v>114</v>
      </c>
      <c r="S1695" t="str">
        <f>"19:03:03.563"</f>
        <v>19:03:03.563</v>
      </c>
      <c r="T1695" t="str">
        <f>"19:03:03.164"</f>
        <v>19:03:03.164</v>
      </c>
      <c r="U1695" t="str">
        <f t="shared" si="79"/>
        <v>a1cdbe</v>
      </c>
      <c r="V1695">
        <v>0</v>
      </c>
      <c r="W1695">
        <v>0</v>
      </c>
      <c r="X1695">
        <v>1</v>
      </c>
      <c r="Y1695">
        <v>0</v>
      </c>
      <c r="Z1695">
        <v>0</v>
      </c>
      <c r="AB1695">
        <v>0</v>
      </c>
      <c r="AC1695">
        <v>9</v>
      </c>
      <c r="AD1695">
        <v>3</v>
      </c>
      <c r="AE1695">
        <v>0</v>
      </c>
      <c r="AF1695">
        <v>9</v>
      </c>
      <c r="AG1695" t="s">
        <v>158</v>
      </c>
      <c r="AH1695">
        <v>0</v>
      </c>
      <c r="AI1695">
        <v>3</v>
      </c>
      <c r="AJ1695">
        <v>1</v>
      </c>
      <c r="AK1695">
        <v>0</v>
      </c>
      <c r="AL1695" t="s">
        <v>2305</v>
      </c>
      <c r="AM1695">
        <v>46.833987</v>
      </c>
      <c r="AN1695" t="s">
        <v>3245</v>
      </c>
      <c r="AO1695">
        <v>-122.87538499999999</v>
      </c>
      <c r="AP1695">
        <v>100</v>
      </c>
      <c r="AQ1695">
        <v>2000</v>
      </c>
      <c r="AR1695" t="s">
        <v>118</v>
      </c>
      <c r="AS1695">
        <v>-74</v>
      </c>
      <c r="AT1695">
        <v>25</v>
      </c>
      <c r="AU1695">
        <v>128</v>
      </c>
      <c r="BC1695">
        <v>1200</v>
      </c>
      <c r="BD1695">
        <v>1</v>
      </c>
      <c r="BE1695" t="str">
        <f t="shared" si="80"/>
        <v xml:space="preserve">N215T   </v>
      </c>
      <c r="BF1695">
        <v>1</v>
      </c>
      <c r="BH1695">
        <v>0</v>
      </c>
      <c r="BI1695">
        <v>0</v>
      </c>
      <c r="BJ1695">
        <v>0</v>
      </c>
      <c r="BK1695">
        <v>2350</v>
      </c>
      <c r="BL1695">
        <v>350</v>
      </c>
      <c r="BM1695" t="s">
        <v>119</v>
      </c>
      <c r="BN1695">
        <v>1</v>
      </c>
      <c r="BO1695">
        <v>1</v>
      </c>
      <c r="BP1695">
        <v>1</v>
      </c>
      <c r="BQ1695">
        <v>0</v>
      </c>
      <c r="BT1695">
        <v>0</v>
      </c>
      <c r="BU1695">
        <v>0</v>
      </c>
      <c r="BV1695">
        <v>0</v>
      </c>
      <c r="CC1695" t="str">
        <f>"19:03:03.563"</f>
        <v>19:03:03.563</v>
      </c>
      <c r="CD1695" t="str">
        <f>"566180983"</f>
        <v>566180983</v>
      </c>
      <c r="CQ1695">
        <v>0</v>
      </c>
      <c r="CR1695">
        <v>2</v>
      </c>
      <c r="CS1695">
        <v>0</v>
      </c>
      <c r="CT1695">
        <v>2</v>
      </c>
      <c r="CU1695">
        <v>0</v>
      </c>
      <c r="CV1695">
        <v>7</v>
      </c>
      <c r="CW1695" t="s">
        <v>120</v>
      </c>
      <c r="CX1695">
        <v>261</v>
      </c>
      <c r="CY1695">
        <v>2</v>
      </c>
      <c r="CZ1695" t="s">
        <v>121</v>
      </c>
      <c r="DA1695" t="s">
        <v>122</v>
      </c>
      <c r="DD1695">
        <v>15248441</v>
      </c>
      <c r="DE1695" t="s">
        <v>123</v>
      </c>
    </row>
    <row r="1696" spans="1:109" x14ac:dyDescent="0.3">
      <c r="A1696" t="str">
        <f>"19:03:04.898"</f>
        <v>19:03:04.898</v>
      </c>
      <c r="B1696" t="s">
        <v>110</v>
      </c>
      <c r="C1696" t="str">
        <f t="shared" si="78"/>
        <v>ffdfd3c0</v>
      </c>
      <c r="D1696" t="s">
        <v>111</v>
      </c>
      <c r="E1696">
        <v>18</v>
      </c>
      <c r="F1696">
        <v>1018</v>
      </c>
      <c r="G1696" t="s">
        <v>112</v>
      </c>
      <c r="J1696" t="s">
        <v>113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R1696" t="s">
        <v>114</v>
      </c>
      <c r="S1696" t="str">
        <f>"19:03:04.656"</f>
        <v>19:03:04.656</v>
      </c>
      <c r="T1696" t="str">
        <f>"19:03:04.156"</f>
        <v>19:03:04.156</v>
      </c>
      <c r="U1696" t="str">
        <f t="shared" si="79"/>
        <v>a1cdbe</v>
      </c>
      <c r="V1696">
        <v>0</v>
      </c>
      <c r="W1696">
        <v>0</v>
      </c>
      <c r="X1696">
        <v>1</v>
      </c>
      <c r="Y1696">
        <v>0</v>
      </c>
      <c r="Z1696">
        <v>0</v>
      </c>
      <c r="AB1696">
        <v>0</v>
      </c>
      <c r="AC1696">
        <v>9</v>
      </c>
      <c r="AD1696">
        <v>3</v>
      </c>
      <c r="AE1696">
        <v>0</v>
      </c>
      <c r="AF1696">
        <v>9</v>
      </c>
      <c r="AG1696" t="s">
        <v>158</v>
      </c>
      <c r="AH1696">
        <v>0</v>
      </c>
      <c r="AI1696">
        <v>3</v>
      </c>
      <c r="AJ1696">
        <v>1</v>
      </c>
      <c r="AK1696">
        <v>0</v>
      </c>
      <c r="AL1696" t="s">
        <v>2303</v>
      </c>
      <c r="AM1696">
        <v>46.834116000000002</v>
      </c>
      <c r="AN1696" t="s">
        <v>3246</v>
      </c>
      <c r="AO1696">
        <v>-122.8759</v>
      </c>
      <c r="AP1696">
        <v>100</v>
      </c>
      <c r="AQ1696">
        <v>2000</v>
      </c>
      <c r="AR1696" t="s">
        <v>118</v>
      </c>
      <c r="AS1696">
        <v>-74</v>
      </c>
      <c r="AT1696">
        <v>25</v>
      </c>
      <c r="AU1696">
        <v>128</v>
      </c>
      <c r="BC1696">
        <v>1200</v>
      </c>
      <c r="BD1696">
        <v>1</v>
      </c>
      <c r="BE1696" t="str">
        <f t="shared" si="80"/>
        <v xml:space="preserve">N215T   </v>
      </c>
      <c r="BF1696">
        <v>1</v>
      </c>
      <c r="BH1696">
        <v>0</v>
      </c>
      <c r="BI1696">
        <v>0</v>
      </c>
      <c r="BJ1696">
        <v>0</v>
      </c>
      <c r="BK1696">
        <v>2350</v>
      </c>
      <c r="BL1696">
        <v>350</v>
      </c>
      <c r="BM1696" t="s">
        <v>119</v>
      </c>
      <c r="BN1696">
        <v>1</v>
      </c>
      <c r="BO1696">
        <v>1</v>
      </c>
      <c r="BP1696">
        <v>1</v>
      </c>
      <c r="BQ1696">
        <v>0</v>
      </c>
      <c r="BT1696">
        <v>0</v>
      </c>
      <c r="BU1696">
        <v>0</v>
      </c>
      <c r="BV1696">
        <v>0</v>
      </c>
      <c r="CC1696" t="str">
        <f>"19:03:04.664"</f>
        <v>19:03:04.664</v>
      </c>
      <c r="CD1696" t="str">
        <f>"661073106"</f>
        <v>661073106</v>
      </c>
      <c r="CQ1696">
        <v>0</v>
      </c>
      <c r="CR1696">
        <v>2</v>
      </c>
      <c r="CS1696">
        <v>0</v>
      </c>
      <c r="CT1696">
        <v>2</v>
      </c>
      <c r="CU1696">
        <v>0</v>
      </c>
      <c r="CV1696">
        <v>7</v>
      </c>
      <c r="CW1696" t="s">
        <v>120</v>
      </c>
      <c r="CX1696">
        <v>261</v>
      </c>
      <c r="CY1696">
        <v>2</v>
      </c>
      <c r="CZ1696" t="s">
        <v>121</v>
      </c>
      <c r="DA1696" t="s">
        <v>122</v>
      </c>
      <c r="DD1696">
        <v>15249098</v>
      </c>
      <c r="DE1696" t="s">
        <v>123</v>
      </c>
    </row>
    <row r="1697" spans="1:109" x14ac:dyDescent="0.3">
      <c r="A1697" t="str">
        <f>"19:03:06.000"</f>
        <v>19:03:06.000</v>
      </c>
      <c r="B1697" t="s">
        <v>110</v>
      </c>
      <c r="C1697" t="str">
        <f t="shared" si="78"/>
        <v>ffdfd3c0</v>
      </c>
      <c r="D1697" t="s">
        <v>111</v>
      </c>
      <c r="E1697">
        <v>18</v>
      </c>
      <c r="F1697">
        <v>1018</v>
      </c>
      <c r="G1697" t="s">
        <v>112</v>
      </c>
      <c r="J1697" t="s">
        <v>113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R1697" t="s">
        <v>114</v>
      </c>
      <c r="S1697" t="str">
        <f>"19:03:05.734"</f>
        <v>19:03:05.734</v>
      </c>
      <c r="T1697" t="str">
        <f>"19:03:05.633"</f>
        <v>19:03:05.633</v>
      </c>
      <c r="U1697" t="str">
        <f t="shared" si="79"/>
        <v>a1cdbe</v>
      </c>
      <c r="V1697">
        <v>0</v>
      </c>
      <c r="W1697">
        <v>0</v>
      </c>
      <c r="X1697">
        <v>1</v>
      </c>
      <c r="Y1697">
        <v>0</v>
      </c>
      <c r="Z1697">
        <v>0</v>
      </c>
      <c r="AB1697">
        <v>0</v>
      </c>
      <c r="AC1697">
        <v>9</v>
      </c>
      <c r="AD1697">
        <v>3</v>
      </c>
      <c r="AE1697">
        <v>0</v>
      </c>
      <c r="AF1697">
        <v>9</v>
      </c>
      <c r="AG1697" t="s">
        <v>158</v>
      </c>
      <c r="AH1697">
        <v>0</v>
      </c>
      <c r="AI1697">
        <v>3</v>
      </c>
      <c r="AJ1697">
        <v>1</v>
      </c>
      <c r="AK1697">
        <v>0</v>
      </c>
      <c r="AL1697" t="s">
        <v>3247</v>
      </c>
      <c r="AM1697">
        <v>46.834266</v>
      </c>
      <c r="AN1697" t="s">
        <v>3248</v>
      </c>
      <c r="AO1697">
        <v>-122.876458</v>
      </c>
      <c r="AP1697">
        <v>100</v>
      </c>
      <c r="AQ1697">
        <v>2000</v>
      </c>
      <c r="AR1697" t="s">
        <v>118</v>
      </c>
      <c r="AS1697">
        <v>-73</v>
      </c>
      <c r="AT1697">
        <v>25</v>
      </c>
      <c r="AU1697">
        <v>128</v>
      </c>
      <c r="BC1697">
        <v>1200</v>
      </c>
      <c r="BD1697">
        <v>1</v>
      </c>
      <c r="BE1697" t="str">
        <f t="shared" si="80"/>
        <v xml:space="preserve">N215T   </v>
      </c>
      <c r="BF1697">
        <v>1</v>
      </c>
      <c r="BH1697">
        <v>0</v>
      </c>
      <c r="BI1697">
        <v>0</v>
      </c>
      <c r="BJ1697">
        <v>0</v>
      </c>
      <c r="BK1697">
        <v>2375</v>
      </c>
      <c r="BL1697">
        <v>375</v>
      </c>
      <c r="BM1697" t="s">
        <v>119</v>
      </c>
      <c r="BN1697">
        <v>1</v>
      </c>
      <c r="BO1697">
        <v>1</v>
      </c>
      <c r="BP1697">
        <v>1</v>
      </c>
      <c r="BQ1697">
        <v>0</v>
      </c>
      <c r="BT1697">
        <v>0</v>
      </c>
      <c r="BU1697">
        <v>0</v>
      </c>
      <c r="BV1697">
        <v>0</v>
      </c>
      <c r="CC1697" t="str">
        <f>"19:03:05.742"</f>
        <v>19:03:05.742</v>
      </c>
      <c r="CD1697" t="str">
        <f>"740966716"</f>
        <v>740966716</v>
      </c>
      <c r="CQ1697">
        <v>0</v>
      </c>
      <c r="CR1697">
        <v>2</v>
      </c>
      <c r="CS1697">
        <v>0</v>
      </c>
      <c r="CT1697">
        <v>2</v>
      </c>
      <c r="CU1697">
        <v>0</v>
      </c>
      <c r="CV1697">
        <v>7</v>
      </c>
      <c r="CW1697" t="s">
        <v>120</v>
      </c>
      <c r="CX1697">
        <v>261</v>
      </c>
      <c r="CY1697">
        <v>2</v>
      </c>
      <c r="CZ1697" t="s">
        <v>121</v>
      </c>
      <c r="DA1697" t="s">
        <v>122</v>
      </c>
      <c r="DD1697">
        <v>15249775</v>
      </c>
      <c r="DE1697" t="s">
        <v>123</v>
      </c>
    </row>
    <row r="1698" spans="1:109" x14ac:dyDescent="0.3">
      <c r="A1698" t="str">
        <f>"19:03:06.852"</f>
        <v>19:03:06.852</v>
      </c>
      <c r="B1698" t="s">
        <v>110</v>
      </c>
      <c r="C1698" t="str">
        <f t="shared" si="78"/>
        <v>ffdfd3c0</v>
      </c>
      <c r="D1698" t="s">
        <v>111</v>
      </c>
      <c r="E1698">
        <v>18</v>
      </c>
      <c r="F1698">
        <v>1018</v>
      </c>
      <c r="G1698" t="s">
        <v>112</v>
      </c>
      <c r="J1698" t="s">
        <v>113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R1698" t="s">
        <v>114</v>
      </c>
      <c r="S1698" t="str">
        <f>"19:03:06.648"</f>
        <v>19:03:06.648</v>
      </c>
      <c r="T1698" t="str">
        <f>"19:03:06.250"</f>
        <v>19:03:06.250</v>
      </c>
      <c r="U1698" t="str">
        <f t="shared" si="79"/>
        <v>a1cdbe</v>
      </c>
      <c r="V1698">
        <v>0</v>
      </c>
      <c r="W1698">
        <v>0</v>
      </c>
      <c r="X1698">
        <v>1</v>
      </c>
      <c r="Y1698">
        <v>0</v>
      </c>
      <c r="Z1698">
        <v>0</v>
      </c>
      <c r="AB1698">
        <v>0</v>
      </c>
      <c r="AC1698">
        <v>9</v>
      </c>
      <c r="AD1698">
        <v>3</v>
      </c>
      <c r="AE1698">
        <v>0</v>
      </c>
      <c r="AF1698">
        <v>9</v>
      </c>
      <c r="AG1698" t="s">
        <v>158</v>
      </c>
      <c r="AH1698">
        <v>0</v>
      </c>
      <c r="AI1698">
        <v>3</v>
      </c>
      <c r="AJ1698">
        <v>1</v>
      </c>
      <c r="AK1698">
        <v>0</v>
      </c>
      <c r="AL1698" t="s">
        <v>3249</v>
      </c>
      <c r="AM1698">
        <v>46.834352000000003</v>
      </c>
      <c r="AN1698" t="s">
        <v>3250</v>
      </c>
      <c r="AO1698">
        <v>-122.87693</v>
      </c>
      <c r="AP1698">
        <v>100</v>
      </c>
      <c r="AQ1698">
        <v>2000</v>
      </c>
      <c r="AR1698" t="s">
        <v>118</v>
      </c>
      <c r="AS1698">
        <v>-73</v>
      </c>
      <c r="AT1698">
        <v>25</v>
      </c>
      <c r="AU1698">
        <v>128</v>
      </c>
      <c r="BC1698">
        <v>1200</v>
      </c>
      <c r="BD1698">
        <v>1</v>
      </c>
      <c r="BE1698" t="str">
        <f t="shared" si="80"/>
        <v xml:space="preserve">N215T   </v>
      </c>
      <c r="BF1698">
        <v>1</v>
      </c>
      <c r="BH1698">
        <v>0</v>
      </c>
      <c r="BI1698">
        <v>0</v>
      </c>
      <c r="BJ1698">
        <v>0</v>
      </c>
      <c r="BK1698">
        <v>2350</v>
      </c>
      <c r="BL1698">
        <v>350</v>
      </c>
      <c r="BM1698" t="s">
        <v>119</v>
      </c>
      <c r="BN1698">
        <v>1</v>
      </c>
      <c r="BO1698">
        <v>1</v>
      </c>
      <c r="BP1698">
        <v>1</v>
      </c>
      <c r="BQ1698">
        <v>0</v>
      </c>
      <c r="BT1698">
        <v>0</v>
      </c>
      <c r="BU1698">
        <v>0</v>
      </c>
      <c r="BV1698">
        <v>0</v>
      </c>
      <c r="CC1698" t="str">
        <f>"19:03:06.656"</f>
        <v>19:03:06.656</v>
      </c>
      <c r="CD1698" t="str">
        <f>"655876570"</f>
        <v>655876570</v>
      </c>
      <c r="CQ1698">
        <v>0</v>
      </c>
      <c r="CR1698">
        <v>2</v>
      </c>
      <c r="CS1698">
        <v>0</v>
      </c>
      <c r="CT1698">
        <v>2</v>
      </c>
      <c r="CU1698">
        <v>0</v>
      </c>
      <c r="CV1698">
        <v>7</v>
      </c>
      <c r="CW1698" t="s">
        <v>120</v>
      </c>
      <c r="CX1698">
        <v>261</v>
      </c>
      <c r="CY1698">
        <v>2</v>
      </c>
      <c r="CZ1698" t="s">
        <v>121</v>
      </c>
      <c r="DA1698" t="s">
        <v>122</v>
      </c>
      <c r="DD1698">
        <v>15250416</v>
      </c>
      <c r="DE1698" t="s">
        <v>123</v>
      </c>
    </row>
    <row r="1699" spans="1:109" x14ac:dyDescent="0.3">
      <c r="A1699" t="str">
        <f>"19:03:07.859"</f>
        <v>19:03:07.859</v>
      </c>
      <c r="B1699" t="s">
        <v>110</v>
      </c>
      <c r="C1699" t="str">
        <f t="shared" si="78"/>
        <v>ffdfd3c0</v>
      </c>
      <c r="D1699" t="s">
        <v>111</v>
      </c>
      <c r="E1699">
        <v>18</v>
      </c>
      <c r="F1699">
        <v>1018</v>
      </c>
      <c r="G1699" t="s">
        <v>112</v>
      </c>
      <c r="J1699" t="s">
        <v>113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R1699" t="s">
        <v>114</v>
      </c>
      <c r="S1699" t="str">
        <f>"19:03:07.609"</f>
        <v>19:03:07.609</v>
      </c>
      <c r="T1699" t="str">
        <f>"19:03:07.211"</f>
        <v>19:03:07.211</v>
      </c>
      <c r="U1699" t="str">
        <f t="shared" si="79"/>
        <v>a1cdbe</v>
      </c>
      <c r="V1699">
        <v>0</v>
      </c>
      <c r="W1699">
        <v>0</v>
      </c>
      <c r="X1699">
        <v>1</v>
      </c>
      <c r="Y1699">
        <v>0</v>
      </c>
      <c r="Z1699">
        <v>0</v>
      </c>
      <c r="AB1699">
        <v>0</v>
      </c>
      <c r="AC1699">
        <v>9</v>
      </c>
      <c r="AD1699">
        <v>3</v>
      </c>
      <c r="AE1699">
        <v>0</v>
      </c>
      <c r="AF1699">
        <v>9</v>
      </c>
      <c r="AG1699" t="s">
        <v>158</v>
      </c>
      <c r="AH1699">
        <v>0</v>
      </c>
      <c r="AI1699">
        <v>3</v>
      </c>
      <c r="AJ1699">
        <v>1</v>
      </c>
      <c r="AK1699">
        <v>0</v>
      </c>
      <c r="AL1699" t="s">
        <v>3251</v>
      </c>
      <c r="AM1699">
        <v>46.834437999999999</v>
      </c>
      <c r="AN1699" t="s">
        <v>3252</v>
      </c>
      <c r="AO1699">
        <v>-122.877381</v>
      </c>
      <c r="AP1699">
        <v>100</v>
      </c>
      <c r="AQ1699">
        <v>2000</v>
      </c>
      <c r="AR1699" t="s">
        <v>118</v>
      </c>
      <c r="AS1699">
        <v>-74</v>
      </c>
      <c r="AT1699">
        <v>24</v>
      </c>
      <c r="AU1699">
        <v>128</v>
      </c>
      <c r="BC1699">
        <v>1200</v>
      </c>
      <c r="BD1699">
        <v>1</v>
      </c>
      <c r="BE1699" t="str">
        <f t="shared" si="80"/>
        <v xml:space="preserve">N215T   </v>
      </c>
      <c r="BF1699">
        <v>1</v>
      </c>
      <c r="BH1699">
        <v>0</v>
      </c>
      <c r="BI1699">
        <v>0</v>
      </c>
      <c r="BJ1699">
        <v>0</v>
      </c>
      <c r="BK1699">
        <v>2375</v>
      </c>
      <c r="BL1699">
        <v>375</v>
      </c>
      <c r="BM1699" t="s">
        <v>119</v>
      </c>
      <c r="BN1699">
        <v>1</v>
      </c>
      <c r="BO1699">
        <v>1</v>
      </c>
      <c r="BP1699">
        <v>1</v>
      </c>
      <c r="BQ1699">
        <v>0</v>
      </c>
      <c r="BT1699">
        <v>0</v>
      </c>
      <c r="BU1699">
        <v>0</v>
      </c>
      <c r="BV1699">
        <v>0</v>
      </c>
      <c r="CC1699" t="str">
        <f>"19:03:07.617"</f>
        <v>19:03:07.617</v>
      </c>
      <c r="CD1699" t="str">
        <f>"615782002"</f>
        <v>615782002</v>
      </c>
      <c r="CQ1699">
        <v>0</v>
      </c>
      <c r="CR1699">
        <v>2</v>
      </c>
      <c r="CS1699">
        <v>0</v>
      </c>
      <c r="CT1699">
        <v>2</v>
      </c>
      <c r="CU1699">
        <v>0</v>
      </c>
      <c r="CV1699">
        <v>7</v>
      </c>
      <c r="CW1699" t="s">
        <v>120</v>
      </c>
      <c r="CX1699">
        <v>261</v>
      </c>
      <c r="CY1699">
        <v>2</v>
      </c>
      <c r="CZ1699" t="s">
        <v>121</v>
      </c>
      <c r="DA1699" t="s">
        <v>122</v>
      </c>
      <c r="DD1699">
        <v>15251079</v>
      </c>
      <c r="DE1699" t="s">
        <v>123</v>
      </c>
    </row>
    <row r="1700" spans="1:109" x14ac:dyDescent="0.3">
      <c r="A1700" t="str">
        <f>"19:03:08.914"</f>
        <v>19:03:08.914</v>
      </c>
      <c r="B1700" t="s">
        <v>110</v>
      </c>
      <c r="C1700" t="str">
        <f t="shared" si="78"/>
        <v>ffdfd3c0</v>
      </c>
      <c r="D1700" t="s">
        <v>111</v>
      </c>
      <c r="E1700">
        <v>18</v>
      </c>
      <c r="F1700">
        <v>1018</v>
      </c>
      <c r="G1700" t="s">
        <v>112</v>
      </c>
      <c r="J1700" t="s">
        <v>113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R1700" t="s">
        <v>114</v>
      </c>
      <c r="S1700" t="str">
        <f>"19:03:08.680"</f>
        <v>19:03:08.680</v>
      </c>
      <c r="T1700" t="str">
        <f>"19:03:08.281"</f>
        <v>19:03:08.281</v>
      </c>
      <c r="U1700" t="str">
        <f t="shared" si="79"/>
        <v>a1cdbe</v>
      </c>
      <c r="V1700">
        <v>0</v>
      </c>
      <c r="W1700">
        <v>0</v>
      </c>
      <c r="X1700">
        <v>1</v>
      </c>
      <c r="Y1700">
        <v>0</v>
      </c>
      <c r="Z1700">
        <v>0</v>
      </c>
      <c r="AB1700">
        <v>0</v>
      </c>
      <c r="AC1700">
        <v>9</v>
      </c>
      <c r="AD1700">
        <v>3</v>
      </c>
      <c r="AE1700">
        <v>0</v>
      </c>
      <c r="AF1700">
        <v>9</v>
      </c>
      <c r="AG1700" t="s">
        <v>158</v>
      </c>
      <c r="AH1700">
        <v>0</v>
      </c>
      <c r="AI1700">
        <v>3</v>
      </c>
      <c r="AJ1700">
        <v>1</v>
      </c>
      <c r="AK1700">
        <v>0</v>
      </c>
      <c r="AL1700" t="s">
        <v>3253</v>
      </c>
      <c r="AM1700">
        <v>46.834567</v>
      </c>
      <c r="AN1700" t="s">
        <v>3254</v>
      </c>
      <c r="AO1700">
        <v>-122.87796</v>
      </c>
      <c r="AP1700">
        <v>100</v>
      </c>
      <c r="AQ1700">
        <v>2000</v>
      </c>
      <c r="AR1700" t="s">
        <v>118</v>
      </c>
      <c r="AS1700">
        <v>-74</v>
      </c>
      <c r="AT1700">
        <v>24</v>
      </c>
      <c r="AU1700">
        <v>64</v>
      </c>
      <c r="BC1700">
        <v>1200</v>
      </c>
      <c r="BD1700">
        <v>1</v>
      </c>
      <c r="BE1700" t="str">
        <f t="shared" si="80"/>
        <v xml:space="preserve">N215T   </v>
      </c>
      <c r="BF1700">
        <v>1</v>
      </c>
      <c r="BH1700">
        <v>0</v>
      </c>
      <c r="BI1700">
        <v>0</v>
      </c>
      <c r="BJ1700">
        <v>0</v>
      </c>
      <c r="BK1700">
        <v>2375</v>
      </c>
      <c r="BL1700">
        <v>375</v>
      </c>
      <c r="BM1700" t="s">
        <v>119</v>
      </c>
      <c r="BN1700">
        <v>1</v>
      </c>
      <c r="BO1700">
        <v>1</v>
      </c>
      <c r="BP1700">
        <v>1</v>
      </c>
      <c r="BQ1700">
        <v>0</v>
      </c>
      <c r="BT1700">
        <v>0</v>
      </c>
      <c r="BU1700">
        <v>0</v>
      </c>
      <c r="BV1700">
        <v>0</v>
      </c>
      <c r="CC1700" t="str">
        <f>"19:03:08.680"</f>
        <v>19:03:08.680</v>
      </c>
      <c r="CD1700" t="str">
        <f>"680701064"</f>
        <v>680701064</v>
      </c>
      <c r="CQ1700">
        <v>0</v>
      </c>
      <c r="CR1700">
        <v>2</v>
      </c>
      <c r="CS1700">
        <v>0</v>
      </c>
      <c r="CT1700">
        <v>2</v>
      </c>
      <c r="CU1700">
        <v>0</v>
      </c>
      <c r="CV1700">
        <v>3</v>
      </c>
      <c r="CW1700" t="s">
        <v>172</v>
      </c>
      <c r="CX1700">
        <v>326</v>
      </c>
      <c r="CY1700">
        <v>0</v>
      </c>
      <c r="CZ1700" t="s">
        <v>173</v>
      </c>
      <c r="DA1700" t="s">
        <v>174</v>
      </c>
      <c r="DD1700">
        <v>6661532</v>
      </c>
      <c r="DE1700" t="s">
        <v>123</v>
      </c>
    </row>
    <row r="1701" spans="1:109" x14ac:dyDescent="0.3">
      <c r="A1701" t="str">
        <f>"19:03:09.875"</f>
        <v>19:03:09.875</v>
      </c>
      <c r="B1701" t="s">
        <v>110</v>
      </c>
      <c r="C1701" t="str">
        <f t="shared" si="78"/>
        <v>ffdfd3c0</v>
      </c>
      <c r="D1701" t="s">
        <v>111</v>
      </c>
      <c r="E1701">
        <v>18</v>
      </c>
      <c r="F1701">
        <v>1018</v>
      </c>
      <c r="G1701" t="s">
        <v>112</v>
      </c>
      <c r="J1701" t="s">
        <v>113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R1701" t="s">
        <v>114</v>
      </c>
      <c r="S1701" t="str">
        <f>"19:03:09.609"</f>
        <v>19:03:09.609</v>
      </c>
      <c r="T1701" t="str">
        <f>"19:03:09.609"</f>
        <v>19:03:09.609</v>
      </c>
      <c r="U1701" t="str">
        <f t="shared" si="79"/>
        <v>a1cdbe</v>
      </c>
      <c r="V1701">
        <v>0</v>
      </c>
      <c r="W1701">
        <v>0</v>
      </c>
      <c r="X1701">
        <v>1</v>
      </c>
      <c r="Y1701">
        <v>0</v>
      </c>
      <c r="Z1701">
        <v>0</v>
      </c>
      <c r="AB1701">
        <v>0</v>
      </c>
      <c r="AC1701">
        <v>9</v>
      </c>
      <c r="AD1701">
        <v>3</v>
      </c>
      <c r="AE1701">
        <v>0</v>
      </c>
      <c r="AF1701">
        <v>9</v>
      </c>
      <c r="AG1701" t="s">
        <v>158</v>
      </c>
      <c r="AH1701">
        <v>0</v>
      </c>
      <c r="AI1701">
        <v>3</v>
      </c>
      <c r="AJ1701">
        <v>1</v>
      </c>
      <c r="AK1701">
        <v>0</v>
      </c>
      <c r="AL1701" t="s">
        <v>2295</v>
      </c>
      <c r="AM1701">
        <v>46.834674</v>
      </c>
      <c r="AN1701" t="s">
        <v>3255</v>
      </c>
      <c r="AO1701">
        <v>-122.878389</v>
      </c>
      <c r="AP1701">
        <v>100</v>
      </c>
      <c r="AQ1701">
        <v>2000</v>
      </c>
      <c r="AR1701" t="s">
        <v>118</v>
      </c>
      <c r="AS1701">
        <v>-74</v>
      </c>
      <c r="AT1701">
        <v>24</v>
      </c>
      <c r="AU1701">
        <v>64</v>
      </c>
      <c r="BC1701">
        <v>1200</v>
      </c>
      <c r="BD1701">
        <v>1</v>
      </c>
      <c r="BE1701" t="str">
        <f t="shared" si="80"/>
        <v xml:space="preserve">N215T   </v>
      </c>
      <c r="BF1701">
        <v>1</v>
      </c>
      <c r="BH1701">
        <v>0</v>
      </c>
      <c r="BI1701">
        <v>0</v>
      </c>
      <c r="BJ1701">
        <v>0</v>
      </c>
      <c r="BK1701">
        <v>2375</v>
      </c>
      <c r="BL1701">
        <v>375</v>
      </c>
      <c r="BM1701" t="s">
        <v>119</v>
      </c>
      <c r="BN1701">
        <v>1</v>
      </c>
      <c r="BO1701">
        <v>1</v>
      </c>
      <c r="BP1701">
        <v>1</v>
      </c>
      <c r="BQ1701">
        <v>0</v>
      </c>
      <c r="BT1701">
        <v>0</v>
      </c>
      <c r="BU1701">
        <v>0</v>
      </c>
      <c r="BV1701">
        <v>0</v>
      </c>
      <c r="CC1701" t="str">
        <f>"19:03:09.609"</f>
        <v>19:03:09.609</v>
      </c>
      <c r="CD1701" t="str">
        <f>"610585466"</f>
        <v>610585466</v>
      </c>
      <c r="CQ1701">
        <v>0</v>
      </c>
      <c r="CR1701">
        <v>2</v>
      </c>
      <c r="CS1701">
        <v>0</v>
      </c>
      <c r="CT1701">
        <v>2</v>
      </c>
      <c r="CU1701">
        <v>0</v>
      </c>
      <c r="CV1701">
        <v>7</v>
      </c>
      <c r="CW1701" t="s">
        <v>120</v>
      </c>
      <c r="CX1701">
        <v>261</v>
      </c>
      <c r="CY1701">
        <v>2</v>
      </c>
      <c r="CZ1701" t="s">
        <v>121</v>
      </c>
      <c r="DA1701" t="s">
        <v>122</v>
      </c>
      <c r="DD1701">
        <v>15252370</v>
      </c>
      <c r="DE1701" t="s">
        <v>123</v>
      </c>
    </row>
    <row r="1702" spans="1:109" x14ac:dyDescent="0.3">
      <c r="A1702" t="str">
        <f>"19:03:10.828"</f>
        <v>19:03:10.828</v>
      </c>
      <c r="B1702" t="s">
        <v>110</v>
      </c>
      <c r="C1702" t="str">
        <f t="shared" si="78"/>
        <v>ffdfd3c0</v>
      </c>
      <c r="D1702" t="s">
        <v>111</v>
      </c>
      <c r="E1702">
        <v>18</v>
      </c>
      <c r="F1702">
        <v>1018</v>
      </c>
      <c r="G1702" t="s">
        <v>112</v>
      </c>
      <c r="J1702" t="s">
        <v>113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R1702" t="s">
        <v>114</v>
      </c>
      <c r="S1702" t="str">
        <f>"19:03:10.594"</f>
        <v>19:03:10.594</v>
      </c>
      <c r="T1702" t="str">
        <f>"19:03:10.594"</f>
        <v>19:03:10.594</v>
      </c>
      <c r="U1702" t="str">
        <f t="shared" si="79"/>
        <v>a1cdbe</v>
      </c>
      <c r="V1702">
        <v>0</v>
      </c>
      <c r="W1702">
        <v>0</v>
      </c>
      <c r="X1702">
        <v>1</v>
      </c>
      <c r="Y1702">
        <v>0</v>
      </c>
      <c r="Z1702">
        <v>0</v>
      </c>
      <c r="AB1702">
        <v>0</v>
      </c>
      <c r="AC1702">
        <v>9</v>
      </c>
      <c r="AD1702">
        <v>3</v>
      </c>
      <c r="AE1702">
        <v>0</v>
      </c>
      <c r="AF1702">
        <v>9</v>
      </c>
      <c r="AG1702" t="s">
        <v>158</v>
      </c>
      <c r="AH1702">
        <v>0</v>
      </c>
      <c r="AI1702">
        <v>3</v>
      </c>
      <c r="AJ1702">
        <v>1</v>
      </c>
      <c r="AK1702">
        <v>0</v>
      </c>
      <c r="AL1702" t="s">
        <v>2293</v>
      </c>
      <c r="AM1702">
        <v>46.834803000000001</v>
      </c>
      <c r="AN1702" t="s">
        <v>3256</v>
      </c>
      <c r="AO1702">
        <v>-122.87892600000001</v>
      </c>
      <c r="AP1702">
        <v>100</v>
      </c>
      <c r="AQ1702">
        <v>2000</v>
      </c>
      <c r="AR1702" t="s">
        <v>118</v>
      </c>
      <c r="AS1702">
        <v>-74</v>
      </c>
      <c r="AT1702">
        <v>23</v>
      </c>
      <c r="AU1702">
        <v>0</v>
      </c>
      <c r="BC1702">
        <v>1200</v>
      </c>
      <c r="BD1702">
        <v>1</v>
      </c>
      <c r="BE1702" t="str">
        <f t="shared" si="80"/>
        <v xml:space="preserve">N215T   </v>
      </c>
      <c r="BF1702">
        <v>1</v>
      </c>
      <c r="BH1702">
        <v>0</v>
      </c>
      <c r="BI1702">
        <v>0</v>
      </c>
      <c r="BJ1702">
        <v>0</v>
      </c>
      <c r="BK1702">
        <v>2375</v>
      </c>
      <c r="BL1702">
        <v>375</v>
      </c>
      <c r="BM1702" t="s">
        <v>119</v>
      </c>
      <c r="BN1702">
        <v>1</v>
      </c>
      <c r="BO1702">
        <v>1</v>
      </c>
      <c r="BP1702">
        <v>1</v>
      </c>
      <c r="BQ1702">
        <v>0</v>
      </c>
      <c r="BT1702">
        <v>0</v>
      </c>
      <c r="BU1702">
        <v>0</v>
      </c>
      <c r="BV1702">
        <v>0</v>
      </c>
      <c r="CC1702" t="str">
        <f>"19:03:10.602"</f>
        <v>19:03:10.602</v>
      </c>
      <c r="CD1702" t="str">
        <f>"600487943"</f>
        <v>600487943</v>
      </c>
      <c r="CQ1702">
        <v>0</v>
      </c>
      <c r="CR1702">
        <v>2</v>
      </c>
      <c r="CS1702">
        <v>0</v>
      </c>
      <c r="CT1702">
        <v>2</v>
      </c>
      <c r="CU1702">
        <v>0</v>
      </c>
      <c r="CV1702">
        <v>7</v>
      </c>
      <c r="CW1702" t="s">
        <v>120</v>
      </c>
      <c r="CX1702">
        <v>261</v>
      </c>
      <c r="CY1702">
        <v>2</v>
      </c>
      <c r="CZ1702" t="s">
        <v>121</v>
      </c>
      <c r="DA1702" t="s">
        <v>122</v>
      </c>
      <c r="DD1702">
        <v>15252973</v>
      </c>
      <c r="DE1702" t="s">
        <v>123</v>
      </c>
    </row>
    <row r="1703" spans="1:109" x14ac:dyDescent="0.3">
      <c r="A1703" t="str">
        <f>"19:03:11.836"</f>
        <v>19:03:11.836</v>
      </c>
      <c r="B1703" t="s">
        <v>110</v>
      </c>
      <c r="C1703" t="str">
        <f t="shared" si="78"/>
        <v>ffdfd3c0</v>
      </c>
      <c r="D1703" t="s">
        <v>111</v>
      </c>
      <c r="E1703">
        <v>18</v>
      </c>
      <c r="F1703">
        <v>1018</v>
      </c>
      <c r="G1703" t="s">
        <v>112</v>
      </c>
      <c r="J1703" t="s">
        <v>113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R1703" t="s">
        <v>114</v>
      </c>
      <c r="S1703" t="str">
        <f>"19:03:11.602"</f>
        <v>19:03:11.602</v>
      </c>
      <c r="T1703" t="str">
        <f>"19:03:11.500"</f>
        <v>19:03:11.500</v>
      </c>
      <c r="U1703" t="str">
        <f t="shared" si="79"/>
        <v>a1cdbe</v>
      </c>
      <c r="V1703">
        <v>0</v>
      </c>
      <c r="W1703">
        <v>0</v>
      </c>
      <c r="X1703">
        <v>1</v>
      </c>
      <c r="Y1703">
        <v>0</v>
      </c>
      <c r="Z1703">
        <v>0</v>
      </c>
      <c r="AB1703">
        <v>0</v>
      </c>
      <c r="AC1703">
        <v>9</v>
      </c>
      <c r="AD1703">
        <v>3</v>
      </c>
      <c r="AE1703">
        <v>0</v>
      </c>
      <c r="AF1703">
        <v>9</v>
      </c>
      <c r="AG1703" t="s">
        <v>158</v>
      </c>
      <c r="AH1703">
        <v>0</v>
      </c>
      <c r="AI1703">
        <v>3</v>
      </c>
      <c r="AJ1703">
        <v>1</v>
      </c>
      <c r="AK1703">
        <v>0</v>
      </c>
      <c r="AL1703" t="s">
        <v>3257</v>
      </c>
      <c r="AM1703">
        <v>46.834910000000001</v>
      </c>
      <c r="AN1703" t="s">
        <v>3258</v>
      </c>
      <c r="AO1703">
        <v>-122.87939799999999</v>
      </c>
      <c r="AP1703">
        <v>100</v>
      </c>
      <c r="AQ1703">
        <v>2000</v>
      </c>
      <c r="AR1703" t="s">
        <v>118</v>
      </c>
      <c r="AS1703">
        <v>-74</v>
      </c>
      <c r="AT1703">
        <v>23</v>
      </c>
      <c r="AU1703">
        <v>0</v>
      </c>
      <c r="BC1703">
        <v>1200</v>
      </c>
      <c r="BD1703">
        <v>1</v>
      </c>
      <c r="BE1703" t="str">
        <f t="shared" si="80"/>
        <v xml:space="preserve">N215T   </v>
      </c>
      <c r="BF1703">
        <v>1</v>
      </c>
      <c r="BH1703">
        <v>0</v>
      </c>
      <c r="BI1703">
        <v>0</v>
      </c>
      <c r="BJ1703">
        <v>0</v>
      </c>
      <c r="BK1703">
        <v>2375</v>
      </c>
      <c r="BL1703">
        <v>375</v>
      </c>
      <c r="BM1703" t="s">
        <v>119</v>
      </c>
      <c r="BN1703">
        <v>1</v>
      </c>
      <c r="BO1703">
        <v>1</v>
      </c>
      <c r="BP1703">
        <v>1</v>
      </c>
      <c r="BQ1703">
        <v>0</v>
      </c>
      <c r="BT1703">
        <v>0</v>
      </c>
      <c r="BU1703">
        <v>0</v>
      </c>
      <c r="BV1703">
        <v>0</v>
      </c>
      <c r="CC1703" t="str">
        <f>"19:03:11.602"</f>
        <v>19:03:11.602</v>
      </c>
      <c r="CD1703" t="str">
        <f>"605388943"</f>
        <v>605388943</v>
      </c>
      <c r="CQ1703">
        <v>0</v>
      </c>
      <c r="CR1703">
        <v>2</v>
      </c>
      <c r="CS1703">
        <v>0</v>
      </c>
      <c r="CT1703">
        <v>2</v>
      </c>
      <c r="CU1703">
        <v>0</v>
      </c>
      <c r="CV1703">
        <v>7</v>
      </c>
      <c r="CW1703" t="s">
        <v>120</v>
      </c>
      <c r="CX1703">
        <v>261</v>
      </c>
      <c r="CY1703">
        <v>2</v>
      </c>
      <c r="CZ1703" t="s">
        <v>121</v>
      </c>
      <c r="DA1703" t="s">
        <v>122</v>
      </c>
      <c r="DD1703">
        <v>15253652</v>
      </c>
      <c r="DE1703" t="s">
        <v>123</v>
      </c>
    </row>
    <row r="1704" spans="1:109" x14ac:dyDescent="0.3">
      <c r="A1704" t="str">
        <f>"19:03:12.844"</f>
        <v>19:03:12.844</v>
      </c>
      <c r="B1704" t="s">
        <v>110</v>
      </c>
      <c r="C1704" t="str">
        <f t="shared" si="78"/>
        <v>ffdfd3c0</v>
      </c>
      <c r="D1704" t="s">
        <v>111</v>
      </c>
      <c r="E1704">
        <v>18</v>
      </c>
      <c r="F1704">
        <v>1018</v>
      </c>
      <c r="G1704" t="s">
        <v>112</v>
      </c>
      <c r="J1704" t="s">
        <v>113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R1704" t="s">
        <v>114</v>
      </c>
      <c r="S1704" t="str">
        <f>"19:03:12.625"</f>
        <v>19:03:12.625</v>
      </c>
      <c r="T1704" t="str">
        <f>"19:03:12.625"</f>
        <v>19:03:12.625</v>
      </c>
      <c r="U1704" t="str">
        <f t="shared" si="79"/>
        <v>a1cdbe</v>
      </c>
      <c r="V1704">
        <v>0</v>
      </c>
      <c r="W1704">
        <v>0</v>
      </c>
      <c r="X1704">
        <v>1</v>
      </c>
      <c r="Y1704">
        <v>0</v>
      </c>
      <c r="Z1704">
        <v>0</v>
      </c>
      <c r="AB1704">
        <v>0</v>
      </c>
      <c r="AC1704">
        <v>9</v>
      </c>
      <c r="AD1704">
        <v>3</v>
      </c>
      <c r="AE1704">
        <v>0</v>
      </c>
      <c r="AF1704">
        <v>9</v>
      </c>
      <c r="AG1704" t="s">
        <v>158</v>
      </c>
      <c r="AH1704">
        <v>0</v>
      </c>
      <c r="AI1704">
        <v>3</v>
      </c>
      <c r="AJ1704">
        <v>1</v>
      </c>
      <c r="AK1704">
        <v>0</v>
      </c>
      <c r="AL1704" t="s">
        <v>3259</v>
      </c>
      <c r="AM1704">
        <v>46.834995999999997</v>
      </c>
      <c r="AN1704" t="s">
        <v>3260</v>
      </c>
      <c r="AO1704">
        <v>-122.879891</v>
      </c>
      <c r="AP1704">
        <v>100</v>
      </c>
      <c r="AQ1704">
        <v>2000</v>
      </c>
      <c r="AR1704" t="s">
        <v>118</v>
      </c>
      <c r="AS1704">
        <v>-74</v>
      </c>
      <c r="AT1704">
        <v>23</v>
      </c>
      <c r="AU1704">
        <v>0</v>
      </c>
      <c r="BC1704">
        <v>1200</v>
      </c>
      <c r="BD1704">
        <v>1</v>
      </c>
      <c r="BE1704" t="str">
        <f t="shared" si="80"/>
        <v xml:space="preserve">N215T   </v>
      </c>
      <c r="BF1704">
        <v>1</v>
      </c>
      <c r="BH1704">
        <v>0</v>
      </c>
      <c r="BI1704">
        <v>0</v>
      </c>
      <c r="BJ1704">
        <v>0</v>
      </c>
      <c r="BK1704">
        <v>2375</v>
      </c>
      <c r="BL1704">
        <v>375</v>
      </c>
      <c r="BM1704" t="s">
        <v>119</v>
      </c>
      <c r="BN1704">
        <v>1</v>
      </c>
      <c r="BO1704">
        <v>1</v>
      </c>
      <c r="BP1704">
        <v>1</v>
      </c>
      <c r="BQ1704">
        <v>0</v>
      </c>
      <c r="BT1704">
        <v>0</v>
      </c>
      <c r="BU1704">
        <v>0</v>
      </c>
      <c r="BV1704">
        <v>0</v>
      </c>
      <c r="CC1704" t="str">
        <f>"19:03:12.625"</f>
        <v>19:03:12.625</v>
      </c>
      <c r="CD1704" t="str">
        <f>"625288463"</f>
        <v>625288463</v>
      </c>
      <c r="CQ1704">
        <v>0</v>
      </c>
      <c r="CR1704">
        <v>2</v>
      </c>
      <c r="CS1704">
        <v>0</v>
      </c>
      <c r="CT1704">
        <v>2</v>
      </c>
      <c r="CU1704">
        <v>0</v>
      </c>
      <c r="CV1704">
        <v>7</v>
      </c>
      <c r="CW1704" t="s">
        <v>120</v>
      </c>
      <c r="CX1704">
        <v>261</v>
      </c>
      <c r="CY1704">
        <v>2</v>
      </c>
      <c r="CZ1704" t="s">
        <v>121</v>
      </c>
      <c r="DA1704" t="s">
        <v>122</v>
      </c>
      <c r="DD1704">
        <v>15254288</v>
      </c>
      <c r="DE1704" t="s">
        <v>123</v>
      </c>
    </row>
    <row r="1705" spans="1:109" x14ac:dyDescent="0.3">
      <c r="A1705" t="str">
        <f>"19:03:13.945"</f>
        <v>19:03:13.945</v>
      </c>
      <c r="B1705" t="s">
        <v>110</v>
      </c>
      <c r="C1705" t="str">
        <f t="shared" si="78"/>
        <v>ffdfd3c0</v>
      </c>
      <c r="D1705" t="s">
        <v>111</v>
      </c>
      <c r="E1705">
        <v>18</v>
      </c>
      <c r="F1705">
        <v>1018</v>
      </c>
      <c r="G1705" t="s">
        <v>112</v>
      </c>
      <c r="J1705" t="s">
        <v>113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R1705" t="s">
        <v>114</v>
      </c>
      <c r="S1705" t="str">
        <f>"19:03:13.688"</f>
        <v>19:03:13.688</v>
      </c>
      <c r="T1705" t="str">
        <f>"19:03:13.188"</f>
        <v>19:03:13.188</v>
      </c>
      <c r="U1705" t="str">
        <f t="shared" si="79"/>
        <v>a1cdbe</v>
      </c>
      <c r="V1705">
        <v>0</v>
      </c>
      <c r="W1705">
        <v>0</v>
      </c>
      <c r="X1705">
        <v>1</v>
      </c>
      <c r="Y1705">
        <v>0</v>
      </c>
      <c r="Z1705">
        <v>0</v>
      </c>
      <c r="AB1705">
        <v>0</v>
      </c>
      <c r="AC1705">
        <v>9</v>
      </c>
      <c r="AD1705">
        <v>3</v>
      </c>
      <c r="AE1705">
        <v>0</v>
      </c>
      <c r="AF1705">
        <v>9</v>
      </c>
      <c r="AG1705" t="s">
        <v>158</v>
      </c>
      <c r="AH1705">
        <v>0</v>
      </c>
      <c r="AI1705">
        <v>3</v>
      </c>
      <c r="AJ1705">
        <v>1</v>
      </c>
      <c r="AK1705">
        <v>0</v>
      </c>
      <c r="AL1705" t="s">
        <v>3261</v>
      </c>
      <c r="AM1705">
        <v>46.835124</v>
      </c>
      <c r="AN1705" t="s">
        <v>3262</v>
      </c>
      <c r="AO1705">
        <v>-122.880471</v>
      </c>
      <c r="AP1705">
        <v>100</v>
      </c>
      <c r="AQ1705">
        <v>2000</v>
      </c>
      <c r="AR1705" t="s">
        <v>118</v>
      </c>
      <c r="AS1705">
        <v>-74</v>
      </c>
      <c r="AT1705">
        <v>23</v>
      </c>
      <c r="AU1705">
        <v>0</v>
      </c>
      <c r="BC1705">
        <v>1200</v>
      </c>
      <c r="BD1705">
        <v>1</v>
      </c>
      <c r="BE1705" t="str">
        <f t="shared" si="80"/>
        <v xml:space="preserve">N215T   </v>
      </c>
      <c r="BF1705">
        <v>1</v>
      </c>
      <c r="BH1705">
        <v>0</v>
      </c>
      <c r="BI1705">
        <v>0</v>
      </c>
      <c r="BJ1705">
        <v>0</v>
      </c>
      <c r="BK1705">
        <v>2375</v>
      </c>
      <c r="BL1705">
        <v>375</v>
      </c>
      <c r="BM1705" t="s">
        <v>119</v>
      </c>
      <c r="BN1705">
        <v>1</v>
      </c>
      <c r="BO1705">
        <v>1</v>
      </c>
      <c r="BP1705">
        <v>1</v>
      </c>
      <c r="BQ1705">
        <v>0</v>
      </c>
      <c r="BT1705">
        <v>0</v>
      </c>
      <c r="BU1705">
        <v>0</v>
      </c>
      <c r="BV1705">
        <v>0</v>
      </c>
      <c r="CC1705" t="str">
        <f>"19:03:13.688"</f>
        <v>19:03:13.688</v>
      </c>
      <c r="CD1705" t="str">
        <f>"690183548"</f>
        <v>690183548</v>
      </c>
      <c r="CQ1705">
        <v>0</v>
      </c>
      <c r="CR1705">
        <v>2</v>
      </c>
      <c r="CS1705">
        <v>0</v>
      </c>
      <c r="CT1705">
        <v>2</v>
      </c>
      <c r="CU1705">
        <v>0</v>
      </c>
      <c r="CV1705">
        <v>7</v>
      </c>
      <c r="CW1705" t="s">
        <v>120</v>
      </c>
      <c r="CX1705">
        <v>261</v>
      </c>
      <c r="CY1705">
        <v>2</v>
      </c>
      <c r="CZ1705" t="s">
        <v>121</v>
      </c>
      <c r="DA1705" t="s">
        <v>122</v>
      </c>
      <c r="DD1705">
        <v>15254928</v>
      </c>
      <c r="DE1705" t="s">
        <v>123</v>
      </c>
    </row>
    <row r="1706" spans="1:109" x14ac:dyDescent="0.3">
      <c r="A1706" t="str">
        <f>"19:03:14.797"</f>
        <v>19:03:14.797</v>
      </c>
      <c r="B1706" t="s">
        <v>110</v>
      </c>
      <c r="C1706" t="str">
        <f t="shared" si="78"/>
        <v>ffdfd3c0</v>
      </c>
      <c r="D1706" t="s">
        <v>111</v>
      </c>
      <c r="E1706">
        <v>18</v>
      </c>
      <c r="F1706">
        <v>1018</v>
      </c>
      <c r="G1706" t="s">
        <v>112</v>
      </c>
      <c r="J1706" t="s">
        <v>113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R1706" t="s">
        <v>114</v>
      </c>
      <c r="S1706" t="str">
        <f>"19:03:14.539"</f>
        <v>19:03:14.539</v>
      </c>
      <c r="T1706" t="str">
        <f>"19:03:14.336"</f>
        <v>19:03:14.336</v>
      </c>
      <c r="U1706" t="str">
        <f t="shared" si="79"/>
        <v>a1cdbe</v>
      </c>
      <c r="V1706">
        <v>0</v>
      </c>
      <c r="W1706">
        <v>0</v>
      </c>
      <c r="X1706">
        <v>1</v>
      </c>
      <c r="Y1706">
        <v>0</v>
      </c>
      <c r="Z1706">
        <v>0</v>
      </c>
      <c r="AB1706">
        <v>0</v>
      </c>
      <c r="AC1706">
        <v>9</v>
      </c>
      <c r="AD1706">
        <v>3</v>
      </c>
      <c r="AE1706">
        <v>0</v>
      </c>
      <c r="AF1706">
        <v>9</v>
      </c>
      <c r="AG1706" t="s">
        <v>158</v>
      </c>
      <c r="AH1706">
        <v>0</v>
      </c>
      <c r="AI1706">
        <v>3</v>
      </c>
      <c r="AJ1706">
        <v>1</v>
      </c>
      <c r="AK1706">
        <v>0</v>
      </c>
      <c r="AL1706" t="s">
        <v>3263</v>
      </c>
      <c r="AM1706">
        <v>46.835209999999996</v>
      </c>
      <c r="AN1706" t="s">
        <v>3264</v>
      </c>
      <c r="AO1706">
        <v>-122.880878</v>
      </c>
      <c r="AP1706">
        <v>100</v>
      </c>
      <c r="AQ1706">
        <v>2000</v>
      </c>
      <c r="AR1706" t="s">
        <v>118</v>
      </c>
      <c r="AS1706">
        <v>-74</v>
      </c>
      <c r="AT1706">
        <v>23</v>
      </c>
      <c r="AU1706">
        <v>-64</v>
      </c>
      <c r="BC1706">
        <v>1200</v>
      </c>
      <c r="BD1706">
        <v>1</v>
      </c>
      <c r="BE1706" t="str">
        <f t="shared" si="80"/>
        <v xml:space="preserve">N215T   </v>
      </c>
      <c r="BF1706">
        <v>1</v>
      </c>
      <c r="BH1706">
        <v>0</v>
      </c>
      <c r="BI1706">
        <v>0</v>
      </c>
      <c r="BJ1706">
        <v>0</v>
      </c>
      <c r="BK1706">
        <v>2375</v>
      </c>
      <c r="BL1706">
        <v>375</v>
      </c>
      <c r="BM1706" t="s">
        <v>119</v>
      </c>
      <c r="BN1706">
        <v>1</v>
      </c>
      <c r="BO1706">
        <v>1</v>
      </c>
      <c r="BP1706">
        <v>1</v>
      </c>
      <c r="BQ1706">
        <v>0</v>
      </c>
      <c r="BT1706">
        <v>0</v>
      </c>
      <c r="BU1706">
        <v>0</v>
      </c>
      <c r="BV1706">
        <v>0</v>
      </c>
      <c r="CC1706" t="str">
        <f>"19:03:14.547"</f>
        <v>19:03:14.547</v>
      </c>
      <c r="CD1706" t="str">
        <f>"545099317"</f>
        <v>545099317</v>
      </c>
      <c r="CQ1706">
        <v>0</v>
      </c>
      <c r="CR1706">
        <v>2</v>
      </c>
      <c r="CS1706">
        <v>0</v>
      </c>
      <c r="CT1706">
        <v>2</v>
      </c>
      <c r="CU1706">
        <v>0</v>
      </c>
      <c r="CV1706">
        <v>7</v>
      </c>
      <c r="CW1706" t="s">
        <v>120</v>
      </c>
      <c r="CX1706">
        <v>261</v>
      </c>
      <c r="CY1706">
        <v>2</v>
      </c>
      <c r="CZ1706" t="s">
        <v>121</v>
      </c>
      <c r="DA1706" t="s">
        <v>122</v>
      </c>
      <c r="DD1706">
        <v>15255503</v>
      </c>
      <c r="DE1706" t="s">
        <v>123</v>
      </c>
    </row>
    <row r="1707" spans="1:109" x14ac:dyDescent="0.3">
      <c r="A1707" t="str">
        <f>"19:03:15.758"</f>
        <v>19:03:15.758</v>
      </c>
      <c r="B1707" t="s">
        <v>110</v>
      </c>
      <c r="C1707" t="str">
        <f t="shared" si="78"/>
        <v>ffdfd3c0</v>
      </c>
      <c r="D1707" t="s">
        <v>111</v>
      </c>
      <c r="E1707">
        <v>18</v>
      </c>
      <c r="F1707">
        <v>1018</v>
      </c>
      <c r="G1707" t="s">
        <v>112</v>
      </c>
      <c r="J1707" t="s">
        <v>113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R1707" t="s">
        <v>114</v>
      </c>
      <c r="S1707" t="str">
        <f>"19:03:15.500"</f>
        <v>19:03:15.500</v>
      </c>
      <c r="T1707" t="str">
        <f>"19:03:15.203"</f>
        <v>19:03:15.203</v>
      </c>
      <c r="U1707" t="str">
        <f t="shared" si="79"/>
        <v>a1cdbe</v>
      </c>
      <c r="V1707">
        <v>0</v>
      </c>
      <c r="W1707">
        <v>0</v>
      </c>
      <c r="X1707">
        <v>1</v>
      </c>
      <c r="Y1707">
        <v>0</v>
      </c>
      <c r="Z1707">
        <v>0</v>
      </c>
      <c r="AB1707">
        <v>0</v>
      </c>
      <c r="AC1707">
        <v>9</v>
      </c>
      <c r="AD1707">
        <v>3</v>
      </c>
      <c r="AE1707">
        <v>0</v>
      </c>
      <c r="AF1707">
        <v>9</v>
      </c>
      <c r="AG1707" t="s">
        <v>158</v>
      </c>
      <c r="AH1707">
        <v>0</v>
      </c>
      <c r="AI1707">
        <v>3</v>
      </c>
      <c r="AJ1707">
        <v>1</v>
      </c>
      <c r="AK1707">
        <v>0</v>
      </c>
      <c r="AL1707" t="s">
        <v>3265</v>
      </c>
      <c r="AM1707">
        <v>46.835318000000001</v>
      </c>
      <c r="AN1707" t="s">
        <v>3266</v>
      </c>
      <c r="AO1707">
        <v>-122.88132899999999</v>
      </c>
      <c r="AP1707">
        <v>100</v>
      </c>
      <c r="AQ1707">
        <v>2000</v>
      </c>
      <c r="AR1707" t="s">
        <v>118</v>
      </c>
      <c r="AS1707">
        <v>-75</v>
      </c>
      <c r="AT1707">
        <v>23</v>
      </c>
      <c r="AU1707">
        <v>-64</v>
      </c>
      <c r="BC1707">
        <v>1200</v>
      </c>
      <c r="BD1707">
        <v>1</v>
      </c>
      <c r="BE1707" t="str">
        <f t="shared" si="80"/>
        <v xml:space="preserve">N215T   </v>
      </c>
      <c r="BF1707">
        <v>1</v>
      </c>
      <c r="BH1707">
        <v>0</v>
      </c>
      <c r="BI1707">
        <v>0</v>
      </c>
      <c r="BJ1707">
        <v>0</v>
      </c>
      <c r="BK1707">
        <v>2375</v>
      </c>
      <c r="BL1707">
        <v>375</v>
      </c>
      <c r="BM1707" t="s">
        <v>119</v>
      </c>
      <c r="BN1707">
        <v>1</v>
      </c>
      <c r="BO1707">
        <v>1</v>
      </c>
      <c r="BP1707">
        <v>1</v>
      </c>
      <c r="BQ1707">
        <v>0</v>
      </c>
      <c r="BT1707">
        <v>0</v>
      </c>
      <c r="BU1707">
        <v>0</v>
      </c>
      <c r="BV1707">
        <v>0</v>
      </c>
      <c r="CC1707" t="str">
        <f>"19:03:15.508"</f>
        <v>19:03:15.508</v>
      </c>
      <c r="CD1707" t="str">
        <f>"505004748"</f>
        <v>505004748</v>
      </c>
      <c r="CQ1707">
        <v>0</v>
      </c>
      <c r="CR1707">
        <v>2</v>
      </c>
      <c r="CS1707">
        <v>0</v>
      </c>
      <c r="CT1707">
        <v>2</v>
      </c>
      <c r="CU1707">
        <v>0</v>
      </c>
      <c r="CV1707">
        <v>7</v>
      </c>
      <c r="CW1707" t="s">
        <v>120</v>
      </c>
      <c r="CX1707">
        <v>261</v>
      </c>
      <c r="CY1707">
        <v>2</v>
      </c>
      <c r="CZ1707" t="s">
        <v>121</v>
      </c>
      <c r="DA1707" t="s">
        <v>122</v>
      </c>
      <c r="DD1707">
        <v>15256123</v>
      </c>
      <c r="DE1707" t="s">
        <v>123</v>
      </c>
    </row>
    <row r="1708" spans="1:109" x14ac:dyDescent="0.3">
      <c r="A1708" t="str">
        <f>"19:03:16.563"</f>
        <v>19:03:16.563</v>
      </c>
      <c r="B1708" t="s">
        <v>110</v>
      </c>
      <c r="C1708" t="str">
        <f t="shared" si="78"/>
        <v>ffdfd3c0</v>
      </c>
      <c r="D1708" t="s">
        <v>111</v>
      </c>
      <c r="E1708">
        <v>18</v>
      </c>
      <c r="F1708">
        <v>1018</v>
      </c>
      <c r="G1708" t="s">
        <v>112</v>
      </c>
      <c r="J1708" t="s">
        <v>113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R1708" t="s">
        <v>114</v>
      </c>
      <c r="S1708" t="str">
        <f>"19:03:16.359"</f>
        <v>19:03:16.359</v>
      </c>
      <c r="T1708" t="str">
        <f>"19:03:16.258"</f>
        <v>19:03:16.258</v>
      </c>
      <c r="U1708" t="str">
        <f t="shared" si="79"/>
        <v>a1cdbe</v>
      </c>
      <c r="V1708">
        <v>0</v>
      </c>
      <c r="W1708">
        <v>0</v>
      </c>
      <c r="X1708">
        <v>1</v>
      </c>
      <c r="Y1708">
        <v>0</v>
      </c>
      <c r="Z1708">
        <v>0</v>
      </c>
      <c r="AB1708">
        <v>0</v>
      </c>
      <c r="AC1708">
        <v>9</v>
      </c>
      <c r="AD1708">
        <v>3</v>
      </c>
      <c r="AE1708">
        <v>0</v>
      </c>
      <c r="AF1708">
        <v>9</v>
      </c>
      <c r="AG1708" t="s">
        <v>158</v>
      </c>
      <c r="AH1708">
        <v>0</v>
      </c>
      <c r="AI1708">
        <v>3</v>
      </c>
      <c r="AJ1708">
        <v>1</v>
      </c>
      <c r="AK1708">
        <v>0</v>
      </c>
      <c r="AL1708" t="s">
        <v>3267</v>
      </c>
      <c r="AM1708">
        <v>46.835402999999999</v>
      </c>
      <c r="AN1708" t="s">
        <v>3268</v>
      </c>
      <c r="AO1708">
        <v>-122.881823</v>
      </c>
      <c r="AP1708">
        <v>100</v>
      </c>
      <c r="AQ1708">
        <v>2000</v>
      </c>
      <c r="AR1708" t="s">
        <v>118</v>
      </c>
      <c r="AS1708">
        <v>-75</v>
      </c>
      <c r="AT1708">
        <v>23</v>
      </c>
      <c r="AU1708">
        <v>-64</v>
      </c>
      <c r="BC1708">
        <v>1200</v>
      </c>
      <c r="BD1708">
        <v>1</v>
      </c>
      <c r="BE1708" t="str">
        <f t="shared" si="80"/>
        <v xml:space="preserve">N215T   </v>
      </c>
      <c r="BF1708">
        <v>1</v>
      </c>
      <c r="BH1708">
        <v>0</v>
      </c>
      <c r="BI1708">
        <v>0</v>
      </c>
      <c r="BJ1708">
        <v>0</v>
      </c>
      <c r="BK1708">
        <v>2375</v>
      </c>
      <c r="BL1708">
        <v>375</v>
      </c>
      <c r="BM1708" t="s">
        <v>119</v>
      </c>
      <c r="BN1708">
        <v>1</v>
      </c>
      <c r="BO1708">
        <v>1</v>
      </c>
      <c r="BP1708">
        <v>1</v>
      </c>
      <c r="BQ1708">
        <v>0</v>
      </c>
      <c r="BT1708">
        <v>0</v>
      </c>
      <c r="BU1708">
        <v>0</v>
      </c>
      <c r="BV1708">
        <v>0</v>
      </c>
      <c r="CC1708" t="str">
        <f>"19:03:16.359"</f>
        <v>19:03:16.359</v>
      </c>
      <c r="CD1708" t="str">
        <f>"359920528"</f>
        <v>359920528</v>
      </c>
      <c r="CQ1708">
        <v>0</v>
      </c>
      <c r="CR1708">
        <v>2</v>
      </c>
      <c r="CS1708">
        <v>0</v>
      </c>
      <c r="CT1708">
        <v>2</v>
      </c>
      <c r="CU1708">
        <v>0</v>
      </c>
      <c r="CV1708">
        <v>7</v>
      </c>
      <c r="CW1708" t="s">
        <v>120</v>
      </c>
      <c r="CX1708">
        <v>261</v>
      </c>
      <c r="CY1708">
        <v>2</v>
      </c>
      <c r="CZ1708" t="s">
        <v>121</v>
      </c>
      <c r="DA1708" t="s">
        <v>122</v>
      </c>
      <c r="DD1708">
        <v>15256683</v>
      </c>
      <c r="DE1708" t="s">
        <v>123</v>
      </c>
    </row>
    <row r="1709" spans="1:109" x14ac:dyDescent="0.3">
      <c r="A1709" t="str">
        <f>"19:03:17.617"</f>
        <v>19:03:17.617</v>
      </c>
      <c r="B1709" t="s">
        <v>110</v>
      </c>
      <c r="C1709" t="str">
        <f t="shared" si="78"/>
        <v>ffdfd3c0</v>
      </c>
      <c r="D1709" t="s">
        <v>111</v>
      </c>
      <c r="E1709">
        <v>18</v>
      </c>
      <c r="F1709">
        <v>1018</v>
      </c>
      <c r="G1709" t="s">
        <v>112</v>
      </c>
      <c r="J1709" t="s">
        <v>113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R1709" t="s">
        <v>114</v>
      </c>
      <c r="S1709" t="str">
        <f>"19:03:17.359"</f>
        <v>19:03:17.359</v>
      </c>
      <c r="T1709" t="str">
        <f>"19:03:17.258"</f>
        <v>19:03:17.258</v>
      </c>
      <c r="U1709" t="str">
        <f t="shared" si="79"/>
        <v>a1cdbe</v>
      </c>
      <c r="V1709">
        <v>0</v>
      </c>
      <c r="W1709">
        <v>0</v>
      </c>
      <c r="X1709">
        <v>1</v>
      </c>
      <c r="Y1709">
        <v>0</v>
      </c>
      <c r="Z1709">
        <v>0</v>
      </c>
      <c r="AB1709">
        <v>0</v>
      </c>
      <c r="AC1709">
        <v>9</v>
      </c>
      <c r="AD1709">
        <v>3</v>
      </c>
      <c r="AE1709">
        <v>0</v>
      </c>
      <c r="AF1709">
        <v>9</v>
      </c>
      <c r="AG1709" t="s">
        <v>158</v>
      </c>
      <c r="AH1709">
        <v>0</v>
      </c>
      <c r="AI1709">
        <v>3</v>
      </c>
      <c r="AJ1709">
        <v>1</v>
      </c>
      <c r="AK1709">
        <v>0</v>
      </c>
      <c r="AL1709" t="s">
        <v>3269</v>
      </c>
      <c r="AM1709">
        <v>46.835510999999997</v>
      </c>
      <c r="AN1709" t="s">
        <v>3270</v>
      </c>
      <c r="AO1709">
        <v>-122.882295</v>
      </c>
      <c r="AP1709">
        <v>100</v>
      </c>
      <c r="AQ1709">
        <v>2000</v>
      </c>
      <c r="AR1709" t="s">
        <v>118</v>
      </c>
      <c r="AS1709">
        <v>-75</v>
      </c>
      <c r="AT1709">
        <v>23</v>
      </c>
      <c r="AU1709">
        <v>0</v>
      </c>
      <c r="BC1709">
        <v>1200</v>
      </c>
      <c r="BD1709">
        <v>1</v>
      </c>
      <c r="BE1709" t="str">
        <f t="shared" si="80"/>
        <v xml:space="preserve">N215T   </v>
      </c>
      <c r="BF1709">
        <v>1</v>
      </c>
      <c r="BH1709">
        <v>0</v>
      </c>
      <c r="BI1709">
        <v>0</v>
      </c>
      <c r="BJ1709">
        <v>0</v>
      </c>
      <c r="BK1709">
        <v>2375</v>
      </c>
      <c r="BL1709">
        <v>375</v>
      </c>
      <c r="BM1709" t="s">
        <v>119</v>
      </c>
      <c r="BN1709">
        <v>1</v>
      </c>
      <c r="BO1709">
        <v>1</v>
      </c>
      <c r="BP1709">
        <v>1</v>
      </c>
      <c r="BQ1709">
        <v>0</v>
      </c>
      <c r="BT1709">
        <v>0</v>
      </c>
      <c r="BU1709">
        <v>0</v>
      </c>
      <c r="BV1709">
        <v>0</v>
      </c>
      <c r="CC1709" t="str">
        <f>"19:03:17.367"</f>
        <v>19:03:17.367</v>
      </c>
      <c r="CD1709" t="str">
        <f>"364821524"</f>
        <v>364821524</v>
      </c>
      <c r="CQ1709">
        <v>0</v>
      </c>
      <c r="CR1709">
        <v>2</v>
      </c>
      <c r="CS1709">
        <v>0</v>
      </c>
      <c r="CT1709">
        <v>2</v>
      </c>
      <c r="CU1709">
        <v>0</v>
      </c>
      <c r="CV1709">
        <v>7</v>
      </c>
      <c r="CW1709" t="s">
        <v>120</v>
      </c>
      <c r="CX1709">
        <v>261</v>
      </c>
      <c r="CY1709">
        <v>2</v>
      </c>
      <c r="CZ1709" t="s">
        <v>121</v>
      </c>
      <c r="DA1709" t="s">
        <v>122</v>
      </c>
      <c r="DD1709">
        <v>15257300</v>
      </c>
      <c r="DE1709" t="s">
        <v>123</v>
      </c>
    </row>
    <row r="1710" spans="1:109" x14ac:dyDescent="0.3">
      <c r="A1710" t="str">
        <f>"19:03:18.672"</f>
        <v>19:03:18.672</v>
      </c>
      <c r="B1710" t="s">
        <v>110</v>
      </c>
      <c r="C1710" t="str">
        <f t="shared" si="78"/>
        <v>ffdfd3c0</v>
      </c>
      <c r="D1710" t="s">
        <v>111</v>
      </c>
      <c r="E1710">
        <v>18</v>
      </c>
      <c r="F1710">
        <v>1018</v>
      </c>
      <c r="G1710" t="s">
        <v>112</v>
      </c>
      <c r="J1710" t="s">
        <v>113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R1710" t="s">
        <v>114</v>
      </c>
      <c r="S1710" t="str">
        <f>"19:03:18.414"</f>
        <v>19:03:18.414</v>
      </c>
      <c r="T1710" t="str">
        <f>"19:03:18.211"</f>
        <v>19:03:18.211</v>
      </c>
      <c r="U1710" t="str">
        <f t="shared" si="79"/>
        <v>a1cdbe</v>
      </c>
      <c r="V1710">
        <v>0</v>
      </c>
      <c r="W1710">
        <v>0</v>
      </c>
      <c r="X1710">
        <v>1</v>
      </c>
      <c r="Y1710">
        <v>0</v>
      </c>
      <c r="Z1710">
        <v>0</v>
      </c>
      <c r="AB1710">
        <v>0</v>
      </c>
      <c r="AC1710">
        <v>9</v>
      </c>
      <c r="AD1710">
        <v>3</v>
      </c>
      <c r="AE1710">
        <v>0</v>
      </c>
      <c r="AF1710">
        <v>9</v>
      </c>
      <c r="AG1710" t="s">
        <v>158</v>
      </c>
      <c r="AH1710">
        <v>0</v>
      </c>
      <c r="AI1710">
        <v>3</v>
      </c>
      <c r="AJ1710">
        <v>1</v>
      </c>
      <c r="AK1710">
        <v>0</v>
      </c>
      <c r="AL1710" t="s">
        <v>3271</v>
      </c>
      <c r="AM1710">
        <v>46.835639</v>
      </c>
      <c r="AN1710" t="s">
        <v>3272</v>
      </c>
      <c r="AO1710">
        <v>-122.88281000000001</v>
      </c>
      <c r="AP1710">
        <v>100</v>
      </c>
      <c r="AQ1710">
        <v>2000</v>
      </c>
      <c r="AR1710" t="s">
        <v>118</v>
      </c>
      <c r="AS1710">
        <v>-75</v>
      </c>
      <c r="AT1710">
        <v>23</v>
      </c>
      <c r="AU1710">
        <v>0</v>
      </c>
      <c r="BC1710">
        <v>1200</v>
      </c>
      <c r="BD1710">
        <v>1</v>
      </c>
      <c r="BE1710" t="str">
        <f t="shared" si="80"/>
        <v xml:space="preserve">N215T   </v>
      </c>
      <c r="BF1710">
        <v>1</v>
      </c>
      <c r="BH1710">
        <v>0</v>
      </c>
      <c r="BI1710">
        <v>0</v>
      </c>
      <c r="BJ1710">
        <v>0</v>
      </c>
      <c r="BK1710">
        <v>2375</v>
      </c>
      <c r="BL1710">
        <v>375</v>
      </c>
      <c r="BM1710" t="s">
        <v>119</v>
      </c>
      <c r="BN1710">
        <v>1</v>
      </c>
      <c r="BO1710">
        <v>1</v>
      </c>
      <c r="BP1710">
        <v>1</v>
      </c>
      <c r="BQ1710">
        <v>0</v>
      </c>
      <c r="BT1710">
        <v>0</v>
      </c>
      <c r="BU1710">
        <v>0</v>
      </c>
      <c r="BV1710">
        <v>0</v>
      </c>
      <c r="CC1710" t="str">
        <f>"19:03:18.414"</f>
        <v>19:03:18.414</v>
      </c>
      <c r="CD1710" t="str">
        <f>"414718091"</f>
        <v>414718091</v>
      </c>
      <c r="CQ1710">
        <v>0</v>
      </c>
      <c r="CR1710">
        <v>2</v>
      </c>
      <c r="CS1710">
        <v>0</v>
      </c>
      <c r="CT1710">
        <v>2</v>
      </c>
      <c r="CU1710">
        <v>0</v>
      </c>
      <c r="CV1710">
        <v>7</v>
      </c>
      <c r="CW1710" t="s">
        <v>120</v>
      </c>
      <c r="CX1710">
        <v>261</v>
      </c>
      <c r="CY1710">
        <v>2</v>
      </c>
      <c r="CZ1710" t="s">
        <v>121</v>
      </c>
      <c r="DA1710" t="s">
        <v>122</v>
      </c>
      <c r="DD1710">
        <v>15257942</v>
      </c>
      <c r="DE1710" t="s">
        <v>123</v>
      </c>
    </row>
    <row r="1711" spans="1:109" x14ac:dyDescent="0.3">
      <c r="A1711" t="str">
        <f>"19:03:19.727"</f>
        <v>19:03:19.727</v>
      </c>
      <c r="B1711" t="s">
        <v>110</v>
      </c>
      <c r="C1711" t="str">
        <f t="shared" si="78"/>
        <v>ffdfd3c0</v>
      </c>
      <c r="D1711" t="s">
        <v>111</v>
      </c>
      <c r="E1711">
        <v>18</v>
      </c>
      <c r="F1711">
        <v>1018</v>
      </c>
      <c r="G1711" t="s">
        <v>112</v>
      </c>
      <c r="J1711" t="s">
        <v>113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R1711" t="s">
        <v>114</v>
      </c>
      <c r="S1711" t="str">
        <f>"19:03:19.539"</f>
        <v>19:03:19.539</v>
      </c>
      <c r="T1711" t="str">
        <f>"19:03:19.039"</f>
        <v>19:03:19.039</v>
      </c>
      <c r="U1711" t="str">
        <f t="shared" si="79"/>
        <v>a1cdbe</v>
      </c>
      <c r="V1711">
        <v>0</v>
      </c>
      <c r="W1711">
        <v>0</v>
      </c>
      <c r="X1711">
        <v>1</v>
      </c>
      <c r="Y1711">
        <v>0</v>
      </c>
      <c r="Z1711">
        <v>0</v>
      </c>
      <c r="AB1711">
        <v>0</v>
      </c>
      <c r="AC1711">
        <v>9</v>
      </c>
      <c r="AD1711">
        <v>3</v>
      </c>
      <c r="AE1711">
        <v>0</v>
      </c>
      <c r="AF1711">
        <v>9</v>
      </c>
      <c r="AG1711" t="s">
        <v>158</v>
      </c>
      <c r="AH1711">
        <v>0</v>
      </c>
      <c r="AI1711">
        <v>3</v>
      </c>
      <c r="AJ1711">
        <v>1</v>
      </c>
      <c r="AK1711">
        <v>0</v>
      </c>
      <c r="AL1711" t="s">
        <v>3273</v>
      </c>
      <c r="AM1711">
        <v>46.835746999999998</v>
      </c>
      <c r="AN1711" t="s">
        <v>3274</v>
      </c>
      <c r="AO1711">
        <v>-122.88338899999999</v>
      </c>
      <c r="AP1711">
        <v>100</v>
      </c>
      <c r="AQ1711">
        <v>2000</v>
      </c>
      <c r="AR1711" t="s">
        <v>118</v>
      </c>
      <c r="AS1711">
        <v>-75</v>
      </c>
      <c r="AT1711">
        <v>22</v>
      </c>
      <c r="AU1711">
        <v>0</v>
      </c>
      <c r="BC1711">
        <v>1200</v>
      </c>
      <c r="BD1711">
        <v>1</v>
      </c>
      <c r="BE1711" t="str">
        <f t="shared" si="80"/>
        <v xml:space="preserve">N215T   </v>
      </c>
      <c r="BF1711">
        <v>1</v>
      </c>
      <c r="BH1711">
        <v>0</v>
      </c>
      <c r="BI1711">
        <v>0</v>
      </c>
      <c r="BJ1711">
        <v>0</v>
      </c>
      <c r="BK1711">
        <v>2375</v>
      </c>
      <c r="BL1711">
        <v>375</v>
      </c>
      <c r="BM1711" t="s">
        <v>119</v>
      </c>
      <c r="BN1711">
        <v>1</v>
      </c>
      <c r="BO1711">
        <v>1</v>
      </c>
      <c r="BP1711">
        <v>1</v>
      </c>
      <c r="BQ1711">
        <v>0</v>
      </c>
      <c r="BT1711">
        <v>0</v>
      </c>
      <c r="BU1711">
        <v>0</v>
      </c>
      <c r="BV1711">
        <v>0</v>
      </c>
      <c r="CC1711" t="str">
        <f>"19:03:19.539"</f>
        <v>19:03:19.539</v>
      </c>
      <c r="CD1711" t="str">
        <f>"539607269"</f>
        <v>539607269</v>
      </c>
      <c r="CQ1711">
        <v>0</v>
      </c>
      <c r="CR1711">
        <v>2</v>
      </c>
      <c r="CS1711">
        <v>0</v>
      </c>
      <c r="CT1711">
        <v>2</v>
      </c>
      <c r="CU1711">
        <v>0</v>
      </c>
      <c r="CV1711">
        <v>7</v>
      </c>
      <c r="CW1711" t="s">
        <v>120</v>
      </c>
      <c r="CX1711">
        <v>261</v>
      </c>
      <c r="CY1711">
        <v>2</v>
      </c>
      <c r="CZ1711" t="s">
        <v>121</v>
      </c>
      <c r="DA1711" t="s">
        <v>122</v>
      </c>
      <c r="DD1711">
        <v>15258677</v>
      </c>
      <c r="DE1711" t="s">
        <v>123</v>
      </c>
    </row>
    <row r="1712" spans="1:109" x14ac:dyDescent="0.3">
      <c r="A1712" t="str">
        <f>"19:03:20.938"</f>
        <v>19:03:20.938</v>
      </c>
      <c r="B1712" t="s">
        <v>110</v>
      </c>
      <c r="C1712" t="str">
        <f t="shared" si="78"/>
        <v>ffdfd3c0</v>
      </c>
      <c r="D1712" t="s">
        <v>111</v>
      </c>
      <c r="E1712">
        <v>18</v>
      </c>
      <c r="F1712">
        <v>1018</v>
      </c>
      <c r="G1712" t="s">
        <v>112</v>
      </c>
      <c r="J1712" t="s">
        <v>113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R1712" t="s">
        <v>114</v>
      </c>
      <c r="S1712" t="str">
        <f>"19:03:20.719"</f>
        <v>19:03:20.719</v>
      </c>
      <c r="T1712" t="str">
        <f>"19:03:20.219"</f>
        <v>19:03:20.219</v>
      </c>
      <c r="U1712" t="str">
        <f t="shared" si="79"/>
        <v>a1cdbe</v>
      </c>
      <c r="V1712">
        <v>0</v>
      </c>
      <c r="W1712">
        <v>0</v>
      </c>
      <c r="X1712">
        <v>1</v>
      </c>
      <c r="Y1712">
        <v>0</v>
      </c>
      <c r="Z1712">
        <v>0</v>
      </c>
      <c r="AB1712">
        <v>0</v>
      </c>
      <c r="AC1712">
        <v>9</v>
      </c>
      <c r="AD1712">
        <v>3</v>
      </c>
      <c r="AE1712">
        <v>0</v>
      </c>
      <c r="AF1712">
        <v>9</v>
      </c>
      <c r="AG1712" t="s">
        <v>158</v>
      </c>
      <c r="AH1712">
        <v>0</v>
      </c>
      <c r="AI1712">
        <v>3</v>
      </c>
      <c r="AJ1712">
        <v>1</v>
      </c>
      <c r="AK1712">
        <v>0</v>
      </c>
      <c r="AL1712" t="s">
        <v>3275</v>
      </c>
      <c r="AM1712">
        <v>46.835875999999999</v>
      </c>
      <c r="AN1712" t="s">
        <v>3276</v>
      </c>
      <c r="AO1712">
        <v>-122.884011</v>
      </c>
      <c r="AP1712">
        <v>100</v>
      </c>
      <c r="AQ1712">
        <v>2000</v>
      </c>
      <c r="AR1712" t="s">
        <v>118</v>
      </c>
      <c r="AS1712">
        <v>-75</v>
      </c>
      <c r="AT1712">
        <v>22</v>
      </c>
      <c r="AU1712">
        <v>64</v>
      </c>
      <c r="BC1712">
        <v>1200</v>
      </c>
      <c r="BD1712">
        <v>1</v>
      </c>
      <c r="BE1712" t="str">
        <f t="shared" si="80"/>
        <v xml:space="preserve">N215T   </v>
      </c>
      <c r="BF1712">
        <v>1</v>
      </c>
      <c r="BH1712">
        <v>0</v>
      </c>
      <c r="BI1712">
        <v>0</v>
      </c>
      <c r="BJ1712">
        <v>0</v>
      </c>
      <c r="BK1712">
        <v>2375</v>
      </c>
      <c r="BL1712">
        <v>375</v>
      </c>
      <c r="BM1712" t="s">
        <v>119</v>
      </c>
      <c r="BN1712">
        <v>1</v>
      </c>
      <c r="BO1712">
        <v>1</v>
      </c>
      <c r="BP1712">
        <v>1</v>
      </c>
      <c r="BQ1712">
        <v>0</v>
      </c>
      <c r="BT1712">
        <v>0</v>
      </c>
      <c r="BU1712">
        <v>0</v>
      </c>
      <c r="BV1712">
        <v>0</v>
      </c>
      <c r="CC1712" t="str">
        <f>"19:03:20.727"</f>
        <v>19:03:20.727</v>
      </c>
      <c r="CD1712" t="str">
        <f>"724490535"</f>
        <v>724490535</v>
      </c>
      <c r="CQ1712">
        <v>0</v>
      </c>
      <c r="CR1712">
        <v>2</v>
      </c>
      <c r="CS1712">
        <v>0</v>
      </c>
      <c r="CT1712">
        <v>2</v>
      </c>
      <c r="CU1712">
        <v>0</v>
      </c>
      <c r="CV1712">
        <v>7</v>
      </c>
      <c r="CW1712" t="s">
        <v>120</v>
      </c>
      <c r="CX1712">
        <v>261</v>
      </c>
      <c r="CY1712">
        <v>2</v>
      </c>
      <c r="CZ1712" t="s">
        <v>121</v>
      </c>
      <c r="DA1712" t="s">
        <v>122</v>
      </c>
      <c r="DD1712">
        <v>15259460</v>
      </c>
      <c r="DE1712" t="s">
        <v>123</v>
      </c>
    </row>
    <row r="1713" spans="1:109" x14ac:dyDescent="0.3">
      <c r="A1713" t="str">
        <f>"19:03:22.094"</f>
        <v>19:03:22.094</v>
      </c>
      <c r="B1713" t="s">
        <v>110</v>
      </c>
      <c r="C1713" t="str">
        <f t="shared" si="78"/>
        <v>ffdfd3c0</v>
      </c>
      <c r="D1713" t="s">
        <v>111</v>
      </c>
      <c r="E1713">
        <v>18</v>
      </c>
      <c r="F1713">
        <v>1018</v>
      </c>
      <c r="G1713" t="s">
        <v>112</v>
      </c>
      <c r="J1713" t="s">
        <v>113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R1713" t="s">
        <v>114</v>
      </c>
      <c r="S1713" t="str">
        <f>"19:03:21.844"</f>
        <v>19:03:21.844</v>
      </c>
      <c r="T1713" t="str">
        <f>"19:03:21.641"</f>
        <v>19:03:21.641</v>
      </c>
      <c r="U1713" t="str">
        <f t="shared" si="79"/>
        <v>a1cdbe</v>
      </c>
      <c r="V1713">
        <v>0</v>
      </c>
      <c r="W1713">
        <v>0</v>
      </c>
      <c r="X1713">
        <v>1</v>
      </c>
      <c r="Y1713">
        <v>0</v>
      </c>
      <c r="Z1713">
        <v>0</v>
      </c>
      <c r="AB1713">
        <v>0</v>
      </c>
      <c r="AC1713">
        <v>9</v>
      </c>
      <c r="AD1713">
        <v>3</v>
      </c>
      <c r="AE1713">
        <v>0</v>
      </c>
      <c r="AF1713">
        <v>9</v>
      </c>
      <c r="AG1713" t="s">
        <v>158</v>
      </c>
      <c r="AH1713">
        <v>0</v>
      </c>
      <c r="AI1713">
        <v>3</v>
      </c>
      <c r="AJ1713">
        <v>1</v>
      </c>
      <c r="AK1713">
        <v>0</v>
      </c>
      <c r="AL1713" t="s">
        <v>2275</v>
      </c>
      <c r="AM1713">
        <v>46.835982999999999</v>
      </c>
      <c r="AN1713" t="s">
        <v>3277</v>
      </c>
      <c r="AO1713">
        <v>-122.884548</v>
      </c>
      <c r="AP1713">
        <v>100</v>
      </c>
      <c r="AQ1713">
        <v>2000</v>
      </c>
      <c r="AR1713" t="s">
        <v>118</v>
      </c>
      <c r="AS1713">
        <v>-75</v>
      </c>
      <c r="AT1713">
        <v>21</v>
      </c>
      <c r="AU1713">
        <v>64</v>
      </c>
      <c r="BC1713">
        <v>1200</v>
      </c>
      <c r="BD1713">
        <v>1</v>
      </c>
      <c r="BE1713" t="str">
        <f t="shared" si="80"/>
        <v xml:space="preserve">N215T   </v>
      </c>
      <c r="BF1713">
        <v>1</v>
      </c>
      <c r="BH1713">
        <v>0</v>
      </c>
      <c r="BI1713">
        <v>0</v>
      </c>
      <c r="BJ1713">
        <v>0</v>
      </c>
      <c r="BK1713">
        <v>2375</v>
      </c>
      <c r="BL1713">
        <v>375</v>
      </c>
      <c r="BM1713" t="s">
        <v>119</v>
      </c>
      <c r="BN1713">
        <v>1</v>
      </c>
      <c r="BO1713">
        <v>1</v>
      </c>
      <c r="BP1713">
        <v>1</v>
      </c>
      <c r="BQ1713">
        <v>0</v>
      </c>
      <c r="BT1713">
        <v>0</v>
      </c>
      <c r="BU1713">
        <v>0</v>
      </c>
      <c r="BV1713">
        <v>0</v>
      </c>
      <c r="CC1713" t="str">
        <f>"19:03:21.852"</f>
        <v>19:03:21.852</v>
      </c>
      <c r="CD1713" t="str">
        <f>"849379717"</f>
        <v>849379717</v>
      </c>
      <c r="CQ1713">
        <v>0</v>
      </c>
      <c r="CR1713">
        <v>2</v>
      </c>
      <c r="CS1713">
        <v>0</v>
      </c>
      <c r="CT1713">
        <v>2</v>
      </c>
      <c r="CU1713">
        <v>0</v>
      </c>
      <c r="CV1713">
        <v>7</v>
      </c>
      <c r="CW1713" t="s">
        <v>120</v>
      </c>
      <c r="CX1713">
        <v>261</v>
      </c>
      <c r="CY1713">
        <v>2</v>
      </c>
      <c r="CZ1713" t="s">
        <v>121</v>
      </c>
      <c r="DA1713" t="s">
        <v>122</v>
      </c>
      <c r="DD1713">
        <v>15260133</v>
      </c>
      <c r="DE1713" t="s">
        <v>123</v>
      </c>
    </row>
    <row r="1714" spans="1:109" x14ac:dyDescent="0.3">
      <c r="A1714" t="str">
        <f>"19:03:22.945"</f>
        <v>19:03:22.945</v>
      </c>
      <c r="B1714" t="s">
        <v>110</v>
      </c>
      <c r="C1714" t="str">
        <f t="shared" si="78"/>
        <v>ffdfd3c0</v>
      </c>
      <c r="D1714" t="s">
        <v>111</v>
      </c>
      <c r="E1714">
        <v>18</v>
      </c>
      <c r="F1714">
        <v>1018</v>
      </c>
      <c r="G1714" t="s">
        <v>112</v>
      </c>
      <c r="J1714" t="s">
        <v>113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R1714" t="s">
        <v>114</v>
      </c>
      <c r="S1714" t="str">
        <f>"19:03:22.727"</f>
        <v>19:03:22.727</v>
      </c>
      <c r="T1714" t="str">
        <f>"19:03:22.727"</f>
        <v>19:03:22.727</v>
      </c>
      <c r="U1714" t="str">
        <f t="shared" si="79"/>
        <v>a1cdbe</v>
      </c>
      <c r="V1714">
        <v>0</v>
      </c>
      <c r="W1714">
        <v>0</v>
      </c>
      <c r="X1714">
        <v>1</v>
      </c>
      <c r="Y1714">
        <v>0</v>
      </c>
      <c r="Z1714">
        <v>0</v>
      </c>
      <c r="AB1714">
        <v>0</v>
      </c>
      <c r="AC1714">
        <v>9</v>
      </c>
      <c r="AD1714">
        <v>3</v>
      </c>
      <c r="AE1714">
        <v>0</v>
      </c>
      <c r="AF1714">
        <v>9</v>
      </c>
      <c r="AG1714" t="s">
        <v>158</v>
      </c>
      <c r="AH1714">
        <v>0</v>
      </c>
      <c r="AI1714">
        <v>3</v>
      </c>
      <c r="AJ1714">
        <v>1</v>
      </c>
      <c r="AK1714">
        <v>0</v>
      </c>
      <c r="AL1714" t="s">
        <v>3278</v>
      </c>
      <c r="AM1714">
        <v>46.836069000000002</v>
      </c>
      <c r="AN1714" t="s">
        <v>3279</v>
      </c>
      <c r="AO1714">
        <v>-122.885041</v>
      </c>
      <c r="AP1714">
        <v>100</v>
      </c>
      <c r="AQ1714">
        <v>2000</v>
      </c>
      <c r="AR1714" t="s">
        <v>118</v>
      </c>
      <c r="AS1714">
        <v>-75</v>
      </c>
      <c r="AT1714">
        <v>20</v>
      </c>
      <c r="AU1714">
        <v>128</v>
      </c>
      <c r="BC1714">
        <v>1200</v>
      </c>
      <c r="BD1714">
        <v>1</v>
      </c>
      <c r="BE1714" t="str">
        <f t="shared" si="80"/>
        <v xml:space="preserve">N215T   </v>
      </c>
      <c r="BF1714">
        <v>1</v>
      </c>
      <c r="BH1714">
        <v>0</v>
      </c>
      <c r="BI1714">
        <v>0</v>
      </c>
      <c r="BJ1714">
        <v>0</v>
      </c>
      <c r="BK1714">
        <v>2375</v>
      </c>
      <c r="BL1714">
        <v>375</v>
      </c>
      <c r="BM1714" t="s">
        <v>119</v>
      </c>
      <c r="BN1714">
        <v>1</v>
      </c>
      <c r="BO1714">
        <v>1</v>
      </c>
      <c r="BP1714">
        <v>1</v>
      </c>
      <c r="BQ1714">
        <v>0</v>
      </c>
      <c r="BT1714">
        <v>0</v>
      </c>
      <c r="BU1714">
        <v>0</v>
      </c>
      <c r="BV1714">
        <v>0</v>
      </c>
      <c r="CC1714" t="str">
        <f>"19:03:22.734"</f>
        <v>19:03:22.734</v>
      </c>
      <c r="CD1714" t="str">
        <f>"734292538"</f>
        <v>734292538</v>
      </c>
      <c r="CQ1714">
        <v>0</v>
      </c>
      <c r="CR1714">
        <v>2</v>
      </c>
      <c r="CS1714">
        <v>0</v>
      </c>
      <c r="CT1714">
        <v>2</v>
      </c>
      <c r="CU1714">
        <v>0</v>
      </c>
      <c r="CV1714">
        <v>7</v>
      </c>
      <c r="CW1714" t="s">
        <v>120</v>
      </c>
      <c r="CX1714">
        <v>261</v>
      </c>
      <c r="CY1714">
        <v>2</v>
      </c>
      <c r="CZ1714" t="s">
        <v>121</v>
      </c>
      <c r="DA1714" t="s">
        <v>122</v>
      </c>
      <c r="DD1714">
        <v>15260655</v>
      </c>
      <c r="DE1714" t="s">
        <v>123</v>
      </c>
    </row>
    <row r="1715" spans="1:109" x14ac:dyDescent="0.3">
      <c r="A1715" t="str">
        <f>"19:03:24.055"</f>
        <v>19:03:24.055</v>
      </c>
      <c r="B1715" t="s">
        <v>110</v>
      </c>
      <c r="C1715" t="str">
        <f t="shared" si="78"/>
        <v>ffdfd3c0</v>
      </c>
      <c r="D1715" t="s">
        <v>111</v>
      </c>
      <c r="E1715">
        <v>18</v>
      </c>
      <c r="F1715">
        <v>1018</v>
      </c>
      <c r="G1715" t="s">
        <v>112</v>
      </c>
      <c r="J1715" t="s">
        <v>113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R1715" t="s">
        <v>114</v>
      </c>
      <c r="S1715" t="str">
        <f>"19:03:23.852"</f>
        <v>19:03:23.852</v>
      </c>
      <c r="T1715" t="str">
        <f>"19:03:23.648"</f>
        <v>19:03:23.648</v>
      </c>
      <c r="U1715" t="str">
        <f t="shared" si="79"/>
        <v>a1cdbe</v>
      </c>
      <c r="V1715">
        <v>0</v>
      </c>
      <c r="W1715">
        <v>0</v>
      </c>
      <c r="X1715">
        <v>1</v>
      </c>
      <c r="Y1715">
        <v>0</v>
      </c>
      <c r="Z1715">
        <v>0</v>
      </c>
      <c r="AB1715">
        <v>0</v>
      </c>
      <c r="AC1715">
        <v>9</v>
      </c>
      <c r="AD1715">
        <v>3</v>
      </c>
      <c r="AE1715">
        <v>0</v>
      </c>
      <c r="AF1715">
        <v>9</v>
      </c>
      <c r="AG1715" t="s">
        <v>158</v>
      </c>
      <c r="AH1715">
        <v>0</v>
      </c>
      <c r="AI1715">
        <v>3</v>
      </c>
      <c r="AJ1715">
        <v>1</v>
      </c>
      <c r="AK1715">
        <v>0</v>
      </c>
      <c r="AL1715" t="s">
        <v>3280</v>
      </c>
      <c r="AM1715">
        <v>46.836154000000001</v>
      </c>
      <c r="AN1715" t="s">
        <v>3281</v>
      </c>
      <c r="AO1715">
        <v>-122.885578</v>
      </c>
      <c r="AP1715">
        <v>100</v>
      </c>
      <c r="AQ1715">
        <v>2000</v>
      </c>
      <c r="AR1715" t="s">
        <v>118</v>
      </c>
      <c r="AS1715">
        <v>-76</v>
      </c>
      <c r="AT1715">
        <v>20</v>
      </c>
      <c r="AU1715">
        <v>128</v>
      </c>
      <c r="BC1715">
        <v>1200</v>
      </c>
      <c r="BD1715">
        <v>1</v>
      </c>
      <c r="BE1715" t="str">
        <f t="shared" si="80"/>
        <v xml:space="preserve">N215T   </v>
      </c>
      <c r="BF1715">
        <v>1</v>
      </c>
      <c r="BH1715">
        <v>0</v>
      </c>
      <c r="BI1715">
        <v>0</v>
      </c>
      <c r="BJ1715">
        <v>0</v>
      </c>
      <c r="BK1715">
        <v>2375</v>
      </c>
      <c r="BL1715">
        <v>375</v>
      </c>
      <c r="BM1715" t="s">
        <v>119</v>
      </c>
      <c r="BN1715">
        <v>1</v>
      </c>
      <c r="BO1715">
        <v>1</v>
      </c>
      <c r="BP1715">
        <v>1</v>
      </c>
      <c r="BQ1715">
        <v>0</v>
      </c>
      <c r="BT1715">
        <v>0</v>
      </c>
      <c r="BU1715">
        <v>0</v>
      </c>
      <c r="BV1715">
        <v>0</v>
      </c>
      <c r="CC1715" t="str">
        <f>"19:03:23.859"</f>
        <v>19:03:23.859</v>
      </c>
      <c r="CD1715" t="str">
        <f>"859181718"</f>
        <v>859181718</v>
      </c>
      <c r="CQ1715">
        <v>0</v>
      </c>
      <c r="CR1715">
        <v>2</v>
      </c>
      <c r="CS1715">
        <v>0</v>
      </c>
      <c r="CT1715">
        <v>2</v>
      </c>
      <c r="CU1715">
        <v>0</v>
      </c>
      <c r="CV1715">
        <v>7</v>
      </c>
      <c r="CW1715" t="s">
        <v>120</v>
      </c>
      <c r="CX1715">
        <v>261</v>
      </c>
      <c r="CY1715">
        <v>2</v>
      </c>
      <c r="CZ1715" t="s">
        <v>121</v>
      </c>
      <c r="DA1715" t="s">
        <v>122</v>
      </c>
      <c r="DD1715">
        <v>15261376</v>
      </c>
      <c r="DE1715" t="s">
        <v>123</v>
      </c>
    </row>
    <row r="1716" spans="1:109" x14ac:dyDescent="0.3">
      <c r="A1716" t="str">
        <f>"19:03:25.008"</f>
        <v>19:03:25.008</v>
      </c>
      <c r="B1716" t="s">
        <v>110</v>
      </c>
      <c r="C1716" t="str">
        <f t="shared" si="78"/>
        <v>ffdfd3c0</v>
      </c>
      <c r="D1716" t="s">
        <v>111</v>
      </c>
      <c r="E1716">
        <v>18</v>
      </c>
      <c r="F1716">
        <v>1018</v>
      </c>
      <c r="G1716" t="s">
        <v>112</v>
      </c>
      <c r="J1716" t="s">
        <v>113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R1716" t="s">
        <v>114</v>
      </c>
      <c r="S1716" t="str">
        <f>"19:03:24.773"</f>
        <v>19:03:24.773</v>
      </c>
      <c r="T1716" t="str">
        <f>"19:03:24.672"</f>
        <v>19:03:24.672</v>
      </c>
      <c r="U1716" t="str">
        <f t="shared" si="79"/>
        <v>a1cdbe</v>
      </c>
      <c r="V1716">
        <v>0</v>
      </c>
      <c r="W1716">
        <v>0</v>
      </c>
      <c r="X1716">
        <v>1</v>
      </c>
      <c r="Y1716">
        <v>0</v>
      </c>
      <c r="Z1716">
        <v>0</v>
      </c>
      <c r="AB1716">
        <v>0</v>
      </c>
      <c r="AC1716">
        <v>9</v>
      </c>
      <c r="AD1716">
        <v>3</v>
      </c>
      <c r="AE1716">
        <v>0</v>
      </c>
      <c r="AF1716">
        <v>9</v>
      </c>
      <c r="AG1716" t="s">
        <v>158</v>
      </c>
      <c r="AH1716">
        <v>0</v>
      </c>
      <c r="AI1716">
        <v>3</v>
      </c>
      <c r="AJ1716">
        <v>1</v>
      </c>
      <c r="AK1716">
        <v>0</v>
      </c>
      <c r="AL1716" t="s">
        <v>3282</v>
      </c>
      <c r="AM1716">
        <v>46.836219</v>
      </c>
      <c r="AN1716" t="s">
        <v>3283</v>
      </c>
      <c r="AO1716">
        <v>-122.886028</v>
      </c>
      <c r="AP1716">
        <v>100</v>
      </c>
      <c r="AQ1716">
        <v>2000</v>
      </c>
      <c r="AR1716" t="s">
        <v>118</v>
      </c>
      <c r="AS1716">
        <v>-76</v>
      </c>
      <c r="AT1716">
        <v>19</v>
      </c>
      <c r="AU1716">
        <v>128</v>
      </c>
      <c r="BC1716">
        <v>1200</v>
      </c>
      <c r="BD1716">
        <v>1</v>
      </c>
      <c r="BE1716" t="str">
        <f t="shared" si="80"/>
        <v xml:space="preserve">N215T   </v>
      </c>
      <c r="BF1716">
        <v>1</v>
      </c>
      <c r="BH1716">
        <v>0</v>
      </c>
      <c r="BI1716">
        <v>0</v>
      </c>
      <c r="BJ1716">
        <v>0</v>
      </c>
      <c r="BK1716">
        <v>2375</v>
      </c>
      <c r="BL1716">
        <v>375</v>
      </c>
      <c r="BM1716" t="s">
        <v>119</v>
      </c>
      <c r="BN1716">
        <v>1</v>
      </c>
      <c r="BO1716">
        <v>1</v>
      </c>
      <c r="BP1716">
        <v>1</v>
      </c>
      <c r="BQ1716">
        <v>0</v>
      </c>
      <c r="BT1716">
        <v>0</v>
      </c>
      <c r="BU1716">
        <v>0</v>
      </c>
      <c r="BV1716">
        <v>0</v>
      </c>
      <c r="CC1716" t="str">
        <f>"19:03:24.773"</f>
        <v>19:03:24.773</v>
      </c>
      <c r="CD1716" t="str">
        <f>"774091594"</f>
        <v>774091594</v>
      </c>
      <c r="CQ1716">
        <v>0</v>
      </c>
      <c r="CR1716">
        <v>2</v>
      </c>
      <c r="CS1716">
        <v>0</v>
      </c>
      <c r="CT1716">
        <v>2</v>
      </c>
      <c r="CU1716">
        <v>0</v>
      </c>
      <c r="CV1716">
        <v>7</v>
      </c>
      <c r="CW1716" t="s">
        <v>120</v>
      </c>
      <c r="CX1716">
        <v>261</v>
      </c>
      <c r="CY1716">
        <v>2</v>
      </c>
      <c r="CZ1716" t="s">
        <v>121</v>
      </c>
      <c r="DA1716" t="s">
        <v>122</v>
      </c>
      <c r="DD1716">
        <v>15261983</v>
      </c>
      <c r="DE1716" t="s">
        <v>123</v>
      </c>
    </row>
    <row r="1717" spans="1:109" x14ac:dyDescent="0.3">
      <c r="A1717" t="str">
        <f>"19:03:26.063"</f>
        <v>19:03:26.063</v>
      </c>
      <c r="B1717" t="s">
        <v>110</v>
      </c>
      <c r="C1717" t="str">
        <f t="shared" si="78"/>
        <v>ffdfd3c0</v>
      </c>
      <c r="D1717" t="s">
        <v>111</v>
      </c>
      <c r="E1717">
        <v>18</v>
      </c>
      <c r="F1717">
        <v>1018</v>
      </c>
      <c r="G1717" t="s">
        <v>112</v>
      </c>
      <c r="J1717" t="s">
        <v>113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R1717" t="s">
        <v>114</v>
      </c>
      <c r="S1717" t="str">
        <f>"19:03:25.820"</f>
        <v>19:03:25.820</v>
      </c>
      <c r="T1717" t="str">
        <f>"19:03:25.820"</f>
        <v>19:03:25.820</v>
      </c>
      <c r="U1717" t="str">
        <f t="shared" si="79"/>
        <v>a1cdbe</v>
      </c>
      <c r="V1717">
        <v>0</v>
      </c>
      <c r="W1717">
        <v>0</v>
      </c>
      <c r="X1717">
        <v>1</v>
      </c>
      <c r="Y1717">
        <v>0</v>
      </c>
      <c r="Z1717">
        <v>0</v>
      </c>
      <c r="AB1717">
        <v>0</v>
      </c>
      <c r="AC1717">
        <v>9</v>
      </c>
      <c r="AD1717">
        <v>3</v>
      </c>
      <c r="AE1717">
        <v>0</v>
      </c>
      <c r="AF1717">
        <v>9</v>
      </c>
      <c r="AG1717" t="s">
        <v>158</v>
      </c>
      <c r="AH1717">
        <v>0</v>
      </c>
      <c r="AI1717">
        <v>3</v>
      </c>
      <c r="AJ1717">
        <v>1</v>
      </c>
      <c r="AK1717">
        <v>0</v>
      </c>
      <c r="AL1717" t="s">
        <v>3284</v>
      </c>
      <c r="AM1717">
        <v>46.836348000000001</v>
      </c>
      <c r="AN1717" t="s">
        <v>3285</v>
      </c>
      <c r="AO1717">
        <v>-122.886543</v>
      </c>
      <c r="AP1717">
        <v>100</v>
      </c>
      <c r="AQ1717">
        <v>2000</v>
      </c>
      <c r="AR1717" t="s">
        <v>118</v>
      </c>
      <c r="AS1717">
        <v>-76</v>
      </c>
      <c r="AT1717">
        <v>19</v>
      </c>
      <c r="AU1717">
        <v>64</v>
      </c>
      <c r="BC1717">
        <v>1200</v>
      </c>
      <c r="BD1717">
        <v>1</v>
      </c>
      <c r="BE1717" t="str">
        <f t="shared" si="80"/>
        <v xml:space="preserve">N215T   </v>
      </c>
      <c r="BF1717">
        <v>1</v>
      </c>
      <c r="BH1717">
        <v>0</v>
      </c>
      <c r="BI1717">
        <v>0</v>
      </c>
      <c r="BJ1717">
        <v>0</v>
      </c>
      <c r="BK1717">
        <v>2375</v>
      </c>
      <c r="BL1717">
        <v>375</v>
      </c>
      <c r="BM1717" t="s">
        <v>119</v>
      </c>
      <c r="BN1717">
        <v>1</v>
      </c>
      <c r="BO1717">
        <v>1</v>
      </c>
      <c r="BP1717">
        <v>1</v>
      </c>
      <c r="BQ1717">
        <v>0</v>
      </c>
      <c r="BT1717">
        <v>0</v>
      </c>
      <c r="BU1717">
        <v>0</v>
      </c>
      <c r="BV1717">
        <v>0</v>
      </c>
      <c r="CC1717" t="str">
        <f>"19:03:25.820"</f>
        <v>19:03:25.820</v>
      </c>
      <c r="CD1717" t="str">
        <f>"823988167"</f>
        <v>823988167</v>
      </c>
      <c r="CQ1717">
        <v>0</v>
      </c>
      <c r="CR1717">
        <v>2</v>
      </c>
      <c r="CS1717">
        <v>0</v>
      </c>
      <c r="CT1717">
        <v>2</v>
      </c>
      <c r="CU1717">
        <v>0</v>
      </c>
      <c r="CV1717">
        <v>7</v>
      </c>
      <c r="CW1717" t="s">
        <v>120</v>
      </c>
      <c r="CX1717">
        <v>261</v>
      </c>
      <c r="CY1717">
        <v>2</v>
      </c>
      <c r="CZ1717" t="s">
        <v>121</v>
      </c>
      <c r="DA1717" t="s">
        <v>122</v>
      </c>
      <c r="DD1717">
        <v>15262652</v>
      </c>
      <c r="DE1717" t="s">
        <v>123</v>
      </c>
    </row>
    <row r="1718" spans="1:109" x14ac:dyDescent="0.3">
      <c r="A1718" t="str">
        <f>"19:03:27.070"</f>
        <v>19:03:27.070</v>
      </c>
      <c r="B1718" t="s">
        <v>110</v>
      </c>
      <c r="C1718" t="str">
        <f t="shared" si="78"/>
        <v>ffdfd3c0</v>
      </c>
      <c r="D1718" t="s">
        <v>111</v>
      </c>
      <c r="E1718">
        <v>18</v>
      </c>
      <c r="F1718">
        <v>1018</v>
      </c>
      <c r="G1718" t="s">
        <v>112</v>
      </c>
      <c r="J1718" t="s">
        <v>113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R1718" t="s">
        <v>114</v>
      </c>
      <c r="S1718" t="str">
        <f>"19:03:26.844"</f>
        <v>19:03:26.844</v>
      </c>
      <c r="T1718" t="str">
        <f>"19:03:26.445"</f>
        <v>19:03:26.445</v>
      </c>
      <c r="U1718" t="str">
        <f t="shared" si="79"/>
        <v>a1cdbe</v>
      </c>
      <c r="V1718">
        <v>0</v>
      </c>
      <c r="W1718">
        <v>0</v>
      </c>
      <c r="X1718">
        <v>1</v>
      </c>
      <c r="Y1718">
        <v>0</v>
      </c>
      <c r="Z1718">
        <v>0</v>
      </c>
      <c r="AB1718">
        <v>0</v>
      </c>
      <c r="AC1718">
        <v>9</v>
      </c>
      <c r="AD1718">
        <v>3</v>
      </c>
      <c r="AE1718">
        <v>0</v>
      </c>
      <c r="AF1718">
        <v>9</v>
      </c>
      <c r="AG1718" t="s">
        <v>158</v>
      </c>
      <c r="AH1718">
        <v>0</v>
      </c>
      <c r="AI1718">
        <v>3</v>
      </c>
      <c r="AJ1718">
        <v>1</v>
      </c>
      <c r="AK1718">
        <v>0</v>
      </c>
      <c r="AL1718" t="s">
        <v>2269</v>
      </c>
      <c r="AM1718">
        <v>46.836412000000003</v>
      </c>
      <c r="AN1718" t="s">
        <v>3286</v>
      </c>
      <c r="AO1718">
        <v>-122.887101</v>
      </c>
      <c r="AP1718">
        <v>100</v>
      </c>
      <c r="AQ1718">
        <v>2000</v>
      </c>
      <c r="AR1718" t="s">
        <v>118</v>
      </c>
      <c r="AS1718">
        <v>-76</v>
      </c>
      <c r="AT1718">
        <v>19</v>
      </c>
      <c r="AU1718">
        <v>64</v>
      </c>
      <c r="BC1718">
        <v>1200</v>
      </c>
      <c r="BD1718">
        <v>1</v>
      </c>
      <c r="BE1718" t="str">
        <f t="shared" si="80"/>
        <v xml:space="preserve">N215T   </v>
      </c>
      <c r="BF1718">
        <v>1</v>
      </c>
      <c r="BH1718">
        <v>0</v>
      </c>
      <c r="BI1718">
        <v>0</v>
      </c>
      <c r="BJ1718">
        <v>0</v>
      </c>
      <c r="BK1718">
        <v>2375</v>
      </c>
      <c r="BL1718">
        <v>375</v>
      </c>
      <c r="BM1718" t="s">
        <v>119</v>
      </c>
      <c r="BN1718">
        <v>1</v>
      </c>
      <c r="BO1718">
        <v>1</v>
      </c>
      <c r="BP1718">
        <v>1</v>
      </c>
      <c r="BQ1718">
        <v>0</v>
      </c>
      <c r="BT1718">
        <v>0</v>
      </c>
      <c r="BU1718">
        <v>0</v>
      </c>
      <c r="BV1718">
        <v>0</v>
      </c>
      <c r="CC1718" t="str">
        <f>"19:03:26.844"</f>
        <v>19:03:26.844</v>
      </c>
      <c r="CD1718" t="str">
        <f>"843887695"</f>
        <v>843887695</v>
      </c>
      <c r="CQ1718">
        <v>0</v>
      </c>
      <c r="CR1718">
        <v>2</v>
      </c>
      <c r="CS1718">
        <v>0</v>
      </c>
      <c r="CT1718">
        <v>2</v>
      </c>
      <c r="CU1718">
        <v>0</v>
      </c>
      <c r="CV1718">
        <v>7</v>
      </c>
      <c r="CW1718" t="s">
        <v>120</v>
      </c>
      <c r="CX1718">
        <v>261</v>
      </c>
      <c r="CY1718">
        <v>2</v>
      </c>
      <c r="CZ1718" t="s">
        <v>121</v>
      </c>
      <c r="DA1718" t="s">
        <v>122</v>
      </c>
      <c r="DD1718">
        <v>15263274</v>
      </c>
      <c r="DE1718" t="s">
        <v>123</v>
      </c>
    </row>
    <row r="1719" spans="1:109" x14ac:dyDescent="0.3">
      <c r="A1719" t="str">
        <f>"19:03:27.977"</f>
        <v>19:03:27.977</v>
      </c>
      <c r="B1719" t="s">
        <v>110</v>
      </c>
      <c r="C1719" t="str">
        <f t="shared" si="78"/>
        <v>ffdfd3c0</v>
      </c>
      <c r="D1719" t="s">
        <v>111</v>
      </c>
      <c r="E1719">
        <v>18</v>
      </c>
      <c r="F1719">
        <v>1018</v>
      </c>
      <c r="G1719" t="s">
        <v>112</v>
      </c>
      <c r="J1719" t="s">
        <v>113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R1719" t="s">
        <v>114</v>
      </c>
      <c r="S1719" t="str">
        <f>"19:03:27.758"</f>
        <v>19:03:27.758</v>
      </c>
      <c r="T1719" t="str">
        <f>"19:03:27.359"</f>
        <v>19:03:27.359</v>
      </c>
      <c r="U1719" t="str">
        <f t="shared" si="79"/>
        <v>a1cdbe</v>
      </c>
      <c r="V1719">
        <v>0</v>
      </c>
      <c r="W1719">
        <v>0</v>
      </c>
      <c r="X1719">
        <v>1</v>
      </c>
      <c r="Y1719">
        <v>0</v>
      </c>
      <c r="Z1719">
        <v>0</v>
      </c>
      <c r="AB1719">
        <v>0</v>
      </c>
      <c r="AC1719">
        <v>9</v>
      </c>
      <c r="AD1719">
        <v>3</v>
      </c>
      <c r="AE1719">
        <v>0</v>
      </c>
      <c r="AF1719">
        <v>9</v>
      </c>
      <c r="AG1719" t="s">
        <v>158</v>
      </c>
      <c r="AH1719">
        <v>0</v>
      </c>
      <c r="AI1719">
        <v>3</v>
      </c>
      <c r="AJ1719">
        <v>1</v>
      </c>
      <c r="AK1719">
        <v>0</v>
      </c>
      <c r="AL1719" t="s">
        <v>3287</v>
      </c>
      <c r="AM1719">
        <v>46.836475999999998</v>
      </c>
      <c r="AN1719" t="s">
        <v>3288</v>
      </c>
      <c r="AO1719">
        <v>-122.887573</v>
      </c>
      <c r="AP1719">
        <v>100</v>
      </c>
      <c r="AQ1719">
        <v>2000</v>
      </c>
      <c r="AR1719" t="s">
        <v>118</v>
      </c>
      <c r="AS1719">
        <v>-76</v>
      </c>
      <c r="AT1719">
        <v>19</v>
      </c>
      <c r="AU1719">
        <v>64</v>
      </c>
      <c r="BC1719">
        <v>1200</v>
      </c>
      <c r="BD1719">
        <v>1</v>
      </c>
      <c r="BE1719" t="str">
        <f t="shared" si="80"/>
        <v xml:space="preserve">N215T   </v>
      </c>
      <c r="BF1719">
        <v>1</v>
      </c>
      <c r="BH1719">
        <v>0</v>
      </c>
      <c r="BI1719">
        <v>0</v>
      </c>
      <c r="BJ1719">
        <v>0</v>
      </c>
      <c r="BK1719">
        <v>2375</v>
      </c>
      <c r="BL1719">
        <v>375</v>
      </c>
      <c r="BM1719" t="s">
        <v>119</v>
      </c>
      <c r="BN1719">
        <v>1</v>
      </c>
      <c r="BO1719">
        <v>1</v>
      </c>
      <c r="BP1719">
        <v>1</v>
      </c>
      <c r="BQ1719">
        <v>0</v>
      </c>
      <c r="BT1719">
        <v>0</v>
      </c>
      <c r="BU1719">
        <v>0</v>
      </c>
      <c r="BV1719">
        <v>0</v>
      </c>
      <c r="CC1719" t="str">
        <f>"19:03:27.758"</f>
        <v>19:03:27.758</v>
      </c>
      <c r="CD1719" t="str">
        <f>"758797572"</f>
        <v>758797572</v>
      </c>
      <c r="CQ1719">
        <v>0</v>
      </c>
      <c r="CR1719">
        <v>2</v>
      </c>
      <c r="CS1719">
        <v>0</v>
      </c>
      <c r="CT1719">
        <v>2</v>
      </c>
      <c r="CU1719">
        <v>0</v>
      </c>
      <c r="CV1719">
        <v>7</v>
      </c>
      <c r="CW1719" t="s">
        <v>120</v>
      </c>
      <c r="CX1719">
        <v>261</v>
      </c>
      <c r="CY1719">
        <v>2</v>
      </c>
      <c r="CZ1719" t="s">
        <v>121</v>
      </c>
      <c r="DA1719" t="s">
        <v>122</v>
      </c>
      <c r="DD1719">
        <v>15263809</v>
      </c>
      <c r="DE1719" t="s">
        <v>123</v>
      </c>
    </row>
    <row r="1720" spans="1:109" x14ac:dyDescent="0.3">
      <c r="A1720" t="str">
        <f>"19:03:28.883"</f>
        <v>19:03:28.883</v>
      </c>
      <c r="B1720" t="s">
        <v>110</v>
      </c>
      <c r="C1720" t="str">
        <f t="shared" si="78"/>
        <v>ffdfd3c0</v>
      </c>
      <c r="D1720" t="s">
        <v>111</v>
      </c>
      <c r="E1720">
        <v>18</v>
      </c>
      <c r="F1720">
        <v>1018</v>
      </c>
      <c r="G1720" t="s">
        <v>112</v>
      </c>
      <c r="J1720" t="s">
        <v>113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R1720" t="s">
        <v>114</v>
      </c>
      <c r="S1720" t="str">
        <f>"19:03:28.672"</f>
        <v>19:03:28.672</v>
      </c>
      <c r="T1720" t="str">
        <f>"19:03:28.672"</f>
        <v>19:03:28.672</v>
      </c>
      <c r="U1720" t="str">
        <f t="shared" si="79"/>
        <v>a1cdbe</v>
      </c>
      <c r="V1720">
        <v>0</v>
      </c>
      <c r="W1720">
        <v>0</v>
      </c>
      <c r="X1720">
        <v>1</v>
      </c>
      <c r="Y1720">
        <v>0</v>
      </c>
      <c r="Z1720">
        <v>0</v>
      </c>
      <c r="AB1720">
        <v>0</v>
      </c>
      <c r="AC1720">
        <v>9</v>
      </c>
      <c r="AD1720">
        <v>3</v>
      </c>
      <c r="AE1720">
        <v>0</v>
      </c>
      <c r="AF1720">
        <v>9</v>
      </c>
      <c r="AG1720" t="s">
        <v>158</v>
      </c>
      <c r="AH1720">
        <v>0</v>
      </c>
      <c r="AI1720">
        <v>3</v>
      </c>
      <c r="AJ1720">
        <v>1</v>
      </c>
      <c r="AK1720">
        <v>0</v>
      </c>
      <c r="AL1720" t="s">
        <v>3289</v>
      </c>
      <c r="AM1720">
        <v>46.836584000000002</v>
      </c>
      <c r="AN1720" t="s">
        <v>3290</v>
      </c>
      <c r="AO1720">
        <v>-122.88804500000001</v>
      </c>
      <c r="AP1720">
        <v>100</v>
      </c>
      <c r="AQ1720">
        <v>2000</v>
      </c>
      <c r="AR1720" t="s">
        <v>118</v>
      </c>
      <c r="AS1720">
        <v>-76</v>
      </c>
      <c r="AT1720">
        <v>19</v>
      </c>
      <c r="AU1720">
        <v>64</v>
      </c>
      <c r="BC1720">
        <v>1200</v>
      </c>
      <c r="BD1720">
        <v>1</v>
      </c>
      <c r="BE1720" t="str">
        <f t="shared" si="80"/>
        <v xml:space="preserve">N215T   </v>
      </c>
      <c r="BF1720">
        <v>1</v>
      </c>
      <c r="BH1720">
        <v>0</v>
      </c>
      <c r="BI1720">
        <v>0</v>
      </c>
      <c r="BJ1720">
        <v>0</v>
      </c>
      <c r="BK1720">
        <v>2375</v>
      </c>
      <c r="BL1720">
        <v>375</v>
      </c>
      <c r="BM1720" t="s">
        <v>119</v>
      </c>
      <c r="BN1720">
        <v>1</v>
      </c>
      <c r="BO1720">
        <v>1</v>
      </c>
      <c r="BP1720">
        <v>1</v>
      </c>
      <c r="BQ1720">
        <v>0</v>
      </c>
      <c r="BT1720">
        <v>0</v>
      </c>
      <c r="BU1720">
        <v>0</v>
      </c>
      <c r="BV1720">
        <v>0</v>
      </c>
      <c r="CC1720" t="str">
        <f>"19:03:28.672"</f>
        <v>19:03:28.672</v>
      </c>
      <c r="CD1720" t="str">
        <f>"673707429"</f>
        <v>673707429</v>
      </c>
      <c r="CQ1720">
        <v>0</v>
      </c>
      <c r="CR1720">
        <v>2</v>
      </c>
      <c r="CS1720">
        <v>0</v>
      </c>
      <c r="CT1720">
        <v>2</v>
      </c>
      <c r="CU1720">
        <v>0</v>
      </c>
      <c r="CV1720">
        <v>7</v>
      </c>
      <c r="CW1720" t="s">
        <v>120</v>
      </c>
      <c r="CX1720">
        <v>261</v>
      </c>
      <c r="CY1720">
        <v>2</v>
      </c>
      <c r="CZ1720" t="s">
        <v>121</v>
      </c>
      <c r="DA1720" t="s">
        <v>122</v>
      </c>
      <c r="DD1720">
        <v>15264360</v>
      </c>
      <c r="DE1720" t="s">
        <v>123</v>
      </c>
    </row>
    <row r="1721" spans="1:109" x14ac:dyDescent="0.3">
      <c r="A1721" t="str">
        <f>"19:03:29.836"</f>
        <v>19:03:29.836</v>
      </c>
      <c r="B1721" t="s">
        <v>110</v>
      </c>
      <c r="C1721" t="str">
        <f t="shared" si="78"/>
        <v>ffdfd3c0</v>
      </c>
      <c r="D1721" t="s">
        <v>111</v>
      </c>
      <c r="E1721">
        <v>18</v>
      </c>
      <c r="F1721">
        <v>1018</v>
      </c>
      <c r="G1721" t="s">
        <v>112</v>
      </c>
      <c r="J1721" t="s">
        <v>113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R1721" t="s">
        <v>114</v>
      </c>
      <c r="S1721" t="str">
        <f>"19:03:29.617"</f>
        <v>19:03:29.617</v>
      </c>
      <c r="T1721" t="str">
        <f>"19:03:29.219"</f>
        <v>19:03:29.219</v>
      </c>
      <c r="U1721" t="str">
        <f t="shared" si="79"/>
        <v>a1cdbe</v>
      </c>
      <c r="V1721">
        <v>0</v>
      </c>
      <c r="W1721">
        <v>0</v>
      </c>
      <c r="X1721">
        <v>1</v>
      </c>
      <c r="Y1721">
        <v>0</v>
      </c>
      <c r="Z1721">
        <v>0</v>
      </c>
      <c r="AB1721">
        <v>0</v>
      </c>
      <c r="AC1721">
        <v>9</v>
      </c>
      <c r="AD1721">
        <v>3</v>
      </c>
      <c r="AE1721">
        <v>0</v>
      </c>
      <c r="AF1721">
        <v>9</v>
      </c>
      <c r="AG1721" t="s">
        <v>158</v>
      </c>
      <c r="AH1721">
        <v>0</v>
      </c>
      <c r="AI1721">
        <v>3</v>
      </c>
      <c r="AJ1721">
        <v>1</v>
      </c>
      <c r="AK1721">
        <v>0</v>
      </c>
      <c r="AL1721" t="s">
        <v>3291</v>
      </c>
      <c r="AM1721">
        <v>46.836691000000002</v>
      </c>
      <c r="AN1721" t="s">
        <v>3292</v>
      </c>
      <c r="AO1721">
        <v>-122.88851699999999</v>
      </c>
      <c r="AP1721">
        <v>100</v>
      </c>
      <c r="AQ1721">
        <v>2000</v>
      </c>
      <c r="AR1721" t="s">
        <v>118</v>
      </c>
      <c r="AS1721">
        <v>-76</v>
      </c>
      <c r="AT1721">
        <v>19</v>
      </c>
      <c r="AU1721">
        <v>64</v>
      </c>
      <c r="BC1721">
        <v>1200</v>
      </c>
      <c r="BD1721">
        <v>1</v>
      </c>
      <c r="BE1721" t="str">
        <f t="shared" si="80"/>
        <v xml:space="preserve">N215T   </v>
      </c>
      <c r="BF1721">
        <v>1</v>
      </c>
      <c r="BH1721">
        <v>0</v>
      </c>
      <c r="BI1721">
        <v>0</v>
      </c>
      <c r="BJ1721">
        <v>0</v>
      </c>
      <c r="BK1721">
        <v>2375</v>
      </c>
      <c r="BL1721">
        <v>375</v>
      </c>
      <c r="BM1721" t="s">
        <v>119</v>
      </c>
      <c r="BN1721">
        <v>1</v>
      </c>
      <c r="BO1721">
        <v>1</v>
      </c>
      <c r="BP1721">
        <v>1</v>
      </c>
      <c r="BQ1721">
        <v>0</v>
      </c>
      <c r="BT1721">
        <v>0</v>
      </c>
      <c r="BU1721">
        <v>0</v>
      </c>
      <c r="BV1721">
        <v>0</v>
      </c>
      <c r="CC1721" t="str">
        <f>"19:03:29.617"</f>
        <v>19:03:29.617</v>
      </c>
      <c r="CD1721" t="str">
        <f>"618614346"</f>
        <v>618614346</v>
      </c>
      <c r="CQ1721">
        <v>0</v>
      </c>
      <c r="CR1721">
        <v>2</v>
      </c>
      <c r="CS1721">
        <v>0</v>
      </c>
      <c r="CT1721">
        <v>2</v>
      </c>
      <c r="CU1721">
        <v>0</v>
      </c>
      <c r="CV1721">
        <v>7</v>
      </c>
      <c r="CW1721" t="s">
        <v>120</v>
      </c>
      <c r="CX1721">
        <v>261</v>
      </c>
      <c r="CY1721">
        <v>2</v>
      </c>
      <c r="CZ1721" t="s">
        <v>121</v>
      </c>
      <c r="DA1721" t="s">
        <v>122</v>
      </c>
      <c r="DD1721">
        <v>15264987</v>
      </c>
      <c r="DE1721" t="s">
        <v>123</v>
      </c>
    </row>
    <row r="1722" spans="1:109" x14ac:dyDescent="0.3">
      <c r="A1722" t="str">
        <f>"19:03:30.891"</f>
        <v>19:03:30.891</v>
      </c>
      <c r="B1722" t="s">
        <v>110</v>
      </c>
      <c r="C1722" t="str">
        <f t="shared" si="78"/>
        <v>ffdfd3c0</v>
      </c>
      <c r="D1722" t="s">
        <v>111</v>
      </c>
      <c r="E1722">
        <v>18</v>
      </c>
      <c r="F1722">
        <v>1018</v>
      </c>
      <c r="G1722" t="s">
        <v>112</v>
      </c>
      <c r="J1722" t="s">
        <v>113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R1722" t="s">
        <v>114</v>
      </c>
      <c r="S1722" t="str">
        <f>"19:03:30.664"</f>
        <v>19:03:30.664</v>
      </c>
      <c r="T1722" t="str">
        <f>"19:03:30.664"</f>
        <v>19:03:30.664</v>
      </c>
      <c r="U1722" t="str">
        <f t="shared" si="79"/>
        <v>a1cdbe</v>
      </c>
      <c r="V1722">
        <v>0</v>
      </c>
      <c r="W1722">
        <v>0</v>
      </c>
      <c r="X1722">
        <v>1</v>
      </c>
      <c r="Y1722">
        <v>0</v>
      </c>
      <c r="Z1722">
        <v>0</v>
      </c>
      <c r="AB1722">
        <v>0</v>
      </c>
      <c r="AC1722">
        <v>9</v>
      </c>
      <c r="AD1722">
        <v>3</v>
      </c>
      <c r="AE1722">
        <v>0</v>
      </c>
      <c r="AF1722">
        <v>9</v>
      </c>
      <c r="AG1722" t="s">
        <v>158</v>
      </c>
      <c r="AH1722">
        <v>0</v>
      </c>
      <c r="AI1722">
        <v>3</v>
      </c>
      <c r="AJ1722">
        <v>1</v>
      </c>
      <c r="AK1722">
        <v>0</v>
      </c>
      <c r="AL1722" t="s">
        <v>3293</v>
      </c>
      <c r="AM1722">
        <v>46.836754999999997</v>
      </c>
      <c r="AN1722" t="s">
        <v>3294</v>
      </c>
      <c r="AO1722">
        <v>-122.889011</v>
      </c>
      <c r="AP1722">
        <v>100</v>
      </c>
      <c r="AQ1722">
        <v>2000</v>
      </c>
      <c r="AR1722" t="s">
        <v>118</v>
      </c>
      <c r="AS1722">
        <v>-75</v>
      </c>
      <c r="AT1722">
        <v>20</v>
      </c>
      <c r="AU1722">
        <v>64</v>
      </c>
      <c r="BC1722">
        <v>1200</v>
      </c>
      <c r="BD1722">
        <v>1</v>
      </c>
      <c r="BE1722" t="str">
        <f t="shared" si="80"/>
        <v xml:space="preserve">N215T   </v>
      </c>
      <c r="BF1722">
        <v>1</v>
      </c>
      <c r="BH1722">
        <v>0</v>
      </c>
      <c r="BI1722">
        <v>0</v>
      </c>
      <c r="BJ1722">
        <v>0</v>
      </c>
      <c r="BK1722">
        <v>2375</v>
      </c>
      <c r="BL1722">
        <v>375</v>
      </c>
      <c r="BM1722" t="s">
        <v>119</v>
      </c>
      <c r="BN1722">
        <v>1</v>
      </c>
      <c r="BO1722">
        <v>1</v>
      </c>
      <c r="BP1722">
        <v>1</v>
      </c>
      <c r="BQ1722">
        <v>0</v>
      </c>
      <c r="BT1722">
        <v>0</v>
      </c>
      <c r="BU1722">
        <v>0</v>
      </c>
      <c r="BV1722">
        <v>0</v>
      </c>
      <c r="CC1722" t="str">
        <f>"19:03:30.672"</f>
        <v>19:03:30.672</v>
      </c>
      <c r="CD1722" t="str">
        <f>"668510918"</f>
        <v>668510918</v>
      </c>
      <c r="CQ1722">
        <v>0</v>
      </c>
      <c r="CR1722">
        <v>2</v>
      </c>
      <c r="CS1722">
        <v>0</v>
      </c>
      <c r="CT1722">
        <v>2</v>
      </c>
      <c r="CU1722">
        <v>0</v>
      </c>
      <c r="CV1722">
        <v>7</v>
      </c>
      <c r="CW1722" t="s">
        <v>120</v>
      </c>
      <c r="CX1722">
        <v>261</v>
      </c>
      <c r="CY1722">
        <v>2</v>
      </c>
      <c r="CZ1722" t="s">
        <v>121</v>
      </c>
      <c r="DA1722" t="s">
        <v>122</v>
      </c>
      <c r="DD1722">
        <v>15265660</v>
      </c>
      <c r="DE1722" t="s">
        <v>123</v>
      </c>
    </row>
    <row r="1723" spans="1:109" x14ac:dyDescent="0.3">
      <c r="A1723" t="str">
        <f>"19:03:31.844"</f>
        <v>19:03:31.844</v>
      </c>
      <c r="B1723" t="s">
        <v>110</v>
      </c>
      <c r="C1723" t="str">
        <f t="shared" si="78"/>
        <v>ffdfd3c0</v>
      </c>
      <c r="D1723" t="s">
        <v>111</v>
      </c>
      <c r="E1723">
        <v>18</v>
      </c>
      <c r="F1723">
        <v>1018</v>
      </c>
      <c r="G1723" t="s">
        <v>112</v>
      </c>
      <c r="J1723" t="s">
        <v>113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R1723" t="s">
        <v>114</v>
      </c>
      <c r="S1723" t="str">
        <f>"19:03:31.609"</f>
        <v>19:03:31.609</v>
      </c>
      <c r="T1723" t="str">
        <f>"19:03:31.211"</f>
        <v>19:03:31.211</v>
      </c>
      <c r="U1723" t="str">
        <f t="shared" si="79"/>
        <v>a1cdbe</v>
      </c>
      <c r="V1723">
        <v>0</v>
      </c>
      <c r="W1723">
        <v>0</v>
      </c>
      <c r="X1723">
        <v>1</v>
      </c>
      <c r="Y1723">
        <v>0</v>
      </c>
      <c r="Z1723">
        <v>0</v>
      </c>
      <c r="AB1723">
        <v>0</v>
      </c>
      <c r="AC1723">
        <v>9</v>
      </c>
      <c r="AD1723">
        <v>3</v>
      </c>
      <c r="AE1723">
        <v>0</v>
      </c>
      <c r="AF1723">
        <v>9</v>
      </c>
      <c r="AG1723" t="s">
        <v>158</v>
      </c>
      <c r="AH1723">
        <v>0</v>
      </c>
      <c r="AI1723">
        <v>3</v>
      </c>
      <c r="AJ1723">
        <v>1</v>
      </c>
      <c r="AK1723">
        <v>0</v>
      </c>
      <c r="AL1723" t="s">
        <v>3295</v>
      </c>
      <c r="AM1723">
        <v>46.836863000000001</v>
      </c>
      <c r="AN1723" t="s">
        <v>3296</v>
      </c>
      <c r="AO1723">
        <v>-122.889526</v>
      </c>
      <c r="AP1723">
        <v>100</v>
      </c>
      <c r="AQ1723">
        <v>2000</v>
      </c>
      <c r="AR1723" t="s">
        <v>118</v>
      </c>
      <c r="AS1723">
        <v>-75</v>
      </c>
      <c r="AT1723">
        <v>20</v>
      </c>
      <c r="AU1723">
        <v>64</v>
      </c>
      <c r="BC1723">
        <v>1200</v>
      </c>
      <c r="BD1723">
        <v>1</v>
      </c>
      <c r="BE1723" t="str">
        <f t="shared" si="80"/>
        <v xml:space="preserve">N215T   </v>
      </c>
      <c r="BF1723">
        <v>1</v>
      </c>
      <c r="BH1723">
        <v>0</v>
      </c>
      <c r="BI1723">
        <v>0</v>
      </c>
      <c r="BJ1723">
        <v>0</v>
      </c>
      <c r="BK1723">
        <v>2375</v>
      </c>
      <c r="BL1723">
        <v>375</v>
      </c>
      <c r="BM1723" t="s">
        <v>119</v>
      </c>
      <c r="BN1723">
        <v>1</v>
      </c>
      <c r="BO1723">
        <v>1</v>
      </c>
      <c r="BP1723">
        <v>1</v>
      </c>
      <c r="BQ1723">
        <v>0</v>
      </c>
      <c r="BT1723">
        <v>0</v>
      </c>
      <c r="BU1723">
        <v>0</v>
      </c>
      <c r="BV1723">
        <v>0</v>
      </c>
      <c r="CC1723" t="str">
        <f>"19:03:31.617"</f>
        <v>19:03:31.617</v>
      </c>
      <c r="CD1723" t="str">
        <f>"613417841"</f>
        <v>613417841</v>
      </c>
      <c r="CQ1723">
        <v>0</v>
      </c>
      <c r="CR1723">
        <v>2</v>
      </c>
      <c r="CS1723">
        <v>0</v>
      </c>
      <c r="CT1723">
        <v>2</v>
      </c>
      <c r="CU1723">
        <v>0</v>
      </c>
      <c r="CV1723">
        <v>7</v>
      </c>
      <c r="CW1723" t="s">
        <v>120</v>
      </c>
      <c r="CX1723">
        <v>261</v>
      </c>
      <c r="CY1723">
        <v>2</v>
      </c>
      <c r="CZ1723" t="s">
        <v>121</v>
      </c>
      <c r="DA1723" t="s">
        <v>122</v>
      </c>
      <c r="DD1723">
        <v>15266234</v>
      </c>
      <c r="DE1723" t="s">
        <v>123</v>
      </c>
    </row>
    <row r="1724" spans="1:109" x14ac:dyDescent="0.3">
      <c r="A1724" t="str">
        <f>"19:03:32.852"</f>
        <v>19:03:32.852</v>
      </c>
      <c r="B1724" t="s">
        <v>110</v>
      </c>
      <c r="C1724" t="str">
        <f t="shared" si="78"/>
        <v>ffdfd3c0</v>
      </c>
      <c r="D1724" t="s">
        <v>111</v>
      </c>
      <c r="E1724">
        <v>18</v>
      </c>
      <c r="F1724">
        <v>1018</v>
      </c>
      <c r="G1724" t="s">
        <v>112</v>
      </c>
      <c r="J1724" t="s">
        <v>113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R1724" t="s">
        <v>114</v>
      </c>
      <c r="S1724" t="str">
        <f>"19:03:32.602"</f>
        <v>19:03:32.602</v>
      </c>
      <c r="T1724" t="str">
        <f>"19:03:32.203"</f>
        <v>19:03:32.203</v>
      </c>
      <c r="U1724" t="str">
        <f t="shared" si="79"/>
        <v>a1cdbe</v>
      </c>
      <c r="V1724">
        <v>0</v>
      </c>
      <c r="W1724">
        <v>0</v>
      </c>
      <c r="X1724">
        <v>1</v>
      </c>
      <c r="Y1724">
        <v>0</v>
      </c>
      <c r="Z1724">
        <v>0</v>
      </c>
      <c r="AB1724">
        <v>0</v>
      </c>
      <c r="AC1724">
        <v>9</v>
      </c>
      <c r="AD1724">
        <v>3</v>
      </c>
      <c r="AE1724">
        <v>0</v>
      </c>
      <c r="AF1724">
        <v>9</v>
      </c>
      <c r="AG1724" t="s">
        <v>158</v>
      </c>
      <c r="AH1724">
        <v>0</v>
      </c>
      <c r="AI1724">
        <v>3</v>
      </c>
      <c r="AJ1724">
        <v>1</v>
      </c>
      <c r="AK1724">
        <v>0</v>
      </c>
      <c r="AL1724" t="s">
        <v>2261</v>
      </c>
      <c r="AM1724">
        <v>46.836948</v>
      </c>
      <c r="AN1724" t="s">
        <v>3297</v>
      </c>
      <c r="AO1724">
        <v>-122.890041</v>
      </c>
      <c r="AP1724">
        <v>100</v>
      </c>
      <c r="AQ1724">
        <v>2000</v>
      </c>
      <c r="AR1724" t="s">
        <v>118</v>
      </c>
      <c r="AS1724">
        <v>-75</v>
      </c>
      <c r="AT1724">
        <v>20</v>
      </c>
      <c r="AU1724">
        <v>0</v>
      </c>
      <c r="BC1724">
        <v>1200</v>
      </c>
      <c r="BD1724">
        <v>1</v>
      </c>
      <c r="BE1724" t="str">
        <f t="shared" si="80"/>
        <v xml:space="preserve">N215T   </v>
      </c>
      <c r="BF1724">
        <v>1</v>
      </c>
      <c r="BH1724">
        <v>0</v>
      </c>
      <c r="BI1724">
        <v>0</v>
      </c>
      <c r="BJ1724">
        <v>0</v>
      </c>
      <c r="BK1724">
        <v>2375</v>
      </c>
      <c r="BL1724">
        <v>375</v>
      </c>
      <c r="BM1724" t="s">
        <v>119</v>
      </c>
      <c r="BN1724">
        <v>1</v>
      </c>
      <c r="BO1724">
        <v>1</v>
      </c>
      <c r="BP1724">
        <v>1</v>
      </c>
      <c r="BQ1724">
        <v>0</v>
      </c>
      <c r="BT1724">
        <v>0</v>
      </c>
      <c r="BU1724">
        <v>0</v>
      </c>
      <c r="BV1724">
        <v>0</v>
      </c>
      <c r="CC1724" t="str">
        <f>"19:03:32.602"</f>
        <v>19:03:32.602</v>
      </c>
      <c r="CD1724" t="str">
        <f>"603320317"</f>
        <v>603320317</v>
      </c>
      <c r="CQ1724">
        <v>0</v>
      </c>
      <c r="CR1724">
        <v>2</v>
      </c>
      <c r="CS1724">
        <v>0</v>
      </c>
      <c r="CT1724">
        <v>2</v>
      </c>
      <c r="CU1724">
        <v>0</v>
      </c>
      <c r="CV1724">
        <v>7</v>
      </c>
      <c r="CW1724" t="s">
        <v>120</v>
      </c>
      <c r="CX1724">
        <v>261</v>
      </c>
      <c r="CY1724">
        <v>2</v>
      </c>
      <c r="CZ1724" t="s">
        <v>121</v>
      </c>
      <c r="DA1724" t="s">
        <v>122</v>
      </c>
      <c r="DD1724">
        <v>15266838</v>
      </c>
      <c r="DE1724" t="s">
        <v>123</v>
      </c>
    </row>
    <row r="1725" spans="1:109" x14ac:dyDescent="0.3">
      <c r="A1725" t="str">
        <f>"19:03:33.906"</f>
        <v>19:03:33.906</v>
      </c>
      <c r="B1725" t="s">
        <v>110</v>
      </c>
      <c r="C1725" t="str">
        <f t="shared" si="78"/>
        <v>ffdfd3c0</v>
      </c>
      <c r="D1725" t="s">
        <v>111</v>
      </c>
      <c r="E1725">
        <v>18</v>
      </c>
      <c r="F1725">
        <v>1018</v>
      </c>
      <c r="G1725" t="s">
        <v>112</v>
      </c>
      <c r="J1725" t="s">
        <v>113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R1725" t="s">
        <v>114</v>
      </c>
      <c r="S1725" t="str">
        <f>"19:03:33.711"</f>
        <v>19:03:33.711</v>
      </c>
      <c r="T1725" t="str">
        <f>"19:03:33.414"</f>
        <v>19:03:33.414</v>
      </c>
      <c r="U1725" t="str">
        <f t="shared" si="79"/>
        <v>a1cdbe</v>
      </c>
      <c r="V1725">
        <v>0</v>
      </c>
      <c r="W1725">
        <v>0</v>
      </c>
      <c r="X1725">
        <v>1</v>
      </c>
      <c r="Y1725">
        <v>0</v>
      </c>
      <c r="Z1725">
        <v>0</v>
      </c>
      <c r="AB1725">
        <v>0</v>
      </c>
      <c r="AC1725">
        <v>9</v>
      </c>
      <c r="AD1725">
        <v>3</v>
      </c>
      <c r="AE1725">
        <v>0</v>
      </c>
      <c r="AF1725">
        <v>9</v>
      </c>
      <c r="AG1725" t="s">
        <v>158</v>
      </c>
      <c r="AH1725">
        <v>0</v>
      </c>
      <c r="AI1725">
        <v>3</v>
      </c>
      <c r="AJ1725">
        <v>1</v>
      </c>
      <c r="AK1725">
        <v>0</v>
      </c>
      <c r="AL1725" t="s">
        <v>3298</v>
      </c>
      <c r="AM1725">
        <v>46.837055999999997</v>
      </c>
      <c r="AN1725" t="s">
        <v>3299</v>
      </c>
      <c r="AO1725">
        <v>-122.89057699999999</v>
      </c>
      <c r="AP1725">
        <v>100</v>
      </c>
      <c r="AQ1725">
        <v>2000</v>
      </c>
      <c r="AR1725" t="s">
        <v>118</v>
      </c>
      <c r="AS1725">
        <v>-75</v>
      </c>
      <c r="AT1725">
        <v>20</v>
      </c>
      <c r="AU1725">
        <v>64</v>
      </c>
      <c r="BC1725">
        <v>1200</v>
      </c>
      <c r="BD1725">
        <v>1</v>
      </c>
      <c r="BE1725" t="str">
        <f t="shared" si="80"/>
        <v xml:space="preserve">N215T   </v>
      </c>
      <c r="BF1725">
        <v>1</v>
      </c>
      <c r="BH1725">
        <v>0</v>
      </c>
      <c r="BI1725">
        <v>0</v>
      </c>
      <c r="BJ1725">
        <v>0</v>
      </c>
      <c r="BK1725">
        <v>2375</v>
      </c>
      <c r="BL1725">
        <v>375</v>
      </c>
      <c r="BM1725" t="s">
        <v>119</v>
      </c>
      <c r="BN1725">
        <v>1</v>
      </c>
      <c r="BO1725">
        <v>1</v>
      </c>
      <c r="BP1725">
        <v>1</v>
      </c>
      <c r="BQ1725">
        <v>0</v>
      </c>
      <c r="BT1725">
        <v>0</v>
      </c>
      <c r="BU1725">
        <v>0</v>
      </c>
      <c r="BV1725">
        <v>0</v>
      </c>
      <c r="CC1725" t="str">
        <f>"19:03:33.711"</f>
        <v>19:03:33.711</v>
      </c>
      <c r="CD1725" t="str">
        <f>"713210973"</f>
        <v>713210973</v>
      </c>
      <c r="CQ1725">
        <v>0</v>
      </c>
      <c r="CR1725">
        <v>2</v>
      </c>
      <c r="CS1725">
        <v>0</v>
      </c>
      <c r="CT1725">
        <v>2</v>
      </c>
      <c r="CU1725">
        <v>0</v>
      </c>
      <c r="CV1725">
        <v>7</v>
      </c>
      <c r="CW1725" t="s">
        <v>120</v>
      </c>
      <c r="CX1725">
        <v>261</v>
      </c>
      <c r="CY1725">
        <v>2</v>
      </c>
      <c r="CZ1725" t="s">
        <v>121</v>
      </c>
      <c r="DA1725" t="s">
        <v>122</v>
      </c>
      <c r="DD1725">
        <v>15267506</v>
      </c>
      <c r="DE1725" t="s">
        <v>123</v>
      </c>
    </row>
    <row r="1726" spans="1:109" x14ac:dyDescent="0.3">
      <c r="A1726" t="str">
        <f>"19:03:35.016"</f>
        <v>19:03:35.016</v>
      </c>
      <c r="B1726" t="s">
        <v>110</v>
      </c>
      <c r="C1726" t="str">
        <f t="shared" si="78"/>
        <v>ffdfd3c0</v>
      </c>
      <c r="D1726" t="s">
        <v>111</v>
      </c>
      <c r="E1726">
        <v>18</v>
      </c>
      <c r="F1726">
        <v>1018</v>
      </c>
      <c r="G1726" t="s">
        <v>112</v>
      </c>
      <c r="J1726" t="s">
        <v>113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R1726" t="s">
        <v>114</v>
      </c>
      <c r="S1726" t="str">
        <f>"19:03:34.789"</f>
        <v>19:03:34.789</v>
      </c>
      <c r="T1726" t="str">
        <f>"19:03:34.391"</f>
        <v>19:03:34.391</v>
      </c>
      <c r="U1726" t="str">
        <f t="shared" si="79"/>
        <v>a1cdbe</v>
      </c>
      <c r="V1726">
        <v>0</v>
      </c>
      <c r="W1726">
        <v>0</v>
      </c>
      <c r="X1726">
        <v>1</v>
      </c>
      <c r="Y1726">
        <v>0</v>
      </c>
      <c r="Z1726">
        <v>0</v>
      </c>
      <c r="AB1726">
        <v>0</v>
      </c>
      <c r="AC1726">
        <v>9</v>
      </c>
      <c r="AD1726">
        <v>3</v>
      </c>
      <c r="AE1726">
        <v>0</v>
      </c>
      <c r="AF1726">
        <v>9</v>
      </c>
      <c r="AG1726" t="s">
        <v>158</v>
      </c>
      <c r="AH1726">
        <v>0</v>
      </c>
      <c r="AI1726">
        <v>3</v>
      </c>
      <c r="AJ1726">
        <v>1</v>
      </c>
      <c r="AK1726">
        <v>0</v>
      </c>
      <c r="AL1726" t="s">
        <v>3300</v>
      </c>
      <c r="AM1726">
        <v>46.837142</v>
      </c>
      <c r="AN1726" t="s">
        <v>3301</v>
      </c>
      <c r="AO1726">
        <v>-122.891114</v>
      </c>
      <c r="AP1726">
        <v>100</v>
      </c>
      <c r="AQ1726">
        <v>2000</v>
      </c>
      <c r="AR1726" t="s">
        <v>118</v>
      </c>
      <c r="AS1726">
        <v>-75</v>
      </c>
      <c r="AT1726">
        <v>21</v>
      </c>
      <c r="AU1726">
        <v>64</v>
      </c>
      <c r="BC1726">
        <v>1200</v>
      </c>
      <c r="BD1726">
        <v>1</v>
      </c>
      <c r="BE1726" t="str">
        <f t="shared" si="80"/>
        <v xml:space="preserve">N215T   </v>
      </c>
      <c r="BF1726">
        <v>1</v>
      </c>
      <c r="BH1726">
        <v>0</v>
      </c>
      <c r="BI1726">
        <v>0</v>
      </c>
      <c r="BJ1726">
        <v>0</v>
      </c>
      <c r="BK1726">
        <v>2375</v>
      </c>
      <c r="BL1726">
        <v>375</v>
      </c>
      <c r="BM1726" t="s">
        <v>119</v>
      </c>
      <c r="BN1726">
        <v>1</v>
      </c>
      <c r="BO1726">
        <v>1</v>
      </c>
      <c r="BP1726">
        <v>1</v>
      </c>
      <c r="BQ1726">
        <v>0</v>
      </c>
      <c r="BT1726">
        <v>0</v>
      </c>
      <c r="BU1726">
        <v>0</v>
      </c>
      <c r="BV1726">
        <v>0</v>
      </c>
      <c r="CC1726" t="str">
        <f>"19:03:34.797"</f>
        <v>19:03:34.797</v>
      </c>
      <c r="CD1726" t="str">
        <f>"793104594"</f>
        <v>793104594</v>
      </c>
      <c r="CQ1726">
        <v>0</v>
      </c>
      <c r="CR1726">
        <v>2</v>
      </c>
      <c r="CS1726">
        <v>0</v>
      </c>
      <c r="CT1726">
        <v>2</v>
      </c>
      <c r="CU1726">
        <v>0</v>
      </c>
      <c r="CV1726">
        <v>7</v>
      </c>
      <c r="CW1726" t="s">
        <v>120</v>
      </c>
      <c r="CX1726">
        <v>261</v>
      </c>
      <c r="CY1726">
        <v>2</v>
      </c>
      <c r="CZ1726" t="s">
        <v>121</v>
      </c>
      <c r="DA1726" t="s">
        <v>122</v>
      </c>
      <c r="DD1726">
        <v>15268193</v>
      </c>
      <c r="DE1726" t="s">
        <v>123</v>
      </c>
    </row>
    <row r="1727" spans="1:109" x14ac:dyDescent="0.3">
      <c r="A1727" t="str">
        <f>"19:03:36.070"</f>
        <v>19:03:36.070</v>
      </c>
      <c r="B1727" t="s">
        <v>110</v>
      </c>
      <c r="C1727" t="str">
        <f t="shared" si="78"/>
        <v>ffdfd3c0</v>
      </c>
      <c r="D1727" t="s">
        <v>111</v>
      </c>
      <c r="E1727">
        <v>18</v>
      </c>
      <c r="F1727">
        <v>1018</v>
      </c>
      <c r="G1727" t="s">
        <v>112</v>
      </c>
      <c r="J1727" t="s">
        <v>113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R1727" t="s">
        <v>114</v>
      </c>
      <c r="S1727" t="str">
        <f>"19:03:35.820"</f>
        <v>19:03:35.820</v>
      </c>
      <c r="T1727" t="str">
        <f>"19:03:35.820"</f>
        <v>19:03:35.820</v>
      </c>
      <c r="U1727" t="str">
        <f t="shared" si="79"/>
        <v>a1cdbe</v>
      </c>
      <c r="V1727">
        <v>0</v>
      </c>
      <c r="W1727">
        <v>0</v>
      </c>
      <c r="X1727">
        <v>1</v>
      </c>
      <c r="Y1727">
        <v>0</v>
      </c>
      <c r="Z1727">
        <v>0</v>
      </c>
      <c r="AB1727">
        <v>0</v>
      </c>
      <c r="AC1727">
        <v>9</v>
      </c>
      <c r="AD1727">
        <v>3</v>
      </c>
      <c r="AE1727">
        <v>0</v>
      </c>
      <c r="AF1727">
        <v>9</v>
      </c>
      <c r="AG1727" t="s">
        <v>158</v>
      </c>
      <c r="AH1727">
        <v>0</v>
      </c>
      <c r="AI1727">
        <v>3</v>
      </c>
      <c r="AJ1727">
        <v>1</v>
      </c>
      <c r="AK1727">
        <v>0</v>
      </c>
      <c r="AL1727" t="s">
        <v>3302</v>
      </c>
      <c r="AM1727">
        <v>46.837226999999999</v>
      </c>
      <c r="AN1727" t="s">
        <v>3303</v>
      </c>
      <c r="AO1727">
        <v>-122.89162899999999</v>
      </c>
      <c r="AP1727">
        <v>100</v>
      </c>
      <c r="AQ1727">
        <v>2000</v>
      </c>
      <c r="AR1727" t="s">
        <v>118</v>
      </c>
      <c r="AS1727">
        <v>-75</v>
      </c>
      <c r="AT1727">
        <v>21</v>
      </c>
      <c r="AU1727">
        <v>64</v>
      </c>
      <c r="BC1727">
        <v>1200</v>
      </c>
      <c r="BD1727">
        <v>1</v>
      </c>
      <c r="BE1727" t="str">
        <f t="shared" si="80"/>
        <v xml:space="preserve">N215T   </v>
      </c>
      <c r="BF1727">
        <v>1</v>
      </c>
      <c r="BH1727">
        <v>0</v>
      </c>
      <c r="BI1727">
        <v>0</v>
      </c>
      <c r="BJ1727">
        <v>0</v>
      </c>
      <c r="BK1727">
        <v>2375</v>
      </c>
      <c r="BL1727">
        <v>375</v>
      </c>
      <c r="BM1727" t="s">
        <v>119</v>
      </c>
      <c r="BN1727">
        <v>1</v>
      </c>
      <c r="BO1727">
        <v>1</v>
      </c>
      <c r="BP1727">
        <v>1</v>
      </c>
      <c r="BQ1727">
        <v>0</v>
      </c>
      <c r="BT1727">
        <v>0</v>
      </c>
      <c r="BU1727">
        <v>0</v>
      </c>
      <c r="BV1727">
        <v>0</v>
      </c>
      <c r="CC1727" t="str">
        <f>"19:03:35.828"</f>
        <v>19:03:35.828</v>
      </c>
      <c r="CD1727" t="str">
        <f>"828002641"</f>
        <v>828002641</v>
      </c>
      <c r="CQ1727">
        <v>0</v>
      </c>
      <c r="CR1727">
        <v>2</v>
      </c>
      <c r="CS1727">
        <v>0</v>
      </c>
      <c r="CT1727">
        <v>2</v>
      </c>
      <c r="CU1727">
        <v>0</v>
      </c>
      <c r="CV1727">
        <v>7</v>
      </c>
      <c r="CW1727" t="s">
        <v>120</v>
      </c>
      <c r="CX1727">
        <v>261</v>
      </c>
      <c r="CY1727">
        <v>2</v>
      </c>
      <c r="CZ1727" t="s">
        <v>121</v>
      </c>
      <c r="DA1727" t="s">
        <v>122</v>
      </c>
      <c r="DD1727">
        <v>15268842</v>
      </c>
      <c r="DE1727" t="s">
        <v>123</v>
      </c>
    </row>
    <row r="1728" spans="1:109" x14ac:dyDescent="0.3">
      <c r="A1728" t="str">
        <f>"19:03:37.172"</f>
        <v>19:03:37.172</v>
      </c>
      <c r="B1728" t="s">
        <v>110</v>
      </c>
      <c r="C1728" t="str">
        <f t="shared" si="78"/>
        <v>ffdfd3c0</v>
      </c>
      <c r="D1728" t="s">
        <v>111</v>
      </c>
      <c r="E1728">
        <v>18</v>
      </c>
      <c r="F1728">
        <v>1018</v>
      </c>
      <c r="G1728" t="s">
        <v>112</v>
      </c>
      <c r="J1728" t="s">
        <v>113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R1728" t="s">
        <v>114</v>
      </c>
      <c r="S1728" t="str">
        <f>"19:03:36.922"</f>
        <v>19:03:36.922</v>
      </c>
      <c r="T1728" t="str">
        <f>"19:03:36.922"</f>
        <v>19:03:36.922</v>
      </c>
      <c r="U1728" t="str">
        <f t="shared" si="79"/>
        <v>a1cdbe</v>
      </c>
      <c r="V1728">
        <v>0</v>
      </c>
      <c r="W1728">
        <v>0</v>
      </c>
      <c r="X1728">
        <v>1</v>
      </c>
      <c r="Y1728">
        <v>0</v>
      </c>
      <c r="Z1728">
        <v>0</v>
      </c>
      <c r="AB1728">
        <v>0</v>
      </c>
      <c r="AC1728">
        <v>9</v>
      </c>
      <c r="AD1728">
        <v>3</v>
      </c>
      <c r="AE1728">
        <v>0</v>
      </c>
      <c r="AF1728">
        <v>9</v>
      </c>
      <c r="AG1728" t="s">
        <v>158</v>
      </c>
      <c r="AH1728">
        <v>0</v>
      </c>
      <c r="AI1728">
        <v>3</v>
      </c>
      <c r="AJ1728">
        <v>1</v>
      </c>
      <c r="AK1728">
        <v>0</v>
      </c>
      <c r="AL1728" t="s">
        <v>3304</v>
      </c>
      <c r="AM1728">
        <v>46.837378000000001</v>
      </c>
      <c r="AN1728" t="s">
        <v>3305</v>
      </c>
      <c r="AO1728">
        <v>-122.89218700000001</v>
      </c>
      <c r="AP1728">
        <v>100</v>
      </c>
      <c r="AQ1728">
        <v>2000</v>
      </c>
      <c r="AR1728" t="s">
        <v>118</v>
      </c>
      <c r="AS1728">
        <v>-75</v>
      </c>
      <c r="AT1728">
        <v>21</v>
      </c>
      <c r="AU1728">
        <v>64</v>
      </c>
      <c r="BC1728">
        <v>1200</v>
      </c>
      <c r="BD1728">
        <v>1</v>
      </c>
      <c r="BE1728" t="str">
        <f t="shared" si="80"/>
        <v xml:space="preserve">N215T   </v>
      </c>
      <c r="BF1728">
        <v>1</v>
      </c>
      <c r="BH1728">
        <v>0</v>
      </c>
      <c r="BI1728">
        <v>0</v>
      </c>
      <c r="BJ1728">
        <v>0</v>
      </c>
      <c r="BK1728">
        <v>2375</v>
      </c>
      <c r="BL1728">
        <v>375</v>
      </c>
      <c r="BM1728" t="s">
        <v>119</v>
      </c>
      <c r="BN1728">
        <v>1</v>
      </c>
      <c r="BO1728">
        <v>1</v>
      </c>
      <c r="BP1728">
        <v>1</v>
      </c>
      <c r="BQ1728">
        <v>0</v>
      </c>
      <c r="BT1728">
        <v>0</v>
      </c>
      <c r="BU1728">
        <v>0</v>
      </c>
      <c r="BV1728">
        <v>0</v>
      </c>
      <c r="CC1728" t="str">
        <f>"19:03:36.922"</f>
        <v>19:03:36.922</v>
      </c>
      <c r="CD1728" t="str">
        <f>"922894783"</f>
        <v>922894783</v>
      </c>
      <c r="CQ1728">
        <v>0</v>
      </c>
      <c r="CR1728">
        <v>2</v>
      </c>
      <c r="CS1728">
        <v>0</v>
      </c>
      <c r="CT1728">
        <v>2</v>
      </c>
      <c r="CU1728">
        <v>0</v>
      </c>
      <c r="CV1728">
        <v>7</v>
      </c>
      <c r="CW1728" t="s">
        <v>120</v>
      </c>
      <c r="CX1728">
        <v>261</v>
      </c>
      <c r="CY1728">
        <v>2</v>
      </c>
      <c r="CZ1728" t="s">
        <v>121</v>
      </c>
      <c r="DA1728" t="s">
        <v>122</v>
      </c>
      <c r="DD1728">
        <v>15269503</v>
      </c>
      <c r="DE1728" t="s">
        <v>123</v>
      </c>
    </row>
    <row r="1729" spans="1:109" x14ac:dyDescent="0.3">
      <c r="A1729" t="str">
        <f>"19:03:38.078"</f>
        <v>19:03:38.078</v>
      </c>
      <c r="B1729" t="s">
        <v>110</v>
      </c>
      <c r="C1729" t="str">
        <f t="shared" si="78"/>
        <v>ffdfd3c0</v>
      </c>
      <c r="D1729" t="s">
        <v>111</v>
      </c>
      <c r="E1729">
        <v>18</v>
      </c>
      <c r="F1729">
        <v>1018</v>
      </c>
      <c r="G1729" t="s">
        <v>112</v>
      </c>
      <c r="J1729" t="s">
        <v>113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R1729" t="s">
        <v>114</v>
      </c>
      <c r="S1729" t="str">
        <f>"19:03:37.836"</f>
        <v>19:03:37.836</v>
      </c>
      <c r="T1729" t="str">
        <f>"19:03:37.836"</f>
        <v>19:03:37.836</v>
      </c>
      <c r="U1729" t="str">
        <f t="shared" si="79"/>
        <v>a1cdbe</v>
      </c>
      <c r="V1729">
        <v>0</v>
      </c>
      <c r="W1729">
        <v>0</v>
      </c>
      <c r="X1729">
        <v>1</v>
      </c>
      <c r="Y1729">
        <v>0</v>
      </c>
      <c r="Z1729">
        <v>0</v>
      </c>
      <c r="AB1729">
        <v>0</v>
      </c>
      <c r="AC1729">
        <v>9</v>
      </c>
      <c r="AD1729">
        <v>3</v>
      </c>
      <c r="AE1729">
        <v>0</v>
      </c>
      <c r="AF1729">
        <v>9</v>
      </c>
      <c r="AG1729" t="s">
        <v>158</v>
      </c>
      <c r="AH1729">
        <v>0</v>
      </c>
      <c r="AI1729">
        <v>3</v>
      </c>
      <c r="AJ1729">
        <v>1</v>
      </c>
      <c r="AK1729">
        <v>0</v>
      </c>
      <c r="AL1729" t="s">
        <v>2253</v>
      </c>
      <c r="AM1729">
        <v>46.837463</v>
      </c>
      <c r="AN1729" t="s">
        <v>3306</v>
      </c>
      <c r="AO1729">
        <v>-122.89265899999999</v>
      </c>
      <c r="AP1729">
        <v>100</v>
      </c>
      <c r="AQ1729">
        <v>2000</v>
      </c>
      <c r="AR1729" t="s">
        <v>118</v>
      </c>
      <c r="AS1729">
        <v>-75</v>
      </c>
      <c r="AT1729">
        <v>21</v>
      </c>
      <c r="AU1729">
        <v>64</v>
      </c>
      <c r="BC1729">
        <v>1200</v>
      </c>
      <c r="BD1729">
        <v>1</v>
      </c>
      <c r="BE1729" t="str">
        <f t="shared" si="80"/>
        <v xml:space="preserve">N215T   </v>
      </c>
      <c r="BF1729">
        <v>1</v>
      </c>
      <c r="BH1729">
        <v>0</v>
      </c>
      <c r="BI1729">
        <v>0</v>
      </c>
      <c r="BJ1729">
        <v>0</v>
      </c>
      <c r="BK1729">
        <v>2400</v>
      </c>
      <c r="BL1729">
        <v>400</v>
      </c>
      <c r="BM1729" t="s">
        <v>119</v>
      </c>
      <c r="BN1729">
        <v>1</v>
      </c>
      <c r="BO1729">
        <v>1</v>
      </c>
      <c r="BP1729">
        <v>1</v>
      </c>
      <c r="BQ1729">
        <v>0</v>
      </c>
      <c r="BT1729">
        <v>0</v>
      </c>
      <c r="BU1729">
        <v>0</v>
      </c>
      <c r="BV1729">
        <v>0</v>
      </c>
      <c r="CC1729" t="str">
        <f>"19:03:37.836"</f>
        <v>19:03:37.836</v>
      </c>
      <c r="CD1729" t="str">
        <f>"837804648"</f>
        <v>837804648</v>
      </c>
      <c r="CQ1729">
        <v>0</v>
      </c>
      <c r="CR1729">
        <v>2</v>
      </c>
      <c r="CS1729">
        <v>0</v>
      </c>
      <c r="CT1729">
        <v>2</v>
      </c>
      <c r="CU1729">
        <v>0</v>
      </c>
      <c r="CV1729">
        <v>7</v>
      </c>
      <c r="CW1729" t="s">
        <v>120</v>
      </c>
      <c r="CX1729">
        <v>261</v>
      </c>
      <c r="CY1729">
        <v>2</v>
      </c>
      <c r="CZ1729" t="s">
        <v>121</v>
      </c>
      <c r="DA1729" t="s">
        <v>122</v>
      </c>
      <c r="DD1729">
        <v>15270055</v>
      </c>
      <c r="DE1729" t="s">
        <v>123</v>
      </c>
    </row>
    <row r="1730" spans="1:109" x14ac:dyDescent="0.3">
      <c r="A1730" t="str">
        <f>"19:03:38.984"</f>
        <v>19:03:38.984</v>
      </c>
      <c r="B1730" t="s">
        <v>110</v>
      </c>
      <c r="C1730" t="str">
        <f t="shared" ref="C1730:C1793" si="81">"ffdfd3c0"</f>
        <v>ffdfd3c0</v>
      </c>
      <c r="D1730" t="s">
        <v>111</v>
      </c>
      <c r="E1730">
        <v>18</v>
      </c>
      <c r="F1730">
        <v>1018</v>
      </c>
      <c r="G1730" t="s">
        <v>112</v>
      </c>
      <c r="J1730" t="s">
        <v>113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R1730" t="s">
        <v>114</v>
      </c>
      <c r="S1730" t="str">
        <f>"19:03:38.766"</f>
        <v>19:03:38.766</v>
      </c>
      <c r="T1730" t="str">
        <f>"19:03:38.266"</f>
        <v>19:03:38.266</v>
      </c>
      <c r="U1730" t="str">
        <f t="shared" ref="U1730:U1793" si="82">"a1cdbe"</f>
        <v>a1cdbe</v>
      </c>
      <c r="V1730">
        <v>0</v>
      </c>
      <c r="W1730">
        <v>0</v>
      </c>
      <c r="X1730">
        <v>1</v>
      </c>
      <c r="Y1730">
        <v>0</v>
      </c>
      <c r="Z1730">
        <v>0</v>
      </c>
      <c r="AB1730">
        <v>0</v>
      </c>
      <c r="AC1730">
        <v>9</v>
      </c>
      <c r="AD1730">
        <v>3</v>
      </c>
      <c r="AE1730">
        <v>0</v>
      </c>
      <c r="AF1730">
        <v>9</v>
      </c>
      <c r="AG1730" t="s">
        <v>158</v>
      </c>
      <c r="AH1730">
        <v>0</v>
      </c>
      <c r="AI1730">
        <v>3</v>
      </c>
      <c r="AJ1730">
        <v>1</v>
      </c>
      <c r="AK1730">
        <v>0</v>
      </c>
      <c r="AL1730" t="s">
        <v>3307</v>
      </c>
      <c r="AM1730">
        <v>46.837549000000003</v>
      </c>
      <c r="AN1730" t="s">
        <v>3308</v>
      </c>
      <c r="AO1730">
        <v>-122.893131</v>
      </c>
      <c r="AP1730">
        <v>100</v>
      </c>
      <c r="AQ1730">
        <v>2000</v>
      </c>
      <c r="AR1730" t="s">
        <v>118</v>
      </c>
      <c r="AS1730">
        <v>-75</v>
      </c>
      <c r="AT1730">
        <v>21</v>
      </c>
      <c r="AU1730">
        <v>64</v>
      </c>
      <c r="BC1730">
        <v>1200</v>
      </c>
      <c r="BD1730">
        <v>1</v>
      </c>
      <c r="BE1730" t="str">
        <f t="shared" ref="BE1730:BE1793" si="83">"N215T   "</f>
        <v xml:space="preserve">N215T   </v>
      </c>
      <c r="BF1730">
        <v>1</v>
      </c>
      <c r="BH1730">
        <v>0</v>
      </c>
      <c r="BI1730">
        <v>0</v>
      </c>
      <c r="BJ1730">
        <v>0</v>
      </c>
      <c r="BK1730">
        <v>2400</v>
      </c>
      <c r="BL1730">
        <v>400</v>
      </c>
      <c r="BM1730" t="s">
        <v>119</v>
      </c>
      <c r="BN1730">
        <v>1</v>
      </c>
      <c r="BO1730">
        <v>1</v>
      </c>
      <c r="BP1730">
        <v>1</v>
      </c>
      <c r="BQ1730">
        <v>0</v>
      </c>
      <c r="BT1730">
        <v>0</v>
      </c>
      <c r="BU1730">
        <v>0</v>
      </c>
      <c r="BV1730">
        <v>0</v>
      </c>
      <c r="CC1730" t="str">
        <f>"19:03:38.766"</f>
        <v>19:03:38.766</v>
      </c>
      <c r="CD1730" t="str">
        <f>"767713038"</f>
        <v>767713038</v>
      </c>
      <c r="CQ1730">
        <v>0</v>
      </c>
      <c r="CR1730">
        <v>2</v>
      </c>
      <c r="CS1730">
        <v>0</v>
      </c>
      <c r="CT1730">
        <v>2</v>
      </c>
      <c r="CU1730">
        <v>0</v>
      </c>
      <c r="CV1730">
        <v>7</v>
      </c>
      <c r="CW1730" t="s">
        <v>120</v>
      </c>
      <c r="CX1730">
        <v>261</v>
      </c>
      <c r="CY1730">
        <v>2</v>
      </c>
      <c r="CZ1730" t="s">
        <v>121</v>
      </c>
      <c r="DA1730" t="s">
        <v>122</v>
      </c>
      <c r="DD1730">
        <v>15270664</v>
      </c>
      <c r="DE1730" t="s">
        <v>123</v>
      </c>
    </row>
    <row r="1731" spans="1:109" x14ac:dyDescent="0.3">
      <c r="A1731" t="str">
        <f>"19:03:40.094"</f>
        <v>19:03:40.094</v>
      </c>
      <c r="B1731" t="s">
        <v>110</v>
      </c>
      <c r="C1731" t="str">
        <f t="shared" si="81"/>
        <v>ffdfd3c0</v>
      </c>
      <c r="D1731" t="s">
        <v>111</v>
      </c>
      <c r="E1731">
        <v>18</v>
      </c>
      <c r="F1731">
        <v>1018</v>
      </c>
      <c r="G1731" t="s">
        <v>112</v>
      </c>
      <c r="J1731" t="s">
        <v>113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R1731" t="s">
        <v>114</v>
      </c>
      <c r="S1731" t="str">
        <f>"19:03:39.828"</f>
        <v>19:03:39.828</v>
      </c>
      <c r="T1731" t="str">
        <f>"19:03:39.328"</f>
        <v>19:03:39.328</v>
      </c>
      <c r="U1731" t="str">
        <f t="shared" si="82"/>
        <v>a1cdbe</v>
      </c>
      <c r="V1731">
        <v>0</v>
      </c>
      <c r="W1731">
        <v>0</v>
      </c>
      <c r="X1731">
        <v>1</v>
      </c>
      <c r="Y1731">
        <v>0</v>
      </c>
      <c r="Z1731">
        <v>0</v>
      </c>
      <c r="AB1731">
        <v>0</v>
      </c>
      <c r="AC1731">
        <v>9</v>
      </c>
      <c r="AD1731">
        <v>3</v>
      </c>
      <c r="AE1731">
        <v>0</v>
      </c>
      <c r="AF1731">
        <v>9</v>
      </c>
      <c r="AG1731" t="s">
        <v>158</v>
      </c>
      <c r="AH1731">
        <v>0</v>
      </c>
      <c r="AI1731">
        <v>3</v>
      </c>
      <c r="AJ1731">
        <v>1</v>
      </c>
      <c r="AK1731">
        <v>0</v>
      </c>
      <c r="AL1731" t="s">
        <v>3309</v>
      </c>
      <c r="AM1731">
        <v>46.837656000000003</v>
      </c>
      <c r="AN1731" t="s">
        <v>3310</v>
      </c>
      <c r="AO1731">
        <v>-122.89368899999999</v>
      </c>
      <c r="AP1731">
        <v>100</v>
      </c>
      <c r="AQ1731">
        <v>2000</v>
      </c>
      <c r="AR1731" t="s">
        <v>118</v>
      </c>
      <c r="AS1731">
        <v>-75</v>
      </c>
      <c r="AT1731">
        <v>21</v>
      </c>
      <c r="AU1731">
        <v>64</v>
      </c>
      <c r="BC1731">
        <v>1200</v>
      </c>
      <c r="BD1731">
        <v>1</v>
      </c>
      <c r="BE1731" t="str">
        <f t="shared" si="83"/>
        <v xml:space="preserve">N215T   </v>
      </c>
      <c r="BF1731">
        <v>1</v>
      </c>
      <c r="BH1731">
        <v>0</v>
      </c>
      <c r="BI1731">
        <v>0</v>
      </c>
      <c r="BJ1731">
        <v>0</v>
      </c>
      <c r="BK1731">
        <v>2400</v>
      </c>
      <c r="BL1731">
        <v>400</v>
      </c>
      <c r="BM1731" t="s">
        <v>119</v>
      </c>
      <c r="BN1731">
        <v>1</v>
      </c>
      <c r="BO1731">
        <v>1</v>
      </c>
      <c r="BP1731">
        <v>1</v>
      </c>
      <c r="BQ1731">
        <v>0</v>
      </c>
      <c r="BT1731">
        <v>0</v>
      </c>
      <c r="BU1731">
        <v>0</v>
      </c>
      <c r="BV1731">
        <v>0</v>
      </c>
      <c r="CC1731" t="str">
        <f>"19:03:39.836"</f>
        <v>19:03:39.836</v>
      </c>
      <c r="CD1731" t="str">
        <f>"832608129"</f>
        <v>832608129</v>
      </c>
      <c r="CQ1731">
        <v>0</v>
      </c>
      <c r="CR1731">
        <v>2</v>
      </c>
      <c r="CS1731">
        <v>0</v>
      </c>
      <c r="CT1731">
        <v>2</v>
      </c>
      <c r="CU1731">
        <v>0</v>
      </c>
      <c r="CV1731">
        <v>7</v>
      </c>
      <c r="CW1731" t="s">
        <v>120</v>
      </c>
      <c r="CX1731">
        <v>261</v>
      </c>
      <c r="CY1731">
        <v>2</v>
      </c>
      <c r="CZ1731" t="s">
        <v>121</v>
      </c>
      <c r="DA1731" t="s">
        <v>122</v>
      </c>
      <c r="DD1731">
        <v>15271365</v>
      </c>
      <c r="DE1731" t="s">
        <v>123</v>
      </c>
    </row>
    <row r="1732" spans="1:109" x14ac:dyDescent="0.3">
      <c r="A1732" t="str">
        <f>"19:03:41.047"</f>
        <v>19:03:41.047</v>
      </c>
      <c r="B1732" t="s">
        <v>110</v>
      </c>
      <c r="C1732" t="str">
        <f t="shared" si="81"/>
        <v>ffdfd3c0</v>
      </c>
      <c r="D1732" t="s">
        <v>111</v>
      </c>
      <c r="E1732">
        <v>18</v>
      </c>
      <c r="F1732">
        <v>1018</v>
      </c>
      <c r="G1732" t="s">
        <v>112</v>
      </c>
      <c r="J1732" t="s">
        <v>113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R1732" t="s">
        <v>114</v>
      </c>
      <c r="S1732" t="str">
        <f>"19:03:40.836"</f>
        <v>19:03:40.836</v>
      </c>
      <c r="T1732" t="str">
        <f>"19:03:40.336"</f>
        <v>19:03:40.336</v>
      </c>
      <c r="U1732" t="str">
        <f t="shared" si="82"/>
        <v>a1cdbe</v>
      </c>
      <c r="V1732">
        <v>0</v>
      </c>
      <c r="W1732">
        <v>0</v>
      </c>
      <c r="X1732">
        <v>1</v>
      </c>
      <c r="Y1732">
        <v>0</v>
      </c>
      <c r="Z1732">
        <v>0</v>
      </c>
      <c r="AB1732">
        <v>0</v>
      </c>
      <c r="AC1732">
        <v>9</v>
      </c>
      <c r="AD1732">
        <v>3</v>
      </c>
      <c r="AE1732">
        <v>0</v>
      </c>
      <c r="AF1732">
        <v>9</v>
      </c>
      <c r="AG1732" t="s">
        <v>158</v>
      </c>
      <c r="AH1732">
        <v>0</v>
      </c>
      <c r="AI1732">
        <v>3</v>
      </c>
      <c r="AJ1732">
        <v>1</v>
      </c>
      <c r="AK1732">
        <v>0</v>
      </c>
      <c r="AL1732" t="s">
        <v>3311</v>
      </c>
      <c r="AM1732">
        <v>46.837741999999999</v>
      </c>
      <c r="AN1732" t="s">
        <v>3312</v>
      </c>
      <c r="AO1732">
        <v>-122.894204</v>
      </c>
      <c r="AP1732">
        <v>100</v>
      </c>
      <c r="AQ1732">
        <v>2000</v>
      </c>
      <c r="AR1732" t="s">
        <v>118</v>
      </c>
      <c r="AS1732">
        <v>-75</v>
      </c>
      <c r="AT1732">
        <v>21</v>
      </c>
      <c r="AU1732">
        <v>64</v>
      </c>
      <c r="BC1732">
        <v>1200</v>
      </c>
      <c r="BD1732">
        <v>1</v>
      </c>
      <c r="BE1732" t="str">
        <f t="shared" si="83"/>
        <v xml:space="preserve">N215T   </v>
      </c>
      <c r="BF1732">
        <v>1</v>
      </c>
      <c r="BH1732">
        <v>0</v>
      </c>
      <c r="BI1732">
        <v>0</v>
      </c>
      <c r="BJ1732">
        <v>0</v>
      </c>
      <c r="BK1732">
        <v>2400</v>
      </c>
      <c r="BL1732">
        <v>400</v>
      </c>
      <c r="BM1732" t="s">
        <v>119</v>
      </c>
      <c r="BN1732">
        <v>1</v>
      </c>
      <c r="BO1732">
        <v>1</v>
      </c>
      <c r="BP1732">
        <v>1</v>
      </c>
      <c r="BQ1732">
        <v>0</v>
      </c>
      <c r="BT1732">
        <v>0</v>
      </c>
      <c r="BU1732">
        <v>0</v>
      </c>
      <c r="BV1732">
        <v>0</v>
      </c>
      <c r="CC1732" t="str">
        <f>"19:03:40.836"</f>
        <v>19:03:40.836</v>
      </c>
      <c r="CD1732" t="str">
        <f>"837509136"</f>
        <v>837509136</v>
      </c>
      <c r="CQ1732">
        <v>0</v>
      </c>
      <c r="CR1732">
        <v>2</v>
      </c>
      <c r="CS1732">
        <v>0</v>
      </c>
      <c r="CT1732">
        <v>2</v>
      </c>
      <c r="CU1732">
        <v>0</v>
      </c>
      <c r="CV1732">
        <v>7</v>
      </c>
      <c r="CW1732" t="s">
        <v>120</v>
      </c>
      <c r="CX1732">
        <v>261</v>
      </c>
      <c r="CY1732">
        <v>2</v>
      </c>
      <c r="CZ1732" t="s">
        <v>121</v>
      </c>
      <c r="DA1732" t="s">
        <v>122</v>
      </c>
      <c r="DD1732">
        <v>15272016</v>
      </c>
      <c r="DE1732" t="s">
        <v>123</v>
      </c>
    </row>
    <row r="1733" spans="1:109" x14ac:dyDescent="0.3">
      <c r="A1733" t="str">
        <f>"19:03:42.055"</f>
        <v>19:03:42.055</v>
      </c>
      <c r="B1733" t="s">
        <v>110</v>
      </c>
      <c r="C1733" t="str">
        <f t="shared" si="81"/>
        <v>ffdfd3c0</v>
      </c>
      <c r="D1733" t="s">
        <v>111</v>
      </c>
      <c r="E1733">
        <v>18</v>
      </c>
      <c r="F1733">
        <v>1018</v>
      </c>
      <c r="G1733" t="s">
        <v>112</v>
      </c>
      <c r="J1733" t="s">
        <v>113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R1733" t="s">
        <v>114</v>
      </c>
      <c r="S1733" t="str">
        <f>"19:03:41.820"</f>
        <v>19:03:41.820</v>
      </c>
      <c r="T1733" t="str">
        <f>"19:03:41.422"</f>
        <v>19:03:41.422</v>
      </c>
      <c r="U1733" t="str">
        <f t="shared" si="82"/>
        <v>a1cdbe</v>
      </c>
      <c r="V1733">
        <v>0</v>
      </c>
      <c r="W1733">
        <v>0</v>
      </c>
      <c r="X1733">
        <v>1</v>
      </c>
      <c r="Y1733">
        <v>0</v>
      </c>
      <c r="Z1733">
        <v>0</v>
      </c>
      <c r="AB1733">
        <v>0</v>
      </c>
      <c r="AC1733">
        <v>9</v>
      </c>
      <c r="AD1733">
        <v>3</v>
      </c>
      <c r="AE1733">
        <v>0</v>
      </c>
      <c r="AF1733">
        <v>9</v>
      </c>
      <c r="AG1733" t="s">
        <v>158</v>
      </c>
      <c r="AH1733">
        <v>0</v>
      </c>
      <c r="AI1733">
        <v>3</v>
      </c>
      <c r="AJ1733">
        <v>1</v>
      </c>
      <c r="AK1733">
        <v>0</v>
      </c>
      <c r="AL1733" t="s">
        <v>3313</v>
      </c>
      <c r="AM1733">
        <v>46.837828000000002</v>
      </c>
      <c r="AN1733" t="s">
        <v>3314</v>
      </c>
      <c r="AO1733">
        <v>-122.89471899999999</v>
      </c>
      <c r="AP1733">
        <v>100</v>
      </c>
      <c r="AQ1733">
        <v>2000</v>
      </c>
      <c r="AR1733" t="s">
        <v>118</v>
      </c>
      <c r="AS1733">
        <v>-75</v>
      </c>
      <c r="AT1733">
        <v>21</v>
      </c>
      <c r="AU1733">
        <v>64</v>
      </c>
      <c r="BC1733">
        <v>1200</v>
      </c>
      <c r="BD1733">
        <v>1</v>
      </c>
      <c r="BE1733" t="str">
        <f t="shared" si="83"/>
        <v xml:space="preserve">N215T   </v>
      </c>
      <c r="BF1733">
        <v>1</v>
      </c>
      <c r="BH1733">
        <v>0</v>
      </c>
      <c r="BI1733">
        <v>0</v>
      </c>
      <c r="BJ1733">
        <v>0</v>
      </c>
      <c r="BK1733">
        <v>2400</v>
      </c>
      <c r="BL1733">
        <v>400</v>
      </c>
      <c r="BM1733" t="s">
        <v>119</v>
      </c>
      <c r="BN1733">
        <v>1</v>
      </c>
      <c r="BO1733">
        <v>1</v>
      </c>
      <c r="BP1733">
        <v>1</v>
      </c>
      <c r="BQ1733">
        <v>0</v>
      </c>
      <c r="BT1733">
        <v>0</v>
      </c>
      <c r="BU1733">
        <v>0</v>
      </c>
      <c r="BV1733">
        <v>0</v>
      </c>
      <c r="CC1733" t="str">
        <f>"19:03:41.828"</f>
        <v>19:03:41.828</v>
      </c>
      <c r="CD1733" t="str">
        <f>"827411621"</f>
        <v>827411621</v>
      </c>
      <c r="CQ1733">
        <v>0</v>
      </c>
      <c r="CR1733">
        <v>2</v>
      </c>
      <c r="CS1733">
        <v>0</v>
      </c>
      <c r="CT1733">
        <v>2</v>
      </c>
      <c r="CU1733">
        <v>0</v>
      </c>
      <c r="CV1733">
        <v>7</v>
      </c>
      <c r="CW1733" t="s">
        <v>120</v>
      </c>
      <c r="CX1733">
        <v>261</v>
      </c>
      <c r="CY1733">
        <v>2</v>
      </c>
      <c r="CZ1733" t="s">
        <v>121</v>
      </c>
      <c r="DA1733" t="s">
        <v>122</v>
      </c>
      <c r="DD1733">
        <v>15272622</v>
      </c>
      <c r="DE1733" t="s">
        <v>123</v>
      </c>
    </row>
    <row r="1734" spans="1:109" x14ac:dyDescent="0.3">
      <c r="A1734" t="str">
        <f>"19:03:42.953"</f>
        <v>19:03:42.953</v>
      </c>
      <c r="B1734" t="s">
        <v>110</v>
      </c>
      <c r="C1734" t="str">
        <f t="shared" si="81"/>
        <v>ffdfd3c0</v>
      </c>
      <c r="D1734" t="s">
        <v>111</v>
      </c>
      <c r="E1734">
        <v>18</v>
      </c>
      <c r="F1734">
        <v>1018</v>
      </c>
      <c r="G1734" t="s">
        <v>112</v>
      </c>
      <c r="J1734" t="s">
        <v>113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R1734" t="s">
        <v>114</v>
      </c>
      <c r="S1734" t="str">
        <f>"19:03:42.727"</f>
        <v>19:03:42.727</v>
      </c>
      <c r="T1734" t="str">
        <f>"19:03:42.328"</f>
        <v>19:03:42.328</v>
      </c>
      <c r="U1734" t="str">
        <f t="shared" si="82"/>
        <v>a1cdbe</v>
      </c>
      <c r="V1734">
        <v>0</v>
      </c>
      <c r="W1734">
        <v>0</v>
      </c>
      <c r="X1734">
        <v>1</v>
      </c>
      <c r="Y1734">
        <v>0</v>
      </c>
      <c r="Z1734">
        <v>0</v>
      </c>
      <c r="AB1734">
        <v>0</v>
      </c>
      <c r="AC1734">
        <v>9</v>
      </c>
      <c r="AD1734">
        <v>3</v>
      </c>
      <c r="AE1734">
        <v>0</v>
      </c>
      <c r="AF1734">
        <v>9</v>
      </c>
      <c r="AG1734" t="s">
        <v>158</v>
      </c>
      <c r="AH1734">
        <v>0</v>
      </c>
      <c r="AI1734">
        <v>3</v>
      </c>
      <c r="AJ1734">
        <v>1</v>
      </c>
      <c r="AK1734">
        <v>0</v>
      </c>
      <c r="AL1734" t="s">
        <v>3315</v>
      </c>
      <c r="AM1734">
        <v>46.837935000000002</v>
      </c>
      <c r="AN1734" t="s">
        <v>3316</v>
      </c>
      <c r="AO1734">
        <v>-122.895126</v>
      </c>
      <c r="AP1734">
        <v>100</v>
      </c>
      <c r="AQ1734">
        <v>2000</v>
      </c>
      <c r="AR1734" t="s">
        <v>118</v>
      </c>
      <c r="AS1734">
        <v>-75</v>
      </c>
      <c r="AT1734">
        <v>22</v>
      </c>
      <c r="AU1734">
        <v>0</v>
      </c>
      <c r="BC1734">
        <v>1200</v>
      </c>
      <c r="BD1734">
        <v>1</v>
      </c>
      <c r="BE1734" t="str">
        <f t="shared" si="83"/>
        <v xml:space="preserve">N215T   </v>
      </c>
      <c r="BF1734">
        <v>1</v>
      </c>
      <c r="BH1734">
        <v>0</v>
      </c>
      <c r="BI1734">
        <v>0</v>
      </c>
      <c r="BJ1734">
        <v>0</v>
      </c>
      <c r="BK1734">
        <v>2400</v>
      </c>
      <c r="BL1734">
        <v>400</v>
      </c>
      <c r="BM1734" t="s">
        <v>119</v>
      </c>
      <c r="BN1734">
        <v>1</v>
      </c>
      <c r="BO1734">
        <v>1</v>
      </c>
      <c r="BP1734">
        <v>1</v>
      </c>
      <c r="BQ1734">
        <v>0</v>
      </c>
      <c r="BT1734">
        <v>0</v>
      </c>
      <c r="BU1734">
        <v>0</v>
      </c>
      <c r="BV1734">
        <v>0</v>
      </c>
      <c r="CC1734" t="str">
        <f>"19:03:42.727"</f>
        <v>19:03:42.727</v>
      </c>
      <c r="CD1734" t="str">
        <f>"727322960"</f>
        <v>727322960</v>
      </c>
      <c r="CQ1734">
        <v>0</v>
      </c>
      <c r="CR1734">
        <v>2</v>
      </c>
      <c r="CS1734">
        <v>0</v>
      </c>
      <c r="CT1734">
        <v>2</v>
      </c>
      <c r="CU1734">
        <v>0</v>
      </c>
      <c r="CV1734">
        <v>7</v>
      </c>
      <c r="CW1734" t="s">
        <v>120</v>
      </c>
      <c r="CX1734">
        <v>261</v>
      </c>
      <c r="CY1734">
        <v>2</v>
      </c>
      <c r="CZ1734" t="s">
        <v>121</v>
      </c>
      <c r="DA1734" t="s">
        <v>122</v>
      </c>
      <c r="DD1734">
        <v>15273258</v>
      </c>
      <c r="DE1734" t="s">
        <v>123</v>
      </c>
    </row>
    <row r="1735" spans="1:109" x14ac:dyDescent="0.3">
      <c r="A1735" t="str">
        <f>"19:03:43.961"</f>
        <v>19:03:43.961</v>
      </c>
      <c r="B1735" t="s">
        <v>110</v>
      </c>
      <c r="C1735" t="str">
        <f t="shared" si="81"/>
        <v>ffdfd3c0</v>
      </c>
      <c r="D1735" t="s">
        <v>111</v>
      </c>
      <c r="E1735">
        <v>18</v>
      </c>
      <c r="F1735">
        <v>1018</v>
      </c>
      <c r="G1735" t="s">
        <v>112</v>
      </c>
      <c r="J1735" t="s">
        <v>113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R1735" t="s">
        <v>114</v>
      </c>
      <c r="S1735" t="str">
        <f>"19:03:43.742"</f>
        <v>19:03:43.742</v>
      </c>
      <c r="T1735" t="str">
        <f>"19:03:43.344"</f>
        <v>19:03:43.344</v>
      </c>
      <c r="U1735" t="str">
        <f t="shared" si="82"/>
        <v>a1cdbe</v>
      </c>
      <c r="V1735">
        <v>0</v>
      </c>
      <c r="W1735">
        <v>0</v>
      </c>
      <c r="X1735">
        <v>1</v>
      </c>
      <c r="Y1735">
        <v>0</v>
      </c>
      <c r="Z1735">
        <v>0</v>
      </c>
      <c r="AB1735">
        <v>0</v>
      </c>
      <c r="AC1735">
        <v>9</v>
      </c>
      <c r="AD1735">
        <v>3</v>
      </c>
      <c r="AE1735">
        <v>0</v>
      </c>
      <c r="AF1735">
        <v>9</v>
      </c>
      <c r="AG1735" t="s">
        <v>158</v>
      </c>
      <c r="AH1735">
        <v>0</v>
      </c>
      <c r="AI1735">
        <v>3</v>
      </c>
      <c r="AJ1735">
        <v>1</v>
      </c>
      <c r="AK1735">
        <v>0</v>
      </c>
      <c r="AL1735" t="s">
        <v>3317</v>
      </c>
      <c r="AM1735">
        <v>46.838020999999998</v>
      </c>
      <c r="AN1735" t="s">
        <v>3318</v>
      </c>
      <c r="AO1735">
        <v>-122.895684</v>
      </c>
      <c r="AP1735">
        <v>100</v>
      </c>
      <c r="AQ1735">
        <v>2000</v>
      </c>
      <c r="AR1735" t="s">
        <v>118</v>
      </c>
      <c r="AS1735">
        <v>-75</v>
      </c>
      <c r="AT1735">
        <v>22</v>
      </c>
      <c r="AU1735">
        <v>0</v>
      </c>
      <c r="BC1735">
        <v>1200</v>
      </c>
      <c r="BD1735">
        <v>1</v>
      </c>
      <c r="BE1735" t="str">
        <f t="shared" si="83"/>
        <v xml:space="preserve">N215T   </v>
      </c>
      <c r="BF1735">
        <v>1</v>
      </c>
      <c r="BH1735">
        <v>0</v>
      </c>
      <c r="BI1735">
        <v>0</v>
      </c>
      <c r="BJ1735">
        <v>0</v>
      </c>
      <c r="BK1735">
        <v>2400</v>
      </c>
      <c r="BL1735">
        <v>400</v>
      </c>
      <c r="BM1735" t="s">
        <v>119</v>
      </c>
      <c r="BN1735">
        <v>1</v>
      </c>
      <c r="BO1735">
        <v>1</v>
      </c>
      <c r="BP1735">
        <v>1</v>
      </c>
      <c r="BQ1735">
        <v>0</v>
      </c>
      <c r="BT1735">
        <v>0</v>
      </c>
      <c r="BU1735">
        <v>0</v>
      </c>
      <c r="BV1735">
        <v>0</v>
      </c>
      <c r="CC1735" t="str">
        <f>"19:03:43.750"</f>
        <v>19:03:43.750</v>
      </c>
      <c r="CD1735" t="str">
        <f>"747222489"</f>
        <v>747222489</v>
      </c>
      <c r="CQ1735">
        <v>0</v>
      </c>
      <c r="CR1735">
        <v>2</v>
      </c>
      <c r="CS1735">
        <v>0</v>
      </c>
      <c r="CT1735">
        <v>2</v>
      </c>
      <c r="CU1735">
        <v>0</v>
      </c>
      <c r="CV1735">
        <v>7</v>
      </c>
      <c r="CW1735" t="s">
        <v>120</v>
      </c>
      <c r="CX1735">
        <v>261</v>
      </c>
      <c r="CY1735">
        <v>2</v>
      </c>
      <c r="CZ1735" t="s">
        <v>121</v>
      </c>
      <c r="DA1735" t="s">
        <v>122</v>
      </c>
      <c r="DD1735">
        <v>15273995</v>
      </c>
      <c r="DE1735" t="s">
        <v>123</v>
      </c>
    </row>
    <row r="1736" spans="1:109" x14ac:dyDescent="0.3">
      <c r="A1736" t="str">
        <f>"19:03:45.117"</f>
        <v>19:03:45.117</v>
      </c>
      <c r="B1736" t="s">
        <v>110</v>
      </c>
      <c r="C1736" t="str">
        <f t="shared" si="81"/>
        <v>ffdfd3c0</v>
      </c>
      <c r="D1736" t="s">
        <v>111</v>
      </c>
      <c r="E1736">
        <v>18</v>
      </c>
      <c r="F1736">
        <v>1018</v>
      </c>
      <c r="G1736" t="s">
        <v>112</v>
      </c>
      <c r="J1736" t="s">
        <v>113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R1736" t="s">
        <v>114</v>
      </c>
      <c r="S1736" t="str">
        <f>"19:03:44.852"</f>
        <v>19:03:44.852</v>
      </c>
      <c r="T1736" t="str">
        <f>"19:03:44.852"</f>
        <v>19:03:44.852</v>
      </c>
      <c r="U1736" t="str">
        <f t="shared" si="82"/>
        <v>a1cdbe</v>
      </c>
      <c r="V1736">
        <v>0</v>
      </c>
      <c r="W1736">
        <v>0</v>
      </c>
      <c r="X1736">
        <v>1</v>
      </c>
      <c r="Y1736">
        <v>0</v>
      </c>
      <c r="Z1736">
        <v>0</v>
      </c>
      <c r="AB1736">
        <v>0</v>
      </c>
      <c r="AC1736">
        <v>9</v>
      </c>
      <c r="AD1736">
        <v>3</v>
      </c>
      <c r="AE1736">
        <v>0</v>
      </c>
      <c r="AF1736">
        <v>9</v>
      </c>
      <c r="AG1736" t="s">
        <v>158</v>
      </c>
      <c r="AH1736">
        <v>0</v>
      </c>
      <c r="AI1736">
        <v>3</v>
      </c>
      <c r="AJ1736">
        <v>1</v>
      </c>
      <c r="AK1736">
        <v>0</v>
      </c>
      <c r="AL1736" t="s">
        <v>3319</v>
      </c>
      <c r="AM1736">
        <v>46.838149999999999</v>
      </c>
      <c r="AN1736" t="s">
        <v>3320</v>
      </c>
      <c r="AO1736">
        <v>-122.896221</v>
      </c>
      <c r="AP1736">
        <v>100</v>
      </c>
      <c r="AQ1736">
        <v>2000</v>
      </c>
      <c r="AR1736" t="s">
        <v>118</v>
      </c>
      <c r="AS1736">
        <v>-76</v>
      </c>
      <c r="AT1736">
        <v>22</v>
      </c>
      <c r="AU1736">
        <v>-64</v>
      </c>
      <c r="BC1736">
        <v>1200</v>
      </c>
      <c r="BD1736">
        <v>1</v>
      </c>
      <c r="BE1736" t="str">
        <f t="shared" si="83"/>
        <v xml:space="preserve">N215T   </v>
      </c>
      <c r="BF1736">
        <v>1</v>
      </c>
      <c r="BH1736">
        <v>0</v>
      </c>
      <c r="BI1736">
        <v>0</v>
      </c>
      <c r="BJ1736">
        <v>0</v>
      </c>
      <c r="BK1736">
        <v>2400</v>
      </c>
      <c r="BL1736">
        <v>400</v>
      </c>
      <c r="BM1736" t="s">
        <v>119</v>
      </c>
      <c r="BN1736">
        <v>1</v>
      </c>
      <c r="BO1736">
        <v>1</v>
      </c>
      <c r="BP1736">
        <v>1</v>
      </c>
      <c r="BQ1736">
        <v>0</v>
      </c>
      <c r="BT1736">
        <v>0</v>
      </c>
      <c r="BU1736">
        <v>0</v>
      </c>
      <c r="BV1736">
        <v>0</v>
      </c>
      <c r="CC1736" t="str">
        <f>"19:03:44.859"</f>
        <v>19:03:44.859</v>
      </c>
      <c r="CD1736" t="str">
        <f>"857113147"</f>
        <v>857113147</v>
      </c>
      <c r="CQ1736">
        <v>0</v>
      </c>
      <c r="CR1736">
        <v>2</v>
      </c>
      <c r="CS1736">
        <v>0</v>
      </c>
      <c r="CT1736">
        <v>2</v>
      </c>
      <c r="CU1736">
        <v>0</v>
      </c>
      <c r="CV1736">
        <v>7</v>
      </c>
      <c r="CW1736" t="s">
        <v>120</v>
      </c>
      <c r="CX1736">
        <v>261</v>
      </c>
      <c r="CY1736">
        <v>2</v>
      </c>
      <c r="CZ1736" t="s">
        <v>121</v>
      </c>
      <c r="DA1736" t="s">
        <v>122</v>
      </c>
      <c r="DD1736">
        <v>15274726</v>
      </c>
      <c r="DE1736" t="s">
        <v>123</v>
      </c>
    </row>
    <row r="1737" spans="1:109" x14ac:dyDescent="0.3">
      <c r="A1737" t="str">
        <f>"19:03:46.070"</f>
        <v>19:03:46.070</v>
      </c>
      <c r="B1737" t="s">
        <v>110</v>
      </c>
      <c r="C1737" t="str">
        <f t="shared" si="81"/>
        <v>ffdfd3c0</v>
      </c>
      <c r="D1737" t="s">
        <v>111</v>
      </c>
      <c r="E1737">
        <v>18</v>
      </c>
      <c r="F1737">
        <v>1018</v>
      </c>
      <c r="G1737" t="s">
        <v>112</v>
      </c>
      <c r="J1737" t="s">
        <v>113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R1737" t="s">
        <v>114</v>
      </c>
      <c r="S1737" t="str">
        <f>"19:03:45.844"</f>
        <v>19:03:45.844</v>
      </c>
      <c r="T1737" t="str">
        <f>"19:03:45.344"</f>
        <v>19:03:45.344</v>
      </c>
      <c r="U1737" t="str">
        <f t="shared" si="82"/>
        <v>a1cdbe</v>
      </c>
      <c r="V1737">
        <v>0</v>
      </c>
      <c r="W1737">
        <v>0</v>
      </c>
      <c r="X1737">
        <v>1</v>
      </c>
      <c r="Y1737">
        <v>0</v>
      </c>
      <c r="Z1737">
        <v>0</v>
      </c>
      <c r="AB1737">
        <v>0</v>
      </c>
      <c r="AC1737">
        <v>9</v>
      </c>
      <c r="AD1737">
        <v>3</v>
      </c>
      <c r="AE1737">
        <v>0</v>
      </c>
      <c r="AF1737">
        <v>9</v>
      </c>
      <c r="AG1737" t="s">
        <v>158</v>
      </c>
      <c r="AH1737">
        <v>0</v>
      </c>
      <c r="AI1737">
        <v>3</v>
      </c>
      <c r="AJ1737">
        <v>1</v>
      </c>
      <c r="AK1737">
        <v>0</v>
      </c>
      <c r="AL1737" t="s">
        <v>3321</v>
      </c>
      <c r="AM1737">
        <v>46.838256999999999</v>
      </c>
      <c r="AN1737" t="s">
        <v>3322</v>
      </c>
      <c r="AO1737">
        <v>-122.896714</v>
      </c>
      <c r="AP1737">
        <v>100</v>
      </c>
      <c r="AQ1737">
        <v>2000</v>
      </c>
      <c r="AR1737" t="s">
        <v>118</v>
      </c>
      <c r="AS1737">
        <v>-76</v>
      </c>
      <c r="AT1737">
        <v>22</v>
      </c>
      <c r="AU1737">
        <v>-64</v>
      </c>
      <c r="BC1737">
        <v>1200</v>
      </c>
      <c r="BD1737">
        <v>1</v>
      </c>
      <c r="BE1737" t="str">
        <f t="shared" si="83"/>
        <v xml:space="preserve">N215T   </v>
      </c>
      <c r="BF1737">
        <v>1</v>
      </c>
      <c r="BH1737">
        <v>0</v>
      </c>
      <c r="BI1737">
        <v>0</v>
      </c>
      <c r="BJ1737">
        <v>0</v>
      </c>
      <c r="BK1737">
        <v>2400</v>
      </c>
      <c r="BL1737">
        <v>400</v>
      </c>
      <c r="BM1737" t="s">
        <v>119</v>
      </c>
      <c r="BN1737">
        <v>1</v>
      </c>
      <c r="BO1737">
        <v>1</v>
      </c>
      <c r="BP1737">
        <v>1</v>
      </c>
      <c r="BQ1737">
        <v>0</v>
      </c>
      <c r="BT1737">
        <v>0</v>
      </c>
      <c r="BU1737">
        <v>0</v>
      </c>
      <c r="BV1737">
        <v>0</v>
      </c>
      <c r="CC1737" t="str">
        <f>"19:03:45.844"</f>
        <v>19:03:45.844</v>
      </c>
      <c r="CD1737" t="str">
        <f>"847015621"</f>
        <v>847015621</v>
      </c>
      <c r="CQ1737">
        <v>0</v>
      </c>
      <c r="CR1737">
        <v>2</v>
      </c>
      <c r="CS1737">
        <v>0</v>
      </c>
      <c r="CT1737">
        <v>2</v>
      </c>
      <c r="CU1737">
        <v>0</v>
      </c>
      <c r="CV1737">
        <v>7</v>
      </c>
      <c r="CW1737" t="s">
        <v>120</v>
      </c>
      <c r="CX1737">
        <v>261</v>
      </c>
      <c r="CY1737">
        <v>2</v>
      </c>
      <c r="CZ1737" t="s">
        <v>121</v>
      </c>
      <c r="DA1737" t="s">
        <v>122</v>
      </c>
      <c r="DD1737">
        <v>15275374</v>
      </c>
      <c r="DE1737" t="s">
        <v>123</v>
      </c>
    </row>
    <row r="1738" spans="1:109" x14ac:dyDescent="0.3">
      <c r="A1738" t="str">
        <f>"19:03:46.977"</f>
        <v>19:03:46.977</v>
      </c>
      <c r="B1738" t="s">
        <v>110</v>
      </c>
      <c r="C1738" t="str">
        <f t="shared" si="81"/>
        <v>ffdfd3c0</v>
      </c>
      <c r="D1738" t="s">
        <v>111</v>
      </c>
      <c r="E1738">
        <v>18</v>
      </c>
      <c r="F1738">
        <v>1018</v>
      </c>
      <c r="G1738" t="s">
        <v>112</v>
      </c>
      <c r="J1738" t="s">
        <v>113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R1738" t="s">
        <v>114</v>
      </c>
      <c r="S1738" t="str">
        <f>"19:03:46.742"</f>
        <v>19:03:46.742</v>
      </c>
      <c r="T1738" t="str">
        <f>"19:03:46.344"</f>
        <v>19:03:46.344</v>
      </c>
      <c r="U1738" t="str">
        <f t="shared" si="82"/>
        <v>a1cdbe</v>
      </c>
      <c r="V1738">
        <v>0</v>
      </c>
      <c r="W1738">
        <v>0</v>
      </c>
      <c r="X1738">
        <v>1</v>
      </c>
      <c r="Y1738">
        <v>0</v>
      </c>
      <c r="Z1738">
        <v>0</v>
      </c>
      <c r="AB1738">
        <v>0</v>
      </c>
      <c r="AC1738">
        <v>9</v>
      </c>
      <c r="AD1738">
        <v>3</v>
      </c>
      <c r="AE1738">
        <v>0</v>
      </c>
      <c r="AF1738">
        <v>9</v>
      </c>
      <c r="AG1738" t="s">
        <v>158</v>
      </c>
      <c r="AH1738">
        <v>0</v>
      </c>
      <c r="AI1738">
        <v>3</v>
      </c>
      <c r="AJ1738">
        <v>1</v>
      </c>
      <c r="AK1738">
        <v>0</v>
      </c>
      <c r="AL1738" t="s">
        <v>2239</v>
      </c>
      <c r="AM1738">
        <v>46.838343000000002</v>
      </c>
      <c r="AN1738" t="s">
        <v>3323</v>
      </c>
      <c r="AO1738">
        <v>-122.897229</v>
      </c>
      <c r="AP1738">
        <v>100</v>
      </c>
      <c r="AQ1738">
        <v>2000</v>
      </c>
      <c r="AR1738" t="s">
        <v>118</v>
      </c>
      <c r="AS1738">
        <v>-76</v>
      </c>
      <c r="AT1738">
        <v>22</v>
      </c>
      <c r="AU1738">
        <v>-64</v>
      </c>
      <c r="BC1738">
        <v>1200</v>
      </c>
      <c r="BD1738">
        <v>1</v>
      </c>
      <c r="BE1738" t="str">
        <f t="shared" si="83"/>
        <v xml:space="preserve">N215T   </v>
      </c>
      <c r="BF1738">
        <v>1</v>
      </c>
      <c r="BH1738">
        <v>0</v>
      </c>
      <c r="BI1738">
        <v>0</v>
      </c>
      <c r="BJ1738">
        <v>0</v>
      </c>
      <c r="BK1738">
        <v>2400</v>
      </c>
      <c r="BL1738">
        <v>400</v>
      </c>
      <c r="BM1738" t="s">
        <v>119</v>
      </c>
      <c r="BN1738">
        <v>1</v>
      </c>
      <c r="BO1738">
        <v>1</v>
      </c>
      <c r="BP1738">
        <v>1</v>
      </c>
      <c r="BQ1738">
        <v>0</v>
      </c>
      <c r="BT1738">
        <v>0</v>
      </c>
      <c r="BU1738">
        <v>0</v>
      </c>
      <c r="BV1738">
        <v>0</v>
      </c>
      <c r="CC1738" t="str">
        <f>"19:03:46.750"</f>
        <v>19:03:46.750</v>
      </c>
      <c r="CD1738" t="str">
        <f>"746926969"</f>
        <v>746926969</v>
      </c>
      <c r="CQ1738">
        <v>0</v>
      </c>
      <c r="CR1738">
        <v>2</v>
      </c>
      <c r="CS1738">
        <v>0</v>
      </c>
      <c r="CT1738">
        <v>2</v>
      </c>
      <c r="CU1738">
        <v>0</v>
      </c>
      <c r="CV1738">
        <v>7</v>
      </c>
      <c r="CW1738" t="s">
        <v>120</v>
      </c>
      <c r="CX1738">
        <v>261</v>
      </c>
      <c r="CY1738">
        <v>2</v>
      </c>
      <c r="CZ1738" t="s">
        <v>121</v>
      </c>
      <c r="DA1738" t="s">
        <v>122</v>
      </c>
      <c r="DD1738">
        <v>15275931</v>
      </c>
      <c r="DE1738" t="s">
        <v>123</v>
      </c>
    </row>
    <row r="1739" spans="1:109" x14ac:dyDescent="0.3">
      <c r="A1739" t="str">
        <f>"19:03:48.031"</f>
        <v>19:03:48.031</v>
      </c>
      <c r="B1739" t="s">
        <v>110</v>
      </c>
      <c r="C1739" t="str">
        <f t="shared" si="81"/>
        <v>ffdfd3c0</v>
      </c>
      <c r="D1739" t="s">
        <v>111</v>
      </c>
      <c r="E1739">
        <v>18</v>
      </c>
      <c r="F1739">
        <v>1018</v>
      </c>
      <c r="G1739" t="s">
        <v>112</v>
      </c>
      <c r="J1739" t="s">
        <v>113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R1739" t="s">
        <v>114</v>
      </c>
      <c r="S1739" t="str">
        <f>"19:03:47.781"</f>
        <v>19:03:47.781</v>
      </c>
      <c r="T1739" t="str">
        <f>"19:03:47.781"</f>
        <v>19:03:47.781</v>
      </c>
      <c r="U1739" t="str">
        <f t="shared" si="82"/>
        <v>a1cdbe</v>
      </c>
      <c r="V1739">
        <v>0</v>
      </c>
      <c r="W1739">
        <v>0</v>
      </c>
      <c r="X1739">
        <v>1</v>
      </c>
      <c r="Y1739">
        <v>0</v>
      </c>
      <c r="Z1739">
        <v>0</v>
      </c>
      <c r="AB1739">
        <v>0</v>
      </c>
      <c r="AC1739">
        <v>9</v>
      </c>
      <c r="AD1739">
        <v>3</v>
      </c>
      <c r="AE1739">
        <v>0</v>
      </c>
      <c r="AF1739">
        <v>9</v>
      </c>
      <c r="AG1739" t="s">
        <v>158</v>
      </c>
      <c r="AH1739">
        <v>0</v>
      </c>
      <c r="AI1739">
        <v>3</v>
      </c>
      <c r="AJ1739">
        <v>1</v>
      </c>
      <c r="AK1739">
        <v>0</v>
      </c>
      <c r="AL1739" t="s">
        <v>2237</v>
      </c>
      <c r="AM1739">
        <v>46.838450000000002</v>
      </c>
      <c r="AN1739" t="s">
        <v>3324</v>
      </c>
      <c r="AO1739">
        <v>-122.897744</v>
      </c>
      <c r="AP1739">
        <v>100</v>
      </c>
      <c r="AQ1739">
        <v>2000</v>
      </c>
      <c r="AR1739" t="s">
        <v>118</v>
      </c>
      <c r="AS1739">
        <v>-76</v>
      </c>
      <c r="AT1739">
        <v>22</v>
      </c>
      <c r="AU1739">
        <v>-64</v>
      </c>
      <c r="BC1739">
        <v>1200</v>
      </c>
      <c r="BD1739">
        <v>1</v>
      </c>
      <c r="BE1739" t="str">
        <f t="shared" si="83"/>
        <v xml:space="preserve">N215T   </v>
      </c>
      <c r="BF1739">
        <v>1</v>
      </c>
      <c r="BH1739">
        <v>0</v>
      </c>
      <c r="BI1739">
        <v>0</v>
      </c>
      <c r="BJ1739">
        <v>0</v>
      </c>
      <c r="BK1739">
        <v>2400</v>
      </c>
      <c r="BL1739">
        <v>400</v>
      </c>
      <c r="BM1739" t="s">
        <v>119</v>
      </c>
      <c r="BN1739">
        <v>1</v>
      </c>
      <c r="BO1739">
        <v>1</v>
      </c>
      <c r="BP1739">
        <v>1</v>
      </c>
      <c r="BQ1739">
        <v>0</v>
      </c>
      <c r="BT1739">
        <v>0</v>
      </c>
      <c r="BU1739">
        <v>0</v>
      </c>
      <c r="BV1739">
        <v>0</v>
      </c>
      <c r="CC1739" t="str">
        <f>"19:03:47.781"</f>
        <v>19:03:47.781</v>
      </c>
      <c r="CD1739" t="str">
        <f>"781825020"</f>
        <v>781825020</v>
      </c>
      <c r="CQ1739">
        <v>0</v>
      </c>
      <c r="CR1739">
        <v>2</v>
      </c>
      <c r="CS1739">
        <v>0</v>
      </c>
      <c r="CT1739">
        <v>2</v>
      </c>
      <c r="CU1739">
        <v>0</v>
      </c>
      <c r="CV1739">
        <v>7</v>
      </c>
      <c r="CW1739" t="s">
        <v>120</v>
      </c>
      <c r="CX1739">
        <v>261</v>
      </c>
      <c r="CY1739">
        <v>2</v>
      </c>
      <c r="CZ1739" t="s">
        <v>121</v>
      </c>
      <c r="DA1739" t="s">
        <v>122</v>
      </c>
      <c r="DD1739">
        <v>15276632</v>
      </c>
      <c r="DE1739" t="s">
        <v>123</v>
      </c>
    </row>
    <row r="1740" spans="1:109" x14ac:dyDescent="0.3">
      <c r="A1740" t="str">
        <f>"19:03:49.094"</f>
        <v>19:03:49.094</v>
      </c>
      <c r="B1740" t="s">
        <v>110</v>
      </c>
      <c r="C1740" t="str">
        <f t="shared" si="81"/>
        <v>ffdfd3c0</v>
      </c>
      <c r="D1740" t="s">
        <v>111</v>
      </c>
      <c r="E1740">
        <v>18</v>
      </c>
      <c r="F1740">
        <v>1018</v>
      </c>
      <c r="G1740" t="s">
        <v>112</v>
      </c>
      <c r="J1740" t="s">
        <v>113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R1740" t="s">
        <v>114</v>
      </c>
      <c r="S1740" t="str">
        <f>"19:03:48.859"</f>
        <v>19:03:48.859</v>
      </c>
      <c r="T1740" t="str">
        <f>"19:03:48.359"</f>
        <v>19:03:48.359</v>
      </c>
      <c r="U1740" t="str">
        <f t="shared" si="82"/>
        <v>a1cdbe</v>
      </c>
      <c r="V1740">
        <v>0</v>
      </c>
      <c r="W1740">
        <v>0</v>
      </c>
      <c r="X1740">
        <v>1</v>
      </c>
      <c r="Y1740">
        <v>0</v>
      </c>
      <c r="Z1740">
        <v>0</v>
      </c>
      <c r="AB1740">
        <v>0</v>
      </c>
      <c r="AC1740">
        <v>9</v>
      </c>
      <c r="AD1740">
        <v>3</v>
      </c>
      <c r="AE1740">
        <v>0</v>
      </c>
      <c r="AF1740">
        <v>9</v>
      </c>
      <c r="AG1740" t="s">
        <v>158</v>
      </c>
      <c r="AH1740">
        <v>0</v>
      </c>
      <c r="AI1740">
        <v>3</v>
      </c>
      <c r="AJ1740">
        <v>1</v>
      </c>
      <c r="AK1740">
        <v>0</v>
      </c>
      <c r="AL1740" t="s">
        <v>3325</v>
      </c>
      <c r="AM1740">
        <v>46.838557999999999</v>
      </c>
      <c r="AN1740" t="s">
        <v>3326</v>
      </c>
      <c r="AO1740">
        <v>-122.898302</v>
      </c>
      <c r="AP1740">
        <v>100</v>
      </c>
      <c r="AQ1740">
        <v>2000</v>
      </c>
      <c r="AR1740" t="s">
        <v>118</v>
      </c>
      <c r="AS1740">
        <v>-76</v>
      </c>
      <c r="AT1740">
        <v>22</v>
      </c>
      <c r="AU1740">
        <v>0</v>
      </c>
      <c r="BC1740">
        <v>1200</v>
      </c>
      <c r="BD1740">
        <v>1</v>
      </c>
      <c r="BE1740" t="str">
        <f t="shared" si="83"/>
        <v xml:space="preserve">N215T   </v>
      </c>
      <c r="BF1740">
        <v>1</v>
      </c>
      <c r="BH1740">
        <v>0</v>
      </c>
      <c r="BI1740">
        <v>0</v>
      </c>
      <c r="BJ1740">
        <v>0</v>
      </c>
      <c r="BK1740">
        <v>2400</v>
      </c>
      <c r="BL1740">
        <v>400</v>
      </c>
      <c r="BM1740" t="s">
        <v>119</v>
      </c>
      <c r="BN1740">
        <v>1</v>
      </c>
      <c r="BO1740">
        <v>1</v>
      </c>
      <c r="BP1740">
        <v>1</v>
      </c>
      <c r="BQ1740">
        <v>0</v>
      </c>
      <c r="BT1740">
        <v>0</v>
      </c>
      <c r="BU1740">
        <v>0</v>
      </c>
      <c r="BV1740">
        <v>0</v>
      </c>
      <c r="CC1740" t="str">
        <f>"19:03:48.859"</f>
        <v>19:03:48.859</v>
      </c>
      <c r="CD1740" t="str">
        <f>"861718624"</f>
        <v>861718624</v>
      </c>
      <c r="CQ1740">
        <v>0</v>
      </c>
      <c r="CR1740">
        <v>2</v>
      </c>
      <c r="CS1740">
        <v>0</v>
      </c>
      <c r="CT1740">
        <v>2</v>
      </c>
      <c r="CU1740">
        <v>0</v>
      </c>
      <c r="CV1740">
        <v>7</v>
      </c>
      <c r="CW1740" t="s">
        <v>120</v>
      </c>
      <c r="CX1740">
        <v>261</v>
      </c>
      <c r="CY1740">
        <v>2</v>
      </c>
      <c r="CZ1740" t="s">
        <v>121</v>
      </c>
      <c r="DA1740" t="s">
        <v>122</v>
      </c>
      <c r="DD1740">
        <v>15277340</v>
      </c>
      <c r="DE1740" t="s">
        <v>123</v>
      </c>
    </row>
    <row r="1741" spans="1:109" x14ac:dyDescent="0.3">
      <c r="A1741" t="str">
        <f>"19:03:50.047"</f>
        <v>19:03:50.047</v>
      </c>
      <c r="B1741" t="s">
        <v>110</v>
      </c>
      <c r="C1741" t="str">
        <f t="shared" si="81"/>
        <v>ffdfd3c0</v>
      </c>
      <c r="D1741" t="s">
        <v>111</v>
      </c>
      <c r="E1741">
        <v>18</v>
      </c>
      <c r="F1741">
        <v>1018</v>
      </c>
      <c r="G1741" t="s">
        <v>112</v>
      </c>
      <c r="J1741" t="s">
        <v>113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R1741" t="s">
        <v>114</v>
      </c>
      <c r="S1741" t="str">
        <f>"19:03:49.820"</f>
        <v>19:03:49.820</v>
      </c>
      <c r="T1741" t="str">
        <f>"19:03:49.820"</f>
        <v>19:03:49.820</v>
      </c>
      <c r="U1741" t="str">
        <f t="shared" si="82"/>
        <v>a1cdbe</v>
      </c>
      <c r="V1741">
        <v>0</v>
      </c>
      <c r="W1741">
        <v>0</v>
      </c>
      <c r="X1741">
        <v>1</v>
      </c>
      <c r="Y1741">
        <v>0</v>
      </c>
      <c r="Z1741">
        <v>0</v>
      </c>
      <c r="AB1741">
        <v>0</v>
      </c>
      <c r="AC1741">
        <v>9</v>
      </c>
      <c r="AD1741">
        <v>3</v>
      </c>
      <c r="AE1741">
        <v>0</v>
      </c>
      <c r="AF1741">
        <v>9</v>
      </c>
      <c r="AG1741" t="s">
        <v>158</v>
      </c>
      <c r="AH1741">
        <v>0</v>
      </c>
      <c r="AI1741">
        <v>3</v>
      </c>
      <c r="AJ1741">
        <v>1</v>
      </c>
      <c r="AK1741">
        <v>0</v>
      </c>
      <c r="AL1741" t="s">
        <v>3327</v>
      </c>
      <c r="AM1741">
        <v>46.838664999999999</v>
      </c>
      <c r="AN1741" t="s">
        <v>3328</v>
      </c>
      <c r="AO1741">
        <v>-122.898774</v>
      </c>
      <c r="AP1741">
        <v>100</v>
      </c>
      <c r="AQ1741">
        <v>2000</v>
      </c>
      <c r="AR1741" t="s">
        <v>118</v>
      </c>
      <c r="AS1741">
        <v>-76</v>
      </c>
      <c r="AT1741">
        <v>22</v>
      </c>
      <c r="AU1741">
        <v>0</v>
      </c>
      <c r="BC1741">
        <v>1200</v>
      </c>
      <c r="BD1741">
        <v>1</v>
      </c>
      <c r="BE1741" t="str">
        <f t="shared" si="83"/>
        <v xml:space="preserve">N215T   </v>
      </c>
      <c r="BF1741">
        <v>1</v>
      </c>
      <c r="BH1741">
        <v>0</v>
      </c>
      <c r="BI1741">
        <v>0</v>
      </c>
      <c r="BJ1741">
        <v>0</v>
      </c>
      <c r="BK1741">
        <v>2375</v>
      </c>
      <c r="BL1741">
        <v>375</v>
      </c>
      <c r="BM1741" t="s">
        <v>119</v>
      </c>
      <c r="BN1741">
        <v>1</v>
      </c>
      <c r="BO1741">
        <v>1</v>
      </c>
      <c r="BP1741">
        <v>1</v>
      </c>
      <c r="BQ1741">
        <v>0</v>
      </c>
      <c r="BT1741">
        <v>0</v>
      </c>
      <c r="BU1741">
        <v>0</v>
      </c>
      <c r="BV1741">
        <v>0</v>
      </c>
      <c r="CC1741" t="str">
        <f>"19:03:49.820"</f>
        <v>19:03:49.820</v>
      </c>
      <c r="CD1741" t="str">
        <f>"821624053"</f>
        <v>821624053</v>
      </c>
      <c r="CQ1741">
        <v>0</v>
      </c>
      <c r="CR1741">
        <v>2</v>
      </c>
      <c r="CS1741">
        <v>0</v>
      </c>
      <c r="CT1741">
        <v>2</v>
      </c>
      <c r="CU1741">
        <v>0</v>
      </c>
      <c r="CV1741">
        <v>7</v>
      </c>
      <c r="CW1741" t="s">
        <v>120</v>
      </c>
      <c r="CX1741">
        <v>261</v>
      </c>
      <c r="CY1741">
        <v>2</v>
      </c>
      <c r="CZ1741" t="s">
        <v>121</v>
      </c>
      <c r="DA1741" t="s">
        <v>122</v>
      </c>
      <c r="DD1741">
        <v>15277914</v>
      </c>
      <c r="DE1741" t="s">
        <v>123</v>
      </c>
    </row>
    <row r="1742" spans="1:109" x14ac:dyDescent="0.3">
      <c r="A1742" t="str">
        <f>"19:03:51.000"</f>
        <v>19:03:51.000</v>
      </c>
      <c r="B1742" t="s">
        <v>110</v>
      </c>
      <c r="C1742" t="str">
        <f t="shared" si="81"/>
        <v>ffdfd3c0</v>
      </c>
      <c r="D1742" t="s">
        <v>111</v>
      </c>
      <c r="E1742">
        <v>18</v>
      </c>
      <c r="F1742">
        <v>1018</v>
      </c>
      <c r="G1742" t="s">
        <v>112</v>
      </c>
      <c r="J1742" t="s">
        <v>113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R1742" t="s">
        <v>114</v>
      </c>
      <c r="S1742" t="str">
        <f>"19:03:50.766"</f>
        <v>19:03:50.766</v>
      </c>
      <c r="T1742" t="str">
        <f>"19:03:50.664"</f>
        <v>19:03:50.664</v>
      </c>
      <c r="U1742" t="str">
        <f t="shared" si="82"/>
        <v>a1cdbe</v>
      </c>
      <c r="V1742">
        <v>0</v>
      </c>
      <c r="W1742">
        <v>0</v>
      </c>
      <c r="X1742">
        <v>1</v>
      </c>
      <c r="Y1742">
        <v>0</v>
      </c>
      <c r="Z1742">
        <v>0</v>
      </c>
      <c r="AB1742">
        <v>0</v>
      </c>
      <c r="AC1742">
        <v>9</v>
      </c>
      <c r="AD1742">
        <v>3</v>
      </c>
      <c r="AE1742">
        <v>0</v>
      </c>
      <c r="AF1742">
        <v>9</v>
      </c>
      <c r="AG1742" t="s">
        <v>158</v>
      </c>
      <c r="AH1742">
        <v>0</v>
      </c>
      <c r="AI1742">
        <v>3</v>
      </c>
      <c r="AJ1742">
        <v>1</v>
      </c>
      <c r="AK1742">
        <v>0</v>
      </c>
      <c r="AL1742" t="s">
        <v>2233</v>
      </c>
      <c r="AM1742">
        <v>46.838751000000002</v>
      </c>
      <c r="AN1742" t="s">
        <v>3329</v>
      </c>
      <c r="AO1742">
        <v>-122.899289</v>
      </c>
      <c r="AP1742">
        <v>100</v>
      </c>
      <c r="AQ1742">
        <v>2000</v>
      </c>
      <c r="AR1742" t="s">
        <v>118</v>
      </c>
      <c r="AS1742">
        <v>-76</v>
      </c>
      <c r="AT1742">
        <v>23</v>
      </c>
      <c r="AU1742">
        <v>0</v>
      </c>
      <c r="BC1742">
        <v>1200</v>
      </c>
      <c r="BD1742">
        <v>1</v>
      </c>
      <c r="BE1742" t="str">
        <f t="shared" si="83"/>
        <v xml:space="preserve">N215T   </v>
      </c>
      <c r="BF1742">
        <v>1</v>
      </c>
      <c r="BH1742">
        <v>0</v>
      </c>
      <c r="BI1742">
        <v>0</v>
      </c>
      <c r="BJ1742">
        <v>0</v>
      </c>
      <c r="BK1742">
        <v>2375</v>
      </c>
      <c r="BL1742">
        <v>375</v>
      </c>
      <c r="BM1742" t="s">
        <v>119</v>
      </c>
      <c r="BN1742">
        <v>1</v>
      </c>
      <c r="BO1742">
        <v>1</v>
      </c>
      <c r="BP1742">
        <v>1</v>
      </c>
      <c r="BQ1742">
        <v>0</v>
      </c>
      <c r="BT1742">
        <v>0</v>
      </c>
      <c r="BU1742">
        <v>0</v>
      </c>
      <c r="BV1742">
        <v>0</v>
      </c>
      <c r="CC1742" t="str">
        <f>"19:03:50.766"</f>
        <v>19:03:50.766</v>
      </c>
      <c r="CD1742" t="str">
        <f>"766530969"</f>
        <v>766530969</v>
      </c>
      <c r="CQ1742">
        <v>0</v>
      </c>
      <c r="CR1742">
        <v>2</v>
      </c>
      <c r="CS1742">
        <v>0</v>
      </c>
      <c r="CT1742">
        <v>2</v>
      </c>
      <c r="CU1742">
        <v>0</v>
      </c>
      <c r="CV1742">
        <v>7</v>
      </c>
      <c r="CW1742" t="s">
        <v>120</v>
      </c>
      <c r="CX1742">
        <v>261</v>
      </c>
      <c r="CY1742">
        <v>2</v>
      </c>
      <c r="CZ1742" t="s">
        <v>121</v>
      </c>
      <c r="DA1742" t="s">
        <v>122</v>
      </c>
      <c r="DD1742">
        <v>15278499</v>
      </c>
      <c r="DE1742" t="s">
        <v>123</v>
      </c>
    </row>
    <row r="1743" spans="1:109" x14ac:dyDescent="0.3">
      <c r="A1743" t="str">
        <f>"19:03:51.859"</f>
        <v>19:03:51.859</v>
      </c>
      <c r="B1743" t="s">
        <v>110</v>
      </c>
      <c r="C1743" t="str">
        <f t="shared" si="81"/>
        <v>ffdfd3c0</v>
      </c>
      <c r="D1743" t="s">
        <v>111</v>
      </c>
      <c r="E1743">
        <v>18</v>
      </c>
      <c r="F1743">
        <v>1018</v>
      </c>
      <c r="G1743" t="s">
        <v>112</v>
      </c>
      <c r="J1743" t="s">
        <v>113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R1743" t="s">
        <v>114</v>
      </c>
      <c r="S1743" t="str">
        <f>"19:03:51.617"</f>
        <v>19:03:51.617</v>
      </c>
      <c r="T1743" t="str">
        <f>"19:03:51.219"</f>
        <v>19:03:51.219</v>
      </c>
      <c r="U1743" t="str">
        <f t="shared" si="82"/>
        <v>a1cdbe</v>
      </c>
      <c r="V1743">
        <v>0</v>
      </c>
      <c r="W1743">
        <v>0</v>
      </c>
      <c r="X1743">
        <v>1</v>
      </c>
      <c r="Y1743">
        <v>0</v>
      </c>
      <c r="Z1743">
        <v>0</v>
      </c>
      <c r="AB1743">
        <v>0</v>
      </c>
      <c r="AC1743">
        <v>9</v>
      </c>
      <c r="AD1743">
        <v>3</v>
      </c>
      <c r="AE1743">
        <v>0</v>
      </c>
      <c r="AF1743">
        <v>9</v>
      </c>
      <c r="AG1743" t="s">
        <v>158</v>
      </c>
      <c r="AH1743">
        <v>0</v>
      </c>
      <c r="AI1743">
        <v>3</v>
      </c>
      <c r="AJ1743">
        <v>1</v>
      </c>
      <c r="AK1743">
        <v>0</v>
      </c>
      <c r="AL1743" t="s">
        <v>3330</v>
      </c>
      <c r="AM1743">
        <v>46.838836999999998</v>
      </c>
      <c r="AN1743" t="s">
        <v>3331</v>
      </c>
      <c r="AO1743">
        <v>-122.899697</v>
      </c>
      <c r="AP1743">
        <v>100</v>
      </c>
      <c r="AQ1743">
        <v>2000</v>
      </c>
      <c r="AR1743" t="s">
        <v>118</v>
      </c>
      <c r="AS1743">
        <v>-76</v>
      </c>
      <c r="AT1743">
        <v>23</v>
      </c>
      <c r="AU1743">
        <v>0</v>
      </c>
      <c r="BC1743">
        <v>1200</v>
      </c>
      <c r="BD1743">
        <v>1</v>
      </c>
      <c r="BE1743" t="str">
        <f t="shared" si="83"/>
        <v xml:space="preserve">N215T   </v>
      </c>
      <c r="BF1743">
        <v>1</v>
      </c>
      <c r="BH1743">
        <v>0</v>
      </c>
      <c r="BI1743">
        <v>0</v>
      </c>
      <c r="BJ1743">
        <v>0</v>
      </c>
      <c r="BK1743">
        <v>2400</v>
      </c>
      <c r="BL1743">
        <v>400</v>
      </c>
      <c r="BM1743" t="s">
        <v>119</v>
      </c>
      <c r="BN1743">
        <v>1</v>
      </c>
      <c r="BO1743">
        <v>1</v>
      </c>
      <c r="BP1743">
        <v>1</v>
      </c>
      <c r="BQ1743">
        <v>0</v>
      </c>
      <c r="BT1743">
        <v>0</v>
      </c>
      <c r="BU1743">
        <v>0</v>
      </c>
      <c r="BV1743">
        <v>0</v>
      </c>
      <c r="CC1743" t="str">
        <f>"19:03:51.625"</f>
        <v>19:03:51.625</v>
      </c>
      <c r="CD1743" t="str">
        <f>"621446738"</f>
        <v>621446738</v>
      </c>
      <c r="CQ1743">
        <v>0</v>
      </c>
      <c r="CR1743">
        <v>2</v>
      </c>
      <c r="CS1743">
        <v>0</v>
      </c>
      <c r="CT1743">
        <v>2</v>
      </c>
      <c r="CU1743">
        <v>0</v>
      </c>
      <c r="CV1743">
        <v>7</v>
      </c>
      <c r="CW1743" t="s">
        <v>120</v>
      </c>
      <c r="CX1743">
        <v>261</v>
      </c>
      <c r="CY1743">
        <v>2</v>
      </c>
      <c r="CZ1743" t="s">
        <v>121</v>
      </c>
      <c r="DA1743" t="s">
        <v>122</v>
      </c>
      <c r="DD1743">
        <v>15279039</v>
      </c>
      <c r="DE1743" t="s">
        <v>123</v>
      </c>
    </row>
    <row r="1744" spans="1:109" x14ac:dyDescent="0.3">
      <c r="A1744" t="str">
        <f>"19:03:53.016"</f>
        <v>19:03:53.016</v>
      </c>
      <c r="B1744" t="s">
        <v>110</v>
      </c>
      <c r="C1744" t="str">
        <f t="shared" si="81"/>
        <v>ffdfd3c0</v>
      </c>
      <c r="D1744" t="s">
        <v>111</v>
      </c>
      <c r="E1744">
        <v>18</v>
      </c>
      <c r="F1744">
        <v>1018</v>
      </c>
      <c r="G1744" t="s">
        <v>112</v>
      </c>
      <c r="J1744" t="s">
        <v>113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R1744" t="s">
        <v>114</v>
      </c>
      <c r="S1744" t="str">
        <f>"19:03:52.805"</f>
        <v>19:03:52.805</v>
      </c>
      <c r="T1744" t="str">
        <f>"19:03:52.406"</f>
        <v>19:03:52.406</v>
      </c>
      <c r="U1744" t="str">
        <f t="shared" si="82"/>
        <v>a1cdbe</v>
      </c>
      <c r="V1744">
        <v>0</v>
      </c>
      <c r="W1744">
        <v>0</v>
      </c>
      <c r="X1744">
        <v>1</v>
      </c>
      <c r="Y1744">
        <v>0</v>
      </c>
      <c r="Z1744">
        <v>0</v>
      </c>
      <c r="AB1744">
        <v>0</v>
      </c>
      <c r="AC1744">
        <v>9</v>
      </c>
      <c r="AD1744">
        <v>3</v>
      </c>
      <c r="AE1744">
        <v>0</v>
      </c>
      <c r="AF1744">
        <v>9</v>
      </c>
      <c r="AG1744" t="s">
        <v>158</v>
      </c>
      <c r="AH1744">
        <v>0</v>
      </c>
      <c r="AI1744">
        <v>3</v>
      </c>
      <c r="AJ1744">
        <v>1</v>
      </c>
      <c r="AK1744">
        <v>0</v>
      </c>
      <c r="AL1744" t="s">
        <v>2229</v>
      </c>
      <c r="AM1744">
        <v>46.838965000000002</v>
      </c>
      <c r="AN1744" t="s">
        <v>3332</v>
      </c>
      <c r="AO1744">
        <v>-122.90029800000001</v>
      </c>
      <c r="AP1744">
        <v>100</v>
      </c>
      <c r="AQ1744">
        <v>2000</v>
      </c>
      <c r="AR1744" t="s">
        <v>118</v>
      </c>
      <c r="AS1744">
        <v>-76</v>
      </c>
      <c r="AT1744">
        <v>23</v>
      </c>
      <c r="AU1744">
        <v>0</v>
      </c>
      <c r="BC1744">
        <v>1200</v>
      </c>
      <c r="BD1744">
        <v>1</v>
      </c>
      <c r="BE1744" t="str">
        <f t="shared" si="83"/>
        <v xml:space="preserve">N215T   </v>
      </c>
      <c r="BF1744">
        <v>1</v>
      </c>
      <c r="BH1744">
        <v>0</v>
      </c>
      <c r="BI1744">
        <v>0</v>
      </c>
      <c r="BJ1744">
        <v>0</v>
      </c>
      <c r="BK1744">
        <v>2375</v>
      </c>
      <c r="BL1744">
        <v>375</v>
      </c>
      <c r="BM1744" t="s">
        <v>119</v>
      </c>
      <c r="BN1744">
        <v>1</v>
      </c>
      <c r="BO1744">
        <v>1</v>
      </c>
      <c r="BP1744">
        <v>1</v>
      </c>
      <c r="BQ1744">
        <v>0</v>
      </c>
      <c r="BT1744">
        <v>0</v>
      </c>
      <c r="BU1744">
        <v>0</v>
      </c>
      <c r="BV1744">
        <v>0</v>
      </c>
      <c r="CC1744" t="str">
        <f>"19:03:52.805"</f>
        <v>19:03:52.805</v>
      </c>
      <c r="CD1744" t="str">
        <f>"806330011"</f>
        <v>806330011</v>
      </c>
      <c r="CQ1744">
        <v>0</v>
      </c>
      <c r="CR1744">
        <v>2</v>
      </c>
      <c r="CS1744">
        <v>0</v>
      </c>
      <c r="CT1744">
        <v>2</v>
      </c>
      <c r="CU1744">
        <v>0</v>
      </c>
      <c r="CV1744">
        <v>7</v>
      </c>
      <c r="CW1744" t="s">
        <v>120</v>
      </c>
      <c r="CX1744">
        <v>261</v>
      </c>
      <c r="CY1744">
        <v>2</v>
      </c>
      <c r="CZ1744" t="s">
        <v>121</v>
      </c>
      <c r="DA1744" t="s">
        <v>122</v>
      </c>
      <c r="DD1744">
        <v>15279798</v>
      </c>
      <c r="DE1744" t="s">
        <v>123</v>
      </c>
    </row>
    <row r="1745" spans="1:109" x14ac:dyDescent="0.3">
      <c r="A1745" t="str">
        <f>"19:03:53.969"</f>
        <v>19:03:53.969</v>
      </c>
      <c r="B1745" t="s">
        <v>110</v>
      </c>
      <c r="C1745" t="str">
        <f t="shared" si="81"/>
        <v>ffdfd3c0</v>
      </c>
      <c r="D1745" t="s">
        <v>111</v>
      </c>
      <c r="E1745">
        <v>18</v>
      </c>
      <c r="F1745">
        <v>1018</v>
      </c>
      <c r="G1745" t="s">
        <v>112</v>
      </c>
      <c r="J1745" t="s">
        <v>113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R1745" t="s">
        <v>114</v>
      </c>
      <c r="S1745" t="str">
        <f>"19:03:53.750"</f>
        <v>19:03:53.750</v>
      </c>
      <c r="T1745" t="str">
        <f>"19:03:53.453"</f>
        <v>19:03:53.453</v>
      </c>
      <c r="U1745" t="str">
        <f t="shared" si="82"/>
        <v>a1cdbe</v>
      </c>
      <c r="V1745">
        <v>0</v>
      </c>
      <c r="W1745">
        <v>0</v>
      </c>
      <c r="X1745">
        <v>1</v>
      </c>
      <c r="Y1745">
        <v>0</v>
      </c>
      <c r="Z1745">
        <v>0</v>
      </c>
      <c r="AB1745">
        <v>0</v>
      </c>
      <c r="AC1745">
        <v>9</v>
      </c>
      <c r="AD1745">
        <v>3</v>
      </c>
      <c r="AE1745">
        <v>0</v>
      </c>
      <c r="AF1745">
        <v>9</v>
      </c>
      <c r="AG1745" t="s">
        <v>158</v>
      </c>
      <c r="AH1745">
        <v>0</v>
      </c>
      <c r="AI1745">
        <v>3</v>
      </c>
      <c r="AJ1745">
        <v>1</v>
      </c>
      <c r="AK1745">
        <v>0</v>
      </c>
      <c r="AL1745" t="s">
        <v>3333</v>
      </c>
      <c r="AM1745">
        <v>46.839072999999999</v>
      </c>
      <c r="AN1745" t="s">
        <v>3334</v>
      </c>
      <c r="AO1745">
        <v>-122.90076999999999</v>
      </c>
      <c r="AP1745">
        <v>100</v>
      </c>
      <c r="AQ1745">
        <v>2000</v>
      </c>
      <c r="AR1745" t="s">
        <v>118</v>
      </c>
      <c r="AS1745">
        <v>-76</v>
      </c>
      <c r="AT1745">
        <v>24</v>
      </c>
      <c r="AU1745">
        <v>64</v>
      </c>
      <c r="BC1745">
        <v>1200</v>
      </c>
      <c r="BD1745">
        <v>1</v>
      </c>
      <c r="BE1745" t="str">
        <f t="shared" si="83"/>
        <v xml:space="preserve">N215T   </v>
      </c>
      <c r="BF1745">
        <v>1</v>
      </c>
      <c r="BH1745">
        <v>0</v>
      </c>
      <c r="BI1745">
        <v>0</v>
      </c>
      <c r="BJ1745">
        <v>0</v>
      </c>
      <c r="BK1745">
        <v>2400</v>
      </c>
      <c r="BL1745">
        <v>400</v>
      </c>
      <c r="BM1745" t="s">
        <v>119</v>
      </c>
      <c r="BN1745">
        <v>1</v>
      </c>
      <c r="BO1745">
        <v>1</v>
      </c>
      <c r="BP1745">
        <v>1</v>
      </c>
      <c r="BQ1745">
        <v>0</v>
      </c>
      <c r="BT1745">
        <v>0</v>
      </c>
      <c r="BU1745">
        <v>0</v>
      </c>
      <c r="BV1745">
        <v>0</v>
      </c>
      <c r="CC1745" t="str">
        <f>"19:03:53.750"</f>
        <v>19:03:53.750</v>
      </c>
      <c r="CD1745" t="str">
        <f>"751236918"</f>
        <v>751236918</v>
      </c>
      <c r="CQ1745">
        <v>0</v>
      </c>
      <c r="CR1745">
        <v>2</v>
      </c>
      <c r="CS1745">
        <v>0</v>
      </c>
      <c r="CT1745">
        <v>2</v>
      </c>
      <c r="CU1745">
        <v>0</v>
      </c>
      <c r="CV1745">
        <v>7</v>
      </c>
      <c r="CW1745" t="s">
        <v>120</v>
      </c>
      <c r="CX1745">
        <v>261</v>
      </c>
      <c r="CY1745">
        <v>2</v>
      </c>
      <c r="CZ1745" t="s">
        <v>121</v>
      </c>
      <c r="DA1745" t="s">
        <v>122</v>
      </c>
      <c r="DD1745">
        <v>15280454</v>
      </c>
      <c r="DE1745" t="s">
        <v>123</v>
      </c>
    </row>
    <row r="1746" spans="1:109" x14ac:dyDescent="0.3">
      <c r="A1746" t="str">
        <f>"19:03:55.023"</f>
        <v>19:03:55.023</v>
      </c>
      <c r="B1746" t="s">
        <v>110</v>
      </c>
      <c r="C1746" t="str">
        <f t="shared" si="81"/>
        <v>ffdfd3c0</v>
      </c>
      <c r="D1746" t="s">
        <v>111</v>
      </c>
      <c r="E1746">
        <v>18</v>
      </c>
      <c r="F1746">
        <v>1018</v>
      </c>
      <c r="G1746" t="s">
        <v>112</v>
      </c>
      <c r="J1746" t="s">
        <v>113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R1746" t="s">
        <v>114</v>
      </c>
      <c r="S1746" t="str">
        <f>"19:03:54.813"</f>
        <v>19:03:54.813</v>
      </c>
      <c r="T1746" t="str">
        <f>"19:03:54.516"</f>
        <v>19:03:54.516</v>
      </c>
      <c r="U1746" t="str">
        <f t="shared" si="82"/>
        <v>a1cdbe</v>
      </c>
      <c r="V1746">
        <v>0</v>
      </c>
      <c r="W1746">
        <v>0</v>
      </c>
      <c r="X1746">
        <v>1</v>
      </c>
      <c r="Y1746">
        <v>0</v>
      </c>
      <c r="Z1746">
        <v>0</v>
      </c>
      <c r="AB1746">
        <v>0</v>
      </c>
      <c r="AC1746">
        <v>9</v>
      </c>
      <c r="AD1746">
        <v>3</v>
      </c>
      <c r="AE1746">
        <v>0</v>
      </c>
      <c r="AF1746">
        <v>9</v>
      </c>
      <c r="AG1746" t="s">
        <v>158</v>
      </c>
      <c r="AH1746">
        <v>0</v>
      </c>
      <c r="AI1746">
        <v>3</v>
      </c>
      <c r="AJ1746">
        <v>1</v>
      </c>
      <c r="AK1746">
        <v>0</v>
      </c>
      <c r="AL1746" t="s">
        <v>2225</v>
      </c>
      <c r="AM1746">
        <v>46.839201000000003</v>
      </c>
      <c r="AN1746" t="s">
        <v>3335</v>
      </c>
      <c r="AO1746">
        <v>-122.901371</v>
      </c>
      <c r="AP1746">
        <v>100</v>
      </c>
      <c r="AQ1746">
        <v>2000</v>
      </c>
      <c r="AR1746" t="s">
        <v>118</v>
      </c>
      <c r="AS1746">
        <v>-75</v>
      </c>
      <c r="AT1746">
        <v>24</v>
      </c>
      <c r="AU1746">
        <v>64</v>
      </c>
      <c r="BC1746">
        <v>1200</v>
      </c>
      <c r="BD1746">
        <v>1</v>
      </c>
      <c r="BE1746" t="str">
        <f t="shared" si="83"/>
        <v xml:space="preserve">N215T   </v>
      </c>
      <c r="BF1746">
        <v>1</v>
      </c>
      <c r="BH1746">
        <v>0</v>
      </c>
      <c r="BI1746">
        <v>0</v>
      </c>
      <c r="BJ1746">
        <v>0</v>
      </c>
      <c r="BK1746">
        <v>2400</v>
      </c>
      <c r="BL1746">
        <v>400</v>
      </c>
      <c r="BM1746" t="s">
        <v>119</v>
      </c>
      <c r="BN1746">
        <v>1</v>
      </c>
      <c r="BO1746">
        <v>1</v>
      </c>
      <c r="BP1746">
        <v>1</v>
      </c>
      <c r="BQ1746">
        <v>0</v>
      </c>
      <c r="BT1746">
        <v>0</v>
      </c>
      <c r="BU1746">
        <v>0</v>
      </c>
      <c r="BV1746">
        <v>0</v>
      </c>
      <c r="CC1746" t="str">
        <f>"19:03:54.813"</f>
        <v>19:03:54.813</v>
      </c>
      <c r="CD1746" t="str">
        <f>"816164987"</f>
        <v>816164987</v>
      </c>
      <c r="CQ1746">
        <v>0</v>
      </c>
      <c r="CR1746">
        <v>2</v>
      </c>
      <c r="CS1746">
        <v>0</v>
      </c>
      <c r="CT1746">
        <v>2</v>
      </c>
      <c r="CU1746">
        <v>0</v>
      </c>
      <c r="CV1746">
        <v>5</v>
      </c>
      <c r="CW1746" t="s">
        <v>120</v>
      </c>
      <c r="CX1746">
        <v>257</v>
      </c>
      <c r="CY1746">
        <v>1</v>
      </c>
      <c r="CZ1746" t="s">
        <v>615</v>
      </c>
      <c r="DA1746" t="s">
        <v>616</v>
      </c>
      <c r="DD1746">
        <v>11677552</v>
      </c>
      <c r="DE1746" t="s">
        <v>123</v>
      </c>
    </row>
    <row r="1747" spans="1:109" x14ac:dyDescent="0.3">
      <c r="A1747" t="str">
        <f>"19:03:56.133"</f>
        <v>19:03:56.133</v>
      </c>
      <c r="B1747" t="s">
        <v>110</v>
      </c>
      <c r="C1747" t="str">
        <f t="shared" si="81"/>
        <v>ffdfd3c0</v>
      </c>
      <c r="D1747" t="s">
        <v>111</v>
      </c>
      <c r="E1747">
        <v>18</v>
      </c>
      <c r="F1747">
        <v>1018</v>
      </c>
      <c r="G1747" t="s">
        <v>112</v>
      </c>
      <c r="J1747" t="s">
        <v>113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R1747" t="s">
        <v>114</v>
      </c>
      <c r="S1747" t="str">
        <f>"19:03:55.891"</f>
        <v>19:03:55.891</v>
      </c>
      <c r="T1747" t="str">
        <f>"19:03:55.492"</f>
        <v>19:03:55.492</v>
      </c>
      <c r="U1747" t="str">
        <f t="shared" si="82"/>
        <v>a1cdbe</v>
      </c>
      <c r="V1747">
        <v>0</v>
      </c>
      <c r="W1747">
        <v>0</v>
      </c>
      <c r="X1747">
        <v>1</v>
      </c>
      <c r="Y1747">
        <v>0</v>
      </c>
      <c r="Z1747">
        <v>0</v>
      </c>
      <c r="AB1747">
        <v>0</v>
      </c>
      <c r="AC1747">
        <v>9</v>
      </c>
      <c r="AD1747">
        <v>3</v>
      </c>
      <c r="AE1747">
        <v>0</v>
      </c>
      <c r="AF1747">
        <v>9</v>
      </c>
      <c r="AG1747" t="s">
        <v>158</v>
      </c>
      <c r="AH1747">
        <v>0</v>
      </c>
      <c r="AI1747">
        <v>3</v>
      </c>
      <c r="AJ1747">
        <v>1</v>
      </c>
      <c r="AK1747">
        <v>0</v>
      </c>
      <c r="AL1747" t="s">
        <v>3336</v>
      </c>
      <c r="AM1747">
        <v>46.839329999999997</v>
      </c>
      <c r="AN1747" t="s">
        <v>3337</v>
      </c>
      <c r="AO1747">
        <v>-122.901864</v>
      </c>
      <c r="AP1747">
        <v>100</v>
      </c>
      <c r="AQ1747">
        <v>2000</v>
      </c>
      <c r="AR1747" t="s">
        <v>118</v>
      </c>
      <c r="AS1747">
        <v>-76</v>
      </c>
      <c r="AT1747">
        <v>24</v>
      </c>
      <c r="AU1747">
        <v>-64</v>
      </c>
      <c r="BC1747">
        <v>1200</v>
      </c>
      <c r="BD1747">
        <v>1</v>
      </c>
      <c r="BE1747" t="str">
        <f t="shared" si="83"/>
        <v xml:space="preserve">N215T   </v>
      </c>
      <c r="BF1747">
        <v>1</v>
      </c>
      <c r="BH1747">
        <v>0</v>
      </c>
      <c r="BI1747">
        <v>0</v>
      </c>
      <c r="BJ1747">
        <v>0</v>
      </c>
      <c r="BK1747">
        <v>2400</v>
      </c>
      <c r="BL1747">
        <v>400</v>
      </c>
      <c r="BM1747" t="s">
        <v>119</v>
      </c>
      <c r="BN1747">
        <v>1</v>
      </c>
      <c r="BO1747">
        <v>1</v>
      </c>
      <c r="BP1747">
        <v>1</v>
      </c>
      <c r="BQ1747">
        <v>0</v>
      </c>
      <c r="BT1747">
        <v>0</v>
      </c>
      <c r="BU1747">
        <v>0</v>
      </c>
      <c r="BV1747">
        <v>0</v>
      </c>
      <c r="CC1747" t="str">
        <f>"19:03:55.898"</f>
        <v>19:03:55.898</v>
      </c>
      <c r="CD1747" t="str">
        <f>"896025618"</f>
        <v>896025618</v>
      </c>
      <c r="CQ1747">
        <v>0</v>
      </c>
      <c r="CR1747">
        <v>2</v>
      </c>
      <c r="CS1747">
        <v>0</v>
      </c>
      <c r="CT1747">
        <v>2</v>
      </c>
      <c r="CU1747">
        <v>0</v>
      </c>
      <c r="CV1747">
        <v>7</v>
      </c>
      <c r="CW1747" t="s">
        <v>120</v>
      </c>
      <c r="CX1747">
        <v>261</v>
      </c>
      <c r="CY1747">
        <v>2</v>
      </c>
      <c r="CZ1747" t="s">
        <v>121</v>
      </c>
      <c r="DA1747" t="s">
        <v>122</v>
      </c>
      <c r="DD1747">
        <v>15281846</v>
      </c>
      <c r="DE1747" t="s">
        <v>123</v>
      </c>
    </row>
    <row r="1748" spans="1:109" x14ac:dyDescent="0.3">
      <c r="A1748" t="str">
        <f>"19:03:57.234"</f>
        <v>19:03:57.234</v>
      </c>
      <c r="B1748" t="s">
        <v>110</v>
      </c>
      <c r="C1748" t="str">
        <f t="shared" si="81"/>
        <v>ffdfd3c0</v>
      </c>
      <c r="D1748" t="s">
        <v>111</v>
      </c>
      <c r="E1748">
        <v>18</v>
      </c>
      <c r="F1748">
        <v>1018</v>
      </c>
      <c r="G1748" t="s">
        <v>112</v>
      </c>
      <c r="J1748" t="s">
        <v>113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R1748" t="s">
        <v>114</v>
      </c>
      <c r="S1748" t="str">
        <f>"19:03:57.000"</f>
        <v>19:03:57.000</v>
      </c>
      <c r="T1748" t="str">
        <f>"19:03:56.898"</f>
        <v>19:03:56.898</v>
      </c>
      <c r="U1748" t="str">
        <f t="shared" si="82"/>
        <v>a1cdbe</v>
      </c>
      <c r="V1748">
        <v>0</v>
      </c>
      <c r="W1748">
        <v>0</v>
      </c>
      <c r="X1748">
        <v>1</v>
      </c>
      <c r="Y1748">
        <v>0</v>
      </c>
      <c r="Z1748">
        <v>0</v>
      </c>
      <c r="AB1748">
        <v>0</v>
      </c>
      <c r="AC1748">
        <v>9</v>
      </c>
      <c r="AD1748">
        <v>3</v>
      </c>
      <c r="AE1748">
        <v>0</v>
      </c>
      <c r="AF1748">
        <v>9</v>
      </c>
      <c r="AG1748" t="s">
        <v>158</v>
      </c>
      <c r="AH1748">
        <v>0</v>
      </c>
      <c r="AI1748">
        <v>3</v>
      </c>
      <c r="AJ1748">
        <v>1</v>
      </c>
      <c r="AK1748">
        <v>0</v>
      </c>
      <c r="AL1748" t="s">
        <v>2221</v>
      </c>
      <c r="AM1748">
        <v>46.839416</v>
      </c>
      <c r="AN1748" t="s">
        <v>3338</v>
      </c>
      <c r="AO1748">
        <v>-122.9024</v>
      </c>
      <c r="AP1748">
        <v>100</v>
      </c>
      <c r="AQ1748">
        <v>2000</v>
      </c>
      <c r="AR1748" t="s">
        <v>118</v>
      </c>
      <c r="AS1748">
        <v>-76</v>
      </c>
      <c r="AT1748">
        <v>24</v>
      </c>
      <c r="AU1748">
        <v>0</v>
      </c>
      <c r="BC1748">
        <v>1200</v>
      </c>
      <c r="BD1748">
        <v>1</v>
      </c>
      <c r="BE1748" t="str">
        <f t="shared" si="83"/>
        <v xml:space="preserve">N215T   </v>
      </c>
      <c r="BF1748">
        <v>1</v>
      </c>
      <c r="BH1748">
        <v>0</v>
      </c>
      <c r="BI1748">
        <v>0</v>
      </c>
      <c r="BJ1748">
        <v>0</v>
      </c>
      <c r="BK1748">
        <v>2400</v>
      </c>
      <c r="BL1748">
        <v>400</v>
      </c>
      <c r="BM1748" t="s">
        <v>119</v>
      </c>
      <c r="BN1748">
        <v>1</v>
      </c>
      <c r="BO1748">
        <v>1</v>
      </c>
      <c r="BP1748">
        <v>1</v>
      </c>
      <c r="BQ1748">
        <v>0</v>
      </c>
      <c r="BT1748">
        <v>0</v>
      </c>
      <c r="BU1748">
        <v>0</v>
      </c>
      <c r="BV1748">
        <v>0</v>
      </c>
      <c r="CC1748" t="str">
        <f>"19:03:57.008"</f>
        <v>19:03:57.008</v>
      </c>
      <c r="CD1748" t="str">
        <f>"005916273"</f>
        <v>005916273</v>
      </c>
      <c r="CQ1748">
        <v>0</v>
      </c>
      <c r="CR1748">
        <v>2</v>
      </c>
      <c r="CS1748">
        <v>0</v>
      </c>
      <c r="CT1748">
        <v>2</v>
      </c>
      <c r="CU1748">
        <v>0</v>
      </c>
      <c r="CV1748">
        <v>7</v>
      </c>
      <c r="CW1748" t="s">
        <v>120</v>
      </c>
      <c r="CX1748">
        <v>261</v>
      </c>
      <c r="CY1748">
        <v>2</v>
      </c>
      <c r="CZ1748" t="s">
        <v>121</v>
      </c>
      <c r="DA1748" t="s">
        <v>122</v>
      </c>
      <c r="DD1748">
        <v>15282550</v>
      </c>
      <c r="DE1748" t="s">
        <v>123</v>
      </c>
    </row>
    <row r="1749" spans="1:109" x14ac:dyDescent="0.3">
      <c r="A1749" t="str">
        <f>"19:03:58.242"</f>
        <v>19:03:58.242</v>
      </c>
      <c r="B1749" t="s">
        <v>110</v>
      </c>
      <c r="C1749" t="str">
        <f t="shared" si="81"/>
        <v>ffdfd3c0</v>
      </c>
      <c r="D1749" t="s">
        <v>111</v>
      </c>
      <c r="E1749">
        <v>18</v>
      </c>
      <c r="F1749">
        <v>1018</v>
      </c>
      <c r="G1749" t="s">
        <v>112</v>
      </c>
      <c r="J1749" t="s">
        <v>113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R1749" t="s">
        <v>114</v>
      </c>
      <c r="S1749" t="str">
        <f>"19:03:57.992"</f>
        <v>19:03:57.992</v>
      </c>
      <c r="T1749" t="str">
        <f>"19:03:57.891"</f>
        <v>19:03:57.891</v>
      </c>
      <c r="U1749" t="str">
        <f t="shared" si="82"/>
        <v>a1cdbe</v>
      </c>
      <c r="V1749">
        <v>0</v>
      </c>
      <c r="W1749">
        <v>0</v>
      </c>
      <c r="X1749">
        <v>1</v>
      </c>
      <c r="Y1749">
        <v>0</v>
      </c>
      <c r="Z1749">
        <v>0</v>
      </c>
      <c r="AB1749">
        <v>0</v>
      </c>
      <c r="AC1749">
        <v>9</v>
      </c>
      <c r="AD1749">
        <v>3</v>
      </c>
      <c r="AE1749">
        <v>0</v>
      </c>
      <c r="AF1749">
        <v>9</v>
      </c>
      <c r="AG1749" t="s">
        <v>158</v>
      </c>
      <c r="AH1749">
        <v>0</v>
      </c>
      <c r="AI1749">
        <v>3</v>
      </c>
      <c r="AJ1749">
        <v>1</v>
      </c>
      <c r="AK1749">
        <v>0</v>
      </c>
      <c r="AL1749" t="s">
        <v>3339</v>
      </c>
      <c r="AM1749">
        <v>46.839523</v>
      </c>
      <c r="AN1749" t="s">
        <v>3340</v>
      </c>
      <c r="AO1749">
        <v>-122.90298</v>
      </c>
      <c r="AP1749">
        <v>100</v>
      </c>
      <c r="AQ1749">
        <v>2000</v>
      </c>
      <c r="AR1749" t="s">
        <v>118</v>
      </c>
      <c r="AS1749">
        <v>-77</v>
      </c>
      <c r="AT1749">
        <v>23</v>
      </c>
      <c r="AU1749">
        <v>-64</v>
      </c>
      <c r="BC1749">
        <v>1200</v>
      </c>
      <c r="BD1749">
        <v>1</v>
      </c>
      <c r="BE1749" t="str">
        <f t="shared" si="83"/>
        <v xml:space="preserve">N215T   </v>
      </c>
      <c r="BF1749">
        <v>1</v>
      </c>
      <c r="BH1749">
        <v>0</v>
      </c>
      <c r="BI1749">
        <v>0</v>
      </c>
      <c r="BJ1749">
        <v>0</v>
      </c>
      <c r="BK1749">
        <v>2400</v>
      </c>
      <c r="BL1749">
        <v>400</v>
      </c>
      <c r="BM1749" t="s">
        <v>119</v>
      </c>
      <c r="BN1749">
        <v>1</v>
      </c>
      <c r="BO1749">
        <v>1</v>
      </c>
      <c r="BP1749">
        <v>1</v>
      </c>
      <c r="BQ1749">
        <v>0</v>
      </c>
      <c r="BT1749">
        <v>0</v>
      </c>
      <c r="BU1749">
        <v>0</v>
      </c>
      <c r="BV1749">
        <v>0</v>
      </c>
      <c r="CC1749" t="str">
        <f>"19:03:57.992"</f>
        <v>19:03:57.992</v>
      </c>
      <c r="CD1749" t="str">
        <f>"995818750"</f>
        <v>995818750</v>
      </c>
      <c r="CQ1749">
        <v>0</v>
      </c>
      <c r="CR1749">
        <v>2</v>
      </c>
      <c r="CS1749">
        <v>0</v>
      </c>
      <c r="CT1749">
        <v>2</v>
      </c>
      <c r="CU1749">
        <v>0</v>
      </c>
      <c r="CV1749">
        <v>7</v>
      </c>
      <c r="CW1749" t="s">
        <v>120</v>
      </c>
      <c r="CX1749">
        <v>261</v>
      </c>
      <c r="CY1749">
        <v>2</v>
      </c>
      <c r="CZ1749" t="s">
        <v>121</v>
      </c>
      <c r="DA1749" t="s">
        <v>122</v>
      </c>
      <c r="DD1749">
        <v>15283189</v>
      </c>
      <c r="DE1749" t="s">
        <v>123</v>
      </c>
    </row>
    <row r="1750" spans="1:109" x14ac:dyDescent="0.3">
      <c r="A1750" t="str">
        <f>"19:03:59.297"</f>
        <v>19:03:59.297</v>
      </c>
      <c r="B1750" t="s">
        <v>110</v>
      </c>
      <c r="C1750" t="str">
        <f t="shared" si="81"/>
        <v>ffdfd3c0</v>
      </c>
      <c r="D1750" t="s">
        <v>111</v>
      </c>
      <c r="E1750">
        <v>18</v>
      </c>
      <c r="F1750">
        <v>1018</v>
      </c>
      <c r="G1750" t="s">
        <v>112</v>
      </c>
      <c r="J1750" t="s">
        <v>113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R1750" t="s">
        <v>114</v>
      </c>
      <c r="S1750" t="str">
        <f>"19:03:59.070"</f>
        <v>19:03:59.070</v>
      </c>
      <c r="T1750" t="str">
        <f>"19:03:58.672"</f>
        <v>19:03:58.672</v>
      </c>
      <c r="U1750" t="str">
        <f t="shared" si="82"/>
        <v>a1cdbe</v>
      </c>
      <c r="V1750">
        <v>0</v>
      </c>
      <c r="W1750">
        <v>0</v>
      </c>
      <c r="X1750">
        <v>1</v>
      </c>
      <c r="Y1750">
        <v>0</v>
      </c>
      <c r="Z1750">
        <v>0</v>
      </c>
      <c r="AB1750">
        <v>0</v>
      </c>
      <c r="AC1750">
        <v>9</v>
      </c>
      <c r="AD1750">
        <v>3</v>
      </c>
      <c r="AE1750">
        <v>0</v>
      </c>
      <c r="AF1750">
        <v>9</v>
      </c>
      <c r="AG1750" t="s">
        <v>158</v>
      </c>
      <c r="AH1750">
        <v>0</v>
      </c>
      <c r="AI1750">
        <v>3</v>
      </c>
      <c r="AJ1750">
        <v>1</v>
      </c>
      <c r="AK1750">
        <v>0</v>
      </c>
      <c r="AL1750" t="s">
        <v>2217</v>
      </c>
      <c r="AM1750">
        <v>46.839652000000001</v>
      </c>
      <c r="AN1750" t="s">
        <v>3341</v>
      </c>
      <c r="AO1750">
        <v>-122.90349500000001</v>
      </c>
      <c r="AP1750">
        <v>100</v>
      </c>
      <c r="AQ1750">
        <v>2000</v>
      </c>
      <c r="AR1750" t="s">
        <v>118</v>
      </c>
      <c r="AS1750">
        <v>-77</v>
      </c>
      <c r="AT1750">
        <v>23</v>
      </c>
      <c r="AU1750">
        <v>-128</v>
      </c>
      <c r="BC1750">
        <v>1200</v>
      </c>
      <c r="BD1750">
        <v>1</v>
      </c>
      <c r="BE1750" t="str">
        <f t="shared" si="83"/>
        <v xml:space="preserve">N215T   </v>
      </c>
      <c r="BF1750">
        <v>1</v>
      </c>
      <c r="BH1750">
        <v>0</v>
      </c>
      <c r="BI1750">
        <v>0</v>
      </c>
      <c r="BJ1750">
        <v>0</v>
      </c>
      <c r="BK1750">
        <v>2400</v>
      </c>
      <c r="BL1750">
        <v>400</v>
      </c>
      <c r="BM1750" t="s">
        <v>119</v>
      </c>
      <c r="BN1750">
        <v>1</v>
      </c>
      <c r="BO1750">
        <v>1</v>
      </c>
      <c r="BP1750">
        <v>1</v>
      </c>
      <c r="BQ1750">
        <v>0</v>
      </c>
      <c r="BT1750">
        <v>0</v>
      </c>
      <c r="BU1750">
        <v>0</v>
      </c>
      <c r="BV1750">
        <v>0</v>
      </c>
      <c r="CC1750" t="str">
        <f>"19:03:59.078"</f>
        <v>19:03:59.078</v>
      </c>
      <c r="CD1750" t="str">
        <f>"075745082"</f>
        <v>075745082</v>
      </c>
      <c r="CQ1750">
        <v>0</v>
      </c>
      <c r="CR1750">
        <v>2</v>
      </c>
      <c r="CS1750">
        <v>0</v>
      </c>
      <c r="CT1750">
        <v>2</v>
      </c>
      <c r="CU1750">
        <v>0</v>
      </c>
      <c r="CV1750">
        <v>3</v>
      </c>
      <c r="CW1750" t="s">
        <v>120</v>
      </c>
      <c r="CX1750">
        <v>257</v>
      </c>
      <c r="CY1750">
        <v>1</v>
      </c>
      <c r="CZ1750" t="s">
        <v>615</v>
      </c>
      <c r="DA1750" t="s">
        <v>616</v>
      </c>
      <c r="DD1750">
        <v>11680691</v>
      </c>
      <c r="DE1750" t="s">
        <v>123</v>
      </c>
    </row>
    <row r="1751" spans="1:109" x14ac:dyDescent="0.3">
      <c r="A1751" t="str">
        <f>"19:04:00.250"</f>
        <v>19:04:00.250</v>
      </c>
      <c r="B1751" t="s">
        <v>110</v>
      </c>
      <c r="C1751" t="str">
        <f t="shared" si="81"/>
        <v>ffdfd3c0</v>
      </c>
      <c r="D1751" t="s">
        <v>111</v>
      </c>
      <c r="E1751">
        <v>18</v>
      </c>
      <c r="F1751">
        <v>1018</v>
      </c>
      <c r="G1751" t="s">
        <v>112</v>
      </c>
      <c r="J1751" t="s">
        <v>113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R1751" t="s">
        <v>114</v>
      </c>
      <c r="S1751" t="str">
        <f>"19:04:00.016"</f>
        <v>19:04:00.016</v>
      </c>
      <c r="T1751" t="str">
        <f>"19:03:59.813"</f>
        <v>19:03:59.813</v>
      </c>
      <c r="U1751" t="str">
        <f t="shared" si="82"/>
        <v>a1cdbe</v>
      </c>
      <c r="V1751">
        <v>0</v>
      </c>
      <c r="W1751">
        <v>0</v>
      </c>
      <c r="X1751">
        <v>1</v>
      </c>
      <c r="Y1751">
        <v>0</v>
      </c>
      <c r="Z1751">
        <v>0</v>
      </c>
      <c r="AB1751">
        <v>0</v>
      </c>
      <c r="AC1751">
        <v>9</v>
      </c>
      <c r="AD1751">
        <v>3</v>
      </c>
      <c r="AE1751">
        <v>0</v>
      </c>
      <c r="AF1751">
        <v>9</v>
      </c>
      <c r="AG1751" t="s">
        <v>158</v>
      </c>
      <c r="AH1751">
        <v>0</v>
      </c>
      <c r="AI1751">
        <v>3</v>
      </c>
      <c r="AJ1751">
        <v>1</v>
      </c>
      <c r="AK1751">
        <v>0</v>
      </c>
      <c r="AL1751" t="s">
        <v>2215</v>
      </c>
      <c r="AM1751">
        <v>46.839759000000001</v>
      </c>
      <c r="AN1751" t="s">
        <v>3342</v>
      </c>
      <c r="AO1751">
        <v>-122.903988</v>
      </c>
      <c r="AP1751">
        <v>100</v>
      </c>
      <c r="AQ1751">
        <v>2000</v>
      </c>
      <c r="AR1751" t="s">
        <v>118</v>
      </c>
      <c r="AS1751">
        <v>-77</v>
      </c>
      <c r="AT1751">
        <v>22</v>
      </c>
      <c r="AU1751">
        <v>-64</v>
      </c>
      <c r="BC1751">
        <v>1200</v>
      </c>
      <c r="BD1751">
        <v>1</v>
      </c>
      <c r="BE1751" t="str">
        <f t="shared" si="83"/>
        <v xml:space="preserve">N215T   </v>
      </c>
      <c r="BF1751">
        <v>1</v>
      </c>
      <c r="BH1751">
        <v>0</v>
      </c>
      <c r="BI1751">
        <v>0</v>
      </c>
      <c r="BJ1751">
        <v>0</v>
      </c>
      <c r="BK1751">
        <v>2375</v>
      </c>
      <c r="BL1751">
        <v>375</v>
      </c>
      <c r="BM1751" t="s">
        <v>119</v>
      </c>
      <c r="BN1751">
        <v>1</v>
      </c>
      <c r="BO1751">
        <v>1</v>
      </c>
      <c r="BP1751">
        <v>1</v>
      </c>
      <c r="BQ1751">
        <v>0</v>
      </c>
      <c r="BT1751">
        <v>0</v>
      </c>
      <c r="BU1751">
        <v>0</v>
      </c>
      <c r="BV1751">
        <v>0</v>
      </c>
      <c r="CC1751" t="str">
        <f>"19:04:00.023"</f>
        <v>19:04:00.023</v>
      </c>
      <c r="CD1751" t="str">
        <f>"020619279"</f>
        <v>020619279</v>
      </c>
      <c r="CQ1751">
        <v>0</v>
      </c>
      <c r="CR1751">
        <v>2</v>
      </c>
      <c r="CS1751">
        <v>0</v>
      </c>
      <c r="CT1751">
        <v>2</v>
      </c>
      <c r="CU1751">
        <v>0</v>
      </c>
      <c r="CV1751">
        <v>7</v>
      </c>
      <c r="CW1751" t="s">
        <v>120</v>
      </c>
      <c r="CX1751">
        <v>261</v>
      </c>
      <c r="CY1751">
        <v>2</v>
      </c>
      <c r="CZ1751" t="s">
        <v>121</v>
      </c>
      <c r="DA1751" t="s">
        <v>122</v>
      </c>
      <c r="DD1751">
        <v>15284411</v>
      </c>
      <c r="DE1751" t="s">
        <v>123</v>
      </c>
    </row>
    <row r="1752" spans="1:109" x14ac:dyDescent="0.3">
      <c r="A1752" t="str">
        <f>"19:04:01.266"</f>
        <v>19:04:01.266</v>
      </c>
      <c r="B1752" t="s">
        <v>110</v>
      </c>
      <c r="C1752" t="str">
        <f t="shared" si="81"/>
        <v>ffdfd3c0</v>
      </c>
      <c r="D1752" t="s">
        <v>111</v>
      </c>
      <c r="E1752">
        <v>18</v>
      </c>
      <c r="F1752">
        <v>1018</v>
      </c>
      <c r="G1752" t="s">
        <v>112</v>
      </c>
      <c r="J1752" t="s">
        <v>113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R1752" t="s">
        <v>114</v>
      </c>
      <c r="S1752" t="str">
        <f>"19:04:01.039"</f>
        <v>19:04:01.039</v>
      </c>
      <c r="T1752" t="str">
        <f>"19:04:00.938"</f>
        <v>19:04:00.938</v>
      </c>
      <c r="U1752" t="str">
        <f t="shared" si="82"/>
        <v>a1cdbe</v>
      </c>
      <c r="V1752">
        <v>0</v>
      </c>
      <c r="W1752">
        <v>0</v>
      </c>
      <c r="X1752">
        <v>1</v>
      </c>
      <c r="Y1752">
        <v>0</v>
      </c>
      <c r="Z1752">
        <v>0</v>
      </c>
      <c r="AB1752">
        <v>0</v>
      </c>
      <c r="AC1752">
        <v>9</v>
      </c>
      <c r="AD1752">
        <v>3</v>
      </c>
      <c r="AE1752">
        <v>0</v>
      </c>
      <c r="AF1752">
        <v>9</v>
      </c>
      <c r="AG1752" t="s">
        <v>158</v>
      </c>
      <c r="AH1752">
        <v>0</v>
      </c>
      <c r="AI1752">
        <v>3</v>
      </c>
      <c r="AJ1752">
        <v>1</v>
      </c>
      <c r="AK1752">
        <v>0</v>
      </c>
      <c r="AL1752" t="s">
        <v>2213</v>
      </c>
      <c r="AM1752">
        <v>46.839844999999997</v>
      </c>
      <c r="AN1752" t="s">
        <v>3343</v>
      </c>
      <c r="AO1752">
        <v>-122.90452500000001</v>
      </c>
      <c r="AP1752">
        <v>100</v>
      </c>
      <c r="AQ1752">
        <v>2000</v>
      </c>
      <c r="AR1752" t="s">
        <v>118</v>
      </c>
      <c r="AS1752">
        <v>-77</v>
      </c>
      <c r="AT1752">
        <v>22</v>
      </c>
      <c r="AU1752">
        <v>-64</v>
      </c>
      <c r="BC1752">
        <v>1200</v>
      </c>
      <c r="BD1752">
        <v>1</v>
      </c>
      <c r="BE1752" t="str">
        <f t="shared" si="83"/>
        <v xml:space="preserve">N215T   </v>
      </c>
      <c r="BF1752">
        <v>1</v>
      </c>
      <c r="BH1752">
        <v>0</v>
      </c>
      <c r="BI1752">
        <v>0</v>
      </c>
      <c r="BJ1752">
        <v>0</v>
      </c>
      <c r="BK1752">
        <v>2375</v>
      </c>
      <c r="BL1752">
        <v>375</v>
      </c>
      <c r="BM1752" t="s">
        <v>119</v>
      </c>
      <c r="BN1752">
        <v>1</v>
      </c>
      <c r="BO1752">
        <v>1</v>
      </c>
      <c r="BP1752">
        <v>1</v>
      </c>
      <c r="BQ1752">
        <v>0</v>
      </c>
      <c r="BT1752">
        <v>0</v>
      </c>
      <c r="BU1752">
        <v>0</v>
      </c>
      <c r="BV1752">
        <v>0</v>
      </c>
      <c r="CC1752" t="str">
        <f>"19:04:01.039"</f>
        <v>19:04:01.039</v>
      </c>
      <c r="CD1752" t="str">
        <f>"040518809"</f>
        <v>040518809</v>
      </c>
      <c r="CQ1752">
        <v>0</v>
      </c>
      <c r="CR1752">
        <v>2</v>
      </c>
      <c r="CS1752">
        <v>0</v>
      </c>
      <c r="CT1752">
        <v>2</v>
      </c>
      <c r="CU1752">
        <v>0</v>
      </c>
      <c r="CV1752">
        <v>7</v>
      </c>
      <c r="CW1752" t="s">
        <v>120</v>
      </c>
      <c r="CX1752">
        <v>261</v>
      </c>
      <c r="CY1752">
        <v>2</v>
      </c>
      <c r="CZ1752" t="s">
        <v>121</v>
      </c>
      <c r="DA1752" t="s">
        <v>122</v>
      </c>
      <c r="DD1752">
        <v>15285016</v>
      </c>
      <c r="DE1752" t="s">
        <v>123</v>
      </c>
    </row>
    <row r="1753" spans="1:109" x14ac:dyDescent="0.3">
      <c r="A1753" t="str">
        <f>"19:04:02.211"</f>
        <v>19:04:02.211</v>
      </c>
      <c r="B1753" t="s">
        <v>110</v>
      </c>
      <c r="C1753" t="str">
        <f t="shared" si="81"/>
        <v>ffdfd3c0</v>
      </c>
      <c r="D1753" t="s">
        <v>111</v>
      </c>
      <c r="E1753">
        <v>18</v>
      </c>
      <c r="F1753">
        <v>1018</v>
      </c>
      <c r="G1753" t="s">
        <v>112</v>
      </c>
      <c r="J1753" t="s">
        <v>113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R1753" t="s">
        <v>114</v>
      </c>
      <c r="S1753" t="str">
        <f>"19:04:01.984"</f>
        <v>19:04:01.984</v>
      </c>
      <c r="T1753" t="str">
        <f>"19:04:01.984"</f>
        <v>19:04:01.984</v>
      </c>
      <c r="U1753" t="str">
        <f t="shared" si="82"/>
        <v>a1cdbe</v>
      </c>
      <c r="V1753">
        <v>0</v>
      </c>
      <c r="W1753">
        <v>0</v>
      </c>
      <c r="X1753">
        <v>1</v>
      </c>
      <c r="Y1753">
        <v>0</v>
      </c>
      <c r="Z1753">
        <v>0</v>
      </c>
      <c r="AB1753">
        <v>0</v>
      </c>
      <c r="AC1753">
        <v>9</v>
      </c>
      <c r="AD1753">
        <v>3</v>
      </c>
      <c r="AE1753">
        <v>0</v>
      </c>
      <c r="AF1753">
        <v>9</v>
      </c>
      <c r="AG1753" t="s">
        <v>158</v>
      </c>
      <c r="AH1753">
        <v>0</v>
      </c>
      <c r="AI1753">
        <v>3</v>
      </c>
      <c r="AJ1753">
        <v>1</v>
      </c>
      <c r="AK1753">
        <v>0</v>
      </c>
      <c r="AL1753" t="s">
        <v>3344</v>
      </c>
      <c r="AM1753">
        <v>46.839931</v>
      </c>
      <c r="AN1753" t="s">
        <v>3345</v>
      </c>
      <c r="AO1753">
        <v>-122.905061</v>
      </c>
      <c r="AP1753">
        <v>100</v>
      </c>
      <c r="AQ1753">
        <v>2000</v>
      </c>
      <c r="AR1753" t="s">
        <v>118</v>
      </c>
      <c r="AS1753">
        <v>-77</v>
      </c>
      <c r="AT1753">
        <v>21</v>
      </c>
      <c r="AU1753">
        <v>0</v>
      </c>
      <c r="BC1753">
        <v>1200</v>
      </c>
      <c r="BD1753">
        <v>1</v>
      </c>
      <c r="BE1753" t="str">
        <f t="shared" si="83"/>
        <v xml:space="preserve">N215T   </v>
      </c>
      <c r="BF1753">
        <v>1</v>
      </c>
      <c r="BH1753">
        <v>0</v>
      </c>
      <c r="BI1753">
        <v>0</v>
      </c>
      <c r="BJ1753">
        <v>0</v>
      </c>
      <c r="BK1753">
        <v>2375</v>
      </c>
      <c r="BL1753">
        <v>375</v>
      </c>
      <c r="BM1753" t="s">
        <v>119</v>
      </c>
      <c r="BN1753">
        <v>1</v>
      </c>
      <c r="BO1753">
        <v>1</v>
      </c>
      <c r="BP1753">
        <v>1</v>
      </c>
      <c r="BQ1753">
        <v>0</v>
      </c>
      <c r="BT1753">
        <v>0</v>
      </c>
      <c r="BU1753">
        <v>0</v>
      </c>
      <c r="BV1753">
        <v>0</v>
      </c>
      <c r="CC1753" t="str">
        <f>"19:04:01.984"</f>
        <v>19:04:01.984</v>
      </c>
      <c r="CD1753" t="str">
        <f>"985425721"</f>
        <v>985425721</v>
      </c>
      <c r="CQ1753">
        <v>0</v>
      </c>
      <c r="CR1753">
        <v>2</v>
      </c>
      <c r="CS1753">
        <v>0</v>
      </c>
      <c r="CT1753">
        <v>2</v>
      </c>
      <c r="CU1753">
        <v>0</v>
      </c>
      <c r="CV1753">
        <v>7</v>
      </c>
      <c r="CW1753" t="s">
        <v>120</v>
      </c>
      <c r="CX1753">
        <v>261</v>
      </c>
      <c r="CY1753">
        <v>2</v>
      </c>
      <c r="CZ1753" t="s">
        <v>121</v>
      </c>
      <c r="DA1753" t="s">
        <v>122</v>
      </c>
      <c r="DD1753">
        <v>15285638</v>
      </c>
      <c r="DE1753" t="s">
        <v>123</v>
      </c>
    </row>
    <row r="1754" spans="1:109" x14ac:dyDescent="0.3">
      <c r="A1754" t="str">
        <f>"19:04:03.172"</f>
        <v>19:04:03.172</v>
      </c>
      <c r="B1754" t="s">
        <v>110</v>
      </c>
      <c r="C1754" t="str">
        <f t="shared" si="81"/>
        <v>ffdfd3c0</v>
      </c>
      <c r="D1754" t="s">
        <v>111</v>
      </c>
      <c r="E1754">
        <v>18</v>
      </c>
      <c r="F1754">
        <v>1018</v>
      </c>
      <c r="G1754" t="s">
        <v>112</v>
      </c>
      <c r="J1754" t="s">
        <v>113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R1754" t="s">
        <v>114</v>
      </c>
      <c r="S1754" t="str">
        <f>"19:04:02.930"</f>
        <v>19:04:02.930</v>
      </c>
      <c r="T1754" t="str">
        <f>"19:04:02.531"</f>
        <v>19:04:02.531</v>
      </c>
      <c r="U1754" t="str">
        <f t="shared" si="82"/>
        <v>a1cdbe</v>
      </c>
      <c r="V1754">
        <v>0</v>
      </c>
      <c r="W1754">
        <v>0</v>
      </c>
      <c r="X1754">
        <v>1</v>
      </c>
      <c r="Y1754">
        <v>0</v>
      </c>
      <c r="Z1754">
        <v>0</v>
      </c>
      <c r="AB1754">
        <v>0</v>
      </c>
      <c r="AC1754">
        <v>9</v>
      </c>
      <c r="AD1754">
        <v>3</v>
      </c>
      <c r="AE1754">
        <v>0</v>
      </c>
      <c r="AF1754">
        <v>9</v>
      </c>
      <c r="AG1754" t="s">
        <v>158</v>
      </c>
      <c r="AH1754">
        <v>0</v>
      </c>
      <c r="AI1754">
        <v>3</v>
      </c>
      <c r="AJ1754">
        <v>1</v>
      </c>
      <c r="AK1754">
        <v>0</v>
      </c>
      <c r="AL1754" t="s">
        <v>3346</v>
      </c>
      <c r="AM1754">
        <v>46.840017000000003</v>
      </c>
      <c r="AN1754" t="s">
        <v>3347</v>
      </c>
      <c r="AO1754">
        <v>-122.90553300000001</v>
      </c>
      <c r="AP1754">
        <v>100</v>
      </c>
      <c r="AQ1754">
        <v>2000</v>
      </c>
      <c r="AR1754" t="s">
        <v>118</v>
      </c>
      <c r="AS1754">
        <v>-77</v>
      </c>
      <c r="AT1754">
        <v>21</v>
      </c>
      <c r="AU1754">
        <v>-64</v>
      </c>
      <c r="BC1754">
        <v>1200</v>
      </c>
      <c r="BD1754">
        <v>1</v>
      </c>
      <c r="BE1754" t="str">
        <f t="shared" si="83"/>
        <v xml:space="preserve">N215T   </v>
      </c>
      <c r="BF1754">
        <v>1</v>
      </c>
      <c r="BH1754">
        <v>0</v>
      </c>
      <c r="BI1754">
        <v>0</v>
      </c>
      <c r="BJ1754">
        <v>0</v>
      </c>
      <c r="BK1754">
        <v>2375</v>
      </c>
      <c r="BL1754">
        <v>375</v>
      </c>
      <c r="BM1754" t="s">
        <v>119</v>
      </c>
      <c r="BN1754">
        <v>1</v>
      </c>
      <c r="BO1754">
        <v>1</v>
      </c>
      <c r="BP1754">
        <v>1</v>
      </c>
      <c r="BQ1754">
        <v>0</v>
      </c>
      <c r="BT1754">
        <v>0</v>
      </c>
      <c r="BU1754">
        <v>0</v>
      </c>
      <c r="BV1754">
        <v>0</v>
      </c>
      <c r="CC1754" t="str">
        <f>"19:04:02.930"</f>
        <v>19:04:02.930</v>
      </c>
      <c r="CD1754" t="str">
        <f>"930332637"</f>
        <v>930332637</v>
      </c>
      <c r="CQ1754">
        <v>0</v>
      </c>
      <c r="CR1754">
        <v>2</v>
      </c>
      <c r="CS1754">
        <v>0</v>
      </c>
      <c r="CT1754">
        <v>2</v>
      </c>
      <c r="CU1754">
        <v>0</v>
      </c>
      <c r="CV1754">
        <v>7</v>
      </c>
      <c r="CW1754" t="s">
        <v>120</v>
      </c>
      <c r="CX1754">
        <v>261</v>
      </c>
      <c r="CY1754">
        <v>2</v>
      </c>
      <c r="CZ1754" t="s">
        <v>121</v>
      </c>
      <c r="DA1754" t="s">
        <v>122</v>
      </c>
      <c r="DD1754">
        <v>15286240</v>
      </c>
      <c r="DE1754" t="s">
        <v>123</v>
      </c>
    </row>
    <row r="1755" spans="1:109" x14ac:dyDescent="0.3">
      <c r="A1755" t="str">
        <f>"19:04:04.227"</f>
        <v>19:04:04.227</v>
      </c>
      <c r="B1755" t="s">
        <v>110</v>
      </c>
      <c r="C1755" t="str">
        <f t="shared" si="81"/>
        <v>ffdfd3c0</v>
      </c>
      <c r="D1755" t="s">
        <v>111</v>
      </c>
      <c r="E1755">
        <v>18</v>
      </c>
      <c r="F1755">
        <v>1018</v>
      </c>
      <c r="G1755" t="s">
        <v>112</v>
      </c>
      <c r="J1755" t="s">
        <v>113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R1755" t="s">
        <v>114</v>
      </c>
      <c r="S1755" t="str">
        <f>"19:04:03.992"</f>
        <v>19:04:03.992</v>
      </c>
      <c r="T1755" t="str">
        <f>"19:04:03.992"</f>
        <v>19:04:03.992</v>
      </c>
      <c r="U1755" t="str">
        <f t="shared" si="82"/>
        <v>a1cdbe</v>
      </c>
      <c r="V1755">
        <v>0</v>
      </c>
      <c r="W1755">
        <v>0</v>
      </c>
      <c r="X1755">
        <v>1</v>
      </c>
      <c r="Y1755">
        <v>0</v>
      </c>
      <c r="Z1755">
        <v>0</v>
      </c>
      <c r="AB1755">
        <v>0</v>
      </c>
      <c r="AC1755">
        <v>9</v>
      </c>
      <c r="AD1755">
        <v>3</v>
      </c>
      <c r="AE1755">
        <v>0</v>
      </c>
      <c r="AF1755">
        <v>9</v>
      </c>
      <c r="AG1755" t="s">
        <v>158</v>
      </c>
      <c r="AH1755">
        <v>0</v>
      </c>
      <c r="AI1755">
        <v>3</v>
      </c>
      <c r="AJ1755">
        <v>1</v>
      </c>
      <c r="AK1755">
        <v>0</v>
      </c>
      <c r="AL1755" t="s">
        <v>3348</v>
      </c>
      <c r="AM1755">
        <v>46.840167000000001</v>
      </c>
      <c r="AN1755" t="s">
        <v>3349</v>
      </c>
      <c r="AO1755">
        <v>-122.90607</v>
      </c>
      <c r="AP1755">
        <v>100</v>
      </c>
      <c r="AQ1755">
        <v>2000</v>
      </c>
      <c r="AR1755" t="s">
        <v>118</v>
      </c>
      <c r="AS1755">
        <v>-77</v>
      </c>
      <c r="AT1755">
        <v>21</v>
      </c>
      <c r="AU1755">
        <v>-128</v>
      </c>
      <c r="BC1755">
        <v>1200</v>
      </c>
      <c r="BD1755">
        <v>1</v>
      </c>
      <c r="BE1755" t="str">
        <f t="shared" si="83"/>
        <v xml:space="preserve">N215T   </v>
      </c>
      <c r="BF1755">
        <v>1</v>
      </c>
      <c r="BH1755">
        <v>0</v>
      </c>
      <c r="BI1755">
        <v>0</v>
      </c>
      <c r="BJ1755">
        <v>0</v>
      </c>
      <c r="BK1755">
        <v>2375</v>
      </c>
      <c r="BL1755">
        <v>375</v>
      </c>
      <c r="BM1755" t="s">
        <v>119</v>
      </c>
      <c r="BN1755">
        <v>1</v>
      </c>
      <c r="BO1755">
        <v>1</v>
      </c>
      <c r="BP1755">
        <v>1</v>
      </c>
      <c r="BQ1755">
        <v>0</v>
      </c>
      <c r="BT1755">
        <v>0</v>
      </c>
      <c r="BU1755">
        <v>0</v>
      </c>
      <c r="BV1755">
        <v>0</v>
      </c>
      <c r="CC1755" t="str">
        <f>"19:04:03.992"</f>
        <v>19:04:03.992</v>
      </c>
      <c r="CD1755" t="str">
        <f>"995260066"</f>
        <v>995260066</v>
      </c>
      <c r="CQ1755">
        <v>0</v>
      </c>
      <c r="CR1755">
        <v>2</v>
      </c>
      <c r="CS1755">
        <v>0</v>
      </c>
      <c r="CT1755">
        <v>2</v>
      </c>
      <c r="CU1755">
        <v>0</v>
      </c>
      <c r="CV1755">
        <v>4</v>
      </c>
      <c r="CW1755" t="s">
        <v>120</v>
      </c>
      <c r="CX1755">
        <v>257</v>
      </c>
      <c r="CY1755">
        <v>1</v>
      </c>
      <c r="CZ1755" t="s">
        <v>615</v>
      </c>
      <c r="DA1755" t="s">
        <v>616</v>
      </c>
      <c r="DD1755">
        <v>11684368</v>
      </c>
      <c r="DE1755" t="s">
        <v>123</v>
      </c>
    </row>
    <row r="1756" spans="1:109" x14ac:dyDescent="0.3">
      <c r="A1756" t="str">
        <f>"19:04:05.125"</f>
        <v>19:04:05.125</v>
      </c>
      <c r="B1756" t="s">
        <v>110</v>
      </c>
      <c r="C1756" t="str">
        <f t="shared" si="81"/>
        <v>ffdfd3c0</v>
      </c>
      <c r="D1756" t="s">
        <v>111</v>
      </c>
      <c r="E1756">
        <v>18</v>
      </c>
      <c r="F1756">
        <v>1018</v>
      </c>
      <c r="G1756" t="s">
        <v>112</v>
      </c>
      <c r="J1756" t="s">
        <v>113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R1756" t="s">
        <v>114</v>
      </c>
      <c r="S1756" t="str">
        <f>"19:04:04.891"</f>
        <v>19:04:04.891</v>
      </c>
      <c r="T1756" t="str">
        <f>"19:04:04.391"</f>
        <v>19:04:04.391</v>
      </c>
      <c r="U1756" t="str">
        <f t="shared" si="82"/>
        <v>a1cdbe</v>
      </c>
      <c r="V1756">
        <v>0</v>
      </c>
      <c r="W1756">
        <v>0</v>
      </c>
      <c r="X1756">
        <v>1</v>
      </c>
      <c r="Y1756">
        <v>0</v>
      </c>
      <c r="Z1756">
        <v>0</v>
      </c>
      <c r="AB1756">
        <v>0</v>
      </c>
      <c r="AC1756">
        <v>9</v>
      </c>
      <c r="AD1756">
        <v>3</v>
      </c>
      <c r="AE1756">
        <v>0</v>
      </c>
      <c r="AF1756">
        <v>9</v>
      </c>
      <c r="AG1756" t="s">
        <v>158</v>
      </c>
      <c r="AH1756">
        <v>0</v>
      </c>
      <c r="AI1756">
        <v>3</v>
      </c>
      <c r="AJ1756">
        <v>1</v>
      </c>
      <c r="AK1756">
        <v>0</v>
      </c>
      <c r="AL1756" t="s">
        <v>2207</v>
      </c>
      <c r="AM1756">
        <v>46.840209999999999</v>
      </c>
      <c r="AN1756" t="s">
        <v>3350</v>
      </c>
      <c r="AO1756">
        <v>-122.906542</v>
      </c>
      <c r="AP1756">
        <v>100</v>
      </c>
      <c r="AQ1756">
        <v>2000</v>
      </c>
      <c r="AR1756" t="s">
        <v>118</v>
      </c>
      <c r="AS1756">
        <v>-77</v>
      </c>
      <c r="AT1756">
        <v>20</v>
      </c>
      <c r="AU1756">
        <v>-128</v>
      </c>
      <c r="BC1756">
        <v>1200</v>
      </c>
      <c r="BD1756">
        <v>1</v>
      </c>
      <c r="BE1756" t="str">
        <f t="shared" si="83"/>
        <v xml:space="preserve">N215T   </v>
      </c>
      <c r="BF1756">
        <v>1</v>
      </c>
      <c r="BH1756">
        <v>0</v>
      </c>
      <c r="BI1756">
        <v>0</v>
      </c>
      <c r="BJ1756">
        <v>0</v>
      </c>
      <c r="BK1756">
        <v>2375</v>
      </c>
      <c r="BL1756">
        <v>375</v>
      </c>
      <c r="BM1756" t="s">
        <v>119</v>
      </c>
      <c r="BN1756">
        <v>1</v>
      </c>
      <c r="BO1756">
        <v>1</v>
      </c>
      <c r="BP1756">
        <v>1</v>
      </c>
      <c r="BQ1756">
        <v>0</v>
      </c>
      <c r="BT1756">
        <v>0</v>
      </c>
      <c r="BU1756">
        <v>0</v>
      </c>
      <c r="BV1756">
        <v>0</v>
      </c>
      <c r="CC1756" t="str">
        <f>"19:04:04.898"</f>
        <v>19:04:04.898</v>
      </c>
      <c r="CD1756" t="str">
        <f>"895139073"</f>
        <v>895139073</v>
      </c>
      <c r="CQ1756">
        <v>0</v>
      </c>
      <c r="CR1756">
        <v>2</v>
      </c>
      <c r="CS1756">
        <v>0</v>
      </c>
      <c r="CT1756">
        <v>2</v>
      </c>
      <c r="CU1756">
        <v>0</v>
      </c>
      <c r="CV1756">
        <v>7</v>
      </c>
      <c r="CW1756" t="s">
        <v>120</v>
      </c>
      <c r="CX1756">
        <v>261</v>
      </c>
      <c r="CY1756">
        <v>2</v>
      </c>
      <c r="CZ1756" t="s">
        <v>121</v>
      </c>
      <c r="DA1756" t="s">
        <v>122</v>
      </c>
      <c r="DD1756">
        <v>15287436</v>
      </c>
      <c r="DE1756" t="s">
        <v>123</v>
      </c>
    </row>
    <row r="1757" spans="1:109" x14ac:dyDescent="0.3">
      <c r="A1757" t="str">
        <f>"19:04:06.031"</f>
        <v>19:04:06.031</v>
      </c>
      <c r="B1757" t="s">
        <v>110</v>
      </c>
      <c r="C1757" t="str">
        <f t="shared" si="81"/>
        <v>ffdfd3c0</v>
      </c>
      <c r="D1757" t="s">
        <v>111</v>
      </c>
      <c r="E1757">
        <v>18</v>
      </c>
      <c r="F1757">
        <v>1018</v>
      </c>
      <c r="G1757" t="s">
        <v>112</v>
      </c>
      <c r="J1757" t="s">
        <v>113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R1757" t="s">
        <v>114</v>
      </c>
      <c r="S1757" t="str">
        <f>"19:04:05.773"</f>
        <v>19:04:05.773</v>
      </c>
      <c r="T1757" t="str">
        <f>"19:04:05.375"</f>
        <v>19:04:05.375</v>
      </c>
      <c r="U1757" t="str">
        <f t="shared" si="82"/>
        <v>a1cdbe</v>
      </c>
      <c r="V1757">
        <v>0</v>
      </c>
      <c r="W1757">
        <v>0</v>
      </c>
      <c r="X1757">
        <v>1</v>
      </c>
      <c r="Y1757">
        <v>0</v>
      </c>
      <c r="Z1757">
        <v>0</v>
      </c>
      <c r="AB1757">
        <v>0</v>
      </c>
      <c r="AC1757">
        <v>9</v>
      </c>
      <c r="AD1757">
        <v>3</v>
      </c>
      <c r="AE1757">
        <v>0</v>
      </c>
      <c r="AF1757">
        <v>9</v>
      </c>
      <c r="AG1757" t="s">
        <v>158</v>
      </c>
      <c r="AH1757">
        <v>0</v>
      </c>
      <c r="AI1757">
        <v>3</v>
      </c>
      <c r="AJ1757">
        <v>1</v>
      </c>
      <c r="AK1757">
        <v>0</v>
      </c>
      <c r="AL1757" t="s">
        <v>3351</v>
      </c>
      <c r="AM1757">
        <v>46.840296000000002</v>
      </c>
      <c r="AN1757" t="s">
        <v>3352</v>
      </c>
      <c r="AO1757">
        <v>-122.907014</v>
      </c>
      <c r="AP1757">
        <v>100</v>
      </c>
      <c r="AQ1757">
        <v>2000</v>
      </c>
      <c r="AR1757" t="s">
        <v>118</v>
      </c>
      <c r="AS1757">
        <v>-77</v>
      </c>
      <c r="AT1757">
        <v>20</v>
      </c>
      <c r="AU1757">
        <v>-128</v>
      </c>
      <c r="BC1757">
        <v>1200</v>
      </c>
      <c r="BD1757">
        <v>1</v>
      </c>
      <c r="BE1757" t="str">
        <f t="shared" si="83"/>
        <v xml:space="preserve">N215T   </v>
      </c>
      <c r="BF1757">
        <v>1</v>
      </c>
      <c r="BH1757">
        <v>0</v>
      </c>
      <c r="BI1757">
        <v>0</v>
      </c>
      <c r="BJ1757">
        <v>0</v>
      </c>
      <c r="BK1757">
        <v>2375</v>
      </c>
      <c r="BL1757">
        <v>375</v>
      </c>
      <c r="BM1757" t="s">
        <v>119</v>
      </c>
      <c r="BN1757">
        <v>1</v>
      </c>
      <c r="BO1757">
        <v>1</v>
      </c>
      <c r="BP1757">
        <v>1</v>
      </c>
      <c r="BQ1757">
        <v>0</v>
      </c>
      <c r="BT1757">
        <v>0</v>
      </c>
      <c r="BU1757">
        <v>0</v>
      </c>
      <c r="BV1757">
        <v>0</v>
      </c>
      <c r="CC1757" t="str">
        <f>"19:04:05.781"</f>
        <v>19:04:05.781</v>
      </c>
      <c r="CD1757" t="str">
        <f>"780084115"</f>
        <v>780084115</v>
      </c>
      <c r="CQ1757">
        <v>0</v>
      </c>
      <c r="CR1757">
        <v>2</v>
      </c>
      <c r="CS1757">
        <v>0</v>
      </c>
      <c r="CT1757">
        <v>2</v>
      </c>
      <c r="CU1757">
        <v>0</v>
      </c>
      <c r="CV1757">
        <v>3</v>
      </c>
      <c r="CW1757" t="s">
        <v>120</v>
      </c>
      <c r="CX1757">
        <v>257</v>
      </c>
      <c r="CY1757">
        <v>0</v>
      </c>
      <c r="CZ1757" t="s">
        <v>615</v>
      </c>
      <c r="DA1757" t="s">
        <v>616</v>
      </c>
      <c r="DD1757">
        <v>15512495</v>
      </c>
      <c r="DE1757" t="s">
        <v>123</v>
      </c>
    </row>
    <row r="1758" spans="1:109" x14ac:dyDescent="0.3">
      <c r="A1758" t="str">
        <f>"19:04:07.039"</f>
        <v>19:04:07.039</v>
      </c>
      <c r="B1758" t="s">
        <v>110</v>
      </c>
      <c r="C1758" t="str">
        <f t="shared" si="81"/>
        <v>ffdfd3c0</v>
      </c>
      <c r="D1758" t="s">
        <v>111</v>
      </c>
      <c r="E1758">
        <v>18</v>
      </c>
      <c r="F1758">
        <v>1018</v>
      </c>
      <c r="G1758" t="s">
        <v>112</v>
      </c>
      <c r="J1758" t="s">
        <v>113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R1758" t="s">
        <v>114</v>
      </c>
      <c r="S1758" t="str">
        <f>"19:04:06.844"</f>
        <v>19:04:06.844</v>
      </c>
      <c r="T1758" t="str">
        <f>"19:04:06.547"</f>
        <v>19:04:06.547</v>
      </c>
      <c r="U1758" t="str">
        <f t="shared" si="82"/>
        <v>a1cdbe</v>
      </c>
      <c r="V1758">
        <v>0</v>
      </c>
      <c r="W1758">
        <v>0</v>
      </c>
      <c r="X1758">
        <v>1</v>
      </c>
      <c r="Y1758">
        <v>0</v>
      </c>
      <c r="Z1758">
        <v>0</v>
      </c>
      <c r="AB1758">
        <v>0</v>
      </c>
      <c r="AC1758">
        <v>9</v>
      </c>
      <c r="AD1758">
        <v>3</v>
      </c>
      <c r="AE1758">
        <v>0</v>
      </c>
      <c r="AF1758">
        <v>9</v>
      </c>
      <c r="AG1758" t="s">
        <v>158</v>
      </c>
      <c r="AH1758">
        <v>0</v>
      </c>
      <c r="AI1758">
        <v>3</v>
      </c>
      <c r="AJ1758">
        <v>1</v>
      </c>
      <c r="AK1758">
        <v>0</v>
      </c>
      <c r="AL1758" t="s">
        <v>3353</v>
      </c>
      <c r="AM1758">
        <v>46.840403000000002</v>
      </c>
      <c r="AN1758" t="s">
        <v>3354</v>
      </c>
      <c r="AO1758">
        <v>-122.907529</v>
      </c>
      <c r="AP1758">
        <v>100</v>
      </c>
      <c r="AQ1758">
        <v>2000</v>
      </c>
      <c r="AR1758" t="s">
        <v>118</v>
      </c>
      <c r="AS1758">
        <v>-77</v>
      </c>
      <c r="AT1758">
        <v>20</v>
      </c>
      <c r="AU1758">
        <v>-128</v>
      </c>
      <c r="BC1758">
        <v>1200</v>
      </c>
      <c r="BD1758">
        <v>1</v>
      </c>
      <c r="BE1758" t="str">
        <f t="shared" si="83"/>
        <v xml:space="preserve">N215T   </v>
      </c>
      <c r="BF1758">
        <v>1</v>
      </c>
      <c r="BH1758">
        <v>0</v>
      </c>
      <c r="BI1758">
        <v>0</v>
      </c>
      <c r="BJ1758">
        <v>0</v>
      </c>
      <c r="BK1758">
        <v>2375</v>
      </c>
      <c r="BL1758">
        <v>375</v>
      </c>
      <c r="BM1758" t="s">
        <v>119</v>
      </c>
      <c r="BN1758">
        <v>1</v>
      </c>
      <c r="BO1758">
        <v>1</v>
      </c>
      <c r="BP1758">
        <v>1</v>
      </c>
      <c r="BQ1758">
        <v>0</v>
      </c>
      <c r="BT1758">
        <v>0</v>
      </c>
      <c r="BU1758">
        <v>0</v>
      </c>
      <c r="BV1758">
        <v>0</v>
      </c>
      <c r="CC1758" t="str">
        <f>"19:04:06.844"</f>
        <v>19:04:06.844</v>
      </c>
      <c r="CD1758" t="str">
        <f>"844946993"</f>
        <v>844946993</v>
      </c>
      <c r="CQ1758">
        <v>0</v>
      </c>
      <c r="CR1758">
        <v>2</v>
      </c>
      <c r="CS1758">
        <v>0</v>
      </c>
      <c r="CT1758">
        <v>2</v>
      </c>
      <c r="CU1758">
        <v>0</v>
      </c>
      <c r="CV1758">
        <v>7</v>
      </c>
      <c r="CW1758" t="s">
        <v>120</v>
      </c>
      <c r="CX1758">
        <v>261</v>
      </c>
      <c r="CY1758">
        <v>2</v>
      </c>
      <c r="CZ1758" t="s">
        <v>121</v>
      </c>
      <c r="DA1758" t="s">
        <v>122</v>
      </c>
      <c r="DD1758">
        <v>15288738</v>
      </c>
      <c r="DE1758" t="s">
        <v>123</v>
      </c>
    </row>
    <row r="1759" spans="1:109" x14ac:dyDescent="0.3">
      <c r="A1759" t="str">
        <f>"19:04:07.992"</f>
        <v>19:04:07.992</v>
      </c>
      <c r="B1759" t="s">
        <v>110</v>
      </c>
      <c r="C1759" t="str">
        <f t="shared" si="81"/>
        <v>ffdfd3c0</v>
      </c>
      <c r="D1759" t="s">
        <v>111</v>
      </c>
      <c r="E1759">
        <v>18</v>
      </c>
      <c r="F1759">
        <v>1018</v>
      </c>
      <c r="G1759" t="s">
        <v>112</v>
      </c>
      <c r="J1759" t="s">
        <v>113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R1759" t="s">
        <v>114</v>
      </c>
      <c r="S1759" t="str">
        <f>"19:04:07.805"</f>
        <v>19:04:07.805</v>
      </c>
      <c r="T1759" t="str">
        <f>"19:04:07.508"</f>
        <v>19:04:07.508</v>
      </c>
      <c r="U1759" t="str">
        <f t="shared" si="82"/>
        <v>a1cdbe</v>
      </c>
      <c r="V1759">
        <v>0</v>
      </c>
      <c r="W1759">
        <v>0</v>
      </c>
      <c r="X1759">
        <v>1</v>
      </c>
      <c r="Y1759">
        <v>0</v>
      </c>
      <c r="Z1759">
        <v>0</v>
      </c>
      <c r="AB1759">
        <v>0</v>
      </c>
      <c r="AC1759">
        <v>9</v>
      </c>
      <c r="AD1759">
        <v>3</v>
      </c>
      <c r="AE1759">
        <v>0</v>
      </c>
      <c r="AF1759">
        <v>9</v>
      </c>
      <c r="AG1759" t="s">
        <v>158</v>
      </c>
      <c r="AH1759">
        <v>0</v>
      </c>
      <c r="AI1759">
        <v>3</v>
      </c>
      <c r="AJ1759">
        <v>1</v>
      </c>
      <c r="AK1759">
        <v>0</v>
      </c>
      <c r="AL1759" t="s">
        <v>3355</v>
      </c>
      <c r="AM1759">
        <v>46.840488999999998</v>
      </c>
      <c r="AN1759" t="s">
        <v>3356</v>
      </c>
      <c r="AO1759">
        <v>-122.908044</v>
      </c>
      <c r="AP1759">
        <v>100</v>
      </c>
      <c r="AQ1759">
        <v>2000</v>
      </c>
      <c r="AR1759" t="s">
        <v>118</v>
      </c>
      <c r="AS1759">
        <v>-77</v>
      </c>
      <c r="AT1759">
        <v>20</v>
      </c>
      <c r="AU1759">
        <v>-128</v>
      </c>
      <c r="BC1759">
        <v>1200</v>
      </c>
      <c r="BD1759">
        <v>1</v>
      </c>
      <c r="BE1759" t="str">
        <f t="shared" si="83"/>
        <v xml:space="preserve">N215T   </v>
      </c>
      <c r="BF1759">
        <v>1</v>
      </c>
      <c r="BH1759">
        <v>0</v>
      </c>
      <c r="BI1759">
        <v>0</v>
      </c>
      <c r="BJ1759">
        <v>0</v>
      </c>
      <c r="BK1759">
        <v>2375</v>
      </c>
      <c r="BL1759">
        <v>375</v>
      </c>
      <c r="BM1759" t="s">
        <v>119</v>
      </c>
      <c r="BN1759">
        <v>1</v>
      </c>
      <c r="BO1759">
        <v>1</v>
      </c>
      <c r="BP1759">
        <v>1</v>
      </c>
      <c r="BQ1759">
        <v>0</v>
      </c>
      <c r="BT1759">
        <v>0</v>
      </c>
      <c r="BU1759">
        <v>0</v>
      </c>
      <c r="BV1759">
        <v>0</v>
      </c>
      <c r="CC1759" t="str">
        <f>"19:04:07.805"</f>
        <v>19:04:07.805</v>
      </c>
      <c r="CD1759" t="str">
        <f>"804852425"</f>
        <v>804852425</v>
      </c>
      <c r="CQ1759">
        <v>0</v>
      </c>
      <c r="CR1759">
        <v>2</v>
      </c>
      <c r="CS1759">
        <v>0</v>
      </c>
      <c r="CT1759">
        <v>2</v>
      </c>
      <c r="CU1759">
        <v>0</v>
      </c>
      <c r="CV1759">
        <v>7</v>
      </c>
      <c r="CW1759" t="s">
        <v>120</v>
      </c>
      <c r="CX1759">
        <v>261</v>
      </c>
      <c r="CY1759">
        <v>2</v>
      </c>
      <c r="CZ1759" t="s">
        <v>121</v>
      </c>
      <c r="DA1759" t="s">
        <v>122</v>
      </c>
      <c r="DD1759">
        <v>15289370</v>
      </c>
      <c r="DE1759" t="s">
        <v>123</v>
      </c>
    </row>
    <row r="1760" spans="1:109" x14ac:dyDescent="0.3">
      <c r="A1760" t="str">
        <f>"19:04:09.148"</f>
        <v>19:04:09.148</v>
      </c>
      <c r="B1760" t="s">
        <v>110</v>
      </c>
      <c r="C1760" t="str">
        <f t="shared" si="81"/>
        <v>ffdfd3c0</v>
      </c>
      <c r="D1760" t="s">
        <v>111</v>
      </c>
      <c r="E1760">
        <v>18</v>
      </c>
      <c r="F1760">
        <v>1018</v>
      </c>
      <c r="G1760" t="s">
        <v>112</v>
      </c>
      <c r="J1760" t="s">
        <v>113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R1760" t="s">
        <v>114</v>
      </c>
      <c r="S1760" t="str">
        <f>"19:04:08.914"</f>
        <v>19:04:08.914</v>
      </c>
      <c r="T1760" t="str">
        <f>"19:04:08.914"</f>
        <v>19:04:08.914</v>
      </c>
      <c r="U1760" t="str">
        <f t="shared" si="82"/>
        <v>a1cdbe</v>
      </c>
      <c r="V1760">
        <v>0</v>
      </c>
      <c r="W1760">
        <v>0</v>
      </c>
      <c r="X1760">
        <v>1</v>
      </c>
      <c r="Y1760">
        <v>0</v>
      </c>
      <c r="Z1760">
        <v>0</v>
      </c>
      <c r="AB1760">
        <v>0</v>
      </c>
      <c r="AC1760">
        <v>9</v>
      </c>
      <c r="AD1760">
        <v>3</v>
      </c>
      <c r="AE1760">
        <v>0</v>
      </c>
      <c r="AF1760">
        <v>9</v>
      </c>
      <c r="AG1760" t="s">
        <v>158</v>
      </c>
      <c r="AH1760">
        <v>0</v>
      </c>
      <c r="AI1760">
        <v>3</v>
      </c>
      <c r="AJ1760">
        <v>1</v>
      </c>
      <c r="AK1760">
        <v>0</v>
      </c>
      <c r="AL1760" t="s">
        <v>3357</v>
      </c>
      <c r="AM1760">
        <v>46.840617999999999</v>
      </c>
      <c r="AN1760" t="s">
        <v>3358</v>
      </c>
      <c r="AO1760">
        <v>-122.908602</v>
      </c>
      <c r="AP1760">
        <v>100</v>
      </c>
      <c r="AQ1760">
        <v>2000</v>
      </c>
      <c r="AR1760" t="s">
        <v>118</v>
      </c>
      <c r="AS1760">
        <v>-77</v>
      </c>
      <c r="AT1760">
        <v>20</v>
      </c>
      <c r="AU1760">
        <v>-64</v>
      </c>
      <c r="BC1760">
        <v>1200</v>
      </c>
      <c r="BD1760">
        <v>1</v>
      </c>
      <c r="BE1760" t="str">
        <f t="shared" si="83"/>
        <v xml:space="preserve">N215T   </v>
      </c>
      <c r="BF1760">
        <v>1</v>
      </c>
      <c r="BH1760">
        <v>0</v>
      </c>
      <c r="BI1760">
        <v>0</v>
      </c>
      <c r="BJ1760">
        <v>0</v>
      </c>
      <c r="BK1760">
        <v>2375</v>
      </c>
      <c r="BL1760">
        <v>375</v>
      </c>
      <c r="BM1760" t="s">
        <v>119</v>
      </c>
      <c r="BN1760">
        <v>1</v>
      </c>
      <c r="BO1760">
        <v>1</v>
      </c>
      <c r="BP1760">
        <v>1</v>
      </c>
      <c r="BQ1760">
        <v>0</v>
      </c>
      <c r="BT1760">
        <v>0</v>
      </c>
      <c r="BU1760">
        <v>0</v>
      </c>
      <c r="BV1760">
        <v>0</v>
      </c>
      <c r="CC1760" t="str">
        <f>"19:04:08.914"</f>
        <v>19:04:08.914</v>
      </c>
      <c r="CD1760" t="str">
        <f>"914743090"</f>
        <v>914743090</v>
      </c>
      <c r="CQ1760">
        <v>0</v>
      </c>
      <c r="CR1760">
        <v>2</v>
      </c>
      <c r="CS1760">
        <v>0</v>
      </c>
      <c r="CT1760">
        <v>2</v>
      </c>
      <c r="CU1760">
        <v>0</v>
      </c>
      <c r="CV1760">
        <v>7</v>
      </c>
      <c r="CW1760" t="s">
        <v>120</v>
      </c>
      <c r="CX1760">
        <v>261</v>
      </c>
      <c r="CY1760">
        <v>2</v>
      </c>
      <c r="CZ1760" t="s">
        <v>121</v>
      </c>
      <c r="DA1760" t="s">
        <v>122</v>
      </c>
      <c r="DD1760">
        <v>15290097</v>
      </c>
      <c r="DE1760" t="s">
        <v>123</v>
      </c>
    </row>
    <row r="1761" spans="1:109" x14ac:dyDescent="0.3">
      <c r="A1761" t="str">
        <f>"19:04:10.211"</f>
        <v>19:04:10.211</v>
      </c>
      <c r="B1761" t="s">
        <v>110</v>
      </c>
      <c r="C1761" t="str">
        <f t="shared" si="81"/>
        <v>ffdfd3c0</v>
      </c>
      <c r="D1761" t="s">
        <v>111</v>
      </c>
      <c r="E1761">
        <v>18</v>
      </c>
      <c r="F1761">
        <v>1018</v>
      </c>
      <c r="G1761" t="s">
        <v>112</v>
      </c>
      <c r="J1761" t="s">
        <v>113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R1761" t="s">
        <v>114</v>
      </c>
      <c r="S1761" t="str">
        <f>"19:04:09.961"</f>
        <v>19:04:09.961</v>
      </c>
      <c r="T1761" t="str">
        <f>"19:04:09.563"</f>
        <v>19:04:09.563</v>
      </c>
      <c r="U1761" t="str">
        <f t="shared" si="82"/>
        <v>a1cdbe</v>
      </c>
      <c r="V1761">
        <v>0</v>
      </c>
      <c r="W1761">
        <v>0</v>
      </c>
      <c r="X1761">
        <v>1</v>
      </c>
      <c r="Y1761">
        <v>0</v>
      </c>
      <c r="Z1761">
        <v>0</v>
      </c>
      <c r="AB1761">
        <v>0</v>
      </c>
      <c r="AC1761">
        <v>9</v>
      </c>
      <c r="AD1761">
        <v>3</v>
      </c>
      <c r="AE1761">
        <v>0</v>
      </c>
      <c r="AF1761">
        <v>9</v>
      </c>
      <c r="AG1761" t="s">
        <v>158</v>
      </c>
      <c r="AH1761">
        <v>0</v>
      </c>
      <c r="AI1761">
        <v>3</v>
      </c>
      <c r="AJ1761">
        <v>1</v>
      </c>
      <c r="AK1761">
        <v>0</v>
      </c>
      <c r="AL1761" t="s">
        <v>2199</v>
      </c>
      <c r="AM1761">
        <v>46.840702999999998</v>
      </c>
      <c r="AN1761" t="s">
        <v>3359</v>
      </c>
      <c r="AO1761">
        <v>-122.909138</v>
      </c>
      <c r="AP1761">
        <v>100</v>
      </c>
      <c r="AQ1761">
        <v>2000</v>
      </c>
      <c r="AR1761" t="s">
        <v>118</v>
      </c>
      <c r="AS1761">
        <v>-77</v>
      </c>
      <c r="AT1761">
        <v>20</v>
      </c>
      <c r="AU1761">
        <v>-64</v>
      </c>
      <c r="BC1761">
        <v>1200</v>
      </c>
      <c r="BD1761">
        <v>1</v>
      </c>
      <c r="BE1761" t="str">
        <f t="shared" si="83"/>
        <v xml:space="preserve">N215T   </v>
      </c>
      <c r="BF1761">
        <v>1</v>
      </c>
      <c r="BH1761">
        <v>0</v>
      </c>
      <c r="BI1761">
        <v>0</v>
      </c>
      <c r="BJ1761">
        <v>0</v>
      </c>
      <c r="BK1761">
        <v>2375</v>
      </c>
      <c r="BL1761">
        <v>375</v>
      </c>
      <c r="BM1761" t="s">
        <v>119</v>
      </c>
      <c r="BN1761">
        <v>1</v>
      </c>
      <c r="BO1761">
        <v>1</v>
      </c>
      <c r="BP1761">
        <v>1</v>
      </c>
      <c r="BQ1761">
        <v>0</v>
      </c>
      <c r="BT1761">
        <v>0</v>
      </c>
      <c r="BU1761">
        <v>0</v>
      </c>
      <c r="BV1761">
        <v>0</v>
      </c>
      <c r="CC1761" t="str">
        <f>"19:04:09.961"</f>
        <v>19:04:09.961</v>
      </c>
      <c r="CD1761" t="str">
        <f>"964639663"</f>
        <v>964639663</v>
      </c>
      <c r="CQ1761">
        <v>0</v>
      </c>
      <c r="CR1761">
        <v>2</v>
      </c>
      <c r="CS1761">
        <v>0</v>
      </c>
      <c r="CT1761">
        <v>2</v>
      </c>
      <c r="CU1761">
        <v>0</v>
      </c>
      <c r="CV1761">
        <v>7</v>
      </c>
      <c r="CW1761" t="s">
        <v>120</v>
      </c>
      <c r="CX1761">
        <v>261</v>
      </c>
      <c r="CY1761">
        <v>2</v>
      </c>
      <c r="CZ1761" t="s">
        <v>121</v>
      </c>
      <c r="DA1761" t="s">
        <v>122</v>
      </c>
      <c r="DD1761">
        <v>15290723</v>
      </c>
      <c r="DE1761" t="s">
        <v>123</v>
      </c>
    </row>
    <row r="1762" spans="1:109" x14ac:dyDescent="0.3">
      <c r="A1762" t="str">
        <f>"19:04:11.109"</f>
        <v>19:04:11.109</v>
      </c>
      <c r="B1762" t="s">
        <v>110</v>
      </c>
      <c r="C1762" t="str">
        <f t="shared" si="81"/>
        <v>ffdfd3c0</v>
      </c>
      <c r="D1762" t="s">
        <v>111</v>
      </c>
      <c r="E1762">
        <v>18</v>
      </c>
      <c r="F1762">
        <v>1018</v>
      </c>
      <c r="G1762" t="s">
        <v>112</v>
      </c>
      <c r="J1762" t="s">
        <v>113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R1762" t="s">
        <v>114</v>
      </c>
      <c r="S1762" t="str">
        <f>"19:04:10.859"</f>
        <v>19:04:10.859</v>
      </c>
      <c r="T1762" t="str">
        <f>"19:04:10.656"</f>
        <v>19:04:10.656</v>
      </c>
      <c r="U1762" t="str">
        <f t="shared" si="82"/>
        <v>a1cdbe</v>
      </c>
      <c r="V1762">
        <v>0</v>
      </c>
      <c r="W1762">
        <v>0</v>
      </c>
      <c r="X1762">
        <v>1</v>
      </c>
      <c r="Y1762">
        <v>0</v>
      </c>
      <c r="Z1762">
        <v>0</v>
      </c>
      <c r="AB1762">
        <v>0</v>
      </c>
      <c r="AC1762">
        <v>9</v>
      </c>
      <c r="AD1762">
        <v>3</v>
      </c>
      <c r="AE1762">
        <v>0</v>
      </c>
      <c r="AF1762">
        <v>9</v>
      </c>
      <c r="AG1762" t="s">
        <v>158</v>
      </c>
      <c r="AH1762">
        <v>0</v>
      </c>
      <c r="AI1762">
        <v>3</v>
      </c>
      <c r="AJ1762">
        <v>1</v>
      </c>
      <c r="AK1762">
        <v>0</v>
      </c>
      <c r="AL1762" t="s">
        <v>2197</v>
      </c>
      <c r="AM1762">
        <v>46.840811000000002</v>
      </c>
      <c r="AN1762" t="s">
        <v>3360</v>
      </c>
      <c r="AO1762">
        <v>-122.90961</v>
      </c>
      <c r="AP1762">
        <v>100</v>
      </c>
      <c r="AQ1762">
        <v>2000</v>
      </c>
      <c r="AR1762" t="s">
        <v>118</v>
      </c>
      <c r="AS1762">
        <v>-77</v>
      </c>
      <c r="AT1762">
        <v>21</v>
      </c>
      <c r="AU1762">
        <v>-64</v>
      </c>
      <c r="BC1762">
        <v>1200</v>
      </c>
      <c r="BD1762">
        <v>1</v>
      </c>
      <c r="BE1762" t="str">
        <f t="shared" si="83"/>
        <v xml:space="preserve">N215T   </v>
      </c>
      <c r="BF1762">
        <v>1</v>
      </c>
      <c r="BH1762">
        <v>0</v>
      </c>
      <c r="BI1762">
        <v>0</v>
      </c>
      <c r="BJ1762">
        <v>0</v>
      </c>
      <c r="BK1762">
        <v>2375</v>
      </c>
      <c r="BL1762">
        <v>375</v>
      </c>
      <c r="BM1762" t="s">
        <v>119</v>
      </c>
      <c r="BN1762">
        <v>1</v>
      </c>
      <c r="BO1762">
        <v>1</v>
      </c>
      <c r="BP1762">
        <v>1</v>
      </c>
      <c r="BQ1762">
        <v>0</v>
      </c>
      <c r="BT1762">
        <v>0</v>
      </c>
      <c r="BU1762">
        <v>0</v>
      </c>
      <c r="BV1762">
        <v>0</v>
      </c>
      <c r="CC1762" t="str">
        <f>"19:04:10.867"</f>
        <v>19:04:10.867</v>
      </c>
      <c r="CD1762" t="str">
        <f>"864551009"</f>
        <v>864551009</v>
      </c>
      <c r="CQ1762">
        <v>0</v>
      </c>
      <c r="CR1762">
        <v>2</v>
      </c>
      <c r="CS1762">
        <v>0</v>
      </c>
      <c r="CT1762">
        <v>2</v>
      </c>
      <c r="CU1762">
        <v>0</v>
      </c>
      <c r="CV1762">
        <v>7</v>
      </c>
      <c r="CW1762" t="s">
        <v>120</v>
      </c>
      <c r="CX1762">
        <v>261</v>
      </c>
      <c r="CY1762">
        <v>2</v>
      </c>
      <c r="CZ1762" t="s">
        <v>121</v>
      </c>
      <c r="DA1762" t="s">
        <v>122</v>
      </c>
      <c r="DD1762">
        <v>15291327</v>
      </c>
      <c r="DE1762" t="s">
        <v>123</v>
      </c>
    </row>
    <row r="1763" spans="1:109" x14ac:dyDescent="0.3">
      <c r="A1763" t="str">
        <f>"19:04:12.070"</f>
        <v>19:04:12.070</v>
      </c>
      <c r="B1763" t="s">
        <v>110</v>
      </c>
      <c r="C1763" t="str">
        <f t="shared" si="81"/>
        <v>ffdfd3c0</v>
      </c>
      <c r="D1763" t="s">
        <v>111</v>
      </c>
      <c r="E1763">
        <v>18</v>
      </c>
      <c r="F1763">
        <v>1018</v>
      </c>
      <c r="G1763" t="s">
        <v>112</v>
      </c>
      <c r="J1763" t="s">
        <v>113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R1763" t="s">
        <v>114</v>
      </c>
      <c r="S1763" t="str">
        <f>"19:04:11.852"</f>
        <v>19:04:11.852</v>
      </c>
      <c r="T1763" t="str">
        <f>"19:04:11.648"</f>
        <v>19:04:11.648</v>
      </c>
      <c r="U1763" t="str">
        <f t="shared" si="82"/>
        <v>a1cdbe</v>
      </c>
      <c r="V1763">
        <v>0</v>
      </c>
      <c r="W1763">
        <v>0</v>
      </c>
      <c r="X1763">
        <v>1</v>
      </c>
      <c r="Y1763">
        <v>0</v>
      </c>
      <c r="Z1763">
        <v>0</v>
      </c>
      <c r="AB1763">
        <v>0</v>
      </c>
      <c r="AC1763">
        <v>9</v>
      </c>
      <c r="AD1763">
        <v>3</v>
      </c>
      <c r="AE1763">
        <v>0</v>
      </c>
      <c r="AF1763">
        <v>9</v>
      </c>
      <c r="AG1763" t="s">
        <v>158</v>
      </c>
      <c r="AH1763">
        <v>0</v>
      </c>
      <c r="AI1763">
        <v>3</v>
      </c>
      <c r="AJ1763">
        <v>1</v>
      </c>
      <c r="AK1763">
        <v>0</v>
      </c>
      <c r="AL1763" t="s">
        <v>3361</v>
      </c>
      <c r="AM1763">
        <v>46.840918000000002</v>
      </c>
      <c r="AN1763" t="s">
        <v>3362</v>
      </c>
      <c r="AO1763">
        <v>-122.910104</v>
      </c>
      <c r="AP1763">
        <v>100</v>
      </c>
      <c r="AQ1763">
        <v>2000</v>
      </c>
      <c r="AR1763" t="s">
        <v>118</v>
      </c>
      <c r="AS1763">
        <v>-77</v>
      </c>
      <c r="AT1763">
        <v>21</v>
      </c>
      <c r="AU1763">
        <v>0</v>
      </c>
      <c r="BC1763">
        <v>1200</v>
      </c>
      <c r="BD1763">
        <v>1</v>
      </c>
      <c r="BE1763" t="str">
        <f t="shared" si="83"/>
        <v xml:space="preserve">N215T   </v>
      </c>
      <c r="BF1763">
        <v>1</v>
      </c>
      <c r="BH1763">
        <v>0</v>
      </c>
      <c r="BI1763">
        <v>0</v>
      </c>
      <c r="BJ1763">
        <v>0</v>
      </c>
      <c r="BK1763">
        <v>2375</v>
      </c>
      <c r="BL1763">
        <v>375</v>
      </c>
      <c r="BM1763" t="s">
        <v>119</v>
      </c>
      <c r="BN1763">
        <v>1</v>
      </c>
      <c r="BO1763">
        <v>1</v>
      </c>
      <c r="BP1763">
        <v>1</v>
      </c>
      <c r="BQ1763">
        <v>0</v>
      </c>
      <c r="BT1763">
        <v>0</v>
      </c>
      <c r="BU1763">
        <v>0</v>
      </c>
      <c r="BV1763">
        <v>0</v>
      </c>
      <c r="CC1763" t="str">
        <f>"19:04:11.852"</f>
        <v>19:04:11.852</v>
      </c>
      <c r="CD1763" t="str">
        <f>"854453493"</f>
        <v>854453493</v>
      </c>
      <c r="CQ1763">
        <v>0</v>
      </c>
      <c r="CR1763">
        <v>2</v>
      </c>
      <c r="CS1763">
        <v>0</v>
      </c>
      <c r="CT1763">
        <v>2</v>
      </c>
      <c r="CU1763">
        <v>0</v>
      </c>
      <c r="CV1763">
        <v>7</v>
      </c>
      <c r="CW1763" t="s">
        <v>120</v>
      </c>
      <c r="CX1763">
        <v>261</v>
      </c>
      <c r="CY1763">
        <v>2</v>
      </c>
      <c r="CZ1763" t="s">
        <v>121</v>
      </c>
      <c r="DA1763" t="s">
        <v>122</v>
      </c>
      <c r="DD1763">
        <v>15291991</v>
      </c>
      <c r="DE1763" t="s">
        <v>123</v>
      </c>
    </row>
    <row r="1764" spans="1:109" x14ac:dyDescent="0.3">
      <c r="A1764" t="str">
        <f>"19:04:13.172"</f>
        <v>19:04:13.172</v>
      </c>
      <c r="B1764" t="s">
        <v>110</v>
      </c>
      <c r="C1764" t="str">
        <f t="shared" si="81"/>
        <v>ffdfd3c0</v>
      </c>
      <c r="D1764" t="s">
        <v>111</v>
      </c>
      <c r="E1764">
        <v>18</v>
      </c>
      <c r="F1764">
        <v>1018</v>
      </c>
      <c r="G1764" t="s">
        <v>112</v>
      </c>
      <c r="J1764" t="s">
        <v>113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R1764" t="s">
        <v>114</v>
      </c>
      <c r="S1764" t="str">
        <f>"19:04:12.977"</f>
        <v>19:04:12.977</v>
      </c>
      <c r="T1764" t="str">
        <f>"19:04:12.578"</f>
        <v>19:04:12.578</v>
      </c>
      <c r="U1764" t="str">
        <f t="shared" si="82"/>
        <v>a1cdbe</v>
      </c>
      <c r="V1764">
        <v>0</v>
      </c>
      <c r="W1764">
        <v>0</v>
      </c>
      <c r="X1764">
        <v>1</v>
      </c>
      <c r="Y1764">
        <v>0</v>
      </c>
      <c r="Z1764">
        <v>0</v>
      </c>
      <c r="AB1764">
        <v>0</v>
      </c>
      <c r="AC1764">
        <v>9</v>
      </c>
      <c r="AD1764">
        <v>3</v>
      </c>
      <c r="AE1764">
        <v>0</v>
      </c>
      <c r="AF1764">
        <v>9</v>
      </c>
      <c r="AG1764" t="s">
        <v>158</v>
      </c>
      <c r="AH1764">
        <v>0</v>
      </c>
      <c r="AI1764">
        <v>3</v>
      </c>
      <c r="AJ1764">
        <v>1</v>
      </c>
      <c r="AK1764">
        <v>0</v>
      </c>
      <c r="AL1764" t="s">
        <v>3363</v>
      </c>
      <c r="AM1764">
        <v>46.841003999999998</v>
      </c>
      <c r="AN1764" t="s">
        <v>3364</v>
      </c>
      <c r="AO1764">
        <v>-122.91070499999999</v>
      </c>
      <c r="AP1764">
        <v>100</v>
      </c>
      <c r="AQ1764">
        <v>2000</v>
      </c>
      <c r="AR1764" t="s">
        <v>118</v>
      </c>
      <c r="AS1764">
        <v>-77</v>
      </c>
      <c r="AT1764">
        <v>22</v>
      </c>
      <c r="AU1764">
        <v>0</v>
      </c>
      <c r="BC1764">
        <v>1200</v>
      </c>
      <c r="BD1764">
        <v>1</v>
      </c>
      <c r="BE1764" t="str">
        <f t="shared" si="83"/>
        <v xml:space="preserve">N215T   </v>
      </c>
      <c r="BF1764">
        <v>1</v>
      </c>
      <c r="BH1764">
        <v>0</v>
      </c>
      <c r="BI1764">
        <v>0</v>
      </c>
      <c r="BJ1764">
        <v>0</v>
      </c>
      <c r="BK1764">
        <v>2375</v>
      </c>
      <c r="BL1764">
        <v>375</v>
      </c>
      <c r="BM1764" t="s">
        <v>119</v>
      </c>
      <c r="BN1764">
        <v>1</v>
      </c>
      <c r="BO1764">
        <v>1</v>
      </c>
      <c r="BP1764">
        <v>1</v>
      </c>
      <c r="BQ1764">
        <v>0</v>
      </c>
      <c r="BT1764">
        <v>0</v>
      </c>
      <c r="BU1764">
        <v>0</v>
      </c>
      <c r="BV1764">
        <v>0</v>
      </c>
      <c r="CC1764" t="str">
        <f>"19:04:12.977"</f>
        <v>19:04:12.977</v>
      </c>
      <c r="CD1764" t="str">
        <f>"979342675"</f>
        <v>979342675</v>
      </c>
      <c r="CQ1764">
        <v>0</v>
      </c>
      <c r="CR1764">
        <v>2</v>
      </c>
      <c r="CS1764">
        <v>0</v>
      </c>
      <c r="CT1764">
        <v>2</v>
      </c>
      <c r="CU1764">
        <v>0</v>
      </c>
      <c r="CV1764">
        <v>7</v>
      </c>
      <c r="CW1764" t="s">
        <v>120</v>
      </c>
      <c r="CX1764">
        <v>261</v>
      </c>
      <c r="CY1764">
        <v>2</v>
      </c>
      <c r="CZ1764" t="s">
        <v>121</v>
      </c>
      <c r="DA1764" t="s">
        <v>122</v>
      </c>
      <c r="DD1764">
        <v>15292720</v>
      </c>
      <c r="DE1764" t="s">
        <v>123</v>
      </c>
    </row>
    <row r="1765" spans="1:109" x14ac:dyDescent="0.3">
      <c r="A1765" t="str">
        <f>"19:04:14.328"</f>
        <v>19:04:14.328</v>
      </c>
      <c r="B1765" t="s">
        <v>110</v>
      </c>
      <c r="C1765" t="str">
        <f t="shared" si="81"/>
        <v>ffdfd3c0</v>
      </c>
      <c r="D1765" t="s">
        <v>111</v>
      </c>
      <c r="E1765">
        <v>18</v>
      </c>
      <c r="F1765">
        <v>1018</v>
      </c>
      <c r="G1765" t="s">
        <v>112</v>
      </c>
      <c r="J1765" t="s">
        <v>113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R1765" t="s">
        <v>114</v>
      </c>
      <c r="S1765" t="str">
        <f>"19:04:14.117"</f>
        <v>19:04:14.117</v>
      </c>
      <c r="T1765" t="str">
        <f>"19:04:14.117"</f>
        <v>19:04:14.117</v>
      </c>
      <c r="U1765" t="str">
        <f t="shared" si="82"/>
        <v>a1cdbe</v>
      </c>
      <c r="V1765">
        <v>0</v>
      </c>
      <c r="W1765">
        <v>0</v>
      </c>
      <c r="X1765">
        <v>1</v>
      </c>
      <c r="Y1765">
        <v>0</v>
      </c>
      <c r="Z1765">
        <v>0</v>
      </c>
      <c r="AB1765">
        <v>0</v>
      </c>
      <c r="AC1765">
        <v>9</v>
      </c>
      <c r="AD1765">
        <v>3</v>
      </c>
      <c r="AE1765">
        <v>0</v>
      </c>
      <c r="AF1765">
        <v>9</v>
      </c>
      <c r="AG1765" t="s">
        <v>158</v>
      </c>
      <c r="AH1765">
        <v>0</v>
      </c>
      <c r="AI1765">
        <v>3</v>
      </c>
      <c r="AJ1765">
        <v>1</v>
      </c>
      <c r="AK1765">
        <v>0</v>
      </c>
      <c r="AL1765" t="s">
        <v>2191</v>
      </c>
      <c r="AM1765">
        <v>46.841132999999999</v>
      </c>
      <c r="AN1765" t="s">
        <v>3365</v>
      </c>
      <c r="AO1765">
        <v>-122.911348</v>
      </c>
      <c r="AP1765">
        <v>100</v>
      </c>
      <c r="AQ1765">
        <v>2000</v>
      </c>
      <c r="AR1765" t="s">
        <v>118</v>
      </c>
      <c r="AS1765">
        <v>-77</v>
      </c>
      <c r="AT1765">
        <v>22</v>
      </c>
      <c r="AU1765">
        <v>0</v>
      </c>
      <c r="BC1765">
        <v>1200</v>
      </c>
      <c r="BD1765">
        <v>1</v>
      </c>
      <c r="BE1765" t="str">
        <f t="shared" si="83"/>
        <v xml:space="preserve">N215T   </v>
      </c>
      <c r="BF1765">
        <v>1</v>
      </c>
      <c r="BH1765">
        <v>0</v>
      </c>
      <c r="BI1765">
        <v>0</v>
      </c>
      <c r="BJ1765">
        <v>0</v>
      </c>
      <c r="BK1765">
        <v>2375</v>
      </c>
      <c r="BL1765">
        <v>375</v>
      </c>
      <c r="BM1765" t="s">
        <v>119</v>
      </c>
      <c r="BN1765">
        <v>1</v>
      </c>
      <c r="BO1765">
        <v>1</v>
      </c>
      <c r="BP1765">
        <v>1</v>
      </c>
      <c r="BQ1765">
        <v>0</v>
      </c>
      <c r="BT1765">
        <v>0</v>
      </c>
      <c r="BU1765">
        <v>0</v>
      </c>
      <c r="BV1765">
        <v>0</v>
      </c>
      <c r="CC1765" t="str">
        <f>"19:04:14.117"</f>
        <v>19:04:14.117</v>
      </c>
      <c r="CD1765" t="str">
        <f>"119230370"</f>
        <v>119230370</v>
      </c>
      <c r="CQ1765">
        <v>0</v>
      </c>
      <c r="CR1765">
        <v>2</v>
      </c>
      <c r="CS1765">
        <v>0</v>
      </c>
      <c r="CT1765">
        <v>2</v>
      </c>
      <c r="CU1765">
        <v>0</v>
      </c>
      <c r="CV1765">
        <v>7</v>
      </c>
      <c r="CW1765" t="s">
        <v>120</v>
      </c>
      <c r="CX1765">
        <v>261</v>
      </c>
      <c r="CY1765">
        <v>2</v>
      </c>
      <c r="CZ1765" t="s">
        <v>121</v>
      </c>
      <c r="DA1765" t="s">
        <v>122</v>
      </c>
      <c r="DD1765">
        <v>15293466</v>
      </c>
      <c r="DE1765" t="s">
        <v>123</v>
      </c>
    </row>
    <row r="1766" spans="1:109" x14ac:dyDescent="0.3">
      <c r="A1766" t="str">
        <f>"19:04:15.234"</f>
        <v>19:04:15.234</v>
      </c>
      <c r="B1766" t="s">
        <v>110</v>
      </c>
      <c r="C1766" t="str">
        <f t="shared" si="81"/>
        <v>ffdfd3c0</v>
      </c>
      <c r="D1766" t="s">
        <v>111</v>
      </c>
      <c r="E1766">
        <v>18</v>
      </c>
      <c r="F1766">
        <v>1018</v>
      </c>
      <c r="G1766" t="s">
        <v>112</v>
      </c>
      <c r="J1766" t="s">
        <v>113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R1766" t="s">
        <v>114</v>
      </c>
      <c r="S1766" t="str">
        <f>"19:04:15.000"</f>
        <v>19:04:15.000</v>
      </c>
      <c r="T1766" t="str">
        <f>"19:04:15.000"</f>
        <v>19:04:15.000</v>
      </c>
      <c r="U1766" t="str">
        <f t="shared" si="82"/>
        <v>a1cdbe</v>
      </c>
      <c r="V1766">
        <v>0</v>
      </c>
      <c r="W1766">
        <v>0</v>
      </c>
      <c r="X1766">
        <v>1</v>
      </c>
      <c r="Y1766">
        <v>0</v>
      </c>
      <c r="Z1766">
        <v>0</v>
      </c>
      <c r="AB1766">
        <v>0</v>
      </c>
      <c r="AC1766">
        <v>9</v>
      </c>
      <c r="AD1766">
        <v>3</v>
      </c>
      <c r="AE1766">
        <v>0</v>
      </c>
      <c r="AF1766">
        <v>9</v>
      </c>
      <c r="AG1766" t="s">
        <v>158</v>
      </c>
      <c r="AH1766">
        <v>0</v>
      </c>
      <c r="AI1766">
        <v>3</v>
      </c>
      <c r="AJ1766">
        <v>1</v>
      </c>
      <c r="AK1766">
        <v>0</v>
      </c>
      <c r="AL1766" t="s">
        <v>3366</v>
      </c>
      <c r="AM1766">
        <v>46.841197000000001</v>
      </c>
      <c r="AN1766" t="s">
        <v>3367</v>
      </c>
      <c r="AO1766">
        <v>-122.91173499999999</v>
      </c>
      <c r="AP1766">
        <v>100</v>
      </c>
      <c r="AQ1766">
        <v>2000</v>
      </c>
      <c r="AR1766" t="s">
        <v>118</v>
      </c>
      <c r="AS1766">
        <v>-77</v>
      </c>
      <c r="AT1766">
        <v>22</v>
      </c>
      <c r="AU1766">
        <v>0</v>
      </c>
      <c r="BC1766">
        <v>1200</v>
      </c>
      <c r="BD1766">
        <v>1</v>
      </c>
      <c r="BE1766" t="str">
        <f t="shared" si="83"/>
        <v xml:space="preserve">N215T   </v>
      </c>
      <c r="BF1766">
        <v>1</v>
      </c>
      <c r="BH1766">
        <v>0</v>
      </c>
      <c r="BI1766">
        <v>0</v>
      </c>
      <c r="BJ1766">
        <v>0</v>
      </c>
      <c r="BK1766">
        <v>2375</v>
      </c>
      <c r="BL1766">
        <v>375</v>
      </c>
      <c r="BM1766" t="s">
        <v>119</v>
      </c>
      <c r="BN1766">
        <v>1</v>
      </c>
      <c r="BO1766">
        <v>1</v>
      </c>
      <c r="BP1766">
        <v>1</v>
      </c>
      <c r="BQ1766">
        <v>0</v>
      </c>
      <c r="BT1766">
        <v>0</v>
      </c>
      <c r="BU1766">
        <v>0</v>
      </c>
      <c r="BV1766">
        <v>0</v>
      </c>
      <c r="CC1766" t="str">
        <f>"19:04:15.008"</f>
        <v>19:04:15.008</v>
      </c>
      <c r="CD1766" t="str">
        <f>"004143195"</f>
        <v>004143195</v>
      </c>
      <c r="CQ1766">
        <v>0</v>
      </c>
      <c r="CR1766">
        <v>2</v>
      </c>
      <c r="CS1766">
        <v>0</v>
      </c>
      <c r="CT1766">
        <v>2</v>
      </c>
      <c r="CU1766">
        <v>0</v>
      </c>
      <c r="CV1766">
        <v>7</v>
      </c>
      <c r="CW1766" t="s">
        <v>120</v>
      </c>
      <c r="CX1766">
        <v>261</v>
      </c>
      <c r="CY1766">
        <v>2</v>
      </c>
      <c r="CZ1766" t="s">
        <v>121</v>
      </c>
      <c r="DA1766" t="s">
        <v>122</v>
      </c>
      <c r="DD1766">
        <v>15294030</v>
      </c>
      <c r="DE1766" t="s">
        <v>123</v>
      </c>
    </row>
    <row r="1767" spans="1:109" x14ac:dyDescent="0.3">
      <c r="A1767" t="str">
        <f>"19:04:16.242"</f>
        <v>19:04:16.242</v>
      </c>
      <c r="B1767" t="s">
        <v>110</v>
      </c>
      <c r="C1767" t="str">
        <f t="shared" si="81"/>
        <v>ffdfd3c0</v>
      </c>
      <c r="D1767" t="s">
        <v>111</v>
      </c>
      <c r="E1767">
        <v>18</v>
      </c>
      <c r="F1767">
        <v>1018</v>
      </c>
      <c r="G1767" t="s">
        <v>112</v>
      </c>
      <c r="J1767" t="s">
        <v>113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R1767" t="s">
        <v>114</v>
      </c>
      <c r="S1767" t="str">
        <f>"19:04:16.031"</f>
        <v>19:04:16.031</v>
      </c>
      <c r="T1767" t="str">
        <f>"19:04:16.031"</f>
        <v>19:04:16.031</v>
      </c>
      <c r="U1767" t="str">
        <f t="shared" si="82"/>
        <v>a1cdbe</v>
      </c>
      <c r="V1767">
        <v>0</v>
      </c>
      <c r="W1767">
        <v>0</v>
      </c>
      <c r="X1767">
        <v>1</v>
      </c>
      <c r="Y1767">
        <v>0</v>
      </c>
      <c r="Z1767">
        <v>0</v>
      </c>
      <c r="AB1767">
        <v>0</v>
      </c>
      <c r="AC1767">
        <v>9</v>
      </c>
      <c r="AD1767">
        <v>3</v>
      </c>
      <c r="AE1767">
        <v>0</v>
      </c>
      <c r="AF1767">
        <v>9</v>
      </c>
      <c r="AG1767" t="s">
        <v>158</v>
      </c>
      <c r="AH1767">
        <v>0</v>
      </c>
      <c r="AI1767">
        <v>3</v>
      </c>
      <c r="AJ1767">
        <v>1</v>
      </c>
      <c r="AK1767">
        <v>0</v>
      </c>
      <c r="AL1767" t="s">
        <v>3368</v>
      </c>
      <c r="AM1767">
        <v>46.841304000000001</v>
      </c>
      <c r="AN1767" t="s">
        <v>3369</v>
      </c>
      <c r="AO1767">
        <v>-122.912357</v>
      </c>
      <c r="AP1767">
        <v>100</v>
      </c>
      <c r="AQ1767">
        <v>2000</v>
      </c>
      <c r="AR1767" t="s">
        <v>118</v>
      </c>
      <c r="AS1767">
        <v>-78</v>
      </c>
      <c r="AT1767">
        <v>21</v>
      </c>
      <c r="AU1767">
        <v>0</v>
      </c>
      <c r="BC1767">
        <v>1200</v>
      </c>
      <c r="BD1767">
        <v>1</v>
      </c>
      <c r="BE1767" t="str">
        <f t="shared" si="83"/>
        <v xml:space="preserve">N215T   </v>
      </c>
      <c r="BF1767">
        <v>1</v>
      </c>
      <c r="BH1767">
        <v>0</v>
      </c>
      <c r="BI1767">
        <v>0</v>
      </c>
      <c r="BJ1767">
        <v>0</v>
      </c>
      <c r="BK1767">
        <v>2375</v>
      </c>
      <c r="BL1767">
        <v>375</v>
      </c>
      <c r="BM1767" t="s">
        <v>119</v>
      </c>
      <c r="BN1767">
        <v>1</v>
      </c>
      <c r="BO1767">
        <v>1</v>
      </c>
      <c r="BP1767">
        <v>1</v>
      </c>
      <c r="BQ1767">
        <v>0</v>
      </c>
      <c r="BT1767">
        <v>0</v>
      </c>
      <c r="BU1767">
        <v>0</v>
      </c>
      <c r="BV1767">
        <v>0</v>
      </c>
      <c r="CC1767" t="str">
        <f>"19:04:16.039"</f>
        <v>19:04:16.039</v>
      </c>
      <c r="CD1767" t="str">
        <f>"039041248"</f>
        <v>039041248</v>
      </c>
      <c r="CQ1767">
        <v>0</v>
      </c>
      <c r="CR1767">
        <v>2</v>
      </c>
      <c r="CS1767">
        <v>0</v>
      </c>
      <c r="CT1767">
        <v>2</v>
      </c>
      <c r="CU1767">
        <v>0</v>
      </c>
      <c r="CV1767">
        <v>7</v>
      </c>
      <c r="CW1767" t="s">
        <v>120</v>
      </c>
      <c r="CX1767">
        <v>261</v>
      </c>
      <c r="CY1767">
        <v>2</v>
      </c>
      <c r="CZ1767" t="s">
        <v>121</v>
      </c>
      <c r="DA1767" t="s">
        <v>122</v>
      </c>
      <c r="DD1767">
        <v>15294742</v>
      </c>
      <c r="DE1767" t="s">
        <v>123</v>
      </c>
    </row>
    <row r="1768" spans="1:109" x14ac:dyDescent="0.3">
      <c r="A1768" t="str">
        <f>"19:04:17.195"</f>
        <v>19:04:17.195</v>
      </c>
      <c r="B1768" t="s">
        <v>110</v>
      </c>
      <c r="C1768" t="str">
        <f t="shared" si="81"/>
        <v>ffdfd3c0</v>
      </c>
      <c r="D1768" t="s">
        <v>111</v>
      </c>
      <c r="E1768">
        <v>18</v>
      </c>
      <c r="F1768">
        <v>1018</v>
      </c>
      <c r="G1768" t="s">
        <v>112</v>
      </c>
      <c r="J1768" t="s">
        <v>113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R1768" t="s">
        <v>114</v>
      </c>
      <c r="S1768" t="str">
        <f>"19:04:16.992"</f>
        <v>19:04:16.992</v>
      </c>
      <c r="T1768" t="str">
        <f>"19:04:16.594"</f>
        <v>19:04:16.594</v>
      </c>
      <c r="U1768" t="str">
        <f t="shared" si="82"/>
        <v>a1cdbe</v>
      </c>
      <c r="V1768">
        <v>0</v>
      </c>
      <c r="W1768">
        <v>0</v>
      </c>
      <c r="X1768">
        <v>1</v>
      </c>
      <c r="Y1768">
        <v>0</v>
      </c>
      <c r="Z1768">
        <v>0</v>
      </c>
      <c r="AB1768">
        <v>0</v>
      </c>
      <c r="AC1768">
        <v>9</v>
      </c>
      <c r="AD1768">
        <v>3</v>
      </c>
      <c r="AE1768">
        <v>0</v>
      </c>
      <c r="AF1768">
        <v>9</v>
      </c>
      <c r="AG1768" t="s">
        <v>158</v>
      </c>
      <c r="AH1768">
        <v>0</v>
      </c>
      <c r="AI1768">
        <v>3</v>
      </c>
      <c r="AJ1768">
        <v>1</v>
      </c>
      <c r="AK1768">
        <v>0</v>
      </c>
      <c r="AL1768" t="s">
        <v>3370</v>
      </c>
      <c r="AM1768">
        <v>46.841411999999998</v>
      </c>
      <c r="AN1768" t="s">
        <v>3371</v>
      </c>
      <c r="AO1768">
        <v>-122.91285000000001</v>
      </c>
      <c r="AP1768">
        <v>100</v>
      </c>
      <c r="AQ1768">
        <v>2000</v>
      </c>
      <c r="AR1768" t="s">
        <v>118</v>
      </c>
      <c r="AS1768">
        <v>-78</v>
      </c>
      <c r="AT1768">
        <v>21</v>
      </c>
      <c r="AU1768">
        <v>0</v>
      </c>
      <c r="BC1768">
        <v>1200</v>
      </c>
      <c r="BD1768">
        <v>1</v>
      </c>
      <c r="BE1768" t="str">
        <f t="shared" si="83"/>
        <v xml:space="preserve">N215T   </v>
      </c>
      <c r="BF1768">
        <v>1</v>
      </c>
      <c r="BH1768">
        <v>0</v>
      </c>
      <c r="BI1768">
        <v>0</v>
      </c>
      <c r="BJ1768">
        <v>0</v>
      </c>
      <c r="BK1768">
        <v>2375</v>
      </c>
      <c r="BL1768">
        <v>375</v>
      </c>
      <c r="BM1768" t="s">
        <v>119</v>
      </c>
      <c r="BN1768">
        <v>1</v>
      </c>
      <c r="BO1768">
        <v>1</v>
      </c>
      <c r="BP1768">
        <v>1</v>
      </c>
      <c r="BQ1768">
        <v>0</v>
      </c>
      <c r="BT1768">
        <v>0</v>
      </c>
      <c r="BU1768">
        <v>0</v>
      </c>
      <c r="BV1768">
        <v>0</v>
      </c>
      <c r="CC1768" t="str">
        <f>"19:04:17.000"</f>
        <v>19:04:17.000</v>
      </c>
      <c r="CD1768" t="str">
        <f>"998946679"</f>
        <v>998946679</v>
      </c>
      <c r="CQ1768">
        <v>0</v>
      </c>
      <c r="CR1768">
        <v>2</v>
      </c>
      <c r="CS1768">
        <v>0</v>
      </c>
      <c r="CT1768">
        <v>2</v>
      </c>
      <c r="CU1768">
        <v>0</v>
      </c>
      <c r="CV1768">
        <v>7</v>
      </c>
      <c r="CW1768" t="s">
        <v>120</v>
      </c>
      <c r="CX1768">
        <v>261</v>
      </c>
      <c r="CY1768">
        <v>2</v>
      </c>
      <c r="CZ1768" t="s">
        <v>121</v>
      </c>
      <c r="DA1768" t="s">
        <v>122</v>
      </c>
      <c r="DD1768">
        <v>15295357</v>
      </c>
      <c r="DE1768" t="s">
        <v>123</v>
      </c>
    </row>
    <row r="1769" spans="1:109" x14ac:dyDescent="0.3">
      <c r="A1769" t="str">
        <f>"19:04:18.203"</f>
        <v>19:04:18.203</v>
      </c>
      <c r="B1769" t="s">
        <v>110</v>
      </c>
      <c r="C1769" t="str">
        <f t="shared" si="81"/>
        <v>ffdfd3c0</v>
      </c>
      <c r="D1769" t="s">
        <v>111</v>
      </c>
      <c r="E1769">
        <v>18</v>
      </c>
      <c r="F1769">
        <v>1018</v>
      </c>
      <c r="G1769" t="s">
        <v>112</v>
      </c>
      <c r="J1769" t="s">
        <v>113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R1769" t="s">
        <v>114</v>
      </c>
      <c r="S1769" t="str">
        <f>"19:04:17.969"</f>
        <v>19:04:17.969</v>
      </c>
      <c r="T1769" t="str">
        <f>"19:04:17.969"</f>
        <v>19:04:17.969</v>
      </c>
      <c r="U1769" t="str">
        <f t="shared" si="82"/>
        <v>a1cdbe</v>
      </c>
      <c r="V1769">
        <v>0</v>
      </c>
      <c r="W1769">
        <v>0</v>
      </c>
      <c r="X1769">
        <v>1</v>
      </c>
      <c r="Y1769">
        <v>0</v>
      </c>
      <c r="Z1769">
        <v>0</v>
      </c>
      <c r="AB1769">
        <v>0</v>
      </c>
      <c r="AC1769">
        <v>9</v>
      </c>
      <c r="AD1769">
        <v>3</v>
      </c>
      <c r="AE1769">
        <v>0</v>
      </c>
      <c r="AF1769">
        <v>9</v>
      </c>
      <c r="AG1769" t="s">
        <v>158</v>
      </c>
      <c r="AH1769">
        <v>0</v>
      </c>
      <c r="AI1769">
        <v>3</v>
      </c>
      <c r="AJ1769">
        <v>1</v>
      </c>
      <c r="AK1769">
        <v>0</v>
      </c>
      <c r="AL1769" t="s">
        <v>2185</v>
      </c>
      <c r="AM1769">
        <v>46.841496999999997</v>
      </c>
      <c r="AN1769" t="s">
        <v>3372</v>
      </c>
      <c r="AO1769">
        <v>-122.913365</v>
      </c>
      <c r="AP1769">
        <v>100</v>
      </c>
      <c r="AQ1769">
        <v>2000</v>
      </c>
      <c r="AR1769" t="s">
        <v>118</v>
      </c>
      <c r="AS1769">
        <v>-78</v>
      </c>
      <c r="AT1769">
        <v>21</v>
      </c>
      <c r="AU1769">
        <v>64</v>
      </c>
      <c r="BC1769">
        <v>1200</v>
      </c>
      <c r="BD1769">
        <v>1</v>
      </c>
      <c r="BE1769" t="str">
        <f t="shared" si="83"/>
        <v xml:space="preserve">N215T   </v>
      </c>
      <c r="BF1769">
        <v>1</v>
      </c>
      <c r="BH1769">
        <v>0</v>
      </c>
      <c r="BI1769">
        <v>0</v>
      </c>
      <c r="BJ1769">
        <v>0</v>
      </c>
      <c r="BK1769">
        <v>2375</v>
      </c>
      <c r="BL1769">
        <v>375</v>
      </c>
      <c r="BM1769" t="s">
        <v>119</v>
      </c>
      <c r="BN1769">
        <v>1</v>
      </c>
      <c r="BO1769">
        <v>1</v>
      </c>
      <c r="BP1769">
        <v>1</v>
      </c>
      <c r="BQ1769">
        <v>0</v>
      </c>
      <c r="BT1769">
        <v>0</v>
      </c>
      <c r="BU1769">
        <v>0</v>
      </c>
      <c r="BV1769">
        <v>0</v>
      </c>
      <c r="CC1769" t="str">
        <f>"19:04:17.977"</f>
        <v>19:04:17.977</v>
      </c>
      <c r="CD1769" t="str">
        <f>"973850635"</f>
        <v>973850635</v>
      </c>
      <c r="CQ1769">
        <v>0</v>
      </c>
      <c r="CR1769">
        <v>2</v>
      </c>
      <c r="CS1769">
        <v>0</v>
      </c>
      <c r="CT1769">
        <v>2</v>
      </c>
      <c r="CU1769">
        <v>0</v>
      </c>
      <c r="CV1769">
        <v>7</v>
      </c>
      <c r="CW1769" t="s">
        <v>120</v>
      </c>
      <c r="CX1769">
        <v>261</v>
      </c>
      <c r="CY1769">
        <v>2</v>
      </c>
      <c r="CZ1769" t="s">
        <v>121</v>
      </c>
      <c r="DA1769" t="s">
        <v>122</v>
      </c>
      <c r="DD1769">
        <v>15295999</v>
      </c>
      <c r="DE1769" t="s">
        <v>123</v>
      </c>
    </row>
    <row r="1770" spans="1:109" x14ac:dyDescent="0.3">
      <c r="A1770" t="str">
        <f>"19:04:19.164"</f>
        <v>19:04:19.164</v>
      </c>
      <c r="B1770" t="s">
        <v>110</v>
      </c>
      <c r="C1770" t="str">
        <f t="shared" si="81"/>
        <v>ffdfd3c0</v>
      </c>
      <c r="D1770" t="s">
        <v>111</v>
      </c>
      <c r="E1770">
        <v>18</v>
      </c>
      <c r="F1770">
        <v>1018</v>
      </c>
      <c r="G1770" t="s">
        <v>112</v>
      </c>
      <c r="J1770" t="s">
        <v>113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R1770" t="s">
        <v>114</v>
      </c>
      <c r="S1770" t="str">
        <f>"19:04:18.945"</f>
        <v>19:04:18.945</v>
      </c>
      <c r="T1770" t="str">
        <f>"19:04:18.945"</f>
        <v>19:04:18.945</v>
      </c>
      <c r="U1770" t="str">
        <f t="shared" si="82"/>
        <v>a1cdbe</v>
      </c>
      <c r="V1770">
        <v>0</v>
      </c>
      <c r="W1770">
        <v>0</v>
      </c>
      <c r="X1770">
        <v>1</v>
      </c>
      <c r="Y1770">
        <v>0</v>
      </c>
      <c r="Z1770">
        <v>0</v>
      </c>
      <c r="AB1770">
        <v>0</v>
      </c>
      <c r="AC1770">
        <v>9</v>
      </c>
      <c r="AD1770">
        <v>3</v>
      </c>
      <c r="AE1770">
        <v>0</v>
      </c>
      <c r="AF1770">
        <v>9</v>
      </c>
      <c r="AG1770" t="s">
        <v>158</v>
      </c>
      <c r="AH1770">
        <v>0</v>
      </c>
      <c r="AI1770">
        <v>3</v>
      </c>
      <c r="AJ1770">
        <v>1</v>
      </c>
      <c r="AK1770">
        <v>0</v>
      </c>
      <c r="AL1770" t="s">
        <v>3373</v>
      </c>
      <c r="AM1770">
        <v>46.841605000000001</v>
      </c>
      <c r="AN1770" t="s">
        <v>3374</v>
      </c>
      <c r="AO1770">
        <v>-122.91388000000001</v>
      </c>
      <c r="AP1770">
        <v>100</v>
      </c>
      <c r="AQ1770">
        <v>2000</v>
      </c>
      <c r="AR1770" t="s">
        <v>118</v>
      </c>
      <c r="AS1770">
        <v>-78</v>
      </c>
      <c r="AT1770">
        <v>21</v>
      </c>
      <c r="AU1770">
        <v>64</v>
      </c>
      <c r="BC1770">
        <v>1200</v>
      </c>
      <c r="BD1770">
        <v>1</v>
      </c>
      <c r="BE1770" t="str">
        <f t="shared" si="83"/>
        <v xml:space="preserve">N215T   </v>
      </c>
      <c r="BF1770">
        <v>1</v>
      </c>
      <c r="BH1770">
        <v>0</v>
      </c>
      <c r="BI1770">
        <v>0</v>
      </c>
      <c r="BJ1770">
        <v>0</v>
      </c>
      <c r="BK1770">
        <v>2375</v>
      </c>
      <c r="BL1770">
        <v>375</v>
      </c>
      <c r="BM1770" t="s">
        <v>119</v>
      </c>
      <c r="BN1770">
        <v>1</v>
      </c>
      <c r="BO1770">
        <v>1</v>
      </c>
      <c r="BP1770">
        <v>1</v>
      </c>
      <c r="BQ1770">
        <v>0</v>
      </c>
      <c r="BT1770">
        <v>0</v>
      </c>
      <c r="BU1770">
        <v>0</v>
      </c>
      <c r="BV1770">
        <v>0</v>
      </c>
      <c r="CC1770" t="str">
        <f>"19:04:18.945"</f>
        <v>19:04:18.945</v>
      </c>
      <c r="CD1770" t="str">
        <f>"948754587"</f>
        <v>948754587</v>
      </c>
      <c r="CQ1770">
        <v>0</v>
      </c>
      <c r="CR1770">
        <v>2</v>
      </c>
      <c r="CS1770">
        <v>0</v>
      </c>
      <c r="CT1770">
        <v>2</v>
      </c>
      <c r="CU1770">
        <v>0</v>
      </c>
      <c r="CV1770">
        <v>7</v>
      </c>
      <c r="CW1770" t="s">
        <v>120</v>
      </c>
      <c r="CX1770">
        <v>261</v>
      </c>
      <c r="CY1770">
        <v>2</v>
      </c>
      <c r="CZ1770" t="s">
        <v>121</v>
      </c>
      <c r="DA1770" t="s">
        <v>122</v>
      </c>
      <c r="DD1770">
        <v>15296679</v>
      </c>
      <c r="DE1770" t="s">
        <v>123</v>
      </c>
    </row>
    <row r="1771" spans="1:109" x14ac:dyDescent="0.3">
      <c r="A1771" t="str">
        <f>"19:04:20.211"</f>
        <v>19:04:20.211</v>
      </c>
      <c r="B1771" t="s">
        <v>110</v>
      </c>
      <c r="C1771" t="str">
        <f t="shared" si="81"/>
        <v>ffdfd3c0</v>
      </c>
      <c r="D1771" t="s">
        <v>111</v>
      </c>
      <c r="E1771">
        <v>18</v>
      </c>
      <c r="F1771">
        <v>1018</v>
      </c>
      <c r="G1771" t="s">
        <v>112</v>
      </c>
      <c r="J1771" t="s">
        <v>113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R1771" t="s">
        <v>114</v>
      </c>
      <c r="S1771" t="str">
        <f>"19:04:19.992"</f>
        <v>19:04:19.992</v>
      </c>
      <c r="T1771" t="str">
        <f>"19:04:19.891"</f>
        <v>19:04:19.891</v>
      </c>
      <c r="U1771" t="str">
        <f t="shared" si="82"/>
        <v>a1cdbe</v>
      </c>
      <c r="V1771">
        <v>0</v>
      </c>
      <c r="W1771">
        <v>0</v>
      </c>
      <c r="X1771">
        <v>1</v>
      </c>
      <c r="Y1771">
        <v>0</v>
      </c>
      <c r="Z1771">
        <v>0</v>
      </c>
      <c r="AB1771">
        <v>0</v>
      </c>
      <c r="AC1771">
        <v>9</v>
      </c>
      <c r="AD1771">
        <v>3</v>
      </c>
      <c r="AE1771">
        <v>0</v>
      </c>
      <c r="AF1771">
        <v>9</v>
      </c>
      <c r="AG1771" t="s">
        <v>158</v>
      </c>
      <c r="AH1771">
        <v>0</v>
      </c>
      <c r="AI1771">
        <v>3</v>
      </c>
      <c r="AJ1771">
        <v>1</v>
      </c>
      <c r="AK1771">
        <v>0</v>
      </c>
      <c r="AL1771" t="s">
        <v>3375</v>
      </c>
      <c r="AM1771">
        <v>46.841669000000003</v>
      </c>
      <c r="AN1771" t="s">
        <v>3376</v>
      </c>
      <c r="AO1771">
        <v>-122.914438</v>
      </c>
      <c r="AP1771">
        <v>100</v>
      </c>
      <c r="AQ1771">
        <v>2000</v>
      </c>
      <c r="AR1771" t="s">
        <v>118</v>
      </c>
      <c r="AS1771">
        <v>-78</v>
      </c>
      <c r="AT1771">
        <v>21</v>
      </c>
      <c r="AU1771">
        <v>0</v>
      </c>
      <c r="BC1771">
        <v>1200</v>
      </c>
      <c r="BD1771">
        <v>1</v>
      </c>
      <c r="BE1771" t="str">
        <f t="shared" si="83"/>
        <v xml:space="preserve">N215T   </v>
      </c>
      <c r="BF1771">
        <v>1</v>
      </c>
      <c r="BH1771">
        <v>0</v>
      </c>
      <c r="BI1771">
        <v>0</v>
      </c>
      <c r="BJ1771">
        <v>0</v>
      </c>
      <c r="BK1771">
        <v>2375</v>
      </c>
      <c r="BL1771">
        <v>375</v>
      </c>
      <c r="BM1771" t="s">
        <v>119</v>
      </c>
      <c r="BN1771">
        <v>1</v>
      </c>
      <c r="BO1771">
        <v>1</v>
      </c>
      <c r="BP1771">
        <v>1</v>
      </c>
      <c r="BQ1771">
        <v>0</v>
      </c>
      <c r="BT1771">
        <v>0</v>
      </c>
      <c r="BU1771">
        <v>0</v>
      </c>
      <c r="BV1771">
        <v>0</v>
      </c>
      <c r="CC1771" t="str">
        <f>"19:04:20.000"</f>
        <v>19:04:20.000</v>
      </c>
      <c r="CD1771" t="str">
        <f>"998651165"</f>
        <v>998651165</v>
      </c>
      <c r="CQ1771">
        <v>0</v>
      </c>
      <c r="CR1771">
        <v>2</v>
      </c>
      <c r="CS1771">
        <v>0</v>
      </c>
      <c r="CT1771">
        <v>2</v>
      </c>
      <c r="CU1771">
        <v>0</v>
      </c>
      <c r="CV1771">
        <v>7</v>
      </c>
      <c r="CW1771" t="s">
        <v>120</v>
      </c>
      <c r="CX1771">
        <v>261</v>
      </c>
      <c r="CY1771">
        <v>2</v>
      </c>
      <c r="CZ1771" t="s">
        <v>121</v>
      </c>
      <c r="DA1771" t="s">
        <v>122</v>
      </c>
      <c r="DD1771">
        <v>15297416</v>
      </c>
      <c r="DE1771" t="s">
        <v>123</v>
      </c>
    </row>
    <row r="1772" spans="1:109" x14ac:dyDescent="0.3">
      <c r="A1772" t="str">
        <f>"19:04:21.219"</f>
        <v>19:04:21.219</v>
      </c>
      <c r="B1772" t="s">
        <v>110</v>
      </c>
      <c r="C1772" t="str">
        <f t="shared" si="81"/>
        <v>ffdfd3c0</v>
      </c>
      <c r="D1772" t="s">
        <v>111</v>
      </c>
      <c r="E1772">
        <v>18</v>
      </c>
      <c r="F1772">
        <v>1018</v>
      </c>
      <c r="G1772" t="s">
        <v>112</v>
      </c>
      <c r="J1772" t="s">
        <v>113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R1772" t="s">
        <v>114</v>
      </c>
      <c r="S1772" t="str">
        <f>"19:04:21.000"</f>
        <v>19:04:21.000</v>
      </c>
      <c r="T1772" t="str">
        <f>"19:04:20.898"</f>
        <v>19:04:20.898</v>
      </c>
      <c r="U1772" t="str">
        <f t="shared" si="82"/>
        <v>a1cdbe</v>
      </c>
      <c r="V1772">
        <v>0</v>
      </c>
      <c r="W1772">
        <v>0</v>
      </c>
      <c r="X1772">
        <v>1</v>
      </c>
      <c r="Y1772">
        <v>0</v>
      </c>
      <c r="Z1772">
        <v>0</v>
      </c>
      <c r="AB1772">
        <v>0</v>
      </c>
      <c r="AC1772">
        <v>9</v>
      </c>
      <c r="AD1772">
        <v>3</v>
      </c>
      <c r="AE1772">
        <v>0</v>
      </c>
      <c r="AF1772">
        <v>9</v>
      </c>
      <c r="AG1772" t="s">
        <v>158</v>
      </c>
      <c r="AH1772">
        <v>0</v>
      </c>
      <c r="AI1772">
        <v>3</v>
      </c>
      <c r="AJ1772">
        <v>1</v>
      </c>
      <c r="AK1772">
        <v>0</v>
      </c>
      <c r="AL1772" t="s">
        <v>3377</v>
      </c>
      <c r="AM1772">
        <v>46.841797999999997</v>
      </c>
      <c r="AN1772" t="s">
        <v>3378</v>
      </c>
      <c r="AO1772">
        <v>-122.91491000000001</v>
      </c>
      <c r="AP1772">
        <v>100</v>
      </c>
      <c r="AQ1772">
        <v>2000</v>
      </c>
      <c r="AR1772" t="s">
        <v>118</v>
      </c>
      <c r="AS1772">
        <v>-78</v>
      </c>
      <c r="AT1772">
        <v>21</v>
      </c>
      <c r="AU1772">
        <v>0</v>
      </c>
      <c r="BC1772">
        <v>1200</v>
      </c>
      <c r="BD1772">
        <v>1</v>
      </c>
      <c r="BE1772" t="str">
        <f t="shared" si="83"/>
        <v xml:space="preserve">N215T   </v>
      </c>
      <c r="BF1772">
        <v>1</v>
      </c>
      <c r="BH1772">
        <v>0</v>
      </c>
      <c r="BI1772">
        <v>0</v>
      </c>
      <c r="BJ1772">
        <v>0</v>
      </c>
      <c r="BK1772">
        <v>2375</v>
      </c>
      <c r="BL1772">
        <v>375</v>
      </c>
      <c r="BM1772" t="s">
        <v>119</v>
      </c>
      <c r="BN1772">
        <v>1</v>
      </c>
      <c r="BO1772">
        <v>1</v>
      </c>
      <c r="BP1772">
        <v>1</v>
      </c>
      <c r="BQ1772">
        <v>0</v>
      </c>
      <c r="BT1772">
        <v>0</v>
      </c>
      <c r="BU1772">
        <v>0</v>
      </c>
      <c r="BV1772">
        <v>0</v>
      </c>
      <c r="CC1772" t="str">
        <f>"19:04:21.000"</f>
        <v>19:04:21.000</v>
      </c>
      <c r="CD1772" t="str">
        <f>"003552167"</f>
        <v>003552167</v>
      </c>
      <c r="CQ1772">
        <v>0</v>
      </c>
      <c r="CR1772">
        <v>2</v>
      </c>
      <c r="CS1772">
        <v>0</v>
      </c>
      <c r="CT1772">
        <v>2</v>
      </c>
      <c r="CU1772">
        <v>0</v>
      </c>
      <c r="CV1772">
        <v>7</v>
      </c>
      <c r="CW1772" t="s">
        <v>120</v>
      </c>
      <c r="CX1772">
        <v>261</v>
      </c>
      <c r="CY1772">
        <v>2</v>
      </c>
      <c r="CZ1772" t="s">
        <v>121</v>
      </c>
      <c r="DA1772" t="s">
        <v>122</v>
      </c>
      <c r="DD1772">
        <v>15298078</v>
      </c>
      <c r="DE1772" t="s">
        <v>123</v>
      </c>
    </row>
    <row r="1773" spans="1:109" x14ac:dyDescent="0.3">
      <c r="A1773" t="str">
        <f>"19:04:22.375"</f>
        <v>19:04:22.375</v>
      </c>
      <c r="B1773" t="s">
        <v>110</v>
      </c>
      <c r="C1773" t="str">
        <f t="shared" si="81"/>
        <v>ffdfd3c0</v>
      </c>
      <c r="D1773" t="s">
        <v>111</v>
      </c>
      <c r="E1773">
        <v>18</v>
      </c>
      <c r="F1773">
        <v>1018</v>
      </c>
      <c r="G1773" t="s">
        <v>112</v>
      </c>
      <c r="J1773" t="s">
        <v>113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R1773" t="s">
        <v>114</v>
      </c>
      <c r="S1773" t="str">
        <f>"19:04:22.156"</f>
        <v>19:04:22.156</v>
      </c>
      <c r="T1773" t="str">
        <f>"19:04:21.953"</f>
        <v>19:04:21.953</v>
      </c>
      <c r="U1773" t="str">
        <f t="shared" si="82"/>
        <v>a1cdbe</v>
      </c>
      <c r="V1773">
        <v>0</v>
      </c>
      <c r="W1773">
        <v>0</v>
      </c>
      <c r="X1773">
        <v>1</v>
      </c>
      <c r="Y1773">
        <v>0</v>
      </c>
      <c r="Z1773">
        <v>0</v>
      </c>
      <c r="AB1773">
        <v>0</v>
      </c>
      <c r="AC1773">
        <v>9</v>
      </c>
      <c r="AD1773">
        <v>3</v>
      </c>
      <c r="AE1773">
        <v>0</v>
      </c>
      <c r="AF1773">
        <v>9</v>
      </c>
      <c r="AG1773" t="s">
        <v>158</v>
      </c>
      <c r="AH1773">
        <v>0</v>
      </c>
      <c r="AI1773">
        <v>3</v>
      </c>
      <c r="AJ1773">
        <v>1</v>
      </c>
      <c r="AK1773">
        <v>0</v>
      </c>
      <c r="AL1773" t="s">
        <v>3379</v>
      </c>
      <c r="AM1773">
        <v>46.841884</v>
      </c>
      <c r="AN1773" t="s">
        <v>3380</v>
      </c>
      <c r="AO1773">
        <v>-122.915511</v>
      </c>
      <c r="AP1773">
        <v>100</v>
      </c>
      <c r="AQ1773">
        <v>2000</v>
      </c>
      <c r="AR1773" t="s">
        <v>118</v>
      </c>
      <c r="AS1773">
        <v>-78</v>
      </c>
      <c r="AT1773">
        <v>21</v>
      </c>
      <c r="AU1773">
        <v>0</v>
      </c>
      <c r="BC1773">
        <v>1200</v>
      </c>
      <c r="BD1773">
        <v>1</v>
      </c>
      <c r="BE1773" t="str">
        <f t="shared" si="83"/>
        <v xml:space="preserve">N215T   </v>
      </c>
      <c r="BF1773">
        <v>1</v>
      </c>
      <c r="BH1773">
        <v>0</v>
      </c>
      <c r="BI1773">
        <v>0</v>
      </c>
      <c r="BJ1773">
        <v>0</v>
      </c>
      <c r="BK1773">
        <v>2375</v>
      </c>
      <c r="BL1773">
        <v>375</v>
      </c>
      <c r="BM1773" t="s">
        <v>119</v>
      </c>
      <c r="BN1773">
        <v>1</v>
      </c>
      <c r="BO1773">
        <v>1</v>
      </c>
      <c r="BP1773">
        <v>1</v>
      </c>
      <c r="BQ1773">
        <v>0</v>
      </c>
      <c r="BT1773">
        <v>0</v>
      </c>
      <c r="BU1773">
        <v>0</v>
      </c>
      <c r="BV1773">
        <v>0</v>
      </c>
      <c r="CC1773" t="str">
        <f>"19:04:22.156"</f>
        <v>19:04:22.156</v>
      </c>
      <c r="CD1773" t="str">
        <f>"158438388"</f>
        <v>158438388</v>
      </c>
      <c r="CQ1773">
        <v>0</v>
      </c>
      <c r="CR1773">
        <v>2</v>
      </c>
      <c r="CS1773">
        <v>0</v>
      </c>
      <c r="CT1773">
        <v>2</v>
      </c>
      <c r="CU1773">
        <v>0</v>
      </c>
      <c r="CV1773">
        <v>7</v>
      </c>
      <c r="CW1773" t="s">
        <v>120</v>
      </c>
      <c r="CX1773">
        <v>261</v>
      </c>
      <c r="CY1773">
        <v>2</v>
      </c>
      <c r="CZ1773" t="s">
        <v>121</v>
      </c>
      <c r="DA1773" t="s">
        <v>122</v>
      </c>
      <c r="DD1773">
        <v>15298813</v>
      </c>
      <c r="DE1773" t="s">
        <v>123</v>
      </c>
    </row>
    <row r="1774" spans="1:109" x14ac:dyDescent="0.3">
      <c r="A1774" t="str">
        <f>"19:04:23.227"</f>
        <v>19:04:23.227</v>
      </c>
      <c r="B1774" t="s">
        <v>110</v>
      </c>
      <c r="C1774" t="str">
        <f t="shared" si="81"/>
        <v>ffdfd3c0</v>
      </c>
      <c r="D1774" t="s">
        <v>111</v>
      </c>
      <c r="E1774">
        <v>18</v>
      </c>
      <c r="F1774">
        <v>1018</v>
      </c>
      <c r="G1774" t="s">
        <v>112</v>
      </c>
      <c r="J1774" t="s">
        <v>113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R1774" t="s">
        <v>114</v>
      </c>
      <c r="S1774" t="str">
        <f>"19:04:22.992"</f>
        <v>19:04:22.992</v>
      </c>
      <c r="T1774" t="str">
        <f>"19:04:22.891"</f>
        <v>19:04:22.891</v>
      </c>
      <c r="U1774" t="str">
        <f t="shared" si="82"/>
        <v>a1cdbe</v>
      </c>
      <c r="V1774">
        <v>0</v>
      </c>
      <c r="W1774">
        <v>0</v>
      </c>
      <c r="X1774">
        <v>1</v>
      </c>
      <c r="Y1774">
        <v>0</v>
      </c>
      <c r="Z1774">
        <v>0</v>
      </c>
      <c r="AB1774">
        <v>0</v>
      </c>
      <c r="AC1774">
        <v>9</v>
      </c>
      <c r="AD1774">
        <v>3</v>
      </c>
      <c r="AE1774">
        <v>0</v>
      </c>
      <c r="AF1774">
        <v>9</v>
      </c>
      <c r="AG1774" t="s">
        <v>158</v>
      </c>
      <c r="AH1774">
        <v>0</v>
      </c>
      <c r="AI1774">
        <v>3</v>
      </c>
      <c r="AJ1774">
        <v>1</v>
      </c>
      <c r="AK1774">
        <v>0</v>
      </c>
      <c r="AL1774" t="s">
        <v>3381</v>
      </c>
      <c r="AM1774">
        <v>46.841968999999999</v>
      </c>
      <c r="AN1774" t="s">
        <v>3382</v>
      </c>
      <c r="AO1774">
        <v>-122.916005</v>
      </c>
      <c r="AP1774">
        <v>100</v>
      </c>
      <c r="AQ1774">
        <v>2000</v>
      </c>
      <c r="AR1774" t="s">
        <v>118</v>
      </c>
      <c r="AS1774">
        <v>-77</v>
      </c>
      <c r="AT1774">
        <v>20</v>
      </c>
      <c r="AU1774">
        <v>64</v>
      </c>
      <c r="BC1774">
        <v>1200</v>
      </c>
      <c r="BD1774">
        <v>1</v>
      </c>
      <c r="BE1774" t="str">
        <f t="shared" si="83"/>
        <v xml:space="preserve">N215T   </v>
      </c>
      <c r="BF1774">
        <v>1</v>
      </c>
      <c r="BH1774">
        <v>0</v>
      </c>
      <c r="BI1774">
        <v>0</v>
      </c>
      <c r="BJ1774">
        <v>0</v>
      </c>
      <c r="BK1774">
        <v>2375</v>
      </c>
      <c r="BL1774">
        <v>375</v>
      </c>
      <c r="BM1774" t="s">
        <v>119</v>
      </c>
      <c r="BN1774">
        <v>1</v>
      </c>
      <c r="BO1774">
        <v>1</v>
      </c>
      <c r="BP1774">
        <v>1</v>
      </c>
      <c r="BQ1774">
        <v>0</v>
      </c>
      <c r="BT1774">
        <v>0</v>
      </c>
      <c r="BU1774">
        <v>0</v>
      </c>
      <c r="BV1774">
        <v>0</v>
      </c>
      <c r="CC1774" t="str">
        <f>"19:04:23.000"</f>
        <v>19:04:23.000</v>
      </c>
      <c r="CD1774" t="str">
        <f>"998355655"</f>
        <v>998355655</v>
      </c>
      <c r="CQ1774">
        <v>0</v>
      </c>
      <c r="CR1774">
        <v>2</v>
      </c>
      <c r="CS1774">
        <v>0</v>
      </c>
      <c r="CT1774">
        <v>2</v>
      </c>
      <c r="CU1774">
        <v>0</v>
      </c>
      <c r="CV1774">
        <v>7</v>
      </c>
      <c r="CW1774" t="s">
        <v>120</v>
      </c>
      <c r="CX1774">
        <v>261</v>
      </c>
      <c r="CY1774">
        <v>2</v>
      </c>
      <c r="CZ1774" t="s">
        <v>121</v>
      </c>
      <c r="DA1774" t="s">
        <v>122</v>
      </c>
      <c r="DD1774">
        <v>15299341</v>
      </c>
      <c r="DE1774" t="s">
        <v>123</v>
      </c>
    </row>
    <row r="1775" spans="1:109" x14ac:dyDescent="0.3">
      <c r="A1775" t="str">
        <f>"19:04:24.289"</f>
        <v>19:04:24.289</v>
      </c>
      <c r="B1775" t="s">
        <v>110</v>
      </c>
      <c r="C1775" t="str">
        <f t="shared" si="81"/>
        <v>ffdfd3c0</v>
      </c>
      <c r="D1775" t="s">
        <v>111</v>
      </c>
      <c r="E1775">
        <v>18</v>
      </c>
      <c r="F1775">
        <v>1018</v>
      </c>
      <c r="G1775" t="s">
        <v>112</v>
      </c>
      <c r="J1775" t="s">
        <v>113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R1775" t="s">
        <v>114</v>
      </c>
      <c r="S1775" t="str">
        <f>"19:04:24.031"</f>
        <v>19:04:24.031</v>
      </c>
      <c r="T1775" t="str">
        <f>"19:04:23.531"</f>
        <v>19:04:23.531</v>
      </c>
      <c r="U1775" t="str">
        <f t="shared" si="82"/>
        <v>a1cdbe</v>
      </c>
      <c r="V1775">
        <v>0</v>
      </c>
      <c r="W1775">
        <v>0</v>
      </c>
      <c r="X1775">
        <v>1</v>
      </c>
      <c r="Y1775">
        <v>0</v>
      </c>
      <c r="Z1775">
        <v>0</v>
      </c>
      <c r="AB1775">
        <v>0</v>
      </c>
      <c r="AC1775">
        <v>9</v>
      </c>
      <c r="AD1775">
        <v>3</v>
      </c>
      <c r="AE1775">
        <v>0</v>
      </c>
      <c r="AF1775">
        <v>9</v>
      </c>
      <c r="AG1775" t="s">
        <v>158</v>
      </c>
      <c r="AH1775">
        <v>0</v>
      </c>
      <c r="AI1775">
        <v>3</v>
      </c>
      <c r="AJ1775">
        <v>1</v>
      </c>
      <c r="AK1775">
        <v>0</v>
      </c>
      <c r="AL1775" t="s">
        <v>2175</v>
      </c>
      <c r="AM1775">
        <v>46.842077000000003</v>
      </c>
      <c r="AN1775" t="s">
        <v>3383</v>
      </c>
      <c r="AO1775">
        <v>-122.91652000000001</v>
      </c>
      <c r="AP1775">
        <v>100</v>
      </c>
      <c r="AQ1775">
        <v>2000</v>
      </c>
      <c r="AR1775" t="s">
        <v>118</v>
      </c>
      <c r="AS1775">
        <v>-77</v>
      </c>
      <c r="AT1775">
        <v>20</v>
      </c>
      <c r="AU1775">
        <v>0</v>
      </c>
      <c r="BC1775">
        <v>1200</v>
      </c>
      <c r="BD1775">
        <v>1</v>
      </c>
      <c r="BE1775" t="str">
        <f t="shared" si="83"/>
        <v xml:space="preserve">N215T   </v>
      </c>
      <c r="BF1775">
        <v>1</v>
      </c>
      <c r="BH1775">
        <v>0</v>
      </c>
      <c r="BI1775">
        <v>0</v>
      </c>
      <c r="BJ1775">
        <v>0</v>
      </c>
      <c r="BK1775">
        <v>2375</v>
      </c>
      <c r="BL1775">
        <v>375</v>
      </c>
      <c r="BM1775" t="s">
        <v>119</v>
      </c>
      <c r="BN1775">
        <v>1</v>
      </c>
      <c r="BO1775">
        <v>1</v>
      </c>
      <c r="BP1775">
        <v>1</v>
      </c>
      <c r="BQ1775">
        <v>0</v>
      </c>
      <c r="BT1775">
        <v>0</v>
      </c>
      <c r="BU1775">
        <v>0</v>
      </c>
      <c r="BV1775">
        <v>0</v>
      </c>
      <c r="CC1775" t="str">
        <f>"19:04:24.031"</f>
        <v>19:04:24.031</v>
      </c>
      <c r="CD1775" t="str">
        <f>"033253706"</f>
        <v>033253706</v>
      </c>
      <c r="CQ1775">
        <v>0</v>
      </c>
      <c r="CR1775">
        <v>2</v>
      </c>
      <c r="CS1775">
        <v>0</v>
      </c>
      <c r="CT1775">
        <v>2</v>
      </c>
      <c r="CU1775">
        <v>0</v>
      </c>
      <c r="CV1775">
        <v>7</v>
      </c>
      <c r="CW1775" t="s">
        <v>120</v>
      </c>
      <c r="CX1775">
        <v>261</v>
      </c>
      <c r="CY1775">
        <v>2</v>
      </c>
      <c r="CZ1775" t="s">
        <v>121</v>
      </c>
      <c r="DA1775" t="s">
        <v>122</v>
      </c>
      <c r="DD1775">
        <v>15300065</v>
      </c>
      <c r="DE1775" t="s">
        <v>123</v>
      </c>
    </row>
    <row r="1776" spans="1:109" x14ac:dyDescent="0.3">
      <c r="A1776" t="str">
        <f>"19:04:25.242"</f>
        <v>19:04:25.242</v>
      </c>
      <c r="B1776" t="s">
        <v>110</v>
      </c>
      <c r="C1776" t="str">
        <f t="shared" si="81"/>
        <v>ffdfd3c0</v>
      </c>
      <c r="D1776" t="s">
        <v>111</v>
      </c>
      <c r="E1776">
        <v>18</v>
      </c>
      <c r="F1776">
        <v>1018</v>
      </c>
      <c r="G1776" t="s">
        <v>112</v>
      </c>
      <c r="J1776" t="s">
        <v>113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R1776" t="s">
        <v>114</v>
      </c>
      <c r="S1776" t="str">
        <f>"19:04:25.008"</f>
        <v>19:04:25.008</v>
      </c>
      <c r="T1776" t="str">
        <f>"19:04:25.008"</f>
        <v>19:04:25.008</v>
      </c>
      <c r="U1776" t="str">
        <f t="shared" si="82"/>
        <v>a1cdbe</v>
      </c>
      <c r="V1776">
        <v>0</v>
      </c>
      <c r="W1776">
        <v>0</v>
      </c>
      <c r="X1776">
        <v>1</v>
      </c>
      <c r="Y1776">
        <v>0</v>
      </c>
      <c r="Z1776">
        <v>0</v>
      </c>
      <c r="AB1776">
        <v>0</v>
      </c>
      <c r="AC1776">
        <v>9</v>
      </c>
      <c r="AD1776">
        <v>3</v>
      </c>
      <c r="AE1776">
        <v>0</v>
      </c>
      <c r="AF1776">
        <v>9</v>
      </c>
      <c r="AG1776" t="s">
        <v>158</v>
      </c>
      <c r="AH1776">
        <v>0</v>
      </c>
      <c r="AI1776">
        <v>3</v>
      </c>
      <c r="AJ1776">
        <v>1</v>
      </c>
      <c r="AK1776">
        <v>0</v>
      </c>
      <c r="AL1776" t="s">
        <v>3384</v>
      </c>
      <c r="AM1776">
        <v>46.842162999999999</v>
      </c>
      <c r="AN1776" t="s">
        <v>3385</v>
      </c>
      <c r="AO1776">
        <v>-122.917035</v>
      </c>
      <c r="AP1776">
        <v>100</v>
      </c>
      <c r="AQ1776">
        <v>2000</v>
      </c>
      <c r="AR1776" t="s">
        <v>118</v>
      </c>
      <c r="AS1776">
        <v>-77</v>
      </c>
      <c r="AT1776">
        <v>20</v>
      </c>
      <c r="AU1776">
        <v>0</v>
      </c>
      <c r="BC1776">
        <v>1200</v>
      </c>
      <c r="BD1776">
        <v>1</v>
      </c>
      <c r="BE1776" t="str">
        <f t="shared" si="83"/>
        <v xml:space="preserve">N215T   </v>
      </c>
      <c r="BF1776">
        <v>1</v>
      </c>
      <c r="BH1776">
        <v>0</v>
      </c>
      <c r="BI1776">
        <v>0</v>
      </c>
      <c r="BJ1776">
        <v>0</v>
      </c>
      <c r="BK1776">
        <v>2375</v>
      </c>
      <c r="BL1776">
        <v>375</v>
      </c>
      <c r="BM1776" t="s">
        <v>119</v>
      </c>
      <c r="BN1776">
        <v>1</v>
      </c>
      <c r="BO1776">
        <v>1</v>
      </c>
      <c r="BP1776">
        <v>1</v>
      </c>
      <c r="BQ1776">
        <v>0</v>
      </c>
      <c r="BT1776">
        <v>0</v>
      </c>
      <c r="BU1776">
        <v>0</v>
      </c>
      <c r="BV1776">
        <v>0</v>
      </c>
      <c r="CC1776" t="str">
        <f>"19:04:25.008"</f>
        <v>19:04:25.008</v>
      </c>
      <c r="CD1776" t="str">
        <f>"008157666"</f>
        <v>008157666</v>
      </c>
      <c r="CQ1776">
        <v>0</v>
      </c>
      <c r="CR1776">
        <v>2</v>
      </c>
      <c r="CS1776">
        <v>0</v>
      </c>
      <c r="CT1776">
        <v>2</v>
      </c>
      <c r="CU1776">
        <v>0</v>
      </c>
      <c r="CV1776">
        <v>7</v>
      </c>
      <c r="CW1776" t="s">
        <v>120</v>
      </c>
      <c r="CX1776">
        <v>261</v>
      </c>
      <c r="CY1776">
        <v>2</v>
      </c>
      <c r="CZ1776" t="s">
        <v>121</v>
      </c>
      <c r="DA1776" t="s">
        <v>122</v>
      </c>
      <c r="DD1776">
        <v>15300720</v>
      </c>
      <c r="DE1776" t="s">
        <v>123</v>
      </c>
    </row>
    <row r="1777" spans="1:109" x14ac:dyDescent="0.3">
      <c r="A1777" t="str">
        <f>"19:04:26.242"</f>
        <v>19:04:26.242</v>
      </c>
      <c r="B1777" t="s">
        <v>110</v>
      </c>
      <c r="C1777" t="str">
        <f t="shared" si="81"/>
        <v>ffdfd3c0</v>
      </c>
      <c r="D1777" t="s">
        <v>111</v>
      </c>
      <c r="E1777">
        <v>18</v>
      </c>
      <c r="F1777">
        <v>1018</v>
      </c>
      <c r="G1777" t="s">
        <v>112</v>
      </c>
      <c r="J1777" t="s">
        <v>113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R1777" t="s">
        <v>114</v>
      </c>
      <c r="S1777" t="str">
        <f>"19:04:25.992"</f>
        <v>19:04:25.992</v>
      </c>
      <c r="T1777" t="str">
        <f>"19:04:25.594"</f>
        <v>19:04:25.594</v>
      </c>
      <c r="U1777" t="str">
        <f t="shared" si="82"/>
        <v>a1cdbe</v>
      </c>
      <c r="V1777">
        <v>0</v>
      </c>
      <c r="W1777">
        <v>0</v>
      </c>
      <c r="X1777">
        <v>1</v>
      </c>
      <c r="Y1777">
        <v>0</v>
      </c>
      <c r="Z1777">
        <v>0</v>
      </c>
      <c r="AB1777">
        <v>0</v>
      </c>
      <c r="AC1777">
        <v>9</v>
      </c>
      <c r="AD1777">
        <v>3</v>
      </c>
      <c r="AE1777">
        <v>0</v>
      </c>
      <c r="AF1777">
        <v>9</v>
      </c>
      <c r="AG1777" t="s">
        <v>158</v>
      </c>
      <c r="AH1777">
        <v>0</v>
      </c>
      <c r="AI1777">
        <v>3</v>
      </c>
      <c r="AJ1777">
        <v>1</v>
      </c>
      <c r="AK1777">
        <v>0</v>
      </c>
      <c r="AL1777" t="s">
        <v>3386</v>
      </c>
      <c r="AM1777">
        <v>46.842269999999999</v>
      </c>
      <c r="AN1777" t="s">
        <v>3387</v>
      </c>
      <c r="AO1777">
        <v>-122.917528</v>
      </c>
      <c r="AP1777">
        <v>100</v>
      </c>
      <c r="AQ1777">
        <v>2000</v>
      </c>
      <c r="AR1777" t="s">
        <v>118</v>
      </c>
      <c r="AS1777">
        <v>-76</v>
      </c>
      <c r="AT1777">
        <v>20</v>
      </c>
      <c r="AU1777">
        <v>0</v>
      </c>
      <c r="BC1777">
        <v>1200</v>
      </c>
      <c r="BD1777">
        <v>1</v>
      </c>
      <c r="BE1777" t="str">
        <f t="shared" si="83"/>
        <v xml:space="preserve">N215T   </v>
      </c>
      <c r="BF1777">
        <v>1</v>
      </c>
      <c r="BH1777">
        <v>0</v>
      </c>
      <c r="BI1777">
        <v>0</v>
      </c>
      <c r="BJ1777">
        <v>0</v>
      </c>
      <c r="BK1777">
        <v>2375</v>
      </c>
      <c r="BL1777">
        <v>375</v>
      </c>
      <c r="BM1777" t="s">
        <v>119</v>
      </c>
      <c r="BN1777">
        <v>1</v>
      </c>
      <c r="BO1777">
        <v>1</v>
      </c>
      <c r="BP1777">
        <v>1</v>
      </c>
      <c r="BQ1777">
        <v>0</v>
      </c>
      <c r="BT1777">
        <v>0</v>
      </c>
      <c r="BU1777">
        <v>0</v>
      </c>
      <c r="BV1777">
        <v>0</v>
      </c>
      <c r="CC1777" t="str">
        <f>"19:04:26.000"</f>
        <v>19:04:26.000</v>
      </c>
      <c r="CD1777" t="str">
        <f>"998060146"</f>
        <v>998060146</v>
      </c>
      <c r="CQ1777">
        <v>0</v>
      </c>
      <c r="CR1777">
        <v>2</v>
      </c>
      <c r="CS1777">
        <v>0</v>
      </c>
      <c r="CT1777">
        <v>2</v>
      </c>
      <c r="CU1777">
        <v>0</v>
      </c>
      <c r="CV1777">
        <v>7</v>
      </c>
      <c r="CW1777" t="s">
        <v>120</v>
      </c>
      <c r="CX1777">
        <v>261</v>
      </c>
      <c r="CY1777">
        <v>2</v>
      </c>
      <c r="CZ1777" t="s">
        <v>121</v>
      </c>
      <c r="DA1777" t="s">
        <v>122</v>
      </c>
      <c r="DD1777">
        <v>15301369</v>
      </c>
      <c r="DE1777" t="s">
        <v>123</v>
      </c>
    </row>
    <row r="1778" spans="1:109" x14ac:dyDescent="0.3">
      <c r="A1778" t="str">
        <f>"19:04:27.203"</f>
        <v>19:04:27.203</v>
      </c>
      <c r="B1778" t="s">
        <v>110</v>
      </c>
      <c r="C1778" t="str">
        <f t="shared" si="81"/>
        <v>ffdfd3c0</v>
      </c>
      <c r="D1778" t="s">
        <v>111</v>
      </c>
      <c r="E1778">
        <v>18</v>
      </c>
      <c r="F1778">
        <v>1018</v>
      </c>
      <c r="G1778" t="s">
        <v>112</v>
      </c>
      <c r="J1778" t="s">
        <v>113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R1778" t="s">
        <v>114</v>
      </c>
      <c r="S1778" t="str">
        <f>"19:04:26.938"</f>
        <v>19:04:26.938</v>
      </c>
      <c r="T1778" t="str">
        <f>"19:04:26.539"</f>
        <v>19:04:26.539</v>
      </c>
      <c r="U1778" t="str">
        <f t="shared" si="82"/>
        <v>a1cdbe</v>
      </c>
      <c r="V1778">
        <v>0</v>
      </c>
      <c r="W1778">
        <v>0</v>
      </c>
      <c r="X1778">
        <v>1</v>
      </c>
      <c r="Y1778">
        <v>0</v>
      </c>
      <c r="Z1778">
        <v>0</v>
      </c>
      <c r="AB1778">
        <v>0</v>
      </c>
      <c r="AC1778">
        <v>9</v>
      </c>
      <c r="AD1778">
        <v>3</v>
      </c>
      <c r="AE1778">
        <v>0</v>
      </c>
      <c r="AF1778">
        <v>9</v>
      </c>
      <c r="AG1778" t="s">
        <v>158</v>
      </c>
      <c r="AH1778">
        <v>0</v>
      </c>
      <c r="AI1778">
        <v>3</v>
      </c>
      <c r="AJ1778">
        <v>1</v>
      </c>
      <c r="AK1778">
        <v>0</v>
      </c>
      <c r="AL1778" t="s">
        <v>2169</v>
      </c>
      <c r="AM1778">
        <v>46.842356000000002</v>
      </c>
      <c r="AN1778" t="s">
        <v>3388</v>
      </c>
      <c r="AO1778">
        <v>-122.917979</v>
      </c>
      <c r="AP1778">
        <v>100</v>
      </c>
      <c r="AQ1778">
        <v>2000</v>
      </c>
      <c r="AR1778" t="s">
        <v>118</v>
      </c>
      <c r="AS1778">
        <v>-76</v>
      </c>
      <c r="AT1778">
        <v>21</v>
      </c>
      <c r="AU1778">
        <v>-128</v>
      </c>
      <c r="BC1778">
        <v>1200</v>
      </c>
      <c r="BD1778">
        <v>1</v>
      </c>
      <c r="BE1778" t="str">
        <f t="shared" si="83"/>
        <v xml:space="preserve">N215T   </v>
      </c>
      <c r="BF1778">
        <v>1</v>
      </c>
      <c r="BH1778">
        <v>0</v>
      </c>
      <c r="BI1778">
        <v>0</v>
      </c>
      <c r="BJ1778">
        <v>0</v>
      </c>
      <c r="BK1778">
        <v>2375</v>
      </c>
      <c r="BL1778">
        <v>375</v>
      </c>
      <c r="BM1778" t="s">
        <v>119</v>
      </c>
      <c r="BN1778">
        <v>1</v>
      </c>
      <c r="BO1778">
        <v>1</v>
      </c>
      <c r="BP1778">
        <v>1</v>
      </c>
      <c r="BQ1778">
        <v>0</v>
      </c>
      <c r="BT1778">
        <v>0</v>
      </c>
      <c r="BU1778">
        <v>0</v>
      </c>
      <c r="BV1778">
        <v>0</v>
      </c>
      <c r="CC1778" t="str">
        <f>"19:04:26.945"</f>
        <v>19:04:26.945</v>
      </c>
      <c r="CD1778" t="str">
        <f>"942967070"</f>
        <v>942967070</v>
      </c>
      <c r="CQ1778">
        <v>0</v>
      </c>
      <c r="CR1778">
        <v>2</v>
      </c>
      <c r="CS1778">
        <v>0</v>
      </c>
      <c r="CT1778">
        <v>2</v>
      </c>
      <c r="CU1778">
        <v>0</v>
      </c>
      <c r="CV1778">
        <v>7</v>
      </c>
      <c r="CW1778" t="s">
        <v>120</v>
      </c>
      <c r="CX1778">
        <v>261</v>
      </c>
      <c r="CY1778">
        <v>2</v>
      </c>
      <c r="CZ1778" t="s">
        <v>121</v>
      </c>
      <c r="DA1778" t="s">
        <v>122</v>
      </c>
      <c r="DD1778">
        <v>15301972</v>
      </c>
      <c r="DE1778" t="s">
        <v>123</v>
      </c>
    </row>
    <row r="1779" spans="1:109" x14ac:dyDescent="0.3">
      <c r="A1779" t="str">
        <f>"19:04:28.063"</f>
        <v>19:04:28.063</v>
      </c>
      <c r="B1779" t="s">
        <v>110</v>
      </c>
      <c r="C1779" t="str">
        <f t="shared" si="81"/>
        <v>ffdfd3c0</v>
      </c>
      <c r="D1779" t="s">
        <v>111</v>
      </c>
      <c r="E1779">
        <v>18</v>
      </c>
      <c r="F1779">
        <v>1018</v>
      </c>
      <c r="G1779" t="s">
        <v>112</v>
      </c>
      <c r="J1779" t="s">
        <v>113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R1779" t="s">
        <v>114</v>
      </c>
      <c r="S1779" t="str">
        <f>"19:04:27.836"</f>
        <v>19:04:27.836</v>
      </c>
      <c r="T1779" t="str">
        <f>"19:04:27.438"</f>
        <v>19:04:27.438</v>
      </c>
      <c r="U1779" t="str">
        <f t="shared" si="82"/>
        <v>a1cdbe</v>
      </c>
      <c r="V1779">
        <v>0</v>
      </c>
      <c r="W1779">
        <v>0</v>
      </c>
      <c r="X1779">
        <v>1</v>
      </c>
      <c r="Y1779">
        <v>0</v>
      </c>
      <c r="Z1779">
        <v>0</v>
      </c>
      <c r="AB1779">
        <v>0</v>
      </c>
      <c r="AC1779">
        <v>9</v>
      </c>
      <c r="AD1779">
        <v>3</v>
      </c>
      <c r="AE1779">
        <v>0</v>
      </c>
      <c r="AF1779">
        <v>9</v>
      </c>
      <c r="AG1779" t="s">
        <v>158</v>
      </c>
      <c r="AH1779">
        <v>0</v>
      </c>
      <c r="AI1779">
        <v>3</v>
      </c>
      <c r="AJ1779">
        <v>1</v>
      </c>
      <c r="AK1779">
        <v>0</v>
      </c>
      <c r="AL1779" t="s">
        <v>3389</v>
      </c>
      <c r="AM1779">
        <v>46.842441999999998</v>
      </c>
      <c r="AN1779" t="s">
        <v>3390</v>
      </c>
      <c r="AO1779">
        <v>-122.91847199999999</v>
      </c>
      <c r="AP1779">
        <v>100</v>
      </c>
      <c r="AQ1779">
        <v>2000</v>
      </c>
      <c r="AR1779" t="s">
        <v>118</v>
      </c>
      <c r="AS1779">
        <v>-76</v>
      </c>
      <c r="AT1779">
        <v>21</v>
      </c>
      <c r="AU1779">
        <v>-192</v>
      </c>
      <c r="BC1779">
        <v>1200</v>
      </c>
      <c r="BD1779">
        <v>1</v>
      </c>
      <c r="BE1779" t="str">
        <f t="shared" si="83"/>
        <v xml:space="preserve">N215T   </v>
      </c>
      <c r="BF1779">
        <v>1</v>
      </c>
      <c r="BH1779">
        <v>0</v>
      </c>
      <c r="BI1779">
        <v>0</v>
      </c>
      <c r="BJ1779">
        <v>0</v>
      </c>
      <c r="BK1779">
        <v>2350</v>
      </c>
      <c r="BL1779">
        <v>350</v>
      </c>
      <c r="BM1779" t="s">
        <v>119</v>
      </c>
      <c r="BN1779">
        <v>1</v>
      </c>
      <c r="BO1779">
        <v>1</v>
      </c>
      <c r="BP1779">
        <v>1</v>
      </c>
      <c r="BQ1779">
        <v>0</v>
      </c>
      <c r="BT1779">
        <v>0</v>
      </c>
      <c r="BU1779">
        <v>0</v>
      </c>
      <c r="BV1779">
        <v>0</v>
      </c>
      <c r="CC1779" t="str">
        <f>"19:04:27.844"</f>
        <v>19:04:27.844</v>
      </c>
      <c r="CD1779" t="str">
        <f>"842878413"</f>
        <v>842878413</v>
      </c>
      <c r="CQ1779">
        <v>0</v>
      </c>
      <c r="CR1779">
        <v>2</v>
      </c>
      <c r="CS1779">
        <v>0</v>
      </c>
      <c r="CT1779">
        <v>2</v>
      </c>
      <c r="CU1779">
        <v>0</v>
      </c>
      <c r="CV1779">
        <v>7</v>
      </c>
      <c r="CW1779" t="s">
        <v>120</v>
      </c>
      <c r="CX1779">
        <v>261</v>
      </c>
      <c r="CY1779">
        <v>2</v>
      </c>
      <c r="CZ1779" t="s">
        <v>121</v>
      </c>
      <c r="DA1779" t="s">
        <v>122</v>
      </c>
      <c r="DD1779">
        <v>15302551</v>
      </c>
      <c r="DE1779" t="s">
        <v>123</v>
      </c>
    </row>
    <row r="1780" spans="1:109" x14ac:dyDescent="0.3">
      <c r="A1780" t="str">
        <f>"19:04:29.109"</f>
        <v>19:04:29.109</v>
      </c>
      <c r="B1780" t="s">
        <v>110</v>
      </c>
      <c r="C1780" t="str">
        <f t="shared" si="81"/>
        <v>ffdfd3c0</v>
      </c>
      <c r="D1780" t="s">
        <v>111</v>
      </c>
      <c r="E1780">
        <v>18</v>
      </c>
      <c r="F1780">
        <v>1018</v>
      </c>
      <c r="G1780" t="s">
        <v>112</v>
      </c>
      <c r="J1780" t="s">
        <v>113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R1780" t="s">
        <v>114</v>
      </c>
      <c r="S1780" t="str">
        <f>"19:04:28.875"</f>
        <v>19:04:28.875</v>
      </c>
      <c r="T1780" t="str">
        <f>"19:04:28.578"</f>
        <v>19:04:28.578</v>
      </c>
      <c r="U1780" t="str">
        <f t="shared" si="82"/>
        <v>a1cdbe</v>
      </c>
      <c r="V1780">
        <v>0</v>
      </c>
      <c r="W1780">
        <v>0</v>
      </c>
      <c r="X1780">
        <v>1</v>
      </c>
      <c r="Y1780">
        <v>0</v>
      </c>
      <c r="Z1780">
        <v>0</v>
      </c>
      <c r="AB1780">
        <v>0</v>
      </c>
      <c r="AC1780">
        <v>9</v>
      </c>
      <c r="AD1780">
        <v>3</v>
      </c>
      <c r="AE1780">
        <v>0</v>
      </c>
      <c r="AF1780">
        <v>9</v>
      </c>
      <c r="AG1780" t="s">
        <v>158</v>
      </c>
      <c r="AH1780">
        <v>0</v>
      </c>
      <c r="AI1780">
        <v>3</v>
      </c>
      <c r="AJ1780">
        <v>1</v>
      </c>
      <c r="AK1780">
        <v>0</v>
      </c>
      <c r="AL1780" t="s">
        <v>3391</v>
      </c>
      <c r="AM1780">
        <v>46.842548999999998</v>
      </c>
      <c r="AN1780" t="s">
        <v>3392</v>
      </c>
      <c r="AO1780">
        <v>-122.918987</v>
      </c>
      <c r="AP1780">
        <v>100</v>
      </c>
      <c r="AQ1780">
        <v>2000</v>
      </c>
      <c r="AR1780" t="s">
        <v>118</v>
      </c>
      <c r="AS1780">
        <v>-75</v>
      </c>
      <c r="AT1780">
        <v>21</v>
      </c>
      <c r="AU1780">
        <v>-192</v>
      </c>
      <c r="BC1780">
        <v>1200</v>
      </c>
      <c r="BD1780">
        <v>1</v>
      </c>
      <c r="BE1780" t="str">
        <f t="shared" si="83"/>
        <v xml:space="preserve">N215T   </v>
      </c>
      <c r="BF1780">
        <v>1</v>
      </c>
      <c r="BH1780">
        <v>0</v>
      </c>
      <c r="BI1780">
        <v>0</v>
      </c>
      <c r="BJ1780">
        <v>0</v>
      </c>
      <c r="BK1780">
        <v>2350</v>
      </c>
      <c r="BL1780">
        <v>350</v>
      </c>
      <c r="BM1780" t="s">
        <v>119</v>
      </c>
      <c r="BN1780">
        <v>1</v>
      </c>
      <c r="BO1780">
        <v>1</v>
      </c>
      <c r="BP1780">
        <v>1</v>
      </c>
      <c r="BQ1780">
        <v>0</v>
      </c>
      <c r="BT1780">
        <v>0</v>
      </c>
      <c r="BU1780">
        <v>0</v>
      </c>
      <c r="BV1780">
        <v>0</v>
      </c>
      <c r="CC1780" t="str">
        <f>"19:04:28.875"</f>
        <v>19:04:28.875</v>
      </c>
      <c r="CD1780" t="str">
        <f>"877776462"</f>
        <v>877776462</v>
      </c>
      <c r="CQ1780">
        <v>0</v>
      </c>
      <c r="CR1780">
        <v>2</v>
      </c>
      <c r="CS1780">
        <v>0</v>
      </c>
      <c r="CT1780">
        <v>2</v>
      </c>
      <c r="CU1780">
        <v>0</v>
      </c>
      <c r="CV1780">
        <v>7</v>
      </c>
      <c r="CW1780" t="s">
        <v>120</v>
      </c>
      <c r="CX1780">
        <v>261</v>
      </c>
      <c r="CY1780">
        <v>2</v>
      </c>
      <c r="CZ1780" t="s">
        <v>121</v>
      </c>
      <c r="DA1780" t="s">
        <v>122</v>
      </c>
      <c r="DD1780">
        <v>15303263</v>
      </c>
      <c r="DE1780" t="s">
        <v>123</v>
      </c>
    </row>
    <row r="1781" spans="1:109" x14ac:dyDescent="0.3">
      <c r="A1781" t="str">
        <f>"19:04:30.164"</f>
        <v>19:04:30.164</v>
      </c>
      <c r="B1781" t="s">
        <v>110</v>
      </c>
      <c r="C1781" t="str">
        <f t="shared" si="81"/>
        <v>ffdfd3c0</v>
      </c>
      <c r="D1781" t="s">
        <v>111</v>
      </c>
      <c r="E1781">
        <v>18</v>
      </c>
      <c r="F1781">
        <v>1018</v>
      </c>
      <c r="G1781" t="s">
        <v>112</v>
      </c>
      <c r="J1781" t="s">
        <v>113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R1781" t="s">
        <v>114</v>
      </c>
      <c r="S1781" t="str">
        <f>"19:04:29.922"</f>
        <v>19:04:29.922</v>
      </c>
      <c r="T1781" t="str">
        <f>"19:04:29.625"</f>
        <v>19:04:29.625</v>
      </c>
      <c r="U1781" t="str">
        <f t="shared" si="82"/>
        <v>a1cdbe</v>
      </c>
      <c r="V1781">
        <v>0</v>
      </c>
      <c r="W1781">
        <v>0</v>
      </c>
      <c r="X1781">
        <v>1</v>
      </c>
      <c r="Y1781">
        <v>0</v>
      </c>
      <c r="Z1781">
        <v>0</v>
      </c>
      <c r="AB1781">
        <v>0</v>
      </c>
      <c r="AC1781">
        <v>9</v>
      </c>
      <c r="AD1781">
        <v>3</v>
      </c>
      <c r="AE1781">
        <v>0</v>
      </c>
      <c r="AF1781">
        <v>9</v>
      </c>
      <c r="AG1781" t="s">
        <v>158</v>
      </c>
      <c r="AH1781">
        <v>0</v>
      </c>
      <c r="AI1781">
        <v>3</v>
      </c>
      <c r="AJ1781">
        <v>1</v>
      </c>
      <c r="AK1781">
        <v>0</v>
      </c>
      <c r="AL1781" t="s">
        <v>3393</v>
      </c>
      <c r="AM1781">
        <v>46.842635000000001</v>
      </c>
      <c r="AN1781" t="s">
        <v>3394</v>
      </c>
      <c r="AO1781">
        <v>-122.91950199999999</v>
      </c>
      <c r="AP1781">
        <v>100</v>
      </c>
      <c r="AQ1781">
        <v>2000</v>
      </c>
      <c r="AR1781" t="s">
        <v>118</v>
      </c>
      <c r="AS1781">
        <v>-75</v>
      </c>
      <c r="AT1781">
        <v>21</v>
      </c>
      <c r="AU1781">
        <v>-192</v>
      </c>
      <c r="BC1781">
        <v>1200</v>
      </c>
      <c r="BD1781">
        <v>1</v>
      </c>
      <c r="BE1781" t="str">
        <f t="shared" si="83"/>
        <v xml:space="preserve">N215T   </v>
      </c>
      <c r="BF1781">
        <v>1</v>
      </c>
      <c r="BH1781">
        <v>0</v>
      </c>
      <c r="BI1781">
        <v>0</v>
      </c>
      <c r="BJ1781">
        <v>0</v>
      </c>
      <c r="BK1781">
        <v>2350</v>
      </c>
      <c r="BL1781">
        <v>350</v>
      </c>
      <c r="BM1781" t="s">
        <v>119</v>
      </c>
      <c r="BN1781">
        <v>1</v>
      </c>
      <c r="BO1781">
        <v>1</v>
      </c>
      <c r="BP1781">
        <v>1</v>
      </c>
      <c r="BQ1781">
        <v>0</v>
      </c>
      <c r="BT1781">
        <v>0</v>
      </c>
      <c r="BU1781">
        <v>0</v>
      </c>
      <c r="BV1781">
        <v>0</v>
      </c>
      <c r="CC1781" t="str">
        <f>"19:04:29.930"</f>
        <v>19:04:29.930</v>
      </c>
      <c r="CD1781" t="str">
        <f>"927673033"</f>
        <v>927673033</v>
      </c>
      <c r="CQ1781">
        <v>0</v>
      </c>
      <c r="CR1781">
        <v>2</v>
      </c>
      <c r="CS1781">
        <v>0</v>
      </c>
      <c r="CT1781">
        <v>2</v>
      </c>
      <c r="CU1781">
        <v>0</v>
      </c>
      <c r="CV1781">
        <v>7</v>
      </c>
      <c r="CW1781" t="s">
        <v>120</v>
      </c>
      <c r="CX1781">
        <v>261</v>
      </c>
      <c r="CY1781">
        <v>2</v>
      </c>
      <c r="CZ1781" t="s">
        <v>121</v>
      </c>
      <c r="DA1781" t="s">
        <v>122</v>
      </c>
      <c r="DD1781">
        <v>15304025</v>
      </c>
      <c r="DE1781" t="s">
        <v>123</v>
      </c>
    </row>
    <row r="1782" spans="1:109" x14ac:dyDescent="0.3">
      <c r="A1782" t="str">
        <f>"19:04:31.273"</f>
        <v>19:04:31.273</v>
      </c>
      <c r="B1782" t="s">
        <v>110</v>
      </c>
      <c r="C1782" t="str">
        <f t="shared" si="81"/>
        <v>ffdfd3c0</v>
      </c>
      <c r="D1782" t="s">
        <v>111</v>
      </c>
      <c r="E1782">
        <v>18</v>
      </c>
      <c r="F1782">
        <v>1018</v>
      </c>
      <c r="G1782" t="s">
        <v>112</v>
      </c>
      <c r="J1782" t="s">
        <v>113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R1782" t="s">
        <v>114</v>
      </c>
      <c r="S1782" t="str">
        <f>"19:04:31.063"</f>
        <v>19:04:31.063</v>
      </c>
      <c r="T1782" t="str">
        <f>"19:04:30.664"</f>
        <v>19:04:30.664</v>
      </c>
      <c r="U1782" t="str">
        <f t="shared" si="82"/>
        <v>a1cdbe</v>
      </c>
      <c r="V1782">
        <v>0</v>
      </c>
      <c r="W1782">
        <v>0</v>
      </c>
      <c r="X1782">
        <v>1</v>
      </c>
      <c r="Y1782">
        <v>0</v>
      </c>
      <c r="Z1782">
        <v>0</v>
      </c>
      <c r="AB1782">
        <v>0</v>
      </c>
      <c r="AC1782">
        <v>9</v>
      </c>
      <c r="AD1782">
        <v>3</v>
      </c>
      <c r="AE1782">
        <v>0</v>
      </c>
      <c r="AF1782">
        <v>9</v>
      </c>
      <c r="AG1782" t="s">
        <v>158</v>
      </c>
      <c r="AH1782">
        <v>0</v>
      </c>
      <c r="AI1782">
        <v>3</v>
      </c>
      <c r="AJ1782">
        <v>1</v>
      </c>
      <c r="AK1782">
        <v>0</v>
      </c>
      <c r="AL1782" t="s">
        <v>2161</v>
      </c>
      <c r="AM1782">
        <v>46.842762999999998</v>
      </c>
      <c r="AN1782" t="s">
        <v>3395</v>
      </c>
      <c r="AO1782">
        <v>-122.920125</v>
      </c>
      <c r="AP1782">
        <v>100</v>
      </c>
      <c r="AQ1782">
        <v>2000</v>
      </c>
      <c r="AR1782" t="s">
        <v>118</v>
      </c>
      <c r="AS1782">
        <v>-76</v>
      </c>
      <c r="AT1782">
        <v>21</v>
      </c>
      <c r="AU1782">
        <v>-192</v>
      </c>
      <c r="BC1782">
        <v>1200</v>
      </c>
      <c r="BD1782">
        <v>1</v>
      </c>
      <c r="BE1782" t="str">
        <f t="shared" si="83"/>
        <v xml:space="preserve">N215T   </v>
      </c>
      <c r="BF1782">
        <v>1</v>
      </c>
      <c r="BH1782">
        <v>0</v>
      </c>
      <c r="BI1782">
        <v>0</v>
      </c>
      <c r="BJ1782">
        <v>0</v>
      </c>
      <c r="BK1782">
        <v>2350</v>
      </c>
      <c r="BL1782">
        <v>350</v>
      </c>
      <c r="BM1782" t="s">
        <v>119</v>
      </c>
      <c r="BN1782">
        <v>1</v>
      </c>
      <c r="BO1782">
        <v>1</v>
      </c>
      <c r="BP1782">
        <v>1</v>
      </c>
      <c r="BQ1782">
        <v>0</v>
      </c>
      <c r="BT1782">
        <v>0</v>
      </c>
      <c r="BU1782">
        <v>0</v>
      </c>
      <c r="BV1782">
        <v>0</v>
      </c>
      <c r="CC1782" t="str">
        <f>"19:04:31.070"</f>
        <v>19:04:31.070</v>
      </c>
      <c r="CD1782" t="str">
        <f>"067560765"</f>
        <v>067560765</v>
      </c>
      <c r="CQ1782">
        <v>0</v>
      </c>
      <c r="CR1782">
        <v>2</v>
      </c>
      <c r="CS1782">
        <v>0</v>
      </c>
      <c r="CT1782">
        <v>2</v>
      </c>
      <c r="CU1782">
        <v>0</v>
      </c>
      <c r="CV1782">
        <v>7</v>
      </c>
      <c r="CW1782" t="s">
        <v>120</v>
      </c>
      <c r="CX1782">
        <v>261</v>
      </c>
      <c r="CY1782">
        <v>2</v>
      </c>
      <c r="CZ1782" t="s">
        <v>121</v>
      </c>
      <c r="DA1782" t="s">
        <v>122</v>
      </c>
      <c r="DD1782">
        <v>15304828</v>
      </c>
      <c r="DE1782" t="s">
        <v>123</v>
      </c>
    </row>
    <row r="1783" spans="1:109" x14ac:dyDescent="0.3">
      <c r="A1783" t="str">
        <f>"19:04:32.430"</f>
        <v>19:04:32.430</v>
      </c>
      <c r="B1783" t="s">
        <v>110</v>
      </c>
      <c r="C1783" t="str">
        <f t="shared" si="81"/>
        <v>ffdfd3c0</v>
      </c>
      <c r="D1783" t="s">
        <v>111</v>
      </c>
      <c r="E1783">
        <v>18</v>
      </c>
      <c r="F1783">
        <v>1018</v>
      </c>
      <c r="G1783" t="s">
        <v>112</v>
      </c>
      <c r="J1783" t="s">
        <v>113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R1783" t="s">
        <v>114</v>
      </c>
      <c r="S1783" t="str">
        <f>"19:04:32.188"</f>
        <v>19:04:32.188</v>
      </c>
      <c r="T1783" t="str">
        <f>"19:04:31.984"</f>
        <v>19:04:31.984</v>
      </c>
      <c r="U1783" t="str">
        <f t="shared" si="82"/>
        <v>a1cdbe</v>
      </c>
      <c r="V1783">
        <v>0</v>
      </c>
      <c r="W1783">
        <v>0</v>
      </c>
      <c r="X1783">
        <v>1</v>
      </c>
      <c r="Y1783">
        <v>0</v>
      </c>
      <c r="Z1783">
        <v>0</v>
      </c>
      <c r="AB1783">
        <v>0</v>
      </c>
      <c r="AC1783">
        <v>9</v>
      </c>
      <c r="AD1783">
        <v>3</v>
      </c>
      <c r="AE1783">
        <v>0</v>
      </c>
      <c r="AF1783">
        <v>9</v>
      </c>
      <c r="AG1783" t="s">
        <v>158</v>
      </c>
      <c r="AH1783">
        <v>0</v>
      </c>
      <c r="AI1783">
        <v>3</v>
      </c>
      <c r="AJ1783">
        <v>1</v>
      </c>
      <c r="AK1783">
        <v>0</v>
      </c>
      <c r="AL1783" t="s">
        <v>2159</v>
      </c>
      <c r="AM1783">
        <v>46.842871000000002</v>
      </c>
      <c r="AN1783" t="s">
        <v>3396</v>
      </c>
      <c r="AO1783">
        <v>-122.920661</v>
      </c>
      <c r="AP1783">
        <v>100</v>
      </c>
      <c r="AQ1783">
        <v>2000</v>
      </c>
      <c r="AR1783" t="s">
        <v>118</v>
      </c>
      <c r="AS1783">
        <v>-76</v>
      </c>
      <c r="AT1783">
        <v>21</v>
      </c>
      <c r="AU1783">
        <v>-256</v>
      </c>
      <c r="BC1783">
        <v>1200</v>
      </c>
      <c r="BD1783">
        <v>1</v>
      </c>
      <c r="BE1783" t="str">
        <f t="shared" si="83"/>
        <v xml:space="preserve">N215T   </v>
      </c>
      <c r="BF1783">
        <v>1</v>
      </c>
      <c r="BH1783">
        <v>0</v>
      </c>
      <c r="BI1783">
        <v>0</v>
      </c>
      <c r="BJ1783">
        <v>0</v>
      </c>
      <c r="BK1783">
        <v>2350</v>
      </c>
      <c r="BL1783">
        <v>350</v>
      </c>
      <c r="BM1783" t="s">
        <v>119</v>
      </c>
      <c r="BN1783">
        <v>1</v>
      </c>
      <c r="BO1783">
        <v>1</v>
      </c>
      <c r="BP1783">
        <v>1</v>
      </c>
      <c r="BQ1783">
        <v>0</v>
      </c>
      <c r="BT1783">
        <v>0</v>
      </c>
      <c r="BU1783">
        <v>0</v>
      </c>
      <c r="BV1783">
        <v>0</v>
      </c>
      <c r="CC1783" t="str">
        <f>"19:04:32.195"</f>
        <v>19:04:32.195</v>
      </c>
      <c r="CD1783" t="str">
        <f>"192449931"</f>
        <v>192449931</v>
      </c>
      <c r="CQ1783">
        <v>0</v>
      </c>
      <c r="CR1783">
        <v>2</v>
      </c>
      <c r="CS1783">
        <v>0</v>
      </c>
      <c r="CT1783">
        <v>2</v>
      </c>
      <c r="CU1783">
        <v>0</v>
      </c>
      <c r="CV1783">
        <v>7</v>
      </c>
      <c r="CW1783" t="s">
        <v>120</v>
      </c>
      <c r="CX1783">
        <v>261</v>
      </c>
      <c r="CY1783">
        <v>2</v>
      </c>
      <c r="CZ1783" t="s">
        <v>121</v>
      </c>
      <c r="DA1783" t="s">
        <v>122</v>
      </c>
      <c r="DD1783">
        <v>15305550</v>
      </c>
      <c r="DE1783" t="s">
        <v>123</v>
      </c>
    </row>
    <row r="1784" spans="1:109" x14ac:dyDescent="0.3">
      <c r="A1784" t="str">
        <f>"19:04:33.438"</f>
        <v>19:04:33.438</v>
      </c>
      <c r="B1784" t="s">
        <v>110</v>
      </c>
      <c r="C1784" t="str">
        <f t="shared" si="81"/>
        <v>ffdfd3c0</v>
      </c>
      <c r="D1784" t="s">
        <v>111</v>
      </c>
      <c r="E1784">
        <v>18</v>
      </c>
      <c r="F1784">
        <v>1018</v>
      </c>
      <c r="G1784" t="s">
        <v>112</v>
      </c>
      <c r="J1784" t="s">
        <v>113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R1784" t="s">
        <v>114</v>
      </c>
      <c r="S1784" t="str">
        <f>"19:04:33.164"</f>
        <v>19:04:33.164</v>
      </c>
      <c r="T1784" t="str">
        <f>"19:04:32.961"</f>
        <v>19:04:32.961</v>
      </c>
      <c r="U1784" t="str">
        <f t="shared" si="82"/>
        <v>a1cdbe</v>
      </c>
      <c r="V1784">
        <v>0</v>
      </c>
      <c r="W1784">
        <v>0</v>
      </c>
      <c r="X1784">
        <v>1</v>
      </c>
      <c r="Y1784">
        <v>0</v>
      </c>
      <c r="Z1784">
        <v>0</v>
      </c>
      <c r="AB1784">
        <v>0</v>
      </c>
      <c r="AC1784">
        <v>9</v>
      </c>
      <c r="AD1784">
        <v>3</v>
      </c>
      <c r="AE1784">
        <v>0</v>
      </c>
      <c r="AF1784">
        <v>9</v>
      </c>
      <c r="AG1784" t="s">
        <v>158</v>
      </c>
      <c r="AH1784">
        <v>0</v>
      </c>
      <c r="AI1784">
        <v>3</v>
      </c>
      <c r="AJ1784">
        <v>1</v>
      </c>
      <c r="AK1784">
        <v>0</v>
      </c>
      <c r="AL1784" t="s">
        <v>2157</v>
      </c>
      <c r="AM1784">
        <v>46.842956999999998</v>
      </c>
      <c r="AN1784" t="s">
        <v>3397</v>
      </c>
      <c r="AO1784">
        <v>-122.92119700000001</v>
      </c>
      <c r="AP1784">
        <v>100</v>
      </c>
      <c r="AQ1784">
        <v>2000</v>
      </c>
      <c r="AR1784" t="s">
        <v>118</v>
      </c>
      <c r="AS1784">
        <v>-76</v>
      </c>
      <c r="AT1784">
        <v>21</v>
      </c>
      <c r="AU1784">
        <v>-256</v>
      </c>
      <c r="BC1784">
        <v>1200</v>
      </c>
      <c r="BD1784">
        <v>1</v>
      </c>
      <c r="BE1784" t="str">
        <f t="shared" si="83"/>
        <v xml:space="preserve">N215T   </v>
      </c>
      <c r="BF1784">
        <v>1</v>
      </c>
      <c r="BH1784">
        <v>0</v>
      </c>
      <c r="BI1784">
        <v>0</v>
      </c>
      <c r="BJ1784">
        <v>0</v>
      </c>
      <c r="BK1784">
        <v>2350</v>
      </c>
      <c r="BL1784">
        <v>350</v>
      </c>
      <c r="BM1784" t="s">
        <v>119</v>
      </c>
      <c r="BN1784">
        <v>1</v>
      </c>
      <c r="BO1784">
        <v>1</v>
      </c>
      <c r="BP1784">
        <v>1</v>
      </c>
      <c r="BQ1784">
        <v>0</v>
      </c>
      <c r="BT1784">
        <v>0</v>
      </c>
      <c r="BU1784">
        <v>0</v>
      </c>
      <c r="BV1784">
        <v>0</v>
      </c>
      <c r="CC1784" t="str">
        <f>"19:04:33.164"</f>
        <v>19:04:33.164</v>
      </c>
      <c r="CD1784" t="str">
        <f>"167353893"</f>
        <v>167353893</v>
      </c>
      <c r="CQ1784">
        <v>0</v>
      </c>
      <c r="CR1784">
        <v>2</v>
      </c>
      <c r="CS1784">
        <v>0</v>
      </c>
      <c r="CT1784">
        <v>2</v>
      </c>
      <c r="CU1784">
        <v>0</v>
      </c>
      <c r="CV1784">
        <v>7</v>
      </c>
      <c r="CW1784" t="s">
        <v>120</v>
      </c>
      <c r="CX1784">
        <v>261</v>
      </c>
      <c r="CY1784">
        <v>2</v>
      </c>
      <c r="CZ1784" t="s">
        <v>121</v>
      </c>
      <c r="DA1784" t="s">
        <v>122</v>
      </c>
      <c r="DD1784">
        <v>15306212</v>
      </c>
      <c r="DE1784" t="s">
        <v>123</v>
      </c>
    </row>
    <row r="1785" spans="1:109" x14ac:dyDescent="0.3">
      <c r="A1785" t="str">
        <f>"19:04:34.492"</f>
        <v>19:04:34.492</v>
      </c>
      <c r="B1785" t="s">
        <v>110</v>
      </c>
      <c r="C1785" t="str">
        <f t="shared" si="81"/>
        <v>ffdfd3c0</v>
      </c>
      <c r="D1785" t="s">
        <v>111</v>
      </c>
      <c r="E1785">
        <v>18</v>
      </c>
      <c r="F1785">
        <v>1018</v>
      </c>
      <c r="G1785" t="s">
        <v>112</v>
      </c>
      <c r="J1785" t="s">
        <v>113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R1785" t="s">
        <v>114</v>
      </c>
      <c r="S1785" t="str">
        <f>"19:04:34.289"</f>
        <v>19:04:34.289</v>
      </c>
      <c r="T1785" t="str">
        <f>"19:04:34.086"</f>
        <v>19:04:34.086</v>
      </c>
      <c r="U1785" t="str">
        <f t="shared" si="82"/>
        <v>a1cdbe</v>
      </c>
      <c r="V1785">
        <v>0</v>
      </c>
      <c r="W1785">
        <v>0</v>
      </c>
      <c r="X1785">
        <v>1</v>
      </c>
      <c r="Y1785">
        <v>0</v>
      </c>
      <c r="Z1785">
        <v>0</v>
      </c>
      <c r="AB1785">
        <v>0</v>
      </c>
      <c r="AC1785">
        <v>9</v>
      </c>
      <c r="AD1785">
        <v>3</v>
      </c>
      <c r="AE1785">
        <v>0</v>
      </c>
      <c r="AF1785">
        <v>9</v>
      </c>
      <c r="AG1785" t="s">
        <v>158</v>
      </c>
      <c r="AH1785">
        <v>0</v>
      </c>
      <c r="AI1785">
        <v>3</v>
      </c>
      <c r="AJ1785">
        <v>1</v>
      </c>
      <c r="AK1785">
        <v>0</v>
      </c>
      <c r="AL1785" t="s">
        <v>3398</v>
      </c>
      <c r="AM1785">
        <v>46.843107000000003</v>
      </c>
      <c r="AN1785" t="s">
        <v>3399</v>
      </c>
      <c r="AO1785">
        <v>-122.92177700000001</v>
      </c>
      <c r="AP1785">
        <v>100</v>
      </c>
      <c r="AQ1785">
        <v>2000</v>
      </c>
      <c r="AR1785" t="s">
        <v>118</v>
      </c>
      <c r="AS1785">
        <v>-76</v>
      </c>
      <c r="AT1785">
        <v>22</v>
      </c>
      <c r="AU1785">
        <v>-256</v>
      </c>
      <c r="BC1785">
        <v>1200</v>
      </c>
      <c r="BD1785">
        <v>1</v>
      </c>
      <c r="BE1785" t="str">
        <f t="shared" si="83"/>
        <v xml:space="preserve">N215T   </v>
      </c>
      <c r="BF1785">
        <v>1</v>
      </c>
      <c r="BH1785">
        <v>0</v>
      </c>
      <c r="BI1785">
        <v>0</v>
      </c>
      <c r="BJ1785">
        <v>0</v>
      </c>
      <c r="BK1785">
        <v>2350</v>
      </c>
      <c r="BL1785">
        <v>350</v>
      </c>
      <c r="BM1785" t="s">
        <v>119</v>
      </c>
      <c r="BN1785">
        <v>1</v>
      </c>
      <c r="BO1785">
        <v>1</v>
      </c>
      <c r="BP1785">
        <v>1</v>
      </c>
      <c r="BQ1785">
        <v>0</v>
      </c>
      <c r="BT1785">
        <v>0</v>
      </c>
      <c r="BU1785">
        <v>0</v>
      </c>
      <c r="BV1785">
        <v>0</v>
      </c>
      <c r="CC1785" t="str">
        <f>"19:04:34.289"</f>
        <v>19:04:34.289</v>
      </c>
      <c r="CD1785" t="str">
        <f>"292243087"</f>
        <v>292243087</v>
      </c>
      <c r="CQ1785">
        <v>0</v>
      </c>
      <c r="CR1785">
        <v>2</v>
      </c>
      <c r="CS1785">
        <v>0</v>
      </c>
      <c r="CT1785">
        <v>2</v>
      </c>
      <c r="CU1785">
        <v>0</v>
      </c>
      <c r="CV1785">
        <v>7</v>
      </c>
      <c r="CW1785" t="s">
        <v>120</v>
      </c>
      <c r="CX1785">
        <v>261</v>
      </c>
      <c r="CY1785">
        <v>2</v>
      </c>
      <c r="CZ1785" t="s">
        <v>121</v>
      </c>
      <c r="DA1785" t="s">
        <v>122</v>
      </c>
      <c r="DD1785">
        <v>15306957</v>
      </c>
      <c r="DE1785" t="s">
        <v>123</v>
      </c>
    </row>
    <row r="1786" spans="1:109" x14ac:dyDescent="0.3">
      <c r="A1786" t="str">
        <f>"19:04:35.445"</f>
        <v>19:04:35.445</v>
      </c>
      <c r="B1786" t="s">
        <v>110</v>
      </c>
      <c r="C1786" t="str">
        <f t="shared" si="81"/>
        <v>ffdfd3c0</v>
      </c>
      <c r="D1786" t="s">
        <v>111</v>
      </c>
      <c r="E1786">
        <v>18</v>
      </c>
      <c r="F1786">
        <v>1018</v>
      </c>
      <c r="G1786" t="s">
        <v>112</v>
      </c>
      <c r="J1786" t="s">
        <v>113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R1786" t="s">
        <v>114</v>
      </c>
      <c r="S1786" t="str">
        <f>"19:04:35.234"</f>
        <v>19:04:35.234</v>
      </c>
      <c r="T1786" t="str">
        <f>"19:04:35.133"</f>
        <v>19:04:35.133</v>
      </c>
      <c r="U1786" t="str">
        <f t="shared" si="82"/>
        <v>a1cdbe</v>
      </c>
      <c r="V1786">
        <v>0</v>
      </c>
      <c r="W1786">
        <v>0</v>
      </c>
      <c r="X1786">
        <v>1</v>
      </c>
      <c r="Y1786">
        <v>0</v>
      </c>
      <c r="Z1786">
        <v>0</v>
      </c>
      <c r="AB1786">
        <v>0</v>
      </c>
      <c r="AC1786">
        <v>9</v>
      </c>
      <c r="AD1786">
        <v>3</v>
      </c>
      <c r="AE1786">
        <v>0</v>
      </c>
      <c r="AF1786">
        <v>9</v>
      </c>
      <c r="AG1786" t="s">
        <v>158</v>
      </c>
      <c r="AH1786">
        <v>0</v>
      </c>
      <c r="AI1786">
        <v>3</v>
      </c>
      <c r="AJ1786">
        <v>1</v>
      </c>
      <c r="AK1786">
        <v>0</v>
      </c>
      <c r="AL1786" t="s">
        <v>2153</v>
      </c>
      <c r="AM1786">
        <v>46.843192999999999</v>
      </c>
      <c r="AN1786" t="s">
        <v>3400</v>
      </c>
      <c r="AO1786">
        <v>-122.92227</v>
      </c>
      <c r="AP1786">
        <v>100</v>
      </c>
      <c r="AQ1786">
        <v>2000</v>
      </c>
      <c r="AR1786" t="s">
        <v>118</v>
      </c>
      <c r="AS1786">
        <v>-76</v>
      </c>
      <c r="AT1786">
        <v>22</v>
      </c>
      <c r="AU1786">
        <v>-192</v>
      </c>
      <c r="BC1786">
        <v>1200</v>
      </c>
      <c r="BD1786">
        <v>1</v>
      </c>
      <c r="BE1786" t="str">
        <f t="shared" si="83"/>
        <v xml:space="preserve">N215T   </v>
      </c>
      <c r="BF1786">
        <v>1</v>
      </c>
      <c r="BH1786">
        <v>0</v>
      </c>
      <c r="BI1786">
        <v>0</v>
      </c>
      <c r="BJ1786">
        <v>0</v>
      </c>
      <c r="BK1786">
        <v>2350</v>
      </c>
      <c r="BL1786">
        <v>350</v>
      </c>
      <c r="BM1786" t="s">
        <v>119</v>
      </c>
      <c r="BN1786">
        <v>1</v>
      </c>
      <c r="BO1786">
        <v>1</v>
      </c>
      <c r="BP1786">
        <v>1</v>
      </c>
      <c r="BQ1786">
        <v>0</v>
      </c>
      <c r="BT1786">
        <v>0</v>
      </c>
      <c r="BU1786">
        <v>0</v>
      </c>
      <c r="BV1786">
        <v>0</v>
      </c>
      <c r="CC1786" t="str">
        <f>"19:04:35.234"</f>
        <v>19:04:35.234</v>
      </c>
      <c r="CD1786" t="str">
        <f>"237149988"</f>
        <v>237149988</v>
      </c>
      <c r="CQ1786">
        <v>0</v>
      </c>
      <c r="CR1786">
        <v>2</v>
      </c>
      <c r="CS1786">
        <v>0</v>
      </c>
      <c r="CT1786">
        <v>2</v>
      </c>
      <c r="CU1786">
        <v>0</v>
      </c>
      <c r="CV1786">
        <v>7</v>
      </c>
      <c r="CW1786" t="s">
        <v>120</v>
      </c>
      <c r="CX1786">
        <v>261</v>
      </c>
      <c r="CY1786">
        <v>2</v>
      </c>
      <c r="CZ1786" t="s">
        <v>121</v>
      </c>
      <c r="DA1786" t="s">
        <v>122</v>
      </c>
      <c r="DD1786">
        <v>15307648</v>
      </c>
      <c r="DE1786" t="s">
        <v>123</v>
      </c>
    </row>
    <row r="1787" spans="1:109" x14ac:dyDescent="0.3">
      <c r="A1787" t="str">
        <f>"19:04:36.453"</f>
        <v>19:04:36.453</v>
      </c>
      <c r="B1787" t="s">
        <v>110</v>
      </c>
      <c r="C1787" t="str">
        <f t="shared" si="81"/>
        <v>ffdfd3c0</v>
      </c>
      <c r="D1787" t="s">
        <v>111</v>
      </c>
      <c r="E1787">
        <v>18</v>
      </c>
      <c r="F1787">
        <v>1018</v>
      </c>
      <c r="G1787" t="s">
        <v>112</v>
      </c>
      <c r="J1787" t="s">
        <v>113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R1787" t="s">
        <v>114</v>
      </c>
      <c r="S1787" t="str">
        <f>"19:04:36.211"</f>
        <v>19:04:36.211</v>
      </c>
      <c r="T1787" t="str">
        <f>"19:04:36.211"</f>
        <v>19:04:36.211</v>
      </c>
      <c r="U1787" t="str">
        <f t="shared" si="82"/>
        <v>a1cdbe</v>
      </c>
      <c r="V1787">
        <v>0</v>
      </c>
      <c r="W1787">
        <v>0</v>
      </c>
      <c r="X1787">
        <v>1</v>
      </c>
      <c r="Y1787">
        <v>0</v>
      </c>
      <c r="Z1787">
        <v>0</v>
      </c>
      <c r="AB1787">
        <v>0</v>
      </c>
      <c r="AC1787">
        <v>9</v>
      </c>
      <c r="AD1787">
        <v>3</v>
      </c>
      <c r="AE1787">
        <v>0</v>
      </c>
      <c r="AF1787">
        <v>9</v>
      </c>
      <c r="AG1787" t="s">
        <v>158</v>
      </c>
      <c r="AH1787">
        <v>0</v>
      </c>
      <c r="AI1787">
        <v>3</v>
      </c>
      <c r="AJ1787">
        <v>1</v>
      </c>
      <c r="AK1787">
        <v>0</v>
      </c>
      <c r="AL1787" t="s">
        <v>3401</v>
      </c>
      <c r="AM1787">
        <v>46.843277999999998</v>
      </c>
      <c r="AN1787" t="s">
        <v>3402</v>
      </c>
      <c r="AO1787">
        <v>-122.922721</v>
      </c>
      <c r="AP1787">
        <v>100</v>
      </c>
      <c r="AQ1787">
        <v>2000</v>
      </c>
      <c r="AR1787" t="s">
        <v>118</v>
      </c>
      <c r="AS1787">
        <v>-76</v>
      </c>
      <c r="AT1787">
        <v>22</v>
      </c>
      <c r="AU1787">
        <v>-192</v>
      </c>
      <c r="BC1787">
        <v>1200</v>
      </c>
      <c r="BD1787">
        <v>1</v>
      </c>
      <c r="BE1787" t="str">
        <f t="shared" si="83"/>
        <v xml:space="preserve">N215T   </v>
      </c>
      <c r="BF1787">
        <v>1</v>
      </c>
      <c r="BH1787">
        <v>0</v>
      </c>
      <c r="BI1787">
        <v>0</v>
      </c>
      <c r="BJ1787">
        <v>0</v>
      </c>
      <c r="BK1787">
        <v>2350</v>
      </c>
      <c r="BL1787">
        <v>350</v>
      </c>
      <c r="BM1787" t="s">
        <v>119</v>
      </c>
      <c r="BN1787">
        <v>1</v>
      </c>
      <c r="BO1787">
        <v>1</v>
      </c>
      <c r="BP1787">
        <v>1</v>
      </c>
      <c r="BQ1787">
        <v>0</v>
      </c>
      <c r="BT1787">
        <v>0</v>
      </c>
      <c r="BU1787">
        <v>0</v>
      </c>
      <c r="BV1787">
        <v>0</v>
      </c>
      <c r="CC1787" t="str">
        <f>"19:04:36.211"</f>
        <v>19:04:36.211</v>
      </c>
      <c r="CD1787" t="str">
        <f>"212053945"</f>
        <v>212053945</v>
      </c>
      <c r="CQ1787">
        <v>0</v>
      </c>
      <c r="CR1787">
        <v>2</v>
      </c>
      <c r="CS1787">
        <v>0</v>
      </c>
      <c r="CT1787">
        <v>2</v>
      </c>
      <c r="CU1787">
        <v>0</v>
      </c>
      <c r="CV1787">
        <v>7</v>
      </c>
      <c r="CW1787" t="s">
        <v>120</v>
      </c>
      <c r="CX1787">
        <v>261</v>
      </c>
      <c r="CY1787">
        <v>2</v>
      </c>
      <c r="CZ1787" t="s">
        <v>121</v>
      </c>
      <c r="DA1787" t="s">
        <v>122</v>
      </c>
      <c r="DD1787">
        <v>15308291</v>
      </c>
      <c r="DE1787" t="s">
        <v>123</v>
      </c>
    </row>
    <row r="1788" spans="1:109" x14ac:dyDescent="0.3">
      <c r="A1788" t="str">
        <f>"19:04:37.359"</f>
        <v>19:04:37.359</v>
      </c>
      <c r="B1788" t="s">
        <v>110</v>
      </c>
      <c r="C1788" t="str">
        <f t="shared" si="81"/>
        <v>ffdfd3c0</v>
      </c>
      <c r="D1788" t="s">
        <v>111</v>
      </c>
      <c r="E1788">
        <v>18</v>
      </c>
      <c r="F1788">
        <v>1018</v>
      </c>
      <c r="G1788" t="s">
        <v>112</v>
      </c>
      <c r="J1788" t="s">
        <v>113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R1788" t="s">
        <v>114</v>
      </c>
      <c r="S1788" t="str">
        <f>"19:04:37.109"</f>
        <v>19:04:37.109</v>
      </c>
      <c r="T1788" t="str">
        <f>"19:04:36.609"</f>
        <v>19:04:36.609</v>
      </c>
      <c r="U1788" t="str">
        <f t="shared" si="82"/>
        <v>a1cdbe</v>
      </c>
      <c r="V1788">
        <v>0</v>
      </c>
      <c r="W1788">
        <v>0</v>
      </c>
      <c r="X1788">
        <v>1</v>
      </c>
      <c r="Y1788">
        <v>0</v>
      </c>
      <c r="Z1788">
        <v>0</v>
      </c>
      <c r="AB1788">
        <v>0</v>
      </c>
      <c r="AC1788">
        <v>9</v>
      </c>
      <c r="AD1788">
        <v>3</v>
      </c>
      <c r="AE1788">
        <v>0</v>
      </c>
      <c r="AF1788">
        <v>9</v>
      </c>
      <c r="AG1788" t="s">
        <v>158</v>
      </c>
      <c r="AH1788">
        <v>0</v>
      </c>
      <c r="AI1788">
        <v>3</v>
      </c>
      <c r="AJ1788">
        <v>1</v>
      </c>
      <c r="AK1788">
        <v>0</v>
      </c>
      <c r="AL1788" t="s">
        <v>3403</v>
      </c>
      <c r="AM1788">
        <v>46.843386000000002</v>
      </c>
      <c r="AN1788" t="s">
        <v>3404</v>
      </c>
      <c r="AO1788">
        <v>-122.923214</v>
      </c>
      <c r="AP1788">
        <v>100</v>
      </c>
      <c r="AQ1788">
        <v>1900</v>
      </c>
      <c r="AR1788" t="s">
        <v>118</v>
      </c>
      <c r="AS1788">
        <v>-76</v>
      </c>
      <c r="AT1788">
        <v>22</v>
      </c>
      <c r="AU1788">
        <v>-128</v>
      </c>
      <c r="BC1788">
        <v>1200</v>
      </c>
      <c r="BD1788">
        <v>1</v>
      </c>
      <c r="BE1788" t="str">
        <f t="shared" si="83"/>
        <v xml:space="preserve">N215T   </v>
      </c>
      <c r="BF1788">
        <v>1</v>
      </c>
      <c r="BH1788">
        <v>0</v>
      </c>
      <c r="BI1788">
        <v>0</v>
      </c>
      <c r="BJ1788">
        <v>0</v>
      </c>
      <c r="BK1788">
        <v>2325</v>
      </c>
      <c r="BL1788">
        <v>425</v>
      </c>
      <c r="BM1788" t="s">
        <v>119</v>
      </c>
      <c r="BN1788">
        <v>1</v>
      </c>
      <c r="BO1788">
        <v>1</v>
      </c>
      <c r="BP1788">
        <v>1</v>
      </c>
      <c r="BQ1788">
        <v>0</v>
      </c>
      <c r="BT1788">
        <v>0</v>
      </c>
      <c r="BU1788">
        <v>0</v>
      </c>
      <c r="BV1788">
        <v>0</v>
      </c>
      <c r="CC1788" t="str">
        <f>"19:04:37.109"</f>
        <v>19:04:37.109</v>
      </c>
      <c r="CD1788" t="str">
        <f>"111965297"</f>
        <v>111965297</v>
      </c>
      <c r="CQ1788">
        <v>0</v>
      </c>
      <c r="CR1788">
        <v>2</v>
      </c>
      <c r="CS1788">
        <v>0</v>
      </c>
      <c r="CT1788">
        <v>2</v>
      </c>
      <c r="CU1788">
        <v>0</v>
      </c>
      <c r="CV1788">
        <v>7</v>
      </c>
      <c r="CW1788" t="s">
        <v>120</v>
      </c>
      <c r="CX1788">
        <v>261</v>
      </c>
      <c r="CY1788">
        <v>2</v>
      </c>
      <c r="CZ1788" t="s">
        <v>121</v>
      </c>
      <c r="DA1788" t="s">
        <v>122</v>
      </c>
      <c r="DD1788">
        <v>15308876</v>
      </c>
      <c r="DE1788" t="s">
        <v>123</v>
      </c>
    </row>
    <row r="1789" spans="1:109" x14ac:dyDescent="0.3">
      <c r="A1789" t="str">
        <f>"19:04:38.313"</f>
        <v>19:04:38.313</v>
      </c>
      <c r="B1789" t="s">
        <v>110</v>
      </c>
      <c r="C1789" t="str">
        <f t="shared" si="81"/>
        <v>ffdfd3c0</v>
      </c>
      <c r="D1789" t="s">
        <v>111</v>
      </c>
      <c r="E1789">
        <v>18</v>
      </c>
      <c r="F1789">
        <v>1018</v>
      </c>
      <c r="G1789" t="s">
        <v>112</v>
      </c>
      <c r="J1789" t="s">
        <v>113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R1789" t="s">
        <v>114</v>
      </c>
      <c r="S1789" t="str">
        <f>"19:04:38.102"</f>
        <v>19:04:38.102</v>
      </c>
      <c r="T1789" t="str">
        <f>"19:04:37.703"</f>
        <v>19:04:37.703</v>
      </c>
      <c r="U1789" t="str">
        <f t="shared" si="82"/>
        <v>a1cdbe</v>
      </c>
      <c r="V1789">
        <v>0</v>
      </c>
      <c r="W1789">
        <v>0</v>
      </c>
      <c r="X1789">
        <v>1</v>
      </c>
      <c r="Y1789">
        <v>0</v>
      </c>
      <c r="Z1789">
        <v>0</v>
      </c>
      <c r="AB1789">
        <v>0</v>
      </c>
      <c r="AC1789">
        <v>9</v>
      </c>
      <c r="AD1789">
        <v>3</v>
      </c>
      <c r="AE1789">
        <v>0</v>
      </c>
      <c r="AF1789">
        <v>9</v>
      </c>
      <c r="AG1789" t="s">
        <v>158</v>
      </c>
      <c r="AH1789">
        <v>0</v>
      </c>
      <c r="AI1789">
        <v>3</v>
      </c>
      <c r="AJ1789">
        <v>1</v>
      </c>
      <c r="AK1789">
        <v>0</v>
      </c>
      <c r="AL1789" t="s">
        <v>3405</v>
      </c>
      <c r="AM1789">
        <v>46.843449999999997</v>
      </c>
      <c r="AN1789" t="s">
        <v>3406</v>
      </c>
      <c r="AO1789">
        <v>-122.923751</v>
      </c>
      <c r="AP1789">
        <v>100</v>
      </c>
      <c r="AQ1789">
        <v>2000</v>
      </c>
      <c r="AR1789" t="s">
        <v>118</v>
      </c>
      <c r="AS1789">
        <v>-76</v>
      </c>
      <c r="AT1789">
        <v>23</v>
      </c>
      <c r="AU1789">
        <v>-64</v>
      </c>
      <c r="BC1789">
        <v>1200</v>
      </c>
      <c r="BD1789">
        <v>1</v>
      </c>
      <c r="BE1789" t="str">
        <f t="shared" si="83"/>
        <v xml:space="preserve">N215T   </v>
      </c>
      <c r="BF1789">
        <v>1</v>
      </c>
      <c r="BH1789">
        <v>0</v>
      </c>
      <c r="BI1789">
        <v>0</v>
      </c>
      <c r="BJ1789">
        <v>0</v>
      </c>
      <c r="BK1789">
        <v>2325</v>
      </c>
      <c r="BL1789">
        <v>325</v>
      </c>
      <c r="BM1789" t="s">
        <v>119</v>
      </c>
      <c r="BN1789">
        <v>1</v>
      </c>
      <c r="BO1789">
        <v>1</v>
      </c>
      <c r="BP1789">
        <v>1</v>
      </c>
      <c r="BQ1789">
        <v>0</v>
      </c>
      <c r="BT1789">
        <v>0</v>
      </c>
      <c r="BU1789">
        <v>0</v>
      </c>
      <c r="BV1789">
        <v>0</v>
      </c>
      <c r="CC1789" t="str">
        <f>"19:04:38.102"</f>
        <v>19:04:38.102</v>
      </c>
      <c r="CD1789" t="str">
        <f>"101867775"</f>
        <v>101867775</v>
      </c>
      <c r="CQ1789">
        <v>0</v>
      </c>
      <c r="CR1789">
        <v>2</v>
      </c>
      <c r="CS1789">
        <v>0</v>
      </c>
      <c r="CT1789">
        <v>2</v>
      </c>
      <c r="CU1789">
        <v>0</v>
      </c>
      <c r="CV1789">
        <v>7</v>
      </c>
      <c r="CW1789" t="s">
        <v>120</v>
      </c>
      <c r="CX1789">
        <v>261</v>
      </c>
      <c r="CY1789">
        <v>2</v>
      </c>
      <c r="CZ1789" t="s">
        <v>121</v>
      </c>
      <c r="DA1789" t="s">
        <v>122</v>
      </c>
      <c r="DD1789">
        <v>15309525</v>
      </c>
      <c r="DE1789" t="s">
        <v>123</v>
      </c>
    </row>
    <row r="1790" spans="1:109" x14ac:dyDescent="0.3">
      <c r="A1790" t="str">
        <f>"19:04:39.367"</f>
        <v>19:04:39.367</v>
      </c>
      <c r="B1790" t="s">
        <v>110</v>
      </c>
      <c r="C1790" t="str">
        <f t="shared" si="81"/>
        <v>ffdfd3c0</v>
      </c>
      <c r="D1790" t="s">
        <v>111</v>
      </c>
      <c r="E1790">
        <v>18</v>
      </c>
      <c r="F1790">
        <v>1018</v>
      </c>
      <c r="G1790" t="s">
        <v>112</v>
      </c>
      <c r="J1790" t="s">
        <v>113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R1790" t="s">
        <v>114</v>
      </c>
      <c r="S1790" t="str">
        <f>"19:04:39.117"</f>
        <v>19:04:39.117</v>
      </c>
      <c r="T1790" t="str">
        <f>"19:04:39.117"</f>
        <v>19:04:39.117</v>
      </c>
      <c r="U1790" t="str">
        <f t="shared" si="82"/>
        <v>a1cdbe</v>
      </c>
      <c r="V1790">
        <v>0</v>
      </c>
      <c r="W1790">
        <v>0</v>
      </c>
      <c r="X1790">
        <v>1</v>
      </c>
      <c r="Y1790">
        <v>0</v>
      </c>
      <c r="Z1790">
        <v>0</v>
      </c>
      <c r="AB1790">
        <v>0</v>
      </c>
      <c r="AC1790">
        <v>9</v>
      </c>
      <c r="AD1790">
        <v>3</v>
      </c>
      <c r="AE1790">
        <v>0</v>
      </c>
      <c r="AF1790">
        <v>9</v>
      </c>
      <c r="AG1790" t="s">
        <v>158</v>
      </c>
      <c r="AH1790">
        <v>0</v>
      </c>
      <c r="AI1790">
        <v>3</v>
      </c>
      <c r="AJ1790">
        <v>1</v>
      </c>
      <c r="AK1790">
        <v>0</v>
      </c>
      <c r="AL1790" t="s">
        <v>2147</v>
      </c>
      <c r="AM1790">
        <v>46.843556999999997</v>
      </c>
      <c r="AN1790" t="s">
        <v>3407</v>
      </c>
      <c r="AO1790">
        <v>-122.924244</v>
      </c>
      <c r="AP1790">
        <v>100</v>
      </c>
      <c r="AQ1790">
        <v>1900</v>
      </c>
      <c r="AR1790" t="s">
        <v>118</v>
      </c>
      <c r="AS1790">
        <v>-76</v>
      </c>
      <c r="AT1790">
        <v>23</v>
      </c>
      <c r="AU1790">
        <v>0</v>
      </c>
      <c r="BC1790">
        <v>1200</v>
      </c>
      <c r="BD1790">
        <v>1</v>
      </c>
      <c r="BE1790" t="str">
        <f t="shared" si="83"/>
        <v xml:space="preserve">N215T   </v>
      </c>
      <c r="BF1790">
        <v>1</v>
      </c>
      <c r="BH1790">
        <v>0</v>
      </c>
      <c r="BI1790">
        <v>0</v>
      </c>
      <c r="BJ1790">
        <v>0</v>
      </c>
      <c r="BK1790">
        <v>2325</v>
      </c>
      <c r="BL1790">
        <v>425</v>
      </c>
      <c r="BM1790" t="s">
        <v>119</v>
      </c>
      <c r="BN1790">
        <v>1</v>
      </c>
      <c r="BO1790">
        <v>1</v>
      </c>
      <c r="BP1790">
        <v>1</v>
      </c>
      <c r="BQ1790">
        <v>0</v>
      </c>
      <c r="BT1790">
        <v>0</v>
      </c>
      <c r="BU1790">
        <v>0</v>
      </c>
      <c r="BV1790">
        <v>0</v>
      </c>
      <c r="CC1790" t="str">
        <f>"19:04:39.125"</f>
        <v>19:04:39.125</v>
      </c>
      <c r="CD1790" t="str">
        <f>"121767296"</f>
        <v>121767296</v>
      </c>
      <c r="CQ1790">
        <v>0</v>
      </c>
      <c r="CR1790">
        <v>2</v>
      </c>
      <c r="CS1790">
        <v>0</v>
      </c>
      <c r="CT1790">
        <v>2</v>
      </c>
      <c r="CU1790">
        <v>0</v>
      </c>
      <c r="CV1790">
        <v>7</v>
      </c>
      <c r="CW1790" t="s">
        <v>120</v>
      </c>
      <c r="CX1790">
        <v>261</v>
      </c>
      <c r="CY1790">
        <v>2</v>
      </c>
      <c r="CZ1790" t="s">
        <v>121</v>
      </c>
      <c r="DA1790" t="s">
        <v>122</v>
      </c>
      <c r="DD1790">
        <v>15310251</v>
      </c>
      <c r="DE1790" t="s">
        <v>123</v>
      </c>
    </row>
    <row r="1791" spans="1:109" x14ac:dyDescent="0.3">
      <c r="A1791" t="str">
        <f>"19:04:40.273"</f>
        <v>19:04:40.273</v>
      </c>
      <c r="B1791" t="s">
        <v>110</v>
      </c>
      <c r="C1791" t="str">
        <f t="shared" si="81"/>
        <v>ffdfd3c0</v>
      </c>
      <c r="D1791" t="s">
        <v>111</v>
      </c>
      <c r="E1791">
        <v>18</v>
      </c>
      <c r="F1791">
        <v>1018</v>
      </c>
      <c r="G1791" t="s">
        <v>112</v>
      </c>
      <c r="J1791" t="s">
        <v>113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R1791" t="s">
        <v>114</v>
      </c>
      <c r="S1791" t="str">
        <f>"19:04:40.031"</f>
        <v>19:04:40.031</v>
      </c>
      <c r="T1791" t="str">
        <f>"19:04:39.734"</f>
        <v>19:04:39.734</v>
      </c>
      <c r="U1791" t="str">
        <f t="shared" si="82"/>
        <v>a1cdbe</v>
      </c>
      <c r="V1791">
        <v>0</v>
      </c>
      <c r="W1791">
        <v>0</v>
      </c>
      <c r="X1791">
        <v>1</v>
      </c>
      <c r="Y1791">
        <v>0</v>
      </c>
      <c r="Z1791">
        <v>0</v>
      </c>
      <c r="AB1791">
        <v>0</v>
      </c>
      <c r="AC1791">
        <v>9</v>
      </c>
      <c r="AD1791">
        <v>3</v>
      </c>
      <c r="AE1791">
        <v>0</v>
      </c>
      <c r="AF1791">
        <v>9</v>
      </c>
      <c r="AG1791" t="s">
        <v>158</v>
      </c>
      <c r="AH1791">
        <v>0</v>
      </c>
      <c r="AI1791">
        <v>3</v>
      </c>
      <c r="AJ1791">
        <v>1</v>
      </c>
      <c r="AK1791">
        <v>0</v>
      </c>
      <c r="AL1791" t="s">
        <v>3408</v>
      </c>
      <c r="AM1791">
        <v>46.843685999999998</v>
      </c>
      <c r="AN1791" t="s">
        <v>3409</v>
      </c>
      <c r="AO1791">
        <v>-122.924695</v>
      </c>
      <c r="AP1791">
        <v>100</v>
      </c>
      <c r="AQ1791">
        <v>1900</v>
      </c>
      <c r="AR1791" t="s">
        <v>118</v>
      </c>
      <c r="AS1791">
        <v>-76</v>
      </c>
      <c r="AT1791">
        <v>23</v>
      </c>
      <c r="AU1791">
        <v>0</v>
      </c>
      <c r="BC1791">
        <v>1200</v>
      </c>
      <c r="BD1791">
        <v>1</v>
      </c>
      <c r="BE1791" t="str">
        <f t="shared" si="83"/>
        <v xml:space="preserve">N215T   </v>
      </c>
      <c r="BF1791">
        <v>1</v>
      </c>
      <c r="BH1791">
        <v>0</v>
      </c>
      <c r="BI1791">
        <v>0</v>
      </c>
      <c r="BJ1791">
        <v>0</v>
      </c>
      <c r="BK1791">
        <v>2350</v>
      </c>
      <c r="BL1791">
        <v>450</v>
      </c>
      <c r="BM1791" t="s">
        <v>119</v>
      </c>
      <c r="BN1791">
        <v>1</v>
      </c>
      <c r="BO1791">
        <v>1</v>
      </c>
      <c r="BP1791">
        <v>1</v>
      </c>
      <c r="BQ1791">
        <v>0</v>
      </c>
      <c r="BT1791">
        <v>0</v>
      </c>
      <c r="BU1791">
        <v>0</v>
      </c>
      <c r="BV1791">
        <v>0</v>
      </c>
      <c r="CC1791" t="str">
        <f>"19:04:40.039"</f>
        <v>19:04:40.039</v>
      </c>
      <c r="CD1791" t="str">
        <f>"036677163"</f>
        <v>036677163</v>
      </c>
      <c r="CQ1791">
        <v>0</v>
      </c>
      <c r="CR1791">
        <v>2</v>
      </c>
      <c r="CS1791">
        <v>0</v>
      </c>
      <c r="CT1791">
        <v>2</v>
      </c>
      <c r="CU1791">
        <v>0</v>
      </c>
      <c r="CV1791">
        <v>7</v>
      </c>
      <c r="CW1791" t="s">
        <v>120</v>
      </c>
      <c r="CX1791">
        <v>261</v>
      </c>
      <c r="CY1791">
        <v>2</v>
      </c>
      <c r="CZ1791" t="s">
        <v>121</v>
      </c>
      <c r="DA1791" t="s">
        <v>122</v>
      </c>
      <c r="DD1791">
        <v>15310832</v>
      </c>
      <c r="DE1791" t="s">
        <v>123</v>
      </c>
    </row>
    <row r="1792" spans="1:109" x14ac:dyDescent="0.3">
      <c r="A1792" t="str">
        <f>"19:04:41.227"</f>
        <v>19:04:41.227</v>
      </c>
      <c r="B1792" t="s">
        <v>110</v>
      </c>
      <c r="C1792" t="str">
        <f t="shared" si="81"/>
        <v>ffdfd3c0</v>
      </c>
      <c r="D1792" t="s">
        <v>111</v>
      </c>
      <c r="E1792">
        <v>18</v>
      </c>
      <c r="F1792">
        <v>1018</v>
      </c>
      <c r="G1792" t="s">
        <v>112</v>
      </c>
      <c r="J1792" t="s">
        <v>113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R1792" t="s">
        <v>114</v>
      </c>
      <c r="S1792" t="str">
        <f>"19:04:41.008"</f>
        <v>19:04:41.008</v>
      </c>
      <c r="T1792" t="str">
        <f>"19:04:40.805"</f>
        <v>19:04:40.805</v>
      </c>
      <c r="U1792" t="str">
        <f t="shared" si="82"/>
        <v>a1cdbe</v>
      </c>
      <c r="V1792">
        <v>0</v>
      </c>
      <c r="W1792">
        <v>0</v>
      </c>
      <c r="X1792">
        <v>1</v>
      </c>
      <c r="Y1792">
        <v>0</v>
      </c>
      <c r="Z1792">
        <v>0</v>
      </c>
      <c r="AB1792">
        <v>0</v>
      </c>
      <c r="AC1792">
        <v>9</v>
      </c>
      <c r="AD1792">
        <v>3</v>
      </c>
      <c r="AE1792">
        <v>0</v>
      </c>
      <c r="AF1792">
        <v>9</v>
      </c>
      <c r="AG1792" t="s">
        <v>158</v>
      </c>
      <c r="AH1792">
        <v>0</v>
      </c>
      <c r="AI1792">
        <v>3</v>
      </c>
      <c r="AJ1792">
        <v>1</v>
      </c>
      <c r="AK1792">
        <v>0</v>
      </c>
      <c r="AL1792" t="s">
        <v>2143</v>
      </c>
      <c r="AM1792">
        <v>46.84375</v>
      </c>
      <c r="AN1792" t="s">
        <v>3410</v>
      </c>
      <c r="AO1792">
        <v>-122.92521000000001</v>
      </c>
      <c r="AP1792">
        <v>100</v>
      </c>
      <c r="AQ1792">
        <v>1900</v>
      </c>
      <c r="AR1792" t="s">
        <v>118</v>
      </c>
      <c r="AS1792">
        <v>-76</v>
      </c>
      <c r="AT1792">
        <v>23</v>
      </c>
      <c r="AU1792">
        <v>64</v>
      </c>
      <c r="BC1792">
        <v>1200</v>
      </c>
      <c r="BD1792">
        <v>1</v>
      </c>
      <c r="BE1792" t="str">
        <f t="shared" si="83"/>
        <v xml:space="preserve">N215T   </v>
      </c>
      <c r="BF1792">
        <v>1</v>
      </c>
      <c r="BH1792">
        <v>0</v>
      </c>
      <c r="BI1792">
        <v>0</v>
      </c>
      <c r="BJ1792">
        <v>0</v>
      </c>
      <c r="BK1792">
        <v>2450</v>
      </c>
      <c r="BL1792">
        <v>550</v>
      </c>
      <c r="BM1792" t="s">
        <v>119</v>
      </c>
      <c r="BN1792">
        <v>1</v>
      </c>
      <c r="BO1792">
        <v>1</v>
      </c>
      <c r="BP1792">
        <v>1</v>
      </c>
      <c r="BQ1792">
        <v>0</v>
      </c>
      <c r="BT1792">
        <v>0</v>
      </c>
      <c r="BU1792">
        <v>0</v>
      </c>
      <c r="BV1792">
        <v>0</v>
      </c>
      <c r="CC1792" t="str">
        <f>"19:04:41.008"</f>
        <v>19:04:41.008</v>
      </c>
      <c r="CD1792" t="str">
        <f>"011581126"</f>
        <v>011581126</v>
      </c>
      <c r="CQ1792">
        <v>0</v>
      </c>
      <c r="CR1792">
        <v>2</v>
      </c>
      <c r="CS1792">
        <v>0</v>
      </c>
      <c r="CT1792">
        <v>2</v>
      </c>
      <c r="CU1792">
        <v>0</v>
      </c>
      <c r="CV1792">
        <v>7</v>
      </c>
      <c r="CW1792" t="s">
        <v>120</v>
      </c>
      <c r="CX1792">
        <v>261</v>
      </c>
      <c r="CY1792">
        <v>2</v>
      </c>
      <c r="CZ1792" t="s">
        <v>121</v>
      </c>
      <c r="DA1792" t="s">
        <v>122</v>
      </c>
      <c r="DD1792">
        <v>15311441</v>
      </c>
      <c r="DE1792" t="s">
        <v>123</v>
      </c>
    </row>
    <row r="1793" spans="1:109" x14ac:dyDescent="0.3">
      <c r="A1793" t="str">
        <f>"19:04:42.180"</f>
        <v>19:04:42.180</v>
      </c>
      <c r="B1793" t="s">
        <v>110</v>
      </c>
      <c r="C1793" t="str">
        <f t="shared" si="81"/>
        <v>ffdfd3c0</v>
      </c>
      <c r="D1793" t="s">
        <v>111</v>
      </c>
      <c r="E1793">
        <v>18</v>
      </c>
      <c r="F1793">
        <v>1018</v>
      </c>
      <c r="G1793" t="s">
        <v>112</v>
      </c>
      <c r="J1793" t="s">
        <v>113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R1793" t="s">
        <v>114</v>
      </c>
      <c r="S1793" t="str">
        <f>"19:04:41.922"</f>
        <v>19:04:41.922</v>
      </c>
      <c r="T1793" t="str">
        <f>"19:04:41.820"</f>
        <v>19:04:41.820</v>
      </c>
      <c r="U1793" t="str">
        <f t="shared" si="82"/>
        <v>a1cdbe</v>
      </c>
      <c r="V1793">
        <v>0</v>
      </c>
      <c r="W1793">
        <v>0</v>
      </c>
      <c r="X1793">
        <v>1</v>
      </c>
      <c r="Y1793">
        <v>0</v>
      </c>
      <c r="Z1793">
        <v>0</v>
      </c>
      <c r="AB1793">
        <v>0</v>
      </c>
      <c r="AC1793">
        <v>9</v>
      </c>
      <c r="AD1793">
        <v>3</v>
      </c>
      <c r="AE1793">
        <v>0</v>
      </c>
      <c r="AF1793">
        <v>9</v>
      </c>
      <c r="AG1793" t="s">
        <v>158</v>
      </c>
      <c r="AH1793">
        <v>0</v>
      </c>
      <c r="AI1793">
        <v>3</v>
      </c>
      <c r="AJ1793">
        <v>1</v>
      </c>
      <c r="AK1793">
        <v>0</v>
      </c>
      <c r="AL1793" t="s">
        <v>3411</v>
      </c>
      <c r="AM1793">
        <v>46.843836000000003</v>
      </c>
      <c r="AN1793" t="s">
        <v>3412</v>
      </c>
      <c r="AO1793">
        <v>-122.92568199999999</v>
      </c>
      <c r="AP1793">
        <v>100</v>
      </c>
      <c r="AQ1793">
        <v>2000</v>
      </c>
      <c r="AR1793" t="s">
        <v>118</v>
      </c>
      <c r="AS1793">
        <v>-76</v>
      </c>
      <c r="AT1793">
        <v>23</v>
      </c>
      <c r="AU1793">
        <v>64</v>
      </c>
      <c r="BC1793">
        <v>1200</v>
      </c>
      <c r="BD1793">
        <v>1</v>
      </c>
      <c r="BE1793" t="str">
        <f t="shared" si="83"/>
        <v xml:space="preserve">N215T   </v>
      </c>
      <c r="BF1793">
        <v>1</v>
      </c>
      <c r="BH1793">
        <v>0</v>
      </c>
      <c r="BI1793">
        <v>0</v>
      </c>
      <c r="BJ1793">
        <v>0</v>
      </c>
      <c r="BK1793">
        <v>2350</v>
      </c>
      <c r="BL1793">
        <v>350</v>
      </c>
      <c r="BM1793" t="s">
        <v>119</v>
      </c>
      <c r="BN1793">
        <v>1</v>
      </c>
      <c r="BO1793">
        <v>1</v>
      </c>
      <c r="BP1793">
        <v>1</v>
      </c>
      <c r="BQ1793">
        <v>0</v>
      </c>
      <c r="BT1793">
        <v>0</v>
      </c>
      <c r="BU1793">
        <v>0</v>
      </c>
      <c r="BV1793">
        <v>0</v>
      </c>
      <c r="CC1793" t="str">
        <f>"19:04:41.930"</f>
        <v>19:04:41.930</v>
      </c>
      <c r="CD1793" t="str">
        <f>"926490996"</f>
        <v>926490996</v>
      </c>
      <c r="CQ1793">
        <v>0</v>
      </c>
      <c r="CR1793">
        <v>2</v>
      </c>
      <c r="CS1793">
        <v>0</v>
      </c>
      <c r="CT1793">
        <v>2</v>
      </c>
      <c r="CU1793">
        <v>0</v>
      </c>
      <c r="CV1793">
        <v>7</v>
      </c>
      <c r="CW1793" t="s">
        <v>120</v>
      </c>
      <c r="CX1793">
        <v>261</v>
      </c>
      <c r="CY1793">
        <v>2</v>
      </c>
      <c r="CZ1793" t="s">
        <v>121</v>
      </c>
      <c r="DA1793" t="s">
        <v>122</v>
      </c>
      <c r="DD1793">
        <v>15312047</v>
      </c>
      <c r="DE1793" t="s">
        <v>123</v>
      </c>
    </row>
    <row r="1794" spans="1:109" x14ac:dyDescent="0.3">
      <c r="A1794" t="str">
        <f>"19:04:43.188"</f>
        <v>19:04:43.188</v>
      </c>
      <c r="B1794" t="s">
        <v>110</v>
      </c>
      <c r="C1794" t="str">
        <f t="shared" ref="C1794:C1857" si="84">"ffdfd3c0"</f>
        <v>ffdfd3c0</v>
      </c>
      <c r="D1794" t="s">
        <v>111</v>
      </c>
      <c r="E1794">
        <v>18</v>
      </c>
      <c r="F1794">
        <v>1018</v>
      </c>
      <c r="G1794" t="s">
        <v>112</v>
      </c>
      <c r="J1794" t="s">
        <v>113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R1794" t="s">
        <v>114</v>
      </c>
      <c r="S1794" t="str">
        <f>"19:04:42.984"</f>
        <v>19:04:42.984</v>
      </c>
      <c r="T1794" t="str">
        <f>"19:04:42.781"</f>
        <v>19:04:42.781</v>
      </c>
      <c r="U1794" t="str">
        <f t="shared" ref="U1794:U1857" si="85">"a1cdbe"</f>
        <v>a1cdbe</v>
      </c>
      <c r="V1794">
        <v>0</v>
      </c>
      <c r="W1794">
        <v>0</v>
      </c>
      <c r="X1794">
        <v>1</v>
      </c>
      <c r="Y1794">
        <v>0</v>
      </c>
      <c r="Z1794">
        <v>0</v>
      </c>
      <c r="AB1794">
        <v>0</v>
      </c>
      <c r="AC1794">
        <v>9</v>
      </c>
      <c r="AD1794">
        <v>3</v>
      </c>
      <c r="AE1794">
        <v>0</v>
      </c>
      <c r="AF1794">
        <v>9</v>
      </c>
      <c r="AG1794" t="s">
        <v>158</v>
      </c>
      <c r="AH1794">
        <v>0</v>
      </c>
      <c r="AI1794">
        <v>3</v>
      </c>
      <c r="AJ1794">
        <v>1</v>
      </c>
      <c r="AK1794">
        <v>0</v>
      </c>
      <c r="AL1794" t="s">
        <v>3413</v>
      </c>
      <c r="AM1794">
        <v>46.843986999999998</v>
      </c>
      <c r="AN1794" t="s">
        <v>3414</v>
      </c>
      <c r="AO1794">
        <v>-122.92624000000001</v>
      </c>
      <c r="AP1794">
        <v>100</v>
      </c>
      <c r="AQ1794">
        <v>2000</v>
      </c>
      <c r="AR1794" t="s">
        <v>118</v>
      </c>
      <c r="AS1794">
        <v>-76</v>
      </c>
      <c r="AT1794">
        <v>23</v>
      </c>
      <c r="AU1794">
        <v>0</v>
      </c>
      <c r="BC1794">
        <v>1200</v>
      </c>
      <c r="BD1794">
        <v>1</v>
      </c>
      <c r="BE1794" t="str">
        <f t="shared" ref="BE1794:BE1857" si="86">"N215T   "</f>
        <v xml:space="preserve">N215T   </v>
      </c>
      <c r="BF1794">
        <v>1</v>
      </c>
      <c r="BH1794">
        <v>0</v>
      </c>
      <c r="BI1794">
        <v>0</v>
      </c>
      <c r="BJ1794">
        <v>0</v>
      </c>
      <c r="BK1794">
        <v>2450</v>
      </c>
      <c r="BL1794">
        <v>450</v>
      </c>
      <c r="BM1794" t="s">
        <v>119</v>
      </c>
      <c r="BN1794">
        <v>1</v>
      </c>
      <c r="BO1794">
        <v>1</v>
      </c>
      <c r="BP1794">
        <v>1</v>
      </c>
      <c r="BQ1794">
        <v>0</v>
      </c>
      <c r="BT1794">
        <v>0</v>
      </c>
      <c r="BU1794">
        <v>0</v>
      </c>
      <c r="BV1794">
        <v>0</v>
      </c>
      <c r="CC1794" t="str">
        <f>"19:04:42.992"</f>
        <v>19:04:42.992</v>
      </c>
      <c r="CD1794" t="str">
        <f>"991386090"</f>
        <v>991386090</v>
      </c>
      <c r="CQ1794">
        <v>0</v>
      </c>
      <c r="CR1794">
        <v>2</v>
      </c>
      <c r="CS1794">
        <v>0</v>
      </c>
      <c r="CT1794">
        <v>2</v>
      </c>
      <c r="CU1794">
        <v>0</v>
      </c>
      <c r="CV1794">
        <v>7</v>
      </c>
      <c r="CW1794" t="s">
        <v>120</v>
      </c>
      <c r="CX1794">
        <v>261</v>
      </c>
      <c r="CY1794">
        <v>2</v>
      </c>
      <c r="CZ1794" t="s">
        <v>121</v>
      </c>
      <c r="DA1794" t="s">
        <v>122</v>
      </c>
      <c r="DD1794">
        <v>15312780</v>
      </c>
      <c r="DE1794" t="s">
        <v>123</v>
      </c>
    </row>
    <row r="1795" spans="1:109" x14ac:dyDescent="0.3">
      <c r="A1795" t="str">
        <f>"19:04:44.305"</f>
        <v>19:04:44.305</v>
      </c>
      <c r="B1795" t="s">
        <v>110</v>
      </c>
      <c r="C1795" t="str">
        <f t="shared" si="84"/>
        <v>ffdfd3c0</v>
      </c>
      <c r="D1795" t="s">
        <v>111</v>
      </c>
      <c r="E1795">
        <v>18</v>
      </c>
      <c r="F1795">
        <v>1018</v>
      </c>
      <c r="G1795" t="s">
        <v>112</v>
      </c>
      <c r="J1795" t="s">
        <v>113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R1795" t="s">
        <v>114</v>
      </c>
      <c r="S1795" t="str">
        <f>"19:04:44.055"</f>
        <v>19:04:44.055</v>
      </c>
      <c r="T1795" t="str">
        <f>"19:04:43.758"</f>
        <v>19:04:43.758</v>
      </c>
      <c r="U1795" t="str">
        <f t="shared" si="85"/>
        <v>a1cdbe</v>
      </c>
      <c r="V1795">
        <v>0</v>
      </c>
      <c r="W1795">
        <v>0</v>
      </c>
      <c r="X1795">
        <v>1</v>
      </c>
      <c r="Y1795">
        <v>0</v>
      </c>
      <c r="Z1795">
        <v>0</v>
      </c>
      <c r="AB1795">
        <v>0</v>
      </c>
      <c r="AC1795">
        <v>9</v>
      </c>
      <c r="AD1795">
        <v>3</v>
      </c>
      <c r="AE1795">
        <v>0</v>
      </c>
      <c r="AF1795">
        <v>9</v>
      </c>
      <c r="AG1795" t="s">
        <v>158</v>
      </c>
      <c r="AH1795">
        <v>0</v>
      </c>
      <c r="AI1795">
        <v>3</v>
      </c>
      <c r="AJ1795">
        <v>1</v>
      </c>
      <c r="AK1795">
        <v>0</v>
      </c>
      <c r="AL1795" t="s">
        <v>3415</v>
      </c>
      <c r="AM1795">
        <v>46.844093999999998</v>
      </c>
      <c r="AN1795" t="s">
        <v>3416</v>
      </c>
      <c r="AO1795">
        <v>-122.926755</v>
      </c>
      <c r="AP1795">
        <v>100</v>
      </c>
      <c r="AQ1795">
        <v>2000</v>
      </c>
      <c r="AR1795" t="s">
        <v>118</v>
      </c>
      <c r="AS1795">
        <v>-75</v>
      </c>
      <c r="AT1795">
        <v>23</v>
      </c>
      <c r="AU1795">
        <v>64</v>
      </c>
      <c r="BC1795">
        <v>1200</v>
      </c>
      <c r="BD1795">
        <v>1</v>
      </c>
      <c r="BE1795" t="str">
        <f t="shared" si="86"/>
        <v xml:space="preserve">N215T   </v>
      </c>
      <c r="BF1795">
        <v>1</v>
      </c>
      <c r="BH1795">
        <v>0</v>
      </c>
      <c r="BI1795">
        <v>0</v>
      </c>
      <c r="BJ1795">
        <v>0</v>
      </c>
      <c r="BK1795">
        <v>2325</v>
      </c>
      <c r="BL1795">
        <v>325</v>
      </c>
      <c r="BM1795" t="s">
        <v>119</v>
      </c>
      <c r="BN1795">
        <v>1</v>
      </c>
      <c r="BO1795">
        <v>1</v>
      </c>
      <c r="BP1795">
        <v>1</v>
      </c>
      <c r="BQ1795">
        <v>0</v>
      </c>
      <c r="BT1795">
        <v>0</v>
      </c>
      <c r="BU1795">
        <v>0</v>
      </c>
      <c r="BV1795">
        <v>0</v>
      </c>
      <c r="CC1795" t="str">
        <f>"19:04:44.055"</f>
        <v>19:04:44.055</v>
      </c>
      <c r="CD1795" t="str">
        <f>"056281186"</f>
        <v>056281186</v>
      </c>
      <c r="CQ1795">
        <v>0</v>
      </c>
      <c r="CR1795">
        <v>2</v>
      </c>
      <c r="CS1795">
        <v>0</v>
      </c>
      <c r="CT1795">
        <v>2</v>
      </c>
      <c r="CU1795">
        <v>0</v>
      </c>
      <c r="CV1795">
        <v>7</v>
      </c>
      <c r="CW1795" t="s">
        <v>120</v>
      </c>
      <c r="CX1795">
        <v>261</v>
      </c>
      <c r="CY1795">
        <v>2</v>
      </c>
      <c r="CZ1795" t="s">
        <v>121</v>
      </c>
      <c r="DA1795" t="s">
        <v>122</v>
      </c>
      <c r="DD1795">
        <v>15313561</v>
      </c>
      <c r="DE1795" t="s">
        <v>123</v>
      </c>
    </row>
    <row r="1796" spans="1:109" x14ac:dyDescent="0.3">
      <c r="A1796" t="str">
        <f>"19:04:45.352"</f>
        <v>19:04:45.352</v>
      </c>
      <c r="B1796" t="s">
        <v>110</v>
      </c>
      <c r="C1796" t="str">
        <f t="shared" si="84"/>
        <v>ffdfd3c0</v>
      </c>
      <c r="D1796" t="s">
        <v>111</v>
      </c>
      <c r="E1796">
        <v>18</v>
      </c>
      <c r="F1796">
        <v>1018</v>
      </c>
      <c r="G1796" t="s">
        <v>112</v>
      </c>
      <c r="J1796" t="s">
        <v>113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R1796" t="s">
        <v>114</v>
      </c>
      <c r="S1796" t="str">
        <f>"19:04:45.133"</f>
        <v>19:04:45.133</v>
      </c>
      <c r="T1796" t="str">
        <f>"19:04:44.734"</f>
        <v>19:04:44.734</v>
      </c>
      <c r="U1796" t="str">
        <f t="shared" si="85"/>
        <v>a1cdbe</v>
      </c>
      <c r="V1796">
        <v>0</v>
      </c>
      <c r="W1796">
        <v>0</v>
      </c>
      <c r="X1796">
        <v>1</v>
      </c>
      <c r="Y1796">
        <v>0</v>
      </c>
      <c r="Z1796">
        <v>0</v>
      </c>
      <c r="AB1796">
        <v>0</v>
      </c>
      <c r="AC1796">
        <v>9</v>
      </c>
      <c r="AD1796">
        <v>3</v>
      </c>
      <c r="AE1796">
        <v>0</v>
      </c>
      <c r="AF1796">
        <v>9</v>
      </c>
      <c r="AG1796" t="s">
        <v>158</v>
      </c>
      <c r="AH1796">
        <v>0</v>
      </c>
      <c r="AI1796">
        <v>3</v>
      </c>
      <c r="AJ1796">
        <v>1</v>
      </c>
      <c r="AK1796">
        <v>0</v>
      </c>
      <c r="AL1796" t="s">
        <v>3417</v>
      </c>
      <c r="AM1796">
        <v>46.844223</v>
      </c>
      <c r="AN1796" t="s">
        <v>3418</v>
      </c>
      <c r="AO1796">
        <v>-122.927334</v>
      </c>
      <c r="AP1796">
        <v>100</v>
      </c>
      <c r="AQ1796">
        <v>2000</v>
      </c>
      <c r="AR1796" t="s">
        <v>118</v>
      </c>
      <c r="AS1796">
        <v>-75</v>
      </c>
      <c r="AT1796">
        <v>22</v>
      </c>
      <c r="AU1796">
        <v>64</v>
      </c>
      <c r="BC1796">
        <v>1200</v>
      </c>
      <c r="BD1796">
        <v>1</v>
      </c>
      <c r="BE1796" t="str">
        <f t="shared" si="86"/>
        <v xml:space="preserve">N215T   </v>
      </c>
      <c r="BF1796">
        <v>1</v>
      </c>
      <c r="BH1796">
        <v>0</v>
      </c>
      <c r="BI1796">
        <v>0</v>
      </c>
      <c r="BJ1796">
        <v>0</v>
      </c>
      <c r="BK1796">
        <v>2350</v>
      </c>
      <c r="BL1796">
        <v>350</v>
      </c>
      <c r="BM1796" t="s">
        <v>119</v>
      </c>
      <c r="BN1796">
        <v>1</v>
      </c>
      <c r="BO1796">
        <v>1</v>
      </c>
      <c r="BP1796">
        <v>1</v>
      </c>
      <c r="BQ1796">
        <v>0</v>
      </c>
      <c r="BT1796">
        <v>0</v>
      </c>
      <c r="BU1796">
        <v>0</v>
      </c>
      <c r="BV1796">
        <v>0</v>
      </c>
      <c r="CC1796" t="str">
        <f>"19:04:45.133"</f>
        <v>19:04:45.133</v>
      </c>
      <c r="CD1796" t="str">
        <f>"136174800"</f>
        <v>136174800</v>
      </c>
      <c r="CQ1796">
        <v>0</v>
      </c>
      <c r="CR1796">
        <v>2</v>
      </c>
      <c r="CS1796">
        <v>0</v>
      </c>
      <c r="CT1796">
        <v>2</v>
      </c>
      <c r="CU1796">
        <v>0</v>
      </c>
      <c r="CV1796">
        <v>7</v>
      </c>
      <c r="CW1796" t="s">
        <v>120</v>
      </c>
      <c r="CX1796">
        <v>261</v>
      </c>
      <c r="CY1796">
        <v>2</v>
      </c>
      <c r="CZ1796" t="s">
        <v>121</v>
      </c>
      <c r="DA1796" t="s">
        <v>122</v>
      </c>
      <c r="DD1796">
        <v>15314250</v>
      </c>
      <c r="DE1796" t="s">
        <v>123</v>
      </c>
    </row>
    <row r="1797" spans="1:109" x14ac:dyDescent="0.3">
      <c r="A1797" t="str">
        <f>"19:04:46.406"</f>
        <v>19:04:46.406</v>
      </c>
      <c r="B1797" t="s">
        <v>110</v>
      </c>
      <c r="C1797" t="str">
        <f t="shared" si="84"/>
        <v>ffdfd3c0</v>
      </c>
      <c r="D1797" t="s">
        <v>111</v>
      </c>
      <c r="E1797">
        <v>18</v>
      </c>
      <c r="F1797">
        <v>1018</v>
      </c>
      <c r="G1797" t="s">
        <v>112</v>
      </c>
      <c r="J1797" t="s">
        <v>113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R1797" t="s">
        <v>114</v>
      </c>
      <c r="S1797" t="str">
        <f>"19:04:46.164"</f>
        <v>19:04:46.164</v>
      </c>
      <c r="T1797" t="str">
        <f>"19:04:46.164"</f>
        <v>19:04:46.164</v>
      </c>
      <c r="U1797" t="str">
        <f t="shared" si="85"/>
        <v>a1cdbe</v>
      </c>
      <c r="V1797">
        <v>0</v>
      </c>
      <c r="W1797">
        <v>0</v>
      </c>
      <c r="X1797">
        <v>1</v>
      </c>
      <c r="Y1797">
        <v>0</v>
      </c>
      <c r="Z1797">
        <v>0</v>
      </c>
      <c r="AB1797">
        <v>0</v>
      </c>
      <c r="AC1797">
        <v>9</v>
      </c>
      <c r="AD1797">
        <v>3</v>
      </c>
      <c r="AE1797">
        <v>0</v>
      </c>
      <c r="AF1797">
        <v>9</v>
      </c>
      <c r="AG1797" t="s">
        <v>158</v>
      </c>
      <c r="AH1797">
        <v>0</v>
      </c>
      <c r="AI1797">
        <v>3</v>
      </c>
      <c r="AJ1797">
        <v>1</v>
      </c>
      <c r="AK1797">
        <v>0</v>
      </c>
      <c r="AL1797" t="s">
        <v>3419</v>
      </c>
      <c r="AM1797">
        <v>46.844307999999998</v>
      </c>
      <c r="AN1797" t="s">
        <v>3420</v>
      </c>
      <c r="AO1797">
        <v>-122.927806</v>
      </c>
      <c r="AP1797">
        <v>100</v>
      </c>
      <c r="AQ1797">
        <v>2000</v>
      </c>
      <c r="AR1797" t="s">
        <v>118</v>
      </c>
      <c r="AS1797">
        <v>-75</v>
      </c>
      <c r="AT1797">
        <v>23</v>
      </c>
      <c r="AU1797">
        <v>128</v>
      </c>
      <c r="BC1797">
        <v>1200</v>
      </c>
      <c r="BD1797">
        <v>1</v>
      </c>
      <c r="BE1797" t="str">
        <f t="shared" si="86"/>
        <v xml:space="preserve">N215T   </v>
      </c>
      <c r="BF1797">
        <v>1</v>
      </c>
      <c r="BH1797">
        <v>0</v>
      </c>
      <c r="BI1797">
        <v>0</v>
      </c>
      <c r="BJ1797">
        <v>0</v>
      </c>
      <c r="BK1797">
        <v>2350</v>
      </c>
      <c r="BL1797">
        <v>350</v>
      </c>
      <c r="BM1797" t="s">
        <v>119</v>
      </c>
      <c r="BN1797">
        <v>1</v>
      </c>
      <c r="BO1797">
        <v>1</v>
      </c>
      <c r="BP1797">
        <v>1</v>
      </c>
      <c r="BQ1797">
        <v>0</v>
      </c>
      <c r="BT1797">
        <v>0</v>
      </c>
      <c r="BU1797">
        <v>0</v>
      </c>
      <c r="BV1797">
        <v>0</v>
      </c>
      <c r="CC1797" t="str">
        <f>"19:04:46.172"</f>
        <v>19:04:46.172</v>
      </c>
      <c r="CD1797" t="str">
        <f>"171072854"</f>
        <v>171072854</v>
      </c>
      <c r="CQ1797">
        <v>0</v>
      </c>
      <c r="CR1797">
        <v>2</v>
      </c>
      <c r="CS1797">
        <v>0</v>
      </c>
      <c r="CT1797">
        <v>2</v>
      </c>
      <c r="CU1797">
        <v>0</v>
      </c>
      <c r="CV1797">
        <v>7</v>
      </c>
      <c r="CW1797" t="s">
        <v>120</v>
      </c>
      <c r="CX1797">
        <v>261</v>
      </c>
      <c r="CY1797">
        <v>2</v>
      </c>
      <c r="CZ1797" t="s">
        <v>121</v>
      </c>
      <c r="DA1797" t="s">
        <v>122</v>
      </c>
      <c r="DD1797">
        <v>15314911</v>
      </c>
      <c r="DE1797" t="s">
        <v>123</v>
      </c>
    </row>
    <row r="1798" spans="1:109" x14ac:dyDescent="0.3">
      <c r="A1798" t="str">
        <f>"19:04:47.258"</f>
        <v>19:04:47.258</v>
      </c>
      <c r="B1798" t="s">
        <v>110</v>
      </c>
      <c r="C1798" t="str">
        <f t="shared" si="84"/>
        <v>ffdfd3c0</v>
      </c>
      <c r="D1798" t="s">
        <v>111</v>
      </c>
      <c r="E1798">
        <v>18</v>
      </c>
      <c r="F1798">
        <v>1018</v>
      </c>
      <c r="G1798" t="s">
        <v>112</v>
      </c>
      <c r="J1798" t="s">
        <v>113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R1798" t="s">
        <v>114</v>
      </c>
      <c r="S1798" t="str">
        <f>"19:04:47.023"</f>
        <v>19:04:47.023</v>
      </c>
      <c r="T1798" t="str">
        <f>"19:04:46.523"</f>
        <v>19:04:46.523</v>
      </c>
      <c r="U1798" t="str">
        <f t="shared" si="85"/>
        <v>a1cdbe</v>
      </c>
      <c r="V1798">
        <v>0</v>
      </c>
      <c r="W1798">
        <v>0</v>
      </c>
      <c r="X1798">
        <v>1</v>
      </c>
      <c r="Y1798">
        <v>0</v>
      </c>
      <c r="Z1798">
        <v>0</v>
      </c>
      <c r="AB1798">
        <v>0</v>
      </c>
      <c r="AC1798">
        <v>9</v>
      </c>
      <c r="AD1798">
        <v>3</v>
      </c>
      <c r="AE1798">
        <v>0</v>
      </c>
      <c r="AF1798">
        <v>9</v>
      </c>
      <c r="AG1798" t="s">
        <v>158</v>
      </c>
      <c r="AH1798">
        <v>0</v>
      </c>
      <c r="AI1798">
        <v>3</v>
      </c>
      <c r="AJ1798">
        <v>1</v>
      </c>
      <c r="AK1798">
        <v>0</v>
      </c>
      <c r="AL1798" t="s">
        <v>3421</v>
      </c>
      <c r="AM1798">
        <v>46.844394000000001</v>
      </c>
      <c r="AN1798" t="s">
        <v>3422</v>
      </c>
      <c r="AO1798">
        <v>-122.928214</v>
      </c>
      <c r="AP1798">
        <v>100</v>
      </c>
      <c r="AQ1798">
        <v>2000</v>
      </c>
      <c r="AR1798" t="s">
        <v>118</v>
      </c>
      <c r="AS1798">
        <v>-75</v>
      </c>
      <c r="AT1798">
        <v>23</v>
      </c>
      <c r="AU1798">
        <v>128</v>
      </c>
      <c r="BC1798">
        <v>1200</v>
      </c>
      <c r="BD1798">
        <v>1</v>
      </c>
      <c r="BE1798" t="str">
        <f t="shared" si="86"/>
        <v xml:space="preserve">N215T   </v>
      </c>
      <c r="BF1798">
        <v>1</v>
      </c>
      <c r="BH1798">
        <v>0</v>
      </c>
      <c r="BI1798">
        <v>0</v>
      </c>
      <c r="BJ1798">
        <v>0</v>
      </c>
      <c r="BK1798">
        <v>2350</v>
      </c>
      <c r="BL1798">
        <v>350</v>
      </c>
      <c r="BM1798" t="s">
        <v>119</v>
      </c>
      <c r="BN1798">
        <v>1</v>
      </c>
      <c r="BO1798">
        <v>1</v>
      </c>
      <c r="BP1798">
        <v>1</v>
      </c>
      <c r="BQ1798">
        <v>0</v>
      </c>
      <c r="BT1798">
        <v>0</v>
      </c>
      <c r="BU1798">
        <v>0</v>
      </c>
      <c r="BV1798">
        <v>0</v>
      </c>
      <c r="CC1798" t="str">
        <f>"19:04:47.023"</f>
        <v>19:04:47.023</v>
      </c>
      <c r="CD1798" t="str">
        <f>"025988632"</f>
        <v>025988632</v>
      </c>
      <c r="CQ1798">
        <v>0</v>
      </c>
      <c r="CR1798">
        <v>2</v>
      </c>
      <c r="CS1798">
        <v>0</v>
      </c>
      <c r="CT1798">
        <v>2</v>
      </c>
      <c r="CU1798">
        <v>0</v>
      </c>
      <c r="CV1798">
        <v>7</v>
      </c>
      <c r="CW1798" t="s">
        <v>120</v>
      </c>
      <c r="CX1798">
        <v>261</v>
      </c>
      <c r="CY1798">
        <v>2</v>
      </c>
      <c r="CZ1798" t="s">
        <v>121</v>
      </c>
      <c r="DA1798" t="s">
        <v>122</v>
      </c>
      <c r="DD1798">
        <v>15315449</v>
      </c>
      <c r="DE1798" t="s">
        <v>123</v>
      </c>
    </row>
    <row r="1799" spans="1:109" x14ac:dyDescent="0.3">
      <c r="A1799" t="str">
        <f>"19:04:48.164"</f>
        <v>19:04:48.164</v>
      </c>
      <c r="B1799" t="s">
        <v>110</v>
      </c>
      <c r="C1799" t="str">
        <f t="shared" si="84"/>
        <v>ffdfd3c0</v>
      </c>
      <c r="D1799" t="s">
        <v>111</v>
      </c>
      <c r="E1799">
        <v>18</v>
      </c>
      <c r="F1799">
        <v>1018</v>
      </c>
      <c r="G1799" t="s">
        <v>112</v>
      </c>
      <c r="J1799" t="s">
        <v>113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R1799" t="s">
        <v>114</v>
      </c>
      <c r="S1799" t="str">
        <f>"19:04:47.953"</f>
        <v>19:04:47.953</v>
      </c>
      <c r="T1799" t="str">
        <f>"19:04:47.555"</f>
        <v>19:04:47.555</v>
      </c>
      <c r="U1799" t="str">
        <f t="shared" si="85"/>
        <v>a1cdbe</v>
      </c>
      <c r="V1799">
        <v>0</v>
      </c>
      <c r="W1799">
        <v>0</v>
      </c>
      <c r="X1799">
        <v>1</v>
      </c>
      <c r="Y1799">
        <v>0</v>
      </c>
      <c r="Z1799">
        <v>0</v>
      </c>
      <c r="AB1799">
        <v>0</v>
      </c>
      <c r="AC1799">
        <v>9</v>
      </c>
      <c r="AD1799">
        <v>3</v>
      </c>
      <c r="AE1799">
        <v>0</v>
      </c>
      <c r="AF1799">
        <v>9</v>
      </c>
      <c r="AG1799" t="s">
        <v>158</v>
      </c>
      <c r="AH1799">
        <v>0</v>
      </c>
      <c r="AI1799">
        <v>3</v>
      </c>
      <c r="AJ1799">
        <v>1</v>
      </c>
      <c r="AK1799">
        <v>0</v>
      </c>
      <c r="AL1799" t="s">
        <v>3423</v>
      </c>
      <c r="AM1799">
        <v>46.844523000000002</v>
      </c>
      <c r="AN1799" t="s">
        <v>3424</v>
      </c>
      <c r="AO1799">
        <v>-122.928708</v>
      </c>
      <c r="AP1799">
        <v>100</v>
      </c>
      <c r="AQ1799">
        <v>2000</v>
      </c>
      <c r="AR1799" t="s">
        <v>118</v>
      </c>
      <c r="AS1799">
        <v>-75</v>
      </c>
      <c r="AT1799">
        <v>23</v>
      </c>
      <c r="AU1799">
        <v>192</v>
      </c>
      <c r="BC1799">
        <v>1200</v>
      </c>
      <c r="BD1799">
        <v>1</v>
      </c>
      <c r="BE1799" t="str">
        <f t="shared" si="86"/>
        <v xml:space="preserve">N215T   </v>
      </c>
      <c r="BF1799">
        <v>1</v>
      </c>
      <c r="BH1799">
        <v>0</v>
      </c>
      <c r="BI1799">
        <v>0</v>
      </c>
      <c r="BJ1799">
        <v>0</v>
      </c>
      <c r="BK1799">
        <v>2350</v>
      </c>
      <c r="BL1799">
        <v>350</v>
      </c>
      <c r="BM1799" t="s">
        <v>119</v>
      </c>
      <c r="BN1799">
        <v>1</v>
      </c>
      <c r="BO1799">
        <v>1</v>
      </c>
      <c r="BP1799">
        <v>1</v>
      </c>
      <c r="BQ1799">
        <v>0</v>
      </c>
      <c r="BT1799">
        <v>0</v>
      </c>
      <c r="BU1799">
        <v>0</v>
      </c>
      <c r="BV1799">
        <v>0</v>
      </c>
      <c r="CC1799" t="str">
        <f>"19:04:47.953"</f>
        <v>19:04:47.953</v>
      </c>
      <c r="CD1799" t="str">
        <f>"955897023"</f>
        <v>955897023</v>
      </c>
      <c r="CQ1799">
        <v>0</v>
      </c>
      <c r="CR1799">
        <v>2</v>
      </c>
      <c r="CS1799">
        <v>0</v>
      </c>
      <c r="CT1799">
        <v>2</v>
      </c>
      <c r="CU1799">
        <v>0</v>
      </c>
      <c r="CV1799">
        <v>7</v>
      </c>
      <c r="CW1799" t="s">
        <v>120</v>
      </c>
      <c r="CX1799">
        <v>261</v>
      </c>
      <c r="CY1799">
        <v>2</v>
      </c>
      <c r="CZ1799" t="s">
        <v>121</v>
      </c>
      <c r="DA1799" t="s">
        <v>122</v>
      </c>
      <c r="DD1799">
        <v>15316095</v>
      </c>
      <c r="DE1799" t="s">
        <v>123</v>
      </c>
    </row>
    <row r="1800" spans="1:109" x14ac:dyDescent="0.3">
      <c r="A1800" t="str">
        <f>"19:04:49.273"</f>
        <v>19:04:49.273</v>
      </c>
      <c r="B1800" t="s">
        <v>110</v>
      </c>
      <c r="C1800" t="str">
        <f t="shared" si="84"/>
        <v>ffdfd3c0</v>
      </c>
      <c r="D1800" t="s">
        <v>111</v>
      </c>
      <c r="E1800">
        <v>18</v>
      </c>
      <c r="F1800">
        <v>1018</v>
      </c>
      <c r="G1800" t="s">
        <v>112</v>
      </c>
      <c r="J1800" t="s">
        <v>113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R1800" t="s">
        <v>114</v>
      </c>
      <c r="S1800" t="str">
        <f>"19:04:49.031"</f>
        <v>19:04:49.031</v>
      </c>
      <c r="T1800" t="str">
        <f>"19:04:48.734"</f>
        <v>19:04:48.734</v>
      </c>
      <c r="U1800" t="str">
        <f t="shared" si="85"/>
        <v>a1cdbe</v>
      </c>
      <c r="V1800">
        <v>0</v>
      </c>
      <c r="W1800">
        <v>0</v>
      </c>
      <c r="X1800">
        <v>1</v>
      </c>
      <c r="Y1800">
        <v>0</v>
      </c>
      <c r="Z1800">
        <v>0</v>
      </c>
      <c r="AB1800">
        <v>0</v>
      </c>
      <c r="AC1800">
        <v>9</v>
      </c>
      <c r="AD1800">
        <v>3</v>
      </c>
      <c r="AE1800">
        <v>0</v>
      </c>
      <c r="AF1800">
        <v>9</v>
      </c>
      <c r="AG1800" t="s">
        <v>158</v>
      </c>
      <c r="AH1800">
        <v>0</v>
      </c>
      <c r="AI1800">
        <v>3</v>
      </c>
      <c r="AJ1800">
        <v>1</v>
      </c>
      <c r="AK1800">
        <v>0</v>
      </c>
      <c r="AL1800" t="s">
        <v>3425</v>
      </c>
      <c r="AM1800">
        <v>46.844586999999997</v>
      </c>
      <c r="AN1800" t="s">
        <v>3426</v>
      </c>
      <c r="AO1800">
        <v>-122.929244</v>
      </c>
      <c r="AP1800">
        <v>100</v>
      </c>
      <c r="AQ1800">
        <v>2000</v>
      </c>
      <c r="AR1800" t="s">
        <v>118</v>
      </c>
      <c r="AS1800">
        <v>-75</v>
      </c>
      <c r="AT1800">
        <v>23</v>
      </c>
      <c r="AU1800">
        <v>64</v>
      </c>
      <c r="BC1800">
        <v>1200</v>
      </c>
      <c r="BD1800">
        <v>1</v>
      </c>
      <c r="BE1800" t="str">
        <f t="shared" si="86"/>
        <v xml:space="preserve">N215T   </v>
      </c>
      <c r="BF1800">
        <v>1</v>
      </c>
      <c r="BH1800">
        <v>0</v>
      </c>
      <c r="BI1800">
        <v>0</v>
      </c>
      <c r="BJ1800">
        <v>0</v>
      </c>
      <c r="BK1800">
        <v>2350</v>
      </c>
      <c r="BL1800">
        <v>350</v>
      </c>
      <c r="BM1800" t="s">
        <v>119</v>
      </c>
      <c r="BN1800">
        <v>1</v>
      </c>
      <c r="BO1800">
        <v>1</v>
      </c>
      <c r="BP1800">
        <v>1</v>
      </c>
      <c r="BQ1800">
        <v>0</v>
      </c>
      <c r="BT1800">
        <v>0</v>
      </c>
      <c r="BU1800">
        <v>0</v>
      </c>
      <c r="BV1800">
        <v>0</v>
      </c>
      <c r="CC1800" t="str">
        <f>"19:04:49.039"</f>
        <v>19:04:49.039</v>
      </c>
      <c r="CD1800" t="str">
        <f>"035790640"</f>
        <v>035790640</v>
      </c>
      <c r="CQ1800">
        <v>0</v>
      </c>
      <c r="CR1800">
        <v>2</v>
      </c>
      <c r="CS1800">
        <v>0</v>
      </c>
      <c r="CT1800">
        <v>2</v>
      </c>
      <c r="CU1800">
        <v>0</v>
      </c>
      <c r="CV1800">
        <v>7</v>
      </c>
      <c r="CW1800" t="s">
        <v>120</v>
      </c>
      <c r="CX1800">
        <v>261</v>
      </c>
      <c r="CY1800">
        <v>2</v>
      </c>
      <c r="CZ1800" t="s">
        <v>121</v>
      </c>
      <c r="DA1800" t="s">
        <v>122</v>
      </c>
      <c r="DD1800">
        <v>15316863</v>
      </c>
      <c r="DE1800" t="s">
        <v>123</v>
      </c>
    </row>
    <row r="1801" spans="1:109" x14ac:dyDescent="0.3">
      <c r="A1801" t="str">
        <f>"19:04:50.336"</f>
        <v>19:04:50.336</v>
      </c>
      <c r="B1801" t="s">
        <v>110</v>
      </c>
      <c r="C1801" t="str">
        <f t="shared" si="84"/>
        <v>ffdfd3c0</v>
      </c>
      <c r="D1801" t="s">
        <v>111</v>
      </c>
      <c r="E1801">
        <v>18</v>
      </c>
      <c r="F1801">
        <v>1018</v>
      </c>
      <c r="G1801" t="s">
        <v>112</v>
      </c>
      <c r="J1801" t="s">
        <v>113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R1801" t="s">
        <v>114</v>
      </c>
      <c r="S1801" t="str">
        <f>"19:04:50.094"</f>
        <v>19:04:50.094</v>
      </c>
      <c r="T1801" t="str">
        <f>"19:04:49.594"</f>
        <v>19:04:49.594</v>
      </c>
      <c r="U1801" t="str">
        <f t="shared" si="85"/>
        <v>a1cdbe</v>
      </c>
      <c r="V1801">
        <v>0</v>
      </c>
      <c r="W1801">
        <v>0</v>
      </c>
      <c r="X1801">
        <v>1</v>
      </c>
      <c r="Y1801">
        <v>0</v>
      </c>
      <c r="Z1801">
        <v>0</v>
      </c>
      <c r="AB1801">
        <v>0</v>
      </c>
      <c r="AC1801">
        <v>9</v>
      </c>
      <c r="AD1801">
        <v>3</v>
      </c>
      <c r="AE1801">
        <v>0</v>
      </c>
      <c r="AF1801">
        <v>9</v>
      </c>
      <c r="AG1801" t="s">
        <v>158</v>
      </c>
      <c r="AH1801">
        <v>0</v>
      </c>
      <c r="AI1801">
        <v>3</v>
      </c>
      <c r="AJ1801">
        <v>1</v>
      </c>
      <c r="AK1801">
        <v>0</v>
      </c>
      <c r="AL1801" t="s">
        <v>3427</v>
      </c>
      <c r="AM1801">
        <v>46.844695000000002</v>
      </c>
      <c r="AN1801" t="s">
        <v>3428</v>
      </c>
      <c r="AO1801">
        <v>-122.929845</v>
      </c>
      <c r="AP1801">
        <v>100</v>
      </c>
      <c r="AQ1801">
        <v>2000</v>
      </c>
      <c r="AR1801" t="s">
        <v>118</v>
      </c>
      <c r="AS1801">
        <v>-75</v>
      </c>
      <c r="AT1801">
        <v>22</v>
      </c>
      <c r="AU1801">
        <v>-64</v>
      </c>
      <c r="BC1801">
        <v>1200</v>
      </c>
      <c r="BD1801">
        <v>1</v>
      </c>
      <c r="BE1801" t="str">
        <f t="shared" si="86"/>
        <v xml:space="preserve">N215T   </v>
      </c>
      <c r="BF1801">
        <v>1</v>
      </c>
      <c r="BH1801">
        <v>0</v>
      </c>
      <c r="BI1801">
        <v>0</v>
      </c>
      <c r="BJ1801">
        <v>0</v>
      </c>
      <c r="BK1801">
        <v>2350</v>
      </c>
      <c r="BL1801">
        <v>350</v>
      </c>
      <c r="BM1801" t="s">
        <v>119</v>
      </c>
      <c r="BN1801">
        <v>1</v>
      </c>
      <c r="BO1801">
        <v>1</v>
      </c>
      <c r="BP1801">
        <v>1</v>
      </c>
      <c r="BQ1801">
        <v>0</v>
      </c>
      <c r="BT1801">
        <v>0</v>
      </c>
      <c r="BU1801">
        <v>0</v>
      </c>
      <c r="BV1801">
        <v>0</v>
      </c>
      <c r="CC1801" t="str">
        <f>"19:04:50.102"</f>
        <v>19:04:50.102</v>
      </c>
      <c r="CD1801" t="str">
        <f>"100714830"</f>
        <v>100714830</v>
      </c>
      <c r="CQ1801">
        <v>0</v>
      </c>
      <c r="CR1801">
        <v>2</v>
      </c>
      <c r="CS1801">
        <v>0</v>
      </c>
      <c r="CT1801">
        <v>2</v>
      </c>
      <c r="CU1801">
        <v>0</v>
      </c>
      <c r="CV1801">
        <v>6</v>
      </c>
      <c r="CW1801" t="s">
        <v>120</v>
      </c>
      <c r="CX1801">
        <v>257</v>
      </c>
      <c r="CY1801">
        <v>1</v>
      </c>
      <c r="CZ1801" t="s">
        <v>615</v>
      </c>
      <c r="DA1801" t="s">
        <v>616</v>
      </c>
      <c r="DD1801">
        <v>11719982</v>
      </c>
      <c r="DE1801" t="s">
        <v>123</v>
      </c>
    </row>
    <row r="1802" spans="1:109" x14ac:dyDescent="0.3">
      <c r="A1802" t="str">
        <f>"19:04:51.438"</f>
        <v>19:04:51.438</v>
      </c>
      <c r="B1802" t="s">
        <v>110</v>
      </c>
      <c r="C1802" t="str">
        <f t="shared" si="84"/>
        <v>ffdfd3c0</v>
      </c>
      <c r="D1802" t="s">
        <v>111</v>
      </c>
      <c r="E1802">
        <v>18</v>
      </c>
      <c r="F1802">
        <v>1018</v>
      </c>
      <c r="G1802" t="s">
        <v>112</v>
      </c>
      <c r="J1802" t="s">
        <v>113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R1802" t="s">
        <v>114</v>
      </c>
      <c r="S1802" t="str">
        <f>"19:04:51.219"</f>
        <v>19:04:51.219</v>
      </c>
      <c r="T1802" t="str">
        <f>"19:04:51.117"</f>
        <v>19:04:51.117</v>
      </c>
      <c r="U1802" t="str">
        <f t="shared" si="85"/>
        <v>a1cdbe</v>
      </c>
      <c r="V1802">
        <v>0</v>
      </c>
      <c r="W1802">
        <v>0</v>
      </c>
      <c r="X1802">
        <v>1</v>
      </c>
      <c r="Y1802">
        <v>0</v>
      </c>
      <c r="Z1802">
        <v>0</v>
      </c>
      <c r="AB1802">
        <v>0</v>
      </c>
      <c r="AC1802">
        <v>9</v>
      </c>
      <c r="AD1802">
        <v>3</v>
      </c>
      <c r="AE1802">
        <v>0</v>
      </c>
      <c r="AF1802">
        <v>9</v>
      </c>
      <c r="AG1802" t="s">
        <v>158</v>
      </c>
      <c r="AH1802">
        <v>0</v>
      </c>
      <c r="AI1802">
        <v>3</v>
      </c>
      <c r="AJ1802">
        <v>1</v>
      </c>
      <c r="AK1802">
        <v>0</v>
      </c>
      <c r="AL1802" t="s">
        <v>3429</v>
      </c>
      <c r="AM1802">
        <v>46.844822999999998</v>
      </c>
      <c r="AN1802" t="s">
        <v>3430</v>
      </c>
      <c r="AO1802">
        <v>-122.930381</v>
      </c>
      <c r="AP1802">
        <v>100</v>
      </c>
      <c r="AQ1802">
        <v>2000</v>
      </c>
      <c r="AR1802" t="s">
        <v>118</v>
      </c>
      <c r="AS1802">
        <v>-75</v>
      </c>
      <c r="AT1802">
        <v>21</v>
      </c>
      <c r="AU1802">
        <v>-192</v>
      </c>
      <c r="BC1802">
        <v>1200</v>
      </c>
      <c r="BD1802">
        <v>1</v>
      </c>
      <c r="BE1802" t="str">
        <f t="shared" si="86"/>
        <v xml:space="preserve">N215T   </v>
      </c>
      <c r="BF1802">
        <v>1</v>
      </c>
      <c r="BH1802">
        <v>0</v>
      </c>
      <c r="BI1802">
        <v>0</v>
      </c>
      <c r="BJ1802">
        <v>0</v>
      </c>
      <c r="BK1802">
        <v>2350</v>
      </c>
      <c r="BL1802">
        <v>350</v>
      </c>
      <c r="BM1802" t="s">
        <v>119</v>
      </c>
      <c r="BN1802">
        <v>1</v>
      </c>
      <c r="BO1802">
        <v>1</v>
      </c>
      <c r="BP1802">
        <v>1</v>
      </c>
      <c r="BQ1802">
        <v>0</v>
      </c>
      <c r="BT1802">
        <v>0</v>
      </c>
      <c r="BU1802">
        <v>0</v>
      </c>
      <c r="BV1802">
        <v>0</v>
      </c>
      <c r="CC1802" t="str">
        <f>"19:04:51.227"</f>
        <v>19:04:51.227</v>
      </c>
      <c r="CD1802" t="str">
        <f>"225574912"</f>
        <v>225574912</v>
      </c>
      <c r="CQ1802">
        <v>0</v>
      </c>
      <c r="CR1802">
        <v>2</v>
      </c>
      <c r="CS1802">
        <v>0</v>
      </c>
      <c r="CT1802">
        <v>2</v>
      </c>
      <c r="CU1802">
        <v>0</v>
      </c>
      <c r="CV1802">
        <v>7</v>
      </c>
      <c r="CW1802" t="s">
        <v>120</v>
      </c>
      <c r="CX1802">
        <v>261</v>
      </c>
      <c r="CY1802">
        <v>2</v>
      </c>
      <c r="CZ1802" t="s">
        <v>121</v>
      </c>
      <c r="DA1802" t="s">
        <v>122</v>
      </c>
      <c r="DD1802">
        <v>15318225</v>
      </c>
      <c r="DE1802" t="s">
        <v>123</v>
      </c>
    </row>
    <row r="1803" spans="1:109" x14ac:dyDescent="0.3">
      <c r="A1803" t="str">
        <f>"19:04:52.391"</f>
        <v>19:04:52.391</v>
      </c>
      <c r="B1803" t="s">
        <v>110</v>
      </c>
      <c r="C1803" t="str">
        <f t="shared" si="84"/>
        <v>ffdfd3c0</v>
      </c>
      <c r="D1803" t="s">
        <v>111</v>
      </c>
      <c r="E1803">
        <v>18</v>
      </c>
      <c r="F1803">
        <v>1018</v>
      </c>
      <c r="G1803" t="s">
        <v>112</v>
      </c>
      <c r="J1803" t="s">
        <v>113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R1803" t="s">
        <v>114</v>
      </c>
      <c r="S1803" t="str">
        <f>"19:04:52.164"</f>
        <v>19:04:52.164</v>
      </c>
      <c r="T1803" t="str">
        <f>"19:04:51.766"</f>
        <v>19:04:51.766</v>
      </c>
      <c r="U1803" t="str">
        <f t="shared" si="85"/>
        <v>a1cdbe</v>
      </c>
      <c r="V1803">
        <v>0</v>
      </c>
      <c r="W1803">
        <v>0</v>
      </c>
      <c r="X1803">
        <v>1</v>
      </c>
      <c r="Y1803">
        <v>0</v>
      </c>
      <c r="Z1803">
        <v>0</v>
      </c>
      <c r="AB1803">
        <v>0</v>
      </c>
      <c r="AC1803">
        <v>9</v>
      </c>
      <c r="AD1803">
        <v>3</v>
      </c>
      <c r="AE1803">
        <v>0</v>
      </c>
      <c r="AF1803">
        <v>9</v>
      </c>
      <c r="AG1803" t="s">
        <v>158</v>
      </c>
      <c r="AH1803">
        <v>0</v>
      </c>
      <c r="AI1803">
        <v>3</v>
      </c>
      <c r="AJ1803">
        <v>1</v>
      </c>
      <c r="AK1803">
        <v>0</v>
      </c>
      <c r="AL1803" t="s">
        <v>3431</v>
      </c>
      <c r="AM1803">
        <v>46.844909000000001</v>
      </c>
      <c r="AN1803" t="s">
        <v>3432</v>
      </c>
      <c r="AO1803">
        <v>-122.930832</v>
      </c>
      <c r="AP1803">
        <v>100</v>
      </c>
      <c r="AQ1803">
        <v>2000</v>
      </c>
      <c r="AR1803" t="s">
        <v>118</v>
      </c>
      <c r="AS1803">
        <v>-75</v>
      </c>
      <c r="AT1803">
        <v>21</v>
      </c>
      <c r="AU1803">
        <v>-256</v>
      </c>
      <c r="BC1803">
        <v>1200</v>
      </c>
      <c r="BD1803">
        <v>1</v>
      </c>
      <c r="BE1803" t="str">
        <f t="shared" si="86"/>
        <v xml:space="preserve">N215T   </v>
      </c>
      <c r="BF1803">
        <v>1</v>
      </c>
      <c r="BH1803">
        <v>0</v>
      </c>
      <c r="BI1803">
        <v>0</v>
      </c>
      <c r="BJ1803">
        <v>0</v>
      </c>
      <c r="BK1803">
        <v>2325</v>
      </c>
      <c r="BL1803">
        <v>325</v>
      </c>
      <c r="BM1803" t="s">
        <v>119</v>
      </c>
      <c r="BN1803">
        <v>1</v>
      </c>
      <c r="BO1803">
        <v>1</v>
      </c>
      <c r="BP1803">
        <v>1</v>
      </c>
      <c r="BQ1803">
        <v>0</v>
      </c>
      <c r="BT1803">
        <v>0</v>
      </c>
      <c r="BU1803">
        <v>0</v>
      </c>
      <c r="BV1803">
        <v>0</v>
      </c>
      <c r="CC1803" t="str">
        <f>"19:04:52.172"</f>
        <v>19:04:52.172</v>
      </c>
      <c r="CD1803" t="str">
        <f>"170481832"</f>
        <v>170481832</v>
      </c>
      <c r="CQ1803">
        <v>0</v>
      </c>
      <c r="CR1803">
        <v>2</v>
      </c>
      <c r="CS1803">
        <v>0</v>
      </c>
      <c r="CT1803">
        <v>2</v>
      </c>
      <c r="CU1803">
        <v>0</v>
      </c>
      <c r="CV1803">
        <v>7</v>
      </c>
      <c r="CW1803" t="s">
        <v>120</v>
      </c>
      <c r="CX1803">
        <v>261</v>
      </c>
      <c r="CY1803">
        <v>2</v>
      </c>
      <c r="CZ1803" t="s">
        <v>121</v>
      </c>
      <c r="DA1803" t="s">
        <v>122</v>
      </c>
      <c r="DD1803">
        <v>15318852</v>
      </c>
      <c r="DE1803" t="s">
        <v>123</v>
      </c>
    </row>
    <row r="1804" spans="1:109" x14ac:dyDescent="0.3">
      <c r="A1804" t="str">
        <f>"19:04:53.242"</f>
        <v>19:04:53.242</v>
      </c>
      <c r="B1804" t="s">
        <v>110</v>
      </c>
      <c r="C1804" t="str">
        <f t="shared" si="84"/>
        <v>ffdfd3c0</v>
      </c>
      <c r="D1804" t="s">
        <v>111</v>
      </c>
      <c r="E1804">
        <v>18</v>
      </c>
      <c r="F1804">
        <v>1018</v>
      </c>
      <c r="G1804" t="s">
        <v>112</v>
      </c>
      <c r="J1804" t="s">
        <v>113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R1804" t="s">
        <v>114</v>
      </c>
      <c r="S1804" t="str">
        <f>"19:04:53.023"</f>
        <v>19:04:53.023</v>
      </c>
      <c r="T1804" t="str">
        <f>"19:04:52.727"</f>
        <v>19:04:52.727</v>
      </c>
      <c r="U1804" t="str">
        <f t="shared" si="85"/>
        <v>a1cdbe</v>
      </c>
      <c r="V1804">
        <v>0</v>
      </c>
      <c r="W1804">
        <v>0</v>
      </c>
      <c r="X1804">
        <v>1</v>
      </c>
      <c r="Y1804">
        <v>0</v>
      </c>
      <c r="Z1804">
        <v>0</v>
      </c>
      <c r="AB1804">
        <v>0</v>
      </c>
      <c r="AC1804">
        <v>9</v>
      </c>
      <c r="AD1804">
        <v>3</v>
      </c>
      <c r="AE1804">
        <v>0</v>
      </c>
      <c r="AF1804">
        <v>9</v>
      </c>
      <c r="AG1804" t="s">
        <v>158</v>
      </c>
      <c r="AH1804">
        <v>0</v>
      </c>
      <c r="AI1804">
        <v>3</v>
      </c>
      <c r="AJ1804">
        <v>1</v>
      </c>
      <c r="AK1804">
        <v>0</v>
      </c>
      <c r="AL1804" t="s">
        <v>1929</v>
      </c>
      <c r="AM1804">
        <v>46.844994999999997</v>
      </c>
      <c r="AN1804" t="s">
        <v>3433</v>
      </c>
      <c r="AO1804">
        <v>-122.931304</v>
      </c>
      <c r="AP1804">
        <v>100</v>
      </c>
      <c r="AQ1804">
        <v>1900</v>
      </c>
      <c r="AR1804" t="s">
        <v>118</v>
      </c>
      <c r="AS1804">
        <v>-75</v>
      </c>
      <c r="AT1804">
        <v>21</v>
      </c>
      <c r="AU1804">
        <v>-256</v>
      </c>
      <c r="BC1804">
        <v>1200</v>
      </c>
      <c r="BD1804">
        <v>1</v>
      </c>
      <c r="BE1804" t="str">
        <f t="shared" si="86"/>
        <v xml:space="preserve">N215T   </v>
      </c>
      <c r="BF1804">
        <v>1</v>
      </c>
      <c r="BH1804">
        <v>0</v>
      </c>
      <c r="BI1804">
        <v>0</v>
      </c>
      <c r="BJ1804">
        <v>0</v>
      </c>
      <c r="BK1804">
        <v>2325</v>
      </c>
      <c r="BL1804">
        <v>425</v>
      </c>
      <c r="BM1804" t="s">
        <v>119</v>
      </c>
      <c r="BN1804">
        <v>1</v>
      </c>
      <c r="BO1804">
        <v>1</v>
      </c>
      <c r="BP1804">
        <v>1</v>
      </c>
      <c r="BQ1804">
        <v>0</v>
      </c>
      <c r="BT1804">
        <v>0</v>
      </c>
      <c r="BU1804">
        <v>0</v>
      </c>
      <c r="BV1804">
        <v>0</v>
      </c>
      <c r="CC1804" t="str">
        <f>"19:04:53.023"</f>
        <v>19:04:53.023</v>
      </c>
      <c r="CD1804" t="str">
        <f>"025397616"</f>
        <v>025397616</v>
      </c>
      <c r="CQ1804">
        <v>0</v>
      </c>
      <c r="CR1804">
        <v>2</v>
      </c>
      <c r="CS1804">
        <v>0</v>
      </c>
      <c r="CT1804">
        <v>2</v>
      </c>
      <c r="CU1804">
        <v>0</v>
      </c>
      <c r="CV1804">
        <v>7</v>
      </c>
      <c r="CW1804" t="s">
        <v>120</v>
      </c>
      <c r="CX1804">
        <v>261</v>
      </c>
      <c r="CY1804">
        <v>2</v>
      </c>
      <c r="CZ1804" t="s">
        <v>121</v>
      </c>
      <c r="DA1804" t="s">
        <v>122</v>
      </c>
      <c r="DD1804">
        <v>15319441</v>
      </c>
      <c r="DE1804" t="s">
        <v>123</v>
      </c>
    </row>
    <row r="1805" spans="1:109" x14ac:dyDescent="0.3">
      <c r="A1805" t="str">
        <f>"19:04:54.102"</f>
        <v>19:04:54.102</v>
      </c>
      <c r="B1805" t="s">
        <v>110</v>
      </c>
      <c r="C1805" t="str">
        <f t="shared" si="84"/>
        <v>ffdfd3c0</v>
      </c>
      <c r="D1805" t="s">
        <v>111</v>
      </c>
      <c r="E1805">
        <v>18</v>
      </c>
      <c r="F1805">
        <v>1018</v>
      </c>
      <c r="G1805" t="s">
        <v>112</v>
      </c>
      <c r="J1805" t="s">
        <v>113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R1805" t="s">
        <v>114</v>
      </c>
      <c r="S1805" t="str">
        <f>"19:04:53.875"</f>
        <v>19:04:53.875</v>
      </c>
      <c r="T1805" t="str">
        <f>"19:04:53.672"</f>
        <v>19:04:53.672</v>
      </c>
      <c r="U1805" t="str">
        <f t="shared" si="85"/>
        <v>a1cdbe</v>
      </c>
      <c r="V1805">
        <v>0</v>
      </c>
      <c r="W1805">
        <v>0</v>
      </c>
      <c r="X1805">
        <v>1</v>
      </c>
      <c r="Y1805">
        <v>0</v>
      </c>
      <c r="Z1805">
        <v>0</v>
      </c>
      <c r="AB1805">
        <v>0</v>
      </c>
      <c r="AC1805">
        <v>9</v>
      </c>
      <c r="AD1805">
        <v>3</v>
      </c>
      <c r="AE1805">
        <v>0</v>
      </c>
      <c r="AF1805">
        <v>9</v>
      </c>
      <c r="AG1805" t="s">
        <v>158</v>
      </c>
      <c r="AH1805">
        <v>0</v>
      </c>
      <c r="AI1805">
        <v>3</v>
      </c>
      <c r="AJ1805">
        <v>1</v>
      </c>
      <c r="AK1805">
        <v>0</v>
      </c>
      <c r="AL1805" t="s">
        <v>1925</v>
      </c>
      <c r="AM1805">
        <v>46.845058999999999</v>
      </c>
      <c r="AN1805" t="s">
        <v>3434</v>
      </c>
      <c r="AO1805">
        <v>-122.93173299999999</v>
      </c>
      <c r="AP1805">
        <v>100</v>
      </c>
      <c r="AQ1805">
        <v>1900</v>
      </c>
      <c r="AR1805" t="s">
        <v>118</v>
      </c>
      <c r="AS1805">
        <v>-75</v>
      </c>
      <c r="AT1805">
        <v>21</v>
      </c>
      <c r="AU1805">
        <v>-256</v>
      </c>
      <c r="BC1805">
        <v>1200</v>
      </c>
      <c r="BD1805">
        <v>1</v>
      </c>
      <c r="BE1805" t="str">
        <f t="shared" si="86"/>
        <v xml:space="preserve">N215T   </v>
      </c>
      <c r="BF1805">
        <v>1</v>
      </c>
      <c r="BH1805">
        <v>0</v>
      </c>
      <c r="BI1805">
        <v>0</v>
      </c>
      <c r="BJ1805">
        <v>0</v>
      </c>
      <c r="BK1805">
        <v>2325</v>
      </c>
      <c r="BL1805">
        <v>425</v>
      </c>
      <c r="BM1805" t="s">
        <v>119</v>
      </c>
      <c r="BN1805">
        <v>1</v>
      </c>
      <c r="BO1805">
        <v>1</v>
      </c>
      <c r="BP1805">
        <v>1</v>
      </c>
      <c r="BQ1805">
        <v>0</v>
      </c>
      <c r="BT1805">
        <v>0</v>
      </c>
      <c r="BU1805">
        <v>0</v>
      </c>
      <c r="BV1805">
        <v>0</v>
      </c>
      <c r="CC1805" t="str">
        <f>"19:04:53.883"</f>
        <v>19:04:53.883</v>
      </c>
      <c r="CD1805" t="str">
        <f>"880313395"</f>
        <v>880313395</v>
      </c>
      <c r="CQ1805">
        <v>0</v>
      </c>
      <c r="CR1805">
        <v>2</v>
      </c>
      <c r="CS1805">
        <v>0</v>
      </c>
      <c r="CT1805">
        <v>2</v>
      </c>
      <c r="CU1805">
        <v>0</v>
      </c>
      <c r="CV1805">
        <v>7</v>
      </c>
      <c r="CW1805" t="s">
        <v>120</v>
      </c>
      <c r="CX1805">
        <v>261</v>
      </c>
      <c r="CY1805">
        <v>2</v>
      </c>
      <c r="CZ1805" t="s">
        <v>121</v>
      </c>
      <c r="DA1805" t="s">
        <v>122</v>
      </c>
      <c r="DD1805">
        <v>15320029</v>
      </c>
      <c r="DE1805" t="s">
        <v>123</v>
      </c>
    </row>
    <row r="1806" spans="1:109" x14ac:dyDescent="0.3">
      <c r="A1806" t="str">
        <f>"19:04:55.156"</f>
        <v>19:04:55.156</v>
      </c>
      <c r="B1806" t="s">
        <v>110</v>
      </c>
      <c r="C1806" t="str">
        <f t="shared" si="84"/>
        <v>ffdfd3c0</v>
      </c>
      <c r="D1806" t="s">
        <v>111</v>
      </c>
      <c r="E1806">
        <v>18</v>
      </c>
      <c r="F1806">
        <v>1018</v>
      </c>
      <c r="G1806" t="s">
        <v>112</v>
      </c>
      <c r="J1806" t="s">
        <v>113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R1806" t="s">
        <v>114</v>
      </c>
      <c r="S1806" t="str">
        <f>"19:04:54.930"</f>
        <v>19:04:54.930</v>
      </c>
      <c r="T1806" t="str">
        <f>"19:04:54.727"</f>
        <v>19:04:54.727</v>
      </c>
      <c r="U1806" t="str">
        <f t="shared" si="85"/>
        <v>a1cdbe</v>
      </c>
      <c r="V1806">
        <v>0</v>
      </c>
      <c r="W1806">
        <v>0</v>
      </c>
      <c r="X1806">
        <v>1</v>
      </c>
      <c r="Y1806">
        <v>0</v>
      </c>
      <c r="Z1806">
        <v>0</v>
      </c>
      <c r="AB1806">
        <v>0</v>
      </c>
      <c r="AC1806">
        <v>9</v>
      </c>
      <c r="AD1806">
        <v>3</v>
      </c>
      <c r="AE1806">
        <v>0</v>
      </c>
      <c r="AF1806">
        <v>9</v>
      </c>
      <c r="AG1806" t="s">
        <v>158</v>
      </c>
      <c r="AH1806">
        <v>0</v>
      </c>
      <c r="AI1806">
        <v>3</v>
      </c>
      <c r="AJ1806">
        <v>1</v>
      </c>
      <c r="AK1806">
        <v>0</v>
      </c>
      <c r="AL1806" t="s">
        <v>1920</v>
      </c>
      <c r="AM1806">
        <v>46.845145000000002</v>
      </c>
      <c r="AN1806" t="s">
        <v>3435</v>
      </c>
      <c r="AO1806">
        <v>-122.932248</v>
      </c>
      <c r="AP1806">
        <v>100</v>
      </c>
      <c r="AQ1806">
        <v>1900</v>
      </c>
      <c r="AR1806" t="s">
        <v>118</v>
      </c>
      <c r="AS1806">
        <v>-75</v>
      </c>
      <c r="AT1806">
        <v>20</v>
      </c>
      <c r="AU1806">
        <v>-256</v>
      </c>
      <c r="BC1806">
        <v>1200</v>
      </c>
      <c r="BD1806">
        <v>1</v>
      </c>
      <c r="BE1806" t="str">
        <f t="shared" si="86"/>
        <v xml:space="preserve">N215T   </v>
      </c>
      <c r="BF1806">
        <v>1</v>
      </c>
      <c r="BH1806">
        <v>0</v>
      </c>
      <c r="BI1806">
        <v>0</v>
      </c>
      <c r="BJ1806">
        <v>0</v>
      </c>
      <c r="BK1806">
        <v>2325</v>
      </c>
      <c r="BL1806">
        <v>425</v>
      </c>
      <c r="BM1806" t="s">
        <v>119</v>
      </c>
      <c r="BN1806">
        <v>1</v>
      </c>
      <c r="BO1806">
        <v>1</v>
      </c>
      <c r="BP1806">
        <v>1</v>
      </c>
      <c r="BQ1806">
        <v>0</v>
      </c>
      <c r="BT1806">
        <v>0</v>
      </c>
      <c r="BU1806">
        <v>0</v>
      </c>
      <c r="BV1806">
        <v>0</v>
      </c>
      <c r="CC1806" t="str">
        <f>"19:04:54.930"</f>
        <v>19:04:54.930</v>
      </c>
      <c r="CD1806" t="str">
        <f>"930209972"</f>
        <v>930209972</v>
      </c>
      <c r="CQ1806">
        <v>0</v>
      </c>
      <c r="CR1806">
        <v>2</v>
      </c>
      <c r="CS1806">
        <v>0</v>
      </c>
      <c r="CT1806">
        <v>2</v>
      </c>
      <c r="CU1806">
        <v>0</v>
      </c>
      <c r="CV1806">
        <v>7</v>
      </c>
      <c r="CW1806" t="s">
        <v>120</v>
      </c>
      <c r="CX1806">
        <v>261</v>
      </c>
      <c r="CY1806">
        <v>2</v>
      </c>
      <c r="CZ1806" t="s">
        <v>121</v>
      </c>
      <c r="DA1806" t="s">
        <v>122</v>
      </c>
      <c r="DD1806">
        <v>15320704</v>
      </c>
      <c r="DE1806" t="s">
        <v>123</v>
      </c>
    </row>
    <row r="1807" spans="1:109" x14ac:dyDescent="0.3">
      <c r="A1807" t="str">
        <f>"19:04:56.211"</f>
        <v>19:04:56.211</v>
      </c>
      <c r="B1807" t="s">
        <v>110</v>
      </c>
      <c r="C1807" t="str">
        <f t="shared" si="84"/>
        <v>ffdfd3c0</v>
      </c>
      <c r="D1807" t="s">
        <v>111</v>
      </c>
      <c r="E1807">
        <v>18</v>
      </c>
      <c r="F1807">
        <v>1018</v>
      </c>
      <c r="G1807" t="s">
        <v>112</v>
      </c>
      <c r="J1807" t="s">
        <v>113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R1807" t="s">
        <v>114</v>
      </c>
      <c r="S1807" t="str">
        <f>"19:04:55.977"</f>
        <v>19:04:55.977</v>
      </c>
      <c r="T1807" t="str">
        <f>"19:04:55.773"</f>
        <v>19:04:55.773</v>
      </c>
      <c r="U1807" t="str">
        <f t="shared" si="85"/>
        <v>a1cdbe</v>
      </c>
      <c r="V1807">
        <v>0</v>
      </c>
      <c r="W1807">
        <v>0</v>
      </c>
      <c r="X1807">
        <v>1</v>
      </c>
      <c r="Y1807">
        <v>0</v>
      </c>
      <c r="Z1807">
        <v>0</v>
      </c>
      <c r="AB1807">
        <v>0</v>
      </c>
      <c r="AC1807">
        <v>9</v>
      </c>
      <c r="AD1807">
        <v>3</v>
      </c>
      <c r="AE1807">
        <v>0</v>
      </c>
      <c r="AF1807">
        <v>9</v>
      </c>
      <c r="AG1807" t="s">
        <v>158</v>
      </c>
      <c r="AH1807">
        <v>0</v>
      </c>
      <c r="AI1807">
        <v>3</v>
      </c>
      <c r="AJ1807">
        <v>1</v>
      </c>
      <c r="AK1807">
        <v>0</v>
      </c>
      <c r="AL1807" t="s">
        <v>1914</v>
      </c>
      <c r="AM1807">
        <v>46.845295</v>
      </c>
      <c r="AN1807" t="s">
        <v>3436</v>
      </c>
      <c r="AO1807">
        <v>-122.932785</v>
      </c>
      <c r="AP1807">
        <v>100</v>
      </c>
      <c r="AQ1807">
        <v>1900</v>
      </c>
      <c r="AR1807" t="s">
        <v>118</v>
      </c>
      <c r="AS1807">
        <v>-75</v>
      </c>
      <c r="AT1807">
        <v>20</v>
      </c>
      <c r="AU1807">
        <v>-192</v>
      </c>
      <c r="BC1807">
        <v>1200</v>
      </c>
      <c r="BD1807">
        <v>1</v>
      </c>
      <c r="BE1807" t="str">
        <f t="shared" si="86"/>
        <v xml:space="preserve">N215T   </v>
      </c>
      <c r="BF1807">
        <v>1</v>
      </c>
      <c r="BH1807">
        <v>0</v>
      </c>
      <c r="BI1807">
        <v>0</v>
      </c>
      <c r="BJ1807">
        <v>0</v>
      </c>
      <c r="BK1807">
        <v>2325</v>
      </c>
      <c r="BL1807">
        <v>425</v>
      </c>
      <c r="BM1807" t="s">
        <v>119</v>
      </c>
      <c r="BN1807">
        <v>1</v>
      </c>
      <c r="BO1807">
        <v>1</v>
      </c>
      <c r="BP1807">
        <v>1</v>
      </c>
      <c r="BQ1807">
        <v>0</v>
      </c>
      <c r="BT1807">
        <v>0</v>
      </c>
      <c r="BU1807">
        <v>0</v>
      </c>
      <c r="BV1807">
        <v>0</v>
      </c>
      <c r="CC1807" t="str">
        <f>"19:04:55.977"</f>
        <v>19:04:55.977</v>
      </c>
      <c r="CD1807" t="str">
        <f>"980106537"</f>
        <v>980106537</v>
      </c>
      <c r="CQ1807">
        <v>0</v>
      </c>
      <c r="CR1807">
        <v>2</v>
      </c>
      <c r="CS1807">
        <v>0</v>
      </c>
      <c r="CT1807">
        <v>2</v>
      </c>
      <c r="CU1807">
        <v>0</v>
      </c>
      <c r="CV1807">
        <v>7</v>
      </c>
      <c r="CW1807" t="s">
        <v>120</v>
      </c>
      <c r="CX1807">
        <v>261</v>
      </c>
      <c r="CY1807">
        <v>2</v>
      </c>
      <c r="CZ1807" t="s">
        <v>121</v>
      </c>
      <c r="DA1807" t="s">
        <v>122</v>
      </c>
      <c r="DD1807">
        <v>15321385</v>
      </c>
      <c r="DE1807" t="s">
        <v>123</v>
      </c>
    </row>
    <row r="1808" spans="1:109" x14ac:dyDescent="0.3">
      <c r="A1808" t="str">
        <f>"19:04:57.273"</f>
        <v>19:04:57.273</v>
      </c>
      <c r="B1808" t="s">
        <v>110</v>
      </c>
      <c r="C1808" t="str">
        <f t="shared" si="84"/>
        <v>ffdfd3c0</v>
      </c>
      <c r="D1808" t="s">
        <v>111</v>
      </c>
      <c r="E1808">
        <v>18</v>
      </c>
      <c r="F1808">
        <v>1018</v>
      </c>
      <c r="G1808" t="s">
        <v>112</v>
      </c>
      <c r="J1808" t="s">
        <v>113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R1808" t="s">
        <v>114</v>
      </c>
      <c r="S1808" t="str">
        <f>"19:04:57.039"</f>
        <v>19:04:57.039</v>
      </c>
      <c r="T1808" t="str">
        <f>"19:04:56.539"</f>
        <v>19:04:56.539</v>
      </c>
      <c r="U1808" t="str">
        <f t="shared" si="85"/>
        <v>a1cdbe</v>
      </c>
      <c r="V1808">
        <v>0</v>
      </c>
      <c r="W1808">
        <v>0</v>
      </c>
      <c r="X1808">
        <v>1</v>
      </c>
      <c r="Y1808">
        <v>0</v>
      </c>
      <c r="Z1808">
        <v>0</v>
      </c>
      <c r="AB1808">
        <v>0</v>
      </c>
      <c r="AC1808">
        <v>9</v>
      </c>
      <c r="AD1808">
        <v>3</v>
      </c>
      <c r="AE1808">
        <v>0</v>
      </c>
      <c r="AF1808">
        <v>9</v>
      </c>
      <c r="AG1808" t="s">
        <v>158</v>
      </c>
      <c r="AH1808">
        <v>0</v>
      </c>
      <c r="AI1808">
        <v>3</v>
      </c>
      <c r="AJ1808">
        <v>1</v>
      </c>
      <c r="AK1808">
        <v>0</v>
      </c>
      <c r="AL1808" t="s">
        <v>1908</v>
      </c>
      <c r="AM1808">
        <v>46.845381000000003</v>
      </c>
      <c r="AN1808" t="s">
        <v>3437</v>
      </c>
      <c r="AO1808">
        <v>-122.9333</v>
      </c>
      <c r="AP1808">
        <v>100</v>
      </c>
      <c r="AQ1808">
        <v>1900</v>
      </c>
      <c r="AR1808" t="s">
        <v>118</v>
      </c>
      <c r="AS1808">
        <v>-75</v>
      </c>
      <c r="AT1808">
        <v>20</v>
      </c>
      <c r="AU1808">
        <v>-128</v>
      </c>
      <c r="BC1808">
        <v>1200</v>
      </c>
      <c r="BD1808">
        <v>1</v>
      </c>
      <c r="BE1808" t="str">
        <f t="shared" si="86"/>
        <v xml:space="preserve">N215T   </v>
      </c>
      <c r="BF1808">
        <v>1</v>
      </c>
      <c r="BH1808">
        <v>0</v>
      </c>
      <c r="BI1808">
        <v>0</v>
      </c>
      <c r="BJ1808">
        <v>0</v>
      </c>
      <c r="BK1808">
        <v>2325</v>
      </c>
      <c r="BL1808">
        <v>425</v>
      </c>
      <c r="BM1808" t="s">
        <v>119</v>
      </c>
      <c r="BN1808">
        <v>1</v>
      </c>
      <c r="BO1808">
        <v>1</v>
      </c>
      <c r="BP1808">
        <v>1</v>
      </c>
      <c r="BQ1808">
        <v>0</v>
      </c>
      <c r="BT1808">
        <v>0</v>
      </c>
      <c r="BU1808">
        <v>0</v>
      </c>
      <c r="BV1808">
        <v>0</v>
      </c>
      <c r="CC1808" t="str">
        <f>"19:04:57.047"</f>
        <v>19:04:57.047</v>
      </c>
      <c r="CD1808" t="str">
        <f>"045001636"</f>
        <v>045001636</v>
      </c>
      <c r="CQ1808">
        <v>0</v>
      </c>
      <c r="CR1808">
        <v>2</v>
      </c>
      <c r="CS1808">
        <v>0</v>
      </c>
      <c r="CT1808">
        <v>2</v>
      </c>
      <c r="CU1808">
        <v>0</v>
      </c>
      <c r="CV1808">
        <v>7</v>
      </c>
      <c r="CW1808" t="s">
        <v>120</v>
      </c>
      <c r="CX1808">
        <v>261</v>
      </c>
      <c r="CY1808">
        <v>2</v>
      </c>
      <c r="CZ1808" t="s">
        <v>121</v>
      </c>
      <c r="DA1808" t="s">
        <v>122</v>
      </c>
      <c r="DD1808">
        <v>15322082</v>
      </c>
      <c r="DE1808" t="s">
        <v>123</v>
      </c>
    </row>
    <row r="1809" spans="1:109" x14ac:dyDescent="0.3">
      <c r="A1809" t="str">
        <f>"19:04:58.375"</f>
        <v>19:04:58.375</v>
      </c>
      <c r="B1809" t="s">
        <v>110</v>
      </c>
      <c r="C1809" t="str">
        <f t="shared" si="84"/>
        <v>ffdfd3c0</v>
      </c>
      <c r="D1809" t="s">
        <v>111</v>
      </c>
      <c r="E1809">
        <v>18</v>
      </c>
      <c r="F1809">
        <v>1018</v>
      </c>
      <c r="G1809" t="s">
        <v>112</v>
      </c>
      <c r="J1809" t="s">
        <v>113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R1809" t="s">
        <v>114</v>
      </c>
      <c r="S1809" t="str">
        <f>"19:04:58.133"</f>
        <v>19:04:58.133</v>
      </c>
      <c r="T1809" t="str">
        <f>"19:04:57.633"</f>
        <v>19:04:57.633</v>
      </c>
      <c r="U1809" t="str">
        <f t="shared" si="85"/>
        <v>a1cdbe</v>
      </c>
      <c r="V1809">
        <v>0</v>
      </c>
      <c r="W1809">
        <v>0</v>
      </c>
      <c r="X1809">
        <v>1</v>
      </c>
      <c r="Y1809">
        <v>0</v>
      </c>
      <c r="Z1809">
        <v>0</v>
      </c>
      <c r="AB1809">
        <v>0</v>
      </c>
      <c r="AC1809">
        <v>9</v>
      </c>
      <c r="AD1809">
        <v>3</v>
      </c>
      <c r="AE1809">
        <v>0</v>
      </c>
      <c r="AF1809">
        <v>9</v>
      </c>
      <c r="AG1809" t="s">
        <v>158</v>
      </c>
      <c r="AH1809">
        <v>0</v>
      </c>
      <c r="AI1809">
        <v>3</v>
      </c>
      <c r="AJ1809">
        <v>1</v>
      </c>
      <c r="AK1809">
        <v>0</v>
      </c>
      <c r="AL1809" t="s">
        <v>1904</v>
      </c>
      <c r="AM1809">
        <v>46.845466999999999</v>
      </c>
      <c r="AN1809" t="s">
        <v>3438</v>
      </c>
      <c r="AO1809">
        <v>-122.933922</v>
      </c>
      <c r="AP1809">
        <v>100</v>
      </c>
      <c r="AQ1809">
        <v>1900</v>
      </c>
      <c r="AR1809" t="s">
        <v>118</v>
      </c>
      <c r="AS1809">
        <v>-75</v>
      </c>
      <c r="AT1809">
        <v>19</v>
      </c>
      <c r="AU1809">
        <v>-64</v>
      </c>
      <c r="BC1809">
        <v>1200</v>
      </c>
      <c r="BD1809">
        <v>1</v>
      </c>
      <c r="BE1809" t="str">
        <f t="shared" si="86"/>
        <v xml:space="preserve">N215T   </v>
      </c>
      <c r="BF1809">
        <v>1</v>
      </c>
      <c r="BH1809">
        <v>0</v>
      </c>
      <c r="BI1809">
        <v>0</v>
      </c>
      <c r="BJ1809">
        <v>0</v>
      </c>
      <c r="BK1809">
        <v>2325</v>
      </c>
      <c r="BL1809">
        <v>425</v>
      </c>
      <c r="BM1809" t="s">
        <v>119</v>
      </c>
      <c r="BN1809">
        <v>1</v>
      </c>
      <c r="BO1809">
        <v>1</v>
      </c>
      <c r="BP1809">
        <v>1</v>
      </c>
      <c r="BQ1809">
        <v>0</v>
      </c>
      <c r="BT1809">
        <v>0</v>
      </c>
      <c r="BU1809">
        <v>0</v>
      </c>
      <c r="BV1809">
        <v>0</v>
      </c>
      <c r="CC1809" t="str">
        <f>"19:04:58.141"</f>
        <v>19:04:58.141</v>
      </c>
      <c r="CD1809" t="str">
        <f>"139893777"</f>
        <v>139893777</v>
      </c>
      <c r="CQ1809">
        <v>0</v>
      </c>
      <c r="CR1809">
        <v>2</v>
      </c>
      <c r="CS1809">
        <v>0</v>
      </c>
      <c r="CT1809">
        <v>2</v>
      </c>
      <c r="CU1809">
        <v>0</v>
      </c>
      <c r="CV1809">
        <v>7</v>
      </c>
      <c r="CW1809" t="s">
        <v>120</v>
      </c>
      <c r="CX1809">
        <v>261</v>
      </c>
      <c r="CY1809">
        <v>2</v>
      </c>
      <c r="CZ1809" t="s">
        <v>121</v>
      </c>
      <c r="DA1809" t="s">
        <v>122</v>
      </c>
      <c r="DD1809">
        <v>15322800</v>
      </c>
      <c r="DE1809" t="s">
        <v>123</v>
      </c>
    </row>
    <row r="1810" spans="1:109" x14ac:dyDescent="0.3">
      <c r="A1810" t="str">
        <f>"19:04:59.430"</f>
        <v>19:04:59.430</v>
      </c>
      <c r="B1810" t="s">
        <v>110</v>
      </c>
      <c r="C1810" t="str">
        <f t="shared" si="84"/>
        <v>ffdfd3c0</v>
      </c>
      <c r="D1810" t="s">
        <v>111</v>
      </c>
      <c r="E1810">
        <v>18</v>
      </c>
      <c r="F1810">
        <v>1018</v>
      </c>
      <c r="G1810" t="s">
        <v>112</v>
      </c>
      <c r="J1810" t="s">
        <v>113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R1810" t="s">
        <v>114</v>
      </c>
      <c r="S1810" t="str">
        <f>"19:04:59.203"</f>
        <v>19:04:59.203</v>
      </c>
      <c r="T1810" t="str">
        <f>"19:04:58.703"</f>
        <v>19:04:58.703</v>
      </c>
      <c r="U1810" t="str">
        <f t="shared" si="85"/>
        <v>a1cdbe</v>
      </c>
      <c r="V1810">
        <v>0</v>
      </c>
      <c r="W1810">
        <v>0</v>
      </c>
      <c r="X1810">
        <v>1</v>
      </c>
      <c r="Y1810">
        <v>0</v>
      </c>
      <c r="Z1810">
        <v>0</v>
      </c>
      <c r="AB1810">
        <v>0</v>
      </c>
      <c r="AC1810">
        <v>9</v>
      </c>
      <c r="AD1810">
        <v>3</v>
      </c>
      <c r="AE1810">
        <v>0</v>
      </c>
      <c r="AF1810">
        <v>9</v>
      </c>
      <c r="AG1810" t="s">
        <v>158</v>
      </c>
      <c r="AH1810">
        <v>0</v>
      </c>
      <c r="AI1810">
        <v>3</v>
      </c>
      <c r="AJ1810">
        <v>1</v>
      </c>
      <c r="AK1810">
        <v>0</v>
      </c>
      <c r="AL1810" t="s">
        <v>3439</v>
      </c>
      <c r="AM1810">
        <v>46.845573999999999</v>
      </c>
      <c r="AN1810" t="s">
        <v>3440</v>
      </c>
      <c r="AO1810">
        <v>-122.934394</v>
      </c>
      <c r="AP1810">
        <v>100</v>
      </c>
      <c r="AQ1810">
        <v>1900</v>
      </c>
      <c r="AR1810" t="s">
        <v>118</v>
      </c>
      <c r="AS1810">
        <v>-75</v>
      </c>
      <c r="AT1810">
        <v>19</v>
      </c>
      <c r="AU1810">
        <v>0</v>
      </c>
      <c r="BC1810">
        <v>1200</v>
      </c>
      <c r="BD1810">
        <v>1</v>
      </c>
      <c r="BE1810" t="str">
        <f t="shared" si="86"/>
        <v xml:space="preserve">N215T   </v>
      </c>
      <c r="BF1810">
        <v>1</v>
      </c>
      <c r="BH1810">
        <v>0</v>
      </c>
      <c r="BI1810">
        <v>0</v>
      </c>
      <c r="BJ1810">
        <v>0</v>
      </c>
      <c r="BK1810">
        <v>2325</v>
      </c>
      <c r="BL1810">
        <v>425</v>
      </c>
      <c r="BM1810" t="s">
        <v>119</v>
      </c>
      <c r="BN1810">
        <v>1</v>
      </c>
      <c r="BO1810">
        <v>1</v>
      </c>
      <c r="BP1810">
        <v>1</v>
      </c>
      <c r="BQ1810">
        <v>0</v>
      </c>
      <c r="BT1810">
        <v>0</v>
      </c>
      <c r="BU1810">
        <v>0</v>
      </c>
      <c r="BV1810">
        <v>0</v>
      </c>
      <c r="CC1810" t="str">
        <f>"19:04:59.203"</f>
        <v>19:04:59.203</v>
      </c>
      <c r="CD1810" t="str">
        <f>"204788880"</f>
        <v>204788880</v>
      </c>
      <c r="CQ1810">
        <v>0</v>
      </c>
      <c r="CR1810">
        <v>2</v>
      </c>
      <c r="CS1810">
        <v>0</v>
      </c>
      <c r="CT1810">
        <v>2</v>
      </c>
      <c r="CU1810">
        <v>0</v>
      </c>
      <c r="CV1810">
        <v>7</v>
      </c>
      <c r="CW1810" t="s">
        <v>120</v>
      </c>
      <c r="CX1810">
        <v>261</v>
      </c>
      <c r="CY1810">
        <v>2</v>
      </c>
      <c r="CZ1810" t="s">
        <v>121</v>
      </c>
      <c r="DA1810" t="s">
        <v>122</v>
      </c>
      <c r="DD1810">
        <v>15323488</v>
      </c>
      <c r="DE1810" t="s">
        <v>123</v>
      </c>
    </row>
    <row r="1811" spans="1:109" x14ac:dyDescent="0.3">
      <c r="A1811" t="str">
        <f>"19:05:00.281"</f>
        <v>19:05:00.281</v>
      </c>
      <c r="B1811" t="s">
        <v>110</v>
      </c>
      <c r="C1811" t="str">
        <f t="shared" si="84"/>
        <v>ffdfd3c0</v>
      </c>
      <c r="D1811" t="s">
        <v>111</v>
      </c>
      <c r="E1811">
        <v>18</v>
      </c>
      <c r="F1811">
        <v>1018</v>
      </c>
      <c r="G1811" t="s">
        <v>112</v>
      </c>
      <c r="J1811" t="s">
        <v>113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R1811" t="s">
        <v>114</v>
      </c>
      <c r="S1811" t="str">
        <f>"19:05:00.070"</f>
        <v>19:05:00.070</v>
      </c>
      <c r="T1811" t="str">
        <f>"19:04:59.672"</f>
        <v>19:04:59.672</v>
      </c>
      <c r="U1811" t="str">
        <f t="shared" si="85"/>
        <v>a1cdbe</v>
      </c>
      <c r="V1811">
        <v>0</v>
      </c>
      <c r="W1811">
        <v>0</v>
      </c>
      <c r="X1811">
        <v>1</v>
      </c>
      <c r="Y1811">
        <v>0</v>
      </c>
      <c r="Z1811">
        <v>0</v>
      </c>
      <c r="AB1811">
        <v>0</v>
      </c>
      <c r="AC1811">
        <v>9</v>
      </c>
      <c r="AD1811">
        <v>3</v>
      </c>
      <c r="AE1811">
        <v>0</v>
      </c>
      <c r="AF1811">
        <v>9</v>
      </c>
      <c r="AG1811" t="s">
        <v>158</v>
      </c>
      <c r="AH1811">
        <v>0</v>
      </c>
      <c r="AI1811">
        <v>3</v>
      </c>
      <c r="AJ1811">
        <v>1</v>
      </c>
      <c r="AK1811">
        <v>0</v>
      </c>
      <c r="AL1811" t="s">
        <v>1896</v>
      </c>
      <c r="AM1811">
        <v>46.845660000000002</v>
      </c>
      <c r="AN1811" t="s">
        <v>3441</v>
      </c>
      <c r="AO1811">
        <v>-122.934866</v>
      </c>
      <c r="AP1811">
        <v>100</v>
      </c>
      <c r="AQ1811">
        <v>1900</v>
      </c>
      <c r="AR1811" t="s">
        <v>118</v>
      </c>
      <c r="AS1811">
        <v>-75</v>
      </c>
      <c r="AT1811">
        <v>19</v>
      </c>
      <c r="AU1811">
        <v>0</v>
      </c>
      <c r="BC1811">
        <v>1200</v>
      </c>
      <c r="BD1811">
        <v>1</v>
      </c>
      <c r="BE1811" t="str">
        <f t="shared" si="86"/>
        <v xml:space="preserve">N215T   </v>
      </c>
      <c r="BF1811">
        <v>1</v>
      </c>
      <c r="BH1811">
        <v>0</v>
      </c>
      <c r="BI1811">
        <v>0</v>
      </c>
      <c r="BJ1811">
        <v>0</v>
      </c>
      <c r="BK1811">
        <v>2325</v>
      </c>
      <c r="BL1811">
        <v>425</v>
      </c>
      <c r="BM1811" t="s">
        <v>119</v>
      </c>
      <c r="BN1811">
        <v>1</v>
      </c>
      <c r="BO1811">
        <v>1</v>
      </c>
      <c r="BP1811">
        <v>1</v>
      </c>
      <c r="BQ1811">
        <v>0</v>
      </c>
      <c r="BT1811">
        <v>0</v>
      </c>
      <c r="BU1811">
        <v>0</v>
      </c>
      <c r="BV1811">
        <v>0</v>
      </c>
      <c r="CC1811" t="str">
        <f>"19:05:00.078"</f>
        <v>19:05:00.078</v>
      </c>
      <c r="CD1811" t="str">
        <f>"074703193"</f>
        <v>074703193</v>
      </c>
      <c r="CQ1811">
        <v>0</v>
      </c>
      <c r="CR1811">
        <v>2</v>
      </c>
      <c r="CS1811">
        <v>0</v>
      </c>
      <c r="CT1811">
        <v>2</v>
      </c>
      <c r="CU1811">
        <v>0</v>
      </c>
      <c r="CV1811">
        <v>7</v>
      </c>
      <c r="CW1811" t="s">
        <v>120</v>
      </c>
      <c r="CX1811">
        <v>261</v>
      </c>
      <c r="CY1811">
        <v>2</v>
      </c>
      <c r="CZ1811" t="s">
        <v>121</v>
      </c>
      <c r="DA1811" t="s">
        <v>122</v>
      </c>
      <c r="DD1811">
        <v>15324065</v>
      </c>
      <c r="DE1811" t="s">
        <v>123</v>
      </c>
    </row>
    <row r="1812" spans="1:109" x14ac:dyDescent="0.3">
      <c r="A1812" t="str">
        <f>"19:05:01.289"</f>
        <v>19:05:01.289</v>
      </c>
      <c r="B1812" t="s">
        <v>110</v>
      </c>
      <c r="C1812" t="str">
        <f t="shared" si="84"/>
        <v>ffdfd3c0</v>
      </c>
      <c r="D1812" t="s">
        <v>111</v>
      </c>
      <c r="E1812">
        <v>18</v>
      </c>
      <c r="F1812">
        <v>1018</v>
      </c>
      <c r="G1812" t="s">
        <v>112</v>
      </c>
      <c r="J1812" t="s">
        <v>113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R1812" t="s">
        <v>114</v>
      </c>
      <c r="S1812" t="str">
        <f>"19:05:01.094"</f>
        <v>19:05:01.094</v>
      </c>
      <c r="T1812" t="str">
        <f>"19:05:00.695"</f>
        <v>19:05:00.695</v>
      </c>
      <c r="U1812" t="str">
        <f t="shared" si="85"/>
        <v>a1cdbe</v>
      </c>
      <c r="V1812">
        <v>0</v>
      </c>
      <c r="W1812">
        <v>0</v>
      </c>
      <c r="X1812">
        <v>1</v>
      </c>
      <c r="Y1812">
        <v>0</v>
      </c>
      <c r="Z1812">
        <v>0</v>
      </c>
      <c r="AB1812">
        <v>0</v>
      </c>
      <c r="AC1812">
        <v>9</v>
      </c>
      <c r="AD1812">
        <v>3</v>
      </c>
      <c r="AE1812">
        <v>0</v>
      </c>
      <c r="AF1812">
        <v>9</v>
      </c>
      <c r="AG1812" t="s">
        <v>158</v>
      </c>
      <c r="AH1812">
        <v>0</v>
      </c>
      <c r="AI1812">
        <v>3</v>
      </c>
      <c r="AJ1812">
        <v>1</v>
      </c>
      <c r="AK1812">
        <v>0</v>
      </c>
      <c r="AL1812" t="s">
        <v>1894</v>
      </c>
      <c r="AM1812">
        <v>46.845703</v>
      </c>
      <c r="AN1812" t="s">
        <v>3442</v>
      </c>
      <c r="AO1812">
        <v>-122.93535900000001</v>
      </c>
      <c r="AP1812">
        <v>100</v>
      </c>
      <c r="AQ1812">
        <v>1900</v>
      </c>
      <c r="AR1812" t="s">
        <v>118</v>
      </c>
      <c r="AS1812">
        <v>-74</v>
      </c>
      <c r="AT1812">
        <v>18</v>
      </c>
      <c r="AU1812">
        <v>0</v>
      </c>
      <c r="BC1812">
        <v>1200</v>
      </c>
      <c r="BD1812">
        <v>1</v>
      </c>
      <c r="BE1812" t="str">
        <f t="shared" si="86"/>
        <v xml:space="preserve">N215T   </v>
      </c>
      <c r="BF1812">
        <v>1</v>
      </c>
      <c r="BH1812">
        <v>0</v>
      </c>
      <c r="BI1812">
        <v>0</v>
      </c>
      <c r="BJ1812">
        <v>0</v>
      </c>
      <c r="BK1812">
        <v>2325</v>
      </c>
      <c r="BL1812">
        <v>425</v>
      </c>
      <c r="BM1812" t="s">
        <v>119</v>
      </c>
      <c r="BN1812">
        <v>1</v>
      </c>
      <c r="BO1812">
        <v>1</v>
      </c>
      <c r="BP1812">
        <v>1</v>
      </c>
      <c r="BQ1812">
        <v>0</v>
      </c>
      <c r="BT1812">
        <v>0</v>
      </c>
      <c r="BU1812">
        <v>0</v>
      </c>
      <c r="BV1812">
        <v>0</v>
      </c>
      <c r="CC1812" t="str">
        <f>"19:05:01.094"</f>
        <v>19:05:01.094</v>
      </c>
      <c r="CD1812" t="str">
        <f>"094630953"</f>
        <v>094630953</v>
      </c>
      <c r="CQ1812">
        <v>0</v>
      </c>
      <c r="CR1812">
        <v>2</v>
      </c>
      <c r="CS1812">
        <v>0</v>
      </c>
      <c r="CT1812">
        <v>2</v>
      </c>
      <c r="CU1812">
        <v>0</v>
      </c>
      <c r="CV1812">
        <v>6</v>
      </c>
      <c r="CW1812" t="s">
        <v>120</v>
      </c>
      <c r="CX1812">
        <v>257</v>
      </c>
      <c r="CY1812">
        <v>1</v>
      </c>
      <c r="CZ1812" t="s">
        <v>615</v>
      </c>
      <c r="DA1812" t="s">
        <v>616</v>
      </c>
      <c r="DD1812">
        <v>11728595</v>
      </c>
      <c r="DE1812" t="s">
        <v>123</v>
      </c>
    </row>
    <row r="1813" spans="1:109" x14ac:dyDescent="0.3">
      <c r="A1813" t="str">
        <f>"19:05:02.352"</f>
        <v>19:05:02.352</v>
      </c>
      <c r="B1813" t="s">
        <v>110</v>
      </c>
      <c r="C1813" t="str">
        <f t="shared" si="84"/>
        <v>ffdfd3c0</v>
      </c>
      <c r="D1813" t="s">
        <v>111</v>
      </c>
      <c r="E1813">
        <v>18</v>
      </c>
      <c r="F1813">
        <v>1018</v>
      </c>
      <c r="G1813" t="s">
        <v>112</v>
      </c>
      <c r="J1813" t="s">
        <v>113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R1813" t="s">
        <v>114</v>
      </c>
      <c r="S1813" t="str">
        <f>"19:05:02.156"</f>
        <v>19:05:02.156</v>
      </c>
      <c r="T1813" t="str">
        <f>"19:05:02.156"</f>
        <v>19:05:02.156</v>
      </c>
      <c r="U1813" t="str">
        <f t="shared" si="85"/>
        <v>a1cdbe</v>
      </c>
      <c r="V1813">
        <v>0</v>
      </c>
      <c r="W1813">
        <v>0</v>
      </c>
      <c r="X1813">
        <v>1</v>
      </c>
      <c r="Y1813">
        <v>0</v>
      </c>
      <c r="Z1813">
        <v>0</v>
      </c>
      <c r="AB1813">
        <v>0</v>
      </c>
      <c r="AC1813">
        <v>9</v>
      </c>
      <c r="AD1813">
        <v>3</v>
      </c>
      <c r="AE1813">
        <v>0</v>
      </c>
      <c r="AF1813">
        <v>9</v>
      </c>
      <c r="AG1813" t="s">
        <v>158</v>
      </c>
      <c r="AH1813">
        <v>0</v>
      </c>
      <c r="AI1813">
        <v>3</v>
      </c>
      <c r="AJ1813">
        <v>1</v>
      </c>
      <c r="AK1813">
        <v>0</v>
      </c>
      <c r="AL1813" t="s">
        <v>1890</v>
      </c>
      <c r="AM1813">
        <v>46.845789000000003</v>
      </c>
      <c r="AN1813" t="s">
        <v>3443</v>
      </c>
      <c r="AO1813">
        <v>-122.935939</v>
      </c>
      <c r="AP1813">
        <v>100</v>
      </c>
      <c r="AQ1813">
        <v>1900</v>
      </c>
      <c r="AR1813" t="s">
        <v>118</v>
      </c>
      <c r="AS1813">
        <v>-74</v>
      </c>
      <c r="AT1813">
        <v>18</v>
      </c>
      <c r="AU1813">
        <v>0</v>
      </c>
      <c r="BC1813">
        <v>1200</v>
      </c>
      <c r="BD1813">
        <v>1</v>
      </c>
      <c r="BE1813" t="str">
        <f t="shared" si="86"/>
        <v xml:space="preserve">N215T   </v>
      </c>
      <c r="BF1813">
        <v>1</v>
      </c>
      <c r="BH1813">
        <v>0</v>
      </c>
      <c r="BI1813">
        <v>0</v>
      </c>
      <c r="BJ1813">
        <v>0</v>
      </c>
      <c r="BK1813">
        <v>2325</v>
      </c>
      <c r="BL1813">
        <v>425</v>
      </c>
      <c r="BM1813" t="s">
        <v>119</v>
      </c>
      <c r="BN1813">
        <v>1</v>
      </c>
      <c r="BO1813">
        <v>1</v>
      </c>
      <c r="BP1813">
        <v>1</v>
      </c>
      <c r="BQ1813">
        <v>0</v>
      </c>
      <c r="BT1813">
        <v>0</v>
      </c>
      <c r="BU1813">
        <v>0</v>
      </c>
      <c r="BV1813">
        <v>0</v>
      </c>
      <c r="CC1813" t="str">
        <f>"19:05:02.156"</f>
        <v>19:05:02.156</v>
      </c>
      <c r="CD1813" t="str">
        <f>"159497817"</f>
        <v>159497817</v>
      </c>
      <c r="CQ1813">
        <v>0</v>
      </c>
      <c r="CR1813">
        <v>2</v>
      </c>
      <c r="CS1813">
        <v>0</v>
      </c>
      <c r="CT1813">
        <v>2</v>
      </c>
      <c r="CU1813">
        <v>0</v>
      </c>
      <c r="CV1813">
        <v>7</v>
      </c>
      <c r="CW1813" t="s">
        <v>120</v>
      </c>
      <c r="CX1813">
        <v>261</v>
      </c>
      <c r="CY1813">
        <v>2</v>
      </c>
      <c r="CZ1813" t="s">
        <v>121</v>
      </c>
      <c r="DA1813" t="s">
        <v>122</v>
      </c>
      <c r="DD1813">
        <v>15325469</v>
      </c>
      <c r="DE1813" t="s">
        <v>123</v>
      </c>
    </row>
    <row r="1814" spans="1:109" x14ac:dyDescent="0.3">
      <c r="A1814" t="str">
        <f>"19:05:03.406"</f>
        <v>19:05:03.406</v>
      </c>
      <c r="B1814" t="s">
        <v>110</v>
      </c>
      <c r="C1814" t="str">
        <f t="shared" si="84"/>
        <v>ffdfd3c0</v>
      </c>
      <c r="D1814" t="s">
        <v>111</v>
      </c>
      <c r="E1814">
        <v>18</v>
      </c>
      <c r="F1814">
        <v>1018</v>
      </c>
      <c r="G1814" t="s">
        <v>112</v>
      </c>
      <c r="J1814" t="s">
        <v>113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R1814" t="s">
        <v>114</v>
      </c>
      <c r="S1814" t="str">
        <f>"19:05:03.188"</f>
        <v>19:05:03.188</v>
      </c>
      <c r="T1814" t="str">
        <f>"19:05:03.188"</f>
        <v>19:05:03.188</v>
      </c>
      <c r="U1814" t="str">
        <f t="shared" si="85"/>
        <v>a1cdbe</v>
      </c>
      <c r="V1814">
        <v>0</v>
      </c>
      <c r="W1814">
        <v>0</v>
      </c>
      <c r="X1814">
        <v>1</v>
      </c>
      <c r="Y1814">
        <v>0</v>
      </c>
      <c r="Z1814">
        <v>0</v>
      </c>
      <c r="AB1814">
        <v>0</v>
      </c>
      <c r="AC1814">
        <v>9</v>
      </c>
      <c r="AD1814">
        <v>3</v>
      </c>
      <c r="AE1814">
        <v>0</v>
      </c>
      <c r="AF1814">
        <v>9</v>
      </c>
      <c r="AG1814" t="s">
        <v>158</v>
      </c>
      <c r="AH1814">
        <v>0</v>
      </c>
      <c r="AI1814">
        <v>3</v>
      </c>
      <c r="AJ1814">
        <v>1</v>
      </c>
      <c r="AK1814">
        <v>0</v>
      </c>
      <c r="AL1814" t="s">
        <v>1886</v>
      </c>
      <c r="AM1814">
        <v>46.845896000000003</v>
      </c>
      <c r="AN1814" t="s">
        <v>3444</v>
      </c>
      <c r="AO1814">
        <v>-122.936475</v>
      </c>
      <c r="AP1814">
        <v>100</v>
      </c>
      <c r="AQ1814">
        <v>1900</v>
      </c>
      <c r="AR1814" t="s">
        <v>118</v>
      </c>
      <c r="AS1814">
        <v>-74</v>
      </c>
      <c r="AT1814">
        <v>17</v>
      </c>
      <c r="AU1814">
        <v>0</v>
      </c>
      <c r="BC1814">
        <v>1200</v>
      </c>
      <c r="BD1814">
        <v>1</v>
      </c>
      <c r="BE1814" t="str">
        <f t="shared" si="86"/>
        <v xml:space="preserve">N215T   </v>
      </c>
      <c r="BF1814">
        <v>1</v>
      </c>
      <c r="BH1814">
        <v>0</v>
      </c>
      <c r="BI1814">
        <v>0</v>
      </c>
      <c r="BJ1814">
        <v>0</v>
      </c>
      <c r="BK1814">
        <v>2325</v>
      </c>
      <c r="BL1814">
        <v>425</v>
      </c>
      <c r="BM1814" t="s">
        <v>119</v>
      </c>
      <c r="BN1814">
        <v>1</v>
      </c>
      <c r="BO1814">
        <v>1</v>
      </c>
      <c r="BP1814">
        <v>1</v>
      </c>
      <c r="BQ1814">
        <v>0</v>
      </c>
      <c r="BT1814">
        <v>0</v>
      </c>
      <c r="BU1814">
        <v>0</v>
      </c>
      <c r="BV1814">
        <v>0</v>
      </c>
      <c r="CC1814" t="str">
        <f>"19:05:03.195"</f>
        <v>19:05:03.195</v>
      </c>
      <c r="CD1814" t="str">
        <f>"194395877"</f>
        <v>194395877</v>
      </c>
      <c r="CQ1814">
        <v>0</v>
      </c>
      <c r="CR1814">
        <v>2</v>
      </c>
      <c r="CS1814">
        <v>0</v>
      </c>
      <c r="CT1814">
        <v>2</v>
      </c>
      <c r="CU1814">
        <v>0</v>
      </c>
      <c r="CV1814">
        <v>7</v>
      </c>
      <c r="CW1814" t="s">
        <v>120</v>
      </c>
      <c r="CX1814">
        <v>261</v>
      </c>
      <c r="CY1814">
        <v>2</v>
      </c>
      <c r="CZ1814" t="s">
        <v>121</v>
      </c>
      <c r="DA1814" t="s">
        <v>122</v>
      </c>
      <c r="DD1814">
        <v>15326122</v>
      </c>
      <c r="DE1814" t="s">
        <v>123</v>
      </c>
    </row>
    <row r="1815" spans="1:109" x14ac:dyDescent="0.3">
      <c r="A1815" t="str">
        <f>"19:05:04.406"</f>
        <v>19:05:04.406</v>
      </c>
      <c r="B1815" t="s">
        <v>110</v>
      </c>
      <c r="C1815" t="str">
        <f t="shared" si="84"/>
        <v>ffdfd3c0</v>
      </c>
      <c r="D1815" t="s">
        <v>111</v>
      </c>
      <c r="E1815">
        <v>18</v>
      </c>
      <c r="F1815">
        <v>1018</v>
      </c>
      <c r="G1815" t="s">
        <v>112</v>
      </c>
      <c r="J1815" t="s">
        <v>113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R1815" t="s">
        <v>114</v>
      </c>
      <c r="S1815" t="str">
        <f>"19:05:04.164"</f>
        <v>19:05:04.164</v>
      </c>
      <c r="T1815" t="str">
        <f>"19:05:03.766"</f>
        <v>19:05:03.766</v>
      </c>
      <c r="U1815" t="str">
        <f t="shared" si="85"/>
        <v>a1cdbe</v>
      </c>
      <c r="V1815">
        <v>0</v>
      </c>
      <c r="W1815">
        <v>0</v>
      </c>
      <c r="X1815">
        <v>1</v>
      </c>
      <c r="Y1815">
        <v>0</v>
      </c>
      <c r="Z1815">
        <v>0</v>
      </c>
      <c r="AB1815">
        <v>0</v>
      </c>
      <c r="AC1815">
        <v>9</v>
      </c>
      <c r="AD1815">
        <v>3</v>
      </c>
      <c r="AE1815">
        <v>0</v>
      </c>
      <c r="AF1815">
        <v>9</v>
      </c>
      <c r="AG1815" t="s">
        <v>158</v>
      </c>
      <c r="AH1815">
        <v>0</v>
      </c>
      <c r="AI1815">
        <v>3</v>
      </c>
      <c r="AJ1815">
        <v>1</v>
      </c>
      <c r="AK1815">
        <v>0</v>
      </c>
      <c r="AL1815" t="s">
        <v>1884</v>
      </c>
      <c r="AM1815">
        <v>46.845981999999999</v>
      </c>
      <c r="AN1815" t="s">
        <v>3445</v>
      </c>
      <c r="AO1815">
        <v>-122.936947</v>
      </c>
      <c r="AP1815">
        <v>100</v>
      </c>
      <c r="AQ1815">
        <v>1900</v>
      </c>
      <c r="AR1815" t="s">
        <v>118</v>
      </c>
      <c r="AS1815">
        <v>-74</v>
      </c>
      <c r="AT1815">
        <v>17</v>
      </c>
      <c r="AU1815">
        <v>0</v>
      </c>
      <c r="BC1815">
        <v>1200</v>
      </c>
      <c r="BD1815">
        <v>1</v>
      </c>
      <c r="BE1815" t="str">
        <f t="shared" si="86"/>
        <v xml:space="preserve">N215T   </v>
      </c>
      <c r="BF1815">
        <v>1</v>
      </c>
      <c r="BH1815">
        <v>0</v>
      </c>
      <c r="BI1815">
        <v>0</v>
      </c>
      <c r="BJ1815">
        <v>0</v>
      </c>
      <c r="BK1815">
        <v>2325</v>
      </c>
      <c r="BL1815">
        <v>425</v>
      </c>
      <c r="BM1815" t="s">
        <v>119</v>
      </c>
      <c r="BN1815">
        <v>1</v>
      </c>
      <c r="BO1815">
        <v>1</v>
      </c>
      <c r="BP1815">
        <v>1</v>
      </c>
      <c r="BQ1815">
        <v>0</v>
      </c>
      <c r="BT1815">
        <v>0</v>
      </c>
      <c r="BU1815">
        <v>0</v>
      </c>
      <c r="BV1815">
        <v>0</v>
      </c>
      <c r="CC1815" t="str">
        <f>"19:05:04.172"</f>
        <v>19:05:04.172</v>
      </c>
      <c r="CD1815" t="str">
        <f>"169299841"</f>
        <v>169299841</v>
      </c>
      <c r="CQ1815">
        <v>0</v>
      </c>
      <c r="CR1815">
        <v>2</v>
      </c>
      <c r="CS1815">
        <v>0</v>
      </c>
      <c r="CT1815">
        <v>2</v>
      </c>
      <c r="CU1815">
        <v>0</v>
      </c>
      <c r="CV1815">
        <v>7</v>
      </c>
      <c r="CW1815" t="s">
        <v>120</v>
      </c>
      <c r="CX1815">
        <v>261</v>
      </c>
      <c r="CY1815">
        <v>2</v>
      </c>
      <c r="CZ1815" t="s">
        <v>121</v>
      </c>
      <c r="DA1815" t="s">
        <v>122</v>
      </c>
      <c r="DD1815">
        <v>15326755</v>
      </c>
      <c r="DE1815" t="s">
        <v>123</v>
      </c>
    </row>
    <row r="1816" spans="1:109" x14ac:dyDescent="0.3">
      <c r="A1816" t="str">
        <f>"19:05:05.516"</f>
        <v>19:05:05.516</v>
      </c>
      <c r="B1816" t="s">
        <v>110</v>
      </c>
      <c r="C1816" t="str">
        <f t="shared" si="84"/>
        <v>ffdfd3c0</v>
      </c>
      <c r="D1816" t="s">
        <v>111</v>
      </c>
      <c r="E1816">
        <v>18</v>
      </c>
      <c r="F1816">
        <v>1018</v>
      </c>
      <c r="G1816" t="s">
        <v>112</v>
      </c>
      <c r="J1816" t="s">
        <v>113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R1816" t="s">
        <v>114</v>
      </c>
      <c r="S1816" t="str">
        <f>"19:05:05.273"</f>
        <v>19:05:05.273</v>
      </c>
      <c r="T1816" t="str">
        <f>"19:05:04.773"</f>
        <v>19:05:04.773</v>
      </c>
      <c r="U1816" t="str">
        <f t="shared" si="85"/>
        <v>a1cdbe</v>
      </c>
      <c r="V1816">
        <v>0</v>
      </c>
      <c r="W1816">
        <v>0</v>
      </c>
      <c r="X1816">
        <v>1</v>
      </c>
      <c r="Y1816">
        <v>0</v>
      </c>
      <c r="Z1816">
        <v>0</v>
      </c>
      <c r="AB1816">
        <v>0</v>
      </c>
      <c r="AC1816">
        <v>9</v>
      </c>
      <c r="AD1816">
        <v>3</v>
      </c>
      <c r="AE1816">
        <v>0</v>
      </c>
      <c r="AF1816">
        <v>9</v>
      </c>
      <c r="AG1816" t="s">
        <v>158</v>
      </c>
      <c r="AH1816">
        <v>0</v>
      </c>
      <c r="AI1816">
        <v>3</v>
      </c>
      <c r="AJ1816">
        <v>1</v>
      </c>
      <c r="AK1816">
        <v>0</v>
      </c>
      <c r="AL1816" t="s">
        <v>1960</v>
      </c>
      <c r="AM1816">
        <v>46.846068000000002</v>
      </c>
      <c r="AN1816" t="s">
        <v>3446</v>
      </c>
      <c r="AO1816">
        <v>-122.937484</v>
      </c>
      <c r="AP1816">
        <v>100</v>
      </c>
      <c r="AQ1816">
        <v>1900</v>
      </c>
      <c r="AR1816" t="s">
        <v>118</v>
      </c>
      <c r="AS1816">
        <v>-74</v>
      </c>
      <c r="AT1816">
        <v>17</v>
      </c>
      <c r="AU1816">
        <v>0</v>
      </c>
      <c r="BC1816">
        <v>1200</v>
      </c>
      <c r="BD1816">
        <v>1</v>
      </c>
      <c r="BE1816" t="str">
        <f t="shared" si="86"/>
        <v xml:space="preserve">N215T   </v>
      </c>
      <c r="BF1816">
        <v>1</v>
      </c>
      <c r="BH1816">
        <v>0</v>
      </c>
      <c r="BI1816">
        <v>0</v>
      </c>
      <c r="BJ1816">
        <v>0</v>
      </c>
      <c r="BK1816">
        <v>2325</v>
      </c>
      <c r="BL1816">
        <v>425</v>
      </c>
      <c r="BM1816" t="s">
        <v>119</v>
      </c>
      <c r="BN1816">
        <v>1</v>
      </c>
      <c r="BO1816">
        <v>1</v>
      </c>
      <c r="BP1816">
        <v>1</v>
      </c>
      <c r="BQ1816">
        <v>0</v>
      </c>
      <c r="BT1816">
        <v>0</v>
      </c>
      <c r="BU1816">
        <v>0</v>
      </c>
      <c r="BV1816">
        <v>0</v>
      </c>
      <c r="CC1816" t="str">
        <f>"19:05:05.281"</f>
        <v>19:05:05.281</v>
      </c>
      <c r="CD1816" t="str">
        <f>"279190511"</f>
        <v>279190511</v>
      </c>
      <c r="CQ1816">
        <v>0</v>
      </c>
      <c r="CR1816">
        <v>2</v>
      </c>
      <c r="CS1816">
        <v>0</v>
      </c>
      <c r="CT1816">
        <v>2</v>
      </c>
      <c r="CU1816">
        <v>0</v>
      </c>
      <c r="CV1816">
        <v>7</v>
      </c>
      <c r="CW1816" t="s">
        <v>120</v>
      </c>
      <c r="CX1816">
        <v>261</v>
      </c>
      <c r="CY1816">
        <v>2</v>
      </c>
      <c r="CZ1816" t="s">
        <v>121</v>
      </c>
      <c r="DA1816" t="s">
        <v>122</v>
      </c>
      <c r="DD1816">
        <v>15327487</v>
      </c>
      <c r="DE1816" t="s">
        <v>123</v>
      </c>
    </row>
    <row r="1817" spans="1:109" x14ac:dyDescent="0.3">
      <c r="A1817" t="str">
        <f>"19:05:06.469"</f>
        <v>19:05:06.469</v>
      </c>
      <c r="B1817" t="s">
        <v>110</v>
      </c>
      <c r="C1817" t="str">
        <f t="shared" si="84"/>
        <v>ffdfd3c0</v>
      </c>
      <c r="D1817" t="s">
        <v>111</v>
      </c>
      <c r="E1817">
        <v>18</v>
      </c>
      <c r="F1817">
        <v>1018</v>
      </c>
      <c r="G1817" t="s">
        <v>112</v>
      </c>
      <c r="J1817" t="s">
        <v>113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R1817" t="s">
        <v>114</v>
      </c>
      <c r="S1817" t="str">
        <f>"19:05:06.234"</f>
        <v>19:05:06.234</v>
      </c>
      <c r="T1817" t="str">
        <f>"19:05:05.836"</f>
        <v>19:05:05.836</v>
      </c>
      <c r="U1817" t="str">
        <f t="shared" si="85"/>
        <v>a1cdbe</v>
      </c>
      <c r="V1817">
        <v>0</v>
      </c>
      <c r="W1817">
        <v>0</v>
      </c>
      <c r="X1817">
        <v>1</v>
      </c>
      <c r="Y1817">
        <v>0</v>
      </c>
      <c r="Z1817">
        <v>0</v>
      </c>
      <c r="AB1817">
        <v>0</v>
      </c>
      <c r="AC1817">
        <v>9</v>
      </c>
      <c r="AD1817">
        <v>3</v>
      </c>
      <c r="AE1817">
        <v>0</v>
      </c>
      <c r="AF1817">
        <v>9</v>
      </c>
      <c r="AG1817" t="s">
        <v>158</v>
      </c>
      <c r="AH1817">
        <v>0</v>
      </c>
      <c r="AI1817">
        <v>3</v>
      </c>
      <c r="AJ1817">
        <v>1</v>
      </c>
      <c r="AK1817">
        <v>0</v>
      </c>
      <c r="AL1817" t="s">
        <v>1880</v>
      </c>
      <c r="AM1817">
        <v>46.846131999999997</v>
      </c>
      <c r="AN1817" t="s">
        <v>3447</v>
      </c>
      <c r="AO1817">
        <v>-122.937977</v>
      </c>
      <c r="AP1817">
        <v>100</v>
      </c>
      <c r="AQ1817">
        <v>1900</v>
      </c>
      <c r="AR1817" t="s">
        <v>118</v>
      </c>
      <c r="AS1817">
        <v>-74</v>
      </c>
      <c r="AT1817">
        <v>17</v>
      </c>
      <c r="AU1817">
        <v>0</v>
      </c>
      <c r="BC1817">
        <v>1200</v>
      </c>
      <c r="BD1817">
        <v>1</v>
      </c>
      <c r="BE1817" t="str">
        <f t="shared" si="86"/>
        <v xml:space="preserve">N215T   </v>
      </c>
      <c r="BF1817">
        <v>1</v>
      </c>
      <c r="BH1817">
        <v>0</v>
      </c>
      <c r="BI1817">
        <v>0</v>
      </c>
      <c r="BJ1817">
        <v>0</v>
      </c>
      <c r="BK1817">
        <v>2325</v>
      </c>
      <c r="BL1817">
        <v>425</v>
      </c>
      <c r="BM1817" t="s">
        <v>119</v>
      </c>
      <c r="BN1817">
        <v>1</v>
      </c>
      <c r="BO1817">
        <v>1</v>
      </c>
      <c r="BP1817">
        <v>1</v>
      </c>
      <c r="BQ1817">
        <v>0</v>
      </c>
      <c r="BT1817">
        <v>0</v>
      </c>
      <c r="BU1817">
        <v>0</v>
      </c>
      <c r="BV1817">
        <v>0</v>
      </c>
      <c r="CC1817" t="str">
        <f>"19:05:06.242"</f>
        <v>19:05:06.242</v>
      </c>
      <c r="CD1817" t="str">
        <f>"239095956"</f>
        <v>239095956</v>
      </c>
      <c r="CQ1817">
        <v>0</v>
      </c>
      <c r="CR1817">
        <v>2</v>
      </c>
      <c r="CS1817">
        <v>0</v>
      </c>
      <c r="CT1817">
        <v>2</v>
      </c>
      <c r="CU1817">
        <v>0</v>
      </c>
      <c r="CV1817">
        <v>7</v>
      </c>
      <c r="CW1817" t="s">
        <v>120</v>
      </c>
      <c r="CX1817">
        <v>261</v>
      </c>
      <c r="CY1817">
        <v>2</v>
      </c>
      <c r="CZ1817" t="s">
        <v>121</v>
      </c>
      <c r="DA1817" t="s">
        <v>122</v>
      </c>
      <c r="DD1817">
        <v>15328126</v>
      </c>
      <c r="DE1817" t="s">
        <v>123</v>
      </c>
    </row>
    <row r="1818" spans="1:109" x14ac:dyDescent="0.3">
      <c r="A1818" t="str">
        <f>"19:05:07.328"</f>
        <v>19:05:07.328</v>
      </c>
      <c r="B1818" t="s">
        <v>110</v>
      </c>
      <c r="C1818" t="str">
        <f t="shared" si="84"/>
        <v>ffdfd3c0</v>
      </c>
      <c r="D1818" t="s">
        <v>111</v>
      </c>
      <c r="E1818">
        <v>18</v>
      </c>
      <c r="F1818">
        <v>1018</v>
      </c>
      <c r="G1818" t="s">
        <v>112</v>
      </c>
      <c r="J1818" t="s">
        <v>113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R1818" t="s">
        <v>114</v>
      </c>
      <c r="S1818" t="str">
        <f>"19:05:07.094"</f>
        <v>19:05:07.094</v>
      </c>
      <c r="T1818" t="str">
        <f>"19:05:07.094"</f>
        <v>19:05:07.094</v>
      </c>
      <c r="U1818" t="str">
        <f t="shared" si="85"/>
        <v>a1cdbe</v>
      </c>
      <c r="V1818">
        <v>0</v>
      </c>
      <c r="W1818">
        <v>0</v>
      </c>
      <c r="X1818">
        <v>1</v>
      </c>
      <c r="Y1818">
        <v>0</v>
      </c>
      <c r="Z1818">
        <v>0</v>
      </c>
      <c r="AB1818">
        <v>0</v>
      </c>
      <c r="AC1818">
        <v>9</v>
      </c>
      <c r="AD1818">
        <v>3</v>
      </c>
      <c r="AE1818">
        <v>0</v>
      </c>
      <c r="AF1818">
        <v>9</v>
      </c>
      <c r="AG1818" t="s">
        <v>158</v>
      </c>
      <c r="AH1818">
        <v>0</v>
      </c>
      <c r="AI1818">
        <v>3</v>
      </c>
      <c r="AJ1818">
        <v>1</v>
      </c>
      <c r="AK1818">
        <v>0</v>
      </c>
      <c r="AL1818" t="s">
        <v>1878</v>
      </c>
      <c r="AM1818">
        <v>46.846218</v>
      </c>
      <c r="AN1818" t="s">
        <v>3448</v>
      </c>
      <c r="AO1818">
        <v>-122.938385</v>
      </c>
      <c r="AP1818">
        <v>100</v>
      </c>
      <c r="AQ1818">
        <v>1900</v>
      </c>
      <c r="AR1818" t="s">
        <v>118</v>
      </c>
      <c r="AS1818">
        <v>-74</v>
      </c>
      <c r="AT1818">
        <v>17</v>
      </c>
      <c r="AU1818">
        <v>0</v>
      </c>
      <c r="BC1818">
        <v>1200</v>
      </c>
      <c r="BD1818">
        <v>1</v>
      </c>
      <c r="BE1818" t="str">
        <f t="shared" si="86"/>
        <v xml:space="preserve">N215T   </v>
      </c>
      <c r="BF1818">
        <v>1</v>
      </c>
      <c r="BH1818">
        <v>0</v>
      </c>
      <c r="BI1818">
        <v>0</v>
      </c>
      <c r="BJ1818">
        <v>0</v>
      </c>
      <c r="BK1818">
        <v>2325</v>
      </c>
      <c r="BL1818">
        <v>425</v>
      </c>
      <c r="BM1818" t="s">
        <v>119</v>
      </c>
      <c r="BN1818">
        <v>1</v>
      </c>
      <c r="BO1818">
        <v>1</v>
      </c>
      <c r="BP1818">
        <v>1</v>
      </c>
      <c r="BQ1818">
        <v>0</v>
      </c>
      <c r="BT1818">
        <v>0</v>
      </c>
      <c r="BU1818">
        <v>0</v>
      </c>
      <c r="BV1818">
        <v>0</v>
      </c>
      <c r="CC1818" t="str">
        <f>"19:05:07.094"</f>
        <v>19:05:07.094</v>
      </c>
      <c r="CD1818" t="str">
        <f>"094011744"</f>
        <v>094011744</v>
      </c>
      <c r="CQ1818">
        <v>0</v>
      </c>
      <c r="CR1818">
        <v>2</v>
      </c>
      <c r="CS1818">
        <v>0</v>
      </c>
      <c r="CT1818">
        <v>2</v>
      </c>
      <c r="CU1818">
        <v>0</v>
      </c>
      <c r="CV1818">
        <v>7</v>
      </c>
      <c r="CW1818" t="s">
        <v>120</v>
      </c>
      <c r="CX1818">
        <v>261</v>
      </c>
      <c r="CY1818">
        <v>2</v>
      </c>
      <c r="CZ1818" t="s">
        <v>121</v>
      </c>
      <c r="DA1818" t="s">
        <v>122</v>
      </c>
      <c r="DD1818">
        <v>15328706</v>
      </c>
      <c r="DE1818" t="s">
        <v>123</v>
      </c>
    </row>
    <row r="1819" spans="1:109" x14ac:dyDescent="0.3">
      <c r="A1819" t="str">
        <f>"19:05:08.328"</f>
        <v>19:05:08.328</v>
      </c>
      <c r="B1819" t="s">
        <v>110</v>
      </c>
      <c r="C1819" t="str">
        <f t="shared" si="84"/>
        <v>ffdfd3c0</v>
      </c>
      <c r="D1819" t="s">
        <v>111</v>
      </c>
      <c r="E1819">
        <v>18</v>
      </c>
      <c r="F1819">
        <v>1018</v>
      </c>
      <c r="G1819" t="s">
        <v>112</v>
      </c>
      <c r="J1819" t="s">
        <v>113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R1819" t="s">
        <v>114</v>
      </c>
      <c r="S1819" t="str">
        <f>"19:05:08.094"</f>
        <v>19:05:08.094</v>
      </c>
      <c r="T1819" t="str">
        <f>"19:05:07.695"</f>
        <v>19:05:07.695</v>
      </c>
      <c r="U1819" t="str">
        <f t="shared" si="85"/>
        <v>a1cdbe</v>
      </c>
      <c r="V1819">
        <v>0</v>
      </c>
      <c r="W1819">
        <v>0</v>
      </c>
      <c r="X1819">
        <v>1</v>
      </c>
      <c r="Y1819">
        <v>0</v>
      </c>
      <c r="Z1819">
        <v>0</v>
      </c>
      <c r="AB1819">
        <v>0</v>
      </c>
      <c r="AC1819">
        <v>9</v>
      </c>
      <c r="AD1819">
        <v>3</v>
      </c>
      <c r="AE1819">
        <v>0</v>
      </c>
      <c r="AF1819">
        <v>9</v>
      </c>
      <c r="AG1819" t="s">
        <v>158</v>
      </c>
      <c r="AH1819">
        <v>0</v>
      </c>
      <c r="AI1819">
        <v>3</v>
      </c>
      <c r="AJ1819">
        <v>1</v>
      </c>
      <c r="AK1819">
        <v>0</v>
      </c>
      <c r="AL1819" t="s">
        <v>3449</v>
      </c>
      <c r="AM1819">
        <v>46.846260999999998</v>
      </c>
      <c r="AN1819" t="s">
        <v>3450</v>
      </c>
      <c r="AO1819">
        <v>-122.938879</v>
      </c>
      <c r="AP1819">
        <v>100</v>
      </c>
      <c r="AQ1819">
        <v>1900</v>
      </c>
      <c r="AR1819" t="s">
        <v>118</v>
      </c>
      <c r="AS1819">
        <v>-74</v>
      </c>
      <c r="AT1819">
        <v>17</v>
      </c>
      <c r="AU1819">
        <v>0</v>
      </c>
      <c r="BC1819">
        <v>1200</v>
      </c>
      <c r="BD1819">
        <v>1</v>
      </c>
      <c r="BE1819" t="str">
        <f t="shared" si="86"/>
        <v xml:space="preserve">N215T   </v>
      </c>
      <c r="BF1819">
        <v>1</v>
      </c>
      <c r="BH1819">
        <v>0</v>
      </c>
      <c r="BI1819">
        <v>0</v>
      </c>
      <c r="BJ1819">
        <v>0</v>
      </c>
      <c r="BK1819">
        <v>2325</v>
      </c>
      <c r="BL1819">
        <v>425</v>
      </c>
      <c r="BM1819" t="s">
        <v>119</v>
      </c>
      <c r="BN1819">
        <v>1</v>
      </c>
      <c r="BO1819">
        <v>1</v>
      </c>
      <c r="BP1819">
        <v>1</v>
      </c>
      <c r="BQ1819">
        <v>0</v>
      </c>
      <c r="BT1819">
        <v>0</v>
      </c>
      <c r="BU1819">
        <v>0</v>
      </c>
      <c r="BV1819">
        <v>0</v>
      </c>
      <c r="CC1819" t="str">
        <f>"19:05:08.102"</f>
        <v>19:05:08.102</v>
      </c>
      <c r="CD1819" t="str">
        <f>"098912756"</f>
        <v>098912756</v>
      </c>
      <c r="CQ1819">
        <v>0</v>
      </c>
      <c r="CR1819">
        <v>2</v>
      </c>
      <c r="CS1819">
        <v>0</v>
      </c>
      <c r="CT1819">
        <v>2</v>
      </c>
      <c r="CU1819">
        <v>0</v>
      </c>
      <c r="CV1819">
        <v>7</v>
      </c>
      <c r="CW1819" t="s">
        <v>120</v>
      </c>
      <c r="CX1819">
        <v>261</v>
      </c>
      <c r="CY1819">
        <v>2</v>
      </c>
      <c r="CZ1819" t="s">
        <v>121</v>
      </c>
      <c r="DA1819" t="s">
        <v>122</v>
      </c>
      <c r="DD1819">
        <v>15329386</v>
      </c>
      <c r="DE1819" t="s">
        <v>123</v>
      </c>
    </row>
    <row r="1820" spans="1:109" x14ac:dyDescent="0.3">
      <c r="A1820" t="str">
        <f>"19:05:09.336"</f>
        <v>19:05:09.336</v>
      </c>
      <c r="B1820" t="s">
        <v>110</v>
      </c>
      <c r="C1820" t="str">
        <f t="shared" si="84"/>
        <v>ffdfd3c0</v>
      </c>
      <c r="D1820" t="s">
        <v>111</v>
      </c>
      <c r="E1820">
        <v>18</v>
      </c>
      <c r="F1820">
        <v>1018</v>
      </c>
      <c r="G1820" t="s">
        <v>112</v>
      </c>
      <c r="J1820" t="s">
        <v>113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R1820" t="s">
        <v>114</v>
      </c>
      <c r="S1820" t="str">
        <f>"19:05:09.102"</f>
        <v>19:05:09.102</v>
      </c>
      <c r="T1820" t="str">
        <f>"19:05:08.805"</f>
        <v>19:05:08.805</v>
      </c>
      <c r="U1820" t="str">
        <f t="shared" si="85"/>
        <v>a1cdbe</v>
      </c>
      <c r="V1820">
        <v>0</v>
      </c>
      <c r="W1820">
        <v>0</v>
      </c>
      <c r="X1820">
        <v>1</v>
      </c>
      <c r="Y1820">
        <v>0</v>
      </c>
      <c r="Z1820">
        <v>0</v>
      </c>
      <c r="AB1820">
        <v>0</v>
      </c>
      <c r="AC1820">
        <v>9</v>
      </c>
      <c r="AD1820">
        <v>3</v>
      </c>
      <c r="AE1820">
        <v>0</v>
      </c>
      <c r="AF1820">
        <v>9</v>
      </c>
      <c r="AG1820" t="s">
        <v>158</v>
      </c>
      <c r="AH1820">
        <v>0</v>
      </c>
      <c r="AI1820">
        <v>3</v>
      </c>
      <c r="AJ1820">
        <v>1</v>
      </c>
      <c r="AK1820">
        <v>0</v>
      </c>
      <c r="AL1820" t="s">
        <v>1967</v>
      </c>
      <c r="AM1820">
        <v>46.846347000000002</v>
      </c>
      <c r="AN1820" t="s">
        <v>3451</v>
      </c>
      <c r="AO1820">
        <v>-122.939415</v>
      </c>
      <c r="AP1820">
        <v>100</v>
      </c>
      <c r="AQ1820">
        <v>1900</v>
      </c>
      <c r="AR1820" t="s">
        <v>118</v>
      </c>
      <c r="AS1820">
        <v>-74</v>
      </c>
      <c r="AT1820">
        <v>17</v>
      </c>
      <c r="AU1820">
        <v>-64</v>
      </c>
      <c r="BC1820">
        <v>1200</v>
      </c>
      <c r="BD1820">
        <v>1</v>
      </c>
      <c r="BE1820" t="str">
        <f t="shared" si="86"/>
        <v xml:space="preserve">N215T   </v>
      </c>
      <c r="BF1820">
        <v>1</v>
      </c>
      <c r="BH1820">
        <v>0</v>
      </c>
      <c r="BI1820">
        <v>0</v>
      </c>
      <c r="BJ1820">
        <v>0</v>
      </c>
      <c r="BK1820">
        <v>2325</v>
      </c>
      <c r="BL1820">
        <v>425</v>
      </c>
      <c r="BM1820" t="s">
        <v>119</v>
      </c>
      <c r="BN1820">
        <v>1</v>
      </c>
      <c r="BO1820">
        <v>1</v>
      </c>
      <c r="BP1820">
        <v>1</v>
      </c>
      <c r="BQ1820">
        <v>0</v>
      </c>
      <c r="BT1820">
        <v>0</v>
      </c>
      <c r="BU1820">
        <v>0</v>
      </c>
      <c r="BV1820">
        <v>0</v>
      </c>
      <c r="CC1820" t="str">
        <f>"19:05:09.102"</f>
        <v>19:05:09.102</v>
      </c>
      <c r="CD1820" t="str">
        <f>"103813770"</f>
        <v>103813770</v>
      </c>
      <c r="CQ1820">
        <v>0</v>
      </c>
      <c r="CR1820">
        <v>2</v>
      </c>
      <c r="CS1820">
        <v>0</v>
      </c>
      <c r="CT1820">
        <v>2</v>
      </c>
      <c r="CU1820">
        <v>0</v>
      </c>
      <c r="CV1820">
        <v>7</v>
      </c>
      <c r="CW1820" t="s">
        <v>120</v>
      </c>
      <c r="CX1820">
        <v>261</v>
      </c>
      <c r="CY1820">
        <v>2</v>
      </c>
      <c r="CZ1820" t="s">
        <v>121</v>
      </c>
      <c r="DA1820" t="s">
        <v>122</v>
      </c>
      <c r="DD1820">
        <v>15330051</v>
      </c>
      <c r="DE1820" t="s">
        <v>123</v>
      </c>
    </row>
    <row r="1821" spans="1:109" x14ac:dyDescent="0.3">
      <c r="A1821" t="str">
        <f>"19:05:10.242"</f>
        <v>19:05:10.242</v>
      </c>
      <c r="B1821" t="s">
        <v>110</v>
      </c>
      <c r="C1821" t="str">
        <f t="shared" si="84"/>
        <v>ffdfd3c0</v>
      </c>
      <c r="D1821" t="s">
        <v>111</v>
      </c>
      <c r="E1821">
        <v>18</v>
      </c>
      <c r="F1821">
        <v>1018</v>
      </c>
      <c r="G1821" t="s">
        <v>112</v>
      </c>
      <c r="J1821" t="s">
        <v>113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R1821" t="s">
        <v>114</v>
      </c>
      <c r="S1821" t="str">
        <f>"19:05:10.000"</f>
        <v>19:05:10.000</v>
      </c>
      <c r="T1821" t="str">
        <f>"19:05:09.703"</f>
        <v>19:05:09.703</v>
      </c>
      <c r="U1821" t="str">
        <f t="shared" si="85"/>
        <v>a1cdbe</v>
      </c>
      <c r="V1821">
        <v>0</v>
      </c>
      <c r="W1821">
        <v>0</v>
      </c>
      <c r="X1821">
        <v>1</v>
      </c>
      <c r="Y1821">
        <v>0</v>
      </c>
      <c r="Z1821">
        <v>0</v>
      </c>
      <c r="AB1821">
        <v>0</v>
      </c>
      <c r="AC1821">
        <v>9</v>
      </c>
      <c r="AD1821">
        <v>3</v>
      </c>
      <c r="AE1821">
        <v>0</v>
      </c>
      <c r="AF1821">
        <v>9</v>
      </c>
      <c r="AG1821" t="s">
        <v>158</v>
      </c>
      <c r="AH1821">
        <v>0</v>
      </c>
      <c r="AI1821">
        <v>3</v>
      </c>
      <c r="AJ1821">
        <v>1</v>
      </c>
      <c r="AK1821">
        <v>0</v>
      </c>
      <c r="AL1821" t="s">
        <v>1969</v>
      </c>
      <c r="AM1821">
        <v>46.846432999999998</v>
      </c>
      <c r="AN1821" t="s">
        <v>3452</v>
      </c>
      <c r="AO1821">
        <v>-122.939887</v>
      </c>
      <c r="AP1821">
        <v>100</v>
      </c>
      <c r="AQ1821">
        <v>1900</v>
      </c>
      <c r="AR1821" t="s">
        <v>118</v>
      </c>
      <c r="AS1821">
        <v>-74</v>
      </c>
      <c r="AT1821">
        <v>18</v>
      </c>
      <c r="AU1821">
        <v>0</v>
      </c>
      <c r="BC1821">
        <v>1200</v>
      </c>
      <c r="BD1821">
        <v>1</v>
      </c>
      <c r="BE1821" t="str">
        <f t="shared" si="86"/>
        <v xml:space="preserve">N215T   </v>
      </c>
      <c r="BF1821">
        <v>1</v>
      </c>
      <c r="BH1821">
        <v>0</v>
      </c>
      <c r="BI1821">
        <v>0</v>
      </c>
      <c r="BJ1821">
        <v>0</v>
      </c>
      <c r="BK1821">
        <v>2325</v>
      </c>
      <c r="BL1821">
        <v>425</v>
      </c>
      <c r="BM1821" t="s">
        <v>119</v>
      </c>
      <c r="BN1821">
        <v>1</v>
      </c>
      <c r="BO1821">
        <v>1</v>
      </c>
      <c r="BP1821">
        <v>1</v>
      </c>
      <c r="BQ1821">
        <v>0</v>
      </c>
      <c r="BT1821">
        <v>0</v>
      </c>
      <c r="BU1821">
        <v>0</v>
      </c>
      <c r="BV1821">
        <v>0</v>
      </c>
      <c r="CC1821" t="str">
        <f>"19:05:10.000"</f>
        <v>19:05:10.000</v>
      </c>
      <c r="CD1821" t="str">
        <f>"003725127"</f>
        <v>003725127</v>
      </c>
      <c r="CQ1821">
        <v>0</v>
      </c>
      <c r="CR1821">
        <v>2</v>
      </c>
      <c r="CS1821">
        <v>0</v>
      </c>
      <c r="CT1821">
        <v>2</v>
      </c>
      <c r="CU1821">
        <v>0</v>
      </c>
      <c r="CV1821">
        <v>7</v>
      </c>
      <c r="CW1821" t="s">
        <v>120</v>
      </c>
      <c r="CX1821">
        <v>261</v>
      </c>
      <c r="CY1821">
        <v>2</v>
      </c>
      <c r="CZ1821" t="s">
        <v>121</v>
      </c>
      <c r="DA1821" t="s">
        <v>122</v>
      </c>
      <c r="DD1821">
        <v>15330610</v>
      </c>
      <c r="DE1821" t="s">
        <v>123</v>
      </c>
    </row>
    <row r="1822" spans="1:109" x14ac:dyDescent="0.3">
      <c r="A1822" t="str">
        <f>"19:05:11.250"</f>
        <v>19:05:11.250</v>
      </c>
      <c r="B1822" t="s">
        <v>110</v>
      </c>
      <c r="C1822" t="str">
        <f t="shared" si="84"/>
        <v>ffdfd3c0</v>
      </c>
      <c r="D1822" t="s">
        <v>111</v>
      </c>
      <c r="E1822">
        <v>18</v>
      </c>
      <c r="F1822">
        <v>1018</v>
      </c>
      <c r="G1822" t="s">
        <v>112</v>
      </c>
      <c r="J1822" t="s">
        <v>113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R1822" t="s">
        <v>114</v>
      </c>
      <c r="S1822" t="str">
        <f>"19:05:11.047"</f>
        <v>19:05:11.047</v>
      </c>
      <c r="T1822" t="str">
        <f>"19:05:10.750"</f>
        <v>19:05:10.750</v>
      </c>
      <c r="U1822" t="str">
        <f t="shared" si="85"/>
        <v>a1cdbe</v>
      </c>
      <c r="V1822">
        <v>0</v>
      </c>
      <c r="W1822">
        <v>0</v>
      </c>
      <c r="X1822">
        <v>1</v>
      </c>
      <c r="Y1822">
        <v>0</v>
      </c>
      <c r="Z1822">
        <v>0</v>
      </c>
      <c r="AB1822">
        <v>0</v>
      </c>
      <c r="AC1822">
        <v>9</v>
      </c>
      <c r="AD1822">
        <v>3</v>
      </c>
      <c r="AE1822">
        <v>0</v>
      </c>
      <c r="AF1822">
        <v>9</v>
      </c>
      <c r="AG1822" t="s">
        <v>158</v>
      </c>
      <c r="AH1822">
        <v>0</v>
      </c>
      <c r="AI1822">
        <v>3</v>
      </c>
      <c r="AJ1822">
        <v>1</v>
      </c>
      <c r="AK1822">
        <v>0</v>
      </c>
      <c r="AL1822" t="s">
        <v>3453</v>
      </c>
      <c r="AM1822">
        <v>46.846539999999997</v>
      </c>
      <c r="AN1822" t="s">
        <v>3454</v>
      </c>
      <c r="AO1822">
        <v>-122.940381</v>
      </c>
      <c r="AP1822">
        <v>100</v>
      </c>
      <c r="AQ1822">
        <v>1900</v>
      </c>
      <c r="AR1822" t="s">
        <v>118</v>
      </c>
      <c r="AS1822">
        <v>-74</v>
      </c>
      <c r="AT1822">
        <v>18</v>
      </c>
      <c r="AU1822">
        <v>-64</v>
      </c>
      <c r="BC1822">
        <v>1200</v>
      </c>
      <c r="BD1822">
        <v>1</v>
      </c>
      <c r="BE1822" t="str">
        <f t="shared" si="86"/>
        <v xml:space="preserve">N215T   </v>
      </c>
      <c r="BF1822">
        <v>1</v>
      </c>
      <c r="BH1822">
        <v>0</v>
      </c>
      <c r="BI1822">
        <v>0</v>
      </c>
      <c r="BJ1822">
        <v>0</v>
      </c>
      <c r="BK1822">
        <v>2325</v>
      </c>
      <c r="BL1822">
        <v>425</v>
      </c>
      <c r="BM1822" t="s">
        <v>119</v>
      </c>
      <c r="BN1822">
        <v>1</v>
      </c>
      <c r="BO1822">
        <v>1</v>
      </c>
      <c r="BP1822">
        <v>1</v>
      </c>
      <c r="BQ1822">
        <v>0</v>
      </c>
      <c r="BT1822">
        <v>0</v>
      </c>
      <c r="BU1822">
        <v>0</v>
      </c>
      <c r="BV1822">
        <v>0</v>
      </c>
      <c r="CC1822" t="str">
        <f>"19:05:11.055"</f>
        <v>19:05:11.055</v>
      </c>
      <c r="CD1822" t="str">
        <f>"053621703"</f>
        <v>053621703</v>
      </c>
      <c r="CQ1822">
        <v>0</v>
      </c>
      <c r="CR1822">
        <v>2</v>
      </c>
      <c r="CS1822">
        <v>0</v>
      </c>
      <c r="CT1822">
        <v>2</v>
      </c>
      <c r="CU1822">
        <v>0</v>
      </c>
      <c r="CV1822">
        <v>7</v>
      </c>
      <c r="CW1822" t="s">
        <v>120</v>
      </c>
      <c r="CX1822">
        <v>261</v>
      </c>
      <c r="CY1822">
        <v>2</v>
      </c>
      <c r="CZ1822" t="s">
        <v>121</v>
      </c>
      <c r="DA1822" t="s">
        <v>122</v>
      </c>
      <c r="DD1822">
        <v>15331295</v>
      </c>
      <c r="DE1822" t="s">
        <v>123</v>
      </c>
    </row>
    <row r="1823" spans="1:109" x14ac:dyDescent="0.3">
      <c r="A1823" t="str">
        <f>"19:05:12.406"</f>
        <v>19:05:12.406</v>
      </c>
      <c r="B1823" t="s">
        <v>110</v>
      </c>
      <c r="C1823" t="str">
        <f t="shared" si="84"/>
        <v>ffdfd3c0</v>
      </c>
      <c r="D1823" t="s">
        <v>111</v>
      </c>
      <c r="E1823">
        <v>18</v>
      </c>
      <c r="F1823">
        <v>1018</v>
      </c>
      <c r="G1823" t="s">
        <v>112</v>
      </c>
      <c r="J1823" t="s">
        <v>113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R1823" t="s">
        <v>114</v>
      </c>
      <c r="S1823" t="str">
        <f>"19:05:12.148"</f>
        <v>19:05:12.148</v>
      </c>
      <c r="T1823" t="str">
        <f>"19:05:11.750"</f>
        <v>19:05:11.750</v>
      </c>
      <c r="U1823" t="str">
        <f t="shared" si="85"/>
        <v>a1cdbe</v>
      </c>
      <c r="V1823">
        <v>0</v>
      </c>
      <c r="W1823">
        <v>0</v>
      </c>
      <c r="X1823">
        <v>1</v>
      </c>
      <c r="Y1823">
        <v>0</v>
      </c>
      <c r="Z1823">
        <v>0</v>
      </c>
      <c r="AB1823">
        <v>0</v>
      </c>
      <c r="AC1823">
        <v>9</v>
      </c>
      <c r="AD1823">
        <v>3</v>
      </c>
      <c r="AE1823">
        <v>0</v>
      </c>
      <c r="AF1823">
        <v>9</v>
      </c>
      <c r="AG1823" t="s">
        <v>158</v>
      </c>
      <c r="AH1823">
        <v>0</v>
      </c>
      <c r="AI1823">
        <v>3</v>
      </c>
      <c r="AJ1823">
        <v>1</v>
      </c>
      <c r="AK1823">
        <v>0</v>
      </c>
      <c r="AL1823" t="s">
        <v>1973</v>
      </c>
      <c r="AM1823">
        <v>46.846626000000001</v>
      </c>
      <c r="AN1823" t="s">
        <v>3455</v>
      </c>
      <c r="AO1823">
        <v>-122.940917</v>
      </c>
      <c r="AP1823">
        <v>100</v>
      </c>
      <c r="AQ1823">
        <v>1900</v>
      </c>
      <c r="AR1823" t="s">
        <v>118</v>
      </c>
      <c r="AS1823">
        <v>-74</v>
      </c>
      <c r="AT1823">
        <v>18</v>
      </c>
      <c r="AU1823">
        <v>0</v>
      </c>
      <c r="BC1823">
        <v>1200</v>
      </c>
      <c r="BD1823">
        <v>1</v>
      </c>
      <c r="BE1823" t="str">
        <f t="shared" si="86"/>
        <v xml:space="preserve">N215T   </v>
      </c>
      <c r="BF1823">
        <v>1</v>
      </c>
      <c r="BH1823">
        <v>0</v>
      </c>
      <c r="BI1823">
        <v>0</v>
      </c>
      <c r="BJ1823">
        <v>0</v>
      </c>
      <c r="BK1823">
        <v>2325</v>
      </c>
      <c r="BL1823">
        <v>425</v>
      </c>
      <c r="BM1823" t="s">
        <v>119</v>
      </c>
      <c r="BN1823">
        <v>1</v>
      </c>
      <c r="BO1823">
        <v>1</v>
      </c>
      <c r="BP1823">
        <v>1</v>
      </c>
      <c r="BQ1823">
        <v>0</v>
      </c>
      <c r="BT1823">
        <v>0</v>
      </c>
      <c r="BU1823">
        <v>0</v>
      </c>
      <c r="BV1823">
        <v>0</v>
      </c>
      <c r="CC1823" t="str">
        <f>"19:05:12.148"</f>
        <v>19:05:12.148</v>
      </c>
      <c r="CD1823" t="str">
        <f>"148513847"</f>
        <v>148513847</v>
      </c>
      <c r="CQ1823">
        <v>0</v>
      </c>
      <c r="CR1823">
        <v>2</v>
      </c>
      <c r="CS1823">
        <v>0</v>
      </c>
      <c r="CT1823">
        <v>2</v>
      </c>
      <c r="CU1823">
        <v>0</v>
      </c>
      <c r="CV1823">
        <v>7</v>
      </c>
      <c r="CW1823" t="s">
        <v>120</v>
      </c>
      <c r="CX1823">
        <v>261</v>
      </c>
      <c r="CY1823">
        <v>2</v>
      </c>
      <c r="CZ1823" t="s">
        <v>121</v>
      </c>
      <c r="DA1823" t="s">
        <v>122</v>
      </c>
      <c r="DD1823">
        <v>15332057</v>
      </c>
      <c r="DE1823" t="s">
        <v>123</v>
      </c>
    </row>
    <row r="1824" spans="1:109" x14ac:dyDescent="0.3">
      <c r="A1824" t="str">
        <f>"19:05:13.516"</f>
        <v>19:05:13.516</v>
      </c>
      <c r="B1824" t="s">
        <v>110</v>
      </c>
      <c r="C1824" t="str">
        <f t="shared" si="84"/>
        <v>ffdfd3c0</v>
      </c>
      <c r="D1824" t="s">
        <v>111</v>
      </c>
      <c r="E1824">
        <v>18</v>
      </c>
      <c r="F1824">
        <v>1018</v>
      </c>
      <c r="G1824" t="s">
        <v>112</v>
      </c>
      <c r="J1824" t="s">
        <v>113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R1824" t="s">
        <v>114</v>
      </c>
      <c r="S1824" t="str">
        <f>"19:05:13.266"</f>
        <v>19:05:13.266</v>
      </c>
      <c r="T1824" t="str">
        <f>"19:05:12.867"</f>
        <v>19:05:12.867</v>
      </c>
      <c r="U1824" t="str">
        <f t="shared" si="85"/>
        <v>a1cdbe</v>
      </c>
      <c r="V1824">
        <v>0</v>
      </c>
      <c r="W1824">
        <v>0</v>
      </c>
      <c r="X1824">
        <v>1</v>
      </c>
      <c r="Y1824">
        <v>0</v>
      </c>
      <c r="Z1824">
        <v>0</v>
      </c>
      <c r="AB1824">
        <v>0</v>
      </c>
      <c r="AC1824">
        <v>9</v>
      </c>
      <c r="AD1824">
        <v>3</v>
      </c>
      <c r="AE1824">
        <v>0</v>
      </c>
      <c r="AF1824">
        <v>9</v>
      </c>
      <c r="AG1824" t="s">
        <v>158</v>
      </c>
      <c r="AH1824">
        <v>0</v>
      </c>
      <c r="AI1824">
        <v>3</v>
      </c>
      <c r="AJ1824">
        <v>1</v>
      </c>
      <c r="AK1824">
        <v>0</v>
      </c>
      <c r="AL1824" t="s">
        <v>1975</v>
      </c>
      <c r="AM1824">
        <v>46.846711999999997</v>
      </c>
      <c r="AN1824" t="s">
        <v>3456</v>
      </c>
      <c r="AO1824">
        <v>-122.941496</v>
      </c>
      <c r="AP1824">
        <v>100</v>
      </c>
      <c r="AQ1824">
        <v>1900</v>
      </c>
      <c r="AR1824" t="s">
        <v>118</v>
      </c>
      <c r="AS1824">
        <v>-74</v>
      </c>
      <c r="AT1824">
        <v>18</v>
      </c>
      <c r="AU1824">
        <v>0</v>
      </c>
      <c r="BC1824">
        <v>1200</v>
      </c>
      <c r="BD1824">
        <v>1</v>
      </c>
      <c r="BE1824" t="str">
        <f t="shared" si="86"/>
        <v xml:space="preserve">N215T   </v>
      </c>
      <c r="BF1824">
        <v>1</v>
      </c>
      <c r="BH1824">
        <v>0</v>
      </c>
      <c r="BI1824">
        <v>0</v>
      </c>
      <c r="BJ1824">
        <v>0</v>
      </c>
      <c r="BK1824">
        <v>2325</v>
      </c>
      <c r="BL1824">
        <v>425</v>
      </c>
      <c r="BM1824" t="s">
        <v>119</v>
      </c>
      <c r="BN1824">
        <v>1</v>
      </c>
      <c r="BO1824">
        <v>1</v>
      </c>
      <c r="BP1824">
        <v>1</v>
      </c>
      <c r="BQ1824">
        <v>0</v>
      </c>
      <c r="BT1824">
        <v>0</v>
      </c>
      <c r="BU1824">
        <v>0</v>
      </c>
      <c r="BV1824">
        <v>0</v>
      </c>
      <c r="CC1824" t="str">
        <f>"19:05:13.273"</f>
        <v>19:05:13.273</v>
      </c>
      <c r="CD1824" t="str">
        <f>"273403024"</f>
        <v>273403024</v>
      </c>
      <c r="CQ1824">
        <v>0</v>
      </c>
      <c r="CR1824">
        <v>2</v>
      </c>
      <c r="CS1824">
        <v>0</v>
      </c>
      <c r="CT1824">
        <v>2</v>
      </c>
      <c r="CU1824">
        <v>0</v>
      </c>
      <c r="CV1824">
        <v>7</v>
      </c>
      <c r="CW1824" t="s">
        <v>120</v>
      </c>
      <c r="CX1824">
        <v>261</v>
      </c>
      <c r="CY1824">
        <v>2</v>
      </c>
      <c r="CZ1824" t="s">
        <v>121</v>
      </c>
      <c r="DA1824" t="s">
        <v>122</v>
      </c>
      <c r="DD1824">
        <v>15332744</v>
      </c>
      <c r="DE1824" t="s">
        <v>123</v>
      </c>
    </row>
    <row r="1825" spans="1:109" x14ac:dyDescent="0.3">
      <c r="A1825" t="str">
        <f>"19:05:14.516"</f>
        <v>19:05:14.516</v>
      </c>
      <c r="B1825" t="s">
        <v>110</v>
      </c>
      <c r="C1825" t="str">
        <f t="shared" si="84"/>
        <v>ffdfd3c0</v>
      </c>
      <c r="D1825" t="s">
        <v>111</v>
      </c>
      <c r="E1825">
        <v>18</v>
      </c>
      <c r="F1825">
        <v>1018</v>
      </c>
      <c r="G1825" t="s">
        <v>112</v>
      </c>
      <c r="J1825" t="s">
        <v>113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R1825" t="s">
        <v>114</v>
      </c>
      <c r="S1825" t="str">
        <f>"19:05:14.273"</f>
        <v>19:05:14.273</v>
      </c>
      <c r="T1825" t="str">
        <f>"19:05:13.875"</f>
        <v>19:05:13.875</v>
      </c>
      <c r="U1825" t="str">
        <f t="shared" si="85"/>
        <v>a1cdbe</v>
      </c>
      <c r="V1825">
        <v>0</v>
      </c>
      <c r="W1825">
        <v>0</v>
      </c>
      <c r="X1825">
        <v>1</v>
      </c>
      <c r="Y1825">
        <v>0</v>
      </c>
      <c r="Z1825">
        <v>0</v>
      </c>
      <c r="AB1825">
        <v>0</v>
      </c>
      <c r="AC1825">
        <v>9</v>
      </c>
      <c r="AD1825">
        <v>3</v>
      </c>
      <c r="AE1825">
        <v>0</v>
      </c>
      <c r="AF1825">
        <v>9</v>
      </c>
      <c r="AG1825" t="s">
        <v>158</v>
      </c>
      <c r="AH1825">
        <v>0</v>
      </c>
      <c r="AI1825">
        <v>3</v>
      </c>
      <c r="AJ1825">
        <v>1</v>
      </c>
      <c r="AK1825">
        <v>0</v>
      </c>
      <c r="AL1825" t="s">
        <v>2091</v>
      </c>
      <c r="AM1825">
        <v>46.846819000000004</v>
      </c>
      <c r="AN1825" t="s">
        <v>3457</v>
      </c>
      <c r="AO1825">
        <v>-122.941947</v>
      </c>
      <c r="AP1825">
        <v>100</v>
      </c>
      <c r="AQ1825">
        <v>1900</v>
      </c>
      <c r="AR1825" t="s">
        <v>118</v>
      </c>
      <c r="AS1825">
        <v>-73</v>
      </c>
      <c r="AT1825">
        <v>18</v>
      </c>
      <c r="AU1825">
        <v>0</v>
      </c>
      <c r="BC1825">
        <v>1200</v>
      </c>
      <c r="BD1825">
        <v>1</v>
      </c>
      <c r="BE1825" t="str">
        <f t="shared" si="86"/>
        <v xml:space="preserve">N215T   </v>
      </c>
      <c r="BF1825">
        <v>1</v>
      </c>
      <c r="BH1825">
        <v>0</v>
      </c>
      <c r="BI1825">
        <v>0</v>
      </c>
      <c r="BJ1825">
        <v>0</v>
      </c>
      <c r="BK1825">
        <v>2325</v>
      </c>
      <c r="BL1825">
        <v>425</v>
      </c>
      <c r="BM1825" t="s">
        <v>119</v>
      </c>
      <c r="BN1825">
        <v>1</v>
      </c>
      <c r="BO1825">
        <v>1</v>
      </c>
      <c r="BP1825">
        <v>1</v>
      </c>
      <c r="BQ1825">
        <v>0</v>
      </c>
      <c r="BT1825">
        <v>0</v>
      </c>
      <c r="BU1825">
        <v>0</v>
      </c>
      <c r="BV1825">
        <v>0</v>
      </c>
      <c r="CC1825" t="str">
        <f>"19:05:14.281"</f>
        <v>19:05:14.281</v>
      </c>
      <c r="CD1825" t="str">
        <f>"278304030"</f>
        <v>278304030</v>
      </c>
      <c r="CQ1825">
        <v>0</v>
      </c>
      <c r="CR1825">
        <v>2</v>
      </c>
      <c r="CS1825">
        <v>0</v>
      </c>
      <c r="CT1825">
        <v>2</v>
      </c>
      <c r="CU1825">
        <v>0</v>
      </c>
      <c r="CV1825">
        <v>7</v>
      </c>
      <c r="CW1825" t="s">
        <v>120</v>
      </c>
      <c r="CX1825">
        <v>261</v>
      </c>
      <c r="CY1825">
        <v>2</v>
      </c>
      <c r="CZ1825" t="s">
        <v>121</v>
      </c>
      <c r="DA1825" t="s">
        <v>122</v>
      </c>
      <c r="DD1825">
        <v>15333409</v>
      </c>
      <c r="DE1825" t="s">
        <v>123</v>
      </c>
    </row>
    <row r="1826" spans="1:109" x14ac:dyDescent="0.3">
      <c r="A1826" t="str">
        <f>"19:05:15.469"</f>
        <v>19:05:15.469</v>
      </c>
      <c r="B1826" t="s">
        <v>110</v>
      </c>
      <c r="C1826" t="str">
        <f t="shared" si="84"/>
        <v>ffdfd3c0</v>
      </c>
      <c r="D1826" t="s">
        <v>111</v>
      </c>
      <c r="E1826">
        <v>18</v>
      </c>
      <c r="F1826">
        <v>1018</v>
      </c>
      <c r="G1826" t="s">
        <v>112</v>
      </c>
      <c r="J1826" t="s">
        <v>113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R1826" t="s">
        <v>114</v>
      </c>
      <c r="S1826" t="str">
        <f>"19:05:15.266"</f>
        <v>19:05:15.266</v>
      </c>
      <c r="T1826" t="str">
        <f>"19:05:14.867"</f>
        <v>19:05:14.867</v>
      </c>
      <c r="U1826" t="str">
        <f t="shared" si="85"/>
        <v>a1cdbe</v>
      </c>
      <c r="V1826">
        <v>0</v>
      </c>
      <c r="W1826">
        <v>0</v>
      </c>
      <c r="X1826">
        <v>1</v>
      </c>
      <c r="Y1826">
        <v>0</v>
      </c>
      <c r="Z1826">
        <v>0</v>
      </c>
      <c r="AB1826">
        <v>0</v>
      </c>
      <c r="AC1826">
        <v>9</v>
      </c>
      <c r="AD1826">
        <v>3</v>
      </c>
      <c r="AE1826">
        <v>0</v>
      </c>
      <c r="AF1826">
        <v>9</v>
      </c>
      <c r="AG1826" t="s">
        <v>158</v>
      </c>
      <c r="AH1826">
        <v>0</v>
      </c>
      <c r="AI1826">
        <v>3</v>
      </c>
      <c r="AJ1826">
        <v>1</v>
      </c>
      <c r="AK1826">
        <v>0</v>
      </c>
      <c r="AL1826" t="s">
        <v>2081</v>
      </c>
      <c r="AM1826">
        <v>46.846882999999998</v>
      </c>
      <c r="AN1826" t="s">
        <v>3458</v>
      </c>
      <c r="AO1826">
        <v>-122.942441</v>
      </c>
      <c r="AP1826">
        <v>100</v>
      </c>
      <c r="AQ1826">
        <v>1900</v>
      </c>
      <c r="AR1826" t="s">
        <v>118</v>
      </c>
      <c r="AS1826">
        <v>-73</v>
      </c>
      <c r="AT1826">
        <v>18</v>
      </c>
      <c r="AU1826">
        <v>64</v>
      </c>
      <c r="BC1826">
        <v>1200</v>
      </c>
      <c r="BD1826">
        <v>1</v>
      </c>
      <c r="BE1826" t="str">
        <f t="shared" si="86"/>
        <v xml:space="preserve">N215T   </v>
      </c>
      <c r="BF1826">
        <v>1</v>
      </c>
      <c r="BH1826">
        <v>0</v>
      </c>
      <c r="BI1826">
        <v>0</v>
      </c>
      <c r="BJ1826">
        <v>0</v>
      </c>
      <c r="BK1826">
        <v>2325</v>
      </c>
      <c r="BL1826">
        <v>425</v>
      </c>
      <c r="BM1826" t="s">
        <v>119</v>
      </c>
      <c r="BN1826">
        <v>1</v>
      </c>
      <c r="BO1826">
        <v>1</v>
      </c>
      <c r="BP1826">
        <v>1</v>
      </c>
      <c r="BQ1826">
        <v>0</v>
      </c>
      <c r="BT1826">
        <v>0</v>
      </c>
      <c r="BU1826">
        <v>0</v>
      </c>
      <c r="BV1826">
        <v>0</v>
      </c>
      <c r="CC1826" t="str">
        <f>"19:05:15.266"</f>
        <v>19:05:15.266</v>
      </c>
      <c r="CD1826" t="str">
        <f>"268206533"</f>
        <v>268206533</v>
      </c>
      <c r="CQ1826">
        <v>0</v>
      </c>
      <c r="CR1826">
        <v>2</v>
      </c>
      <c r="CS1826">
        <v>0</v>
      </c>
      <c r="CT1826">
        <v>2</v>
      </c>
      <c r="CU1826">
        <v>0</v>
      </c>
      <c r="CV1826">
        <v>7</v>
      </c>
      <c r="CW1826" t="s">
        <v>120</v>
      </c>
      <c r="CX1826">
        <v>261</v>
      </c>
      <c r="CY1826">
        <v>2</v>
      </c>
      <c r="CZ1826" t="s">
        <v>121</v>
      </c>
      <c r="DA1826" t="s">
        <v>122</v>
      </c>
      <c r="DD1826">
        <v>15334083</v>
      </c>
      <c r="DE1826" t="s">
        <v>123</v>
      </c>
    </row>
    <row r="1827" spans="1:109" x14ac:dyDescent="0.3">
      <c r="A1827" t="str">
        <f>"19:05:16.531"</f>
        <v>19:05:16.531</v>
      </c>
      <c r="B1827" t="s">
        <v>110</v>
      </c>
      <c r="C1827" t="str">
        <f t="shared" si="84"/>
        <v>ffdfd3c0</v>
      </c>
      <c r="D1827" t="s">
        <v>111</v>
      </c>
      <c r="E1827">
        <v>18</v>
      </c>
      <c r="F1827">
        <v>1018</v>
      </c>
      <c r="G1827" t="s">
        <v>112</v>
      </c>
      <c r="J1827" t="s">
        <v>113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R1827" t="s">
        <v>114</v>
      </c>
      <c r="S1827" t="str">
        <f>"19:05:16.313"</f>
        <v>19:05:16.313</v>
      </c>
      <c r="T1827" t="str">
        <f>"19:05:16.211"</f>
        <v>19:05:16.211</v>
      </c>
      <c r="U1827" t="str">
        <f t="shared" si="85"/>
        <v>a1cdbe</v>
      </c>
      <c r="V1827">
        <v>0</v>
      </c>
      <c r="W1827">
        <v>0</v>
      </c>
      <c r="X1827">
        <v>1</v>
      </c>
      <c r="Y1827">
        <v>0</v>
      </c>
      <c r="Z1827">
        <v>0</v>
      </c>
      <c r="AB1827">
        <v>0</v>
      </c>
      <c r="AC1827">
        <v>9</v>
      </c>
      <c r="AD1827">
        <v>3</v>
      </c>
      <c r="AE1827">
        <v>0</v>
      </c>
      <c r="AF1827">
        <v>9</v>
      </c>
      <c r="AG1827" t="s">
        <v>158</v>
      </c>
      <c r="AH1827">
        <v>0</v>
      </c>
      <c r="AI1827">
        <v>3</v>
      </c>
      <c r="AJ1827">
        <v>1</v>
      </c>
      <c r="AK1827">
        <v>0</v>
      </c>
      <c r="AL1827" t="s">
        <v>1983</v>
      </c>
      <c r="AM1827">
        <v>46.846969000000001</v>
      </c>
      <c r="AN1827" t="s">
        <v>3459</v>
      </c>
      <c r="AO1827">
        <v>-122.942977</v>
      </c>
      <c r="AP1827">
        <v>100</v>
      </c>
      <c r="AQ1827">
        <v>1900</v>
      </c>
      <c r="AR1827" t="s">
        <v>118</v>
      </c>
      <c r="AS1827">
        <v>-73</v>
      </c>
      <c r="AT1827">
        <v>18</v>
      </c>
      <c r="AU1827">
        <v>64</v>
      </c>
      <c r="BC1827">
        <v>1200</v>
      </c>
      <c r="BD1827">
        <v>1</v>
      </c>
      <c r="BE1827" t="str">
        <f t="shared" si="86"/>
        <v xml:space="preserve">N215T   </v>
      </c>
      <c r="BF1827">
        <v>1</v>
      </c>
      <c r="BH1827">
        <v>0</v>
      </c>
      <c r="BI1827">
        <v>0</v>
      </c>
      <c r="BJ1827">
        <v>0</v>
      </c>
      <c r="BK1827">
        <v>2325</v>
      </c>
      <c r="BL1827">
        <v>425</v>
      </c>
      <c r="BM1827" t="s">
        <v>119</v>
      </c>
      <c r="BN1827">
        <v>1</v>
      </c>
      <c r="BO1827">
        <v>1</v>
      </c>
      <c r="BP1827">
        <v>1</v>
      </c>
      <c r="BQ1827">
        <v>0</v>
      </c>
      <c r="BT1827">
        <v>0</v>
      </c>
      <c r="BU1827">
        <v>0</v>
      </c>
      <c r="BV1827">
        <v>0</v>
      </c>
      <c r="CC1827" t="str">
        <f>"19:05:16.320"</f>
        <v>19:05:16.320</v>
      </c>
      <c r="CD1827" t="str">
        <f>"318103110"</f>
        <v>318103110</v>
      </c>
      <c r="CQ1827">
        <v>0</v>
      </c>
      <c r="CR1827">
        <v>2</v>
      </c>
      <c r="CS1827">
        <v>0</v>
      </c>
      <c r="CT1827">
        <v>2</v>
      </c>
      <c r="CU1827">
        <v>0</v>
      </c>
      <c r="CV1827">
        <v>7</v>
      </c>
      <c r="CW1827" t="s">
        <v>120</v>
      </c>
      <c r="CX1827">
        <v>261</v>
      </c>
      <c r="CY1827">
        <v>2</v>
      </c>
      <c r="CZ1827" t="s">
        <v>121</v>
      </c>
      <c r="DA1827" t="s">
        <v>122</v>
      </c>
      <c r="DD1827">
        <v>15334777</v>
      </c>
      <c r="DE1827" t="s">
        <v>123</v>
      </c>
    </row>
    <row r="1828" spans="1:109" x14ac:dyDescent="0.3">
      <c r="A1828" t="str">
        <f>"19:05:17.586"</f>
        <v>19:05:17.586</v>
      </c>
      <c r="B1828" t="s">
        <v>110</v>
      </c>
      <c r="C1828" t="str">
        <f t="shared" si="84"/>
        <v>ffdfd3c0</v>
      </c>
      <c r="D1828" t="s">
        <v>111</v>
      </c>
      <c r="E1828">
        <v>18</v>
      </c>
      <c r="F1828">
        <v>1018</v>
      </c>
      <c r="G1828" t="s">
        <v>112</v>
      </c>
      <c r="J1828" t="s">
        <v>113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R1828" t="s">
        <v>114</v>
      </c>
      <c r="S1828" t="str">
        <f>"19:05:17.336"</f>
        <v>19:05:17.336</v>
      </c>
      <c r="T1828" t="str">
        <f>"19:05:17.234"</f>
        <v>19:05:17.234</v>
      </c>
      <c r="U1828" t="str">
        <f t="shared" si="85"/>
        <v>a1cdbe</v>
      </c>
      <c r="V1828">
        <v>0</v>
      </c>
      <c r="W1828">
        <v>0</v>
      </c>
      <c r="X1828">
        <v>1</v>
      </c>
      <c r="Y1828">
        <v>0</v>
      </c>
      <c r="Z1828">
        <v>0</v>
      </c>
      <c r="AB1828">
        <v>0</v>
      </c>
      <c r="AC1828">
        <v>9</v>
      </c>
      <c r="AD1828">
        <v>3</v>
      </c>
      <c r="AE1828">
        <v>0</v>
      </c>
      <c r="AF1828">
        <v>9</v>
      </c>
      <c r="AG1828" t="s">
        <v>158</v>
      </c>
      <c r="AH1828">
        <v>0</v>
      </c>
      <c r="AI1828">
        <v>3</v>
      </c>
      <c r="AJ1828">
        <v>1</v>
      </c>
      <c r="AK1828">
        <v>0</v>
      </c>
      <c r="AL1828" t="s">
        <v>2035</v>
      </c>
      <c r="AM1828">
        <v>46.847076000000001</v>
      </c>
      <c r="AN1828" t="s">
        <v>3460</v>
      </c>
      <c r="AO1828">
        <v>-122.943449</v>
      </c>
      <c r="AP1828">
        <v>100</v>
      </c>
      <c r="AQ1828">
        <v>1900</v>
      </c>
      <c r="AR1828" t="s">
        <v>118</v>
      </c>
      <c r="AS1828">
        <v>-73</v>
      </c>
      <c r="AT1828">
        <v>18</v>
      </c>
      <c r="AU1828">
        <v>128</v>
      </c>
      <c r="BC1828">
        <v>1200</v>
      </c>
      <c r="BD1828">
        <v>1</v>
      </c>
      <c r="BE1828" t="str">
        <f t="shared" si="86"/>
        <v xml:space="preserve">N215T   </v>
      </c>
      <c r="BF1828">
        <v>1</v>
      </c>
      <c r="BH1828">
        <v>0</v>
      </c>
      <c r="BI1828">
        <v>0</v>
      </c>
      <c r="BJ1828">
        <v>0</v>
      </c>
      <c r="BK1828">
        <v>2325</v>
      </c>
      <c r="BL1828">
        <v>425</v>
      </c>
      <c r="BM1828" t="s">
        <v>119</v>
      </c>
      <c r="BN1828">
        <v>1</v>
      </c>
      <c r="BO1828">
        <v>1</v>
      </c>
      <c r="BP1828">
        <v>1</v>
      </c>
      <c r="BQ1828">
        <v>0</v>
      </c>
      <c r="BT1828">
        <v>0</v>
      </c>
      <c r="BU1828">
        <v>0</v>
      </c>
      <c r="BV1828">
        <v>0</v>
      </c>
      <c r="CC1828" t="str">
        <f>"19:05:17.336"</f>
        <v>19:05:17.336</v>
      </c>
      <c r="CD1828" t="str">
        <f>"338002647"</f>
        <v>338002647</v>
      </c>
      <c r="CQ1828">
        <v>0</v>
      </c>
      <c r="CR1828">
        <v>2</v>
      </c>
      <c r="CS1828">
        <v>0</v>
      </c>
      <c r="CT1828">
        <v>2</v>
      </c>
      <c r="CU1828">
        <v>0</v>
      </c>
      <c r="CV1828">
        <v>7</v>
      </c>
      <c r="CW1828" t="s">
        <v>120</v>
      </c>
      <c r="CX1828">
        <v>261</v>
      </c>
      <c r="CY1828">
        <v>2</v>
      </c>
      <c r="CZ1828" t="s">
        <v>121</v>
      </c>
      <c r="DA1828" t="s">
        <v>122</v>
      </c>
      <c r="DD1828">
        <v>15335448</v>
      </c>
      <c r="DE1828" t="s">
        <v>123</v>
      </c>
    </row>
    <row r="1829" spans="1:109" x14ac:dyDescent="0.3">
      <c r="A1829" t="str">
        <f>"19:05:18.539"</f>
        <v>19:05:18.539</v>
      </c>
      <c r="B1829" t="s">
        <v>110</v>
      </c>
      <c r="C1829" t="str">
        <f t="shared" si="84"/>
        <v>ffdfd3c0</v>
      </c>
      <c r="D1829" t="s">
        <v>111</v>
      </c>
      <c r="E1829">
        <v>18</v>
      </c>
      <c r="F1829">
        <v>1018</v>
      </c>
      <c r="G1829" t="s">
        <v>112</v>
      </c>
      <c r="J1829" t="s">
        <v>113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R1829" t="s">
        <v>114</v>
      </c>
      <c r="S1829" t="str">
        <f>"19:05:18.313"</f>
        <v>19:05:18.313</v>
      </c>
      <c r="T1829" t="str">
        <f>"19:05:18.211"</f>
        <v>19:05:18.211</v>
      </c>
      <c r="U1829" t="str">
        <f t="shared" si="85"/>
        <v>a1cdbe</v>
      </c>
      <c r="V1829">
        <v>0</v>
      </c>
      <c r="W1829">
        <v>0</v>
      </c>
      <c r="X1829">
        <v>1</v>
      </c>
      <c r="Y1829">
        <v>0</v>
      </c>
      <c r="Z1829">
        <v>0</v>
      </c>
      <c r="AB1829">
        <v>0</v>
      </c>
      <c r="AC1829">
        <v>9</v>
      </c>
      <c r="AD1829">
        <v>3</v>
      </c>
      <c r="AE1829">
        <v>0</v>
      </c>
      <c r="AF1829">
        <v>9</v>
      </c>
      <c r="AG1829" t="s">
        <v>158</v>
      </c>
      <c r="AH1829">
        <v>0</v>
      </c>
      <c r="AI1829">
        <v>3</v>
      </c>
      <c r="AJ1829">
        <v>1</v>
      </c>
      <c r="AK1829">
        <v>0</v>
      </c>
      <c r="AL1829" t="s">
        <v>2031</v>
      </c>
      <c r="AM1829">
        <v>46.847141000000001</v>
      </c>
      <c r="AN1829" t="s">
        <v>3461</v>
      </c>
      <c r="AO1829">
        <v>-122.943943</v>
      </c>
      <c r="AP1829">
        <v>100</v>
      </c>
      <c r="AQ1829">
        <v>1900</v>
      </c>
      <c r="AR1829" t="s">
        <v>118</v>
      </c>
      <c r="AS1829">
        <v>-72</v>
      </c>
      <c r="AT1829">
        <v>18</v>
      </c>
      <c r="AU1829">
        <v>64</v>
      </c>
      <c r="BC1829">
        <v>1200</v>
      </c>
      <c r="BD1829">
        <v>1</v>
      </c>
      <c r="BE1829" t="str">
        <f t="shared" si="86"/>
        <v xml:space="preserve">N215T   </v>
      </c>
      <c r="BF1829">
        <v>1</v>
      </c>
      <c r="BH1829">
        <v>0</v>
      </c>
      <c r="BI1829">
        <v>0</v>
      </c>
      <c r="BJ1829">
        <v>0</v>
      </c>
      <c r="BK1829">
        <v>2325</v>
      </c>
      <c r="BL1829">
        <v>425</v>
      </c>
      <c r="BM1829" t="s">
        <v>119</v>
      </c>
      <c r="BN1829">
        <v>1</v>
      </c>
      <c r="BO1829">
        <v>1</v>
      </c>
      <c r="BP1829">
        <v>1</v>
      </c>
      <c r="BQ1829">
        <v>0</v>
      </c>
      <c r="BT1829">
        <v>0</v>
      </c>
      <c r="BU1829">
        <v>0</v>
      </c>
      <c r="BV1829">
        <v>0</v>
      </c>
      <c r="CC1829" t="str">
        <f>"19:05:18.313"</f>
        <v>19:05:18.313</v>
      </c>
      <c r="CD1829" t="str">
        <f>"312933543"</f>
        <v>312933543</v>
      </c>
      <c r="CQ1829">
        <v>0</v>
      </c>
      <c r="CR1829">
        <v>2</v>
      </c>
      <c r="CS1829">
        <v>0</v>
      </c>
      <c r="CT1829">
        <v>2</v>
      </c>
      <c r="CU1829">
        <v>0</v>
      </c>
      <c r="CV1829">
        <v>6</v>
      </c>
      <c r="CW1829" t="s">
        <v>120</v>
      </c>
      <c r="CX1829">
        <v>257</v>
      </c>
      <c r="CY1829">
        <v>0</v>
      </c>
      <c r="CZ1829" t="s">
        <v>615</v>
      </c>
      <c r="DA1829" t="s">
        <v>616</v>
      </c>
      <c r="DD1829">
        <v>15559067</v>
      </c>
      <c r="DE1829" t="s">
        <v>123</v>
      </c>
    </row>
    <row r="1830" spans="1:109" x14ac:dyDescent="0.3">
      <c r="A1830" t="str">
        <f>"19:05:19.547"</f>
        <v>19:05:19.547</v>
      </c>
      <c r="B1830" t="s">
        <v>110</v>
      </c>
      <c r="C1830" t="str">
        <f t="shared" si="84"/>
        <v>ffdfd3c0</v>
      </c>
      <c r="D1830" t="s">
        <v>111</v>
      </c>
      <c r="E1830">
        <v>18</v>
      </c>
      <c r="F1830">
        <v>1018</v>
      </c>
      <c r="G1830" t="s">
        <v>112</v>
      </c>
      <c r="J1830" t="s">
        <v>113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R1830" t="s">
        <v>114</v>
      </c>
      <c r="S1830" t="str">
        <f>"19:05:19.281"</f>
        <v>19:05:19.281</v>
      </c>
      <c r="T1830" t="str">
        <f>"19:05:18.781"</f>
        <v>19:05:18.781</v>
      </c>
      <c r="U1830" t="str">
        <f t="shared" si="85"/>
        <v>a1cdbe</v>
      </c>
      <c r="V1830">
        <v>0</v>
      </c>
      <c r="W1830">
        <v>0</v>
      </c>
      <c r="X1830">
        <v>1</v>
      </c>
      <c r="Y1830">
        <v>0</v>
      </c>
      <c r="Z1830">
        <v>0</v>
      </c>
      <c r="AB1830">
        <v>0</v>
      </c>
      <c r="AC1830">
        <v>9</v>
      </c>
      <c r="AD1830">
        <v>3</v>
      </c>
      <c r="AE1830">
        <v>0</v>
      </c>
      <c r="AF1830">
        <v>9</v>
      </c>
      <c r="AG1830" t="s">
        <v>158</v>
      </c>
      <c r="AH1830">
        <v>0</v>
      </c>
      <c r="AI1830">
        <v>3</v>
      </c>
      <c r="AJ1830">
        <v>1</v>
      </c>
      <c r="AK1830">
        <v>0</v>
      </c>
      <c r="AL1830" t="s">
        <v>2025</v>
      </c>
      <c r="AM1830">
        <v>46.847205000000002</v>
      </c>
      <c r="AN1830" t="s">
        <v>3462</v>
      </c>
      <c r="AO1830">
        <v>-122.944458</v>
      </c>
      <c r="AP1830">
        <v>100</v>
      </c>
      <c r="AQ1830">
        <v>1900</v>
      </c>
      <c r="AR1830" t="s">
        <v>118</v>
      </c>
      <c r="AS1830">
        <v>-72</v>
      </c>
      <c r="AT1830">
        <v>17</v>
      </c>
      <c r="AU1830">
        <v>128</v>
      </c>
      <c r="BC1830">
        <v>1200</v>
      </c>
      <c r="BD1830">
        <v>1</v>
      </c>
      <c r="BE1830" t="str">
        <f t="shared" si="86"/>
        <v xml:space="preserve">N215T   </v>
      </c>
      <c r="BF1830">
        <v>1</v>
      </c>
      <c r="BH1830">
        <v>0</v>
      </c>
      <c r="BI1830">
        <v>0</v>
      </c>
      <c r="BJ1830">
        <v>0</v>
      </c>
      <c r="BK1830">
        <v>2325</v>
      </c>
      <c r="BL1830">
        <v>425</v>
      </c>
      <c r="BM1830" t="s">
        <v>119</v>
      </c>
      <c r="BN1830">
        <v>1</v>
      </c>
      <c r="BO1830">
        <v>1</v>
      </c>
      <c r="BP1830">
        <v>1</v>
      </c>
      <c r="BQ1830">
        <v>0</v>
      </c>
      <c r="BT1830">
        <v>0</v>
      </c>
      <c r="BU1830">
        <v>0</v>
      </c>
      <c r="BV1830">
        <v>0</v>
      </c>
      <c r="CC1830" t="str">
        <f>"19:05:19.289"</f>
        <v>19:05:19.289</v>
      </c>
      <c r="CD1830" t="str">
        <f>"287810581"</f>
        <v>287810581</v>
      </c>
      <c r="CQ1830">
        <v>0</v>
      </c>
      <c r="CR1830">
        <v>2</v>
      </c>
      <c r="CS1830">
        <v>0</v>
      </c>
      <c r="CT1830">
        <v>2</v>
      </c>
      <c r="CU1830">
        <v>0</v>
      </c>
      <c r="CV1830">
        <v>7</v>
      </c>
      <c r="CW1830" t="s">
        <v>120</v>
      </c>
      <c r="CX1830">
        <v>261</v>
      </c>
      <c r="CY1830">
        <v>2</v>
      </c>
      <c r="CZ1830" t="s">
        <v>121</v>
      </c>
      <c r="DA1830" t="s">
        <v>122</v>
      </c>
      <c r="DD1830">
        <v>15336740</v>
      </c>
      <c r="DE1830" t="s">
        <v>123</v>
      </c>
    </row>
    <row r="1831" spans="1:109" x14ac:dyDescent="0.3">
      <c r="A1831" t="str">
        <f>"19:05:20.547"</f>
        <v>19:05:20.547</v>
      </c>
      <c r="B1831" t="s">
        <v>110</v>
      </c>
      <c r="C1831" t="str">
        <f t="shared" si="84"/>
        <v>ffdfd3c0</v>
      </c>
      <c r="D1831" t="s">
        <v>111</v>
      </c>
      <c r="E1831">
        <v>18</v>
      </c>
      <c r="F1831">
        <v>1018</v>
      </c>
      <c r="G1831" t="s">
        <v>112</v>
      </c>
      <c r="J1831" t="s">
        <v>113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R1831" t="s">
        <v>114</v>
      </c>
      <c r="S1831" t="str">
        <f>"19:05:20.305"</f>
        <v>19:05:20.305</v>
      </c>
      <c r="T1831" t="str">
        <f>"19:05:19.805"</f>
        <v>19:05:19.805</v>
      </c>
      <c r="U1831" t="str">
        <f t="shared" si="85"/>
        <v>a1cdbe</v>
      </c>
      <c r="V1831">
        <v>0</v>
      </c>
      <c r="W1831">
        <v>0</v>
      </c>
      <c r="X1831">
        <v>1</v>
      </c>
      <c r="Y1831">
        <v>0</v>
      </c>
      <c r="Z1831">
        <v>0</v>
      </c>
      <c r="AB1831">
        <v>0</v>
      </c>
      <c r="AC1831">
        <v>9</v>
      </c>
      <c r="AD1831">
        <v>3</v>
      </c>
      <c r="AE1831">
        <v>0</v>
      </c>
      <c r="AF1831">
        <v>9</v>
      </c>
      <c r="AG1831" t="s">
        <v>158</v>
      </c>
      <c r="AH1831">
        <v>0</v>
      </c>
      <c r="AI1831">
        <v>3</v>
      </c>
      <c r="AJ1831">
        <v>1</v>
      </c>
      <c r="AK1831">
        <v>0</v>
      </c>
      <c r="AL1831" t="s">
        <v>1856</v>
      </c>
      <c r="AM1831">
        <v>46.847290999999998</v>
      </c>
      <c r="AN1831" t="s">
        <v>3463</v>
      </c>
      <c r="AO1831">
        <v>-122.944908</v>
      </c>
      <c r="AP1831">
        <v>100</v>
      </c>
      <c r="AQ1831">
        <v>1900</v>
      </c>
      <c r="AR1831" t="s">
        <v>118</v>
      </c>
      <c r="AS1831">
        <v>-73</v>
      </c>
      <c r="AT1831">
        <v>17</v>
      </c>
      <c r="AU1831">
        <v>128</v>
      </c>
      <c r="BC1831">
        <v>1200</v>
      </c>
      <c r="BD1831">
        <v>1</v>
      </c>
      <c r="BE1831" t="str">
        <f t="shared" si="86"/>
        <v xml:space="preserve">N215T   </v>
      </c>
      <c r="BF1831">
        <v>1</v>
      </c>
      <c r="BH1831">
        <v>0</v>
      </c>
      <c r="BI1831">
        <v>0</v>
      </c>
      <c r="BJ1831">
        <v>0</v>
      </c>
      <c r="BK1831">
        <v>2325</v>
      </c>
      <c r="BL1831">
        <v>425</v>
      </c>
      <c r="BM1831" t="s">
        <v>119</v>
      </c>
      <c r="BN1831">
        <v>1</v>
      </c>
      <c r="BO1831">
        <v>1</v>
      </c>
      <c r="BP1831">
        <v>1</v>
      </c>
      <c r="BQ1831">
        <v>0</v>
      </c>
      <c r="BT1831">
        <v>0</v>
      </c>
      <c r="BU1831">
        <v>0</v>
      </c>
      <c r="BV1831">
        <v>0</v>
      </c>
      <c r="CC1831" t="str">
        <f>"19:05:20.305"</f>
        <v>19:05:20.305</v>
      </c>
      <c r="CD1831" t="str">
        <f>"307710124"</f>
        <v>307710124</v>
      </c>
      <c r="CQ1831">
        <v>0</v>
      </c>
      <c r="CR1831">
        <v>2</v>
      </c>
      <c r="CS1831">
        <v>0</v>
      </c>
      <c r="CT1831">
        <v>2</v>
      </c>
      <c r="CU1831">
        <v>0</v>
      </c>
      <c r="CV1831">
        <v>7</v>
      </c>
      <c r="CW1831" t="s">
        <v>120</v>
      </c>
      <c r="CX1831">
        <v>261</v>
      </c>
      <c r="CY1831">
        <v>2</v>
      </c>
      <c r="CZ1831" t="s">
        <v>121</v>
      </c>
      <c r="DA1831" t="s">
        <v>122</v>
      </c>
      <c r="DD1831">
        <v>15337471</v>
      </c>
      <c r="DE1831" t="s">
        <v>123</v>
      </c>
    </row>
    <row r="1832" spans="1:109" x14ac:dyDescent="0.3">
      <c r="A1832" t="str">
        <f>"19:05:21.406"</f>
        <v>19:05:21.406</v>
      </c>
      <c r="B1832" t="s">
        <v>110</v>
      </c>
      <c r="C1832" t="str">
        <f t="shared" si="84"/>
        <v>ffdfd3c0</v>
      </c>
      <c r="D1832" t="s">
        <v>111</v>
      </c>
      <c r="E1832">
        <v>18</v>
      </c>
      <c r="F1832">
        <v>1018</v>
      </c>
      <c r="G1832" t="s">
        <v>112</v>
      </c>
      <c r="J1832" t="s">
        <v>113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R1832" t="s">
        <v>114</v>
      </c>
      <c r="S1832" t="str">
        <f>"19:05:21.203"</f>
        <v>19:05:21.203</v>
      </c>
      <c r="T1832" t="str">
        <f>"19:05:20.906"</f>
        <v>19:05:20.906</v>
      </c>
      <c r="U1832" t="str">
        <f t="shared" si="85"/>
        <v>a1cdbe</v>
      </c>
      <c r="V1832">
        <v>0</v>
      </c>
      <c r="W1832">
        <v>0</v>
      </c>
      <c r="X1832">
        <v>1</v>
      </c>
      <c r="Y1832">
        <v>0</v>
      </c>
      <c r="Z1832">
        <v>0</v>
      </c>
      <c r="AB1832">
        <v>0</v>
      </c>
      <c r="AC1832">
        <v>9</v>
      </c>
      <c r="AD1832">
        <v>3</v>
      </c>
      <c r="AE1832">
        <v>0</v>
      </c>
      <c r="AF1832">
        <v>9</v>
      </c>
      <c r="AG1832" t="s">
        <v>158</v>
      </c>
      <c r="AH1832">
        <v>0</v>
      </c>
      <c r="AI1832">
        <v>3</v>
      </c>
      <c r="AJ1832">
        <v>1</v>
      </c>
      <c r="AK1832">
        <v>0</v>
      </c>
      <c r="AL1832" t="s">
        <v>1998</v>
      </c>
      <c r="AM1832">
        <v>46.847355</v>
      </c>
      <c r="AN1832" t="s">
        <v>3464</v>
      </c>
      <c r="AO1832">
        <v>-122.94538</v>
      </c>
      <c r="AP1832">
        <v>100</v>
      </c>
      <c r="AQ1832">
        <v>1900</v>
      </c>
      <c r="AR1832" t="s">
        <v>118</v>
      </c>
      <c r="AS1832">
        <v>-73</v>
      </c>
      <c r="AT1832">
        <v>17</v>
      </c>
      <c r="AU1832">
        <v>128</v>
      </c>
      <c r="BC1832">
        <v>1200</v>
      </c>
      <c r="BD1832">
        <v>1</v>
      </c>
      <c r="BE1832" t="str">
        <f t="shared" si="86"/>
        <v xml:space="preserve">N215T   </v>
      </c>
      <c r="BF1832">
        <v>1</v>
      </c>
      <c r="BH1832">
        <v>0</v>
      </c>
      <c r="BI1832">
        <v>0</v>
      </c>
      <c r="BJ1832">
        <v>0</v>
      </c>
      <c r="BK1832">
        <v>2325</v>
      </c>
      <c r="BL1832">
        <v>425</v>
      </c>
      <c r="BM1832" t="s">
        <v>119</v>
      </c>
      <c r="BN1832">
        <v>1</v>
      </c>
      <c r="BO1832">
        <v>1</v>
      </c>
      <c r="BP1832">
        <v>1</v>
      </c>
      <c r="BQ1832">
        <v>0</v>
      </c>
      <c r="BT1832">
        <v>0</v>
      </c>
      <c r="BU1832">
        <v>0</v>
      </c>
      <c r="BV1832">
        <v>0</v>
      </c>
      <c r="CC1832" t="str">
        <f>"19:05:21.211"</f>
        <v>19:05:21.211</v>
      </c>
      <c r="CD1832" t="str">
        <f>"207648169"</f>
        <v>207648169</v>
      </c>
      <c r="CQ1832">
        <v>0</v>
      </c>
      <c r="CR1832">
        <v>2</v>
      </c>
      <c r="CS1832">
        <v>0</v>
      </c>
      <c r="CT1832">
        <v>2</v>
      </c>
      <c r="CU1832">
        <v>0</v>
      </c>
      <c r="CV1832">
        <v>7</v>
      </c>
      <c r="CW1832" t="s">
        <v>120</v>
      </c>
      <c r="CX1832">
        <v>257</v>
      </c>
      <c r="CY1832">
        <v>1</v>
      </c>
      <c r="CZ1832" t="s">
        <v>615</v>
      </c>
      <c r="DA1832" t="s">
        <v>616</v>
      </c>
      <c r="DD1832">
        <v>11744313</v>
      </c>
      <c r="DE1832" t="s">
        <v>123</v>
      </c>
    </row>
    <row r="1833" spans="1:109" x14ac:dyDescent="0.3">
      <c r="A1833" t="str">
        <f>"19:05:22.258"</f>
        <v>19:05:22.258</v>
      </c>
      <c r="B1833" t="s">
        <v>110</v>
      </c>
      <c r="C1833" t="str">
        <f t="shared" si="84"/>
        <v>ffdfd3c0</v>
      </c>
      <c r="D1833" t="s">
        <v>111</v>
      </c>
      <c r="E1833">
        <v>18</v>
      </c>
      <c r="F1833">
        <v>1018</v>
      </c>
      <c r="G1833" t="s">
        <v>112</v>
      </c>
      <c r="J1833" t="s">
        <v>113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R1833" t="s">
        <v>114</v>
      </c>
      <c r="S1833" t="str">
        <f>"19:05:22.031"</f>
        <v>19:05:22.031</v>
      </c>
      <c r="T1833" t="str">
        <f>"19:05:21.930"</f>
        <v>19:05:21.930</v>
      </c>
      <c r="U1833" t="str">
        <f t="shared" si="85"/>
        <v>a1cdbe</v>
      </c>
      <c r="V1833">
        <v>0</v>
      </c>
      <c r="W1833">
        <v>0</v>
      </c>
      <c r="X1833">
        <v>1</v>
      </c>
      <c r="Y1833">
        <v>0</v>
      </c>
      <c r="Z1833">
        <v>0</v>
      </c>
      <c r="AB1833">
        <v>0</v>
      </c>
      <c r="AC1833">
        <v>9</v>
      </c>
      <c r="AD1833">
        <v>3</v>
      </c>
      <c r="AE1833">
        <v>0</v>
      </c>
      <c r="AF1833">
        <v>9</v>
      </c>
      <c r="AG1833" t="s">
        <v>158</v>
      </c>
      <c r="AH1833">
        <v>0</v>
      </c>
      <c r="AI1833">
        <v>3</v>
      </c>
      <c r="AJ1833">
        <v>1</v>
      </c>
      <c r="AK1833">
        <v>0</v>
      </c>
      <c r="AL1833" t="s">
        <v>2004</v>
      </c>
      <c r="AM1833">
        <v>46.847441000000003</v>
      </c>
      <c r="AN1833" t="s">
        <v>3465</v>
      </c>
      <c r="AO1833">
        <v>-122.94578799999999</v>
      </c>
      <c r="AP1833">
        <v>100</v>
      </c>
      <c r="AQ1833">
        <v>1900</v>
      </c>
      <c r="AR1833" t="s">
        <v>118</v>
      </c>
      <c r="AS1833">
        <v>-73</v>
      </c>
      <c r="AT1833">
        <v>17</v>
      </c>
      <c r="AU1833">
        <v>192</v>
      </c>
      <c r="BC1833">
        <v>1200</v>
      </c>
      <c r="BD1833">
        <v>1</v>
      </c>
      <c r="BE1833" t="str">
        <f t="shared" si="86"/>
        <v xml:space="preserve">N215T   </v>
      </c>
      <c r="BF1833">
        <v>1</v>
      </c>
      <c r="BH1833">
        <v>0</v>
      </c>
      <c r="BI1833">
        <v>0</v>
      </c>
      <c r="BJ1833">
        <v>0</v>
      </c>
      <c r="BK1833">
        <v>2350</v>
      </c>
      <c r="BL1833">
        <v>450</v>
      </c>
      <c r="BM1833" t="s">
        <v>119</v>
      </c>
      <c r="BN1833">
        <v>1</v>
      </c>
      <c r="BO1833">
        <v>1</v>
      </c>
      <c r="BP1833">
        <v>1</v>
      </c>
      <c r="BQ1833">
        <v>0</v>
      </c>
      <c r="BT1833">
        <v>0</v>
      </c>
      <c r="BU1833">
        <v>0</v>
      </c>
      <c r="BV1833">
        <v>0</v>
      </c>
      <c r="CC1833" t="str">
        <f>"19:05:22.031"</f>
        <v>19:05:22.031</v>
      </c>
      <c r="CD1833" t="str">
        <f>"032540223"</f>
        <v>032540223</v>
      </c>
      <c r="CQ1833">
        <v>0</v>
      </c>
      <c r="CR1833">
        <v>2</v>
      </c>
      <c r="CS1833">
        <v>0</v>
      </c>
      <c r="CT1833">
        <v>2</v>
      </c>
      <c r="CU1833">
        <v>0</v>
      </c>
      <c r="CV1833">
        <v>7</v>
      </c>
      <c r="CW1833" t="s">
        <v>120</v>
      </c>
      <c r="CX1833">
        <v>261</v>
      </c>
      <c r="CY1833">
        <v>2</v>
      </c>
      <c r="CZ1833" t="s">
        <v>121</v>
      </c>
      <c r="DA1833" t="s">
        <v>122</v>
      </c>
      <c r="DD1833">
        <v>15338601</v>
      </c>
      <c r="DE1833" t="s">
        <v>123</v>
      </c>
    </row>
    <row r="1834" spans="1:109" x14ac:dyDescent="0.3">
      <c r="A1834" t="str">
        <f>"19:05:23.313"</f>
        <v>19:05:23.313</v>
      </c>
      <c r="B1834" t="s">
        <v>110</v>
      </c>
      <c r="C1834" t="str">
        <f t="shared" si="84"/>
        <v>ffdfd3c0</v>
      </c>
      <c r="D1834" t="s">
        <v>111</v>
      </c>
      <c r="E1834">
        <v>18</v>
      </c>
      <c r="F1834">
        <v>1018</v>
      </c>
      <c r="G1834" t="s">
        <v>112</v>
      </c>
      <c r="J1834" t="s">
        <v>113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R1834" t="s">
        <v>114</v>
      </c>
      <c r="S1834" t="str">
        <f>"19:05:23.078"</f>
        <v>19:05:23.078</v>
      </c>
      <c r="T1834" t="str">
        <f>"19:05:22.977"</f>
        <v>19:05:22.977</v>
      </c>
      <c r="U1834" t="str">
        <f t="shared" si="85"/>
        <v>a1cdbe</v>
      </c>
      <c r="V1834">
        <v>0</v>
      </c>
      <c r="W1834">
        <v>0</v>
      </c>
      <c r="X1834">
        <v>1</v>
      </c>
      <c r="Y1834">
        <v>0</v>
      </c>
      <c r="Z1834">
        <v>0</v>
      </c>
      <c r="AB1834">
        <v>0</v>
      </c>
      <c r="AC1834">
        <v>9</v>
      </c>
      <c r="AD1834">
        <v>3</v>
      </c>
      <c r="AE1834">
        <v>0</v>
      </c>
      <c r="AF1834">
        <v>9</v>
      </c>
      <c r="AG1834" t="s">
        <v>158</v>
      </c>
      <c r="AH1834">
        <v>0</v>
      </c>
      <c r="AI1834">
        <v>3</v>
      </c>
      <c r="AJ1834">
        <v>1</v>
      </c>
      <c r="AK1834">
        <v>0</v>
      </c>
      <c r="AL1834" t="s">
        <v>1852</v>
      </c>
      <c r="AM1834">
        <v>46.847526999999999</v>
      </c>
      <c r="AN1834" t="s">
        <v>3466</v>
      </c>
      <c r="AO1834">
        <v>-122.946281</v>
      </c>
      <c r="AP1834">
        <v>100</v>
      </c>
      <c r="AQ1834">
        <v>1900</v>
      </c>
      <c r="AR1834" t="s">
        <v>118</v>
      </c>
      <c r="AS1834">
        <v>-73</v>
      </c>
      <c r="AT1834">
        <v>16</v>
      </c>
      <c r="AU1834">
        <v>192</v>
      </c>
      <c r="BC1834">
        <v>1200</v>
      </c>
      <c r="BD1834">
        <v>1</v>
      </c>
      <c r="BE1834" t="str">
        <f t="shared" si="86"/>
        <v xml:space="preserve">N215T   </v>
      </c>
      <c r="BF1834">
        <v>1</v>
      </c>
      <c r="BH1834">
        <v>0</v>
      </c>
      <c r="BI1834">
        <v>0</v>
      </c>
      <c r="BJ1834">
        <v>0</v>
      </c>
      <c r="BK1834">
        <v>2350</v>
      </c>
      <c r="BL1834">
        <v>450</v>
      </c>
      <c r="BM1834" t="s">
        <v>119</v>
      </c>
      <c r="BN1834">
        <v>1</v>
      </c>
      <c r="BO1834">
        <v>1</v>
      </c>
      <c r="BP1834">
        <v>1</v>
      </c>
      <c r="BQ1834">
        <v>0</v>
      </c>
      <c r="BT1834">
        <v>0</v>
      </c>
      <c r="BU1834">
        <v>0</v>
      </c>
      <c r="BV1834">
        <v>0</v>
      </c>
      <c r="CC1834" t="str">
        <f>"19:05:23.086"</f>
        <v>19:05:23.086</v>
      </c>
      <c r="CD1834" t="str">
        <f>"082436805"</f>
        <v>082436805</v>
      </c>
      <c r="CQ1834">
        <v>0</v>
      </c>
      <c r="CR1834">
        <v>2</v>
      </c>
      <c r="CS1834">
        <v>0</v>
      </c>
      <c r="CT1834">
        <v>2</v>
      </c>
      <c r="CU1834">
        <v>0</v>
      </c>
      <c r="CV1834">
        <v>7</v>
      </c>
      <c r="CW1834" t="s">
        <v>120</v>
      </c>
      <c r="CX1834">
        <v>261</v>
      </c>
      <c r="CY1834">
        <v>2</v>
      </c>
      <c r="CZ1834" t="s">
        <v>121</v>
      </c>
      <c r="DA1834" t="s">
        <v>122</v>
      </c>
      <c r="DD1834">
        <v>15339272</v>
      </c>
      <c r="DE1834" t="s">
        <v>123</v>
      </c>
    </row>
    <row r="1835" spans="1:109" x14ac:dyDescent="0.3">
      <c r="A1835" t="str">
        <f>"19:05:24.320"</f>
        <v>19:05:24.320</v>
      </c>
      <c r="B1835" t="s">
        <v>110</v>
      </c>
      <c r="C1835" t="str">
        <f t="shared" si="84"/>
        <v>ffdfd3c0</v>
      </c>
      <c r="D1835" t="s">
        <v>111</v>
      </c>
      <c r="E1835">
        <v>18</v>
      </c>
      <c r="F1835">
        <v>1018</v>
      </c>
      <c r="G1835" t="s">
        <v>112</v>
      </c>
      <c r="J1835" t="s">
        <v>113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R1835" t="s">
        <v>114</v>
      </c>
      <c r="S1835" t="str">
        <f>"19:05:24.102"</f>
        <v>19:05:24.102</v>
      </c>
      <c r="T1835" t="str">
        <f>"19:05:23.898"</f>
        <v>19:05:23.898</v>
      </c>
      <c r="U1835" t="str">
        <f t="shared" si="85"/>
        <v>a1cdbe</v>
      </c>
      <c r="V1835">
        <v>0</v>
      </c>
      <c r="W1835">
        <v>0</v>
      </c>
      <c r="X1835">
        <v>1</v>
      </c>
      <c r="Y1835">
        <v>0</v>
      </c>
      <c r="Z1835">
        <v>0</v>
      </c>
      <c r="AB1835">
        <v>0</v>
      </c>
      <c r="AC1835">
        <v>9</v>
      </c>
      <c r="AD1835">
        <v>3</v>
      </c>
      <c r="AE1835">
        <v>0</v>
      </c>
      <c r="AF1835">
        <v>9</v>
      </c>
      <c r="AG1835" t="s">
        <v>158</v>
      </c>
      <c r="AH1835">
        <v>0</v>
      </c>
      <c r="AI1835">
        <v>3</v>
      </c>
      <c r="AJ1835">
        <v>1</v>
      </c>
      <c r="AK1835">
        <v>0</v>
      </c>
      <c r="AL1835" t="s">
        <v>3467</v>
      </c>
      <c r="AM1835">
        <v>46.847569999999997</v>
      </c>
      <c r="AN1835" t="s">
        <v>3468</v>
      </c>
      <c r="AO1835">
        <v>-122.94679600000001</v>
      </c>
      <c r="AP1835">
        <v>100</v>
      </c>
      <c r="AQ1835">
        <v>1900</v>
      </c>
      <c r="AR1835" t="s">
        <v>118</v>
      </c>
      <c r="AS1835">
        <v>-73</v>
      </c>
      <c r="AT1835">
        <v>16</v>
      </c>
      <c r="AU1835">
        <v>192</v>
      </c>
      <c r="BC1835">
        <v>1200</v>
      </c>
      <c r="BD1835">
        <v>1</v>
      </c>
      <c r="BE1835" t="str">
        <f t="shared" si="86"/>
        <v xml:space="preserve">N215T   </v>
      </c>
      <c r="BF1835">
        <v>1</v>
      </c>
      <c r="BH1835">
        <v>0</v>
      </c>
      <c r="BI1835">
        <v>0</v>
      </c>
      <c r="BJ1835">
        <v>0</v>
      </c>
      <c r="BK1835">
        <v>2350</v>
      </c>
      <c r="BL1835">
        <v>450</v>
      </c>
      <c r="BM1835" t="s">
        <v>119</v>
      </c>
      <c r="BN1835">
        <v>1</v>
      </c>
      <c r="BO1835">
        <v>1</v>
      </c>
      <c r="BP1835">
        <v>1</v>
      </c>
      <c r="BQ1835">
        <v>0</v>
      </c>
      <c r="BT1835">
        <v>0</v>
      </c>
      <c r="BU1835">
        <v>0</v>
      </c>
      <c r="BV1835">
        <v>0</v>
      </c>
      <c r="CC1835" t="str">
        <f>"19:05:24.102"</f>
        <v>19:05:24.102</v>
      </c>
      <c r="CD1835" t="str">
        <f>"102336329"</f>
        <v>102336329</v>
      </c>
      <c r="CQ1835">
        <v>0</v>
      </c>
      <c r="CR1835">
        <v>2</v>
      </c>
      <c r="CS1835">
        <v>0</v>
      </c>
      <c r="CT1835">
        <v>2</v>
      </c>
      <c r="CU1835">
        <v>0</v>
      </c>
      <c r="CV1835">
        <v>7</v>
      </c>
      <c r="CW1835" t="s">
        <v>120</v>
      </c>
      <c r="CX1835">
        <v>261</v>
      </c>
      <c r="CY1835">
        <v>2</v>
      </c>
      <c r="CZ1835" t="s">
        <v>121</v>
      </c>
      <c r="DA1835" t="s">
        <v>122</v>
      </c>
      <c r="DD1835">
        <v>15340000</v>
      </c>
      <c r="DE1835" t="s">
        <v>123</v>
      </c>
    </row>
    <row r="1836" spans="1:109" x14ac:dyDescent="0.3">
      <c r="A1836" t="str">
        <f>"19:05:25.477"</f>
        <v>19:05:25.477</v>
      </c>
      <c r="B1836" t="s">
        <v>110</v>
      </c>
      <c r="C1836" t="str">
        <f t="shared" si="84"/>
        <v>ffdfd3c0</v>
      </c>
      <c r="D1836" t="s">
        <v>111</v>
      </c>
      <c r="E1836">
        <v>18</v>
      </c>
      <c r="F1836">
        <v>1018</v>
      </c>
      <c r="G1836" t="s">
        <v>112</v>
      </c>
      <c r="J1836" t="s">
        <v>113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R1836" t="s">
        <v>114</v>
      </c>
      <c r="S1836" t="str">
        <f>"19:05:25.250"</f>
        <v>19:05:25.250</v>
      </c>
      <c r="T1836" t="str">
        <f>"19:05:24.953"</f>
        <v>19:05:24.953</v>
      </c>
      <c r="U1836" t="str">
        <f t="shared" si="85"/>
        <v>a1cdbe</v>
      </c>
      <c r="V1836">
        <v>0</v>
      </c>
      <c r="W1836">
        <v>0</v>
      </c>
      <c r="X1836">
        <v>1</v>
      </c>
      <c r="Y1836">
        <v>0</v>
      </c>
      <c r="Z1836">
        <v>0</v>
      </c>
      <c r="AB1836">
        <v>0</v>
      </c>
      <c r="AC1836">
        <v>9</v>
      </c>
      <c r="AD1836">
        <v>3</v>
      </c>
      <c r="AE1836">
        <v>0</v>
      </c>
      <c r="AF1836">
        <v>9</v>
      </c>
      <c r="AG1836" t="s">
        <v>158</v>
      </c>
      <c r="AH1836">
        <v>0</v>
      </c>
      <c r="AI1836">
        <v>3</v>
      </c>
      <c r="AJ1836">
        <v>1</v>
      </c>
      <c r="AK1836">
        <v>0</v>
      </c>
      <c r="AL1836" t="s">
        <v>1850</v>
      </c>
      <c r="AM1836">
        <v>46.847676999999997</v>
      </c>
      <c r="AN1836" t="s">
        <v>3469</v>
      </c>
      <c r="AO1836">
        <v>-122.947333</v>
      </c>
      <c r="AP1836">
        <v>100</v>
      </c>
      <c r="AQ1836">
        <v>2000</v>
      </c>
      <c r="AR1836" t="s">
        <v>118</v>
      </c>
      <c r="AS1836">
        <v>-73</v>
      </c>
      <c r="AT1836">
        <v>16</v>
      </c>
      <c r="AU1836">
        <v>192</v>
      </c>
      <c r="BC1836">
        <v>1200</v>
      </c>
      <c r="BD1836">
        <v>1</v>
      </c>
      <c r="BE1836" t="str">
        <f t="shared" si="86"/>
        <v xml:space="preserve">N215T   </v>
      </c>
      <c r="BF1836">
        <v>1</v>
      </c>
      <c r="BH1836">
        <v>0</v>
      </c>
      <c r="BI1836">
        <v>0</v>
      </c>
      <c r="BJ1836">
        <v>0</v>
      </c>
      <c r="BK1836">
        <v>2250</v>
      </c>
      <c r="BL1836">
        <v>250</v>
      </c>
      <c r="BM1836" t="s">
        <v>119</v>
      </c>
      <c r="BN1836">
        <v>1</v>
      </c>
      <c r="BO1836">
        <v>1</v>
      </c>
      <c r="BP1836">
        <v>1</v>
      </c>
      <c r="BQ1836">
        <v>0</v>
      </c>
      <c r="BT1836">
        <v>0</v>
      </c>
      <c r="BU1836">
        <v>0</v>
      </c>
      <c r="BV1836">
        <v>0</v>
      </c>
      <c r="CC1836" t="str">
        <f>"19:05:25.258"</f>
        <v>19:05:25.258</v>
      </c>
      <c r="CD1836" t="str">
        <f>"257222572"</f>
        <v>257222572</v>
      </c>
      <c r="CQ1836">
        <v>0</v>
      </c>
      <c r="CR1836">
        <v>2</v>
      </c>
      <c r="CS1836">
        <v>0</v>
      </c>
      <c r="CT1836">
        <v>2</v>
      </c>
      <c r="CU1836">
        <v>0</v>
      </c>
      <c r="CV1836">
        <v>7</v>
      </c>
      <c r="CW1836" t="s">
        <v>120</v>
      </c>
      <c r="CX1836">
        <v>261</v>
      </c>
      <c r="CY1836">
        <v>2</v>
      </c>
      <c r="CZ1836" t="s">
        <v>121</v>
      </c>
      <c r="DA1836" t="s">
        <v>122</v>
      </c>
      <c r="DD1836">
        <v>15340785</v>
      </c>
      <c r="DE1836" t="s">
        <v>123</v>
      </c>
    </row>
    <row r="1837" spans="1:109" x14ac:dyDescent="0.3">
      <c r="A1837" t="str">
        <f>"19:05:26.383"</f>
        <v>19:05:26.383</v>
      </c>
      <c r="B1837" t="s">
        <v>110</v>
      </c>
      <c r="C1837" t="str">
        <f t="shared" si="84"/>
        <v>ffdfd3c0</v>
      </c>
      <c r="D1837" t="s">
        <v>111</v>
      </c>
      <c r="E1837">
        <v>18</v>
      </c>
      <c r="F1837">
        <v>1018</v>
      </c>
      <c r="G1837" t="s">
        <v>112</v>
      </c>
      <c r="J1837" t="s">
        <v>113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R1837" t="s">
        <v>114</v>
      </c>
      <c r="S1837" t="str">
        <f>"19:05:26.180"</f>
        <v>19:05:26.180</v>
      </c>
      <c r="T1837" t="str">
        <f>"19:05:25.883"</f>
        <v>19:05:25.883</v>
      </c>
      <c r="U1837" t="str">
        <f t="shared" si="85"/>
        <v>a1cdbe</v>
      </c>
      <c r="V1837">
        <v>0</v>
      </c>
      <c r="W1837">
        <v>0</v>
      </c>
      <c r="X1837">
        <v>1</v>
      </c>
      <c r="Y1837">
        <v>0</v>
      </c>
      <c r="Z1837">
        <v>0</v>
      </c>
      <c r="AB1837">
        <v>0</v>
      </c>
      <c r="AC1837">
        <v>9</v>
      </c>
      <c r="AD1837">
        <v>3</v>
      </c>
      <c r="AE1837">
        <v>0</v>
      </c>
      <c r="AF1837">
        <v>9</v>
      </c>
      <c r="AG1837" t="s">
        <v>158</v>
      </c>
      <c r="AH1837">
        <v>0</v>
      </c>
      <c r="AI1837">
        <v>3</v>
      </c>
      <c r="AJ1837">
        <v>1</v>
      </c>
      <c r="AK1837">
        <v>0</v>
      </c>
      <c r="AL1837" t="s">
        <v>3470</v>
      </c>
      <c r="AM1837">
        <v>46.847741999999997</v>
      </c>
      <c r="AN1837" t="s">
        <v>3471</v>
      </c>
      <c r="AO1837">
        <v>-122.947783</v>
      </c>
      <c r="AP1837">
        <v>100</v>
      </c>
      <c r="AQ1837">
        <v>2000</v>
      </c>
      <c r="AR1837" t="s">
        <v>118</v>
      </c>
      <c r="AS1837">
        <v>-72</v>
      </c>
      <c r="AT1837">
        <v>17</v>
      </c>
      <c r="AU1837">
        <v>256</v>
      </c>
      <c r="BC1837">
        <v>1200</v>
      </c>
      <c r="BD1837">
        <v>1</v>
      </c>
      <c r="BE1837" t="str">
        <f t="shared" si="86"/>
        <v xml:space="preserve">N215T   </v>
      </c>
      <c r="BF1837">
        <v>1</v>
      </c>
      <c r="BH1837">
        <v>0</v>
      </c>
      <c r="BI1837">
        <v>0</v>
      </c>
      <c r="BJ1837">
        <v>0</v>
      </c>
      <c r="BK1837">
        <v>2350</v>
      </c>
      <c r="BL1837">
        <v>350</v>
      </c>
      <c r="BM1837" t="s">
        <v>119</v>
      </c>
      <c r="BN1837">
        <v>1</v>
      </c>
      <c r="BO1837">
        <v>1</v>
      </c>
      <c r="BP1837">
        <v>1</v>
      </c>
      <c r="BQ1837">
        <v>0</v>
      </c>
      <c r="BT1837">
        <v>0</v>
      </c>
      <c r="BU1837">
        <v>0</v>
      </c>
      <c r="BV1837">
        <v>0</v>
      </c>
      <c r="CC1837" t="str">
        <f>"19:05:26.188"</f>
        <v>19:05:26.188</v>
      </c>
      <c r="CD1837" t="str">
        <f>"187130978"</f>
        <v>187130978</v>
      </c>
      <c r="CQ1837">
        <v>0</v>
      </c>
      <c r="CR1837">
        <v>2</v>
      </c>
      <c r="CS1837">
        <v>0</v>
      </c>
      <c r="CT1837">
        <v>2</v>
      </c>
      <c r="CU1837">
        <v>0</v>
      </c>
      <c r="CV1837">
        <v>7</v>
      </c>
      <c r="CW1837" t="s">
        <v>120</v>
      </c>
      <c r="CX1837">
        <v>261</v>
      </c>
      <c r="CY1837">
        <v>2</v>
      </c>
      <c r="CZ1837" t="s">
        <v>121</v>
      </c>
      <c r="DA1837" t="s">
        <v>122</v>
      </c>
      <c r="DD1837">
        <v>15341397</v>
      </c>
      <c r="DE1837" t="s">
        <v>123</v>
      </c>
    </row>
    <row r="1838" spans="1:109" x14ac:dyDescent="0.3">
      <c r="A1838" t="str">
        <f>"19:05:27.586"</f>
        <v>19:05:27.586</v>
      </c>
      <c r="B1838" t="s">
        <v>110</v>
      </c>
      <c r="C1838" t="str">
        <f t="shared" si="84"/>
        <v>ffdfd3c0</v>
      </c>
      <c r="D1838" t="s">
        <v>111</v>
      </c>
      <c r="E1838">
        <v>18</v>
      </c>
      <c r="F1838">
        <v>1018</v>
      </c>
      <c r="G1838" t="s">
        <v>112</v>
      </c>
      <c r="J1838" t="s">
        <v>113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R1838" t="s">
        <v>114</v>
      </c>
      <c r="S1838" t="str">
        <f>"19:05:27.336"</f>
        <v>19:05:27.336</v>
      </c>
      <c r="T1838" t="str">
        <f>"19:05:26.836"</f>
        <v>19:05:26.836</v>
      </c>
      <c r="U1838" t="str">
        <f t="shared" si="85"/>
        <v>a1cdbe</v>
      </c>
      <c r="V1838">
        <v>0</v>
      </c>
      <c r="W1838">
        <v>0</v>
      </c>
      <c r="X1838">
        <v>1</v>
      </c>
      <c r="Y1838">
        <v>0</v>
      </c>
      <c r="Z1838">
        <v>0</v>
      </c>
      <c r="AB1838">
        <v>0</v>
      </c>
      <c r="AC1838">
        <v>9</v>
      </c>
      <c r="AD1838">
        <v>3</v>
      </c>
      <c r="AE1838">
        <v>0</v>
      </c>
      <c r="AF1838">
        <v>9</v>
      </c>
      <c r="AG1838" t="s">
        <v>158</v>
      </c>
      <c r="AH1838">
        <v>0</v>
      </c>
      <c r="AI1838">
        <v>3</v>
      </c>
      <c r="AJ1838">
        <v>1</v>
      </c>
      <c r="AK1838">
        <v>0</v>
      </c>
      <c r="AL1838" t="s">
        <v>1848</v>
      </c>
      <c r="AM1838">
        <v>46.847805999999999</v>
      </c>
      <c r="AN1838" t="s">
        <v>3472</v>
      </c>
      <c r="AO1838">
        <v>-122.948341</v>
      </c>
      <c r="AP1838">
        <v>100</v>
      </c>
      <c r="AQ1838">
        <v>2000</v>
      </c>
      <c r="AR1838" t="s">
        <v>118</v>
      </c>
      <c r="AS1838">
        <v>-72</v>
      </c>
      <c r="AT1838">
        <v>17</v>
      </c>
      <c r="AU1838">
        <v>256</v>
      </c>
      <c r="BC1838">
        <v>1200</v>
      </c>
      <c r="BD1838">
        <v>1</v>
      </c>
      <c r="BE1838" t="str">
        <f t="shared" si="86"/>
        <v xml:space="preserve">N215T   </v>
      </c>
      <c r="BF1838">
        <v>1</v>
      </c>
      <c r="BH1838">
        <v>0</v>
      </c>
      <c r="BI1838">
        <v>0</v>
      </c>
      <c r="BJ1838">
        <v>0</v>
      </c>
      <c r="BK1838">
        <v>2350</v>
      </c>
      <c r="BL1838">
        <v>350</v>
      </c>
      <c r="BM1838" t="s">
        <v>119</v>
      </c>
      <c r="BN1838">
        <v>1</v>
      </c>
      <c r="BO1838">
        <v>1</v>
      </c>
      <c r="BP1838">
        <v>1</v>
      </c>
      <c r="BQ1838">
        <v>0</v>
      </c>
      <c r="BT1838">
        <v>0</v>
      </c>
      <c r="BU1838">
        <v>0</v>
      </c>
      <c r="BV1838">
        <v>0</v>
      </c>
      <c r="CC1838" t="str">
        <f>"19:05:27.344"</f>
        <v>19:05:27.344</v>
      </c>
      <c r="CD1838" t="str">
        <f>"342017216"</f>
        <v>342017216</v>
      </c>
      <c r="CQ1838">
        <v>0</v>
      </c>
      <c r="CR1838">
        <v>2</v>
      </c>
      <c r="CS1838">
        <v>0</v>
      </c>
      <c r="CT1838">
        <v>2</v>
      </c>
      <c r="CU1838">
        <v>0</v>
      </c>
      <c r="CV1838">
        <v>7</v>
      </c>
      <c r="CW1838" t="s">
        <v>120</v>
      </c>
      <c r="CX1838">
        <v>261</v>
      </c>
      <c r="CY1838">
        <v>2</v>
      </c>
      <c r="CZ1838" t="s">
        <v>121</v>
      </c>
      <c r="DA1838" t="s">
        <v>122</v>
      </c>
      <c r="DD1838">
        <v>15342128</v>
      </c>
      <c r="DE1838" t="s">
        <v>123</v>
      </c>
    </row>
    <row r="1839" spans="1:109" x14ac:dyDescent="0.3">
      <c r="A1839" t="str">
        <f>"19:05:28.547"</f>
        <v>19:05:28.547</v>
      </c>
      <c r="B1839" t="s">
        <v>110</v>
      </c>
      <c r="C1839" t="str">
        <f t="shared" si="84"/>
        <v>ffdfd3c0</v>
      </c>
      <c r="D1839" t="s">
        <v>111</v>
      </c>
      <c r="E1839">
        <v>18</v>
      </c>
      <c r="F1839">
        <v>1018</v>
      </c>
      <c r="G1839" t="s">
        <v>112</v>
      </c>
      <c r="J1839" t="s">
        <v>113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R1839" t="s">
        <v>114</v>
      </c>
      <c r="S1839" t="str">
        <f>"19:05:28.313"</f>
        <v>19:05:28.313</v>
      </c>
      <c r="T1839" t="str">
        <f>"19:05:28.211"</f>
        <v>19:05:28.211</v>
      </c>
      <c r="U1839" t="str">
        <f t="shared" si="85"/>
        <v>a1cdbe</v>
      </c>
      <c r="V1839">
        <v>0</v>
      </c>
      <c r="W1839">
        <v>0</v>
      </c>
      <c r="X1839">
        <v>1</v>
      </c>
      <c r="Y1839">
        <v>0</v>
      </c>
      <c r="Z1839">
        <v>0</v>
      </c>
      <c r="AB1839">
        <v>0</v>
      </c>
      <c r="AC1839">
        <v>9</v>
      </c>
      <c r="AD1839">
        <v>3</v>
      </c>
      <c r="AE1839">
        <v>0</v>
      </c>
      <c r="AF1839">
        <v>9</v>
      </c>
      <c r="AG1839" t="s">
        <v>158</v>
      </c>
      <c r="AH1839">
        <v>0</v>
      </c>
      <c r="AI1839">
        <v>3</v>
      </c>
      <c r="AJ1839">
        <v>1</v>
      </c>
      <c r="AK1839">
        <v>0</v>
      </c>
      <c r="AL1839" t="s">
        <v>3473</v>
      </c>
      <c r="AM1839">
        <v>46.847892000000002</v>
      </c>
      <c r="AN1839" t="s">
        <v>3474</v>
      </c>
      <c r="AO1839">
        <v>-122.948813</v>
      </c>
      <c r="AP1839">
        <v>100</v>
      </c>
      <c r="AQ1839">
        <v>2000</v>
      </c>
      <c r="AR1839" t="s">
        <v>118</v>
      </c>
      <c r="AS1839">
        <v>-72</v>
      </c>
      <c r="AT1839">
        <v>18</v>
      </c>
      <c r="AU1839">
        <v>192</v>
      </c>
      <c r="BC1839">
        <v>1200</v>
      </c>
      <c r="BD1839">
        <v>1</v>
      </c>
      <c r="BE1839" t="str">
        <f t="shared" si="86"/>
        <v xml:space="preserve">N215T   </v>
      </c>
      <c r="BF1839">
        <v>1</v>
      </c>
      <c r="BH1839">
        <v>0</v>
      </c>
      <c r="BI1839">
        <v>0</v>
      </c>
      <c r="BJ1839">
        <v>0</v>
      </c>
      <c r="BK1839">
        <v>2350</v>
      </c>
      <c r="BL1839">
        <v>350</v>
      </c>
      <c r="BM1839" t="s">
        <v>119</v>
      </c>
      <c r="BN1839">
        <v>1</v>
      </c>
      <c r="BO1839">
        <v>1</v>
      </c>
      <c r="BP1839">
        <v>1</v>
      </c>
      <c r="BQ1839">
        <v>0</v>
      </c>
      <c r="BT1839">
        <v>0</v>
      </c>
      <c r="BU1839">
        <v>0</v>
      </c>
      <c r="BV1839">
        <v>0</v>
      </c>
      <c r="CC1839" t="str">
        <f>"19:05:28.320"</f>
        <v>19:05:28.320</v>
      </c>
      <c r="CD1839" t="str">
        <f>"316921185"</f>
        <v>316921185</v>
      </c>
      <c r="CQ1839">
        <v>0</v>
      </c>
      <c r="CR1839">
        <v>2</v>
      </c>
      <c r="CS1839">
        <v>0</v>
      </c>
      <c r="CT1839">
        <v>2</v>
      </c>
      <c r="CU1839">
        <v>0</v>
      </c>
      <c r="CV1839">
        <v>7</v>
      </c>
      <c r="CW1839" t="s">
        <v>120</v>
      </c>
      <c r="CX1839">
        <v>261</v>
      </c>
      <c r="CY1839">
        <v>2</v>
      </c>
      <c r="CZ1839" t="s">
        <v>121</v>
      </c>
      <c r="DA1839" t="s">
        <v>122</v>
      </c>
      <c r="DD1839">
        <v>15342742</v>
      </c>
      <c r="DE1839" t="s">
        <v>123</v>
      </c>
    </row>
    <row r="1840" spans="1:109" x14ac:dyDescent="0.3">
      <c r="A1840" t="str">
        <f>"19:05:29.500"</f>
        <v>19:05:29.500</v>
      </c>
      <c r="B1840" t="s">
        <v>110</v>
      </c>
      <c r="C1840" t="str">
        <f t="shared" si="84"/>
        <v>ffdfd3c0</v>
      </c>
      <c r="D1840" t="s">
        <v>111</v>
      </c>
      <c r="E1840">
        <v>18</v>
      </c>
      <c r="F1840">
        <v>1018</v>
      </c>
      <c r="G1840" t="s">
        <v>112</v>
      </c>
      <c r="J1840" t="s">
        <v>113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R1840" t="s">
        <v>114</v>
      </c>
      <c r="S1840" t="str">
        <f>"19:05:29.289"</f>
        <v>19:05:29.289</v>
      </c>
      <c r="T1840" t="str">
        <f>"19:05:29.188"</f>
        <v>19:05:29.188</v>
      </c>
      <c r="U1840" t="str">
        <f t="shared" si="85"/>
        <v>a1cdbe</v>
      </c>
      <c r="V1840">
        <v>0</v>
      </c>
      <c r="W1840">
        <v>0</v>
      </c>
      <c r="X1840">
        <v>1</v>
      </c>
      <c r="Y1840">
        <v>0</v>
      </c>
      <c r="Z1840">
        <v>0</v>
      </c>
      <c r="AB1840">
        <v>0</v>
      </c>
      <c r="AC1840">
        <v>9</v>
      </c>
      <c r="AD1840">
        <v>3</v>
      </c>
      <c r="AE1840">
        <v>0</v>
      </c>
      <c r="AF1840">
        <v>9</v>
      </c>
      <c r="AG1840" t="s">
        <v>158</v>
      </c>
      <c r="AH1840">
        <v>0</v>
      </c>
      <c r="AI1840">
        <v>3</v>
      </c>
      <c r="AJ1840">
        <v>1</v>
      </c>
      <c r="AK1840">
        <v>0</v>
      </c>
      <c r="AL1840" t="s">
        <v>3475</v>
      </c>
      <c r="AM1840">
        <v>46.847999000000002</v>
      </c>
      <c r="AN1840" t="s">
        <v>3476</v>
      </c>
      <c r="AO1840">
        <v>-122.949264</v>
      </c>
      <c r="AP1840">
        <v>100</v>
      </c>
      <c r="AQ1840">
        <v>2000</v>
      </c>
      <c r="AR1840" t="s">
        <v>118</v>
      </c>
      <c r="AS1840">
        <v>-72</v>
      </c>
      <c r="AT1840">
        <v>18</v>
      </c>
      <c r="AU1840">
        <v>192</v>
      </c>
      <c r="BC1840">
        <v>1200</v>
      </c>
      <c r="BD1840">
        <v>1</v>
      </c>
      <c r="BE1840" t="str">
        <f t="shared" si="86"/>
        <v xml:space="preserve">N215T   </v>
      </c>
      <c r="BF1840">
        <v>1</v>
      </c>
      <c r="BH1840">
        <v>0</v>
      </c>
      <c r="BI1840">
        <v>0</v>
      </c>
      <c r="BJ1840">
        <v>0</v>
      </c>
      <c r="BK1840">
        <v>2350</v>
      </c>
      <c r="BL1840">
        <v>350</v>
      </c>
      <c r="BM1840" t="s">
        <v>119</v>
      </c>
      <c r="BN1840">
        <v>1</v>
      </c>
      <c r="BO1840">
        <v>1</v>
      </c>
      <c r="BP1840">
        <v>1</v>
      </c>
      <c r="BQ1840">
        <v>0</v>
      </c>
      <c r="BT1840">
        <v>0</v>
      </c>
      <c r="BU1840">
        <v>0</v>
      </c>
      <c r="BV1840">
        <v>0</v>
      </c>
      <c r="CC1840" t="str">
        <f>"19:05:29.289"</f>
        <v>19:05:29.289</v>
      </c>
      <c r="CD1840" t="str">
        <f>"291825161"</f>
        <v>291825161</v>
      </c>
      <c r="CQ1840">
        <v>0</v>
      </c>
      <c r="CR1840">
        <v>2</v>
      </c>
      <c r="CS1840">
        <v>0</v>
      </c>
      <c r="CT1840">
        <v>2</v>
      </c>
      <c r="CU1840">
        <v>0</v>
      </c>
      <c r="CV1840">
        <v>7</v>
      </c>
      <c r="CW1840" t="s">
        <v>120</v>
      </c>
      <c r="CX1840">
        <v>261</v>
      </c>
      <c r="CY1840">
        <v>2</v>
      </c>
      <c r="CZ1840" t="s">
        <v>121</v>
      </c>
      <c r="DA1840" t="s">
        <v>122</v>
      </c>
      <c r="DD1840">
        <v>15343441</v>
      </c>
      <c r="DE1840" t="s">
        <v>123</v>
      </c>
    </row>
    <row r="1841" spans="1:109" x14ac:dyDescent="0.3">
      <c r="A1841" t="str">
        <f>"19:05:30.703"</f>
        <v>19:05:30.703</v>
      </c>
      <c r="B1841" t="s">
        <v>110</v>
      </c>
      <c r="C1841" t="str">
        <f t="shared" si="84"/>
        <v>ffdfd3c0</v>
      </c>
      <c r="D1841" t="s">
        <v>111</v>
      </c>
      <c r="E1841">
        <v>18</v>
      </c>
      <c r="F1841">
        <v>1018</v>
      </c>
      <c r="G1841" t="s">
        <v>112</v>
      </c>
      <c r="J1841" t="s">
        <v>113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R1841" t="s">
        <v>114</v>
      </c>
      <c r="S1841" t="str">
        <f>"19:05:30.461"</f>
        <v>19:05:30.461</v>
      </c>
      <c r="T1841" t="str">
        <f>"19:05:30.258"</f>
        <v>19:05:30.258</v>
      </c>
      <c r="U1841" t="str">
        <f t="shared" si="85"/>
        <v>a1cdbe</v>
      </c>
      <c r="V1841">
        <v>0</v>
      </c>
      <c r="W1841">
        <v>0</v>
      </c>
      <c r="X1841">
        <v>1</v>
      </c>
      <c r="Y1841">
        <v>0</v>
      </c>
      <c r="Z1841">
        <v>0</v>
      </c>
      <c r="AB1841">
        <v>0</v>
      </c>
      <c r="AC1841">
        <v>9</v>
      </c>
      <c r="AD1841">
        <v>3</v>
      </c>
      <c r="AE1841">
        <v>0</v>
      </c>
      <c r="AF1841">
        <v>9</v>
      </c>
      <c r="AG1841" t="s">
        <v>158</v>
      </c>
      <c r="AH1841">
        <v>0</v>
      </c>
      <c r="AI1841">
        <v>3</v>
      </c>
      <c r="AJ1841">
        <v>1</v>
      </c>
      <c r="AK1841">
        <v>0</v>
      </c>
      <c r="AL1841" t="s">
        <v>1844</v>
      </c>
      <c r="AM1841">
        <v>46.848084999999998</v>
      </c>
      <c r="AN1841" t="s">
        <v>3477</v>
      </c>
      <c r="AO1841">
        <v>-122.949865</v>
      </c>
      <c r="AP1841">
        <v>100</v>
      </c>
      <c r="AQ1841">
        <v>2000</v>
      </c>
      <c r="AR1841" t="s">
        <v>118</v>
      </c>
      <c r="AS1841">
        <v>-71</v>
      </c>
      <c r="AT1841">
        <v>19</v>
      </c>
      <c r="AU1841">
        <v>128</v>
      </c>
      <c r="BC1841">
        <v>1200</v>
      </c>
      <c r="BD1841">
        <v>1</v>
      </c>
      <c r="BE1841" t="str">
        <f t="shared" si="86"/>
        <v xml:space="preserve">N215T   </v>
      </c>
      <c r="BF1841">
        <v>1</v>
      </c>
      <c r="BH1841">
        <v>0</v>
      </c>
      <c r="BI1841">
        <v>0</v>
      </c>
      <c r="BJ1841">
        <v>0</v>
      </c>
      <c r="BK1841">
        <v>2350</v>
      </c>
      <c r="BL1841">
        <v>350</v>
      </c>
      <c r="BM1841" t="s">
        <v>119</v>
      </c>
      <c r="BN1841">
        <v>1</v>
      </c>
      <c r="BO1841">
        <v>1</v>
      </c>
      <c r="BP1841">
        <v>1</v>
      </c>
      <c r="BQ1841">
        <v>0</v>
      </c>
      <c r="BT1841">
        <v>0</v>
      </c>
      <c r="BU1841">
        <v>0</v>
      </c>
      <c r="BV1841">
        <v>0</v>
      </c>
      <c r="CC1841" t="str">
        <f>"19:05:30.461"</f>
        <v>19:05:30.461</v>
      </c>
      <c r="CD1841" t="str">
        <f>"461735911"</f>
        <v>461735911</v>
      </c>
      <c r="CQ1841">
        <v>0</v>
      </c>
      <c r="CR1841">
        <v>2</v>
      </c>
      <c r="CS1841">
        <v>0</v>
      </c>
      <c r="CT1841">
        <v>2</v>
      </c>
      <c r="CU1841">
        <v>0</v>
      </c>
      <c r="CV1841">
        <v>7</v>
      </c>
      <c r="CW1841" t="s">
        <v>120</v>
      </c>
      <c r="CX1841">
        <v>257</v>
      </c>
      <c r="CY1841">
        <v>1</v>
      </c>
      <c r="CZ1841" t="s">
        <v>615</v>
      </c>
      <c r="DA1841" t="s">
        <v>616</v>
      </c>
      <c r="DD1841">
        <v>11751341</v>
      </c>
      <c r="DE1841" t="s">
        <v>123</v>
      </c>
    </row>
    <row r="1842" spans="1:109" x14ac:dyDescent="0.3">
      <c r="A1842" t="str">
        <f>"19:05:31.563"</f>
        <v>19:05:31.563</v>
      </c>
      <c r="B1842" t="s">
        <v>110</v>
      </c>
      <c r="C1842" t="str">
        <f t="shared" si="84"/>
        <v>ffdfd3c0</v>
      </c>
      <c r="D1842" t="s">
        <v>111</v>
      </c>
      <c r="E1842">
        <v>18</v>
      </c>
      <c r="F1842">
        <v>1018</v>
      </c>
      <c r="G1842" t="s">
        <v>112</v>
      </c>
      <c r="J1842" t="s">
        <v>113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R1842" t="s">
        <v>114</v>
      </c>
      <c r="S1842" t="str">
        <f>"19:05:31.344"</f>
        <v>19:05:31.344</v>
      </c>
      <c r="T1842" t="str">
        <f>"19:05:31.344"</f>
        <v>19:05:31.344</v>
      </c>
      <c r="U1842" t="str">
        <f t="shared" si="85"/>
        <v>a1cdbe</v>
      </c>
      <c r="V1842">
        <v>0</v>
      </c>
      <c r="W1842">
        <v>0</v>
      </c>
      <c r="X1842">
        <v>1</v>
      </c>
      <c r="Y1842">
        <v>0</v>
      </c>
      <c r="Z1842">
        <v>0</v>
      </c>
      <c r="AB1842">
        <v>0</v>
      </c>
      <c r="AC1842">
        <v>9</v>
      </c>
      <c r="AD1842">
        <v>3</v>
      </c>
      <c r="AE1842">
        <v>0</v>
      </c>
      <c r="AF1842">
        <v>9</v>
      </c>
      <c r="AG1842" t="s">
        <v>158</v>
      </c>
      <c r="AH1842">
        <v>0</v>
      </c>
      <c r="AI1842">
        <v>3</v>
      </c>
      <c r="AJ1842">
        <v>1</v>
      </c>
      <c r="AK1842">
        <v>0</v>
      </c>
      <c r="AL1842" t="s">
        <v>3478</v>
      </c>
      <c r="AM1842">
        <v>46.848171000000001</v>
      </c>
      <c r="AN1842" t="s">
        <v>3479</v>
      </c>
      <c r="AO1842">
        <v>-122.950273</v>
      </c>
      <c r="AP1842">
        <v>100</v>
      </c>
      <c r="AQ1842">
        <v>2000</v>
      </c>
      <c r="AR1842" t="s">
        <v>118</v>
      </c>
      <c r="AS1842">
        <v>-71</v>
      </c>
      <c r="AT1842">
        <v>19</v>
      </c>
      <c r="AU1842">
        <v>192</v>
      </c>
      <c r="BC1842">
        <v>1200</v>
      </c>
      <c r="BD1842">
        <v>1</v>
      </c>
      <c r="BE1842" t="str">
        <f t="shared" si="86"/>
        <v xml:space="preserve">N215T   </v>
      </c>
      <c r="BF1842">
        <v>1</v>
      </c>
      <c r="BH1842">
        <v>0</v>
      </c>
      <c r="BI1842">
        <v>0</v>
      </c>
      <c r="BJ1842">
        <v>0</v>
      </c>
      <c r="BK1842">
        <v>2350</v>
      </c>
      <c r="BL1842">
        <v>350</v>
      </c>
      <c r="BM1842" t="s">
        <v>119</v>
      </c>
      <c r="BN1842">
        <v>1</v>
      </c>
      <c r="BO1842">
        <v>1</v>
      </c>
      <c r="BP1842">
        <v>1</v>
      </c>
      <c r="BQ1842">
        <v>0</v>
      </c>
      <c r="BT1842">
        <v>0</v>
      </c>
      <c r="BU1842">
        <v>0</v>
      </c>
      <c r="BV1842">
        <v>0</v>
      </c>
      <c r="CC1842" t="str">
        <f>"19:05:31.344"</f>
        <v>19:05:31.344</v>
      </c>
      <c r="CD1842" t="str">
        <f>"346622748"</f>
        <v>346622748</v>
      </c>
      <c r="CQ1842">
        <v>0</v>
      </c>
      <c r="CR1842">
        <v>2</v>
      </c>
      <c r="CS1842">
        <v>0</v>
      </c>
      <c r="CT1842">
        <v>2</v>
      </c>
      <c r="CU1842">
        <v>0</v>
      </c>
      <c r="CV1842">
        <v>7</v>
      </c>
      <c r="CW1842" t="s">
        <v>120</v>
      </c>
      <c r="CX1842">
        <v>261</v>
      </c>
      <c r="CY1842">
        <v>2</v>
      </c>
      <c r="CZ1842" t="s">
        <v>121</v>
      </c>
      <c r="DA1842" t="s">
        <v>122</v>
      </c>
      <c r="DD1842">
        <v>15344805</v>
      </c>
      <c r="DE1842" t="s">
        <v>123</v>
      </c>
    </row>
    <row r="1843" spans="1:109" x14ac:dyDescent="0.3">
      <c r="A1843" t="str">
        <f>"19:05:32.617"</f>
        <v>19:05:32.617</v>
      </c>
      <c r="B1843" t="s">
        <v>110</v>
      </c>
      <c r="C1843" t="str">
        <f t="shared" si="84"/>
        <v>ffdfd3c0</v>
      </c>
      <c r="D1843" t="s">
        <v>111</v>
      </c>
      <c r="E1843">
        <v>18</v>
      </c>
      <c r="F1843">
        <v>1018</v>
      </c>
      <c r="G1843" t="s">
        <v>112</v>
      </c>
      <c r="J1843" t="s">
        <v>113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R1843" t="s">
        <v>114</v>
      </c>
      <c r="S1843" t="str">
        <f>"19:05:32.375"</f>
        <v>19:05:32.375</v>
      </c>
      <c r="T1843" t="str">
        <f>"19:05:32.375"</f>
        <v>19:05:32.375</v>
      </c>
      <c r="U1843" t="str">
        <f t="shared" si="85"/>
        <v>a1cdbe</v>
      </c>
      <c r="V1843">
        <v>0</v>
      </c>
      <c r="W1843">
        <v>0</v>
      </c>
      <c r="X1843">
        <v>1</v>
      </c>
      <c r="Y1843">
        <v>0</v>
      </c>
      <c r="Z1843">
        <v>0</v>
      </c>
      <c r="AB1843">
        <v>0</v>
      </c>
      <c r="AC1843">
        <v>9</v>
      </c>
      <c r="AD1843">
        <v>3</v>
      </c>
      <c r="AE1843">
        <v>0</v>
      </c>
      <c r="AF1843">
        <v>9</v>
      </c>
      <c r="AG1843" t="s">
        <v>158</v>
      </c>
      <c r="AH1843">
        <v>0</v>
      </c>
      <c r="AI1843">
        <v>3</v>
      </c>
      <c r="AJ1843">
        <v>1</v>
      </c>
      <c r="AK1843">
        <v>0</v>
      </c>
      <c r="AL1843" t="s">
        <v>3480</v>
      </c>
      <c r="AM1843">
        <v>46.848256999999997</v>
      </c>
      <c r="AN1843" t="s">
        <v>3481</v>
      </c>
      <c r="AO1843">
        <v>-122.95080900000001</v>
      </c>
      <c r="AP1843">
        <v>100</v>
      </c>
      <c r="AQ1843">
        <v>2000</v>
      </c>
      <c r="AR1843" t="s">
        <v>118</v>
      </c>
      <c r="AS1843">
        <v>-70</v>
      </c>
      <c r="AT1843">
        <v>20</v>
      </c>
      <c r="AU1843">
        <v>128</v>
      </c>
      <c r="BC1843">
        <v>1200</v>
      </c>
      <c r="BD1843">
        <v>1</v>
      </c>
      <c r="BE1843" t="str">
        <f t="shared" si="86"/>
        <v xml:space="preserve">N215T   </v>
      </c>
      <c r="BF1843">
        <v>1</v>
      </c>
      <c r="BH1843">
        <v>0</v>
      </c>
      <c r="BI1843">
        <v>0</v>
      </c>
      <c r="BJ1843">
        <v>0</v>
      </c>
      <c r="BK1843">
        <v>2375</v>
      </c>
      <c r="BL1843">
        <v>375</v>
      </c>
      <c r="BM1843" t="s">
        <v>119</v>
      </c>
      <c r="BN1843">
        <v>1</v>
      </c>
      <c r="BO1843">
        <v>1</v>
      </c>
      <c r="BP1843">
        <v>1</v>
      </c>
      <c r="BQ1843">
        <v>0</v>
      </c>
      <c r="BT1843">
        <v>0</v>
      </c>
      <c r="BU1843">
        <v>0</v>
      </c>
      <c r="BV1843">
        <v>0</v>
      </c>
      <c r="CC1843" t="str">
        <f>"19:05:32.383"</f>
        <v>19:05:32.383</v>
      </c>
      <c r="CD1843" t="str">
        <f>"381546665"</f>
        <v>381546665</v>
      </c>
      <c r="CQ1843">
        <v>0</v>
      </c>
      <c r="CR1843">
        <v>2</v>
      </c>
      <c r="CS1843">
        <v>0</v>
      </c>
      <c r="CT1843">
        <v>2</v>
      </c>
      <c r="CU1843">
        <v>0</v>
      </c>
      <c r="CV1843">
        <v>7</v>
      </c>
      <c r="CW1843" t="s">
        <v>120</v>
      </c>
      <c r="CX1843">
        <v>257</v>
      </c>
      <c r="CY1843">
        <v>1</v>
      </c>
      <c r="CZ1843" t="s">
        <v>615</v>
      </c>
      <c r="DA1843" t="s">
        <v>616</v>
      </c>
      <c r="DD1843">
        <v>11752802</v>
      </c>
      <c r="DE1843" t="s">
        <v>123</v>
      </c>
    </row>
    <row r="1844" spans="1:109" x14ac:dyDescent="0.3">
      <c r="A1844" t="str">
        <f>"19:05:33.523"</f>
        <v>19:05:33.523</v>
      </c>
      <c r="B1844" t="s">
        <v>110</v>
      </c>
      <c r="C1844" t="str">
        <f t="shared" si="84"/>
        <v>ffdfd3c0</v>
      </c>
      <c r="D1844" t="s">
        <v>111</v>
      </c>
      <c r="E1844">
        <v>18</v>
      </c>
      <c r="F1844">
        <v>1018</v>
      </c>
      <c r="G1844" t="s">
        <v>112</v>
      </c>
      <c r="J1844" t="s">
        <v>113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R1844" t="s">
        <v>114</v>
      </c>
      <c r="S1844" t="str">
        <f>"19:05:33.289"</f>
        <v>19:05:33.289</v>
      </c>
      <c r="T1844" t="str">
        <f>"19:05:32.992"</f>
        <v>19:05:32.992</v>
      </c>
      <c r="U1844" t="str">
        <f t="shared" si="85"/>
        <v>a1cdbe</v>
      </c>
      <c r="V1844">
        <v>0</v>
      </c>
      <c r="W1844">
        <v>0</v>
      </c>
      <c r="X1844">
        <v>1</v>
      </c>
      <c r="Y1844">
        <v>0</v>
      </c>
      <c r="Z1844">
        <v>0</v>
      </c>
      <c r="AB1844">
        <v>0</v>
      </c>
      <c r="AC1844">
        <v>9</v>
      </c>
      <c r="AD1844">
        <v>3</v>
      </c>
      <c r="AE1844">
        <v>0</v>
      </c>
      <c r="AF1844">
        <v>9</v>
      </c>
      <c r="AG1844" t="s">
        <v>158</v>
      </c>
      <c r="AH1844">
        <v>0</v>
      </c>
      <c r="AI1844">
        <v>3</v>
      </c>
      <c r="AJ1844">
        <v>1</v>
      </c>
      <c r="AK1844">
        <v>0</v>
      </c>
      <c r="AL1844" t="s">
        <v>3482</v>
      </c>
      <c r="AM1844">
        <v>46.848363999999997</v>
      </c>
      <c r="AN1844" t="s">
        <v>3483</v>
      </c>
      <c r="AO1844">
        <v>-122.951217</v>
      </c>
      <c r="AP1844">
        <v>100</v>
      </c>
      <c r="AQ1844">
        <v>2000</v>
      </c>
      <c r="AR1844" t="s">
        <v>118</v>
      </c>
      <c r="AS1844">
        <v>-70</v>
      </c>
      <c r="AT1844">
        <v>20</v>
      </c>
      <c r="AU1844">
        <v>128</v>
      </c>
      <c r="BC1844">
        <v>1200</v>
      </c>
      <c r="BD1844">
        <v>1</v>
      </c>
      <c r="BE1844" t="str">
        <f t="shared" si="86"/>
        <v xml:space="preserve">N215T   </v>
      </c>
      <c r="BF1844">
        <v>1</v>
      </c>
      <c r="BH1844">
        <v>0</v>
      </c>
      <c r="BI1844">
        <v>0</v>
      </c>
      <c r="BJ1844">
        <v>0</v>
      </c>
      <c r="BK1844">
        <v>2375</v>
      </c>
      <c r="BL1844">
        <v>375</v>
      </c>
      <c r="BM1844" t="s">
        <v>119</v>
      </c>
      <c r="BN1844">
        <v>1</v>
      </c>
      <c r="BO1844">
        <v>1</v>
      </c>
      <c r="BP1844">
        <v>1</v>
      </c>
      <c r="BQ1844">
        <v>0</v>
      </c>
      <c r="BT1844">
        <v>0</v>
      </c>
      <c r="BU1844">
        <v>0</v>
      </c>
      <c r="BV1844">
        <v>0</v>
      </c>
      <c r="CC1844" t="str">
        <f>"19:05:33.297"</f>
        <v>19:05:33.297</v>
      </c>
      <c r="CD1844" t="str">
        <f>"296430668"</f>
        <v>296430668</v>
      </c>
      <c r="CQ1844">
        <v>0</v>
      </c>
      <c r="CR1844">
        <v>2</v>
      </c>
      <c r="CS1844">
        <v>0</v>
      </c>
      <c r="CT1844">
        <v>2</v>
      </c>
      <c r="CU1844">
        <v>0</v>
      </c>
      <c r="CV1844">
        <v>7</v>
      </c>
      <c r="CW1844" t="s">
        <v>120</v>
      </c>
      <c r="CX1844">
        <v>261</v>
      </c>
      <c r="CY1844">
        <v>2</v>
      </c>
      <c r="CZ1844" t="s">
        <v>121</v>
      </c>
      <c r="DA1844" t="s">
        <v>122</v>
      </c>
      <c r="DD1844">
        <v>15346043</v>
      </c>
      <c r="DE1844" t="s">
        <v>123</v>
      </c>
    </row>
    <row r="1845" spans="1:109" x14ac:dyDescent="0.3">
      <c r="A1845" t="str">
        <f>"19:05:34.578"</f>
        <v>19:05:34.578</v>
      </c>
      <c r="B1845" t="s">
        <v>110</v>
      </c>
      <c r="C1845" t="str">
        <f t="shared" si="84"/>
        <v>ffdfd3c0</v>
      </c>
      <c r="D1845" t="s">
        <v>111</v>
      </c>
      <c r="E1845">
        <v>18</v>
      </c>
      <c r="F1845">
        <v>1018</v>
      </c>
      <c r="G1845" t="s">
        <v>112</v>
      </c>
      <c r="J1845" t="s">
        <v>113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R1845" t="s">
        <v>114</v>
      </c>
      <c r="S1845" t="str">
        <f>"19:05:34.375"</f>
        <v>19:05:34.375</v>
      </c>
      <c r="T1845" t="str">
        <f>"19:05:33.875"</f>
        <v>19:05:33.875</v>
      </c>
      <c r="U1845" t="str">
        <f t="shared" si="85"/>
        <v>a1cdbe</v>
      </c>
      <c r="V1845">
        <v>0</v>
      </c>
      <c r="W1845">
        <v>0</v>
      </c>
      <c r="X1845">
        <v>1</v>
      </c>
      <c r="Y1845">
        <v>0</v>
      </c>
      <c r="Z1845">
        <v>0</v>
      </c>
      <c r="AB1845">
        <v>0</v>
      </c>
      <c r="AC1845">
        <v>9</v>
      </c>
      <c r="AD1845">
        <v>3</v>
      </c>
      <c r="AE1845">
        <v>0</v>
      </c>
      <c r="AF1845">
        <v>9</v>
      </c>
      <c r="AG1845" t="s">
        <v>158</v>
      </c>
      <c r="AH1845">
        <v>0</v>
      </c>
      <c r="AI1845">
        <v>3</v>
      </c>
      <c r="AJ1845">
        <v>1</v>
      </c>
      <c r="AK1845">
        <v>0</v>
      </c>
      <c r="AL1845" t="s">
        <v>3484</v>
      </c>
      <c r="AM1845">
        <v>46.84845</v>
      </c>
      <c r="AN1845" t="s">
        <v>3485</v>
      </c>
      <c r="AO1845">
        <v>-122.951753</v>
      </c>
      <c r="AP1845">
        <v>100</v>
      </c>
      <c r="AQ1845">
        <v>2000</v>
      </c>
      <c r="AR1845" t="s">
        <v>118</v>
      </c>
      <c r="AS1845">
        <v>-70</v>
      </c>
      <c r="AT1845">
        <v>20</v>
      </c>
      <c r="AU1845">
        <v>128</v>
      </c>
      <c r="BC1845">
        <v>1200</v>
      </c>
      <c r="BD1845">
        <v>1</v>
      </c>
      <c r="BE1845" t="str">
        <f t="shared" si="86"/>
        <v xml:space="preserve">N215T   </v>
      </c>
      <c r="BF1845">
        <v>1</v>
      </c>
      <c r="BH1845">
        <v>0</v>
      </c>
      <c r="BI1845">
        <v>0</v>
      </c>
      <c r="BJ1845">
        <v>0</v>
      </c>
      <c r="BK1845">
        <v>2375</v>
      </c>
      <c r="BL1845">
        <v>375</v>
      </c>
      <c r="BM1845" t="s">
        <v>119</v>
      </c>
      <c r="BN1845">
        <v>1</v>
      </c>
      <c r="BO1845">
        <v>1</v>
      </c>
      <c r="BP1845">
        <v>1</v>
      </c>
      <c r="BQ1845">
        <v>0</v>
      </c>
      <c r="BT1845">
        <v>0</v>
      </c>
      <c r="BU1845">
        <v>0</v>
      </c>
      <c r="BV1845">
        <v>0</v>
      </c>
      <c r="CC1845" t="str">
        <f>"19:05:34.375"</f>
        <v>19:05:34.375</v>
      </c>
      <c r="CD1845" t="str">
        <f>"376324290"</f>
        <v>376324290</v>
      </c>
      <c r="CQ1845">
        <v>0</v>
      </c>
      <c r="CR1845">
        <v>2</v>
      </c>
      <c r="CS1845">
        <v>0</v>
      </c>
      <c r="CT1845">
        <v>2</v>
      </c>
      <c r="CU1845">
        <v>0</v>
      </c>
      <c r="CV1845">
        <v>7</v>
      </c>
      <c r="CW1845" t="s">
        <v>120</v>
      </c>
      <c r="CX1845">
        <v>261</v>
      </c>
      <c r="CY1845">
        <v>2</v>
      </c>
      <c r="CZ1845" t="s">
        <v>121</v>
      </c>
      <c r="DA1845" t="s">
        <v>122</v>
      </c>
      <c r="DD1845">
        <v>15346823</v>
      </c>
      <c r="DE1845" t="s">
        <v>123</v>
      </c>
    </row>
    <row r="1846" spans="1:109" x14ac:dyDescent="0.3">
      <c r="A1846" t="str">
        <f>"19:05:35.578"</f>
        <v>19:05:35.578</v>
      </c>
      <c r="B1846" t="s">
        <v>110</v>
      </c>
      <c r="C1846" t="str">
        <f t="shared" si="84"/>
        <v>ffdfd3c0</v>
      </c>
      <c r="D1846" t="s">
        <v>111</v>
      </c>
      <c r="E1846">
        <v>18</v>
      </c>
      <c r="F1846">
        <v>1018</v>
      </c>
      <c r="G1846" t="s">
        <v>112</v>
      </c>
      <c r="J1846" t="s">
        <v>113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R1846" t="s">
        <v>114</v>
      </c>
      <c r="S1846" t="str">
        <f>"19:05:35.375"</f>
        <v>19:05:35.375</v>
      </c>
      <c r="T1846" t="str">
        <f>"19:05:34.977"</f>
        <v>19:05:34.977</v>
      </c>
      <c r="U1846" t="str">
        <f t="shared" si="85"/>
        <v>a1cdbe</v>
      </c>
      <c r="V1846">
        <v>0</v>
      </c>
      <c r="W1846">
        <v>0</v>
      </c>
      <c r="X1846">
        <v>1</v>
      </c>
      <c r="Y1846">
        <v>0</v>
      </c>
      <c r="Z1846">
        <v>0</v>
      </c>
      <c r="AB1846">
        <v>0</v>
      </c>
      <c r="AC1846">
        <v>9</v>
      </c>
      <c r="AD1846">
        <v>3</v>
      </c>
      <c r="AE1846">
        <v>0</v>
      </c>
      <c r="AF1846">
        <v>9</v>
      </c>
      <c r="AG1846" t="s">
        <v>158</v>
      </c>
      <c r="AH1846">
        <v>0</v>
      </c>
      <c r="AI1846">
        <v>3</v>
      </c>
      <c r="AJ1846">
        <v>1</v>
      </c>
      <c r="AK1846">
        <v>0</v>
      </c>
      <c r="AL1846" t="s">
        <v>3486</v>
      </c>
      <c r="AM1846">
        <v>46.848536000000003</v>
      </c>
      <c r="AN1846" t="s">
        <v>3487</v>
      </c>
      <c r="AO1846">
        <v>-122.95218199999999</v>
      </c>
      <c r="AP1846">
        <v>100</v>
      </c>
      <c r="AQ1846">
        <v>2000</v>
      </c>
      <c r="AR1846" t="s">
        <v>118</v>
      </c>
      <c r="AS1846">
        <v>-70</v>
      </c>
      <c r="AT1846">
        <v>20</v>
      </c>
      <c r="AU1846">
        <v>128</v>
      </c>
      <c r="BC1846">
        <v>1200</v>
      </c>
      <c r="BD1846">
        <v>1</v>
      </c>
      <c r="BE1846" t="str">
        <f t="shared" si="86"/>
        <v xml:space="preserve">N215T   </v>
      </c>
      <c r="BF1846">
        <v>1</v>
      </c>
      <c r="BH1846">
        <v>0</v>
      </c>
      <c r="BI1846">
        <v>0</v>
      </c>
      <c r="BJ1846">
        <v>0</v>
      </c>
      <c r="BK1846">
        <v>2375</v>
      </c>
      <c r="BL1846">
        <v>375</v>
      </c>
      <c r="BM1846" t="s">
        <v>119</v>
      </c>
      <c r="BN1846">
        <v>1</v>
      </c>
      <c r="BO1846">
        <v>1</v>
      </c>
      <c r="BP1846">
        <v>1</v>
      </c>
      <c r="BQ1846">
        <v>0</v>
      </c>
      <c r="BT1846">
        <v>0</v>
      </c>
      <c r="BU1846">
        <v>0</v>
      </c>
      <c r="BV1846">
        <v>0</v>
      </c>
      <c r="CC1846" t="str">
        <f>"19:05:35.383"</f>
        <v>19:05:35.383</v>
      </c>
      <c r="CD1846" t="str">
        <f>"381250973"</f>
        <v>381250973</v>
      </c>
      <c r="CQ1846">
        <v>0</v>
      </c>
      <c r="CR1846">
        <v>2</v>
      </c>
      <c r="CS1846">
        <v>0</v>
      </c>
      <c r="CT1846">
        <v>2</v>
      </c>
      <c r="CU1846">
        <v>0</v>
      </c>
      <c r="CV1846">
        <v>7</v>
      </c>
      <c r="CW1846" t="s">
        <v>120</v>
      </c>
      <c r="CX1846">
        <v>257</v>
      </c>
      <c r="CY1846">
        <v>1</v>
      </c>
      <c r="CZ1846" t="s">
        <v>615</v>
      </c>
      <c r="DA1846" t="s">
        <v>616</v>
      </c>
      <c r="DD1846">
        <v>11755101</v>
      </c>
      <c r="DE1846" t="s">
        <v>123</v>
      </c>
    </row>
    <row r="1847" spans="1:109" x14ac:dyDescent="0.3">
      <c r="A1847" t="str">
        <f>"19:05:36.641"</f>
        <v>19:05:36.641</v>
      </c>
      <c r="B1847" t="s">
        <v>110</v>
      </c>
      <c r="C1847" t="str">
        <f t="shared" si="84"/>
        <v>ffdfd3c0</v>
      </c>
      <c r="D1847" t="s">
        <v>111</v>
      </c>
      <c r="E1847">
        <v>18</v>
      </c>
      <c r="F1847">
        <v>1018</v>
      </c>
      <c r="G1847" t="s">
        <v>112</v>
      </c>
      <c r="J1847" t="s">
        <v>113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R1847" t="s">
        <v>114</v>
      </c>
      <c r="S1847" t="str">
        <f>"19:05:36.414"</f>
        <v>19:05:36.414</v>
      </c>
      <c r="T1847" t="str">
        <f>"19:05:36.414"</f>
        <v>19:05:36.414</v>
      </c>
      <c r="U1847" t="str">
        <f t="shared" si="85"/>
        <v>a1cdbe</v>
      </c>
      <c r="V1847">
        <v>0</v>
      </c>
      <c r="W1847">
        <v>0</v>
      </c>
      <c r="X1847">
        <v>1</v>
      </c>
      <c r="Y1847">
        <v>0</v>
      </c>
      <c r="Z1847">
        <v>0</v>
      </c>
      <c r="AB1847">
        <v>0</v>
      </c>
      <c r="AC1847">
        <v>9</v>
      </c>
      <c r="AD1847">
        <v>3</v>
      </c>
      <c r="AE1847">
        <v>0</v>
      </c>
      <c r="AF1847">
        <v>9</v>
      </c>
      <c r="AG1847" t="s">
        <v>158</v>
      </c>
      <c r="AH1847">
        <v>0</v>
      </c>
      <c r="AI1847">
        <v>3</v>
      </c>
      <c r="AJ1847">
        <v>1</v>
      </c>
      <c r="AK1847">
        <v>0</v>
      </c>
      <c r="AL1847" t="s">
        <v>1836</v>
      </c>
      <c r="AM1847">
        <v>46.848643000000003</v>
      </c>
      <c r="AN1847" t="s">
        <v>3488</v>
      </c>
      <c r="AO1847">
        <v>-122.952697</v>
      </c>
      <c r="AP1847">
        <v>100</v>
      </c>
      <c r="AQ1847">
        <v>2000</v>
      </c>
      <c r="AR1847" t="s">
        <v>118</v>
      </c>
      <c r="AS1847">
        <v>-70</v>
      </c>
      <c r="AT1847">
        <v>20</v>
      </c>
      <c r="AU1847">
        <v>128</v>
      </c>
      <c r="BC1847">
        <v>1200</v>
      </c>
      <c r="BD1847">
        <v>1</v>
      </c>
      <c r="BE1847" t="str">
        <f t="shared" si="86"/>
        <v xml:space="preserve">N215T   </v>
      </c>
      <c r="BF1847">
        <v>1</v>
      </c>
      <c r="BH1847">
        <v>0</v>
      </c>
      <c r="BI1847">
        <v>0</v>
      </c>
      <c r="BJ1847">
        <v>0</v>
      </c>
      <c r="BK1847">
        <v>2375</v>
      </c>
      <c r="BL1847">
        <v>375</v>
      </c>
      <c r="BM1847" t="s">
        <v>119</v>
      </c>
      <c r="BN1847">
        <v>1</v>
      </c>
      <c r="BO1847">
        <v>1</v>
      </c>
      <c r="BP1847">
        <v>1</v>
      </c>
      <c r="BQ1847">
        <v>0</v>
      </c>
      <c r="BT1847">
        <v>0</v>
      </c>
      <c r="BU1847">
        <v>0</v>
      </c>
      <c r="BV1847">
        <v>0</v>
      </c>
      <c r="CC1847" t="str">
        <f>"19:05:36.414"</f>
        <v>19:05:36.414</v>
      </c>
      <c r="CD1847" t="str">
        <f>"416123358"</f>
        <v>416123358</v>
      </c>
      <c r="CQ1847">
        <v>0</v>
      </c>
      <c r="CR1847">
        <v>2</v>
      </c>
      <c r="CS1847">
        <v>0</v>
      </c>
      <c r="CT1847">
        <v>2</v>
      </c>
      <c r="CU1847">
        <v>0</v>
      </c>
      <c r="CV1847">
        <v>7</v>
      </c>
      <c r="CW1847" t="s">
        <v>120</v>
      </c>
      <c r="CX1847">
        <v>261</v>
      </c>
      <c r="CY1847">
        <v>2</v>
      </c>
      <c r="CZ1847" t="s">
        <v>121</v>
      </c>
      <c r="DA1847" t="s">
        <v>122</v>
      </c>
      <c r="DD1847">
        <v>15348233</v>
      </c>
      <c r="DE1847" t="s">
        <v>123</v>
      </c>
    </row>
    <row r="1848" spans="1:109" x14ac:dyDescent="0.3">
      <c r="A1848" t="str">
        <f>"19:05:37.539"</f>
        <v>19:05:37.539</v>
      </c>
      <c r="B1848" t="s">
        <v>110</v>
      </c>
      <c r="C1848" t="str">
        <f t="shared" si="84"/>
        <v>ffdfd3c0</v>
      </c>
      <c r="D1848" t="s">
        <v>111</v>
      </c>
      <c r="E1848">
        <v>18</v>
      </c>
      <c r="F1848">
        <v>1018</v>
      </c>
      <c r="G1848" t="s">
        <v>112</v>
      </c>
      <c r="J1848" t="s">
        <v>113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R1848" t="s">
        <v>114</v>
      </c>
      <c r="S1848" t="str">
        <f>"19:05:37.297"</f>
        <v>19:05:37.297</v>
      </c>
      <c r="T1848" t="str">
        <f>"19:05:36.898"</f>
        <v>19:05:36.898</v>
      </c>
      <c r="U1848" t="str">
        <f t="shared" si="85"/>
        <v>a1cdbe</v>
      </c>
      <c r="V1848">
        <v>0</v>
      </c>
      <c r="W1848">
        <v>0</v>
      </c>
      <c r="X1848">
        <v>1</v>
      </c>
      <c r="Y1848">
        <v>0</v>
      </c>
      <c r="Z1848">
        <v>0</v>
      </c>
      <c r="AB1848">
        <v>0</v>
      </c>
      <c r="AC1848">
        <v>9</v>
      </c>
      <c r="AD1848">
        <v>3</v>
      </c>
      <c r="AE1848">
        <v>0</v>
      </c>
      <c r="AF1848">
        <v>9</v>
      </c>
      <c r="AG1848" t="s">
        <v>158</v>
      </c>
      <c r="AH1848">
        <v>0</v>
      </c>
      <c r="AI1848">
        <v>3</v>
      </c>
      <c r="AJ1848">
        <v>1</v>
      </c>
      <c r="AK1848">
        <v>0</v>
      </c>
      <c r="AL1848" t="s">
        <v>3489</v>
      </c>
      <c r="AM1848">
        <v>46.848728999999999</v>
      </c>
      <c r="AN1848" t="s">
        <v>3490</v>
      </c>
      <c r="AO1848">
        <v>-122.953084</v>
      </c>
      <c r="AP1848">
        <v>100</v>
      </c>
      <c r="AQ1848">
        <v>2000</v>
      </c>
      <c r="AR1848" t="s">
        <v>118</v>
      </c>
      <c r="AS1848">
        <v>-70</v>
      </c>
      <c r="AT1848">
        <v>20</v>
      </c>
      <c r="AU1848">
        <v>128</v>
      </c>
      <c r="BC1848">
        <v>1200</v>
      </c>
      <c r="BD1848">
        <v>1</v>
      </c>
      <c r="BE1848" t="str">
        <f t="shared" si="86"/>
        <v xml:space="preserve">N215T   </v>
      </c>
      <c r="BF1848">
        <v>1</v>
      </c>
      <c r="BH1848">
        <v>0</v>
      </c>
      <c r="BI1848">
        <v>0</v>
      </c>
      <c r="BJ1848">
        <v>0</v>
      </c>
      <c r="BK1848">
        <v>2375</v>
      </c>
      <c r="BL1848">
        <v>375</v>
      </c>
      <c r="BM1848" t="s">
        <v>119</v>
      </c>
      <c r="BN1848">
        <v>1</v>
      </c>
      <c r="BO1848">
        <v>1</v>
      </c>
      <c r="BP1848">
        <v>1</v>
      </c>
      <c r="BQ1848">
        <v>0</v>
      </c>
      <c r="BT1848">
        <v>0</v>
      </c>
      <c r="BU1848">
        <v>0</v>
      </c>
      <c r="BV1848">
        <v>0</v>
      </c>
      <c r="CC1848" t="str">
        <f>"19:05:37.305"</f>
        <v>19:05:37.305</v>
      </c>
      <c r="CD1848" t="str">
        <f>"301036192"</f>
        <v>301036192</v>
      </c>
      <c r="CQ1848">
        <v>0</v>
      </c>
      <c r="CR1848">
        <v>2</v>
      </c>
      <c r="CS1848">
        <v>0</v>
      </c>
      <c r="CT1848">
        <v>2</v>
      </c>
      <c r="CU1848">
        <v>0</v>
      </c>
      <c r="CV1848">
        <v>7</v>
      </c>
      <c r="CW1848" t="s">
        <v>120</v>
      </c>
      <c r="CX1848">
        <v>261</v>
      </c>
      <c r="CY1848">
        <v>2</v>
      </c>
      <c r="CZ1848" t="s">
        <v>121</v>
      </c>
      <c r="DA1848" t="s">
        <v>122</v>
      </c>
      <c r="DD1848">
        <v>15348796</v>
      </c>
      <c r="DE1848" t="s">
        <v>123</v>
      </c>
    </row>
    <row r="1849" spans="1:109" x14ac:dyDescent="0.3">
      <c r="A1849" t="str">
        <f>"19:05:38.445"</f>
        <v>19:05:38.445</v>
      </c>
      <c r="B1849" t="s">
        <v>110</v>
      </c>
      <c r="C1849" t="str">
        <f t="shared" si="84"/>
        <v>ffdfd3c0</v>
      </c>
      <c r="D1849" t="s">
        <v>111</v>
      </c>
      <c r="E1849">
        <v>18</v>
      </c>
      <c r="F1849">
        <v>1018</v>
      </c>
      <c r="G1849" t="s">
        <v>112</v>
      </c>
      <c r="J1849" t="s">
        <v>113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R1849" t="s">
        <v>114</v>
      </c>
      <c r="S1849" t="str">
        <f>"19:05:38.242"</f>
        <v>19:05:38.242</v>
      </c>
      <c r="T1849" t="str">
        <f>"19:05:37.742"</f>
        <v>19:05:37.742</v>
      </c>
      <c r="U1849" t="str">
        <f t="shared" si="85"/>
        <v>a1cdbe</v>
      </c>
      <c r="V1849">
        <v>0</v>
      </c>
      <c r="W1849">
        <v>0</v>
      </c>
      <c r="X1849">
        <v>1</v>
      </c>
      <c r="Y1849">
        <v>0</v>
      </c>
      <c r="Z1849">
        <v>0</v>
      </c>
      <c r="AB1849">
        <v>0</v>
      </c>
      <c r="AC1849">
        <v>9</v>
      </c>
      <c r="AD1849">
        <v>3</v>
      </c>
      <c r="AE1849">
        <v>0</v>
      </c>
      <c r="AF1849">
        <v>9</v>
      </c>
      <c r="AG1849" t="s">
        <v>158</v>
      </c>
      <c r="AH1849">
        <v>0</v>
      </c>
      <c r="AI1849">
        <v>3</v>
      </c>
      <c r="AJ1849">
        <v>1</v>
      </c>
      <c r="AK1849">
        <v>0</v>
      </c>
      <c r="AL1849" t="s">
        <v>1834</v>
      </c>
      <c r="AM1849">
        <v>46.848813999999997</v>
      </c>
      <c r="AN1849" t="s">
        <v>3491</v>
      </c>
      <c r="AO1849">
        <v>-122.95355600000001</v>
      </c>
      <c r="AP1849">
        <v>100</v>
      </c>
      <c r="AQ1849">
        <v>2000</v>
      </c>
      <c r="AR1849" t="s">
        <v>118</v>
      </c>
      <c r="AS1849">
        <v>-70</v>
      </c>
      <c r="AT1849">
        <v>19</v>
      </c>
      <c r="AU1849">
        <v>192</v>
      </c>
      <c r="BC1849">
        <v>1200</v>
      </c>
      <c r="BD1849">
        <v>1</v>
      </c>
      <c r="BE1849" t="str">
        <f t="shared" si="86"/>
        <v xml:space="preserve">N215T   </v>
      </c>
      <c r="BF1849">
        <v>1</v>
      </c>
      <c r="BH1849">
        <v>0</v>
      </c>
      <c r="BI1849">
        <v>0</v>
      </c>
      <c r="BJ1849">
        <v>0</v>
      </c>
      <c r="BK1849">
        <v>2375</v>
      </c>
      <c r="BL1849">
        <v>375</v>
      </c>
      <c r="BM1849" t="s">
        <v>119</v>
      </c>
      <c r="BN1849">
        <v>1</v>
      </c>
      <c r="BO1849">
        <v>1</v>
      </c>
      <c r="BP1849">
        <v>1</v>
      </c>
      <c r="BQ1849">
        <v>0</v>
      </c>
      <c r="BT1849">
        <v>0</v>
      </c>
      <c r="BU1849">
        <v>0</v>
      </c>
      <c r="BV1849">
        <v>0</v>
      </c>
      <c r="CC1849" t="str">
        <f>"19:05:38.242"</f>
        <v>19:05:38.242</v>
      </c>
      <c r="CD1849" t="str">
        <f>"245943110"</f>
        <v>245943110</v>
      </c>
      <c r="CQ1849">
        <v>0</v>
      </c>
      <c r="CR1849">
        <v>2</v>
      </c>
      <c r="CS1849">
        <v>0</v>
      </c>
      <c r="CT1849">
        <v>2</v>
      </c>
      <c r="CU1849">
        <v>0</v>
      </c>
      <c r="CV1849">
        <v>7</v>
      </c>
      <c r="CW1849" t="s">
        <v>120</v>
      </c>
      <c r="CX1849">
        <v>261</v>
      </c>
      <c r="CY1849">
        <v>2</v>
      </c>
      <c r="CZ1849" t="s">
        <v>121</v>
      </c>
      <c r="DA1849" t="s">
        <v>122</v>
      </c>
      <c r="DD1849">
        <v>15349421</v>
      </c>
      <c r="DE1849" t="s">
        <v>123</v>
      </c>
    </row>
    <row r="1850" spans="1:109" x14ac:dyDescent="0.3">
      <c r="A1850" t="str">
        <f>"19:05:39.500"</f>
        <v>19:05:39.500</v>
      </c>
      <c r="B1850" t="s">
        <v>110</v>
      </c>
      <c r="C1850" t="str">
        <f t="shared" si="84"/>
        <v>ffdfd3c0</v>
      </c>
      <c r="D1850" t="s">
        <v>111</v>
      </c>
      <c r="E1850">
        <v>18</v>
      </c>
      <c r="F1850">
        <v>1018</v>
      </c>
      <c r="G1850" t="s">
        <v>112</v>
      </c>
      <c r="J1850" t="s">
        <v>113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R1850" t="s">
        <v>114</v>
      </c>
      <c r="S1850" t="str">
        <f>"19:05:39.273"</f>
        <v>19:05:39.273</v>
      </c>
      <c r="T1850" t="str">
        <f>"19:05:38.875"</f>
        <v>19:05:38.875</v>
      </c>
      <c r="U1850" t="str">
        <f t="shared" si="85"/>
        <v>a1cdbe</v>
      </c>
      <c r="V1850">
        <v>0</v>
      </c>
      <c r="W1850">
        <v>0</v>
      </c>
      <c r="X1850">
        <v>1</v>
      </c>
      <c r="Y1850">
        <v>0</v>
      </c>
      <c r="Z1850">
        <v>0</v>
      </c>
      <c r="AB1850">
        <v>0</v>
      </c>
      <c r="AC1850">
        <v>9</v>
      </c>
      <c r="AD1850">
        <v>3</v>
      </c>
      <c r="AE1850">
        <v>0</v>
      </c>
      <c r="AF1850">
        <v>9</v>
      </c>
      <c r="AG1850" t="s">
        <v>158</v>
      </c>
      <c r="AH1850">
        <v>0</v>
      </c>
      <c r="AI1850">
        <v>3</v>
      </c>
      <c r="AJ1850">
        <v>1</v>
      </c>
      <c r="AK1850">
        <v>0</v>
      </c>
      <c r="AL1850" t="s">
        <v>3492</v>
      </c>
      <c r="AM1850">
        <v>46.8489</v>
      </c>
      <c r="AN1850" t="s">
        <v>3493</v>
      </c>
      <c r="AO1850">
        <v>-122.95402799999999</v>
      </c>
      <c r="AP1850">
        <v>100</v>
      </c>
      <c r="AQ1850">
        <v>2000</v>
      </c>
      <c r="AR1850" t="s">
        <v>118</v>
      </c>
      <c r="AS1850">
        <v>-70</v>
      </c>
      <c r="AT1850">
        <v>19</v>
      </c>
      <c r="AU1850">
        <v>192</v>
      </c>
      <c r="BC1850">
        <v>1200</v>
      </c>
      <c r="BD1850">
        <v>1</v>
      </c>
      <c r="BE1850" t="str">
        <f t="shared" si="86"/>
        <v xml:space="preserve">N215T   </v>
      </c>
      <c r="BF1850">
        <v>1</v>
      </c>
      <c r="BH1850">
        <v>0</v>
      </c>
      <c r="BI1850">
        <v>0</v>
      </c>
      <c r="BJ1850">
        <v>0</v>
      </c>
      <c r="BK1850">
        <v>2375</v>
      </c>
      <c r="BL1850">
        <v>375</v>
      </c>
      <c r="BM1850" t="s">
        <v>119</v>
      </c>
      <c r="BN1850">
        <v>1</v>
      </c>
      <c r="BO1850">
        <v>1</v>
      </c>
      <c r="BP1850">
        <v>1</v>
      </c>
      <c r="BQ1850">
        <v>0</v>
      </c>
      <c r="BT1850">
        <v>0</v>
      </c>
      <c r="BU1850">
        <v>0</v>
      </c>
      <c r="BV1850">
        <v>0</v>
      </c>
      <c r="CC1850" t="str">
        <f>"19:05:39.281"</f>
        <v>19:05:39.281</v>
      </c>
      <c r="CD1850" t="str">
        <f>"280866579"</f>
        <v>280866579</v>
      </c>
      <c r="CQ1850">
        <v>0</v>
      </c>
      <c r="CR1850">
        <v>2</v>
      </c>
      <c r="CS1850">
        <v>0</v>
      </c>
      <c r="CT1850">
        <v>2</v>
      </c>
      <c r="CU1850">
        <v>0</v>
      </c>
      <c r="CV1850">
        <v>7</v>
      </c>
      <c r="CW1850" t="s">
        <v>120</v>
      </c>
      <c r="CX1850">
        <v>257</v>
      </c>
      <c r="CY1850">
        <v>1</v>
      </c>
      <c r="CZ1850" t="s">
        <v>615</v>
      </c>
      <c r="DA1850" t="s">
        <v>616</v>
      </c>
      <c r="DD1850">
        <v>11758099</v>
      </c>
      <c r="DE1850" t="s">
        <v>123</v>
      </c>
    </row>
    <row r="1851" spans="1:109" x14ac:dyDescent="0.3">
      <c r="A1851" t="str">
        <f>"19:05:40.711"</f>
        <v>19:05:40.711</v>
      </c>
      <c r="B1851" t="s">
        <v>110</v>
      </c>
      <c r="C1851" t="str">
        <f t="shared" si="84"/>
        <v>ffdfd3c0</v>
      </c>
      <c r="D1851" t="s">
        <v>111</v>
      </c>
      <c r="E1851">
        <v>18</v>
      </c>
      <c r="F1851">
        <v>1018</v>
      </c>
      <c r="G1851" t="s">
        <v>112</v>
      </c>
      <c r="J1851" t="s">
        <v>113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R1851" t="s">
        <v>114</v>
      </c>
      <c r="S1851" t="str">
        <f>"19:05:40.461"</f>
        <v>19:05:40.461</v>
      </c>
      <c r="T1851" t="str">
        <f>"19:05:40.461"</f>
        <v>19:05:40.461</v>
      </c>
      <c r="U1851" t="str">
        <f t="shared" si="85"/>
        <v>a1cdbe</v>
      </c>
      <c r="V1851">
        <v>0</v>
      </c>
      <c r="W1851">
        <v>0</v>
      </c>
      <c r="X1851">
        <v>1</v>
      </c>
      <c r="Y1851">
        <v>0</v>
      </c>
      <c r="Z1851">
        <v>0</v>
      </c>
      <c r="AB1851">
        <v>0</v>
      </c>
      <c r="AC1851">
        <v>9</v>
      </c>
      <c r="AD1851">
        <v>3</v>
      </c>
      <c r="AE1851">
        <v>0</v>
      </c>
      <c r="AF1851">
        <v>9</v>
      </c>
      <c r="AG1851" t="s">
        <v>158</v>
      </c>
      <c r="AH1851">
        <v>0</v>
      </c>
      <c r="AI1851">
        <v>3</v>
      </c>
      <c r="AJ1851">
        <v>1</v>
      </c>
      <c r="AK1851">
        <v>0</v>
      </c>
      <c r="AL1851" t="s">
        <v>3494</v>
      </c>
      <c r="AM1851">
        <v>46.849007999999998</v>
      </c>
      <c r="AN1851" t="s">
        <v>3495</v>
      </c>
      <c r="AO1851">
        <v>-122.954628</v>
      </c>
      <c r="AP1851">
        <v>100</v>
      </c>
      <c r="AQ1851">
        <v>2000</v>
      </c>
      <c r="AR1851" t="s">
        <v>118</v>
      </c>
      <c r="AS1851">
        <v>-70</v>
      </c>
      <c r="AT1851">
        <v>19</v>
      </c>
      <c r="AU1851">
        <v>256</v>
      </c>
      <c r="BC1851">
        <v>1200</v>
      </c>
      <c r="BD1851">
        <v>1</v>
      </c>
      <c r="BE1851" t="str">
        <f t="shared" si="86"/>
        <v xml:space="preserve">N215T   </v>
      </c>
      <c r="BF1851">
        <v>1</v>
      </c>
      <c r="BH1851">
        <v>0</v>
      </c>
      <c r="BI1851">
        <v>0</v>
      </c>
      <c r="BJ1851">
        <v>0</v>
      </c>
      <c r="BK1851">
        <v>2400</v>
      </c>
      <c r="BL1851">
        <v>400</v>
      </c>
      <c r="BM1851" t="s">
        <v>119</v>
      </c>
      <c r="BN1851">
        <v>1</v>
      </c>
      <c r="BO1851">
        <v>1</v>
      </c>
      <c r="BP1851">
        <v>1</v>
      </c>
      <c r="BQ1851">
        <v>0</v>
      </c>
      <c r="BT1851">
        <v>0</v>
      </c>
      <c r="BU1851">
        <v>0</v>
      </c>
      <c r="BV1851">
        <v>0</v>
      </c>
      <c r="CC1851" t="str">
        <f>"19:05:40.469"</f>
        <v>19:05:40.469</v>
      </c>
      <c r="CD1851" t="str">
        <f>"465724450"</f>
        <v>465724450</v>
      </c>
      <c r="CQ1851">
        <v>0</v>
      </c>
      <c r="CR1851">
        <v>2</v>
      </c>
      <c r="CS1851">
        <v>0</v>
      </c>
      <c r="CT1851">
        <v>2</v>
      </c>
      <c r="CU1851">
        <v>0</v>
      </c>
      <c r="CV1851">
        <v>7</v>
      </c>
      <c r="CW1851" t="s">
        <v>120</v>
      </c>
      <c r="CX1851">
        <v>261</v>
      </c>
      <c r="CY1851">
        <v>2</v>
      </c>
      <c r="CZ1851" t="s">
        <v>121</v>
      </c>
      <c r="DA1851" t="s">
        <v>122</v>
      </c>
      <c r="DD1851">
        <v>15350867</v>
      </c>
      <c r="DE1851" t="s">
        <v>123</v>
      </c>
    </row>
    <row r="1852" spans="1:109" x14ac:dyDescent="0.3">
      <c r="A1852" t="str">
        <f>"19:05:41.617"</f>
        <v>19:05:41.617</v>
      </c>
      <c r="B1852" t="s">
        <v>110</v>
      </c>
      <c r="C1852" t="str">
        <f t="shared" si="84"/>
        <v>ffdfd3c0</v>
      </c>
      <c r="D1852" t="s">
        <v>111</v>
      </c>
      <c r="E1852">
        <v>18</v>
      </c>
      <c r="F1852">
        <v>1018</v>
      </c>
      <c r="G1852" t="s">
        <v>112</v>
      </c>
      <c r="J1852" t="s">
        <v>113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R1852" t="s">
        <v>114</v>
      </c>
      <c r="S1852" t="str">
        <f>"19:05:41.406"</f>
        <v>19:05:41.406</v>
      </c>
      <c r="T1852" t="str">
        <f>"19:05:40.906"</f>
        <v>19:05:40.906</v>
      </c>
      <c r="U1852" t="str">
        <f t="shared" si="85"/>
        <v>a1cdbe</v>
      </c>
      <c r="V1852">
        <v>0</v>
      </c>
      <c r="W1852">
        <v>0</v>
      </c>
      <c r="X1852">
        <v>1</v>
      </c>
      <c r="Y1852">
        <v>0</v>
      </c>
      <c r="Z1852">
        <v>0</v>
      </c>
      <c r="AB1852">
        <v>0</v>
      </c>
      <c r="AC1852">
        <v>9</v>
      </c>
      <c r="AD1852">
        <v>3</v>
      </c>
      <c r="AE1852">
        <v>0</v>
      </c>
      <c r="AF1852">
        <v>9</v>
      </c>
      <c r="AG1852" t="s">
        <v>158</v>
      </c>
      <c r="AH1852">
        <v>0</v>
      </c>
      <c r="AI1852">
        <v>3</v>
      </c>
      <c r="AJ1852">
        <v>1</v>
      </c>
      <c r="AK1852">
        <v>0</v>
      </c>
      <c r="AL1852" t="s">
        <v>1832</v>
      </c>
      <c r="AM1852">
        <v>46.849051000000003</v>
      </c>
      <c r="AN1852" t="s">
        <v>3496</v>
      </c>
      <c r="AO1852">
        <v>-122.954993</v>
      </c>
      <c r="AP1852">
        <v>100</v>
      </c>
      <c r="AQ1852">
        <v>2000</v>
      </c>
      <c r="AR1852" t="s">
        <v>118</v>
      </c>
      <c r="AS1852">
        <v>-70</v>
      </c>
      <c r="AT1852">
        <v>18</v>
      </c>
      <c r="AU1852">
        <v>256</v>
      </c>
      <c r="BC1852">
        <v>1200</v>
      </c>
      <c r="BD1852">
        <v>1</v>
      </c>
      <c r="BE1852" t="str">
        <f t="shared" si="86"/>
        <v xml:space="preserve">N215T   </v>
      </c>
      <c r="BF1852">
        <v>1</v>
      </c>
      <c r="BH1852">
        <v>0</v>
      </c>
      <c r="BI1852">
        <v>0</v>
      </c>
      <c r="BJ1852">
        <v>0</v>
      </c>
      <c r="BK1852">
        <v>2400</v>
      </c>
      <c r="BL1852">
        <v>400</v>
      </c>
      <c r="BM1852" t="s">
        <v>119</v>
      </c>
      <c r="BN1852">
        <v>1</v>
      </c>
      <c r="BO1852">
        <v>1</v>
      </c>
      <c r="BP1852">
        <v>1</v>
      </c>
      <c r="BQ1852">
        <v>0</v>
      </c>
      <c r="BT1852">
        <v>0</v>
      </c>
      <c r="BU1852">
        <v>0</v>
      </c>
      <c r="BV1852">
        <v>0</v>
      </c>
      <c r="CC1852" t="str">
        <f>"19:05:41.414"</f>
        <v>19:05:41.414</v>
      </c>
      <c r="CD1852" t="str">
        <f>"410631378"</f>
        <v>410631378</v>
      </c>
      <c r="CQ1852">
        <v>0</v>
      </c>
      <c r="CR1852">
        <v>2</v>
      </c>
      <c r="CS1852">
        <v>0</v>
      </c>
      <c r="CT1852">
        <v>2</v>
      </c>
      <c r="CU1852">
        <v>0</v>
      </c>
      <c r="CV1852">
        <v>7</v>
      </c>
      <c r="CW1852" t="s">
        <v>120</v>
      </c>
      <c r="CX1852">
        <v>261</v>
      </c>
      <c r="CY1852">
        <v>2</v>
      </c>
      <c r="CZ1852" t="s">
        <v>121</v>
      </c>
      <c r="DA1852" t="s">
        <v>122</v>
      </c>
      <c r="DD1852">
        <v>15351471</v>
      </c>
      <c r="DE1852" t="s">
        <v>123</v>
      </c>
    </row>
    <row r="1853" spans="1:109" x14ac:dyDescent="0.3">
      <c r="A1853" t="str">
        <f>"19:05:42.617"</f>
        <v>19:05:42.617</v>
      </c>
      <c r="B1853" t="s">
        <v>110</v>
      </c>
      <c r="C1853" t="str">
        <f t="shared" si="84"/>
        <v>ffdfd3c0</v>
      </c>
      <c r="D1853" t="s">
        <v>111</v>
      </c>
      <c r="E1853">
        <v>18</v>
      </c>
      <c r="F1853">
        <v>1018</v>
      </c>
      <c r="G1853" t="s">
        <v>112</v>
      </c>
      <c r="J1853" t="s">
        <v>113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R1853" t="s">
        <v>114</v>
      </c>
      <c r="S1853" t="str">
        <f>"19:05:42.367"</f>
        <v>19:05:42.367</v>
      </c>
      <c r="T1853" t="str">
        <f>"19:05:41.969"</f>
        <v>19:05:41.969</v>
      </c>
      <c r="U1853" t="str">
        <f t="shared" si="85"/>
        <v>a1cdbe</v>
      </c>
      <c r="V1853">
        <v>0</v>
      </c>
      <c r="W1853">
        <v>0</v>
      </c>
      <c r="X1853">
        <v>1</v>
      </c>
      <c r="Y1853">
        <v>0</v>
      </c>
      <c r="Z1853">
        <v>0</v>
      </c>
      <c r="AB1853">
        <v>0</v>
      </c>
      <c r="AC1853">
        <v>9</v>
      </c>
      <c r="AD1853">
        <v>3</v>
      </c>
      <c r="AE1853">
        <v>0</v>
      </c>
      <c r="AF1853">
        <v>9</v>
      </c>
      <c r="AG1853" t="s">
        <v>158</v>
      </c>
      <c r="AH1853">
        <v>0</v>
      </c>
      <c r="AI1853">
        <v>3</v>
      </c>
      <c r="AJ1853">
        <v>1</v>
      </c>
      <c r="AK1853">
        <v>0</v>
      </c>
      <c r="AL1853" t="s">
        <v>3497</v>
      </c>
      <c r="AM1853">
        <v>46.849136000000001</v>
      </c>
      <c r="AN1853" t="s">
        <v>3498</v>
      </c>
      <c r="AO1853">
        <v>-122.95550799999999</v>
      </c>
      <c r="AP1853">
        <v>100</v>
      </c>
      <c r="AQ1853">
        <v>2000</v>
      </c>
      <c r="AR1853" t="s">
        <v>118</v>
      </c>
      <c r="AS1853">
        <v>-71</v>
      </c>
      <c r="AT1853">
        <v>18</v>
      </c>
      <c r="AU1853">
        <v>256</v>
      </c>
      <c r="BC1853">
        <v>1200</v>
      </c>
      <c r="BD1853">
        <v>1</v>
      </c>
      <c r="BE1853" t="str">
        <f t="shared" si="86"/>
        <v xml:space="preserve">N215T   </v>
      </c>
      <c r="BF1853">
        <v>1</v>
      </c>
      <c r="BH1853">
        <v>0</v>
      </c>
      <c r="BI1853">
        <v>0</v>
      </c>
      <c r="BJ1853">
        <v>0</v>
      </c>
      <c r="BK1853">
        <v>2400</v>
      </c>
      <c r="BL1853">
        <v>400</v>
      </c>
      <c r="BM1853" t="s">
        <v>119</v>
      </c>
      <c r="BN1853">
        <v>1</v>
      </c>
      <c r="BO1853">
        <v>1</v>
      </c>
      <c r="BP1853">
        <v>1</v>
      </c>
      <c r="BQ1853">
        <v>0</v>
      </c>
      <c r="BT1853">
        <v>0</v>
      </c>
      <c r="BU1853">
        <v>0</v>
      </c>
      <c r="BV1853">
        <v>0</v>
      </c>
      <c r="CC1853" t="str">
        <f>"19:05:42.367"</f>
        <v>19:05:42.367</v>
      </c>
      <c r="CD1853" t="str">
        <f>"370536820"</f>
        <v>370536820</v>
      </c>
      <c r="CQ1853">
        <v>0</v>
      </c>
      <c r="CR1853">
        <v>2</v>
      </c>
      <c r="CS1853">
        <v>0</v>
      </c>
      <c r="CT1853">
        <v>2</v>
      </c>
      <c r="CU1853">
        <v>0</v>
      </c>
      <c r="CV1853">
        <v>7</v>
      </c>
      <c r="CW1853" t="s">
        <v>120</v>
      </c>
      <c r="CX1853">
        <v>261</v>
      </c>
      <c r="CY1853">
        <v>2</v>
      </c>
      <c r="CZ1853" t="s">
        <v>121</v>
      </c>
      <c r="DA1853" t="s">
        <v>122</v>
      </c>
      <c r="DD1853">
        <v>15352132</v>
      </c>
      <c r="DE1853" t="s">
        <v>123</v>
      </c>
    </row>
    <row r="1854" spans="1:109" x14ac:dyDescent="0.3">
      <c r="A1854" t="str">
        <f>"19:05:43.625"</f>
        <v>19:05:43.625</v>
      </c>
      <c r="B1854" t="s">
        <v>110</v>
      </c>
      <c r="C1854" t="str">
        <f t="shared" si="84"/>
        <v>ffdfd3c0</v>
      </c>
      <c r="D1854" t="s">
        <v>111</v>
      </c>
      <c r="E1854">
        <v>18</v>
      </c>
      <c r="F1854">
        <v>1018</v>
      </c>
      <c r="G1854" t="s">
        <v>112</v>
      </c>
      <c r="J1854" t="s">
        <v>113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R1854" t="s">
        <v>114</v>
      </c>
      <c r="S1854" t="str">
        <f>"19:05:43.398"</f>
        <v>19:05:43.398</v>
      </c>
      <c r="T1854" t="str">
        <f>"19:05:43.398"</f>
        <v>19:05:43.398</v>
      </c>
      <c r="U1854" t="str">
        <f t="shared" si="85"/>
        <v>a1cdbe</v>
      </c>
      <c r="V1854">
        <v>0</v>
      </c>
      <c r="W1854">
        <v>0</v>
      </c>
      <c r="X1854">
        <v>1</v>
      </c>
      <c r="Y1854">
        <v>0</v>
      </c>
      <c r="Z1854">
        <v>0</v>
      </c>
      <c r="AB1854">
        <v>0</v>
      </c>
      <c r="AC1854">
        <v>9</v>
      </c>
      <c r="AD1854">
        <v>3</v>
      </c>
      <c r="AE1854">
        <v>0</v>
      </c>
      <c r="AF1854">
        <v>9</v>
      </c>
      <c r="AG1854" t="s">
        <v>158</v>
      </c>
      <c r="AH1854">
        <v>0</v>
      </c>
      <c r="AI1854">
        <v>3</v>
      </c>
      <c r="AJ1854">
        <v>1</v>
      </c>
      <c r="AK1854">
        <v>0</v>
      </c>
      <c r="AL1854" t="s">
        <v>3499</v>
      </c>
      <c r="AM1854">
        <v>46.849243999999999</v>
      </c>
      <c r="AN1854" t="s">
        <v>3500</v>
      </c>
      <c r="AO1854">
        <v>-122.95595900000001</v>
      </c>
      <c r="AP1854">
        <v>100</v>
      </c>
      <c r="AQ1854">
        <v>2000</v>
      </c>
      <c r="AR1854" t="s">
        <v>118</v>
      </c>
      <c r="AS1854">
        <v>-71</v>
      </c>
      <c r="AT1854">
        <v>18</v>
      </c>
      <c r="AU1854">
        <v>256</v>
      </c>
      <c r="BC1854">
        <v>1200</v>
      </c>
      <c r="BD1854">
        <v>1</v>
      </c>
      <c r="BE1854" t="str">
        <f t="shared" si="86"/>
        <v xml:space="preserve">N215T   </v>
      </c>
      <c r="BF1854">
        <v>1</v>
      </c>
      <c r="BH1854">
        <v>0</v>
      </c>
      <c r="BI1854">
        <v>0</v>
      </c>
      <c r="BJ1854">
        <v>0</v>
      </c>
      <c r="BK1854">
        <v>2400</v>
      </c>
      <c r="BL1854">
        <v>400</v>
      </c>
      <c r="BM1854" t="s">
        <v>119</v>
      </c>
      <c r="BN1854">
        <v>1</v>
      </c>
      <c r="BO1854">
        <v>1</v>
      </c>
      <c r="BP1854">
        <v>1</v>
      </c>
      <c r="BQ1854">
        <v>0</v>
      </c>
      <c r="BT1854">
        <v>0</v>
      </c>
      <c r="BU1854">
        <v>0</v>
      </c>
      <c r="BV1854">
        <v>0</v>
      </c>
      <c r="CC1854" t="str">
        <f>"19:05:43.406"</f>
        <v>19:05:43.406</v>
      </c>
      <c r="CD1854" t="str">
        <f>"405434883"</f>
        <v>405434883</v>
      </c>
      <c r="CQ1854">
        <v>0</v>
      </c>
      <c r="CR1854">
        <v>2</v>
      </c>
      <c r="CS1854">
        <v>0</v>
      </c>
      <c r="CT1854">
        <v>2</v>
      </c>
      <c r="CU1854">
        <v>0</v>
      </c>
      <c r="CV1854">
        <v>7</v>
      </c>
      <c r="CW1854" t="s">
        <v>120</v>
      </c>
      <c r="CX1854">
        <v>261</v>
      </c>
      <c r="CY1854">
        <v>2</v>
      </c>
      <c r="CZ1854" t="s">
        <v>121</v>
      </c>
      <c r="DA1854" t="s">
        <v>122</v>
      </c>
      <c r="DD1854">
        <v>15352909</v>
      </c>
      <c r="DE1854" t="s">
        <v>123</v>
      </c>
    </row>
    <row r="1855" spans="1:109" x14ac:dyDescent="0.3">
      <c r="A1855" t="str">
        <f>"19:05:44.531"</f>
        <v>19:05:44.531</v>
      </c>
      <c r="B1855" t="s">
        <v>110</v>
      </c>
      <c r="C1855" t="str">
        <f t="shared" si="84"/>
        <v>ffdfd3c0</v>
      </c>
      <c r="D1855" t="s">
        <v>111</v>
      </c>
      <c r="E1855">
        <v>18</v>
      </c>
      <c r="F1855">
        <v>1018</v>
      </c>
      <c r="G1855" t="s">
        <v>112</v>
      </c>
      <c r="J1855" t="s">
        <v>113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R1855" t="s">
        <v>114</v>
      </c>
      <c r="S1855" t="str">
        <f>"19:05:44.305"</f>
        <v>19:05:44.305</v>
      </c>
      <c r="T1855" t="str">
        <f>"19:05:44.008"</f>
        <v>19:05:44.008</v>
      </c>
      <c r="U1855" t="str">
        <f t="shared" si="85"/>
        <v>a1cdbe</v>
      </c>
      <c r="V1855">
        <v>0</v>
      </c>
      <c r="W1855">
        <v>0</v>
      </c>
      <c r="X1855">
        <v>1</v>
      </c>
      <c r="Y1855">
        <v>0</v>
      </c>
      <c r="Z1855">
        <v>0</v>
      </c>
      <c r="AB1855">
        <v>0</v>
      </c>
      <c r="AC1855">
        <v>9</v>
      </c>
      <c r="AD1855">
        <v>3</v>
      </c>
      <c r="AE1855">
        <v>0</v>
      </c>
      <c r="AF1855">
        <v>9</v>
      </c>
      <c r="AG1855" t="s">
        <v>158</v>
      </c>
      <c r="AH1855">
        <v>0</v>
      </c>
      <c r="AI1855">
        <v>3</v>
      </c>
      <c r="AJ1855">
        <v>1</v>
      </c>
      <c r="AK1855">
        <v>0</v>
      </c>
      <c r="AL1855" t="s">
        <v>3501</v>
      </c>
      <c r="AM1855">
        <v>46.849328999999997</v>
      </c>
      <c r="AN1855" t="s">
        <v>3502</v>
      </c>
      <c r="AO1855">
        <v>-122.956452</v>
      </c>
      <c r="AP1855">
        <v>100</v>
      </c>
      <c r="AQ1855">
        <v>2000</v>
      </c>
      <c r="AR1855" t="s">
        <v>118</v>
      </c>
      <c r="AS1855">
        <v>-71</v>
      </c>
      <c r="AT1855">
        <v>18</v>
      </c>
      <c r="AU1855">
        <v>256</v>
      </c>
      <c r="BC1855">
        <v>1200</v>
      </c>
      <c r="BD1855">
        <v>1</v>
      </c>
      <c r="BE1855" t="str">
        <f t="shared" si="86"/>
        <v xml:space="preserve">N215T   </v>
      </c>
      <c r="BF1855">
        <v>1</v>
      </c>
      <c r="BH1855">
        <v>0</v>
      </c>
      <c r="BI1855">
        <v>0</v>
      </c>
      <c r="BJ1855">
        <v>0</v>
      </c>
      <c r="BK1855">
        <v>2400</v>
      </c>
      <c r="BL1855">
        <v>400</v>
      </c>
      <c r="BM1855" t="s">
        <v>119</v>
      </c>
      <c r="BN1855">
        <v>1</v>
      </c>
      <c r="BO1855">
        <v>1</v>
      </c>
      <c r="BP1855">
        <v>1</v>
      </c>
      <c r="BQ1855">
        <v>0</v>
      </c>
      <c r="BT1855">
        <v>0</v>
      </c>
      <c r="BU1855">
        <v>0</v>
      </c>
      <c r="BV1855">
        <v>0</v>
      </c>
      <c r="CC1855" t="str">
        <f>"19:05:44.305"</f>
        <v>19:05:44.305</v>
      </c>
      <c r="CD1855" t="str">
        <f>"305346232"</f>
        <v>305346232</v>
      </c>
      <c r="CQ1855">
        <v>0</v>
      </c>
      <c r="CR1855">
        <v>2</v>
      </c>
      <c r="CS1855">
        <v>0</v>
      </c>
      <c r="CT1855">
        <v>2</v>
      </c>
      <c r="CU1855">
        <v>0</v>
      </c>
      <c r="CV1855">
        <v>7</v>
      </c>
      <c r="CW1855" t="s">
        <v>120</v>
      </c>
      <c r="CX1855">
        <v>261</v>
      </c>
      <c r="CY1855">
        <v>2</v>
      </c>
      <c r="CZ1855" t="s">
        <v>121</v>
      </c>
      <c r="DA1855" t="s">
        <v>122</v>
      </c>
      <c r="DD1855">
        <v>15353564</v>
      </c>
      <c r="DE1855" t="s">
        <v>123</v>
      </c>
    </row>
    <row r="1856" spans="1:109" x14ac:dyDescent="0.3">
      <c r="A1856" t="str">
        <f>"19:05:45.586"</f>
        <v>19:05:45.586</v>
      </c>
      <c r="B1856" t="s">
        <v>110</v>
      </c>
      <c r="C1856" t="str">
        <f t="shared" si="84"/>
        <v>ffdfd3c0</v>
      </c>
      <c r="D1856" t="s">
        <v>111</v>
      </c>
      <c r="E1856">
        <v>18</v>
      </c>
      <c r="F1856">
        <v>1018</v>
      </c>
      <c r="G1856" t="s">
        <v>112</v>
      </c>
      <c r="J1856" t="s">
        <v>113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R1856" t="s">
        <v>114</v>
      </c>
      <c r="S1856" t="str">
        <f>"19:05:45.336"</f>
        <v>19:05:45.336</v>
      </c>
      <c r="T1856" t="str">
        <f>"19:05:45.039"</f>
        <v>19:05:45.039</v>
      </c>
      <c r="U1856" t="str">
        <f t="shared" si="85"/>
        <v>a1cdbe</v>
      </c>
      <c r="V1856">
        <v>0</v>
      </c>
      <c r="W1856">
        <v>0</v>
      </c>
      <c r="X1856">
        <v>1</v>
      </c>
      <c r="Y1856">
        <v>0</v>
      </c>
      <c r="Z1856">
        <v>0</v>
      </c>
      <c r="AB1856">
        <v>0</v>
      </c>
      <c r="AC1856">
        <v>9</v>
      </c>
      <c r="AD1856">
        <v>3</v>
      </c>
      <c r="AE1856">
        <v>0</v>
      </c>
      <c r="AF1856">
        <v>9</v>
      </c>
      <c r="AG1856" t="s">
        <v>158</v>
      </c>
      <c r="AH1856">
        <v>0</v>
      </c>
      <c r="AI1856">
        <v>3</v>
      </c>
      <c r="AJ1856">
        <v>1</v>
      </c>
      <c r="AK1856">
        <v>0</v>
      </c>
      <c r="AL1856" t="s">
        <v>3503</v>
      </c>
      <c r="AM1856">
        <v>46.849415</v>
      </c>
      <c r="AN1856" t="s">
        <v>3504</v>
      </c>
      <c r="AO1856">
        <v>-122.956903</v>
      </c>
      <c r="AP1856">
        <v>100</v>
      </c>
      <c r="AQ1856">
        <v>2000</v>
      </c>
      <c r="AR1856" t="s">
        <v>118</v>
      </c>
      <c r="AS1856">
        <v>-71</v>
      </c>
      <c r="AT1856">
        <v>18</v>
      </c>
      <c r="AU1856">
        <v>256</v>
      </c>
      <c r="BC1856">
        <v>1200</v>
      </c>
      <c r="BD1856">
        <v>1</v>
      </c>
      <c r="BE1856" t="str">
        <f t="shared" si="86"/>
        <v xml:space="preserve">N215T   </v>
      </c>
      <c r="BF1856">
        <v>1</v>
      </c>
      <c r="BH1856">
        <v>0</v>
      </c>
      <c r="BI1856">
        <v>0</v>
      </c>
      <c r="BJ1856">
        <v>0</v>
      </c>
      <c r="BK1856">
        <v>2400</v>
      </c>
      <c r="BL1856">
        <v>400</v>
      </c>
      <c r="BM1856" t="s">
        <v>119</v>
      </c>
      <c r="BN1856">
        <v>1</v>
      </c>
      <c r="BO1856">
        <v>1</v>
      </c>
      <c r="BP1856">
        <v>1</v>
      </c>
      <c r="BQ1856">
        <v>0</v>
      </c>
      <c r="BT1856">
        <v>0</v>
      </c>
      <c r="BU1856">
        <v>0</v>
      </c>
      <c r="BV1856">
        <v>0</v>
      </c>
      <c r="CC1856" t="str">
        <f>"19:05:45.344"</f>
        <v>19:05:45.344</v>
      </c>
      <c r="CD1856" t="str">
        <f>"340244290"</f>
        <v>340244290</v>
      </c>
      <c r="CQ1856">
        <v>0</v>
      </c>
      <c r="CR1856">
        <v>2</v>
      </c>
      <c r="CS1856">
        <v>0</v>
      </c>
      <c r="CT1856">
        <v>2</v>
      </c>
      <c r="CU1856">
        <v>0</v>
      </c>
      <c r="CV1856">
        <v>7</v>
      </c>
      <c r="CW1856" t="s">
        <v>120</v>
      </c>
      <c r="CX1856">
        <v>261</v>
      </c>
      <c r="CY1856">
        <v>2</v>
      </c>
      <c r="CZ1856" t="s">
        <v>121</v>
      </c>
      <c r="DA1856" t="s">
        <v>122</v>
      </c>
      <c r="DD1856">
        <v>15354242</v>
      </c>
      <c r="DE1856" t="s">
        <v>123</v>
      </c>
    </row>
    <row r="1857" spans="1:109" x14ac:dyDescent="0.3">
      <c r="A1857" t="str">
        <f>"19:05:46.492"</f>
        <v>19:05:46.492</v>
      </c>
      <c r="B1857" t="s">
        <v>110</v>
      </c>
      <c r="C1857" t="str">
        <f t="shared" si="84"/>
        <v>ffdfd3c0</v>
      </c>
      <c r="D1857" t="s">
        <v>111</v>
      </c>
      <c r="E1857">
        <v>18</v>
      </c>
      <c r="F1857">
        <v>1018</v>
      </c>
      <c r="G1857" t="s">
        <v>112</v>
      </c>
      <c r="J1857" t="s">
        <v>113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R1857" t="s">
        <v>114</v>
      </c>
      <c r="S1857" t="str">
        <f>"19:05:46.281"</f>
        <v>19:05:46.281</v>
      </c>
      <c r="T1857" t="str">
        <f>"19:05:45.883"</f>
        <v>19:05:45.883</v>
      </c>
      <c r="U1857" t="str">
        <f t="shared" si="85"/>
        <v>a1cdbe</v>
      </c>
      <c r="V1857">
        <v>0</v>
      </c>
      <c r="W1857">
        <v>0</v>
      </c>
      <c r="X1857">
        <v>1</v>
      </c>
      <c r="Y1857">
        <v>0</v>
      </c>
      <c r="Z1857">
        <v>0</v>
      </c>
      <c r="AB1857">
        <v>0</v>
      </c>
      <c r="AC1857">
        <v>9</v>
      </c>
      <c r="AD1857">
        <v>3</v>
      </c>
      <c r="AE1857">
        <v>0</v>
      </c>
      <c r="AF1857">
        <v>9</v>
      </c>
      <c r="AG1857" t="s">
        <v>158</v>
      </c>
      <c r="AH1857">
        <v>0</v>
      </c>
      <c r="AI1857">
        <v>3</v>
      </c>
      <c r="AJ1857">
        <v>1</v>
      </c>
      <c r="AK1857">
        <v>0</v>
      </c>
      <c r="AL1857" t="s">
        <v>3505</v>
      </c>
      <c r="AM1857">
        <v>46.84948</v>
      </c>
      <c r="AN1857" t="s">
        <v>3506</v>
      </c>
      <c r="AO1857">
        <v>-122.95733199999999</v>
      </c>
      <c r="AP1857">
        <v>100</v>
      </c>
      <c r="AQ1857">
        <v>2000</v>
      </c>
      <c r="AR1857" t="s">
        <v>118</v>
      </c>
      <c r="AS1857">
        <v>-72</v>
      </c>
      <c r="AT1857">
        <v>18</v>
      </c>
      <c r="AU1857">
        <v>256</v>
      </c>
      <c r="BC1857">
        <v>1200</v>
      </c>
      <c r="BD1857">
        <v>1</v>
      </c>
      <c r="BE1857" t="str">
        <f t="shared" si="86"/>
        <v xml:space="preserve">N215T   </v>
      </c>
      <c r="BF1857">
        <v>1</v>
      </c>
      <c r="BH1857">
        <v>0</v>
      </c>
      <c r="BI1857">
        <v>0</v>
      </c>
      <c r="BJ1857">
        <v>0</v>
      </c>
      <c r="BK1857">
        <v>2425</v>
      </c>
      <c r="BL1857">
        <v>425</v>
      </c>
      <c r="BM1857" t="s">
        <v>119</v>
      </c>
      <c r="BN1857">
        <v>1</v>
      </c>
      <c r="BO1857">
        <v>1</v>
      </c>
      <c r="BP1857">
        <v>1</v>
      </c>
      <c r="BQ1857">
        <v>0</v>
      </c>
      <c r="BT1857">
        <v>0</v>
      </c>
      <c r="BU1857">
        <v>0</v>
      </c>
      <c r="BV1857">
        <v>0</v>
      </c>
      <c r="CC1857" t="str">
        <f>"19:05:46.281"</f>
        <v>19:05:46.281</v>
      </c>
      <c r="CD1857" t="str">
        <f>"285151210"</f>
        <v>285151210</v>
      </c>
      <c r="CQ1857">
        <v>0</v>
      </c>
      <c r="CR1857">
        <v>2</v>
      </c>
      <c r="CS1857">
        <v>0</v>
      </c>
      <c r="CT1857">
        <v>2</v>
      </c>
      <c r="CU1857">
        <v>0</v>
      </c>
      <c r="CV1857">
        <v>7</v>
      </c>
      <c r="CW1857" t="s">
        <v>120</v>
      </c>
      <c r="CX1857">
        <v>261</v>
      </c>
      <c r="CY1857">
        <v>2</v>
      </c>
      <c r="CZ1857" t="s">
        <v>121</v>
      </c>
      <c r="DA1857" t="s">
        <v>122</v>
      </c>
      <c r="DD1857">
        <v>15354832</v>
      </c>
      <c r="DE1857" t="s">
        <v>123</v>
      </c>
    </row>
    <row r="1858" spans="1:109" x14ac:dyDescent="0.3">
      <c r="A1858" t="str">
        <f>"19:05:47.602"</f>
        <v>19:05:47.602</v>
      </c>
      <c r="B1858" t="s">
        <v>110</v>
      </c>
      <c r="C1858" t="str">
        <f t="shared" ref="C1858:C1921" si="87">"ffdfd3c0"</f>
        <v>ffdfd3c0</v>
      </c>
      <c r="D1858" t="s">
        <v>111</v>
      </c>
      <c r="E1858">
        <v>18</v>
      </c>
      <c r="F1858">
        <v>1018</v>
      </c>
      <c r="G1858" t="s">
        <v>112</v>
      </c>
      <c r="J1858" t="s">
        <v>113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R1858" t="s">
        <v>114</v>
      </c>
      <c r="S1858" t="str">
        <f>"19:05:47.406"</f>
        <v>19:05:47.406</v>
      </c>
      <c r="T1858" t="str">
        <f>"19:05:47.008"</f>
        <v>19:05:47.008</v>
      </c>
      <c r="U1858" t="str">
        <f t="shared" ref="U1858:U1921" si="88">"a1cdbe"</f>
        <v>a1cdbe</v>
      </c>
      <c r="V1858">
        <v>0</v>
      </c>
      <c r="W1858">
        <v>0</v>
      </c>
      <c r="X1858">
        <v>1</v>
      </c>
      <c r="Y1858">
        <v>0</v>
      </c>
      <c r="Z1858">
        <v>0</v>
      </c>
      <c r="AB1858">
        <v>0</v>
      </c>
      <c r="AC1858">
        <v>9</v>
      </c>
      <c r="AD1858">
        <v>3</v>
      </c>
      <c r="AE1858">
        <v>0</v>
      </c>
      <c r="AF1858">
        <v>9</v>
      </c>
      <c r="AG1858" t="s">
        <v>158</v>
      </c>
      <c r="AH1858">
        <v>0</v>
      </c>
      <c r="AI1858">
        <v>3</v>
      </c>
      <c r="AJ1858">
        <v>1</v>
      </c>
      <c r="AK1858">
        <v>0</v>
      </c>
      <c r="AL1858" t="s">
        <v>1826</v>
      </c>
      <c r="AM1858">
        <v>46.849566000000003</v>
      </c>
      <c r="AN1858" t="s">
        <v>3507</v>
      </c>
      <c r="AO1858">
        <v>-122.95789000000001</v>
      </c>
      <c r="AP1858">
        <v>100</v>
      </c>
      <c r="AQ1858">
        <v>2000</v>
      </c>
      <c r="AR1858" t="s">
        <v>118</v>
      </c>
      <c r="AS1858">
        <v>-72</v>
      </c>
      <c r="AT1858">
        <v>18</v>
      </c>
      <c r="AU1858">
        <v>320</v>
      </c>
      <c r="BC1858">
        <v>1200</v>
      </c>
      <c r="BD1858">
        <v>1</v>
      </c>
      <c r="BE1858" t="str">
        <f t="shared" ref="BE1858:BE1921" si="89">"N215T   "</f>
        <v xml:space="preserve">N215T   </v>
      </c>
      <c r="BF1858">
        <v>1</v>
      </c>
      <c r="BH1858">
        <v>0</v>
      </c>
      <c r="BI1858">
        <v>0</v>
      </c>
      <c r="BJ1858">
        <v>0</v>
      </c>
      <c r="BK1858">
        <v>2425</v>
      </c>
      <c r="BL1858">
        <v>425</v>
      </c>
      <c r="BM1858" t="s">
        <v>119</v>
      </c>
      <c r="BN1858">
        <v>1</v>
      </c>
      <c r="BO1858">
        <v>1</v>
      </c>
      <c r="BP1858">
        <v>1</v>
      </c>
      <c r="BQ1858">
        <v>0</v>
      </c>
      <c r="BT1858">
        <v>0</v>
      </c>
      <c r="BU1858">
        <v>0</v>
      </c>
      <c r="BV1858">
        <v>0</v>
      </c>
      <c r="CC1858" t="str">
        <f>"19:05:47.406"</f>
        <v>19:05:47.406</v>
      </c>
      <c r="CD1858" t="str">
        <f>"410040410"</f>
        <v>410040410</v>
      </c>
      <c r="CQ1858">
        <v>0</v>
      </c>
      <c r="CR1858">
        <v>2</v>
      </c>
      <c r="CS1858">
        <v>0</v>
      </c>
      <c r="CT1858">
        <v>2</v>
      </c>
      <c r="CU1858">
        <v>0</v>
      </c>
      <c r="CV1858">
        <v>7</v>
      </c>
      <c r="CW1858" t="s">
        <v>120</v>
      </c>
      <c r="CX1858">
        <v>261</v>
      </c>
      <c r="CY1858">
        <v>2</v>
      </c>
      <c r="CZ1858" t="s">
        <v>121</v>
      </c>
      <c r="DA1858" t="s">
        <v>122</v>
      </c>
      <c r="DD1858">
        <v>15355534</v>
      </c>
      <c r="DE1858" t="s">
        <v>123</v>
      </c>
    </row>
    <row r="1859" spans="1:109" x14ac:dyDescent="0.3">
      <c r="A1859" t="str">
        <f>"19:05:48.656"</f>
        <v>19:05:48.656</v>
      </c>
      <c r="B1859" t="s">
        <v>110</v>
      </c>
      <c r="C1859" t="str">
        <f t="shared" si="87"/>
        <v>ffdfd3c0</v>
      </c>
      <c r="D1859" t="s">
        <v>111</v>
      </c>
      <c r="E1859">
        <v>18</v>
      </c>
      <c r="F1859">
        <v>1018</v>
      </c>
      <c r="G1859" t="s">
        <v>112</v>
      </c>
      <c r="J1859" t="s">
        <v>113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R1859" t="s">
        <v>114</v>
      </c>
      <c r="S1859" t="str">
        <f>"19:05:48.438"</f>
        <v>19:05:48.438</v>
      </c>
      <c r="T1859" t="str">
        <f>"19:05:47.938"</f>
        <v>19:05:47.938</v>
      </c>
      <c r="U1859" t="str">
        <f t="shared" si="88"/>
        <v>a1cdbe</v>
      </c>
      <c r="V1859">
        <v>0</v>
      </c>
      <c r="W1859">
        <v>0</v>
      </c>
      <c r="X1859">
        <v>1</v>
      </c>
      <c r="Y1859">
        <v>0</v>
      </c>
      <c r="Z1859">
        <v>0</v>
      </c>
      <c r="AB1859">
        <v>0</v>
      </c>
      <c r="AC1859">
        <v>9</v>
      </c>
      <c r="AD1859">
        <v>3</v>
      </c>
      <c r="AE1859">
        <v>0</v>
      </c>
      <c r="AF1859">
        <v>9</v>
      </c>
      <c r="AG1859" t="s">
        <v>158</v>
      </c>
      <c r="AH1859">
        <v>0</v>
      </c>
      <c r="AI1859">
        <v>3</v>
      </c>
      <c r="AJ1859">
        <v>1</v>
      </c>
      <c r="AK1859">
        <v>0</v>
      </c>
      <c r="AL1859" t="s">
        <v>3508</v>
      </c>
      <c r="AM1859">
        <v>46.849629999999998</v>
      </c>
      <c r="AN1859" t="s">
        <v>3509</v>
      </c>
      <c r="AO1859">
        <v>-122.958448</v>
      </c>
      <c r="AP1859">
        <v>100</v>
      </c>
      <c r="AQ1859">
        <v>2000</v>
      </c>
      <c r="AR1859" t="s">
        <v>118</v>
      </c>
      <c r="AS1859">
        <v>-72</v>
      </c>
      <c r="AT1859">
        <v>18</v>
      </c>
      <c r="AU1859">
        <v>320</v>
      </c>
      <c r="BC1859">
        <v>1200</v>
      </c>
      <c r="BD1859">
        <v>1</v>
      </c>
      <c r="BE1859" t="str">
        <f t="shared" si="89"/>
        <v xml:space="preserve">N215T   </v>
      </c>
      <c r="BF1859">
        <v>1</v>
      </c>
      <c r="BH1859">
        <v>0</v>
      </c>
      <c r="BI1859">
        <v>0</v>
      </c>
      <c r="BJ1859">
        <v>0</v>
      </c>
      <c r="BK1859">
        <v>2425</v>
      </c>
      <c r="BL1859">
        <v>425</v>
      </c>
      <c r="BM1859" t="s">
        <v>119</v>
      </c>
      <c r="BN1859">
        <v>1</v>
      </c>
      <c r="BO1859">
        <v>1</v>
      </c>
      <c r="BP1859">
        <v>1</v>
      </c>
      <c r="BQ1859">
        <v>0</v>
      </c>
      <c r="BT1859">
        <v>0</v>
      </c>
      <c r="BU1859">
        <v>0</v>
      </c>
      <c r="BV1859">
        <v>0</v>
      </c>
      <c r="CC1859" t="str">
        <f>"19:05:48.445"</f>
        <v>19:05:48.445</v>
      </c>
      <c r="CD1859" t="str">
        <f>"444938472"</f>
        <v>444938472</v>
      </c>
      <c r="CQ1859">
        <v>0</v>
      </c>
      <c r="CR1859">
        <v>2</v>
      </c>
      <c r="CS1859">
        <v>0</v>
      </c>
      <c r="CT1859">
        <v>2</v>
      </c>
      <c r="CU1859">
        <v>0</v>
      </c>
      <c r="CV1859">
        <v>7</v>
      </c>
      <c r="CW1859" t="s">
        <v>120</v>
      </c>
      <c r="CX1859">
        <v>261</v>
      </c>
      <c r="CY1859">
        <v>2</v>
      </c>
      <c r="CZ1859" t="s">
        <v>121</v>
      </c>
      <c r="DA1859" t="s">
        <v>122</v>
      </c>
      <c r="DD1859">
        <v>15356276</v>
      </c>
      <c r="DE1859" t="s">
        <v>123</v>
      </c>
    </row>
    <row r="1860" spans="1:109" x14ac:dyDescent="0.3">
      <c r="A1860" t="str">
        <f>"19:05:49.563"</f>
        <v>19:05:49.563</v>
      </c>
      <c r="B1860" t="s">
        <v>110</v>
      </c>
      <c r="C1860" t="str">
        <f t="shared" si="87"/>
        <v>ffdfd3c0</v>
      </c>
      <c r="D1860" t="s">
        <v>111</v>
      </c>
      <c r="E1860">
        <v>18</v>
      </c>
      <c r="F1860">
        <v>1018</v>
      </c>
      <c r="G1860" t="s">
        <v>112</v>
      </c>
      <c r="J1860" t="s">
        <v>113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R1860" t="s">
        <v>114</v>
      </c>
      <c r="S1860" t="str">
        <f>"19:05:49.344"</f>
        <v>19:05:49.344</v>
      </c>
      <c r="T1860" t="str">
        <f>"19:05:49.344"</f>
        <v>19:05:49.344</v>
      </c>
      <c r="U1860" t="str">
        <f t="shared" si="88"/>
        <v>a1cdbe</v>
      </c>
      <c r="V1860">
        <v>0</v>
      </c>
      <c r="W1860">
        <v>0</v>
      </c>
      <c r="X1860">
        <v>1</v>
      </c>
      <c r="Y1860">
        <v>0</v>
      </c>
      <c r="Z1860">
        <v>0</v>
      </c>
      <c r="AB1860">
        <v>0</v>
      </c>
      <c r="AC1860">
        <v>9</v>
      </c>
      <c r="AD1860">
        <v>3</v>
      </c>
      <c r="AE1860">
        <v>0</v>
      </c>
      <c r="AF1860">
        <v>9</v>
      </c>
      <c r="AG1860" t="s">
        <v>158</v>
      </c>
      <c r="AH1860">
        <v>0</v>
      </c>
      <c r="AI1860">
        <v>3</v>
      </c>
      <c r="AJ1860">
        <v>1</v>
      </c>
      <c r="AK1860">
        <v>0</v>
      </c>
      <c r="AL1860" t="s">
        <v>3510</v>
      </c>
      <c r="AM1860">
        <v>46.849758999999999</v>
      </c>
      <c r="AN1860" t="s">
        <v>3511</v>
      </c>
      <c r="AO1860">
        <v>-122.958856</v>
      </c>
      <c r="AP1860">
        <v>100</v>
      </c>
      <c r="AQ1860">
        <v>2000</v>
      </c>
      <c r="AR1860" t="s">
        <v>118</v>
      </c>
      <c r="AS1860">
        <v>-72</v>
      </c>
      <c r="AT1860">
        <v>19</v>
      </c>
      <c r="AU1860">
        <v>320</v>
      </c>
      <c r="BC1860">
        <v>1200</v>
      </c>
      <c r="BD1860">
        <v>1</v>
      </c>
      <c r="BE1860" t="str">
        <f t="shared" si="89"/>
        <v xml:space="preserve">N215T   </v>
      </c>
      <c r="BF1860">
        <v>1</v>
      </c>
      <c r="BH1860">
        <v>0</v>
      </c>
      <c r="BI1860">
        <v>0</v>
      </c>
      <c r="BJ1860">
        <v>0</v>
      </c>
      <c r="BK1860">
        <v>2425</v>
      </c>
      <c r="BL1860">
        <v>425</v>
      </c>
      <c r="BM1860" t="s">
        <v>119</v>
      </c>
      <c r="BN1860">
        <v>1</v>
      </c>
      <c r="BO1860">
        <v>1</v>
      </c>
      <c r="BP1860">
        <v>1</v>
      </c>
      <c r="BQ1860">
        <v>0</v>
      </c>
      <c r="BT1860">
        <v>0</v>
      </c>
      <c r="BU1860">
        <v>0</v>
      </c>
      <c r="BV1860">
        <v>0</v>
      </c>
      <c r="CC1860" t="str">
        <f>"19:05:49.344"</f>
        <v>19:05:49.344</v>
      </c>
      <c r="CD1860" t="str">
        <f>"344874499"</f>
        <v>344874499</v>
      </c>
      <c r="CQ1860">
        <v>0</v>
      </c>
      <c r="CR1860">
        <v>2</v>
      </c>
      <c r="CS1860">
        <v>0</v>
      </c>
      <c r="CT1860">
        <v>2</v>
      </c>
      <c r="CU1860">
        <v>0</v>
      </c>
      <c r="CV1860">
        <v>6</v>
      </c>
      <c r="CW1860" t="s">
        <v>120</v>
      </c>
      <c r="CX1860">
        <v>257</v>
      </c>
      <c r="CY1860">
        <v>1</v>
      </c>
      <c r="CZ1860" t="s">
        <v>615</v>
      </c>
      <c r="DA1860" t="s">
        <v>616</v>
      </c>
      <c r="DD1860">
        <v>11765874</v>
      </c>
      <c r="DE1860" t="s">
        <v>123</v>
      </c>
    </row>
    <row r="1861" spans="1:109" x14ac:dyDescent="0.3">
      <c r="A1861" t="str">
        <f>"19:05:50.617"</f>
        <v>19:05:50.617</v>
      </c>
      <c r="B1861" t="s">
        <v>110</v>
      </c>
      <c r="C1861" t="str">
        <f t="shared" si="87"/>
        <v>ffdfd3c0</v>
      </c>
      <c r="D1861" t="s">
        <v>111</v>
      </c>
      <c r="E1861">
        <v>18</v>
      </c>
      <c r="F1861">
        <v>1018</v>
      </c>
      <c r="G1861" t="s">
        <v>112</v>
      </c>
      <c r="J1861" t="s">
        <v>113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R1861" t="s">
        <v>114</v>
      </c>
      <c r="S1861" t="str">
        <f>"19:05:50.422"</f>
        <v>19:05:50.422</v>
      </c>
      <c r="T1861" t="str">
        <f>"19:05:50.422"</f>
        <v>19:05:50.422</v>
      </c>
      <c r="U1861" t="str">
        <f t="shared" si="88"/>
        <v>a1cdbe</v>
      </c>
      <c r="V1861">
        <v>0</v>
      </c>
      <c r="W1861">
        <v>0</v>
      </c>
      <c r="X1861">
        <v>1</v>
      </c>
      <c r="Y1861">
        <v>0</v>
      </c>
      <c r="Z1861">
        <v>0</v>
      </c>
      <c r="AB1861">
        <v>0</v>
      </c>
      <c r="AC1861">
        <v>9</v>
      </c>
      <c r="AD1861">
        <v>3</v>
      </c>
      <c r="AE1861">
        <v>0</v>
      </c>
      <c r="AF1861">
        <v>9</v>
      </c>
      <c r="AG1861" t="s">
        <v>158</v>
      </c>
      <c r="AH1861">
        <v>0</v>
      </c>
      <c r="AI1861">
        <v>3</v>
      </c>
      <c r="AJ1861">
        <v>1</v>
      </c>
      <c r="AK1861">
        <v>0</v>
      </c>
      <c r="AL1861" t="s">
        <v>3512</v>
      </c>
      <c r="AM1861">
        <v>46.849823000000001</v>
      </c>
      <c r="AN1861" t="s">
        <v>3513</v>
      </c>
      <c r="AO1861">
        <v>-122.959456</v>
      </c>
      <c r="AP1861">
        <v>100</v>
      </c>
      <c r="AQ1861">
        <v>2000</v>
      </c>
      <c r="AR1861" t="s">
        <v>118</v>
      </c>
      <c r="AS1861">
        <v>-72</v>
      </c>
      <c r="AT1861">
        <v>19</v>
      </c>
      <c r="AU1861">
        <v>320</v>
      </c>
      <c r="BC1861">
        <v>1200</v>
      </c>
      <c r="BD1861">
        <v>1</v>
      </c>
      <c r="BE1861" t="str">
        <f t="shared" si="89"/>
        <v xml:space="preserve">N215T   </v>
      </c>
      <c r="BF1861">
        <v>1</v>
      </c>
      <c r="BH1861">
        <v>0</v>
      </c>
      <c r="BI1861">
        <v>0</v>
      </c>
      <c r="BJ1861">
        <v>0</v>
      </c>
      <c r="BK1861">
        <v>2450</v>
      </c>
      <c r="BL1861">
        <v>450</v>
      </c>
      <c r="BM1861" t="s">
        <v>119</v>
      </c>
      <c r="BN1861">
        <v>1</v>
      </c>
      <c r="BO1861">
        <v>1</v>
      </c>
      <c r="BP1861">
        <v>1</v>
      </c>
      <c r="BQ1861">
        <v>0</v>
      </c>
      <c r="BT1861">
        <v>0</v>
      </c>
      <c r="BU1861">
        <v>0</v>
      </c>
      <c r="BV1861">
        <v>0</v>
      </c>
      <c r="CC1861" t="str">
        <f>"19:05:50.422"</f>
        <v>19:05:50.422</v>
      </c>
      <c r="CD1861" t="str">
        <f>"424743458"</f>
        <v>424743458</v>
      </c>
      <c r="CQ1861">
        <v>0</v>
      </c>
      <c r="CR1861">
        <v>2</v>
      </c>
      <c r="CS1861">
        <v>0</v>
      </c>
      <c r="CT1861">
        <v>2</v>
      </c>
      <c r="CU1861">
        <v>0</v>
      </c>
      <c r="CV1861">
        <v>6</v>
      </c>
      <c r="CW1861" t="s">
        <v>120</v>
      </c>
      <c r="CX1861">
        <v>261</v>
      </c>
      <c r="CY1861">
        <v>2</v>
      </c>
      <c r="CZ1861" t="s">
        <v>121</v>
      </c>
      <c r="DA1861" t="s">
        <v>122</v>
      </c>
      <c r="DD1861">
        <v>15357524</v>
      </c>
      <c r="DE1861" t="s">
        <v>123</v>
      </c>
    </row>
    <row r="1862" spans="1:109" x14ac:dyDescent="0.3">
      <c r="A1862" t="str">
        <f>"19:05:51.617"</f>
        <v>19:05:51.617</v>
      </c>
      <c r="B1862" t="s">
        <v>110</v>
      </c>
      <c r="C1862" t="str">
        <f t="shared" si="87"/>
        <v>ffdfd3c0</v>
      </c>
      <c r="D1862" t="s">
        <v>111</v>
      </c>
      <c r="E1862">
        <v>18</v>
      </c>
      <c r="F1862">
        <v>1018</v>
      </c>
      <c r="G1862" t="s">
        <v>112</v>
      </c>
      <c r="J1862" t="s">
        <v>113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R1862" t="s">
        <v>114</v>
      </c>
      <c r="S1862" t="str">
        <f>"19:05:51.414"</f>
        <v>19:05:51.414</v>
      </c>
      <c r="T1862" t="str">
        <f>"19:05:51.313"</f>
        <v>19:05:51.313</v>
      </c>
      <c r="U1862" t="str">
        <f t="shared" si="88"/>
        <v>a1cdbe</v>
      </c>
      <c r="V1862">
        <v>0</v>
      </c>
      <c r="W1862">
        <v>0</v>
      </c>
      <c r="X1862">
        <v>1</v>
      </c>
      <c r="Y1862">
        <v>0</v>
      </c>
      <c r="Z1862">
        <v>0</v>
      </c>
      <c r="AB1862">
        <v>0</v>
      </c>
      <c r="AC1862">
        <v>9</v>
      </c>
      <c r="AD1862">
        <v>3</v>
      </c>
      <c r="AE1862">
        <v>0</v>
      </c>
      <c r="AF1862">
        <v>9</v>
      </c>
      <c r="AG1862" t="s">
        <v>158</v>
      </c>
      <c r="AH1862">
        <v>0</v>
      </c>
      <c r="AI1862">
        <v>3</v>
      </c>
      <c r="AJ1862">
        <v>1</v>
      </c>
      <c r="AK1862">
        <v>0</v>
      </c>
      <c r="AL1862" t="s">
        <v>1822</v>
      </c>
      <c r="AM1862">
        <v>46.849930000000001</v>
      </c>
      <c r="AN1862" t="s">
        <v>3514</v>
      </c>
      <c r="AO1862">
        <v>-122.959886</v>
      </c>
      <c r="AP1862">
        <v>100</v>
      </c>
      <c r="AQ1862">
        <v>2100</v>
      </c>
      <c r="AR1862" t="s">
        <v>118</v>
      </c>
      <c r="AS1862">
        <v>-73</v>
      </c>
      <c r="AT1862">
        <v>19</v>
      </c>
      <c r="AU1862">
        <v>256</v>
      </c>
      <c r="BC1862">
        <v>1200</v>
      </c>
      <c r="BD1862">
        <v>1</v>
      </c>
      <c r="BE1862" t="str">
        <f t="shared" si="89"/>
        <v xml:space="preserve">N215T   </v>
      </c>
      <c r="BF1862">
        <v>1</v>
      </c>
      <c r="BH1862">
        <v>0</v>
      </c>
      <c r="BI1862">
        <v>0</v>
      </c>
      <c r="BJ1862">
        <v>0</v>
      </c>
      <c r="BK1862">
        <v>2450</v>
      </c>
      <c r="BL1862">
        <v>350</v>
      </c>
      <c r="BM1862" t="s">
        <v>119</v>
      </c>
      <c r="BN1862">
        <v>1</v>
      </c>
      <c r="BO1862">
        <v>1</v>
      </c>
      <c r="BP1862">
        <v>1</v>
      </c>
      <c r="BQ1862">
        <v>0</v>
      </c>
      <c r="BT1862">
        <v>0</v>
      </c>
      <c r="BU1862">
        <v>0</v>
      </c>
      <c r="BV1862">
        <v>0</v>
      </c>
      <c r="CC1862" t="str">
        <f>"19:05:51.414"</f>
        <v>19:05:51.414</v>
      </c>
      <c r="CD1862" t="str">
        <f>"414645935"</f>
        <v>414645935</v>
      </c>
      <c r="CQ1862">
        <v>0</v>
      </c>
      <c r="CR1862">
        <v>2</v>
      </c>
      <c r="CS1862">
        <v>0</v>
      </c>
      <c r="CT1862">
        <v>2</v>
      </c>
      <c r="CU1862">
        <v>0</v>
      </c>
      <c r="CV1862">
        <v>6</v>
      </c>
      <c r="CW1862" t="s">
        <v>120</v>
      </c>
      <c r="CX1862">
        <v>261</v>
      </c>
      <c r="CY1862">
        <v>2</v>
      </c>
      <c r="CZ1862" t="s">
        <v>121</v>
      </c>
      <c r="DA1862" t="s">
        <v>122</v>
      </c>
      <c r="DD1862">
        <v>15358130</v>
      </c>
      <c r="DE1862" t="s">
        <v>123</v>
      </c>
    </row>
    <row r="1863" spans="1:109" x14ac:dyDescent="0.3">
      <c r="A1863" t="str">
        <f>"19:05:52.773"</f>
        <v>19:05:52.773</v>
      </c>
      <c r="B1863" t="s">
        <v>110</v>
      </c>
      <c r="C1863" t="str">
        <f t="shared" si="87"/>
        <v>ffdfd3c0</v>
      </c>
      <c r="D1863" t="s">
        <v>111</v>
      </c>
      <c r="E1863">
        <v>18</v>
      </c>
      <c r="F1863">
        <v>1018</v>
      </c>
      <c r="G1863" t="s">
        <v>112</v>
      </c>
      <c r="J1863" t="s">
        <v>113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R1863" t="s">
        <v>114</v>
      </c>
      <c r="S1863" t="str">
        <f>"19:05:52.563"</f>
        <v>19:05:52.563</v>
      </c>
      <c r="T1863" t="str">
        <f>"19:05:52.461"</f>
        <v>19:05:52.461</v>
      </c>
      <c r="U1863" t="str">
        <f t="shared" si="88"/>
        <v>a1cdbe</v>
      </c>
      <c r="V1863">
        <v>0</v>
      </c>
      <c r="W1863">
        <v>0</v>
      </c>
      <c r="X1863">
        <v>1</v>
      </c>
      <c r="Y1863">
        <v>0</v>
      </c>
      <c r="Z1863">
        <v>0</v>
      </c>
      <c r="AB1863">
        <v>0</v>
      </c>
      <c r="AC1863">
        <v>9</v>
      </c>
      <c r="AD1863">
        <v>3</v>
      </c>
      <c r="AE1863">
        <v>0</v>
      </c>
      <c r="AF1863">
        <v>9</v>
      </c>
      <c r="AG1863" t="s">
        <v>158</v>
      </c>
      <c r="AH1863">
        <v>0</v>
      </c>
      <c r="AI1863">
        <v>3</v>
      </c>
      <c r="AJ1863">
        <v>1</v>
      </c>
      <c r="AK1863">
        <v>0</v>
      </c>
      <c r="AL1863" t="s">
        <v>3515</v>
      </c>
      <c r="AM1863">
        <v>46.850037999999998</v>
      </c>
      <c r="AN1863" t="s">
        <v>3516</v>
      </c>
      <c r="AO1863">
        <v>-122.96042199999999</v>
      </c>
      <c r="AP1863">
        <v>100</v>
      </c>
      <c r="AQ1863">
        <v>2100</v>
      </c>
      <c r="AR1863" t="s">
        <v>118</v>
      </c>
      <c r="AS1863">
        <v>-73</v>
      </c>
      <c r="AT1863">
        <v>20</v>
      </c>
      <c r="AU1863">
        <v>256</v>
      </c>
      <c r="BC1863">
        <v>1200</v>
      </c>
      <c r="BD1863">
        <v>1</v>
      </c>
      <c r="BE1863" t="str">
        <f t="shared" si="89"/>
        <v xml:space="preserve">N215T   </v>
      </c>
      <c r="BF1863">
        <v>1</v>
      </c>
      <c r="BH1863">
        <v>0</v>
      </c>
      <c r="BI1863">
        <v>0</v>
      </c>
      <c r="BJ1863">
        <v>0</v>
      </c>
      <c r="BK1863">
        <v>2450</v>
      </c>
      <c r="BL1863">
        <v>350</v>
      </c>
      <c r="BM1863" t="s">
        <v>119</v>
      </c>
      <c r="BN1863">
        <v>1</v>
      </c>
      <c r="BO1863">
        <v>1</v>
      </c>
      <c r="BP1863">
        <v>1</v>
      </c>
      <c r="BQ1863">
        <v>0</v>
      </c>
      <c r="BT1863">
        <v>0</v>
      </c>
      <c r="BU1863">
        <v>0</v>
      </c>
      <c r="BV1863">
        <v>0</v>
      </c>
      <c r="CC1863" t="str">
        <f>"19:05:52.570"</f>
        <v>19:05:52.570</v>
      </c>
      <c r="CD1863" t="str">
        <f>"569532172"</f>
        <v>569532172</v>
      </c>
      <c r="CQ1863">
        <v>0</v>
      </c>
      <c r="CR1863">
        <v>2</v>
      </c>
      <c r="CS1863">
        <v>0</v>
      </c>
      <c r="CT1863">
        <v>2</v>
      </c>
      <c r="CU1863">
        <v>0</v>
      </c>
      <c r="CV1863">
        <v>7</v>
      </c>
      <c r="CW1863" t="s">
        <v>120</v>
      </c>
      <c r="CX1863">
        <v>261</v>
      </c>
      <c r="CY1863">
        <v>2</v>
      </c>
      <c r="CZ1863" t="s">
        <v>121</v>
      </c>
      <c r="DA1863" t="s">
        <v>122</v>
      </c>
      <c r="DD1863">
        <v>15358888</v>
      </c>
      <c r="DE1863" t="s">
        <v>123</v>
      </c>
    </row>
    <row r="1864" spans="1:109" x14ac:dyDescent="0.3">
      <c r="A1864" t="str">
        <f>"19:05:53.680"</f>
        <v>19:05:53.680</v>
      </c>
      <c r="B1864" t="s">
        <v>110</v>
      </c>
      <c r="C1864" t="str">
        <f t="shared" si="87"/>
        <v>ffdfd3c0</v>
      </c>
      <c r="D1864" t="s">
        <v>111</v>
      </c>
      <c r="E1864">
        <v>18</v>
      </c>
      <c r="F1864">
        <v>1018</v>
      </c>
      <c r="G1864" t="s">
        <v>112</v>
      </c>
      <c r="J1864" t="s">
        <v>113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R1864" t="s">
        <v>114</v>
      </c>
      <c r="S1864" t="str">
        <f>"19:05:53.469"</f>
        <v>19:05:53.469</v>
      </c>
      <c r="T1864" t="str">
        <f>"19:05:53.367"</f>
        <v>19:05:53.367</v>
      </c>
      <c r="U1864" t="str">
        <f t="shared" si="88"/>
        <v>a1cdbe</v>
      </c>
      <c r="V1864">
        <v>0</v>
      </c>
      <c r="W1864">
        <v>0</v>
      </c>
      <c r="X1864">
        <v>1</v>
      </c>
      <c r="Y1864">
        <v>0</v>
      </c>
      <c r="Z1864">
        <v>0</v>
      </c>
      <c r="AB1864">
        <v>0</v>
      </c>
      <c r="AC1864">
        <v>9</v>
      </c>
      <c r="AD1864">
        <v>3</v>
      </c>
      <c r="AE1864">
        <v>0</v>
      </c>
      <c r="AF1864">
        <v>9</v>
      </c>
      <c r="AG1864" t="s">
        <v>158</v>
      </c>
      <c r="AH1864">
        <v>0</v>
      </c>
      <c r="AI1864">
        <v>3</v>
      </c>
      <c r="AJ1864">
        <v>1</v>
      </c>
      <c r="AK1864">
        <v>0</v>
      </c>
      <c r="AL1864" t="s">
        <v>3517</v>
      </c>
      <c r="AM1864">
        <v>46.850123000000004</v>
      </c>
      <c r="AN1864" t="s">
        <v>3518</v>
      </c>
      <c r="AO1864">
        <v>-122.960916</v>
      </c>
      <c r="AP1864">
        <v>100</v>
      </c>
      <c r="AQ1864">
        <v>2100</v>
      </c>
      <c r="AR1864" t="s">
        <v>118</v>
      </c>
      <c r="AS1864">
        <v>-73</v>
      </c>
      <c r="AT1864">
        <v>20</v>
      </c>
      <c r="AU1864">
        <v>192</v>
      </c>
      <c r="BC1864">
        <v>1200</v>
      </c>
      <c r="BD1864">
        <v>1</v>
      </c>
      <c r="BE1864" t="str">
        <f t="shared" si="89"/>
        <v xml:space="preserve">N215T   </v>
      </c>
      <c r="BF1864">
        <v>1</v>
      </c>
      <c r="BH1864">
        <v>0</v>
      </c>
      <c r="BI1864">
        <v>0</v>
      </c>
      <c r="BJ1864">
        <v>0</v>
      </c>
      <c r="BK1864">
        <v>2450</v>
      </c>
      <c r="BL1864">
        <v>350</v>
      </c>
      <c r="BM1864" t="s">
        <v>119</v>
      </c>
      <c r="BN1864">
        <v>1</v>
      </c>
      <c r="BO1864">
        <v>1</v>
      </c>
      <c r="BP1864">
        <v>1</v>
      </c>
      <c r="BQ1864">
        <v>0</v>
      </c>
      <c r="BT1864">
        <v>0</v>
      </c>
      <c r="BU1864">
        <v>0</v>
      </c>
      <c r="BV1864">
        <v>0</v>
      </c>
      <c r="CC1864" t="str">
        <f>"19:05:53.469"</f>
        <v>19:05:53.469</v>
      </c>
      <c r="CD1864" t="str">
        <f>"469443528"</f>
        <v>469443528</v>
      </c>
      <c r="CQ1864">
        <v>0</v>
      </c>
      <c r="CR1864">
        <v>2</v>
      </c>
      <c r="CS1864">
        <v>0</v>
      </c>
      <c r="CT1864">
        <v>2</v>
      </c>
      <c r="CU1864">
        <v>0</v>
      </c>
      <c r="CV1864">
        <v>7</v>
      </c>
      <c r="CW1864" t="s">
        <v>120</v>
      </c>
      <c r="CX1864">
        <v>261</v>
      </c>
      <c r="CY1864">
        <v>2</v>
      </c>
      <c r="CZ1864" t="s">
        <v>121</v>
      </c>
      <c r="DA1864" t="s">
        <v>122</v>
      </c>
      <c r="DD1864">
        <v>15359518</v>
      </c>
      <c r="DE1864" t="s">
        <v>123</v>
      </c>
    </row>
    <row r="1865" spans="1:109" x14ac:dyDescent="0.3">
      <c r="A1865" t="str">
        <f>"19:05:54.641"</f>
        <v>19:05:54.641</v>
      </c>
      <c r="B1865" t="s">
        <v>110</v>
      </c>
      <c r="C1865" t="str">
        <f t="shared" si="87"/>
        <v>ffdfd3c0</v>
      </c>
      <c r="D1865" t="s">
        <v>111</v>
      </c>
      <c r="E1865">
        <v>18</v>
      </c>
      <c r="F1865">
        <v>1018</v>
      </c>
      <c r="G1865" t="s">
        <v>112</v>
      </c>
      <c r="J1865" t="s">
        <v>113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R1865" t="s">
        <v>114</v>
      </c>
      <c r="S1865" t="str">
        <f>"19:05:54.398"</f>
        <v>19:05:54.398</v>
      </c>
      <c r="T1865" t="str">
        <f>"19:05:54.398"</f>
        <v>19:05:54.398</v>
      </c>
      <c r="U1865" t="str">
        <f t="shared" si="88"/>
        <v>a1cdbe</v>
      </c>
      <c r="V1865">
        <v>0</v>
      </c>
      <c r="W1865">
        <v>0</v>
      </c>
      <c r="X1865">
        <v>1</v>
      </c>
      <c r="Y1865">
        <v>0</v>
      </c>
      <c r="Z1865">
        <v>0</v>
      </c>
      <c r="AB1865">
        <v>0</v>
      </c>
      <c r="AC1865">
        <v>9</v>
      </c>
      <c r="AD1865">
        <v>3</v>
      </c>
      <c r="AE1865">
        <v>0</v>
      </c>
      <c r="AF1865">
        <v>9</v>
      </c>
      <c r="AG1865" t="s">
        <v>158</v>
      </c>
      <c r="AH1865">
        <v>0</v>
      </c>
      <c r="AI1865">
        <v>3</v>
      </c>
      <c r="AJ1865">
        <v>1</v>
      </c>
      <c r="AK1865">
        <v>0</v>
      </c>
      <c r="AL1865" t="s">
        <v>3519</v>
      </c>
      <c r="AM1865">
        <v>46.850188000000003</v>
      </c>
      <c r="AN1865" t="s">
        <v>3520</v>
      </c>
      <c r="AO1865">
        <v>-122.96132299999999</v>
      </c>
      <c r="AP1865">
        <v>100</v>
      </c>
      <c r="AQ1865">
        <v>2100</v>
      </c>
      <c r="AR1865" t="s">
        <v>118</v>
      </c>
      <c r="AS1865">
        <v>-74</v>
      </c>
      <c r="AT1865">
        <v>21</v>
      </c>
      <c r="AU1865">
        <v>192</v>
      </c>
      <c r="BC1865">
        <v>1200</v>
      </c>
      <c r="BD1865">
        <v>1</v>
      </c>
      <c r="BE1865" t="str">
        <f t="shared" si="89"/>
        <v xml:space="preserve">N215T   </v>
      </c>
      <c r="BF1865">
        <v>1</v>
      </c>
      <c r="BH1865">
        <v>0</v>
      </c>
      <c r="BI1865">
        <v>0</v>
      </c>
      <c r="BJ1865">
        <v>0</v>
      </c>
      <c r="BK1865">
        <v>2450</v>
      </c>
      <c r="BL1865">
        <v>350</v>
      </c>
      <c r="BM1865" t="s">
        <v>119</v>
      </c>
      <c r="BN1865">
        <v>1</v>
      </c>
      <c r="BO1865">
        <v>1</v>
      </c>
      <c r="BP1865">
        <v>1</v>
      </c>
      <c r="BQ1865">
        <v>0</v>
      </c>
      <c r="BT1865">
        <v>0</v>
      </c>
      <c r="BU1865">
        <v>0</v>
      </c>
      <c r="BV1865">
        <v>0</v>
      </c>
      <c r="CC1865" t="str">
        <f>"19:05:54.398"</f>
        <v>19:05:54.398</v>
      </c>
      <c r="CD1865" t="str">
        <f>"399351925"</f>
        <v>399351925</v>
      </c>
      <c r="CQ1865">
        <v>0</v>
      </c>
      <c r="CR1865">
        <v>2</v>
      </c>
      <c r="CS1865">
        <v>0</v>
      </c>
      <c r="CT1865">
        <v>2</v>
      </c>
      <c r="CU1865">
        <v>0</v>
      </c>
      <c r="CV1865">
        <v>7</v>
      </c>
      <c r="CW1865" t="s">
        <v>120</v>
      </c>
      <c r="CX1865">
        <v>261</v>
      </c>
      <c r="CY1865">
        <v>2</v>
      </c>
      <c r="CZ1865" t="s">
        <v>121</v>
      </c>
      <c r="DA1865" t="s">
        <v>122</v>
      </c>
      <c r="DD1865">
        <v>15360098</v>
      </c>
      <c r="DE1865" t="s">
        <v>123</v>
      </c>
    </row>
    <row r="1866" spans="1:109" x14ac:dyDescent="0.3">
      <c r="A1866" t="str">
        <f>"19:05:55.695"</f>
        <v>19:05:55.695</v>
      </c>
      <c r="B1866" t="s">
        <v>110</v>
      </c>
      <c r="C1866" t="str">
        <f t="shared" si="87"/>
        <v>ffdfd3c0</v>
      </c>
      <c r="D1866" t="s">
        <v>111</v>
      </c>
      <c r="E1866">
        <v>18</v>
      </c>
      <c r="F1866">
        <v>1018</v>
      </c>
      <c r="G1866" t="s">
        <v>112</v>
      </c>
      <c r="J1866" t="s">
        <v>113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R1866" t="s">
        <v>114</v>
      </c>
      <c r="S1866" t="str">
        <f>"19:05:55.477"</f>
        <v>19:05:55.477</v>
      </c>
      <c r="T1866" t="str">
        <f>"19:05:54.977"</f>
        <v>19:05:54.977</v>
      </c>
      <c r="U1866" t="str">
        <f t="shared" si="88"/>
        <v>a1cdbe</v>
      </c>
      <c r="V1866">
        <v>0</v>
      </c>
      <c r="W1866">
        <v>0</v>
      </c>
      <c r="X1866">
        <v>1</v>
      </c>
      <c r="Y1866">
        <v>0</v>
      </c>
      <c r="Z1866">
        <v>0</v>
      </c>
      <c r="AB1866">
        <v>0</v>
      </c>
      <c r="AC1866">
        <v>9</v>
      </c>
      <c r="AD1866">
        <v>3</v>
      </c>
      <c r="AE1866">
        <v>0</v>
      </c>
      <c r="AF1866">
        <v>9</v>
      </c>
      <c r="AG1866" t="s">
        <v>158</v>
      </c>
      <c r="AH1866">
        <v>0</v>
      </c>
      <c r="AI1866">
        <v>3</v>
      </c>
      <c r="AJ1866">
        <v>1</v>
      </c>
      <c r="AK1866">
        <v>0</v>
      </c>
      <c r="AL1866" t="s">
        <v>3521</v>
      </c>
      <c r="AM1866">
        <v>46.850316999999997</v>
      </c>
      <c r="AN1866" t="s">
        <v>3522</v>
      </c>
      <c r="AO1866">
        <v>-122.96186</v>
      </c>
      <c r="AP1866">
        <v>100</v>
      </c>
      <c r="AQ1866">
        <v>2100</v>
      </c>
      <c r="AR1866" t="s">
        <v>118</v>
      </c>
      <c r="AS1866">
        <v>-74</v>
      </c>
      <c r="AT1866">
        <v>21</v>
      </c>
      <c r="AU1866">
        <v>192</v>
      </c>
      <c r="BC1866">
        <v>1200</v>
      </c>
      <c r="BD1866">
        <v>1</v>
      </c>
      <c r="BE1866" t="str">
        <f t="shared" si="89"/>
        <v xml:space="preserve">N215T   </v>
      </c>
      <c r="BF1866">
        <v>1</v>
      </c>
      <c r="BH1866">
        <v>0</v>
      </c>
      <c r="BI1866">
        <v>0</v>
      </c>
      <c r="BJ1866">
        <v>0</v>
      </c>
      <c r="BK1866">
        <v>2450</v>
      </c>
      <c r="BL1866">
        <v>350</v>
      </c>
      <c r="BM1866" t="s">
        <v>119</v>
      </c>
      <c r="BN1866">
        <v>1</v>
      </c>
      <c r="BO1866">
        <v>1</v>
      </c>
      <c r="BP1866">
        <v>1</v>
      </c>
      <c r="BQ1866">
        <v>0</v>
      </c>
      <c r="BT1866">
        <v>0</v>
      </c>
      <c r="BU1866">
        <v>0</v>
      </c>
      <c r="BV1866">
        <v>0</v>
      </c>
      <c r="CC1866" t="str">
        <f>"19:05:55.477"</f>
        <v>19:05:55.477</v>
      </c>
      <c r="CD1866" t="str">
        <f>"479245553"</f>
        <v>479245553</v>
      </c>
      <c r="CQ1866">
        <v>0</v>
      </c>
      <c r="CR1866">
        <v>2</v>
      </c>
      <c r="CS1866">
        <v>0</v>
      </c>
      <c r="CT1866">
        <v>2</v>
      </c>
      <c r="CU1866">
        <v>0</v>
      </c>
      <c r="CV1866">
        <v>7</v>
      </c>
      <c r="CW1866" t="s">
        <v>120</v>
      </c>
      <c r="CX1866">
        <v>261</v>
      </c>
      <c r="CY1866">
        <v>2</v>
      </c>
      <c r="CZ1866" t="s">
        <v>121</v>
      </c>
      <c r="DA1866" t="s">
        <v>122</v>
      </c>
      <c r="DD1866">
        <v>15360796</v>
      </c>
      <c r="DE1866" t="s">
        <v>123</v>
      </c>
    </row>
    <row r="1867" spans="1:109" x14ac:dyDescent="0.3">
      <c r="A1867" t="str">
        <f>"19:05:56.852"</f>
        <v>19:05:56.852</v>
      </c>
      <c r="B1867" t="s">
        <v>110</v>
      </c>
      <c r="C1867" t="str">
        <f t="shared" si="87"/>
        <v>ffdfd3c0</v>
      </c>
      <c r="D1867" t="s">
        <v>111</v>
      </c>
      <c r="E1867">
        <v>18</v>
      </c>
      <c r="F1867">
        <v>1018</v>
      </c>
      <c r="G1867" t="s">
        <v>112</v>
      </c>
      <c r="J1867" t="s">
        <v>113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R1867" t="s">
        <v>114</v>
      </c>
      <c r="S1867" t="str">
        <f>"19:05:56.617"</f>
        <v>19:05:56.617</v>
      </c>
      <c r="T1867" t="str">
        <f>"19:05:56.516"</f>
        <v>19:05:56.516</v>
      </c>
      <c r="U1867" t="str">
        <f t="shared" si="88"/>
        <v>a1cdbe</v>
      </c>
      <c r="V1867">
        <v>0</v>
      </c>
      <c r="W1867">
        <v>0</v>
      </c>
      <c r="X1867">
        <v>1</v>
      </c>
      <c r="Y1867">
        <v>0</v>
      </c>
      <c r="Z1867">
        <v>0</v>
      </c>
      <c r="AB1867">
        <v>0</v>
      </c>
      <c r="AC1867">
        <v>9</v>
      </c>
      <c r="AD1867">
        <v>3</v>
      </c>
      <c r="AE1867">
        <v>0</v>
      </c>
      <c r="AF1867">
        <v>9</v>
      </c>
      <c r="AG1867" t="s">
        <v>158</v>
      </c>
      <c r="AH1867">
        <v>0</v>
      </c>
      <c r="AI1867">
        <v>3</v>
      </c>
      <c r="AJ1867">
        <v>1</v>
      </c>
      <c r="AK1867">
        <v>0</v>
      </c>
      <c r="AL1867" t="s">
        <v>3523</v>
      </c>
      <c r="AM1867">
        <v>46.850445000000001</v>
      </c>
      <c r="AN1867" t="s">
        <v>3524</v>
      </c>
      <c r="AO1867">
        <v>-122.96248199999999</v>
      </c>
      <c r="AP1867">
        <v>100</v>
      </c>
      <c r="AQ1867">
        <v>2100</v>
      </c>
      <c r="AR1867" t="s">
        <v>118</v>
      </c>
      <c r="AS1867">
        <v>-74</v>
      </c>
      <c r="AT1867">
        <v>22</v>
      </c>
      <c r="AU1867">
        <v>128</v>
      </c>
      <c r="BC1867">
        <v>1200</v>
      </c>
      <c r="BD1867">
        <v>1</v>
      </c>
      <c r="BE1867" t="str">
        <f t="shared" si="89"/>
        <v xml:space="preserve">N215T   </v>
      </c>
      <c r="BF1867">
        <v>1</v>
      </c>
      <c r="BH1867">
        <v>0</v>
      </c>
      <c r="BI1867">
        <v>0</v>
      </c>
      <c r="BJ1867">
        <v>0</v>
      </c>
      <c r="BK1867">
        <v>2450</v>
      </c>
      <c r="BL1867">
        <v>350</v>
      </c>
      <c r="BM1867" t="s">
        <v>119</v>
      </c>
      <c r="BN1867">
        <v>1</v>
      </c>
      <c r="BO1867">
        <v>1</v>
      </c>
      <c r="BP1867">
        <v>1</v>
      </c>
      <c r="BQ1867">
        <v>0</v>
      </c>
      <c r="BT1867">
        <v>0</v>
      </c>
      <c r="BU1867">
        <v>0</v>
      </c>
      <c r="BV1867">
        <v>0</v>
      </c>
      <c r="CC1867" t="str">
        <f>"19:05:56.617"</f>
        <v>19:05:56.617</v>
      </c>
      <c r="CD1867" t="str">
        <f>"619133266"</f>
        <v>619133266</v>
      </c>
      <c r="CQ1867">
        <v>0</v>
      </c>
      <c r="CR1867">
        <v>2</v>
      </c>
      <c r="CS1867">
        <v>0</v>
      </c>
      <c r="CT1867">
        <v>2</v>
      </c>
      <c r="CU1867">
        <v>0</v>
      </c>
      <c r="CV1867">
        <v>7</v>
      </c>
      <c r="CW1867" t="s">
        <v>120</v>
      </c>
      <c r="CX1867">
        <v>261</v>
      </c>
      <c r="CY1867">
        <v>2</v>
      </c>
      <c r="CZ1867" t="s">
        <v>121</v>
      </c>
      <c r="DA1867" t="s">
        <v>122</v>
      </c>
      <c r="DD1867">
        <v>15361543</v>
      </c>
      <c r="DE1867" t="s">
        <v>123</v>
      </c>
    </row>
    <row r="1868" spans="1:109" x14ac:dyDescent="0.3">
      <c r="A1868" t="str">
        <f>"19:05:57.805"</f>
        <v>19:05:57.805</v>
      </c>
      <c r="B1868" t="s">
        <v>110</v>
      </c>
      <c r="C1868" t="str">
        <f t="shared" si="87"/>
        <v>ffdfd3c0</v>
      </c>
      <c r="D1868" t="s">
        <v>111</v>
      </c>
      <c r="E1868">
        <v>18</v>
      </c>
      <c r="F1868">
        <v>1018</v>
      </c>
      <c r="G1868" t="s">
        <v>112</v>
      </c>
      <c r="J1868" t="s">
        <v>113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R1868" t="s">
        <v>114</v>
      </c>
      <c r="S1868" t="str">
        <f>"19:05:57.602"</f>
        <v>19:05:57.602</v>
      </c>
      <c r="T1868" t="str">
        <f>"19:05:57.398"</f>
        <v>19:05:57.398</v>
      </c>
      <c r="U1868" t="str">
        <f t="shared" si="88"/>
        <v>a1cdbe</v>
      </c>
      <c r="V1868">
        <v>0</v>
      </c>
      <c r="W1868">
        <v>0</v>
      </c>
      <c r="X1868">
        <v>1</v>
      </c>
      <c r="Y1868">
        <v>0</v>
      </c>
      <c r="Z1868">
        <v>0</v>
      </c>
      <c r="AB1868">
        <v>0</v>
      </c>
      <c r="AC1868">
        <v>9</v>
      </c>
      <c r="AD1868">
        <v>3</v>
      </c>
      <c r="AE1868">
        <v>0</v>
      </c>
      <c r="AF1868">
        <v>9</v>
      </c>
      <c r="AG1868" t="s">
        <v>158</v>
      </c>
      <c r="AH1868">
        <v>0</v>
      </c>
      <c r="AI1868">
        <v>3</v>
      </c>
      <c r="AJ1868">
        <v>1</v>
      </c>
      <c r="AK1868">
        <v>0</v>
      </c>
      <c r="AL1868" t="s">
        <v>3525</v>
      </c>
      <c r="AM1868">
        <v>46.85051</v>
      </c>
      <c r="AN1868" t="s">
        <v>3526</v>
      </c>
      <c r="AO1868">
        <v>-122.96293300000001</v>
      </c>
      <c r="AP1868">
        <v>100</v>
      </c>
      <c r="AQ1868">
        <v>2100</v>
      </c>
      <c r="AR1868" t="s">
        <v>118</v>
      </c>
      <c r="AS1868">
        <v>-74</v>
      </c>
      <c r="AT1868">
        <v>22</v>
      </c>
      <c r="AU1868">
        <v>128</v>
      </c>
      <c r="BC1868">
        <v>1200</v>
      </c>
      <c r="BD1868">
        <v>1</v>
      </c>
      <c r="BE1868" t="str">
        <f t="shared" si="89"/>
        <v xml:space="preserve">N215T   </v>
      </c>
      <c r="BF1868">
        <v>1</v>
      </c>
      <c r="BH1868">
        <v>0</v>
      </c>
      <c r="BI1868">
        <v>0</v>
      </c>
      <c r="BJ1868">
        <v>0</v>
      </c>
      <c r="BK1868">
        <v>2450</v>
      </c>
      <c r="BL1868">
        <v>350</v>
      </c>
      <c r="BM1868" t="s">
        <v>119</v>
      </c>
      <c r="BN1868">
        <v>1</v>
      </c>
      <c r="BO1868">
        <v>1</v>
      </c>
      <c r="BP1868">
        <v>1</v>
      </c>
      <c r="BQ1868">
        <v>0</v>
      </c>
      <c r="BT1868">
        <v>0</v>
      </c>
      <c r="BU1868">
        <v>0</v>
      </c>
      <c r="BV1868">
        <v>0</v>
      </c>
      <c r="CC1868" t="str">
        <f>"19:05:57.609"</f>
        <v>19:05:57.609</v>
      </c>
      <c r="CD1868" t="str">
        <f>"609035746"</f>
        <v>609035746</v>
      </c>
      <c r="CQ1868">
        <v>0</v>
      </c>
      <c r="CR1868">
        <v>2</v>
      </c>
      <c r="CS1868">
        <v>0</v>
      </c>
      <c r="CT1868">
        <v>2</v>
      </c>
      <c r="CU1868">
        <v>0</v>
      </c>
      <c r="CV1868">
        <v>7</v>
      </c>
      <c r="CW1868" t="s">
        <v>120</v>
      </c>
      <c r="CX1868">
        <v>261</v>
      </c>
      <c r="CY1868">
        <v>2</v>
      </c>
      <c r="CZ1868" t="s">
        <v>121</v>
      </c>
      <c r="DA1868" t="s">
        <v>122</v>
      </c>
      <c r="DD1868">
        <v>15362257</v>
      </c>
      <c r="DE1868" t="s">
        <v>123</v>
      </c>
    </row>
    <row r="1869" spans="1:109" x14ac:dyDescent="0.3">
      <c r="A1869" t="str">
        <f>"19:05:58.758"</f>
        <v>19:05:58.758</v>
      </c>
      <c r="B1869" t="s">
        <v>110</v>
      </c>
      <c r="C1869" t="str">
        <f t="shared" si="87"/>
        <v>ffdfd3c0</v>
      </c>
      <c r="D1869" t="s">
        <v>111</v>
      </c>
      <c r="E1869">
        <v>18</v>
      </c>
      <c r="F1869">
        <v>1018</v>
      </c>
      <c r="G1869" t="s">
        <v>112</v>
      </c>
      <c r="J1869" t="s">
        <v>113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R1869" t="s">
        <v>114</v>
      </c>
      <c r="S1869" t="str">
        <f>"19:05:58.547"</f>
        <v>19:05:58.547</v>
      </c>
      <c r="T1869" t="str">
        <f>"19:05:58.344"</f>
        <v>19:05:58.344</v>
      </c>
      <c r="U1869" t="str">
        <f t="shared" si="88"/>
        <v>a1cdbe</v>
      </c>
      <c r="V1869">
        <v>0</v>
      </c>
      <c r="W1869">
        <v>0</v>
      </c>
      <c r="X1869">
        <v>1</v>
      </c>
      <c r="Y1869">
        <v>0</v>
      </c>
      <c r="Z1869">
        <v>0</v>
      </c>
      <c r="AB1869">
        <v>0</v>
      </c>
      <c r="AC1869">
        <v>9</v>
      </c>
      <c r="AD1869">
        <v>3</v>
      </c>
      <c r="AE1869">
        <v>0</v>
      </c>
      <c r="AF1869">
        <v>9</v>
      </c>
      <c r="AG1869" t="s">
        <v>158</v>
      </c>
      <c r="AH1869">
        <v>0</v>
      </c>
      <c r="AI1869">
        <v>3</v>
      </c>
      <c r="AJ1869">
        <v>1</v>
      </c>
      <c r="AK1869">
        <v>0</v>
      </c>
      <c r="AL1869" t="s">
        <v>1814</v>
      </c>
      <c r="AM1869">
        <v>46.850637999999996</v>
      </c>
      <c r="AN1869" t="s">
        <v>3527</v>
      </c>
      <c r="AO1869">
        <v>-122.963469</v>
      </c>
      <c r="AP1869">
        <v>100</v>
      </c>
      <c r="AQ1869">
        <v>2100</v>
      </c>
      <c r="AR1869" t="s">
        <v>118</v>
      </c>
      <c r="AS1869">
        <v>-75</v>
      </c>
      <c r="AT1869">
        <v>23</v>
      </c>
      <c r="AU1869">
        <v>128</v>
      </c>
      <c r="BC1869">
        <v>1200</v>
      </c>
      <c r="BD1869">
        <v>1</v>
      </c>
      <c r="BE1869" t="str">
        <f t="shared" si="89"/>
        <v xml:space="preserve">N215T   </v>
      </c>
      <c r="BF1869">
        <v>1</v>
      </c>
      <c r="BH1869">
        <v>0</v>
      </c>
      <c r="BI1869">
        <v>0</v>
      </c>
      <c r="BJ1869">
        <v>0</v>
      </c>
      <c r="BK1869">
        <v>2450</v>
      </c>
      <c r="BL1869">
        <v>350</v>
      </c>
      <c r="BM1869" t="s">
        <v>119</v>
      </c>
      <c r="BN1869">
        <v>1</v>
      </c>
      <c r="BO1869">
        <v>1</v>
      </c>
      <c r="BP1869">
        <v>1</v>
      </c>
      <c r="BQ1869">
        <v>0</v>
      </c>
      <c r="BT1869">
        <v>0</v>
      </c>
      <c r="BU1869">
        <v>0</v>
      </c>
      <c r="BV1869">
        <v>0</v>
      </c>
      <c r="CC1869" t="str">
        <f>"19:05:58.555"</f>
        <v>19:05:58.555</v>
      </c>
      <c r="CD1869" t="str">
        <f>"553942668"</f>
        <v>553942668</v>
      </c>
      <c r="CQ1869">
        <v>0</v>
      </c>
      <c r="CR1869">
        <v>2</v>
      </c>
      <c r="CS1869">
        <v>0</v>
      </c>
      <c r="CT1869">
        <v>2</v>
      </c>
      <c r="CU1869">
        <v>0</v>
      </c>
      <c r="CV1869">
        <v>6</v>
      </c>
      <c r="CW1869" t="s">
        <v>120</v>
      </c>
      <c r="CX1869">
        <v>261</v>
      </c>
      <c r="CY1869">
        <v>2</v>
      </c>
      <c r="CZ1869" t="s">
        <v>121</v>
      </c>
      <c r="DA1869" t="s">
        <v>122</v>
      </c>
      <c r="DD1869">
        <v>15362881</v>
      </c>
      <c r="DE1869" t="s">
        <v>123</v>
      </c>
    </row>
    <row r="1870" spans="1:109" x14ac:dyDescent="0.3">
      <c r="A1870" t="str">
        <f>"19:05:59.969"</f>
        <v>19:05:59.969</v>
      </c>
      <c r="B1870" t="s">
        <v>110</v>
      </c>
      <c r="C1870" t="str">
        <f t="shared" si="87"/>
        <v>ffdfd3c0</v>
      </c>
      <c r="D1870" t="s">
        <v>111</v>
      </c>
      <c r="E1870">
        <v>18</v>
      </c>
      <c r="F1870">
        <v>1018</v>
      </c>
      <c r="G1870" t="s">
        <v>112</v>
      </c>
      <c r="J1870" t="s">
        <v>113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R1870" t="s">
        <v>114</v>
      </c>
      <c r="S1870" t="str">
        <f>"19:05:59.719"</f>
        <v>19:05:59.719</v>
      </c>
      <c r="T1870" t="str">
        <f>"19:05:59.320"</f>
        <v>19:05:59.320</v>
      </c>
      <c r="U1870" t="str">
        <f t="shared" si="88"/>
        <v>a1cdbe</v>
      </c>
      <c r="V1870">
        <v>0</v>
      </c>
      <c r="W1870">
        <v>0</v>
      </c>
      <c r="X1870">
        <v>1</v>
      </c>
      <c r="Y1870">
        <v>0</v>
      </c>
      <c r="Z1870">
        <v>0</v>
      </c>
      <c r="AB1870">
        <v>0</v>
      </c>
      <c r="AC1870">
        <v>9</v>
      </c>
      <c r="AD1870">
        <v>3</v>
      </c>
      <c r="AE1870">
        <v>0</v>
      </c>
      <c r="AF1870">
        <v>9</v>
      </c>
      <c r="AG1870" t="s">
        <v>158</v>
      </c>
      <c r="AH1870">
        <v>0</v>
      </c>
      <c r="AI1870">
        <v>3</v>
      </c>
      <c r="AJ1870">
        <v>1</v>
      </c>
      <c r="AK1870">
        <v>0</v>
      </c>
      <c r="AL1870" t="s">
        <v>3528</v>
      </c>
      <c r="AM1870">
        <v>46.850746000000001</v>
      </c>
      <c r="AN1870" t="s">
        <v>3529</v>
      </c>
      <c r="AO1870">
        <v>-122.964005</v>
      </c>
      <c r="AP1870">
        <v>100</v>
      </c>
      <c r="AQ1870">
        <v>2100</v>
      </c>
      <c r="AR1870" t="s">
        <v>118</v>
      </c>
      <c r="AS1870">
        <v>-75</v>
      </c>
      <c r="AT1870">
        <v>23</v>
      </c>
      <c r="AU1870">
        <v>192</v>
      </c>
      <c r="BC1870">
        <v>1200</v>
      </c>
      <c r="BD1870">
        <v>1</v>
      </c>
      <c r="BE1870" t="str">
        <f t="shared" si="89"/>
        <v xml:space="preserve">N215T   </v>
      </c>
      <c r="BF1870">
        <v>1</v>
      </c>
      <c r="BH1870">
        <v>0</v>
      </c>
      <c r="BI1870">
        <v>0</v>
      </c>
      <c r="BJ1870">
        <v>0</v>
      </c>
      <c r="BK1870">
        <v>2475</v>
      </c>
      <c r="BL1870">
        <v>375</v>
      </c>
      <c r="BM1870" t="s">
        <v>119</v>
      </c>
      <c r="BN1870">
        <v>1</v>
      </c>
      <c r="BO1870">
        <v>1</v>
      </c>
      <c r="BP1870">
        <v>1</v>
      </c>
      <c r="BQ1870">
        <v>0</v>
      </c>
      <c r="BT1870">
        <v>0</v>
      </c>
      <c r="BU1870">
        <v>0</v>
      </c>
      <c r="BV1870">
        <v>0</v>
      </c>
      <c r="CC1870" t="str">
        <f>"19:05:59.727"</f>
        <v>19:05:59.727</v>
      </c>
      <c r="CD1870" t="str">
        <f>"723851346"</f>
        <v>723851346</v>
      </c>
      <c r="CQ1870">
        <v>0</v>
      </c>
      <c r="CR1870">
        <v>2</v>
      </c>
      <c r="CS1870">
        <v>0</v>
      </c>
      <c r="CT1870">
        <v>2</v>
      </c>
      <c r="CU1870">
        <v>0</v>
      </c>
      <c r="CV1870">
        <v>6</v>
      </c>
      <c r="CW1870" t="s">
        <v>120</v>
      </c>
      <c r="CX1870">
        <v>257</v>
      </c>
      <c r="CY1870">
        <v>0</v>
      </c>
      <c r="CZ1870" t="s">
        <v>615</v>
      </c>
      <c r="DA1870" t="s">
        <v>616</v>
      </c>
      <c r="DD1870">
        <v>15584990</v>
      </c>
      <c r="DE1870" t="s">
        <v>123</v>
      </c>
    </row>
    <row r="1871" spans="1:109" x14ac:dyDescent="0.3">
      <c r="A1871" t="str">
        <f>"19:06:00.922"</f>
        <v>19:06:00.922</v>
      </c>
      <c r="B1871" t="s">
        <v>110</v>
      </c>
      <c r="C1871" t="str">
        <f t="shared" si="87"/>
        <v>ffdfd3c0</v>
      </c>
      <c r="D1871" t="s">
        <v>111</v>
      </c>
      <c r="E1871">
        <v>18</v>
      </c>
      <c r="F1871">
        <v>1018</v>
      </c>
      <c r="G1871" t="s">
        <v>112</v>
      </c>
      <c r="J1871" t="s">
        <v>113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R1871" t="s">
        <v>114</v>
      </c>
      <c r="S1871" t="str">
        <f>"19:06:00.664"</f>
        <v>19:06:00.664</v>
      </c>
      <c r="T1871" t="str">
        <f>"19:06:00.367"</f>
        <v>19:06:00.367</v>
      </c>
      <c r="U1871" t="str">
        <f t="shared" si="88"/>
        <v>a1cdbe</v>
      </c>
      <c r="V1871">
        <v>0</v>
      </c>
      <c r="W1871">
        <v>0</v>
      </c>
      <c r="X1871">
        <v>1</v>
      </c>
      <c r="Y1871">
        <v>0</v>
      </c>
      <c r="Z1871">
        <v>0</v>
      </c>
      <c r="AB1871">
        <v>0</v>
      </c>
      <c r="AC1871">
        <v>9</v>
      </c>
      <c r="AD1871">
        <v>3</v>
      </c>
      <c r="AE1871">
        <v>0</v>
      </c>
      <c r="AF1871">
        <v>9</v>
      </c>
      <c r="AG1871" t="s">
        <v>158</v>
      </c>
      <c r="AH1871">
        <v>0</v>
      </c>
      <c r="AI1871">
        <v>3</v>
      </c>
      <c r="AJ1871">
        <v>1</v>
      </c>
      <c r="AK1871">
        <v>0</v>
      </c>
      <c r="AL1871" t="s">
        <v>3530</v>
      </c>
      <c r="AM1871">
        <v>46.850873999999997</v>
      </c>
      <c r="AN1871" t="s">
        <v>3531</v>
      </c>
      <c r="AO1871">
        <v>-122.964478</v>
      </c>
      <c r="AP1871">
        <v>100</v>
      </c>
      <c r="AQ1871">
        <v>2100</v>
      </c>
      <c r="AR1871" t="s">
        <v>118</v>
      </c>
      <c r="AS1871">
        <v>-75</v>
      </c>
      <c r="AT1871">
        <v>23</v>
      </c>
      <c r="AU1871">
        <v>192</v>
      </c>
      <c r="BC1871">
        <v>1200</v>
      </c>
      <c r="BD1871">
        <v>1</v>
      </c>
      <c r="BE1871" t="str">
        <f t="shared" si="89"/>
        <v xml:space="preserve">N215T   </v>
      </c>
      <c r="BF1871">
        <v>1</v>
      </c>
      <c r="BH1871">
        <v>0</v>
      </c>
      <c r="BI1871">
        <v>0</v>
      </c>
      <c r="BJ1871">
        <v>0</v>
      </c>
      <c r="BK1871">
        <v>2450</v>
      </c>
      <c r="BL1871">
        <v>350</v>
      </c>
      <c r="BM1871" t="s">
        <v>119</v>
      </c>
      <c r="BN1871">
        <v>1</v>
      </c>
      <c r="BO1871">
        <v>1</v>
      </c>
      <c r="BP1871">
        <v>1</v>
      </c>
      <c r="BQ1871">
        <v>0</v>
      </c>
      <c r="BT1871">
        <v>0</v>
      </c>
      <c r="BU1871">
        <v>0</v>
      </c>
      <c r="BV1871">
        <v>0</v>
      </c>
      <c r="CC1871" t="str">
        <f>"19:06:00.672"</f>
        <v>19:06:00.672</v>
      </c>
      <c r="CD1871" t="str">
        <f>"668734336"</f>
        <v>668734336</v>
      </c>
      <c r="CQ1871">
        <v>0</v>
      </c>
      <c r="CR1871">
        <v>2</v>
      </c>
      <c r="CS1871">
        <v>0</v>
      </c>
      <c r="CT1871">
        <v>2</v>
      </c>
      <c r="CU1871">
        <v>0</v>
      </c>
      <c r="CV1871">
        <v>7</v>
      </c>
      <c r="CW1871" t="s">
        <v>120</v>
      </c>
      <c r="CX1871">
        <v>261</v>
      </c>
      <c r="CY1871">
        <v>2</v>
      </c>
      <c r="CZ1871" t="s">
        <v>121</v>
      </c>
      <c r="DA1871" t="s">
        <v>122</v>
      </c>
      <c r="DD1871">
        <v>15364277</v>
      </c>
      <c r="DE1871" t="s">
        <v>123</v>
      </c>
    </row>
    <row r="1872" spans="1:109" x14ac:dyDescent="0.3">
      <c r="A1872" t="str">
        <f>"19:06:01.930"</f>
        <v>19:06:01.930</v>
      </c>
      <c r="B1872" t="s">
        <v>110</v>
      </c>
      <c r="C1872" t="str">
        <f t="shared" si="87"/>
        <v>ffdfd3c0</v>
      </c>
      <c r="D1872" t="s">
        <v>111</v>
      </c>
      <c r="E1872">
        <v>18</v>
      </c>
      <c r="F1872">
        <v>1018</v>
      </c>
      <c r="G1872" t="s">
        <v>112</v>
      </c>
      <c r="J1872" t="s">
        <v>113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R1872" t="s">
        <v>114</v>
      </c>
      <c r="S1872" t="str">
        <f>"19:06:01.672"</f>
        <v>19:06:01.672</v>
      </c>
      <c r="T1872" t="str">
        <f>"19:06:01.469"</f>
        <v>19:06:01.469</v>
      </c>
      <c r="U1872" t="str">
        <f t="shared" si="88"/>
        <v>a1cdbe</v>
      </c>
      <c r="V1872">
        <v>0</v>
      </c>
      <c r="W1872">
        <v>0</v>
      </c>
      <c r="X1872">
        <v>1</v>
      </c>
      <c r="Y1872">
        <v>0</v>
      </c>
      <c r="Z1872">
        <v>0</v>
      </c>
      <c r="AB1872">
        <v>0</v>
      </c>
      <c r="AC1872">
        <v>9</v>
      </c>
      <c r="AD1872">
        <v>3</v>
      </c>
      <c r="AE1872">
        <v>0</v>
      </c>
      <c r="AF1872">
        <v>9</v>
      </c>
      <c r="AG1872" t="s">
        <v>158</v>
      </c>
      <c r="AH1872">
        <v>0</v>
      </c>
      <c r="AI1872">
        <v>3</v>
      </c>
      <c r="AJ1872">
        <v>1</v>
      </c>
      <c r="AK1872">
        <v>0</v>
      </c>
      <c r="AL1872" t="s">
        <v>3532</v>
      </c>
      <c r="AM1872">
        <v>46.850960000000001</v>
      </c>
      <c r="AN1872" t="s">
        <v>3533</v>
      </c>
      <c r="AO1872">
        <v>-122.965014</v>
      </c>
      <c r="AP1872">
        <v>100</v>
      </c>
      <c r="AQ1872">
        <v>2100</v>
      </c>
      <c r="AR1872" t="s">
        <v>118</v>
      </c>
      <c r="AS1872">
        <v>-75</v>
      </c>
      <c r="AT1872">
        <v>23</v>
      </c>
      <c r="AU1872">
        <v>192</v>
      </c>
      <c r="BC1872">
        <v>1200</v>
      </c>
      <c r="BD1872">
        <v>1</v>
      </c>
      <c r="BE1872" t="str">
        <f t="shared" si="89"/>
        <v xml:space="preserve">N215T   </v>
      </c>
      <c r="BF1872">
        <v>1</v>
      </c>
      <c r="BH1872">
        <v>0</v>
      </c>
      <c r="BI1872">
        <v>0</v>
      </c>
      <c r="BJ1872">
        <v>0</v>
      </c>
      <c r="BK1872">
        <v>2475</v>
      </c>
      <c r="BL1872">
        <v>375</v>
      </c>
      <c r="BM1872" t="s">
        <v>119</v>
      </c>
      <c r="BN1872">
        <v>1</v>
      </c>
      <c r="BO1872">
        <v>1</v>
      </c>
      <c r="BP1872">
        <v>1</v>
      </c>
      <c r="BQ1872">
        <v>0</v>
      </c>
      <c r="BT1872">
        <v>0</v>
      </c>
      <c r="BU1872">
        <v>0</v>
      </c>
      <c r="BV1872">
        <v>0</v>
      </c>
      <c r="CC1872" t="str">
        <f>"19:06:01.672"</f>
        <v>19:06:01.672</v>
      </c>
      <c r="CD1872" t="str">
        <f>"673635334"</f>
        <v>673635334</v>
      </c>
      <c r="CQ1872">
        <v>0</v>
      </c>
      <c r="CR1872">
        <v>2</v>
      </c>
      <c r="CS1872">
        <v>0</v>
      </c>
      <c r="CT1872">
        <v>2</v>
      </c>
      <c r="CU1872">
        <v>0</v>
      </c>
      <c r="CV1872">
        <v>7</v>
      </c>
      <c r="CW1872" t="s">
        <v>120</v>
      </c>
      <c r="CX1872">
        <v>261</v>
      </c>
      <c r="CY1872">
        <v>2</v>
      </c>
      <c r="CZ1872" t="s">
        <v>121</v>
      </c>
      <c r="DA1872" t="s">
        <v>122</v>
      </c>
      <c r="DD1872">
        <v>15364936</v>
      </c>
      <c r="DE1872" t="s">
        <v>123</v>
      </c>
    </row>
    <row r="1873" spans="1:109" x14ac:dyDescent="0.3">
      <c r="A1873" t="str">
        <f>"19:06:02.734"</f>
        <v>19:06:02.734</v>
      </c>
      <c r="B1873" t="s">
        <v>110</v>
      </c>
      <c r="C1873" t="str">
        <f t="shared" si="87"/>
        <v>ffdfd3c0</v>
      </c>
      <c r="D1873" t="s">
        <v>111</v>
      </c>
      <c r="E1873">
        <v>18</v>
      </c>
      <c r="F1873">
        <v>1018</v>
      </c>
      <c r="G1873" t="s">
        <v>112</v>
      </c>
      <c r="J1873" t="s">
        <v>113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R1873" t="s">
        <v>114</v>
      </c>
      <c r="S1873" t="str">
        <f>"19:06:02.508"</f>
        <v>19:06:02.508</v>
      </c>
      <c r="T1873" t="str">
        <f>"19:06:02.008"</f>
        <v>19:06:02.008</v>
      </c>
      <c r="U1873" t="str">
        <f t="shared" si="88"/>
        <v>a1cdbe</v>
      </c>
      <c r="V1873">
        <v>0</v>
      </c>
      <c r="W1873">
        <v>0</v>
      </c>
      <c r="X1873">
        <v>1</v>
      </c>
      <c r="Y1873">
        <v>0</v>
      </c>
      <c r="Z1873">
        <v>0</v>
      </c>
      <c r="AB1873">
        <v>0</v>
      </c>
      <c r="AC1873">
        <v>9</v>
      </c>
      <c r="AD1873">
        <v>3</v>
      </c>
      <c r="AE1873">
        <v>0</v>
      </c>
      <c r="AF1873">
        <v>9</v>
      </c>
      <c r="AG1873" t="s">
        <v>158</v>
      </c>
      <c r="AH1873">
        <v>0</v>
      </c>
      <c r="AI1873">
        <v>3</v>
      </c>
      <c r="AJ1873">
        <v>1</v>
      </c>
      <c r="AK1873">
        <v>0</v>
      </c>
      <c r="AL1873" t="s">
        <v>3534</v>
      </c>
      <c r="AM1873">
        <v>46.851067999999998</v>
      </c>
      <c r="AN1873" t="s">
        <v>3535</v>
      </c>
      <c r="AO1873">
        <v>-122.965486</v>
      </c>
      <c r="AP1873">
        <v>100</v>
      </c>
      <c r="AQ1873">
        <v>2100</v>
      </c>
      <c r="AR1873" t="s">
        <v>118</v>
      </c>
      <c r="AS1873">
        <v>-75</v>
      </c>
      <c r="AT1873">
        <v>24</v>
      </c>
      <c r="AU1873">
        <v>256</v>
      </c>
      <c r="BC1873">
        <v>1200</v>
      </c>
      <c r="BD1873">
        <v>1</v>
      </c>
      <c r="BE1873" t="str">
        <f t="shared" si="89"/>
        <v xml:space="preserve">N215T   </v>
      </c>
      <c r="BF1873">
        <v>1</v>
      </c>
      <c r="BH1873">
        <v>0</v>
      </c>
      <c r="BI1873">
        <v>0</v>
      </c>
      <c r="BJ1873">
        <v>0</v>
      </c>
      <c r="BK1873">
        <v>2475</v>
      </c>
      <c r="BL1873">
        <v>375</v>
      </c>
      <c r="BM1873" t="s">
        <v>119</v>
      </c>
      <c r="BN1873">
        <v>1</v>
      </c>
      <c r="BO1873">
        <v>1</v>
      </c>
      <c r="BP1873">
        <v>1</v>
      </c>
      <c r="BQ1873">
        <v>0</v>
      </c>
      <c r="BT1873">
        <v>0</v>
      </c>
      <c r="BU1873">
        <v>0</v>
      </c>
      <c r="BV1873">
        <v>0</v>
      </c>
      <c r="CC1873" t="str">
        <f>"19:06:02.516"</f>
        <v>19:06:02.516</v>
      </c>
      <c r="CD1873" t="str">
        <f>"513552598"</f>
        <v>513552598</v>
      </c>
      <c r="CQ1873">
        <v>0</v>
      </c>
      <c r="CR1873">
        <v>2</v>
      </c>
      <c r="CS1873">
        <v>0</v>
      </c>
      <c r="CT1873">
        <v>2</v>
      </c>
      <c r="CU1873">
        <v>0</v>
      </c>
      <c r="CV1873">
        <v>7</v>
      </c>
      <c r="CW1873" t="s">
        <v>120</v>
      </c>
      <c r="CX1873">
        <v>261</v>
      </c>
      <c r="CY1873">
        <v>2</v>
      </c>
      <c r="CZ1873" t="s">
        <v>121</v>
      </c>
      <c r="DA1873" t="s">
        <v>122</v>
      </c>
      <c r="DD1873">
        <v>15365499</v>
      </c>
      <c r="DE1873" t="s">
        <v>123</v>
      </c>
    </row>
    <row r="1874" spans="1:109" x14ac:dyDescent="0.3">
      <c r="A1874" t="str">
        <f>"19:06:03.734"</f>
        <v>19:06:03.734</v>
      </c>
      <c r="B1874" t="s">
        <v>110</v>
      </c>
      <c r="C1874" t="str">
        <f t="shared" si="87"/>
        <v>ffdfd3c0</v>
      </c>
      <c r="D1874" t="s">
        <v>111</v>
      </c>
      <c r="E1874">
        <v>18</v>
      </c>
      <c r="F1874">
        <v>1018</v>
      </c>
      <c r="G1874" t="s">
        <v>112</v>
      </c>
      <c r="J1874" t="s">
        <v>113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R1874" t="s">
        <v>114</v>
      </c>
      <c r="S1874" t="str">
        <f>"19:06:03.516"</f>
        <v>19:06:03.516</v>
      </c>
      <c r="T1874" t="str">
        <f>"19:06:03.016"</f>
        <v>19:06:03.016</v>
      </c>
      <c r="U1874" t="str">
        <f t="shared" si="88"/>
        <v>a1cdbe</v>
      </c>
      <c r="V1874">
        <v>0</v>
      </c>
      <c r="W1874">
        <v>0</v>
      </c>
      <c r="X1874">
        <v>1</v>
      </c>
      <c r="Y1874">
        <v>0</v>
      </c>
      <c r="Z1874">
        <v>0</v>
      </c>
      <c r="AB1874">
        <v>0</v>
      </c>
      <c r="AC1874">
        <v>9</v>
      </c>
      <c r="AD1874">
        <v>3</v>
      </c>
      <c r="AE1874">
        <v>0</v>
      </c>
      <c r="AF1874">
        <v>9</v>
      </c>
      <c r="AG1874" t="s">
        <v>158</v>
      </c>
      <c r="AH1874">
        <v>0</v>
      </c>
      <c r="AI1874">
        <v>3</v>
      </c>
      <c r="AJ1874">
        <v>1</v>
      </c>
      <c r="AK1874">
        <v>0</v>
      </c>
      <c r="AL1874" t="s">
        <v>3536</v>
      </c>
      <c r="AM1874">
        <v>46.851152999999996</v>
      </c>
      <c r="AN1874" t="s">
        <v>3537</v>
      </c>
      <c r="AO1874">
        <v>-122.965915</v>
      </c>
      <c r="AP1874">
        <v>100</v>
      </c>
      <c r="AQ1874">
        <v>2100</v>
      </c>
      <c r="AR1874" t="s">
        <v>118</v>
      </c>
      <c r="AS1874">
        <v>-75</v>
      </c>
      <c r="AT1874">
        <v>24</v>
      </c>
      <c r="AU1874">
        <v>256</v>
      </c>
      <c r="BC1874">
        <v>1200</v>
      </c>
      <c r="BD1874">
        <v>1</v>
      </c>
      <c r="BE1874" t="str">
        <f t="shared" si="89"/>
        <v xml:space="preserve">N215T   </v>
      </c>
      <c r="BF1874">
        <v>1</v>
      </c>
      <c r="BH1874">
        <v>0</v>
      </c>
      <c r="BI1874">
        <v>0</v>
      </c>
      <c r="BJ1874">
        <v>0</v>
      </c>
      <c r="BK1874">
        <v>2475</v>
      </c>
      <c r="BL1874">
        <v>375</v>
      </c>
      <c r="BM1874" t="s">
        <v>119</v>
      </c>
      <c r="BN1874">
        <v>1</v>
      </c>
      <c r="BO1874">
        <v>1</v>
      </c>
      <c r="BP1874">
        <v>1</v>
      </c>
      <c r="BQ1874">
        <v>0</v>
      </c>
      <c r="BT1874">
        <v>0</v>
      </c>
      <c r="BU1874">
        <v>0</v>
      </c>
      <c r="BV1874">
        <v>0</v>
      </c>
      <c r="CC1874" t="str">
        <f>"19:06:03.516"</f>
        <v>19:06:03.516</v>
      </c>
      <c r="CD1874" t="str">
        <f>"518477281"</f>
        <v>518477281</v>
      </c>
      <c r="CQ1874">
        <v>0</v>
      </c>
      <c r="CR1874">
        <v>2</v>
      </c>
      <c r="CS1874">
        <v>0</v>
      </c>
      <c r="CT1874">
        <v>2</v>
      </c>
      <c r="CU1874">
        <v>0</v>
      </c>
      <c r="CV1874">
        <v>6</v>
      </c>
      <c r="CW1874" t="s">
        <v>120</v>
      </c>
      <c r="CX1874">
        <v>257</v>
      </c>
      <c r="CY1874">
        <v>0</v>
      </c>
      <c r="CZ1874" t="s">
        <v>615</v>
      </c>
      <c r="DA1874" t="s">
        <v>616</v>
      </c>
      <c r="DD1874">
        <v>15587418</v>
      </c>
      <c r="DE1874" t="s">
        <v>123</v>
      </c>
    </row>
    <row r="1875" spans="1:109" x14ac:dyDescent="0.3">
      <c r="A1875" t="str">
        <f>"19:06:04.695"</f>
        <v>19:06:04.695</v>
      </c>
      <c r="B1875" t="s">
        <v>110</v>
      </c>
      <c r="C1875" t="str">
        <f t="shared" si="87"/>
        <v>ffdfd3c0</v>
      </c>
      <c r="D1875" t="s">
        <v>111</v>
      </c>
      <c r="E1875">
        <v>18</v>
      </c>
      <c r="F1875">
        <v>1018</v>
      </c>
      <c r="G1875" t="s">
        <v>112</v>
      </c>
      <c r="J1875" t="s">
        <v>113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R1875" t="s">
        <v>114</v>
      </c>
      <c r="S1875" t="str">
        <f>"19:06:04.477"</f>
        <v>19:06:04.477</v>
      </c>
      <c r="T1875" t="str">
        <f>"19:06:03.977"</f>
        <v>19:06:03.977</v>
      </c>
      <c r="U1875" t="str">
        <f t="shared" si="88"/>
        <v>a1cdbe</v>
      </c>
      <c r="V1875">
        <v>0</v>
      </c>
      <c r="W1875">
        <v>0</v>
      </c>
      <c r="X1875">
        <v>1</v>
      </c>
      <c r="Y1875">
        <v>0</v>
      </c>
      <c r="Z1875">
        <v>0</v>
      </c>
      <c r="AB1875">
        <v>0</v>
      </c>
      <c r="AC1875">
        <v>9</v>
      </c>
      <c r="AD1875">
        <v>3</v>
      </c>
      <c r="AE1875">
        <v>0</v>
      </c>
      <c r="AF1875">
        <v>9</v>
      </c>
      <c r="AG1875" t="s">
        <v>158</v>
      </c>
      <c r="AH1875">
        <v>0</v>
      </c>
      <c r="AI1875">
        <v>3</v>
      </c>
      <c r="AJ1875">
        <v>1</v>
      </c>
      <c r="AK1875">
        <v>0</v>
      </c>
      <c r="AL1875" t="s">
        <v>1806</v>
      </c>
      <c r="AM1875">
        <v>46.851281999999998</v>
      </c>
      <c r="AN1875" t="s">
        <v>3538</v>
      </c>
      <c r="AO1875">
        <v>-122.96643</v>
      </c>
      <c r="AP1875">
        <v>100</v>
      </c>
      <c r="AQ1875">
        <v>2100</v>
      </c>
      <c r="AR1875" t="s">
        <v>118</v>
      </c>
      <c r="AS1875">
        <v>-75</v>
      </c>
      <c r="AT1875">
        <v>23</v>
      </c>
      <c r="AU1875">
        <v>256</v>
      </c>
      <c r="BC1875">
        <v>1200</v>
      </c>
      <c r="BD1875">
        <v>1</v>
      </c>
      <c r="BE1875" t="str">
        <f t="shared" si="89"/>
        <v xml:space="preserve">N215T   </v>
      </c>
      <c r="BF1875">
        <v>1</v>
      </c>
      <c r="BH1875">
        <v>0</v>
      </c>
      <c r="BI1875">
        <v>0</v>
      </c>
      <c r="BJ1875">
        <v>0</v>
      </c>
      <c r="BK1875">
        <v>2475</v>
      </c>
      <c r="BL1875">
        <v>375</v>
      </c>
      <c r="BM1875" t="s">
        <v>119</v>
      </c>
      <c r="BN1875">
        <v>1</v>
      </c>
      <c r="BO1875">
        <v>1</v>
      </c>
      <c r="BP1875">
        <v>1</v>
      </c>
      <c r="BQ1875">
        <v>0</v>
      </c>
      <c r="BT1875">
        <v>0</v>
      </c>
      <c r="BU1875">
        <v>0</v>
      </c>
      <c r="BV1875">
        <v>0</v>
      </c>
      <c r="CC1875" t="str">
        <f>"19:06:04.477"</f>
        <v>19:06:04.477</v>
      </c>
      <c r="CD1875" t="str">
        <f>"478382686"</f>
        <v>478382686</v>
      </c>
      <c r="CQ1875">
        <v>0</v>
      </c>
      <c r="CR1875">
        <v>2</v>
      </c>
      <c r="CS1875">
        <v>0</v>
      </c>
      <c r="CT1875">
        <v>2</v>
      </c>
      <c r="CU1875">
        <v>0</v>
      </c>
      <c r="CV1875">
        <v>6</v>
      </c>
      <c r="CW1875" t="s">
        <v>120</v>
      </c>
      <c r="CX1875">
        <v>257</v>
      </c>
      <c r="CY1875">
        <v>1</v>
      </c>
      <c r="CZ1875" t="s">
        <v>615</v>
      </c>
      <c r="DA1875" t="s">
        <v>616</v>
      </c>
      <c r="DD1875">
        <v>11777485</v>
      </c>
      <c r="DE1875" t="s">
        <v>123</v>
      </c>
    </row>
    <row r="1876" spans="1:109" x14ac:dyDescent="0.3">
      <c r="A1876" t="str">
        <f>"19:06:05.750"</f>
        <v>19:06:05.750</v>
      </c>
      <c r="B1876" t="s">
        <v>110</v>
      </c>
      <c r="C1876" t="str">
        <f t="shared" si="87"/>
        <v>ffdfd3c0</v>
      </c>
      <c r="D1876" t="s">
        <v>111</v>
      </c>
      <c r="E1876">
        <v>18</v>
      </c>
      <c r="F1876">
        <v>1018</v>
      </c>
      <c r="G1876" t="s">
        <v>112</v>
      </c>
      <c r="J1876" t="s">
        <v>113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R1876" t="s">
        <v>114</v>
      </c>
      <c r="S1876" t="str">
        <f>"19:06:05.508"</f>
        <v>19:06:05.508</v>
      </c>
      <c r="T1876" t="str">
        <f>"19:06:05.508"</f>
        <v>19:06:05.508</v>
      </c>
      <c r="U1876" t="str">
        <f t="shared" si="88"/>
        <v>a1cdbe</v>
      </c>
      <c r="V1876">
        <v>0</v>
      </c>
      <c r="W1876">
        <v>0</v>
      </c>
      <c r="X1876">
        <v>1</v>
      </c>
      <c r="Y1876">
        <v>0</v>
      </c>
      <c r="Z1876">
        <v>0</v>
      </c>
      <c r="AB1876">
        <v>0</v>
      </c>
      <c r="AC1876">
        <v>9</v>
      </c>
      <c r="AD1876">
        <v>3</v>
      </c>
      <c r="AE1876">
        <v>0</v>
      </c>
      <c r="AF1876">
        <v>9</v>
      </c>
      <c r="AG1876" t="s">
        <v>158</v>
      </c>
      <c r="AH1876">
        <v>0</v>
      </c>
      <c r="AI1876">
        <v>3</v>
      </c>
      <c r="AJ1876">
        <v>1</v>
      </c>
      <c r="AK1876">
        <v>0</v>
      </c>
      <c r="AL1876" t="s">
        <v>3539</v>
      </c>
      <c r="AM1876">
        <v>46.851388999999998</v>
      </c>
      <c r="AN1876" t="s">
        <v>3540</v>
      </c>
      <c r="AO1876">
        <v>-122.966945</v>
      </c>
      <c r="AP1876">
        <v>100</v>
      </c>
      <c r="AQ1876">
        <v>2100</v>
      </c>
      <c r="AR1876" t="s">
        <v>118</v>
      </c>
      <c r="AS1876">
        <v>-75</v>
      </c>
      <c r="AT1876">
        <v>23</v>
      </c>
      <c r="AU1876">
        <v>256</v>
      </c>
      <c r="BC1876">
        <v>1200</v>
      </c>
      <c r="BD1876">
        <v>1</v>
      </c>
      <c r="BE1876" t="str">
        <f t="shared" si="89"/>
        <v xml:space="preserve">N215T   </v>
      </c>
      <c r="BF1876">
        <v>1</v>
      </c>
      <c r="BH1876">
        <v>0</v>
      </c>
      <c r="BI1876">
        <v>0</v>
      </c>
      <c r="BJ1876">
        <v>0</v>
      </c>
      <c r="BK1876">
        <v>2500</v>
      </c>
      <c r="BL1876">
        <v>400</v>
      </c>
      <c r="BM1876" t="s">
        <v>119</v>
      </c>
      <c r="BN1876">
        <v>1</v>
      </c>
      <c r="BO1876">
        <v>1</v>
      </c>
      <c r="BP1876">
        <v>1</v>
      </c>
      <c r="BQ1876">
        <v>0</v>
      </c>
      <c r="BT1876">
        <v>0</v>
      </c>
      <c r="BU1876">
        <v>0</v>
      </c>
      <c r="BV1876">
        <v>0</v>
      </c>
      <c r="CC1876" t="str">
        <f>"19:06:05.516"</f>
        <v>19:06:05.516</v>
      </c>
      <c r="CD1876" t="str">
        <f>"513280664"</f>
        <v>513280664</v>
      </c>
      <c r="CQ1876">
        <v>0</v>
      </c>
      <c r="CR1876">
        <v>2</v>
      </c>
      <c r="CS1876">
        <v>0</v>
      </c>
      <c r="CT1876">
        <v>2</v>
      </c>
      <c r="CU1876">
        <v>0</v>
      </c>
      <c r="CV1876">
        <v>6</v>
      </c>
      <c r="CW1876" t="s">
        <v>120</v>
      </c>
      <c r="CX1876">
        <v>257</v>
      </c>
      <c r="CY1876">
        <v>1</v>
      </c>
      <c r="CZ1876" t="s">
        <v>615</v>
      </c>
      <c r="DA1876" t="s">
        <v>616</v>
      </c>
      <c r="DD1876">
        <v>11778256</v>
      </c>
      <c r="DE1876" t="s">
        <v>123</v>
      </c>
    </row>
    <row r="1877" spans="1:109" x14ac:dyDescent="0.3">
      <c r="A1877" t="str">
        <f>"19:06:06.852"</f>
        <v>19:06:06.852</v>
      </c>
      <c r="B1877" t="s">
        <v>110</v>
      </c>
      <c r="C1877" t="str">
        <f t="shared" si="87"/>
        <v>ffdfd3c0</v>
      </c>
      <c r="D1877" t="s">
        <v>111</v>
      </c>
      <c r="E1877">
        <v>18</v>
      </c>
      <c r="F1877">
        <v>1018</v>
      </c>
      <c r="G1877" t="s">
        <v>112</v>
      </c>
      <c r="J1877" t="s">
        <v>113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R1877" t="s">
        <v>114</v>
      </c>
      <c r="S1877" t="str">
        <f>"19:06:06.602"</f>
        <v>19:06:06.602</v>
      </c>
      <c r="T1877" t="str">
        <f>"19:06:06.500"</f>
        <v>19:06:06.500</v>
      </c>
      <c r="U1877" t="str">
        <f t="shared" si="88"/>
        <v>a1cdbe</v>
      </c>
      <c r="V1877">
        <v>0</v>
      </c>
      <c r="W1877">
        <v>0</v>
      </c>
      <c r="X1877">
        <v>1</v>
      </c>
      <c r="Y1877">
        <v>0</v>
      </c>
      <c r="Z1877">
        <v>0</v>
      </c>
      <c r="AB1877">
        <v>0</v>
      </c>
      <c r="AC1877">
        <v>9</v>
      </c>
      <c r="AD1877">
        <v>3</v>
      </c>
      <c r="AE1877">
        <v>0</v>
      </c>
      <c r="AF1877">
        <v>9</v>
      </c>
      <c r="AG1877" t="s">
        <v>158</v>
      </c>
      <c r="AH1877">
        <v>0</v>
      </c>
      <c r="AI1877">
        <v>3</v>
      </c>
      <c r="AJ1877">
        <v>1</v>
      </c>
      <c r="AK1877">
        <v>0</v>
      </c>
      <c r="AL1877" t="s">
        <v>3541</v>
      </c>
      <c r="AM1877">
        <v>46.851475000000001</v>
      </c>
      <c r="AN1877" t="s">
        <v>3542</v>
      </c>
      <c r="AO1877">
        <v>-122.96750299999999</v>
      </c>
      <c r="AP1877">
        <v>100</v>
      </c>
      <c r="AQ1877">
        <v>2100</v>
      </c>
      <c r="AR1877" t="s">
        <v>118</v>
      </c>
      <c r="AS1877">
        <v>-75</v>
      </c>
      <c r="AT1877">
        <v>23</v>
      </c>
      <c r="AU1877">
        <v>256</v>
      </c>
      <c r="BC1877">
        <v>1200</v>
      </c>
      <c r="BD1877">
        <v>1</v>
      </c>
      <c r="BE1877" t="str">
        <f t="shared" si="89"/>
        <v xml:space="preserve">N215T   </v>
      </c>
      <c r="BF1877">
        <v>1</v>
      </c>
      <c r="BH1877">
        <v>0</v>
      </c>
      <c r="BI1877">
        <v>0</v>
      </c>
      <c r="BJ1877">
        <v>0</v>
      </c>
      <c r="BK1877">
        <v>2500</v>
      </c>
      <c r="BL1877">
        <v>400</v>
      </c>
      <c r="BM1877" t="s">
        <v>119</v>
      </c>
      <c r="BN1877">
        <v>1</v>
      </c>
      <c r="BO1877">
        <v>1</v>
      </c>
      <c r="BP1877">
        <v>1</v>
      </c>
      <c r="BQ1877">
        <v>0</v>
      </c>
      <c r="BT1877">
        <v>0</v>
      </c>
      <c r="BU1877">
        <v>0</v>
      </c>
      <c r="BV1877">
        <v>0</v>
      </c>
      <c r="CC1877" t="str">
        <f>"19:06:06.609"</f>
        <v>19:06:06.609</v>
      </c>
      <c r="CD1877" t="str">
        <f>"608149226"</f>
        <v>608149226</v>
      </c>
      <c r="CQ1877">
        <v>0</v>
      </c>
      <c r="CR1877">
        <v>2</v>
      </c>
      <c r="CS1877">
        <v>0</v>
      </c>
      <c r="CT1877">
        <v>2</v>
      </c>
      <c r="CU1877">
        <v>0</v>
      </c>
      <c r="CV1877">
        <v>6</v>
      </c>
      <c r="CW1877" t="s">
        <v>120</v>
      </c>
      <c r="CX1877">
        <v>261</v>
      </c>
      <c r="CY1877">
        <v>2</v>
      </c>
      <c r="CZ1877" t="s">
        <v>121</v>
      </c>
      <c r="DA1877" t="s">
        <v>122</v>
      </c>
      <c r="DD1877">
        <v>15368222</v>
      </c>
      <c r="DE1877" t="s">
        <v>123</v>
      </c>
    </row>
    <row r="1878" spans="1:109" x14ac:dyDescent="0.3">
      <c r="A1878" t="str">
        <f>"19:06:07.711"</f>
        <v>19:06:07.711</v>
      </c>
      <c r="B1878" t="s">
        <v>110</v>
      </c>
      <c r="C1878" t="str">
        <f t="shared" si="87"/>
        <v>ffdfd3c0</v>
      </c>
      <c r="D1878" t="s">
        <v>111</v>
      </c>
      <c r="E1878">
        <v>18</v>
      </c>
      <c r="F1878">
        <v>1018</v>
      </c>
      <c r="G1878" t="s">
        <v>112</v>
      </c>
      <c r="J1878" t="s">
        <v>113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R1878" t="s">
        <v>114</v>
      </c>
      <c r="S1878" t="str">
        <f>"19:06:07.477"</f>
        <v>19:06:07.477</v>
      </c>
      <c r="T1878" t="str">
        <f>"19:06:06.977"</f>
        <v>19:06:06.977</v>
      </c>
      <c r="U1878" t="str">
        <f t="shared" si="88"/>
        <v>a1cdbe</v>
      </c>
      <c r="V1878">
        <v>0</v>
      </c>
      <c r="W1878">
        <v>0</v>
      </c>
      <c r="X1878">
        <v>1</v>
      </c>
      <c r="Y1878">
        <v>0</v>
      </c>
      <c r="Z1878">
        <v>0</v>
      </c>
      <c r="AB1878">
        <v>0</v>
      </c>
      <c r="AC1878">
        <v>9</v>
      </c>
      <c r="AD1878">
        <v>3</v>
      </c>
      <c r="AE1878">
        <v>0</v>
      </c>
      <c r="AF1878">
        <v>9</v>
      </c>
      <c r="AG1878" t="s">
        <v>158</v>
      </c>
      <c r="AH1878">
        <v>0</v>
      </c>
      <c r="AI1878">
        <v>3</v>
      </c>
      <c r="AJ1878">
        <v>1</v>
      </c>
      <c r="AK1878">
        <v>0</v>
      </c>
      <c r="AL1878" t="s">
        <v>3543</v>
      </c>
      <c r="AM1878">
        <v>46.851560999999997</v>
      </c>
      <c r="AN1878" t="s">
        <v>3544</v>
      </c>
      <c r="AO1878">
        <v>-122.967911</v>
      </c>
      <c r="AP1878">
        <v>100</v>
      </c>
      <c r="AQ1878">
        <v>2100</v>
      </c>
      <c r="AR1878" t="s">
        <v>118</v>
      </c>
      <c r="AS1878">
        <v>-75</v>
      </c>
      <c r="AT1878">
        <v>23</v>
      </c>
      <c r="AU1878">
        <v>256</v>
      </c>
      <c r="BC1878">
        <v>1200</v>
      </c>
      <c r="BD1878">
        <v>1</v>
      </c>
      <c r="BE1878" t="str">
        <f t="shared" si="89"/>
        <v xml:space="preserve">N215T   </v>
      </c>
      <c r="BF1878">
        <v>1</v>
      </c>
      <c r="BH1878">
        <v>0</v>
      </c>
      <c r="BI1878">
        <v>0</v>
      </c>
      <c r="BJ1878">
        <v>0</v>
      </c>
      <c r="BK1878">
        <v>2500</v>
      </c>
      <c r="BL1878">
        <v>400</v>
      </c>
      <c r="BM1878" t="s">
        <v>119</v>
      </c>
      <c r="BN1878">
        <v>1</v>
      </c>
      <c r="BO1878">
        <v>1</v>
      </c>
      <c r="BP1878">
        <v>1</v>
      </c>
      <c r="BQ1878">
        <v>0</v>
      </c>
      <c r="BT1878">
        <v>0</v>
      </c>
      <c r="BU1878">
        <v>0</v>
      </c>
      <c r="BV1878">
        <v>0</v>
      </c>
      <c r="CC1878" t="str">
        <f>"19:06:07.477"</f>
        <v>19:06:07.477</v>
      </c>
      <c r="CD1878" t="str">
        <f>"478086991"</f>
        <v>478086991</v>
      </c>
      <c r="CQ1878">
        <v>0</v>
      </c>
      <c r="CR1878">
        <v>2</v>
      </c>
      <c r="CS1878">
        <v>0</v>
      </c>
      <c r="CT1878">
        <v>2</v>
      </c>
      <c r="CU1878">
        <v>0</v>
      </c>
      <c r="CV1878">
        <v>6</v>
      </c>
      <c r="CW1878" t="s">
        <v>120</v>
      </c>
      <c r="CX1878">
        <v>257</v>
      </c>
      <c r="CY1878">
        <v>1</v>
      </c>
      <c r="CZ1878" t="s">
        <v>615</v>
      </c>
      <c r="DA1878" t="s">
        <v>616</v>
      </c>
      <c r="DD1878">
        <v>11779853</v>
      </c>
      <c r="DE1878" t="s">
        <v>123</v>
      </c>
    </row>
    <row r="1879" spans="1:109" x14ac:dyDescent="0.3">
      <c r="A1879" t="str">
        <f>"19:06:08.609"</f>
        <v>19:06:08.609</v>
      </c>
      <c r="B1879" t="s">
        <v>110</v>
      </c>
      <c r="C1879" t="str">
        <f t="shared" si="87"/>
        <v>ffdfd3c0</v>
      </c>
      <c r="D1879" t="s">
        <v>111</v>
      </c>
      <c r="E1879">
        <v>18</v>
      </c>
      <c r="F1879">
        <v>1018</v>
      </c>
      <c r="G1879" t="s">
        <v>112</v>
      </c>
      <c r="J1879" t="s">
        <v>113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R1879" t="s">
        <v>114</v>
      </c>
      <c r="S1879" t="str">
        <f>"19:06:08.391"</f>
        <v>19:06:08.391</v>
      </c>
      <c r="T1879" t="str">
        <f>"19:06:08.094"</f>
        <v>19:06:08.094</v>
      </c>
      <c r="U1879" t="str">
        <f t="shared" si="88"/>
        <v>a1cdbe</v>
      </c>
      <c r="V1879">
        <v>0</v>
      </c>
      <c r="W1879">
        <v>0</v>
      </c>
      <c r="X1879">
        <v>1</v>
      </c>
      <c r="Y1879">
        <v>0</v>
      </c>
      <c r="Z1879">
        <v>0</v>
      </c>
      <c r="AB1879">
        <v>0</v>
      </c>
      <c r="AC1879">
        <v>9</v>
      </c>
      <c r="AD1879">
        <v>3</v>
      </c>
      <c r="AE1879">
        <v>0</v>
      </c>
      <c r="AF1879">
        <v>9</v>
      </c>
      <c r="AG1879" t="s">
        <v>158</v>
      </c>
      <c r="AH1879">
        <v>0</v>
      </c>
      <c r="AI1879">
        <v>3</v>
      </c>
      <c r="AJ1879">
        <v>1</v>
      </c>
      <c r="AK1879">
        <v>0</v>
      </c>
      <c r="AL1879" t="s">
        <v>3545</v>
      </c>
      <c r="AM1879">
        <v>46.851689999999998</v>
      </c>
      <c r="AN1879" t="s">
        <v>3546</v>
      </c>
      <c r="AO1879">
        <v>-122.96842599999999</v>
      </c>
      <c r="AP1879">
        <v>100</v>
      </c>
      <c r="AQ1879">
        <v>2100</v>
      </c>
      <c r="AR1879" t="s">
        <v>118</v>
      </c>
      <c r="AS1879">
        <v>-75</v>
      </c>
      <c r="AT1879">
        <v>22</v>
      </c>
      <c r="AU1879">
        <v>256</v>
      </c>
      <c r="BC1879">
        <v>1200</v>
      </c>
      <c r="BD1879">
        <v>1</v>
      </c>
      <c r="BE1879" t="str">
        <f t="shared" si="89"/>
        <v xml:space="preserve">N215T   </v>
      </c>
      <c r="BF1879">
        <v>1</v>
      </c>
      <c r="BH1879">
        <v>0</v>
      </c>
      <c r="BI1879">
        <v>0</v>
      </c>
      <c r="BJ1879">
        <v>0</v>
      </c>
      <c r="BK1879">
        <v>2500</v>
      </c>
      <c r="BL1879">
        <v>400</v>
      </c>
      <c r="BM1879" t="s">
        <v>119</v>
      </c>
      <c r="BN1879">
        <v>1</v>
      </c>
      <c r="BO1879">
        <v>1</v>
      </c>
      <c r="BP1879">
        <v>1</v>
      </c>
      <c r="BQ1879">
        <v>0</v>
      </c>
      <c r="BT1879">
        <v>0</v>
      </c>
      <c r="BU1879">
        <v>0</v>
      </c>
      <c r="BV1879">
        <v>0</v>
      </c>
      <c r="CC1879" t="str">
        <f>"19:06:08.391"</f>
        <v>19:06:08.391</v>
      </c>
      <c r="CD1879" t="str">
        <f>"392973418"</f>
        <v>392973418</v>
      </c>
      <c r="CQ1879">
        <v>0</v>
      </c>
      <c r="CR1879">
        <v>2</v>
      </c>
      <c r="CS1879">
        <v>0</v>
      </c>
      <c r="CT1879">
        <v>2</v>
      </c>
      <c r="CU1879">
        <v>0</v>
      </c>
      <c r="CV1879">
        <v>6</v>
      </c>
      <c r="CW1879" t="s">
        <v>120</v>
      </c>
      <c r="CX1879">
        <v>261</v>
      </c>
      <c r="CY1879">
        <v>2</v>
      </c>
      <c r="CZ1879" t="s">
        <v>121</v>
      </c>
      <c r="DA1879" t="s">
        <v>122</v>
      </c>
      <c r="DD1879">
        <v>15369492</v>
      </c>
      <c r="DE1879" t="s">
        <v>123</v>
      </c>
    </row>
    <row r="1880" spans="1:109" x14ac:dyDescent="0.3">
      <c r="A1880" t="str">
        <f>"19:06:09.773"</f>
        <v>19:06:09.773</v>
      </c>
      <c r="B1880" t="s">
        <v>110</v>
      </c>
      <c r="C1880" t="str">
        <f t="shared" si="87"/>
        <v>ffdfd3c0</v>
      </c>
      <c r="D1880" t="s">
        <v>111</v>
      </c>
      <c r="E1880">
        <v>18</v>
      </c>
      <c r="F1880">
        <v>1018</v>
      </c>
      <c r="G1880" t="s">
        <v>112</v>
      </c>
      <c r="J1880" t="s">
        <v>113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R1880" t="s">
        <v>114</v>
      </c>
      <c r="S1880" t="str">
        <f>"19:06:09.547"</f>
        <v>19:06:09.547</v>
      </c>
      <c r="T1880" t="str">
        <f>"19:06:09.047"</f>
        <v>19:06:09.047</v>
      </c>
      <c r="U1880" t="str">
        <f t="shared" si="88"/>
        <v>a1cdbe</v>
      </c>
      <c r="V1880">
        <v>0</v>
      </c>
      <c r="W1880">
        <v>0</v>
      </c>
      <c r="X1880">
        <v>1</v>
      </c>
      <c r="Y1880">
        <v>0</v>
      </c>
      <c r="Z1880">
        <v>0</v>
      </c>
      <c r="AB1880">
        <v>0</v>
      </c>
      <c r="AC1880">
        <v>9</v>
      </c>
      <c r="AD1880">
        <v>3</v>
      </c>
      <c r="AE1880">
        <v>0</v>
      </c>
      <c r="AF1880">
        <v>9</v>
      </c>
      <c r="AG1880" t="s">
        <v>158</v>
      </c>
      <c r="AH1880">
        <v>0</v>
      </c>
      <c r="AI1880">
        <v>3</v>
      </c>
      <c r="AJ1880">
        <v>1</v>
      </c>
      <c r="AK1880">
        <v>0</v>
      </c>
      <c r="AL1880" t="s">
        <v>1800</v>
      </c>
      <c r="AM1880">
        <v>46.851796999999998</v>
      </c>
      <c r="AN1880" t="s">
        <v>3547</v>
      </c>
      <c r="AO1880">
        <v>-122.968962</v>
      </c>
      <c r="AP1880">
        <v>100</v>
      </c>
      <c r="AQ1880">
        <v>2100</v>
      </c>
      <c r="AR1880" t="s">
        <v>118</v>
      </c>
      <c r="AS1880">
        <v>-75</v>
      </c>
      <c r="AT1880">
        <v>22</v>
      </c>
      <c r="AU1880">
        <v>192</v>
      </c>
      <c r="BC1880">
        <v>1200</v>
      </c>
      <c r="BD1880">
        <v>1</v>
      </c>
      <c r="BE1880" t="str">
        <f t="shared" si="89"/>
        <v xml:space="preserve">N215T   </v>
      </c>
      <c r="BF1880">
        <v>1</v>
      </c>
      <c r="BH1880">
        <v>0</v>
      </c>
      <c r="BI1880">
        <v>0</v>
      </c>
      <c r="BJ1880">
        <v>0</v>
      </c>
      <c r="BK1880">
        <v>2500</v>
      </c>
      <c r="BL1880">
        <v>400</v>
      </c>
      <c r="BM1880" t="s">
        <v>119</v>
      </c>
      <c r="BN1880">
        <v>1</v>
      </c>
      <c r="BO1880">
        <v>1</v>
      </c>
      <c r="BP1880">
        <v>1</v>
      </c>
      <c r="BQ1880">
        <v>0</v>
      </c>
      <c r="BT1880">
        <v>0</v>
      </c>
      <c r="BU1880">
        <v>0</v>
      </c>
      <c r="BV1880">
        <v>0</v>
      </c>
      <c r="CC1880" t="str">
        <f>"19:06:09.547"</f>
        <v>19:06:09.547</v>
      </c>
      <c r="CD1880" t="str">
        <f>"547859657"</f>
        <v>547859657</v>
      </c>
      <c r="CQ1880">
        <v>0</v>
      </c>
      <c r="CR1880">
        <v>2</v>
      </c>
      <c r="CS1880">
        <v>0</v>
      </c>
      <c r="CT1880">
        <v>2</v>
      </c>
      <c r="CU1880">
        <v>0</v>
      </c>
      <c r="CV1880">
        <v>6</v>
      </c>
      <c r="CW1880" t="s">
        <v>120</v>
      </c>
      <c r="CX1880">
        <v>261</v>
      </c>
      <c r="CY1880">
        <v>2</v>
      </c>
      <c r="CZ1880" t="s">
        <v>121</v>
      </c>
      <c r="DA1880" t="s">
        <v>122</v>
      </c>
      <c r="DD1880">
        <v>15370280</v>
      </c>
      <c r="DE1880" t="s">
        <v>123</v>
      </c>
    </row>
    <row r="1881" spans="1:109" x14ac:dyDescent="0.3">
      <c r="A1881" t="str">
        <f>"19:06:10.773"</f>
        <v>19:06:10.773</v>
      </c>
      <c r="B1881" t="s">
        <v>110</v>
      </c>
      <c r="C1881" t="str">
        <f t="shared" si="87"/>
        <v>ffdfd3c0</v>
      </c>
      <c r="D1881" t="s">
        <v>111</v>
      </c>
      <c r="E1881">
        <v>18</v>
      </c>
      <c r="F1881">
        <v>1018</v>
      </c>
      <c r="G1881" t="s">
        <v>112</v>
      </c>
      <c r="J1881" t="s">
        <v>113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R1881" t="s">
        <v>114</v>
      </c>
      <c r="S1881" t="str">
        <f>"19:06:10.547"</f>
        <v>19:06:10.547</v>
      </c>
      <c r="T1881" t="str">
        <f>"19:06:10.445"</f>
        <v>19:06:10.445</v>
      </c>
      <c r="U1881" t="str">
        <f t="shared" si="88"/>
        <v>a1cdbe</v>
      </c>
      <c r="V1881">
        <v>0</v>
      </c>
      <c r="W1881">
        <v>0</v>
      </c>
      <c r="X1881">
        <v>1</v>
      </c>
      <c r="Y1881">
        <v>0</v>
      </c>
      <c r="Z1881">
        <v>0</v>
      </c>
      <c r="AB1881">
        <v>0</v>
      </c>
      <c r="AC1881">
        <v>9</v>
      </c>
      <c r="AD1881">
        <v>3</v>
      </c>
      <c r="AE1881">
        <v>0</v>
      </c>
      <c r="AF1881">
        <v>9</v>
      </c>
      <c r="AG1881" t="s">
        <v>158</v>
      </c>
      <c r="AH1881">
        <v>0</v>
      </c>
      <c r="AI1881">
        <v>3</v>
      </c>
      <c r="AJ1881">
        <v>1</v>
      </c>
      <c r="AK1881">
        <v>0</v>
      </c>
      <c r="AL1881" t="s">
        <v>3548</v>
      </c>
      <c r="AM1881">
        <v>46.851903999999998</v>
      </c>
      <c r="AN1881" t="s">
        <v>3549</v>
      </c>
      <c r="AO1881">
        <v>-122.969499</v>
      </c>
      <c r="AP1881">
        <v>100</v>
      </c>
      <c r="AQ1881">
        <v>2100</v>
      </c>
      <c r="AR1881" t="s">
        <v>118</v>
      </c>
      <c r="AS1881">
        <v>-75</v>
      </c>
      <c r="AT1881">
        <v>22</v>
      </c>
      <c r="AU1881">
        <v>128</v>
      </c>
      <c r="BC1881">
        <v>1200</v>
      </c>
      <c r="BD1881">
        <v>1</v>
      </c>
      <c r="BE1881" t="str">
        <f t="shared" si="89"/>
        <v xml:space="preserve">N215T   </v>
      </c>
      <c r="BF1881">
        <v>1</v>
      </c>
      <c r="BH1881">
        <v>0</v>
      </c>
      <c r="BI1881">
        <v>0</v>
      </c>
      <c r="BJ1881">
        <v>0</v>
      </c>
      <c r="BK1881">
        <v>2500</v>
      </c>
      <c r="BL1881">
        <v>400</v>
      </c>
      <c r="BM1881" t="s">
        <v>119</v>
      </c>
      <c r="BN1881">
        <v>1</v>
      </c>
      <c r="BO1881">
        <v>1</v>
      </c>
      <c r="BP1881">
        <v>1</v>
      </c>
      <c r="BQ1881">
        <v>0</v>
      </c>
      <c r="BT1881">
        <v>0</v>
      </c>
      <c r="BU1881">
        <v>0</v>
      </c>
      <c r="BV1881">
        <v>0</v>
      </c>
      <c r="CC1881" t="str">
        <f>"19:06:10.555"</f>
        <v>19:06:10.555</v>
      </c>
      <c r="CD1881" t="str">
        <f>"552760661"</f>
        <v>552760661</v>
      </c>
      <c r="CQ1881">
        <v>0</v>
      </c>
      <c r="CR1881">
        <v>2</v>
      </c>
      <c r="CS1881">
        <v>0</v>
      </c>
      <c r="CT1881">
        <v>2</v>
      </c>
      <c r="CU1881">
        <v>0</v>
      </c>
      <c r="CV1881">
        <v>6</v>
      </c>
      <c r="CW1881" t="s">
        <v>120</v>
      </c>
      <c r="CX1881">
        <v>261</v>
      </c>
      <c r="CY1881">
        <v>2</v>
      </c>
      <c r="CZ1881" t="s">
        <v>121</v>
      </c>
      <c r="DA1881" t="s">
        <v>122</v>
      </c>
      <c r="DD1881">
        <v>15370933</v>
      </c>
      <c r="DE1881" t="s">
        <v>123</v>
      </c>
    </row>
    <row r="1882" spans="1:109" x14ac:dyDescent="0.3">
      <c r="A1882" t="str">
        <f>"19:06:11.680"</f>
        <v>19:06:11.680</v>
      </c>
      <c r="B1882" t="s">
        <v>110</v>
      </c>
      <c r="C1882" t="str">
        <f t="shared" si="87"/>
        <v>ffdfd3c0</v>
      </c>
      <c r="D1882" t="s">
        <v>111</v>
      </c>
      <c r="E1882">
        <v>18</v>
      </c>
      <c r="F1882">
        <v>1018</v>
      </c>
      <c r="G1882" t="s">
        <v>112</v>
      </c>
      <c r="J1882" t="s">
        <v>113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R1882" t="s">
        <v>114</v>
      </c>
      <c r="S1882" t="str">
        <f>"19:06:11.461"</f>
        <v>19:06:11.461</v>
      </c>
      <c r="T1882" t="str">
        <f>"19:06:11.461"</f>
        <v>19:06:11.461</v>
      </c>
      <c r="U1882" t="str">
        <f t="shared" si="88"/>
        <v>a1cdbe</v>
      </c>
      <c r="V1882">
        <v>0</v>
      </c>
      <c r="W1882">
        <v>0</v>
      </c>
      <c r="X1882">
        <v>1</v>
      </c>
      <c r="Y1882">
        <v>0</v>
      </c>
      <c r="Z1882">
        <v>0</v>
      </c>
      <c r="AB1882">
        <v>0</v>
      </c>
      <c r="AC1882">
        <v>9</v>
      </c>
      <c r="AD1882">
        <v>3</v>
      </c>
      <c r="AE1882">
        <v>0</v>
      </c>
      <c r="AF1882">
        <v>9</v>
      </c>
      <c r="AG1882" t="s">
        <v>158</v>
      </c>
      <c r="AH1882">
        <v>0</v>
      </c>
      <c r="AI1882">
        <v>3</v>
      </c>
      <c r="AJ1882">
        <v>1</v>
      </c>
      <c r="AK1882">
        <v>0</v>
      </c>
      <c r="AL1882" t="s">
        <v>3550</v>
      </c>
      <c r="AM1882">
        <v>46.851990000000001</v>
      </c>
      <c r="AN1882" t="s">
        <v>3551</v>
      </c>
      <c r="AO1882">
        <v>-122.969971</v>
      </c>
      <c r="AP1882">
        <v>100</v>
      </c>
      <c r="AQ1882">
        <v>2100</v>
      </c>
      <c r="AR1882" t="s">
        <v>118</v>
      </c>
      <c r="AS1882">
        <v>-76</v>
      </c>
      <c r="AT1882">
        <v>22</v>
      </c>
      <c r="AU1882">
        <v>64</v>
      </c>
      <c r="BC1882">
        <v>1200</v>
      </c>
      <c r="BD1882">
        <v>1</v>
      </c>
      <c r="BE1882" t="str">
        <f t="shared" si="89"/>
        <v xml:space="preserve">N215T   </v>
      </c>
      <c r="BF1882">
        <v>1</v>
      </c>
      <c r="BH1882">
        <v>0</v>
      </c>
      <c r="BI1882">
        <v>0</v>
      </c>
      <c r="BJ1882">
        <v>0</v>
      </c>
      <c r="BK1882">
        <v>2500</v>
      </c>
      <c r="BL1882">
        <v>400</v>
      </c>
      <c r="BM1882" t="s">
        <v>119</v>
      </c>
      <c r="BN1882">
        <v>1</v>
      </c>
      <c r="BO1882">
        <v>1</v>
      </c>
      <c r="BP1882">
        <v>1</v>
      </c>
      <c r="BQ1882">
        <v>0</v>
      </c>
      <c r="BT1882">
        <v>0</v>
      </c>
      <c r="BU1882">
        <v>0</v>
      </c>
      <c r="BV1882">
        <v>0</v>
      </c>
      <c r="CC1882" t="str">
        <f>"19:06:11.469"</f>
        <v>19:06:11.469</v>
      </c>
      <c r="CD1882" t="str">
        <f>"467670527"</f>
        <v>467670527</v>
      </c>
      <c r="CQ1882">
        <v>0</v>
      </c>
      <c r="CR1882">
        <v>2</v>
      </c>
      <c r="CS1882">
        <v>0</v>
      </c>
      <c r="CT1882">
        <v>2</v>
      </c>
      <c r="CU1882">
        <v>0</v>
      </c>
      <c r="CV1882">
        <v>7</v>
      </c>
      <c r="CW1882" t="s">
        <v>120</v>
      </c>
      <c r="CX1882">
        <v>261</v>
      </c>
      <c r="CY1882">
        <v>2</v>
      </c>
      <c r="CZ1882" t="s">
        <v>121</v>
      </c>
      <c r="DA1882" t="s">
        <v>122</v>
      </c>
      <c r="DD1882">
        <v>15371570</v>
      </c>
      <c r="DE1882" t="s">
        <v>123</v>
      </c>
    </row>
    <row r="1883" spans="1:109" x14ac:dyDescent="0.3">
      <c r="A1883" t="str">
        <f>"19:06:12.586"</f>
        <v>19:06:12.586</v>
      </c>
      <c r="B1883" t="s">
        <v>110</v>
      </c>
      <c r="C1883" t="str">
        <f t="shared" si="87"/>
        <v>ffdfd3c0</v>
      </c>
      <c r="D1883" t="s">
        <v>111</v>
      </c>
      <c r="E1883">
        <v>18</v>
      </c>
      <c r="F1883">
        <v>1018</v>
      </c>
      <c r="G1883" t="s">
        <v>112</v>
      </c>
      <c r="J1883" t="s">
        <v>113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R1883" t="s">
        <v>114</v>
      </c>
      <c r="S1883" t="str">
        <f>"19:06:12.375"</f>
        <v>19:06:12.375</v>
      </c>
      <c r="T1883" t="str">
        <f>"19:06:11.977"</f>
        <v>19:06:11.977</v>
      </c>
      <c r="U1883" t="str">
        <f t="shared" si="88"/>
        <v>a1cdbe</v>
      </c>
      <c r="V1883">
        <v>0</v>
      </c>
      <c r="W1883">
        <v>0</v>
      </c>
      <c r="X1883">
        <v>1</v>
      </c>
      <c r="Y1883">
        <v>0</v>
      </c>
      <c r="Z1883">
        <v>0</v>
      </c>
      <c r="AB1883">
        <v>0</v>
      </c>
      <c r="AC1883">
        <v>9</v>
      </c>
      <c r="AD1883">
        <v>3</v>
      </c>
      <c r="AE1883">
        <v>0</v>
      </c>
      <c r="AF1883">
        <v>9</v>
      </c>
      <c r="AG1883" t="s">
        <v>158</v>
      </c>
      <c r="AH1883">
        <v>0</v>
      </c>
      <c r="AI1883">
        <v>3</v>
      </c>
      <c r="AJ1883">
        <v>1</v>
      </c>
      <c r="AK1883">
        <v>0</v>
      </c>
      <c r="AL1883" t="s">
        <v>1796</v>
      </c>
      <c r="AM1883">
        <v>46.852075999999997</v>
      </c>
      <c r="AN1883" t="s">
        <v>3552</v>
      </c>
      <c r="AO1883">
        <v>-122.970443</v>
      </c>
      <c r="AP1883">
        <v>100</v>
      </c>
      <c r="AQ1883">
        <v>2100</v>
      </c>
      <c r="AR1883" t="s">
        <v>118</v>
      </c>
      <c r="AS1883">
        <v>-76</v>
      </c>
      <c r="AT1883">
        <v>22</v>
      </c>
      <c r="AU1883">
        <v>64</v>
      </c>
      <c r="BC1883">
        <v>1200</v>
      </c>
      <c r="BD1883">
        <v>1</v>
      </c>
      <c r="BE1883" t="str">
        <f t="shared" si="89"/>
        <v xml:space="preserve">N215T   </v>
      </c>
      <c r="BF1883">
        <v>1</v>
      </c>
      <c r="BH1883">
        <v>0</v>
      </c>
      <c r="BI1883">
        <v>0</v>
      </c>
      <c r="BJ1883">
        <v>0</v>
      </c>
      <c r="BK1883">
        <v>2500</v>
      </c>
      <c r="BL1883">
        <v>400</v>
      </c>
      <c r="BM1883" t="s">
        <v>119</v>
      </c>
      <c r="BN1883">
        <v>1</v>
      </c>
      <c r="BO1883">
        <v>1</v>
      </c>
      <c r="BP1883">
        <v>1</v>
      </c>
      <c r="BQ1883">
        <v>0</v>
      </c>
      <c r="BT1883">
        <v>0</v>
      </c>
      <c r="BU1883">
        <v>0</v>
      </c>
      <c r="BV1883">
        <v>0</v>
      </c>
      <c r="CC1883" t="str">
        <f>"19:06:12.383"</f>
        <v>19:06:12.383</v>
      </c>
      <c r="CD1883" t="str">
        <f>"382580402"</f>
        <v>382580402</v>
      </c>
      <c r="CQ1883">
        <v>0</v>
      </c>
      <c r="CR1883">
        <v>2</v>
      </c>
      <c r="CS1883">
        <v>0</v>
      </c>
      <c r="CT1883">
        <v>2</v>
      </c>
      <c r="CU1883">
        <v>0</v>
      </c>
      <c r="CV1883">
        <v>6</v>
      </c>
      <c r="CW1883" t="s">
        <v>120</v>
      </c>
      <c r="CX1883">
        <v>261</v>
      </c>
      <c r="CY1883">
        <v>2</v>
      </c>
      <c r="CZ1883" t="s">
        <v>121</v>
      </c>
      <c r="DA1883" t="s">
        <v>122</v>
      </c>
      <c r="DD1883">
        <v>15372225</v>
      </c>
      <c r="DE1883" t="s">
        <v>123</v>
      </c>
    </row>
    <row r="1884" spans="1:109" x14ac:dyDescent="0.3">
      <c r="A1884" t="str">
        <f>"19:06:13.641"</f>
        <v>19:06:13.641</v>
      </c>
      <c r="B1884" t="s">
        <v>110</v>
      </c>
      <c r="C1884" t="str">
        <f t="shared" si="87"/>
        <v>ffdfd3c0</v>
      </c>
      <c r="D1884" t="s">
        <v>111</v>
      </c>
      <c r="E1884">
        <v>18</v>
      </c>
      <c r="F1884">
        <v>1018</v>
      </c>
      <c r="G1884" t="s">
        <v>112</v>
      </c>
      <c r="J1884" t="s">
        <v>113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R1884" t="s">
        <v>114</v>
      </c>
      <c r="S1884" t="str">
        <f>"19:06:13.398"</f>
        <v>19:06:13.398</v>
      </c>
      <c r="T1884" t="str">
        <f>"19:06:13.000"</f>
        <v>19:06:13.000</v>
      </c>
      <c r="U1884" t="str">
        <f t="shared" si="88"/>
        <v>a1cdbe</v>
      </c>
      <c r="V1884">
        <v>0</v>
      </c>
      <c r="W1884">
        <v>0</v>
      </c>
      <c r="X1884">
        <v>1</v>
      </c>
      <c r="Y1884">
        <v>0</v>
      </c>
      <c r="Z1884">
        <v>0</v>
      </c>
      <c r="AB1884">
        <v>0</v>
      </c>
      <c r="AC1884">
        <v>9</v>
      </c>
      <c r="AD1884">
        <v>3</v>
      </c>
      <c r="AE1884">
        <v>0</v>
      </c>
      <c r="AF1884">
        <v>9</v>
      </c>
      <c r="AG1884" t="s">
        <v>158</v>
      </c>
      <c r="AH1884">
        <v>0</v>
      </c>
      <c r="AI1884">
        <v>3</v>
      </c>
      <c r="AJ1884">
        <v>1</v>
      </c>
      <c r="AK1884">
        <v>0</v>
      </c>
      <c r="AL1884" t="s">
        <v>3553</v>
      </c>
      <c r="AM1884">
        <v>46.852182999999997</v>
      </c>
      <c r="AN1884" t="s">
        <v>3554</v>
      </c>
      <c r="AO1884">
        <v>-122.97093599999999</v>
      </c>
      <c r="AP1884">
        <v>100</v>
      </c>
      <c r="AQ1884">
        <v>2100</v>
      </c>
      <c r="AR1884" t="s">
        <v>118</v>
      </c>
      <c r="AS1884">
        <v>-76</v>
      </c>
      <c r="AT1884">
        <v>21</v>
      </c>
      <c r="AU1884">
        <v>0</v>
      </c>
      <c r="BC1884">
        <v>1200</v>
      </c>
      <c r="BD1884">
        <v>1</v>
      </c>
      <c r="BE1884" t="str">
        <f t="shared" si="89"/>
        <v xml:space="preserve">N215T   </v>
      </c>
      <c r="BF1884">
        <v>1</v>
      </c>
      <c r="BH1884">
        <v>0</v>
      </c>
      <c r="BI1884">
        <v>0</v>
      </c>
      <c r="BJ1884">
        <v>0</v>
      </c>
      <c r="BK1884">
        <v>2500</v>
      </c>
      <c r="BL1884">
        <v>400</v>
      </c>
      <c r="BM1884" t="s">
        <v>119</v>
      </c>
      <c r="BN1884">
        <v>1</v>
      </c>
      <c r="BO1884">
        <v>1</v>
      </c>
      <c r="BP1884">
        <v>1</v>
      </c>
      <c r="BQ1884">
        <v>0</v>
      </c>
      <c r="BT1884">
        <v>0</v>
      </c>
      <c r="BU1884">
        <v>0</v>
      </c>
      <c r="BV1884">
        <v>0</v>
      </c>
      <c r="CC1884" t="str">
        <f>"19:06:13.406"</f>
        <v>19:06:13.406</v>
      </c>
      <c r="CD1884" t="str">
        <f>"402479931"</f>
        <v>402479931</v>
      </c>
      <c r="CQ1884">
        <v>0</v>
      </c>
      <c r="CR1884">
        <v>2</v>
      </c>
      <c r="CS1884">
        <v>0</v>
      </c>
      <c r="CT1884">
        <v>2</v>
      </c>
      <c r="CU1884">
        <v>0</v>
      </c>
      <c r="CV1884">
        <v>6</v>
      </c>
      <c r="CW1884" t="s">
        <v>120</v>
      </c>
      <c r="CX1884">
        <v>261</v>
      </c>
      <c r="CY1884">
        <v>2</v>
      </c>
      <c r="CZ1884" t="s">
        <v>121</v>
      </c>
      <c r="DA1884" t="s">
        <v>122</v>
      </c>
      <c r="DD1884">
        <v>15372879</v>
      </c>
      <c r="DE1884" t="s">
        <v>123</v>
      </c>
    </row>
    <row r="1885" spans="1:109" x14ac:dyDescent="0.3">
      <c r="A1885" t="str">
        <f>"19:06:14.648"</f>
        <v>19:06:14.648</v>
      </c>
      <c r="B1885" t="s">
        <v>110</v>
      </c>
      <c r="C1885" t="str">
        <f t="shared" si="87"/>
        <v>ffdfd3c0</v>
      </c>
      <c r="D1885" t="s">
        <v>111</v>
      </c>
      <c r="E1885">
        <v>18</v>
      </c>
      <c r="F1885">
        <v>1018</v>
      </c>
      <c r="G1885" t="s">
        <v>112</v>
      </c>
      <c r="J1885" t="s">
        <v>113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R1885" t="s">
        <v>114</v>
      </c>
      <c r="S1885" t="str">
        <f>"19:06:14.430"</f>
        <v>19:06:14.430</v>
      </c>
      <c r="T1885" t="str">
        <f>"19:06:14.133"</f>
        <v>19:06:14.133</v>
      </c>
      <c r="U1885" t="str">
        <f t="shared" si="88"/>
        <v>a1cdbe</v>
      </c>
      <c r="V1885">
        <v>0</v>
      </c>
      <c r="W1885">
        <v>0</v>
      </c>
      <c r="X1885">
        <v>1</v>
      </c>
      <c r="Y1885">
        <v>0</v>
      </c>
      <c r="Z1885">
        <v>0</v>
      </c>
      <c r="AB1885">
        <v>0</v>
      </c>
      <c r="AC1885">
        <v>9</v>
      </c>
      <c r="AD1885">
        <v>3</v>
      </c>
      <c r="AE1885">
        <v>0</v>
      </c>
      <c r="AF1885">
        <v>9</v>
      </c>
      <c r="AG1885" t="s">
        <v>158</v>
      </c>
      <c r="AH1885">
        <v>0</v>
      </c>
      <c r="AI1885">
        <v>3</v>
      </c>
      <c r="AJ1885">
        <v>1</v>
      </c>
      <c r="AK1885">
        <v>0</v>
      </c>
      <c r="AL1885" t="s">
        <v>3555</v>
      </c>
      <c r="AM1885">
        <v>46.852291000000001</v>
      </c>
      <c r="AN1885" t="s">
        <v>3556</v>
      </c>
      <c r="AO1885">
        <v>-122.97151599999999</v>
      </c>
      <c r="AP1885">
        <v>100</v>
      </c>
      <c r="AQ1885">
        <v>2100</v>
      </c>
      <c r="AR1885" t="s">
        <v>118</v>
      </c>
      <c r="AS1885">
        <v>-77</v>
      </c>
      <c r="AT1885">
        <v>21</v>
      </c>
      <c r="AU1885">
        <v>0</v>
      </c>
      <c r="BC1885">
        <v>1200</v>
      </c>
      <c r="BD1885">
        <v>1</v>
      </c>
      <c r="BE1885" t="str">
        <f t="shared" si="89"/>
        <v xml:space="preserve">N215T   </v>
      </c>
      <c r="BF1885">
        <v>1</v>
      </c>
      <c r="BH1885">
        <v>0</v>
      </c>
      <c r="BI1885">
        <v>0</v>
      </c>
      <c r="BJ1885">
        <v>0</v>
      </c>
      <c r="BK1885">
        <v>2500</v>
      </c>
      <c r="BL1885">
        <v>400</v>
      </c>
      <c r="BM1885" t="s">
        <v>119</v>
      </c>
      <c r="BN1885">
        <v>1</v>
      </c>
      <c r="BO1885">
        <v>1</v>
      </c>
      <c r="BP1885">
        <v>1</v>
      </c>
      <c r="BQ1885">
        <v>0</v>
      </c>
      <c r="BT1885">
        <v>0</v>
      </c>
      <c r="BU1885">
        <v>0</v>
      </c>
      <c r="BV1885">
        <v>0</v>
      </c>
      <c r="CC1885" t="str">
        <f>"19:06:14.438"</f>
        <v>19:06:14.438</v>
      </c>
      <c r="CD1885" t="str">
        <f>"437400925"</f>
        <v>437400925</v>
      </c>
      <c r="CQ1885">
        <v>0</v>
      </c>
      <c r="CR1885">
        <v>2</v>
      </c>
      <c r="CS1885">
        <v>0</v>
      </c>
      <c r="CT1885">
        <v>2</v>
      </c>
      <c r="CU1885">
        <v>0</v>
      </c>
      <c r="CV1885">
        <v>5</v>
      </c>
      <c r="CW1885" t="s">
        <v>120</v>
      </c>
      <c r="CX1885">
        <v>257</v>
      </c>
      <c r="CY1885">
        <v>1</v>
      </c>
      <c r="CZ1885" t="s">
        <v>615</v>
      </c>
      <c r="DA1885" t="s">
        <v>616</v>
      </c>
      <c r="DD1885">
        <v>11785263</v>
      </c>
      <c r="DE1885" t="s">
        <v>123</v>
      </c>
    </row>
    <row r="1886" spans="1:109" x14ac:dyDescent="0.3">
      <c r="A1886" t="str">
        <f>"19:06:15.805"</f>
        <v>19:06:15.805</v>
      </c>
      <c r="B1886" t="s">
        <v>110</v>
      </c>
      <c r="C1886" t="str">
        <f t="shared" si="87"/>
        <v>ffdfd3c0</v>
      </c>
      <c r="D1886" t="s">
        <v>111</v>
      </c>
      <c r="E1886">
        <v>18</v>
      </c>
      <c r="F1886">
        <v>1018</v>
      </c>
      <c r="G1886" t="s">
        <v>112</v>
      </c>
      <c r="J1886" t="s">
        <v>113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R1886" t="s">
        <v>114</v>
      </c>
      <c r="S1886" t="str">
        <f>"19:06:15.602"</f>
        <v>19:06:15.602</v>
      </c>
      <c r="T1886" t="str">
        <f>"19:06:15.203"</f>
        <v>19:06:15.203</v>
      </c>
      <c r="U1886" t="str">
        <f t="shared" si="88"/>
        <v>a1cdbe</v>
      </c>
      <c r="V1886">
        <v>0</v>
      </c>
      <c r="W1886">
        <v>0</v>
      </c>
      <c r="X1886">
        <v>1</v>
      </c>
      <c r="Y1886">
        <v>0</v>
      </c>
      <c r="Z1886">
        <v>0</v>
      </c>
      <c r="AB1886">
        <v>0</v>
      </c>
      <c r="AC1886">
        <v>9</v>
      </c>
      <c r="AD1886">
        <v>3</v>
      </c>
      <c r="AE1886">
        <v>0</v>
      </c>
      <c r="AF1886">
        <v>9</v>
      </c>
      <c r="AG1886" t="s">
        <v>158</v>
      </c>
      <c r="AH1886">
        <v>0</v>
      </c>
      <c r="AI1886">
        <v>3</v>
      </c>
      <c r="AJ1886">
        <v>1</v>
      </c>
      <c r="AK1886">
        <v>0</v>
      </c>
      <c r="AL1886" t="s">
        <v>3557</v>
      </c>
      <c r="AM1886">
        <v>46.852376</v>
      </c>
      <c r="AN1886" t="s">
        <v>3558</v>
      </c>
      <c r="AO1886">
        <v>-122.972116</v>
      </c>
      <c r="AP1886">
        <v>100</v>
      </c>
      <c r="AQ1886">
        <v>2100</v>
      </c>
      <c r="AR1886" t="s">
        <v>118</v>
      </c>
      <c r="AS1886">
        <v>-77</v>
      </c>
      <c r="AT1886">
        <v>21</v>
      </c>
      <c r="AU1886">
        <v>0</v>
      </c>
      <c r="BC1886">
        <v>1200</v>
      </c>
      <c r="BD1886">
        <v>1</v>
      </c>
      <c r="BE1886" t="str">
        <f t="shared" si="89"/>
        <v xml:space="preserve">N215T   </v>
      </c>
      <c r="BF1886">
        <v>1</v>
      </c>
      <c r="BH1886">
        <v>0</v>
      </c>
      <c r="BI1886">
        <v>0</v>
      </c>
      <c r="BJ1886">
        <v>0</v>
      </c>
      <c r="BK1886">
        <v>2500</v>
      </c>
      <c r="BL1886">
        <v>400</v>
      </c>
      <c r="BM1886" t="s">
        <v>119</v>
      </c>
      <c r="BN1886">
        <v>1</v>
      </c>
      <c r="BO1886">
        <v>1</v>
      </c>
      <c r="BP1886">
        <v>1</v>
      </c>
      <c r="BQ1886">
        <v>0</v>
      </c>
      <c r="BT1886">
        <v>0</v>
      </c>
      <c r="BU1886">
        <v>0</v>
      </c>
      <c r="BV1886">
        <v>0</v>
      </c>
      <c r="CC1886" t="str">
        <f>"19:06:15.609"</f>
        <v>19:06:15.609</v>
      </c>
      <c r="CD1886" t="str">
        <f>"607262756"</f>
        <v>607262756</v>
      </c>
      <c r="CQ1886">
        <v>0</v>
      </c>
      <c r="CR1886">
        <v>2</v>
      </c>
      <c r="CS1886">
        <v>0</v>
      </c>
      <c r="CT1886">
        <v>2</v>
      </c>
      <c r="CU1886">
        <v>0</v>
      </c>
      <c r="CV1886">
        <v>7</v>
      </c>
      <c r="CW1886" t="s">
        <v>120</v>
      </c>
      <c r="CX1886">
        <v>261</v>
      </c>
      <c r="CY1886">
        <v>2</v>
      </c>
      <c r="CZ1886" t="s">
        <v>121</v>
      </c>
      <c r="DA1886" t="s">
        <v>122</v>
      </c>
      <c r="DD1886">
        <v>15374349</v>
      </c>
      <c r="DE1886" t="s">
        <v>123</v>
      </c>
    </row>
    <row r="1887" spans="1:109" x14ac:dyDescent="0.3">
      <c r="A1887" t="str">
        <f>"19:06:16.813"</f>
        <v>19:06:16.813</v>
      </c>
      <c r="B1887" t="s">
        <v>110</v>
      </c>
      <c r="C1887" t="str">
        <f t="shared" si="87"/>
        <v>ffdfd3c0</v>
      </c>
      <c r="D1887" t="s">
        <v>111</v>
      </c>
      <c r="E1887">
        <v>18</v>
      </c>
      <c r="F1887">
        <v>1018</v>
      </c>
      <c r="G1887" t="s">
        <v>112</v>
      </c>
      <c r="J1887" t="s">
        <v>113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R1887" t="s">
        <v>114</v>
      </c>
      <c r="S1887" t="str">
        <f>"19:06:16.578"</f>
        <v>19:06:16.578</v>
      </c>
      <c r="T1887" t="str">
        <f>"19:06:16.180"</f>
        <v>19:06:16.180</v>
      </c>
      <c r="U1887" t="str">
        <f t="shared" si="88"/>
        <v>a1cdbe</v>
      </c>
      <c r="V1887">
        <v>0</v>
      </c>
      <c r="W1887">
        <v>0</v>
      </c>
      <c r="X1887">
        <v>1</v>
      </c>
      <c r="Y1887">
        <v>0</v>
      </c>
      <c r="Z1887">
        <v>0</v>
      </c>
      <c r="AB1887">
        <v>0</v>
      </c>
      <c r="AC1887">
        <v>9</v>
      </c>
      <c r="AD1887">
        <v>3</v>
      </c>
      <c r="AE1887">
        <v>0</v>
      </c>
      <c r="AF1887">
        <v>9</v>
      </c>
      <c r="AG1887" t="s">
        <v>158</v>
      </c>
      <c r="AH1887">
        <v>0</v>
      </c>
      <c r="AI1887">
        <v>3</v>
      </c>
      <c r="AJ1887">
        <v>1</v>
      </c>
      <c r="AK1887">
        <v>0</v>
      </c>
      <c r="AL1887" t="s">
        <v>3559</v>
      </c>
      <c r="AM1887">
        <v>46.852505000000001</v>
      </c>
      <c r="AN1887" t="s">
        <v>3560</v>
      </c>
      <c r="AO1887">
        <v>-122.97265299999999</v>
      </c>
      <c r="AP1887">
        <v>100</v>
      </c>
      <c r="AQ1887">
        <v>2100</v>
      </c>
      <c r="AR1887" t="s">
        <v>118</v>
      </c>
      <c r="AS1887">
        <v>-78</v>
      </c>
      <c r="AT1887">
        <v>21</v>
      </c>
      <c r="AU1887">
        <v>64</v>
      </c>
      <c r="BC1887">
        <v>1200</v>
      </c>
      <c r="BD1887">
        <v>1</v>
      </c>
      <c r="BE1887" t="str">
        <f t="shared" si="89"/>
        <v xml:space="preserve">N215T   </v>
      </c>
      <c r="BF1887">
        <v>1</v>
      </c>
      <c r="BH1887">
        <v>0</v>
      </c>
      <c r="BI1887">
        <v>0</v>
      </c>
      <c r="BJ1887">
        <v>0</v>
      </c>
      <c r="BK1887">
        <v>2525</v>
      </c>
      <c r="BL1887">
        <v>425</v>
      </c>
      <c r="BM1887" t="s">
        <v>119</v>
      </c>
      <c r="BN1887">
        <v>1</v>
      </c>
      <c r="BO1887">
        <v>1</v>
      </c>
      <c r="BP1887">
        <v>1</v>
      </c>
      <c r="BQ1887">
        <v>0</v>
      </c>
      <c r="BT1887">
        <v>0</v>
      </c>
      <c r="BU1887">
        <v>0</v>
      </c>
      <c r="BV1887">
        <v>0</v>
      </c>
      <c r="CC1887" t="str">
        <f>"19:06:16.586"</f>
        <v>19:06:16.586</v>
      </c>
      <c r="CD1887" t="str">
        <f>"582166713"</f>
        <v>582166713</v>
      </c>
      <c r="CQ1887">
        <v>0</v>
      </c>
      <c r="CR1887">
        <v>2</v>
      </c>
      <c r="CS1887">
        <v>0</v>
      </c>
      <c r="CT1887">
        <v>2</v>
      </c>
      <c r="CU1887">
        <v>0</v>
      </c>
      <c r="CV1887">
        <v>7</v>
      </c>
      <c r="CW1887" t="s">
        <v>120</v>
      </c>
      <c r="CX1887">
        <v>261</v>
      </c>
      <c r="CY1887">
        <v>2</v>
      </c>
      <c r="CZ1887" t="s">
        <v>121</v>
      </c>
      <c r="DA1887" t="s">
        <v>122</v>
      </c>
      <c r="DD1887">
        <v>15375028</v>
      </c>
      <c r="DE1887" t="s">
        <v>123</v>
      </c>
    </row>
    <row r="1888" spans="1:109" x14ac:dyDescent="0.3">
      <c r="A1888" t="str">
        <f>"19:06:17.664"</f>
        <v>19:06:17.664</v>
      </c>
      <c r="B1888" t="s">
        <v>110</v>
      </c>
      <c r="C1888" t="str">
        <f t="shared" si="87"/>
        <v>ffdfd3c0</v>
      </c>
      <c r="D1888" t="s">
        <v>111</v>
      </c>
      <c r="E1888">
        <v>18</v>
      </c>
      <c r="F1888">
        <v>1018</v>
      </c>
      <c r="G1888" t="s">
        <v>112</v>
      </c>
      <c r="J1888" t="s">
        <v>113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R1888" t="s">
        <v>114</v>
      </c>
      <c r="S1888" t="str">
        <f>"19:06:17.461"</f>
        <v>19:06:17.461</v>
      </c>
      <c r="T1888" t="str">
        <f>"19:06:17.063"</f>
        <v>19:06:17.063</v>
      </c>
      <c r="U1888" t="str">
        <f t="shared" si="88"/>
        <v>a1cdbe</v>
      </c>
      <c r="V1888">
        <v>0</v>
      </c>
      <c r="W1888">
        <v>0</v>
      </c>
      <c r="X1888">
        <v>1</v>
      </c>
      <c r="Y1888">
        <v>0</v>
      </c>
      <c r="Z1888">
        <v>0</v>
      </c>
      <c r="AB1888">
        <v>0</v>
      </c>
      <c r="AC1888">
        <v>9</v>
      </c>
      <c r="AD1888">
        <v>3</v>
      </c>
      <c r="AE1888">
        <v>0</v>
      </c>
      <c r="AF1888">
        <v>9</v>
      </c>
      <c r="AG1888" t="s">
        <v>158</v>
      </c>
      <c r="AH1888">
        <v>0</v>
      </c>
      <c r="AI1888">
        <v>3</v>
      </c>
      <c r="AJ1888">
        <v>1</v>
      </c>
      <c r="AK1888">
        <v>0</v>
      </c>
      <c r="AL1888" t="s">
        <v>3561</v>
      </c>
      <c r="AM1888">
        <v>46.852590999999997</v>
      </c>
      <c r="AN1888" t="s">
        <v>3562</v>
      </c>
      <c r="AO1888">
        <v>-122.973061</v>
      </c>
      <c r="AP1888">
        <v>100</v>
      </c>
      <c r="AQ1888">
        <v>2100</v>
      </c>
      <c r="AR1888" t="s">
        <v>118</v>
      </c>
      <c r="AS1888">
        <v>-78</v>
      </c>
      <c r="AT1888">
        <v>22</v>
      </c>
      <c r="AU1888">
        <v>64</v>
      </c>
      <c r="BC1888">
        <v>1200</v>
      </c>
      <c r="BD1888">
        <v>1</v>
      </c>
      <c r="BE1888" t="str">
        <f t="shared" si="89"/>
        <v xml:space="preserve">N215T   </v>
      </c>
      <c r="BF1888">
        <v>1</v>
      </c>
      <c r="BH1888">
        <v>0</v>
      </c>
      <c r="BI1888">
        <v>0</v>
      </c>
      <c r="BJ1888">
        <v>0</v>
      </c>
      <c r="BK1888">
        <v>2500</v>
      </c>
      <c r="BL1888">
        <v>400</v>
      </c>
      <c r="BM1888" t="s">
        <v>119</v>
      </c>
      <c r="BN1888">
        <v>1</v>
      </c>
      <c r="BO1888">
        <v>1</v>
      </c>
      <c r="BP1888">
        <v>1</v>
      </c>
      <c r="BQ1888">
        <v>0</v>
      </c>
      <c r="BT1888">
        <v>0</v>
      </c>
      <c r="BU1888">
        <v>0</v>
      </c>
      <c r="BV1888">
        <v>0</v>
      </c>
      <c r="CC1888" t="str">
        <f>"19:06:17.469"</f>
        <v>19:06:17.469</v>
      </c>
      <c r="CD1888" t="str">
        <f>"467102228"</f>
        <v>467102228</v>
      </c>
      <c r="CQ1888">
        <v>0</v>
      </c>
      <c r="CR1888">
        <v>2</v>
      </c>
      <c r="CS1888">
        <v>0</v>
      </c>
      <c r="CT1888">
        <v>2</v>
      </c>
      <c r="CU1888">
        <v>0</v>
      </c>
      <c r="CV1888">
        <v>5</v>
      </c>
      <c r="CW1888" t="s">
        <v>120</v>
      </c>
      <c r="CX1888">
        <v>257</v>
      </c>
      <c r="CY1888">
        <v>0</v>
      </c>
      <c r="CZ1888" t="s">
        <v>615</v>
      </c>
      <c r="DA1888" t="s">
        <v>616</v>
      </c>
      <c r="DD1888">
        <v>15596321</v>
      </c>
      <c r="DE1888" t="s">
        <v>123</v>
      </c>
    </row>
    <row r="1889" spans="1:109" x14ac:dyDescent="0.3">
      <c r="A1889" t="str">
        <f>"19:06:18.672"</f>
        <v>19:06:18.672</v>
      </c>
      <c r="B1889" t="s">
        <v>110</v>
      </c>
      <c r="C1889" t="str">
        <f t="shared" si="87"/>
        <v>ffdfd3c0</v>
      </c>
      <c r="D1889" t="s">
        <v>111</v>
      </c>
      <c r="E1889">
        <v>18</v>
      </c>
      <c r="F1889">
        <v>1018</v>
      </c>
      <c r="G1889" t="s">
        <v>112</v>
      </c>
      <c r="J1889" t="s">
        <v>113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R1889" t="s">
        <v>114</v>
      </c>
      <c r="S1889" t="str">
        <f>"19:06:18.453"</f>
        <v>19:06:18.453</v>
      </c>
      <c r="T1889" t="str">
        <f>"19:06:18.055"</f>
        <v>19:06:18.055</v>
      </c>
      <c r="U1889" t="str">
        <f t="shared" si="88"/>
        <v>a1cdbe</v>
      </c>
      <c r="V1889">
        <v>0</v>
      </c>
      <c r="W1889">
        <v>0</v>
      </c>
      <c r="X1889">
        <v>1</v>
      </c>
      <c r="Y1889">
        <v>0</v>
      </c>
      <c r="Z1889">
        <v>0</v>
      </c>
      <c r="AB1889">
        <v>0</v>
      </c>
      <c r="AC1889">
        <v>9</v>
      </c>
      <c r="AD1889">
        <v>3</v>
      </c>
      <c r="AE1889">
        <v>0</v>
      </c>
      <c r="AF1889">
        <v>9</v>
      </c>
      <c r="AG1889" t="s">
        <v>158</v>
      </c>
      <c r="AH1889">
        <v>0</v>
      </c>
      <c r="AI1889">
        <v>3</v>
      </c>
      <c r="AJ1889">
        <v>1</v>
      </c>
      <c r="AK1889">
        <v>0</v>
      </c>
      <c r="AL1889" t="s">
        <v>3563</v>
      </c>
      <c r="AM1889">
        <v>46.852697999999997</v>
      </c>
      <c r="AN1889" t="s">
        <v>3564</v>
      </c>
      <c r="AO1889">
        <v>-122.973597</v>
      </c>
      <c r="AP1889">
        <v>100</v>
      </c>
      <c r="AQ1889">
        <v>2100</v>
      </c>
      <c r="AR1889" t="s">
        <v>118</v>
      </c>
      <c r="AS1889">
        <v>-78</v>
      </c>
      <c r="AT1889">
        <v>22</v>
      </c>
      <c r="AU1889">
        <v>64</v>
      </c>
      <c r="BC1889">
        <v>1200</v>
      </c>
      <c r="BD1889">
        <v>1</v>
      </c>
      <c r="BE1889" t="str">
        <f t="shared" si="89"/>
        <v xml:space="preserve">N215T   </v>
      </c>
      <c r="BF1889">
        <v>1</v>
      </c>
      <c r="BH1889">
        <v>0</v>
      </c>
      <c r="BI1889">
        <v>0</v>
      </c>
      <c r="BJ1889">
        <v>0</v>
      </c>
      <c r="BK1889">
        <v>2500</v>
      </c>
      <c r="BL1889">
        <v>400</v>
      </c>
      <c r="BM1889" t="s">
        <v>119</v>
      </c>
      <c r="BN1889">
        <v>1</v>
      </c>
      <c r="BO1889">
        <v>1</v>
      </c>
      <c r="BP1889">
        <v>1</v>
      </c>
      <c r="BQ1889">
        <v>0</v>
      </c>
      <c r="BT1889">
        <v>0</v>
      </c>
      <c r="BU1889">
        <v>0</v>
      </c>
      <c r="BV1889">
        <v>0</v>
      </c>
      <c r="CC1889" t="str">
        <f>"19:06:18.453"</f>
        <v>19:06:18.453</v>
      </c>
      <c r="CD1889" t="str">
        <f>"456982033"</f>
        <v>456982033</v>
      </c>
      <c r="CQ1889">
        <v>0</v>
      </c>
      <c r="CR1889">
        <v>2</v>
      </c>
      <c r="CS1889">
        <v>0</v>
      </c>
      <c r="CT1889">
        <v>2</v>
      </c>
      <c r="CU1889">
        <v>0</v>
      </c>
      <c r="CV1889">
        <v>6</v>
      </c>
      <c r="CW1889" t="s">
        <v>120</v>
      </c>
      <c r="CX1889">
        <v>261</v>
      </c>
      <c r="CY1889">
        <v>2</v>
      </c>
      <c r="CZ1889" t="s">
        <v>121</v>
      </c>
      <c r="DA1889" t="s">
        <v>122</v>
      </c>
      <c r="DD1889">
        <v>15376236</v>
      </c>
      <c r="DE1889" t="s">
        <v>123</v>
      </c>
    </row>
    <row r="1890" spans="1:109" x14ac:dyDescent="0.3">
      <c r="A1890" t="str">
        <f>"19:06:19.672"</f>
        <v>19:06:19.672</v>
      </c>
      <c r="B1890" t="s">
        <v>110</v>
      </c>
      <c r="C1890" t="str">
        <f t="shared" si="87"/>
        <v>ffdfd3c0</v>
      </c>
      <c r="D1890" t="s">
        <v>111</v>
      </c>
      <c r="E1890">
        <v>18</v>
      </c>
      <c r="F1890">
        <v>1018</v>
      </c>
      <c r="G1890" t="s">
        <v>112</v>
      </c>
      <c r="J1890" t="s">
        <v>113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R1890" t="s">
        <v>114</v>
      </c>
      <c r="S1890" t="str">
        <f>"19:06:19.430"</f>
        <v>19:06:19.430</v>
      </c>
      <c r="T1890" t="str">
        <f>"19:06:19.133"</f>
        <v>19:06:19.133</v>
      </c>
      <c r="U1890" t="str">
        <f t="shared" si="88"/>
        <v>a1cdbe</v>
      </c>
      <c r="V1890">
        <v>0</v>
      </c>
      <c r="W1890">
        <v>0</v>
      </c>
      <c r="X1890">
        <v>1</v>
      </c>
      <c r="Y1890">
        <v>0</v>
      </c>
      <c r="Z1890">
        <v>0</v>
      </c>
      <c r="AB1890">
        <v>0</v>
      </c>
      <c r="AC1890">
        <v>9</v>
      </c>
      <c r="AD1890">
        <v>3</v>
      </c>
      <c r="AE1890">
        <v>0</v>
      </c>
      <c r="AF1890">
        <v>9</v>
      </c>
      <c r="AG1890" t="s">
        <v>158</v>
      </c>
      <c r="AH1890">
        <v>0</v>
      </c>
      <c r="AI1890">
        <v>3</v>
      </c>
      <c r="AJ1890">
        <v>1</v>
      </c>
      <c r="AK1890">
        <v>0</v>
      </c>
      <c r="AL1890" t="s">
        <v>3565</v>
      </c>
      <c r="AM1890">
        <v>46.852784</v>
      </c>
      <c r="AN1890" t="s">
        <v>3566</v>
      </c>
      <c r="AO1890">
        <v>-122.974091</v>
      </c>
      <c r="AP1890">
        <v>100</v>
      </c>
      <c r="AQ1890">
        <v>2100</v>
      </c>
      <c r="AR1890" t="s">
        <v>118</v>
      </c>
      <c r="AS1890">
        <v>-78</v>
      </c>
      <c r="AT1890">
        <v>22</v>
      </c>
      <c r="AU1890">
        <v>128</v>
      </c>
      <c r="BC1890">
        <v>1200</v>
      </c>
      <c r="BD1890">
        <v>1</v>
      </c>
      <c r="BE1890" t="str">
        <f t="shared" si="89"/>
        <v xml:space="preserve">N215T   </v>
      </c>
      <c r="BF1890">
        <v>1</v>
      </c>
      <c r="BH1890">
        <v>0</v>
      </c>
      <c r="BI1890">
        <v>0</v>
      </c>
      <c r="BJ1890">
        <v>0</v>
      </c>
      <c r="BK1890">
        <v>2500</v>
      </c>
      <c r="BL1890">
        <v>400</v>
      </c>
      <c r="BM1890" t="s">
        <v>119</v>
      </c>
      <c r="BN1890">
        <v>1</v>
      </c>
      <c r="BO1890">
        <v>1</v>
      </c>
      <c r="BP1890">
        <v>1</v>
      </c>
      <c r="BQ1890">
        <v>0</v>
      </c>
      <c r="BT1890">
        <v>0</v>
      </c>
      <c r="BU1890">
        <v>0</v>
      </c>
      <c r="BV1890">
        <v>0</v>
      </c>
      <c r="CC1890" t="str">
        <f>"19:06:19.430"</f>
        <v>19:06:19.430</v>
      </c>
      <c r="CD1890" t="str">
        <f>"431908534"</f>
        <v>431908534</v>
      </c>
      <c r="CQ1890">
        <v>0</v>
      </c>
      <c r="CR1890">
        <v>2</v>
      </c>
      <c r="CS1890">
        <v>0</v>
      </c>
      <c r="CT1890">
        <v>2</v>
      </c>
      <c r="CU1890">
        <v>0</v>
      </c>
      <c r="CV1890">
        <v>5</v>
      </c>
      <c r="CW1890" t="s">
        <v>120</v>
      </c>
      <c r="CX1890">
        <v>257</v>
      </c>
      <c r="CY1890">
        <v>0</v>
      </c>
      <c r="CZ1890" t="s">
        <v>615</v>
      </c>
      <c r="DA1890" t="s">
        <v>616</v>
      </c>
      <c r="DD1890">
        <v>15597520</v>
      </c>
      <c r="DE1890" t="s">
        <v>123</v>
      </c>
    </row>
    <row r="1891" spans="1:109" x14ac:dyDescent="0.3">
      <c r="A1891" t="str">
        <f>"19:06:20.633"</f>
        <v>19:06:20.633</v>
      </c>
      <c r="B1891" t="s">
        <v>110</v>
      </c>
      <c r="C1891" t="str">
        <f t="shared" si="87"/>
        <v>ffdfd3c0</v>
      </c>
      <c r="D1891" t="s">
        <v>111</v>
      </c>
      <c r="E1891">
        <v>18</v>
      </c>
      <c r="F1891">
        <v>1018</v>
      </c>
      <c r="G1891" t="s">
        <v>112</v>
      </c>
      <c r="J1891" t="s">
        <v>113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R1891" t="s">
        <v>114</v>
      </c>
      <c r="S1891" t="str">
        <f>"19:06:20.406"</f>
        <v>19:06:20.406</v>
      </c>
      <c r="T1891" t="str">
        <f>"19:06:20.406"</f>
        <v>19:06:20.406</v>
      </c>
      <c r="U1891" t="str">
        <f t="shared" si="88"/>
        <v>a1cdbe</v>
      </c>
      <c r="V1891">
        <v>0</v>
      </c>
      <c r="W1891">
        <v>0</v>
      </c>
      <c r="X1891">
        <v>1</v>
      </c>
      <c r="Y1891">
        <v>0</v>
      </c>
      <c r="Z1891">
        <v>0</v>
      </c>
      <c r="AB1891">
        <v>0</v>
      </c>
      <c r="AC1891">
        <v>9</v>
      </c>
      <c r="AD1891">
        <v>3</v>
      </c>
      <c r="AE1891">
        <v>0</v>
      </c>
      <c r="AF1891">
        <v>9</v>
      </c>
      <c r="AG1891" t="s">
        <v>158</v>
      </c>
      <c r="AH1891">
        <v>0</v>
      </c>
      <c r="AI1891">
        <v>3</v>
      </c>
      <c r="AJ1891">
        <v>1</v>
      </c>
      <c r="AK1891">
        <v>0</v>
      </c>
      <c r="AL1891" t="s">
        <v>3567</v>
      </c>
      <c r="AM1891">
        <v>46.852891</v>
      </c>
      <c r="AN1891" t="s">
        <v>3568</v>
      </c>
      <c r="AO1891">
        <v>-122.97467</v>
      </c>
      <c r="AP1891">
        <v>100</v>
      </c>
      <c r="AQ1891">
        <v>2100</v>
      </c>
      <c r="AR1891" t="s">
        <v>118</v>
      </c>
      <c r="AS1891">
        <v>-78</v>
      </c>
      <c r="AT1891">
        <v>22</v>
      </c>
      <c r="AU1891">
        <v>192</v>
      </c>
      <c r="BC1891">
        <v>1200</v>
      </c>
      <c r="BD1891">
        <v>1</v>
      </c>
      <c r="BE1891" t="str">
        <f t="shared" si="89"/>
        <v xml:space="preserve">N215T   </v>
      </c>
      <c r="BF1891">
        <v>1</v>
      </c>
      <c r="BH1891">
        <v>0</v>
      </c>
      <c r="BI1891">
        <v>0</v>
      </c>
      <c r="BJ1891">
        <v>0</v>
      </c>
      <c r="BK1891">
        <v>2525</v>
      </c>
      <c r="BL1891">
        <v>425</v>
      </c>
      <c r="BM1891" t="s">
        <v>119</v>
      </c>
      <c r="BN1891">
        <v>1</v>
      </c>
      <c r="BO1891">
        <v>1</v>
      </c>
      <c r="BP1891">
        <v>1</v>
      </c>
      <c r="BQ1891">
        <v>0</v>
      </c>
      <c r="BT1891">
        <v>0</v>
      </c>
      <c r="BU1891">
        <v>0</v>
      </c>
      <c r="BV1891">
        <v>0</v>
      </c>
      <c r="CC1891" t="str">
        <f>"19:06:20.406"</f>
        <v>19:06:20.406</v>
      </c>
      <c r="CD1891" t="str">
        <f>"406789962"</f>
        <v>406789962</v>
      </c>
      <c r="CQ1891">
        <v>0</v>
      </c>
      <c r="CR1891">
        <v>2</v>
      </c>
      <c r="CS1891">
        <v>0</v>
      </c>
      <c r="CT1891">
        <v>2</v>
      </c>
      <c r="CU1891">
        <v>0</v>
      </c>
      <c r="CV1891">
        <v>7</v>
      </c>
      <c r="CW1891" t="s">
        <v>120</v>
      </c>
      <c r="CX1891">
        <v>261</v>
      </c>
      <c r="CY1891">
        <v>2</v>
      </c>
      <c r="CZ1891" t="s">
        <v>121</v>
      </c>
      <c r="DA1891" t="s">
        <v>122</v>
      </c>
      <c r="DD1891">
        <v>15377632</v>
      </c>
      <c r="DE1891" t="s">
        <v>123</v>
      </c>
    </row>
    <row r="1892" spans="1:109" x14ac:dyDescent="0.3">
      <c r="A1892" t="str">
        <f>"19:06:21.734"</f>
        <v>19:06:21.734</v>
      </c>
      <c r="B1892" t="s">
        <v>110</v>
      </c>
      <c r="C1892" t="str">
        <f t="shared" si="87"/>
        <v>ffdfd3c0</v>
      </c>
      <c r="D1892" t="s">
        <v>111</v>
      </c>
      <c r="E1892">
        <v>18</v>
      </c>
      <c r="F1892">
        <v>1018</v>
      </c>
      <c r="G1892" t="s">
        <v>112</v>
      </c>
      <c r="J1892" t="s">
        <v>113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R1892" t="s">
        <v>114</v>
      </c>
      <c r="S1892" t="str">
        <f>"19:06:21.539"</f>
        <v>19:06:21.539</v>
      </c>
      <c r="T1892" t="str">
        <f>"19:06:21.438"</f>
        <v>19:06:21.438</v>
      </c>
      <c r="U1892" t="str">
        <f t="shared" si="88"/>
        <v>a1cdbe</v>
      </c>
      <c r="V1892">
        <v>0</v>
      </c>
      <c r="W1892">
        <v>0</v>
      </c>
      <c r="X1892">
        <v>1</v>
      </c>
      <c r="Y1892">
        <v>0</v>
      </c>
      <c r="Z1892">
        <v>0</v>
      </c>
      <c r="AB1892">
        <v>0</v>
      </c>
      <c r="AC1892">
        <v>9</v>
      </c>
      <c r="AD1892">
        <v>3</v>
      </c>
      <c r="AE1892">
        <v>0</v>
      </c>
      <c r="AF1892">
        <v>9</v>
      </c>
      <c r="AG1892" t="s">
        <v>158</v>
      </c>
      <c r="AH1892">
        <v>0</v>
      </c>
      <c r="AI1892">
        <v>3</v>
      </c>
      <c r="AJ1892">
        <v>1</v>
      </c>
      <c r="AK1892">
        <v>0</v>
      </c>
      <c r="AL1892" t="s">
        <v>3569</v>
      </c>
      <c r="AM1892">
        <v>46.853020000000001</v>
      </c>
      <c r="AN1892" t="s">
        <v>3570</v>
      </c>
      <c r="AO1892">
        <v>-122.97524900000001</v>
      </c>
      <c r="AP1892">
        <v>100</v>
      </c>
      <c r="AQ1892">
        <v>2100</v>
      </c>
      <c r="AR1892" t="s">
        <v>118</v>
      </c>
      <c r="AS1892">
        <v>-78</v>
      </c>
      <c r="AT1892">
        <v>22</v>
      </c>
      <c r="AU1892">
        <v>256</v>
      </c>
      <c r="BC1892">
        <v>1200</v>
      </c>
      <c r="BD1892">
        <v>1</v>
      </c>
      <c r="BE1892" t="str">
        <f t="shared" si="89"/>
        <v xml:space="preserve">N215T   </v>
      </c>
      <c r="BF1892">
        <v>1</v>
      </c>
      <c r="BH1892">
        <v>0</v>
      </c>
      <c r="BI1892">
        <v>0</v>
      </c>
      <c r="BJ1892">
        <v>0</v>
      </c>
      <c r="BK1892">
        <v>2525</v>
      </c>
      <c r="BL1892">
        <v>425</v>
      </c>
      <c r="BM1892" t="s">
        <v>119</v>
      </c>
      <c r="BN1892">
        <v>1</v>
      </c>
      <c r="BO1892">
        <v>1</v>
      </c>
      <c r="BP1892">
        <v>1</v>
      </c>
      <c r="BQ1892">
        <v>0</v>
      </c>
      <c r="BT1892">
        <v>0</v>
      </c>
      <c r="BU1892">
        <v>0</v>
      </c>
      <c r="BV1892">
        <v>0</v>
      </c>
      <c r="CC1892" t="str">
        <f>"19:06:21.547"</f>
        <v>19:06:21.547</v>
      </c>
      <c r="CD1892" t="str">
        <f>"546677667"</f>
        <v>546677667</v>
      </c>
      <c r="CQ1892">
        <v>0</v>
      </c>
      <c r="CR1892">
        <v>2</v>
      </c>
      <c r="CS1892">
        <v>0</v>
      </c>
      <c r="CT1892">
        <v>2</v>
      </c>
      <c r="CU1892">
        <v>0</v>
      </c>
      <c r="CV1892">
        <v>7</v>
      </c>
      <c r="CW1892" t="s">
        <v>120</v>
      </c>
      <c r="CX1892">
        <v>261</v>
      </c>
      <c r="CY1892">
        <v>2</v>
      </c>
      <c r="CZ1892" t="s">
        <v>121</v>
      </c>
      <c r="DA1892" t="s">
        <v>122</v>
      </c>
      <c r="DD1892">
        <v>15378375</v>
      </c>
      <c r="DE1892" t="s">
        <v>123</v>
      </c>
    </row>
    <row r="1893" spans="1:109" x14ac:dyDescent="0.3">
      <c r="A1893" t="str">
        <f>"19:06:22.742"</f>
        <v>19:06:22.742</v>
      </c>
      <c r="B1893" t="s">
        <v>110</v>
      </c>
      <c r="C1893" t="str">
        <f t="shared" si="87"/>
        <v>ffdfd3c0</v>
      </c>
      <c r="D1893" t="s">
        <v>111</v>
      </c>
      <c r="E1893">
        <v>18</v>
      </c>
      <c r="F1893">
        <v>1018</v>
      </c>
      <c r="G1893" t="s">
        <v>112</v>
      </c>
      <c r="J1893" t="s">
        <v>113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R1893" t="s">
        <v>114</v>
      </c>
      <c r="S1893" t="str">
        <f>"19:06:22.500"</f>
        <v>19:06:22.500</v>
      </c>
      <c r="T1893" t="str">
        <f>"19:06:22.000"</f>
        <v>19:06:22.000</v>
      </c>
      <c r="U1893" t="str">
        <f t="shared" si="88"/>
        <v>a1cdbe</v>
      </c>
      <c r="V1893">
        <v>0</v>
      </c>
      <c r="W1893">
        <v>0</v>
      </c>
      <c r="X1893">
        <v>1</v>
      </c>
      <c r="Y1893">
        <v>0</v>
      </c>
      <c r="Z1893">
        <v>0</v>
      </c>
      <c r="AB1893">
        <v>0</v>
      </c>
      <c r="AC1893">
        <v>9</v>
      </c>
      <c r="AD1893">
        <v>3</v>
      </c>
      <c r="AE1893">
        <v>0</v>
      </c>
      <c r="AF1893">
        <v>9</v>
      </c>
      <c r="AG1893" t="s">
        <v>158</v>
      </c>
      <c r="AH1893">
        <v>0</v>
      </c>
      <c r="AI1893">
        <v>3</v>
      </c>
      <c r="AJ1893">
        <v>1</v>
      </c>
      <c r="AK1893">
        <v>0</v>
      </c>
      <c r="AL1893" t="s">
        <v>3571</v>
      </c>
      <c r="AM1893">
        <v>46.853127000000001</v>
      </c>
      <c r="AN1893" t="s">
        <v>3572</v>
      </c>
      <c r="AO1893">
        <v>-122.97572099999999</v>
      </c>
      <c r="AP1893">
        <v>100</v>
      </c>
      <c r="AQ1893">
        <v>2100</v>
      </c>
      <c r="AR1893" t="s">
        <v>118</v>
      </c>
      <c r="AS1893">
        <v>-78</v>
      </c>
      <c r="AT1893">
        <v>22</v>
      </c>
      <c r="AU1893">
        <v>256</v>
      </c>
      <c r="BC1893">
        <v>1200</v>
      </c>
      <c r="BD1893">
        <v>1</v>
      </c>
      <c r="BE1893" t="str">
        <f t="shared" si="89"/>
        <v xml:space="preserve">N215T   </v>
      </c>
      <c r="BF1893">
        <v>1</v>
      </c>
      <c r="BH1893">
        <v>0</v>
      </c>
      <c r="BI1893">
        <v>0</v>
      </c>
      <c r="BJ1893">
        <v>0</v>
      </c>
      <c r="BK1893">
        <v>2525</v>
      </c>
      <c r="BL1893">
        <v>425</v>
      </c>
      <c r="BM1893" t="s">
        <v>119</v>
      </c>
      <c r="BN1893">
        <v>1</v>
      </c>
      <c r="BO1893">
        <v>1</v>
      </c>
      <c r="BP1893">
        <v>1</v>
      </c>
      <c r="BQ1893">
        <v>0</v>
      </c>
      <c r="BT1893">
        <v>0</v>
      </c>
      <c r="BU1893">
        <v>0</v>
      </c>
      <c r="BV1893">
        <v>0</v>
      </c>
      <c r="CC1893" t="str">
        <f>"19:06:22.508"</f>
        <v>19:06:22.508</v>
      </c>
      <c r="CD1893" t="str">
        <f>"506583107"</f>
        <v>506583107</v>
      </c>
      <c r="CQ1893">
        <v>0</v>
      </c>
      <c r="CR1893">
        <v>2</v>
      </c>
      <c r="CS1893">
        <v>0</v>
      </c>
      <c r="CT1893">
        <v>2</v>
      </c>
      <c r="CU1893">
        <v>0</v>
      </c>
      <c r="CV1893">
        <v>6</v>
      </c>
      <c r="CW1893" t="s">
        <v>120</v>
      </c>
      <c r="CX1893">
        <v>261</v>
      </c>
      <c r="CY1893">
        <v>2</v>
      </c>
      <c r="CZ1893" t="s">
        <v>121</v>
      </c>
      <c r="DA1893" t="s">
        <v>122</v>
      </c>
      <c r="DD1893">
        <v>15378935</v>
      </c>
      <c r="DE1893" t="s">
        <v>123</v>
      </c>
    </row>
    <row r="1894" spans="1:109" x14ac:dyDescent="0.3">
      <c r="A1894" t="str">
        <f>"19:06:23.852"</f>
        <v>19:06:23.852</v>
      </c>
      <c r="B1894" t="s">
        <v>110</v>
      </c>
      <c r="C1894" t="str">
        <f t="shared" si="87"/>
        <v>ffdfd3c0</v>
      </c>
      <c r="D1894" t="s">
        <v>111</v>
      </c>
      <c r="E1894">
        <v>18</v>
      </c>
      <c r="F1894">
        <v>1018</v>
      </c>
      <c r="G1894" t="s">
        <v>112</v>
      </c>
      <c r="J1894" t="s">
        <v>113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R1894" t="s">
        <v>114</v>
      </c>
      <c r="S1894" t="str">
        <f>"19:06:23.609"</f>
        <v>19:06:23.609</v>
      </c>
      <c r="T1894" t="str">
        <f>"19:06:23.211"</f>
        <v>19:06:23.211</v>
      </c>
      <c r="U1894" t="str">
        <f t="shared" si="88"/>
        <v>a1cdbe</v>
      </c>
      <c r="V1894">
        <v>0</v>
      </c>
      <c r="W1894">
        <v>0</v>
      </c>
      <c r="X1894">
        <v>1</v>
      </c>
      <c r="Y1894">
        <v>0</v>
      </c>
      <c r="Z1894">
        <v>0</v>
      </c>
      <c r="AB1894">
        <v>0</v>
      </c>
      <c r="AC1894">
        <v>9</v>
      </c>
      <c r="AD1894">
        <v>3</v>
      </c>
      <c r="AE1894">
        <v>0</v>
      </c>
      <c r="AF1894">
        <v>9</v>
      </c>
      <c r="AG1894" t="s">
        <v>158</v>
      </c>
      <c r="AH1894">
        <v>0</v>
      </c>
      <c r="AI1894">
        <v>3</v>
      </c>
      <c r="AJ1894">
        <v>1</v>
      </c>
      <c r="AK1894">
        <v>0</v>
      </c>
      <c r="AL1894" t="s">
        <v>3573</v>
      </c>
      <c r="AM1894">
        <v>46.853212999999997</v>
      </c>
      <c r="AN1894" t="s">
        <v>3574</v>
      </c>
      <c r="AO1894">
        <v>-122.976344</v>
      </c>
      <c r="AP1894">
        <v>100</v>
      </c>
      <c r="AQ1894">
        <v>2100</v>
      </c>
      <c r="AR1894" t="s">
        <v>118</v>
      </c>
      <c r="AS1894">
        <v>-78</v>
      </c>
      <c r="AT1894">
        <v>23</v>
      </c>
      <c r="AU1894">
        <v>320</v>
      </c>
      <c r="BC1894">
        <v>1200</v>
      </c>
      <c r="BD1894">
        <v>1</v>
      </c>
      <c r="BE1894" t="str">
        <f t="shared" si="89"/>
        <v xml:space="preserve">N215T   </v>
      </c>
      <c r="BF1894">
        <v>1</v>
      </c>
      <c r="BH1894">
        <v>0</v>
      </c>
      <c r="BI1894">
        <v>0</v>
      </c>
      <c r="BJ1894">
        <v>0</v>
      </c>
      <c r="BK1894">
        <v>2525</v>
      </c>
      <c r="BL1894">
        <v>425</v>
      </c>
      <c r="BM1894" t="s">
        <v>119</v>
      </c>
      <c r="BN1894">
        <v>1</v>
      </c>
      <c r="BO1894">
        <v>1</v>
      </c>
      <c r="BP1894">
        <v>1</v>
      </c>
      <c r="BQ1894">
        <v>0</v>
      </c>
      <c r="BT1894">
        <v>0</v>
      </c>
      <c r="BU1894">
        <v>0</v>
      </c>
      <c r="BV1894">
        <v>0</v>
      </c>
      <c r="CC1894" t="str">
        <f>"19:06:23.617"</f>
        <v>19:06:23.617</v>
      </c>
      <c r="CD1894" t="str">
        <f>"616473777"</f>
        <v>616473777</v>
      </c>
      <c r="CQ1894">
        <v>0</v>
      </c>
      <c r="CR1894">
        <v>2</v>
      </c>
      <c r="CS1894">
        <v>0</v>
      </c>
      <c r="CT1894">
        <v>2</v>
      </c>
      <c r="CU1894">
        <v>0</v>
      </c>
      <c r="CV1894">
        <v>7</v>
      </c>
      <c r="CW1894" t="s">
        <v>120</v>
      </c>
      <c r="CX1894">
        <v>261</v>
      </c>
      <c r="CY1894">
        <v>2</v>
      </c>
      <c r="CZ1894" t="s">
        <v>121</v>
      </c>
      <c r="DA1894" t="s">
        <v>122</v>
      </c>
      <c r="DD1894">
        <v>15379689</v>
      </c>
      <c r="DE1894" t="s">
        <v>123</v>
      </c>
    </row>
    <row r="1895" spans="1:109" x14ac:dyDescent="0.3">
      <c r="A1895" t="str">
        <f>"19:06:24.750"</f>
        <v>19:06:24.750</v>
      </c>
      <c r="B1895" t="s">
        <v>110</v>
      </c>
      <c r="C1895" t="str">
        <f t="shared" si="87"/>
        <v>ffdfd3c0</v>
      </c>
      <c r="D1895" t="s">
        <v>111</v>
      </c>
      <c r="E1895">
        <v>18</v>
      </c>
      <c r="F1895">
        <v>1018</v>
      </c>
      <c r="G1895" t="s">
        <v>112</v>
      </c>
      <c r="J1895" t="s">
        <v>113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R1895" t="s">
        <v>114</v>
      </c>
      <c r="S1895" t="str">
        <f>"19:06:24.539"</f>
        <v>19:06:24.539</v>
      </c>
      <c r="T1895" t="str">
        <f>"19:06:24.242"</f>
        <v>19:06:24.242</v>
      </c>
      <c r="U1895" t="str">
        <f t="shared" si="88"/>
        <v>a1cdbe</v>
      </c>
      <c r="V1895">
        <v>0</v>
      </c>
      <c r="W1895">
        <v>0</v>
      </c>
      <c r="X1895">
        <v>1</v>
      </c>
      <c r="Y1895">
        <v>0</v>
      </c>
      <c r="Z1895">
        <v>0</v>
      </c>
      <c r="AB1895">
        <v>0</v>
      </c>
      <c r="AC1895">
        <v>9</v>
      </c>
      <c r="AD1895">
        <v>3</v>
      </c>
      <c r="AE1895">
        <v>0</v>
      </c>
      <c r="AF1895">
        <v>9</v>
      </c>
      <c r="AG1895" t="s">
        <v>158</v>
      </c>
      <c r="AH1895">
        <v>0</v>
      </c>
      <c r="AI1895">
        <v>3</v>
      </c>
      <c r="AJ1895">
        <v>1</v>
      </c>
      <c r="AK1895">
        <v>0</v>
      </c>
      <c r="AL1895" t="s">
        <v>3575</v>
      </c>
      <c r="AM1895">
        <v>46.853341999999998</v>
      </c>
      <c r="AN1895" t="s">
        <v>3576</v>
      </c>
      <c r="AO1895">
        <v>-122.976837</v>
      </c>
      <c r="AP1895">
        <v>100</v>
      </c>
      <c r="AQ1895">
        <v>2200</v>
      </c>
      <c r="AR1895" t="s">
        <v>118</v>
      </c>
      <c r="AS1895">
        <v>-77</v>
      </c>
      <c r="AT1895">
        <v>23</v>
      </c>
      <c r="AU1895">
        <v>320</v>
      </c>
      <c r="BC1895">
        <v>1200</v>
      </c>
      <c r="BD1895">
        <v>1</v>
      </c>
      <c r="BE1895" t="str">
        <f t="shared" si="89"/>
        <v xml:space="preserve">N215T   </v>
      </c>
      <c r="BF1895">
        <v>1</v>
      </c>
      <c r="BH1895">
        <v>0</v>
      </c>
      <c r="BI1895">
        <v>0</v>
      </c>
      <c r="BJ1895">
        <v>0</v>
      </c>
      <c r="BK1895">
        <v>2550</v>
      </c>
      <c r="BL1895">
        <v>350</v>
      </c>
      <c r="BM1895" t="s">
        <v>119</v>
      </c>
      <c r="BN1895">
        <v>1</v>
      </c>
      <c r="BO1895">
        <v>1</v>
      </c>
      <c r="BP1895">
        <v>1</v>
      </c>
      <c r="BQ1895">
        <v>0</v>
      </c>
      <c r="BT1895">
        <v>0</v>
      </c>
      <c r="BU1895">
        <v>0</v>
      </c>
      <c r="BV1895">
        <v>0</v>
      </c>
      <c r="CC1895" t="str">
        <f>"19:06:24.547"</f>
        <v>19:06:24.547</v>
      </c>
      <c r="CD1895" t="str">
        <f>"546382171"</f>
        <v>546382171</v>
      </c>
      <c r="CQ1895">
        <v>0</v>
      </c>
      <c r="CR1895">
        <v>2</v>
      </c>
      <c r="CS1895">
        <v>0</v>
      </c>
      <c r="CT1895">
        <v>2</v>
      </c>
      <c r="CU1895">
        <v>0</v>
      </c>
      <c r="CV1895">
        <v>7</v>
      </c>
      <c r="CW1895" t="s">
        <v>120</v>
      </c>
      <c r="CX1895">
        <v>261</v>
      </c>
      <c r="CY1895">
        <v>2</v>
      </c>
      <c r="CZ1895" t="s">
        <v>121</v>
      </c>
      <c r="DA1895" t="s">
        <v>122</v>
      </c>
      <c r="DD1895">
        <v>15380363</v>
      </c>
      <c r="DE1895" t="s">
        <v>123</v>
      </c>
    </row>
    <row r="1896" spans="1:109" x14ac:dyDescent="0.3">
      <c r="A1896" t="str">
        <f>"19:06:25.656"</f>
        <v>19:06:25.656</v>
      </c>
      <c r="B1896" t="s">
        <v>110</v>
      </c>
      <c r="C1896" t="str">
        <f t="shared" si="87"/>
        <v>ffdfd3c0</v>
      </c>
      <c r="D1896" t="s">
        <v>111</v>
      </c>
      <c r="E1896">
        <v>18</v>
      </c>
      <c r="F1896">
        <v>1018</v>
      </c>
      <c r="G1896" t="s">
        <v>112</v>
      </c>
      <c r="J1896" t="s">
        <v>113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R1896" t="s">
        <v>114</v>
      </c>
      <c r="S1896" t="str">
        <f>"19:06:25.414"</f>
        <v>19:06:25.414</v>
      </c>
      <c r="T1896" t="str">
        <f>"19:06:25.211"</f>
        <v>19:06:25.211</v>
      </c>
      <c r="U1896" t="str">
        <f t="shared" si="88"/>
        <v>a1cdbe</v>
      </c>
      <c r="V1896">
        <v>0</v>
      </c>
      <c r="W1896">
        <v>0</v>
      </c>
      <c r="X1896">
        <v>1</v>
      </c>
      <c r="Y1896">
        <v>0</v>
      </c>
      <c r="Z1896">
        <v>0</v>
      </c>
      <c r="AB1896">
        <v>0</v>
      </c>
      <c r="AC1896">
        <v>9</v>
      </c>
      <c r="AD1896">
        <v>3</v>
      </c>
      <c r="AE1896">
        <v>0</v>
      </c>
      <c r="AF1896">
        <v>9</v>
      </c>
      <c r="AG1896" t="s">
        <v>158</v>
      </c>
      <c r="AH1896">
        <v>0</v>
      </c>
      <c r="AI1896">
        <v>3</v>
      </c>
      <c r="AJ1896">
        <v>1</v>
      </c>
      <c r="AK1896">
        <v>0</v>
      </c>
      <c r="AL1896" t="s">
        <v>3577</v>
      </c>
      <c r="AM1896">
        <v>46.853428000000001</v>
      </c>
      <c r="AN1896" t="s">
        <v>3578</v>
      </c>
      <c r="AO1896">
        <v>-122.977245</v>
      </c>
      <c r="AP1896">
        <v>100</v>
      </c>
      <c r="AQ1896">
        <v>2200</v>
      </c>
      <c r="AR1896" t="s">
        <v>118</v>
      </c>
      <c r="AS1896">
        <v>-77</v>
      </c>
      <c r="AT1896">
        <v>23</v>
      </c>
      <c r="AU1896">
        <v>192</v>
      </c>
      <c r="BC1896">
        <v>1200</v>
      </c>
      <c r="BD1896">
        <v>1</v>
      </c>
      <c r="BE1896" t="str">
        <f t="shared" si="89"/>
        <v xml:space="preserve">N215T   </v>
      </c>
      <c r="BF1896">
        <v>1</v>
      </c>
      <c r="BH1896">
        <v>0</v>
      </c>
      <c r="BI1896">
        <v>0</v>
      </c>
      <c r="BJ1896">
        <v>0</v>
      </c>
      <c r="BK1896">
        <v>2550</v>
      </c>
      <c r="BL1896">
        <v>350</v>
      </c>
      <c r="BM1896" t="s">
        <v>119</v>
      </c>
      <c r="BN1896">
        <v>1</v>
      </c>
      <c r="BO1896">
        <v>1</v>
      </c>
      <c r="BP1896">
        <v>1</v>
      </c>
      <c r="BQ1896">
        <v>0</v>
      </c>
      <c r="BT1896">
        <v>0</v>
      </c>
      <c r="BU1896">
        <v>0</v>
      </c>
      <c r="BV1896">
        <v>0</v>
      </c>
      <c r="CC1896" t="str">
        <f>"19:06:25.414"</f>
        <v>19:06:25.414</v>
      </c>
      <c r="CD1896" t="str">
        <f>"416296473"</f>
        <v>416296473</v>
      </c>
      <c r="CQ1896">
        <v>0</v>
      </c>
      <c r="CR1896">
        <v>2</v>
      </c>
      <c r="CS1896">
        <v>0</v>
      </c>
      <c r="CT1896">
        <v>2</v>
      </c>
      <c r="CU1896">
        <v>0</v>
      </c>
      <c r="CV1896">
        <v>7</v>
      </c>
      <c r="CW1896" t="s">
        <v>120</v>
      </c>
      <c r="CX1896">
        <v>261</v>
      </c>
      <c r="CY1896">
        <v>2</v>
      </c>
      <c r="CZ1896" t="s">
        <v>121</v>
      </c>
      <c r="DA1896" t="s">
        <v>122</v>
      </c>
      <c r="DD1896">
        <v>15380937</v>
      </c>
      <c r="DE1896" t="s">
        <v>123</v>
      </c>
    </row>
    <row r="1897" spans="1:109" x14ac:dyDescent="0.3">
      <c r="A1897" t="str">
        <f>"19:06:26.672"</f>
        <v>19:06:26.672</v>
      </c>
      <c r="B1897" t="s">
        <v>110</v>
      </c>
      <c r="C1897" t="str">
        <f t="shared" si="87"/>
        <v>ffdfd3c0</v>
      </c>
      <c r="D1897" t="s">
        <v>111</v>
      </c>
      <c r="E1897">
        <v>18</v>
      </c>
      <c r="F1897">
        <v>1018</v>
      </c>
      <c r="G1897" t="s">
        <v>112</v>
      </c>
      <c r="J1897" t="s">
        <v>113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R1897" t="s">
        <v>114</v>
      </c>
      <c r="S1897" t="str">
        <f>"19:06:26.461"</f>
        <v>19:06:26.461</v>
      </c>
      <c r="T1897" t="str">
        <f>"19:06:26.063"</f>
        <v>19:06:26.063</v>
      </c>
      <c r="U1897" t="str">
        <f t="shared" si="88"/>
        <v>a1cdbe</v>
      </c>
      <c r="V1897">
        <v>0</v>
      </c>
      <c r="W1897">
        <v>0</v>
      </c>
      <c r="X1897">
        <v>1</v>
      </c>
      <c r="Y1897">
        <v>0</v>
      </c>
      <c r="Z1897">
        <v>0</v>
      </c>
      <c r="AB1897">
        <v>0</v>
      </c>
      <c r="AC1897">
        <v>9</v>
      </c>
      <c r="AD1897">
        <v>3</v>
      </c>
      <c r="AE1897">
        <v>0</v>
      </c>
      <c r="AF1897">
        <v>9</v>
      </c>
      <c r="AG1897" t="s">
        <v>158</v>
      </c>
      <c r="AH1897">
        <v>0</v>
      </c>
      <c r="AI1897">
        <v>3</v>
      </c>
      <c r="AJ1897">
        <v>1</v>
      </c>
      <c r="AK1897">
        <v>0</v>
      </c>
      <c r="AL1897" t="s">
        <v>3579</v>
      </c>
      <c r="AM1897">
        <v>46.853535000000001</v>
      </c>
      <c r="AN1897" t="s">
        <v>3580</v>
      </c>
      <c r="AO1897">
        <v>-122.97780299999999</v>
      </c>
      <c r="AP1897">
        <v>100</v>
      </c>
      <c r="AQ1897">
        <v>2200</v>
      </c>
      <c r="AR1897" t="s">
        <v>118</v>
      </c>
      <c r="AS1897">
        <v>-77</v>
      </c>
      <c r="AT1897">
        <v>23</v>
      </c>
      <c r="AU1897">
        <v>128</v>
      </c>
      <c r="BC1897">
        <v>1200</v>
      </c>
      <c r="BD1897">
        <v>1</v>
      </c>
      <c r="BE1897" t="str">
        <f t="shared" si="89"/>
        <v xml:space="preserve">N215T   </v>
      </c>
      <c r="BF1897">
        <v>1</v>
      </c>
      <c r="BH1897">
        <v>0</v>
      </c>
      <c r="BI1897">
        <v>0</v>
      </c>
      <c r="BJ1897">
        <v>0</v>
      </c>
      <c r="BK1897">
        <v>2550</v>
      </c>
      <c r="BL1897">
        <v>350</v>
      </c>
      <c r="BM1897" t="s">
        <v>119</v>
      </c>
      <c r="BN1897">
        <v>1</v>
      </c>
      <c r="BO1897">
        <v>1</v>
      </c>
      <c r="BP1897">
        <v>1</v>
      </c>
      <c r="BQ1897">
        <v>0</v>
      </c>
      <c r="BT1897">
        <v>0</v>
      </c>
      <c r="BU1897">
        <v>0</v>
      </c>
      <c r="BV1897">
        <v>0</v>
      </c>
      <c r="CC1897" t="str">
        <f>"19:06:26.469"</f>
        <v>19:06:26.469</v>
      </c>
      <c r="CD1897" t="str">
        <f>"466193048"</f>
        <v>466193048</v>
      </c>
      <c r="CQ1897">
        <v>0</v>
      </c>
      <c r="CR1897">
        <v>2</v>
      </c>
      <c r="CS1897">
        <v>0</v>
      </c>
      <c r="CT1897">
        <v>2</v>
      </c>
      <c r="CU1897">
        <v>0</v>
      </c>
      <c r="CV1897">
        <v>7</v>
      </c>
      <c r="CW1897" t="s">
        <v>120</v>
      </c>
      <c r="CX1897">
        <v>261</v>
      </c>
      <c r="CY1897">
        <v>2</v>
      </c>
      <c r="CZ1897" t="s">
        <v>121</v>
      </c>
      <c r="DA1897" t="s">
        <v>122</v>
      </c>
      <c r="DD1897">
        <v>15381595</v>
      </c>
      <c r="DE1897" t="s">
        <v>123</v>
      </c>
    </row>
    <row r="1898" spans="1:109" x14ac:dyDescent="0.3">
      <c r="A1898" t="str">
        <f>"19:06:27.820"</f>
        <v>19:06:27.820</v>
      </c>
      <c r="B1898" t="s">
        <v>110</v>
      </c>
      <c r="C1898" t="str">
        <f t="shared" si="87"/>
        <v>ffdfd3c0</v>
      </c>
      <c r="D1898" t="s">
        <v>111</v>
      </c>
      <c r="E1898">
        <v>18</v>
      </c>
      <c r="F1898">
        <v>1018</v>
      </c>
      <c r="G1898" t="s">
        <v>112</v>
      </c>
      <c r="J1898" t="s">
        <v>113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R1898" t="s">
        <v>114</v>
      </c>
      <c r="S1898" t="str">
        <f>"19:06:27.602"</f>
        <v>19:06:27.602</v>
      </c>
      <c r="T1898" t="str">
        <f>"19:06:27.602"</f>
        <v>19:06:27.602</v>
      </c>
      <c r="U1898" t="str">
        <f t="shared" si="88"/>
        <v>a1cdbe</v>
      </c>
      <c r="V1898">
        <v>0</v>
      </c>
      <c r="W1898">
        <v>0</v>
      </c>
      <c r="X1898">
        <v>1</v>
      </c>
      <c r="Y1898">
        <v>0</v>
      </c>
      <c r="Z1898">
        <v>0</v>
      </c>
      <c r="AB1898">
        <v>0</v>
      </c>
      <c r="AC1898">
        <v>9</v>
      </c>
      <c r="AD1898">
        <v>3</v>
      </c>
      <c r="AE1898">
        <v>0</v>
      </c>
      <c r="AF1898">
        <v>9</v>
      </c>
      <c r="AG1898" t="s">
        <v>158</v>
      </c>
      <c r="AH1898">
        <v>0</v>
      </c>
      <c r="AI1898">
        <v>3</v>
      </c>
      <c r="AJ1898">
        <v>1</v>
      </c>
      <c r="AK1898">
        <v>0</v>
      </c>
      <c r="AL1898" t="s">
        <v>3581</v>
      </c>
      <c r="AM1898">
        <v>46.853620999999997</v>
      </c>
      <c r="AN1898" t="s">
        <v>3582</v>
      </c>
      <c r="AO1898">
        <v>-122.978404</v>
      </c>
      <c r="AP1898">
        <v>100</v>
      </c>
      <c r="AQ1898">
        <v>2200</v>
      </c>
      <c r="AR1898" t="s">
        <v>118</v>
      </c>
      <c r="AS1898">
        <v>-76</v>
      </c>
      <c r="AT1898">
        <v>23</v>
      </c>
      <c r="AU1898">
        <v>128</v>
      </c>
      <c r="BC1898">
        <v>1200</v>
      </c>
      <c r="BD1898">
        <v>1</v>
      </c>
      <c r="BE1898" t="str">
        <f t="shared" si="89"/>
        <v xml:space="preserve">N215T   </v>
      </c>
      <c r="BF1898">
        <v>1</v>
      </c>
      <c r="BH1898">
        <v>0</v>
      </c>
      <c r="BI1898">
        <v>0</v>
      </c>
      <c r="BJ1898">
        <v>0</v>
      </c>
      <c r="BK1898">
        <v>2550</v>
      </c>
      <c r="BL1898">
        <v>350</v>
      </c>
      <c r="BM1898" t="s">
        <v>119</v>
      </c>
      <c r="BN1898">
        <v>1</v>
      </c>
      <c r="BO1898">
        <v>1</v>
      </c>
      <c r="BP1898">
        <v>1</v>
      </c>
      <c r="BQ1898">
        <v>0</v>
      </c>
      <c r="BT1898">
        <v>0</v>
      </c>
      <c r="BU1898">
        <v>0</v>
      </c>
      <c r="BV1898">
        <v>0</v>
      </c>
      <c r="CC1898" t="str">
        <f>"19:06:27.609"</f>
        <v>19:06:27.609</v>
      </c>
      <c r="CD1898" t="str">
        <f>"606080770"</f>
        <v>606080770</v>
      </c>
      <c r="CQ1898">
        <v>0</v>
      </c>
      <c r="CR1898">
        <v>2</v>
      </c>
      <c r="CS1898">
        <v>0</v>
      </c>
      <c r="CT1898">
        <v>2</v>
      </c>
      <c r="CU1898">
        <v>0</v>
      </c>
      <c r="CV1898">
        <v>7</v>
      </c>
      <c r="CW1898" t="s">
        <v>120</v>
      </c>
      <c r="CX1898">
        <v>261</v>
      </c>
      <c r="CY1898">
        <v>2</v>
      </c>
      <c r="CZ1898" t="s">
        <v>121</v>
      </c>
      <c r="DA1898" t="s">
        <v>122</v>
      </c>
      <c r="DD1898">
        <v>15382335</v>
      </c>
      <c r="DE1898" t="s">
        <v>123</v>
      </c>
    </row>
    <row r="1899" spans="1:109" x14ac:dyDescent="0.3">
      <c r="A1899" t="str">
        <f>"19:06:28.930"</f>
        <v>19:06:28.930</v>
      </c>
      <c r="B1899" t="s">
        <v>110</v>
      </c>
      <c r="C1899" t="str">
        <f t="shared" si="87"/>
        <v>ffdfd3c0</v>
      </c>
      <c r="D1899" t="s">
        <v>111</v>
      </c>
      <c r="E1899">
        <v>18</v>
      </c>
      <c r="F1899">
        <v>1018</v>
      </c>
      <c r="G1899" t="s">
        <v>112</v>
      </c>
      <c r="J1899" t="s">
        <v>113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R1899" t="s">
        <v>114</v>
      </c>
      <c r="S1899" t="str">
        <f>"19:06:28.664"</f>
        <v>19:06:28.664</v>
      </c>
      <c r="T1899" t="str">
        <f>"19:06:28.563"</f>
        <v>19:06:28.563</v>
      </c>
      <c r="U1899" t="str">
        <f t="shared" si="88"/>
        <v>a1cdbe</v>
      </c>
      <c r="V1899">
        <v>0</v>
      </c>
      <c r="W1899">
        <v>0</v>
      </c>
      <c r="X1899">
        <v>1</v>
      </c>
      <c r="Y1899">
        <v>0</v>
      </c>
      <c r="Z1899">
        <v>0</v>
      </c>
      <c r="AB1899">
        <v>0</v>
      </c>
      <c r="AC1899">
        <v>9</v>
      </c>
      <c r="AD1899">
        <v>3</v>
      </c>
      <c r="AE1899">
        <v>0</v>
      </c>
      <c r="AF1899">
        <v>9</v>
      </c>
      <c r="AG1899" t="s">
        <v>158</v>
      </c>
      <c r="AH1899">
        <v>0</v>
      </c>
      <c r="AI1899">
        <v>3</v>
      </c>
      <c r="AJ1899">
        <v>1</v>
      </c>
      <c r="AK1899">
        <v>0</v>
      </c>
      <c r="AL1899" t="s">
        <v>3583</v>
      </c>
      <c r="AM1899">
        <v>46.853749999999998</v>
      </c>
      <c r="AN1899" t="s">
        <v>3584</v>
      </c>
      <c r="AO1899">
        <v>-122.978961</v>
      </c>
      <c r="AP1899">
        <v>100</v>
      </c>
      <c r="AQ1899">
        <v>2200</v>
      </c>
      <c r="AR1899" t="s">
        <v>118</v>
      </c>
      <c r="AS1899">
        <v>-76</v>
      </c>
      <c r="AT1899">
        <v>23</v>
      </c>
      <c r="AU1899">
        <v>0</v>
      </c>
      <c r="BC1899">
        <v>1200</v>
      </c>
      <c r="BD1899">
        <v>1</v>
      </c>
      <c r="BE1899" t="str">
        <f t="shared" si="89"/>
        <v xml:space="preserve">N215T   </v>
      </c>
      <c r="BF1899">
        <v>1</v>
      </c>
      <c r="BH1899">
        <v>0</v>
      </c>
      <c r="BI1899">
        <v>0</v>
      </c>
      <c r="BJ1899">
        <v>0</v>
      </c>
      <c r="BK1899">
        <v>2550</v>
      </c>
      <c r="BL1899">
        <v>350</v>
      </c>
      <c r="BM1899" t="s">
        <v>119</v>
      </c>
      <c r="BN1899">
        <v>1</v>
      </c>
      <c r="BO1899">
        <v>1</v>
      </c>
      <c r="BP1899">
        <v>1</v>
      </c>
      <c r="BQ1899">
        <v>0</v>
      </c>
      <c r="BT1899">
        <v>0</v>
      </c>
      <c r="BU1899">
        <v>0</v>
      </c>
      <c r="BV1899">
        <v>0</v>
      </c>
      <c r="CC1899" t="str">
        <f>"19:06:28.672"</f>
        <v>19:06:28.672</v>
      </c>
      <c r="CD1899" t="str">
        <f>"670975871"</f>
        <v>670975871</v>
      </c>
      <c r="CQ1899">
        <v>0</v>
      </c>
      <c r="CR1899">
        <v>2</v>
      </c>
      <c r="CS1899">
        <v>0</v>
      </c>
      <c r="CT1899">
        <v>2</v>
      </c>
      <c r="CU1899">
        <v>0</v>
      </c>
      <c r="CV1899">
        <v>7</v>
      </c>
      <c r="CW1899" t="s">
        <v>120</v>
      </c>
      <c r="CX1899">
        <v>261</v>
      </c>
      <c r="CY1899">
        <v>2</v>
      </c>
      <c r="CZ1899" t="s">
        <v>121</v>
      </c>
      <c r="DA1899" t="s">
        <v>122</v>
      </c>
      <c r="DD1899">
        <v>15383037</v>
      </c>
      <c r="DE1899" t="s">
        <v>123</v>
      </c>
    </row>
    <row r="1900" spans="1:109" x14ac:dyDescent="0.3">
      <c r="A1900" t="str">
        <f>"19:06:29.930"</f>
        <v>19:06:29.930</v>
      </c>
      <c r="B1900" t="s">
        <v>110</v>
      </c>
      <c r="C1900" t="str">
        <f t="shared" si="87"/>
        <v>ffdfd3c0</v>
      </c>
      <c r="D1900" t="s">
        <v>111</v>
      </c>
      <c r="E1900">
        <v>18</v>
      </c>
      <c r="F1900">
        <v>1018</v>
      </c>
      <c r="G1900" t="s">
        <v>112</v>
      </c>
      <c r="J1900" t="s">
        <v>113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R1900" t="s">
        <v>114</v>
      </c>
      <c r="S1900" t="str">
        <f>"19:06:29.719"</f>
        <v>19:06:29.719</v>
      </c>
      <c r="T1900" t="str">
        <f>"19:06:29.617"</f>
        <v>19:06:29.617</v>
      </c>
      <c r="U1900" t="str">
        <f t="shared" si="88"/>
        <v>a1cdbe</v>
      </c>
      <c r="V1900">
        <v>0</v>
      </c>
      <c r="W1900">
        <v>0</v>
      </c>
      <c r="X1900">
        <v>1</v>
      </c>
      <c r="Y1900">
        <v>0</v>
      </c>
      <c r="Z1900">
        <v>0</v>
      </c>
      <c r="AB1900">
        <v>0</v>
      </c>
      <c r="AC1900">
        <v>9</v>
      </c>
      <c r="AD1900">
        <v>3</v>
      </c>
      <c r="AE1900">
        <v>0</v>
      </c>
      <c r="AF1900">
        <v>9</v>
      </c>
      <c r="AG1900" t="s">
        <v>158</v>
      </c>
      <c r="AH1900">
        <v>0</v>
      </c>
      <c r="AI1900">
        <v>3</v>
      </c>
      <c r="AJ1900">
        <v>1</v>
      </c>
      <c r="AK1900">
        <v>0</v>
      </c>
      <c r="AL1900" t="s">
        <v>3585</v>
      </c>
      <c r="AM1900">
        <v>46.853900000000003</v>
      </c>
      <c r="AN1900" t="s">
        <v>3586</v>
      </c>
      <c r="AO1900">
        <v>-122.97947600000001</v>
      </c>
      <c r="AP1900">
        <v>100</v>
      </c>
      <c r="AQ1900">
        <v>2200</v>
      </c>
      <c r="AR1900" t="s">
        <v>118</v>
      </c>
      <c r="AS1900">
        <v>-76</v>
      </c>
      <c r="AT1900">
        <v>23</v>
      </c>
      <c r="AU1900">
        <v>0</v>
      </c>
      <c r="BC1900">
        <v>1200</v>
      </c>
      <c r="BD1900">
        <v>1</v>
      </c>
      <c r="BE1900" t="str">
        <f t="shared" si="89"/>
        <v xml:space="preserve">N215T   </v>
      </c>
      <c r="BF1900">
        <v>1</v>
      </c>
      <c r="BH1900">
        <v>0</v>
      </c>
      <c r="BI1900">
        <v>0</v>
      </c>
      <c r="BJ1900">
        <v>0</v>
      </c>
      <c r="BK1900">
        <v>2550</v>
      </c>
      <c r="BL1900">
        <v>350</v>
      </c>
      <c r="BM1900" t="s">
        <v>119</v>
      </c>
      <c r="BN1900">
        <v>1</v>
      </c>
      <c r="BO1900">
        <v>1</v>
      </c>
      <c r="BP1900">
        <v>1</v>
      </c>
      <c r="BQ1900">
        <v>0</v>
      </c>
      <c r="BT1900">
        <v>0</v>
      </c>
      <c r="BU1900">
        <v>0</v>
      </c>
      <c r="BV1900">
        <v>0</v>
      </c>
      <c r="CC1900" t="str">
        <f>"19:06:29.719"</f>
        <v>19:06:29.719</v>
      </c>
      <c r="CD1900" t="str">
        <f>"720872445"</f>
        <v>720872445</v>
      </c>
      <c r="CQ1900">
        <v>0</v>
      </c>
      <c r="CR1900">
        <v>2</v>
      </c>
      <c r="CS1900">
        <v>0</v>
      </c>
      <c r="CT1900">
        <v>2</v>
      </c>
      <c r="CU1900">
        <v>0</v>
      </c>
      <c r="CV1900">
        <v>7</v>
      </c>
      <c r="CW1900" t="s">
        <v>120</v>
      </c>
      <c r="CX1900">
        <v>261</v>
      </c>
      <c r="CY1900">
        <v>2</v>
      </c>
      <c r="CZ1900" t="s">
        <v>121</v>
      </c>
      <c r="DA1900" t="s">
        <v>122</v>
      </c>
      <c r="DD1900">
        <v>15383761</v>
      </c>
      <c r="DE1900" t="s">
        <v>123</v>
      </c>
    </row>
    <row r="1901" spans="1:109" x14ac:dyDescent="0.3">
      <c r="A1901" t="str">
        <f>"19:06:30.891"</f>
        <v>19:06:30.891</v>
      </c>
      <c r="B1901" t="s">
        <v>110</v>
      </c>
      <c r="C1901" t="str">
        <f t="shared" si="87"/>
        <v>ffdfd3c0</v>
      </c>
      <c r="D1901" t="s">
        <v>111</v>
      </c>
      <c r="E1901">
        <v>18</v>
      </c>
      <c r="F1901">
        <v>1018</v>
      </c>
      <c r="G1901" t="s">
        <v>112</v>
      </c>
      <c r="J1901" t="s">
        <v>113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R1901" t="s">
        <v>114</v>
      </c>
      <c r="S1901" t="str">
        <f>"19:06:30.648"</f>
        <v>19:06:30.648</v>
      </c>
      <c r="T1901" t="str">
        <f>"19:06:30.148"</f>
        <v>19:06:30.148</v>
      </c>
      <c r="U1901" t="str">
        <f t="shared" si="88"/>
        <v>a1cdbe</v>
      </c>
      <c r="V1901">
        <v>0</v>
      </c>
      <c r="W1901">
        <v>0</v>
      </c>
      <c r="X1901">
        <v>1</v>
      </c>
      <c r="Y1901">
        <v>0</v>
      </c>
      <c r="Z1901">
        <v>0</v>
      </c>
      <c r="AB1901">
        <v>0</v>
      </c>
      <c r="AC1901">
        <v>9</v>
      </c>
      <c r="AD1901">
        <v>3</v>
      </c>
      <c r="AE1901">
        <v>0</v>
      </c>
      <c r="AF1901">
        <v>9</v>
      </c>
      <c r="AG1901" t="s">
        <v>158</v>
      </c>
      <c r="AH1901">
        <v>0</v>
      </c>
      <c r="AI1901">
        <v>3</v>
      </c>
      <c r="AJ1901">
        <v>1</v>
      </c>
      <c r="AK1901">
        <v>0</v>
      </c>
      <c r="AL1901" t="s">
        <v>1776</v>
      </c>
      <c r="AM1901">
        <v>46.853985999999999</v>
      </c>
      <c r="AN1901" t="s">
        <v>3587</v>
      </c>
      <c r="AO1901">
        <v>-122.979927</v>
      </c>
      <c r="AP1901">
        <v>100</v>
      </c>
      <c r="AQ1901">
        <v>2200</v>
      </c>
      <c r="AR1901" t="s">
        <v>118</v>
      </c>
      <c r="AS1901">
        <v>-75</v>
      </c>
      <c r="AT1901">
        <v>24</v>
      </c>
      <c r="AU1901">
        <v>0</v>
      </c>
      <c r="BC1901">
        <v>1200</v>
      </c>
      <c r="BD1901">
        <v>1</v>
      </c>
      <c r="BE1901" t="str">
        <f t="shared" si="89"/>
        <v xml:space="preserve">N215T   </v>
      </c>
      <c r="BF1901">
        <v>1</v>
      </c>
      <c r="BH1901">
        <v>0</v>
      </c>
      <c r="BI1901">
        <v>0</v>
      </c>
      <c r="BJ1901">
        <v>0</v>
      </c>
      <c r="BK1901">
        <v>2550</v>
      </c>
      <c r="BL1901">
        <v>350</v>
      </c>
      <c r="BM1901" t="s">
        <v>119</v>
      </c>
      <c r="BN1901">
        <v>1</v>
      </c>
      <c r="BO1901">
        <v>1</v>
      </c>
      <c r="BP1901">
        <v>1</v>
      </c>
      <c r="BQ1901">
        <v>0</v>
      </c>
      <c r="BT1901">
        <v>0</v>
      </c>
      <c r="BU1901">
        <v>0</v>
      </c>
      <c r="BV1901">
        <v>0</v>
      </c>
      <c r="CC1901" t="str">
        <f>"19:06:30.648"</f>
        <v>19:06:30.648</v>
      </c>
      <c r="CD1901" t="str">
        <f>"650780838"</f>
        <v>650780838</v>
      </c>
      <c r="CQ1901">
        <v>0</v>
      </c>
      <c r="CR1901">
        <v>2</v>
      </c>
      <c r="CS1901">
        <v>0</v>
      </c>
      <c r="CT1901">
        <v>2</v>
      </c>
      <c r="CU1901">
        <v>0</v>
      </c>
      <c r="CV1901">
        <v>7</v>
      </c>
      <c r="CW1901" t="s">
        <v>120</v>
      </c>
      <c r="CX1901">
        <v>261</v>
      </c>
      <c r="CY1901">
        <v>2</v>
      </c>
      <c r="CZ1901" t="s">
        <v>121</v>
      </c>
      <c r="DA1901" t="s">
        <v>122</v>
      </c>
      <c r="DD1901">
        <v>15384336</v>
      </c>
      <c r="DE1901" t="s">
        <v>123</v>
      </c>
    </row>
    <row r="1902" spans="1:109" x14ac:dyDescent="0.3">
      <c r="A1902" t="str">
        <f>"19:06:31.695"</f>
        <v>19:06:31.695</v>
      </c>
      <c r="B1902" t="s">
        <v>110</v>
      </c>
      <c r="C1902" t="str">
        <f t="shared" si="87"/>
        <v>ffdfd3c0</v>
      </c>
      <c r="D1902" t="s">
        <v>111</v>
      </c>
      <c r="E1902">
        <v>18</v>
      </c>
      <c r="F1902">
        <v>1018</v>
      </c>
      <c r="G1902" t="s">
        <v>112</v>
      </c>
      <c r="J1902" t="s">
        <v>113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R1902" t="s">
        <v>114</v>
      </c>
      <c r="S1902" t="str">
        <f>"19:06:31.484"</f>
        <v>19:06:31.484</v>
      </c>
      <c r="T1902" t="str">
        <f>"19:06:31.281"</f>
        <v>19:06:31.281</v>
      </c>
      <c r="U1902" t="str">
        <f t="shared" si="88"/>
        <v>a1cdbe</v>
      </c>
      <c r="V1902">
        <v>0</v>
      </c>
      <c r="W1902">
        <v>0</v>
      </c>
      <c r="X1902">
        <v>1</v>
      </c>
      <c r="Y1902">
        <v>0</v>
      </c>
      <c r="Z1902">
        <v>0</v>
      </c>
      <c r="AB1902">
        <v>0</v>
      </c>
      <c r="AC1902">
        <v>9</v>
      </c>
      <c r="AD1902">
        <v>3</v>
      </c>
      <c r="AE1902">
        <v>0</v>
      </c>
      <c r="AF1902">
        <v>9</v>
      </c>
      <c r="AG1902" t="s">
        <v>158</v>
      </c>
      <c r="AH1902">
        <v>0</v>
      </c>
      <c r="AI1902">
        <v>3</v>
      </c>
      <c r="AJ1902">
        <v>1</v>
      </c>
      <c r="AK1902">
        <v>0</v>
      </c>
      <c r="AL1902" t="s">
        <v>3588</v>
      </c>
      <c r="AM1902">
        <v>46.854092999999999</v>
      </c>
      <c r="AN1902" t="s">
        <v>3589</v>
      </c>
      <c r="AO1902">
        <v>-122.98039900000001</v>
      </c>
      <c r="AP1902">
        <v>100</v>
      </c>
      <c r="AQ1902">
        <v>2200</v>
      </c>
      <c r="AR1902" t="s">
        <v>118</v>
      </c>
      <c r="AS1902">
        <v>-75</v>
      </c>
      <c r="AT1902">
        <v>24</v>
      </c>
      <c r="AU1902">
        <v>-64</v>
      </c>
      <c r="BC1902">
        <v>1200</v>
      </c>
      <c r="BD1902">
        <v>1</v>
      </c>
      <c r="BE1902" t="str">
        <f t="shared" si="89"/>
        <v xml:space="preserve">N215T   </v>
      </c>
      <c r="BF1902">
        <v>1</v>
      </c>
      <c r="BH1902">
        <v>0</v>
      </c>
      <c r="BI1902">
        <v>0</v>
      </c>
      <c r="BJ1902">
        <v>0</v>
      </c>
      <c r="BK1902">
        <v>2550</v>
      </c>
      <c r="BL1902">
        <v>350</v>
      </c>
      <c r="BM1902" t="s">
        <v>119</v>
      </c>
      <c r="BN1902">
        <v>1</v>
      </c>
      <c r="BO1902">
        <v>1</v>
      </c>
      <c r="BP1902">
        <v>1</v>
      </c>
      <c r="BQ1902">
        <v>0</v>
      </c>
      <c r="BT1902">
        <v>0</v>
      </c>
      <c r="BU1902">
        <v>0</v>
      </c>
      <c r="BV1902">
        <v>0</v>
      </c>
      <c r="CC1902" t="str">
        <f>"19:06:31.492"</f>
        <v>19:06:31.492</v>
      </c>
      <c r="CD1902" t="str">
        <f>"490698132"</f>
        <v>490698132</v>
      </c>
      <c r="CQ1902">
        <v>0</v>
      </c>
      <c r="CR1902">
        <v>2</v>
      </c>
      <c r="CS1902">
        <v>0</v>
      </c>
      <c r="CT1902">
        <v>2</v>
      </c>
      <c r="CU1902">
        <v>0</v>
      </c>
      <c r="CV1902">
        <v>5</v>
      </c>
      <c r="CW1902" t="s">
        <v>120</v>
      </c>
      <c r="CX1902">
        <v>261</v>
      </c>
      <c r="CY1902">
        <v>3</v>
      </c>
      <c r="CZ1902" t="s">
        <v>121</v>
      </c>
      <c r="DA1902" t="s">
        <v>122</v>
      </c>
      <c r="DD1902">
        <v>3628898</v>
      </c>
      <c r="DE1902" t="s">
        <v>123</v>
      </c>
    </row>
    <row r="1903" spans="1:109" x14ac:dyDescent="0.3">
      <c r="A1903" t="str">
        <f>"19:06:32.656"</f>
        <v>19:06:32.656</v>
      </c>
      <c r="B1903" t="s">
        <v>110</v>
      </c>
      <c r="C1903" t="str">
        <f t="shared" si="87"/>
        <v>ffdfd3c0</v>
      </c>
      <c r="D1903" t="s">
        <v>111</v>
      </c>
      <c r="E1903">
        <v>18</v>
      </c>
      <c r="F1903">
        <v>1018</v>
      </c>
      <c r="G1903" t="s">
        <v>112</v>
      </c>
      <c r="J1903" t="s">
        <v>113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R1903" t="s">
        <v>114</v>
      </c>
      <c r="S1903" t="str">
        <f>"19:06:32.414"</f>
        <v>19:06:32.414</v>
      </c>
      <c r="T1903" t="str">
        <f>"19:06:32.211"</f>
        <v>19:06:32.211</v>
      </c>
      <c r="U1903" t="str">
        <f t="shared" si="88"/>
        <v>a1cdbe</v>
      </c>
      <c r="V1903">
        <v>0</v>
      </c>
      <c r="W1903">
        <v>0</v>
      </c>
      <c r="X1903">
        <v>1</v>
      </c>
      <c r="Y1903">
        <v>0</v>
      </c>
      <c r="Z1903">
        <v>0</v>
      </c>
      <c r="AB1903">
        <v>0</v>
      </c>
      <c r="AC1903">
        <v>9</v>
      </c>
      <c r="AD1903">
        <v>3</v>
      </c>
      <c r="AE1903">
        <v>0</v>
      </c>
      <c r="AF1903">
        <v>9</v>
      </c>
      <c r="AG1903" t="s">
        <v>158</v>
      </c>
      <c r="AH1903">
        <v>0</v>
      </c>
      <c r="AI1903">
        <v>3</v>
      </c>
      <c r="AJ1903">
        <v>1</v>
      </c>
      <c r="AK1903">
        <v>0</v>
      </c>
      <c r="AL1903" t="s">
        <v>3590</v>
      </c>
      <c r="AM1903">
        <v>46.854179000000002</v>
      </c>
      <c r="AN1903" t="s">
        <v>3591</v>
      </c>
      <c r="AO1903">
        <v>-122.980828</v>
      </c>
      <c r="AP1903">
        <v>100</v>
      </c>
      <c r="AQ1903">
        <v>2200</v>
      </c>
      <c r="AR1903" t="s">
        <v>118</v>
      </c>
      <c r="AS1903">
        <v>-75</v>
      </c>
      <c r="AT1903">
        <v>23</v>
      </c>
      <c r="AU1903">
        <v>-128</v>
      </c>
      <c r="BC1903">
        <v>1200</v>
      </c>
      <c r="BD1903">
        <v>1</v>
      </c>
      <c r="BE1903" t="str">
        <f t="shared" si="89"/>
        <v xml:space="preserve">N215T   </v>
      </c>
      <c r="BF1903">
        <v>1</v>
      </c>
      <c r="BH1903">
        <v>0</v>
      </c>
      <c r="BI1903">
        <v>0</v>
      </c>
      <c r="BJ1903">
        <v>0</v>
      </c>
      <c r="BK1903">
        <v>2550</v>
      </c>
      <c r="BL1903">
        <v>350</v>
      </c>
      <c r="BM1903" t="s">
        <v>119</v>
      </c>
      <c r="BN1903">
        <v>1</v>
      </c>
      <c r="BO1903">
        <v>1</v>
      </c>
      <c r="BP1903">
        <v>1</v>
      </c>
      <c r="BQ1903">
        <v>0</v>
      </c>
      <c r="BT1903">
        <v>0</v>
      </c>
      <c r="BU1903">
        <v>0</v>
      </c>
      <c r="BV1903">
        <v>0</v>
      </c>
      <c r="CC1903" t="str">
        <f>"19:06:32.422"</f>
        <v>19:06:32.422</v>
      </c>
      <c r="CD1903" t="str">
        <f>"420606506"</f>
        <v>420606506</v>
      </c>
      <c r="CQ1903">
        <v>0</v>
      </c>
      <c r="CR1903">
        <v>2</v>
      </c>
      <c r="CS1903">
        <v>0</v>
      </c>
      <c r="CT1903">
        <v>2</v>
      </c>
      <c r="CU1903">
        <v>0</v>
      </c>
      <c r="CV1903">
        <v>7</v>
      </c>
      <c r="CW1903" t="s">
        <v>120</v>
      </c>
      <c r="CX1903">
        <v>261</v>
      </c>
      <c r="CY1903">
        <v>2</v>
      </c>
      <c r="CZ1903" t="s">
        <v>121</v>
      </c>
      <c r="DA1903" t="s">
        <v>122</v>
      </c>
      <c r="DD1903">
        <v>15385536</v>
      </c>
      <c r="DE1903" t="s">
        <v>123</v>
      </c>
    </row>
    <row r="1904" spans="1:109" x14ac:dyDescent="0.3">
      <c r="A1904" t="str">
        <f>"19:06:33.555"</f>
        <v>19:06:33.555</v>
      </c>
      <c r="B1904" t="s">
        <v>110</v>
      </c>
      <c r="C1904" t="str">
        <f t="shared" si="87"/>
        <v>ffdfd3c0</v>
      </c>
      <c r="D1904" t="s">
        <v>111</v>
      </c>
      <c r="E1904">
        <v>18</v>
      </c>
      <c r="F1904">
        <v>1018</v>
      </c>
      <c r="G1904" t="s">
        <v>112</v>
      </c>
      <c r="J1904" t="s">
        <v>113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R1904" t="s">
        <v>114</v>
      </c>
      <c r="S1904" t="str">
        <f>"19:06:33.328"</f>
        <v>19:06:33.328</v>
      </c>
      <c r="T1904" t="str">
        <f>"19:06:33.227"</f>
        <v>19:06:33.227</v>
      </c>
      <c r="U1904" t="str">
        <f t="shared" si="88"/>
        <v>a1cdbe</v>
      </c>
      <c r="V1904">
        <v>0</v>
      </c>
      <c r="W1904">
        <v>0</v>
      </c>
      <c r="X1904">
        <v>1</v>
      </c>
      <c r="Y1904">
        <v>0</v>
      </c>
      <c r="Z1904">
        <v>0</v>
      </c>
      <c r="AB1904">
        <v>0</v>
      </c>
      <c r="AC1904">
        <v>9</v>
      </c>
      <c r="AD1904">
        <v>3</v>
      </c>
      <c r="AE1904">
        <v>0</v>
      </c>
      <c r="AF1904">
        <v>9</v>
      </c>
      <c r="AG1904" t="s">
        <v>158</v>
      </c>
      <c r="AH1904">
        <v>0</v>
      </c>
      <c r="AI1904">
        <v>3</v>
      </c>
      <c r="AJ1904">
        <v>1</v>
      </c>
      <c r="AK1904">
        <v>0</v>
      </c>
      <c r="AL1904" t="s">
        <v>3592</v>
      </c>
      <c r="AM1904">
        <v>46.854264999999998</v>
      </c>
      <c r="AN1904" t="s">
        <v>3593</v>
      </c>
      <c r="AO1904">
        <v>-122.9813</v>
      </c>
      <c r="AP1904">
        <v>100</v>
      </c>
      <c r="AQ1904">
        <v>2200</v>
      </c>
      <c r="AR1904" t="s">
        <v>118</v>
      </c>
      <c r="AS1904">
        <v>-75</v>
      </c>
      <c r="AT1904">
        <v>22</v>
      </c>
      <c r="AU1904">
        <v>-64</v>
      </c>
      <c r="BC1904">
        <v>1200</v>
      </c>
      <c r="BD1904">
        <v>1</v>
      </c>
      <c r="BE1904" t="str">
        <f t="shared" si="89"/>
        <v xml:space="preserve">N215T   </v>
      </c>
      <c r="BF1904">
        <v>1</v>
      </c>
      <c r="BH1904">
        <v>0</v>
      </c>
      <c r="BI1904">
        <v>0</v>
      </c>
      <c r="BJ1904">
        <v>0</v>
      </c>
      <c r="BK1904">
        <v>2550</v>
      </c>
      <c r="BL1904">
        <v>350</v>
      </c>
      <c r="BM1904" t="s">
        <v>119</v>
      </c>
      <c r="BN1904">
        <v>1</v>
      </c>
      <c r="BO1904">
        <v>1</v>
      </c>
      <c r="BP1904">
        <v>1</v>
      </c>
      <c r="BQ1904">
        <v>0</v>
      </c>
      <c r="BT1904">
        <v>0</v>
      </c>
      <c r="BU1904">
        <v>0</v>
      </c>
      <c r="BV1904">
        <v>0</v>
      </c>
      <c r="CC1904" t="str">
        <f>"19:06:33.336"</f>
        <v>19:06:33.336</v>
      </c>
      <c r="CD1904" t="str">
        <f>"335516367"</f>
        <v>335516367</v>
      </c>
      <c r="CQ1904">
        <v>0</v>
      </c>
      <c r="CR1904">
        <v>2</v>
      </c>
      <c r="CS1904">
        <v>0</v>
      </c>
      <c r="CT1904">
        <v>2</v>
      </c>
      <c r="CU1904">
        <v>0</v>
      </c>
      <c r="CV1904">
        <v>7</v>
      </c>
      <c r="CW1904" t="s">
        <v>120</v>
      </c>
      <c r="CX1904">
        <v>261</v>
      </c>
      <c r="CY1904">
        <v>2</v>
      </c>
      <c r="CZ1904" t="s">
        <v>121</v>
      </c>
      <c r="DA1904" t="s">
        <v>122</v>
      </c>
      <c r="DD1904">
        <v>15386108</v>
      </c>
      <c r="DE1904" t="s">
        <v>123</v>
      </c>
    </row>
    <row r="1905" spans="1:109" x14ac:dyDescent="0.3">
      <c r="A1905" t="str">
        <f>"19:06:34.664"</f>
        <v>19:06:34.664</v>
      </c>
      <c r="B1905" t="s">
        <v>110</v>
      </c>
      <c r="C1905" t="str">
        <f t="shared" si="87"/>
        <v>ffdfd3c0</v>
      </c>
      <c r="D1905" t="s">
        <v>111</v>
      </c>
      <c r="E1905">
        <v>18</v>
      </c>
      <c r="F1905">
        <v>1018</v>
      </c>
      <c r="G1905" t="s">
        <v>112</v>
      </c>
      <c r="J1905" t="s">
        <v>113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R1905" t="s">
        <v>114</v>
      </c>
      <c r="S1905" t="str">
        <f>"19:06:34.430"</f>
        <v>19:06:34.430</v>
      </c>
      <c r="T1905" t="str">
        <f>"19:06:34.328"</f>
        <v>19:06:34.328</v>
      </c>
      <c r="U1905" t="str">
        <f t="shared" si="88"/>
        <v>a1cdbe</v>
      </c>
      <c r="V1905">
        <v>0</v>
      </c>
      <c r="W1905">
        <v>0</v>
      </c>
      <c r="X1905">
        <v>1</v>
      </c>
      <c r="Y1905">
        <v>0</v>
      </c>
      <c r="Z1905">
        <v>0</v>
      </c>
      <c r="AB1905">
        <v>0</v>
      </c>
      <c r="AC1905">
        <v>9</v>
      </c>
      <c r="AD1905">
        <v>3</v>
      </c>
      <c r="AE1905">
        <v>0</v>
      </c>
      <c r="AF1905">
        <v>9</v>
      </c>
      <c r="AG1905" t="s">
        <v>158</v>
      </c>
      <c r="AH1905">
        <v>0</v>
      </c>
      <c r="AI1905">
        <v>3</v>
      </c>
      <c r="AJ1905">
        <v>1</v>
      </c>
      <c r="AK1905">
        <v>0</v>
      </c>
      <c r="AL1905" t="s">
        <v>1772</v>
      </c>
      <c r="AM1905">
        <v>46.854351000000001</v>
      </c>
      <c r="AN1905" t="s">
        <v>3594</v>
      </c>
      <c r="AO1905">
        <v>-122.98190099999999</v>
      </c>
      <c r="AP1905">
        <v>100</v>
      </c>
      <c r="AQ1905">
        <v>2200</v>
      </c>
      <c r="AR1905" t="s">
        <v>118</v>
      </c>
      <c r="AS1905">
        <v>-75</v>
      </c>
      <c r="AT1905">
        <v>22</v>
      </c>
      <c r="AU1905">
        <v>-192</v>
      </c>
      <c r="BC1905">
        <v>1200</v>
      </c>
      <c r="BD1905">
        <v>1</v>
      </c>
      <c r="BE1905" t="str">
        <f t="shared" si="89"/>
        <v xml:space="preserve">N215T   </v>
      </c>
      <c r="BF1905">
        <v>1</v>
      </c>
      <c r="BH1905">
        <v>0</v>
      </c>
      <c r="BI1905">
        <v>0</v>
      </c>
      <c r="BJ1905">
        <v>0</v>
      </c>
      <c r="BK1905">
        <v>2550</v>
      </c>
      <c r="BL1905">
        <v>350</v>
      </c>
      <c r="BM1905" t="s">
        <v>119</v>
      </c>
      <c r="BN1905">
        <v>1</v>
      </c>
      <c r="BO1905">
        <v>1</v>
      </c>
      <c r="BP1905">
        <v>1</v>
      </c>
      <c r="BQ1905">
        <v>0</v>
      </c>
      <c r="BT1905">
        <v>0</v>
      </c>
      <c r="BU1905">
        <v>0</v>
      </c>
      <c r="BV1905">
        <v>0</v>
      </c>
      <c r="CC1905" t="str">
        <f>"19:06:34.430"</f>
        <v>19:06:34.430</v>
      </c>
      <c r="CD1905" t="str">
        <f>"430408514"</f>
        <v>430408514</v>
      </c>
      <c r="CQ1905">
        <v>0</v>
      </c>
      <c r="CR1905">
        <v>2</v>
      </c>
      <c r="CS1905">
        <v>0</v>
      </c>
      <c r="CT1905">
        <v>2</v>
      </c>
      <c r="CU1905">
        <v>0</v>
      </c>
      <c r="CV1905">
        <v>7</v>
      </c>
      <c r="CW1905" t="s">
        <v>120</v>
      </c>
      <c r="CX1905">
        <v>261</v>
      </c>
      <c r="CY1905">
        <v>2</v>
      </c>
      <c r="CZ1905" t="s">
        <v>121</v>
      </c>
      <c r="DA1905" t="s">
        <v>122</v>
      </c>
      <c r="DD1905">
        <v>15386834</v>
      </c>
      <c r="DE1905" t="s">
        <v>123</v>
      </c>
    </row>
    <row r="1906" spans="1:109" x14ac:dyDescent="0.3">
      <c r="A1906" t="str">
        <f>"19:06:35.766"</f>
        <v>19:06:35.766</v>
      </c>
      <c r="B1906" t="s">
        <v>110</v>
      </c>
      <c r="C1906" t="str">
        <f t="shared" si="87"/>
        <v>ffdfd3c0</v>
      </c>
      <c r="D1906" t="s">
        <v>111</v>
      </c>
      <c r="E1906">
        <v>18</v>
      </c>
      <c r="F1906">
        <v>1018</v>
      </c>
      <c r="G1906" t="s">
        <v>112</v>
      </c>
      <c r="J1906" t="s">
        <v>113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R1906" t="s">
        <v>114</v>
      </c>
      <c r="S1906" t="str">
        <f>"19:06:35.563"</f>
        <v>19:06:35.563</v>
      </c>
      <c r="T1906" t="str">
        <f>"19:06:35.266"</f>
        <v>19:06:35.266</v>
      </c>
      <c r="U1906" t="str">
        <f t="shared" si="88"/>
        <v>a1cdbe</v>
      </c>
      <c r="V1906">
        <v>0</v>
      </c>
      <c r="W1906">
        <v>0</v>
      </c>
      <c r="X1906">
        <v>1</v>
      </c>
      <c r="Y1906">
        <v>0</v>
      </c>
      <c r="Z1906">
        <v>0</v>
      </c>
      <c r="AB1906">
        <v>0</v>
      </c>
      <c r="AC1906">
        <v>9</v>
      </c>
      <c r="AD1906">
        <v>3</v>
      </c>
      <c r="AE1906">
        <v>0</v>
      </c>
      <c r="AF1906">
        <v>9</v>
      </c>
      <c r="AG1906" t="s">
        <v>158</v>
      </c>
      <c r="AH1906">
        <v>0</v>
      </c>
      <c r="AI1906">
        <v>3</v>
      </c>
      <c r="AJ1906">
        <v>1</v>
      </c>
      <c r="AK1906">
        <v>0</v>
      </c>
      <c r="AL1906" t="s">
        <v>3595</v>
      </c>
      <c r="AM1906">
        <v>46.854500999999999</v>
      </c>
      <c r="AN1906" t="s">
        <v>3596</v>
      </c>
      <c r="AO1906">
        <v>-122.982438</v>
      </c>
      <c r="AP1906">
        <v>100</v>
      </c>
      <c r="AQ1906">
        <v>2200</v>
      </c>
      <c r="AR1906" t="s">
        <v>118</v>
      </c>
      <c r="AS1906">
        <v>-75</v>
      </c>
      <c r="AT1906">
        <v>22</v>
      </c>
      <c r="AU1906">
        <v>-128</v>
      </c>
      <c r="BC1906">
        <v>1200</v>
      </c>
      <c r="BD1906">
        <v>1</v>
      </c>
      <c r="BE1906" t="str">
        <f t="shared" si="89"/>
        <v xml:space="preserve">N215T   </v>
      </c>
      <c r="BF1906">
        <v>1</v>
      </c>
      <c r="BH1906">
        <v>0</v>
      </c>
      <c r="BI1906">
        <v>0</v>
      </c>
      <c r="BJ1906">
        <v>0</v>
      </c>
      <c r="BK1906">
        <v>2550</v>
      </c>
      <c r="BL1906">
        <v>350</v>
      </c>
      <c r="BM1906" t="s">
        <v>119</v>
      </c>
      <c r="BN1906">
        <v>1</v>
      </c>
      <c r="BO1906">
        <v>1</v>
      </c>
      <c r="BP1906">
        <v>1</v>
      </c>
      <c r="BQ1906">
        <v>0</v>
      </c>
      <c r="BT1906">
        <v>0</v>
      </c>
      <c r="BU1906">
        <v>0</v>
      </c>
      <c r="BV1906">
        <v>0</v>
      </c>
      <c r="CC1906" t="str">
        <f>"19:06:35.570"</f>
        <v>19:06:35.570</v>
      </c>
      <c r="CD1906" t="str">
        <f>"570296234"</f>
        <v>570296234</v>
      </c>
      <c r="CQ1906">
        <v>0</v>
      </c>
      <c r="CR1906">
        <v>2</v>
      </c>
      <c r="CS1906">
        <v>0</v>
      </c>
      <c r="CT1906">
        <v>2</v>
      </c>
      <c r="CU1906">
        <v>0</v>
      </c>
      <c r="CV1906">
        <v>7</v>
      </c>
      <c r="CW1906" t="s">
        <v>120</v>
      </c>
      <c r="CX1906">
        <v>261</v>
      </c>
      <c r="CY1906">
        <v>2</v>
      </c>
      <c r="CZ1906" t="s">
        <v>121</v>
      </c>
      <c r="DA1906" t="s">
        <v>122</v>
      </c>
      <c r="DD1906">
        <v>15387555</v>
      </c>
      <c r="DE1906" t="s">
        <v>123</v>
      </c>
    </row>
    <row r="1907" spans="1:109" x14ac:dyDescent="0.3">
      <c r="A1907" t="str">
        <f>"19:06:36.930"</f>
        <v>19:06:36.930</v>
      </c>
      <c r="B1907" t="s">
        <v>110</v>
      </c>
      <c r="C1907" t="str">
        <f t="shared" si="87"/>
        <v>ffdfd3c0</v>
      </c>
      <c r="D1907" t="s">
        <v>111</v>
      </c>
      <c r="E1907">
        <v>18</v>
      </c>
      <c r="F1907">
        <v>1018</v>
      </c>
      <c r="G1907" t="s">
        <v>112</v>
      </c>
      <c r="J1907" t="s">
        <v>113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R1907" t="s">
        <v>114</v>
      </c>
      <c r="S1907" t="str">
        <f>"19:06:36.703"</f>
        <v>19:06:36.703</v>
      </c>
      <c r="T1907" t="str">
        <f>"19:06:36.305"</f>
        <v>19:06:36.305</v>
      </c>
      <c r="U1907" t="str">
        <f t="shared" si="88"/>
        <v>a1cdbe</v>
      </c>
      <c r="V1907">
        <v>0</v>
      </c>
      <c r="W1907">
        <v>0</v>
      </c>
      <c r="X1907">
        <v>1</v>
      </c>
      <c r="Y1907">
        <v>0</v>
      </c>
      <c r="Z1907">
        <v>0</v>
      </c>
      <c r="AB1907">
        <v>0</v>
      </c>
      <c r="AC1907">
        <v>9</v>
      </c>
      <c r="AD1907">
        <v>3</v>
      </c>
      <c r="AE1907">
        <v>0</v>
      </c>
      <c r="AF1907">
        <v>9</v>
      </c>
      <c r="AG1907" t="s">
        <v>158</v>
      </c>
      <c r="AH1907">
        <v>0</v>
      </c>
      <c r="AI1907">
        <v>3</v>
      </c>
      <c r="AJ1907">
        <v>1</v>
      </c>
      <c r="AK1907">
        <v>0</v>
      </c>
      <c r="AL1907" t="s">
        <v>3597</v>
      </c>
      <c r="AM1907">
        <v>46.854587000000002</v>
      </c>
      <c r="AN1907" t="s">
        <v>3598</v>
      </c>
      <c r="AO1907">
        <v>-122.983017</v>
      </c>
      <c r="AP1907">
        <v>100</v>
      </c>
      <c r="AQ1907">
        <v>2100</v>
      </c>
      <c r="AR1907" t="s">
        <v>118</v>
      </c>
      <c r="AS1907">
        <v>-75</v>
      </c>
      <c r="AT1907">
        <v>22</v>
      </c>
      <c r="AU1907">
        <v>-192</v>
      </c>
      <c r="BC1907">
        <v>1200</v>
      </c>
      <c r="BD1907">
        <v>1</v>
      </c>
      <c r="BE1907" t="str">
        <f t="shared" si="89"/>
        <v xml:space="preserve">N215T   </v>
      </c>
      <c r="BF1907">
        <v>1</v>
      </c>
      <c r="BH1907">
        <v>0</v>
      </c>
      <c r="BI1907">
        <v>0</v>
      </c>
      <c r="BJ1907">
        <v>0</v>
      </c>
      <c r="BK1907">
        <v>2525</v>
      </c>
      <c r="BL1907">
        <v>425</v>
      </c>
      <c r="BM1907" t="s">
        <v>119</v>
      </c>
      <c r="BN1907">
        <v>1</v>
      </c>
      <c r="BO1907">
        <v>1</v>
      </c>
      <c r="BP1907">
        <v>1</v>
      </c>
      <c r="BQ1907">
        <v>0</v>
      </c>
      <c r="BT1907">
        <v>0</v>
      </c>
      <c r="BU1907">
        <v>0</v>
      </c>
      <c r="BV1907">
        <v>0</v>
      </c>
      <c r="CC1907" t="str">
        <f>"19:06:36.711"</f>
        <v>19:06:36.711</v>
      </c>
      <c r="CD1907" t="str">
        <f>"710183948"</f>
        <v>710183948</v>
      </c>
      <c r="CQ1907">
        <v>0</v>
      </c>
      <c r="CR1907">
        <v>2</v>
      </c>
      <c r="CS1907">
        <v>0</v>
      </c>
      <c r="CT1907">
        <v>2</v>
      </c>
      <c r="CU1907">
        <v>0</v>
      </c>
      <c r="CV1907">
        <v>6</v>
      </c>
      <c r="CW1907" t="s">
        <v>120</v>
      </c>
      <c r="CX1907">
        <v>261</v>
      </c>
      <c r="CY1907">
        <v>2</v>
      </c>
      <c r="CZ1907" t="s">
        <v>121</v>
      </c>
      <c r="DA1907" t="s">
        <v>122</v>
      </c>
      <c r="DD1907">
        <v>15388287</v>
      </c>
      <c r="DE1907" t="s">
        <v>123</v>
      </c>
    </row>
    <row r="1908" spans="1:109" x14ac:dyDescent="0.3">
      <c r="A1908" t="str">
        <f>"19:06:37.930"</f>
        <v>19:06:37.930</v>
      </c>
      <c r="B1908" t="s">
        <v>110</v>
      </c>
      <c r="C1908" t="str">
        <f t="shared" si="87"/>
        <v>ffdfd3c0</v>
      </c>
      <c r="D1908" t="s">
        <v>111</v>
      </c>
      <c r="E1908">
        <v>18</v>
      </c>
      <c r="F1908">
        <v>1018</v>
      </c>
      <c r="G1908" t="s">
        <v>112</v>
      </c>
      <c r="J1908" t="s">
        <v>113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R1908" t="s">
        <v>114</v>
      </c>
      <c r="S1908" t="str">
        <f>"19:06:37.680"</f>
        <v>19:06:37.680</v>
      </c>
      <c r="T1908" t="str">
        <f>"19:06:37.180"</f>
        <v>19:06:37.180</v>
      </c>
      <c r="U1908" t="str">
        <f t="shared" si="88"/>
        <v>a1cdbe</v>
      </c>
      <c r="V1908">
        <v>0</v>
      </c>
      <c r="W1908">
        <v>0</v>
      </c>
      <c r="X1908">
        <v>1</v>
      </c>
      <c r="Y1908">
        <v>0</v>
      </c>
      <c r="Z1908">
        <v>0</v>
      </c>
      <c r="AB1908">
        <v>0</v>
      </c>
      <c r="AC1908">
        <v>9</v>
      </c>
      <c r="AD1908">
        <v>3</v>
      </c>
      <c r="AE1908">
        <v>0</v>
      </c>
      <c r="AF1908">
        <v>9</v>
      </c>
      <c r="AG1908" t="s">
        <v>158</v>
      </c>
      <c r="AH1908">
        <v>0</v>
      </c>
      <c r="AI1908">
        <v>3</v>
      </c>
      <c r="AJ1908">
        <v>1</v>
      </c>
      <c r="AK1908">
        <v>0</v>
      </c>
      <c r="AL1908" t="s">
        <v>3599</v>
      </c>
      <c r="AM1908">
        <v>46.854672000000001</v>
      </c>
      <c r="AN1908" t="s">
        <v>3600</v>
      </c>
      <c r="AO1908">
        <v>-122.98351</v>
      </c>
      <c r="AP1908">
        <v>100</v>
      </c>
      <c r="AQ1908">
        <v>2100</v>
      </c>
      <c r="AR1908" t="s">
        <v>118</v>
      </c>
      <c r="AS1908">
        <v>-75</v>
      </c>
      <c r="AT1908">
        <v>21</v>
      </c>
      <c r="AU1908">
        <v>-128</v>
      </c>
      <c r="BC1908">
        <v>1200</v>
      </c>
      <c r="BD1908">
        <v>1</v>
      </c>
      <c r="BE1908" t="str">
        <f t="shared" si="89"/>
        <v xml:space="preserve">N215T   </v>
      </c>
      <c r="BF1908">
        <v>1</v>
      </c>
      <c r="BH1908">
        <v>0</v>
      </c>
      <c r="BI1908">
        <v>0</v>
      </c>
      <c r="BJ1908">
        <v>0</v>
      </c>
      <c r="BK1908">
        <v>2525</v>
      </c>
      <c r="BL1908">
        <v>425</v>
      </c>
      <c r="BM1908" t="s">
        <v>119</v>
      </c>
      <c r="BN1908">
        <v>1</v>
      </c>
      <c r="BO1908">
        <v>1</v>
      </c>
      <c r="BP1908">
        <v>1</v>
      </c>
      <c r="BQ1908">
        <v>0</v>
      </c>
      <c r="BT1908">
        <v>0</v>
      </c>
      <c r="BU1908">
        <v>0</v>
      </c>
      <c r="BV1908">
        <v>0</v>
      </c>
      <c r="CC1908" t="str">
        <f>"19:06:37.688"</f>
        <v>19:06:37.688</v>
      </c>
      <c r="CD1908" t="str">
        <f>"685087921"</f>
        <v>685087921</v>
      </c>
      <c r="CQ1908">
        <v>0</v>
      </c>
      <c r="CR1908">
        <v>2</v>
      </c>
      <c r="CS1908">
        <v>0</v>
      </c>
      <c r="CT1908">
        <v>2</v>
      </c>
      <c r="CU1908">
        <v>0</v>
      </c>
      <c r="CV1908">
        <v>7</v>
      </c>
      <c r="CW1908" t="s">
        <v>120</v>
      </c>
      <c r="CX1908">
        <v>261</v>
      </c>
      <c r="CY1908">
        <v>2</v>
      </c>
      <c r="CZ1908" t="s">
        <v>121</v>
      </c>
      <c r="DA1908" t="s">
        <v>122</v>
      </c>
      <c r="DD1908">
        <v>15388913</v>
      </c>
      <c r="DE1908" t="s">
        <v>123</v>
      </c>
    </row>
    <row r="1909" spans="1:109" x14ac:dyDescent="0.3">
      <c r="A1909" t="str">
        <f>"19:06:38.781"</f>
        <v>19:06:38.781</v>
      </c>
      <c r="B1909" t="s">
        <v>110</v>
      </c>
      <c r="C1909" t="str">
        <f t="shared" si="87"/>
        <v>ffdfd3c0</v>
      </c>
      <c r="D1909" t="s">
        <v>111</v>
      </c>
      <c r="E1909">
        <v>18</v>
      </c>
      <c r="F1909">
        <v>1018</v>
      </c>
      <c r="G1909" t="s">
        <v>112</v>
      </c>
      <c r="J1909" t="s">
        <v>113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R1909" t="s">
        <v>114</v>
      </c>
      <c r="S1909" t="str">
        <f>"19:06:38.555"</f>
        <v>19:06:38.555</v>
      </c>
      <c r="T1909" t="str">
        <f>"19:06:38.156"</f>
        <v>19:06:38.156</v>
      </c>
      <c r="U1909" t="str">
        <f t="shared" si="88"/>
        <v>a1cdbe</v>
      </c>
      <c r="V1909">
        <v>0</v>
      </c>
      <c r="W1909">
        <v>0</v>
      </c>
      <c r="X1909">
        <v>1</v>
      </c>
      <c r="Y1909">
        <v>0</v>
      </c>
      <c r="Z1909">
        <v>0</v>
      </c>
      <c r="AB1909">
        <v>0</v>
      </c>
      <c r="AC1909">
        <v>9</v>
      </c>
      <c r="AD1909">
        <v>3</v>
      </c>
      <c r="AE1909">
        <v>0</v>
      </c>
      <c r="AF1909">
        <v>9</v>
      </c>
      <c r="AG1909" t="s">
        <v>158</v>
      </c>
      <c r="AH1909">
        <v>0</v>
      </c>
      <c r="AI1909">
        <v>3</v>
      </c>
      <c r="AJ1909">
        <v>1</v>
      </c>
      <c r="AK1909">
        <v>0</v>
      </c>
      <c r="AL1909" t="s">
        <v>3601</v>
      </c>
      <c r="AM1909">
        <v>46.854779999999998</v>
      </c>
      <c r="AN1909" t="s">
        <v>3602</v>
      </c>
      <c r="AO1909">
        <v>-122.98398299999999</v>
      </c>
      <c r="AP1909">
        <v>100</v>
      </c>
      <c r="AQ1909">
        <v>2100</v>
      </c>
      <c r="AR1909" t="s">
        <v>118</v>
      </c>
      <c r="AS1909">
        <v>-75</v>
      </c>
      <c r="AT1909">
        <v>21</v>
      </c>
      <c r="AU1909">
        <v>-192</v>
      </c>
      <c r="BC1909">
        <v>1200</v>
      </c>
      <c r="BD1909">
        <v>1</v>
      </c>
      <c r="BE1909" t="str">
        <f t="shared" si="89"/>
        <v xml:space="preserve">N215T   </v>
      </c>
      <c r="BF1909">
        <v>1</v>
      </c>
      <c r="BH1909">
        <v>0</v>
      </c>
      <c r="BI1909">
        <v>0</v>
      </c>
      <c r="BJ1909">
        <v>0</v>
      </c>
      <c r="BK1909">
        <v>2525</v>
      </c>
      <c r="BL1909">
        <v>425</v>
      </c>
      <c r="BM1909" t="s">
        <v>119</v>
      </c>
      <c r="BN1909">
        <v>1</v>
      </c>
      <c r="BO1909">
        <v>1</v>
      </c>
      <c r="BP1909">
        <v>1</v>
      </c>
      <c r="BQ1909">
        <v>0</v>
      </c>
      <c r="BT1909">
        <v>0</v>
      </c>
      <c r="BU1909">
        <v>0</v>
      </c>
      <c r="BV1909">
        <v>0</v>
      </c>
      <c r="CC1909" t="str">
        <f>"19:06:38.555"</f>
        <v>19:06:38.555</v>
      </c>
      <c r="CD1909" t="str">
        <f>"555002225"</f>
        <v>555002225</v>
      </c>
      <c r="CQ1909">
        <v>0</v>
      </c>
      <c r="CR1909">
        <v>2</v>
      </c>
      <c r="CS1909">
        <v>0</v>
      </c>
      <c r="CT1909">
        <v>2</v>
      </c>
      <c r="CU1909">
        <v>0</v>
      </c>
      <c r="CV1909">
        <v>7</v>
      </c>
      <c r="CW1909" t="s">
        <v>120</v>
      </c>
      <c r="CX1909">
        <v>261</v>
      </c>
      <c r="CY1909">
        <v>2</v>
      </c>
      <c r="CZ1909" t="s">
        <v>121</v>
      </c>
      <c r="DA1909" t="s">
        <v>122</v>
      </c>
      <c r="DD1909">
        <v>15389479</v>
      </c>
      <c r="DE1909" t="s">
        <v>123</v>
      </c>
    </row>
    <row r="1910" spans="1:109" x14ac:dyDescent="0.3">
      <c r="A1910" t="str">
        <f>"19:06:39.789"</f>
        <v>19:06:39.789</v>
      </c>
      <c r="B1910" t="s">
        <v>110</v>
      </c>
      <c r="C1910" t="str">
        <f t="shared" si="87"/>
        <v>ffdfd3c0</v>
      </c>
      <c r="D1910" t="s">
        <v>111</v>
      </c>
      <c r="E1910">
        <v>18</v>
      </c>
      <c r="F1910">
        <v>1018</v>
      </c>
      <c r="G1910" t="s">
        <v>112</v>
      </c>
      <c r="J1910" t="s">
        <v>113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R1910" t="s">
        <v>114</v>
      </c>
      <c r="S1910" t="str">
        <f>"19:06:39.539"</f>
        <v>19:06:39.539</v>
      </c>
      <c r="T1910" t="str">
        <f>"19:06:39.141"</f>
        <v>19:06:39.141</v>
      </c>
      <c r="U1910" t="str">
        <f t="shared" si="88"/>
        <v>a1cdbe</v>
      </c>
      <c r="V1910">
        <v>0</v>
      </c>
      <c r="W1910">
        <v>0</v>
      </c>
      <c r="X1910">
        <v>1</v>
      </c>
      <c r="Y1910">
        <v>0</v>
      </c>
      <c r="Z1910">
        <v>0</v>
      </c>
      <c r="AB1910">
        <v>0</v>
      </c>
      <c r="AC1910">
        <v>9</v>
      </c>
      <c r="AD1910">
        <v>3</v>
      </c>
      <c r="AE1910">
        <v>0</v>
      </c>
      <c r="AF1910">
        <v>9</v>
      </c>
      <c r="AG1910" t="s">
        <v>158</v>
      </c>
      <c r="AH1910">
        <v>0</v>
      </c>
      <c r="AI1910">
        <v>3</v>
      </c>
      <c r="AJ1910">
        <v>1</v>
      </c>
      <c r="AK1910">
        <v>0</v>
      </c>
      <c r="AL1910" t="s">
        <v>3603</v>
      </c>
      <c r="AM1910">
        <v>46.854866000000001</v>
      </c>
      <c r="AN1910" t="s">
        <v>3604</v>
      </c>
      <c r="AO1910">
        <v>-122.984455</v>
      </c>
      <c r="AP1910">
        <v>100</v>
      </c>
      <c r="AQ1910">
        <v>2100</v>
      </c>
      <c r="AR1910" t="s">
        <v>118</v>
      </c>
      <c r="AS1910">
        <v>-76</v>
      </c>
      <c r="AT1910">
        <v>21</v>
      </c>
      <c r="AU1910">
        <v>-192</v>
      </c>
      <c r="BC1910">
        <v>1200</v>
      </c>
      <c r="BD1910">
        <v>1</v>
      </c>
      <c r="BE1910" t="str">
        <f t="shared" si="89"/>
        <v xml:space="preserve">N215T   </v>
      </c>
      <c r="BF1910">
        <v>1</v>
      </c>
      <c r="BH1910">
        <v>0</v>
      </c>
      <c r="BI1910">
        <v>0</v>
      </c>
      <c r="BJ1910">
        <v>0</v>
      </c>
      <c r="BK1910">
        <v>2525</v>
      </c>
      <c r="BL1910">
        <v>425</v>
      </c>
      <c r="BM1910" t="s">
        <v>119</v>
      </c>
      <c r="BN1910">
        <v>1</v>
      </c>
      <c r="BO1910">
        <v>1</v>
      </c>
      <c r="BP1910">
        <v>1</v>
      </c>
      <c r="BQ1910">
        <v>0</v>
      </c>
      <c r="BT1910">
        <v>0</v>
      </c>
      <c r="BU1910">
        <v>0</v>
      </c>
      <c r="BV1910">
        <v>0</v>
      </c>
      <c r="CC1910" t="str">
        <f>"19:06:39.547"</f>
        <v>19:06:39.547</v>
      </c>
      <c r="CD1910" t="str">
        <f>"544904706"</f>
        <v>544904706</v>
      </c>
      <c r="CQ1910">
        <v>0</v>
      </c>
      <c r="CR1910">
        <v>2</v>
      </c>
      <c r="CS1910">
        <v>0</v>
      </c>
      <c r="CT1910">
        <v>2</v>
      </c>
      <c r="CU1910">
        <v>0</v>
      </c>
      <c r="CV1910">
        <v>7</v>
      </c>
      <c r="CW1910" t="s">
        <v>120</v>
      </c>
      <c r="CX1910">
        <v>261</v>
      </c>
      <c r="CY1910">
        <v>2</v>
      </c>
      <c r="CZ1910" t="s">
        <v>121</v>
      </c>
      <c r="DA1910" t="s">
        <v>122</v>
      </c>
      <c r="DD1910">
        <v>15390118</v>
      </c>
      <c r="DE1910" t="s">
        <v>123</v>
      </c>
    </row>
    <row r="1911" spans="1:109" x14ac:dyDescent="0.3">
      <c r="A1911" t="str">
        <f>"19:06:40.695"</f>
        <v>19:06:40.695</v>
      </c>
      <c r="B1911" t="s">
        <v>110</v>
      </c>
      <c r="C1911" t="str">
        <f t="shared" si="87"/>
        <v>ffdfd3c0</v>
      </c>
      <c r="D1911" t="s">
        <v>111</v>
      </c>
      <c r="E1911">
        <v>18</v>
      </c>
      <c r="F1911">
        <v>1018</v>
      </c>
      <c r="G1911" t="s">
        <v>112</v>
      </c>
      <c r="J1911" t="s">
        <v>113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R1911" t="s">
        <v>114</v>
      </c>
      <c r="S1911" t="str">
        <f>"19:06:40.469"</f>
        <v>19:06:40.469</v>
      </c>
      <c r="T1911" t="str">
        <f>"19:06:40.172"</f>
        <v>19:06:40.172</v>
      </c>
      <c r="U1911" t="str">
        <f t="shared" si="88"/>
        <v>a1cdbe</v>
      </c>
      <c r="V1911">
        <v>0</v>
      </c>
      <c r="W1911">
        <v>0</v>
      </c>
      <c r="X1911">
        <v>1</v>
      </c>
      <c r="Y1911">
        <v>0</v>
      </c>
      <c r="Z1911">
        <v>0</v>
      </c>
      <c r="AB1911">
        <v>0</v>
      </c>
      <c r="AC1911">
        <v>9</v>
      </c>
      <c r="AD1911">
        <v>3</v>
      </c>
      <c r="AE1911">
        <v>0</v>
      </c>
      <c r="AF1911">
        <v>9</v>
      </c>
      <c r="AG1911" t="s">
        <v>158</v>
      </c>
      <c r="AH1911">
        <v>0</v>
      </c>
      <c r="AI1911">
        <v>3</v>
      </c>
      <c r="AJ1911">
        <v>1</v>
      </c>
      <c r="AK1911">
        <v>0</v>
      </c>
      <c r="AL1911" t="s">
        <v>3605</v>
      </c>
      <c r="AM1911">
        <v>46.854951</v>
      </c>
      <c r="AN1911" t="s">
        <v>3606</v>
      </c>
      <c r="AO1911">
        <v>-122.984905</v>
      </c>
      <c r="AP1911">
        <v>100</v>
      </c>
      <c r="AQ1911">
        <v>2100</v>
      </c>
      <c r="AR1911" t="s">
        <v>118</v>
      </c>
      <c r="AS1911">
        <v>-76</v>
      </c>
      <c r="AT1911">
        <v>21</v>
      </c>
      <c r="AU1911">
        <v>-384</v>
      </c>
      <c r="BC1911">
        <v>1200</v>
      </c>
      <c r="BD1911">
        <v>1</v>
      </c>
      <c r="BE1911" t="str">
        <f t="shared" si="89"/>
        <v xml:space="preserve">N215T   </v>
      </c>
      <c r="BF1911">
        <v>1</v>
      </c>
      <c r="BH1911">
        <v>0</v>
      </c>
      <c r="BI1911">
        <v>0</v>
      </c>
      <c r="BJ1911">
        <v>0</v>
      </c>
      <c r="BK1911">
        <v>2525</v>
      </c>
      <c r="BL1911">
        <v>425</v>
      </c>
      <c r="BM1911" t="s">
        <v>119</v>
      </c>
      <c r="BN1911">
        <v>1</v>
      </c>
      <c r="BO1911">
        <v>1</v>
      </c>
      <c r="BP1911">
        <v>1</v>
      </c>
      <c r="BQ1911">
        <v>0</v>
      </c>
      <c r="BT1911">
        <v>0</v>
      </c>
      <c r="BU1911">
        <v>0</v>
      </c>
      <c r="BV1911">
        <v>0</v>
      </c>
      <c r="CC1911" t="str">
        <f>"19:06:40.477"</f>
        <v>19:06:40.477</v>
      </c>
      <c r="CD1911" t="str">
        <f>"474813110"</f>
        <v>474813110</v>
      </c>
      <c r="CQ1911">
        <v>0</v>
      </c>
      <c r="CR1911">
        <v>2</v>
      </c>
      <c r="CS1911">
        <v>0</v>
      </c>
      <c r="CT1911">
        <v>2</v>
      </c>
      <c r="CU1911">
        <v>0</v>
      </c>
      <c r="CV1911">
        <v>6</v>
      </c>
      <c r="CW1911" t="s">
        <v>120</v>
      </c>
      <c r="CX1911">
        <v>261</v>
      </c>
      <c r="CY1911">
        <v>2</v>
      </c>
      <c r="CZ1911" t="s">
        <v>121</v>
      </c>
      <c r="DA1911" t="s">
        <v>122</v>
      </c>
      <c r="DD1911">
        <v>15390653</v>
      </c>
      <c r="DE1911" t="s">
        <v>123</v>
      </c>
    </row>
    <row r="1912" spans="1:109" x14ac:dyDescent="0.3">
      <c r="A1912" t="str">
        <f>"19:06:41.695"</f>
        <v>19:06:41.695</v>
      </c>
      <c r="B1912" t="s">
        <v>110</v>
      </c>
      <c r="C1912" t="str">
        <f t="shared" si="87"/>
        <v>ffdfd3c0</v>
      </c>
      <c r="D1912" t="s">
        <v>111</v>
      </c>
      <c r="E1912">
        <v>18</v>
      </c>
      <c r="F1912">
        <v>1018</v>
      </c>
      <c r="G1912" t="s">
        <v>112</v>
      </c>
      <c r="J1912" t="s">
        <v>113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R1912" t="s">
        <v>114</v>
      </c>
      <c r="S1912" t="str">
        <f>"19:06:41.508"</f>
        <v>19:06:41.508</v>
      </c>
      <c r="T1912" t="str">
        <f>"19:06:41.109"</f>
        <v>19:06:41.109</v>
      </c>
      <c r="U1912" t="str">
        <f t="shared" si="88"/>
        <v>a1cdbe</v>
      </c>
      <c r="V1912">
        <v>0</v>
      </c>
      <c r="W1912">
        <v>0</v>
      </c>
      <c r="X1912">
        <v>1</v>
      </c>
      <c r="Y1912">
        <v>0</v>
      </c>
      <c r="Z1912">
        <v>0</v>
      </c>
      <c r="AB1912">
        <v>0</v>
      </c>
      <c r="AC1912">
        <v>9</v>
      </c>
      <c r="AD1912">
        <v>3</v>
      </c>
      <c r="AE1912">
        <v>0</v>
      </c>
      <c r="AF1912">
        <v>9</v>
      </c>
      <c r="AG1912" t="s">
        <v>158</v>
      </c>
      <c r="AH1912">
        <v>0</v>
      </c>
      <c r="AI1912">
        <v>3</v>
      </c>
      <c r="AJ1912">
        <v>1</v>
      </c>
      <c r="AK1912">
        <v>0</v>
      </c>
      <c r="AL1912" t="s">
        <v>3607</v>
      </c>
      <c r="AM1912">
        <v>46.855058999999997</v>
      </c>
      <c r="AN1912" t="s">
        <v>3608</v>
      </c>
      <c r="AO1912">
        <v>-122.985485</v>
      </c>
      <c r="AP1912">
        <v>100</v>
      </c>
      <c r="AQ1912">
        <v>2100</v>
      </c>
      <c r="AR1912" t="s">
        <v>118</v>
      </c>
      <c r="AS1912">
        <v>-76</v>
      </c>
      <c r="AT1912">
        <v>21</v>
      </c>
      <c r="AU1912">
        <v>-320</v>
      </c>
      <c r="BC1912">
        <v>1200</v>
      </c>
      <c r="BD1912">
        <v>1</v>
      </c>
      <c r="BE1912" t="str">
        <f t="shared" si="89"/>
        <v xml:space="preserve">N215T   </v>
      </c>
      <c r="BF1912">
        <v>1</v>
      </c>
      <c r="BH1912">
        <v>0</v>
      </c>
      <c r="BI1912">
        <v>0</v>
      </c>
      <c r="BJ1912">
        <v>0</v>
      </c>
      <c r="BK1912">
        <v>2525</v>
      </c>
      <c r="BL1912">
        <v>425</v>
      </c>
      <c r="BM1912" t="s">
        <v>119</v>
      </c>
      <c r="BN1912">
        <v>1</v>
      </c>
      <c r="BO1912">
        <v>1</v>
      </c>
      <c r="BP1912">
        <v>1</v>
      </c>
      <c r="BQ1912">
        <v>0</v>
      </c>
      <c r="BT1912">
        <v>0</v>
      </c>
      <c r="BU1912">
        <v>0</v>
      </c>
      <c r="BV1912">
        <v>0</v>
      </c>
      <c r="CC1912" t="str">
        <f>"19:06:41.508"</f>
        <v>19:06:41.508</v>
      </c>
      <c r="CD1912" t="str">
        <f>"509711174"</f>
        <v>509711174</v>
      </c>
      <c r="CQ1912">
        <v>0</v>
      </c>
      <c r="CR1912">
        <v>2</v>
      </c>
      <c r="CS1912">
        <v>0</v>
      </c>
      <c r="CT1912">
        <v>2</v>
      </c>
      <c r="CU1912">
        <v>0</v>
      </c>
      <c r="CV1912">
        <v>7</v>
      </c>
      <c r="CW1912" t="s">
        <v>120</v>
      </c>
      <c r="CX1912">
        <v>261</v>
      </c>
      <c r="CY1912">
        <v>2</v>
      </c>
      <c r="CZ1912" t="s">
        <v>121</v>
      </c>
      <c r="DA1912" t="s">
        <v>122</v>
      </c>
      <c r="DD1912">
        <v>15391283</v>
      </c>
      <c r="DE1912" t="s">
        <v>123</v>
      </c>
    </row>
    <row r="1913" spans="1:109" x14ac:dyDescent="0.3">
      <c r="A1913" t="str">
        <f>"19:06:42.906"</f>
        <v>19:06:42.906</v>
      </c>
      <c r="B1913" t="s">
        <v>110</v>
      </c>
      <c r="C1913" t="str">
        <f t="shared" si="87"/>
        <v>ffdfd3c0</v>
      </c>
      <c r="D1913" t="s">
        <v>111</v>
      </c>
      <c r="E1913">
        <v>18</v>
      </c>
      <c r="F1913">
        <v>1018</v>
      </c>
      <c r="G1913" t="s">
        <v>112</v>
      </c>
      <c r="J1913" t="s">
        <v>113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R1913" t="s">
        <v>114</v>
      </c>
      <c r="S1913" t="str">
        <f>"19:06:42.664"</f>
        <v>19:06:42.664</v>
      </c>
      <c r="T1913" t="str">
        <f>"19:06:42.164"</f>
        <v>19:06:42.164</v>
      </c>
      <c r="U1913" t="str">
        <f t="shared" si="88"/>
        <v>a1cdbe</v>
      </c>
      <c r="V1913">
        <v>0</v>
      </c>
      <c r="W1913">
        <v>0</v>
      </c>
      <c r="X1913">
        <v>1</v>
      </c>
      <c r="Y1913">
        <v>0</v>
      </c>
      <c r="Z1913">
        <v>0</v>
      </c>
      <c r="AB1913">
        <v>0</v>
      </c>
      <c r="AC1913">
        <v>9</v>
      </c>
      <c r="AD1913">
        <v>3</v>
      </c>
      <c r="AE1913">
        <v>0</v>
      </c>
      <c r="AF1913">
        <v>9</v>
      </c>
      <c r="AG1913" t="s">
        <v>158</v>
      </c>
      <c r="AH1913">
        <v>0</v>
      </c>
      <c r="AI1913">
        <v>3</v>
      </c>
      <c r="AJ1913">
        <v>1</v>
      </c>
      <c r="AK1913">
        <v>0</v>
      </c>
      <c r="AL1913" t="s">
        <v>3609</v>
      </c>
      <c r="AM1913">
        <v>46.855145</v>
      </c>
      <c r="AN1913" t="s">
        <v>3610</v>
      </c>
      <c r="AO1913">
        <v>-122.986042</v>
      </c>
      <c r="AP1913">
        <v>100</v>
      </c>
      <c r="AQ1913">
        <v>2100</v>
      </c>
      <c r="AR1913" t="s">
        <v>118</v>
      </c>
      <c r="AS1913">
        <v>-76</v>
      </c>
      <c r="AT1913">
        <v>20</v>
      </c>
      <c r="AU1913">
        <v>-320</v>
      </c>
      <c r="BC1913">
        <v>1200</v>
      </c>
      <c r="BD1913">
        <v>1</v>
      </c>
      <c r="BE1913" t="str">
        <f t="shared" si="89"/>
        <v xml:space="preserve">N215T   </v>
      </c>
      <c r="BF1913">
        <v>1</v>
      </c>
      <c r="BH1913">
        <v>0</v>
      </c>
      <c r="BI1913">
        <v>0</v>
      </c>
      <c r="BJ1913">
        <v>0</v>
      </c>
      <c r="BK1913">
        <v>2500</v>
      </c>
      <c r="BL1913">
        <v>400</v>
      </c>
      <c r="BM1913" t="s">
        <v>119</v>
      </c>
      <c r="BN1913">
        <v>1</v>
      </c>
      <c r="BO1913">
        <v>1</v>
      </c>
      <c r="BP1913">
        <v>1</v>
      </c>
      <c r="BQ1913">
        <v>0</v>
      </c>
      <c r="BT1913">
        <v>0</v>
      </c>
      <c r="BU1913">
        <v>0</v>
      </c>
      <c r="BV1913">
        <v>0</v>
      </c>
      <c r="CC1913" t="str">
        <f>"19:06:42.664"</f>
        <v>19:06:42.664</v>
      </c>
      <c r="CD1913" t="str">
        <f>"664597414"</f>
        <v>664597414</v>
      </c>
      <c r="CQ1913">
        <v>0</v>
      </c>
      <c r="CR1913">
        <v>2</v>
      </c>
      <c r="CS1913">
        <v>0</v>
      </c>
      <c r="CT1913">
        <v>2</v>
      </c>
      <c r="CU1913">
        <v>0</v>
      </c>
      <c r="CV1913">
        <v>7</v>
      </c>
      <c r="CW1913" t="s">
        <v>120</v>
      </c>
      <c r="CX1913">
        <v>261</v>
      </c>
      <c r="CY1913">
        <v>2</v>
      </c>
      <c r="CZ1913" t="s">
        <v>121</v>
      </c>
      <c r="DA1913" t="s">
        <v>122</v>
      </c>
      <c r="DD1913">
        <v>15392046</v>
      </c>
      <c r="DE1913" t="s">
        <v>123</v>
      </c>
    </row>
    <row r="1914" spans="1:109" x14ac:dyDescent="0.3">
      <c r="A1914" t="str">
        <f>"19:06:43.969"</f>
        <v>19:06:43.969</v>
      </c>
      <c r="B1914" t="s">
        <v>110</v>
      </c>
      <c r="C1914" t="str">
        <f t="shared" si="87"/>
        <v>ffdfd3c0</v>
      </c>
      <c r="D1914" t="s">
        <v>111</v>
      </c>
      <c r="E1914">
        <v>18</v>
      </c>
      <c r="F1914">
        <v>1018</v>
      </c>
      <c r="G1914" t="s">
        <v>112</v>
      </c>
      <c r="J1914" t="s">
        <v>113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R1914" t="s">
        <v>114</v>
      </c>
      <c r="S1914" t="str">
        <f>"19:06:43.742"</f>
        <v>19:06:43.742</v>
      </c>
      <c r="T1914" t="str">
        <f>"19:06:43.344"</f>
        <v>19:06:43.344</v>
      </c>
      <c r="U1914" t="str">
        <f t="shared" si="88"/>
        <v>a1cdbe</v>
      </c>
      <c r="V1914">
        <v>0</v>
      </c>
      <c r="W1914">
        <v>0</v>
      </c>
      <c r="X1914">
        <v>1</v>
      </c>
      <c r="Y1914">
        <v>0</v>
      </c>
      <c r="Z1914">
        <v>0</v>
      </c>
      <c r="AB1914">
        <v>0</v>
      </c>
      <c r="AC1914">
        <v>9</v>
      </c>
      <c r="AD1914">
        <v>3</v>
      </c>
      <c r="AE1914">
        <v>0</v>
      </c>
      <c r="AF1914">
        <v>9</v>
      </c>
      <c r="AG1914" t="s">
        <v>158</v>
      </c>
      <c r="AH1914">
        <v>0</v>
      </c>
      <c r="AI1914">
        <v>3</v>
      </c>
      <c r="AJ1914">
        <v>1</v>
      </c>
      <c r="AK1914">
        <v>0</v>
      </c>
      <c r="AL1914" t="s">
        <v>3611</v>
      </c>
      <c r="AM1914">
        <v>46.855272999999997</v>
      </c>
      <c r="AN1914" t="s">
        <v>3612</v>
      </c>
      <c r="AO1914">
        <v>-122.98657900000001</v>
      </c>
      <c r="AP1914">
        <v>100</v>
      </c>
      <c r="AQ1914">
        <v>2100</v>
      </c>
      <c r="AR1914" t="s">
        <v>118</v>
      </c>
      <c r="AS1914">
        <v>-76</v>
      </c>
      <c r="AT1914">
        <v>20</v>
      </c>
      <c r="AU1914">
        <v>-256</v>
      </c>
      <c r="BC1914">
        <v>1200</v>
      </c>
      <c r="BD1914">
        <v>1</v>
      </c>
      <c r="BE1914" t="str">
        <f t="shared" si="89"/>
        <v xml:space="preserve">N215T   </v>
      </c>
      <c r="BF1914">
        <v>1</v>
      </c>
      <c r="BH1914">
        <v>0</v>
      </c>
      <c r="BI1914">
        <v>0</v>
      </c>
      <c r="BJ1914">
        <v>0</v>
      </c>
      <c r="BK1914">
        <v>2500</v>
      </c>
      <c r="BL1914">
        <v>400</v>
      </c>
      <c r="BM1914" t="s">
        <v>119</v>
      </c>
      <c r="BN1914">
        <v>1</v>
      </c>
      <c r="BO1914">
        <v>1</v>
      </c>
      <c r="BP1914">
        <v>1</v>
      </c>
      <c r="BQ1914">
        <v>0</v>
      </c>
      <c r="BT1914">
        <v>0</v>
      </c>
      <c r="BU1914">
        <v>0</v>
      </c>
      <c r="BV1914">
        <v>0</v>
      </c>
      <c r="CC1914" t="str">
        <f>"19:06:43.742"</f>
        <v>19:06:43.742</v>
      </c>
      <c r="CD1914" t="str">
        <f>"744491027"</f>
        <v>744491027</v>
      </c>
      <c r="CQ1914">
        <v>0</v>
      </c>
      <c r="CR1914">
        <v>2</v>
      </c>
      <c r="CS1914">
        <v>0</v>
      </c>
      <c r="CT1914">
        <v>2</v>
      </c>
      <c r="CU1914">
        <v>0</v>
      </c>
      <c r="CV1914">
        <v>6</v>
      </c>
      <c r="CW1914" t="s">
        <v>120</v>
      </c>
      <c r="CX1914">
        <v>261</v>
      </c>
      <c r="CY1914">
        <v>2</v>
      </c>
      <c r="CZ1914" t="s">
        <v>121</v>
      </c>
      <c r="DA1914" t="s">
        <v>122</v>
      </c>
      <c r="DD1914">
        <v>15392760</v>
      </c>
      <c r="DE1914" t="s">
        <v>123</v>
      </c>
    </row>
    <row r="1915" spans="1:109" x14ac:dyDescent="0.3">
      <c r="A1915" t="str">
        <f>"19:06:44.914"</f>
        <v>19:06:44.914</v>
      </c>
      <c r="B1915" t="s">
        <v>110</v>
      </c>
      <c r="C1915" t="str">
        <f t="shared" si="87"/>
        <v>ffdfd3c0</v>
      </c>
      <c r="D1915" t="s">
        <v>111</v>
      </c>
      <c r="E1915">
        <v>18</v>
      </c>
      <c r="F1915">
        <v>1018</v>
      </c>
      <c r="G1915" t="s">
        <v>112</v>
      </c>
      <c r="J1915" t="s">
        <v>113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R1915" t="s">
        <v>114</v>
      </c>
      <c r="S1915" t="str">
        <f>"19:06:44.719"</f>
        <v>19:06:44.719</v>
      </c>
      <c r="T1915" t="str">
        <f>"19:06:44.320"</f>
        <v>19:06:44.320</v>
      </c>
      <c r="U1915" t="str">
        <f t="shared" si="88"/>
        <v>a1cdbe</v>
      </c>
      <c r="V1915">
        <v>0</v>
      </c>
      <c r="W1915">
        <v>0</v>
      </c>
      <c r="X1915">
        <v>1</v>
      </c>
      <c r="Y1915">
        <v>0</v>
      </c>
      <c r="Z1915">
        <v>0</v>
      </c>
      <c r="AB1915">
        <v>0</v>
      </c>
      <c r="AC1915">
        <v>9</v>
      </c>
      <c r="AD1915">
        <v>3</v>
      </c>
      <c r="AE1915">
        <v>0</v>
      </c>
      <c r="AF1915">
        <v>9</v>
      </c>
      <c r="AG1915" t="s">
        <v>158</v>
      </c>
      <c r="AH1915">
        <v>0</v>
      </c>
      <c r="AI1915">
        <v>3</v>
      </c>
      <c r="AJ1915">
        <v>1</v>
      </c>
      <c r="AK1915">
        <v>0</v>
      </c>
      <c r="AL1915" t="s">
        <v>3613</v>
      </c>
      <c r="AM1915">
        <v>46.855338000000003</v>
      </c>
      <c r="AN1915" t="s">
        <v>3614</v>
      </c>
      <c r="AO1915">
        <v>-122.987137</v>
      </c>
      <c r="AP1915">
        <v>100</v>
      </c>
      <c r="AQ1915">
        <v>2100</v>
      </c>
      <c r="AR1915" t="s">
        <v>118</v>
      </c>
      <c r="AS1915">
        <v>-77</v>
      </c>
      <c r="AT1915">
        <v>19</v>
      </c>
      <c r="AU1915">
        <v>-192</v>
      </c>
      <c r="BC1915">
        <v>1200</v>
      </c>
      <c r="BD1915">
        <v>1</v>
      </c>
      <c r="BE1915" t="str">
        <f t="shared" si="89"/>
        <v xml:space="preserve">N215T   </v>
      </c>
      <c r="BF1915">
        <v>1</v>
      </c>
      <c r="BH1915">
        <v>0</v>
      </c>
      <c r="BI1915">
        <v>0</v>
      </c>
      <c r="BJ1915">
        <v>0</v>
      </c>
      <c r="BK1915">
        <v>2500</v>
      </c>
      <c r="BL1915">
        <v>400</v>
      </c>
      <c r="BM1915" t="s">
        <v>119</v>
      </c>
      <c r="BN1915">
        <v>1</v>
      </c>
      <c r="BO1915">
        <v>1</v>
      </c>
      <c r="BP1915">
        <v>1</v>
      </c>
      <c r="BQ1915">
        <v>0</v>
      </c>
      <c r="BT1915">
        <v>0</v>
      </c>
      <c r="BU1915">
        <v>0</v>
      </c>
      <c r="BV1915">
        <v>0</v>
      </c>
      <c r="CC1915" t="str">
        <f>"19:06:44.719"</f>
        <v>19:06:44.719</v>
      </c>
      <c r="CD1915" t="str">
        <f>"719394999"</f>
        <v>719394999</v>
      </c>
      <c r="CQ1915">
        <v>0</v>
      </c>
      <c r="CR1915">
        <v>2</v>
      </c>
      <c r="CS1915">
        <v>0</v>
      </c>
      <c r="CT1915">
        <v>2</v>
      </c>
      <c r="CU1915">
        <v>0</v>
      </c>
      <c r="CV1915">
        <v>6</v>
      </c>
      <c r="CW1915" t="s">
        <v>120</v>
      </c>
      <c r="CX1915">
        <v>261</v>
      </c>
      <c r="CY1915">
        <v>2</v>
      </c>
      <c r="CZ1915" t="s">
        <v>121</v>
      </c>
      <c r="DA1915" t="s">
        <v>122</v>
      </c>
      <c r="DD1915">
        <v>15393404</v>
      </c>
      <c r="DE1915" t="s">
        <v>123</v>
      </c>
    </row>
    <row r="1916" spans="1:109" x14ac:dyDescent="0.3">
      <c r="A1916" t="str">
        <f>"19:06:45.969"</f>
        <v>19:06:45.969</v>
      </c>
      <c r="B1916" t="s">
        <v>110</v>
      </c>
      <c r="C1916" t="str">
        <f t="shared" si="87"/>
        <v>ffdfd3c0</v>
      </c>
      <c r="D1916" t="s">
        <v>111</v>
      </c>
      <c r="E1916">
        <v>18</v>
      </c>
      <c r="F1916">
        <v>1018</v>
      </c>
      <c r="G1916" t="s">
        <v>112</v>
      </c>
      <c r="J1916" t="s">
        <v>113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R1916" t="s">
        <v>114</v>
      </c>
      <c r="S1916" t="str">
        <f>"19:06:45.734"</f>
        <v>19:06:45.734</v>
      </c>
      <c r="T1916" t="str">
        <f>"19:06:45.633"</f>
        <v>19:06:45.633</v>
      </c>
      <c r="U1916" t="str">
        <f t="shared" si="88"/>
        <v>a1cdbe</v>
      </c>
      <c r="V1916">
        <v>0</v>
      </c>
      <c r="W1916">
        <v>0</v>
      </c>
      <c r="X1916">
        <v>1</v>
      </c>
      <c r="Y1916">
        <v>0</v>
      </c>
      <c r="Z1916">
        <v>0</v>
      </c>
      <c r="AB1916">
        <v>0</v>
      </c>
      <c r="AC1916">
        <v>9</v>
      </c>
      <c r="AD1916">
        <v>3</v>
      </c>
      <c r="AE1916">
        <v>0</v>
      </c>
      <c r="AF1916">
        <v>9</v>
      </c>
      <c r="AG1916" t="s">
        <v>158</v>
      </c>
      <c r="AH1916">
        <v>0</v>
      </c>
      <c r="AI1916">
        <v>3</v>
      </c>
      <c r="AJ1916">
        <v>1</v>
      </c>
      <c r="AK1916">
        <v>0</v>
      </c>
      <c r="AL1916" t="s">
        <v>1760</v>
      </c>
      <c r="AM1916">
        <v>46.855445000000003</v>
      </c>
      <c r="AN1916" t="s">
        <v>3615</v>
      </c>
      <c r="AO1916">
        <v>-122.987652</v>
      </c>
      <c r="AP1916">
        <v>100</v>
      </c>
      <c r="AQ1916">
        <v>2100</v>
      </c>
      <c r="AR1916" t="s">
        <v>118</v>
      </c>
      <c r="AS1916">
        <v>-77</v>
      </c>
      <c r="AT1916">
        <v>18</v>
      </c>
      <c r="AU1916">
        <v>-128</v>
      </c>
      <c r="BC1916">
        <v>1200</v>
      </c>
      <c r="BD1916">
        <v>1</v>
      </c>
      <c r="BE1916" t="str">
        <f t="shared" si="89"/>
        <v xml:space="preserve">N215T   </v>
      </c>
      <c r="BF1916">
        <v>1</v>
      </c>
      <c r="BH1916">
        <v>0</v>
      </c>
      <c r="BI1916">
        <v>0</v>
      </c>
      <c r="BJ1916">
        <v>0</v>
      </c>
      <c r="BK1916">
        <v>2500</v>
      </c>
      <c r="BL1916">
        <v>400</v>
      </c>
      <c r="BM1916" t="s">
        <v>119</v>
      </c>
      <c r="BN1916">
        <v>1</v>
      </c>
      <c r="BO1916">
        <v>1</v>
      </c>
      <c r="BP1916">
        <v>1</v>
      </c>
      <c r="BQ1916">
        <v>0</v>
      </c>
      <c r="BT1916">
        <v>0</v>
      </c>
      <c r="BU1916">
        <v>0</v>
      </c>
      <c r="BV1916">
        <v>0</v>
      </c>
      <c r="CC1916" t="str">
        <f>"19:06:45.742"</f>
        <v>19:06:45.742</v>
      </c>
      <c r="CD1916" t="str">
        <f>"739294537"</f>
        <v>739294537</v>
      </c>
      <c r="CQ1916">
        <v>0</v>
      </c>
      <c r="CR1916">
        <v>2</v>
      </c>
      <c r="CS1916">
        <v>0</v>
      </c>
      <c r="CT1916">
        <v>2</v>
      </c>
      <c r="CU1916">
        <v>0</v>
      </c>
      <c r="CV1916">
        <v>6</v>
      </c>
      <c r="CW1916" t="s">
        <v>120</v>
      </c>
      <c r="CX1916">
        <v>261</v>
      </c>
      <c r="CY1916">
        <v>2</v>
      </c>
      <c r="CZ1916" t="s">
        <v>121</v>
      </c>
      <c r="DA1916" t="s">
        <v>122</v>
      </c>
      <c r="DD1916">
        <v>15393995</v>
      </c>
      <c r="DE1916" t="s">
        <v>123</v>
      </c>
    </row>
    <row r="1917" spans="1:109" x14ac:dyDescent="0.3">
      <c r="A1917" t="str">
        <f>"19:06:46.977"</f>
        <v>19:06:46.977</v>
      </c>
      <c r="B1917" t="s">
        <v>110</v>
      </c>
      <c r="C1917" t="str">
        <f t="shared" si="87"/>
        <v>ffdfd3c0</v>
      </c>
      <c r="D1917" t="s">
        <v>111</v>
      </c>
      <c r="E1917">
        <v>18</v>
      </c>
      <c r="F1917">
        <v>1018</v>
      </c>
      <c r="G1917" t="s">
        <v>112</v>
      </c>
      <c r="J1917" t="s">
        <v>113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R1917" t="s">
        <v>114</v>
      </c>
      <c r="S1917" t="str">
        <f>"19:06:46.742"</f>
        <v>19:06:46.742</v>
      </c>
      <c r="T1917" t="str">
        <f>"19:06:46.742"</f>
        <v>19:06:46.742</v>
      </c>
      <c r="U1917" t="str">
        <f t="shared" si="88"/>
        <v>a1cdbe</v>
      </c>
      <c r="V1917">
        <v>0</v>
      </c>
      <c r="W1917">
        <v>0</v>
      </c>
      <c r="X1917">
        <v>1</v>
      </c>
      <c r="Y1917">
        <v>0</v>
      </c>
      <c r="Z1917">
        <v>0</v>
      </c>
      <c r="AB1917">
        <v>0</v>
      </c>
      <c r="AC1917">
        <v>9</v>
      </c>
      <c r="AD1917">
        <v>3</v>
      </c>
      <c r="AE1917">
        <v>0</v>
      </c>
      <c r="AF1917">
        <v>9</v>
      </c>
      <c r="AG1917" t="s">
        <v>158</v>
      </c>
      <c r="AH1917">
        <v>0</v>
      </c>
      <c r="AI1917">
        <v>3</v>
      </c>
      <c r="AJ1917">
        <v>1</v>
      </c>
      <c r="AK1917">
        <v>0</v>
      </c>
      <c r="AL1917" t="s">
        <v>3616</v>
      </c>
      <c r="AM1917">
        <v>46.855508999999998</v>
      </c>
      <c r="AN1917" t="s">
        <v>3617</v>
      </c>
      <c r="AO1917">
        <v>-122.98818799999999</v>
      </c>
      <c r="AP1917">
        <v>100</v>
      </c>
      <c r="AQ1917">
        <v>2100</v>
      </c>
      <c r="AR1917" t="s">
        <v>118</v>
      </c>
      <c r="AS1917">
        <v>-78</v>
      </c>
      <c r="AT1917">
        <v>18</v>
      </c>
      <c r="AU1917">
        <v>-128</v>
      </c>
      <c r="BC1917">
        <v>1200</v>
      </c>
      <c r="BD1917">
        <v>1</v>
      </c>
      <c r="BE1917" t="str">
        <f t="shared" si="89"/>
        <v xml:space="preserve">N215T   </v>
      </c>
      <c r="BF1917">
        <v>1</v>
      </c>
      <c r="BH1917">
        <v>0</v>
      </c>
      <c r="BI1917">
        <v>0</v>
      </c>
      <c r="BJ1917">
        <v>0</v>
      </c>
      <c r="BK1917">
        <v>2500</v>
      </c>
      <c r="BL1917">
        <v>400</v>
      </c>
      <c r="BM1917" t="s">
        <v>119</v>
      </c>
      <c r="BN1917">
        <v>1</v>
      </c>
      <c r="BO1917">
        <v>1</v>
      </c>
      <c r="BP1917">
        <v>1</v>
      </c>
      <c r="BQ1917">
        <v>0</v>
      </c>
      <c r="BT1917">
        <v>0</v>
      </c>
      <c r="BU1917">
        <v>0</v>
      </c>
      <c r="BV1917">
        <v>0</v>
      </c>
      <c r="CC1917" t="str">
        <f>"19:06:46.742"</f>
        <v>19:06:46.742</v>
      </c>
      <c r="CD1917" t="str">
        <f>"744195563"</f>
        <v>744195563</v>
      </c>
      <c r="CQ1917">
        <v>0</v>
      </c>
      <c r="CR1917">
        <v>2</v>
      </c>
      <c r="CS1917">
        <v>0</v>
      </c>
      <c r="CT1917">
        <v>2</v>
      </c>
      <c r="CU1917">
        <v>0</v>
      </c>
      <c r="CV1917">
        <v>6</v>
      </c>
      <c r="CW1917" t="s">
        <v>120</v>
      </c>
      <c r="CX1917">
        <v>261</v>
      </c>
      <c r="CY1917">
        <v>2</v>
      </c>
      <c r="CZ1917" t="s">
        <v>121</v>
      </c>
      <c r="DA1917" t="s">
        <v>122</v>
      </c>
      <c r="DD1917">
        <v>15394618</v>
      </c>
      <c r="DE1917" t="s">
        <v>123</v>
      </c>
    </row>
    <row r="1918" spans="1:109" x14ac:dyDescent="0.3">
      <c r="A1918" t="str">
        <f>"19:06:47.883"</f>
        <v>19:06:47.883</v>
      </c>
      <c r="B1918" t="s">
        <v>110</v>
      </c>
      <c r="C1918" t="str">
        <f t="shared" si="87"/>
        <v>ffdfd3c0</v>
      </c>
      <c r="D1918" t="s">
        <v>111</v>
      </c>
      <c r="E1918">
        <v>18</v>
      </c>
      <c r="F1918">
        <v>1018</v>
      </c>
      <c r="G1918" t="s">
        <v>112</v>
      </c>
      <c r="J1918" t="s">
        <v>113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R1918" t="s">
        <v>114</v>
      </c>
      <c r="S1918" t="str">
        <f>"19:06:47.641"</f>
        <v>19:06:47.641</v>
      </c>
      <c r="T1918" t="str">
        <f>"19:06:47.242"</f>
        <v>19:06:47.242</v>
      </c>
      <c r="U1918" t="str">
        <f t="shared" si="88"/>
        <v>a1cdbe</v>
      </c>
      <c r="V1918">
        <v>0</v>
      </c>
      <c r="W1918">
        <v>0</v>
      </c>
      <c r="X1918">
        <v>1</v>
      </c>
      <c r="Y1918">
        <v>0</v>
      </c>
      <c r="Z1918">
        <v>0</v>
      </c>
      <c r="AB1918">
        <v>0</v>
      </c>
      <c r="AC1918">
        <v>9</v>
      </c>
      <c r="AD1918">
        <v>3</v>
      </c>
      <c r="AE1918">
        <v>0</v>
      </c>
      <c r="AF1918">
        <v>9</v>
      </c>
      <c r="AG1918" t="s">
        <v>158</v>
      </c>
      <c r="AH1918">
        <v>0</v>
      </c>
      <c r="AI1918">
        <v>3</v>
      </c>
      <c r="AJ1918">
        <v>1</v>
      </c>
      <c r="AK1918">
        <v>0</v>
      </c>
      <c r="AL1918" t="s">
        <v>3618</v>
      </c>
      <c r="AM1918">
        <v>46.855595000000001</v>
      </c>
      <c r="AN1918" t="s">
        <v>3619</v>
      </c>
      <c r="AO1918">
        <v>-122.98866</v>
      </c>
      <c r="AP1918">
        <v>100</v>
      </c>
      <c r="AQ1918">
        <v>2100</v>
      </c>
      <c r="AR1918" t="s">
        <v>118</v>
      </c>
      <c r="AS1918">
        <v>-78</v>
      </c>
      <c r="AT1918">
        <v>18</v>
      </c>
      <c r="AU1918">
        <v>-128</v>
      </c>
      <c r="BC1918">
        <v>1200</v>
      </c>
      <c r="BD1918">
        <v>1</v>
      </c>
      <c r="BE1918" t="str">
        <f t="shared" si="89"/>
        <v xml:space="preserve">N215T   </v>
      </c>
      <c r="BF1918">
        <v>1</v>
      </c>
      <c r="BH1918">
        <v>0</v>
      </c>
      <c r="BI1918">
        <v>0</v>
      </c>
      <c r="BJ1918">
        <v>0</v>
      </c>
      <c r="BK1918">
        <v>2500</v>
      </c>
      <c r="BL1918">
        <v>400</v>
      </c>
      <c r="BM1918" t="s">
        <v>119</v>
      </c>
      <c r="BN1918">
        <v>1</v>
      </c>
      <c r="BO1918">
        <v>1</v>
      </c>
      <c r="BP1918">
        <v>1</v>
      </c>
      <c r="BQ1918">
        <v>0</v>
      </c>
      <c r="BT1918">
        <v>0</v>
      </c>
      <c r="BU1918">
        <v>0</v>
      </c>
      <c r="BV1918">
        <v>0</v>
      </c>
      <c r="CC1918" t="str">
        <f>"19:06:47.641"</f>
        <v>19:06:47.641</v>
      </c>
      <c r="CD1918" t="str">
        <f>"644106921"</f>
        <v>644106921</v>
      </c>
      <c r="CQ1918">
        <v>0</v>
      </c>
      <c r="CR1918">
        <v>2</v>
      </c>
      <c r="CS1918">
        <v>0</v>
      </c>
      <c r="CT1918">
        <v>2</v>
      </c>
      <c r="CU1918">
        <v>0</v>
      </c>
      <c r="CV1918">
        <v>6</v>
      </c>
      <c r="CW1918" t="s">
        <v>120</v>
      </c>
      <c r="CX1918">
        <v>261</v>
      </c>
      <c r="CY1918">
        <v>2</v>
      </c>
      <c r="CZ1918" t="s">
        <v>121</v>
      </c>
      <c r="DA1918" t="s">
        <v>122</v>
      </c>
      <c r="DD1918">
        <v>15395257</v>
      </c>
      <c r="DE1918" t="s">
        <v>123</v>
      </c>
    </row>
    <row r="1919" spans="1:109" x14ac:dyDescent="0.3">
      <c r="A1919" t="str">
        <f>"19:06:48.789"</f>
        <v>19:06:48.789</v>
      </c>
      <c r="B1919" t="s">
        <v>110</v>
      </c>
      <c r="C1919" t="str">
        <f t="shared" si="87"/>
        <v>ffdfd3c0</v>
      </c>
      <c r="D1919" t="s">
        <v>111</v>
      </c>
      <c r="E1919">
        <v>18</v>
      </c>
      <c r="F1919">
        <v>1018</v>
      </c>
      <c r="G1919" t="s">
        <v>112</v>
      </c>
      <c r="J1919" t="s">
        <v>113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R1919" t="s">
        <v>114</v>
      </c>
      <c r="S1919" t="str">
        <f>"19:06:48.570"</f>
        <v>19:06:48.570</v>
      </c>
      <c r="T1919" t="str">
        <f>"19:06:48.273"</f>
        <v>19:06:48.273</v>
      </c>
      <c r="U1919" t="str">
        <f t="shared" si="88"/>
        <v>a1cdbe</v>
      </c>
      <c r="V1919">
        <v>0</v>
      </c>
      <c r="W1919">
        <v>0</v>
      </c>
      <c r="X1919">
        <v>1</v>
      </c>
      <c r="Y1919">
        <v>0</v>
      </c>
      <c r="Z1919">
        <v>0</v>
      </c>
      <c r="AB1919">
        <v>0</v>
      </c>
      <c r="AC1919">
        <v>9</v>
      </c>
      <c r="AD1919">
        <v>3</v>
      </c>
      <c r="AE1919">
        <v>0</v>
      </c>
      <c r="AF1919">
        <v>9</v>
      </c>
      <c r="AG1919" t="s">
        <v>158</v>
      </c>
      <c r="AH1919">
        <v>0</v>
      </c>
      <c r="AI1919">
        <v>3</v>
      </c>
      <c r="AJ1919">
        <v>1</v>
      </c>
      <c r="AK1919">
        <v>0</v>
      </c>
      <c r="AL1919" t="s">
        <v>3620</v>
      </c>
      <c r="AM1919">
        <v>46.855659000000003</v>
      </c>
      <c r="AN1919" t="s">
        <v>3621</v>
      </c>
      <c r="AO1919">
        <v>-122.989132</v>
      </c>
      <c r="AP1919">
        <v>100</v>
      </c>
      <c r="AQ1919">
        <v>2100</v>
      </c>
      <c r="AR1919" t="s">
        <v>118</v>
      </c>
      <c r="AS1919">
        <v>-78</v>
      </c>
      <c r="AT1919">
        <v>18</v>
      </c>
      <c r="AU1919">
        <v>-64</v>
      </c>
      <c r="BC1919">
        <v>1200</v>
      </c>
      <c r="BD1919">
        <v>1</v>
      </c>
      <c r="BE1919" t="str">
        <f t="shared" si="89"/>
        <v xml:space="preserve">N215T   </v>
      </c>
      <c r="BF1919">
        <v>1</v>
      </c>
      <c r="BH1919">
        <v>0</v>
      </c>
      <c r="BI1919">
        <v>0</v>
      </c>
      <c r="BJ1919">
        <v>0</v>
      </c>
      <c r="BK1919">
        <v>2500</v>
      </c>
      <c r="BL1919">
        <v>400</v>
      </c>
      <c r="BM1919" t="s">
        <v>119</v>
      </c>
      <c r="BN1919">
        <v>1</v>
      </c>
      <c r="BO1919">
        <v>1</v>
      </c>
      <c r="BP1919">
        <v>1</v>
      </c>
      <c r="BQ1919">
        <v>0</v>
      </c>
      <c r="BT1919">
        <v>0</v>
      </c>
      <c r="BU1919">
        <v>0</v>
      </c>
      <c r="BV1919">
        <v>0</v>
      </c>
      <c r="CC1919" t="str">
        <f>"19:06:48.570"</f>
        <v>19:06:48.570</v>
      </c>
      <c r="CD1919" t="str">
        <f>"574015329"</f>
        <v>574015329</v>
      </c>
      <c r="CQ1919">
        <v>0</v>
      </c>
      <c r="CR1919">
        <v>2</v>
      </c>
      <c r="CS1919">
        <v>0</v>
      </c>
      <c r="CT1919">
        <v>2</v>
      </c>
      <c r="CU1919">
        <v>0</v>
      </c>
      <c r="CV1919">
        <v>6</v>
      </c>
      <c r="CW1919" t="s">
        <v>120</v>
      </c>
      <c r="CX1919">
        <v>261</v>
      </c>
      <c r="CY1919">
        <v>2</v>
      </c>
      <c r="CZ1919" t="s">
        <v>121</v>
      </c>
      <c r="DA1919" t="s">
        <v>122</v>
      </c>
      <c r="DD1919">
        <v>15395836</v>
      </c>
      <c r="DE1919" t="s">
        <v>123</v>
      </c>
    </row>
    <row r="1920" spans="1:109" x14ac:dyDescent="0.3">
      <c r="A1920" t="str">
        <f>"19:06:49.797"</f>
        <v>19:06:49.797</v>
      </c>
      <c r="B1920" t="s">
        <v>110</v>
      </c>
      <c r="C1920" t="str">
        <f t="shared" si="87"/>
        <v>ffdfd3c0</v>
      </c>
      <c r="D1920" t="s">
        <v>111</v>
      </c>
      <c r="E1920">
        <v>18</v>
      </c>
      <c r="F1920">
        <v>1018</v>
      </c>
      <c r="G1920" t="s">
        <v>112</v>
      </c>
      <c r="J1920" t="s">
        <v>113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R1920" t="s">
        <v>114</v>
      </c>
      <c r="S1920" t="str">
        <f>"19:06:49.578"</f>
        <v>19:06:49.578</v>
      </c>
      <c r="T1920" t="str">
        <f>"19:06:49.180"</f>
        <v>19:06:49.180</v>
      </c>
      <c r="U1920" t="str">
        <f t="shared" si="88"/>
        <v>a1cdbe</v>
      </c>
      <c r="V1920">
        <v>0</v>
      </c>
      <c r="W1920">
        <v>0</v>
      </c>
      <c r="X1920">
        <v>1</v>
      </c>
      <c r="Y1920">
        <v>0</v>
      </c>
      <c r="Z1920">
        <v>0</v>
      </c>
      <c r="AB1920">
        <v>0</v>
      </c>
      <c r="AC1920">
        <v>9</v>
      </c>
      <c r="AD1920">
        <v>3</v>
      </c>
      <c r="AE1920">
        <v>0</v>
      </c>
      <c r="AF1920">
        <v>9</v>
      </c>
      <c r="AG1920" t="s">
        <v>158</v>
      </c>
      <c r="AH1920">
        <v>0</v>
      </c>
      <c r="AI1920">
        <v>3</v>
      </c>
      <c r="AJ1920">
        <v>1</v>
      </c>
      <c r="AK1920">
        <v>0</v>
      </c>
      <c r="AL1920" t="s">
        <v>3622</v>
      </c>
      <c r="AM1920">
        <v>46.855724000000002</v>
      </c>
      <c r="AN1920" t="s">
        <v>3623</v>
      </c>
      <c r="AO1920">
        <v>-122.98966900000001</v>
      </c>
      <c r="AP1920">
        <v>100</v>
      </c>
      <c r="AQ1920">
        <v>2100</v>
      </c>
      <c r="AR1920" t="s">
        <v>118</v>
      </c>
      <c r="AS1920">
        <v>-78</v>
      </c>
      <c r="AT1920">
        <v>18</v>
      </c>
      <c r="AU1920">
        <v>-128</v>
      </c>
      <c r="BC1920">
        <v>1200</v>
      </c>
      <c r="BD1920">
        <v>1</v>
      </c>
      <c r="BE1920" t="str">
        <f t="shared" si="89"/>
        <v xml:space="preserve">N215T   </v>
      </c>
      <c r="BF1920">
        <v>1</v>
      </c>
      <c r="BH1920">
        <v>0</v>
      </c>
      <c r="BI1920">
        <v>0</v>
      </c>
      <c r="BJ1920">
        <v>0</v>
      </c>
      <c r="BK1920">
        <v>2500</v>
      </c>
      <c r="BL1920">
        <v>400</v>
      </c>
      <c r="BM1920" t="s">
        <v>119</v>
      </c>
      <c r="BN1920">
        <v>1</v>
      </c>
      <c r="BO1920">
        <v>1</v>
      </c>
      <c r="BP1920">
        <v>1</v>
      </c>
      <c r="BQ1920">
        <v>0</v>
      </c>
      <c r="BT1920">
        <v>0</v>
      </c>
      <c r="BU1920">
        <v>0</v>
      </c>
      <c r="BV1920">
        <v>0</v>
      </c>
      <c r="CC1920" t="str">
        <f>"19:06:49.578"</f>
        <v>19:06:49.578</v>
      </c>
      <c r="CD1920" t="str">
        <f>"578916341"</f>
        <v>578916341</v>
      </c>
      <c r="CQ1920">
        <v>0</v>
      </c>
      <c r="CR1920">
        <v>2</v>
      </c>
      <c r="CS1920">
        <v>0</v>
      </c>
      <c r="CT1920">
        <v>2</v>
      </c>
      <c r="CU1920">
        <v>0</v>
      </c>
      <c r="CV1920">
        <v>6</v>
      </c>
      <c r="CW1920" t="s">
        <v>120</v>
      </c>
      <c r="CX1920">
        <v>261</v>
      </c>
      <c r="CY1920">
        <v>2</v>
      </c>
      <c r="CZ1920" t="s">
        <v>121</v>
      </c>
      <c r="DA1920" t="s">
        <v>122</v>
      </c>
      <c r="DD1920">
        <v>15396453</v>
      </c>
      <c r="DE1920" t="s">
        <v>123</v>
      </c>
    </row>
    <row r="1921" spans="1:109" x14ac:dyDescent="0.3">
      <c r="A1921" t="str">
        <f>"19:06:50.906"</f>
        <v>19:06:50.906</v>
      </c>
      <c r="B1921" t="s">
        <v>110</v>
      </c>
      <c r="C1921" t="str">
        <f t="shared" si="87"/>
        <v>ffdfd3c0</v>
      </c>
      <c r="D1921" t="s">
        <v>111</v>
      </c>
      <c r="E1921">
        <v>18</v>
      </c>
      <c r="F1921">
        <v>1018</v>
      </c>
      <c r="G1921" t="s">
        <v>112</v>
      </c>
      <c r="J1921" t="s">
        <v>113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R1921" t="s">
        <v>114</v>
      </c>
      <c r="S1921" t="str">
        <f>"19:06:50.688"</f>
        <v>19:06:50.688</v>
      </c>
      <c r="T1921" t="str">
        <f>"19:06:50.688"</f>
        <v>19:06:50.688</v>
      </c>
      <c r="U1921" t="str">
        <f t="shared" si="88"/>
        <v>a1cdbe</v>
      </c>
      <c r="V1921">
        <v>0</v>
      </c>
      <c r="W1921">
        <v>0</v>
      </c>
      <c r="X1921">
        <v>1</v>
      </c>
      <c r="Y1921">
        <v>0</v>
      </c>
      <c r="Z1921">
        <v>0</v>
      </c>
      <c r="AB1921">
        <v>0</v>
      </c>
      <c r="AC1921">
        <v>9</v>
      </c>
      <c r="AD1921">
        <v>3</v>
      </c>
      <c r="AE1921">
        <v>0</v>
      </c>
      <c r="AF1921">
        <v>9</v>
      </c>
      <c r="AG1921" t="s">
        <v>158</v>
      </c>
      <c r="AH1921">
        <v>0</v>
      </c>
      <c r="AI1921">
        <v>3</v>
      </c>
      <c r="AJ1921">
        <v>1</v>
      </c>
      <c r="AK1921">
        <v>0</v>
      </c>
      <c r="AL1921" t="s">
        <v>1756</v>
      </c>
      <c r="AM1921">
        <v>46.855853000000003</v>
      </c>
      <c r="AN1921" t="s">
        <v>3624</v>
      </c>
      <c r="AO1921">
        <v>-122.990227</v>
      </c>
      <c r="AP1921">
        <v>100</v>
      </c>
      <c r="AQ1921">
        <v>2100</v>
      </c>
      <c r="AR1921" t="s">
        <v>118</v>
      </c>
      <c r="AS1921">
        <v>-78</v>
      </c>
      <c r="AT1921">
        <v>18</v>
      </c>
      <c r="AU1921">
        <v>-128</v>
      </c>
      <c r="BC1921">
        <v>1200</v>
      </c>
      <c r="BD1921">
        <v>1</v>
      </c>
      <c r="BE1921" t="str">
        <f t="shared" si="89"/>
        <v xml:space="preserve">N215T   </v>
      </c>
      <c r="BF1921">
        <v>1</v>
      </c>
      <c r="BH1921">
        <v>0</v>
      </c>
      <c r="BI1921">
        <v>0</v>
      </c>
      <c r="BJ1921">
        <v>0</v>
      </c>
      <c r="BK1921">
        <v>2500</v>
      </c>
      <c r="BL1921">
        <v>400</v>
      </c>
      <c r="BM1921" t="s">
        <v>119</v>
      </c>
      <c r="BN1921">
        <v>1</v>
      </c>
      <c r="BO1921">
        <v>1</v>
      </c>
      <c r="BP1921">
        <v>1</v>
      </c>
      <c r="BQ1921">
        <v>0</v>
      </c>
      <c r="BT1921">
        <v>0</v>
      </c>
      <c r="BU1921">
        <v>0</v>
      </c>
      <c r="BV1921">
        <v>0</v>
      </c>
      <c r="CC1921" t="str">
        <f>"19:06:50.688"</f>
        <v>19:06:50.688</v>
      </c>
      <c r="CD1921" t="str">
        <f>"688807023"</f>
        <v>688807023</v>
      </c>
      <c r="CQ1921">
        <v>0</v>
      </c>
      <c r="CR1921">
        <v>2</v>
      </c>
      <c r="CS1921">
        <v>0</v>
      </c>
      <c r="CT1921">
        <v>2</v>
      </c>
      <c r="CU1921">
        <v>0</v>
      </c>
      <c r="CV1921">
        <v>6</v>
      </c>
      <c r="CW1921" t="s">
        <v>120</v>
      </c>
      <c r="CX1921">
        <v>261</v>
      </c>
      <c r="CY1921">
        <v>2</v>
      </c>
      <c r="CZ1921" t="s">
        <v>121</v>
      </c>
      <c r="DA1921" t="s">
        <v>122</v>
      </c>
      <c r="DD1921">
        <v>15397101</v>
      </c>
      <c r="DE1921" t="s">
        <v>123</v>
      </c>
    </row>
    <row r="1922" spans="1:109" x14ac:dyDescent="0.3">
      <c r="A1922" t="str">
        <f>"19:06:51.953"</f>
        <v>19:06:51.953</v>
      </c>
      <c r="B1922" t="s">
        <v>110</v>
      </c>
      <c r="C1922" t="str">
        <f t="shared" ref="C1922:C1985" si="90">"ffdfd3c0"</f>
        <v>ffdfd3c0</v>
      </c>
      <c r="D1922" t="s">
        <v>111</v>
      </c>
      <c r="E1922">
        <v>18</v>
      </c>
      <c r="F1922">
        <v>1018</v>
      </c>
      <c r="G1922" t="s">
        <v>112</v>
      </c>
      <c r="J1922" t="s">
        <v>113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R1922" t="s">
        <v>114</v>
      </c>
      <c r="S1922" t="str">
        <f>"19:06:51.750"</f>
        <v>19:06:51.750</v>
      </c>
      <c r="T1922" t="str">
        <f>"19:06:51.250"</f>
        <v>19:06:51.250</v>
      </c>
      <c r="U1922" t="str">
        <f t="shared" ref="U1922:U1985" si="91">"a1cdbe"</f>
        <v>a1cdbe</v>
      </c>
      <c r="V1922">
        <v>0</v>
      </c>
      <c r="W1922">
        <v>0</v>
      </c>
      <c r="X1922">
        <v>1</v>
      </c>
      <c r="Y1922">
        <v>0</v>
      </c>
      <c r="Z1922">
        <v>0</v>
      </c>
      <c r="AB1922">
        <v>0</v>
      </c>
      <c r="AC1922">
        <v>9</v>
      </c>
      <c r="AD1922">
        <v>3</v>
      </c>
      <c r="AE1922">
        <v>0</v>
      </c>
      <c r="AF1922">
        <v>9</v>
      </c>
      <c r="AG1922" t="s">
        <v>158</v>
      </c>
      <c r="AH1922">
        <v>0</v>
      </c>
      <c r="AI1922">
        <v>3</v>
      </c>
      <c r="AJ1922">
        <v>1</v>
      </c>
      <c r="AK1922">
        <v>0</v>
      </c>
      <c r="AL1922" t="s">
        <v>3625</v>
      </c>
      <c r="AM1922">
        <v>46.855916999999998</v>
      </c>
      <c r="AN1922" t="s">
        <v>3626</v>
      </c>
      <c r="AO1922">
        <v>-122.99080600000001</v>
      </c>
      <c r="AP1922">
        <v>100</v>
      </c>
      <c r="AQ1922">
        <v>2100</v>
      </c>
      <c r="AR1922" t="s">
        <v>118</v>
      </c>
      <c r="AS1922">
        <v>-78</v>
      </c>
      <c r="AT1922">
        <v>17</v>
      </c>
      <c r="AU1922">
        <v>-128</v>
      </c>
      <c r="BC1922">
        <v>1200</v>
      </c>
      <c r="BD1922">
        <v>1</v>
      </c>
      <c r="BE1922" t="str">
        <f t="shared" ref="BE1922:BE1985" si="92">"N215T   "</f>
        <v xml:space="preserve">N215T   </v>
      </c>
      <c r="BF1922">
        <v>1</v>
      </c>
      <c r="BH1922">
        <v>0</v>
      </c>
      <c r="BI1922">
        <v>0</v>
      </c>
      <c r="BJ1922">
        <v>0</v>
      </c>
      <c r="BK1922">
        <v>2475</v>
      </c>
      <c r="BL1922">
        <v>375</v>
      </c>
      <c r="BM1922" t="s">
        <v>119</v>
      </c>
      <c r="BN1922">
        <v>1</v>
      </c>
      <c r="BO1922">
        <v>1</v>
      </c>
      <c r="BP1922">
        <v>1</v>
      </c>
      <c r="BQ1922">
        <v>0</v>
      </c>
      <c r="BT1922">
        <v>0</v>
      </c>
      <c r="BU1922">
        <v>0</v>
      </c>
      <c r="BV1922">
        <v>0</v>
      </c>
      <c r="CC1922" t="str">
        <f>"19:06:51.750"</f>
        <v>19:06:51.750</v>
      </c>
      <c r="CD1922" t="str">
        <f>"753702133"</f>
        <v>753702133</v>
      </c>
      <c r="CQ1922">
        <v>0</v>
      </c>
      <c r="CR1922">
        <v>2</v>
      </c>
      <c r="CS1922">
        <v>0</v>
      </c>
      <c r="CT1922">
        <v>2</v>
      </c>
      <c r="CU1922">
        <v>0</v>
      </c>
      <c r="CV1922">
        <v>6</v>
      </c>
      <c r="CW1922" t="s">
        <v>120</v>
      </c>
      <c r="CX1922">
        <v>261</v>
      </c>
      <c r="CY1922">
        <v>2</v>
      </c>
      <c r="CZ1922" t="s">
        <v>121</v>
      </c>
      <c r="DA1922" t="s">
        <v>122</v>
      </c>
      <c r="DD1922">
        <v>15397758</v>
      </c>
      <c r="DE1922" t="s">
        <v>123</v>
      </c>
    </row>
    <row r="1923" spans="1:109" x14ac:dyDescent="0.3">
      <c r="A1923" t="str">
        <f>"19:06:53.016"</f>
        <v>19:06:53.016</v>
      </c>
      <c r="B1923" t="s">
        <v>110</v>
      </c>
      <c r="C1923" t="str">
        <f t="shared" si="90"/>
        <v>ffdfd3c0</v>
      </c>
      <c r="D1923" t="s">
        <v>111</v>
      </c>
      <c r="E1923">
        <v>18</v>
      </c>
      <c r="F1923">
        <v>1018</v>
      </c>
      <c r="G1923" t="s">
        <v>112</v>
      </c>
      <c r="J1923" t="s">
        <v>113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R1923" t="s">
        <v>114</v>
      </c>
      <c r="S1923" t="str">
        <f>"19:06:52.813"</f>
        <v>19:06:52.813</v>
      </c>
      <c r="T1923" t="str">
        <f>"19:06:52.813"</f>
        <v>19:06:52.813</v>
      </c>
      <c r="U1923" t="str">
        <f t="shared" si="91"/>
        <v>a1cdbe</v>
      </c>
      <c r="V1923">
        <v>0</v>
      </c>
      <c r="W1923">
        <v>0</v>
      </c>
      <c r="X1923">
        <v>1</v>
      </c>
      <c r="Y1923">
        <v>0</v>
      </c>
      <c r="Z1923">
        <v>0</v>
      </c>
      <c r="AB1923">
        <v>0</v>
      </c>
      <c r="AC1923">
        <v>9</v>
      </c>
      <c r="AD1923">
        <v>3</v>
      </c>
      <c r="AE1923">
        <v>0</v>
      </c>
      <c r="AF1923">
        <v>9</v>
      </c>
      <c r="AG1923" t="s">
        <v>158</v>
      </c>
      <c r="AH1923">
        <v>0</v>
      </c>
      <c r="AI1923">
        <v>3</v>
      </c>
      <c r="AJ1923">
        <v>1</v>
      </c>
      <c r="AK1923">
        <v>0</v>
      </c>
      <c r="AL1923" t="s">
        <v>3627</v>
      </c>
      <c r="AM1923">
        <v>46.856003000000001</v>
      </c>
      <c r="AN1923" t="s">
        <v>3628</v>
      </c>
      <c r="AO1923">
        <v>-122.991407</v>
      </c>
      <c r="AP1923">
        <v>100</v>
      </c>
      <c r="AQ1923">
        <v>2100</v>
      </c>
      <c r="AR1923" t="s">
        <v>118</v>
      </c>
      <c r="AS1923">
        <v>-79</v>
      </c>
      <c r="AT1923">
        <v>17</v>
      </c>
      <c r="AU1923">
        <v>-128</v>
      </c>
      <c r="BC1923">
        <v>1200</v>
      </c>
      <c r="BD1923">
        <v>1</v>
      </c>
      <c r="BE1923" t="str">
        <f t="shared" si="92"/>
        <v xml:space="preserve">N215T   </v>
      </c>
      <c r="BF1923">
        <v>1</v>
      </c>
      <c r="BH1923">
        <v>0</v>
      </c>
      <c r="BI1923">
        <v>0</v>
      </c>
      <c r="BJ1923">
        <v>0</v>
      </c>
      <c r="BK1923">
        <v>2475</v>
      </c>
      <c r="BL1923">
        <v>375</v>
      </c>
      <c r="BM1923" t="s">
        <v>119</v>
      </c>
      <c r="BN1923">
        <v>1</v>
      </c>
      <c r="BO1923">
        <v>1</v>
      </c>
      <c r="BP1923">
        <v>1</v>
      </c>
      <c r="BQ1923">
        <v>0</v>
      </c>
      <c r="BT1923">
        <v>0</v>
      </c>
      <c r="BU1923">
        <v>0</v>
      </c>
      <c r="BV1923">
        <v>0</v>
      </c>
      <c r="CC1923" t="str">
        <f>"19:06:52.820"</f>
        <v>19:06:52.820</v>
      </c>
      <c r="CD1923" t="str">
        <f>"818597246"</f>
        <v>818597246</v>
      </c>
      <c r="CQ1923">
        <v>0</v>
      </c>
      <c r="CR1923">
        <v>2</v>
      </c>
      <c r="CS1923">
        <v>0</v>
      </c>
      <c r="CT1923">
        <v>2</v>
      </c>
      <c r="CU1923">
        <v>0</v>
      </c>
      <c r="CV1923">
        <v>6</v>
      </c>
      <c r="CW1923" t="s">
        <v>120</v>
      </c>
      <c r="CX1923">
        <v>261</v>
      </c>
      <c r="CY1923">
        <v>2</v>
      </c>
      <c r="CZ1923" t="s">
        <v>121</v>
      </c>
      <c r="DA1923" t="s">
        <v>122</v>
      </c>
      <c r="DD1923">
        <v>15398454</v>
      </c>
      <c r="DE1923" t="s">
        <v>123</v>
      </c>
    </row>
    <row r="1924" spans="1:109" x14ac:dyDescent="0.3">
      <c r="A1924" t="str">
        <f>"19:06:54.016"</f>
        <v>19:06:54.016</v>
      </c>
      <c r="B1924" t="s">
        <v>110</v>
      </c>
      <c r="C1924" t="str">
        <f t="shared" si="90"/>
        <v>ffdfd3c0</v>
      </c>
      <c r="D1924" t="s">
        <v>111</v>
      </c>
      <c r="E1924">
        <v>18</v>
      </c>
      <c r="F1924">
        <v>1018</v>
      </c>
      <c r="G1924" t="s">
        <v>112</v>
      </c>
      <c r="J1924" t="s">
        <v>113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R1924" t="s">
        <v>114</v>
      </c>
      <c r="S1924" t="str">
        <f>"19:06:53.773"</f>
        <v>19:06:53.773</v>
      </c>
      <c r="T1924" t="str">
        <f>"19:06:53.273"</f>
        <v>19:06:53.273</v>
      </c>
      <c r="U1924" t="str">
        <f t="shared" si="91"/>
        <v>a1cdbe</v>
      </c>
      <c r="V1924">
        <v>0</v>
      </c>
      <c r="W1924">
        <v>0</v>
      </c>
      <c r="X1924">
        <v>1</v>
      </c>
      <c r="Y1924">
        <v>0</v>
      </c>
      <c r="Z1924">
        <v>0</v>
      </c>
      <c r="AB1924">
        <v>0</v>
      </c>
      <c r="AC1924">
        <v>9</v>
      </c>
      <c r="AD1924">
        <v>3</v>
      </c>
      <c r="AE1924">
        <v>0</v>
      </c>
      <c r="AF1924">
        <v>9</v>
      </c>
      <c r="AG1924" t="s">
        <v>158</v>
      </c>
      <c r="AH1924">
        <v>0</v>
      </c>
      <c r="AI1924">
        <v>3</v>
      </c>
      <c r="AJ1924">
        <v>1</v>
      </c>
      <c r="AK1924">
        <v>0</v>
      </c>
      <c r="AL1924" t="s">
        <v>3629</v>
      </c>
      <c r="AM1924">
        <v>46.856088999999997</v>
      </c>
      <c r="AN1924" t="s">
        <v>3630</v>
      </c>
      <c r="AO1924">
        <v>-122.991879</v>
      </c>
      <c r="AP1924">
        <v>100</v>
      </c>
      <c r="AQ1924">
        <v>2100</v>
      </c>
      <c r="AR1924" t="s">
        <v>118</v>
      </c>
      <c r="AS1924">
        <v>-79</v>
      </c>
      <c r="AT1924">
        <v>17</v>
      </c>
      <c r="AU1924">
        <v>-128</v>
      </c>
      <c r="BC1924">
        <v>1200</v>
      </c>
      <c r="BD1924">
        <v>1</v>
      </c>
      <c r="BE1924" t="str">
        <f t="shared" si="92"/>
        <v xml:space="preserve">N215T   </v>
      </c>
      <c r="BF1924">
        <v>1</v>
      </c>
      <c r="BH1924">
        <v>0</v>
      </c>
      <c r="BI1924">
        <v>0</v>
      </c>
      <c r="BJ1924">
        <v>0</v>
      </c>
      <c r="BK1924">
        <v>2475</v>
      </c>
      <c r="BL1924">
        <v>375</v>
      </c>
      <c r="BM1924" t="s">
        <v>119</v>
      </c>
      <c r="BN1924">
        <v>1</v>
      </c>
      <c r="BO1924">
        <v>1</v>
      </c>
      <c r="BP1924">
        <v>1</v>
      </c>
      <c r="BQ1924">
        <v>0</v>
      </c>
      <c r="BT1924">
        <v>0</v>
      </c>
      <c r="BU1924">
        <v>0</v>
      </c>
      <c r="BV1924">
        <v>0</v>
      </c>
      <c r="CC1924" t="str">
        <f>"19:06:53.781"</f>
        <v>19:06:53.781</v>
      </c>
      <c r="CD1924" t="str">
        <f>"778502692"</f>
        <v>778502692</v>
      </c>
      <c r="CQ1924">
        <v>0</v>
      </c>
      <c r="CR1924">
        <v>2</v>
      </c>
      <c r="CS1924">
        <v>0</v>
      </c>
      <c r="CT1924">
        <v>2</v>
      </c>
      <c r="CU1924">
        <v>0</v>
      </c>
      <c r="CV1924">
        <v>6</v>
      </c>
      <c r="CW1924" t="s">
        <v>120</v>
      </c>
      <c r="CX1924">
        <v>261</v>
      </c>
      <c r="CY1924">
        <v>2</v>
      </c>
      <c r="CZ1924" t="s">
        <v>121</v>
      </c>
      <c r="DA1924" t="s">
        <v>122</v>
      </c>
      <c r="DD1924">
        <v>15399036</v>
      </c>
      <c r="DE1924" t="s">
        <v>123</v>
      </c>
    </row>
    <row r="1925" spans="1:109" x14ac:dyDescent="0.3">
      <c r="A1925" t="str">
        <f>"19:06:55.125"</f>
        <v>19:06:55.125</v>
      </c>
      <c r="B1925" t="s">
        <v>110</v>
      </c>
      <c r="C1925" t="str">
        <f t="shared" si="90"/>
        <v>ffdfd3c0</v>
      </c>
      <c r="D1925" t="s">
        <v>111</v>
      </c>
      <c r="E1925">
        <v>18</v>
      </c>
      <c r="F1925">
        <v>1018</v>
      </c>
      <c r="G1925" t="s">
        <v>112</v>
      </c>
      <c r="J1925" t="s">
        <v>113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R1925" t="s">
        <v>114</v>
      </c>
      <c r="S1925" t="str">
        <f>"19:06:54.836"</f>
        <v>19:06:54.836</v>
      </c>
      <c r="T1925" t="str">
        <f>"19:06:54.836"</f>
        <v>19:06:54.836</v>
      </c>
      <c r="U1925" t="str">
        <f t="shared" si="91"/>
        <v>a1cdbe</v>
      </c>
      <c r="V1925">
        <v>0</v>
      </c>
      <c r="W1925">
        <v>0</v>
      </c>
      <c r="X1925">
        <v>1</v>
      </c>
      <c r="Y1925">
        <v>0</v>
      </c>
      <c r="Z1925">
        <v>0</v>
      </c>
      <c r="AB1925">
        <v>0</v>
      </c>
      <c r="AC1925">
        <v>9</v>
      </c>
      <c r="AD1925">
        <v>3</v>
      </c>
      <c r="AE1925">
        <v>0</v>
      </c>
      <c r="AF1925">
        <v>9</v>
      </c>
      <c r="AG1925" t="s">
        <v>158</v>
      </c>
      <c r="AH1925">
        <v>0</v>
      </c>
      <c r="AI1925">
        <v>3</v>
      </c>
      <c r="AJ1925">
        <v>1</v>
      </c>
      <c r="AK1925">
        <v>0</v>
      </c>
      <c r="AL1925" t="s">
        <v>3631</v>
      </c>
      <c r="AM1925">
        <v>46.856195999999997</v>
      </c>
      <c r="AN1925" t="s">
        <v>3632</v>
      </c>
      <c r="AO1925">
        <v>-122.99248</v>
      </c>
      <c r="AP1925">
        <v>100</v>
      </c>
      <c r="AQ1925">
        <v>2100</v>
      </c>
      <c r="AR1925" t="s">
        <v>118</v>
      </c>
      <c r="AS1925">
        <v>-78</v>
      </c>
      <c r="AT1925">
        <v>20</v>
      </c>
      <c r="AU1925">
        <v>-128</v>
      </c>
      <c r="BC1925">
        <v>1200</v>
      </c>
      <c r="BD1925">
        <v>1</v>
      </c>
      <c r="BE1925" t="str">
        <f t="shared" si="92"/>
        <v xml:space="preserve">N215T   </v>
      </c>
      <c r="BF1925">
        <v>1</v>
      </c>
      <c r="BH1925">
        <v>0</v>
      </c>
      <c r="BI1925">
        <v>0</v>
      </c>
      <c r="BJ1925">
        <v>0</v>
      </c>
      <c r="BK1925">
        <v>2475</v>
      </c>
      <c r="BL1925">
        <v>375</v>
      </c>
      <c r="BM1925" t="s">
        <v>119</v>
      </c>
      <c r="BN1925">
        <v>1</v>
      </c>
      <c r="BO1925">
        <v>1</v>
      </c>
      <c r="BP1925">
        <v>1</v>
      </c>
      <c r="BQ1925">
        <v>0</v>
      </c>
      <c r="BT1925">
        <v>0</v>
      </c>
      <c r="BU1925">
        <v>0</v>
      </c>
      <c r="BV1925">
        <v>0</v>
      </c>
      <c r="CC1925" t="str">
        <f>"19:06:54.844"</f>
        <v>19:06:54.844</v>
      </c>
      <c r="CD1925" t="str">
        <f>"843417601"</f>
        <v>843417601</v>
      </c>
      <c r="CQ1925">
        <v>0</v>
      </c>
      <c r="CR1925">
        <v>2</v>
      </c>
      <c r="CS1925">
        <v>0</v>
      </c>
      <c r="CT1925">
        <v>2</v>
      </c>
      <c r="CU1925">
        <v>0</v>
      </c>
      <c r="CV1925">
        <v>5</v>
      </c>
      <c r="CW1925" t="s">
        <v>120</v>
      </c>
      <c r="CX1925">
        <v>257</v>
      </c>
      <c r="CY1925">
        <v>0</v>
      </c>
      <c r="CZ1925" t="s">
        <v>615</v>
      </c>
      <c r="DA1925" t="s">
        <v>616</v>
      </c>
      <c r="DD1925">
        <v>15618781</v>
      </c>
      <c r="DE1925" t="s">
        <v>123</v>
      </c>
    </row>
    <row r="1926" spans="1:109" x14ac:dyDescent="0.3">
      <c r="A1926" t="str">
        <f>"19:06:55.930"</f>
        <v>19:06:55.930</v>
      </c>
      <c r="B1926" t="s">
        <v>110</v>
      </c>
      <c r="C1926" t="str">
        <f t="shared" si="90"/>
        <v>ffdfd3c0</v>
      </c>
      <c r="D1926" t="s">
        <v>111</v>
      </c>
      <c r="E1926">
        <v>18</v>
      </c>
      <c r="F1926">
        <v>1018</v>
      </c>
      <c r="G1926" t="s">
        <v>112</v>
      </c>
      <c r="J1926" t="s">
        <v>113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R1926" t="s">
        <v>114</v>
      </c>
      <c r="S1926" t="str">
        <f>"19:06:55.711"</f>
        <v>19:06:55.711</v>
      </c>
      <c r="T1926" t="str">
        <f>"19:06:55.414"</f>
        <v>19:06:55.414</v>
      </c>
      <c r="U1926" t="str">
        <f t="shared" si="91"/>
        <v>a1cdbe</v>
      </c>
      <c r="V1926">
        <v>0</v>
      </c>
      <c r="W1926">
        <v>0</v>
      </c>
      <c r="X1926">
        <v>1</v>
      </c>
      <c r="Y1926">
        <v>0</v>
      </c>
      <c r="Z1926">
        <v>0</v>
      </c>
      <c r="AB1926">
        <v>0</v>
      </c>
      <c r="AC1926">
        <v>9</v>
      </c>
      <c r="AD1926">
        <v>3</v>
      </c>
      <c r="AE1926">
        <v>0</v>
      </c>
      <c r="AF1926">
        <v>9</v>
      </c>
      <c r="AG1926" t="s">
        <v>158</v>
      </c>
      <c r="AH1926">
        <v>0</v>
      </c>
      <c r="AI1926">
        <v>3</v>
      </c>
      <c r="AJ1926">
        <v>1</v>
      </c>
      <c r="AK1926">
        <v>0</v>
      </c>
      <c r="AL1926" t="s">
        <v>3633</v>
      </c>
      <c r="AM1926">
        <v>46.856282</v>
      </c>
      <c r="AN1926" t="s">
        <v>3634</v>
      </c>
      <c r="AO1926">
        <v>-122.992887</v>
      </c>
      <c r="AP1926">
        <v>100</v>
      </c>
      <c r="AQ1926">
        <v>2100</v>
      </c>
      <c r="AR1926" t="s">
        <v>118</v>
      </c>
      <c r="AS1926">
        <v>-77</v>
      </c>
      <c r="AT1926">
        <v>21</v>
      </c>
      <c r="AU1926">
        <v>-64</v>
      </c>
      <c r="BC1926">
        <v>1200</v>
      </c>
      <c r="BD1926">
        <v>1</v>
      </c>
      <c r="BE1926" t="str">
        <f t="shared" si="92"/>
        <v xml:space="preserve">N215T   </v>
      </c>
      <c r="BF1926">
        <v>1</v>
      </c>
      <c r="BH1926">
        <v>0</v>
      </c>
      <c r="BI1926">
        <v>0</v>
      </c>
      <c r="BJ1926">
        <v>0</v>
      </c>
      <c r="BK1926">
        <v>2475</v>
      </c>
      <c r="BL1926">
        <v>375</v>
      </c>
      <c r="BM1926" t="s">
        <v>119</v>
      </c>
      <c r="BN1926">
        <v>1</v>
      </c>
      <c r="BO1926">
        <v>1</v>
      </c>
      <c r="BP1926">
        <v>1</v>
      </c>
      <c r="BQ1926">
        <v>0</v>
      </c>
      <c r="BT1926">
        <v>0</v>
      </c>
      <c r="BU1926">
        <v>0</v>
      </c>
      <c r="BV1926">
        <v>0</v>
      </c>
      <c r="CC1926" t="str">
        <f>"19:06:55.711"</f>
        <v>19:06:55.711</v>
      </c>
      <c r="CD1926" t="str">
        <f>"713312106"</f>
        <v>713312106</v>
      </c>
      <c r="CQ1926">
        <v>0</v>
      </c>
      <c r="CR1926">
        <v>2</v>
      </c>
      <c r="CS1926">
        <v>0</v>
      </c>
      <c r="CT1926">
        <v>2</v>
      </c>
      <c r="CU1926">
        <v>0</v>
      </c>
      <c r="CV1926">
        <v>6</v>
      </c>
      <c r="CW1926" t="s">
        <v>120</v>
      </c>
      <c r="CX1926">
        <v>261</v>
      </c>
      <c r="CY1926">
        <v>2</v>
      </c>
      <c r="CZ1926" t="s">
        <v>121</v>
      </c>
      <c r="DA1926" t="s">
        <v>122</v>
      </c>
      <c r="DD1926">
        <v>15400264</v>
      </c>
      <c r="DE1926" t="s">
        <v>123</v>
      </c>
    </row>
    <row r="1927" spans="1:109" x14ac:dyDescent="0.3">
      <c r="A1927" t="str">
        <f>"19:06:56.992"</f>
        <v>19:06:56.992</v>
      </c>
      <c r="B1927" t="s">
        <v>110</v>
      </c>
      <c r="C1927" t="str">
        <f t="shared" si="90"/>
        <v>ffdfd3c0</v>
      </c>
      <c r="D1927" t="s">
        <v>111</v>
      </c>
      <c r="E1927">
        <v>18</v>
      </c>
      <c r="F1927">
        <v>1018</v>
      </c>
      <c r="G1927" t="s">
        <v>112</v>
      </c>
      <c r="J1927" t="s">
        <v>113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R1927" t="s">
        <v>114</v>
      </c>
      <c r="S1927" t="str">
        <f>"19:06:56.742"</f>
        <v>19:06:56.742</v>
      </c>
      <c r="T1927" t="str">
        <f>"19:06:56.742"</f>
        <v>19:06:56.742</v>
      </c>
      <c r="U1927" t="str">
        <f t="shared" si="91"/>
        <v>a1cdbe</v>
      </c>
      <c r="V1927">
        <v>0</v>
      </c>
      <c r="W1927">
        <v>0</v>
      </c>
      <c r="X1927">
        <v>1</v>
      </c>
      <c r="Y1927">
        <v>0</v>
      </c>
      <c r="Z1927">
        <v>0</v>
      </c>
      <c r="AB1927">
        <v>0</v>
      </c>
      <c r="AC1927">
        <v>9</v>
      </c>
      <c r="AD1927">
        <v>3</v>
      </c>
      <c r="AE1927">
        <v>0</v>
      </c>
      <c r="AF1927">
        <v>9</v>
      </c>
      <c r="AG1927" t="s">
        <v>158</v>
      </c>
      <c r="AH1927">
        <v>0</v>
      </c>
      <c r="AI1927">
        <v>3</v>
      </c>
      <c r="AJ1927">
        <v>1</v>
      </c>
      <c r="AK1927">
        <v>0</v>
      </c>
      <c r="AL1927" t="s">
        <v>1750</v>
      </c>
      <c r="AM1927">
        <v>46.856368000000003</v>
      </c>
      <c r="AN1927" t="s">
        <v>3635</v>
      </c>
      <c r="AO1927">
        <v>-122.99344499999999</v>
      </c>
      <c r="AP1927">
        <v>100</v>
      </c>
      <c r="AQ1927">
        <v>2100</v>
      </c>
      <c r="AR1927" t="s">
        <v>118</v>
      </c>
      <c r="AS1927">
        <v>-76</v>
      </c>
      <c r="AT1927">
        <v>24</v>
      </c>
      <c r="AU1927">
        <v>0</v>
      </c>
      <c r="BC1927">
        <v>1200</v>
      </c>
      <c r="BD1927">
        <v>1</v>
      </c>
      <c r="BE1927" t="str">
        <f t="shared" si="92"/>
        <v xml:space="preserve">N215T   </v>
      </c>
      <c r="BF1927">
        <v>1</v>
      </c>
      <c r="BH1927">
        <v>0</v>
      </c>
      <c r="BI1927">
        <v>0</v>
      </c>
      <c r="BJ1927">
        <v>0</v>
      </c>
      <c r="BK1927">
        <v>2475</v>
      </c>
      <c r="BL1927">
        <v>375</v>
      </c>
      <c r="BM1927" t="s">
        <v>119</v>
      </c>
      <c r="BN1927">
        <v>1</v>
      </c>
      <c r="BO1927">
        <v>1</v>
      </c>
      <c r="BP1927">
        <v>1</v>
      </c>
      <c r="BQ1927">
        <v>0</v>
      </c>
      <c r="BT1927">
        <v>0</v>
      </c>
      <c r="BU1927">
        <v>0</v>
      </c>
      <c r="BV1927">
        <v>0</v>
      </c>
      <c r="CC1927" t="str">
        <f>"19:06:56.750"</f>
        <v>19:06:56.750</v>
      </c>
      <c r="CD1927" t="str">
        <f>"748210162"</f>
        <v>748210162</v>
      </c>
      <c r="CQ1927">
        <v>0</v>
      </c>
      <c r="CR1927">
        <v>2</v>
      </c>
      <c r="CS1927">
        <v>0</v>
      </c>
      <c r="CT1927">
        <v>2</v>
      </c>
      <c r="CU1927">
        <v>0</v>
      </c>
      <c r="CV1927">
        <v>6</v>
      </c>
      <c r="CW1927" t="s">
        <v>120</v>
      </c>
      <c r="CX1927">
        <v>261</v>
      </c>
      <c r="CY1927">
        <v>2</v>
      </c>
      <c r="CZ1927" t="s">
        <v>121</v>
      </c>
      <c r="DA1927" t="s">
        <v>122</v>
      </c>
      <c r="DD1927">
        <v>15400943</v>
      </c>
      <c r="DE1927" t="s">
        <v>123</v>
      </c>
    </row>
    <row r="1928" spans="1:109" x14ac:dyDescent="0.3">
      <c r="A1928" t="str">
        <f>"19:06:57.992"</f>
        <v>19:06:57.992</v>
      </c>
      <c r="B1928" t="s">
        <v>110</v>
      </c>
      <c r="C1928" t="str">
        <f t="shared" si="90"/>
        <v>ffdfd3c0</v>
      </c>
      <c r="D1928" t="s">
        <v>111</v>
      </c>
      <c r="E1928">
        <v>18</v>
      </c>
      <c r="F1928">
        <v>1018</v>
      </c>
      <c r="G1928" t="s">
        <v>112</v>
      </c>
      <c r="J1928" t="s">
        <v>113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R1928" t="s">
        <v>114</v>
      </c>
      <c r="S1928" t="str">
        <f>"19:06:57.750"</f>
        <v>19:06:57.750</v>
      </c>
      <c r="T1928" t="str">
        <f>"19:06:57.250"</f>
        <v>19:06:57.250</v>
      </c>
      <c r="U1928" t="str">
        <f t="shared" si="91"/>
        <v>a1cdbe</v>
      </c>
      <c r="V1928">
        <v>0</v>
      </c>
      <c r="W1928">
        <v>0</v>
      </c>
      <c r="X1928">
        <v>1</v>
      </c>
      <c r="Y1928">
        <v>0</v>
      </c>
      <c r="Z1928">
        <v>0</v>
      </c>
      <c r="AB1928">
        <v>0</v>
      </c>
      <c r="AC1928">
        <v>9</v>
      </c>
      <c r="AD1928">
        <v>3</v>
      </c>
      <c r="AE1928">
        <v>0</v>
      </c>
      <c r="AF1928">
        <v>9</v>
      </c>
      <c r="AG1928" t="s">
        <v>158</v>
      </c>
      <c r="AH1928">
        <v>0</v>
      </c>
      <c r="AI1928">
        <v>3</v>
      </c>
      <c r="AJ1928">
        <v>1</v>
      </c>
      <c r="AK1928">
        <v>0</v>
      </c>
      <c r="AL1928" t="s">
        <v>3636</v>
      </c>
      <c r="AM1928">
        <v>46.856496</v>
      </c>
      <c r="AN1928" t="s">
        <v>3637</v>
      </c>
      <c r="AO1928">
        <v>-122.993939</v>
      </c>
      <c r="AP1928">
        <v>100</v>
      </c>
      <c r="AQ1928">
        <v>2100</v>
      </c>
      <c r="AR1928" t="s">
        <v>118</v>
      </c>
      <c r="AS1928">
        <v>-76</v>
      </c>
      <c r="AT1928">
        <v>25</v>
      </c>
      <c r="AU1928">
        <v>-64</v>
      </c>
      <c r="BC1928">
        <v>1200</v>
      </c>
      <c r="BD1928">
        <v>1</v>
      </c>
      <c r="BE1928" t="str">
        <f t="shared" si="92"/>
        <v xml:space="preserve">N215T   </v>
      </c>
      <c r="BF1928">
        <v>1</v>
      </c>
      <c r="BH1928">
        <v>0</v>
      </c>
      <c r="BI1928">
        <v>0</v>
      </c>
      <c r="BJ1928">
        <v>0</v>
      </c>
      <c r="BK1928">
        <v>2475</v>
      </c>
      <c r="BL1928">
        <v>375</v>
      </c>
      <c r="BM1928" t="s">
        <v>119</v>
      </c>
      <c r="BN1928">
        <v>1</v>
      </c>
      <c r="BO1928">
        <v>1</v>
      </c>
      <c r="BP1928">
        <v>1</v>
      </c>
      <c r="BQ1928">
        <v>0</v>
      </c>
      <c r="BT1928">
        <v>0</v>
      </c>
      <c r="BU1928">
        <v>0</v>
      </c>
      <c r="BV1928">
        <v>0</v>
      </c>
      <c r="CC1928" t="str">
        <f>"19:06:57.750"</f>
        <v>19:06:57.750</v>
      </c>
      <c r="CD1928" t="str">
        <f>"753111170"</f>
        <v>753111170</v>
      </c>
      <c r="CQ1928">
        <v>0</v>
      </c>
      <c r="CR1928">
        <v>2</v>
      </c>
      <c r="CS1928">
        <v>0</v>
      </c>
      <c r="CT1928">
        <v>2</v>
      </c>
      <c r="CU1928">
        <v>0</v>
      </c>
      <c r="CV1928">
        <v>6</v>
      </c>
      <c r="CW1928" t="s">
        <v>120</v>
      </c>
      <c r="CX1928">
        <v>261</v>
      </c>
      <c r="CY1928">
        <v>2</v>
      </c>
      <c r="CZ1928" t="s">
        <v>121</v>
      </c>
      <c r="DA1928" t="s">
        <v>122</v>
      </c>
      <c r="DD1928">
        <v>15401585</v>
      </c>
      <c r="DE1928" t="s">
        <v>123</v>
      </c>
    </row>
    <row r="1929" spans="1:109" x14ac:dyDescent="0.3">
      <c r="A1929" t="str">
        <f>"19:06:59.000"</f>
        <v>19:06:59.000</v>
      </c>
      <c r="B1929" t="s">
        <v>110</v>
      </c>
      <c r="C1929" t="str">
        <f t="shared" si="90"/>
        <v>ffdfd3c0</v>
      </c>
      <c r="D1929" t="s">
        <v>111</v>
      </c>
      <c r="E1929">
        <v>18</v>
      </c>
      <c r="F1929">
        <v>1018</v>
      </c>
      <c r="G1929" t="s">
        <v>112</v>
      </c>
      <c r="J1929" t="s">
        <v>113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R1929" t="s">
        <v>114</v>
      </c>
      <c r="S1929" t="str">
        <f>"19:06:58.781"</f>
        <v>19:06:58.781</v>
      </c>
      <c r="T1929" t="str">
        <f>"19:06:58.383"</f>
        <v>19:06:58.383</v>
      </c>
      <c r="U1929" t="str">
        <f t="shared" si="91"/>
        <v>a1cdbe</v>
      </c>
      <c r="V1929">
        <v>0</v>
      </c>
      <c r="W1929">
        <v>0</v>
      </c>
      <c r="X1929">
        <v>1</v>
      </c>
      <c r="Y1929">
        <v>0</v>
      </c>
      <c r="Z1929">
        <v>0</v>
      </c>
      <c r="AB1929">
        <v>0</v>
      </c>
      <c r="AC1929">
        <v>9</v>
      </c>
      <c r="AD1929">
        <v>3</v>
      </c>
      <c r="AE1929">
        <v>0</v>
      </c>
      <c r="AF1929">
        <v>9</v>
      </c>
      <c r="AG1929" t="s">
        <v>158</v>
      </c>
      <c r="AH1929">
        <v>0</v>
      </c>
      <c r="AI1929">
        <v>3</v>
      </c>
      <c r="AJ1929">
        <v>1</v>
      </c>
      <c r="AK1929">
        <v>0</v>
      </c>
      <c r="AL1929" t="s">
        <v>3638</v>
      </c>
      <c r="AM1929">
        <v>46.856603999999997</v>
      </c>
      <c r="AN1929" t="s">
        <v>3639</v>
      </c>
      <c r="AO1929">
        <v>-122.994497</v>
      </c>
      <c r="AP1929">
        <v>100</v>
      </c>
      <c r="AQ1929">
        <v>2100</v>
      </c>
      <c r="AR1929" t="s">
        <v>118</v>
      </c>
      <c r="AS1929">
        <v>-75</v>
      </c>
      <c r="AT1929">
        <v>25</v>
      </c>
      <c r="AU1929">
        <v>-128</v>
      </c>
      <c r="BC1929">
        <v>1200</v>
      </c>
      <c r="BD1929">
        <v>1</v>
      </c>
      <c r="BE1929" t="str">
        <f t="shared" si="92"/>
        <v xml:space="preserve">N215T   </v>
      </c>
      <c r="BF1929">
        <v>1</v>
      </c>
      <c r="BH1929">
        <v>0</v>
      </c>
      <c r="BI1929">
        <v>0</v>
      </c>
      <c r="BJ1929">
        <v>0</v>
      </c>
      <c r="BK1929">
        <v>2475</v>
      </c>
      <c r="BL1929">
        <v>375</v>
      </c>
      <c r="BM1929" t="s">
        <v>119</v>
      </c>
      <c r="BN1929">
        <v>1</v>
      </c>
      <c r="BO1929">
        <v>1</v>
      </c>
      <c r="BP1929">
        <v>1</v>
      </c>
      <c r="BQ1929">
        <v>0</v>
      </c>
      <c r="BT1929">
        <v>0</v>
      </c>
      <c r="BU1929">
        <v>0</v>
      </c>
      <c r="BV1929">
        <v>0</v>
      </c>
      <c r="CC1929" t="str">
        <f>"19:06:58.789"</f>
        <v>19:06:58.789</v>
      </c>
      <c r="CD1929" t="str">
        <f>"788009211"</f>
        <v>788009211</v>
      </c>
      <c r="CQ1929">
        <v>0</v>
      </c>
      <c r="CR1929">
        <v>2</v>
      </c>
      <c r="CS1929">
        <v>0</v>
      </c>
      <c r="CT1929">
        <v>2</v>
      </c>
      <c r="CU1929">
        <v>0</v>
      </c>
      <c r="CV1929">
        <v>6</v>
      </c>
      <c r="CW1929" t="s">
        <v>120</v>
      </c>
      <c r="CX1929">
        <v>261</v>
      </c>
      <c r="CY1929">
        <v>2</v>
      </c>
      <c r="CZ1929" t="s">
        <v>121</v>
      </c>
      <c r="DA1929" t="s">
        <v>122</v>
      </c>
      <c r="DD1929">
        <v>15402153</v>
      </c>
      <c r="DE1929" t="s">
        <v>123</v>
      </c>
    </row>
    <row r="1930" spans="1:109" x14ac:dyDescent="0.3">
      <c r="A1930" t="str">
        <f>"19:06:59.953"</f>
        <v>19:06:59.953</v>
      </c>
      <c r="B1930" t="s">
        <v>110</v>
      </c>
      <c r="C1930" t="str">
        <f t="shared" si="90"/>
        <v>ffdfd3c0</v>
      </c>
      <c r="D1930" t="s">
        <v>111</v>
      </c>
      <c r="E1930">
        <v>18</v>
      </c>
      <c r="F1930">
        <v>1018</v>
      </c>
      <c r="G1930" t="s">
        <v>112</v>
      </c>
      <c r="J1930" t="s">
        <v>113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R1930" t="s">
        <v>114</v>
      </c>
      <c r="S1930" t="str">
        <f>"19:06:59.711"</f>
        <v>19:06:59.711</v>
      </c>
      <c r="T1930" t="str">
        <f>"19:06:59.313"</f>
        <v>19:06:59.313</v>
      </c>
      <c r="U1930" t="str">
        <f t="shared" si="91"/>
        <v>a1cdbe</v>
      </c>
      <c r="V1930">
        <v>0</v>
      </c>
      <c r="W1930">
        <v>0</v>
      </c>
      <c r="X1930">
        <v>1</v>
      </c>
      <c r="Y1930">
        <v>0</v>
      </c>
      <c r="Z1930">
        <v>0</v>
      </c>
      <c r="AB1930">
        <v>0</v>
      </c>
      <c r="AC1930">
        <v>9</v>
      </c>
      <c r="AD1930">
        <v>3</v>
      </c>
      <c r="AE1930">
        <v>0</v>
      </c>
      <c r="AF1930">
        <v>9</v>
      </c>
      <c r="AG1930" t="s">
        <v>158</v>
      </c>
      <c r="AH1930">
        <v>0</v>
      </c>
      <c r="AI1930">
        <v>3</v>
      </c>
      <c r="AJ1930">
        <v>1</v>
      </c>
      <c r="AK1930">
        <v>0</v>
      </c>
      <c r="AL1930" t="s">
        <v>1746</v>
      </c>
      <c r="AM1930">
        <v>46.856732000000001</v>
      </c>
      <c r="AN1930" t="s">
        <v>3640</v>
      </c>
      <c r="AO1930">
        <v>-122.994947</v>
      </c>
      <c r="AP1930">
        <v>100</v>
      </c>
      <c r="AQ1930">
        <v>2100</v>
      </c>
      <c r="AR1930" t="s">
        <v>118</v>
      </c>
      <c r="AS1930">
        <v>-75</v>
      </c>
      <c r="AT1930">
        <v>26</v>
      </c>
      <c r="AU1930">
        <v>-64</v>
      </c>
      <c r="BC1930">
        <v>1200</v>
      </c>
      <c r="BD1930">
        <v>1</v>
      </c>
      <c r="BE1930" t="str">
        <f t="shared" si="92"/>
        <v xml:space="preserve">N215T   </v>
      </c>
      <c r="BF1930">
        <v>1</v>
      </c>
      <c r="BH1930">
        <v>0</v>
      </c>
      <c r="BI1930">
        <v>0</v>
      </c>
      <c r="BJ1930">
        <v>0</v>
      </c>
      <c r="BK1930">
        <v>2475</v>
      </c>
      <c r="BL1930">
        <v>375</v>
      </c>
      <c r="BM1930" t="s">
        <v>119</v>
      </c>
      <c r="BN1930">
        <v>1</v>
      </c>
      <c r="BO1930">
        <v>1</v>
      </c>
      <c r="BP1930">
        <v>1</v>
      </c>
      <c r="BQ1930">
        <v>0</v>
      </c>
      <c r="BT1930">
        <v>0</v>
      </c>
      <c r="BU1930">
        <v>0</v>
      </c>
      <c r="BV1930">
        <v>0</v>
      </c>
      <c r="CC1930" t="str">
        <f>"19:06:59.719"</f>
        <v>19:06:59.719</v>
      </c>
      <c r="CD1930" t="str">
        <f>"717917607"</f>
        <v>717917607</v>
      </c>
      <c r="CQ1930">
        <v>0</v>
      </c>
      <c r="CR1930">
        <v>2</v>
      </c>
      <c r="CS1930">
        <v>0</v>
      </c>
      <c r="CT1930">
        <v>2</v>
      </c>
      <c r="CU1930">
        <v>0</v>
      </c>
      <c r="CV1930">
        <v>6</v>
      </c>
      <c r="CW1930" t="s">
        <v>120</v>
      </c>
      <c r="CX1930">
        <v>261</v>
      </c>
      <c r="CY1930">
        <v>2</v>
      </c>
      <c r="CZ1930" t="s">
        <v>121</v>
      </c>
      <c r="DA1930" t="s">
        <v>122</v>
      </c>
      <c r="DD1930">
        <v>15402717</v>
      </c>
      <c r="DE1930" t="s">
        <v>123</v>
      </c>
    </row>
    <row r="1931" spans="1:109" x14ac:dyDescent="0.3">
      <c r="A1931" t="str">
        <f>"19:07:00.805"</f>
        <v>19:07:00.805</v>
      </c>
      <c r="B1931" t="s">
        <v>110</v>
      </c>
      <c r="C1931" t="str">
        <f t="shared" si="90"/>
        <v>ffdfd3c0</v>
      </c>
      <c r="D1931" t="s">
        <v>111</v>
      </c>
      <c r="E1931">
        <v>18</v>
      </c>
      <c r="F1931">
        <v>1018</v>
      </c>
      <c r="G1931" t="s">
        <v>112</v>
      </c>
      <c r="J1931" t="s">
        <v>113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R1931" t="s">
        <v>114</v>
      </c>
      <c r="S1931" t="str">
        <f>"19:07:00.570"</f>
        <v>19:07:00.570</v>
      </c>
      <c r="T1931" t="str">
        <f>"19:07:00.172"</f>
        <v>19:07:00.172</v>
      </c>
      <c r="U1931" t="str">
        <f t="shared" si="91"/>
        <v>a1cdbe</v>
      </c>
      <c r="V1931">
        <v>0</v>
      </c>
      <c r="W1931">
        <v>0</v>
      </c>
      <c r="X1931">
        <v>1</v>
      </c>
      <c r="Y1931">
        <v>0</v>
      </c>
      <c r="Z1931">
        <v>0</v>
      </c>
      <c r="AB1931">
        <v>0</v>
      </c>
      <c r="AC1931">
        <v>9</v>
      </c>
      <c r="AD1931">
        <v>3</v>
      </c>
      <c r="AE1931">
        <v>0</v>
      </c>
      <c r="AF1931">
        <v>9</v>
      </c>
      <c r="AG1931" t="s">
        <v>158</v>
      </c>
      <c r="AH1931">
        <v>0</v>
      </c>
      <c r="AI1931">
        <v>3</v>
      </c>
      <c r="AJ1931">
        <v>1</v>
      </c>
      <c r="AK1931">
        <v>0</v>
      </c>
      <c r="AL1931" t="s">
        <v>3641</v>
      </c>
      <c r="AM1931">
        <v>46.856839999999998</v>
      </c>
      <c r="AN1931" t="s">
        <v>3642</v>
      </c>
      <c r="AO1931">
        <v>-122.995377</v>
      </c>
      <c r="AP1931">
        <v>100</v>
      </c>
      <c r="AQ1931">
        <v>2100</v>
      </c>
      <c r="AR1931" t="s">
        <v>118</v>
      </c>
      <c r="AS1931">
        <v>-75</v>
      </c>
      <c r="AT1931">
        <v>26</v>
      </c>
      <c r="AU1931">
        <v>-64</v>
      </c>
      <c r="BC1931">
        <v>1200</v>
      </c>
      <c r="BD1931">
        <v>1</v>
      </c>
      <c r="BE1931" t="str">
        <f t="shared" si="92"/>
        <v xml:space="preserve">N215T   </v>
      </c>
      <c r="BF1931">
        <v>1</v>
      </c>
      <c r="BH1931">
        <v>0</v>
      </c>
      <c r="BI1931">
        <v>0</v>
      </c>
      <c r="BJ1931">
        <v>0</v>
      </c>
      <c r="BK1931">
        <v>2475</v>
      </c>
      <c r="BL1931">
        <v>375</v>
      </c>
      <c r="BM1931" t="s">
        <v>119</v>
      </c>
      <c r="BN1931">
        <v>1</v>
      </c>
      <c r="BO1931">
        <v>1</v>
      </c>
      <c r="BP1931">
        <v>1</v>
      </c>
      <c r="BQ1931">
        <v>0</v>
      </c>
      <c r="BT1931">
        <v>0</v>
      </c>
      <c r="BU1931">
        <v>0</v>
      </c>
      <c r="BV1931">
        <v>0</v>
      </c>
      <c r="CC1931" t="str">
        <f>"19:07:00.570"</f>
        <v>19:07:00.570</v>
      </c>
      <c r="CD1931" t="str">
        <f>"572833378"</f>
        <v>572833378</v>
      </c>
      <c r="CQ1931">
        <v>0</v>
      </c>
      <c r="CR1931">
        <v>2</v>
      </c>
      <c r="CS1931">
        <v>0</v>
      </c>
      <c r="CT1931">
        <v>2</v>
      </c>
      <c r="CU1931">
        <v>0</v>
      </c>
      <c r="CV1931">
        <v>6</v>
      </c>
      <c r="CW1931" t="s">
        <v>120</v>
      </c>
      <c r="CX1931">
        <v>261</v>
      </c>
      <c r="CY1931">
        <v>2</v>
      </c>
      <c r="CZ1931" t="s">
        <v>121</v>
      </c>
      <c r="DA1931" t="s">
        <v>122</v>
      </c>
      <c r="DD1931">
        <v>15403241</v>
      </c>
      <c r="DE1931" t="s">
        <v>123</v>
      </c>
    </row>
    <row r="1932" spans="1:109" x14ac:dyDescent="0.3">
      <c r="A1932" t="str">
        <f>"19:07:01.766"</f>
        <v>19:07:01.766</v>
      </c>
      <c r="B1932" t="s">
        <v>110</v>
      </c>
      <c r="C1932" t="str">
        <f t="shared" si="90"/>
        <v>ffdfd3c0</v>
      </c>
      <c r="D1932" t="s">
        <v>111</v>
      </c>
      <c r="E1932">
        <v>18</v>
      </c>
      <c r="F1932">
        <v>1018</v>
      </c>
      <c r="G1932" t="s">
        <v>112</v>
      </c>
      <c r="J1932" t="s">
        <v>113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R1932" t="s">
        <v>114</v>
      </c>
      <c r="S1932" t="str">
        <f>"19:07:01.531"</f>
        <v>19:07:01.531</v>
      </c>
      <c r="T1932" t="str">
        <f>"19:07:01.133"</f>
        <v>19:07:01.133</v>
      </c>
      <c r="U1932" t="str">
        <f t="shared" si="91"/>
        <v>a1cdbe</v>
      </c>
      <c r="V1932">
        <v>0</v>
      </c>
      <c r="W1932">
        <v>0</v>
      </c>
      <c r="X1932">
        <v>1</v>
      </c>
      <c r="Y1932">
        <v>0</v>
      </c>
      <c r="Z1932">
        <v>0</v>
      </c>
      <c r="AB1932">
        <v>0</v>
      </c>
      <c r="AC1932">
        <v>9</v>
      </c>
      <c r="AD1932">
        <v>3</v>
      </c>
      <c r="AE1932">
        <v>0</v>
      </c>
      <c r="AF1932">
        <v>9</v>
      </c>
      <c r="AG1932" t="s">
        <v>158</v>
      </c>
      <c r="AH1932">
        <v>0</v>
      </c>
      <c r="AI1932">
        <v>3</v>
      </c>
      <c r="AJ1932">
        <v>1</v>
      </c>
      <c r="AK1932">
        <v>0</v>
      </c>
      <c r="AL1932" t="s">
        <v>3643</v>
      </c>
      <c r="AM1932">
        <v>46.856968000000002</v>
      </c>
      <c r="AN1932" t="s">
        <v>3644</v>
      </c>
      <c r="AO1932">
        <v>-122.99584900000001</v>
      </c>
      <c r="AP1932">
        <v>100</v>
      </c>
      <c r="AQ1932">
        <v>2100</v>
      </c>
      <c r="AR1932" t="s">
        <v>118</v>
      </c>
      <c r="AS1932">
        <v>-74</v>
      </c>
      <c r="AT1932">
        <v>26</v>
      </c>
      <c r="AU1932">
        <v>-128</v>
      </c>
      <c r="BC1932">
        <v>1200</v>
      </c>
      <c r="BD1932">
        <v>1</v>
      </c>
      <c r="BE1932" t="str">
        <f t="shared" si="92"/>
        <v xml:space="preserve">N215T   </v>
      </c>
      <c r="BF1932">
        <v>1</v>
      </c>
      <c r="BH1932">
        <v>0</v>
      </c>
      <c r="BI1932">
        <v>0</v>
      </c>
      <c r="BJ1932">
        <v>0</v>
      </c>
      <c r="BK1932">
        <v>2475</v>
      </c>
      <c r="BL1932">
        <v>375</v>
      </c>
      <c r="BM1932" t="s">
        <v>119</v>
      </c>
      <c r="BN1932">
        <v>1</v>
      </c>
      <c r="BO1932">
        <v>1</v>
      </c>
      <c r="BP1932">
        <v>1</v>
      </c>
      <c r="BQ1932">
        <v>0</v>
      </c>
      <c r="BT1932">
        <v>0</v>
      </c>
      <c r="BU1932">
        <v>0</v>
      </c>
      <c r="BV1932">
        <v>0</v>
      </c>
      <c r="CC1932" t="str">
        <f>"19:07:01.531"</f>
        <v>19:07:01.531</v>
      </c>
      <c r="CD1932" t="str">
        <f>"532738810"</f>
        <v>532738810</v>
      </c>
      <c r="CQ1932">
        <v>0</v>
      </c>
      <c r="CR1932">
        <v>2</v>
      </c>
      <c r="CS1932">
        <v>0</v>
      </c>
      <c r="CT1932">
        <v>2</v>
      </c>
      <c r="CU1932">
        <v>0</v>
      </c>
      <c r="CV1932">
        <v>6</v>
      </c>
      <c r="CW1932" t="s">
        <v>120</v>
      </c>
      <c r="CX1932">
        <v>261</v>
      </c>
      <c r="CY1932">
        <v>2</v>
      </c>
      <c r="CZ1932" t="s">
        <v>121</v>
      </c>
      <c r="DA1932" t="s">
        <v>122</v>
      </c>
      <c r="DD1932">
        <v>15403810</v>
      </c>
      <c r="DE1932" t="s">
        <v>123</v>
      </c>
    </row>
    <row r="1933" spans="1:109" x14ac:dyDescent="0.3">
      <c r="A1933" t="str">
        <f>"19:07:02.969"</f>
        <v>19:07:02.969</v>
      </c>
      <c r="B1933" t="s">
        <v>110</v>
      </c>
      <c r="C1933" t="str">
        <f t="shared" si="90"/>
        <v>ffdfd3c0</v>
      </c>
      <c r="D1933" t="s">
        <v>111</v>
      </c>
      <c r="E1933">
        <v>18</v>
      </c>
      <c r="F1933">
        <v>1018</v>
      </c>
      <c r="G1933" t="s">
        <v>112</v>
      </c>
      <c r="J1933" t="s">
        <v>113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R1933" t="s">
        <v>114</v>
      </c>
      <c r="S1933" t="str">
        <f>"19:07:02.711"</f>
        <v>19:07:02.711</v>
      </c>
      <c r="T1933" t="str">
        <f>"19:07:02.609"</f>
        <v>19:07:02.609</v>
      </c>
      <c r="U1933" t="str">
        <f t="shared" si="91"/>
        <v>a1cdbe</v>
      </c>
      <c r="V1933">
        <v>0</v>
      </c>
      <c r="W1933">
        <v>0</v>
      </c>
      <c r="X1933">
        <v>1</v>
      </c>
      <c r="Y1933">
        <v>0</v>
      </c>
      <c r="Z1933">
        <v>0</v>
      </c>
      <c r="AB1933">
        <v>0</v>
      </c>
      <c r="AC1933">
        <v>9</v>
      </c>
      <c r="AD1933">
        <v>3</v>
      </c>
      <c r="AE1933">
        <v>0</v>
      </c>
      <c r="AF1933">
        <v>9</v>
      </c>
      <c r="AG1933" t="s">
        <v>158</v>
      </c>
      <c r="AH1933">
        <v>0</v>
      </c>
      <c r="AI1933">
        <v>3</v>
      </c>
      <c r="AJ1933">
        <v>1</v>
      </c>
      <c r="AK1933">
        <v>0</v>
      </c>
      <c r="AL1933" t="s">
        <v>3645</v>
      </c>
      <c r="AM1933">
        <v>46.857118999999997</v>
      </c>
      <c r="AN1933" t="s">
        <v>3646</v>
      </c>
      <c r="AO1933">
        <v>-122.996471</v>
      </c>
      <c r="AP1933">
        <v>100</v>
      </c>
      <c r="AQ1933">
        <v>2100</v>
      </c>
      <c r="AR1933" t="s">
        <v>118</v>
      </c>
      <c r="AS1933">
        <v>-75</v>
      </c>
      <c r="AT1933">
        <v>26</v>
      </c>
      <c r="AU1933">
        <v>-192</v>
      </c>
      <c r="BC1933">
        <v>1200</v>
      </c>
      <c r="BD1933">
        <v>1</v>
      </c>
      <c r="BE1933" t="str">
        <f t="shared" si="92"/>
        <v xml:space="preserve">N215T   </v>
      </c>
      <c r="BF1933">
        <v>1</v>
      </c>
      <c r="BH1933">
        <v>0</v>
      </c>
      <c r="BI1933">
        <v>0</v>
      </c>
      <c r="BJ1933">
        <v>0</v>
      </c>
      <c r="BK1933">
        <v>2475</v>
      </c>
      <c r="BL1933">
        <v>375</v>
      </c>
      <c r="BM1933" t="s">
        <v>119</v>
      </c>
      <c r="BN1933">
        <v>1</v>
      </c>
      <c r="BO1933">
        <v>1</v>
      </c>
      <c r="BP1933">
        <v>1</v>
      </c>
      <c r="BQ1933">
        <v>0</v>
      </c>
      <c r="BT1933">
        <v>0</v>
      </c>
      <c r="BU1933">
        <v>0</v>
      </c>
      <c r="BV1933">
        <v>0</v>
      </c>
      <c r="CC1933" t="str">
        <f>"19:07:02.719"</f>
        <v>19:07:02.719</v>
      </c>
      <c r="CD1933" t="str">
        <f>"717622087"</f>
        <v>717622087</v>
      </c>
      <c r="CQ1933">
        <v>0</v>
      </c>
      <c r="CR1933">
        <v>2</v>
      </c>
      <c r="CS1933">
        <v>0</v>
      </c>
      <c r="CT1933">
        <v>2</v>
      </c>
      <c r="CU1933">
        <v>0</v>
      </c>
      <c r="CV1933">
        <v>6</v>
      </c>
      <c r="CW1933" t="s">
        <v>120</v>
      </c>
      <c r="CX1933">
        <v>261</v>
      </c>
      <c r="CY1933">
        <v>2</v>
      </c>
      <c r="CZ1933" t="s">
        <v>121</v>
      </c>
      <c r="DA1933" t="s">
        <v>122</v>
      </c>
      <c r="DD1933">
        <v>15404535</v>
      </c>
      <c r="DE1933" t="s">
        <v>123</v>
      </c>
    </row>
    <row r="1934" spans="1:109" x14ac:dyDescent="0.3">
      <c r="A1934" t="str">
        <f>"19:07:03.977"</f>
        <v>19:07:03.977</v>
      </c>
      <c r="B1934" t="s">
        <v>110</v>
      </c>
      <c r="C1934" t="str">
        <f t="shared" si="90"/>
        <v>ffdfd3c0</v>
      </c>
      <c r="D1934" t="s">
        <v>111</v>
      </c>
      <c r="E1934">
        <v>18</v>
      </c>
      <c r="F1934">
        <v>1018</v>
      </c>
      <c r="G1934" t="s">
        <v>112</v>
      </c>
      <c r="J1934" t="s">
        <v>113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R1934" t="s">
        <v>114</v>
      </c>
      <c r="S1934" t="str">
        <f>"19:07:03.766"</f>
        <v>19:07:03.766</v>
      </c>
      <c r="T1934" t="str">
        <f>"19:07:03.664"</f>
        <v>19:07:03.664</v>
      </c>
      <c r="U1934" t="str">
        <f t="shared" si="91"/>
        <v>a1cdbe</v>
      </c>
      <c r="V1934">
        <v>0</v>
      </c>
      <c r="W1934">
        <v>0</v>
      </c>
      <c r="X1934">
        <v>1</v>
      </c>
      <c r="Y1934">
        <v>0</v>
      </c>
      <c r="Z1934">
        <v>0</v>
      </c>
      <c r="AB1934">
        <v>0</v>
      </c>
      <c r="AC1934">
        <v>9</v>
      </c>
      <c r="AD1934">
        <v>3</v>
      </c>
      <c r="AE1934">
        <v>0</v>
      </c>
      <c r="AF1934">
        <v>9</v>
      </c>
      <c r="AG1934" t="s">
        <v>158</v>
      </c>
      <c r="AH1934">
        <v>0</v>
      </c>
      <c r="AI1934">
        <v>3</v>
      </c>
      <c r="AJ1934">
        <v>1</v>
      </c>
      <c r="AK1934">
        <v>0</v>
      </c>
      <c r="AL1934" t="s">
        <v>3647</v>
      </c>
      <c r="AM1934">
        <v>46.857204000000003</v>
      </c>
      <c r="AN1934" t="s">
        <v>3648</v>
      </c>
      <c r="AO1934">
        <v>-122.99696400000001</v>
      </c>
      <c r="AP1934">
        <v>100</v>
      </c>
      <c r="AQ1934">
        <v>2100</v>
      </c>
      <c r="AR1934" t="s">
        <v>118</v>
      </c>
      <c r="AS1934">
        <v>-75</v>
      </c>
      <c r="AT1934">
        <v>25</v>
      </c>
      <c r="AU1934">
        <v>-256</v>
      </c>
      <c r="BC1934">
        <v>1200</v>
      </c>
      <c r="BD1934">
        <v>1</v>
      </c>
      <c r="BE1934" t="str">
        <f t="shared" si="92"/>
        <v xml:space="preserve">N215T   </v>
      </c>
      <c r="BF1934">
        <v>1</v>
      </c>
      <c r="BH1934">
        <v>0</v>
      </c>
      <c r="BI1934">
        <v>0</v>
      </c>
      <c r="BJ1934">
        <v>0</v>
      </c>
      <c r="BK1934">
        <v>2475</v>
      </c>
      <c r="BL1934">
        <v>375</v>
      </c>
      <c r="BM1934" t="s">
        <v>119</v>
      </c>
      <c r="BN1934">
        <v>1</v>
      </c>
      <c r="BO1934">
        <v>1</v>
      </c>
      <c r="BP1934">
        <v>1</v>
      </c>
      <c r="BQ1934">
        <v>0</v>
      </c>
      <c r="BT1934">
        <v>0</v>
      </c>
      <c r="BU1934">
        <v>0</v>
      </c>
      <c r="BV1934">
        <v>0</v>
      </c>
      <c r="CC1934" t="str">
        <f>"19:07:03.766"</f>
        <v>19:07:03.766</v>
      </c>
      <c r="CD1934" t="str">
        <f>"767518652"</f>
        <v>767518652</v>
      </c>
      <c r="CQ1934">
        <v>0</v>
      </c>
      <c r="CR1934">
        <v>2</v>
      </c>
      <c r="CS1934">
        <v>0</v>
      </c>
      <c r="CT1934">
        <v>2</v>
      </c>
      <c r="CU1934">
        <v>0</v>
      </c>
      <c r="CV1934">
        <v>6</v>
      </c>
      <c r="CW1934" t="s">
        <v>120</v>
      </c>
      <c r="CX1934">
        <v>261</v>
      </c>
      <c r="CY1934">
        <v>2</v>
      </c>
      <c r="CZ1934" t="s">
        <v>121</v>
      </c>
      <c r="DA1934" t="s">
        <v>122</v>
      </c>
      <c r="DD1934">
        <v>15405129</v>
      </c>
      <c r="DE1934" t="s">
        <v>123</v>
      </c>
    </row>
    <row r="1935" spans="1:109" x14ac:dyDescent="0.3">
      <c r="A1935" t="str">
        <f>"19:07:04.930"</f>
        <v>19:07:04.930</v>
      </c>
      <c r="B1935" t="s">
        <v>110</v>
      </c>
      <c r="C1935" t="str">
        <f t="shared" si="90"/>
        <v>ffdfd3c0</v>
      </c>
      <c r="D1935" t="s">
        <v>111</v>
      </c>
      <c r="E1935">
        <v>18</v>
      </c>
      <c r="F1935">
        <v>1018</v>
      </c>
      <c r="G1935" t="s">
        <v>112</v>
      </c>
      <c r="J1935" t="s">
        <v>113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R1935" t="s">
        <v>114</v>
      </c>
      <c r="S1935" t="str">
        <f>"19:07:04.711"</f>
        <v>19:07:04.711</v>
      </c>
      <c r="T1935" t="str">
        <f>"19:07:04.711"</f>
        <v>19:07:04.711</v>
      </c>
      <c r="U1935" t="str">
        <f t="shared" si="91"/>
        <v>a1cdbe</v>
      </c>
      <c r="V1935">
        <v>0</v>
      </c>
      <c r="W1935">
        <v>0</v>
      </c>
      <c r="X1935">
        <v>1</v>
      </c>
      <c r="Y1935">
        <v>0</v>
      </c>
      <c r="Z1935">
        <v>0</v>
      </c>
      <c r="AB1935">
        <v>0</v>
      </c>
      <c r="AC1935">
        <v>9</v>
      </c>
      <c r="AD1935">
        <v>3</v>
      </c>
      <c r="AE1935">
        <v>0</v>
      </c>
      <c r="AF1935">
        <v>9</v>
      </c>
      <c r="AG1935" t="s">
        <v>158</v>
      </c>
      <c r="AH1935">
        <v>0</v>
      </c>
      <c r="AI1935">
        <v>3</v>
      </c>
      <c r="AJ1935">
        <v>1</v>
      </c>
      <c r="AK1935">
        <v>0</v>
      </c>
      <c r="AL1935" t="s">
        <v>1740</v>
      </c>
      <c r="AM1935">
        <v>46.857332999999997</v>
      </c>
      <c r="AN1935" t="s">
        <v>3649</v>
      </c>
      <c r="AO1935">
        <v>-122.99743700000001</v>
      </c>
      <c r="AP1935">
        <v>100</v>
      </c>
      <c r="AQ1935">
        <v>2100</v>
      </c>
      <c r="AR1935" t="s">
        <v>118</v>
      </c>
      <c r="AS1935">
        <v>-76</v>
      </c>
      <c r="AT1935">
        <v>24</v>
      </c>
      <c r="AU1935">
        <v>-320</v>
      </c>
      <c r="BC1935">
        <v>1200</v>
      </c>
      <c r="BD1935">
        <v>1</v>
      </c>
      <c r="BE1935" t="str">
        <f t="shared" si="92"/>
        <v xml:space="preserve">N215T   </v>
      </c>
      <c r="BF1935">
        <v>1</v>
      </c>
      <c r="BH1935">
        <v>0</v>
      </c>
      <c r="BI1935">
        <v>0</v>
      </c>
      <c r="BJ1935">
        <v>0</v>
      </c>
      <c r="BK1935">
        <v>2450</v>
      </c>
      <c r="BL1935">
        <v>350</v>
      </c>
      <c r="BM1935" t="s">
        <v>119</v>
      </c>
      <c r="BN1935">
        <v>1</v>
      </c>
      <c r="BO1935">
        <v>1</v>
      </c>
      <c r="BP1935">
        <v>1</v>
      </c>
      <c r="BQ1935">
        <v>0</v>
      </c>
      <c r="BT1935">
        <v>0</v>
      </c>
      <c r="BU1935">
        <v>0</v>
      </c>
      <c r="BV1935">
        <v>0</v>
      </c>
      <c r="CC1935" t="str">
        <f>"19:07:04.711"</f>
        <v>19:07:04.711</v>
      </c>
      <c r="CD1935" t="str">
        <f>"712425581"</f>
        <v>712425581</v>
      </c>
      <c r="CQ1935">
        <v>0</v>
      </c>
      <c r="CR1935">
        <v>2</v>
      </c>
      <c r="CS1935">
        <v>0</v>
      </c>
      <c r="CT1935">
        <v>2</v>
      </c>
      <c r="CU1935">
        <v>0</v>
      </c>
      <c r="CV1935">
        <v>6</v>
      </c>
      <c r="CW1935" t="s">
        <v>120</v>
      </c>
      <c r="CX1935">
        <v>261</v>
      </c>
      <c r="CY1935">
        <v>2</v>
      </c>
      <c r="CZ1935" t="s">
        <v>121</v>
      </c>
      <c r="DA1935" t="s">
        <v>122</v>
      </c>
      <c r="DD1935">
        <v>15405710</v>
      </c>
      <c r="DE1935" t="s">
        <v>123</v>
      </c>
    </row>
    <row r="1936" spans="1:109" x14ac:dyDescent="0.3">
      <c r="A1936" t="str">
        <f>"19:07:06.086"</f>
        <v>19:07:06.086</v>
      </c>
      <c r="B1936" t="s">
        <v>110</v>
      </c>
      <c r="C1936" t="str">
        <f t="shared" si="90"/>
        <v>ffdfd3c0</v>
      </c>
      <c r="D1936" t="s">
        <v>111</v>
      </c>
      <c r="E1936">
        <v>18</v>
      </c>
      <c r="F1936">
        <v>1018</v>
      </c>
      <c r="G1936" t="s">
        <v>112</v>
      </c>
      <c r="J1936" t="s">
        <v>113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R1936" t="s">
        <v>114</v>
      </c>
      <c r="S1936" t="str">
        <f>"19:07:05.820"</f>
        <v>19:07:05.820</v>
      </c>
      <c r="T1936" t="str">
        <f>"19:07:05.320"</f>
        <v>19:07:05.320</v>
      </c>
      <c r="U1936" t="str">
        <f t="shared" si="91"/>
        <v>a1cdbe</v>
      </c>
      <c r="V1936">
        <v>0</v>
      </c>
      <c r="W1936">
        <v>0</v>
      </c>
      <c r="X1936">
        <v>1</v>
      </c>
      <c r="Y1936">
        <v>0</v>
      </c>
      <c r="Z1936">
        <v>0</v>
      </c>
      <c r="AB1936">
        <v>0</v>
      </c>
      <c r="AC1936">
        <v>9</v>
      </c>
      <c r="AD1936">
        <v>3</v>
      </c>
      <c r="AE1936">
        <v>0</v>
      </c>
      <c r="AF1936">
        <v>9</v>
      </c>
      <c r="AG1936" t="s">
        <v>158</v>
      </c>
      <c r="AH1936">
        <v>0</v>
      </c>
      <c r="AI1936">
        <v>3</v>
      </c>
      <c r="AJ1936">
        <v>1</v>
      </c>
      <c r="AK1936">
        <v>0</v>
      </c>
      <c r="AL1936" t="s">
        <v>3650</v>
      </c>
      <c r="AM1936">
        <v>46.857439999999997</v>
      </c>
      <c r="AN1936" t="s">
        <v>3651</v>
      </c>
      <c r="AO1936">
        <v>-122.99799400000001</v>
      </c>
      <c r="AP1936">
        <v>100</v>
      </c>
      <c r="AQ1936">
        <v>2100</v>
      </c>
      <c r="AR1936" t="s">
        <v>118</v>
      </c>
      <c r="AS1936">
        <v>-76</v>
      </c>
      <c r="AT1936">
        <v>24</v>
      </c>
      <c r="AU1936">
        <v>-320</v>
      </c>
      <c r="BC1936">
        <v>1200</v>
      </c>
      <c r="BD1936">
        <v>1</v>
      </c>
      <c r="BE1936" t="str">
        <f t="shared" si="92"/>
        <v xml:space="preserve">N215T   </v>
      </c>
      <c r="BF1936">
        <v>1</v>
      </c>
      <c r="BH1936">
        <v>0</v>
      </c>
      <c r="BI1936">
        <v>0</v>
      </c>
      <c r="BJ1936">
        <v>0</v>
      </c>
      <c r="BK1936">
        <v>2450</v>
      </c>
      <c r="BL1936">
        <v>350</v>
      </c>
      <c r="BM1936" t="s">
        <v>119</v>
      </c>
      <c r="BN1936">
        <v>1</v>
      </c>
      <c r="BO1936">
        <v>1</v>
      </c>
      <c r="BP1936">
        <v>1</v>
      </c>
      <c r="BQ1936">
        <v>0</v>
      </c>
      <c r="BT1936">
        <v>0</v>
      </c>
      <c r="BU1936">
        <v>0</v>
      </c>
      <c r="BV1936">
        <v>0</v>
      </c>
      <c r="CC1936" t="str">
        <f>"19:07:05.820"</f>
        <v>19:07:05.820</v>
      </c>
      <c r="CD1936" t="str">
        <f>"822316251"</f>
        <v>822316251</v>
      </c>
      <c r="CQ1936">
        <v>0</v>
      </c>
      <c r="CR1936">
        <v>2</v>
      </c>
      <c r="CS1936">
        <v>0</v>
      </c>
      <c r="CT1936">
        <v>2</v>
      </c>
      <c r="CU1936">
        <v>0</v>
      </c>
      <c r="CV1936">
        <v>6</v>
      </c>
      <c r="CW1936" t="s">
        <v>120</v>
      </c>
      <c r="CX1936">
        <v>261</v>
      </c>
      <c r="CY1936">
        <v>2</v>
      </c>
      <c r="CZ1936" t="s">
        <v>121</v>
      </c>
      <c r="DA1936" t="s">
        <v>122</v>
      </c>
      <c r="DD1936">
        <v>15406419</v>
      </c>
      <c r="DE1936" t="s">
        <v>123</v>
      </c>
    </row>
    <row r="1937" spans="1:109" x14ac:dyDescent="0.3">
      <c r="A1937" t="str">
        <f>"19:07:06.891"</f>
        <v>19:07:06.891</v>
      </c>
      <c r="B1937" t="s">
        <v>110</v>
      </c>
      <c r="C1937" t="str">
        <f t="shared" si="90"/>
        <v>ffdfd3c0</v>
      </c>
      <c r="D1937" t="s">
        <v>111</v>
      </c>
      <c r="E1937">
        <v>18</v>
      </c>
      <c r="F1937">
        <v>1018</v>
      </c>
      <c r="G1937" t="s">
        <v>112</v>
      </c>
      <c r="J1937" t="s">
        <v>113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R1937" t="s">
        <v>114</v>
      </c>
      <c r="S1937" t="str">
        <f>"19:07:06.641"</f>
        <v>19:07:06.641</v>
      </c>
      <c r="T1937" t="str">
        <f>"19:07:06.438"</f>
        <v>19:07:06.438</v>
      </c>
      <c r="U1937" t="str">
        <f t="shared" si="91"/>
        <v>a1cdbe</v>
      </c>
      <c r="V1937">
        <v>0</v>
      </c>
      <c r="W1937">
        <v>0</v>
      </c>
      <c r="X1937">
        <v>1</v>
      </c>
      <c r="Y1937">
        <v>0</v>
      </c>
      <c r="Z1937">
        <v>0</v>
      </c>
      <c r="AB1937">
        <v>0</v>
      </c>
      <c r="AC1937">
        <v>9</v>
      </c>
      <c r="AD1937">
        <v>3</v>
      </c>
      <c r="AE1937">
        <v>0</v>
      </c>
      <c r="AF1937">
        <v>9</v>
      </c>
      <c r="AG1937" t="s">
        <v>158</v>
      </c>
      <c r="AH1937">
        <v>0</v>
      </c>
      <c r="AI1937">
        <v>3</v>
      </c>
      <c r="AJ1937">
        <v>1</v>
      </c>
      <c r="AK1937">
        <v>0</v>
      </c>
      <c r="AL1937" t="s">
        <v>3652</v>
      </c>
      <c r="AM1937">
        <v>46.857526</v>
      </c>
      <c r="AN1937" t="s">
        <v>3653</v>
      </c>
      <c r="AO1937">
        <v>-122.99846599999999</v>
      </c>
      <c r="AP1937">
        <v>100</v>
      </c>
      <c r="AQ1937">
        <v>2100</v>
      </c>
      <c r="AR1937" t="s">
        <v>118</v>
      </c>
      <c r="AS1937">
        <v>-76</v>
      </c>
      <c r="AT1937">
        <v>23</v>
      </c>
      <c r="AU1937">
        <v>-384</v>
      </c>
      <c r="BC1937">
        <v>1200</v>
      </c>
      <c r="BD1937">
        <v>1</v>
      </c>
      <c r="BE1937" t="str">
        <f t="shared" si="92"/>
        <v xml:space="preserve">N215T   </v>
      </c>
      <c r="BF1937">
        <v>1</v>
      </c>
      <c r="BH1937">
        <v>0</v>
      </c>
      <c r="BI1937">
        <v>0</v>
      </c>
      <c r="BJ1937">
        <v>0</v>
      </c>
      <c r="BK1937">
        <v>2450</v>
      </c>
      <c r="BL1937">
        <v>350</v>
      </c>
      <c r="BM1937" t="s">
        <v>119</v>
      </c>
      <c r="BN1937">
        <v>1</v>
      </c>
      <c r="BO1937">
        <v>1</v>
      </c>
      <c r="BP1937">
        <v>1</v>
      </c>
      <c r="BQ1937">
        <v>0</v>
      </c>
      <c r="BT1937">
        <v>0</v>
      </c>
      <c r="BU1937">
        <v>0</v>
      </c>
      <c r="BV1937">
        <v>0</v>
      </c>
      <c r="CC1937" t="str">
        <f>"19:07:06.648"</f>
        <v>19:07:06.648</v>
      </c>
      <c r="CD1937" t="str">
        <f>"647254014"</f>
        <v>647254014</v>
      </c>
      <c r="CQ1937">
        <v>0</v>
      </c>
      <c r="CR1937">
        <v>2</v>
      </c>
      <c r="CS1937">
        <v>0</v>
      </c>
      <c r="CT1937">
        <v>2</v>
      </c>
      <c r="CU1937">
        <v>0</v>
      </c>
      <c r="CV1937">
        <v>5</v>
      </c>
      <c r="CW1937" t="s">
        <v>120</v>
      </c>
      <c r="CX1937">
        <v>257</v>
      </c>
      <c r="CY1937">
        <v>1</v>
      </c>
      <c r="CZ1937" t="s">
        <v>615</v>
      </c>
      <c r="DA1937" t="s">
        <v>616</v>
      </c>
      <c r="DD1937">
        <v>11824169</v>
      </c>
      <c r="DE1937" t="s">
        <v>123</v>
      </c>
    </row>
    <row r="1938" spans="1:109" x14ac:dyDescent="0.3">
      <c r="A1938" t="str">
        <f>"19:07:07.945"</f>
        <v>19:07:07.945</v>
      </c>
      <c r="B1938" t="s">
        <v>110</v>
      </c>
      <c r="C1938" t="str">
        <f t="shared" si="90"/>
        <v>ffdfd3c0</v>
      </c>
      <c r="D1938" t="s">
        <v>111</v>
      </c>
      <c r="E1938">
        <v>18</v>
      </c>
      <c r="F1938">
        <v>1018</v>
      </c>
      <c r="G1938" t="s">
        <v>112</v>
      </c>
      <c r="J1938" t="s">
        <v>113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R1938" t="s">
        <v>114</v>
      </c>
      <c r="S1938" t="str">
        <f>"19:07:07.695"</f>
        <v>19:07:07.695</v>
      </c>
      <c r="T1938" t="str">
        <f>"19:07:07.695"</f>
        <v>19:07:07.695</v>
      </c>
      <c r="U1938" t="str">
        <f t="shared" si="91"/>
        <v>a1cdbe</v>
      </c>
      <c r="V1938">
        <v>0</v>
      </c>
      <c r="W1938">
        <v>0</v>
      </c>
      <c r="X1938">
        <v>1</v>
      </c>
      <c r="Y1938">
        <v>0</v>
      </c>
      <c r="Z1938">
        <v>0</v>
      </c>
      <c r="AB1938">
        <v>0</v>
      </c>
      <c r="AC1938">
        <v>9</v>
      </c>
      <c r="AD1938">
        <v>3</v>
      </c>
      <c r="AE1938">
        <v>0</v>
      </c>
      <c r="AF1938">
        <v>9</v>
      </c>
      <c r="AG1938" t="s">
        <v>158</v>
      </c>
      <c r="AH1938">
        <v>0</v>
      </c>
      <c r="AI1938">
        <v>3</v>
      </c>
      <c r="AJ1938">
        <v>1</v>
      </c>
      <c r="AK1938">
        <v>0</v>
      </c>
      <c r="AL1938" t="s">
        <v>3654</v>
      </c>
      <c r="AM1938">
        <v>46.857655000000001</v>
      </c>
      <c r="AN1938" t="s">
        <v>3655</v>
      </c>
      <c r="AO1938">
        <v>-122.998981</v>
      </c>
      <c r="AP1938">
        <v>100</v>
      </c>
      <c r="AQ1938">
        <v>2100</v>
      </c>
      <c r="AR1938" t="s">
        <v>118</v>
      </c>
      <c r="AS1938">
        <v>-77</v>
      </c>
      <c r="AT1938">
        <v>23</v>
      </c>
      <c r="AU1938">
        <v>-320</v>
      </c>
      <c r="BC1938">
        <v>1200</v>
      </c>
      <c r="BD1938">
        <v>1</v>
      </c>
      <c r="BE1938" t="str">
        <f t="shared" si="92"/>
        <v xml:space="preserve">N215T   </v>
      </c>
      <c r="BF1938">
        <v>1</v>
      </c>
      <c r="BH1938">
        <v>0</v>
      </c>
      <c r="BI1938">
        <v>0</v>
      </c>
      <c r="BJ1938">
        <v>0</v>
      </c>
      <c r="BK1938">
        <v>2450</v>
      </c>
      <c r="BL1938">
        <v>350</v>
      </c>
      <c r="BM1938" t="s">
        <v>119</v>
      </c>
      <c r="BN1938">
        <v>1</v>
      </c>
      <c r="BO1938">
        <v>1</v>
      </c>
      <c r="BP1938">
        <v>1</v>
      </c>
      <c r="BQ1938">
        <v>0</v>
      </c>
      <c r="BT1938">
        <v>0</v>
      </c>
      <c r="BU1938">
        <v>0</v>
      </c>
      <c r="BV1938">
        <v>0</v>
      </c>
      <c r="CC1938" t="str">
        <f>"19:07:07.695"</f>
        <v>19:07:07.695</v>
      </c>
      <c r="CD1938" t="str">
        <f>"697131567"</f>
        <v>697131567</v>
      </c>
      <c r="CQ1938">
        <v>0</v>
      </c>
      <c r="CR1938">
        <v>2</v>
      </c>
      <c r="CS1938">
        <v>0</v>
      </c>
      <c r="CT1938">
        <v>2</v>
      </c>
      <c r="CU1938">
        <v>0</v>
      </c>
      <c r="CV1938">
        <v>6</v>
      </c>
      <c r="CW1938" t="s">
        <v>120</v>
      </c>
      <c r="CX1938">
        <v>261</v>
      </c>
      <c r="CY1938">
        <v>2</v>
      </c>
      <c r="CZ1938" t="s">
        <v>121</v>
      </c>
      <c r="DA1938" t="s">
        <v>122</v>
      </c>
      <c r="DD1938">
        <v>15407716</v>
      </c>
      <c r="DE1938" t="s">
        <v>123</v>
      </c>
    </row>
    <row r="1939" spans="1:109" x14ac:dyDescent="0.3">
      <c r="A1939" t="str">
        <f>"19:07:08.953"</f>
        <v>19:07:08.953</v>
      </c>
      <c r="B1939" t="s">
        <v>110</v>
      </c>
      <c r="C1939" t="str">
        <f t="shared" si="90"/>
        <v>ffdfd3c0</v>
      </c>
      <c r="D1939" t="s">
        <v>111</v>
      </c>
      <c r="E1939">
        <v>18</v>
      </c>
      <c r="F1939">
        <v>1018</v>
      </c>
      <c r="G1939" t="s">
        <v>112</v>
      </c>
      <c r="J1939" t="s">
        <v>113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R1939" t="s">
        <v>114</v>
      </c>
      <c r="S1939" t="str">
        <f>"19:07:08.680"</f>
        <v>19:07:08.680</v>
      </c>
      <c r="T1939" t="str">
        <f>"19:07:08.680"</f>
        <v>19:07:08.680</v>
      </c>
      <c r="U1939" t="str">
        <f t="shared" si="91"/>
        <v>a1cdbe</v>
      </c>
      <c r="V1939">
        <v>0</v>
      </c>
      <c r="W1939">
        <v>0</v>
      </c>
      <c r="X1939">
        <v>1</v>
      </c>
      <c r="Y1939">
        <v>0</v>
      </c>
      <c r="Z1939">
        <v>0</v>
      </c>
      <c r="AB1939">
        <v>0</v>
      </c>
      <c r="AC1939">
        <v>9</v>
      </c>
      <c r="AD1939">
        <v>3</v>
      </c>
      <c r="AE1939">
        <v>0</v>
      </c>
      <c r="AF1939">
        <v>9</v>
      </c>
      <c r="AG1939" t="s">
        <v>158</v>
      </c>
      <c r="AH1939">
        <v>0</v>
      </c>
      <c r="AI1939">
        <v>3</v>
      </c>
      <c r="AJ1939">
        <v>1</v>
      </c>
      <c r="AK1939">
        <v>0</v>
      </c>
      <c r="AL1939" t="s">
        <v>3656</v>
      </c>
      <c r="AM1939">
        <v>46.857762000000001</v>
      </c>
      <c r="AN1939" t="s">
        <v>3657</v>
      </c>
      <c r="AO1939">
        <v>-122.99949599999999</v>
      </c>
      <c r="AP1939">
        <v>100</v>
      </c>
      <c r="AQ1939">
        <v>2100</v>
      </c>
      <c r="AR1939" t="s">
        <v>118</v>
      </c>
      <c r="AS1939">
        <v>-77</v>
      </c>
      <c r="AT1939">
        <v>23</v>
      </c>
      <c r="AU1939">
        <v>-320</v>
      </c>
      <c r="BC1939">
        <v>1200</v>
      </c>
      <c r="BD1939">
        <v>1</v>
      </c>
      <c r="BE1939" t="str">
        <f t="shared" si="92"/>
        <v xml:space="preserve">N215T   </v>
      </c>
      <c r="BF1939">
        <v>1</v>
      </c>
      <c r="BH1939">
        <v>0</v>
      </c>
      <c r="BI1939">
        <v>0</v>
      </c>
      <c r="BJ1939">
        <v>0</v>
      </c>
      <c r="BK1939">
        <v>2425</v>
      </c>
      <c r="BL1939">
        <v>325</v>
      </c>
      <c r="BM1939" t="s">
        <v>119</v>
      </c>
      <c r="BN1939">
        <v>1</v>
      </c>
      <c r="BO1939">
        <v>1</v>
      </c>
      <c r="BP1939">
        <v>1</v>
      </c>
      <c r="BQ1939">
        <v>0</v>
      </c>
      <c r="BT1939">
        <v>0</v>
      </c>
      <c r="BU1939">
        <v>0</v>
      </c>
      <c r="BV1939">
        <v>0</v>
      </c>
      <c r="CC1939" t="str">
        <f>"19:07:08.688"</f>
        <v>19:07:08.688</v>
      </c>
      <c r="CD1939" t="str">
        <f>"687034059"</f>
        <v>687034059</v>
      </c>
      <c r="CQ1939">
        <v>0</v>
      </c>
      <c r="CR1939">
        <v>2</v>
      </c>
      <c r="CS1939">
        <v>0</v>
      </c>
      <c r="CT1939">
        <v>2</v>
      </c>
      <c r="CU1939">
        <v>0</v>
      </c>
      <c r="CV1939">
        <v>6</v>
      </c>
      <c r="CW1939" t="s">
        <v>120</v>
      </c>
      <c r="CX1939">
        <v>261</v>
      </c>
      <c r="CY1939">
        <v>2</v>
      </c>
      <c r="CZ1939" t="s">
        <v>121</v>
      </c>
      <c r="DA1939" t="s">
        <v>122</v>
      </c>
      <c r="DD1939">
        <v>15408350</v>
      </c>
      <c r="DE1939" t="s">
        <v>123</v>
      </c>
    </row>
    <row r="1940" spans="1:109" x14ac:dyDescent="0.3">
      <c r="A1940" t="str">
        <f>"19:07:09.859"</f>
        <v>19:07:09.859</v>
      </c>
      <c r="B1940" t="s">
        <v>110</v>
      </c>
      <c r="C1940" t="str">
        <f t="shared" si="90"/>
        <v>ffdfd3c0</v>
      </c>
      <c r="D1940" t="s">
        <v>111</v>
      </c>
      <c r="E1940">
        <v>18</v>
      </c>
      <c r="F1940">
        <v>1018</v>
      </c>
      <c r="G1940" t="s">
        <v>112</v>
      </c>
      <c r="J1940" t="s">
        <v>113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R1940" t="s">
        <v>114</v>
      </c>
      <c r="S1940" t="str">
        <f>"19:07:09.656"</f>
        <v>19:07:09.656</v>
      </c>
      <c r="T1940" t="str">
        <f>"19:07:09.656"</f>
        <v>19:07:09.656</v>
      </c>
      <c r="U1940" t="str">
        <f t="shared" si="91"/>
        <v>a1cdbe</v>
      </c>
      <c r="V1940">
        <v>0</v>
      </c>
      <c r="W1940">
        <v>0</v>
      </c>
      <c r="X1940">
        <v>1</v>
      </c>
      <c r="Y1940">
        <v>0</v>
      </c>
      <c r="Z1940">
        <v>0</v>
      </c>
      <c r="AB1940">
        <v>0</v>
      </c>
      <c r="AC1940">
        <v>9</v>
      </c>
      <c r="AD1940">
        <v>3</v>
      </c>
      <c r="AE1940">
        <v>0</v>
      </c>
      <c r="AF1940">
        <v>9</v>
      </c>
      <c r="AG1940" t="s">
        <v>158</v>
      </c>
      <c r="AH1940">
        <v>0</v>
      </c>
      <c r="AI1940">
        <v>3</v>
      </c>
      <c r="AJ1940">
        <v>1</v>
      </c>
      <c r="AK1940">
        <v>0</v>
      </c>
      <c r="AL1940" t="s">
        <v>3658</v>
      </c>
      <c r="AM1940">
        <v>46.857827</v>
      </c>
      <c r="AN1940" t="s">
        <v>3659</v>
      </c>
      <c r="AO1940">
        <v>-122.99999</v>
      </c>
      <c r="AP1940">
        <v>100</v>
      </c>
      <c r="AQ1940">
        <v>2000</v>
      </c>
      <c r="AR1940" t="s">
        <v>118</v>
      </c>
      <c r="AS1940">
        <v>-77</v>
      </c>
      <c r="AT1940">
        <v>23</v>
      </c>
      <c r="AU1940">
        <v>-320</v>
      </c>
      <c r="BC1940">
        <v>1200</v>
      </c>
      <c r="BD1940">
        <v>1</v>
      </c>
      <c r="BE1940" t="str">
        <f t="shared" si="92"/>
        <v xml:space="preserve">N215T   </v>
      </c>
      <c r="BF1940">
        <v>1</v>
      </c>
      <c r="BH1940">
        <v>0</v>
      </c>
      <c r="BI1940">
        <v>0</v>
      </c>
      <c r="BJ1940">
        <v>0</v>
      </c>
      <c r="BK1940">
        <v>2425</v>
      </c>
      <c r="BL1940">
        <v>425</v>
      </c>
      <c r="BM1940" t="s">
        <v>119</v>
      </c>
      <c r="BN1940">
        <v>1</v>
      </c>
      <c r="BO1940">
        <v>1</v>
      </c>
      <c r="BP1940">
        <v>1</v>
      </c>
      <c r="BQ1940">
        <v>0</v>
      </c>
      <c r="BT1940">
        <v>0</v>
      </c>
      <c r="BU1940">
        <v>0</v>
      </c>
      <c r="BV1940">
        <v>0</v>
      </c>
      <c r="CC1940" t="str">
        <f>"19:07:09.664"</f>
        <v>19:07:09.664</v>
      </c>
      <c r="CD1940" t="str">
        <f>"661938013"</f>
        <v>661938013</v>
      </c>
      <c r="CQ1940">
        <v>0</v>
      </c>
      <c r="CR1940">
        <v>2</v>
      </c>
      <c r="CS1940">
        <v>0</v>
      </c>
      <c r="CT1940">
        <v>2</v>
      </c>
      <c r="CU1940">
        <v>0</v>
      </c>
      <c r="CV1940">
        <v>6</v>
      </c>
      <c r="CW1940" t="s">
        <v>120</v>
      </c>
      <c r="CX1940">
        <v>261</v>
      </c>
      <c r="CY1940">
        <v>2</v>
      </c>
      <c r="CZ1940" t="s">
        <v>121</v>
      </c>
      <c r="DA1940" t="s">
        <v>122</v>
      </c>
      <c r="DD1940">
        <v>15408931</v>
      </c>
      <c r="DE1940" t="s">
        <v>123</v>
      </c>
    </row>
    <row r="1941" spans="1:109" x14ac:dyDescent="0.3">
      <c r="A1941" t="str">
        <f>"19:07:10.961"</f>
        <v>19:07:10.961</v>
      </c>
      <c r="B1941" t="s">
        <v>110</v>
      </c>
      <c r="C1941" t="str">
        <f t="shared" si="90"/>
        <v>ffdfd3c0</v>
      </c>
      <c r="D1941" t="s">
        <v>111</v>
      </c>
      <c r="E1941">
        <v>18</v>
      </c>
      <c r="F1941">
        <v>1018</v>
      </c>
      <c r="G1941" t="s">
        <v>112</v>
      </c>
      <c r="J1941" t="s">
        <v>113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R1941" t="s">
        <v>114</v>
      </c>
      <c r="S1941" t="str">
        <f>"19:07:10.734"</f>
        <v>19:07:10.734</v>
      </c>
      <c r="T1941" t="str">
        <f>"19:07:10.234"</f>
        <v>19:07:10.234</v>
      </c>
      <c r="U1941" t="str">
        <f t="shared" si="91"/>
        <v>a1cdbe</v>
      </c>
      <c r="V1941">
        <v>0</v>
      </c>
      <c r="W1941">
        <v>0</v>
      </c>
      <c r="X1941">
        <v>1</v>
      </c>
      <c r="Y1941">
        <v>0</v>
      </c>
      <c r="Z1941">
        <v>0</v>
      </c>
      <c r="AB1941">
        <v>0</v>
      </c>
      <c r="AC1941">
        <v>9</v>
      </c>
      <c r="AD1941">
        <v>3</v>
      </c>
      <c r="AE1941">
        <v>0</v>
      </c>
      <c r="AF1941">
        <v>9</v>
      </c>
      <c r="AG1941" t="s">
        <v>158</v>
      </c>
      <c r="AH1941">
        <v>0</v>
      </c>
      <c r="AI1941">
        <v>3</v>
      </c>
      <c r="AJ1941">
        <v>1</v>
      </c>
      <c r="AK1941">
        <v>0</v>
      </c>
      <c r="AL1941" t="s">
        <v>1734</v>
      </c>
      <c r="AM1941">
        <v>46.857954999999997</v>
      </c>
      <c r="AN1941" t="s">
        <v>3660</v>
      </c>
      <c r="AO1941">
        <v>-123.000591</v>
      </c>
      <c r="AP1941">
        <v>100</v>
      </c>
      <c r="AQ1941">
        <v>2000</v>
      </c>
      <c r="AR1941" t="s">
        <v>118</v>
      </c>
      <c r="AS1941">
        <v>-77</v>
      </c>
      <c r="AT1941">
        <v>24</v>
      </c>
      <c r="AU1941">
        <v>-256</v>
      </c>
      <c r="BC1941">
        <v>1200</v>
      </c>
      <c r="BD1941">
        <v>1</v>
      </c>
      <c r="BE1941" t="str">
        <f t="shared" si="92"/>
        <v xml:space="preserve">N215T   </v>
      </c>
      <c r="BF1941">
        <v>1</v>
      </c>
      <c r="BH1941">
        <v>0</v>
      </c>
      <c r="BI1941">
        <v>0</v>
      </c>
      <c r="BJ1941">
        <v>0</v>
      </c>
      <c r="BK1941">
        <v>2425</v>
      </c>
      <c r="BL1941">
        <v>425</v>
      </c>
      <c r="BM1941" t="s">
        <v>119</v>
      </c>
      <c r="BN1941">
        <v>1</v>
      </c>
      <c r="BO1941">
        <v>1</v>
      </c>
      <c r="BP1941">
        <v>1</v>
      </c>
      <c r="BQ1941">
        <v>0</v>
      </c>
      <c r="BT1941">
        <v>0</v>
      </c>
      <c r="BU1941">
        <v>0</v>
      </c>
      <c r="BV1941">
        <v>0</v>
      </c>
      <c r="CC1941" t="str">
        <f>"19:07:10.742"</f>
        <v>19:07:10.742</v>
      </c>
      <c r="CD1941" t="str">
        <f>"741831640"</f>
        <v>741831640</v>
      </c>
      <c r="CQ1941">
        <v>0</v>
      </c>
      <c r="CR1941">
        <v>2</v>
      </c>
      <c r="CS1941">
        <v>0</v>
      </c>
      <c r="CT1941">
        <v>2</v>
      </c>
      <c r="CU1941">
        <v>0</v>
      </c>
      <c r="CV1941">
        <v>6</v>
      </c>
      <c r="CW1941" t="s">
        <v>120</v>
      </c>
      <c r="CX1941">
        <v>261</v>
      </c>
      <c r="CY1941">
        <v>2</v>
      </c>
      <c r="CZ1941" t="s">
        <v>121</v>
      </c>
      <c r="DA1941" t="s">
        <v>122</v>
      </c>
      <c r="DD1941">
        <v>15409595</v>
      </c>
      <c r="DE1941" t="s">
        <v>123</v>
      </c>
    </row>
    <row r="1942" spans="1:109" x14ac:dyDescent="0.3">
      <c r="A1942" t="str">
        <f>"19:07:11.914"</f>
        <v>19:07:11.914</v>
      </c>
      <c r="B1942" t="s">
        <v>110</v>
      </c>
      <c r="C1942" t="str">
        <f t="shared" si="90"/>
        <v>ffdfd3c0</v>
      </c>
      <c r="D1942" t="s">
        <v>111</v>
      </c>
      <c r="E1942">
        <v>18</v>
      </c>
      <c r="F1942">
        <v>1018</v>
      </c>
      <c r="G1942" t="s">
        <v>112</v>
      </c>
      <c r="J1942" t="s">
        <v>113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R1942" t="s">
        <v>114</v>
      </c>
      <c r="S1942" t="str">
        <f>"19:07:11.695"</f>
        <v>19:07:11.695</v>
      </c>
      <c r="T1942" t="str">
        <f>"19:07:11.398"</f>
        <v>19:07:11.398</v>
      </c>
      <c r="U1942" t="str">
        <f t="shared" si="91"/>
        <v>a1cdbe</v>
      </c>
      <c r="V1942">
        <v>0</v>
      </c>
      <c r="W1942">
        <v>0</v>
      </c>
      <c r="X1942">
        <v>1</v>
      </c>
      <c r="Y1942">
        <v>0</v>
      </c>
      <c r="Z1942">
        <v>0</v>
      </c>
      <c r="AB1942">
        <v>0</v>
      </c>
      <c r="AC1942">
        <v>9</v>
      </c>
      <c r="AD1942">
        <v>3</v>
      </c>
      <c r="AE1942">
        <v>0</v>
      </c>
      <c r="AF1942">
        <v>9</v>
      </c>
      <c r="AG1942" t="s">
        <v>158</v>
      </c>
      <c r="AH1942">
        <v>0</v>
      </c>
      <c r="AI1942">
        <v>3</v>
      </c>
      <c r="AJ1942">
        <v>1</v>
      </c>
      <c r="AK1942">
        <v>0</v>
      </c>
      <c r="AL1942" t="s">
        <v>3661</v>
      </c>
      <c r="AM1942">
        <v>46.858063000000001</v>
      </c>
      <c r="AN1942" t="s">
        <v>3662</v>
      </c>
      <c r="AO1942">
        <v>-123.001063</v>
      </c>
      <c r="AP1942">
        <v>100</v>
      </c>
      <c r="AQ1942">
        <v>2000</v>
      </c>
      <c r="AR1942" t="s">
        <v>118</v>
      </c>
      <c r="AS1942">
        <v>-77</v>
      </c>
      <c r="AT1942">
        <v>24</v>
      </c>
      <c r="AU1942">
        <v>-256</v>
      </c>
      <c r="BC1942">
        <v>1200</v>
      </c>
      <c r="BD1942">
        <v>1</v>
      </c>
      <c r="BE1942" t="str">
        <f t="shared" si="92"/>
        <v xml:space="preserve">N215T   </v>
      </c>
      <c r="BF1942">
        <v>1</v>
      </c>
      <c r="BH1942">
        <v>0</v>
      </c>
      <c r="BI1942">
        <v>0</v>
      </c>
      <c r="BJ1942">
        <v>0</v>
      </c>
      <c r="BK1942">
        <v>2425</v>
      </c>
      <c r="BL1942">
        <v>425</v>
      </c>
      <c r="BM1942" t="s">
        <v>119</v>
      </c>
      <c r="BN1942">
        <v>1</v>
      </c>
      <c r="BO1942">
        <v>1</v>
      </c>
      <c r="BP1942">
        <v>1</v>
      </c>
      <c r="BQ1942">
        <v>0</v>
      </c>
      <c r="BT1942">
        <v>0</v>
      </c>
      <c r="BU1942">
        <v>0</v>
      </c>
      <c r="BV1942">
        <v>0</v>
      </c>
      <c r="CC1942" t="str">
        <f>"19:07:11.703"</f>
        <v>19:07:11.703</v>
      </c>
      <c r="CD1942" t="str">
        <f>"701737084"</f>
        <v>701737084</v>
      </c>
      <c r="CQ1942">
        <v>0</v>
      </c>
      <c r="CR1942">
        <v>2</v>
      </c>
      <c r="CS1942">
        <v>0</v>
      </c>
      <c r="CT1942">
        <v>2</v>
      </c>
      <c r="CU1942">
        <v>0</v>
      </c>
      <c r="CV1942">
        <v>6</v>
      </c>
      <c r="CW1942" t="s">
        <v>120</v>
      </c>
      <c r="CX1942">
        <v>261</v>
      </c>
      <c r="CY1942">
        <v>2</v>
      </c>
      <c r="CZ1942" t="s">
        <v>121</v>
      </c>
      <c r="DA1942" t="s">
        <v>122</v>
      </c>
      <c r="DD1942">
        <v>15410236</v>
      </c>
      <c r="DE1942" t="s">
        <v>123</v>
      </c>
    </row>
    <row r="1943" spans="1:109" x14ac:dyDescent="0.3">
      <c r="A1943" t="str">
        <f>"19:07:13.070"</f>
        <v>19:07:13.070</v>
      </c>
      <c r="B1943" t="s">
        <v>110</v>
      </c>
      <c r="C1943" t="str">
        <f t="shared" si="90"/>
        <v>ffdfd3c0</v>
      </c>
      <c r="D1943" t="s">
        <v>111</v>
      </c>
      <c r="E1943">
        <v>18</v>
      </c>
      <c r="F1943">
        <v>1018</v>
      </c>
      <c r="G1943" t="s">
        <v>112</v>
      </c>
      <c r="J1943" t="s">
        <v>113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R1943" t="s">
        <v>114</v>
      </c>
      <c r="S1943" t="str">
        <f>"19:07:12.852"</f>
        <v>19:07:12.852</v>
      </c>
      <c r="T1943" t="str">
        <f>"19:07:12.453"</f>
        <v>19:07:12.453</v>
      </c>
      <c r="U1943" t="str">
        <f t="shared" si="91"/>
        <v>a1cdbe</v>
      </c>
      <c r="V1943">
        <v>0</v>
      </c>
      <c r="W1943">
        <v>0</v>
      </c>
      <c r="X1943">
        <v>1</v>
      </c>
      <c r="Y1943">
        <v>0</v>
      </c>
      <c r="Z1943">
        <v>0</v>
      </c>
      <c r="AB1943">
        <v>0</v>
      </c>
      <c r="AC1943">
        <v>9</v>
      </c>
      <c r="AD1943">
        <v>3</v>
      </c>
      <c r="AE1943">
        <v>0</v>
      </c>
      <c r="AF1943">
        <v>9</v>
      </c>
      <c r="AG1943" t="s">
        <v>158</v>
      </c>
      <c r="AH1943">
        <v>0</v>
      </c>
      <c r="AI1943">
        <v>3</v>
      </c>
      <c r="AJ1943">
        <v>1</v>
      </c>
      <c r="AK1943">
        <v>0</v>
      </c>
      <c r="AL1943" t="s">
        <v>3663</v>
      </c>
      <c r="AM1943">
        <v>46.858190999999998</v>
      </c>
      <c r="AN1943" t="s">
        <v>3664</v>
      </c>
      <c r="AO1943">
        <v>-123.00166400000001</v>
      </c>
      <c r="AP1943">
        <v>100</v>
      </c>
      <c r="AQ1943">
        <v>2000</v>
      </c>
      <c r="AR1943" t="s">
        <v>118</v>
      </c>
      <c r="AS1943">
        <v>-77</v>
      </c>
      <c r="AT1943">
        <v>24</v>
      </c>
      <c r="AU1943">
        <v>-192</v>
      </c>
      <c r="BC1943">
        <v>1200</v>
      </c>
      <c r="BD1943">
        <v>1</v>
      </c>
      <c r="BE1943" t="str">
        <f t="shared" si="92"/>
        <v xml:space="preserve">N215T   </v>
      </c>
      <c r="BF1943">
        <v>1</v>
      </c>
      <c r="BH1943">
        <v>0</v>
      </c>
      <c r="BI1943">
        <v>0</v>
      </c>
      <c r="BJ1943">
        <v>0</v>
      </c>
      <c r="BK1943">
        <v>2425</v>
      </c>
      <c r="BL1943">
        <v>425</v>
      </c>
      <c r="BM1943" t="s">
        <v>119</v>
      </c>
      <c r="BN1943">
        <v>1</v>
      </c>
      <c r="BO1943">
        <v>1</v>
      </c>
      <c r="BP1943">
        <v>1</v>
      </c>
      <c r="BQ1943">
        <v>0</v>
      </c>
      <c r="BT1943">
        <v>0</v>
      </c>
      <c r="BU1943">
        <v>0</v>
      </c>
      <c r="BV1943">
        <v>0</v>
      </c>
      <c r="CC1943" t="str">
        <f>"19:07:12.859"</f>
        <v>19:07:12.859</v>
      </c>
      <c r="CD1943" t="str">
        <f>"856623310"</f>
        <v>856623310</v>
      </c>
      <c r="CQ1943">
        <v>0</v>
      </c>
      <c r="CR1943">
        <v>2</v>
      </c>
      <c r="CS1943">
        <v>0</v>
      </c>
      <c r="CT1943">
        <v>2</v>
      </c>
      <c r="CU1943">
        <v>0</v>
      </c>
      <c r="CV1943">
        <v>6</v>
      </c>
      <c r="CW1943" t="s">
        <v>120</v>
      </c>
      <c r="CX1943">
        <v>261</v>
      </c>
      <c r="CY1943">
        <v>2</v>
      </c>
      <c r="CZ1943" t="s">
        <v>121</v>
      </c>
      <c r="DA1943" t="s">
        <v>122</v>
      </c>
      <c r="DD1943">
        <v>15410938</v>
      </c>
      <c r="DE1943" t="s">
        <v>123</v>
      </c>
    </row>
    <row r="1944" spans="1:109" x14ac:dyDescent="0.3">
      <c r="A1944" t="str">
        <f>"19:07:14.031"</f>
        <v>19:07:14.031</v>
      </c>
      <c r="B1944" t="s">
        <v>110</v>
      </c>
      <c r="C1944" t="str">
        <f t="shared" si="90"/>
        <v>ffdfd3c0</v>
      </c>
      <c r="D1944" t="s">
        <v>111</v>
      </c>
      <c r="E1944">
        <v>18</v>
      </c>
      <c r="F1944">
        <v>1018</v>
      </c>
      <c r="G1944" t="s">
        <v>112</v>
      </c>
      <c r="J1944" t="s">
        <v>113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R1944" t="s">
        <v>114</v>
      </c>
      <c r="S1944" t="str">
        <f>"19:07:13.813"</f>
        <v>19:07:13.813</v>
      </c>
      <c r="T1944" t="str">
        <f>"19:07:13.813"</f>
        <v>19:07:13.813</v>
      </c>
      <c r="U1944" t="str">
        <f t="shared" si="91"/>
        <v>a1cdbe</v>
      </c>
      <c r="V1944">
        <v>0</v>
      </c>
      <c r="W1944">
        <v>0</v>
      </c>
      <c r="X1944">
        <v>1</v>
      </c>
      <c r="Y1944">
        <v>0</v>
      </c>
      <c r="Z1944">
        <v>0</v>
      </c>
      <c r="AB1944">
        <v>0</v>
      </c>
      <c r="AC1944">
        <v>9</v>
      </c>
      <c r="AD1944">
        <v>3</v>
      </c>
      <c r="AE1944">
        <v>0</v>
      </c>
      <c r="AF1944">
        <v>9</v>
      </c>
      <c r="AG1944" t="s">
        <v>158</v>
      </c>
      <c r="AH1944">
        <v>0</v>
      </c>
      <c r="AI1944">
        <v>3</v>
      </c>
      <c r="AJ1944">
        <v>1</v>
      </c>
      <c r="AK1944">
        <v>0</v>
      </c>
      <c r="AL1944" t="s">
        <v>3665</v>
      </c>
      <c r="AM1944">
        <v>46.858319999999999</v>
      </c>
      <c r="AN1944" t="s">
        <v>3666</v>
      </c>
      <c r="AO1944">
        <v>-123.002179</v>
      </c>
      <c r="AP1944">
        <v>100</v>
      </c>
      <c r="AQ1944">
        <v>2000</v>
      </c>
      <c r="AR1944" t="s">
        <v>118</v>
      </c>
      <c r="AS1944">
        <v>-77</v>
      </c>
      <c r="AT1944">
        <v>24</v>
      </c>
      <c r="AU1944">
        <v>-128</v>
      </c>
      <c r="BC1944">
        <v>1200</v>
      </c>
      <c r="BD1944">
        <v>1</v>
      </c>
      <c r="BE1944" t="str">
        <f t="shared" si="92"/>
        <v xml:space="preserve">N215T   </v>
      </c>
      <c r="BF1944">
        <v>1</v>
      </c>
      <c r="BH1944">
        <v>0</v>
      </c>
      <c r="BI1944">
        <v>0</v>
      </c>
      <c r="BJ1944">
        <v>0</v>
      </c>
      <c r="BK1944">
        <v>2425</v>
      </c>
      <c r="BL1944">
        <v>425</v>
      </c>
      <c r="BM1944" t="s">
        <v>119</v>
      </c>
      <c r="BN1944">
        <v>1</v>
      </c>
      <c r="BO1944">
        <v>1</v>
      </c>
      <c r="BP1944">
        <v>1</v>
      </c>
      <c r="BQ1944">
        <v>0</v>
      </c>
      <c r="BT1944">
        <v>0</v>
      </c>
      <c r="BU1944">
        <v>0</v>
      </c>
      <c r="BV1944">
        <v>0</v>
      </c>
      <c r="CC1944" t="str">
        <f>"19:07:13.820"</f>
        <v>19:07:13.820</v>
      </c>
      <c r="CD1944" t="str">
        <f>"816528740"</f>
        <v>816528740</v>
      </c>
      <c r="CQ1944">
        <v>0</v>
      </c>
      <c r="CR1944">
        <v>2</v>
      </c>
      <c r="CS1944">
        <v>0</v>
      </c>
      <c r="CT1944">
        <v>2</v>
      </c>
      <c r="CU1944">
        <v>0</v>
      </c>
      <c r="CV1944">
        <v>6</v>
      </c>
      <c r="CW1944" t="s">
        <v>120</v>
      </c>
      <c r="CX1944">
        <v>261</v>
      </c>
      <c r="CY1944">
        <v>2</v>
      </c>
      <c r="CZ1944" t="s">
        <v>121</v>
      </c>
      <c r="DA1944" t="s">
        <v>122</v>
      </c>
      <c r="DD1944">
        <v>15411555</v>
      </c>
      <c r="DE1944" t="s">
        <v>123</v>
      </c>
    </row>
    <row r="1945" spans="1:109" x14ac:dyDescent="0.3">
      <c r="A1945" t="str">
        <f>"19:07:15.086"</f>
        <v>19:07:15.086</v>
      </c>
      <c r="B1945" t="s">
        <v>110</v>
      </c>
      <c r="C1945" t="str">
        <f t="shared" si="90"/>
        <v>ffdfd3c0</v>
      </c>
      <c r="D1945" t="s">
        <v>111</v>
      </c>
      <c r="E1945">
        <v>18</v>
      </c>
      <c r="F1945">
        <v>1018</v>
      </c>
      <c r="G1945" t="s">
        <v>112</v>
      </c>
      <c r="J1945" t="s">
        <v>113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R1945" t="s">
        <v>114</v>
      </c>
      <c r="S1945" t="str">
        <f>"19:07:14.875"</f>
        <v>19:07:14.875</v>
      </c>
      <c r="T1945" t="str">
        <f>"19:07:14.875"</f>
        <v>19:07:14.875</v>
      </c>
      <c r="U1945" t="str">
        <f t="shared" si="91"/>
        <v>a1cdbe</v>
      </c>
      <c r="V1945">
        <v>0</v>
      </c>
      <c r="W1945">
        <v>0</v>
      </c>
      <c r="X1945">
        <v>1</v>
      </c>
      <c r="Y1945">
        <v>0</v>
      </c>
      <c r="Z1945">
        <v>0</v>
      </c>
      <c r="AB1945">
        <v>0</v>
      </c>
      <c r="AC1945">
        <v>9</v>
      </c>
      <c r="AD1945">
        <v>3</v>
      </c>
      <c r="AE1945">
        <v>0</v>
      </c>
      <c r="AF1945">
        <v>9</v>
      </c>
      <c r="AG1945" t="s">
        <v>158</v>
      </c>
      <c r="AH1945">
        <v>0</v>
      </c>
      <c r="AI1945">
        <v>3</v>
      </c>
      <c r="AJ1945">
        <v>1</v>
      </c>
      <c r="AK1945">
        <v>0</v>
      </c>
      <c r="AL1945" t="s">
        <v>3667</v>
      </c>
      <c r="AM1945">
        <v>46.858428000000004</v>
      </c>
      <c r="AN1945" t="s">
        <v>3668</v>
      </c>
      <c r="AO1945">
        <v>-123.002737</v>
      </c>
      <c r="AP1945">
        <v>100</v>
      </c>
      <c r="AQ1945">
        <v>2000</v>
      </c>
      <c r="AR1945" t="s">
        <v>118</v>
      </c>
      <c r="AS1945">
        <v>-78</v>
      </c>
      <c r="AT1945">
        <v>23</v>
      </c>
      <c r="AU1945">
        <v>-128</v>
      </c>
      <c r="BC1945">
        <v>1200</v>
      </c>
      <c r="BD1945">
        <v>1</v>
      </c>
      <c r="BE1945" t="str">
        <f t="shared" si="92"/>
        <v xml:space="preserve">N215T   </v>
      </c>
      <c r="BF1945">
        <v>1</v>
      </c>
      <c r="BH1945">
        <v>0</v>
      </c>
      <c r="BI1945">
        <v>0</v>
      </c>
      <c r="BJ1945">
        <v>0</v>
      </c>
      <c r="BK1945">
        <v>2425</v>
      </c>
      <c r="BL1945">
        <v>425</v>
      </c>
      <c r="BM1945" t="s">
        <v>119</v>
      </c>
      <c r="BN1945">
        <v>1</v>
      </c>
      <c r="BO1945">
        <v>1</v>
      </c>
      <c r="BP1945">
        <v>1</v>
      </c>
      <c r="BQ1945">
        <v>0</v>
      </c>
      <c r="BT1945">
        <v>0</v>
      </c>
      <c r="BU1945">
        <v>0</v>
      </c>
      <c r="BV1945">
        <v>0</v>
      </c>
      <c r="CC1945" t="str">
        <f>"19:07:14.883"</f>
        <v>19:07:14.883</v>
      </c>
      <c r="CD1945" t="str">
        <f>"881423844"</f>
        <v>881423844</v>
      </c>
      <c r="CQ1945">
        <v>0</v>
      </c>
      <c r="CR1945">
        <v>2</v>
      </c>
      <c r="CS1945">
        <v>0</v>
      </c>
      <c r="CT1945">
        <v>2</v>
      </c>
      <c r="CU1945">
        <v>0</v>
      </c>
      <c r="CV1945">
        <v>6</v>
      </c>
      <c r="CW1945" t="s">
        <v>120</v>
      </c>
      <c r="CX1945">
        <v>261</v>
      </c>
      <c r="CY1945">
        <v>2</v>
      </c>
      <c r="CZ1945" t="s">
        <v>121</v>
      </c>
      <c r="DA1945" t="s">
        <v>122</v>
      </c>
      <c r="DD1945">
        <v>15412227</v>
      </c>
      <c r="DE1945" t="s">
        <v>123</v>
      </c>
    </row>
    <row r="1946" spans="1:109" x14ac:dyDescent="0.3">
      <c r="A1946" t="str">
        <f>"19:07:16.047"</f>
        <v>19:07:16.047</v>
      </c>
      <c r="B1946" t="s">
        <v>110</v>
      </c>
      <c r="C1946" t="str">
        <f t="shared" si="90"/>
        <v>ffdfd3c0</v>
      </c>
      <c r="D1946" t="s">
        <v>111</v>
      </c>
      <c r="E1946">
        <v>18</v>
      </c>
      <c r="F1946">
        <v>1018</v>
      </c>
      <c r="G1946" t="s">
        <v>112</v>
      </c>
      <c r="J1946" t="s">
        <v>113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R1946" t="s">
        <v>114</v>
      </c>
      <c r="S1946" t="str">
        <f>"19:07:15.781"</f>
        <v>19:07:15.781</v>
      </c>
      <c r="T1946" t="str">
        <f>"19:07:15.781"</f>
        <v>19:07:15.781</v>
      </c>
      <c r="U1946" t="str">
        <f t="shared" si="91"/>
        <v>a1cdbe</v>
      </c>
      <c r="V1946">
        <v>0</v>
      </c>
      <c r="W1946">
        <v>0</v>
      </c>
      <c r="X1946">
        <v>1</v>
      </c>
      <c r="Y1946">
        <v>0</v>
      </c>
      <c r="Z1946">
        <v>0</v>
      </c>
      <c r="AB1946">
        <v>0</v>
      </c>
      <c r="AC1946">
        <v>9</v>
      </c>
      <c r="AD1946">
        <v>3</v>
      </c>
      <c r="AE1946">
        <v>0</v>
      </c>
      <c r="AF1946">
        <v>9</v>
      </c>
      <c r="AG1946" t="s">
        <v>158</v>
      </c>
      <c r="AH1946">
        <v>0</v>
      </c>
      <c r="AI1946">
        <v>3</v>
      </c>
      <c r="AJ1946">
        <v>1</v>
      </c>
      <c r="AK1946">
        <v>0</v>
      </c>
      <c r="AL1946" t="s">
        <v>3669</v>
      </c>
      <c r="AM1946">
        <v>46.858513000000002</v>
      </c>
      <c r="AN1946" t="s">
        <v>3670</v>
      </c>
      <c r="AO1946">
        <v>-123.003209</v>
      </c>
      <c r="AP1946">
        <v>100</v>
      </c>
      <c r="AQ1946">
        <v>2000</v>
      </c>
      <c r="AR1946" t="s">
        <v>118</v>
      </c>
      <c r="AS1946">
        <v>-78</v>
      </c>
      <c r="AT1946">
        <v>23</v>
      </c>
      <c r="AU1946">
        <v>-64</v>
      </c>
      <c r="BC1946">
        <v>1200</v>
      </c>
      <c r="BD1946">
        <v>1</v>
      </c>
      <c r="BE1946" t="str">
        <f t="shared" si="92"/>
        <v xml:space="preserve">N215T   </v>
      </c>
      <c r="BF1946">
        <v>1</v>
      </c>
      <c r="BH1946">
        <v>0</v>
      </c>
      <c r="BI1946">
        <v>0</v>
      </c>
      <c r="BJ1946">
        <v>0</v>
      </c>
      <c r="BK1946">
        <v>2425</v>
      </c>
      <c r="BL1946">
        <v>425</v>
      </c>
      <c r="BM1946" t="s">
        <v>119</v>
      </c>
      <c r="BN1946">
        <v>1</v>
      </c>
      <c r="BO1946">
        <v>1</v>
      </c>
      <c r="BP1946">
        <v>1</v>
      </c>
      <c r="BQ1946">
        <v>0</v>
      </c>
      <c r="BT1946">
        <v>0</v>
      </c>
      <c r="BU1946">
        <v>0</v>
      </c>
      <c r="BV1946">
        <v>0</v>
      </c>
      <c r="CC1946" t="str">
        <f>"19:07:15.781"</f>
        <v>19:07:15.781</v>
      </c>
      <c r="CD1946" t="str">
        <f>"781335205"</f>
        <v>781335205</v>
      </c>
      <c r="CQ1946">
        <v>0</v>
      </c>
      <c r="CR1946">
        <v>2</v>
      </c>
      <c r="CS1946">
        <v>0</v>
      </c>
      <c r="CT1946">
        <v>2</v>
      </c>
      <c r="CU1946">
        <v>0</v>
      </c>
      <c r="CV1946">
        <v>6</v>
      </c>
      <c r="CW1946" t="s">
        <v>120</v>
      </c>
      <c r="CX1946">
        <v>261</v>
      </c>
      <c r="CY1946">
        <v>2</v>
      </c>
      <c r="CZ1946" t="s">
        <v>121</v>
      </c>
      <c r="DA1946" t="s">
        <v>122</v>
      </c>
      <c r="DD1946">
        <v>15412818</v>
      </c>
      <c r="DE1946" t="s">
        <v>123</v>
      </c>
    </row>
    <row r="1947" spans="1:109" x14ac:dyDescent="0.3">
      <c r="A1947" t="str">
        <f>"19:07:17.094"</f>
        <v>19:07:17.094</v>
      </c>
      <c r="B1947" t="s">
        <v>110</v>
      </c>
      <c r="C1947" t="str">
        <f t="shared" si="90"/>
        <v>ffdfd3c0</v>
      </c>
      <c r="D1947" t="s">
        <v>111</v>
      </c>
      <c r="E1947">
        <v>18</v>
      </c>
      <c r="F1947">
        <v>1018</v>
      </c>
      <c r="G1947" t="s">
        <v>112</v>
      </c>
      <c r="J1947" t="s">
        <v>113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R1947" t="s">
        <v>114</v>
      </c>
      <c r="S1947" t="str">
        <f>"19:07:16.844"</f>
        <v>19:07:16.844</v>
      </c>
      <c r="T1947" t="str">
        <f>"19:07:16.742"</f>
        <v>19:07:16.742</v>
      </c>
      <c r="U1947" t="str">
        <f t="shared" si="91"/>
        <v>a1cdbe</v>
      </c>
      <c r="V1947">
        <v>0</v>
      </c>
      <c r="W1947">
        <v>0</v>
      </c>
      <c r="X1947">
        <v>1</v>
      </c>
      <c r="Y1947">
        <v>0</v>
      </c>
      <c r="Z1947">
        <v>0</v>
      </c>
      <c r="AB1947">
        <v>0</v>
      </c>
      <c r="AC1947">
        <v>9</v>
      </c>
      <c r="AD1947">
        <v>3</v>
      </c>
      <c r="AE1947">
        <v>0</v>
      </c>
      <c r="AF1947">
        <v>9</v>
      </c>
      <c r="AG1947" t="s">
        <v>158</v>
      </c>
      <c r="AH1947">
        <v>0</v>
      </c>
      <c r="AI1947">
        <v>3</v>
      </c>
      <c r="AJ1947">
        <v>1</v>
      </c>
      <c r="AK1947">
        <v>0</v>
      </c>
      <c r="AL1947" t="s">
        <v>3671</v>
      </c>
      <c r="AM1947">
        <v>46.858620999999999</v>
      </c>
      <c r="AN1947" t="s">
        <v>3672</v>
      </c>
      <c r="AO1947">
        <v>-123.00372400000001</v>
      </c>
      <c r="AP1947">
        <v>100</v>
      </c>
      <c r="AQ1947">
        <v>2000</v>
      </c>
      <c r="AR1947" t="s">
        <v>118</v>
      </c>
      <c r="AS1947">
        <v>-78</v>
      </c>
      <c r="AT1947">
        <v>23</v>
      </c>
      <c r="AU1947">
        <v>-64</v>
      </c>
      <c r="BC1947">
        <v>1200</v>
      </c>
      <c r="BD1947">
        <v>1</v>
      </c>
      <c r="BE1947" t="str">
        <f t="shared" si="92"/>
        <v xml:space="preserve">N215T   </v>
      </c>
      <c r="BF1947">
        <v>1</v>
      </c>
      <c r="BH1947">
        <v>0</v>
      </c>
      <c r="BI1947">
        <v>0</v>
      </c>
      <c r="BJ1947">
        <v>0</v>
      </c>
      <c r="BK1947">
        <v>2400</v>
      </c>
      <c r="BL1947">
        <v>400</v>
      </c>
      <c r="BM1947" t="s">
        <v>119</v>
      </c>
      <c r="BN1947">
        <v>1</v>
      </c>
      <c r="BO1947">
        <v>1</v>
      </c>
      <c r="BP1947">
        <v>1</v>
      </c>
      <c r="BQ1947">
        <v>0</v>
      </c>
      <c r="BT1947">
        <v>0</v>
      </c>
      <c r="BU1947">
        <v>0</v>
      </c>
      <c r="BV1947">
        <v>0</v>
      </c>
      <c r="CC1947" t="str">
        <f>"19:07:16.844"</f>
        <v>19:07:16.844</v>
      </c>
      <c r="CD1947" t="str">
        <f>"846230307"</f>
        <v>846230307</v>
      </c>
      <c r="CQ1947">
        <v>0</v>
      </c>
      <c r="CR1947">
        <v>2</v>
      </c>
      <c r="CS1947">
        <v>0</v>
      </c>
      <c r="CT1947">
        <v>2</v>
      </c>
      <c r="CU1947">
        <v>0</v>
      </c>
      <c r="CV1947">
        <v>6</v>
      </c>
      <c r="CW1947" t="s">
        <v>120</v>
      </c>
      <c r="CX1947">
        <v>261</v>
      </c>
      <c r="CY1947">
        <v>2</v>
      </c>
      <c r="CZ1947" t="s">
        <v>121</v>
      </c>
      <c r="DA1947" t="s">
        <v>122</v>
      </c>
      <c r="DD1947">
        <v>15413521</v>
      </c>
      <c r="DE1947" t="s">
        <v>123</v>
      </c>
    </row>
    <row r="1948" spans="1:109" x14ac:dyDescent="0.3">
      <c r="A1948" t="str">
        <f>"19:07:18.055"</f>
        <v>19:07:18.055</v>
      </c>
      <c r="B1948" t="s">
        <v>110</v>
      </c>
      <c r="C1948" t="str">
        <f t="shared" si="90"/>
        <v>ffdfd3c0</v>
      </c>
      <c r="D1948" t="s">
        <v>111</v>
      </c>
      <c r="E1948">
        <v>18</v>
      </c>
      <c r="F1948">
        <v>1018</v>
      </c>
      <c r="G1948" t="s">
        <v>112</v>
      </c>
      <c r="J1948" t="s">
        <v>113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R1948" t="s">
        <v>114</v>
      </c>
      <c r="S1948" t="str">
        <f>"19:07:17.820"</f>
        <v>19:07:17.820</v>
      </c>
      <c r="T1948" t="str">
        <f>"19:07:17.820"</f>
        <v>19:07:17.820</v>
      </c>
      <c r="U1948" t="str">
        <f t="shared" si="91"/>
        <v>a1cdbe</v>
      </c>
      <c r="V1948">
        <v>0</v>
      </c>
      <c r="W1948">
        <v>0</v>
      </c>
      <c r="X1948">
        <v>1</v>
      </c>
      <c r="Y1948">
        <v>0</v>
      </c>
      <c r="Z1948">
        <v>0</v>
      </c>
      <c r="AB1948">
        <v>0</v>
      </c>
      <c r="AC1948">
        <v>9</v>
      </c>
      <c r="AD1948">
        <v>3</v>
      </c>
      <c r="AE1948">
        <v>0</v>
      </c>
      <c r="AF1948">
        <v>9</v>
      </c>
      <c r="AG1948" t="s">
        <v>158</v>
      </c>
      <c r="AH1948">
        <v>0</v>
      </c>
      <c r="AI1948">
        <v>3</v>
      </c>
      <c r="AJ1948">
        <v>1</v>
      </c>
      <c r="AK1948">
        <v>0</v>
      </c>
      <c r="AL1948" t="s">
        <v>3673</v>
      </c>
      <c r="AM1948">
        <v>46.858727999999999</v>
      </c>
      <c r="AN1948" t="s">
        <v>3674</v>
      </c>
      <c r="AO1948">
        <v>-123.00430299999999</v>
      </c>
      <c r="AP1948">
        <v>100</v>
      </c>
      <c r="AQ1948">
        <v>2000</v>
      </c>
      <c r="AR1948" t="s">
        <v>118</v>
      </c>
      <c r="AS1948">
        <v>-78</v>
      </c>
      <c r="AT1948">
        <v>22</v>
      </c>
      <c r="AU1948">
        <v>-64</v>
      </c>
      <c r="BC1948">
        <v>1200</v>
      </c>
      <c r="BD1948">
        <v>1</v>
      </c>
      <c r="BE1948" t="str">
        <f t="shared" si="92"/>
        <v xml:space="preserve">N215T   </v>
      </c>
      <c r="BF1948">
        <v>1</v>
      </c>
      <c r="BH1948">
        <v>0</v>
      </c>
      <c r="BI1948">
        <v>0</v>
      </c>
      <c r="BJ1948">
        <v>0</v>
      </c>
      <c r="BK1948">
        <v>2400</v>
      </c>
      <c r="BL1948">
        <v>400</v>
      </c>
      <c r="BM1948" t="s">
        <v>119</v>
      </c>
      <c r="BN1948">
        <v>1</v>
      </c>
      <c r="BO1948">
        <v>1</v>
      </c>
      <c r="BP1948">
        <v>1</v>
      </c>
      <c r="BQ1948">
        <v>0</v>
      </c>
      <c r="BT1948">
        <v>0</v>
      </c>
      <c r="BU1948">
        <v>0</v>
      </c>
      <c r="BV1948">
        <v>0</v>
      </c>
      <c r="CC1948" t="str">
        <f>"19:07:17.820"</f>
        <v>19:07:17.820</v>
      </c>
      <c r="CD1948" t="str">
        <f>"821134283"</f>
        <v>821134283</v>
      </c>
      <c r="CQ1948">
        <v>0</v>
      </c>
      <c r="CR1948">
        <v>2</v>
      </c>
      <c r="CS1948">
        <v>0</v>
      </c>
      <c r="CT1948">
        <v>2</v>
      </c>
      <c r="CU1948">
        <v>0</v>
      </c>
      <c r="CV1948">
        <v>6</v>
      </c>
      <c r="CW1948" t="s">
        <v>120</v>
      </c>
      <c r="CX1948">
        <v>261</v>
      </c>
      <c r="CY1948">
        <v>2</v>
      </c>
      <c r="CZ1948" t="s">
        <v>121</v>
      </c>
      <c r="DA1948" t="s">
        <v>122</v>
      </c>
      <c r="DD1948">
        <v>15414147</v>
      </c>
      <c r="DE1948" t="s">
        <v>123</v>
      </c>
    </row>
    <row r="1949" spans="1:109" x14ac:dyDescent="0.3">
      <c r="A1949" t="str">
        <f>"19:07:19.211"</f>
        <v>19:07:19.211</v>
      </c>
      <c r="B1949" t="s">
        <v>110</v>
      </c>
      <c r="C1949" t="str">
        <f t="shared" si="90"/>
        <v>ffdfd3c0</v>
      </c>
      <c r="D1949" t="s">
        <v>111</v>
      </c>
      <c r="E1949">
        <v>18</v>
      </c>
      <c r="F1949">
        <v>1018</v>
      </c>
      <c r="G1949" t="s">
        <v>112</v>
      </c>
      <c r="J1949" t="s">
        <v>113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R1949" t="s">
        <v>114</v>
      </c>
      <c r="S1949" t="str">
        <f>"19:07:19.000"</f>
        <v>19:07:19.000</v>
      </c>
      <c r="T1949" t="str">
        <f>"19:07:18.898"</f>
        <v>19:07:18.898</v>
      </c>
      <c r="U1949" t="str">
        <f t="shared" si="91"/>
        <v>a1cdbe</v>
      </c>
      <c r="V1949">
        <v>0</v>
      </c>
      <c r="W1949">
        <v>0</v>
      </c>
      <c r="X1949">
        <v>1</v>
      </c>
      <c r="Y1949">
        <v>0</v>
      </c>
      <c r="Z1949">
        <v>0</v>
      </c>
      <c r="AB1949">
        <v>0</v>
      </c>
      <c r="AC1949">
        <v>9</v>
      </c>
      <c r="AD1949">
        <v>3</v>
      </c>
      <c r="AE1949">
        <v>0</v>
      </c>
      <c r="AF1949">
        <v>9</v>
      </c>
      <c r="AG1949" t="s">
        <v>158</v>
      </c>
      <c r="AH1949">
        <v>0</v>
      </c>
      <c r="AI1949">
        <v>3</v>
      </c>
      <c r="AJ1949">
        <v>1</v>
      </c>
      <c r="AK1949">
        <v>0</v>
      </c>
      <c r="AL1949" t="s">
        <v>3675</v>
      </c>
      <c r="AM1949">
        <v>46.858834999999999</v>
      </c>
      <c r="AN1949" t="s">
        <v>3676</v>
      </c>
      <c r="AO1949">
        <v>-123.004925</v>
      </c>
      <c r="AP1949">
        <v>100</v>
      </c>
      <c r="AQ1949">
        <v>2000</v>
      </c>
      <c r="AR1949" t="s">
        <v>118</v>
      </c>
      <c r="AS1949">
        <v>-78</v>
      </c>
      <c r="AT1949">
        <v>22</v>
      </c>
      <c r="AU1949">
        <v>0</v>
      </c>
      <c r="BC1949">
        <v>1200</v>
      </c>
      <c r="BD1949">
        <v>1</v>
      </c>
      <c r="BE1949" t="str">
        <f t="shared" si="92"/>
        <v xml:space="preserve">N215T   </v>
      </c>
      <c r="BF1949">
        <v>1</v>
      </c>
      <c r="BH1949">
        <v>0</v>
      </c>
      <c r="BI1949">
        <v>0</v>
      </c>
      <c r="BJ1949">
        <v>0</v>
      </c>
      <c r="BK1949">
        <v>2400</v>
      </c>
      <c r="BL1949">
        <v>400</v>
      </c>
      <c r="BM1949" t="s">
        <v>119</v>
      </c>
      <c r="BN1949">
        <v>1</v>
      </c>
      <c r="BO1949">
        <v>1</v>
      </c>
      <c r="BP1949">
        <v>1</v>
      </c>
      <c r="BQ1949">
        <v>0</v>
      </c>
      <c r="BT1949">
        <v>0</v>
      </c>
      <c r="BU1949">
        <v>0</v>
      </c>
      <c r="BV1949">
        <v>0</v>
      </c>
      <c r="CC1949" t="str">
        <f>"19:07:19.008"</f>
        <v>19:07:19.008</v>
      </c>
      <c r="CD1949" t="str">
        <f>"006017551"</f>
        <v>006017551</v>
      </c>
      <c r="CQ1949">
        <v>0</v>
      </c>
      <c r="CR1949">
        <v>2</v>
      </c>
      <c r="CS1949">
        <v>0</v>
      </c>
      <c r="CT1949">
        <v>2</v>
      </c>
      <c r="CU1949">
        <v>0</v>
      </c>
      <c r="CV1949">
        <v>6</v>
      </c>
      <c r="CW1949" t="s">
        <v>120</v>
      </c>
      <c r="CX1949">
        <v>261</v>
      </c>
      <c r="CY1949">
        <v>2</v>
      </c>
      <c r="CZ1949" t="s">
        <v>121</v>
      </c>
      <c r="DA1949" t="s">
        <v>122</v>
      </c>
      <c r="DD1949">
        <v>15414965</v>
      </c>
      <c r="DE1949" t="s">
        <v>123</v>
      </c>
    </row>
    <row r="1950" spans="1:109" x14ac:dyDescent="0.3">
      <c r="A1950" t="str">
        <f>"19:07:20.109"</f>
        <v>19:07:20.109</v>
      </c>
      <c r="B1950" t="s">
        <v>110</v>
      </c>
      <c r="C1950" t="str">
        <f t="shared" si="90"/>
        <v>ffdfd3c0</v>
      </c>
      <c r="D1950" t="s">
        <v>111</v>
      </c>
      <c r="E1950">
        <v>18</v>
      </c>
      <c r="F1950">
        <v>1018</v>
      </c>
      <c r="G1950" t="s">
        <v>112</v>
      </c>
      <c r="J1950" t="s">
        <v>113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R1950" t="s">
        <v>114</v>
      </c>
      <c r="S1950" t="str">
        <f>"19:07:19.891"</f>
        <v>19:07:19.891</v>
      </c>
      <c r="T1950" t="str">
        <f>"19:07:19.391"</f>
        <v>19:07:19.391</v>
      </c>
      <c r="U1950" t="str">
        <f t="shared" si="91"/>
        <v>a1cdbe</v>
      </c>
      <c r="V1950">
        <v>0</v>
      </c>
      <c r="W1950">
        <v>0</v>
      </c>
      <c r="X1950">
        <v>1</v>
      </c>
      <c r="Y1950">
        <v>0</v>
      </c>
      <c r="Z1950">
        <v>0</v>
      </c>
      <c r="AB1950">
        <v>0</v>
      </c>
      <c r="AC1950">
        <v>9</v>
      </c>
      <c r="AD1950">
        <v>3</v>
      </c>
      <c r="AE1950">
        <v>0</v>
      </c>
      <c r="AF1950">
        <v>9</v>
      </c>
      <c r="AG1950" t="s">
        <v>158</v>
      </c>
      <c r="AH1950">
        <v>0</v>
      </c>
      <c r="AI1950">
        <v>3</v>
      </c>
      <c r="AJ1950">
        <v>1</v>
      </c>
      <c r="AK1950">
        <v>0</v>
      </c>
      <c r="AL1950" t="s">
        <v>3677</v>
      </c>
      <c r="AM1950">
        <v>46.858921000000002</v>
      </c>
      <c r="AN1950" t="s">
        <v>3678</v>
      </c>
      <c r="AO1950">
        <v>-123.00533299999999</v>
      </c>
      <c r="AP1950">
        <v>100</v>
      </c>
      <c r="AQ1950">
        <v>2000</v>
      </c>
      <c r="AR1950" t="s">
        <v>118</v>
      </c>
      <c r="AS1950">
        <v>-78</v>
      </c>
      <c r="AT1950">
        <v>22</v>
      </c>
      <c r="AU1950">
        <v>0</v>
      </c>
      <c r="BC1950">
        <v>1200</v>
      </c>
      <c r="BD1950">
        <v>1</v>
      </c>
      <c r="BE1950" t="str">
        <f t="shared" si="92"/>
        <v xml:space="preserve">N215T   </v>
      </c>
      <c r="BF1950">
        <v>1</v>
      </c>
      <c r="BH1950">
        <v>0</v>
      </c>
      <c r="BI1950">
        <v>0</v>
      </c>
      <c r="BJ1950">
        <v>0</v>
      </c>
      <c r="BK1950">
        <v>2400</v>
      </c>
      <c r="BL1950">
        <v>400</v>
      </c>
      <c r="BM1950" t="s">
        <v>119</v>
      </c>
      <c r="BN1950">
        <v>1</v>
      </c>
      <c r="BO1950">
        <v>1</v>
      </c>
      <c r="BP1950">
        <v>1</v>
      </c>
      <c r="BQ1950">
        <v>0</v>
      </c>
      <c r="BT1950">
        <v>0</v>
      </c>
      <c r="BU1950">
        <v>0</v>
      </c>
      <c r="BV1950">
        <v>0</v>
      </c>
      <c r="CC1950" t="str">
        <f>"19:07:19.891"</f>
        <v>19:07:19.891</v>
      </c>
      <c r="CD1950" t="str">
        <f>"890930387"</f>
        <v>890930387</v>
      </c>
      <c r="CQ1950">
        <v>0</v>
      </c>
      <c r="CR1950">
        <v>2</v>
      </c>
      <c r="CS1950">
        <v>0</v>
      </c>
      <c r="CT1950">
        <v>2</v>
      </c>
      <c r="CU1950">
        <v>0</v>
      </c>
      <c r="CV1950">
        <v>6</v>
      </c>
      <c r="CW1950" t="s">
        <v>120</v>
      </c>
      <c r="CX1950">
        <v>261</v>
      </c>
      <c r="CY1950">
        <v>2</v>
      </c>
      <c r="CZ1950" t="s">
        <v>121</v>
      </c>
      <c r="DA1950" t="s">
        <v>122</v>
      </c>
      <c r="DD1950">
        <v>15415557</v>
      </c>
      <c r="DE1950" t="s">
        <v>123</v>
      </c>
    </row>
    <row r="1951" spans="1:109" x14ac:dyDescent="0.3">
      <c r="A1951" t="str">
        <f>"19:07:21.164"</f>
        <v>19:07:21.164</v>
      </c>
      <c r="B1951" t="s">
        <v>110</v>
      </c>
      <c r="C1951" t="str">
        <f t="shared" si="90"/>
        <v>ffdfd3c0</v>
      </c>
      <c r="D1951" t="s">
        <v>111</v>
      </c>
      <c r="E1951">
        <v>18</v>
      </c>
      <c r="F1951">
        <v>1018</v>
      </c>
      <c r="G1951" t="s">
        <v>112</v>
      </c>
      <c r="J1951" t="s">
        <v>113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R1951" t="s">
        <v>114</v>
      </c>
      <c r="S1951" t="str">
        <f>"19:07:20.938"</f>
        <v>19:07:20.938</v>
      </c>
      <c r="T1951" t="str">
        <f>"19:07:20.836"</f>
        <v>19:07:20.836</v>
      </c>
      <c r="U1951" t="str">
        <f t="shared" si="91"/>
        <v>a1cdbe</v>
      </c>
      <c r="V1951">
        <v>0</v>
      </c>
      <c r="W1951">
        <v>0</v>
      </c>
      <c r="X1951">
        <v>1</v>
      </c>
      <c r="Y1951">
        <v>0</v>
      </c>
      <c r="Z1951">
        <v>0</v>
      </c>
      <c r="AB1951">
        <v>0</v>
      </c>
      <c r="AC1951">
        <v>9</v>
      </c>
      <c r="AD1951">
        <v>3</v>
      </c>
      <c r="AE1951">
        <v>0</v>
      </c>
      <c r="AF1951">
        <v>9</v>
      </c>
      <c r="AG1951" t="s">
        <v>158</v>
      </c>
      <c r="AH1951">
        <v>0</v>
      </c>
      <c r="AI1951">
        <v>3</v>
      </c>
      <c r="AJ1951">
        <v>1</v>
      </c>
      <c r="AK1951">
        <v>0</v>
      </c>
      <c r="AL1951" t="s">
        <v>3679</v>
      </c>
      <c r="AM1951">
        <v>46.859028000000002</v>
      </c>
      <c r="AN1951" t="s">
        <v>3680</v>
      </c>
      <c r="AO1951">
        <v>-123.005869</v>
      </c>
      <c r="AP1951">
        <v>100</v>
      </c>
      <c r="AQ1951">
        <v>2000</v>
      </c>
      <c r="AR1951" t="s">
        <v>118</v>
      </c>
      <c r="AS1951">
        <v>-78</v>
      </c>
      <c r="AT1951">
        <v>22</v>
      </c>
      <c r="AU1951">
        <v>-64</v>
      </c>
      <c r="BC1951">
        <v>1200</v>
      </c>
      <c r="BD1951">
        <v>1</v>
      </c>
      <c r="BE1951" t="str">
        <f t="shared" si="92"/>
        <v xml:space="preserve">N215T   </v>
      </c>
      <c r="BF1951">
        <v>1</v>
      </c>
      <c r="BH1951">
        <v>0</v>
      </c>
      <c r="BI1951">
        <v>0</v>
      </c>
      <c r="BJ1951">
        <v>0</v>
      </c>
      <c r="BK1951">
        <v>2400</v>
      </c>
      <c r="BL1951">
        <v>400</v>
      </c>
      <c r="BM1951" t="s">
        <v>119</v>
      </c>
      <c r="BN1951">
        <v>1</v>
      </c>
      <c r="BO1951">
        <v>1</v>
      </c>
      <c r="BP1951">
        <v>1</v>
      </c>
      <c r="BQ1951">
        <v>0</v>
      </c>
      <c r="BT1951">
        <v>0</v>
      </c>
      <c r="BU1951">
        <v>0</v>
      </c>
      <c r="BV1951">
        <v>0</v>
      </c>
      <c r="CC1951" t="str">
        <f>"19:07:20.938"</f>
        <v>19:07:20.938</v>
      </c>
      <c r="CD1951" t="str">
        <f>"940826964"</f>
        <v>940826964</v>
      </c>
      <c r="CQ1951">
        <v>0</v>
      </c>
      <c r="CR1951">
        <v>2</v>
      </c>
      <c r="CS1951">
        <v>0</v>
      </c>
      <c r="CT1951">
        <v>2</v>
      </c>
      <c r="CU1951">
        <v>0</v>
      </c>
      <c r="CV1951">
        <v>6</v>
      </c>
      <c r="CW1951" t="s">
        <v>120</v>
      </c>
      <c r="CX1951">
        <v>261</v>
      </c>
      <c r="CY1951">
        <v>2</v>
      </c>
      <c r="CZ1951" t="s">
        <v>121</v>
      </c>
      <c r="DA1951" t="s">
        <v>122</v>
      </c>
      <c r="DD1951">
        <v>15416309</v>
      </c>
      <c r="DE1951" t="s">
        <v>123</v>
      </c>
    </row>
    <row r="1952" spans="1:109" x14ac:dyDescent="0.3">
      <c r="A1952" t="str">
        <f>"19:07:22.273"</f>
        <v>19:07:22.273</v>
      </c>
      <c r="B1952" t="s">
        <v>110</v>
      </c>
      <c r="C1952" t="str">
        <f t="shared" si="90"/>
        <v>ffdfd3c0</v>
      </c>
      <c r="D1952" t="s">
        <v>111</v>
      </c>
      <c r="E1952">
        <v>18</v>
      </c>
      <c r="F1952">
        <v>1018</v>
      </c>
      <c r="G1952" t="s">
        <v>112</v>
      </c>
      <c r="J1952" t="s">
        <v>113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R1952" t="s">
        <v>114</v>
      </c>
      <c r="S1952" t="str">
        <f>"19:07:22.063"</f>
        <v>19:07:22.063</v>
      </c>
      <c r="T1952" t="str">
        <f>"19:07:21.859"</f>
        <v>19:07:21.859</v>
      </c>
      <c r="U1952" t="str">
        <f t="shared" si="91"/>
        <v>a1cdbe</v>
      </c>
      <c r="V1952">
        <v>0</v>
      </c>
      <c r="W1952">
        <v>0</v>
      </c>
      <c r="X1952">
        <v>1</v>
      </c>
      <c r="Y1952">
        <v>0</v>
      </c>
      <c r="Z1952">
        <v>0</v>
      </c>
      <c r="AB1952">
        <v>0</v>
      </c>
      <c r="AC1952">
        <v>9</v>
      </c>
      <c r="AD1952">
        <v>3</v>
      </c>
      <c r="AE1952">
        <v>0</v>
      </c>
      <c r="AF1952">
        <v>9</v>
      </c>
      <c r="AG1952" t="s">
        <v>158</v>
      </c>
      <c r="AH1952">
        <v>0</v>
      </c>
      <c r="AI1952">
        <v>3</v>
      </c>
      <c r="AJ1952">
        <v>1</v>
      </c>
      <c r="AK1952">
        <v>0</v>
      </c>
      <c r="AL1952" t="s">
        <v>3681</v>
      </c>
      <c r="AM1952">
        <v>46.859157000000003</v>
      </c>
      <c r="AN1952" t="s">
        <v>3682</v>
      </c>
      <c r="AO1952">
        <v>-123.00646999999999</v>
      </c>
      <c r="AP1952">
        <v>100</v>
      </c>
      <c r="AQ1952">
        <v>2000</v>
      </c>
      <c r="AR1952" t="s">
        <v>118</v>
      </c>
      <c r="AS1952">
        <v>-78</v>
      </c>
      <c r="AT1952">
        <v>22</v>
      </c>
      <c r="AU1952">
        <v>-128</v>
      </c>
      <c r="BC1952">
        <v>1200</v>
      </c>
      <c r="BD1952">
        <v>1</v>
      </c>
      <c r="BE1952" t="str">
        <f t="shared" si="92"/>
        <v xml:space="preserve">N215T   </v>
      </c>
      <c r="BF1952">
        <v>1</v>
      </c>
      <c r="BH1952">
        <v>0</v>
      </c>
      <c r="BI1952">
        <v>0</v>
      </c>
      <c r="BJ1952">
        <v>0</v>
      </c>
      <c r="BK1952">
        <v>2400</v>
      </c>
      <c r="BL1952">
        <v>400</v>
      </c>
      <c r="BM1952" t="s">
        <v>119</v>
      </c>
      <c r="BN1952">
        <v>1</v>
      </c>
      <c r="BO1952">
        <v>1</v>
      </c>
      <c r="BP1952">
        <v>1</v>
      </c>
      <c r="BQ1952">
        <v>0</v>
      </c>
      <c r="BT1952">
        <v>0</v>
      </c>
      <c r="BU1952">
        <v>0</v>
      </c>
      <c r="BV1952">
        <v>0</v>
      </c>
      <c r="CC1952" t="str">
        <f>"19:07:22.063"</f>
        <v>19:07:22.063</v>
      </c>
      <c r="CD1952" t="str">
        <f>"065716167"</f>
        <v>065716167</v>
      </c>
      <c r="CQ1952">
        <v>0</v>
      </c>
      <c r="CR1952">
        <v>2</v>
      </c>
      <c r="CS1952">
        <v>0</v>
      </c>
      <c r="CT1952">
        <v>2</v>
      </c>
      <c r="CU1952">
        <v>0</v>
      </c>
      <c r="CV1952">
        <v>6</v>
      </c>
      <c r="CW1952" t="s">
        <v>120</v>
      </c>
      <c r="CX1952">
        <v>261</v>
      </c>
      <c r="CY1952">
        <v>2</v>
      </c>
      <c r="CZ1952" t="s">
        <v>121</v>
      </c>
      <c r="DA1952" t="s">
        <v>122</v>
      </c>
      <c r="DD1952">
        <v>15416989</v>
      </c>
      <c r="DE1952" t="s">
        <v>123</v>
      </c>
    </row>
    <row r="1953" spans="1:109" x14ac:dyDescent="0.3">
      <c r="A1953" t="str">
        <f>"19:07:23.383"</f>
        <v>19:07:23.383</v>
      </c>
      <c r="B1953" t="s">
        <v>110</v>
      </c>
      <c r="C1953" t="str">
        <f t="shared" si="90"/>
        <v>ffdfd3c0</v>
      </c>
      <c r="D1953" t="s">
        <v>111</v>
      </c>
      <c r="E1953">
        <v>18</v>
      </c>
      <c r="F1953">
        <v>1018</v>
      </c>
      <c r="G1953" t="s">
        <v>112</v>
      </c>
      <c r="J1953" t="s">
        <v>113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R1953" t="s">
        <v>114</v>
      </c>
      <c r="S1953" t="str">
        <f>"19:07:23.109"</f>
        <v>19:07:23.109</v>
      </c>
      <c r="T1953" t="str">
        <f>"19:07:22.711"</f>
        <v>19:07:22.711</v>
      </c>
      <c r="U1953" t="str">
        <f t="shared" si="91"/>
        <v>a1cdbe</v>
      </c>
      <c r="V1953">
        <v>0</v>
      </c>
      <c r="W1953">
        <v>0</v>
      </c>
      <c r="X1953">
        <v>1</v>
      </c>
      <c r="Y1953">
        <v>0</v>
      </c>
      <c r="Z1953">
        <v>0</v>
      </c>
      <c r="AB1953">
        <v>0</v>
      </c>
      <c r="AC1953">
        <v>9</v>
      </c>
      <c r="AD1953">
        <v>3</v>
      </c>
      <c r="AE1953">
        <v>0</v>
      </c>
      <c r="AF1953">
        <v>9</v>
      </c>
      <c r="AG1953" t="s">
        <v>158</v>
      </c>
      <c r="AH1953">
        <v>0</v>
      </c>
      <c r="AI1953">
        <v>3</v>
      </c>
      <c r="AJ1953">
        <v>1</v>
      </c>
      <c r="AK1953">
        <v>0</v>
      </c>
      <c r="AL1953" t="s">
        <v>1722</v>
      </c>
      <c r="AM1953">
        <v>46.859242999999999</v>
      </c>
      <c r="AN1953" t="s">
        <v>3683</v>
      </c>
      <c r="AO1953">
        <v>-123.00705000000001</v>
      </c>
      <c r="AP1953">
        <v>100</v>
      </c>
      <c r="AQ1953">
        <v>2000</v>
      </c>
      <c r="AR1953" t="s">
        <v>118</v>
      </c>
      <c r="AS1953">
        <v>-78</v>
      </c>
      <c r="AT1953">
        <v>22</v>
      </c>
      <c r="AU1953">
        <v>-64</v>
      </c>
      <c r="BC1953">
        <v>1200</v>
      </c>
      <c r="BD1953">
        <v>1</v>
      </c>
      <c r="BE1953" t="str">
        <f t="shared" si="92"/>
        <v xml:space="preserve">N215T   </v>
      </c>
      <c r="BF1953">
        <v>1</v>
      </c>
      <c r="BH1953">
        <v>0</v>
      </c>
      <c r="BI1953">
        <v>0</v>
      </c>
      <c r="BJ1953">
        <v>0</v>
      </c>
      <c r="BK1953">
        <v>2400</v>
      </c>
      <c r="BL1953">
        <v>400</v>
      </c>
      <c r="BM1953" t="s">
        <v>119</v>
      </c>
      <c r="BN1953">
        <v>1</v>
      </c>
      <c r="BO1953">
        <v>1</v>
      </c>
      <c r="BP1953">
        <v>1</v>
      </c>
      <c r="BQ1953">
        <v>0</v>
      </c>
      <c r="BT1953">
        <v>0</v>
      </c>
      <c r="BU1953">
        <v>0</v>
      </c>
      <c r="BV1953">
        <v>0</v>
      </c>
      <c r="CC1953" t="str">
        <f>"19:07:23.117"</f>
        <v>19:07:23.117</v>
      </c>
      <c r="CD1953" t="str">
        <f>"115612744"</f>
        <v>115612744</v>
      </c>
      <c r="CQ1953">
        <v>0</v>
      </c>
      <c r="CR1953">
        <v>2</v>
      </c>
      <c r="CS1953">
        <v>0</v>
      </c>
      <c r="CT1953">
        <v>2</v>
      </c>
      <c r="CU1953">
        <v>0</v>
      </c>
      <c r="CV1953">
        <v>6</v>
      </c>
      <c r="CW1953" t="s">
        <v>120</v>
      </c>
      <c r="CX1953">
        <v>261</v>
      </c>
      <c r="CY1953">
        <v>2</v>
      </c>
      <c r="CZ1953" t="s">
        <v>121</v>
      </c>
      <c r="DA1953" t="s">
        <v>122</v>
      </c>
      <c r="DD1953">
        <v>15417648</v>
      </c>
      <c r="DE1953" t="s">
        <v>123</v>
      </c>
    </row>
    <row r="1954" spans="1:109" x14ac:dyDescent="0.3">
      <c r="A1954" t="str">
        <f>"19:07:24.281"</f>
        <v>19:07:24.281</v>
      </c>
      <c r="B1954" t="s">
        <v>110</v>
      </c>
      <c r="C1954" t="str">
        <f t="shared" si="90"/>
        <v>ffdfd3c0</v>
      </c>
      <c r="D1954" t="s">
        <v>111</v>
      </c>
      <c r="E1954">
        <v>18</v>
      </c>
      <c r="F1954">
        <v>1018</v>
      </c>
      <c r="G1954" t="s">
        <v>112</v>
      </c>
      <c r="J1954" t="s">
        <v>113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R1954" t="s">
        <v>114</v>
      </c>
      <c r="S1954" t="str">
        <f>"19:07:24.055"</f>
        <v>19:07:24.055</v>
      </c>
      <c r="T1954" t="str">
        <f>"19:07:23.852"</f>
        <v>19:07:23.852</v>
      </c>
      <c r="U1954" t="str">
        <f t="shared" si="91"/>
        <v>a1cdbe</v>
      </c>
      <c r="V1954">
        <v>0</v>
      </c>
      <c r="W1954">
        <v>0</v>
      </c>
      <c r="X1954">
        <v>1</v>
      </c>
      <c r="Y1954">
        <v>0</v>
      </c>
      <c r="Z1954">
        <v>0</v>
      </c>
      <c r="AB1954">
        <v>0</v>
      </c>
      <c r="AC1954">
        <v>9</v>
      </c>
      <c r="AD1954">
        <v>3</v>
      </c>
      <c r="AE1954">
        <v>0</v>
      </c>
      <c r="AF1954">
        <v>9</v>
      </c>
      <c r="AG1954" t="s">
        <v>158</v>
      </c>
      <c r="AH1954">
        <v>0</v>
      </c>
      <c r="AI1954">
        <v>3</v>
      </c>
      <c r="AJ1954">
        <v>1</v>
      </c>
      <c r="AK1954">
        <v>0</v>
      </c>
      <c r="AL1954" t="s">
        <v>3684</v>
      </c>
      <c r="AM1954">
        <v>46.859349999999999</v>
      </c>
      <c r="AN1954" t="s">
        <v>3685</v>
      </c>
      <c r="AO1954">
        <v>-123.007543</v>
      </c>
      <c r="AP1954">
        <v>100</v>
      </c>
      <c r="AQ1954">
        <v>2000</v>
      </c>
      <c r="AR1954" t="s">
        <v>118</v>
      </c>
      <c r="AS1954">
        <v>-79</v>
      </c>
      <c r="AT1954">
        <v>22</v>
      </c>
      <c r="AU1954">
        <v>-128</v>
      </c>
      <c r="BC1954">
        <v>1200</v>
      </c>
      <c r="BD1954">
        <v>1</v>
      </c>
      <c r="BE1954" t="str">
        <f t="shared" si="92"/>
        <v xml:space="preserve">N215T   </v>
      </c>
      <c r="BF1954">
        <v>1</v>
      </c>
      <c r="BH1954">
        <v>0</v>
      </c>
      <c r="BI1954">
        <v>0</v>
      </c>
      <c r="BJ1954">
        <v>0</v>
      </c>
      <c r="BK1954">
        <v>2400</v>
      </c>
      <c r="BL1954">
        <v>400</v>
      </c>
      <c r="BM1954" t="s">
        <v>119</v>
      </c>
      <c r="BN1954">
        <v>1</v>
      </c>
      <c r="BO1954">
        <v>1</v>
      </c>
      <c r="BP1954">
        <v>1</v>
      </c>
      <c r="BQ1954">
        <v>0</v>
      </c>
      <c r="BT1954">
        <v>0</v>
      </c>
      <c r="BU1954">
        <v>0</v>
      </c>
      <c r="BV1954">
        <v>0</v>
      </c>
      <c r="CC1954" t="str">
        <f>"19:07:24.063"</f>
        <v>19:07:24.063</v>
      </c>
      <c r="CD1954" t="str">
        <f>"060519670"</f>
        <v>060519670</v>
      </c>
      <c r="CQ1954">
        <v>0</v>
      </c>
      <c r="CR1954">
        <v>2</v>
      </c>
      <c r="CS1954">
        <v>0</v>
      </c>
      <c r="CT1954">
        <v>2</v>
      </c>
      <c r="CU1954">
        <v>0</v>
      </c>
      <c r="CV1954">
        <v>6</v>
      </c>
      <c r="CW1954" t="s">
        <v>120</v>
      </c>
      <c r="CX1954">
        <v>261</v>
      </c>
      <c r="CY1954">
        <v>2</v>
      </c>
      <c r="CZ1954" t="s">
        <v>121</v>
      </c>
      <c r="DA1954" t="s">
        <v>122</v>
      </c>
      <c r="DD1954">
        <v>15418298</v>
      </c>
      <c r="DE1954" t="s">
        <v>123</v>
      </c>
    </row>
    <row r="1955" spans="1:109" x14ac:dyDescent="0.3">
      <c r="A1955" t="str">
        <f>"19:07:25.086"</f>
        <v>19:07:25.086</v>
      </c>
      <c r="B1955" t="s">
        <v>110</v>
      </c>
      <c r="C1955" t="str">
        <f t="shared" si="90"/>
        <v>ffdfd3c0</v>
      </c>
      <c r="D1955" t="s">
        <v>111</v>
      </c>
      <c r="E1955">
        <v>18</v>
      </c>
      <c r="F1955">
        <v>1018</v>
      </c>
      <c r="G1955" t="s">
        <v>112</v>
      </c>
      <c r="J1955" t="s">
        <v>113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R1955" t="s">
        <v>114</v>
      </c>
      <c r="S1955" t="str">
        <f>"19:07:24.883"</f>
        <v>19:07:24.883</v>
      </c>
      <c r="T1955" t="str">
        <f>"19:07:24.484"</f>
        <v>19:07:24.484</v>
      </c>
      <c r="U1955" t="str">
        <f t="shared" si="91"/>
        <v>a1cdbe</v>
      </c>
      <c r="V1955">
        <v>0</v>
      </c>
      <c r="W1955">
        <v>0</v>
      </c>
      <c r="X1955">
        <v>1</v>
      </c>
      <c r="Y1955">
        <v>0</v>
      </c>
      <c r="Z1955">
        <v>0</v>
      </c>
      <c r="AB1955">
        <v>0</v>
      </c>
      <c r="AC1955">
        <v>9</v>
      </c>
      <c r="AD1955">
        <v>3</v>
      </c>
      <c r="AE1955">
        <v>0</v>
      </c>
      <c r="AF1955">
        <v>9</v>
      </c>
      <c r="AG1955" t="s">
        <v>158</v>
      </c>
      <c r="AH1955">
        <v>0</v>
      </c>
      <c r="AI1955">
        <v>3</v>
      </c>
      <c r="AJ1955">
        <v>1</v>
      </c>
      <c r="AK1955">
        <v>0</v>
      </c>
      <c r="AL1955" t="s">
        <v>3686</v>
      </c>
      <c r="AM1955">
        <v>46.859436000000002</v>
      </c>
      <c r="AN1955" t="s">
        <v>3687</v>
      </c>
      <c r="AO1955">
        <v>-123.008015</v>
      </c>
      <c r="AP1955">
        <v>100</v>
      </c>
      <c r="AQ1955">
        <v>2000</v>
      </c>
      <c r="AR1955" t="s">
        <v>118</v>
      </c>
      <c r="AS1955">
        <v>-79</v>
      </c>
      <c r="AT1955">
        <v>21</v>
      </c>
      <c r="AU1955">
        <v>0</v>
      </c>
      <c r="BC1955">
        <v>1200</v>
      </c>
      <c r="BD1955">
        <v>1</v>
      </c>
      <c r="BE1955" t="str">
        <f t="shared" si="92"/>
        <v xml:space="preserve">N215T   </v>
      </c>
      <c r="BF1955">
        <v>1</v>
      </c>
      <c r="BH1955">
        <v>0</v>
      </c>
      <c r="BI1955">
        <v>0</v>
      </c>
      <c r="BJ1955">
        <v>0</v>
      </c>
      <c r="BK1955">
        <v>2400</v>
      </c>
      <c r="BL1955">
        <v>400</v>
      </c>
      <c r="BM1955" t="s">
        <v>119</v>
      </c>
      <c r="BN1955">
        <v>1</v>
      </c>
      <c r="BO1955">
        <v>1</v>
      </c>
      <c r="BP1955">
        <v>1</v>
      </c>
      <c r="BQ1955">
        <v>0</v>
      </c>
      <c r="BT1955">
        <v>0</v>
      </c>
      <c r="BU1955">
        <v>0</v>
      </c>
      <c r="BV1955">
        <v>0</v>
      </c>
      <c r="CC1955" t="str">
        <f>"19:07:24.883"</f>
        <v>19:07:24.883</v>
      </c>
      <c r="CD1955" t="str">
        <f>"885438412"</f>
        <v>885438412</v>
      </c>
      <c r="CQ1955">
        <v>0</v>
      </c>
      <c r="CR1955">
        <v>2</v>
      </c>
      <c r="CS1955">
        <v>0</v>
      </c>
      <c r="CT1955">
        <v>2</v>
      </c>
      <c r="CU1955">
        <v>0</v>
      </c>
      <c r="CV1955">
        <v>6</v>
      </c>
      <c r="CW1955" t="s">
        <v>120</v>
      </c>
      <c r="CX1955">
        <v>261</v>
      </c>
      <c r="CY1955">
        <v>2</v>
      </c>
      <c r="CZ1955" t="s">
        <v>121</v>
      </c>
      <c r="DA1955" t="s">
        <v>122</v>
      </c>
      <c r="DD1955">
        <v>15418880</v>
      </c>
      <c r="DE1955" t="s">
        <v>123</v>
      </c>
    </row>
    <row r="1956" spans="1:109" x14ac:dyDescent="0.3">
      <c r="A1956" t="str">
        <f>"19:07:26.094"</f>
        <v>19:07:26.094</v>
      </c>
      <c r="B1956" t="s">
        <v>110</v>
      </c>
      <c r="C1956" t="str">
        <f t="shared" si="90"/>
        <v>ffdfd3c0</v>
      </c>
      <c r="D1956" t="s">
        <v>111</v>
      </c>
      <c r="E1956">
        <v>18</v>
      </c>
      <c r="F1956">
        <v>1018</v>
      </c>
      <c r="G1956" t="s">
        <v>112</v>
      </c>
      <c r="J1956" t="s">
        <v>113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R1956" t="s">
        <v>114</v>
      </c>
      <c r="S1956" t="str">
        <f>"19:07:25.875"</f>
        <v>19:07:25.875</v>
      </c>
      <c r="T1956" t="str">
        <f>"19:07:25.875"</f>
        <v>19:07:25.875</v>
      </c>
      <c r="U1956" t="str">
        <f t="shared" si="91"/>
        <v>a1cdbe</v>
      </c>
      <c r="V1956">
        <v>0</v>
      </c>
      <c r="W1956">
        <v>0</v>
      </c>
      <c r="X1956">
        <v>1</v>
      </c>
      <c r="Y1956">
        <v>0</v>
      </c>
      <c r="Z1956">
        <v>0</v>
      </c>
      <c r="AB1956">
        <v>0</v>
      </c>
      <c r="AC1956">
        <v>9</v>
      </c>
      <c r="AD1956">
        <v>3</v>
      </c>
      <c r="AE1956">
        <v>0</v>
      </c>
      <c r="AF1956">
        <v>9</v>
      </c>
      <c r="AG1956" t="s">
        <v>158</v>
      </c>
      <c r="AH1956">
        <v>0</v>
      </c>
      <c r="AI1956">
        <v>3</v>
      </c>
      <c r="AJ1956">
        <v>1</v>
      </c>
      <c r="AK1956">
        <v>0</v>
      </c>
      <c r="AL1956" t="s">
        <v>3688</v>
      </c>
      <c r="AM1956">
        <v>46.859521999999998</v>
      </c>
      <c r="AN1956" t="s">
        <v>3689</v>
      </c>
      <c r="AO1956">
        <v>-123.00855199999999</v>
      </c>
      <c r="AP1956">
        <v>100</v>
      </c>
      <c r="AQ1956">
        <v>2000</v>
      </c>
      <c r="AR1956" t="s">
        <v>118</v>
      </c>
      <c r="AS1956">
        <v>-79</v>
      </c>
      <c r="AT1956">
        <v>21</v>
      </c>
      <c r="AU1956">
        <v>0</v>
      </c>
      <c r="BC1956">
        <v>1200</v>
      </c>
      <c r="BD1956">
        <v>1</v>
      </c>
      <c r="BE1956" t="str">
        <f t="shared" si="92"/>
        <v xml:space="preserve">N215T   </v>
      </c>
      <c r="BF1956">
        <v>1</v>
      </c>
      <c r="BH1956">
        <v>0</v>
      </c>
      <c r="BI1956">
        <v>0</v>
      </c>
      <c r="BJ1956">
        <v>0</v>
      </c>
      <c r="BK1956">
        <v>2400</v>
      </c>
      <c r="BL1956">
        <v>400</v>
      </c>
      <c r="BM1956" t="s">
        <v>119</v>
      </c>
      <c r="BN1956">
        <v>1</v>
      </c>
      <c r="BO1956">
        <v>1</v>
      </c>
      <c r="BP1956">
        <v>1</v>
      </c>
      <c r="BQ1956">
        <v>0</v>
      </c>
      <c r="BT1956">
        <v>0</v>
      </c>
      <c r="BU1956">
        <v>0</v>
      </c>
      <c r="BV1956">
        <v>0</v>
      </c>
      <c r="CC1956" t="str">
        <f>"19:07:25.875"</f>
        <v>19:07:25.875</v>
      </c>
      <c r="CD1956" t="str">
        <f>"875340915"</f>
        <v>875340915</v>
      </c>
      <c r="CQ1956">
        <v>0</v>
      </c>
      <c r="CR1956">
        <v>2</v>
      </c>
      <c r="CS1956">
        <v>0</v>
      </c>
      <c r="CT1956">
        <v>2</v>
      </c>
      <c r="CU1956">
        <v>0</v>
      </c>
      <c r="CV1956">
        <v>6</v>
      </c>
      <c r="CW1956" t="s">
        <v>120</v>
      </c>
      <c r="CX1956">
        <v>261</v>
      </c>
      <c r="CY1956">
        <v>2</v>
      </c>
      <c r="CZ1956" t="s">
        <v>121</v>
      </c>
      <c r="DA1956" t="s">
        <v>122</v>
      </c>
      <c r="DD1956">
        <v>15419519</v>
      </c>
      <c r="DE1956" t="s">
        <v>123</v>
      </c>
    </row>
    <row r="1957" spans="1:109" x14ac:dyDescent="0.3">
      <c r="A1957" t="str">
        <f>"19:07:27.156"</f>
        <v>19:07:27.156</v>
      </c>
      <c r="B1957" t="s">
        <v>110</v>
      </c>
      <c r="C1957" t="str">
        <f t="shared" si="90"/>
        <v>ffdfd3c0</v>
      </c>
      <c r="D1957" t="s">
        <v>111</v>
      </c>
      <c r="E1957">
        <v>18</v>
      </c>
      <c r="F1957">
        <v>1018</v>
      </c>
      <c r="G1957" t="s">
        <v>112</v>
      </c>
      <c r="J1957" t="s">
        <v>113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R1957" t="s">
        <v>114</v>
      </c>
      <c r="S1957" t="str">
        <f>"19:07:26.922"</f>
        <v>19:07:26.922</v>
      </c>
      <c r="T1957" t="str">
        <f>"19:07:26.422"</f>
        <v>19:07:26.422</v>
      </c>
      <c r="U1957" t="str">
        <f t="shared" si="91"/>
        <v>a1cdbe</v>
      </c>
      <c r="V1957">
        <v>0</v>
      </c>
      <c r="W1957">
        <v>0</v>
      </c>
      <c r="X1957">
        <v>1</v>
      </c>
      <c r="Y1957">
        <v>0</v>
      </c>
      <c r="Z1957">
        <v>0</v>
      </c>
      <c r="AB1957">
        <v>0</v>
      </c>
      <c r="AC1957">
        <v>9</v>
      </c>
      <c r="AD1957">
        <v>3</v>
      </c>
      <c r="AE1957">
        <v>0</v>
      </c>
      <c r="AF1957">
        <v>9</v>
      </c>
      <c r="AG1957" t="s">
        <v>158</v>
      </c>
      <c r="AH1957">
        <v>0</v>
      </c>
      <c r="AI1957">
        <v>3</v>
      </c>
      <c r="AJ1957">
        <v>1</v>
      </c>
      <c r="AK1957">
        <v>0</v>
      </c>
      <c r="AL1957" t="s">
        <v>3690</v>
      </c>
      <c r="AM1957">
        <v>46.859628999999998</v>
      </c>
      <c r="AN1957" t="s">
        <v>3691</v>
      </c>
      <c r="AO1957">
        <v>-123.00908800000001</v>
      </c>
      <c r="AP1957">
        <v>100</v>
      </c>
      <c r="AQ1957">
        <v>2000</v>
      </c>
      <c r="AR1957" t="s">
        <v>118</v>
      </c>
      <c r="AS1957">
        <v>-79</v>
      </c>
      <c r="AT1957">
        <v>21</v>
      </c>
      <c r="AU1957">
        <v>0</v>
      </c>
      <c r="BC1957">
        <v>1200</v>
      </c>
      <c r="BD1957">
        <v>1</v>
      </c>
      <c r="BE1957" t="str">
        <f t="shared" si="92"/>
        <v xml:space="preserve">N215T   </v>
      </c>
      <c r="BF1957">
        <v>1</v>
      </c>
      <c r="BH1957">
        <v>0</v>
      </c>
      <c r="BI1957">
        <v>0</v>
      </c>
      <c r="BJ1957">
        <v>0</v>
      </c>
      <c r="BK1957">
        <v>2400</v>
      </c>
      <c r="BL1957">
        <v>400</v>
      </c>
      <c r="BM1957" t="s">
        <v>119</v>
      </c>
      <c r="BN1957">
        <v>1</v>
      </c>
      <c r="BO1957">
        <v>1</v>
      </c>
      <c r="BP1957">
        <v>1</v>
      </c>
      <c r="BQ1957">
        <v>0</v>
      </c>
      <c r="BT1957">
        <v>0</v>
      </c>
      <c r="BU1957">
        <v>0</v>
      </c>
      <c r="BV1957">
        <v>0</v>
      </c>
      <c r="CC1957" t="str">
        <f>"19:07:26.922"</f>
        <v>19:07:26.922</v>
      </c>
      <c r="CD1957" t="str">
        <f>"925237486"</f>
        <v>925237486</v>
      </c>
      <c r="CQ1957">
        <v>0</v>
      </c>
      <c r="CR1957">
        <v>2</v>
      </c>
      <c r="CS1957">
        <v>0</v>
      </c>
      <c r="CT1957">
        <v>2</v>
      </c>
      <c r="CU1957">
        <v>0</v>
      </c>
      <c r="CV1957">
        <v>6</v>
      </c>
      <c r="CW1957" t="s">
        <v>120</v>
      </c>
      <c r="CX1957">
        <v>261</v>
      </c>
      <c r="CY1957">
        <v>2</v>
      </c>
      <c r="CZ1957" t="s">
        <v>121</v>
      </c>
      <c r="DA1957" t="s">
        <v>122</v>
      </c>
      <c r="DD1957">
        <v>15420115</v>
      </c>
      <c r="DE1957" t="s">
        <v>123</v>
      </c>
    </row>
    <row r="1958" spans="1:109" x14ac:dyDescent="0.3">
      <c r="A1958" t="str">
        <f>"19:07:28.055"</f>
        <v>19:07:28.055</v>
      </c>
      <c r="B1958" t="s">
        <v>110</v>
      </c>
      <c r="C1958" t="str">
        <f t="shared" si="90"/>
        <v>ffdfd3c0</v>
      </c>
      <c r="D1958" t="s">
        <v>111</v>
      </c>
      <c r="E1958">
        <v>18</v>
      </c>
      <c r="F1958">
        <v>1018</v>
      </c>
      <c r="G1958" t="s">
        <v>112</v>
      </c>
      <c r="J1958" t="s">
        <v>113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R1958" t="s">
        <v>114</v>
      </c>
      <c r="S1958" t="str">
        <f>"19:07:27.805"</f>
        <v>19:07:27.805</v>
      </c>
      <c r="T1958" t="str">
        <f>"19:07:27.508"</f>
        <v>19:07:27.508</v>
      </c>
      <c r="U1958" t="str">
        <f t="shared" si="91"/>
        <v>a1cdbe</v>
      </c>
      <c r="V1958">
        <v>0</v>
      </c>
      <c r="W1958">
        <v>0</v>
      </c>
      <c r="X1958">
        <v>1</v>
      </c>
      <c r="Y1958">
        <v>0</v>
      </c>
      <c r="Z1958">
        <v>0</v>
      </c>
      <c r="AB1958">
        <v>0</v>
      </c>
      <c r="AC1958">
        <v>9</v>
      </c>
      <c r="AD1958">
        <v>3</v>
      </c>
      <c r="AE1958">
        <v>0</v>
      </c>
      <c r="AF1958">
        <v>9</v>
      </c>
      <c r="AG1958" t="s">
        <v>158</v>
      </c>
      <c r="AH1958">
        <v>0</v>
      </c>
      <c r="AI1958">
        <v>3</v>
      </c>
      <c r="AJ1958">
        <v>1</v>
      </c>
      <c r="AK1958">
        <v>0</v>
      </c>
      <c r="AL1958" t="s">
        <v>1718</v>
      </c>
      <c r="AM1958">
        <v>46.859715000000001</v>
      </c>
      <c r="AN1958" t="s">
        <v>3692</v>
      </c>
      <c r="AO1958">
        <v>-123.009517</v>
      </c>
      <c r="AP1958">
        <v>100</v>
      </c>
      <c r="AQ1958">
        <v>2000</v>
      </c>
      <c r="AR1958" t="s">
        <v>118</v>
      </c>
      <c r="AS1958">
        <v>-78</v>
      </c>
      <c r="AT1958">
        <v>22</v>
      </c>
      <c r="AU1958">
        <v>-64</v>
      </c>
      <c r="BC1958">
        <v>1200</v>
      </c>
      <c r="BD1958">
        <v>1</v>
      </c>
      <c r="BE1958" t="str">
        <f t="shared" si="92"/>
        <v xml:space="preserve">N215T   </v>
      </c>
      <c r="BF1958">
        <v>1</v>
      </c>
      <c r="BH1958">
        <v>0</v>
      </c>
      <c r="BI1958">
        <v>0</v>
      </c>
      <c r="BJ1958">
        <v>0</v>
      </c>
      <c r="BK1958">
        <v>2400</v>
      </c>
      <c r="BL1958">
        <v>400</v>
      </c>
      <c r="BM1958" t="s">
        <v>119</v>
      </c>
      <c r="BN1958">
        <v>1</v>
      </c>
      <c r="BO1958">
        <v>1</v>
      </c>
      <c r="BP1958">
        <v>1</v>
      </c>
      <c r="BQ1958">
        <v>0</v>
      </c>
      <c r="BT1958">
        <v>0</v>
      </c>
      <c r="BU1958">
        <v>0</v>
      </c>
      <c r="BV1958">
        <v>0</v>
      </c>
      <c r="CC1958" t="str">
        <f>"19:07:27.813"</f>
        <v>19:07:27.813</v>
      </c>
      <c r="CD1958" t="str">
        <f>"810150315"</f>
        <v>810150315</v>
      </c>
      <c r="CQ1958">
        <v>0</v>
      </c>
      <c r="CR1958">
        <v>2</v>
      </c>
      <c r="CS1958">
        <v>0</v>
      </c>
      <c r="CT1958">
        <v>2</v>
      </c>
      <c r="CU1958">
        <v>0</v>
      </c>
      <c r="CV1958">
        <v>6</v>
      </c>
      <c r="CW1958" t="s">
        <v>120</v>
      </c>
      <c r="CX1958">
        <v>261</v>
      </c>
      <c r="CY1958">
        <v>2</v>
      </c>
      <c r="CZ1958" t="s">
        <v>121</v>
      </c>
      <c r="DA1958" t="s">
        <v>122</v>
      </c>
      <c r="DD1958">
        <v>15420677</v>
      </c>
      <c r="DE1958" t="s">
        <v>123</v>
      </c>
    </row>
    <row r="1959" spans="1:109" x14ac:dyDescent="0.3">
      <c r="A1959" t="str">
        <f>"19:07:28.867"</f>
        <v>19:07:28.867</v>
      </c>
      <c r="B1959" t="s">
        <v>110</v>
      </c>
      <c r="C1959" t="str">
        <f t="shared" si="90"/>
        <v>ffdfd3c0</v>
      </c>
      <c r="D1959" t="s">
        <v>111</v>
      </c>
      <c r="E1959">
        <v>18</v>
      </c>
      <c r="F1959">
        <v>1018</v>
      </c>
      <c r="G1959" t="s">
        <v>112</v>
      </c>
      <c r="J1959" t="s">
        <v>113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R1959" t="s">
        <v>114</v>
      </c>
      <c r="S1959" t="str">
        <f>"19:07:28.648"</f>
        <v>19:07:28.648</v>
      </c>
      <c r="T1959" t="str">
        <f>"19:07:28.445"</f>
        <v>19:07:28.445</v>
      </c>
      <c r="U1959" t="str">
        <f t="shared" si="91"/>
        <v>a1cdbe</v>
      </c>
      <c r="V1959">
        <v>0</v>
      </c>
      <c r="W1959">
        <v>0</v>
      </c>
      <c r="X1959">
        <v>1</v>
      </c>
      <c r="Y1959">
        <v>0</v>
      </c>
      <c r="Z1959">
        <v>0</v>
      </c>
      <c r="AB1959">
        <v>0</v>
      </c>
      <c r="AC1959">
        <v>9</v>
      </c>
      <c r="AD1959">
        <v>3</v>
      </c>
      <c r="AE1959">
        <v>0</v>
      </c>
      <c r="AF1959">
        <v>9</v>
      </c>
      <c r="AG1959" t="s">
        <v>158</v>
      </c>
      <c r="AH1959">
        <v>0</v>
      </c>
      <c r="AI1959">
        <v>3</v>
      </c>
      <c r="AJ1959">
        <v>1</v>
      </c>
      <c r="AK1959">
        <v>0</v>
      </c>
      <c r="AL1959" t="s">
        <v>3693</v>
      </c>
      <c r="AM1959">
        <v>46.859800999999997</v>
      </c>
      <c r="AN1959" t="s">
        <v>3694</v>
      </c>
      <c r="AO1959">
        <v>-123.01001100000001</v>
      </c>
      <c r="AP1959">
        <v>100</v>
      </c>
      <c r="AQ1959">
        <v>2000</v>
      </c>
      <c r="AR1959" t="s">
        <v>118</v>
      </c>
      <c r="AS1959">
        <v>-78</v>
      </c>
      <c r="AT1959">
        <v>22</v>
      </c>
      <c r="AU1959">
        <v>-64</v>
      </c>
      <c r="BC1959">
        <v>1200</v>
      </c>
      <c r="BD1959">
        <v>1</v>
      </c>
      <c r="BE1959" t="str">
        <f t="shared" si="92"/>
        <v xml:space="preserve">N215T   </v>
      </c>
      <c r="BF1959">
        <v>1</v>
      </c>
      <c r="BH1959">
        <v>0</v>
      </c>
      <c r="BI1959">
        <v>0</v>
      </c>
      <c r="BJ1959">
        <v>0</v>
      </c>
      <c r="BK1959">
        <v>2400</v>
      </c>
      <c r="BL1959">
        <v>400</v>
      </c>
      <c r="BM1959" t="s">
        <v>119</v>
      </c>
      <c r="BN1959">
        <v>1</v>
      </c>
      <c r="BO1959">
        <v>1</v>
      </c>
      <c r="BP1959">
        <v>1</v>
      </c>
      <c r="BQ1959">
        <v>0</v>
      </c>
      <c r="BT1959">
        <v>0</v>
      </c>
      <c r="BU1959">
        <v>0</v>
      </c>
      <c r="BV1959">
        <v>0</v>
      </c>
      <c r="CC1959" t="str">
        <f>"19:07:28.648"</f>
        <v>19:07:28.648</v>
      </c>
      <c r="CD1959" t="str">
        <f>"650067577"</f>
        <v>650067577</v>
      </c>
      <c r="CQ1959">
        <v>0</v>
      </c>
      <c r="CR1959">
        <v>2</v>
      </c>
      <c r="CS1959">
        <v>0</v>
      </c>
      <c r="CT1959">
        <v>2</v>
      </c>
      <c r="CU1959">
        <v>0</v>
      </c>
      <c r="CV1959">
        <v>6</v>
      </c>
      <c r="CW1959" t="s">
        <v>120</v>
      </c>
      <c r="CX1959">
        <v>261</v>
      </c>
      <c r="CY1959">
        <v>2</v>
      </c>
      <c r="CZ1959" t="s">
        <v>121</v>
      </c>
      <c r="DA1959" t="s">
        <v>122</v>
      </c>
      <c r="DD1959">
        <v>15421245</v>
      </c>
      <c r="DE1959" t="s">
        <v>123</v>
      </c>
    </row>
    <row r="1960" spans="1:109" x14ac:dyDescent="0.3">
      <c r="A1960" t="str">
        <f>"19:07:29.914"</f>
        <v>19:07:29.914</v>
      </c>
      <c r="B1960" t="s">
        <v>110</v>
      </c>
      <c r="C1960" t="str">
        <f t="shared" si="90"/>
        <v>ffdfd3c0</v>
      </c>
      <c r="D1960" t="s">
        <v>111</v>
      </c>
      <c r="E1960">
        <v>18</v>
      </c>
      <c r="F1960">
        <v>1018</v>
      </c>
      <c r="G1960" t="s">
        <v>112</v>
      </c>
      <c r="J1960" t="s">
        <v>113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R1960" t="s">
        <v>114</v>
      </c>
      <c r="S1960" t="str">
        <f>"19:07:29.680"</f>
        <v>19:07:29.680</v>
      </c>
      <c r="T1960" t="str">
        <f>"19:07:29.578"</f>
        <v>19:07:29.578</v>
      </c>
      <c r="U1960" t="str">
        <f t="shared" si="91"/>
        <v>a1cdbe</v>
      </c>
      <c r="V1960">
        <v>0</v>
      </c>
      <c r="W1960">
        <v>0</v>
      </c>
      <c r="X1960">
        <v>1</v>
      </c>
      <c r="Y1960">
        <v>0</v>
      </c>
      <c r="Z1960">
        <v>0</v>
      </c>
      <c r="AB1960">
        <v>0</v>
      </c>
      <c r="AC1960">
        <v>9</v>
      </c>
      <c r="AD1960">
        <v>3</v>
      </c>
      <c r="AE1960">
        <v>0</v>
      </c>
      <c r="AF1960">
        <v>9</v>
      </c>
      <c r="AG1960" t="s">
        <v>158</v>
      </c>
      <c r="AH1960">
        <v>0</v>
      </c>
      <c r="AI1960">
        <v>3</v>
      </c>
      <c r="AJ1960">
        <v>1</v>
      </c>
      <c r="AK1960">
        <v>0</v>
      </c>
      <c r="AL1960" t="s">
        <v>1716</v>
      </c>
      <c r="AM1960">
        <v>46.859929999999999</v>
      </c>
      <c r="AN1960" t="s">
        <v>3695</v>
      </c>
      <c r="AO1960">
        <v>-123.010569</v>
      </c>
      <c r="AP1960">
        <v>100</v>
      </c>
      <c r="AQ1960">
        <v>2000</v>
      </c>
      <c r="AR1960" t="s">
        <v>118</v>
      </c>
      <c r="AS1960">
        <v>-78</v>
      </c>
      <c r="AT1960">
        <v>22</v>
      </c>
      <c r="AU1960">
        <v>-64</v>
      </c>
      <c r="BC1960">
        <v>1200</v>
      </c>
      <c r="BD1960">
        <v>1</v>
      </c>
      <c r="BE1960" t="str">
        <f t="shared" si="92"/>
        <v xml:space="preserve">N215T   </v>
      </c>
      <c r="BF1960">
        <v>1</v>
      </c>
      <c r="BH1960">
        <v>0</v>
      </c>
      <c r="BI1960">
        <v>0</v>
      </c>
      <c r="BJ1960">
        <v>0</v>
      </c>
      <c r="BK1960">
        <v>2400</v>
      </c>
      <c r="BL1960">
        <v>400</v>
      </c>
      <c r="BM1960" t="s">
        <v>119</v>
      </c>
      <c r="BN1960">
        <v>1</v>
      </c>
      <c r="BO1960">
        <v>1</v>
      </c>
      <c r="BP1960">
        <v>1</v>
      </c>
      <c r="BQ1960">
        <v>0</v>
      </c>
      <c r="BT1960">
        <v>0</v>
      </c>
      <c r="BU1960">
        <v>0</v>
      </c>
      <c r="BV1960">
        <v>0</v>
      </c>
      <c r="CC1960" t="str">
        <f>"19:07:29.688"</f>
        <v>19:07:29.688</v>
      </c>
      <c r="CD1960" t="str">
        <f>"684965643"</f>
        <v>684965643</v>
      </c>
      <c r="CQ1960">
        <v>0</v>
      </c>
      <c r="CR1960">
        <v>2</v>
      </c>
      <c r="CS1960">
        <v>0</v>
      </c>
      <c r="CT1960">
        <v>2</v>
      </c>
      <c r="CU1960">
        <v>0</v>
      </c>
      <c r="CV1960">
        <v>6</v>
      </c>
      <c r="CW1960" t="s">
        <v>120</v>
      </c>
      <c r="CX1960">
        <v>261</v>
      </c>
      <c r="CY1960">
        <v>2</v>
      </c>
      <c r="CZ1960" t="s">
        <v>121</v>
      </c>
      <c r="DA1960" t="s">
        <v>122</v>
      </c>
      <c r="DD1960">
        <v>15421967</v>
      </c>
      <c r="DE1960" t="s">
        <v>123</v>
      </c>
    </row>
    <row r="1961" spans="1:109" x14ac:dyDescent="0.3">
      <c r="A1961" t="str">
        <f>"19:07:30.922"</f>
        <v>19:07:30.922</v>
      </c>
      <c r="B1961" t="s">
        <v>110</v>
      </c>
      <c r="C1961" t="str">
        <f t="shared" si="90"/>
        <v>ffdfd3c0</v>
      </c>
      <c r="D1961" t="s">
        <v>111</v>
      </c>
      <c r="E1961">
        <v>18</v>
      </c>
      <c r="F1961">
        <v>1018</v>
      </c>
      <c r="G1961" t="s">
        <v>112</v>
      </c>
      <c r="J1961" t="s">
        <v>113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R1961" t="s">
        <v>114</v>
      </c>
      <c r="S1961" t="str">
        <f>"19:07:30.656"</f>
        <v>19:07:30.656</v>
      </c>
      <c r="T1961" t="str">
        <f>"19:07:30.555"</f>
        <v>19:07:30.555</v>
      </c>
      <c r="U1961" t="str">
        <f t="shared" si="91"/>
        <v>a1cdbe</v>
      </c>
      <c r="V1961">
        <v>0</v>
      </c>
      <c r="W1961">
        <v>0</v>
      </c>
      <c r="X1961">
        <v>1</v>
      </c>
      <c r="Y1961">
        <v>0</v>
      </c>
      <c r="Z1961">
        <v>0</v>
      </c>
      <c r="AB1961">
        <v>0</v>
      </c>
      <c r="AC1961">
        <v>9</v>
      </c>
      <c r="AD1961">
        <v>3</v>
      </c>
      <c r="AE1961">
        <v>0</v>
      </c>
      <c r="AF1961">
        <v>9</v>
      </c>
      <c r="AG1961" t="s">
        <v>158</v>
      </c>
      <c r="AH1961">
        <v>0</v>
      </c>
      <c r="AI1961">
        <v>3</v>
      </c>
      <c r="AJ1961">
        <v>1</v>
      </c>
      <c r="AK1961">
        <v>0</v>
      </c>
      <c r="AL1961" t="s">
        <v>3696</v>
      </c>
      <c r="AM1961">
        <v>46.859994</v>
      </c>
      <c r="AN1961" t="s">
        <v>3697</v>
      </c>
      <c r="AO1961">
        <v>-123.01104100000001</v>
      </c>
      <c r="AP1961">
        <v>100</v>
      </c>
      <c r="AQ1961">
        <v>2000</v>
      </c>
      <c r="AR1961" t="s">
        <v>118</v>
      </c>
      <c r="AS1961">
        <v>-78</v>
      </c>
      <c r="AT1961">
        <v>22</v>
      </c>
      <c r="AU1961">
        <v>0</v>
      </c>
      <c r="BC1961">
        <v>1200</v>
      </c>
      <c r="BD1961">
        <v>1</v>
      </c>
      <c r="BE1961" t="str">
        <f t="shared" si="92"/>
        <v xml:space="preserve">N215T   </v>
      </c>
      <c r="BF1961">
        <v>1</v>
      </c>
      <c r="BH1961">
        <v>0</v>
      </c>
      <c r="BI1961">
        <v>0</v>
      </c>
      <c r="BJ1961">
        <v>0</v>
      </c>
      <c r="BK1961">
        <v>2400</v>
      </c>
      <c r="BL1961">
        <v>400</v>
      </c>
      <c r="BM1961" t="s">
        <v>119</v>
      </c>
      <c r="BN1961">
        <v>1</v>
      </c>
      <c r="BO1961">
        <v>1</v>
      </c>
      <c r="BP1961">
        <v>1</v>
      </c>
      <c r="BQ1961">
        <v>0</v>
      </c>
      <c r="BT1961">
        <v>0</v>
      </c>
      <c r="BU1961">
        <v>0</v>
      </c>
      <c r="BV1961">
        <v>0</v>
      </c>
      <c r="CC1961" t="str">
        <f>"19:07:30.656"</f>
        <v>19:07:30.656</v>
      </c>
      <c r="CD1961" t="str">
        <f>"659869602"</f>
        <v>659869602</v>
      </c>
      <c r="CQ1961">
        <v>0</v>
      </c>
      <c r="CR1961">
        <v>2</v>
      </c>
      <c r="CS1961">
        <v>0</v>
      </c>
      <c r="CT1961">
        <v>2</v>
      </c>
      <c r="CU1961">
        <v>0</v>
      </c>
      <c r="CV1961">
        <v>6</v>
      </c>
      <c r="CW1961" t="s">
        <v>120</v>
      </c>
      <c r="CX1961">
        <v>261</v>
      </c>
      <c r="CY1961">
        <v>2</v>
      </c>
      <c r="CZ1961" t="s">
        <v>121</v>
      </c>
      <c r="DA1961" t="s">
        <v>122</v>
      </c>
      <c r="DD1961">
        <v>15422595</v>
      </c>
      <c r="DE1961" t="s">
        <v>123</v>
      </c>
    </row>
    <row r="1962" spans="1:109" x14ac:dyDescent="0.3">
      <c r="A1962" t="str">
        <f>"19:07:31.977"</f>
        <v>19:07:31.977</v>
      </c>
      <c r="B1962" t="s">
        <v>110</v>
      </c>
      <c r="C1962" t="str">
        <f t="shared" si="90"/>
        <v>ffdfd3c0</v>
      </c>
      <c r="D1962" t="s">
        <v>111</v>
      </c>
      <c r="E1962">
        <v>18</v>
      </c>
      <c r="F1962">
        <v>1018</v>
      </c>
      <c r="G1962" t="s">
        <v>112</v>
      </c>
      <c r="J1962" t="s">
        <v>113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R1962" t="s">
        <v>114</v>
      </c>
      <c r="S1962" t="str">
        <f>"19:07:31.734"</f>
        <v>19:07:31.734</v>
      </c>
      <c r="T1962" t="str">
        <f>"19:07:31.531"</f>
        <v>19:07:31.531</v>
      </c>
      <c r="U1962" t="str">
        <f t="shared" si="91"/>
        <v>a1cdbe</v>
      </c>
      <c r="V1962">
        <v>0</v>
      </c>
      <c r="W1962">
        <v>0</v>
      </c>
      <c r="X1962">
        <v>1</v>
      </c>
      <c r="Y1962">
        <v>0</v>
      </c>
      <c r="Z1962">
        <v>0</v>
      </c>
      <c r="AB1962">
        <v>0</v>
      </c>
      <c r="AC1962">
        <v>9</v>
      </c>
      <c r="AD1962">
        <v>3</v>
      </c>
      <c r="AE1962">
        <v>0</v>
      </c>
      <c r="AF1962">
        <v>9</v>
      </c>
      <c r="AG1962" t="s">
        <v>158</v>
      </c>
      <c r="AH1962">
        <v>0</v>
      </c>
      <c r="AI1962">
        <v>3</v>
      </c>
      <c r="AJ1962">
        <v>1</v>
      </c>
      <c r="AK1962">
        <v>0</v>
      </c>
      <c r="AL1962" t="s">
        <v>3698</v>
      </c>
      <c r="AM1962">
        <v>46.860123000000002</v>
      </c>
      <c r="AN1962" t="s">
        <v>3699</v>
      </c>
      <c r="AO1962">
        <v>-123.01164199999999</v>
      </c>
      <c r="AP1962">
        <v>100</v>
      </c>
      <c r="AQ1962">
        <v>2000</v>
      </c>
      <c r="AR1962" t="s">
        <v>118</v>
      </c>
      <c r="AS1962">
        <v>-77</v>
      </c>
      <c r="AT1962">
        <v>22</v>
      </c>
      <c r="AU1962">
        <v>-64</v>
      </c>
      <c r="BC1962">
        <v>1200</v>
      </c>
      <c r="BD1962">
        <v>1</v>
      </c>
      <c r="BE1962" t="str">
        <f t="shared" si="92"/>
        <v xml:space="preserve">N215T   </v>
      </c>
      <c r="BF1962">
        <v>1</v>
      </c>
      <c r="BH1962">
        <v>0</v>
      </c>
      <c r="BI1962">
        <v>0</v>
      </c>
      <c r="BJ1962">
        <v>0</v>
      </c>
      <c r="BK1962">
        <v>2400</v>
      </c>
      <c r="BL1962">
        <v>400</v>
      </c>
      <c r="BM1962" t="s">
        <v>119</v>
      </c>
      <c r="BN1962">
        <v>1</v>
      </c>
      <c r="BO1962">
        <v>1</v>
      </c>
      <c r="BP1962">
        <v>1</v>
      </c>
      <c r="BQ1962">
        <v>0</v>
      </c>
      <c r="BT1962">
        <v>0</v>
      </c>
      <c r="BU1962">
        <v>0</v>
      </c>
      <c r="BV1962">
        <v>0</v>
      </c>
      <c r="CC1962" t="str">
        <f>"19:07:31.742"</f>
        <v>19:07:31.742</v>
      </c>
      <c r="CD1962" t="str">
        <f>"739763231"</f>
        <v>739763231</v>
      </c>
      <c r="CQ1962">
        <v>0</v>
      </c>
      <c r="CR1962">
        <v>2</v>
      </c>
      <c r="CS1962">
        <v>0</v>
      </c>
      <c r="CT1962">
        <v>2</v>
      </c>
      <c r="CU1962">
        <v>0</v>
      </c>
      <c r="CV1962">
        <v>6</v>
      </c>
      <c r="CW1962" t="s">
        <v>120</v>
      </c>
      <c r="CX1962">
        <v>261</v>
      </c>
      <c r="CY1962">
        <v>2</v>
      </c>
      <c r="CZ1962" t="s">
        <v>121</v>
      </c>
      <c r="DA1962" t="s">
        <v>122</v>
      </c>
      <c r="DD1962">
        <v>15423318</v>
      </c>
      <c r="DE1962" t="s">
        <v>123</v>
      </c>
    </row>
    <row r="1963" spans="1:109" x14ac:dyDescent="0.3">
      <c r="A1963" t="str">
        <f>"19:07:33.031"</f>
        <v>19:07:33.031</v>
      </c>
      <c r="B1963" t="s">
        <v>110</v>
      </c>
      <c r="C1963" t="str">
        <f t="shared" si="90"/>
        <v>ffdfd3c0</v>
      </c>
      <c r="D1963" t="s">
        <v>111</v>
      </c>
      <c r="E1963">
        <v>18</v>
      </c>
      <c r="F1963">
        <v>1018</v>
      </c>
      <c r="G1963" t="s">
        <v>112</v>
      </c>
      <c r="J1963" t="s">
        <v>113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R1963" t="s">
        <v>114</v>
      </c>
      <c r="S1963" t="str">
        <f>"19:07:32.789"</f>
        <v>19:07:32.789</v>
      </c>
      <c r="T1963" t="str">
        <f>"19:07:32.391"</f>
        <v>19:07:32.391</v>
      </c>
      <c r="U1963" t="str">
        <f t="shared" si="91"/>
        <v>a1cdbe</v>
      </c>
      <c r="V1963">
        <v>0</v>
      </c>
      <c r="W1963">
        <v>0</v>
      </c>
      <c r="X1963">
        <v>1</v>
      </c>
      <c r="Y1963">
        <v>0</v>
      </c>
      <c r="Z1963">
        <v>0</v>
      </c>
      <c r="AB1963">
        <v>0</v>
      </c>
      <c r="AC1963">
        <v>9</v>
      </c>
      <c r="AD1963">
        <v>3</v>
      </c>
      <c r="AE1963">
        <v>0</v>
      </c>
      <c r="AF1963">
        <v>9</v>
      </c>
      <c r="AG1963" t="s">
        <v>158</v>
      </c>
      <c r="AH1963">
        <v>0</v>
      </c>
      <c r="AI1963">
        <v>3</v>
      </c>
      <c r="AJ1963">
        <v>1</v>
      </c>
      <c r="AK1963">
        <v>0</v>
      </c>
      <c r="AL1963" t="s">
        <v>3700</v>
      </c>
      <c r="AM1963">
        <v>46.860250999999998</v>
      </c>
      <c r="AN1963" t="s">
        <v>3701</v>
      </c>
      <c r="AO1963">
        <v>-123.01217800000001</v>
      </c>
      <c r="AP1963">
        <v>100</v>
      </c>
      <c r="AQ1963">
        <v>2000</v>
      </c>
      <c r="AR1963" t="s">
        <v>118</v>
      </c>
      <c r="AS1963">
        <v>-77</v>
      </c>
      <c r="AT1963">
        <v>22</v>
      </c>
      <c r="AU1963">
        <v>-64</v>
      </c>
      <c r="BC1963">
        <v>1200</v>
      </c>
      <c r="BD1963">
        <v>1</v>
      </c>
      <c r="BE1963" t="str">
        <f t="shared" si="92"/>
        <v xml:space="preserve">N215T   </v>
      </c>
      <c r="BF1963">
        <v>1</v>
      </c>
      <c r="BH1963">
        <v>0</v>
      </c>
      <c r="BI1963">
        <v>0</v>
      </c>
      <c r="BJ1963">
        <v>0</v>
      </c>
      <c r="BK1963">
        <v>2400</v>
      </c>
      <c r="BL1963">
        <v>400</v>
      </c>
      <c r="BM1963" t="s">
        <v>119</v>
      </c>
      <c r="BN1963">
        <v>1</v>
      </c>
      <c r="BO1963">
        <v>1</v>
      </c>
      <c r="BP1963">
        <v>1</v>
      </c>
      <c r="BQ1963">
        <v>0</v>
      </c>
      <c r="BT1963">
        <v>0</v>
      </c>
      <c r="BU1963">
        <v>0</v>
      </c>
      <c r="BV1963">
        <v>0</v>
      </c>
      <c r="CC1963" t="str">
        <f>"19:07:32.789"</f>
        <v>19:07:32.789</v>
      </c>
      <c r="CD1963" t="str">
        <f>"789676819"</f>
        <v>789676819</v>
      </c>
      <c r="CQ1963">
        <v>0</v>
      </c>
      <c r="CR1963">
        <v>2</v>
      </c>
      <c r="CS1963">
        <v>0</v>
      </c>
      <c r="CT1963">
        <v>2</v>
      </c>
      <c r="CU1963">
        <v>0</v>
      </c>
      <c r="CV1963">
        <v>2</v>
      </c>
      <c r="CW1963" t="s">
        <v>120</v>
      </c>
      <c r="CX1963">
        <v>257</v>
      </c>
      <c r="CY1963">
        <v>1</v>
      </c>
      <c r="CZ1963" t="s">
        <v>615</v>
      </c>
      <c r="DA1963" t="s">
        <v>616</v>
      </c>
      <c r="DD1963">
        <v>11843591</v>
      </c>
      <c r="DE1963" t="s">
        <v>123</v>
      </c>
    </row>
    <row r="1964" spans="1:109" x14ac:dyDescent="0.3">
      <c r="A1964" t="str">
        <f>"19:07:34.188"</f>
        <v>19:07:34.188</v>
      </c>
      <c r="B1964" t="s">
        <v>110</v>
      </c>
      <c r="C1964" t="str">
        <f t="shared" si="90"/>
        <v>ffdfd3c0</v>
      </c>
      <c r="D1964" t="s">
        <v>111</v>
      </c>
      <c r="E1964">
        <v>18</v>
      </c>
      <c r="F1964">
        <v>1018</v>
      </c>
      <c r="G1964" t="s">
        <v>112</v>
      </c>
      <c r="J1964" t="s">
        <v>113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R1964" t="s">
        <v>114</v>
      </c>
      <c r="S1964" t="str">
        <f>"19:07:33.953"</f>
        <v>19:07:33.953</v>
      </c>
      <c r="T1964" t="str">
        <f>"19:07:33.453"</f>
        <v>19:07:33.453</v>
      </c>
      <c r="U1964" t="str">
        <f t="shared" si="91"/>
        <v>a1cdbe</v>
      </c>
      <c r="V1964">
        <v>0</v>
      </c>
      <c r="W1964">
        <v>0</v>
      </c>
      <c r="X1964">
        <v>1</v>
      </c>
      <c r="Y1964">
        <v>0</v>
      </c>
      <c r="Z1964">
        <v>0</v>
      </c>
      <c r="AB1964">
        <v>0</v>
      </c>
      <c r="AC1964">
        <v>9</v>
      </c>
      <c r="AD1964">
        <v>3</v>
      </c>
      <c r="AE1964">
        <v>0</v>
      </c>
      <c r="AF1964">
        <v>9</v>
      </c>
      <c r="AG1964" t="s">
        <v>158</v>
      </c>
      <c r="AH1964">
        <v>0</v>
      </c>
      <c r="AI1964">
        <v>3</v>
      </c>
      <c r="AJ1964">
        <v>1</v>
      </c>
      <c r="AK1964">
        <v>0</v>
      </c>
      <c r="AL1964" t="s">
        <v>3702</v>
      </c>
      <c r="AM1964">
        <v>46.860359000000003</v>
      </c>
      <c r="AN1964" t="s">
        <v>3703</v>
      </c>
      <c r="AO1964">
        <v>-123.01277899999999</v>
      </c>
      <c r="AP1964">
        <v>100</v>
      </c>
      <c r="AQ1964">
        <v>2000</v>
      </c>
      <c r="AR1964" t="s">
        <v>118</v>
      </c>
      <c r="AS1964">
        <v>-76</v>
      </c>
      <c r="AT1964">
        <v>23</v>
      </c>
      <c r="AU1964">
        <v>-128</v>
      </c>
      <c r="BC1964">
        <v>1200</v>
      </c>
      <c r="BD1964">
        <v>1</v>
      </c>
      <c r="BE1964" t="str">
        <f t="shared" si="92"/>
        <v xml:space="preserve">N215T   </v>
      </c>
      <c r="BF1964">
        <v>1</v>
      </c>
      <c r="BH1964">
        <v>0</v>
      </c>
      <c r="BI1964">
        <v>0</v>
      </c>
      <c r="BJ1964">
        <v>0</v>
      </c>
      <c r="BK1964">
        <v>2400</v>
      </c>
      <c r="BL1964">
        <v>400</v>
      </c>
      <c r="BM1964" t="s">
        <v>119</v>
      </c>
      <c r="BN1964">
        <v>1</v>
      </c>
      <c r="BO1964">
        <v>1</v>
      </c>
      <c r="BP1964">
        <v>1</v>
      </c>
      <c r="BQ1964">
        <v>0</v>
      </c>
      <c r="BT1964">
        <v>0</v>
      </c>
      <c r="BU1964">
        <v>0</v>
      </c>
      <c r="BV1964">
        <v>0</v>
      </c>
      <c r="CC1964" t="str">
        <f>"19:07:33.961"</f>
        <v>19:07:33.961</v>
      </c>
      <c r="CD1964" t="str">
        <f>"959544573"</f>
        <v>959544573</v>
      </c>
      <c r="CQ1964">
        <v>0</v>
      </c>
      <c r="CR1964">
        <v>2</v>
      </c>
      <c r="CS1964">
        <v>0</v>
      </c>
      <c r="CT1964">
        <v>2</v>
      </c>
      <c r="CU1964">
        <v>0</v>
      </c>
      <c r="CV1964">
        <v>6</v>
      </c>
      <c r="CW1964" t="s">
        <v>120</v>
      </c>
      <c r="CX1964">
        <v>261</v>
      </c>
      <c r="CY1964">
        <v>2</v>
      </c>
      <c r="CZ1964" t="s">
        <v>121</v>
      </c>
      <c r="DA1964" t="s">
        <v>122</v>
      </c>
      <c r="DD1964">
        <v>15424764</v>
      </c>
      <c r="DE1964" t="s">
        <v>123</v>
      </c>
    </row>
    <row r="1965" spans="1:109" x14ac:dyDescent="0.3">
      <c r="A1965" t="str">
        <f>"19:07:35.102"</f>
        <v>19:07:35.102</v>
      </c>
      <c r="B1965" t="s">
        <v>110</v>
      </c>
      <c r="C1965" t="str">
        <f t="shared" si="90"/>
        <v>ffdfd3c0</v>
      </c>
      <c r="D1965" t="s">
        <v>111</v>
      </c>
      <c r="E1965">
        <v>18</v>
      </c>
      <c r="F1965">
        <v>1018</v>
      </c>
      <c r="G1965" t="s">
        <v>112</v>
      </c>
      <c r="J1965" t="s">
        <v>113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R1965" t="s">
        <v>114</v>
      </c>
      <c r="S1965" t="str">
        <f>"19:07:34.867"</f>
        <v>19:07:34.867</v>
      </c>
      <c r="T1965" t="str">
        <f>"19:07:34.469"</f>
        <v>19:07:34.469</v>
      </c>
      <c r="U1965" t="str">
        <f t="shared" si="91"/>
        <v>a1cdbe</v>
      </c>
      <c r="V1965">
        <v>0</v>
      </c>
      <c r="W1965">
        <v>0</v>
      </c>
      <c r="X1965">
        <v>1</v>
      </c>
      <c r="Y1965">
        <v>0</v>
      </c>
      <c r="Z1965">
        <v>0</v>
      </c>
      <c r="AB1965">
        <v>0</v>
      </c>
      <c r="AC1965">
        <v>9</v>
      </c>
      <c r="AD1965">
        <v>3</v>
      </c>
      <c r="AE1965">
        <v>0</v>
      </c>
      <c r="AF1965">
        <v>9</v>
      </c>
      <c r="AG1965" t="s">
        <v>158</v>
      </c>
      <c r="AH1965">
        <v>0</v>
      </c>
      <c r="AI1965">
        <v>3</v>
      </c>
      <c r="AJ1965">
        <v>1</v>
      </c>
      <c r="AK1965">
        <v>0</v>
      </c>
      <c r="AL1965" t="s">
        <v>3704</v>
      </c>
      <c r="AM1965">
        <v>46.860444999999999</v>
      </c>
      <c r="AN1965" t="s">
        <v>3705</v>
      </c>
      <c r="AO1965">
        <v>-123.013251</v>
      </c>
      <c r="AP1965">
        <v>100</v>
      </c>
      <c r="AQ1965">
        <v>2000</v>
      </c>
      <c r="AR1965" t="s">
        <v>118</v>
      </c>
      <c r="AS1965">
        <v>-76</v>
      </c>
      <c r="AT1965">
        <v>23</v>
      </c>
      <c r="AU1965">
        <v>-64</v>
      </c>
      <c r="BC1965">
        <v>1200</v>
      </c>
      <c r="BD1965">
        <v>1</v>
      </c>
      <c r="BE1965" t="str">
        <f t="shared" si="92"/>
        <v xml:space="preserve">N215T   </v>
      </c>
      <c r="BF1965">
        <v>1</v>
      </c>
      <c r="BH1965">
        <v>0</v>
      </c>
      <c r="BI1965">
        <v>0</v>
      </c>
      <c r="BJ1965">
        <v>0</v>
      </c>
      <c r="BK1965">
        <v>2400</v>
      </c>
      <c r="BL1965">
        <v>400</v>
      </c>
      <c r="BM1965" t="s">
        <v>119</v>
      </c>
      <c r="BN1965">
        <v>1</v>
      </c>
      <c r="BO1965">
        <v>1</v>
      </c>
      <c r="BP1965">
        <v>1</v>
      </c>
      <c r="BQ1965">
        <v>0</v>
      </c>
      <c r="BT1965">
        <v>0</v>
      </c>
      <c r="BU1965">
        <v>0</v>
      </c>
      <c r="BV1965">
        <v>0</v>
      </c>
      <c r="CC1965" t="str">
        <f>"19:07:34.875"</f>
        <v>19:07:34.875</v>
      </c>
      <c r="CD1965" t="str">
        <f>"874454450"</f>
        <v>874454450</v>
      </c>
      <c r="CQ1965">
        <v>0</v>
      </c>
      <c r="CR1965">
        <v>2</v>
      </c>
      <c r="CS1965">
        <v>0</v>
      </c>
      <c r="CT1965">
        <v>2</v>
      </c>
      <c r="CU1965">
        <v>0</v>
      </c>
      <c r="CV1965">
        <v>6</v>
      </c>
      <c r="CW1965" t="s">
        <v>120</v>
      </c>
      <c r="CX1965">
        <v>261</v>
      </c>
      <c r="CY1965">
        <v>2</v>
      </c>
      <c r="CZ1965" t="s">
        <v>121</v>
      </c>
      <c r="DA1965" t="s">
        <v>122</v>
      </c>
      <c r="DD1965">
        <v>15425352</v>
      </c>
      <c r="DE1965" t="s">
        <v>123</v>
      </c>
    </row>
    <row r="1966" spans="1:109" x14ac:dyDescent="0.3">
      <c r="A1966" t="str">
        <f>"19:07:36.102"</f>
        <v>19:07:36.102</v>
      </c>
      <c r="B1966" t="s">
        <v>110</v>
      </c>
      <c r="C1966" t="str">
        <f t="shared" si="90"/>
        <v>ffdfd3c0</v>
      </c>
      <c r="D1966" t="s">
        <v>111</v>
      </c>
      <c r="E1966">
        <v>18</v>
      </c>
      <c r="F1966">
        <v>1018</v>
      </c>
      <c r="G1966" t="s">
        <v>112</v>
      </c>
      <c r="J1966" t="s">
        <v>113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R1966" t="s">
        <v>114</v>
      </c>
      <c r="S1966" t="str">
        <f>"19:07:35.859"</f>
        <v>19:07:35.859</v>
      </c>
      <c r="T1966" t="str">
        <f>"19:07:35.563"</f>
        <v>19:07:35.563</v>
      </c>
      <c r="U1966" t="str">
        <f t="shared" si="91"/>
        <v>a1cdbe</v>
      </c>
      <c r="V1966">
        <v>0</v>
      </c>
      <c r="W1966">
        <v>0</v>
      </c>
      <c r="X1966">
        <v>1</v>
      </c>
      <c r="Y1966">
        <v>0</v>
      </c>
      <c r="Z1966">
        <v>0</v>
      </c>
      <c r="AB1966">
        <v>0</v>
      </c>
      <c r="AC1966">
        <v>9</v>
      </c>
      <c r="AD1966">
        <v>3</v>
      </c>
      <c r="AE1966">
        <v>0</v>
      </c>
      <c r="AF1966">
        <v>9</v>
      </c>
      <c r="AG1966" t="s">
        <v>158</v>
      </c>
      <c r="AH1966">
        <v>0</v>
      </c>
      <c r="AI1966">
        <v>3</v>
      </c>
      <c r="AJ1966">
        <v>1</v>
      </c>
      <c r="AK1966">
        <v>0</v>
      </c>
      <c r="AL1966" t="s">
        <v>3706</v>
      </c>
      <c r="AM1966">
        <v>46.860551999999998</v>
      </c>
      <c r="AN1966" t="s">
        <v>3707</v>
      </c>
      <c r="AO1966">
        <v>-123.013701</v>
      </c>
      <c r="AP1966">
        <v>100</v>
      </c>
      <c r="AQ1966">
        <v>2000</v>
      </c>
      <c r="AR1966" t="s">
        <v>118</v>
      </c>
      <c r="AS1966">
        <v>-76</v>
      </c>
      <c r="AT1966">
        <v>23</v>
      </c>
      <c r="AU1966">
        <v>-128</v>
      </c>
      <c r="BC1966">
        <v>1200</v>
      </c>
      <c r="BD1966">
        <v>1</v>
      </c>
      <c r="BE1966" t="str">
        <f t="shared" si="92"/>
        <v xml:space="preserve">N215T   </v>
      </c>
      <c r="BF1966">
        <v>1</v>
      </c>
      <c r="BH1966">
        <v>0</v>
      </c>
      <c r="BI1966">
        <v>0</v>
      </c>
      <c r="BJ1966">
        <v>0</v>
      </c>
      <c r="BK1966">
        <v>2400</v>
      </c>
      <c r="BL1966">
        <v>400</v>
      </c>
      <c r="BM1966" t="s">
        <v>119</v>
      </c>
      <c r="BN1966">
        <v>1</v>
      </c>
      <c r="BO1966">
        <v>1</v>
      </c>
      <c r="BP1966">
        <v>1</v>
      </c>
      <c r="BQ1966">
        <v>0</v>
      </c>
      <c r="BT1966">
        <v>0</v>
      </c>
      <c r="BU1966">
        <v>0</v>
      </c>
      <c r="BV1966">
        <v>0</v>
      </c>
      <c r="CC1966" t="str">
        <f>"19:07:35.867"</f>
        <v>19:07:35.867</v>
      </c>
      <c r="CD1966" t="str">
        <f>"864356930"</f>
        <v>864356930</v>
      </c>
      <c r="CQ1966">
        <v>0</v>
      </c>
      <c r="CR1966">
        <v>2</v>
      </c>
      <c r="CS1966">
        <v>0</v>
      </c>
      <c r="CT1966">
        <v>2</v>
      </c>
      <c r="CU1966">
        <v>0</v>
      </c>
      <c r="CV1966">
        <v>6</v>
      </c>
      <c r="CW1966" t="s">
        <v>120</v>
      </c>
      <c r="CX1966">
        <v>261</v>
      </c>
      <c r="CY1966">
        <v>2</v>
      </c>
      <c r="CZ1966" t="s">
        <v>121</v>
      </c>
      <c r="DA1966" t="s">
        <v>122</v>
      </c>
      <c r="DD1966">
        <v>15425993</v>
      </c>
      <c r="DE1966" t="s">
        <v>123</v>
      </c>
    </row>
    <row r="1967" spans="1:109" x14ac:dyDescent="0.3">
      <c r="A1967" t="str">
        <f>"19:07:37.258"</f>
        <v>19:07:37.258</v>
      </c>
      <c r="B1967" t="s">
        <v>110</v>
      </c>
      <c r="C1967" t="str">
        <f t="shared" si="90"/>
        <v>ffdfd3c0</v>
      </c>
      <c r="D1967" t="s">
        <v>111</v>
      </c>
      <c r="E1967">
        <v>18</v>
      </c>
      <c r="F1967">
        <v>1018</v>
      </c>
      <c r="G1967" t="s">
        <v>112</v>
      </c>
      <c r="J1967" t="s">
        <v>113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R1967" t="s">
        <v>114</v>
      </c>
      <c r="S1967" t="str">
        <f>"19:07:37.000"</f>
        <v>19:07:37.000</v>
      </c>
      <c r="T1967" t="str">
        <f>"19:07:36.898"</f>
        <v>19:07:36.898</v>
      </c>
      <c r="U1967" t="str">
        <f t="shared" si="91"/>
        <v>a1cdbe</v>
      </c>
      <c r="V1967">
        <v>0</v>
      </c>
      <c r="W1967">
        <v>0</v>
      </c>
      <c r="X1967">
        <v>1</v>
      </c>
      <c r="Y1967">
        <v>0</v>
      </c>
      <c r="Z1967">
        <v>0</v>
      </c>
      <c r="AB1967">
        <v>0</v>
      </c>
      <c r="AC1967">
        <v>9</v>
      </c>
      <c r="AD1967">
        <v>3</v>
      </c>
      <c r="AE1967">
        <v>0</v>
      </c>
      <c r="AF1967">
        <v>9</v>
      </c>
      <c r="AG1967" t="s">
        <v>158</v>
      </c>
      <c r="AH1967">
        <v>0</v>
      </c>
      <c r="AI1967">
        <v>3</v>
      </c>
      <c r="AJ1967">
        <v>1</v>
      </c>
      <c r="AK1967">
        <v>0</v>
      </c>
      <c r="AL1967" t="s">
        <v>3708</v>
      </c>
      <c r="AM1967">
        <v>46.860702000000003</v>
      </c>
      <c r="AN1967" t="s">
        <v>3709</v>
      </c>
      <c r="AO1967">
        <v>-123.014324</v>
      </c>
      <c r="AP1967">
        <v>100</v>
      </c>
      <c r="AQ1967">
        <v>2000</v>
      </c>
      <c r="AR1967" t="s">
        <v>118</v>
      </c>
      <c r="AS1967">
        <v>-76</v>
      </c>
      <c r="AT1967">
        <v>22</v>
      </c>
      <c r="AU1967">
        <v>-384</v>
      </c>
      <c r="BC1967">
        <v>1200</v>
      </c>
      <c r="BD1967">
        <v>1</v>
      </c>
      <c r="BE1967" t="str">
        <f t="shared" si="92"/>
        <v xml:space="preserve">N215T   </v>
      </c>
      <c r="BF1967">
        <v>1</v>
      </c>
      <c r="BH1967">
        <v>0</v>
      </c>
      <c r="BI1967">
        <v>0</v>
      </c>
      <c r="BJ1967">
        <v>0</v>
      </c>
      <c r="BK1967">
        <v>2400</v>
      </c>
      <c r="BL1967">
        <v>400</v>
      </c>
      <c r="BM1967" t="s">
        <v>119</v>
      </c>
      <c r="BN1967">
        <v>1</v>
      </c>
      <c r="BO1967">
        <v>1</v>
      </c>
      <c r="BP1967">
        <v>1</v>
      </c>
      <c r="BQ1967">
        <v>0</v>
      </c>
      <c r="BT1967">
        <v>0</v>
      </c>
      <c r="BU1967">
        <v>0</v>
      </c>
      <c r="BV1967">
        <v>0</v>
      </c>
      <c r="CC1967" t="str">
        <f>"19:07:37.008"</f>
        <v>19:07:37.008</v>
      </c>
      <c r="CD1967" t="str">
        <f>"004244660"</f>
        <v>004244660</v>
      </c>
      <c r="CQ1967">
        <v>0</v>
      </c>
      <c r="CR1967">
        <v>2</v>
      </c>
      <c r="CS1967">
        <v>0</v>
      </c>
      <c r="CT1967">
        <v>2</v>
      </c>
      <c r="CU1967">
        <v>0</v>
      </c>
      <c r="CV1967">
        <v>6</v>
      </c>
      <c r="CW1967" t="s">
        <v>120</v>
      </c>
      <c r="CX1967">
        <v>261</v>
      </c>
      <c r="CY1967">
        <v>2</v>
      </c>
      <c r="CZ1967" t="s">
        <v>121</v>
      </c>
      <c r="DA1967" t="s">
        <v>122</v>
      </c>
      <c r="DD1967">
        <v>15426740</v>
      </c>
      <c r="DE1967" t="s">
        <v>123</v>
      </c>
    </row>
    <row r="1968" spans="1:109" x14ac:dyDescent="0.3">
      <c r="A1968" t="str">
        <f>"19:07:38.313"</f>
        <v>19:07:38.313</v>
      </c>
      <c r="B1968" t="s">
        <v>110</v>
      </c>
      <c r="C1968" t="str">
        <f t="shared" si="90"/>
        <v>ffdfd3c0</v>
      </c>
      <c r="D1968" t="s">
        <v>111</v>
      </c>
      <c r="E1968">
        <v>18</v>
      </c>
      <c r="F1968">
        <v>1018</v>
      </c>
      <c r="G1968" t="s">
        <v>112</v>
      </c>
      <c r="J1968" t="s">
        <v>113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R1968" t="s">
        <v>114</v>
      </c>
      <c r="S1968" t="str">
        <f>"19:07:38.078"</f>
        <v>19:07:38.078</v>
      </c>
      <c r="T1968" t="str">
        <f>"19:07:38.078"</f>
        <v>19:07:38.078</v>
      </c>
      <c r="U1968" t="str">
        <f t="shared" si="91"/>
        <v>a1cdbe</v>
      </c>
      <c r="V1968">
        <v>0</v>
      </c>
      <c r="W1968">
        <v>0</v>
      </c>
      <c r="X1968">
        <v>1</v>
      </c>
      <c r="Y1968">
        <v>0</v>
      </c>
      <c r="Z1968">
        <v>0</v>
      </c>
      <c r="AB1968">
        <v>0</v>
      </c>
      <c r="AC1968">
        <v>9</v>
      </c>
      <c r="AD1968">
        <v>3</v>
      </c>
      <c r="AE1968">
        <v>0</v>
      </c>
      <c r="AF1968">
        <v>9</v>
      </c>
      <c r="AG1968" t="s">
        <v>158</v>
      </c>
      <c r="AH1968">
        <v>0</v>
      </c>
      <c r="AI1968">
        <v>3</v>
      </c>
      <c r="AJ1968">
        <v>1</v>
      </c>
      <c r="AK1968">
        <v>0</v>
      </c>
      <c r="AL1968" t="s">
        <v>3710</v>
      </c>
      <c r="AM1968">
        <v>46.860809000000003</v>
      </c>
      <c r="AN1968" t="s">
        <v>3711</v>
      </c>
      <c r="AO1968">
        <v>-123.01486</v>
      </c>
      <c r="AP1968">
        <v>100</v>
      </c>
      <c r="AQ1968">
        <v>2000</v>
      </c>
      <c r="AR1968" t="s">
        <v>118</v>
      </c>
      <c r="AS1968">
        <v>-75</v>
      </c>
      <c r="AT1968">
        <v>22</v>
      </c>
      <c r="AU1968">
        <v>-384</v>
      </c>
      <c r="BC1968">
        <v>1200</v>
      </c>
      <c r="BD1968">
        <v>1</v>
      </c>
      <c r="BE1968" t="str">
        <f t="shared" si="92"/>
        <v xml:space="preserve">N215T   </v>
      </c>
      <c r="BF1968">
        <v>1</v>
      </c>
      <c r="BH1968">
        <v>0</v>
      </c>
      <c r="BI1968">
        <v>0</v>
      </c>
      <c r="BJ1968">
        <v>0</v>
      </c>
      <c r="BK1968">
        <v>2375</v>
      </c>
      <c r="BL1968">
        <v>375</v>
      </c>
      <c r="BM1968" t="s">
        <v>119</v>
      </c>
      <c r="BN1968">
        <v>1</v>
      </c>
      <c r="BO1968">
        <v>1</v>
      </c>
      <c r="BP1968">
        <v>1</v>
      </c>
      <c r="BQ1968">
        <v>0</v>
      </c>
      <c r="BT1968">
        <v>0</v>
      </c>
      <c r="BU1968">
        <v>0</v>
      </c>
      <c r="BV1968">
        <v>0</v>
      </c>
      <c r="CC1968" t="str">
        <f>"19:07:38.086"</f>
        <v>19:07:38.086</v>
      </c>
      <c r="CD1968" t="str">
        <f>"084138280"</f>
        <v>084138280</v>
      </c>
      <c r="CQ1968">
        <v>0</v>
      </c>
      <c r="CR1968">
        <v>2</v>
      </c>
      <c r="CS1968">
        <v>0</v>
      </c>
      <c r="CT1968">
        <v>2</v>
      </c>
      <c r="CU1968">
        <v>0</v>
      </c>
      <c r="CV1968">
        <v>6</v>
      </c>
      <c r="CW1968" t="s">
        <v>120</v>
      </c>
      <c r="CX1968">
        <v>261</v>
      </c>
      <c r="CY1968">
        <v>2</v>
      </c>
      <c r="CZ1968" t="s">
        <v>121</v>
      </c>
      <c r="DA1968" t="s">
        <v>122</v>
      </c>
      <c r="DD1968">
        <v>15427483</v>
      </c>
      <c r="DE1968" t="s">
        <v>123</v>
      </c>
    </row>
    <row r="1969" spans="1:109" x14ac:dyDescent="0.3">
      <c r="A1969" t="str">
        <f>"19:07:39.320"</f>
        <v>19:07:39.320</v>
      </c>
      <c r="B1969" t="s">
        <v>110</v>
      </c>
      <c r="C1969" t="str">
        <f t="shared" si="90"/>
        <v>ffdfd3c0</v>
      </c>
      <c r="D1969" t="s">
        <v>111</v>
      </c>
      <c r="E1969">
        <v>18</v>
      </c>
      <c r="F1969">
        <v>1018</v>
      </c>
      <c r="G1969" t="s">
        <v>112</v>
      </c>
      <c r="J1969" t="s">
        <v>113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R1969" t="s">
        <v>114</v>
      </c>
      <c r="S1969" t="str">
        <f>"19:07:39.055"</f>
        <v>19:07:39.055</v>
      </c>
      <c r="T1969" t="str">
        <f>"19:07:39.055"</f>
        <v>19:07:39.055</v>
      </c>
      <c r="U1969" t="str">
        <f t="shared" si="91"/>
        <v>a1cdbe</v>
      </c>
      <c r="V1969">
        <v>0</v>
      </c>
      <c r="W1969">
        <v>0</v>
      </c>
      <c r="X1969">
        <v>1</v>
      </c>
      <c r="Y1969">
        <v>0</v>
      </c>
      <c r="Z1969">
        <v>0</v>
      </c>
      <c r="AB1969">
        <v>0</v>
      </c>
      <c r="AC1969">
        <v>9</v>
      </c>
      <c r="AD1969">
        <v>3</v>
      </c>
      <c r="AE1969">
        <v>0</v>
      </c>
      <c r="AF1969">
        <v>9</v>
      </c>
      <c r="AG1969" t="s">
        <v>158</v>
      </c>
      <c r="AH1969">
        <v>0</v>
      </c>
      <c r="AI1969">
        <v>3</v>
      </c>
      <c r="AJ1969">
        <v>1</v>
      </c>
      <c r="AK1969">
        <v>0</v>
      </c>
      <c r="AL1969" t="s">
        <v>3712</v>
      </c>
      <c r="AM1969">
        <v>46.860874000000003</v>
      </c>
      <c r="AN1969" t="s">
        <v>3713</v>
      </c>
      <c r="AO1969">
        <v>-123.015354</v>
      </c>
      <c r="AP1969">
        <v>100</v>
      </c>
      <c r="AQ1969">
        <v>2000</v>
      </c>
      <c r="AR1969" t="s">
        <v>118</v>
      </c>
      <c r="AS1969">
        <v>-75</v>
      </c>
      <c r="AT1969">
        <v>22</v>
      </c>
      <c r="AU1969">
        <v>-256</v>
      </c>
      <c r="BC1969">
        <v>1200</v>
      </c>
      <c r="BD1969">
        <v>1</v>
      </c>
      <c r="BE1969" t="str">
        <f t="shared" si="92"/>
        <v xml:space="preserve">N215T   </v>
      </c>
      <c r="BF1969">
        <v>1</v>
      </c>
      <c r="BH1969">
        <v>0</v>
      </c>
      <c r="BI1969">
        <v>0</v>
      </c>
      <c r="BJ1969">
        <v>0</v>
      </c>
      <c r="BK1969">
        <v>2375</v>
      </c>
      <c r="BL1969">
        <v>375</v>
      </c>
      <c r="BM1969" t="s">
        <v>119</v>
      </c>
      <c r="BN1969">
        <v>1</v>
      </c>
      <c r="BO1969">
        <v>1</v>
      </c>
      <c r="BP1969">
        <v>1</v>
      </c>
      <c r="BQ1969">
        <v>0</v>
      </c>
      <c r="BT1969">
        <v>0</v>
      </c>
      <c r="BU1969">
        <v>0</v>
      </c>
      <c r="BV1969">
        <v>0</v>
      </c>
      <c r="CC1969" t="str">
        <f>"19:07:39.063"</f>
        <v>19:07:39.063</v>
      </c>
      <c r="CD1969" t="str">
        <f>"059042106"</f>
        <v>059042106</v>
      </c>
      <c r="CQ1969">
        <v>0</v>
      </c>
      <c r="CR1969">
        <v>2</v>
      </c>
      <c r="CS1969">
        <v>0</v>
      </c>
      <c r="CT1969">
        <v>2</v>
      </c>
      <c r="CU1969">
        <v>0</v>
      </c>
      <c r="CV1969">
        <v>6</v>
      </c>
      <c r="CW1969" t="s">
        <v>120</v>
      </c>
      <c r="CX1969">
        <v>261</v>
      </c>
      <c r="CY1969">
        <v>2</v>
      </c>
      <c r="CZ1969" t="s">
        <v>121</v>
      </c>
      <c r="DA1969" t="s">
        <v>122</v>
      </c>
      <c r="DD1969">
        <v>15428148</v>
      </c>
      <c r="DE1969" t="s">
        <v>123</v>
      </c>
    </row>
    <row r="1970" spans="1:109" x14ac:dyDescent="0.3">
      <c r="A1970" t="str">
        <f>"19:07:40.273"</f>
        <v>19:07:40.273</v>
      </c>
      <c r="B1970" t="s">
        <v>110</v>
      </c>
      <c r="C1970" t="str">
        <f t="shared" si="90"/>
        <v>ffdfd3c0</v>
      </c>
      <c r="D1970" t="s">
        <v>111</v>
      </c>
      <c r="E1970">
        <v>18</v>
      </c>
      <c r="F1970">
        <v>1018</v>
      </c>
      <c r="G1970" t="s">
        <v>112</v>
      </c>
      <c r="J1970" t="s">
        <v>113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R1970" t="s">
        <v>114</v>
      </c>
      <c r="S1970" t="str">
        <f>"19:07:40.031"</f>
        <v>19:07:40.031</v>
      </c>
      <c r="T1970" t="str">
        <f>"19:07:39.930"</f>
        <v>19:07:39.930</v>
      </c>
      <c r="U1970" t="str">
        <f t="shared" si="91"/>
        <v>a1cdbe</v>
      </c>
      <c r="V1970">
        <v>0</v>
      </c>
      <c r="W1970">
        <v>0</v>
      </c>
      <c r="X1970">
        <v>1</v>
      </c>
      <c r="Y1970">
        <v>0</v>
      </c>
      <c r="Z1970">
        <v>0</v>
      </c>
      <c r="AB1970">
        <v>0</v>
      </c>
      <c r="AC1970">
        <v>9</v>
      </c>
      <c r="AD1970">
        <v>3</v>
      </c>
      <c r="AE1970">
        <v>0</v>
      </c>
      <c r="AF1970">
        <v>9</v>
      </c>
      <c r="AG1970" t="s">
        <v>158</v>
      </c>
      <c r="AH1970">
        <v>0</v>
      </c>
      <c r="AI1970">
        <v>3</v>
      </c>
      <c r="AJ1970">
        <v>1</v>
      </c>
      <c r="AK1970">
        <v>0</v>
      </c>
      <c r="AL1970" t="s">
        <v>3714</v>
      </c>
      <c r="AM1970">
        <v>46.861001999999999</v>
      </c>
      <c r="AN1970" t="s">
        <v>3715</v>
      </c>
      <c r="AO1970">
        <v>-123.015869</v>
      </c>
      <c r="AP1970">
        <v>100</v>
      </c>
      <c r="AQ1970">
        <v>2000</v>
      </c>
      <c r="AR1970" t="s">
        <v>118</v>
      </c>
      <c r="AS1970">
        <v>-75</v>
      </c>
      <c r="AT1970">
        <v>23</v>
      </c>
      <c r="AU1970">
        <v>-192</v>
      </c>
      <c r="BC1970">
        <v>1200</v>
      </c>
      <c r="BD1970">
        <v>1</v>
      </c>
      <c r="BE1970" t="str">
        <f t="shared" si="92"/>
        <v xml:space="preserve">N215T   </v>
      </c>
      <c r="BF1970">
        <v>1</v>
      </c>
      <c r="BH1970">
        <v>0</v>
      </c>
      <c r="BI1970">
        <v>0</v>
      </c>
      <c r="BJ1970">
        <v>0</v>
      </c>
      <c r="BK1970">
        <v>2375</v>
      </c>
      <c r="BL1970">
        <v>375</v>
      </c>
      <c r="BM1970" t="s">
        <v>119</v>
      </c>
      <c r="BN1970">
        <v>1</v>
      </c>
      <c r="BO1970">
        <v>1</v>
      </c>
      <c r="BP1970">
        <v>1</v>
      </c>
      <c r="BQ1970">
        <v>0</v>
      </c>
      <c r="BT1970">
        <v>0</v>
      </c>
      <c r="BU1970">
        <v>0</v>
      </c>
      <c r="BV1970">
        <v>0</v>
      </c>
      <c r="CC1970" t="str">
        <f>"19:07:40.031"</f>
        <v>19:07:40.031</v>
      </c>
      <c r="CD1970" t="str">
        <f>"033946217"</f>
        <v>033946217</v>
      </c>
      <c r="CQ1970">
        <v>0</v>
      </c>
      <c r="CR1970">
        <v>2</v>
      </c>
      <c r="CS1970">
        <v>0</v>
      </c>
      <c r="CT1970">
        <v>2</v>
      </c>
      <c r="CU1970">
        <v>0</v>
      </c>
      <c r="CV1970">
        <v>6</v>
      </c>
      <c r="CW1970" t="s">
        <v>120</v>
      </c>
      <c r="CX1970">
        <v>261</v>
      </c>
      <c r="CY1970">
        <v>2</v>
      </c>
      <c r="CZ1970" t="s">
        <v>121</v>
      </c>
      <c r="DA1970" t="s">
        <v>122</v>
      </c>
      <c r="DD1970">
        <v>15428787</v>
      </c>
      <c r="DE1970" t="s">
        <v>123</v>
      </c>
    </row>
    <row r="1971" spans="1:109" x14ac:dyDescent="0.3">
      <c r="A1971" t="str">
        <f>"19:07:41.227"</f>
        <v>19:07:41.227</v>
      </c>
      <c r="B1971" t="s">
        <v>110</v>
      </c>
      <c r="C1971" t="str">
        <f t="shared" si="90"/>
        <v>ffdfd3c0</v>
      </c>
      <c r="D1971" t="s">
        <v>111</v>
      </c>
      <c r="E1971">
        <v>18</v>
      </c>
      <c r="F1971">
        <v>1018</v>
      </c>
      <c r="G1971" t="s">
        <v>112</v>
      </c>
      <c r="J1971" t="s">
        <v>113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R1971" t="s">
        <v>114</v>
      </c>
      <c r="S1971" t="str">
        <f>"19:07:40.992"</f>
        <v>19:07:40.992</v>
      </c>
      <c r="T1971" t="str">
        <f>"19:07:40.492"</f>
        <v>19:07:40.492</v>
      </c>
      <c r="U1971" t="str">
        <f t="shared" si="91"/>
        <v>a1cdbe</v>
      </c>
      <c r="V1971">
        <v>0</v>
      </c>
      <c r="W1971">
        <v>0</v>
      </c>
      <c r="X1971">
        <v>1</v>
      </c>
      <c r="Y1971">
        <v>0</v>
      </c>
      <c r="Z1971">
        <v>0</v>
      </c>
      <c r="AB1971">
        <v>0</v>
      </c>
      <c r="AC1971">
        <v>9</v>
      </c>
      <c r="AD1971">
        <v>3</v>
      </c>
      <c r="AE1971">
        <v>0</v>
      </c>
      <c r="AF1971">
        <v>9</v>
      </c>
      <c r="AG1971" t="s">
        <v>158</v>
      </c>
      <c r="AH1971">
        <v>0</v>
      </c>
      <c r="AI1971">
        <v>3</v>
      </c>
      <c r="AJ1971">
        <v>1</v>
      </c>
      <c r="AK1971">
        <v>0</v>
      </c>
      <c r="AL1971" t="s">
        <v>3716</v>
      </c>
      <c r="AM1971">
        <v>46.861109999999996</v>
      </c>
      <c r="AN1971" t="s">
        <v>3717</v>
      </c>
      <c r="AO1971">
        <v>-123.016319</v>
      </c>
      <c r="AP1971">
        <v>100</v>
      </c>
      <c r="AQ1971">
        <v>2000</v>
      </c>
      <c r="AR1971" t="s">
        <v>118</v>
      </c>
      <c r="AS1971">
        <v>-75</v>
      </c>
      <c r="AT1971">
        <v>23</v>
      </c>
      <c r="AU1971">
        <v>-192</v>
      </c>
      <c r="BC1971">
        <v>1200</v>
      </c>
      <c r="BD1971">
        <v>1</v>
      </c>
      <c r="BE1971" t="str">
        <f t="shared" si="92"/>
        <v xml:space="preserve">N215T   </v>
      </c>
      <c r="BF1971">
        <v>1</v>
      </c>
      <c r="BH1971">
        <v>0</v>
      </c>
      <c r="BI1971">
        <v>0</v>
      </c>
      <c r="BJ1971">
        <v>0</v>
      </c>
      <c r="BK1971">
        <v>2375</v>
      </c>
      <c r="BL1971">
        <v>375</v>
      </c>
      <c r="BM1971" t="s">
        <v>119</v>
      </c>
      <c r="BN1971">
        <v>1</v>
      </c>
      <c r="BO1971">
        <v>1</v>
      </c>
      <c r="BP1971">
        <v>1</v>
      </c>
      <c r="BQ1971">
        <v>0</v>
      </c>
      <c r="BT1971">
        <v>0</v>
      </c>
      <c r="BU1971">
        <v>0</v>
      </c>
      <c r="BV1971">
        <v>0</v>
      </c>
      <c r="CC1971" t="str">
        <f>"19:07:40.992"</f>
        <v>19:07:40.992</v>
      </c>
      <c r="CD1971" t="str">
        <f>"993851656"</f>
        <v>993851656</v>
      </c>
      <c r="CQ1971">
        <v>0</v>
      </c>
      <c r="CR1971">
        <v>2</v>
      </c>
      <c r="CS1971">
        <v>0</v>
      </c>
      <c r="CT1971">
        <v>2</v>
      </c>
      <c r="CU1971">
        <v>0</v>
      </c>
      <c r="CV1971">
        <v>6</v>
      </c>
      <c r="CW1971" t="s">
        <v>120</v>
      </c>
      <c r="CX1971">
        <v>261</v>
      </c>
      <c r="CY1971">
        <v>2</v>
      </c>
      <c r="CZ1971" t="s">
        <v>121</v>
      </c>
      <c r="DA1971" t="s">
        <v>122</v>
      </c>
      <c r="DD1971">
        <v>15429397</v>
      </c>
      <c r="DE1971" t="s">
        <v>123</v>
      </c>
    </row>
    <row r="1972" spans="1:109" x14ac:dyDescent="0.3">
      <c r="A1972" t="str">
        <f>"19:07:42.188"</f>
        <v>19:07:42.188</v>
      </c>
      <c r="B1972" t="s">
        <v>110</v>
      </c>
      <c r="C1972" t="str">
        <f t="shared" si="90"/>
        <v>ffdfd3c0</v>
      </c>
      <c r="D1972" t="s">
        <v>111</v>
      </c>
      <c r="E1972">
        <v>18</v>
      </c>
      <c r="F1972">
        <v>1018</v>
      </c>
      <c r="G1972" t="s">
        <v>112</v>
      </c>
      <c r="J1972" t="s">
        <v>113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R1972" t="s">
        <v>114</v>
      </c>
      <c r="S1972" t="str">
        <f>"19:07:41.953"</f>
        <v>19:07:41.953</v>
      </c>
      <c r="T1972" t="str">
        <f>"19:07:41.852"</f>
        <v>19:07:41.852</v>
      </c>
      <c r="U1972" t="str">
        <f t="shared" si="91"/>
        <v>a1cdbe</v>
      </c>
      <c r="V1972">
        <v>0</v>
      </c>
      <c r="W1972">
        <v>0</v>
      </c>
      <c r="X1972">
        <v>1</v>
      </c>
      <c r="Y1972">
        <v>0</v>
      </c>
      <c r="Z1972">
        <v>0</v>
      </c>
      <c r="AB1972">
        <v>0</v>
      </c>
      <c r="AC1972">
        <v>9</v>
      </c>
      <c r="AD1972">
        <v>3</v>
      </c>
      <c r="AE1972">
        <v>0</v>
      </c>
      <c r="AF1972">
        <v>9</v>
      </c>
      <c r="AG1972" t="s">
        <v>158</v>
      </c>
      <c r="AH1972">
        <v>0</v>
      </c>
      <c r="AI1972">
        <v>3</v>
      </c>
      <c r="AJ1972">
        <v>1</v>
      </c>
      <c r="AK1972">
        <v>0</v>
      </c>
      <c r="AL1972" t="s">
        <v>3718</v>
      </c>
      <c r="AM1972">
        <v>46.861196</v>
      </c>
      <c r="AN1972" t="s">
        <v>3719</v>
      </c>
      <c r="AO1972">
        <v>-123.016791</v>
      </c>
      <c r="AP1972">
        <v>100</v>
      </c>
      <c r="AQ1972">
        <v>2000</v>
      </c>
      <c r="AR1972" t="s">
        <v>118</v>
      </c>
      <c r="AS1972">
        <v>-76</v>
      </c>
      <c r="AT1972">
        <v>24</v>
      </c>
      <c r="AU1972">
        <v>-128</v>
      </c>
      <c r="BC1972">
        <v>1200</v>
      </c>
      <c r="BD1972">
        <v>1</v>
      </c>
      <c r="BE1972" t="str">
        <f t="shared" si="92"/>
        <v xml:space="preserve">N215T   </v>
      </c>
      <c r="BF1972">
        <v>1</v>
      </c>
      <c r="BH1972">
        <v>0</v>
      </c>
      <c r="BI1972">
        <v>0</v>
      </c>
      <c r="BJ1972">
        <v>0</v>
      </c>
      <c r="BK1972">
        <v>2375</v>
      </c>
      <c r="BL1972">
        <v>375</v>
      </c>
      <c r="BM1972" t="s">
        <v>119</v>
      </c>
      <c r="BN1972">
        <v>1</v>
      </c>
      <c r="BO1972">
        <v>1</v>
      </c>
      <c r="BP1972">
        <v>1</v>
      </c>
      <c r="BQ1972">
        <v>0</v>
      </c>
      <c r="BT1972">
        <v>0</v>
      </c>
      <c r="BU1972">
        <v>0</v>
      </c>
      <c r="BV1972">
        <v>0</v>
      </c>
      <c r="CC1972" t="str">
        <f>"19:07:41.953"</f>
        <v>19:07:41.953</v>
      </c>
      <c r="CD1972" t="str">
        <f>"953757101"</f>
        <v>953757101</v>
      </c>
      <c r="CQ1972">
        <v>0</v>
      </c>
      <c r="CR1972">
        <v>2</v>
      </c>
      <c r="CS1972">
        <v>0</v>
      </c>
      <c r="CT1972">
        <v>2</v>
      </c>
      <c r="CU1972">
        <v>0</v>
      </c>
      <c r="CV1972">
        <v>6</v>
      </c>
      <c r="CW1972" t="s">
        <v>120</v>
      </c>
      <c r="CX1972">
        <v>261</v>
      </c>
      <c r="CY1972">
        <v>2</v>
      </c>
      <c r="CZ1972" t="s">
        <v>121</v>
      </c>
      <c r="DA1972" t="s">
        <v>122</v>
      </c>
      <c r="DD1972">
        <v>15430019</v>
      </c>
      <c r="DE1972" t="s">
        <v>123</v>
      </c>
    </row>
    <row r="1973" spans="1:109" x14ac:dyDescent="0.3">
      <c r="A1973" t="str">
        <f>"19:07:43.188"</f>
        <v>19:07:43.188</v>
      </c>
      <c r="B1973" t="s">
        <v>110</v>
      </c>
      <c r="C1973" t="str">
        <f t="shared" si="90"/>
        <v>ffdfd3c0</v>
      </c>
      <c r="D1973" t="s">
        <v>111</v>
      </c>
      <c r="E1973">
        <v>18</v>
      </c>
      <c r="F1973">
        <v>1018</v>
      </c>
      <c r="G1973" t="s">
        <v>112</v>
      </c>
      <c r="J1973" t="s">
        <v>113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R1973" t="s">
        <v>114</v>
      </c>
      <c r="S1973" t="str">
        <f>"19:07:42.953"</f>
        <v>19:07:42.953</v>
      </c>
      <c r="T1973" t="str">
        <f>"19:07:42.852"</f>
        <v>19:07:42.852</v>
      </c>
      <c r="U1973" t="str">
        <f t="shared" si="91"/>
        <v>a1cdbe</v>
      </c>
      <c r="V1973">
        <v>0</v>
      </c>
      <c r="W1973">
        <v>0</v>
      </c>
      <c r="X1973">
        <v>1</v>
      </c>
      <c r="Y1973">
        <v>0</v>
      </c>
      <c r="Z1973">
        <v>0</v>
      </c>
      <c r="AB1973">
        <v>0</v>
      </c>
      <c r="AC1973">
        <v>9</v>
      </c>
      <c r="AD1973">
        <v>3</v>
      </c>
      <c r="AE1973">
        <v>0</v>
      </c>
      <c r="AF1973">
        <v>9</v>
      </c>
      <c r="AG1973" t="s">
        <v>158</v>
      </c>
      <c r="AH1973">
        <v>0</v>
      </c>
      <c r="AI1973">
        <v>3</v>
      </c>
      <c r="AJ1973">
        <v>1</v>
      </c>
      <c r="AK1973">
        <v>0</v>
      </c>
      <c r="AL1973" t="s">
        <v>3720</v>
      </c>
      <c r="AM1973">
        <v>46.861302999999999</v>
      </c>
      <c r="AN1973" t="s">
        <v>3721</v>
      </c>
      <c r="AO1973">
        <v>-123.01732800000001</v>
      </c>
      <c r="AP1973">
        <v>100</v>
      </c>
      <c r="AQ1973">
        <v>2000</v>
      </c>
      <c r="AR1973" t="s">
        <v>118</v>
      </c>
      <c r="AS1973">
        <v>-76</v>
      </c>
      <c r="AT1973">
        <v>24</v>
      </c>
      <c r="AU1973">
        <v>-64</v>
      </c>
      <c r="BC1973">
        <v>1200</v>
      </c>
      <c r="BD1973">
        <v>1</v>
      </c>
      <c r="BE1973" t="str">
        <f t="shared" si="92"/>
        <v xml:space="preserve">N215T   </v>
      </c>
      <c r="BF1973">
        <v>1</v>
      </c>
      <c r="BH1973">
        <v>0</v>
      </c>
      <c r="BI1973">
        <v>0</v>
      </c>
      <c r="BJ1973">
        <v>0</v>
      </c>
      <c r="BK1973">
        <v>2375</v>
      </c>
      <c r="BL1973">
        <v>375</v>
      </c>
      <c r="BM1973" t="s">
        <v>119</v>
      </c>
      <c r="BN1973">
        <v>1</v>
      </c>
      <c r="BO1973">
        <v>1</v>
      </c>
      <c r="BP1973">
        <v>1</v>
      </c>
      <c r="BQ1973">
        <v>0</v>
      </c>
      <c r="BT1973">
        <v>0</v>
      </c>
      <c r="BU1973">
        <v>0</v>
      </c>
      <c r="BV1973">
        <v>0</v>
      </c>
      <c r="CC1973" t="str">
        <f>"19:07:42.961"</f>
        <v>19:07:42.961</v>
      </c>
      <c r="CD1973" t="str">
        <f>"958658111"</f>
        <v>958658111</v>
      </c>
      <c r="CQ1973">
        <v>0</v>
      </c>
      <c r="CR1973">
        <v>2</v>
      </c>
      <c r="CS1973">
        <v>0</v>
      </c>
      <c r="CT1973">
        <v>2</v>
      </c>
      <c r="CU1973">
        <v>0</v>
      </c>
      <c r="CV1973">
        <v>6</v>
      </c>
      <c r="CW1973" t="s">
        <v>120</v>
      </c>
      <c r="CX1973">
        <v>261</v>
      </c>
      <c r="CY1973">
        <v>2</v>
      </c>
      <c r="CZ1973" t="s">
        <v>121</v>
      </c>
      <c r="DA1973" t="s">
        <v>122</v>
      </c>
      <c r="DD1973">
        <v>15430716</v>
      </c>
      <c r="DE1973" t="s">
        <v>123</v>
      </c>
    </row>
    <row r="1974" spans="1:109" x14ac:dyDescent="0.3">
      <c r="A1974" t="str">
        <f>"19:07:44.148"</f>
        <v>19:07:44.148</v>
      </c>
      <c r="B1974" t="s">
        <v>110</v>
      </c>
      <c r="C1974" t="str">
        <f t="shared" si="90"/>
        <v>ffdfd3c0</v>
      </c>
      <c r="D1974" t="s">
        <v>111</v>
      </c>
      <c r="E1974">
        <v>18</v>
      </c>
      <c r="F1974">
        <v>1018</v>
      </c>
      <c r="G1974" t="s">
        <v>112</v>
      </c>
      <c r="J1974" t="s">
        <v>113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R1974" t="s">
        <v>114</v>
      </c>
      <c r="S1974" t="str">
        <f>"19:07:43.930"</f>
        <v>19:07:43.930</v>
      </c>
      <c r="T1974" t="str">
        <f>"19:07:43.727"</f>
        <v>19:07:43.727</v>
      </c>
      <c r="U1974" t="str">
        <f t="shared" si="91"/>
        <v>a1cdbe</v>
      </c>
      <c r="V1974">
        <v>0</v>
      </c>
      <c r="W1974">
        <v>0</v>
      </c>
      <c r="X1974">
        <v>1</v>
      </c>
      <c r="Y1974">
        <v>0</v>
      </c>
      <c r="Z1974">
        <v>0</v>
      </c>
      <c r="AB1974">
        <v>0</v>
      </c>
      <c r="AC1974">
        <v>9</v>
      </c>
      <c r="AD1974">
        <v>3</v>
      </c>
      <c r="AE1974">
        <v>0</v>
      </c>
      <c r="AF1974">
        <v>9</v>
      </c>
      <c r="AG1974" t="s">
        <v>158</v>
      </c>
      <c r="AH1974">
        <v>0</v>
      </c>
      <c r="AI1974">
        <v>3</v>
      </c>
      <c r="AJ1974">
        <v>1</v>
      </c>
      <c r="AK1974">
        <v>0</v>
      </c>
      <c r="AL1974" t="s">
        <v>1702</v>
      </c>
      <c r="AM1974">
        <v>46.861432000000001</v>
      </c>
      <c r="AN1974" t="s">
        <v>3722</v>
      </c>
      <c r="AO1974">
        <v>-123.017821</v>
      </c>
      <c r="AP1974">
        <v>100</v>
      </c>
      <c r="AQ1974">
        <v>2000</v>
      </c>
      <c r="AR1974" t="s">
        <v>118</v>
      </c>
      <c r="AS1974">
        <v>-77</v>
      </c>
      <c r="AT1974">
        <v>25</v>
      </c>
      <c r="AU1974">
        <v>-64</v>
      </c>
      <c r="BC1974">
        <v>1200</v>
      </c>
      <c r="BD1974">
        <v>1</v>
      </c>
      <c r="BE1974" t="str">
        <f t="shared" si="92"/>
        <v xml:space="preserve">N215T   </v>
      </c>
      <c r="BF1974">
        <v>1</v>
      </c>
      <c r="BH1974">
        <v>0</v>
      </c>
      <c r="BI1974">
        <v>0</v>
      </c>
      <c r="BJ1974">
        <v>0</v>
      </c>
      <c r="BK1974">
        <v>2375</v>
      </c>
      <c r="BL1974">
        <v>375</v>
      </c>
      <c r="BM1974" t="s">
        <v>119</v>
      </c>
      <c r="BN1974">
        <v>1</v>
      </c>
      <c r="BO1974">
        <v>1</v>
      </c>
      <c r="BP1974">
        <v>1</v>
      </c>
      <c r="BQ1974">
        <v>0</v>
      </c>
      <c r="BT1974">
        <v>0</v>
      </c>
      <c r="BU1974">
        <v>0</v>
      </c>
      <c r="BV1974">
        <v>0</v>
      </c>
      <c r="CC1974" t="str">
        <f>"19:07:43.930"</f>
        <v>19:07:43.930</v>
      </c>
      <c r="CD1974" t="str">
        <f>"933562081"</f>
        <v>933562081</v>
      </c>
      <c r="CQ1974">
        <v>0</v>
      </c>
      <c r="CR1974">
        <v>2</v>
      </c>
      <c r="CS1974">
        <v>0</v>
      </c>
      <c r="CT1974">
        <v>2</v>
      </c>
      <c r="CU1974">
        <v>0</v>
      </c>
      <c r="CV1974">
        <v>6</v>
      </c>
      <c r="CW1974" t="s">
        <v>120</v>
      </c>
      <c r="CX1974">
        <v>261</v>
      </c>
      <c r="CY1974">
        <v>2</v>
      </c>
      <c r="CZ1974" t="s">
        <v>121</v>
      </c>
      <c r="DA1974" t="s">
        <v>122</v>
      </c>
      <c r="DD1974">
        <v>15431384</v>
      </c>
      <c r="DE1974" t="s">
        <v>123</v>
      </c>
    </row>
    <row r="1975" spans="1:109" x14ac:dyDescent="0.3">
      <c r="A1975" t="str">
        <f>"19:07:45.102"</f>
        <v>19:07:45.102</v>
      </c>
      <c r="B1975" t="s">
        <v>110</v>
      </c>
      <c r="C1975" t="str">
        <f t="shared" si="90"/>
        <v>ffdfd3c0</v>
      </c>
      <c r="D1975" t="s">
        <v>111</v>
      </c>
      <c r="E1975">
        <v>18</v>
      </c>
      <c r="F1975">
        <v>1018</v>
      </c>
      <c r="G1975" t="s">
        <v>112</v>
      </c>
      <c r="J1975" t="s">
        <v>113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R1975" t="s">
        <v>114</v>
      </c>
      <c r="S1975" t="str">
        <f>"19:07:44.844"</f>
        <v>19:07:44.844</v>
      </c>
      <c r="T1975" t="str">
        <f>"19:07:44.844"</f>
        <v>19:07:44.844</v>
      </c>
      <c r="U1975" t="str">
        <f t="shared" si="91"/>
        <v>a1cdbe</v>
      </c>
      <c r="V1975">
        <v>0</v>
      </c>
      <c r="W1975">
        <v>0</v>
      </c>
      <c r="X1975">
        <v>1</v>
      </c>
      <c r="Y1975">
        <v>0</v>
      </c>
      <c r="Z1975">
        <v>0</v>
      </c>
      <c r="AB1975">
        <v>0</v>
      </c>
      <c r="AC1975">
        <v>9</v>
      </c>
      <c r="AD1975">
        <v>3</v>
      </c>
      <c r="AE1975">
        <v>0</v>
      </c>
      <c r="AF1975">
        <v>9</v>
      </c>
      <c r="AG1975" t="s">
        <v>158</v>
      </c>
      <c r="AH1975">
        <v>0</v>
      </c>
      <c r="AI1975">
        <v>3</v>
      </c>
      <c r="AJ1975">
        <v>1</v>
      </c>
      <c r="AK1975">
        <v>0</v>
      </c>
      <c r="AL1975" t="s">
        <v>3723</v>
      </c>
      <c r="AM1975">
        <v>46.861539</v>
      </c>
      <c r="AN1975" t="s">
        <v>3724</v>
      </c>
      <c r="AO1975">
        <v>-123.01833600000001</v>
      </c>
      <c r="AP1975">
        <v>100</v>
      </c>
      <c r="AQ1975">
        <v>2000</v>
      </c>
      <c r="AR1975" t="s">
        <v>118</v>
      </c>
      <c r="AS1975">
        <v>-77</v>
      </c>
      <c r="AT1975">
        <v>25</v>
      </c>
      <c r="AU1975">
        <v>-64</v>
      </c>
      <c r="BC1975">
        <v>1200</v>
      </c>
      <c r="BD1975">
        <v>1</v>
      </c>
      <c r="BE1975" t="str">
        <f t="shared" si="92"/>
        <v xml:space="preserve">N215T   </v>
      </c>
      <c r="BF1975">
        <v>1</v>
      </c>
      <c r="BH1975">
        <v>0</v>
      </c>
      <c r="BI1975">
        <v>0</v>
      </c>
      <c r="BJ1975">
        <v>0</v>
      </c>
      <c r="BK1975">
        <v>2375</v>
      </c>
      <c r="BL1975">
        <v>375</v>
      </c>
      <c r="BM1975" t="s">
        <v>119</v>
      </c>
      <c r="BN1975">
        <v>1</v>
      </c>
      <c r="BO1975">
        <v>1</v>
      </c>
      <c r="BP1975">
        <v>1</v>
      </c>
      <c r="BQ1975">
        <v>0</v>
      </c>
      <c r="BT1975">
        <v>0</v>
      </c>
      <c r="BU1975">
        <v>0</v>
      </c>
      <c r="BV1975">
        <v>0</v>
      </c>
      <c r="CC1975" t="str">
        <f>"19:07:44.852"</f>
        <v>19:07:44.852</v>
      </c>
      <c r="CD1975" t="str">
        <f>"848475070"</f>
        <v>848475070</v>
      </c>
      <c r="CQ1975">
        <v>0</v>
      </c>
      <c r="CR1975">
        <v>2</v>
      </c>
      <c r="CS1975">
        <v>0</v>
      </c>
      <c r="CT1975">
        <v>2</v>
      </c>
      <c r="CU1975">
        <v>0</v>
      </c>
      <c r="CV1975">
        <v>6</v>
      </c>
      <c r="CW1975" t="s">
        <v>120</v>
      </c>
      <c r="CX1975">
        <v>261</v>
      </c>
      <c r="CY1975">
        <v>2</v>
      </c>
      <c r="CZ1975" t="s">
        <v>121</v>
      </c>
      <c r="DA1975" t="s">
        <v>122</v>
      </c>
      <c r="DD1975">
        <v>15431961</v>
      </c>
      <c r="DE1975" t="s">
        <v>123</v>
      </c>
    </row>
    <row r="1976" spans="1:109" x14ac:dyDescent="0.3">
      <c r="A1976" t="str">
        <f>"19:07:46.055"</f>
        <v>19:07:46.055</v>
      </c>
      <c r="B1976" t="s">
        <v>110</v>
      </c>
      <c r="C1976" t="str">
        <f t="shared" si="90"/>
        <v>ffdfd3c0</v>
      </c>
      <c r="D1976" t="s">
        <v>111</v>
      </c>
      <c r="E1976">
        <v>18</v>
      </c>
      <c r="F1976">
        <v>1018</v>
      </c>
      <c r="G1976" t="s">
        <v>112</v>
      </c>
      <c r="J1976" t="s">
        <v>113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R1976" t="s">
        <v>114</v>
      </c>
      <c r="S1976" t="str">
        <f>"19:07:45.820"</f>
        <v>19:07:45.820</v>
      </c>
      <c r="T1976" t="str">
        <f>"19:07:45.422"</f>
        <v>19:07:45.422</v>
      </c>
      <c r="U1976" t="str">
        <f t="shared" si="91"/>
        <v>a1cdbe</v>
      </c>
      <c r="V1976">
        <v>0</v>
      </c>
      <c r="W1976">
        <v>0</v>
      </c>
      <c r="X1976">
        <v>1</v>
      </c>
      <c r="Y1976">
        <v>0</v>
      </c>
      <c r="Z1976">
        <v>0</v>
      </c>
      <c r="AB1976">
        <v>0</v>
      </c>
      <c r="AC1976">
        <v>9</v>
      </c>
      <c r="AD1976">
        <v>3</v>
      </c>
      <c r="AE1976">
        <v>0</v>
      </c>
      <c r="AF1976">
        <v>9</v>
      </c>
      <c r="AG1976" t="s">
        <v>158</v>
      </c>
      <c r="AH1976">
        <v>0</v>
      </c>
      <c r="AI1976">
        <v>3</v>
      </c>
      <c r="AJ1976">
        <v>1</v>
      </c>
      <c r="AK1976">
        <v>0</v>
      </c>
      <c r="AL1976" t="s">
        <v>3725</v>
      </c>
      <c r="AM1976">
        <v>46.861668000000002</v>
      </c>
      <c r="AN1976" t="s">
        <v>3726</v>
      </c>
      <c r="AO1976">
        <v>-123.018851</v>
      </c>
      <c r="AP1976">
        <v>100</v>
      </c>
      <c r="AQ1976">
        <v>2000</v>
      </c>
      <c r="AR1976" t="s">
        <v>118</v>
      </c>
      <c r="AS1976">
        <v>-77</v>
      </c>
      <c r="AT1976">
        <v>26</v>
      </c>
      <c r="AU1976">
        <v>0</v>
      </c>
      <c r="BC1976">
        <v>1200</v>
      </c>
      <c r="BD1976">
        <v>1</v>
      </c>
      <c r="BE1976" t="str">
        <f t="shared" si="92"/>
        <v xml:space="preserve">N215T   </v>
      </c>
      <c r="BF1976">
        <v>1</v>
      </c>
      <c r="BH1976">
        <v>0</v>
      </c>
      <c r="BI1976">
        <v>0</v>
      </c>
      <c r="BJ1976">
        <v>0</v>
      </c>
      <c r="BK1976">
        <v>2375</v>
      </c>
      <c r="BL1976">
        <v>375</v>
      </c>
      <c r="BM1976" t="s">
        <v>119</v>
      </c>
      <c r="BN1976">
        <v>1</v>
      </c>
      <c r="BO1976">
        <v>1</v>
      </c>
      <c r="BP1976">
        <v>1</v>
      </c>
      <c r="BQ1976">
        <v>0</v>
      </c>
      <c r="BT1976">
        <v>0</v>
      </c>
      <c r="BU1976">
        <v>0</v>
      </c>
      <c r="BV1976">
        <v>0</v>
      </c>
      <c r="CC1976" t="str">
        <f>"19:07:45.820"</f>
        <v>19:07:45.820</v>
      </c>
      <c r="CD1976" t="str">
        <f>"823379033"</f>
        <v>823379033</v>
      </c>
      <c r="CQ1976">
        <v>0</v>
      </c>
      <c r="CR1976">
        <v>2</v>
      </c>
      <c r="CS1976">
        <v>0</v>
      </c>
      <c r="CT1976">
        <v>2</v>
      </c>
      <c r="CU1976">
        <v>0</v>
      </c>
      <c r="CV1976">
        <v>6</v>
      </c>
      <c r="CW1976" t="s">
        <v>120</v>
      </c>
      <c r="CX1976">
        <v>261</v>
      </c>
      <c r="CY1976">
        <v>2</v>
      </c>
      <c r="CZ1976" t="s">
        <v>121</v>
      </c>
      <c r="DA1976" t="s">
        <v>122</v>
      </c>
      <c r="DD1976">
        <v>15432551</v>
      </c>
      <c r="DE1976" t="s">
        <v>123</v>
      </c>
    </row>
    <row r="1977" spans="1:109" x14ac:dyDescent="0.3">
      <c r="A1977" t="str">
        <f>"19:07:47.117"</f>
        <v>19:07:47.117</v>
      </c>
      <c r="B1977" t="s">
        <v>110</v>
      </c>
      <c r="C1977" t="str">
        <f t="shared" si="90"/>
        <v>ffdfd3c0</v>
      </c>
      <c r="D1977" t="s">
        <v>111</v>
      </c>
      <c r="E1977">
        <v>18</v>
      </c>
      <c r="F1977">
        <v>1018</v>
      </c>
      <c r="G1977" t="s">
        <v>112</v>
      </c>
      <c r="J1977" t="s">
        <v>113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R1977" t="s">
        <v>114</v>
      </c>
      <c r="S1977" t="str">
        <f>"19:07:46.898"</f>
        <v>19:07:46.898</v>
      </c>
      <c r="T1977" t="str">
        <f>"19:07:46.398"</f>
        <v>19:07:46.398</v>
      </c>
      <c r="U1977" t="str">
        <f t="shared" si="91"/>
        <v>a1cdbe</v>
      </c>
      <c r="V1977">
        <v>0</v>
      </c>
      <c r="W1977">
        <v>0</v>
      </c>
      <c r="X1977">
        <v>1</v>
      </c>
      <c r="Y1977">
        <v>0</v>
      </c>
      <c r="Z1977">
        <v>0</v>
      </c>
      <c r="AB1977">
        <v>0</v>
      </c>
      <c r="AC1977">
        <v>9</v>
      </c>
      <c r="AD1977">
        <v>3</v>
      </c>
      <c r="AE1977">
        <v>0</v>
      </c>
      <c r="AF1977">
        <v>9</v>
      </c>
      <c r="AG1977" t="s">
        <v>158</v>
      </c>
      <c r="AH1977">
        <v>0</v>
      </c>
      <c r="AI1977">
        <v>3</v>
      </c>
      <c r="AJ1977">
        <v>1</v>
      </c>
      <c r="AK1977">
        <v>0</v>
      </c>
      <c r="AL1977" t="s">
        <v>3727</v>
      </c>
      <c r="AM1977">
        <v>46.861775000000002</v>
      </c>
      <c r="AN1977" t="s">
        <v>3728</v>
      </c>
      <c r="AO1977">
        <v>-123.019409</v>
      </c>
      <c r="AP1977">
        <v>100</v>
      </c>
      <c r="AQ1977">
        <v>2000</v>
      </c>
      <c r="AR1977" t="s">
        <v>118</v>
      </c>
      <c r="AS1977">
        <v>-78</v>
      </c>
      <c r="AT1977">
        <v>26</v>
      </c>
      <c r="AU1977">
        <v>-64</v>
      </c>
      <c r="BC1977">
        <v>1200</v>
      </c>
      <c r="BD1977">
        <v>1</v>
      </c>
      <c r="BE1977" t="str">
        <f t="shared" si="92"/>
        <v xml:space="preserve">N215T   </v>
      </c>
      <c r="BF1977">
        <v>1</v>
      </c>
      <c r="BH1977">
        <v>0</v>
      </c>
      <c r="BI1977">
        <v>0</v>
      </c>
      <c r="BJ1977">
        <v>0</v>
      </c>
      <c r="BK1977">
        <v>2375</v>
      </c>
      <c r="BL1977">
        <v>375</v>
      </c>
      <c r="BM1977" t="s">
        <v>119</v>
      </c>
      <c r="BN1977">
        <v>1</v>
      </c>
      <c r="BO1977">
        <v>1</v>
      </c>
      <c r="BP1977">
        <v>1</v>
      </c>
      <c r="BQ1977">
        <v>0</v>
      </c>
      <c r="BT1977">
        <v>0</v>
      </c>
      <c r="BU1977">
        <v>0</v>
      </c>
      <c r="BV1977">
        <v>0</v>
      </c>
      <c r="CC1977" t="str">
        <f>"19:07:46.906"</f>
        <v>19:07:46.906</v>
      </c>
      <c r="CD1977" t="str">
        <f>"903272656"</f>
        <v>903272656</v>
      </c>
      <c r="CQ1977">
        <v>0</v>
      </c>
      <c r="CR1977">
        <v>2</v>
      </c>
      <c r="CS1977">
        <v>0</v>
      </c>
      <c r="CT1977">
        <v>2</v>
      </c>
      <c r="CU1977">
        <v>0</v>
      </c>
      <c r="CV1977">
        <v>6</v>
      </c>
      <c r="CW1977" t="s">
        <v>120</v>
      </c>
      <c r="CX1977">
        <v>261</v>
      </c>
      <c r="CY1977">
        <v>2</v>
      </c>
      <c r="CZ1977" t="s">
        <v>121</v>
      </c>
      <c r="DA1977" t="s">
        <v>122</v>
      </c>
      <c r="DD1977">
        <v>15433226</v>
      </c>
      <c r="DE1977" t="s">
        <v>123</v>
      </c>
    </row>
    <row r="1978" spans="1:109" x14ac:dyDescent="0.3">
      <c r="A1978" t="str">
        <f>"19:07:48.266"</f>
        <v>19:07:48.266</v>
      </c>
      <c r="B1978" t="s">
        <v>110</v>
      </c>
      <c r="C1978" t="str">
        <f t="shared" si="90"/>
        <v>ffdfd3c0</v>
      </c>
      <c r="D1978" t="s">
        <v>111</v>
      </c>
      <c r="E1978">
        <v>18</v>
      </c>
      <c r="F1978">
        <v>1018</v>
      </c>
      <c r="G1978" t="s">
        <v>112</v>
      </c>
      <c r="J1978" t="s">
        <v>113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R1978" t="s">
        <v>114</v>
      </c>
      <c r="S1978" t="str">
        <f>"19:07:48.023"</f>
        <v>19:07:48.023</v>
      </c>
      <c r="T1978" t="str">
        <f>"19:07:47.523"</f>
        <v>19:07:47.523</v>
      </c>
      <c r="U1978" t="str">
        <f t="shared" si="91"/>
        <v>a1cdbe</v>
      </c>
      <c r="V1978">
        <v>0</v>
      </c>
      <c r="W1978">
        <v>0</v>
      </c>
      <c r="X1978">
        <v>1</v>
      </c>
      <c r="Y1978">
        <v>0</v>
      </c>
      <c r="Z1978">
        <v>0</v>
      </c>
      <c r="AB1978">
        <v>0</v>
      </c>
      <c r="AC1978">
        <v>9</v>
      </c>
      <c r="AD1978">
        <v>3</v>
      </c>
      <c r="AE1978">
        <v>0</v>
      </c>
      <c r="AF1978">
        <v>9</v>
      </c>
      <c r="AG1978" t="s">
        <v>158</v>
      </c>
      <c r="AH1978">
        <v>0</v>
      </c>
      <c r="AI1978">
        <v>3</v>
      </c>
      <c r="AJ1978">
        <v>1</v>
      </c>
      <c r="AK1978">
        <v>0</v>
      </c>
      <c r="AL1978" t="s">
        <v>3729</v>
      </c>
      <c r="AM1978">
        <v>46.861904000000003</v>
      </c>
      <c r="AN1978" t="s">
        <v>3730</v>
      </c>
      <c r="AO1978">
        <v>-123.02001</v>
      </c>
      <c r="AP1978">
        <v>100</v>
      </c>
      <c r="AQ1978">
        <v>2000</v>
      </c>
      <c r="AR1978" t="s">
        <v>118</v>
      </c>
      <c r="AS1978">
        <v>-78</v>
      </c>
      <c r="AT1978">
        <v>26</v>
      </c>
      <c r="AU1978">
        <v>-64</v>
      </c>
      <c r="BC1978">
        <v>1200</v>
      </c>
      <c r="BD1978">
        <v>1</v>
      </c>
      <c r="BE1978" t="str">
        <f t="shared" si="92"/>
        <v xml:space="preserve">N215T   </v>
      </c>
      <c r="BF1978">
        <v>1</v>
      </c>
      <c r="BH1978">
        <v>0</v>
      </c>
      <c r="BI1978">
        <v>0</v>
      </c>
      <c r="BJ1978">
        <v>0</v>
      </c>
      <c r="BK1978">
        <v>2375</v>
      </c>
      <c r="BL1978">
        <v>375</v>
      </c>
      <c r="BM1978" t="s">
        <v>119</v>
      </c>
      <c r="BN1978">
        <v>1</v>
      </c>
      <c r="BO1978">
        <v>1</v>
      </c>
      <c r="BP1978">
        <v>1</v>
      </c>
      <c r="BQ1978">
        <v>0</v>
      </c>
      <c r="BT1978">
        <v>0</v>
      </c>
      <c r="BU1978">
        <v>0</v>
      </c>
      <c r="BV1978">
        <v>0</v>
      </c>
      <c r="CC1978" t="str">
        <f>"19:07:48.031"</f>
        <v>19:07:48.031</v>
      </c>
      <c r="CD1978" t="str">
        <f>"028161850"</f>
        <v>028161850</v>
      </c>
      <c r="CQ1978">
        <v>0</v>
      </c>
      <c r="CR1978">
        <v>2</v>
      </c>
      <c r="CS1978">
        <v>0</v>
      </c>
      <c r="CT1978">
        <v>2</v>
      </c>
      <c r="CU1978">
        <v>0</v>
      </c>
      <c r="CV1978">
        <v>7</v>
      </c>
      <c r="CW1978" t="s">
        <v>120</v>
      </c>
      <c r="CX1978">
        <v>261</v>
      </c>
      <c r="CY1978">
        <v>2</v>
      </c>
      <c r="CZ1978" t="s">
        <v>121</v>
      </c>
      <c r="DA1978" t="s">
        <v>122</v>
      </c>
      <c r="DD1978">
        <v>15433976</v>
      </c>
      <c r="DE1978" t="s">
        <v>123</v>
      </c>
    </row>
    <row r="1979" spans="1:109" x14ac:dyDescent="0.3">
      <c r="A1979" t="str">
        <f>"19:07:49.227"</f>
        <v>19:07:49.227</v>
      </c>
      <c r="B1979" t="s">
        <v>110</v>
      </c>
      <c r="C1979" t="str">
        <f t="shared" si="90"/>
        <v>ffdfd3c0</v>
      </c>
      <c r="D1979" t="s">
        <v>111</v>
      </c>
      <c r="E1979">
        <v>18</v>
      </c>
      <c r="F1979">
        <v>1018</v>
      </c>
      <c r="G1979" t="s">
        <v>112</v>
      </c>
      <c r="J1979" t="s">
        <v>113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R1979" t="s">
        <v>114</v>
      </c>
      <c r="S1979" t="str">
        <f>"19:07:48.984"</f>
        <v>19:07:48.984</v>
      </c>
      <c r="T1979" t="str">
        <f>"19:07:48.688"</f>
        <v>19:07:48.688</v>
      </c>
      <c r="U1979" t="str">
        <f t="shared" si="91"/>
        <v>a1cdbe</v>
      </c>
      <c r="V1979">
        <v>0</v>
      </c>
      <c r="W1979">
        <v>0</v>
      </c>
      <c r="X1979">
        <v>1</v>
      </c>
      <c r="Y1979">
        <v>0</v>
      </c>
      <c r="Z1979">
        <v>0</v>
      </c>
      <c r="AB1979">
        <v>0</v>
      </c>
      <c r="AC1979">
        <v>9</v>
      </c>
      <c r="AD1979">
        <v>3</v>
      </c>
      <c r="AE1979">
        <v>0</v>
      </c>
      <c r="AF1979">
        <v>9</v>
      </c>
      <c r="AG1979" t="s">
        <v>158</v>
      </c>
      <c r="AH1979">
        <v>0</v>
      </c>
      <c r="AI1979">
        <v>3</v>
      </c>
      <c r="AJ1979">
        <v>1</v>
      </c>
      <c r="AK1979">
        <v>0</v>
      </c>
      <c r="AL1979" t="s">
        <v>1696</v>
      </c>
      <c r="AM1979">
        <v>46.862031999999999</v>
      </c>
      <c r="AN1979" t="s">
        <v>3731</v>
      </c>
      <c r="AO1979">
        <v>-123.020504</v>
      </c>
      <c r="AP1979">
        <v>100</v>
      </c>
      <c r="AQ1979">
        <v>2000</v>
      </c>
      <c r="AR1979" t="s">
        <v>118</v>
      </c>
      <c r="AS1979">
        <v>-78</v>
      </c>
      <c r="AT1979">
        <v>26</v>
      </c>
      <c r="AU1979">
        <v>-64</v>
      </c>
      <c r="BC1979">
        <v>1200</v>
      </c>
      <c r="BD1979">
        <v>1</v>
      </c>
      <c r="BE1979" t="str">
        <f t="shared" si="92"/>
        <v xml:space="preserve">N215T   </v>
      </c>
      <c r="BF1979">
        <v>1</v>
      </c>
      <c r="BH1979">
        <v>0</v>
      </c>
      <c r="BI1979">
        <v>0</v>
      </c>
      <c r="BJ1979">
        <v>0</v>
      </c>
      <c r="BK1979">
        <v>2375</v>
      </c>
      <c r="BL1979">
        <v>375</v>
      </c>
      <c r="BM1979" t="s">
        <v>119</v>
      </c>
      <c r="BN1979">
        <v>1</v>
      </c>
      <c r="BO1979">
        <v>1</v>
      </c>
      <c r="BP1979">
        <v>1</v>
      </c>
      <c r="BQ1979">
        <v>0</v>
      </c>
      <c r="BT1979">
        <v>0</v>
      </c>
      <c r="BU1979">
        <v>0</v>
      </c>
      <c r="BV1979">
        <v>0</v>
      </c>
      <c r="CC1979" t="str">
        <f>"19:07:48.984"</f>
        <v>19:07:48.984</v>
      </c>
      <c r="CD1979" t="str">
        <f>"988067290"</f>
        <v>988067290</v>
      </c>
      <c r="CQ1979">
        <v>0</v>
      </c>
      <c r="CR1979">
        <v>2</v>
      </c>
      <c r="CS1979">
        <v>0</v>
      </c>
      <c r="CT1979">
        <v>2</v>
      </c>
      <c r="CU1979">
        <v>0</v>
      </c>
      <c r="CV1979">
        <v>7</v>
      </c>
      <c r="CW1979" t="s">
        <v>120</v>
      </c>
      <c r="CX1979">
        <v>261</v>
      </c>
      <c r="CY1979">
        <v>2</v>
      </c>
      <c r="CZ1979" t="s">
        <v>121</v>
      </c>
      <c r="DA1979" t="s">
        <v>122</v>
      </c>
      <c r="DD1979">
        <v>15434613</v>
      </c>
      <c r="DE1979" t="s">
        <v>123</v>
      </c>
    </row>
    <row r="1980" spans="1:109" x14ac:dyDescent="0.3">
      <c r="A1980" t="str">
        <f>"19:07:50.227"</f>
        <v>19:07:50.227</v>
      </c>
      <c r="B1980" t="s">
        <v>110</v>
      </c>
      <c r="C1980" t="str">
        <f t="shared" si="90"/>
        <v>ffdfd3c0</v>
      </c>
      <c r="D1980" t="s">
        <v>111</v>
      </c>
      <c r="E1980">
        <v>18</v>
      </c>
      <c r="F1980">
        <v>1018</v>
      </c>
      <c r="G1980" t="s">
        <v>112</v>
      </c>
      <c r="J1980" t="s">
        <v>113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R1980" t="s">
        <v>114</v>
      </c>
      <c r="S1980" t="str">
        <f>"19:07:49.992"</f>
        <v>19:07:49.992</v>
      </c>
      <c r="T1980" t="str">
        <f>"19:07:49.992"</f>
        <v>19:07:49.992</v>
      </c>
      <c r="U1980" t="str">
        <f t="shared" si="91"/>
        <v>a1cdbe</v>
      </c>
      <c r="V1980">
        <v>0</v>
      </c>
      <c r="W1980">
        <v>0</v>
      </c>
      <c r="X1980">
        <v>1</v>
      </c>
      <c r="Y1980">
        <v>0</v>
      </c>
      <c r="Z1980">
        <v>0</v>
      </c>
      <c r="AB1980">
        <v>0</v>
      </c>
      <c r="AC1980">
        <v>9</v>
      </c>
      <c r="AD1980">
        <v>3</v>
      </c>
      <c r="AE1980">
        <v>0</v>
      </c>
      <c r="AF1980">
        <v>9</v>
      </c>
      <c r="AG1980" t="s">
        <v>158</v>
      </c>
      <c r="AH1980">
        <v>0</v>
      </c>
      <c r="AI1980">
        <v>3</v>
      </c>
      <c r="AJ1980">
        <v>1</v>
      </c>
      <c r="AK1980">
        <v>0</v>
      </c>
      <c r="AL1980" t="s">
        <v>3732</v>
      </c>
      <c r="AM1980">
        <v>46.862139999999997</v>
      </c>
      <c r="AN1980" t="s">
        <v>3733</v>
      </c>
      <c r="AO1980">
        <v>-123.021019</v>
      </c>
      <c r="AP1980">
        <v>100</v>
      </c>
      <c r="AQ1980">
        <v>2000</v>
      </c>
      <c r="AR1980" t="s">
        <v>118</v>
      </c>
      <c r="AS1980">
        <v>-78</v>
      </c>
      <c r="AT1980">
        <v>26</v>
      </c>
      <c r="AU1980">
        <v>0</v>
      </c>
      <c r="BC1980">
        <v>1200</v>
      </c>
      <c r="BD1980">
        <v>1</v>
      </c>
      <c r="BE1980" t="str">
        <f t="shared" si="92"/>
        <v xml:space="preserve">N215T   </v>
      </c>
      <c r="BF1980">
        <v>1</v>
      </c>
      <c r="BH1980">
        <v>0</v>
      </c>
      <c r="BI1980">
        <v>0</v>
      </c>
      <c r="BJ1980">
        <v>0</v>
      </c>
      <c r="BK1980">
        <v>2375</v>
      </c>
      <c r="BL1980">
        <v>375</v>
      </c>
      <c r="BM1980" t="s">
        <v>119</v>
      </c>
      <c r="BN1980">
        <v>1</v>
      </c>
      <c r="BO1980">
        <v>1</v>
      </c>
      <c r="BP1980">
        <v>1</v>
      </c>
      <c r="BQ1980">
        <v>0</v>
      </c>
      <c r="BT1980">
        <v>0</v>
      </c>
      <c r="BU1980">
        <v>0</v>
      </c>
      <c r="BV1980">
        <v>0</v>
      </c>
      <c r="CC1980" t="str">
        <f>"19:07:49.992"</f>
        <v>19:07:49.992</v>
      </c>
      <c r="CD1980" t="str">
        <f>"992968290"</f>
        <v>992968290</v>
      </c>
      <c r="CQ1980">
        <v>0</v>
      </c>
      <c r="CR1980">
        <v>2</v>
      </c>
      <c r="CS1980">
        <v>0</v>
      </c>
      <c r="CT1980">
        <v>2</v>
      </c>
      <c r="CU1980">
        <v>0</v>
      </c>
      <c r="CV1980">
        <v>6</v>
      </c>
      <c r="CW1980" t="s">
        <v>120</v>
      </c>
      <c r="CX1980">
        <v>261</v>
      </c>
      <c r="CY1980">
        <v>2</v>
      </c>
      <c r="CZ1980" t="s">
        <v>121</v>
      </c>
      <c r="DA1980" t="s">
        <v>122</v>
      </c>
      <c r="DD1980">
        <v>15435245</v>
      </c>
      <c r="DE1980" t="s">
        <v>123</v>
      </c>
    </row>
    <row r="1981" spans="1:109" x14ac:dyDescent="0.3">
      <c r="A1981" t="str">
        <f>"19:07:51.133"</f>
        <v>19:07:51.133</v>
      </c>
      <c r="B1981" t="s">
        <v>110</v>
      </c>
      <c r="C1981" t="str">
        <f t="shared" si="90"/>
        <v>ffdfd3c0</v>
      </c>
      <c r="D1981" t="s">
        <v>111</v>
      </c>
      <c r="E1981">
        <v>18</v>
      </c>
      <c r="F1981">
        <v>1018</v>
      </c>
      <c r="G1981" t="s">
        <v>112</v>
      </c>
      <c r="J1981" t="s">
        <v>113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R1981" t="s">
        <v>114</v>
      </c>
      <c r="S1981" t="str">
        <f>"19:07:50.891"</f>
        <v>19:07:50.891</v>
      </c>
      <c r="T1981" t="str">
        <f>"19:07:50.492"</f>
        <v>19:07:50.492</v>
      </c>
      <c r="U1981" t="str">
        <f t="shared" si="91"/>
        <v>a1cdbe</v>
      </c>
      <c r="V1981">
        <v>0</v>
      </c>
      <c r="W1981">
        <v>0</v>
      </c>
      <c r="X1981">
        <v>1</v>
      </c>
      <c r="Y1981">
        <v>0</v>
      </c>
      <c r="Z1981">
        <v>0</v>
      </c>
      <c r="AB1981">
        <v>0</v>
      </c>
      <c r="AC1981">
        <v>9</v>
      </c>
      <c r="AD1981">
        <v>3</v>
      </c>
      <c r="AE1981">
        <v>0</v>
      </c>
      <c r="AF1981">
        <v>9</v>
      </c>
      <c r="AG1981" t="s">
        <v>158</v>
      </c>
      <c r="AH1981">
        <v>0</v>
      </c>
      <c r="AI1981">
        <v>3</v>
      </c>
      <c r="AJ1981">
        <v>1</v>
      </c>
      <c r="AK1981">
        <v>0</v>
      </c>
      <c r="AL1981" t="s">
        <v>1694</v>
      </c>
      <c r="AM1981">
        <v>46.862268</v>
      </c>
      <c r="AN1981" t="s">
        <v>3734</v>
      </c>
      <c r="AO1981">
        <v>-123.02155500000001</v>
      </c>
      <c r="AP1981">
        <v>100</v>
      </c>
      <c r="AQ1981">
        <v>2000</v>
      </c>
      <c r="AR1981" t="s">
        <v>118</v>
      </c>
      <c r="AS1981">
        <v>-78</v>
      </c>
      <c r="AT1981">
        <v>26</v>
      </c>
      <c r="AU1981">
        <v>0</v>
      </c>
      <c r="BC1981">
        <v>1200</v>
      </c>
      <c r="BD1981">
        <v>1</v>
      </c>
      <c r="BE1981" t="str">
        <f t="shared" si="92"/>
        <v xml:space="preserve">N215T   </v>
      </c>
      <c r="BF1981">
        <v>1</v>
      </c>
      <c r="BH1981">
        <v>0</v>
      </c>
      <c r="BI1981">
        <v>0</v>
      </c>
      <c r="BJ1981">
        <v>0</v>
      </c>
      <c r="BK1981">
        <v>2375</v>
      </c>
      <c r="BL1981">
        <v>375</v>
      </c>
      <c r="BM1981" t="s">
        <v>119</v>
      </c>
      <c r="BN1981">
        <v>1</v>
      </c>
      <c r="BO1981">
        <v>1</v>
      </c>
      <c r="BP1981">
        <v>1</v>
      </c>
      <c r="BQ1981">
        <v>0</v>
      </c>
      <c r="BT1981">
        <v>0</v>
      </c>
      <c r="BU1981">
        <v>0</v>
      </c>
      <c r="BV1981">
        <v>0</v>
      </c>
      <c r="CC1981" t="str">
        <f>"19:07:50.891"</f>
        <v>19:07:50.891</v>
      </c>
      <c r="CD1981" t="str">
        <f>"892879647"</f>
        <v>892879647</v>
      </c>
      <c r="CQ1981">
        <v>0</v>
      </c>
      <c r="CR1981">
        <v>2</v>
      </c>
      <c r="CS1981">
        <v>0</v>
      </c>
      <c r="CT1981">
        <v>2</v>
      </c>
      <c r="CU1981">
        <v>0</v>
      </c>
      <c r="CV1981">
        <v>6</v>
      </c>
      <c r="CW1981" t="s">
        <v>120</v>
      </c>
      <c r="CX1981">
        <v>261</v>
      </c>
      <c r="CY1981">
        <v>2</v>
      </c>
      <c r="CZ1981" t="s">
        <v>121</v>
      </c>
      <c r="DA1981" t="s">
        <v>122</v>
      </c>
      <c r="DD1981">
        <v>15435780</v>
      </c>
      <c r="DE1981" t="s">
        <v>123</v>
      </c>
    </row>
    <row r="1982" spans="1:109" x14ac:dyDescent="0.3">
      <c r="A1982" t="str">
        <f>"19:07:52.242"</f>
        <v>19:07:52.242</v>
      </c>
      <c r="B1982" t="s">
        <v>110</v>
      </c>
      <c r="C1982" t="str">
        <f t="shared" si="90"/>
        <v>ffdfd3c0</v>
      </c>
      <c r="D1982" t="s">
        <v>111</v>
      </c>
      <c r="E1982">
        <v>18</v>
      </c>
      <c r="F1982">
        <v>1018</v>
      </c>
      <c r="G1982" t="s">
        <v>112</v>
      </c>
      <c r="J1982" t="s">
        <v>113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R1982" t="s">
        <v>114</v>
      </c>
      <c r="S1982" t="str">
        <f>"19:07:51.984"</f>
        <v>19:07:51.984</v>
      </c>
      <c r="T1982" t="str">
        <f>"19:07:51.984"</f>
        <v>19:07:51.984</v>
      </c>
      <c r="U1982" t="str">
        <f t="shared" si="91"/>
        <v>a1cdbe</v>
      </c>
      <c r="V1982">
        <v>0</v>
      </c>
      <c r="W1982">
        <v>0</v>
      </c>
      <c r="X1982">
        <v>1</v>
      </c>
      <c r="Y1982">
        <v>0</v>
      </c>
      <c r="Z1982">
        <v>0</v>
      </c>
      <c r="AB1982">
        <v>0</v>
      </c>
      <c r="AC1982">
        <v>9</v>
      </c>
      <c r="AD1982">
        <v>3</v>
      </c>
      <c r="AE1982">
        <v>0</v>
      </c>
      <c r="AF1982">
        <v>9</v>
      </c>
      <c r="AG1982" t="s">
        <v>158</v>
      </c>
      <c r="AH1982">
        <v>0</v>
      </c>
      <c r="AI1982">
        <v>3</v>
      </c>
      <c r="AJ1982">
        <v>1</v>
      </c>
      <c r="AK1982">
        <v>0</v>
      </c>
      <c r="AL1982" t="s">
        <v>3735</v>
      </c>
      <c r="AM1982">
        <v>46.862419000000003</v>
      </c>
      <c r="AN1982" t="s">
        <v>3736</v>
      </c>
      <c r="AO1982">
        <v>-123.022091</v>
      </c>
      <c r="AP1982">
        <v>100</v>
      </c>
      <c r="AQ1982">
        <v>2000</v>
      </c>
      <c r="AR1982" t="s">
        <v>118</v>
      </c>
      <c r="AS1982">
        <v>-78</v>
      </c>
      <c r="AT1982">
        <v>26</v>
      </c>
      <c r="AU1982">
        <v>64</v>
      </c>
      <c r="BC1982">
        <v>1200</v>
      </c>
      <c r="BD1982">
        <v>1</v>
      </c>
      <c r="BE1982" t="str">
        <f t="shared" si="92"/>
        <v xml:space="preserve">N215T   </v>
      </c>
      <c r="BF1982">
        <v>1</v>
      </c>
      <c r="BH1982">
        <v>0</v>
      </c>
      <c r="BI1982">
        <v>0</v>
      </c>
      <c r="BJ1982">
        <v>0</v>
      </c>
      <c r="BK1982">
        <v>2375</v>
      </c>
      <c r="BL1982">
        <v>375</v>
      </c>
      <c r="BM1982" t="s">
        <v>119</v>
      </c>
      <c r="BN1982">
        <v>1</v>
      </c>
      <c r="BO1982">
        <v>1</v>
      </c>
      <c r="BP1982">
        <v>1</v>
      </c>
      <c r="BQ1982">
        <v>0</v>
      </c>
      <c r="BT1982">
        <v>0</v>
      </c>
      <c r="BU1982">
        <v>0</v>
      </c>
      <c r="BV1982">
        <v>0</v>
      </c>
      <c r="CC1982" t="str">
        <f>"19:07:51.984"</f>
        <v>19:07:51.984</v>
      </c>
      <c r="CD1982" t="str">
        <f>"987771796"</f>
        <v>987771796</v>
      </c>
      <c r="CQ1982">
        <v>0</v>
      </c>
      <c r="CR1982">
        <v>2</v>
      </c>
      <c r="CS1982">
        <v>0</v>
      </c>
      <c r="CT1982">
        <v>2</v>
      </c>
      <c r="CU1982">
        <v>0</v>
      </c>
      <c r="CV1982">
        <v>7</v>
      </c>
      <c r="CW1982" t="s">
        <v>120</v>
      </c>
      <c r="CX1982">
        <v>261</v>
      </c>
      <c r="CY1982">
        <v>2</v>
      </c>
      <c r="CZ1982" t="s">
        <v>121</v>
      </c>
      <c r="DA1982" t="s">
        <v>122</v>
      </c>
      <c r="DD1982">
        <v>15436464</v>
      </c>
      <c r="DE1982" t="s">
        <v>123</v>
      </c>
    </row>
    <row r="1983" spans="1:109" x14ac:dyDescent="0.3">
      <c r="A1983" t="str">
        <f>"19:07:53.352"</f>
        <v>19:07:53.352</v>
      </c>
      <c r="B1983" t="s">
        <v>110</v>
      </c>
      <c r="C1983" t="str">
        <f t="shared" si="90"/>
        <v>ffdfd3c0</v>
      </c>
      <c r="D1983" t="s">
        <v>111</v>
      </c>
      <c r="E1983">
        <v>18</v>
      </c>
      <c r="F1983">
        <v>1018</v>
      </c>
      <c r="G1983" t="s">
        <v>112</v>
      </c>
      <c r="J1983" t="s">
        <v>113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R1983" t="s">
        <v>114</v>
      </c>
      <c r="S1983" t="str">
        <f>"19:07:53.141"</f>
        <v>19:07:53.141</v>
      </c>
      <c r="T1983" t="str">
        <f>"19:07:53.039"</f>
        <v>19:07:53.039</v>
      </c>
      <c r="U1983" t="str">
        <f t="shared" si="91"/>
        <v>a1cdbe</v>
      </c>
      <c r="V1983">
        <v>0</v>
      </c>
      <c r="W1983">
        <v>0</v>
      </c>
      <c r="X1983">
        <v>1</v>
      </c>
      <c r="Y1983">
        <v>0</v>
      </c>
      <c r="Z1983">
        <v>0</v>
      </c>
      <c r="AB1983">
        <v>0</v>
      </c>
      <c r="AC1983">
        <v>9</v>
      </c>
      <c r="AD1983">
        <v>3</v>
      </c>
      <c r="AE1983">
        <v>0</v>
      </c>
      <c r="AF1983">
        <v>9</v>
      </c>
      <c r="AG1983" t="s">
        <v>158</v>
      </c>
      <c r="AH1983">
        <v>0</v>
      </c>
      <c r="AI1983">
        <v>3</v>
      </c>
      <c r="AJ1983">
        <v>1</v>
      </c>
      <c r="AK1983">
        <v>0</v>
      </c>
      <c r="AL1983" t="s">
        <v>3737</v>
      </c>
      <c r="AM1983">
        <v>46.862504000000001</v>
      </c>
      <c r="AN1983" t="s">
        <v>3738</v>
      </c>
      <c r="AO1983">
        <v>-123.02271399999999</v>
      </c>
      <c r="AP1983">
        <v>100</v>
      </c>
      <c r="AQ1983">
        <v>2000</v>
      </c>
      <c r="AR1983" t="s">
        <v>118</v>
      </c>
      <c r="AS1983">
        <v>-77</v>
      </c>
      <c r="AT1983">
        <v>25</v>
      </c>
      <c r="AU1983">
        <v>128</v>
      </c>
      <c r="BC1983">
        <v>1200</v>
      </c>
      <c r="BD1983">
        <v>1</v>
      </c>
      <c r="BE1983" t="str">
        <f t="shared" si="92"/>
        <v xml:space="preserve">N215T   </v>
      </c>
      <c r="BF1983">
        <v>1</v>
      </c>
      <c r="BH1983">
        <v>0</v>
      </c>
      <c r="BI1983">
        <v>0</v>
      </c>
      <c r="BJ1983">
        <v>0</v>
      </c>
      <c r="BK1983">
        <v>2350</v>
      </c>
      <c r="BL1983">
        <v>350</v>
      </c>
      <c r="BM1983" t="s">
        <v>119</v>
      </c>
      <c r="BN1983">
        <v>1</v>
      </c>
      <c r="BO1983">
        <v>1</v>
      </c>
      <c r="BP1983">
        <v>1</v>
      </c>
      <c r="BQ1983">
        <v>0</v>
      </c>
      <c r="BT1983">
        <v>0</v>
      </c>
      <c r="BU1983">
        <v>0</v>
      </c>
      <c r="BV1983">
        <v>0</v>
      </c>
      <c r="CC1983" t="str">
        <f>"19:07:53.141"</f>
        <v>19:07:53.141</v>
      </c>
      <c r="CD1983" t="str">
        <f>"142658023"</f>
        <v>142658023</v>
      </c>
      <c r="CQ1983">
        <v>0</v>
      </c>
      <c r="CR1983">
        <v>2</v>
      </c>
      <c r="CS1983">
        <v>0</v>
      </c>
      <c r="CT1983">
        <v>2</v>
      </c>
      <c r="CU1983">
        <v>0</v>
      </c>
      <c r="CV1983">
        <v>6</v>
      </c>
      <c r="CW1983" t="s">
        <v>120</v>
      </c>
      <c r="CX1983">
        <v>261</v>
      </c>
      <c r="CY1983">
        <v>2</v>
      </c>
      <c r="CZ1983" t="s">
        <v>121</v>
      </c>
      <c r="DA1983" t="s">
        <v>122</v>
      </c>
      <c r="DD1983">
        <v>15437289</v>
      </c>
      <c r="DE1983" t="s">
        <v>123</v>
      </c>
    </row>
    <row r="1984" spans="1:109" x14ac:dyDescent="0.3">
      <c r="A1984" t="str">
        <f>"19:07:54.250"</f>
        <v>19:07:54.250</v>
      </c>
      <c r="B1984" t="s">
        <v>110</v>
      </c>
      <c r="C1984" t="str">
        <f t="shared" si="90"/>
        <v>ffdfd3c0</v>
      </c>
      <c r="D1984" t="s">
        <v>111</v>
      </c>
      <c r="E1984">
        <v>18</v>
      </c>
      <c r="F1984">
        <v>1018</v>
      </c>
      <c r="G1984" t="s">
        <v>112</v>
      </c>
      <c r="J1984" t="s">
        <v>113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R1984" t="s">
        <v>114</v>
      </c>
      <c r="S1984" t="str">
        <f>"19:07:53.992"</f>
        <v>19:07:53.992</v>
      </c>
      <c r="T1984" t="str">
        <f>"19:07:53.594"</f>
        <v>19:07:53.594</v>
      </c>
      <c r="U1984" t="str">
        <f t="shared" si="91"/>
        <v>a1cdbe</v>
      </c>
      <c r="V1984">
        <v>0</v>
      </c>
      <c r="W1984">
        <v>0</v>
      </c>
      <c r="X1984">
        <v>1</v>
      </c>
      <c r="Y1984">
        <v>0</v>
      </c>
      <c r="Z1984">
        <v>0</v>
      </c>
      <c r="AB1984">
        <v>0</v>
      </c>
      <c r="AC1984">
        <v>9</v>
      </c>
      <c r="AD1984">
        <v>3</v>
      </c>
      <c r="AE1984">
        <v>0</v>
      </c>
      <c r="AF1984">
        <v>9</v>
      </c>
      <c r="AG1984" t="s">
        <v>158</v>
      </c>
      <c r="AH1984">
        <v>0</v>
      </c>
      <c r="AI1984">
        <v>3</v>
      </c>
      <c r="AJ1984">
        <v>1</v>
      </c>
      <c r="AK1984">
        <v>0</v>
      </c>
      <c r="AL1984" t="s">
        <v>3739</v>
      </c>
      <c r="AM1984">
        <v>46.862589999999997</v>
      </c>
      <c r="AN1984" t="s">
        <v>3740</v>
      </c>
      <c r="AO1984">
        <v>-123.02316399999999</v>
      </c>
      <c r="AP1984">
        <v>100</v>
      </c>
      <c r="AQ1984">
        <v>2000</v>
      </c>
      <c r="AR1984" t="s">
        <v>118</v>
      </c>
      <c r="AS1984">
        <v>-77</v>
      </c>
      <c r="AT1984">
        <v>25</v>
      </c>
      <c r="AU1984">
        <v>128</v>
      </c>
      <c r="BC1984">
        <v>1200</v>
      </c>
      <c r="BD1984">
        <v>1</v>
      </c>
      <c r="BE1984" t="str">
        <f t="shared" si="92"/>
        <v xml:space="preserve">N215T   </v>
      </c>
      <c r="BF1984">
        <v>1</v>
      </c>
      <c r="BH1984">
        <v>0</v>
      </c>
      <c r="BI1984">
        <v>0</v>
      </c>
      <c r="BJ1984">
        <v>0</v>
      </c>
      <c r="BK1984">
        <v>2350</v>
      </c>
      <c r="BL1984">
        <v>350</v>
      </c>
      <c r="BM1984" t="s">
        <v>119</v>
      </c>
      <c r="BN1984">
        <v>1</v>
      </c>
      <c r="BO1984">
        <v>1</v>
      </c>
      <c r="BP1984">
        <v>1</v>
      </c>
      <c r="BQ1984">
        <v>0</v>
      </c>
      <c r="BT1984">
        <v>0</v>
      </c>
      <c r="BU1984">
        <v>0</v>
      </c>
      <c r="BV1984">
        <v>0</v>
      </c>
      <c r="CC1984" t="str">
        <f>"19:07:54.000"</f>
        <v>19:07:54.000</v>
      </c>
      <c r="CD1984" t="str">
        <f>"997573809"</f>
        <v>997573809</v>
      </c>
      <c r="CQ1984">
        <v>0</v>
      </c>
      <c r="CR1984">
        <v>2</v>
      </c>
      <c r="CS1984">
        <v>0</v>
      </c>
      <c r="CT1984">
        <v>2</v>
      </c>
      <c r="CU1984">
        <v>0</v>
      </c>
      <c r="CV1984">
        <v>7</v>
      </c>
      <c r="CW1984" t="s">
        <v>120</v>
      </c>
      <c r="CX1984">
        <v>261</v>
      </c>
      <c r="CY1984">
        <v>2</v>
      </c>
      <c r="CZ1984" t="s">
        <v>121</v>
      </c>
      <c r="DA1984" t="s">
        <v>122</v>
      </c>
      <c r="DD1984">
        <v>15437844</v>
      </c>
      <c r="DE1984" t="s">
        <v>123</v>
      </c>
    </row>
    <row r="1985" spans="1:109" x14ac:dyDescent="0.3">
      <c r="A1985" t="str">
        <f>"19:07:55.305"</f>
        <v>19:07:55.305</v>
      </c>
      <c r="B1985" t="s">
        <v>110</v>
      </c>
      <c r="C1985" t="str">
        <f t="shared" si="90"/>
        <v>ffdfd3c0</v>
      </c>
      <c r="D1985" t="s">
        <v>111</v>
      </c>
      <c r="E1985">
        <v>18</v>
      </c>
      <c r="F1985">
        <v>1018</v>
      </c>
      <c r="G1985" t="s">
        <v>112</v>
      </c>
      <c r="J1985" t="s">
        <v>113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R1985" t="s">
        <v>114</v>
      </c>
      <c r="S1985" t="str">
        <f>"19:07:55.055"</f>
        <v>19:07:55.055</v>
      </c>
      <c r="T1985" t="str">
        <f>"19:07:54.555"</f>
        <v>19:07:54.555</v>
      </c>
      <c r="U1985" t="str">
        <f t="shared" si="91"/>
        <v>a1cdbe</v>
      </c>
      <c r="V1985">
        <v>0</v>
      </c>
      <c r="W1985">
        <v>0</v>
      </c>
      <c r="X1985">
        <v>1</v>
      </c>
      <c r="Y1985">
        <v>0</v>
      </c>
      <c r="Z1985">
        <v>0</v>
      </c>
      <c r="AB1985">
        <v>0</v>
      </c>
      <c r="AC1985">
        <v>9</v>
      </c>
      <c r="AD1985">
        <v>3</v>
      </c>
      <c r="AE1985">
        <v>0</v>
      </c>
      <c r="AF1985">
        <v>9</v>
      </c>
      <c r="AG1985" t="s">
        <v>158</v>
      </c>
      <c r="AH1985">
        <v>0</v>
      </c>
      <c r="AI1985">
        <v>3</v>
      </c>
      <c r="AJ1985">
        <v>1</v>
      </c>
      <c r="AK1985">
        <v>0</v>
      </c>
      <c r="AL1985" t="s">
        <v>3741</v>
      </c>
      <c r="AM1985">
        <v>46.862741</v>
      </c>
      <c r="AN1985" t="s">
        <v>3742</v>
      </c>
      <c r="AO1985">
        <v>-123.023658</v>
      </c>
      <c r="AP1985">
        <v>100</v>
      </c>
      <c r="AQ1985">
        <v>2000</v>
      </c>
      <c r="AR1985" t="s">
        <v>118</v>
      </c>
      <c r="AS1985">
        <v>-77</v>
      </c>
      <c r="AT1985">
        <v>25</v>
      </c>
      <c r="AU1985">
        <v>128</v>
      </c>
      <c r="BC1985">
        <v>1200</v>
      </c>
      <c r="BD1985">
        <v>1</v>
      </c>
      <c r="BE1985" t="str">
        <f t="shared" si="92"/>
        <v xml:space="preserve">N215T   </v>
      </c>
      <c r="BF1985">
        <v>1</v>
      </c>
      <c r="BH1985">
        <v>0</v>
      </c>
      <c r="BI1985">
        <v>0</v>
      </c>
      <c r="BJ1985">
        <v>0</v>
      </c>
      <c r="BK1985">
        <v>2350</v>
      </c>
      <c r="BL1985">
        <v>350</v>
      </c>
      <c r="BM1985" t="s">
        <v>119</v>
      </c>
      <c r="BN1985">
        <v>1</v>
      </c>
      <c r="BO1985">
        <v>1</v>
      </c>
      <c r="BP1985">
        <v>1</v>
      </c>
      <c r="BQ1985">
        <v>0</v>
      </c>
      <c r="BT1985">
        <v>0</v>
      </c>
      <c r="BU1985">
        <v>0</v>
      </c>
      <c r="BV1985">
        <v>0</v>
      </c>
      <c r="CC1985" t="str">
        <f>"19:07:55.063"</f>
        <v>19:07:55.063</v>
      </c>
      <c r="CD1985" t="str">
        <f>"062468904"</f>
        <v>062468904</v>
      </c>
      <c r="CQ1985">
        <v>0</v>
      </c>
      <c r="CR1985">
        <v>2</v>
      </c>
      <c r="CS1985">
        <v>0</v>
      </c>
      <c r="CT1985">
        <v>2</v>
      </c>
      <c r="CU1985">
        <v>0</v>
      </c>
      <c r="CV1985">
        <v>7</v>
      </c>
      <c r="CW1985" t="s">
        <v>120</v>
      </c>
      <c r="CX1985">
        <v>261</v>
      </c>
      <c r="CY1985">
        <v>2</v>
      </c>
      <c r="CZ1985" t="s">
        <v>121</v>
      </c>
      <c r="DA1985" t="s">
        <v>122</v>
      </c>
      <c r="DD1985">
        <v>15438555</v>
      </c>
      <c r="DE1985" t="s">
        <v>123</v>
      </c>
    </row>
    <row r="1986" spans="1:109" x14ac:dyDescent="0.3">
      <c r="A1986" t="str">
        <f>"19:07:56.164"</f>
        <v>19:07:56.164</v>
      </c>
      <c r="B1986" t="s">
        <v>110</v>
      </c>
      <c r="C1986" t="str">
        <f t="shared" ref="C1986:C2049" si="93">"ffdfd3c0"</f>
        <v>ffdfd3c0</v>
      </c>
      <c r="D1986" t="s">
        <v>111</v>
      </c>
      <c r="E1986">
        <v>18</v>
      </c>
      <c r="F1986">
        <v>1018</v>
      </c>
      <c r="G1986" t="s">
        <v>112</v>
      </c>
      <c r="J1986" t="s">
        <v>113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R1986" t="s">
        <v>114</v>
      </c>
      <c r="S1986" t="str">
        <f>"19:07:55.914"</f>
        <v>19:07:55.914</v>
      </c>
      <c r="T1986" t="str">
        <f>"19:07:55.516"</f>
        <v>19:07:55.516</v>
      </c>
      <c r="U1986" t="str">
        <f t="shared" ref="U1986:U2049" si="94">"a1cdbe"</f>
        <v>a1cdbe</v>
      </c>
      <c r="V1986">
        <v>0</v>
      </c>
      <c r="W1986">
        <v>0</v>
      </c>
      <c r="X1986">
        <v>1</v>
      </c>
      <c r="Y1986">
        <v>0</v>
      </c>
      <c r="Z1986">
        <v>0</v>
      </c>
      <c r="AB1986">
        <v>0</v>
      </c>
      <c r="AC1986">
        <v>9</v>
      </c>
      <c r="AD1986">
        <v>3</v>
      </c>
      <c r="AE1986">
        <v>0</v>
      </c>
      <c r="AF1986">
        <v>9</v>
      </c>
      <c r="AG1986" t="s">
        <v>158</v>
      </c>
      <c r="AH1986">
        <v>0</v>
      </c>
      <c r="AI1986">
        <v>3</v>
      </c>
      <c r="AJ1986">
        <v>1</v>
      </c>
      <c r="AK1986">
        <v>0</v>
      </c>
      <c r="AL1986" t="s">
        <v>3743</v>
      </c>
      <c r="AM1986">
        <v>46.862825999999998</v>
      </c>
      <c r="AN1986" t="s">
        <v>3744</v>
      </c>
      <c r="AO1986">
        <v>-123.024151</v>
      </c>
      <c r="AP1986">
        <v>100</v>
      </c>
      <c r="AQ1986">
        <v>2000</v>
      </c>
      <c r="AR1986" t="s">
        <v>118</v>
      </c>
      <c r="AS1986">
        <v>-77</v>
      </c>
      <c r="AT1986">
        <v>24</v>
      </c>
      <c r="AU1986">
        <v>128</v>
      </c>
      <c r="BC1986">
        <v>1200</v>
      </c>
      <c r="BD1986">
        <v>1</v>
      </c>
      <c r="BE1986" t="str">
        <f t="shared" ref="BE1986:BE2049" si="95">"N215T   "</f>
        <v xml:space="preserve">N215T   </v>
      </c>
      <c r="BF1986">
        <v>1</v>
      </c>
      <c r="BH1986">
        <v>0</v>
      </c>
      <c r="BI1986">
        <v>0</v>
      </c>
      <c r="BJ1986">
        <v>0</v>
      </c>
      <c r="BK1986">
        <v>2375</v>
      </c>
      <c r="BL1986">
        <v>375</v>
      </c>
      <c r="BM1986" t="s">
        <v>119</v>
      </c>
      <c r="BN1986">
        <v>1</v>
      </c>
      <c r="BO1986">
        <v>1</v>
      </c>
      <c r="BP1986">
        <v>1</v>
      </c>
      <c r="BQ1986">
        <v>0</v>
      </c>
      <c r="BT1986">
        <v>0</v>
      </c>
      <c r="BU1986">
        <v>0</v>
      </c>
      <c r="BV1986">
        <v>0</v>
      </c>
      <c r="CC1986" t="str">
        <f>"19:07:55.914"</f>
        <v>19:07:55.914</v>
      </c>
      <c r="CD1986" t="str">
        <f>"917384685"</f>
        <v>917384685</v>
      </c>
      <c r="CQ1986">
        <v>0</v>
      </c>
      <c r="CR1986">
        <v>2</v>
      </c>
      <c r="CS1986">
        <v>0</v>
      </c>
      <c r="CT1986">
        <v>2</v>
      </c>
      <c r="CU1986">
        <v>0</v>
      </c>
      <c r="CV1986">
        <v>7</v>
      </c>
      <c r="CW1986" t="s">
        <v>120</v>
      </c>
      <c r="CX1986">
        <v>261</v>
      </c>
      <c r="CY1986">
        <v>2</v>
      </c>
      <c r="CZ1986" t="s">
        <v>121</v>
      </c>
      <c r="DA1986" t="s">
        <v>122</v>
      </c>
      <c r="DD1986">
        <v>15439090</v>
      </c>
      <c r="DE1986" t="s">
        <v>123</v>
      </c>
    </row>
    <row r="1987" spans="1:109" x14ac:dyDescent="0.3">
      <c r="A1987" t="str">
        <f>"19:07:57.172"</f>
        <v>19:07:57.172</v>
      </c>
      <c r="B1987" t="s">
        <v>110</v>
      </c>
      <c r="C1987" t="str">
        <f t="shared" si="93"/>
        <v>ffdfd3c0</v>
      </c>
      <c r="D1987" t="s">
        <v>111</v>
      </c>
      <c r="E1987">
        <v>18</v>
      </c>
      <c r="F1987">
        <v>1018</v>
      </c>
      <c r="G1987" t="s">
        <v>112</v>
      </c>
      <c r="J1987" t="s">
        <v>113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R1987" t="s">
        <v>114</v>
      </c>
      <c r="S1987" t="str">
        <f>"19:07:56.961"</f>
        <v>19:07:56.961</v>
      </c>
      <c r="T1987" t="str">
        <f>"19:07:56.961"</f>
        <v>19:07:56.961</v>
      </c>
      <c r="U1987" t="str">
        <f t="shared" si="94"/>
        <v>a1cdbe</v>
      </c>
      <c r="V1987">
        <v>0</v>
      </c>
      <c r="W1987">
        <v>0</v>
      </c>
      <c r="X1987">
        <v>1</v>
      </c>
      <c r="Y1987">
        <v>0</v>
      </c>
      <c r="Z1987">
        <v>0</v>
      </c>
      <c r="AB1987">
        <v>0</v>
      </c>
      <c r="AC1987">
        <v>9</v>
      </c>
      <c r="AD1987">
        <v>3</v>
      </c>
      <c r="AE1987">
        <v>0</v>
      </c>
      <c r="AF1987">
        <v>9</v>
      </c>
      <c r="AG1987" t="s">
        <v>158</v>
      </c>
      <c r="AH1987">
        <v>0</v>
      </c>
      <c r="AI1987">
        <v>3</v>
      </c>
      <c r="AJ1987">
        <v>1</v>
      </c>
      <c r="AK1987">
        <v>0</v>
      </c>
      <c r="AL1987" t="s">
        <v>3745</v>
      </c>
      <c r="AM1987">
        <v>46.862977000000001</v>
      </c>
      <c r="AN1987" t="s">
        <v>3746</v>
      </c>
      <c r="AO1987">
        <v>-123.024688</v>
      </c>
      <c r="AP1987">
        <v>100</v>
      </c>
      <c r="AQ1987">
        <v>2000</v>
      </c>
      <c r="AR1987" t="s">
        <v>118</v>
      </c>
      <c r="AS1987">
        <v>-77</v>
      </c>
      <c r="AT1987">
        <v>23</v>
      </c>
      <c r="AU1987">
        <v>128</v>
      </c>
      <c r="BC1987">
        <v>1200</v>
      </c>
      <c r="BD1987">
        <v>1</v>
      </c>
      <c r="BE1987" t="str">
        <f t="shared" si="95"/>
        <v xml:space="preserve">N215T   </v>
      </c>
      <c r="BF1987">
        <v>1</v>
      </c>
      <c r="BH1987">
        <v>0</v>
      </c>
      <c r="BI1987">
        <v>0</v>
      </c>
      <c r="BJ1987">
        <v>0</v>
      </c>
      <c r="BK1987">
        <v>2375</v>
      </c>
      <c r="BL1987">
        <v>375</v>
      </c>
      <c r="BM1987" t="s">
        <v>119</v>
      </c>
      <c r="BN1987">
        <v>1</v>
      </c>
      <c r="BO1987">
        <v>1</v>
      </c>
      <c r="BP1987">
        <v>1</v>
      </c>
      <c r="BQ1987">
        <v>0</v>
      </c>
      <c r="BT1987">
        <v>0</v>
      </c>
      <c r="BU1987">
        <v>0</v>
      </c>
      <c r="BV1987">
        <v>0</v>
      </c>
      <c r="CC1987" t="str">
        <f>"19:07:56.969"</f>
        <v>19:07:56.969</v>
      </c>
      <c r="CD1987" t="str">
        <f>"967281269"</f>
        <v>967281269</v>
      </c>
      <c r="CQ1987">
        <v>0</v>
      </c>
      <c r="CR1987">
        <v>2</v>
      </c>
      <c r="CS1987">
        <v>0</v>
      </c>
      <c r="CT1987">
        <v>2</v>
      </c>
      <c r="CU1987">
        <v>0</v>
      </c>
      <c r="CV1987">
        <v>6</v>
      </c>
      <c r="CW1987" t="s">
        <v>120</v>
      </c>
      <c r="CX1987">
        <v>261</v>
      </c>
      <c r="CY1987">
        <v>2</v>
      </c>
      <c r="CZ1987" t="s">
        <v>121</v>
      </c>
      <c r="DA1987" t="s">
        <v>122</v>
      </c>
      <c r="DD1987">
        <v>15439799</v>
      </c>
      <c r="DE1987" t="s">
        <v>123</v>
      </c>
    </row>
    <row r="1988" spans="1:109" x14ac:dyDescent="0.3">
      <c r="A1988" t="str">
        <f>"19:07:58.125"</f>
        <v>19:07:58.125</v>
      </c>
      <c r="B1988" t="s">
        <v>110</v>
      </c>
      <c r="C1988" t="str">
        <f t="shared" si="93"/>
        <v>ffdfd3c0</v>
      </c>
      <c r="D1988" t="s">
        <v>111</v>
      </c>
      <c r="E1988">
        <v>18</v>
      </c>
      <c r="F1988">
        <v>1018</v>
      </c>
      <c r="G1988" t="s">
        <v>112</v>
      </c>
      <c r="J1988" t="s">
        <v>113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R1988" t="s">
        <v>114</v>
      </c>
      <c r="S1988" t="str">
        <f>"19:07:57.891"</f>
        <v>19:07:57.891</v>
      </c>
      <c r="T1988" t="str">
        <f>"19:07:57.891"</f>
        <v>19:07:57.891</v>
      </c>
      <c r="U1988" t="str">
        <f t="shared" si="94"/>
        <v>a1cdbe</v>
      </c>
      <c r="V1988">
        <v>0</v>
      </c>
      <c r="W1988">
        <v>0</v>
      </c>
      <c r="X1988">
        <v>1</v>
      </c>
      <c r="Y1988">
        <v>0</v>
      </c>
      <c r="Z1988">
        <v>0</v>
      </c>
      <c r="AB1988">
        <v>0</v>
      </c>
      <c r="AC1988">
        <v>9</v>
      </c>
      <c r="AD1988">
        <v>3</v>
      </c>
      <c r="AE1988">
        <v>0</v>
      </c>
      <c r="AF1988">
        <v>9</v>
      </c>
      <c r="AG1988" t="s">
        <v>158</v>
      </c>
      <c r="AH1988">
        <v>0</v>
      </c>
      <c r="AI1988">
        <v>3</v>
      </c>
      <c r="AJ1988">
        <v>1</v>
      </c>
      <c r="AK1988">
        <v>0</v>
      </c>
      <c r="AL1988" t="s">
        <v>3747</v>
      </c>
      <c r="AM1988">
        <v>46.863061999999999</v>
      </c>
      <c r="AN1988" t="s">
        <v>3748</v>
      </c>
      <c r="AO1988">
        <v>-123.025181</v>
      </c>
      <c r="AP1988">
        <v>100</v>
      </c>
      <c r="AQ1988">
        <v>2000</v>
      </c>
      <c r="AR1988" t="s">
        <v>118</v>
      </c>
      <c r="AS1988">
        <v>-77</v>
      </c>
      <c r="AT1988">
        <v>23</v>
      </c>
      <c r="AU1988">
        <v>128</v>
      </c>
      <c r="BC1988">
        <v>1200</v>
      </c>
      <c r="BD1988">
        <v>1</v>
      </c>
      <c r="BE1988" t="str">
        <f t="shared" si="95"/>
        <v xml:space="preserve">N215T   </v>
      </c>
      <c r="BF1988">
        <v>1</v>
      </c>
      <c r="BH1988">
        <v>0</v>
      </c>
      <c r="BI1988">
        <v>0</v>
      </c>
      <c r="BJ1988">
        <v>0</v>
      </c>
      <c r="BK1988">
        <v>2375</v>
      </c>
      <c r="BL1988">
        <v>375</v>
      </c>
      <c r="BM1988" t="s">
        <v>119</v>
      </c>
      <c r="BN1988">
        <v>1</v>
      </c>
      <c r="BO1988">
        <v>1</v>
      </c>
      <c r="BP1988">
        <v>1</v>
      </c>
      <c r="BQ1988">
        <v>0</v>
      </c>
      <c r="BT1988">
        <v>0</v>
      </c>
      <c r="BU1988">
        <v>0</v>
      </c>
      <c r="BV1988">
        <v>0</v>
      </c>
      <c r="CC1988" t="str">
        <f>"19:07:57.898"</f>
        <v>19:07:57.898</v>
      </c>
      <c r="CD1988" t="str">
        <f>"897189674"</f>
        <v>897189674</v>
      </c>
      <c r="CQ1988">
        <v>0</v>
      </c>
      <c r="CR1988">
        <v>2</v>
      </c>
      <c r="CS1988">
        <v>0</v>
      </c>
      <c r="CT1988">
        <v>2</v>
      </c>
      <c r="CU1988">
        <v>0</v>
      </c>
      <c r="CV1988">
        <v>7</v>
      </c>
      <c r="CW1988" t="s">
        <v>120</v>
      </c>
      <c r="CX1988">
        <v>261</v>
      </c>
      <c r="CY1988">
        <v>2</v>
      </c>
      <c r="CZ1988" t="s">
        <v>121</v>
      </c>
      <c r="DA1988" t="s">
        <v>122</v>
      </c>
      <c r="DD1988">
        <v>15440440</v>
      </c>
      <c r="DE1988" t="s">
        <v>123</v>
      </c>
    </row>
    <row r="1989" spans="1:109" x14ac:dyDescent="0.3">
      <c r="A1989" t="str">
        <f>"19:07:59.281"</f>
        <v>19:07:59.281</v>
      </c>
      <c r="B1989" t="s">
        <v>110</v>
      </c>
      <c r="C1989" t="str">
        <f t="shared" si="93"/>
        <v>ffdfd3c0</v>
      </c>
      <c r="D1989" t="s">
        <v>111</v>
      </c>
      <c r="E1989">
        <v>18</v>
      </c>
      <c r="F1989">
        <v>1018</v>
      </c>
      <c r="G1989" t="s">
        <v>112</v>
      </c>
      <c r="J1989" t="s">
        <v>113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R1989" t="s">
        <v>114</v>
      </c>
      <c r="S1989" t="str">
        <f>"19:07:59.031"</f>
        <v>19:07:59.031</v>
      </c>
      <c r="T1989" t="str">
        <f>"19:07:58.930"</f>
        <v>19:07:58.930</v>
      </c>
      <c r="U1989" t="str">
        <f t="shared" si="94"/>
        <v>a1cdbe</v>
      </c>
      <c r="V1989">
        <v>0</v>
      </c>
      <c r="W1989">
        <v>0</v>
      </c>
      <c r="X1989">
        <v>1</v>
      </c>
      <c r="Y1989">
        <v>0</v>
      </c>
      <c r="Z1989">
        <v>0</v>
      </c>
      <c r="AB1989">
        <v>0</v>
      </c>
      <c r="AC1989">
        <v>9</v>
      </c>
      <c r="AD1989">
        <v>3</v>
      </c>
      <c r="AE1989">
        <v>0</v>
      </c>
      <c r="AF1989">
        <v>9</v>
      </c>
      <c r="AG1989" t="s">
        <v>158</v>
      </c>
      <c r="AH1989">
        <v>0</v>
      </c>
      <c r="AI1989">
        <v>3</v>
      </c>
      <c r="AJ1989">
        <v>1</v>
      </c>
      <c r="AK1989">
        <v>0</v>
      </c>
      <c r="AL1989" t="s">
        <v>3749</v>
      </c>
      <c r="AM1989">
        <v>46.863169999999997</v>
      </c>
      <c r="AN1989" t="s">
        <v>3750</v>
      </c>
      <c r="AO1989">
        <v>-123.025718</v>
      </c>
      <c r="AP1989">
        <v>100</v>
      </c>
      <c r="AQ1989">
        <v>2000</v>
      </c>
      <c r="AR1989" t="s">
        <v>118</v>
      </c>
      <c r="AS1989">
        <v>-77</v>
      </c>
      <c r="AT1989">
        <v>23</v>
      </c>
      <c r="AU1989">
        <v>128</v>
      </c>
      <c r="BC1989">
        <v>1200</v>
      </c>
      <c r="BD1989">
        <v>1</v>
      </c>
      <c r="BE1989" t="str">
        <f t="shared" si="95"/>
        <v xml:space="preserve">N215T   </v>
      </c>
      <c r="BF1989">
        <v>1</v>
      </c>
      <c r="BH1989">
        <v>0</v>
      </c>
      <c r="BI1989">
        <v>0</v>
      </c>
      <c r="BJ1989">
        <v>0</v>
      </c>
      <c r="BK1989">
        <v>2375</v>
      </c>
      <c r="BL1989">
        <v>375</v>
      </c>
      <c r="BM1989" t="s">
        <v>119</v>
      </c>
      <c r="BN1989">
        <v>1</v>
      </c>
      <c r="BO1989">
        <v>1</v>
      </c>
      <c r="BP1989">
        <v>1</v>
      </c>
      <c r="BQ1989">
        <v>0</v>
      </c>
      <c r="BT1989">
        <v>0</v>
      </c>
      <c r="BU1989">
        <v>0</v>
      </c>
      <c r="BV1989">
        <v>0</v>
      </c>
      <c r="CC1989" t="str">
        <f>"19:07:59.039"</f>
        <v>19:07:59.039</v>
      </c>
      <c r="CD1989" t="str">
        <f>"037077393"</f>
        <v>037077393</v>
      </c>
      <c r="CQ1989">
        <v>0</v>
      </c>
      <c r="CR1989">
        <v>2</v>
      </c>
      <c r="CS1989">
        <v>0</v>
      </c>
      <c r="CT1989">
        <v>2</v>
      </c>
      <c r="CU1989">
        <v>0</v>
      </c>
      <c r="CV1989">
        <v>7</v>
      </c>
      <c r="CW1989" t="s">
        <v>120</v>
      </c>
      <c r="CX1989">
        <v>261</v>
      </c>
      <c r="CY1989">
        <v>2</v>
      </c>
      <c r="CZ1989" t="s">
        <v>121</v>
      </c>
      <c r="DA1989" t="s">
        <v>122</v>
      </c>
      <c r="DD1989">
        <v>15441182</v>
      </c>
      <c r="DE1989" t="s">
        <v>123</v>
      </c>
    </row>
    <row r="1990" spans="1:109" x14ac:dyDescent="0.3">
      <c r="A1990" t="str">
        <f>"19:08:00.281"</f>
        <v>19:08:00.281</v>
      </c>
      <c r="B1990" t="s">
        <v>110</v>
      </c>
      <c r="C1990" t="str">
        <f t="shared" si="93"/>
        <v>ffdfd3c0</v>
      </c>
      <c r="D1990" t="s">
        <v>111</v>
      </c>
      <c r="E1990">
        <v>18</v>
      </c>
      <c r="F1990">
        <v>1018</v>
      </c>
      <c r="G1990" t="s">
        <v>112</v>
      </c>
      <c r="J1990" t="s">
        <v>113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R1990" t="s">
        <v>114</v>
      </c>
      <c r="S1990" t="str">
        <f>"19:08:00.086"</f>
        <v>19:08:00.086</v>
      </c>
      <c r="T1990" t="str">
        <f>"19:08:00.086"</f>
        <v>19:08:00.086</v>
      </c>
      <c r="U1990" t="str">
        <f t="shared" si="94"/>
        <v>a1cdbe</v>
      </c>
      <c r="V1990">
        <v>0</v>
      </c>
      <c r="W1990">
        <v>0</v>
      </c>
      <c r="X1990">
        <v>1</v>
      </c>
      <c r="Y1990">
        <v>0</v>
      </c>
      <c r="Z1990">
        <v>0</v>
      </c>
      <c r="AB1990">
        <v>0</v>
      </c>
      <c r="AC1990">
        <v>9</v>
      </c>
      <c r="AD1990">
        <v>3</v>
      </c>
      <c r="AE1990">
        <v>0</v>
      </c>
      <c r="AF1990">
        <v>9</v>
      </c>
      <c r="AG1990" t="s">
        <v>158</v>
      </c>
      <c r="AH1990">
        <v>0</v>
      </c>
      <c r="AI1990">
        <v>3</v>
      </c>
      <c r="AJ1990">
        <v>1</v>
      </c>
      <c r="AK1990">
        <v>0</v>
      </c>
      <c r="AL1990" t="s">
        <v>3751</v>
      </c>
      <c r="AM1990">
        <v>46.863276999999997</v>
      </c>
      <c r="AN1990" t="s">
        <v>3752</v>
      </c>
      <c r="AO1990">
        <v>-123.026319</v>
      </c>
      <c r="AP1990">
        <v>100</v>
      </c>
      <c r="AQ1990">
        <v>2000</v>
      </c>
      <c r="AR1990" t="s">
        <v>118</v>
      </c>
      <c r="AS1990">
        <v>-77</v>
      </c>
      <c r="AT1990">
        <v>22</v>
      </c>
      <c r="AU1990">
        <v>192</v>
      </c>
      <c r="BC1990">
        <v>1200</v>
      </c>
      <c r="BD1990">
        <v>1</v>
      </c>
      <c r="BE1990" t="str">
        <f t="shared" si="95"/>
        <v xml:space="preserve">N215T   </v>
      </c>
      <c r="BF1990">
        <v>1</v>
      </c>
      <c r="BH1990">
        <v>0</v>
      </c>
      <c r="BI1990">
        <v>0</v>
      </c>
      <c r="BJ1990">
        <v>0</v>
      </c>
      <c r="BK1990">
        <v>2375</v>
      </c>
      <c r="BL1990">
        <v>375</v>
      </c>
      <c r="BM1990" t="s">
        <v>119</v>
      </c>
      <c r="BN1990">
        <v>1</v>
      </c>
      <c r="BO1990">
        <v>1</v>
      </c>
      <c r="BP1990">
        <v>1</v>
      </c>
      <c r="BQ1990">
        <v>0</v>
      </c>
      <c r="BT1990">
        <v>0</v>
      </c>
      <c r="BU1990">
        <v>0</v>
      </c>
      <c r="BV1990">
        <v>0</v>
      </c>
      <c r="CC1990" t="str">
        <f>"19:08:00.086"</f>
        <v>19:08:00.086</v>
      </c>
      <c r="CD1990" t="str">
        <f>"086973984"</f>
        <v>086973984</v>
      </c>
      <c r="CQ1990">
        <v>0</v>
      </c>
      <c r="CR1990">
        <v>2</v>
      </c>
      <c r="CS1990">
        <v>0</v>
      </c>
      <c r="CT1990">
        <v>2</v>
      </c>
      <c r="CU1990">
        <v>0</v>
      </c>
      <c r="CV1990">
        <v>7</v>
      </c>
      <c r="CW1990" t="s">
        <v>120</v>
      </c>
      <c r="CX1990">
        <v>261</v>
      </c>
      <c r="CY1990">
        <v>2</v>
      </c>
      <c r="CZ1990" t="s">
        <v>121</v>
      </c>
      <c r="DA1990" t="s">
        <v>122</v>
      </c>
      <c r="DD1990">
        <v>15441871</v>
      </c>
      <c r="DE1990" t="s">
        <v>123</v>
      </c>
    </row>
    <row r="1991" spans="1:109" x14ac:dyDescent="0.3">
      <c r="A1991" t="str">
        <f>"19:08:01.398"</f>
        <v>19:08:01.398</v>
      </c>
      <c r="B1991" t="s">
        <v>110</v>
      </c>
      <c r="C1991" t="str">
        <f t="shared" si="93"/>
        <v>ffdfd3c0</v>
      </c>
      <c r="D1991" t="s">
        <v>111</v>
      </c>
      <c r="E1991">
        <v>18</v>
      </c>
      <c r="F1991">
        <v>1018</v>
      </c>
      <c r="G1991" t="s">
        <v>112</v>
      </c>
      <c r="J1991" t="s">
        <v>113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R1991" t="s">
        <v>114</v>
      </c>
      <c r="S1991" t="str">
        <f>"19:08:01.148"</f>
        <v>19:08:01.148</v>
      </c>
      <c r="T1991" t="str">
        <f>"19:08:00.945"</f>
        <v>19:08:00.945</v>
      </c>
      <c r="U1991" t="str">
        <f t="shared" si="94"/>
        <v>a1cdbe</v>
      </c>
      <c r="V1991">
        <v>0</v>
      </c>
      <c r="W1991">
        <v>0</v>
      </c>
      <c r="X1991">
        <v>1</v>
      </c>
      <c r="Y1991">
        <v>0</v>
      </c>
      <c r="Z1991">
        <v>0</v>
      </c>
      <c r="AB1991">
        <v>0</v>
      </c>
      <c r="AC1991">
        <v>9</v>
      </c>
      <c r="AD1991">
        <v>3</v>
      </c>
      <c r="AE1991">
        <v>0</v>
      </c>
      <c r="AF1991">
        <v>9</v>
      </c>
      <c r="AG1991" t="s">
        <v>158</v>
      </c>
      <c r="AH1991">
        <v>0</v>
      </c>
      <c r="AI1991">
        <v>3</v>
      </c>
      <c r="AJ1991">
        <v>1</v>
      </c>
      <c r="AK1991">
        <v>0</v>
      </c>
      <c r="AL1991" t="s">
        <v>3753</v>
      </c>
      <c r="AM1991">
        <v>46.863384000000003</v>
      </c>
      <c r="AN1991" t="s">
        <v>3754</v>
      </c>
      <c r="AO1991">
        <v>-123.02683399999999</v>
      </c>
      <c r="AP1991">
        <v>100</v>
      </c>
      <c r="AQ1991">
        <v>2000</v>
      </c>
      <c r="AR1991" t="s">
        <v>118</v>
      </c>
      <c r="AS1991">
        <v>-77</v>
      </c>
      <c r="AT1991">
        <v>22</v>
      </c>
      <c r="AU1991">
        <v>192</v>
      </c>
      <c r="BC1991">
        <v>1200</v>
      </c>
      <c r="BD1991">
        <v>1</v>
      </c>
      <c r="BE1991" t="str">
        <f t="shared" si="95"/>
        <v xml:space="preserve">N215T   </v>
      </c>
      <c r="BF1991">
        <v>1</v>
      </c>
      <c r="BH1991">
        <v>0</v>
      </c>
      <c r="BI1991">
        <v>0</v>
      </c>
      <c r="BJ1991">
        <v>0</v>
      </c>
      <c r="BK1991">
        <v>2375</v>
      </c>
      <c r="BL1991">
        <v>375</v>
      </c>
      <c r="BM1991" t="s">
        <v>119</v>
      </c>
      <c r="BN1991">
        <v>1</v>
      </c>
      <c r="BO1991">
        <v>1</v>
      </c>
      <c r="BP1991">
        <v>1</v>
      </c>
      <c r="BQ1991">
        <v>0</v>
      </c>
      <c r="BT1991">
        <v>0</v>
      </c>
      <c r="BU1991">
        <v>0</v>
      </c>
      <c r="BV1991">
        <v>0</v>
      </c>
      <c r="CC1991" t="str">
        <f>"19:08:01.148"</f>
        <v>19:08:01.148</v>
      </c>
      <c r="CD1991" t="str">
        <f>"151869084"</f>
        <v>151869084</v>
      </c>
      <c r="CQ1991">
        <v>0</v>
      </c>
      <c r="CR1991">
        <v>2</v>
      </c>
      <c r="CS1991">
        <v>0</v>
      </c>
      <c r="CT1991">
        <v>2</v>
      </c>
      <c r="CU1991">
        <v>0</v>
      </c>
      <c r="CV1991">
        <v>7</v>
      </c>
      <c r="CW1991" t="s">
        <v>120</v>
      </c>
      <c r="CX1991">
        <v>261</v>
      </c>
      <c r="CY1991">
        <v>2</v>
      </c>
      <c r="CZ1991" t="s">
        <v>121</v>
      </c>
      <c r="DA1991" t="s">
        <v>122</v>
      </c>
      <c r="DD1991">
        <v>15442595</v>
      </c>
      <c r="DE1991" t="s">
        <v>123</v>
      </c>
    </row>
    <row r="1992" spans="1:109" x14ac:dyDescent="0.3">
      <c r="A1992" t="str">
        <f>"19:08:02.344"</f>
        <v>19:08:02.344</v>
      </c>
      <c r="B1992" t="s">
        <v>110</v>
      </c>
      <c r="C1992" t="str">
        <f t="shared" si="93"/>
        <v>ffdfd3c0</v>
      </c>
      <c r="D1992" t="s">
        <v>111</v>
      </c>
      <c r="E1992">
        <v>18</v>
      </c>
      <c r="F1992">
        <v>1018</v>
      </c>
      <c r="G1992" t="s">
        <v>112</v>
      </c>
      <c r="J1992" t="s">
        <v>113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R1992" t="s">
        <v>114</v>
      </c>
      <c r="S1992" t="str">
        <f>"19:08:02.094"</f>
        <v>19:08:02.094</v>
      </c>
      <c r="T1992" t="str">
        <f>"19:08:01.594"</f>
        <v>19:08:01.594</v>
      </c>
      <c r="U1992" t="str">
        <f t="shared" si="94"/>
        <v>a1cdbe</v>
      </c>
      <c r="V1992">
        <v>0</v>
      </c>
      <c r="W1992">
        <v>0</v>
      </c>
      <c r="X1992">
        <v>1</v>
      </c>
      <c r="Y1992">
        <v>0</v>
      </c>
      <c r="Z1992">
        <v>0</v>
      </c>
      <c r="AB1992">
        <v>0</v>
      </c>
      <c r="AC1992">
        <v>9</v>
      </c>
      <c r="AD1992">
        <v>3</v>
      </c>
      <c r="AE1992">
        <v>0</v>
      </c>
      <c r="AF1992">
        <v>9</v>
      </c>
      <c r="AG1992" t="s">
        <v>158</v>
      </c>
      <c r="AH1992">
        <v>0</v>
      </c>
      <c r="AI1992">
        <v>3</v>
      </c>
      <c r="AJ1992">
        <v>1</v>
      </c>
      <c r="AK1992">
        <v>0</v>
      </c>
      <c r="AL1992" t="s">
        <v>3755</v>
      </c>
      <c r="AM1992">
        <v>46.863512999999998</v>
      </c>
      <c r="AN1992" t="s">
        <v>3756</v>
      </c>
      <c r="AO1992">
        <v>-123.027306</v>
      </c>
      <c r="AP1992">
        <v>100</v>
      </c>
      <c r="AQ1992">
        <v>2000</v>
      </c>
      <c r="AR1992" t="s">
        <v>118</v>
      </c>
      <c r="AS1992">
        <v>-77</v>
      </c>
      <c r="AT1992">
        <v>22</v>
      </c>
      <c r="AU1992">
        <v>192</v>
      </c>
      <c r="BC1992">
        <v>1200</v>
      </c>
      <c r="BD1992">
        <v>1</v>
      </c>
      <c r="BE1992" t="str">
        <f t="shared" si="95"/>
        <v xml:space="preserve">N215T   </v>
      </c>
      <c r="BF1992">
        <v>1</v>
      </c>
      <c r="BH1992">
        <v>0</v>
      </c>
      <c r="BI1992">
        <v>0</v>
      </c>
      <c r="BJ1992">
        <v>0</v>
      </c>
      <c r="BK1992">
        <v>2400</v>
      </c>
      <c r="BL1992">
        <v>400</v>
      </c>
      <c r="BM1992" t="s">
        <v>119</v>
      </c>
      <c r="BN1992">
        <v>1</v>
      </c>
      <c r="BO1992">
        <v>1</v>
      </c>
      <c r="BP1992">
        <v>1</v>
      </c>
      <c r="BQ1992">
        <v>0</v>
      </c>
      <c r="BT1992">
        <v>0</v>
      </c>
      <c r="BU1992">
        <v>0</v>
      </c>
      <c r="BV1992">
        <v>0</v>
      </c>
      <c r="CC1992" t="str">
        <f>"19:08:02.094"</f>
        <v>19:08:02.094</v>
      </c>
      <c r="CD1992" t="str">
        <f>"096776001"</f>
        <v>096776001</v>
      </c>
      <c r="CQ1992">
        <v>0</v>
      </c>
      <c r="CR1992">
        <v>2</v>
      </c>
      <c r="CS1992">
        <v>0</v>
      </c>
      <c r="CT1992">
        <v>2</v>
      </c>
      <c r="CU1992">
        <v>0</v>
      </c>
      <c r="CV1992">
        <v>7</v>
      </c>
      <c r="CW1992" t="s">
        <v>120</v>
      </c>
      <c r="CX1992">
        <v>261</v>
      </c>
      <c r="CY1992">
        <v>2</v>
      </c>
      <c r="CZ1992" t="s">
        <v>121</v>
      </c>
      <c r="DA1992" t="s">
        <v>122</v>
      </c>
      <c r="DD1992">
        <v>15443236</v>
      </c>
      <c r="DE1992" t="s">
        <v>123</v>
      </c>
    </row>
    <row r="1993" spans="1:109" x14ac:dyDescent="0.3">
      <c r="A1993" t="str">
        <f>"19:08:03.398"</f>
        <v>19:08:03.398</v>
      </c>
      <c r="B1993" t="s">
        <v>110</v>
      </c>
      <c r="C1993" t="str">
        <f t="shared" si="93"/>
        <v>ffdfd3c0</v>
      </c>
      <c r="D1993" t="s">
        <v>111</v>
      </c>
      <c r="E1993">
        <v>18</v>
      </c>
      <c r="F1993">
        <v>1018</v>
      </c>
      <c r="G1993" t="s">
        <v>112</v>
      </c>
      <c r="J1993" t="s">
        <v>113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R1993" t="s">
        <v>114</v>
      </c>
      <c r="S1993" t="str">
        <f>"19:08:03.203"</f>
        <v>19:08:03.203</v>
      </c>
      <c r="T1993" t="str">
        <f>"19:08:03.203"</f>
        <v>19:08:03.203</v>
      </c>
      <c r="U1993" t="str">
        <f t="shared" si="94"/>
        <v>a1cdbe</v>
      </c>
      <c r="V1993">
        <v>0</v>
      </c>
      <c r="W1993">
        <v>0</v>
      </c>
      <c r="X1993">
        <v>1</v>
      </c>
      <c r="Y1993">
        <v>0</v>
      </c>
      <c r="Z1993">
        <v>0</v>
      </c>
      <c r="AB1993">
        <v>0</v>
      </c>
      <c r="AC1993">
        <v>9</v>
      </c>
      <c r="AD1993">
        <v>3</v>
      </c>
      <c r="AE1993">
        <v>0</v>
      </c>
      <c r="AF1993">
        <v>9</v>
      </c>
      <c r="AG1993" t="s">
        <v>158</v>
      </c>
      <c r="AH1993">
        <v>0</v>
      </c>
      <c r="AI1993">
        <v>3</v>
      </c>
      <c r="AJ1993">
        <v>1</v>
      </c>
      <c r="AK1993">
        <v>0</v>
      </c>
      <c r="AL1993" t="s">
        <v>3757</v>
      </c>
      <c r="AM1993">
        <v>46.863599000000001</v>
      </c>
      <c r="AN1993" t="s">
        <v>3758</v>
      </c>
      <c r="AO1993">
        <v>-123.027906</v>
      </c>
      <c r="AP1993">
        <v>100</v>
      </c>
      <c r="AQ1993">
        <v>2000</v>
      </c>
      <c r="AR1993" t="s">
        <v>118</v>
      </c>
      <c r="AS1993">
        <v>-77</v>
      </c>
      <c r="AT1993">
        <v>21</v>
      </c>
      <c r="AU1993">
        <v>192</v>
      </c>
      <c r="BC1993">
        <v>1200</v>
      </c>
      <c r="BD1993">
        <v>1</v>
      </c>
      <c r="BE1993" t="str">
        <f t="shared" si="95"/>
        <v xml:space="preserve">N215T   </v>
      </c>
      <c r="BF1993">
        <v>1</v>
      </c>
      <c r="BH1993">
        <v>0</v>
      </c>
      <c r="BI1993">
        <v>0</v>
      </c>
      <c r="BJ1993">
        <v>0</v>
      </c>
      <c r="BK1993">
        <v>2400</v>
      </c>
      <c r="BL1993">
        <v>400</v>
      </c>
      <c r="BM1993" t="s">
        <v>119</v>
      </c>
      <c r="BN1993">
        <v>1</v>
      </c>
      <c r="BO1993">
        <v>1</v>
      </c>
      <c r="BP1993">
        <v>1</v>
      </c>
      <c r="BQ1993">
        <v>0</v>
      </c>
      <c r="BT1993">
        <v>0</v>
      </c>
      <c r="BU1993">
        <v>0</v>
      </c>
      <c r="BV1993">
        <v>0</v>
      </c>
      <c r="CC1993" t="str">
        <f>"19:08:03.203"</f>
        <v>19:08:03.203</v>
      </c>
      <c r="CD1993" t="str">
        <f>"206666685"</f>
        <v>206666685</v>
      </c>
      <c r="CQ1993">
        <v>0</v>
      </c>
      <c r="CR1993">
        <v>2</v>
      </c>
      <c r="CS1993">
        <v>0</v>
      </c>
      <c r="CT1993">
        <v>2</v>
      </c>
      <c r="CU1993">
        <v>0</v>
      </c>
      <c r="CV1993">
        <v>7</v>
      </c>
      <c r="CW1993" t="s">
        <v>120</v>
      </c>
      <c r="CX1993">
        <v>261</v>
      </c>
      <c r="CY1993">
        <v>2</v>
      </c>
      <c r="CZ1993" t="s">
        <v>121</v>
      </c>
      <c r="DA1993" t="s">
        <v>122</v>
      </c>
      <c r="DD1993">
        <v>15443971</v>
      </c>
      <c r="DE1993" t="s">
        <v>123</v>
      </c>
    </row>
    <row r="1994" spans="1:109" x14ac:dyDescent="0.3">
      <c r="A1994" t="str">
        <f>"19:08:04.461"</f>
        <v>19:08:04.461</v>
      </c>
      <c r="B1994" t="s">
        <v>110</v>
      </c>
      <c r="C1994" t="str">
        <f t="shared" si="93"/>
        <v>ffdfd3c0</v>
      </c>
      <c r="D1994" t="s">
        <v>111</v>
      </c>
      <c r="E1994">
        <v>18</v>
      </c>
      <c r="F1994">
        <v>1018</v>
      </c>
      <c r="G1994" t="s">
        <v>112</v>
      </c>
      <c r="J1994" t="s">
        <v>113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R1994" t="s">
        <v>114</v>
      </c>
      <c r="S1994" t="str">
        <f>"19:08:04.227"</f>
        <v>19:08:04.227</v>
      </c>
      <c r="T1994" t="str">
        <f>"19:08:04.125"</f>
        <v>19:08:04.125</v>
      </c>
      <c r="U1994" t="str">
        <f t="shared" si="94"/>
        <v>a1cdbe</v>
      </c>
      <c r="V1994">
        <v>0</v>
      </c>
      <c r="W1994">
        <v>0</v>
      </c>
      <c r="X1994">
        <v>1</v>
      </c>
      <c r="Y1994">
        <v>0</v>
      </c>
      <c r="Z1994">
        <v>0</v>
      </c>
      <c r="AB1994">
        <v>0</v>
      </c>
      <c r="AC1994">
        <v>9</v>
      </c>
      <c r="AD1994">
        <v>3</v>
      </c>
      <c r="AE1994">
        <v>0</v>
      </c>
      <c r="AF1994">
        <v>9</v>
      </c>
      <c r="AG1994" t="s">
        <v>158</v>
      </c>
      <c r="AH1994">
        <v>0</v>
      </c>
      <c r="AI1994">
        <v>3</v>
      </c>
      <c r="AJ1994">
        <v>1</v>
      </c>
      <c r="AK1994">
        <v>0</v>
      </c>
      <c r="AL1994" t="s">
        <v>3759</v>
      </c>
      <c r="AM1994">
        <v>46.863728000000002</v>
      </c>
      <c r="AN1994" t="s">
        <v>3760</v>
      </c>
      <c r="AO1994">
        <v>-123.0284</v>
      </c>
      <c r="AP1994">
        <v>100</v>
      </c>
      <c r="AQ1994">
        <v>2000</v>
      </c>
      <c r="AR1994" t="s">
        <v>118</v>
      </c>
      <c r="AS1994">
        <v>-77</v>
      </c>
      <c r="AT1994">
        <v>21</v>
      </c>
      <c r="AU1994">
        <v>192</v>
      </c>
      <c r="BC1994">
        <v>1200</v>
      </c>
      <c r="BD1994">
        <v>1</v>
      </c>
      <c r="BE1994" t="str">
        <f t="shared" si="95"/>
        <v xml:space="preserve">N215T   </v>
      </c>
      <c r="BF1994">
        <v>1</v>
      </c>
      <c r="BH1994">
        <v>0</v>
      </c>
      <c r="BI1994">
        <v>0</v>
      </c>
      <c r="BJ1994">
        <v>0</v>
      </c>
      <c r="BK1994">
        <v>2400</v>
      </c>
      <c r="BL1994">
        <v>400</v>
      </c>
      <c r="BM1994" t="s">
        <v>119</v>
      </c>
      <c r="BN1994">
        <v>1</v>
      </c>
      <c r="BO1994">
        <v>1</v>
      </c>
      <c r="BP1994">
        <v>1</v>
      </c>
      <c r="BQ1994">
        <v>0</v>
      </c>
      <c r="BT1994">
        <v>0</v>
      </c>
      <c r="BU1994">
        <v>0</v>
      </c>
      <c r="BV1994">
        <v>0</v>
      </c>
      <c r="CC1994" t="str">
        <f>"19:08:04.227"</f>
        <v>19:08:04.227</v>
      </c>
      <c r="CD1994" t="str">
        <f>"226566219"</f>
        <v>226566219</v>
      </c>
      <c r="CQ1994">
        <v>0</v>
      </c>
      <c r="CR1994">
        <v>2</v>
      </c>
      <c r="CS1994">
        <v>0</v>
      </c>
      <c r="CT1994">
        <v>2</v>
      </c>
      <c r="CU1994">
        <v>0</v>
      </c>
      <c r="CV1994">
        <v>7</v>
      </c>
      <c r="CW1994" t="s">
        <v>120</v>
      </c>
      <c r="CX1994">
        <v>261</v>
      </c>
      <c r="CY1994">
        <v>2</v>
      </c>
      <c r="CZ1994" t="s">
        <v>121</v>
      </c>
      <c r="DA1994" t="s">
        <v>122</v>
      </c>
      <c r="DD1994">
        <v>15444654</v>
      </c>
      <c r="DE1994" t="s">
        <v>123</v>
      </c>
    </row>
    <row r="1995" spans="1:109" x14ac:dyDescent="0.3">
      <c r="A1995" t="str">
        <f>"19:08:05.266"</f>
        <v>19:08:05.266</v>
      </c>
      <c r="B1995" t="s">
        <v>110</v>
      </c>
      <c r="C1995" t="str">
        <f t="shared" si="93"/>
        <v>ffdfd3c0</v>
      </c>
      <c r="D1995" t="s">
        <v>111</v>
      </c>
      <c r="E1995">
        <v>18</v>
      </c>
      <c r="F1995">
        <v>1018</v>
      </c>
      <c r="G1995" t="s">
        <v>112</v>
      </c>
      <c r="J1995" t="s">
        <v>113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R1995" t="s">
        <v>114</v>
      </c>
      <c r="S1995" t="str">
        <f>"19:08:05.047"</f>
        <v>19:08:05.047</v>
      </c>
      <c r="T1995" t="str">
        <f>"19:08:05.047"</f>
        <v>19:08:05.047</v>
      </c>
      <c r="U1995" t="str">
        <f t="shared" si="94"/>
        <v>a1cdbe</v>
      </c>
      <c r="V1995">
        <v>0</v>
      </c>
      <c r="W1995">
        <v>0</v>
      </c>
      <c r="X1995">
        <v>1</v>
      </c>
      <c r="Y1995">
        <v>0</v>
      </c>
      <c r="Z1995">
        <v>0</v>
      </c>
      <c r="AB1995">
        <v>0</v>
      </c>
      <c r="AC1995">
        <v>9</v>
      </c>
      <c r="AD1995">
        <v>3</v>
      </c>
      <c r="AE1995">
        <v>0</v>
      </c>
      <c r="AF1995">
        <v>9</v>
      </c>
      <c r="AG1995" t="s">
        <v>158</v>
      </c>
      <c r="AH1995">
        <v>0</v>
      </c>
      <c r="AI1995">
        <v>3</v>
      </c>
      <c r="AJ1995">
        <v>1</v>
      </c>
      <c r="AK1995">
        <v>0</v>
      </c>
      <c r="AL1995" t="s">
        <v>3761</v>
      </c>
      <c r="AM1995">
        <v>46.863770000000002</v>
      </c>
      <c r="AN1995" t="s">
        <v>3762</v>
      </c>
      <c r="AO1995">
        <v>-123.028893</v>
      </c>
      <c r="AP1995">
        <v>100</v>
      </c>
      <c r="AQ1995">
        <v>2000</v>
      </c>
      <c r="AR1995" t="s">
        <v>118</v>
      </c>
      <c r="AS1995">
        <v>-77</v>
      </c>
      <c r="AT1995">
        <v>21</v>
      </c>
      <c r="AU1995">
        <v>192</v>
      </c>
      <c r="BC1995">
        <v>1200</v>
      </c>
      <c r="BD1995">
        <v>1</v>
      </c>
      <c r="BE1995" t="str">
        <f t="shared" si="95"/>
        <v xml:space="preserve">N215T   </v>
      </c>
      <c r="BF1995">
        <v>1</v>
      </c>
      <c r="BH1995">
        <v>0</v>
      </c>
      <c r="BI1995">
        <v>0</v>
      </c>
      <c r="BJ1995">
        <v>0</v>
      </c>
      <c r="BK1995">
        <v>2400</v>
      </c>
      <c r="BL1995">
        <v>400</v>
      </c>
      <c r="BM1995" t="s">
        <v>119</v>
      </c>
      <c r="BN1995">
        <v>1</v>
      </c>
      <c r="BO1995">
        <v>1</v>
      </c>
      <c r="BP1995">
        <v>1</v>
      </c>
      <c r="BQ1995">
        <v>0</v>
      </c>
      <c r="BT1995">
        <v>0</v>
      </c>
      <c r="BU1995">
        <v>0</v>
      </c>
      <c r="BV1995">
        <v>0</v>
      </c>
      <c r="CC1995" t="str">
        <f>"19:08:05.055"</f>
        <v>19:08:05.055</v>
      </c>
      <c r="CD1995" t="str">
        <f>"051484963"</f>
        <v>051484963</v>
      </c>
      <c r="CQ1995">
        <v>0</v>
      </c>
      <c r="CR1995">
        <v>2</v>
      </c>
      <c r="CS1995">
        <v>0</v>
      </c>
      <c r="CT1995">
        <v>2</v>
      </c>
      <c r="CU1995">
        <v>0</v>
      </c>
      <c r="CV1995">
        <v>7</v>
      </c>
      <c r="CW1995" t="s">
        <v>120</v>
      </c>
      <c r="CX1995">
        <v>261</v>
      </c>
      <c r="CY1995">
        <v>2</v>
      </c>
      <c r="CZ1995" t="s">
        <v>121</v>
      </c>
      <c r="DA1995" t="s">
        <v>122</v>
      </c>
      <c r="DD1995">
        <v>15445220</v>
      </c>
      <c r="DE1995" t="s">
        <v>123</v>
      </c>
    </row>
    <row r="1996" spans="1:109" x14ac:dyDescent="0.3">
      <c r="A1996" t="str">
        <f>"19:08:06.219"</f>
        <v>19:08:06.219</v>
      </c>
      <c r="B1996" t="s">
        <v>110</v>
      </c>
      <c r="C1996" t="str">
        <f t="shared" si="93"/>
        <v>ffdfd3c0</v>
      </c>
      <c r="D1996" t="s">
        <v>111</v>
      </c>
      <c r="E1996">
        <v>18</v>
      </c>
      <c r="F1996">
        <v>1018</v>
      </c>
      <c r="G1996" t="s">
        <v>112</v>
      </c>
      <c r="J1996" t="s">
        <v>113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R1996" t="s">
        <v>114</v>
      </c>
      <c r="S1996" t="str">
        <f>"19:08:06.023"</f>
        <v>19:08:06.023</v>
      </c>
      <c r="T1996" t="str">
        <f>"19:08:05.625"</f>
        <v>19:08:05.625</v>
      </c>
      <c r="U1996" t="str">
        <f t="shared" si="94"/>
        <v>a1cdbe</v>
      </c>
      <c r="V1996">
        <v>0</v>
      </c>
      <c r="W1996">
        <v>0</v>
      </c>
      <c r="X1996">
        <v>1</v>
      </c>
      <c r="Y1996">
        <v>0</v>
      </c>
      <c r="Z1996">
        <v>0</v>
      </c>
      <c r="AB1996">
        <v>0</v>
      </c>
      <c r="AC1996">
        <v>9</v>
      </c>
      <c r="AD1996">
        <v>3</v>
      </c>
      <c r="AE1996">
        <v>0</v>
      </c>
      <c r="AF1996">
        <v>9</v>
      </c>
      <c r="AG1996" t="s">
        <v>158</v>
      </c>
      <c r="AH1996">
        <v>0</v>
      </c>
      <c r="AI1996">
        <v>3</v>
      </c>
      <c r="AJ1996">
        <v>1</v>
      </c>
      <c r="AK1996">
        <v>0</v>
      </c>
      <c r="AL1996" t="s">
        <v>3763</v>
      </c>
      <c r="AM1996">
        <v>46.863878</v>
      </c>
      <c r="AN1996" t="s">
        <v>3764</v>
      </c>
      <c r="AO1996">
        <v>-123.029387</v>
      </c>
      <c r="AP1996">
        <v>100</v>
      </c>
      <c r="AQ1996">
        <v>2000</v>
      </c>
      <c r="AR1996" t="s">
        <v>118</v>
      </c>
      <c r="AS1996">
        <v>-77</v>
      </c>
      <c r="AT1996">
        <v>21</v>
      </c>
      <c r="AU1996">
        <v>128</v>
      </c>
      <c r="BC1996">
        <v>1200</v>
      </c>
      <c r="BD1996">
        <v>1</v>
      </c>
      <c r="BE1996" t="str">
        <f t="shared" si="95"/>
        <v xml:space="preserve">N215T   </v>
      </c>
      <c r="BF1996">
        <v>1</v>
      </c>
      <c r="BH1996">
        <v>0</v>
      </c>
      <c r="BI1996">
        <v>0</v>
      </c>
      <c r="BJ1996">
        <v>0</v>
      </c>
      <c r="BK1996">
        <v>2400</v>
      </c>
      <c r="BL1996">
        <v>400</v>
      </c>
      <c r="BM1996" t="s">
        <v>119</v>
      </c>
      <c r="BN1996">
        <v>1</v>
      </c>
      <c r="BO1996">
        <v>1</v>
      </c>
      <c r="BP1996">
        <v>1</v>
      </c>
      <c r="BQ1996">
        <v>0</v>
      </c>
      <c r="BT1996">
        <v>0</v>
      </c>
      <c r="BU1996">
        <v>0</v>
      </c>
      <c r="BV1996">
        <v>0</v>
      </c>
      <c r="CC1996" t="str">
        <f>"19:08:06.023"</f>
        <v>19:08:06.023</v>
      </c>
      <c r="CD1996" t="str">
        <f>"026388939"</f>
        <v>026388939</v>
      </c>
      <c r="CQ1996">
        <v>0</v>
      </c>
      <c r="CR1996">
        <v>2</v>
      </c>
      <c r="CS1996">
        <v>0</v>
      </c>
      <c r="CT1996">
        <v>2</v>
      </c>
      <c r="CU1996">
        <v>0</v>
      </c>
      <c r="CV1996">
        <v>7</v>
      </c>
      <c r="CW1996" t="s">
        <v>120</v>
      </c>
      <c r="CX1996">
        <v>261</v>
      </c>
      <c r="CY1996">
        <v>2</v>
      </c>
      <c r="CZ1996" t="s">
        <v>121</v>
      </c>
      <c r="DA1996" t="s">
        <v>122</v>
      </c>
      <c r="DD1996">
        <v>15445883</v>
      </c>
      <c r="DE1996" t="s">
        <v>123</v>
      </c>
    </row>
    <row r="1997" spans="1:109" x14ac:dyDescent="0.3">
      <c r="A1997" t="str">
        <f>"19:08:07.172"</f>
        <v>19:08:07.172</v>
      </c>
      <c r="B1997" t="s">
        <v>110</v>
      </c>
      <c r="C1997" t="str">
        <f t="shared" si="93"/>
        <v>ffdfd3c0</v>
      </c>
      <c r="D1997" t="s">
        <v>111</v>
      </c>
      <c r="E1997">
        <v>18</v>
      </c>
      <c r="F1997">
        <v>1018</v>
      </c>
      <c r="G1997" t="s">
        <v>112</v>
      </c>
      <c r="J1997" t="s">
        <v>113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R1997" t="s">
        <v>114</v>
      </c>
      <c r="S1997" t="str">
        <f>"19:08:06.953"</f>
        <v>19:08:06.953</v>
      </c>
      <c r="T1997" t="str">
        <f>"19:08:06.555"</f>
        <v>19:08:06.555</v>
      </c>
      <c r="U1997" t="str">
        <f t="shared" si="94"/>
        <v>a1cdbe</v>
      </c>
      <c r="V1997">
        <v>0</v>
      </c>
      <c r="W1997">
        <v>0</v>
      </c>
      <c r="X1997">
        <v>1</v>
      </c>
      <c r="Y1997">
        <v>0</v>
      </c>
      <c r="Z1997">
        <v>0</v>
      </c>
      <c r="AB1997">
        <v>0</v>
      </c>
      <c r="AC1997">
        <v>9</v>
      </c>
      <c r="AD1997">
        <v>3</v>
      </c>
      <c r="AE1997">
        <v>0</v>
      </c>
      <c r="AF1997">
        <v>9</v>
      </c>
      <c r="AG1997" t="s">
        <v>158</v>
      </c>
      <c r="AH1997">
        <v>0</v>
      </c>
      <c r="AI1997">
        <v>3</v>
      </c>
      <c r="AJ1997">
        <v>1</v>
      </c>
      <c r="AK1997">
        <v>0</v>
      </c>
      <c r="AL1997" t="s">
        <v>1678</v>
      </c>
      <c r="AM1997">
        <v>46.863942000000002</v>
      </c>
      <c r="AN1997" t="s">
        <v>3765</v>
      </c>
      <c r="AO1997">
        <v>-123.029838</v>
      </c>
      <c r="AP1997">
        <v>100</v>
      </c>
      <c r="AQ1997">
        <v>2000</v>
      </c>
      <c r="AR1997" t="s">
        <v>118</v>
      </c>
      <c r="AS1997">
        <v>-77</v>
      </c>
      <c r="AT1997">
        <v>21</v>
      </c>
      <c r="AU1997">
        <v>128</v>
      </c>
      <c r="BC1997">
        <v>1200</v>
      </c>
      <c r="BD1997">
        <v>1</v>
      </c>
      <c r="BE1997" t="str">
        <f t="shared" si="95"/>
        <v xml:space="preserve">N215T   </v>
      </c>
      <c r="BF1997">
        <v>1</v>
      </c>
      <c r="BH1997">
        <v>0</v>
      </c>
      <c r="BI1997">
        <v>0</v>
      </c>
      <c r="BJ1997">
        <v>0</v>
      </c>
      <c r="BK1997">
        <v>2400</v>
      </c>
      <c r="BL1997">
        <v>400</v>
      </c>
      <c r="BM1997" t="s">
        <v>119</v>
      </c>
      <c r="BN1997">
        <v>1</v>
      </c>
      <c r="BO1997">
        <v>1</v>
      </c>
      <c r="BP1997">
        <v>1</v>
      </c>
      <c r="BQ1997">
        <v>0</v>
      </c>
      <c r="BT1997">
        <v>0</v>
      </c>
      <c r="BU1997">
        <v>0</v>
      </c>
      <c r="BV1997">
        <v>0</v>
      </c>
      <c r="CC1997" t="str">
        <f>"19:08:06.953"</f>
        <v>19:08:06.953</v>
      </c>
      <c r="CD1997" t="str">
        <f>"956297342"</f>
        <v>956297342</v>
      </c>
      <c r="CQ1997">
        <v>0</v>
      </c>
      <c r="CR1997">
        <v>2</v>
      </c>
      <c r="CS1997">
        <v>0</v>
      </c>
      <c r="CT1997">
        <v>2</v>
      </c>
      <c r="CU1997">
        <v>0</v>
      </c>
      <c r="CV1997">
        <v>7</v>
      </c>
      <c r="CW1997" t="s">
        <v>120</v>
      </c>
      <c r="CX1997">
        <v>261</v>
      </c>
      <c r="CY1997">
        <v>2</v>
      </c>
      <c r="CZ1997" t="s">
        <v>121</v>
      </c>
      <c r="DA1997" t="s">
        <v>122</v>
      </c>
      <c r="DD1997">
        <v>15446530</v>
      </c>
      <c r="DE1997" t="s">
        <v>123</v>
      </c>
    </row>
    <row r="1998" spans="1:109" x14ac:dyDescent="0.3">
      <c r="A1998" t="str">
        <f>"19:08:08.227"</f>
        <v>19:08:08.227</v>
      </c>
      <c r="B1998" t="s">
        <v>110</v>
      </c>
      <c r="C1998" t="str">
        <f t="shared" si="93"/>
        <v>ffdfd3c0</v>
      </c>
      <c r="D1998" t="s">
        <v>111</v>
      </c>
      <c r="E1998">
        <v>18</v>
      </c>
      <c r="F1998">
        <v>1018</v>
      </c>
      <c r="G1998" t="s">
        <v>112</v>
      </c>
      <c r="J1998" t="s">
        <v>113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R1998" t="s">
        <v>114</v>
      </c>
      <c r="S1998" t="str">
        <f>"19:08:07.969"</f>
        <v>19:08:07.969</v>
      </c>
      <c r="T1998" t="str">
        <f>"19:08:07.672"</f>
        <v>19:08:07.672</v>
      </c>
      <c r="U1998" t="str">
        <f t="shared" si="94"/>
        <v>a1cdbe</v>
      </c>
      <c r="V1998">
        <v>0</v>
      </c>
      <c r="W1998">
        <v>0</v>
      </c>
      <c r="X1998">
        <v>1</v>
      </c>
      <c r="Y1998">
        <v>0</v>
      </c>
      <c r="Z1998">
        <v>0</v>
      </c>
      <c r="AB1998">
        <v>0</v>
      </c>
      <c r="AC1998">
        <v>9</v>
      </c>
      <c r="AD1998">
        <v>3</v>
      </c>
      <c r="AE1998">
        <v>0</v>
      </c>
      <c r="AF1998">
        <v>9</v>
      </c>
      <c r="AG1998" t="s">
        <v>158</v>
      </c>
      <c r="AH1998">
        <v>0</v>
      </c>
      <c r="AI1998">
        <v>3</v>
      </c>
      <c r="AJ1998">
        <v>1</v>
      </c>
      <c r="AK1998">
        <v>0</v>
      </c>
      <c r="AL1998" t="s">
        <v>3766</v>
      </c>
      <c r="AM1998">
        <v>46.864049000000001</v>
      </c>
      <c r="AN1998" t="s">
        <v>3767</v>
      </c>
      <c r="AO1998">
        <v>-123.030396</v>
      </c>
      <c r="AP1998">
        <v>100</v>
      </c>
      <c r="AQ1998">
        <v>2000</v>
      </c>
      <c r="AR1998" t="s">
        <v>118</v>
      </c>
      <c r="AS1998">
        <v>-77</v>
      </c>
      <c r="AT1998">
        <v>20</v>
      </c>
      <c r="AU1998">
        <v>64</v>
      </c>
      <c r="BC1998">
        <v>1200</v>
      </c>
      <c r="BD1998">
        <v>1</v>
      </c>
      <c r="BE1998" t="str">
        <f t="shared" si="95"/>
        <v xml:space="preserve">N215T   </v>
      </c>
      <c r="BF1998">
        <v>1</v>
      </c>
      <c r="BH1998">
        <v>0</v>
      </c>
      <c r="BI1998">
        <v>0</v>
      </c>
      <c r="BJ1998">
        <v>0</v>
      </c>
      <c r="BK1998">
        <v>2400</v>
      </c>
      <c r="BL1998">
        <v>400</v>
      </c>
      <c r="BM1998" t="s">
        <v>119</v>
      </c>
      <c r="BN1998">
        <v>1</v>
      </c>
      <c r="BO1998">
        <v>1</v>
      </c>
      <c r="BP1998">
        <v>1</v>
      </c>
      <c r="BQ1998">
        <v>0</v>
      </c>
      <c r="BT1998">
        <v>0</v>
      </c>
      <c r="BU1998">
        <v>0</v>
      </c>
      <c r="BV1998">
        <v>0</v>
      </c>
      <c r="CC1998" t="str">
        <f>"19:08:07.977"</f>
        <v>19:08:07.977</v>
      </c>
      <c r="CD1998" t="str">
        <f>"976211377"</f>
        <v>976211377</v>
      </c>
      <c r="CQ1998">
        <v>0</v>
      </c>
      <c r="CR1998">
        <v>2</v>
      </c>
      <c r="CS1998">
        <v>0</v>
      </c>
      <c r="CT1998">
        <v>2</v>
      </c>
      <c r="CU1998">
        <v>0</v>
      </c>
      <c r="CV1998">
        <v>2</v>
      </c>
      <c r="CW1998" t="s">
        <v>120</v>
      </c>
      <c r="CX1998">
        <v>257</v>
      </c>
      <c r="CY1998">
        <v>0</v>
      </c>
      <c r="CZ1998" t="s">
        <v>615</v>
      </c>
      <c r="DA1998" t="s">
        <v>616</v>
      </c>
      <c r="DD1998">
        <v>15661274</v>
      </c>
      <c r="DE1998" t="s">
        <v>123</v>
      </c>
    </row>
    <row r="1999" spans="1:109" x14ac:dyDescent="0.3">
      <c r="A1999" t="str">
        <f>"19:08:09.336"</f>
        <v>19:08:09.336</v>
      </c>
      <c r="B1999" t="s">
        <v>110</v>
      </c>
      <c r="C1999" t="str">
        <f t="shared" si="93"/>
        <v>ffdfd3c0</v>
      </c>
      <c r="D1999" t="s">
        <v>111</v>
      </c>
      <c r="E1999">
        <v>18</v>
      </c>
      <c r="F1999">
        <v>1018</v>
      </c>
      <c r="G1999" t="s">
        <v>112</v>
      </c>
      <c r="J1999" t="s">
        <v>113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R1999" t="s">
        <v>114</v>
      </c>
      <c r="S1999" t="str">
        <f>"19:08:09.125"</f>
        <v>19:08:09.125</v>
      </c>
      <c r="T1999" t="str">
        <f>"19:08:08.625"</f>
        <v>19:08:08.625</v>
      </c>
      <c r="U1999" t="str">
        <f t="shared" si="94"/>
        <v>a1cdbe</v>
      </c>
      <c r="V1999">
        <v>0</v>
      </c>
      <c r="W1999">
        <v>0</v>
      </c>
      <c r="X1999">
        <v>1</v>
      </c>
      <c r="Y1999">
        <v>0</v>
      </c>
      <c r="Z1999">
        <v>0</v>
      </c>
      <c r="AB1999">
        <v>0</v>
      </c>
      <c r="AC1999">
        <v>9</v>
      </c>
      <c r="AD1999">
        <v>3</v>
      </c>
      <c r="AE1999">
        <v>0</v>
      </c>
      <c r="AF1999">
        <v>9</v>
      </c>
      <c r="AG1999" t="s">
        <v>158</v>
      </c>
      <c r="AH1999">
        <v>0</v>
      </c>
      <c r="AI1999">
        <v>3</v>
      </c>
      <c r="AJ1999">
        <v>1</v>
      </c>
      <c r="AK1999">
        <v>0</v>
      </c>
      <c r="AL1999" t="s">
        <v>3768</v>
      </c>
      <c r="AM1999">
        <v>46.864134999999997</v>
      </c>
      <c r="AN1999" t="s">
        <v>3769</v>
      </c>
      <c r="AO1999">
        <v>-123.031018</v>
      </c>
      <c r="AP1999">
        <v>100</v>
      </c>
      <c r="AQ1999">
        <v>2000</v>
      </c>
      <c r="AR1999" t="s">
        <v>118</v>
      </c>
      <c r="AS1999">
        <v>-77</v>
      </c>
      <c r="AT1999">
        <v>19</v>
      </c>
      <c r="AU1999">
        <v>64</v>
      </c>
      <c r="BC1999">
        <v>1200</v>
      </c>
      <c r="BD1999">
        <v>1</v>
      </c>
      <c r="BE1999" t="str">
        <f t="shared" si="95"/>
        <v xml:space="preserve">N215T   </v>
      </c>
      <c r="BF1999">
        <v>1</v>
      </c>
      <c r="BH1999">
        <v>0</v>
      </c>
      <c r="BI1999">
        <v>0</v>
      </c>
      <c r="BJ1999">
        <v>0</v>
      </c>
      <c r="BK1999">
        <v>2400</v>
      </c>
      <c r="BL1999">
        <v>400</v>
      </c>
      <c r="BM1999" t="s">
        <v>119</v>
      </c>
      <c r="BN1999">
        <v>1</v>
      </c>
      <c r="BO1999">
        <v>1</v>
      </c>
      <c r="BP1999">
        <v>1</v>
      </c>
      <c r="BQ1999">
        <v>0</v>
      </c>
      <c r="BT1999">
        <v>0</v>
      </c>
      <c r="BU1999">
        <v>0</v>
      </c>
      <c r="BV1999">
        <v>0</v>
      </c>
      <c r="CC1999" t="str">
        <f>"19:08:09.133"</f>
        <v>19:08:09.133</v>
      </c>
      <c r="CD1999" t="str">
        <f>"131083131"</f>
        <v>131083131</v>
      </c>
      <c r="CQ1999">
        <v>0</v>
      </c>
      <c r="CR1999">
        <v>2</v>
      </c>
      <c r="CS1999">
        <v>0</v>
      </c>
      <c r="CT1999">
        <v>2</v>
      </c>
      <c r="CU1999">
        <v>0</v>
      </c>
      <c r="CV1999">
        <v>7</v>
      </c>
      <c r="CW1999" t="s">
        <v>120</v>
      </c>
      <c r="CX1999">
        <v>261</v>
      </c>
      <c r="CY1999">
        <v>2</v>
      </c>
      <c r="CZ1999" t="s">
        <v>121</v>
      </c>
      <c r="DA1999" t="s">
        <v>122</v>
      </c>
      <c r="DD1999">
        <v>15447975</v>
      </c>
      <c r="DE1999" t="s">
        <v>123</v>
      </c>
    </row>
    <row r="2000" spans="1:109" x14ac:dyDescent="0.3">
      <c r="A2000" t="str">
        <f>"19:08:10.289"</f>
        <v>19:08:10.289</v>
      </c>
      <c r="B2000" t="s">
        <v>110</v>
      </c>
      <c r="C2000" t="str">
        <f t="shared" si="93"/>
        <v>ffdfd3c0</v>
      </c>
      <c r="D2000" t="s">
        <v>111</v>
      </c>
      <c r="E2000">
        <v>18</v>
      </c>
      <c r="F2000">
        <v>1018</v>
      </c>
      <c r="G2000" t="s">
        <v>112</v>
      </c>
      <c r="J2000" t="s">
        <v>113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R2000" t="s">
        <v>114</v>
      </c>
      <c r="S2000" t="str">
        <f>"19:08:10.070"</f>
        <v>19:08:10.070</v>
      </c>
      <c r="T2000" t="str">
        <f>"19:08:10.070"</f>
        <v>19:08:10.070</v>
      </c>
      <c r="U2000" t="str">
        <f t="shared" si="94"/>
        <v>a1cdbe</v>
      </c>
      <c r="V2000">
        <v>0</v>
      </c>
      <c r="W2000">
        <v>0</v>
      </c>
      <c r="X2000">
        <v>1</v>
      </c>
      <c r="Y2000">
        <v>0</v>
      </c>
      <c r="Z2000">
        <v>0</v>
      </c>
      <c r="AB2000">
        <v>0</v>
      </c>
      <c r="AC2000">
        <v>9</v>
      </c>
      <c r="AD2000">
        <v>3</v>
      </c>
      <c r="AE2000">
        <v>0</v>
      </c>
      <c r="AF2000">
        <v>9</v>
      </c>
      <c r="AG2000" t="s">
        <v>158</v>
      </c>
      <c r="AH2000">
        <v>0</v>
      </c>
      <c r="AI2000">
        <v>3</v>
      </c>
      <c r="AJ2000">
        <v>1</v>
      </c>
      <c r="AK2000">
        <v>0</v>
      </c>
      <c r="AL2000" t="s">
        <v>3770</v>
      </c>
      <c r="AM2000">
        <v>46.864243000000002</v>
      </c>
      <c r="AN2000" t="s">
        <v>3771</v>
      </c>
      <c r="AO2000">
        <v>-123.031468</v>
      </c>
      <c r="AP2000">
        <v>100</v>
      </c>
      <c r="AQ2000">
        <v>2000</v>
      </c>
      <c r="AR2000" t="s">
        <v>118</v>
      </c>
      <c r="AS2000">
        <v>-78</v>
      </c>
      <c r="AT2000">
        <v>19</v>
      </c>
      <c r="AU2000">
        <v>128</v>
      </c>
      <c r="BC2000">
        <v>1200</v>
      </c>
      <c r="BD2000">
        <v>1</v>
      </c>
      <c r="BE2000" t="str">
        <f t="shared" si="95"/>
        <v xml:space="preserve">N215T   </v>
      </c>
      <c r="BF2000">
        <v>1</v>
      </c>
      <c r="BH2000">
        <v>0</v>
      </c>
      <c r="BI2000">
        <v>0</v>
      </c>
      <c r="BJ2000">
        <v>0</v>
      </c>
      <c r="BK2000">
        <v>2400</v>
      </c>
      <c r="BL2000">
        <v>400</v>
      </c>
      <c r="BM2000" t="s">
        <v>119</v>
      </c>
      <c r="BN2000">
        <v>1</v>
      </c>
      <c r="BO2000">
        <v>1</v>
      </c>
      <c r="BP2000">
        <v>1</v>
      </c>
      <c r="BQ2000">
        <v>0</v>
      </c>
      <c r="BT2000">
        <v>0</v>
      </c>
      <c r="BU2000">
        <v>0</v>
      </c>
      <c r="BV2000">
        <v>0</v>
      </c>
      <c r="CC2000" t="str">
        <f>"19:08:10.078"</f>
        <v>19:08:10.078</v>
      </c>
      <c r="CD2000" t="str">
        <f>"075990055"</f>
        <v>075990055</v>
      </c>
      <c r="CQ2000">
        <v>0</v>
      </c>
      <c r="CR2000">
        <v>2</v>
      </c>
      <c r="CS2000">
        <v>0</v>
      </c>
      <c r="CT2000">
        <v>2</v>
      </c>
      <c r="CU2000">
        <v>0</v>
      </c>
      <c r="CV2000">
        <v>7</v>
      </c>
      <c r="CW2000" t="s">
        <v>120</v>
      </c>
      <c r="CX2000">
        <v>261</v>
      </c>
      <c r="CY2000">
        <v>2</v>
      </c>
      <c r="CZ2000" t="s">
        <v>121</v>
      </c>
      <c r="DA2000" t="s">
        <v>122</v>
      </c>
      <c r="DD2000">
        <v>15448580</v>
      </c>
      <c r="DE2000" t="s">
        <v>123</v>
      </c>
    </row>
    <row r="2001" spans="1:109" x14ac:dyDescent="0.3">
      <c r="A2001" t="str">
        <f>"19:08:11.297"</f>
        <v>19:08:11.297</v>
      </c>
      <c r="B2001" t="s">
        <v>110</v>
      </c>
      <c r="C2001" t="str">
        <f t="shared" si="93"/>
        <v>ffdfd3c0</v>
      </c>
      <c r="D2001" t="s">
        <v>111</v>
      </c>
      <c r="E2001">
        <v>18</v>
      </c>
      <c r="F2001">
        <v>1018</v>
      </c>
      <c r="G2001" t="s">
        <v>112</v>
      </c>
      <c r="J2001" t="s">
        <v>113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R2001" t="s">
        <v>114</v>
      </c>
      <c r="S2001" t="str">
        <f>"19:08:11.063"</f>
        <v>19:08:11.063</v>
      </c>
      <c r="T2001" t="str">
        <f>"19:08:11.063"</f>
        <v>19:08:11.063</v>
      </c>
      <c r="U2001" t="str">
        <f t="shared" si="94"/>
        <v>a1cdbe</v>
      </c>
      <c r="V2001">
        <v>0</v>
      </c>
      <c r="W2001">
        <v>0</v>
      </c>
      <c r="X2001">
        <v>1</v>
      </c>
      <c r="Y2001">
        <v>0</v>
      </c>
      <c r="Z2001">
        <v>0</v>
      </c>
      <c r="AB2001">
        <v>0</v>
      </c>
      <c r="AC2001">
        <v>9</v>
      </c>
      <c r="AD2001">
        <v>3</v>
      </c>
      <c r="AE2001">
        <v>0</v>
      </c>
      <c r="AF2001">
        <v>9</v>
      </c>
      <c r="AG2001" t="s">
        <v>158</v>
      </c>
      <c r="AH2001">
        <v>0</v>
      </c>
      <c r="AI2001">
        <v>3</v>
      </c>
      <c r="AJ2001">
        <v>1</v>
      </c>
      <c r="AK2001">
        <v>0</v>
      </c>
      <c r="AL2001" t="s">
        <v>3772</v>
      </c>
      <c r="AM2001">
        <v>46.864328</v>
      </c>
      <c r="AN2001" t="s">
        <v>3773</v>
      </c>
      <c r="AO2001">
        <v>-123.031983</v>
      </c>
      <c r="AP2001">
        <v>100</v>
      </c>
      <c r="AQ2001">
        <v>2000</v>
      </c>
      <c r="AR2001" t="s">
        <v>118</v>
      </c>
      <c r="AS2001">
        <v>-78</v>
      </c>
      <c r="AT2001">
        <v>18</v>
      </c>
      <c r="AU2001">
        <v>128</v>
      </c>
      <c r="BC2001">
        <v>1200</v>
      </c>
      <c r="BD2001">
        <v>1</v>
      </c>
      <c r="BE2001" t="str">
        <f t="shared" si="95"/>
        <v xml:space="preserve">N215T   </v>
      </c>
      <c r="BF2001">
        <v>1</v>
      </c>
      <c r="BH2001">
        <v>0</v>
      </c>
      <c r="BI2001">
        <v>0</v>
      </c>
      <c r="BJ2001">
        <v>0</v>
      </c>
      <c r="BK2001">
        <v>2400</v>
      </c>
      <c r="BL2001">
        <v>400</v>
      </c>
      <c r="BM2001" t="s">
        <v>119</v>
      </c>
      <c r="BN2001">
        <v>1</v>
      </c>
      <c r="BO2001">
        <v>1</v>
      </c>
      <c r="BP2001">
        <v>1</v>
      </c>
      <c r="BQ2001">
        <v>0</v>
      </c>
      <c r="BT2001">
        <v>0</v>
      </c>
      <c r="BU2001">
        <v>0</v>
      </c>
      <c r="BV2001">
        <v>0</v>
      </c>
      <c r="CC2001" t="str">
        <f>"19:08:11.063"</f>
        <v>19:08:11.063</v>
      </c>
      <c r="CD2001" t="str">
        <f>"065892554"</f>
        <v>065892554</v>
      </c>
      <c r="CQ2001">
        <v>0</v>
      </c>
      <c r="CR2001">
        <v>2</v>
      </c>
      <c r="CS2001">
        <v>0</v>
      </c>
      <c r="CT2001">
        <v>2</v>
      </c>
      <c r="CU2001">
        <v>0</v>
      </c>
      <c r="CV2001">
        <v>6</v>
      </c>
      <c r="CW2001" t="s">
        <v>120</v>
      </c>
      <c r="CX2001">
        <v>261</v>
      </c>
      <c r="CY2001">
        <v>2</v>
      </c>
      <c r="CZ2001" t="s">
        <v>121</v>
      </c>
      <c r="DA2001" t="s">
        <v>122</v>
      </c>
      <c r="DD2001">
        <v>15449260</v>
      </c>
      <c r="DE2001" t="s">
        <v>123</v>
      </c>
    </row>
    <row r="2002" spans="1:109" x14ac:dyDescent="0.3">
      <c r="A2002" t="str">
        <f>"19:08:12.305"</f>
        <v>19:08:12.305</v>
      </c>
      <c r="B2002" t="s">
        <v>110</v>
      </c>
      <c r="C2002" t="str">
        <f t="shared" si="93"/>
        <v>ffdfd3c0</v>
      </c>
      <c r="D2002" t="s">
        <v>111</v>
      </c>
      <c r="E2002">
        <v>18</v>
      </c>
      <c r="F2002">
        <v>1018</v>
      </c>
      <c r="G2002" t="s">
        <v>112</v>
      </c>
      <c r="J2002" t="s">
        <v>113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R2002" t="s">
        <v>114</v>
      </c>
      <c r="S2002" t="str">
        <f>"19:08:12.070"</f>
        <v>19:08:12.070</v>
      </c>
      <c r="T2002" t="str">
        <f>"19:08:12.070"</f>
        <v>19:08:12.070</v>
      </c>
      <c r="U2002" t="str">
        <f t="shared" si="94"/>
        <v>a1cdbe</v>
      </c>
      <c r="V2002">
        <v>0</v>
      </c>
      <c r="W2002">
        <v>0</v>
      </c>
      <c r="X2002">
        <v>1</v>
      </c>
      <c r="Y2002">
        <v>0</v>
      </c>
      <c r="Z2002">
        <v>0</v>
      </c>
      <c r="AB2002">
        <v>0</v>
      </c>
      <c r="AC2002">
        <v>9</v>
      </c>
      <c r="AD2002">
        <v>3</v>
      </c>
      <c r="AE2002">
        <v>0</v>
      </c>
      <c r="AF2002">
        <v>9</v>
      </c>
      <c r="AG2002" t="s">
        <v>158</v>
      </c>
      <c r="AH2002">
        <v>0</v>
      </c>
      <c r="AI2002">
        <v>3</v>
      </c>
      <c r="AJ2002">
        <v>1</v>
      </c>
      <c r="AK2002">
        <v>0</v>
      </c>
      <c r="AL2002" t="s">
        <v>1674</v>
      </c>
      <c r="AM2002">
        <v>46.864435999999998</v>
      </c>
      <c r="AN2002" t="s">
        <v>3774</v>
      </c>
      <c r="AO2002">
        <v>-123.03254099999999</v>
      </c>
      <c r="AP2002">
        <v>100</v>
      </c>
      <c r="AQ2002">
        <v>2000</v>
      </c>
      <c r="AR2002" t="s">
        <v>118</v>
      </c>
      <c r="AS2002">
        <v>-78</v>
      </c>
      <c r="AT2002">
        <v>18</v>
      </c>
      <c r="AU2002">
        <v>128</v>
      </c>
      <c r="BC2002">
        <v>1200</v>
      </c>
      <c r="BD2002">
        <v>1</v>
      </c>
      <c r="BE2002" t="str">
        <f t="shared" si="95"/>
        <v xml:space="preserve">N215T   </v>
      </c>
      <c r="BF2002">
        <v>1</v>
      </c>
      <c r="BH2002">
        <v>0</v>
      </c>
      <c r="BI2002">
        <v>0</v>
      </c>
      <c r="BJ2002">
        <v>0</v>
      </c>
      <c r="BK2002">
        <v>2400</v>
      </c>
      <c r="BL2002">
        <v>400</v>
      </c>
      <c r="BM2002" t="s">
        <v>119</v>
      </c>
      <c r="BN2002">
        <v>1</v>
      </c>
      <c r="BO2002">
        <v>1</v>
      </c>
      <c r="BP2002">
        <v>1</v>
      </c>
      <c r="BQ2002">
        <v>0</v>
      </c>
      <c r="BT2002">
        <v>0</v>
      </c>
      <c r="BU2002">
        <v>0</v>
      </c>
      <c r="BV2002">
        <v>0</v>
      </c>
      <c r="CC2002" t="str">
        <f>"19:08:12.070"</f>
        <v>19:08:12.070</v>
      </c>
      <c r="CD2002" t="str">
        <f>"070793577"</f>
        <v>070793577</v>
      </c>
      <c r="CQ2002">
        <v>0</v>
      </c>
      <c r="CR2002">
        <v>2</v>
      </c>
      <c r="CS2002">
        <v>0</v>
      </c>
      <c r="CT2002">
        <v>2</v>
      </c>
      <c r="CU2002">
        <v>0</v>
      </c>
      <c r="CV2002">
        <v>7</v>
      </c>
      <c r="CW2002" t="s">
        <v>120</v>
      </c>
      <c r="CX2002">
        <v>261</v>
      </c>
      <c r="CY2002">
        <v>2</v>
      </c>
      <c r="CZ2002" t="s">
        <v>121</v>
      </c>
      <c r="DA2002" t="s">
        <v>122</v>
      </c>
      <c r="DD2002">
        <v>15449958</v>
      </c>
      <c r="DE2002" t="s">
        <v>123</v>
      </c>
    </row>
    <row r="2003" spans="1:109" x14ac:dyDescent="0.3">
      <c r="A2003" t="str">
        <f>"19:08:13.258"</f>
        <v>19:08:13.258</v>
      </c>
      <c r="B2003" t="s">
        <v>110</v>
      </c>
      <c r="C2003" t="str">
        <f t="shared" si="93"/>
        <v>ffdfd3c0</v>
      </c>
      <c r="D2003" t="s">
        <v>111</v>
      </c>
      <c r="E2003">
        <v>18</v>
      </c>
      <c r="F2003">
        <v>1018</v>
      </c>
      <c r="G2003" t="s">
        <v>112</v>
      </c>
      <c r="J2003" t="s">
        <v>113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R2003" t="s">
        <v>114</v>
      </c>
      <c r="S2003" t="str">
        <f>"19:08:13.016"</f>
        <v>19:08:13.016</v>
      </c>
      <c r="T2003" t="str">
        <f>"19:08:12.617"</f>
        <v>19:08:12.617</v>
      </c>
      <c r="U2003" t="str">
        <f t="shared" si="94"/>
        <v>a1cdbe</v>
      </c>
      <c r="V2003">
        <v>0</v>
      </c>
      <c r="W2003">
        <v>0</v>
      </c>
      <c r="X2003">
        <v>1</v>
      </c>
      <c r="Y2003">
        <v>0</v>
      </c>
      <c r="Z2003">
        <v>0</v>
      </c>
      <c r="AB2003">
        <v>0</v>
      </c>
      <c r="AC2003">
        <v>9</v>
      </c>
      <c r="AD2003">
        <v>3</v>
      </c>
      <c r="AE2003">
        <v>0</v>
      </c>
      <c r="AF2003">
        <v>9</v>
      </c>
      <c r="AG2003" t="s">
        <v>158</v>
      </c>
      <c r="AH2003">
        <v>0</v>
      </c>
      <c r="AI2003">
        <v>3</v>
      </c>
      <c r="AJ2003">
        <v>1</v>
      </c>
      <c r="AK2003">
        <v>0</v>
      </c>
      <c r="AL2003" t="s">
        <v>3775</v>
      </c>
      <c r="AM2003">
        <v>46.864457000000002</v>
      </c>
      <c r="AN2003" t="s">
        <v>3776</v>
      </c>
      <c r="AO2003">
        <v>-123.033013</v>
      </c>
      <c r="AP2003">
        <v>100</v>
      </c>
      <c r="AQ2003">
        <v>2000</v>
      </c>
      <c r="AR2003" t="s">
        <v>118</v>
      </c>
      <c r="AS2003">
        <v>-78</v>
      </c>
      <c r="AT2003">
        <v>18</v>
      </c>
      <c r="AU2003">
        <v>192</v>
      </c>
      <c r="BC2003">
        <v>1200</v>
      </c>
      <c r="BD2003">
        <v>1</v>
      </c>
      <c r="BE2003" t="str">
        <f t="shared" si="95"/>
        <v xml:space="preserve">N215T   </v>
      </c>
      <c r="BF2003">
        <v>1</v>
      </c>
      <c r="BH2003">
        <v>0</v>
      </c>
      <c r="BI2003">
        <v>0</v>
      </c>
      <c r="BJ2003">
        <v>0</v>
      </c>
      <c r="BK2003">
        <v>2400</v>
      </c>
      <c r="BL2003">
        <v>400</v>
      </c>
      <c r="BM2003" t="s">
        <v>119</v>
      </c>
      <c r="BN2003">
        <v>1</v>
      </c>
      <c r="BO2003">
        <v>1</v>
      </c>
      <c r="BP2003">
        <v>1</v>
      </c>
      <c r="BQ2003">
        <v>0</v>
      </c>
      <c r="BT2003">
        <v>0</v>
      </c>
      <c r="BU2003">
        <v>0</v>
      </c>
      <c r="BV2003">
        <v>0</v>
      </c>
      <c r="CC2003" t="str">
        <f>"19:08:13.016"</f>
        <v>19:08:13.016</v>
      </c>
      <c r="CD2003" t="str">
        <f>"015700501"</f>
        <v>015700501</v>
      </c>
      <c r="CQ2003">
        <v>0</v>
      </c>
      <c r="CR2003">
        <v>2</v>
      </c>
      <c r="CS2003">
        <v>0</v>
      </c>
      <c r="CT2003">
        <v>2</v>
      </c>
      <c r="CU2003">
        <v>0</v>
      </c>
      <c r="CV2003">
        <v>6</v>
      </c>
      <c r="CW2003" t="s">
        <v>120</v>
      </c>
      <c r="CX2003">
        <v>261</v>
      </c>
      <c r="CY2003">
        <v>2</v>
      </c>
      <c r="CZ2003" t="s">
        <v>121</v>
      </c>
      <c r="DA2003" t="s">
        <v>122</v>
      </c>
      <c r="DD2003">
        <v>15450559</v>
      </c>
      <c r="DE2003" t="s">
        <v>123</v>
      </c>
    </row>
    <row r="2004" spans="1:109" x14ac:dyDescent="0.3">
      <c r="A2004" t="str">
        <f>"19:08:14.367"</f>
        <v>19:08:14.367</v>
      </c>
      <c r="B2004" t="s">
        <v>110</v>
      </c>
      <c r="C2004" t="str">
        <f t="shared" si="93"/>
        <v>ffdfd3c0</v>
      </c>
      <c r="D2004" t="s">
        <v>111</v>
      </c>
      <c r="E2004">
        <v>18</v>
      </c>
      <c r="F2004">
        <v>1018</v>
      </c>
      <c r="G2004" t="s">
        <v>112</v>
      </c>
      <c r="J2004" t="s">
        <v>113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R2004" t="s">
        <v>114</v>
      </c>
      <c r="S2004" t="str">
        <f>"19:08:14.133"</f>
        <v>19:08:14.133</v>
      </c>
      <c r="T2004" t="str">
        <f>"19:08:14.133"</f>
        <v>19:08:14.133</v>
      </c>
      <c r="U2004" t="str">
        <f t="shared" si="94"/>
        <v>a1cdbe</v>
      </c>
      <c r="V2004">
        <v>0</v>
      </c>
      <c r="W2004">
        <v>0</v>
      </c>
      <c r="X2004">
        <v>1</v>
      </c>
      <c r="Y2004">
        <v>0</v>
      </c>
      <c r="Z2004">
        <v>0</v>
      </c>
      <c r="AB2004">
        <v>0</v>
      </c>
      <c r="AC2004">
        <v>9</v>
      </c>
      <c r="AD2004">
        <v>3</v>
      </c>
      <c r="AE2004">
        <v>0</v>
      </c>
      <c r="AF2004">
        <v>9</v>
      </c>
      <c r="AG2004" t="s">
        <v>158</v>
      </c>
      <c r="AH2004">
        <v>0</v>
      </c>
      <c r="AI2004">
        <v>3</v>
      </c>
      <c r="AJ2004">
        <v>1</v>
      </c>
      <c r="AK2004">
        <v>0</v>
      </c>
      <c r="AL2004" t="s">
        <v>1672</v>
      </c>
      <c r="AM2004">
        <v>46.864606999999999</v>
      </c>
      <c r="AN2004" t="s">
        <v>3777</v>
      </c>
      <c r="AO2004">
        <v>-123.033614</v>
      </c>
      <c r="AP2004">
        <v>100</v>
      </c>
      <c r="AQ2004">
        <v>2000</v>
      </c>
      <c r="AR2004" t="s">
        <v>118</v>
      </c>
      <c r="AS2004">
        <v>-78</v>
      </c>
      <c r="AT2004">
        <v>19</v>
      </c>
      <c r="AU2004">
        <v>192</v>
      </c>
      <c r="BC2004">
        <v>1200</v>
      </c>
      <c r="BD2004">
        <v>1</v>
      </c>
      <c r="BE2004" t="str">
        <f t="shared" si="95"/>
        <v xml:space="preserve">N215T   </v>
      </c>
      <c r="BF2004">
        <v>1</v>
      </c>
      <c r="BH2004">
        <v>0</v>
      </c>
      <c r="BI2004">
        <v>0</v>
      </c>
      <c r="BJ2004">
        <v>0</v>
      </c>
      <c r="BK2004">
        <v>2425</v>
      </c>
      <c r="BL2004">
        <v>425</v>
      </c>
      <c r="BM2004" t="s">
        <v>119</v>
      </c>
      <c r="BN2004">
        <v>1</v>
      </c>
      <c r="BO2004">
        <v>1</v>
      </c>
      <c r="BP2004">
        <v>1</v>
      </c>
      <c r="BQ2004">
        <v>0</v>
      </c>
      <c r="BT2004">
        <v>0</v>
      </c>
      <c r="BU2004">
        <v>0</v>
      </c>
      <c r="BV2004">
        <v>0</v>
      </c>
      <c r="CC2004" t="str">
        <f>"19:08:14.141"</f>
        <v>19:08:14.141</v>
      </c>
      <c r="CD2004" t="str">
        <f>"140589699"</f>
        <v>140589699</v>
      </c>
      <c r="CQ2004">
        <v>0</v>
      </c>
      <c r="CR2004">
        <v>2</v>
      </c>
      <c r="CS2004">
        <v>0</v>
      </c>
      <c r="CT2004">
        <v>2</v>
      </c>
      <c r="CU2004">
        <v>0</v>
      </c>
      <c r="CV2004">
        <v>6</v>
      </c>
      <c r="CW2004" t="s">
        <v>120</v>
      </c>
      <c r="CX2004">
        <v>261</v>
      </c>
      <c r="CY2004">
        <v>2</v>
      </c>
      <c r="CZ2004" t="s">
        <v>121</v>
      </c>
      <c r="DA2004" t="s">
        <v>122</v>
      </c>
      <c r="DD2004">
        <v>15451324</v>
      </c>
      <c r="DE2004" t="s">
        <v>123</v>
      </c>
    </row>
    <row r="2005" spans="1:109" x14ac:dyDescent="0.3">
      <c r="A2005" t="str">
        <f>"19:08:15.469"</f>
        <v>19:08:15.469</v>
      </c>
      <c r="B2005" t="s">
        <v>110</v>
      </c>
      <c r="C2005" t="str">
        <f t="shared" si="93"/>
        <v>ffdfd3c0</v>
      </c>
      <c r="D2005" t="s">
        <v>111</v>
      </c>
      <c r="E2005">
        <v>18</v>
      </c>
      <c r="F2005">
        <v>1018</v>
      </c>
      <c r="G2005" t="s">
        <v>112</v>
      </c>
      <c r="J2005" t="s">
        <v>113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R2005" t="s">
        <v>114</v>
      </c>
      <c r="S2005" t="str">
        <f>"19:08:15.203"</f>
        <v>19:08:15.203</v>
      </c>
      <c r="T2005" t="str">
        <f>"19:08:15.203"</f>
        <v>19:08:15.203</v>
      </c>
      <c r="U2005" t="str">
        <f t="shared" si="94"/>
        <v>a1cdbe</v>
      </c>
      <c r="V2005">
        <v>0</v>
      </c>
      <c r="W2005">
        <v>0</v>
      </c>
      <c r="X2005">
        <v>1</v>
      </c>
      <c r="Y2005">
        <v>0</v>
      </c>
      <c r="Z2005">
        <v>0</v>
      </c>
      <c r="AB2005">
        <v>0</v>
      </c>
      <c r="AC2005">
        <v>9</v>
      </c>
      <c r="AD2005">
        <v>3</v>
      </c>
      <c r="AE2005">
        <v>0</v>
      </c>
      <c r="AF2005">
        <v>9</v>
      </c>
      <c r="AG2005" t="s">
        <v>158</v>
      </c>
      <c r="AH2005">
        <v>0</v>
      </c>
      <c r="AI2005">
        <v>3</v>
      </c>
      <c r="AJ2005">
        <v>1</v>
      </c>
      <c r="AK2005">
        <v>0</v>
      </c>
      <c r="AL2005" t="s">
        <v>3778</v>
      </c>
      <c r="AM2005">
        <v>46.864693000000003</v>
      </c>
      <c r="AN2005" t="s">
        <v>3779</v>
      </c>
      <c r="AO2005">
        <v>-123.034215</v>
      </c>
      <c r="AP2005">
        <v>100</v>
      </c>
      <c r="AQ2005">
        <v>2000</v>
      </c>
      <c r="AR2005" t="s">
        <v>118</v>
      </c>
      <c r="AS2005">
        <v>-78</v>
      </c>
      <c r="AT2005">
        <v>19</v>
      </c>
      <c r="AU2005">
        <v>192</v>
      </c>
      <c r="BC2005">
        <v>1200</v>
      </c>
      <c r="BD2005">
        <v>1</v>
      </c>
      <c r="BE2005" t="str">
        <f t="shared" si="95"/>
        <v xml:space="preserve">N215T   </v>
      </c>
      <c r="BF2005">
        <v>1</v>
      </c>
      <c r="BH2005">
        <v>0</v>
      </c>
      <c r="BI2005">
        <v>0</v>
      </c>
      <c r="BJ2005">
        <v>0</v>
      </c>
      <c r="BK2005">
        <v>2425</v>
      </c>
      <c r="BL2005">
        <v>425</v>
      </c>
      <c r="BM2005" t="s">
        <v>119</v>
      </c>
      <c r="BN2005">
        <v>1</v>
      </c>
      <c r="BO2005">
        <v>1</v>
      </c>
      <c r="BP2005">
        <v>1</v>
      </c>
      <c r="BQ2005">
        <v>0</v>
      </c>
      <c r="BT2005">
        <v>0</v>
      </c>
      <c r="BU2005">
        <v>0</v>
      </c>
      <c r="BV2005">
        <v>0</v>
      </c>
      <c r="CC2005" t="str">
        <f>"19:08:15.203"</f>
        <v>19:08:15.203</v>
      </c>
      <c r="CD2005" t="str">
        <f>"205484818"</f>
        <v>205484818</v>
      </c>
      <c r="CQ2005">
        <v>0</v>
      </c>
      <c r="CR2005">
        <v>2</v>
      </c>
      <c r="CS2005">
        <v>0</v>
      </c>
      <c r="CT2005">
        <v>2</v>
      </c>
      <c r="CU2005">
        <v>0</v>
      </c>
      <c r="CV2005">
        <v>6</v>
      </c>
      <c r="CW2005" t="s">
        <v>120</v>
      </c>
      <c r="CX2005">
        <v>261</v>
      </c>
      <c r="CY2005">
        <v>2</v>
      </c>
      <c r="CZ2005" t="s">
        <v>121</v>
      </c>
      <c r="DA2005" t="s">
        <v>122</v>
      </c>
      <c r="DD2005">
        <v>15452024</v>
      </c>
      <c r="DE2005" t="s">
        <v>123</v>
      </c>
    </row>
    <row r="2006" spans="1:109" x14ac:dyDescent="0.3">
      <c r="A2006" t="str">
        <f>"19:08:16.375"</f>
        <v>19:08:16.375</v>
      </c>
      <c r="B2006" t="s">
        <v>110</v>
      </c>
      <c r="C2006" t="str">
        <f t="shared" si="93"/>
        <v>ffdfd3c0</v>
      </c>
      <c r="D2006" t="s">
        <v>111</v>
      </c>
      <c r="E2006">
        <v>18</v>
      </c>
      <c r="F2006">
        <v>1018</v>
      </c>
      <c r="G2006" t="s">
        <v>112</v>
      </c>
      <c r="J2006" t="s">
        <v>113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R2006" t="s">
        <v>114</v>
      </c>
      <c r="S2006" t="str">
        <f>"19:08:16.164"</f>
        <v>19:08:16.164</v>
      </c>
      <c r="T2006" t="str">
        <f>"19:08:15.766"</f>
        <v>19:08:15.766</v>
      </c>
      <c r="U2006" t="str">
        <f t="shared" si="94"/>
        <v>a1cdbe</v>
      </c>
      <c r="V2006">
        <v>0</v>
      </c>
      <c r="W2006">
        <v>0</v>
      </c>
      <c r="X2006">
        <v>1</v>
      </c>
      <c r="Y2006">
        <v>0</v>
      </c>
      <c r="Z2006">
        <v>0</v>
      </c>
      <c r="AB2006">
        <v>0</v>
      </c>
      <c r="AC2006">
        <v>9</v>
      </c>
      <c r="AD2006">
        <v>3</v>
      </c>
      <c r="AE2006">
        <v>0</v>
      </c>
      <c r="AF2006">
        <v>9</v>
      </c>
      <c r="AG2006" t="s">
        <v>158</v>
      </c>
      <c r="AH2006">
        <v>0</v>
      </c>
      <c r="AI2006">
        <v>3</v>
      </c>
      <c r="AJ2006">
        <v>1</v>
      </c>
      <c r="AK2006">
        <v>0</v>
      </c>
      <c r="AL2006" t="s">
        <v>3780</v>
      </c>
      <c r="AM2006">
        <v>46.864736000000001</v>
      </c>
      <c r="AN2006" t="s">
        <v>3781</v>
      </c>
      <c r="AO2006">
        <v>-123.03473</v>
      </c>
      <c r="AP2006">
        <v>100</v>
      </c>
      <c r="AQ2006">
        <v>2000</v>
      </c>
      <c r="AR2006" t="s">
        <v>118</v>
      </c>
      <c r="AS2006">
        <v>-78</v>
      </c>
      <c r="AT2006">
        <v>19</v>
      </c>
      <c r="AU2006">
        <v>192</v>
      </c>
      <c r="BC2006">
        <v>1200</v>
      </c>
      <c r="BD2006">
        <v>1</v>
      </c>
      <c r="BE2006" t="str">
        <f t="shared" si="95"/>
        <v xml:space="preserve">N215T   </v>
      </c>
      <c r="BF2006">
        <v>1</v>
      </c>
      <c r="BH2006">
        <v>0</v>
      </c>
      <c r="BI2006">
        <v>0</v>
      </c>
      <c r="BJ2006">
        <v>0</v>
      </c>
      <c r="BK2006">
        <v>2425</v>
      </c>
      <c r="BL2006">
        <v>425</v>
      </c>
      <c r="BM2006" t="s">
        <v>119</v>
      </c>
      <c r="BN2006">
        <v>1</v>
      </c>
      <c r="BO2006">
        <v>1</v>
      </c>
      <c r="BP2006">
        <v>1</v>
      </c>
      <c r="BQ2006">
        <v>0</v>
      </c>
      <c r="BT2006">
        <v>0</v>
      </c>
      <c r="BU2006">
        <v>0</v>
      </c>
      <c r="BV2006">
        <v>0</v>
      </c>
      <c r="CC2006" t="str">
        <f>"19:08:16.164"</f>
        <v>19:08:16.164</v>
      </c>
      <c r="CD2006" t="str">
        <f>"165390271"</f>
        <v>165390271</v>
      </c>
      <c r="CQ2006">
        <v>0</v>
      </c>
      <c r="CR2006">
        <v>2</v>
      </c>
      <c r="CS2006">
        <v>0</v>
      </c>
      <c r="CT2006">
        <v>2</v>
      </c>
      <c r="CU2006">
        <v>0</v>
      </c>
      <c r="CV2006">
        <v>7</v>
      </c>
      <c r="CW2006" t="s">
        <v>120</v>
      </c>
      <c r="CX2006">
        <v>261</v>
      </c>
      <c r="CY2006">
        <v>2</v>
      </c>
      <c r="CZ2006" t="s">
        <v>121</v>
      </c>
      <c r="DA2006" t="s">
        <v>122</v>
      </c>
      <c r="DD2006">
        <v>15452666</v>
      </c>
      <c r="DE2006" t="s">
        <v>123</v>
      </c>
    </row>
    <row r="2007" spans="1:109" x14ac:dyDescent="0.3">
      <c r="A2007" t="str">
        <f>"19:08:17.328"</f>
        <v>19:08:17.328</v>
      </c>
      <c r="B2007" t="s">
        <v>110</v>
      </c>
      <c r="C2007" t="str">
        <f t="shared" si="93"/>
        <v>ffdfd3c0</v>
      </c>
      <c r="D2007" t="s">
        <v>111</v>
      </c>
      <c r="E2007">
        <v>18</v>
      </c>
      <c r="F2007">
        <v>1018</v>
      </c>
      <c r="G2007" t="s">
        <v>112</v>
      </c>
      <c r="J2007" t="s">
        <v>113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R2007" t="s">
        <v>114</v>
      </c>
      <c r="S2007" t="str">
        <f>"19:08:17.078"</f>
        <v>19:08:17.078</v>
      </c>
      <c r="T2007" t="str">
        <f>"19:08:17.078"</f>
        <v>19:08:17.078</v>
      </c>
      <c r="U2007" t="str">
        <f t="shared" si="94"/>
        <v>a1cdbe</v>
      </c>
      <c r="V2007">
        <v>0</v>
      </c>
      <c r="W2007">
        <v>0</v>
      </c>
      <c r="X2007">
        <v>1</v>
      </c>
      <c r="Y2007">
        <v>0</v>
      </c>
      <c r="Z2007">
        <v>0</v>
      </c>
      <c r="AB2007">
        <v>0</v>
      </c>
      <c r="AC2007">
        <v>9</v>
      </c>
      <c r="AD2007">
        <v>3</v>
      </c>
      <c r="AE2007">
        <v>0</v>
      </c>
      <c r="AF2007">
        <v>9</v>
      </c>
      <c r="AG2007" t="s">
        <v>158</v>
      </c>
      <c r="AH2007">
        <v>0</v>
      </c>
      <c r="AI2007">
        <v>3</v>
      </c>
      <c r="AJ2007">
        <v>1</v>
      </c>
      <c r="AK2007">
        <v>0</v>
      </c>
      <c r="AL2007" t="s">
        <v>1670</v>
      </c>
      <c r="AM2007">
        <v>46.864843</v>
      </c>
      <c r="AN2007" t="s">
        <v>3782</v>
      </c>
      <c r="AO2007">
        <v>-123.035138</v>
      </c>
      <c r="AP2007">
        <v>100</v>
      </c>
      <c r="AQ2007">
        <v>2000</v>
      </c>
      <c r="AR2007" t="s">
        <v>118</v>
      </c>
      <c r="AS2007">
        <v>-78</v>
      </c>
      <c r="AT2007">
        <v>20</v>
      </c>
      <c r="AU2007">
        <v>256</v>
      </c>
      <c r="BC2007">
        <v>1200</v>
      </c>
      <c r="BD2007">
        <v>1</v>
      </c>
      <c r="BE2007" t="str">
        <f t="shared" si="95"/>
        <v xml:space="preserve">N215T   </v>
      </c>
      <c r="BF2007">
        <v>1</v>
      </c>
      <c r="BH2007">
        <v>0</v>
      </c>
      <c r="BI2007">
        <v>0</v>
      </c>
      <c r="BJ2007">
        <v>0</v>
      </c>
      <c r="BK2007">
        <v>2425</v>
      </c>
      <c r="BL2007">
        <v>425</v>
      </c>
      <c r="BM2007" t="s">
        <v>119</v>
      </c>
      <c r="BN2007">
        <v>1</v>
      </c>
      <c r="BO2007">
        <v>1</v>
      </c>
      <c r="BP2007">
        <v>1</v>
      </c>
      <c r="BQ2007">
        <v>0</v>
      </c>
      <c r="BT2007">
        <v>0</v>
      </c>
      <c r="BU2007">
        <v>0</v>
      </c>
      <c r="BV2007">
        <v>0</v>
      </c>
      <c r="CC2007" t="str">
        <f>"19:08:17.078"</f>
        <v>19:08:17.078</v>
      </c>
      <c r="CD2007" t="str">
        <f>"080300158"</f>
        <v>080300158</v>
      </c>
      <c r="CQ2007">
        <v>0</v>
      </c>
      <c r="CR2007">
        <v>2</v>
      </c>
      <c r="CS2007">
        <v>0</v>
      </c>
      <c r="CT2007">
        <v>2</v>
      </c>
      <c r="CU2007">
        <v>0</v>
      </c>
      <c r="CV2007">
        <v>7</v>
      </c>
      <c r="CW2007" t="s">
        <v>120</v>
      </c>
      <c r="CX2007">
        <v>261</v>
      </c>
      <c r="CY2007">
        <v>2</v>
      </c>
      <c r="CZ2007" t="s">
        <v>121</v>
      </c>
      <c r="DA2007" t="s">
        <v>122</v>
      </c>
      <c r="DD2007">
        <v>15453284</v>
      </c>
      <c r="DE2007" t="s">
        <v>123</v>
      </c>
    </row>
    <row r="2008" spans="1:109" x14ac:dyDescent="0.3">
      <c r="A2008" t="str">
        <f>"19:08:18.281"</f>
        <v>19:08:18.281</v>
      </c>
      <c r="B2008" t="s">
        <v>110</v>
      </c>
      <c r="C2008" t="str">
        <f t="shared" si="93"/>
        <v>ffdfd3c0</v>
      </c>
      <c r="D2008" t="s">
        <v>111</v>
      </c>
      <c r="E2008">
        <v>18</v>
      </c>
      <c r="F2008">
        <v>1018</v>
      </c>
      <c r="G2008" t="s">
        <v>112</v>
      </c>
      <c r="J2008" t="s">
        <v>113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R2008" t="s">
        <v>114</v>
      </c>
      <c r="S2008" t="str">
        <f>"19:08:18.039"</f>
        <v>19:08:18.039</v>
      </c>
      <c r="T2008" t="str">
        <f>"19:08:17.539"</f>
        <v>19:08:17.539</v>
      </c>
      <c r="U2008" t="str">
        <f t="shared" si="94"/>
        <v>a1cdbe</v>
      </c>
      <c r="V2008">
        <v>0</v>
      </c>
      <c r="W2008">
        <v>0</v>
      </c>
      <c r="X2008">
        <v>1</v>
      </c>
      <c r="Y2008">
        <v>0</v>
      </c>
      <c r="Z2008">
        <v>0</v>
      </c>
      <c r="AB2008">
        <v>0</v>
      </c>
      <c r="AC2008">
        <v>9</v>
      </c>
      <c r="AD2008">
        <v>3</v>
      </c>
      <c r="AE2008">
        <v>0</v>
      </c>
      <c r="AF2008">
        <v>9</v>
      </c>
      <c r="AG2008" t="s">
        <v>158</v>
      </c>
      <c r="AH2008">
        <v>0</v>
      </c>
      <c r="AI2008">
        <v>3</v>
      </c>
      <c r="AJ2008">
        <v>1</v>
      </c>
      <c r="AK2008">
        <v>0</v>
      </c>
      <c r="AL2008" t="s">
        <v>3783</v>
      </c>
      <c r="AM2008">
        <v>46.864928999999997</v>
      </c>
      <c r="AN2008" t="s">
        <v>3784</v>
      </c>
      <c r="AO2008">
        <v>-123.035696</v>
      </c>
      <c r="AP2008">
        <v>100</v>
      </c>
      <c r="AQ2008">
        <v>2000</v>
      </c>
      <c r="AR2008" t="s">
        <v>118</v>
      </c>
      <c r="AS2008">
        <v>-78</v>
      </c>
      <c r="AT2008">
        <v>20</v>
      </c>
      <c r="AU2008">
        <v>256</v>
      </c>
      <c r="BC2008">
        <v>1200</v>
      </c>
      <c r="BD2008">
        <v>1</v>
      </c>
      <c r="BE2008" t="str">
        <f t="shared" si="95"/>
        <v xml:space="preserve">N215T   </v>
      </c>
      <c r="BF2008">
        <v>1</v>
      </c>
      <c r="BH2008">
        <v>0</v>
      </c>
      <c r="BI2008">
        <v>0</v>
      </c>
      <c r="BJ2008">
        <v>0</v>
      </c>
      <c r="BK2008">
        <v>2425</v>
      </c>
      <c r="BL2008">
        <v>425</v>
      </c>
      <c r="BM2008" t="s">
        <v>119</v>
      </c>
      <c r="BN2008">
        <v>1</v>
      </c>
      <c r="BO2008">
        <v>1</v>
      </c>
      <c r="BP2008">
        <v>1</v>
      </c>
      <c r="BQ2008">
        <v>0</v>
      </c>
      <c r="BT2008">
        <v>0</v>
      </c>
      <c r="BU2008">
        <v>0</v>
      </c>
      <c r="BV2008">
        <v>0</v>
      </c>
      <c r="CC2008" t="str">
        <f>"19:08:18.039"</f>
        <v>19:08:18.039</v>
      </c>
      <c r="CD2008" t="str">
        <f>"040205604"</f>
        <v>040205604</v>
      </c>
      <c r="CQ2008">
        <v>0</v>
      </c>
      <c r="CR2008">
        <v>2</v>
      </c>
      <c r="CS2008">
        <v>0</v>
      </c>
      <c r="CT2008">
        <v>2</v>
      </c>
      <c r="CU2008">
        <v>0</v>
      </c>
      <c r="CV2008">
        <v>7</v>
      </c>
      <c r="CW2008" t="s">
        <v>120</v>
      </c>
      <c r="CX2008">
        <v>261</v>
      </c>
      <c r="CY2008">
        <v>2</v>
      </c>
      <c r="CZ2008" t="s">
        <v>121</v>
      </c>
      <c r="DA2008" t="s">
        <v>122</v>
      </c>
      <c r="DD2008">
        <v>15453936</v>
      </c>
      <c r="DE2008" t="s">
        <v>123</v>
      </c>
    </row>
    <row r="2009" spans="1:109" x14ac:dyDescent="0.3">
      <c r="A2009" t="str">
        <f>"19:08:19.391"</f>
        <v>19:08:19.391</v>
      </c>
      <c r="B2009" t="s">
        <v>110</v>
      </c>
      <c r="C2009" t="str">
        <f t="shared" si="93"/>
        <v>ffdfd3c0</v>
      </c>
      <c r="D2009" t="s">
        <v>111</v>
      </c>
      <c r="E2009">
        <v>18</v>
      </c>
      <c r="F2009">
        <v>1018</v>
      </c>
      <c r="G2009" t="s">
        <v>112</v>
      </c>
      <c r="J2009" t="s">
        <v>113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R2009" t="s">
        <v>114</v>
      </c>
      <c r="S2009" t="str">
        <f>"19:08:19.133"</f>
        <v>19:08:19.133</v>
      </c>
      <c r="T2009" t="str">
        <f>"19:08:18.734"</f>
        <v>19:08:18.734</v>
      </c>
      <c r="U2009" t="str">
        <f t="shared" si="94"/>
        <v>a1cdbe</v>
      </c>
      <c r="V2009">
        <v>0</v>
      </c>
      <c r="W2009">
        <v>0</v>
      </c>
      <c r="X2009">
        <v>1</v>
      </c>
      <c r="Y2009">
        <v>0</v>
      </c>
      <c r="Z2009">
        <v>0</v>
      </c>
      <c r="AB2009">
        <v>0</v>
      </c>
      <c r="AC2009">
        <v>9</v>
      </c>
      <c r="AD2009">
        <v>3</v>
      </c>
      <c r="AE2009">
        <v>0</v>
      </c>
      <c r="AF2009">
        <v>9</v>
      </c>
      <c r="AG2009" t="s">
        <v>158</v>
      </c>
      <c r="AH2009">
        <v>0</v>
      </c>
      <c r="AI2009">
        <v>3</v>
      </c>
      <c r="AJ2009">
        <v>1</v>
      </c>
      <c r="AK2009">
        <v>0</v>
      </c>
      <c r="AL2009" t="s">
        <v>1668</v>
      </c>
      <c r="AM2009">
        <v>46.865015</v>
      </c>
      <c r="AN2009" t="s">
        <v>3785</v>
      </c>
      <c r="AO2009">
        <v>-123.036232</v>
      </c>
      <c r="AP2009">
        <v>100</v>
      </c>
      <c r="AQ2009">
        <v>2100</v>
      </c>
      <c r="AR2009" t="s">
        <v>118</v>
      </c>
      <c r="AS2009">
        <v>-78</v>
      </c>
      <c r="AT2009">
        <v>20</v>
      </c>
      <c r="AU2009">
        <v>192</v>
      </c>
      <c r="BC2009">
        <v>1200</v>
      </c>
      <c r="BD2009">
        <v>1</v>
      </c>
      <c r="BE2009" t="str">
        <f t="shared" si="95"/>
        <v xml:space="preserve">N215T   </v>
      </c>
      <c r="BF2009">
        <v>1</v>
      </c>
      <c r="BH2009">
        <v>0</v>
      </c>
      <c r="BI2009">
        <v>0</v>
      </c>
      <c r="BJ2009">
        <v>0</v>
      </c>
      <c r="BK2009">
        <v>2425</v>
      </c>
      <c r="BL2009">
        <v>325</v>
      </c>
      <c r="BM2009" t="s">
        <v>119</v>
      </c>
      <c r="BN2009">
        <v>1</v>
      </c>
      <c r="BO2009">
        <v>1</v>
      </c>
      <c r="BP2009">
        <v>1</v>
      </c>
      <c r="BQ2009">
        <v>0</v>
      </c>
      <c r="BT2009">
        <v>0</v>
      </c>
      <c r="BU2009">
        <v>0</v>
      </c>
      <c r="BV2009">
        <v>0</v>
      </c>
      <c r="CC2009" t="str">
        <f>"19:08:19.133"</f>
        <v>19:08:19.133</v>
      </c>
      <c r="CD2009" t="str">
        <f>"135111319"</f>
        <v>135111319</v>
      </c>
      <c r="CQ2009">
        <v>0</v>
      </c>
      <c r="CR2009">
        <v>2</v>
      </c>
      <c r="CS2009">
        <v>0</v>
      </c>
      <c r="CT2009">
        <v>2</v>
      </c>
      <c r="CU2009">
        <v>0</v>
      </c>
      <c r="CV2009">
        <v>3</v>
      </c>
      <c r="CW2009" t="s">
        <v>120</v>
      </c>
      <c r="CX2009">
        <v>257</v>
      </c>
      <c r="CY2009">
        <v>1</v>
      </c>
      <c r="CZ2009" t="s">
        <v>615</v>
      </c>
      <c r="DA2009" t="s">
        <v>616</v>
      </c>
      <c r="DD2009">
        <v>11876996</v>
      </c>
      <c r="DE2009" t="s">
        <v>123</v>
      </c>
    </row>
    <row r="2010" spans="1:109" x14ac:dyDescent="0.3">
      <c r="A2010" t="str">
        <f>"19:08:20.344"</f>
        <v>19:08:20.344</v>
      </c>
      <c r="B2010" t="s">
        <v>110</v>
      </c>
      <c r="C2010" t="str">
        <f t="shared" si="93"/>
        <v>ffdfd3c0</v>
      </c>
      <c r="D2010" t="s">
        <v>111</v>
      </c>
      <c r="E2010">
        <v>18</v>
      </c>
      <c r="F2010">
        <v>1018</v>
      </c>
      <c r="G2010" t="s">
        <v>112</v>
      </c>
      <c r="J2010" t="s">
        <v>113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R2010" t="s">
        <v>114</v>
      </c>
      <c r="S2010" t="str">
        <f>"19:08:20.109"</f>
        <v>19:08:20.109</v>
      </c>
      <c r="T2010" t="str">
        <f>"19:08:20.109"</f>
        <v>19:08:20.109</v>
      </c>
      <c r="U2010" t="str">
        <f t="shared" si="94"/>
        <v>a1cdbe</v>
      </c>
      <c r="V2010">
        <v>0</v>
      </c>
      <c r="W2010">
        <v>0</v>
      </c>
      <c r="X2010">
        <v>1</v>
      </c>
      <c r="Y2010">
        <v>0</v>
      </c>
      <c r="Z2010">
        <v>0</v>
      </c>
      <c r="AB2010">
        <v>0</v>
      </c>
      <c r="AC2010">
        <v>9</v>
      </c>
      <c r="AD2010">
        <v>3</v>
      </c>
      <c r="AE2010">
        <v>0</v>
      </c>
      <c r="AF2010">
        <v>9</v>
      </c>
      <c r="AG2010" t="s">
        <v>158</v>
      </c>
      <c r="AH2010">
        <v>0</v>
      </c>
      <c r="AI2010">
        <v>3</v>
      </c>
      <c r="AJ2010">
        <v>1</v>
      </c>
      <c r="AK2010">
        <v>0</v>
      </c>
      <c r="AL2010" t="s">
        <v>3786</v>
      </c>
      <c r="AM2010">
        <v>46.865122</v>
      </c>
      <c r="AN2010" t="s">
        <v>3787</v>
      </c>
      <c r="AO2010">
        <v>-123.036768</v>
      </c>
      <c r="AP2010">
        <v>100</v>
      </c>
      <c r="AQ2010">
        <v>2100</v>
      </c>
      <c r="AR2010" t="s">
        <v>118</v>
      </c>
      <c r="AS2010">
        <v>-78</v>
      </c>
      <c r="AT2010">
        <v>20</v>
      </c>
      <c r="AU2010">
        <v>64</v>
      </c>
      <c r="BC2010">
        <v>1200</v>
      </c>
      <c r="BD2010">
        <v>1</v>
      </c>
      <c r="BE2010" t="str">
        <f t="shared" si="95"/>
        <v xml:space="preserve">N215T   </v>
      </c>
      <c r="BF2010">
        <v>1</v>
      </c>
      <c r="BH2010">
        <v>0</v>
      </c>
      <c r="BI2010">
        <v>0</v>
      </c>
      <c r="BJ2010">
        <v>0</v>
      </c>
      <c r="BK2010">
        <v>2425</v>
      </c>
      <c r="BL2010">
        <v>325</v>
      </c>
      <c r="BM2010" t="s">
        <v>119</v>
      </c>
      <c r="BN2010">
        <v>1</v>
      </c>
      <c r="BO2010">
        <v>1</v>
      </c>
      <c r="BP2010">
        <v>1</v>
      </c>
      <c r="BQ2010">
        <v>0</v>
      </c>
      <c r="BT2010">
        <v>0</v>
      </c>
      <c r="BU2010">
        <v>0</v>
      </c>
      <c r="BV2010">
        <v>0</v>
      </c>
      <c r="CC2010" t="str">
        <f>"19:08:20.109"</f>
        <v>19:08:20.109</v>
      </c>
      <c r="CD2010" t="str">
        <f>"110001742"</f>
        <v>110001742</v>
      </c>
      <c r="CQ2010">
        <v>0</v>
      </c>
      <c r="CR2010">
        <v>2</v>
      </c>
      <c r="CS2010">
        <v>0</v>
      </c>
      <c r="CT2010">
        <v>2</v>
      </c>
      <c r="CU2010">
        <v>0</v>
      </c>
      <c r="CV2010">
        <v>7</v>
      </c>
      <c r="CW2010" t="s">
        <v>120</v>
      </c>
      <c r="CX2010">
        <v>261</v>
      </c>
      <c r="CY2010">
        <v>2</v>
      </c>
      <c r="CZ2010" t="s">
        <v>121</v>
      </c>
      <c r="DA2010" t="s">
        <v>122</v>
      </c>
      <c r="DD2010">
        <v>15455441</v>
      </c>
      <c r="DE2010" t="s">
        <v>123</v>
      </c>
    </row>
    <row r="2011" spans="1:109" x14ac:dyDescent="0.3">
      <c r="A2011" t="str">
        <f>"19:08:21.352"</f>
        <v>19:08:21.352</v>
      </c>
      <c r="B2011" t="s">
        <v>110</v>
      </c>
      <c r="C2011" t="str">
        <f t="shared" si="93"/>
        <v>ffdfd3c0</v>
      </c>
      <c r="D2011" t="s">
        <v>111</v>
      </c>
      <c r="E2011">
        <v>18</v>
      </c>
      <c r="F2011">
        <v>1018</v>
      </c>
      <c r="G2011" t="s">
        <v>112</v>
      </c>
      <c r="J2011" t="s">
        <v>113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R2011" t="s">
        <v>114</v>
      </c>
      <c r="S2011" t="str">
        <f>"19:08:21.141"</f>
        <v>19:08:21.141</v>
      </c>
      <c r="T2011" t="str">
        <f>"19:08:20.641"</f>
        <v>19:08:20.641</v>
      </c>
      <c r="U2011" t="str">
        <f t="shared" si="94"/>
        <v>a1cdbe</v>
      </c>
      <c r="V2011">
        <v>0</v>
      </c>
      <c r="W2011">
        <v>0</v>
      </c>
      <c r="X2011">
        <v>1</v>
      </c>
      <c r="Y2011">
        <v>0</v>
      </c>
      <c r="Z2011">
        <v>0</v>
      </c>
      <c r="AB2011">
        <v>0</v>
      </c>
      <c r="AC2011">
        <v>9</v>
      </c>
      <c r="AD2011">
        <v>3</v>
      </c>
      <c r="AE2011">
        <v>0</v>
      </c>
      <c r="AF2011">
        <v>9</v>
      </c>
      <c r="AG2011" t="s">
        <v>158</v>
      </c>
      <c r="AH2011">
        <v>0</v>
      </c>
      <c r="AI2011">
        <v>3</v>
      </c>
      <c r="AJ2011">
        <v>1</v>
      </c>
      <c r="AK2011">
        <v>0</v>
      </c>
      <c r="AL2011" t="s">
        <v>3788</v>
      </c>
      <c r="AM2011">
        <v>46.865208000000003</v>
      </c>
      <c r="AN2011" t="s">
        <v>3789</v>
      </c>
      <c r="AO2011">
        <v>-123.037262</v>
      </c>
      <c r="AP2011">
        <v>100</v>
      </c>
      <c r="AQ2011">
        <v>2100</v>
      </c>
      <c r="AR2011" t="s">
        <v>118</v>
      </c>
      <c r="AS2011">
        <v>-78</v>
      </c>
      <c r="AT2011">
        <v>20</v>
      </c>
      <c r="AU2011">
        <v>0</v>
      </c>
      <c r="BC2011">
        <v>1200</v>
      </c>
      <c r="BD2011">
        <v>1</v>
      </c>
      <c r="BE2011" t="str">
        <f t="shared" si="95"/>
        <v xml:space="preserve">N215T   </v>
      </c>
      <c r="BF2011">
        <v>1</v>
      </c>
      <c r="BH2011">
        <v>0</v>
      </c>
      <c r="BI2011">
        <v>0</v>
      </c>
      <c r="BJ2011">
        <v>0</v>
      </c>
      <c r="BK2011">
        <v>2425</v>
      </c>
      <c r="BL2011">
        <v>325</v>
      </c>
      <c r="BM2011" t="s">
        <v>119</v>
      </c>
      <c r="BN2011">
        <v>1</v>
      </c>
      <c r="BO2011">
        <v>1</v>
      </c>
      <c r="BP2011">
        <v>1</v>
      </c>
      <c r="BQ2011">
        <v>0</v>
      </c>
      <c r="BT2011">
        <v>0</v>
      </c>
      <c r="BU2011">
        <v>0</v>
      </c>
      <c r="BV2011">
        <v>0</v>
      </c>
      <c r="CC2011" t="str">
        <f>"19:08:21.148"</f>
        <v>19:08:21.148</v>
      </c>
      <c r="CD2011" t="str">
        <f>"144899805"</f>
        <v>144899805</v>
      </c>
      <c r="CQ2011">
        <v>0</v>
      </c>
      <c r="CR2011">
        <v>2</v>
      </c>
      <c r="CS2011">
        <v>0</v>
      </c>
      <c r="CT2011">
        <v>2</v>
      </c>
      <c r="CU2011">
        <v>0</v>
      </c>
      <c r="CV2011">
        <v>7</v>
      </c>
      <c r="CW2011" t="s">
        <v>120</v>
      </c>
      <c r="CX2011">
        <v>261</v>
      </c>
      <c r="CY2011">
        <v>2</v>
      </c>
      <c r="CZ2011" t="s">
        <v>121</v>
      </c>
      <c r="DA2011" t="s">
        <v>122</v>
      </c>
      <c r="DD2011">
        <v>15456158</v>
      </c>
      <c r="DE2011" t="s">
        <v>123</v>
      </c>
    </row>
    <row r="2012" spans="1:109" x14ac:dyDescent="0.3">
      <c r="A2012" t="str">
        <f>"19:08:22.508"</f>
        <v>19:08:22.508</v>
      </c>
      <c r="B2012" t="s">
        <v>110</v>
      </c>
      <c r="C2012" t="str">
        <f t="shared" si="93"/>
        <v>ffdfd3c0</v>
      </c>
      <c r="D2012" t="s">
        <v>111</v>
      </c>
      <c r="E2012">
        <v>18</v>
      </c>
      <c r="F2012">
        <v>1018</v>
      </c>
      <c r="G2012" t="s">
        <v>112</v>
      </c>
      <c r="J2012" t="s">
        <v>113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R2012" t="s">
        <v>114</v>
      </c>
      <c r="S2012" t="str">
        <f>"19:08:22.281"</f>
        <v>19:08:22.281</v>
      </c>
      <c r="T2012" t="str">
        <f>"19:08:22.180"</f>
        <v>19:08:22.180</v>
      </c>
      <c r="U2012" t="str">
        <f t="shared" si="94"/>
        <v>a1cdbe</v>
      </c>
      <c r="V2012">
        <v>0</v>
      </c>
      <c r="W2012">
        <v>0</v>
      </c>
      <c r="X2012">
        <v>1</v>
      </c>
      <c r="Y2012">
        <v>0</v>
      </c>
      <c r="Z2012">
        <v>0</v>
      </c>
      <c r="AB2012">
        <v>0</v>
      </c>
      <c r="AC2012">
        <v>9</v>
      </c>
      <c r="AD2012">
        <v>3</v>
      </c>
      <c r="AE2012">
        <v>0</v>
      </c>
      <c r="AF2012">
        <v>9</v>
      </c>
      <c r="AG2012" t="s">
        <v>158</v>
      </c>
      <c r="AH2012">
        <v>0</v>
      </c>
      <c r="AI2012">
        <v>3</v>
      </c>
      <c r="AJ2012">
        <v>1</v>
      </c>
      <c r="AK2012">
        <v>0</v>
      </c>
      <c r="AL2012" t="s">
        <v>3790</v>
      </c>
      <c r="AM2012">
        <v>46.865358000000001</v>
      </c>
      <c r="AN2012" t="s">
        <v>3791</v>
      </c>
      <c r="AO2012">
        <v>-123.03788400000001</v>
      </c>
      <c r="AP2012">
        <v>100</v>
      </c>
      <c r="AQ2012">
        <v>2000</v>
      </c>
      <c r="AR2012" t="s">
        <v>118</v>
      </c>
      <c r="AS2012">
        <v>-78</v>
      </c>
      <c r="AT2012">
        <v>20</v>
      </c>
      <c r="AU2012">
        <v>-64</v>
      </c>
      <c r="BC2012">
        <v>1200</v>
      </c>
      <c r="BD2012">
        <v>1</v>
      </c>
      <c r="BE2012" t="str">
        <f t="shared" si="95"/>
        <v xml:space="preserve">N215T   </v>
      </c>
      <c r="BF2012">
        <v>1</v>
      </c>
      <c r="BH2012">
        <v>0</v>
      </c>
      <c r="BI2012">
        <v>0</v>
      </c>
      <c r="BJ2012">
        <v>0</v>
      </c>
      <c r="BK2012">
        <v>2425</v>
      </c>
      <c r="BL2012">
        <v>425</v>
      </c>
      <c r="BM2012" t="s">
        <v>119</v>
      </c>
      <c r="BN2012">
        <v>1</v>
      </c>
      <c r="BO2012">
        <v>1</v>
      </c>
      <c r="BP2012">
        <v>1</v>
      </c>
      <c r="BQ2012">
        <v>0</v>
      </c>
      <c r="BT2012">
        <v>0</v>
      </c>
      <c r="BU2012">
        <v>0</v>
      </c>
      <c r="BV2012">
        <v>0</v>
      </c>
      <c r="CC2012" t="str">
        <f>"19:08:22.281"</f>
        <v>19:08:22.281</v>
      </c>
      <c r="CD2012" t="str">
        <f>"284787525"</f>
        <v>284787525</v>
      </c>
      <c r="CQ2012">
        <v>0</v>
      </c>
      <c r="CR2012">
        <v>2</v>
      </c>
      <c r="CS2012">
        <v>0</v>
      </c>
      <c r="CT2012">
        <v>2</v>
      </c>
      <c r="CU2012">
        <v>0</v>
      </c>
      <c r="CV2012">
        <v>7</v>
      </c>
      <c r="CW2012" t="s">
        <v>120</v>
      </c>
      <c r="CX2012">
        <v>261</v>
      </c>
      <c r="CY2012">
        <v>2</v>
      </c>
      <c r="CZ2012" t="s">
        <v>121</v>
      </c>
      <c r="DA2012" t="s">
        <v>122</v>
      </c>
      <c r="DD2012">
        <v>15456908</v>
      </c>
      <c r="DE2012" t="s">
        <v>123</v>
      </c>
    </row>
    <row r="2013" spans="1:109" x14ac:dyDescent="0.3">
      <c r="A2013" t="str">
        <f>"19:08:23.414"</f>
        <v>19:08:23.414</v>
      </c>
      <c r="B2013" t="s">
        <v>110</v>
      </c>
      <c r="C2013" t="str">
        <f t="shared" si="93"/>
        <v>ffdfd3c0</v>
      </c>
      <c r="D2013" t="s">
        <v>111</v>
      </c>
      <c r="E2013">
        <v>18</v>
      </c>
      <c r="F2013">
        <v>1018</v>
      </c>
      <c r="G2013" t="s">
        <v>112</v>
      </c>
      <c r="J2013" t="s">
        <v>113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R2013" t="s">
        <v>114</v>
      </c>
      <c r="S2013" t="str">
        <f>"19:08:23.195"</f>
        <v>19:08:23.195</v>
      </c>
      <c r="T2013" t="str">
        <f>"19:08:22.695"</f>
        <v>19:08:22.695</v>
      </c>
      <c r="U2013" t="str">
        <f t="shared" si="94"/>
        <v>a1cdbe</v>
      </c>
      <c r="V2013">
        <v>0</v>
      </c>
      <c r="W2013">
        <v>0</v>
      </c>
      <c r="X2013">
        <v>1</v>
      </c>
      <c r="Y2013">
        <v>0</v>
      </c>
      <c r="Z2013">
        <v>0</v>
      </c>
      <c r="AB2013">
        <v>0</v>
      </c>
      <c r="AC2013">
        <v>9</v>
      </c>
      <c r="AD2013">
        <v>3</v>
      </c>
      <c r="AE2013">
        <v>0</v>
      </c>
      <c r="AF2013">
        <v>9</v>
      </c>
      <c r="AG2013" t="s">
        <v>158</v>
      </c>
      <c r="AH2013">
        <v>0</v>
      </c>
      <c r="AI2013">
        <v>3</v>
      </c>
      <c r="AJ2013">
        <v>1</v>
      </c>
      <c r="AK2013">
        <v>0</v>
      </c>
      <c r="AL2013" t="s">
        <v>3792</v>
      </c>
      <c r="AM2013">
        <v>46.865423</v>
      </c>
      <c r="AN2013" t="s">
        <v>3793</v>
      </c>
      <c r="AO2013">
        <v>-123.03837799999999</v>
      </c>
      <c r="AP2013">
        <v>100</v>
      </c>
      <c r="AQ2013">
        <v>2000</v>
      </c>
      <c r="AR2013" t="s">
        <v>118</v>
      </c>
      <c r="AS2013">
        <v>-78</v>
      </c>
      <c r="AT2013">
        <v>20</v>
      </c>
      <c r="AU2013">
        <v>-128</v>
      </c>
      <c r="BC2013">
        <v>1200</v>
      </c>
      <c r="BD2013">
        <v>1</v>
      </c>
      <c r="BE2013" t="str">
        <f t="shared" si="95"/>
        <v xml:space="preserve">N215T   </v>
      </c>
      <c r="BF2013">
        <v>1</v>
      </c>
      <c r="BH2013">
        <v>0</v>
      </c>
      <c r="BI2013">
        <v>0</v>
      </c>
      <c r="BJ2013">
        <v>0</v>
      </c>
      <c r="BK2013">
        <v>2425</v>
      </c>
      <c r="BL2013">
        <v>425</v>
      </c>
      <c r="BM2013" t="s">
        <v>119</v>
      </c>
      <c r="BN2013">
        <v>1</v>
      </c>
      <c r="BO2013">
        <v>1</v>
      </c>
      <c r="BP2013">
        <v>1</v>
      </c>
      <c r="BQ2013">
        <v>0</v>
      </c>
      <c r="BT2013">
        <v>0</v>
      </c>
      <c r="BU2013">
        <v>0</v>
      </c>
      <c r="BV2013">
        <v>0</v>
      </c>
      <c r="CC2013" t="str">
        <f>"19:08:23.203"</f>
        <v>19:08:23.203</v>
      </c>
      <c r="CD2013" t="str">
        <f>"199697400"</f>
        <v>199697400</v>
      </c>
      <c r="CQ2013">
        <v>0</v>
      </c>
      <c r="CR2013">
        <v>2</v>
      </c>
      <c r="CS2013">
        <v>0</v>
      </c>
      <c r="CT2013">
        <v>2</v>
      </c>
      <c r="CU2013">
        <v>0</v>
      </c>
      <c r="CV2013">
        <v>7</v>
      </c>
      <c r="CW2013" t="s">
        <v>120</v>
      </c>
      <c r="CX2013">
        <v>261</v>
      </c>
      <c r="CY2013">
        <v>2</v>
      </c>
      <c r="CZ2013" t="s">
        <v>121</v>
      </c>
      <c r="DA2013" t="s">
        <v>122</v>
      </c>
      <c r="DD2013">
        <v>15457526</v>
      </c>
      <c r="DE2013" t="s">
        <v>123</v>
      </c>
    </row>
    <row r="2014" spans="1:109" x14ac:dyDescent="0.3">
      <c r="A2014" t="str">
        <f>"19:08:24.266"</f>
        <v>19:08:24.266</v>
      </c>
      <c r="B2014" t="s">
        <v>110</v>
      </c>
      <c r="C2014" t="str">
        <f t="shared" si="93"/>
        <v>ffdfd3c0</v>
      </c>
      <c r="D2014" t="s">
        <v>111</v>
      </c>
      <c r="E2014">
        <v>18</v>
      </c>
      <c r="F2014">
        <v>1018</v>
      </c>
      <c r="G2014" t="s">
        <v>112</v>
      </c>
      <c r="J2014" t="s">
        <v>113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R2014" t="s">
        <v>114</v>
      </c>
      <c r="S2014" t="str">
        <f>"19:08:24.023"</f>
        <v>19:08:24.023</v>
      </c>
      <c r="T2014" t="str">
        <f>"19:08:23.820"</f>
        <v>19:08:23.820</v>
      </c>
      <c r="U2014" t="str">
        <f t="shared" si="94"/>
        <v>a1cdbe</v>
      </c>
      <c r="V2014">
        <v>0</v>
      </c>
      <c r="W2014">
        <v>0</v>
      </c>
      <c r="X2014">
        <v>1</v>
      </c>
      <c r="Y2014">
        <v>0</v>
      </c>
      <c r="Z2014">
        <v>0</v>
      </c>
      <c r="AB2014">
        <v>0</v>
      </c>
      <c r="AC2014">
        <v>9</v>
      </c>
      <c r="AD2014">
        <v>3</v>
      </c>
      <c r="AE2014">
        <v>0</v>
      </c>
      <c r="AF2014">
        <v>9</v>
      </c>
      <c r="AG2014" t="s">
        <v>158</v>
      </c>
      <c r="AH2014">
        <v>0</v>
      </c>
      <c r="AI2014">
        <v>3</v>
      </c>
      <c r="AJ2014">
        <v>1</v>
      </c>
      <c r="AK2014">
        <v>0</v>
      </c>
      <c r="AL2014" t="s">
        <v>1664</v>
      </c>
      <c r="AM2014">
        <v>46.865487000000002</v>
      </c>
      <c r="AN2014" t="s">
        <v>3794</v>
      </c>
      <c r="AO2014">
        <v>-123.038828</v>
      </c>
      <c r="AP2014">
        <v>100</v>
      </c>
      <c r="AQ2014">
        <v>2000</v>
      </c>
      <c r="AR2014" t="s">
        <v>118</v>
      </c>
      <c r="AS2014">
        <v>-78</v>
      </c>
      <c r="AT2014">
        <v>20</v>
      </c>
      <c r="AU2014">
        <v>-128</v>
      </c>
      <c r="BC2014">
        <v>1200</v>
      </c>
      <c r="BD2014">
        <v>1</v>
      </c>
      <c r="BE2014" t="str">
        <f t="shared" si="95"/>
        <v xml:space="preserve">N215T   </v>
      </c>
      <c r="BF2014">
        <v>1</v>
      </c>
      <c r="BH2014">
        <v>0</v>
      </c>
      <c r="BI2014">
        <v>0</v>
      </c>
      <c r="BJ2014">
        <v>0</v>
      </c>
      <c r="BK2014">
        <v>2425</v>
      </c>
      <c r="BL2014">
        <v>425</v>
      </c>
      <c r="BM2014" t="s">
        <v>119</v>
      </c>
      <c r="BN2014">
        <v>1</v>
      </c>
      <c r="BO2014">
        <v>1</v>
      </c>
      <c r="BP2014">
        <v>1</v>
      </c>
      <c r="BQ2014">
        <v>0</v>
      </c>
      <c r="BT2014">
        <v>0</v>
      </c>
      <c r="BU2014">
        <v>0</v>
      </c>
      <c r="BV2014">
        <v>0</v>
      </c>
      <c r="CC2014" t="str">
        <f>"19:08:24.023"</f>
        <v>19:08:24.023</v>
      </c>
      <c r="CD2014" t="str">
        <f>"024616145"</f>
        <v>024616145</v>
      </c>
      <c r="CQ2014">
        <v>0</v>
      </c>
      <c r="CR2014">
        <v>2</v>
      </c>
      <c r="CS2014">
        <v>0</v>
      </c>
      <c r="CT2014">
        <v>2</v>
      </c>
      <c r="CU2014">
        <v>0</v>
      </c>
      <c r="CV2014">
        <v>7</v>
      </c>
      <c r="CW2014" t="s">
        <v>120</v>
      </c>
      <c r="CX2014">
        <v>261</v>
      </c>
      <c r="CY2014">
        <v>2</v>
      </c>
      <c r="CZ2014" t="s">
        <v>121</v>
      </c>
      <c r="DA2014" t="s">
        <v>122</v>
      </c>
      <c r="DD2014">
        <v>15458126</v>
      </c>
      <c r="DE2014" t="s">
        <v>123</v>
      </c>
    </row>
    <row r="2015" spans="1:109" x14ac:dyDescent="0.3">
      <c r="A2015" t="str">
        <f>"19:08:25.375"</f>
        <v>19:08:25.375</v>
      </c>
      <c r="B2015" t="s">
        <v>110</v>
      </c>
      <c r="C2015" t="str">
        <f t="shared" si="93"/>
        <v>ffdfd3c0</v>
      </c>
      <c r="D2015" t="s">
        <v>111</v>
      </c>
      <c r="E2015">
        <v>18</v>
      </c>
      <c r="F2015">
        <v>1018</v>
      </c>
      <c r="G2015" t="s">
        <v>112</v>
      </c>
      <c r="J2015" t="s">
        <v>113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R2015" t="s">
        <v>114</v>
      </c>
      <c r="S2015" t="str">
        <f>"19:08:25.172"</f>
        <v>19:08:25.172</v>
      </c>
      <c r="T2015" t="str">
        <f>"19:08:24.672"</f>
        <v>19:08:24.672</v>
      </c>
      <c r="U2015" t="str">
        <f t="shared" si="94"/>
        <v>a1cdbe</v>
      </c>
      <c r="V2015">
        <v>0</v>
      </c>
      <c r="W2015">
        <v>0</v>
      </c>
      <c r="X2015">
        <v>1</v>
      </c>
      <c r="Y2015">
        <v>0</v>
      </c>
      <c r="Z2015">
        <v>0</v>
      </c>
      <c r="AB2015">
        <v>0</v>
      </c>
      <c r="AC2015">
        <v>9</v>
      </c>
      <c r="AD2015">
        <v>3</v>
      </c>
      <c r="AE2015">
        <v>0</v>
      </c>
      <c r="AF2015">
        <v>9</v>
      </c>
      <c r="AG2015" t="s">
        <v>158</v>
      </c>
      <c r="AH2015">
        <v>0</v>
      </c>
      <c r="AI2015">
        <v>3</v>
      </c>
      <c r="AJ2015">
        <v>1</v>
      </c>
      <c r="AK2015">
        <v>0</v>
      </c>
      <c r="AL2015" t="s">
        <v>3795</v>
      </c>
      <c r="AM2015">
        <v>46.865616000000003</v>
      </c>
      <c r="AN2015" t="s">
        <v>3796</v>
      </c>
      <c r="AO2015">
        <v>-123.039429</v>
      </c>
      <c r="AP2015">
        <v>100</v>
      </c>
      <c r="AQ2015">
        <v>2000</v>
      </c>
      <c r="AR2015" t="s">
        <v>118</v>
      </c>
      <c r="AS2015">
        <v>-78</v>
      </c>
      <c r="AT2015">
        <v>20</v>
      </c>
      <c r="AU2015">
        <v>-128</v>
      </c>
      <c r="BC2015">
        <v>1200</v>
      </c>
      <c r="BD2015">
        <v>1</v>
      </c>
      <c r="BE2015" t="str">
        <f t="shared" si="95"/>
        <v xml:space="preserve">N215T   </v>
      </c>
      <c r="BF2015">
        <v>1</v>
      </c>
      <c r="BH2015">
        <v>0</v>
      </c>
      <c r="BI2015">
        <v>0</v>
      </c>
      <c r="BJ2015">
        <v>0</v>
      </c>
      <c r="BK2015">
        <v>2425</v>
      </c>
      <c r="BL2015">
        <v>425</v>
      </c>
      <c r="BM2015" t="s">
        <v>119</v>
      </c>
      <c r="BN2015">
        <v>1</v>
      </c>
      <c r="BO2015">
        <v>1</v>
      </c>
      <c r="BP2015">
        <v>1</v>
      </c>
      <c r="BQ2015">
        <v>0</v>
      </c>
      <c r="BT2015">
        <v>0</v>
      </c>
      <c r="BU2015">
        <v>0</v>
      </c>
      <c r="BV2015">
        <v>0</v>
      </c>
      <c r="CC2015" t="str">
        <f>"19:08:25.180"</f>
        <v>19:08:25.180</v>
      </c>
      <c r="CD2015" t="str">
        <f>"179502431"</f>
        <v>179502431</v>
      </c>
      <c r="CQ2015">
        <v>0</v>
      </c>
      <c r="CR2015">
        <v>2</v>
      </c>
      <c r="CS2015">
        <v>0</v>
      </c>
      <c r="CT2015">
        <v>2</v>
      </c>
      <c r="CU2015">
        <v>0</v>
      </c>
      <c r="CV2015">
        <v>5</v>
      </c>
      <c r="CW2015" t="s">
        <v>120</v>
      </c>
      <c r="CX2015">
        <v>261</v>
      </c>
      <c r="CY2015">
        <v>3</v>
      </c>
      <c r="CZ2015" t="s">
        <v>121</v>
      </c>
      <c r="DA2015" t="s">
        <v>122</v>
      </c>
      <c r="DD2015">
        <v>3663943</v>
      </c>
      <c r="DE2015" t="s">
        <v>123</v>
      </c>
    </row>
    <row r="2016" spans="1:109" x14ac:dyDescent="0.3">
      <c r="A2016" t="str">
        <f>"19:08:26.383"</f>
        <v>19:08:26.383</v>
      </c>
      <c r="B2016" t="s">
        <v>110</v>
      </c>
      <c r="C2016" t="str">
        <f t="shared" si="93"/>
        <v>ffdfd3c0</v>
      </c>
      <c r="D2016" t="s">
        <v>111</v>
      </c>
      <c r="E2016">
        <v>18</v>
      </c>
      <c r="F2016">
        <v>1018</v>
      </c>
      <c r="G2016" t="s">
        <v>112</v>
      </c>
      <c r="J2016" t="s">
        <v>113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R2016" t="s">
        <v>114</v>
      </c>
      <c r="S2016" t="str">
        <f>"19:08:26.109"</f>
        <v>19:08:26.109</v>
      </c>
      <c r="T2016" t="str">
        <f>"19:08:25.711"</f>
        <v>19:08:25.711</v>
      </c>
      <c r="U2016" t="str">
        <f t="shared" si="94"/>
        <v>a1cdbe</v>
      </c>
      <c r="V2016">
        <v>0</v>
      </c>
      <c r="W2016">
        <v>0</v>
      </c>
      <c r="X2016">
        <v>1</v>
      </c>
      <c r="Y2016">
        <v>0</v>
      </c>
      <c r="Z2016">
        <v>0</v>
      </c>
      <c r="AB2016">
        <v>0</v>
      </c>
      <c r="AC2016">
        <v>9</v>
      </c>
      <c r="AD2016">
        <v>3</v>
      </c>
      <c r="AE2016">
        <v>0</v>
      </c>
      <c r="AF2016">
        <v>9</v>
      </c>
      <c r="AG2016" t="s">
        <v>158</v>
      </c>
      <c r="AH2016">
        <v>0</v>
      </c>
      <c r="AI2016">
        <v>3</v>
      </c>
      <c r="AJ2016">
        <v>1</v>
      </c>
      <c r="AK2016">
        <v>0</v>
      </c>
      <c r="AL2016" t="s">
        <v>1662</v>
      </c>
      <c r="AM2016">
        <v>46.865701999999999</v>
      </c>
      <c r="AN2016" t="s">
        <v>3797</v>
      </c>
      <c r="AO2016">
        <v>-123.039901</v>
      </c>
      <c r="AP2016">
        <v>100</v>
      </c>
      <c r="AQ2016">
        <v>2000</v>
      </c>
      <c r="AR2016" t="s">
        <v>118</v>
      </c>
      <c r="AS2016">
        <v>-78</v>
      </c>
      <c r="AT2016">
        <v>20</v>
      </c>
      <c r="AU2016">
        <v>-128</v>
      </c>
      <c r="BC2016">
        <v>1200</v>
      </c>
      <c r="BD2016">
        <v>1</v>
      </c>
      <c r="BE2016" t="str">
        <f t="shared" si="95"/>
        <v xml:space="preserve">N215T   </v>
      </c>
      <c r="BF2016">
        <v>1</v>
      </c>
      <c r="BH2016">
        <v>0</v>
      </c>
      <c r="BI2016">
        <v>0</v>
      </c>
      <c r="BJ2016">
        <v>0</v>
      </c>
      <c r="BK2016">
        <v>2425</v>
      </c>
      <c r="BL2016">
        <v>425</v>
      </c>
      <c r="BM2016" t="s">
        <v>119</v>
      </c>
      <c r="BN2016">
        <v>1</v>
      </c>
      <c r="BO2016">
        <v>1</v>
      </c>
      <c r="BP2016">
        <v>1</v>
      </c>
      <c r="BQ2016">
        <v>0</v>
      </c>
      <c r="BT2016">
        <v>0</v>
      </c>
      <c r="BU2016">
        <v>0</v>
      </c>
      <c r="BV2016">
        <v>0</v>
      </c>
      <c r="CC2016" t="str">
        <f>"19:08:26.109"</f>
        <v>19:08:26.109</v>
      </c>
      <c r="CD2016" t="str">
        <f>"109410801"</f>
        <v>109410801</v>
      </c>
      <c r="CQ2016">
        <v>0</v>
      </c>
      <c r="CR2016">
        <v>2</v>
      </c>
      <c r="CS2016">
        <v>0</v>
      </c>
      <c r="CT2016">
        <v>2</v>
      </c>
      <c r="CU2016">
        <v>0</v>
      </c>
      <c r="CV2016">
        <v>7</v>
      </c>
      <c r="CW2016" t="s">
        <v>120</v>
      </c>
      <c r="CX2016">
        <v>261</v>
      </c>
      <c r="CY2016">
        <v>2</v>
      </c>
      <c r="CZ2016" t="s">
        <v>121</v>
      </c>
      <c r="DA2016" t="s">
        <v>122</v>
      </c>
      <c r="DD2016">
        <v>15459558</v>
      </c>
      <c r="DE2016" t="s">
        <v>123</v>
      </c>
    </row>
    <row r="2017" spans="1:109" x14ac:dyDescent="0.3">
      <c r="A2017" t="str">
        <f>"19:08:27.438"</f>
        <v>19:08:27.438</v>
      </c>
      <c r="B2017" t="s">
        <v>110</v>
      </c>
      <c r="C2017" t="str">
        <f t="shared" si="93"/>
        <v>ffdfd3c0</v>
      </c>
      <c r="D2017" t="s">
        <v>111</v>
      </c>
      <c r="E2017">
        <v>18</v>
      </c>
      <c r="F2017">
        <v>1018</v>
      </c>
      <c r="G2017" t="s">
        <v>112</v>
      </c>
      <c r="J2017" t="s">
        <v>113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R2017" t="s">
        <v>114</v>
      </c>
      <c r="S2017" t="str">
        <f>"19:08:27.203"</f>
        <v>19:08:27.203</v>
      </c>
      <c r="T2017" t="str">
        <f>"19:08:26.703"</f>
        <v>19:08:26.703</v>
      </c>
      <c r="U2017" t="str">
        <f t="shared" si="94"/>
        <v>a1cdbe</v>
      </c>
      <c r="V2017">
        <v>0</v>
      </c>
      <c r="W2017">
        <v>0</v>
      </c>
      <c r="X2017">
        <v>1</v>
      </c>
      <c r="Y2017">
        <v>0</v>
      </c>
      <c r="Z2017">
        <v>0</v>
      </c>
      <c r="AB2017">
        <v>0</v>
      </c>
      <c r="AC2017">
        <v>9</v>
      </c>
      <c r="AD2017">
        <v>3</v>
      </c>
      <c r="AE2017">
        <v>0</v>
      </c>
      <c r="AF2017">
        <v>9</v>
      </c>
      <c r="AG2017" t="s">
        <v>158</v>
      </c>
      <c r="AH2017">
        <v>0</v>
      </c>
      <c r="AI2017">
        <v>3</v>
      </c>
      <c r="AJ2017">
        <v>1</v>
      </c>
      <c r="AK2017">
        <v>0</v>
      </c>
      <c r="AL2017" t="s">
        <v>3798</v>
      </c>
      <c r="AM2017">
        <v>46.865808999999999</v>
      </c>
      <c r="AN2017" t="s">
        <v>3799</v>
      </c>
      <c r="AO2017">
        <v>-123.040502</v>
      </c>
      <c r="AP2017">
        <v>100</v>
      </c>
      <c r="AQ2017">
        <v>2000</v>
      </c>
      <c r="AR2017" t="s">
        <v>118</v>
      </c>
      <c r="AS2017">
        <v>-78</v>
      </c>
      <c r="AT2017">
        <v>20</v>
      </c>
      <c r="AU2017">
        <v>-128</v>
      </c>
      <c r="BC2017">
        <v>1200</v>
      </c>
      <c r="BD2017">
        <v>1</v>
      </c>
      <c r="BE2017" t="str">
        <f t="shared" si="95"/>
        <v xml:space="preserve">N215T   </v>
      </c>
      <c r="BF2017">
        <v>1</v>
      </c>
      <c r="BH2017">
        <v>0</v>
      </c>
      <c r="BI2017">
        <v>0</v>
      </c>
      <c r="BJ2017">
        <v>0</v>
      </c>
      <c r="BK2017">
        <v>2425</v>
      </c>
      <c r="BL2017">
        <v>425</v>
      </c>
      <c r="BM2017" t="s">
        <v>119</v>
      </c>
      <c r="BN2017">
        <v>1</v>
      </c>
      <c r="BO2017">
        <v>1</v>
      </c>
      <c r="BP2017">
        <v>1</v>
      </c>
      <c r="BQ2017">
        <v>0</v>
      </c>
      <c r="BT2017">
        <v>0</v>
      </c>
      <c r="BU2017">
        <v>0</v>
      </c>
      <c r="BV2017">
        <v>0</v>
      </c>
      <c r="CC2017" t="str">
        <f>"19:08:27.203"</f>
        <v>19:08:27.203</v>
      </c>
      <c r="CD2017" t="str">
        <f>"204302963"</f>
        <v>204302963</v>
      </c>
      <c r="CQ2017">
        <v>0</v>
      </c>
      <c r="CR2017">
        <v>2</v>
      </c>
      <c r="CS2017">
        <v>0</v>
      </c>
      <c r="CT2017">
        <v>2</v>
      </c>
      <c r="CU2017">
        <v>0</v>
      </c>
      <c r="CV2017">
        <v>7</v>
      </c>
      <c r="CW2017" t="s">
        <v>120</v>
      </c>
      <c r="CX2017">
        <v>261</v>
      </c>
      <c r="CY2017">
        <v>2</v>
      </c>
      <c r="CZ2017" t="s">
        <v>121</v>
      </c>
      <c r="DA2017" t="s">
        <v>122</v>
      </c>
      <c r="DD2017">
        <v>15460288</v>
      </c>
      <c r="DE2017" t="s">
        <v>123</v>
      </c>
    </row>
    <row r="2018" spans="1:109" x14ac:dyDescent="0.3">
      <c r="A2018" t="str">
        <f>"19:08:28.438"</f>
        <v>19:08:28.438</v>
      </c>
      <c r="B2018" t="s">
        <v>110</v>
      </c>
      <c r="C2018" t="str">
        <f t="shared" si="93"/>
        <v>ffdfd3c0</v>
      </c>
      <c r="D2018" t="s">
        <v>111</v>
      </c>
      <c r="E2018">
        <v>18</v>
      </c>
      <c r="F2018">
        <v>1018</v>
      </c>
      <c r="G2018" t="s">
        <v>112</v>
      </c>
      <c r="J2018" t="s">
        <v>113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R2018" t="s">
        <v>114</v>
      </c>
      <c r="S2018" t="str">
        <f>"19:08:28.234"</f>
        <v>19:08:28.234</v>
      </c>
      <c r="T2018" t="str">
        <f>"19:08:27.836"</f>
        <v>19:08:27.836</v>
      </c>
      <c r="U2018" t="str">
        <f t="shared" si="94"/>
        <v>a1cdbe</v>
      </c>
      <c r="V2018">
        <v>0</v>
      </c>
      <c r="W2018">
        <v>0</v>
      </c>
      <c r="X2018">
        <v>1</v>
      </c>
      <c r="Y2018">
        <v>0</v>
      </c>
      <c r="Z2018">
        <v>0</v>
      </c>
      <c r="AB2018">
        <v>0</v>
      </c>
      <c r="AC2018">
        <v>9</v>
      </c>
      <c r="AD2018">
        <v>3</v>
      </c>
      <c r="AE2018">
        <v>0</v>
      </c>
      <c r="AF2018">
        <v>9</v>
      </c>
      <c r="AG2018" t="s">
        <v>158</v>
      </c>
      <c r="AH2018">
        <v>0</v>
      </c>
      <c r="AI2018">
        <v>3</v>
      </c>
      <c r="AJ2018">
        <v>1</v>
      </c>
      <c r="AK2018">
        <v>0</v>
      </c>
      <c r="AL2018" t="s">
        <v>3800</v>
      </c>
      <c r="AM2018">
        <v>46.865915999999999</v>
      </c>
      <c r="AN2018" t="s">
        <v>3801</v>
      </c>
      <c r="AO2018">
        <v>-123.041039</v>
      </c>
      <c r="AP2018">
        <v>100</v>
      </c>
      <c r="AQ2018">
        <v>2000</v>
      </c>
      <c r="AR2018" t="s">
        <v>118</v>
      </c>
      <c r="AS2018">
        <v>-78</v>
      </c>
      <c r="AT2018">
        <v>20</v>
      </c>
      <c r="AU2018">
        <v>-192</v>
      </c>
      <c r="BC2018">
        <v>1200</v>
      </c>
      <c r="BD2018">
        <v>1</v>
      </c>
      <c r="BE2018" t="str">
        <f t="shared" si="95"/>
        <v xml:space="preserve">N215T   </v>
      </c>
      <c r="BF2018">
        <v>1</v>
      </c>
      <c r="BH2018">
        <v>0</v>
      </c>
      <c r="BI2018">
        <v>0</v>
      </c>
      <c r="BJ2018">
        <v>0</v>
      </c>
      <c r="BK2018">
        <v>2425</v>
      </c>
      <c r="BL2018">
        <v>425</v>
      </c>
      <c r="BM2018" t="s">
        <v>119</v>
      </c>
      <c r="BN2018">
        <v>1</v>
      </c>
      <c r="BO2018">
        <v>1</v>
      </c>
      <c r="BP2018">
        <v>1</v>
      </c>
      <c r="BQ2018">
        <v>0</v>
      </c>
      <c r="BT2018">
        <v>0</v>
      </c>
      <c r="BU2018">
        <v>0</v>
      </c>
      <c r="BV2018">
        <v>0</v>
      </c>
      <c r="CC2018" t="str">
        <f>"19:08:28.242"</f>
        <v>19:08:28.242</v>
      </c>
      <c r="CD2018" t="str">
        <f>"239201026"</f>
        <v>239201026</v>
      </c>
      <c r="CQ2018">
        <v>0</v>
      </c>
      <c r="CR2018">
        <v>2</v>
      </c>
      <c r="CS2018">
        <v>0</v>
      </c>
      <c r="CT2018">
        <v>2</v>
      </c>
      <c r="CU2018">
        <v>0</v>
      </c>
      <c r="CV2018">
        <v>7</v>
      </c>
      <c r="CW2018" t="s">
        <v>120</v>
      </c>
      <c r="CX2018">
        <v>261</v>
      </c>
      <c r="CY2018">
        <v>2</v>
      </c>
      <c r="CZ2018" t="s">
        <v>121</v>
      </c>
      <c r="DA2018" t="s">
        <v>122</v>
      </c>
      <c r="DD2018">
        <v>15460986</v>
      </c>
      <c r="DE2018" t="s">
        <v>123</v>
      </c>
    </row>
    <row r="2019" spans="1:109" x14ac:dyDescent="0.3">
      <c r="A2019" t="str">
        <f>"19:08:29.453"</f>
        <v>19:08:29.453</v>
      </c>
      <c r="B2019" t="s">
        <v>110</v>
      </c>
      <c r="C2019" t="str">
        <f t="shared" si="93"/>
        <v>ffdfd3c0</v>
      </c>
      <c r="D2019" t="s">
        <v>111</v>
      </c>
      <c r="E2019">
        <v>18</v>
      </c>
      <c r="F2019">
        <v>1018</v>
      </c>
      <c r="G2019" t="s">
        <v>112</v>
      </c>
      <c r="J2019" t="s">
        <v>113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R2019" t="s">
        <v>114</v>
      </c>
      <c r="S2019" t="str">
        <f>"19:08:29.195"</f>
        <v>19:08:29.195</v>
      </c>
      <c r="T2019" t="str">
        <f>"19:08:28.797"</f>
        <v>19:08:28.797</v>
      </c>
      <c r="U2019" t="str">
        <f t="shared" si="94"/>
        <v>a1cdbe</v>
      </c>
      <c r="V2019">
        <v>0</v>
      </c>
      <c r="W2019">
        <v>0</v>
      </c>
      <c r="X2019">
        <v>1</v>
      </c>
      <c r="Y2019">
        <v>0</v>
      </c>
      <c r="Z2019">
        <v>0</v>
      </c>
      <c r="AB2019">
        <v>0</v>
      </c>
      <c r="AC2019">
        <v>9</v>
      </c>
      <c r="AD2019">
        <v>3</v>
      </c>
      <c r="AE2019">
        <v>0</v>
      </c>
      <c r="AF2019">
        <v>9</v>
      </c>
      <c r="AG2019" t="s">
        <v>158</v>
      </c>
      <c r="AH2019">
        <v>0</v>
      </c>
      <c r="AI2019">
        <v>3</v>
      </c>
      <c r="AJ2019">
        <v>1</v>
      </c>
      <c r="AK2019">
        <v>0</v>
      </c>
      <c r="AL2019" t="s">
        <v>3802</v>
      </c>
      <c r="AM2019">
        <v>46.865980999999998</v>
      </c>
      <c r="AN2019" t="s">
        <v>3803</v>
      </c>
      <c r="AO2019">
        <v>-123.04157499999999</v>
      </c>
      <c r="AP2019">
        <v>100</v>
      </c>
      <c r="AQ2019">
        <v>2000</v>
      </c>
      <c r="AR2019" t="s">
        <v>118</v>
      </c>
      <c r="AS2019">
        <v>-78</v>
      </c>
      <c r="AT2019">
        <v>20</v>
      </c>
      <c r="AU2019">
        <v>-128</v>
      </c>
      <c r="BC2019">
        <v>1200</v>
      </c>
      <c r="BD2019">
        <v>1</v>
      </c>
      <c r="BE2019" t="str">
        <f t="shared" si="95"/>
        <v xml:space="preserve">N215T   </v>
      </c>
      <c r="BF2019">
        <v>1</v>
      </c>
      <c r="BH2019">
        <v>0</v>
      </c>
      <c r="BI2019">
        <v>0</v>
      </c>
      <c r="BJ2019">
        <v>0</v>
      </c>
      <c r="BK2019">
        <v>2425</v>
      </c>
      <c r="BL2019">
        <v>425</v>
      </c>
      <c r="BM2019" t="s">
        <v>119</v>
      </c>
      <c r="BN2019">
        <v>1</v>
      </c>
      <c r="BO2019">
        <v>1</v>
      </c>
      <c r="BP2019">
        <v>1</v>
      </c>
      <c r="BQ2019">
        <v>0</v>
      </c>
      <c r="BT2019">
        <v>0</v>
      </c>
      <c r="BU2019">
        <v>0</v>
      </c>
      <c r="BV2019">
        <v>0</v>
      </c>
      <c r="CC2019" t="str">
        <f>"19:08:29.195"</f>
        <v>19:08:29.195</v>
      </c>
      <c r="CD2019" t="str">
        <f>"199106475"</f>
        <v>199106475</v>
      </c>
      <c r="CQ2019">
        <v>0</v>
      </c>
      <c r="CR2019">
        <v>2</v>
      </c>
      <c r="CS2019">
        <v>0</v>
      </c>
      <c r="CT2019">
        <v>2</v>
      </c>
      <c r="CU2019">
        <v>0</v>
      </c>
      <c r="CV2019">
        <v>7</v>
      </c>
      <c r="CW2019" t="s">
        <v>120</v>
      </c>
      <c r="CX2019">
        <v>261</v>
      </c>
      <c r="CY2019">
        <v>2</v>
      </c>
      <c r="CZ2019" t="s">
        <v>121</v>
      </c>
      <c r="DA2019" t="s">
        <v>122</v>
      </c>
      <c r="DD2019">
        <v>15461627</v>
      </c>
      <c r="DE2019" t="s">
        <v>123</v>
      </c>
    </row>
    <row r="2020" spans="1:109" x14ac:dyDescent="0.3">
      <c r="A2020" t="str">
        <f>"19:08:30.453"</f>
        <v>19:08:30.453</v>
      </c>
      <c r="B2020" t="s">
        <v>110</v>
      </c>
      <c r="C2020" t="str">
        <f t="shared" si="93"/>
        <v>ffdfd3c0</v>
      </c>
      <c r="D2020" t="s">
        <v>111</v>
      </c>
      <c r="E2020">
        <v>18</v>
      </c>
      <c r="F2020">
        <v>1018</v>
      </c>
      <c r="G2020" t="s">
        <v>112</v>
      </c>
      <c r="J2020" t="s">
        <v>113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R2020" t="s">
        <v>114</v>
      </c>
      <c r="S2020" t="str">
        <f>"19:08:30.227"</f>
        <v>19:08:30.227</v>
      </c>
      <c r="T2020" t="str">
        <f>"19:08:29.828"</f>
        <v>19:08:29.828</v>
      </c>
      <c r="U2020" t="str">
        <f t="shared" si="94"/>
        <v>a1cdbe</v>
      </c>
      <c r="V2020">
        <v>0</v>
      </c>
      <c r="W2020">
        <v>0</v>
      </c>
      <c r="X2020">
        <v>1</v>
      </c>
      <c r="Y2020">
        <v>0</v>
      </c>
      <c r="Z2020">
        <v>0</v>
      </c>
      <c r="AB2020">
        <v>0</v>
      </c>
      <c r="AC2020">
        <v>9</v>
      </c>
      <c r="AD2020">
        <v>3</v>
      </c>
      <c r="AE2020">
        <v>0</v>
      </c>
      <c r="AF2020">
        <v>9</v>
      </c>
      <c r="AG2020" t="s">
        <v>158</v>
      </c>
      <c r="AH2020">
        <v>0</v>
      </c>
      <c r="AI2020">
        <v>3</v>
      </c>
      <c r="AJ2020">
        <v>1</v>
      </c>
      <c r="AK2020">
        <v>0</v>
      </c>
      <c r="AL2020" t="s">
        <v>3804</v>
      </c>
      <c r="AM2020">
        <v>46.866087999999998</v>
      </c>
      <c r="AN2020" t="s">
        <v>3805</v>
      </c>
      <c r="AO2020">
        <v>-123.042068</v>
      </c>
      <c r="AP2020">
        <v>100</v>
      </c>
      <c r="AQ2020">
        <v>2000</v>
      </c>
      <c r="AR2020" t="s">
        <v>118</v>
      </c>
      <c r="AS2020">
        <v>-78</v>
      </c>
      <c r="AT2020">
        <v>20</v>
      </c>
      <c r="AU2020">
        <v>-128</v>
      </c>
      <c r="BC2020">
        <v>1200</v>
      </c>
      <c r="BD2020">
        <v>1</v>
      </c>
      <c r="BE2020" t="str">
        <f t="shared" si="95"/>
        <v xml:space="preserve">N215T   </v>
      </c>
      <c r="BF2020">
        <v>1</v>
      </c>
      <c r="BH2020">
        <v>0</v>
      </c>
      <c r="BI2020">
        <v>0</v>
      </c>
      <c r="BJ2020">
        <v>0</v>
      </c>
      <c r="BK2020">
        <v>2425</v>
      </c>
      <c r="BL2020">
        <v>425</v>
      </c>
      <c r="BM2020" t="s">
        <v>119</v>
      </c>
      <c r="BN2020">
        <v>1</v>
      </c>
      <c r="BO2020">
        <v>1</v>
      </c>
      <c r="BP2020">
        <v>1</v>
      </c>
      <c r="BQ2020">
        <v>0</v>
      </c>
      <c r="BT2020">
        <v>0</v>
      </c>
      <c r="BU2020">
        <v>0</v>
      </c>
      <c r="BV2020">
        <v>0</v>
      </c>
      <c r="CC2020" t="str">
        <f>"19:08:30.234"</f>
        <v>19:08:30.234</v>
      </c>
      <c r="CD2020" t="str">
        <f>"234004534"</f>
        <v>234004534</v>
      </c>
      <c r="CQ2020">
        <v>0</v>
      </c>
      <c r="CR2020">
        <v>2</v>
      </c>
      <c r="CS2020">
        <v>0</v>
      </c>
      <c r="CT2020">
        <v>2</v>
      </c>
      <c r="CU2020">
        <v>0</v>
      </c>
      <c r="CV2020">
        <v>7</v>
      </c>
      <c r="CW2020" t="s">
        <v>120</v>
      </c>
      <c r="CX2020">
        <v>261</v>
      </c>
      <c r="CY2020">
        <v>2</v>
      </c>
      <c r="CZ2020" t="s">
        <v>121</v>
      </c>
      <c r="DA2020" t="s">
        <v>122</v>
      </c>
      <c r="DD2020">
        <v>15462348</v>
      </c>
      <c r="DE2020" t="s">
        <v>123</v>
      </c>
    </row>
    <row r="2021" spans="1:109" x14ac:dyDescent="0.3">
      <c r="A2021" t="str">
        <f>"19:08:31.406"</f>
        <v>19:08:31.406</v>
      </c>
      <c r="B2021" t="s">
        <v>110</v>
      </c>
      <c r="C2021" t="str">
        <f t="shared" si="93"/>
        <v>ffdfd3c0</v>
      </c>
      <c r="D2021" t="s">
        <v>111</v>
      </c>
      <c r="E2021">
        <v>18</v>
      </c>
      <c r="F2021">
        <v>1018</v>
      </c>
      <c r="G2021" t="s">
        <v>112</v>
      </c>
      <c r="J2021" t="s">
        <v>113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R2021" t="s">
        <v>114</v>
      </c>
      <c r="S2021" t="str">
        <f>"19:08:31.148"</f>
        <v>19:08:31.148</v>
      </c>
      <c r="T2021" t="str">
        <f>"19:08:30.750"</f>
        <v>19:08:30.750</v>
      </c>
      <c r="U2021" t="str">
        <f t="shared" si="94"/>
        <v>a1cdbe</v>
      </c>
      <c r="V2021">
        <v>0</v>
      </c>
      <c r="W2021">
        <v>0</v>
      </c>
      <c r="X2021">
        <v>1</v>
      </c>
      <c r="Y2021">
        <v>0</v>
      </c>
      <c r="Z2021">
        <v>0</v>
      </c>
      <c r="AB2021">
        <v>0</v>
      </c>
      <c r="AC2021">
        <v>9</v>
      </c>
      <c r="AD2021">
        <v>3</v>
      </c>
      <c r="AE2021">
        <v>0</v>
      </c>
      <c r="AF2021">
        <v>9</v>
      </c>
      <c r="AG2021" t="s">
        <v>158</v>
      </c>
      <c r="AH2021">
        <v>0</v>
      </c>
      <c r="AI2021">
        <v>3</v>
      </c>
      <c r="AJ2021">
        <v>1</v>
      </c>
      <c r="AK2021">
        <v>0</v>
      </c>
      <c r="AL2021" t="s">
        <v>3806</v>
      </c>
      <c r="AM2021">
        <v>46.866174000000001</v>
      </c>
      <c r="AN2021" t="s">
        <v>3807</v>
      </c>
      <c r="AO2021">
        <v>-123.04258299999999</v>
      </c>
      <c r="AP2021">
        <v>100</v>
      </c>
      <c r="AQ2021">
        <v>2000</v>
      </c>
      <c r="AR2021" t="s">
        <v>118</v>
      </c>
      <c r="AS2021">
        <v>-78</v>
      </c>
      <c r="AT2021">
        <v>20</v>
      </c>
      <c r="AU2021">
        <v>-64</v>
      </c>
      <c r="BC2021">
        <v>1200</v>
      </c>
      <c r="BD2021">
        <v>1</v>
      </c>
      <c r="BE2021" t="str">
        <f t="shared" si="95"/>
        <v xml:space="preserve">N215T   </v>
      </c>
      <c r="BF2021">
        <v>1</v>
      </c>
      <c r="BH2021">
        <v>0</v>
      </c>
      <c r="BI2021">
        <v>0</v>
      </c>
      <c r="BJ2021">
        <v>0</v>
      </c>
      <c r="BK2021">
        <v>2400</v>
      </c>
      <c r="BL2021">
        <v>400</v>
      </c>
      <c r="BM2021" t="s">
        <v>119</v>
      </c>
      <c r="BN2021">
        <v>1</v>
      </c>
      <c r="BO2021">
        <v>1</v>
      </c>
      <c r="BP2021">
        <v>1</v>
      </c>
      <c r="BQ2021">
        <v>0</v>
      </c>
      <c r="BT2021">
        <v>0</v>
      </c>
      <c r="BU2021">
        <v>0</v>
      </c>
      <c r="BV2021">
        <v>0</v>
      </c>
      <c r="CC2021" t="str">
        <f>"19:08:31.148"</f>
        <v>19:08:31.148</v>
      </c>
      <c r="CD2021" t="str">
        <f>"148914422"</f>
        <v>148914422</v>
      </c>
      <c r="CQ2021">
        <v>0</v>
      </c>
      <c r="CR2021">
        <v>2</v>
      </c>
      <c r="CS2021">
        <v>0</v>
      </c>
      <c r="CT2021">
        <v>2</v>
      </c>
      <c r="CU2021">
        <v>0</v>
      </c>
      <c r="CV2021">
        <v>7</v>
      </c>
      <c r="CW2021" t="s">
        <v>120</v>
      </c>
      <c r="CX2021">
        <v>261</v>
      </c>
      <c r="CY2021">
        <v>2</v>
      </c>
      <c r="CZ2021" t="s">
        <v>121</v>
      </c>
      <c r="DA2021" t="s">
        <v>122</v>
      </c>
      <c r="DD2021">
        <v>15462976</v>
      </c>
      <c r="DE2021" t="s">
        <v>123</v>
      </c>
    </row>
    <row r="2022" spans="1:109" x14ac:dyDescent="0.3">
      <c r="A2022" t="str">
        <f>"19:08:32.313"</f>
        <v>19:08:32.313</v>
      </c>
      <c r="B2022" t="s">
        <v>110</v>
      </c>
      <c r="C2022" t="str">
        <f t="shared" si="93"/>
        <v>ffdfd3c0</v>
      </c>
      <c r="D2022" t="s">
        <v>111</v>
      </c>
      <c r="E2022">
        <v>18</v>
      </c>
      <c r="F2022">
        <v>1018</v>
      </c>
      <c r="G2022" t="s">
        <v>112</v>
      </c>
      <c r="J2022" t="s">
        <v>113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R2022" t="s">
        <v>114</v>
      </c>
      <c r="S2022" t="str">
        <f>"19:08:32.078"</f>
        <v>19:08:32.078</v>
      </c>
      <c r="T2022" t="str">
        <f>"19:08:31.781"</f>
        <v>19:08:31.781</v>
      </c>
      <c r="U2022" t="str">
        <f t="shared" si="94"/>
        <v>a1cdbe</v>
      </c>
      <c r="V2022">
        <v>0</v>
      </c>
      <c r="W2022">
        <v>0</v>
      </c>
      <c r="X2022">
        <v>1</v>
      </c>
      <c r="Y2022">
        <v>0</v>
      </c>
      <c r="Z2022">
        <v>0</v>
      </c>
      <c r="AB2022">
        <v>0</v>
      </c>
      <c r="AC2022">
        <v>9</v>
      </c>
      <c r="AD2022">
        <v>3</v>
      </c>
      <c r="AE2022">
        <v>0</v>
      </c>
      <c r="AF2022">
        <v>9</v>
      </c>
      <c r="AG2022" t="s">
        <v>158</v>
      </c>
      <c r="AH2022">
        <v>0</v>
      </c>
      <c r="AI2022">
        <v>3</v>
      </c>
      <c r="AJ2022">
        <v>1</v>
      </c>
      <c r="AK2022">
        <v>0</v>
      </c>
      <c r="AL2022" t="s">
        <v>3808</v>
      </c>
      <c r="AM2022">
        <v>46.866259999999997</v>
      </c>
      <c r="AN2022" t="s">
        <v>3809</v>
      </c>
      <c r="AO2022">
        <v>-123.04305600000001</v>
      </c>
      <c r="AP2022">
        <v>100</v>
      </c>
      <c r="AQ2022">
        <v>2000</v>
      </c>
      <c r="AR2022" t="s">
        <v>118</v>
      </c>
      <c r="AS2022">
        <v>-78</v>
      </c>
      <c r="AT2022">
        <v>20</v>
      </c>
      <c r="AU2022">
        <v>-64</v>
      </c>
      <c r="BC2022">
        <v>1200</v>
      </c>
      <c r="BD2022">
        <v>1</v>
      </c>
      <c r="BE2022" t="str">
        <f t="shared" si="95"/>
        <v xml:space="preserve">N215T   </v>
      </c>
      <c r="BF2022">
        <v>1</v>
      </c>
      <c r="BH2022">
        <v>0</v>
      </c>
      <c r="BI2022">
        <v>0</v>
      </c>
      <c r="BJ2022">
        <v>0</v>
      </c>
      <c r="BK2022">
        <v>2425</v>
      </c>
      <c r="BL2022">
        <v>425</v>
      </c>
      <c r="BM2022" t="s">
        <v>119</v>
      </c>
      <c r="BN2022">
        <v>1</v>
      </c>
      <c r="BO2022">
        <v>1</v>
      </c>
      <c r="BP2022">
        <v>1</v>
      </c>
      <c r="BQ2022">
        <v>0</v>
      </c>
      <c r="BT2022">
        <v>0</v>
      </c>
      <c r="BU2022">
        <v>0</v>
      </c>
      <c r="BV2022">
        <v>0</v>
      </c>
      <c r="CC2022" t="str">
        <f>"19:08:32.078"</f>
        <v>19:08:32.078</v>
      </c>
      <c r="CD2022" t="str">
        <f>"078822823"</f>
        <v>078822823</v>
      </c>
      <c r="CQ2022">
        <v>0</v>
      </c>
      <c r="CR2022">
        <v>2</v>
      </c>
      <c r="CS2022">
        <v>0</v>
      </c>
      <c r="CT2022">
        <v>2</v>
      </c>
      <c r="CU2022">
        <v>0</v>
      </c>
      <c r="CV2022">
        <v>7</v>
      </c>
      <c r="CW2022" t="s">
        <v>120</v>
      </c>
      <c r="CX2022">
        <v>261</v>
      </c>
      <c r="CY2022">
        <v>2</v>
      </c>
      <c r="CZ2022" t="s">
        <v>121</v>
      </c>
      <c r="DA2022" t="s">
        <v>122</v>
      </c>
      <c r="DD2022">
        <v>15463630</v>
      </c>
      <c r="DE2022" t="s">
        <v>123</v>
      </c>
    </row>
    <row r="2023" spans="1:109" x14ac:dyDescent="0.3">
      <c r="A2023" t="str">
        <f>"19:08:33.422"</f>
        <v>19:08:33.422</v>
      </c>
      <c r="B2023" t="s">
        <v>110</v>
      </c>
      <c r="C2023" t="str">
        <f t="shared" si="93"/>
        <v>ffdfd3c0</v>
      </c>
      <c r="D2023" t="s">
        <v>111</v>
      </c>
      <c r="E2023">
        <v>18</v>
      </c>
      <c r="F2023">
        <v>1018</v>
      </c>
      <c r="G2023" t="s">
        <v>112</v>
      </c>
      <c r="J2023" t="s">
        <v>113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R2023" t="s">
        <v>114</v>
      </c>
      <c r="S2023" t="str">
        <f>"19:08:33.211"</f>
        <v>19:08:33.211</v>
      </c>
      <c r="T2023" t="str">
        <f>"19:08:33.109"</f>
        <v>19:08:33.109</v>
      </c>
      <c r="U2023" t="str">
        <f t="shared" si="94"/>
        <v>a1cdbe</v>
      </c>
      <c r="V2023">
        <v>0</v>
      </c>
      <c r="W2023">
        <v>0</v>
      </c>
      <c r="X2023">
        <v>1</v>
      </c>
      <c r="Y2023">
        <v>0</v>
      </c>
      <c r="Z2023">
        <v>0</v>
      </c>
      <c r="AB2023">
        <v>0</v>
      </c>
      <c r="AC2023">
        <v>9</v>
      </c>
      <c r="AD2023">
        <v>3</v>
      </c>
      <c r="AE2023">
        <v>0</v>
      </c>
      <c r="AF2023">
        <v>9</v>
      </c>
      <c r="AG2023" t="s">
        <v>158</v>
      </c>
      <c r="AH2023">
        <v>0</v>
      </c>
      <c r="AI2023">
        <v>3</v>
      </c>
      <c r="AJ2023">
        <v>1</v>
      </c>
      <c r="AK2023">
        <v>0</v>
      </c>
      <c r="AL2023" t="s">
        <v>1656</v>
      </c>
      <c r="AM2023">
        <v>46.866345000000003</v>
      </c>
      <c r="AN2023" t="s">
        <v>3810</v>
      </c>
      <c r="AO2023">
        <v>-123.043656</v>
      </c>
      <c r="AP2023">
        <v>100</v>
      </c>
      <c r="AQ2023">
        <v>2000</v>
      </c>
      <c r="AR2023" t="s">
        <v>118</v>
      </c>
      <c r="AS2023">
        <v>-78</v>
      </c>
      <c r="AT2023">
        <v>20</v>
      </c>
      <c r="AU2023">
        <v>0</v>
      </c>
      <c r="BC2023">
        <v>1200</v>
      </c>
      <c r="BD2023">
        <v>1</v>
      </c>
      <c r="BE2023" t="str">
        <f t="shared" si="95"/>
        <v xml:space="preserve">N215T   </v>
      </c>
      <c r="BF2023">
        <v>1</v>
      </c>
      <c r="BH2023">
        <v>0</v>
      </c>
      <c r="BI2023">
        <v>0</v>
      </c>
      <c r="BJ2023">
        <v>0</v>
      </c>
      <c r="BK2023">
        <v>2425</v>
      </c>
      <c r="BL2023">
        <v>425</v>
      </c>
      <c r="BM2023" t="s">
        <v>119</v>
      </c>
      <c r="BN2023">
        <v>1</v>
      </c>
      <c r="BO2023">
        <v>1</v>
      </c>
      <c r="BP2023">
        <v>1</v>
      </c>
      <c r="BQ2023">
        <v>0</v>
      </c>
      <c r="BT2023">
        <v>0</v>
      </c>
      <c r="BU2023">
        <v>0</v>
      </c>
      <c r="BV2023">
        <v>0</v>
      </c>
      <c r="CC2023" t="str">
        <f>"19:08:33.219"</f>
        <v>19:08:33.219</v>
      </c>
      <c r="CD2023" t="str">
        <f>"218710550"</f>
        <v>218710550</v>
      </c>
      <c r="CQ2023">
        <v>0</v>
      </c>
      <c r="CR2023">
        <v>2</v>
      </c>
      <c r="CS2023">
        <v>0</v>
      </c>
      <c r="CT2023">
        <v>2</v>
      </c>
      <c r="CU2023">
        <v>0</v>
      </c>
      <c r="CV2023">
        <v>7</v>
      </c>
      <c r="CW2023" t="s">
        <v>120</v>
      </c>
      <c r="CX2023">
        <v>261</v>
      </c>
      <c r="CY2023">
        <v>2</v>
      </c>
      <c r="CZ2023" t="s">
        <v>121</v>
      </c>
      <c r="DA2023" t="s">
        <v>122</v>
      </c>
      <c r="DD2023">
        <v>15464396</v>
      </c>
      <c r="DE2023" t="s">
        <v>123</v>
      </c>
    </row>
    <row r="2024" spans="1:109" x14ac:dyDescent="0.3">
      <c r="A2024" t="str">
        <f>"19:08:34.477"</f>
        <v>19:08:34.477</v>
      </c>
      <c r="B2024" t="s">
        <v>110</v>
      </c>
      <c r="C2024" t="str">
        <f t="shared" si="93"/>
        <v>ffdfd3c0</v>
      </c>
      <c r="D2024" t="s">
        <v>111</v>
      </c>
      <c r="E2024">
        <v>18</v>
      </c>
      <c r="F2024">
        <v>1018</v>
      </c>
      <c r="G2024" t="s">
        <v>112</v>
      </c>
      <c r="J2024" t="s">
        <v>113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R2024" t="s">
        <v>114</v>
      </c>
      <c r="S2024" t="str">
        <f>"19:08:34.219"</f>
        <v>19:08:34.219</v>
      </c>
      <c r="T2024" t="str">
        <f>"19:08:34.219"</f>
        <v>19:08:34.219</v>
      </c>
      <c r="U2024" t="str">
        <f t="shared" si="94"/>
        <v>a1cdbe</v>
      </c>
      <c r="V2024">
        <v>0</v>
      </c>
      <c r="W2024">
        <v>0</v>
      </c>
      <c r="X2024">
        <v>1</v>
      </c>
      <c r="Y2024">
        <v>0</v>
      </c>
      <c r="Z2024">
        <v>0</v>
      </c>
      <c r="AB2024">
        <v>0</v>
      </c>
      <c r="AC2024">
        <v>9</v>
      </c>
      <c r="AD2024">
        <v>3</v>
      </c>
      <c r="AE2024">
        <v>0</v>
      </c>
      <c r="AF2024">
        <v>9</v>
      </c>
      <c r="AG2024" t="s">
        <v>158</v>
      </c>
      <c r="AH2024">
        <v>0</v>
      </c>
      <c r="AI2024">
        <v>3</v>
      </c>
      <c r="AJ2024">
        <v>1</v>
      </c>
      <c r="AK2024">
        <v>0</v>
      </c>
      <c r="AL2024" t="s">
        <v>3811</v>
      </c>
      <c r="AM2024">
        <v>46.866473999999997</v>
      </c>
      <c r="AN2024" t="s">
        <v>3812</v>
      </c>
      <c r="AO2024">
        <v>-123.04419300000001</v>
      </c>
      <c r="AP2024">
        <v>100</v>
      </c>
      <c r="AQ2024">
        <v>2000</v>
      </c>
      <c r="AR2024" t="s">
        <v>118</v>
      </c>
      <c r="AS2024">
        <v>-77</v>
      </c>
      <c r="AT2024">
        <v>20</v>
      </c>
      <c r="AU2024">
        <v>0</v>
      </c>
      <c r="BC2024">
        <v>1200</v>
      </c>
      <c r="BD2024">
        <v>1</v>
      </c>
      <c r="BE2024" t="str">
        <f t="shared" si="95"/>
        <v xml:space="preserve">N215T   </v>
      </c>
      <c r="BF2024">
        <v>1</v>
      </c>
      <c r="BH2024">
        <v>0</v>
      </c>
      <c r="BI2024">
        <v>0</v>
      </c>
      <c r="BJ2024">
        <v>0</v>
      </c>
      <c r="BK2024">
        <v>2425</v>
      </c>
      <c r="BL2024">
        <v>425</v>
      </c>
      <c r="BM2024" t="s">
        <v>119</v>
      </c>
      <c r="BN2024">
        <v>1</v>
      </c>
      <c r="BO2024">
        <v>1</v>
      </c>
      <c r="BP2024">
        <v>1</v>
      </c>
      <c r="BQ2024">
        <v>0</v>
      </c>
      <c r="BT2024">
        <v>0</v>
      </c>
      <c r="BU2024">
        <v>0</v>
      </c>
      <c r="BV2024">
        <v>0</v>
      </c>
      <c r="CC2024" t="str">
        <f>"19:08:34.227"</f>
        <v>19:08:34.227</v>
      </c>
      <c r="CD2024" t="str">
        <f>"223611574"</f>
        <v>223611574</v>
      </c>
      <c r="CQ2024">
        <v>0</v>
      </c>
      <c r="CR2024">
        <v>2</v>
      </c>
      <c r="CS2024">
        <v>0</v>
      </c>
      <c r="CT2024">
        <v>2</v>
      </c>
      <c r="CU2024">
        <v>0</v>
      </c>
      <c r="CV2024">
        <v>7</v>
      </c>
      <c r="CW2024" t="s">
        <v>120</v>
      </c>
      <c r="CX2024">
        <v>261</v>
      </c>
      <c r="CY2024">
        <v>2</v>
      </c>
      <c r="CZ2024" t="s">
        <v>121</v>
      </c>
      <c r="DA2024" t="s">
        <v>122</v>
      </c>
      <c r="DD2024">
        <v>15465083</v>
      </c>
      <c r="DE2024" t="s">
        <v>123</v>
      </c>
    </row>
    <row r="2025" spans="1:109" x14ac:dyDescent="0.3">
      <c r="A2025" t="str">
        <f>"19:08:35.430"</f>
        <v>19:08:35.430</v>
      </c>
      <c r="B2025" t="s">
        <v>110</v>
      </c>
      <c r="C2025" t="str">
        <f t="shared" si="93"/>
        <v>ffdfd3c0</v>
      </c>
      <c r="D2025" t="s">
        <v>111</v>
      </c>
      <c r="E2025">
        <v>18</v>
      </c>
      <c r="F2025">
        <v>1018</v>
      </c>
      <c r="G2025" t="s">
        <v>112</v>
      </c>
      <c r="J2025" t="s">
        <v>113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R2025" t="s">
        <v>114</v>
      </c>
      <c r="S2025" t="str">
        <f>"19:08:35.195"</f>
        <v>19:08:35.195</v>
      </c>
      <c r="T2025" t="str">
        <f>"19:08:34.695"</f>
        <v>19:08:34.695</v>
      </c>
      <c r="U2025" t="str">
        <f t="shared" si="94"/>
        <v>a1cdbe</v>
      </c>
      <c r="V2025">
        <v>0</v>
      </c>
      <c r="W2025">
        <v>0</v>
      </c>
      <c r="X2025">
        <v>1</v>
      </c>
      <c r="Y2025">
        <v>0</v>
      </c>
      <c r="Z2025">
        <v>0</v>
      </c>
      <c r="AB2025">
        <v>0</v>
      </c>
      <c r="AC2025">
        <v>9</v>
      </c>
      <c r="AD2025">
        <v>3</v>
      </c>
      <c r="AE2025">
        <v>0</v>
      </c>
      <c r="AF2025">
        <v>9</v>
      </c>
      <c r="AG2025" t="s">
        <v>158</v>
      </c>
      <c r="AH2025">
        <v>0</v>
      </c>
      <c r="AI2025">
        <v>3</v>
      </c>
      <c r="AJ2025">
        <v>1</v>
      </c>
      <c r="AK2025">
        <v>0</v>
      </c>
      <c r="AL2025" t="s">
        <v>3813</v>
      </c>
      <c r="AM2025">
        <v>46.866539000000003</v>
      </c>
      <c r="AN2025" t="s">
        <v>3814</v>
      </c>
      <c r="AO2025">
        <v>-123.04466499999999</v>
      </c>
      <c r="AP2025">
        <v>100</v>
      </c>
      <c r="AQ2025">
        <v>2000</v>
      </c>
      <c r="AR2025" t="s">
        <v>118</v>
      </c>
      <c r="AS2025">
        <v>-77</v>
      </c>
      <c r="AT2025">
        <v>20</v>
      </c>
      <c r="AU2025">
        <v>0</v>
      </c>
      <c r="BC2025">
        <v>1200</v>
      </c>
      <c r="BD2025">
        <v>1</v>
      </c>
      <c r="BE2025" t="str">
        <f t="shared" si="95"/>
        <v xml:space="preserve">N215T   </v>
      </c>
      <c r="BF2025">
        <v>1</v>
      </c>
      <c r="BH2025">
        <v>0</v>
      </c>
      <c r="BI2025">
        <v>0</v>
      </c>
      <c r="BJ2025">
        <v>0</v>
      </c>
      <c r="BK2025">
        <v>2425</v>
      </c>
      <c r="BL2025">
        <v>425</v>
      </c>
      <c r="BM2025" t="s">
        <v>119</v>
      </c>
      <c r="BN2025">
        <v>1</v>
      </c>
      <c r="BO2025">
        <v>1</v>
      </c>
      <c r="BP2025">
        <v>1</v>
      </c>
      <c r="BQ2025">
        <v>0</v>
      </c>
      <c r="BT2025">
        <v>0</v>
      </c>
      <c r="BU2025">
        <v>0</v>
      </c>
      <c r="BV2025">
        <v>0</v>
      </c>
      <c r="CC2025" t="str">
        <f>"19:08:35.195"</f>
        <v>19:08:35.195</v>
      </c>
      <c r="CD2025" t="str">
        <f>"198527760"</f>
        <v>198527760</v>
      </c>
      <c r="CQ2025">
        <v>0</v>
      </c>
      <c r="CR2025">
        <v>2</v>
      </c>
      <c r="CS2025">
        <v>0</v>
      </c>
      <c r="CT2025">
        <v>2</v>
      </c>
      <c r="CU2025">
        <v>0</v>
      </c>
      <c r="CV2025">
        <v>1</v>
      </c>
      <c r="CW2025" t="s">
        <v>120</v>
      </c>
      <c r="CX2025">
        <v>257</v>
      </c>
      <c r="CY2025">
        <v>1</v>
      </c>
      <c r="CZ2025" t="s">
        <v>615</v>
      </c>
      <c r="DA2025" t="s">
        <v>616</v>
      </c>
      <c r="DD2025">
        <v>11888664</v>
      </c>
      <c r="DE2025" t="s">
        <v>123</v>
      </c>
    </row>
    <row r="2026" spans="1:109" x14ac:dyDescent="0.3">
      <c r="A2026" t="str">
        <f>"19:08:36.484"</f>
        <v>19:08:36.484</v>
      </c>
      <c r="B2026" t="s">
        <v>110</v>
      </c>
      <c r="C2026" t="str">
        <f t="shared" si="93"/>
        <v>ffdfd3c0</v>
      </c>
      <c r="D2026" t="s">
        <v>111</v>
      </c>
      <c r="E2026">
        <v>18</v>
      </c>
      <c r="F2026">
        <v>1018</v>
      </c>
      <c r="G2026" t="s">
        <v>112</v>
      </c>
      <c r="J2026" t="s">
        <v>113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R2026" t="s">
        <v>114</v>
      </c>
      <c r="S2026" t="str">
        <f>"19:08:36.242"</f>
        <v>19:08:36.242</v>
      </c>
      <c r="T2026" t="str">
        <f>"19:08:36.242"</f>
        <v>19:08:36.242</v>
      </c>
      <c r="U2026" t="str">
        <f t="shared" si="94"/>
        <v>a1cdbe</v>
      </c>
      <c r="V2026">
        <v>0</v>
      </c>
      <c r="W2026">
        <v>0</v>
      </c>
      <c r="X2026">
        <v>1</v>
      </c>
      <c r="Y2026">
        <v>0</v>
      </c>
      <c r="Z2026">
        <v>0</v>
      </c>
      <c r="AB2026">
        <v>0</v>
      </c>
      <c r="AC2026">
        <v>9</v>
      </c>
      <c r="AD2026">
        <v>3</v>
      </c>
      <c r="AE2026">
        <v>0</v>
      </c>
      <c r="AF2026">
        <v>9</v>
      </c>
      <c r="AG2026" t="s">
        <v>158</v>
      </c>
      <c r="AH2026">
        <v>0</v>
      </c>
      <c r="AI2026">
        <v>3</v>
      </c>
      <c r="AJ2026">
        <v>1</v>
      </c>
      <c r="AK2026">
        <v>0</v>
      </c>
      <c r="AL2026" t="s">
        <v>3815</v>
      </c>
      <c r="AM2026">
        <v>46.866646000000003</v>
      </c>
      <c r="AN2026" t="s">
        <v>3816</v>
      </c>
      <c r="AO2026">
        <v>-123.04522299999999</v>
      </c>
      <c r="AP2026">
        <v>100</v>
      </c>
      <c r="AQ2026">
        <v>2000</v>
      </c>
      <c r="AR2026" t="s">
        <v>118</v>
      </c>
      <c r="AS2026">
        <v>-77</v>
      </c>
      <c r="AT2026">
        <v>20</v>
      </c>
      <c r="AU2026">
        <v>0</v>
      </c>
      <c r="BC2026">
        <v>1200</v>
      </c>
      <c r="BD2026">
        <v>1</v>
      </c>
      <c r="BE2026" t="str">
        <f t="shared" si="95"/>
        <v xml:space="preserve">N215T   </v>
      </c>
      <c r="BF2026">
        <v>1</v>
      </c>
      <c r="BH2026">
        <v>0</v>
      </c>
      <c r="BI2026">
        <v>0</v>
      </c>
      <c r="BJ2026">
        <v>0</v>
      </c>
      <c r="BK2026">
        <v>2425</v>
      </c>
      <c r="BL2026">
        <v>425</v>
      </c>
      <c r="BM2026" t="s">
        <v>119</v>
      </c>
      <c r="BN2026">
        <v>1</v>
      </c>
      <c r="BO2026">
        <v>1</v>
      </c>
      <c r="BP2026">
        <v>1</v>
      </c>
      <c r="BQ2026">
        <v>0</v>
      </c>
      <c r="BT2026">
        <v>0</v>
      </c>
      <c r="BU2026">
        <v>0</v>
      </c>
      <c r="BV2026">
        <v>0</v>
      </c>
      <c r="CC2026" t="str">
        <f>"19:08:36.250"</f>
        <v>19:08:36.250</v>
      </c>
      <c r="CD2026" t="str">
        <f>"248412128"</f>
        <v>248412128</v>
      </c>
      <c r="CQ2026">
        <v>0</v>
      </c>
      <c r="CR2026">
        <v>2</v>
      </c>
      <c r="CS2026">
        <v>0</v>
      </c>
      <c r="CT2026">
        <v>2</v>
      </c>
      <c r="CU2026">
        <v>0</v>
      </c>
      <c r="CV2026">
        <v>7</v>
      </c>
      <c r="CW2026" t="s">
        <v>120</v>
      </c>
      <c r="CX2026">
        <v>261</v>
      </c>
      <c r="CY2026">
        <v>2</v>
      </c>
      <c r="CZ2026" t="s">
        <v>121</v>
      </c>
      <c r="DA2026" t="s">
        <v>122</v>
      </c>
      <c r="DD2026">
        <v>15466472</v>
      </c>
      <c r="DE2026" t="s">
        <v>123</v>
      </c>
    </row>
    <row r="2027" spans="1:109" x14ac:dyDescent="0.3">
      <c r="A2027" t="str">
        <f>"19:08:37.492"</f>
        <v>19:08:37.492</v>
      </c>
      <c r="B2027" t="s">
        <v>110</v>
      </c>
      <c r="C2027" t="str">
        <f t="shared" si="93"/>
        <v>ffdfd3c0</v>
      </c>
      <c r="D2027" t="s">
        <v>111</v>
      </c>
      <c r="E2027">
        <v>18</v>
      </c>
      <c r="F2027">
        <v>1018</v>
      </c>
      <c r="G2027" t="s">
        <v>112</v>
      </c>
      <c r="J2027" t="s">
        <v>113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R2027" t="s">
        <v>114</v>
      </c>
      <c r="S2027" t="str">
        <f>"19:08:37.266"</f>
        <v>19:08:37.266</v>
      </c>
      <c r="T2027" t="str">
        <f>"19:08:36.766"</f>
        <v>19:08:36.766</v>
      </c>
      <c r="U2027" t="str">
        <f t="shared" si="94"/>
        <v>a1cdbe</v>
      </c>
      <c r="V2027">
        <v>0</v>
      </c>
      <c r="W2027">
        <v>0</v>
      </c>
      <c r="X2027">
        <v>1</v>
      </c>
      <c r="Y2027">
        <v>0</v>
      </c>
      <c r="Z2027">
        <v>0</v>
      </c>
      <c r="AB2027">
        <v>0</v>
      </c>
      <c r="AC2027">
        <v>9</v>
      </c>
      <c r="AD2027">
        <v>3</v>
      </c>
      <c r="AE2027">
        <v>0</v>
      </c>
      <c r="AF2027">
        <v>9</v>
      </c>
      <c r="AG2027" t="s">
        <v>158</v>
      </c>
      <c r="AH2027">
        <v>0</v>
      </c>
      <c r="AI2027">
        <v>3</v>
      </c>
      <c r="AJ2027">
        <v>1</v>
      </c>
      <c r="AK2027">
        <v>0</v>
      </c>
      <c r="AL2027" t="s">
        <v>1652</v>
      </c>
      <c r="AM2027">
        <v>46.866709999999998</v>
      </c>
      <c r="AN2027" t="s">
        <v>3817</v>
      </c>
      <c r="AO2027">
        <v>-123.04580199999999</v>
      </c>
      <c r="AP2027">
        <v>100</v>
      </c>
      <c r="AQ2027">
        <v>2000</v>
      </c>
      <c r="AR2027" t="s">
        <v>118</v>
      </c>
      <c r="AS2027">
        <v>-77</v>
      </c>
      <c r="AT2027">
        <v>20</v>
      </c>
      <c r="AU2027">
        <v>0</v>
      </c>
      <c r="BC2027">
        <v>1200</v>
      </c>
      <c r="BD2027">
        <v>1</v>
      </c>
      <c r="BE2027" t="str">
        <f t="shared" si="95"/>
        <v xml:space="preserve">N215T   </v>
      </c>
      <c r="BF2027">
        <v>1</v>
      </c>
      <c r="BH2027">
        <v>0</v>
      </c>
      <c r="BI2027">
        <v>0</v>
      </c>
      <c r="BJ2027">
        <v>0</v>
      </c>
      <c r="BK2027">
        <v>2425</v>
      </c>
      <c r="BL2027">
        <v>425</v>
      </c>
      <c r="BM2027" t="s">
        <v>119</v>
      </c>
      <c r="BN2027">
        <v>1</v>
      </c>
      <c r="BO2027">
        <v>1</v>
      </c>
      <c r="BP2027">
        <v>1</v>
      </c>
      <c r="BQ2027">
        <v>0</v>
      </c>
      <c r="BT2027">
        <v>0</v>
      </c>
      <c r="BU2027">
        <v>0</v>
      </c>
      <c r="BV2027">
        <v>0</v>
      </c>
      <c r="CC2027" t="str">
        <f>"19:08:37.266"</f>
        <v>19:08:37.266</v>
      </c>
      <c r="CD2027" t="str">
        <f>"268311667"</f>
        <v>268311667</v>
      </c>
      <c r="CQ2027">
        <v>0</v>
      </c>
      <c r="CR2027">
        <v>2</v>
      </c>
      <c r="CS2027">
        <v>0</v>
      </c>
      <c r="CT2027">
        <v>2</v>
      </c>
      <c r="CU2027">
        <v>0</v>
      </c>
      <c r="CV2027">
        <v>6</v>
      </c>
      <c r="CW2027" t="s">
        <v>120</v>
      </c>
      <c r="CX2027">
        <v>261</v>
      </c>
      <c r="CY2027">
        <v>2</v>
      </c>
      <c r="CZ2027" t="s">
        <v>121</v>
      </c>
      <c r="DA2027" t="s">
        <v>122</v>
      </c>
      <c r="DD2027">
        <v>15467172</v>
      </c>
      <c r="DE2027" t="s">
        <v>123</v>
      </c>
    </row>
    <row r="2028" spans="1:109" x14ac:dyDescent="0.3">
      <c r="A2028" t="str">
        <f>"19:08:38.500"</f>
        <v>19:08:38.500</v>
      </c>
      <c r="B2028" t="s">
        <v>110</v>
      </c>
      <c r="C2028" t="str">
        <f t="shared" si="93"/>
        <v>ffdfd3c0</v>
      </c>
      <c r="D2028" t="s">
        <v>111</v>
      </c>
      <c r="E2028">
        <v>18</v>
      </c>
      <c r="F2028">
        <v>1018</v>
      </c>
      <c r="G2028" t="s">
        <v>112</v>
      </c>
      <c r="J2028" t="s">
        <v>113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R2028" t="s">
        <v>114</v>
      </c>
      <c r="S2028" t="str">
        <f>"19:08:38.266"</f>
        <v>19:08:38.266</v>
      </c>
      <c r="T2028" t="str">
        <f>"19:08:37.867"</f>
        <v>19:08:37.867</v>
      </c>
      <c r="U2028" t="str">
        <f t="shared" si="94"/>
        <v>a1cdbe</v>
      </c>
      <c r="V2028">
        <v>0</v>
      </c>
      <c r="W2028">
        <v>0</v>
      </c>
      <c r="X2028">
        <v>1</v>
      </c>
      <c r="Y2028">
        <v>0</v>
      </c>
      <c r="Z2028">
        <v>0</v>
      </c>
      <c r="AB2028">
        <v>0</v>
      </c>
      <c r="AC2028">
        <v>9</v>
      </c>
      <c r="AD2028">
        <v>3</v>
      </c>
      <c r="AE2028">
        <v>0</v>
      </c>
      <c r="AF2028">
        <v>9</v>
      </c>
      <c r="AG2028" t="s">
        <v>158</v>
      </c>
      <c r="AH2028">
        <v>0</v>
      </c>
      <c r="AI2028">
        <v>3</v>
      </c>
      <c r="AJ2028">
        <v>1</v>
      </c>
      <c r="AK2028">
        <v>0</v>
      </c>
      <c r="AL2028" t="s">
        <v>3818</v>
      </c>
      <c r="AM2028">
        <v>46.866838999999999</v>
      </c>
      <c r="AN2028" t="s">
        <v>3819</v>
      </c>
      <c r="AO2028">
        <v>-123.046317</v>
      </c>
      <c r="AP2028">
        <v>100</v>
      </c>
      <c r="AQ2028">
        <v>2000</v>
      </c>
      <c r="AR2028" t="s">
        <v>118</v>
      </c>
      <c r="AS2028">
        <v>-77</v>
      </c>
      <c r="AT2028">
        <v>20</v>
      </c>
      <c r="AU2028">
        <v>0</v>
      </c>
      <c r="BC2028">
        <v>1200</v>
      </c>
      <c r="BD2028">
        <v>1</v>
      </c>
      <c r="BE2028" t="str">
        <f t="shared" si="95"/>
        <v xml:space="preserve">N215T   </v>
      </c>
      <c r="BF2028">
        <v>1</v>
      </c>
      <c r="BH2028">
        <v>0</v>
      </c>
      <c r="BI2028">
        <v>0</v>
      </c>
      <c r="BJ2028">
        <v>0</v>
      </c>
      <c r="BK2028">
        <v>2425</v>
      </c>
      <c r="BL2028">
        <v>425</v>
      </c>
      <c r="BM2028" t="s">
        <v>119</v>
      </c>
      <c r="BN2028">
        <v>1</v>
      </c>
      <c r="BO2028">
        <v>1</v>
      </c>
      <c r="BP2028">
        <v>1</v>
      </c>
      <c r="BQ2028">
        <v>0</v>
      </c>
      <c r="BT2028">
        <v>0</v>
      </c>
      <c r="BU2028">
        <v>0</v>
      </c>
      <c r="BV2028">
        <v>0</v>
      </c>
      <c r="CC2028" t="str">
        <f>"19:08:38.273"</f>
        <v>19:08:38.273</v>
      </c>
      <c r="CD2028" t="str">
        <f>"273212687"</f>
        <v>273212687</v>
      </c>
      <c r="CQ2028">
        <v>0</v>
      </c>
      <c r="CR2028">
        <v>2</v>
      </c>
      <c r="CS2028">
        <v>0</v>
      </c>
      <c r="CT2028">
        <v>2</v>
      </c>
      <c r="CU2028">
        <v>0</v>
      </c>
      <c r="CV2028">
        <v>7</v>
      </c>
      <c r="CW2028" t="s">
        <v>120</v>
      </c>
      <c r="CX2028">
        <v>261</v>
      </c>
      <c r="CY2028">
        <v>2</v>
      </c>
      <c r="CZ2028" t="s">
        <v>121</v>
      </c>
      <c r="DA2028" t="s">
        <v>122</v>
      </c>
      <c r="DD2028">
        <v>15467872</v>
      </c>
      <c r="DE2028" t="s">
        <v>123</v>
      </c>
    </row>
    <row r="2029" spans="1:109" x14ac:dyDescent="0.3">
      <c r="A2029" t="str">
        <f>"19:08:39.555"</f>
        <v>19:08:39.555</v>
      </c>
      <c r="B2029" t="s">
        <v>110</v>
      </c>
      <c r="C2029" t="str">
        <f t="shared" si="93"/>
        <v>ffdfd3c0</v>
      </c>
      <c r="D2029" t="s">
        <v>111</v>
      </c>
      <c r="E2029">
        <v>18</v>
      </c>
      <c r="F2029">
        <v>1018</v>
      </c>
      <c r="G2029" t="s">
        <v>112</v>
      </c>
      <c r="J2029" t="s">
        <v>113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R2029" t="s">
        <v>114</v>
      </c>
      <c r="S2029" t="str">
        <f>"19:08:39.336"</f>
        <v>19:08:39.336</v>
      </c>
      <c r="T2029" t="str">
        <f>"19:08:39.336"</f>
        <v>19:08:39.336</v>
      </c>
      <c r="U2029" t="str">
        <f t="shared" si="94"/>
        <v>a1cdbe</v>
      </c>
      <c r="V2029">
        <v>0</v>
      </c>
      <c r="W2029">
        <v>0</v>
      </c>
      <c r="X2029">
        <v>1</v>
      </c>
      <c r="Y2029">
        <v>0</v>
      </c>
      <c r="Z2029">
        <v>0</v>
      </c>
      <c r="AB2029">
        <v>0</v>
      </c>
      <c r="AC2029">
        <v>9</v>
      </c>
      <c r="AD2029">
        <v>3</v>
      </c>
      <c r="AE2029">
        <v>0</v>
      </c>
      <c r="AF2029">
        <v>9</v>
      </c>
      <c r="AG2029" t="s">
        <v>158</v>
      </c>
      <c r="AH2029">
        <v>0</v>
      </c>
      <c r="AI2029">
        <v>3</v>
      </c>
      <c r="AJ2029">
        <v>1</v>
      </c>
      <c r="AK2029">
        <v>0</v>
      </c>
      <c r="AL2029" t="s">
        <v>3820</v>
      </c>
      <c r="AM2029">
        <v>46.866903000000001</v>
      </c>
      <c r="AN2029" t="s">
        <v>3821</v>
      </c>
      <c r="AO2029">
        <v>-123.046875</v>
      </c>
      <c r="AP2029">
        <v>100</v>
      </c>
      <c r="AQ2029">
        <v>2000</v>
      </c>
      <c r="AR2029" t="s">
        <v>118</v>
      </c>
      <c r="AS2029">
        <v>-77</v>
      </c>
      <c r="AT2029">
        <v>20</v>
      </c>
      <c r="AU2029">
        <v>0</v>
      </c>
      <c r="BC2029">
        <v>1200</v>
      </c>
      <c r="BD2029">
        <v>1</v>
      </c>
      <c r="BE2029" t="str">
        <f t="shared" si="95"/>
        <v xml:space="preserve">N215T   </v>
      </c>
      <c r="BF2029">
        <v>1</v>
      </c>
      <c r="BH2029">
        <v>0</v>
      </c>
      <c r="BI2029">
        <v>0</v>
      </c>
      <c r="BJ2029">
        <v>0</v>
      </c>
      <c r="BK2029">
        <v>2425</v>
      </c>
      <c r="BL2029">
        <v>425</v>
      </c>
      <c r="BM2029" t="s">
        <v>119</v>
      </c>
      <c r="BN2029">
        <v>1</v>
      </c>
      <c r="BO2029">
        <v>1</v>
      </c>
      <c r="BP2029">
        <v>1</v>
      </c>
      <c r="BQ2029">
        <v>0</v>
      </c>
      <c r="BT2029">
        <v>0</v>
      </c>
      <c r="BU2029">
        <v>0</v>
      </c>
      <c r="BV2029">
        <v>0</v>
      </c>
      <c r="CC2029" t="str">
        <f>"19:08:39.336"</f>
        <v>19:08:39.336</v>
      </c>
      <c r="CD2029" t="str">
        <f>"338107789"</f>
        <v>338107789</v>
      </c>
      <c r="CQ2029">
        <v>0</v>
      </c>
      <c r="CR2029">
        <v>2</v>
      </c>
      <c r="CS2029">
        <v>0</v>
      </c>
      <c r="CT2029">
        <v>2</v>
      </c>
      <c r="CU2029">
        <v>0</v>
      </c>
      <c r="CV2029">
        <v>6</v>
      </c>
      <c r="CW2029" t="s">
        <v>120</v>
      </c>
      <c r="CX2029">
        <v>261</v>
      </c>
      <c r="CY2029">
        <v>2</v>
      </c>
      <c r="CZ2029" t="s">
        <v>121</v>
      </c>
      <c r="DA2029" t="s">
        <v>122</v>
      </c>
      <c r="DD2029">
        <v>15468585</v>
      </c>
      <c r="DE2029" t="s">
        <v>123</v>
      </c>
    </row>
    <row r="2030" spans="1:109" x14ac:dyDescent="0.3">
      <c r="A2030" t="str">
        <f>"19:08:40.406"</f>
        <v>19:08:40.406</v>
      </c>
      <c r="B2030" t="s">
        <v>110</v>
      </c>
      <c r="C2030" t="str">
        <f t="shared" si="93"/>
        <v>ffdfd3c0</v>
      </c>
      <c r="D2030" t="s">
        <v>111</v>
      </c>
      <c r="E2030">
        <v>18</v>
      </c>
      <c r="F2030">
        <v>1018</v>
      </c>
      <c r="G2030" t="s">
        <v>112</v>
      </c>
      <c r="J2030" t="s">
        <v>113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R2030" t="s">
        <v>114</v>
      </c>
      <c r="S2030" t="str">
        <f>"19:08:40.203"</f>
        <v>19:08:40.203</v>
      </c>
      <c r="T2030" t="str">
        <f>"19:08:40.203"</f>
        <v>19:08:40.203</v>
      </c>
      <c r="U2030" t="str">
        <f t="shared" si="94"/>
        <v>a1cdbe</v>
      </c>
      <c r="V2030">
        <v>0</v>
      </c>
      <c r="W2030">
        <v>0</v>
      </c>
      <c r="X2030">
        <v>1</v>
      </c>
      <c r="Y2030">
        <v>0</v>
      </c>
      <c r="Z2030">
        <v>0</v>
      </c>
      <c r="AB2030">
        <v>0</v>
      </c>
      <c r="AC2030">
        <v>9</v>
      </c>
      <c r="AD2030">
        <v>3</v>
      </c>
      <c r="AE2030">
        <v>0</v>
      </c>
      <c r="AF2030">
        <v>9</v>
      </c>
      <c r="AG2030" t="s">
        <v>158</v>
      </c>
      <c r="AH2030">
        <v>0</v>
      </c>
      <c r="AI2030">
        <v>3</v>
      </c>
      <c r="AJ2030">
        <v>1</v>
      </c>
      <c r="AK2030">
        <v>0</v>
      </c>
      <c r="AL2030" t="s">
        <v>3822</v>
      </c>
      <c r="AM2030">
        <v>46.867032000000002</v>
      </c>
      <c r="AN2030" t="s">
        <v>3823</v>
      </c>
      <c r="AO2030">
        <v>-123.04728299999999</v>
      </c>
      <c r="AP2030">
        <v>100</v>
      </c>
      <c r="AQ2030">
        <v>2000</v>
      </c>
      <c r="AR2030" t="s">
        <v>118</v>
      </c>
      <c r="AS2030">
        <v>-77</v>
      </c>
      <c r="AT2030">
        <v>21</v>
      </c>
      <c r="AU2030">
        <v>64</v>
      </c>
      <c r="BC2030">
        <v>1200</v>
      </c>
      <c r="BD2030">
        <v>1</v>
      </c>
      <c r="BE2030" t="str">
        <f t="shared" si="95"/>
        <v xml:space="preserve">N215T   </v>
      </c>
      <c r="BF2030">
        <v>1</v>
      </c>
      <c r="BH2030">
        <v>0</v>
      </c>
      <c r="BI2030">
        <v>0</v>
      </c>
      <c r="BJ2030">
        <v>0</v>
      </c>
      <c r="BK2030">
        <v>2425</v>
      </c>
      <c r="BL2030">
        <v>425</v>
      </c>
      <c r="BM2030" t="s">
        <v>119</v>
      </c>
      <c r="BN2030">
        <v>1</v>
      </c>
      <c r="BO2030">
        <v>1</v>
      </c>
      <c r="BP2030">
        <v>1</v>
      </c>
      <c r="BQ2030">
        <v>0</v>
      </c>
      <c r="BT2030">
        <v>0</v>
      </c>
      <c r="BU2030">
        <v>0</v>
      </c>
      <c r="BV2030">
        <v>0</v>
      </c>
      <c r="CC2030" t="str">
        <f>"19:08:40.211"</f>
        <v>19:08:40.211</v>
      </c>
      <c r="CD2030" t="str">
        <f>"208022106"</f>
        <v>208022106</v>
      </c>
      <c r="CQ2030">
        <v>0</v>
      </c>
      <c r="CR2030">
        <v>2</v>
      </c>
      <c r="CS2030">
        <v>0</v>
      </c>
      <c r="CT2030">
        <v>2</v>
      </c>
      <c r="CU2030">
        <v>0</v>
      </c>
      <c r="CV2030">
        <v>7</v>
      </c>
      <c r="CW2030" t="s">
        <v>120</v>
      </c>
      <c r="CX2030">
        <v>261</v>
      </c>
      <c r="CY2030">
        <v>2</v>
      </c>
      <c r="CZ2030" t="s">
        <v>121</v>
      </c>
      <c r="DA2030" t="s">
        <v>122</v>
      </c>
      <c r="DD2030">
        <v>15469155</v>
      </c>
      <c r="DE2030" t="s">
        <v>123</v>
      </c>
    </row>
    <row r="2031" spans="1:109" x14ac:dyDescent="0.3">
      <c r="A2031" t="str">
        <f>"19:08:41.414"</f>
        <v>19:08:41.414</v>
      </c>
      <c r="B2031" t="s">
        <v>110</v>
      </c>
      <c r="C2031" t="str">
        <f t="shared" si="93"/>
        <v>ffdfd3c0</v>
      </c>
      <c r="D2031" t="s">
        <v>111</v>
      </c>
      <c r="E2031">
        <v>18</v>
      </c>
      <c r="F2031">
        <v>1018</v>
      </c>
      <c r="G2031" t="s">
        <v>112</v>
      </c>
      <c r="J2031" t="s">
        <v>113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R2031" t="s">
        <v>114</v>
      </c>
      <c r="S2031" t="str">
        <f>"19:08:41.211"</f>
        <v>19:08:41.211</v>
      </c>
      <c r="T2031" t="str">
        <f>"19:08:40.813"</f>
        <v>19:08:40.813</v>
      </c>
      <c r="U2031" t="str">
        <f t="shared" si="94"/>
        <v>a1cdbe</v>
      </c>
      <c r="V2031">
        <v>0</v>
      </c>
      <c r="W2031">
        <v>0</v>
      </c>
      <c r="X2031">
        <v>1</v>
      </c>
      <c r="Y2031">
        <v>0</v>
      </c>
      <c r="Z2031">
        <v>0</v>
      </c>
      <c r="AB2031">
        <v>0</v>
      </c>
      <c r="AC2031">
        <v>9</v>
      </c>
      <c r="AD2031">
        <v>3</v>
      </c>
      <c r="AE2031">
        <v>0</v>
      </c>
      <c r="AF2031">
        <v>9</v>
      </c>
      <c r="AG2031" t="s">
        <v>158</v>
      </c>
      <c r="AH2031">
        <v>0</v>
      </c>
      <c r="AI2031">
        <v>3</v>
      </c>
      <c r="AJ2031">
        <v>1</v>
      </c>
      <c r="AK2031">
        <v>0</v>
      </c>
      <c r="AL2031" t="s">
        <v>3824</v>
      </c>
      <c r="AM2031">
        <v>46.867075</v>
      </c>
      <c r="AN2031" t="s">
        <v>3825</v>
      </c>
      <c r="AO2031">
        <v>-123.047819</v>
      </c>
      <c r="AP2031">
        <v>100</v>
      </c>
      <c r="AQ2031">
        <v>2000</v>
      </c>
      <c r="AR2031" t="s">
        <v>118</v>
      </c>
      <c r="AS2031">
        <v>-77</v>
      </c>
      <c r="AT2031">
        <v>21</v>
      </c>
      <c r="AU2031">
        <v>64</v>
      </c>
      <c r="BC2031">
        <v>1200</v>
      </c>
      <c r="BD2031">
        <v>1</v>
      </c>
      <c r="BE2031" t="str">
        <f t="shared" si="95"/>
        <v xml:space="preserve">N215T   </v>
      </c>
      <c r="BF2031">
        <v>1</v>
      </c>
      <c r="BH2031">
        <v>0</v>
      </c>
      <c r="BI2031">
        <v>0</v>
      </c>
      <c r="BJ2031">
        <v>0</v>
      </c>
      <c r="BK2031">
        <v>2425</v>
      </c>
      <c r="BL2031">
        <v>425</v>
      </c>
      <c r="BM2031" t="s">
        <v>119</v>
      </c>
      <c r="BN2031">
        <v>1</v>
      </c>
      <c r="BO2031">
        <v>1</v>
      </c>
      <c r="BP2031">
        <v>1</v>
      </c>
      <c r="BQ2031">
        <v>0</v>
      </c>
      <c r="BT2031">
        <v>0</v>
      </c>
      <c r="BU2031">
        <v>0</v>
      </c>
      <c r="BV2031">
        <v>0</v>
      </c>
      <c r="CC2031" t="str">
        <f>"19:08:41.211"</f>
        <v>19:08:41.211</v>
      </c>
      <c r="CD2031" t="str">
        <f>"212923128"</f>
        <v>212923128</v>
      </c>
      <c r="CQ2031">
        <v>0</v>
      </c>
      <c r="CR2031">
        <v>2</v>
      </c>
      <c r="CS2031">
        <v>0</v>
      </c>
      <c r="CT2031">
        <v>2</v>
      </c>
      <c r="CU2031">
        <v>0</v>
      </c>
      <c r="CV2031">
        <v>7</v>
      </c>
      <c r="CW2031" t="s">
        <v>120</v>
      </c>
      <c r="CX2031">
        <v>261</v>
      </c>
      <c r="CY2031">
        <v>2</v>
      </c>
      <c r="CZ2031" t="s">
        <v>121</v>
      </c>
      <c r="DA2031" t="s">
        <v>122</v>
      </c>
      <c r="DD2031">
        <v>15469808</v>
      </c>
      <c r="DE2031" t="s">
        <v>123</v>
      </c>
    </row>
    <row r="2032" spans="1:109" x14ac:dyDescent="0.3">
      <c r="A2032" t="str">
        <f>"19:08:42.469"</f>
        <v>19:08:42.469</v>
      </c>
      <c r="B2032" t="s">
        <v>110</v>
      </c>
      <c r="C2032" t="str">
        <f t="shared" si="93"/>
        <v>ffdfd3c0</v>
      </c>
      <c r="D2032" t="s">
        <v>111</v>
      </c>
      <c r="E2032">
        <v>18</v>
      </c>
      <c r="F2032">
        <v>1018</v>
      </c>
      <c r="G2032" t="s">
        <v>112</v>
      </c>
      <c r="J2032" t="s">
        <v>113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R2032" t="s">
        <v>114</v>
      </c>
      <c r="S2032" t="str">
        <f>"19:08:42.227"</f>
        <v>19:08:42.227</v>
      </c>
      <c r="T2032" t="str">
        <f>"19:08:41.930"</f>
        <v>19:08:41.930</v>
      </c>
      <c r="U2032" t="str">
        <f t="shared" si="94"/>
        <v>a1cdbe</v>
      </c>
      <c r="V2032">
        <v>0</v>
      </c>
      <c r="W2032">
        <v>0</v>
      </c>
      <c r="X2032">
        <v>1</v>
      </c>
      <c r="Y2032">
        <v>0</v>
      </c>
      <c r="Z2032">
        <v>0</v>
      </c>
      <c r="AB2032">
        <v>0</v>
      </c>
      <c r="AC2032">
        <v>9</v>
      </c>
      <c r="AD2032">
        <v>3</v>
      </c>
      <c r="AE2032">
        <v>0</v>
      </c>
      <c r="AF2032">
        <v>9</v>
      </c>
      <c r="AG2032" t="s">
        <v>158</v>
      </c>
      <c r="AH2032">
        <v>0</v>
      </c>
      <c r="AI2032">
        <v>3</v>
      </c>
      <c r="AJ2032">
        <v>1</v>
      </c>
      <c r="AK2032">
        <v>0</v>
      </c>
      <c r="AL2032" t="s">
        <v>3826</v>
      </c>
      <c r="AM2032">
        <v>46.867204000000001</v>
      </c>
      <c r="AN2032" t="s">
        <v>3827</v>
      </c>
      <c r="AO2032">
        <v>-123.04831299999999</v>
      </c>
      <c r="AP2032">
        <v>100</v>
      </c>
      <c r="AQ2032">
        <v>2000</v>
      </c>
      <c r="AR2032" t="s">
        <v>118</v>
      </c>
      <c r="AS2032">
        <v>-77</v>
      </c>
      <c r="AT2032">
        <v>21</v>
      </c>
      <c r="AU2032">
        <v>64</v>
      </c>
      <c r="BC2032">
        <v>1200</v>
      </c>
      <c r="BD2032">
        <v>1</v>
      </c>
      <c r="BE2032" t="str">
        <f t="shared" si="95"/>
        <v xml:space="preserve">N215T   </v>
      </c>
      <c r="BF2032">
        <v>1</v>
      </c>
      <c r="BH2032">
        <v>0</v>
      </c>
      <c r="BI2032">
        <v>0</v>
      </c>
      <c r="BJ2032">
        <v>0</v>
      </c>
      <c r="BK2032">
        <v>2425</v>
      </c>
      <c r="BL2032">
        <v>425</v>
      </c>
      <c r="BM2032" t="s">
        <v>119</v>
      </c>
      <c r="BN2032">
        <v>1</v>
      </c>
      <c r="BO2032">
        <v>1</v>
      </c>
      <c r="BP2032">
        <v>1</v>
      </c>
      <c r="BQ2032">
        <v>0</v>
      </c>
      <c r="BT2032">
        <v>0</v>
      </c>
      <c r="BU2032">
        <v>0</v>
      </c>
      <c r="BV2032">
        <v>0</v>
      </c>
      <c r="CC2032" t="str">
        <f>"19:08:42.234"</f>
        <v>19:08:42.234</v>
      </c>
      <c r="CD2032" t="str">
        <f>"232822666"</f>
        <v>232822666</v>
      </c>
      <c r="CQ2032">
        <v>0</v>
      </c>
      <c r="CR2032">
        <v>2</v>
      </c>
      <c r="CS2032">
        <v>0</v>
      </c>
      <c r="CT2032">
        <v>2</v>
      </c>
      <c r="CU2032">
        <v>0</v>
      </c>
      <c r="CV2032">
        <v>7</v>
      </c>
      <c r="CW2032" t="s">
        <v>120</v>
      </c>
      <c r="CX2032">
        <v>261</v>
      </c>
      <c r="CY2032">
        <v>2</v>
      </c>
      <c r="CZ2032" t="s">
        <v>121</v>
      </c>
      <c r="DA2032" t="s">
        <v>122</v>
      </c>
      <c r="DD2032">
        <v>15470521</v>
      </c>
      <c r="DE2032" t="s">
        <v>123</v>
      </c>
    </row>
    <row r="2033" spans="1:109" x14ac:dyDescent="0.3">
      <c r="A2033" t="str">
        <f>"19:08:43.422"</f>
        <v>19:08:43.422</v>
      </c>
      <c r="B2033" t="s">
        <v>110</v>
      </c>
      <c r="C2033" t="str">
        <f t="shared" si="93"/>
        <v>ffdfd3c0</v>
      </c>
      <c r="D2033" t="s">
        <v>111</v>
      </c>
      <c r="E2033">
        <v>18</v>
      </c>
      <c r="F2033">
        <v>1018</v>
      </c>
      <c r="G2033" t="s">
        <v>112</v>
      </c>
      <c r="J2033" t="s">
        <v>113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R2033" t="s">
        <v>114</v>
      </c>
      <c r="S2033" t="str">
        <f>"19:08:43.203"</f>
        <v>19:08:43.203</v>
      </c>
      <c r="T2033" t="str">
        <f>"19:08:42.906"</f>
        <v>19:08:42.906</v>
      </c>
      <c r="U2033" t="str">
        <f t="shared" si="94"/>
        <v>a1cdbe</v>
      </c>
      <c r="V2033">
        <v>0</v>
      </c>
      <c r="W2033">
        <v>0</v>
      </c>
      <c r="X2033">
        <v>1</v>
      </c>
      <c r="Y2033">
        <v>0</v>
      </c>
      <c r="Z2033">
        <v>0</v>
      </c>
      <c r="AB2033">
        <v>0</v>
      </c>
      <c r="AC2033">
        <v>9</v>
      </c>
      <c r="AD2033">
        <v>3</v>
      </c>
      <c r="AE2033">
        <v>0</v>
      </c>
      <c r="AF2033">
        <v>9</v>
      </c>
      <c r="AG2033" t="s">
        <v>158</v>
      </c>
      <c r="AH2033">
        <v>0</v>
      </c>
      <c r="AI2033">
        <v>3</v>
      </c>
      <c r="AJ2033">
        <v>1</v>
      </c>
      <c r="AK2033">
        <v>0</v>
      </c>
      <c r="AL2033" t="s">
        <v>3828</v>
      </c>
      <c r="AM2033">
        <v>46.867311000000001</v>
      </c>
      <c r="AN2033" t="s">
        <v>3829</v>
      </c>
      <c r="AO2033">
        <v>-123.048892</v>
      </c>
      <c r="AP2033">
        <v>100</v>
      </c>
      <c r="AQ2033">
        <v>2000</v>
      </c>
      <c r="AR2033" t="s">
        <v>118</v>
      </c>
      <c r="AS2033">
        <v>-77</v>
      </c>
      <c r="AT2033">
        <v>21</v>
      </c>
      <c r="AU2033">
        <v>128</v>
      </c>
      <c r="BC2033">
        <v>1200</v>
      </c>
      <c r="BD2033">
        <v>1</v>
      </c>
      <c r="BE2033" t="str">
        <f t="shared" si="95"/>
        <v xml:space="preserve">N215T   </v>
      </c>
      <c r="BF2033">
        <v>1</v>
      </c>
      <c r="BH2033">
        <v>0</v>
      </c>
      <c r="BI2033">
        <v>0</v>
      </c>
      <c r="BJ2033">
        <v>0</v>
      </c>
      <c r="BK2033">
        <v>2425</v>
      </c>
      <c r="BL2033">
        <v>425</v>
      </c>
      <c r="BM2033" t="s">
        <v>119</v>
      </c>
      <c r="BN2033">
        <v>1</v>
      </c>
      <c r="BO2033">
        <v>1</v>
      </c>
      <c r="BP2033">
        <v>1</v>
      </c>
      <c r="BQ2033">
        <v>0</v>
      </c>
      <c r="BT2033">
        <v>0</v>
      </c>
      <c r="BU2033">
        <v>0</v>
      </c>
      <c r="BV2033">
        <v>0</v>
      </c>
      <c r="CC2033" t="str">
        <f>"19:08:43.211"</f>
        <v>19:08:43.211</v>
      </c>
      <c r="CD2033" t="str">
        <f>"207726633"</f>
        <v>207726633</v>
      </c>
      <c r="CQ2033">
        <v>0</v>
      </c>
      <c r="CR2033">
        <v>2</v>
      </c>
      <c r="CS2033">
        <v>0</v>
      </c>
      <c r="CT2033">
        <v>2</v>
      </c>
      <c r="CU2033">
        <v>0</v>
      </c>
      <c r="CV2033">
        <v>7</v>
      </c>
      <c r="CW2033" t="s">
        <v>120</v>
      </c>
      <c r="CX2033">
        <v>261</v>
      </c>
      <c r="CY2033">
        <v>2</v>
      </c>
      <c r="CZ2033" t="s">
        <v>121</v>
      </c>
      <c r="DA2033" t="s">
        <v>122</v>
      </c>
      <c r="DD2033">
        <v>15471228</v>
      </c>
      <c r="DE2033" t="s">
        <v>123</v>
      </c>
    </row>
    <row r="2034" spans="1:109" x14ac:dyDescent="0.3">
      <c r="A2034" t="str">
        <f>"19:08:44.531"</f>
        <v>19:08:44.531</v>
      </c>
      <c r="B2034" t="s">
        <v>110</v>
      </c>
      <c r="C2034" t="str">
        <f t="shared" si="93"/>
        <v>ffdfd3c0</v>
      </c>
      <c r="D2034" t="s">
        <v>111</v>
      </c>
      <c r="E2034">
        <v>18</v>
      </c>
      <c r="F2034">
        <v>1018</v>
      </c>
      <c r="G2034" t="s">
        <v>112</v>
      </c>
      <c r="J2034" t="s">
        <v>113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R2034" t="s">
        <v>114</v>
      </c>
      <c r="S2034" t="str">
        <f>"19:08:44.297"</f>
        <v>19:08:44.297</v>
      </c>
      <c r="T2034" t="str">
        <f>"19:08:43.797"</f>
        <v>19:08:43.797</v>
      </c>
      <c r="U2034" t="str">
        <f t="shared" si="94"/>
        <v>a1cdbe</v>
      </c>
      <c r="V2034">
        <v>0</v>
      </c>
      <c r="W2034">
        <v>0</v>
      </c>
      <c r="X2034">
        <v>1</v>
      </c>
      <c r="Y2034">
        <v>0</v>
      </c>
      <c r="Z2034">
        <v>0</v>
      </c>
      <c r="AB2034">
        <v>0</v>
      </c>
      <c r="AC2034">
        <v>9</v>
      </c>
      <c r="AD2034">
        <v>3</v>
      </c>
      <c r="AE2034">
        <v>0</v>
      </c>
      <c r="AF2034">
        <v>9</v>
      </c>
      <c r="AG2034" t="s">
        <v>158</v>
      </c>
      <c r="AH2034">
        <v>0</v>
      </c>
      <c r="AI2034">
        <v>3</v>
      </c>
      <c r="AJ2034">
        <v>1</v>
      </c>
      <c r="AK2034">
        <v>0</v>
      </c>
      <c r="AL2034" t="s">
        <v>3830</v>
      </c>
      <c r="AM2034">
        <v>46.867396999999997</v>
      </c>
      <c r="AN2034" t="s">
        <v>3831</v>
      </c>
      <c r="AO2034">
        <v>-123.049407</v>
      </c>
      <c r="AP2034">
        <v>100</v>
      </c>
      <c r="AQ2034">
        <v>2000</v>
      </c>
      <c r="AR2034" t="s">
        <v>118</v>
      </c>
      <c r="AS2034">
        <v>-77</v>
      </c>
      <c r="AT2034">
        <v>21</v>
      </c>
      <c r="AU2034">
        <v>128</v>
      </c>
      <c r="BC2034">
        <v>1200</v>
      </c>
      <c r="BD2034">
        <v>1</v>
      </c>
      <c r="BE2034" t="str">
        <f t="shared" si="95"/>
        <v xml:space="preserve">N215T   </v>
      </c>
      <c r="BF2034">
        <v>1</v>
      </c>
      <c r="BH2034">
        <v>0</v>
      </c>
      <c r="BI2034">
        <v>0</v>
      </c>
      <c r="BJ2034">
        <v>0</v>
      </c>
      <c r="BK2034">
        <v>2425</v>
      </c>
      <c r="BL2034">
        <v>425</v>
      </c>
      <c r="BM2034" t="s">
        <v>119</v>
      </c>
      <c r="BN2034">
        <v>1</v>
      </c>
      <c r="BO2034">
        <v>1</v>
      </c>
      <c r="BP2034">
        <v>1</v>
      </c>
      <c r="BQ2034">
        <v>0</v>
      </c>
      <c r="BT2034">
        <v>0</v>
      </c>
      <c r="BU2034">
        <v>0</v>
      </c>
      <c r="BV2034">
        <v>0</v>
      </c>
      <c r="CC2034" t="str">
        <f>"19:08:44.305"</f>
        <v>19:08:44.305</v>
      </c>
      <c r="CD2034" t="str">
        <f>"302618787"</f>
        <v>302618787</v>
      </c>
      <c r="CQ2034">
        <v>0</v>
      </c>
      <c r="CR2034">
        <v>2</v>
      </c>
      <c r="CS2034">
        <v>0</v>
      </c>
      <c r="CT2034">
        <v>2</v>
      </c>
      <c r="CU2034">
        <v>0</v>
      </c>
      <c r="CV2034">
        <v>6</v>
      </c>
      <c r="CW2034" t="s">
        <v>120</v>
      </c>
      <c r="CX2034">
        <v>261</v>
      </c>
      <c r="CY2034">
        <v>2</v>
      </c>
      <c r="CZ2034" t="s">
        <v>121</v>
      </c>
      <c r="DA2034" t="s">
        <v>122</v>
      </c>
      <c r="DD2034">
        <v>15472028</v>
      </c>
      <c r="DE2034" t="s">
        <v>123</v>
      </c>
    </row>
    <row r="2035" spans="1:109" x14ac:dyDescent="0.3">
      <c r="A2035" t="str">
        <f>"19:08:45.484"</f>
        <v>19:08:45.484</v>
      </c>
      <c r="B2035" t="s">
        <v>110</v>
      </c>
      <c r="C2035" t="str">
        <f t="shared" si="93"/>
        <v>ffdfd3c0</v>
      </c>
      <c r="D2035" t="s">
        <v>111</v>
      </c>
      <c r="E2035">
        <v>18</v>
      </c>
      <c r="F2035">
        <v>1018</v>
      </c>
      <c r="G2035" t="s">
        <v>112</v>
      </c>
      <c r="J2035" t="s">
        <v>113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R2035" t="s">
        <v>114</v>
      </c>
      <c r="S2035" t="str">
        <f>"19:08:45.289"</f>
        <v>19:08:45.289</v>
      </c>
      <c r="T2035" t="str">
        <f>"19:08:44.891"</f>
        <v>19:08:44.891</v>
      </c>
      <c r="U2035" t="str">
        <f t="shared" si="94"/>
        <v>a1cdbe</v>
      </c>
      <c r="V2035">
        <v>0</v>
      </c>
      <c r="W2035">
        <v>0</v>
      </c>
      <c r="X2035">
        <v>1</v>
      </c>
      <c r="Y2035">
        <v>0</v>
      </c>
      <c r="Z2035">
        <v>0</v>
      </c>
      <c r="AB2035">
        <v>0</v>
      </c>
      <c r="AC2035">
        <v>9</v>
      </c>
      <c r="AD2035">
        <v>3</v>
      </c>
      <c r="AE2035">
        <v>0</v>
      </c>
      <c r="AF2035">
        <v>9</v>
      </c>
      <c r="AG2035" t="s">
        <v>158</v>
      </c>
      <c r="AH2035">
        <v>0</v>
      </c>
      <c r="AI2035">
        <v>3</v>
      </c>
      <c r="AJ2035">
        <v>1</v>
      </c>
      <c r="AK2035">
        <v>0</v>
      </c>
      <c r="AL2035" t="s">
        <v>3832</v>
      </c>
      <c r="AM2035">
        <v>46.867483</v>
      </c>
      <c r="AN2035" t="s">
        <v>3833</v>
      </c>
      <c r="AO2035">
        <v>-123.04990100000001</v>
      </c>
      <c r="AP2035">
        <v>100</v>
      </c>
      <c r="AQ2035">
        <v>2000</v>
      </c>
      <c r="AR2035" t="s">
        <v>118</v>
      </c>
      <c r="AS2035">
        <v>-76</v>
      </c>
      <c r="AT2035">
        <v>22</v>
      </c>
      <c r="AU2035">
        <v>128</v>
      </c>
      <c r="BC2035">
        <v>1200</v>
      </c>
      <c r="BD2035">
        <v>1</v>
      </c>
      <c r="BE2035" t="str">
        <f t="shared" si="95"/>
        <v xml:space="preserve">N215T   </v>
      </c>
      <c r="BF2035">
        <v>1</v>
      </c>
      <c r="BH2035">
        <v>0</v>
      </c>
      <c r="BI2035">
        <v>0</v>
      </c>
      <c r="BJ2035">
        <v>0</v>
      </c>
      <c r="BK2035">
        <v>2425</v>
      </c>
      <c r="BL2035">
        <v>425</v>
      </c>
      <c r="BM2035" t="s">
        <v>119</v>
      </c>
      <c r="BN2035">
        <v>1</v>
      </c>
      <c r="BO2035">
        <v>1</v>
      </c>
      <c r="BP2035">
        <v>1</v>
      </c>
      <c r="BQ2035">
        <v>0</v>
      </c>
      <c r="BT2035">
        <v>0</v>
      </c>
      <c r="BU2035">
        <v>0</v>
      </c>
      <c r="BV2035">
        <v>0</v>
      </c>
      <c r="CC2035" t="str">
        <f>"19:08:45.289"</f>
        <v>19:08:45.289</v>
      </c>
      <c r="CD2035" t="str">
        <f>"292532681"</f>
        <v>292532681</v>
      </c>
      <c r="CQ2035">
        <v>0</v>
      </c>
      <c r="CR2035">
        <v>2</v>
      </c>
      <c r="CS2035">
        <v>0</v>
      </c>
      <c r="CT2035">
        <v>2</v>
      </c>
      <c r="CU2035">
        <v>0</v>
      </c>
      <c r="CV2035">
        <v>2</v>
      </c>
      <c r="CW2035" t="s">
        <v>120</v>
      </c>
      <c r="CX2035">
        <v>257</v>
      </c>
      <c r="CY2035">
        <v>0</v>
      </c>
      <c r="CZ2035" t="s">
        <v>615</v>
      </c>
      <c r="DA2035" t="s">
        <v>616</v>
      </c>
      <c r="DD2035">
        <v>15682237</v>
      </c>
      <c r="DE2035" t="s">
        <v>123</v>
      </c>
    </row>
    <row r="2036" spans="1:109" x14ac:dyDescent="0.3">
      <c r="A2036" t="str">
        <f>"19:08:46.539"</f>
        <v>19:08:46.539</v>
      </c>
      <c r="B2036" t="s">
        <v>110</v>
      </c>
      <c r="C2036" t="str">
        <f t="shared" si="93"/>
        <v>ffdfd3c0</v>
      </c>
      <c r="D2036" t="s">
        <v>111</v>
      </c>
      <c r="E2036">
        <v>18</v>
      </c>
      <c r="F2036">
        <v>1018</v>
      </c>
      <c r="G2036" t="s">
        <v>112</v>
      </c>
      <c r="J2036" t="s">
        <v>113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R2036" t="s">
        <v>114</v>
      </c>
      <c r="S2036" t="str">
        <f>"19:08:46.336"</f>
        <v>19:08:46.336</v>
      </c>
      <c r="T2036" t="str">
        <f>"19:08:45.938"</f>
        <v>19:08:45.938</v>
      </c>
      <c r="U2036" t="str">
        <f t="shared" si="94"/>
        <v>a1cdbe</v>
      </c>
      <c r="V2036">
        <v>0</v>
      </c>
      <c r="W2036">
        <v>0</v>
      </c>
      <c r="X2036">
        <v>1</v>
      </c>
      <c r="Y2036">
        <v>0</v>
      </c>
      <c r="Z2036">
        <v>0</v>
      </c>
      <c r="AB2036">
        <v>0</v>
      </c>
      <c r="AC2036">
        <v>9</v>
      </c>
      <c r="AD2036">
        <v>3</v>
      </c>
      <c r="AE2036">
        <v>0</v>
      </c>
      <c r="AF2036">
        <v>9</v>
      </c>
      <c r="AG2036" t="s">
        <v>158</v>
      </c>
      <c r="AH2036">
        <v>0</v>
      </c>
      <c r="AI2036">
        <v>3</v>
      </c>
      <c r="AJ2036">
        <v>1</v>
      </c>
      <c r="AK2036">
        <v>0</v>
      </c>
      <c r="AL2036" t="s">
        <v>3834</v>
      </c>
      <c r="AM2036">
        <v>46.867632999999998</v>
      </c>
      <c r="AN2036" t="s">
        <v>3835</v>
      </c>
      <c r="AO2036">
        <v>-123.05045800000001</v>
      </c>
      <c r="AP2036">
        <v>100</v>
      </c>
      <c r="AQ2036">
        <v>2000</v>
      </c>
      <c r="AR2036" t="s">
        <v>118</v>
      </c>
      <c r="AS2036">
        <v>-76</v>
      </c>
      <c r="AT2036">
        <v>22</v>
      </c>
      <c r="AU2036">
        <v>64</v>
      </c>
      <c r="BC2036">
        <v>1200</v>
      </c>
      <c r="BD2036">
        <v>1</v>
      </c>
      <c r="BE2036" t="str">
        <f t="shared" si="95"/>
        <v xml:space="preserve">N215T   </v>
      </c>
      <c r="BF2036">
        <v>1</v>
      </c>
      <c r="BH2036">
        <v>0</v>
      </c>
      <c r="BI2036">
        <v>0</v>
      </c>
      <c r="BJ2036">
        <v>0</v>
      </c>
      <c r="BK2036">
        <v>2425</v>
      </c>
      <c r="BL2036">
        <v>425</v>
      </c>
      <c r="BM2036" t="s">
        <v>119</v>
      </c>
      <c r="BN2036">
        <v>1</v>
      </c>
      <c r="BO2036">
        <v>1</v>
      </c>
      <c r="BP2036">
        <v>1</v>
      </c>
      <c r="BQ2036">
        <v>0</v>
      </c>
      <c r="BT2036">
        <v>0</v>
      </c>
      <c r="BU2036">
        <v>0</v>
      </c>
      <c r="BV2036">
        <v>0</v>
      </c>
      <c r="CC2036" t="str">
        <f>"19:08:46.344"</f>
        <v>19:08:46.344</v>
      </c>
      <c r="CD2036" t="str">
        <f>"342417854"</f>
        <v>342417854</v>
      </c>
      <c r="CQ2036">
        <v>0</v>
      </c>
      <c r="CR2036">
        <v>2</v>
      </c>
      <c r="CS2036">
        <v>0</v>
      </c>
      <c r="CT2036">
        <v>2</v>
      </c>
      <c r="CU2036">
        <v>0</v>
      </c>
      <c r="CV2036">
        <v>7</v>
      </c>
      <c r="CW2036" t="s">
        <v>120</v>
      </c>
      <c r="CX2036">
        <v>261</v>
      </c>
      <c r="CY2036">
        <v>2</v>
      </c>
      <c r="CZ2036" t="s">
        <v>121</v>
      </c>
      <c r="DA2036" t="s">
        <v>122</v>
      </c>
      <c r="DD2036">
        <v>15473376</v>
      </c>
      <c r="DE2036" t="s">
        <v>123</v>
      </c>
    </row>
    <row r="2037" spans="1:109" x14ac:dyDescent="0.3">
      <c r="A2037" t="str">
        <f>"19:08:47.602"</f>
        <v>19:08:47.602</v>
      </c>
      <c r="B2037" t="s">
        <v>110</v>
      </c>
      <c r="C2037" t="str">
        <f t="shared" si="93"/>
        <v>ffdfd3c0</v>
      </c>
      <c r="D2037" t="s">
        <v>111</v>
      </c>
      <c r="E2037">
        <v>18</v>
      </c>
      <c r="F2037">
        <v>1018</v>
      </c>
      <c r="G2037" t="s">
        <v>112</v>
      </c>
      <c r="J2037" t="s">
        <v>113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R2037" t="s">
        <v>114</v>
      </c>
      <c r="S2037" t="str">
        <f>"19:08:47.375"</f>
        <v>19:08:47.375</v>
      </c>
      <c r="T2037" t="str">
        <f>"19:08:47.375"</f>
        <v>19:08:47.375</v>
      </c>
      <c r="U2037" t="str">
        <f t="shared" si="94"/>
        <v>a1cdbe</v>
      </c>
      <c r="V2037">
        <v>0</v>
      </c>
      <c r="W2037">
        <v>0</v>
      </c>
      <c r="X2037">
        <v>1</v>
      </c>
      <c r="Y2037">
        <v>0</v>
      </c>
      <c r="Z2037">
        <v>0</v>
      </c>
      <c r="AB2037">
        <v>0</v>
      </c>
      <c r="AC2037">
        <v>9</v>
      </c>
      <c r="AD2037">
        <v>3</v>
      </c>
      <c r="AE2037">
        <v>0</v>
      </c>
      <c r="AF2037">
        <v>9</v>
      </c>
      <c r="AG2037" t="s">
        <v>158</v>
      </c>
      <c r="AH2037">
        <v>0</v>
      </c>
      <c r="AI2037">
        <v>3</v>
      </c>
      <c r="AJ2037">
        <v>1</v>
      </c>
      <c r="AK2037">
        <v>0</v>
      </c>
      <c r="AL2037" t="s">
        <v>3836</v>
      </c>
      <c r="AM2037">
        <v>46.867719000000001</v>
      </c>
      <c r="AN2037" t="s">
        <v>3837</v>
      </c>
      <c r="AO2037">
        <v>-123.050952</v>
      </c>
      <c r="AP2037">
        <v>100</v>
      </c>
      <c r="AQ2037">
        <v>2000</v>
      </c>
      <c r="AR2037" t="s">
        <v>118</v>
      </c>
      <c r="AS2037">
        <v>-76</v>
      </c>
      <c r="AT2037">
        <v>22</v>
      </c>
      <c r="AU2037">
        <v>64</v>
      </c>
      <c r="BC2037">
        <v>1200</v>
      </c>
      <c r="BD2037">
        <v>1</v>
      </c>
      <c r="BE2037" t="str">
        <f t="shared" si="95"/>
        <v xml:space="preserve">N215T   </v>
      </c>
      <c r="BF2037">
        <v>1</v>
      </c>
      <c r="BH2037">
        <v>0</v>
      </c>
      <c r="BI2037">
        <v>0</v>
      </c>
      <c r="BJ2037">
        <v>0</v>
      </c>
      <c r="BK2037">
        <v>2425</v>
      </c>
      <c r="BL2037">
        <v>425</v>
      </c>
      <c r="BM2037" t="s">
        <v>119</v>
      </c>
      <c r="BN2037">
        <v>1</v>
      </c>
      <c r="BO2037">
        <v>1</v>
      </c>
      <c r="BP2037">
        <v>1</v>
      </c>
      <c r="BQ2037">
        <v>0</v>
      </c>
      <c r="BT2037">
        <v>0</v>
      </c>
      <c r="BU2037">
        <v>0</v>
      </c>
      <c r="BV2037">
        <v>0</v>
      </c>
      <c r="CC2037" t="str">
        <f>"19:08:47.375"</f>
        <v>19:08:47.375</v>
      </c>
      <c r="CD2037" t="str">
        <f>"377315920"</f>
        <v>377315920</v>
      </c>
      <c r="CQ2037">
        <v>0</v>
      </c>
      <c r="CR2037">
        <v>2</v>
      </c>
      <c r="CS2037">
        <v>0</v>
      </c>
      <c r="CT2037">
        <v>2</v>
      </c>
      <c r="CU2037">
        <v>0</v>
      </c>
      <c r="CV2037">
        <v>7</v>
      </c>
      <c r="CW2037" t="s">
        <v>120</v>
      </c>
      <c r="CX2037">
        <v>261</v>
      </c>
      <c r="CY2037">
        <v>2</v>
      </c>
      <c r="CZ2037" t="s">
        <v>121</v>
      </c>
      <c r="DA2037" t="s">
        <v>122</v>
      </c>
      <c r="DD2037">
        <v>15474073</v>
      </c>
      <c r="DE2037" t="s">
        <v>123</v>
      </c>
    </row>
    <row r="2038" spans="1:109" x14ac:dyDescent="0.3">
      <c r="A2038" t="str">
        <f>"19:08:48.656"</f>
        <v>19:08:48.656</v>
      </c>
      <c r="B2038" t="s">
        <v>110</v>
      </c>
      <c r="C2038" t="str">
        <f t="shared" si="93"/>
        <v>ffdfd3c0</v>
      </c>
      <c r="D2038" t="s">
        <v>111</v>
      </c>
      <c r="E2038">
        <v>18</v>
      </c>
      <c r="F2038">
        <v>1018</v>
      </c>
      <c r="G2038" t="s">
        <v>112</v>
      </c>
      <c r="J2038" t="s">
        <v>113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R2038" t="s">
        <v>114</v>
      </c>
      <c r="S2038" t="str">
        <f>"19:08:48.406"</f>
        <v>19:08:48.406</v>
      </c>
      <c r="T2038" t="str">
        <f>"19:08:48.305"</f>
        <v>19:08:48.305</v>
      </c>
      <c r="U2038" t="str">
        <f t="shared" si="94"/>
        <v>a1cdbe</v>
      </c>
      <c r="V2038">
        <v>0</v>
      </c>
      <c r="W2038">
        <v>0</v>
      </c>
      <c r="X2038">
        <v>1</v>
      </c>
      <c r="Y2038">
        <v>0</v>
      </c>
      <c r="Z2038">
        <v>0</v>
      </c>
      <c r="AB2038">
        <v>0</v>
      </c>
      <c r="AC2038">
        <v>9</v>
      </c>
      <c r="AD2038">
        <v>3</v>
      </c>
      <c r="AE2038">
        <v>0</v>
      </c>
      <c r="AF2038">
        <v>9</v>
      </c>
      <c r="AG2038" t="s">
        <v>158</v>
      </c>
      <c r="AH2038">
        <v>0</v>
      </c>
      <c r="AI2038">
        <v>3</v>
      </c>
      <c r="AJ2038">
        <v>1</v>
      </c>
      <c r="AK2038">
        <v>0</v>
      </c>
      <c r="AL2038" t="s">
        <v>1642</v>
      </c>
      <c r="AM2038">
        <v>46.867804999999997</v>
      </c>
      <c r="AN2038" t="s">
        <v>3838</v>
      </c>
      <c r="AO2038">
        <v>-123.051553</v>
      </c>
      <c r="AP2038">
        <v>100</v>
      </c>
      <c r="AQ2038">
        <v>2000</v>
      </c>
      <c r="AR2038" t="s">
        <v>118</v>
      </c>
      <c r="AS2038">
        <v>-76</v>
      </c>
      <c r="AT2038">
        <v>22</v>
      </c>
      <c r="AU2038">
        <v>64</v>
      </c>
      <c r="BC2038">
        <v>1200</v>
      </c>
      <c r="BD2038">
        <v>1</v>
      </c>
      <c r="BE2038" t="str">
        <f t="shared" si="95"/>
        <v xml:space="preserve">N215T   </v>
      </c>
      <c r="BF2038">
        <v>1</v>
      </c>
      <c r="BH2038">
        <v>0</v>
      </c>
      <c r="BI2038">
        <v>0</v>
      </c>
      <c r="BJ2038">
        <v>0</v>
      </c>
      <c r="BK2038">
        <v>2425</v>
      </c>
      <c r="BL2038">
        <v>425</v>
      </c>
      <c r="BM2038" t="s">
        <v>119</v>
      </c>
      <c r="BN2038">
        <v>1</v>
      </c>
      <c r="BO2038">
        <v>1</v>
      </c>
      <c r="BP2038">
        <v>1</v>
      </c>
      <c r="BQ2038">
        <v>0</v>
      </c>
      <c r="BT2038">
        <v>0</v>
      </c>
      <c r="BU2038">
        <v>0</v>
      </c>
      <c r="BV2038">
        <v>0</v>
      </c>
      <c r="CC2038" t="str">
        <f>"19:08:48.414"</f>
        <v>19:08:48.414</v>
      </c>
      <c r="CD2038" t="str">
        <f>"412213982"</f>
        <v>412213982</v>
      </c>
      <c r="CQ2038">
        <v>0</v>
      </c>
      <c r="CR2038">
        <v>2</v>
      </c>
      <c r="CS2038">
        <v>0</v>
      </c>
      <c r="CT2038">
        <v>2</v>
      </c>
      <c r="CU2038">
        <v>0</v>
      </c>
      <c r="CV2038">
        <v>7</v>
      </c>
      <c r="CW2038" t="s">
        <v>120</v>
      </c>
      <c r="CX2038">
        <v>261</v>
      </c>
      <c r="CY2038">
        <v>2</v>
      </c>
      <c r="CZ2038" t="s">
        <v>121</v>
      </c>
      <c r="DA2038" t="s">
        <v>122</v>
      </c>
      <c r="DD2038">
        <v>15474808</v>
      </c>
      <c r="DE2038" t="s">
        <v>123</v>
      </c>
    </row>
    <row r="2039" spans="1:109" x14ac:dyDescent="0.3">
      <c r="A2039" t="str">
        <f>"19:08:49.555"</f>
        <v>19:08:49.555</v>
      </c>
      <c r="B2039" t="s">
        <v>110</v>
      </c>
      <c r="C2039" t="str">
        <f t="shared" si="93"/>
        <v>ffdfd3c0</v>
      </c>
      <c r="D2039" t="s">
        <v>111</v>
      </c>
      <c r="E2039">
        <v>18</v>
      </c>
      <c r="F2039">
        <v>1018</v>
      </c>
      <c r="G2039" t="s">
        <v>112</v>
      </c>
      <c r="J2039" t="s">
        <v>113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R2039" t="s">
        <v>114</v>
      </c>
      <c r="S2039" t="str">
        <f>"19:08:49.297"</f>
        <v>19:08:49.297</v>
      </c>
      <c r="T2039" t="str">
        <f>"19:08:48.898"</f>
        <v>19:08:48.898</v>
      </c>
      <c r="U2039" t="str">
        <f t="shared" si="94"/>
        <v>a1cdbe</v>
      </c>
      <c r="V2039">
        <v>0</v>
      </c>
      <c r="W2039">
        <v>0</v>
      </c>
      <c r="X2039">
        <v>1</v>
      </c>
      <c r="Y2039">
        <v>0</v>
      </c>
      <c r="Z2039">
        <v>0</v>
      </c>
      <c r="AB2039">
        <v>0</v>
      </c>
      <c r="AC2039">
        <v>9</v>
      </c>
      <c r="AD2039">
        <v>3</v>
      </c>
      <c r="AE2039">
        <v>0</v>
      </c>
      <c r="AF2039">
        <v>9</v>
      </c>
      <c r="AG2039" t="s">
        <v>158</v>
      </c>
      <c r="AH2039">
        <v>0</v>
      </c>
      <c r="AI2039">
        <v>3</v>
      </c>
      <c r="AJ2039">
        <v>1</v>
      </c>
      <c r="AK2039">
        <v>0</v>
      </c>
      <c r="AL2039" t="s">
        <v>3839</v>
      </c>
      <c r="AM2039">
        <v>46.867911999999997</v>
      </c>
      <c r="AN2039" t="s">
        <v>3840</v>
      </c>
      <c r="AO2039">
        <v>-123.05195999999999</v>
      </c>
      <c r="AP2039">
        <v>100</v>
      </c>
      <c r="AQ2039">
        <v>2000</v>
      </c>
      <c r="AR2039" t="s">
        <v>118</v>
      </c>
      <c r="AS2039">
        <v>-76</v>
      </c>
      <c r="AT2039">
        <v>22</v>
      </c>
      <c r="AU2039">
        <v>64</v>
      </c>
      <c r="BC2039">
        <v>1200</v>
      </c>
      <c r="BD2039">
        <v>1</v>
      </c>
      <c r="BE2039" t="str">
        <f t="shared" si="95"/>
        <v xml:space="preserve">N215T   </v>
      </c>
      <c r="BF2039">
        <v>1</v>
      </c>
      <c r="BH2039">
        <v>0</v>
      </c>
      <c r="BI2039">
        <v>0</v>
      </c>
      <c r="BJ2039">
        <v>0</v>
      </c>
      <c r="BK2039">
        <v>2425</v>
      </c>
      <c r="BL2039">
        <v>425</v>
      </c>
      <c r="BM2039" t="s">
        <v>119</v>
      </c>
      <c r="BN2039">
        <v>1</v>
      </c>
      <c r="BO2039">
        <v>1</v>
      </c>
      <c r="BP2039">
        <v>1</v>
      </c>
      <c r="BQ2039">
        <v>0</v>
      </c>
      <c r="BT2039">
        <v>0</v>
      </c>
      <c r="BU2039">
        <v>0</v>
      </c>
      <c r="BV2039">
        <v>0</v>
      </c>
      <c r="CC2039" t="str">
        <f>"19:08:49.297"</f>
        <v>19:08:49.297</v>
      </c>
      <c r="CD2039" t="str">
        <f>"297126805"</f>
        <v>297126805</v>
      </c>
      <c r="CQ2039">
        <v>0</v>
      </c>
      <c r="CR2039">
        <v>2</v>
      </c>
      <c r="CS2039">
        <v>0</v>
      </c>
      <c r="CT2039">
        <v>2</v>
      </c>
      <c r="CU2039">
        <v>0</v>
      </c>
      <c r="CV2039">
        <v>6</v>
      </c>
      <c r="CW2039" t="s">
        <v>120</v>
      </c>
      <c r="CX2039">
        <v>261</v>
      </c>
      <c r="CY2039">
        <v>2</v>
      </c>
      <c r="CZ2039" t="s">
        <v>121</v>
      </c>
      <c r="DA2039" t="s">
        <v>122</v>
      </c>
      <c r="DD2039">
        <v>15475370</v>
      </c>
      <c r="DE2039" t="s">
        <v>123</v>
      </c>
    </row>
    <row r="2040" spans="1:109" x14ac:dyDescent="0.3">
      <c r="A2040" t="str">
        <f>"19:08:50.617"</f>
        <v>19:08:50.617</v>
      </c>
      <c r="B2040" t="s">
        <v>110</v>
      </c>
      <c r="C2040" t="str">
        <f t="shared" si="93"/>
        <v>ffdfd3c0</v>
      </c>
      <c r="D2040" t="s">
        <v>111</v>
      </c>
      <c r="E2040">
        <v>18</v>
      </c>
      <c r="F2040">
        <v>1018</v>
      </c>
      <c r="G2040" t="s">
        <v>112</v>
      </c>
      <c r="J2040" t="s">
        <v>113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R2040" t="s">
        <v>114</v>
      </c>
      <c r="S2040" t="str">
        <f>"19:08:50.375"</f>
        <v>19:08:50.375</v>
      </c>
      <c r="T2040" t="str">
        <f>"19:08:50.375"</f>
        <v>19:08:50.375</v>
      </c>
      <c r="U2040" t="str">
        <f t="shared" si="94"/>
        <v>a1cdbe</v>
      </c>
      <c r="V2040">
        <v>0</v>
      </c>
      <c r="W2040">
        <v>0</v>
      </c>
      <c r="X2040">
        <v>1</v>
      </c>
      <c r="Y2040">
        <v>0</v>
      </c>
      <c r="Z2040">
        <v>0</v>
      </c>
      <c r="AB2040">
        <v>0</v>
      </c>
      <c r="AC2040">
        <v>9</v>
      </c>
      <c r="AD2040">
        <v>3</v>
      </c>
      <c r="AE2040">
        <v>0</v>
      </c>
      <c r="AF2040">
        <v>9</v>
      </c>
      <c r="AG2040" t="s">
        <v>158</v>
      </c>
      <c r="AH2040">
        <v>0</v>
      </c>
      <c r="AI2040">
        <v>3</v>
      </c>
      <c r="AJ2040">
        <v>1</v>
      </c>
      <c r="AK2040">
        <v>0</v>
      </c>
      <c r="AL2040" t="s">
        <v>3841</v>
      </c>
      <c r="AM2040">
        <v>46.868040999999998</v>
      </c>
      <c r="AN2040" t="s">
        <v>3842</v>
      </c>
      <c r="AO2040">
        <v>-123.052497</v>
      </c>
      <c r="AP2040">
        <v>100</v>
      </c>
      <c r="AQ2040">
        <v>2000</v>
      </c>
      <c r="AR2040" t="s">
        <v>118</v>
      </c>
      <c r="AS2040">
        <v>-76</v>
      </c>
      <c r="AT2040">
        <v>22</v>
      </c>
      <c r="AU2040">
        <v>64</v>
      </c>
      <c r="BC2040">
        <v>1200</v>
      </c>
      <c r="BD2040">
        <v>1</v>
      </c>
      <c r="BE2040" t="str">
        <f t="shared" si="95"/>
        <v xml:space="preserve">N215T   </v>
      </c>
      <c r="BF2040">
        <v>1</v>
      </c>
      <c r="BH2040">
        <v>0</v>
      </c>
      <c r="BI2040">
        <v>0</v>
      </c>
      <c r="BJ2040">
        <v>0</v>
      </c>
      <c r="BK2040">
        <v>2425</v>
      </c>
      <c r="BL2040">
        <v>425</v>
      </c>
      <c r="BM2040" t="s">
        <v>119</v>
      </c>
      <c r="BN2040">
        <v>1</v>
      </c>
      <c r="BO2040">
        <v>1</v>
      </c>
      <c r="BP2040">
        <v>1</v>
      </c>
      <c r="BQ2040">
        <v>0</v>
      </c>
      <c r="BT2040">
        <v>0</v>
      </c>
      <c r="BU2040">
        <v>0</v>
      </c>
      <c r="BV2040">
        <v>0</v>
      </c>
      <c r="CC2040" t="str">
        <f>"19:08:50.375"</f>
        <v>19:08:50.375</v>
      </c>
      <c r="CD2040" t="str">
        <f>"377020445"</f>
        <v>377020445</v>
      </c>
      <c r="CQ2040">
        <v>0</v>
      </c>
      <c r="CR2040">
        <v>2</v>
      </c>
      <c r="CS2040">
        <v>0</v>
      </c>
      <c r="CT2040">
        <v>2</v>
      </c>
      <c r="CU2040">
        <v>0</v>
      </c>
      <c r="CV2040">
        <v>7</v>
      </c>
      <c r="CW2040" t="s">
        <v>120</v>
      </c>
      <c r="CX2040">
        <v>261</v>
      </c>
      <c r="CY2040">
        <v>2</v>
      </c>
      <c r="CZ2040" t="s">
        <v>121</v>
      </c>
      <c r="DA2040" t="s">
        <v>122</v>
      </c>
      <c r="DD2040">
        <v>15476133</v>
      </c>
      <c r="DE2040" t="s">
        <v>123</v>
      </c>
    </row>
    <row r="2041" spans="1:109" x14ac:dyDescent="0.3">
      <c r="A2041" t="str">
        <f>"19:08:51.570"</f>
        <v>19:08:51.570</v>
      </c>
      <c r="B2041" t="s">
        <v>110</v>
      </c>
      <c r="C2041" t="str">
        <f t="shared" si="93"/>
        <v>ffdfd3c0</v>
      </c>
      <c r="D2041" t="s">
        <v>111</v>
      </c>
      <c r="E2041">
        <v>18</v>
      </c>
      <c r="F2041">
        <v>1018</v>
      </c>
      <c r="G2041" t="s">
        <v>112</v>
      </c>
      <c r="J2041" t="s">
        <v>113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R2041" t="s">
        <v>114</v>
      </c>
      <c r="S2041" t="str">
        <f>"19:08:51.336"</f>
        <v>19:08:51.336</v>
      </c>
      <c r="T2041" t="str">
        <f>"19:08:50.938"</f>
        <v>19:08:50.938</v>
      </c>
      <c r="U2041" t="str">
        <f t="shared" si="94"/>
        <v>a1cdbe</v>
      </c>
      <c r="V2041">
        <v>0</v>
      </c>
      <c r="W2041">
        <v>0</v>
      </c>
      <c r="X2041">
        <v>1</v>
      </c>
      <c r="Y2041">
        <v>0</v>
      </c>
      <c r="Z2041">
        <v>0</v>
      </c>
      <c r="AB2041">
        <v>0</v>
      </c>
      <c r="AC2041">
        <v>9</v>
      </c>
      <c r="AD2041">
        <v>3</v>
      </c>
      <c r="AE2041">
        <v>0</v>
      </c>
      <c r="AF2041">
        <v>9</v>
      </c>
      <c r="AG2041" t="s">
        <v>158</v>
      </c>
      <c r="AH2041">
        <v>0</v>
      </c>
      <c r="AI2041">
        <v>3</v>
      </c>
      <c r="AJ2041">
        <v>1</v>
      </c>
      <c r="AK2041">
        <v>0</v>
      </c>
      <c r="AL2041" t="s">
        <v>3843</v>
      </c>
      <c r="AM2041">
        <v>46.868125999999997</v>
      </c>
      <c r="AN2041" t="s">
        <v>3844</v>
      </c>
      <c r="AO2041">
        <v>-123.05298999999999</v>
      </c>
      <c r="AP2041">
        <v>100</v>
      </c>
      <c r="AQ2041">
        <v>2000</v>
      </c>
      <c r="AR2041" t="s">
        <v>118</v>
      </c>
      <c r="AS2041">
        <v>-76</v>
      </c>
      <c r="AT2041">
        <v>22</v>
      </c>
      <c r="AU2041">
        <v>64</v>
      </c>
      <c r="BC2041">
        <v>1200</v>
      </c>
      <c r="BD2041">
        <v>1</v>
      </c>
      <c r="BE2041" t="str">
        <f t="shared" si="95"/>
        <v xml:space="preserve">N215T   </v>
      </c>
      <c r="BF2041">
        <v>1</v>
      </c>
      <c r="BH2041">
        <v>0</v>
      </c>
      <c r="BI2041">
        <v>0</v>
      </c>
      <c r="BJ2041">
        <v>0</v>
      </c>
      <c r="BK2041">
        <v>2425</v>
      </c>
      <c r="BL2041">
        <v>425</v>
      </c>
      <c r="BM2041" t="s">
        <v>119</v>
      </c>
      <c r="BN2041">
        <v>1</v>
      </c>
      <c r="BO2041">
        <v>1</v>
      </c>
      <c r="BP2041">
        <v>1</v>
      </c>
      <c r="BQ2041">
        <v>0</v>
      </c>
      <c r="BT2041">
        <v>0</v>
      </c>
      <c r="BU2041">
        <v>0</v>
      </c>
      <c r="BV2041">
        <v>0</v>
      </c>
      <c r="CC2041" t="str">
        <f>"19:08:51.336"</f>
        <v>19:08:51.336</v>
      </c>
      <c r="CD2041" t="str">
        <f>"336925879"</f>
        <v>336925879</v>
      </c>
      <c r="CQ2041">
        <v>0</v>
      </c>
      <c r="CR2041">
        <v>2</v>
      </c>
      <c r="CS2041">
        <v>0</v>
      </c>
      <c r="CT2041">
        <v>2</v>
      </c>
      <c r="CU2041">
        <v>0</v>
      </c>
      <c r="CV2041">
        <v>7</v>
      </c>
      <c r="CW2041" t="s">
        <v>120</v>
      </c>
      <c r="CX2041">
        <v>261</v>
      </c>
      <c r="CY2041">
        <v>2</v>
      </c>
      <c r="CZ2041" t="s">
        <v>121</v>
      </c>
      <c r="DA2041" t="s">
        <v>122</v>
      </c>
      <c r="DD2041">
        <v>15476814</v>
      </c>
      <c r="DE2041" t="s">
        <v>123</v>
      </c>
    </row>
    <row r="2042" spans="1:109" x14ac:dyDescent="0.3">
      <c r="A2042" t="str">
        <f>"19:08:52.680"</f>
        <v>19:08:52.680</v>
      </c>
      <c r="B2042" t="s">
        <v>110</v>
      </c>
      <c r="C2042" t="str">
        <f t="shared" si="93"/>
        <v>ffdfd3c0</v>
      </c>
      <c r="D2042" t="s">
        <v>111</v>
      </c>
      <c r="E2042">
        <v>18</v>
      </c>
      <c r="F2042">
        <v>1018</v>
      </c>
      <c r="G2042" t="s">
        <v>112</v>
      </c>
      <c r="J2042" t="s">
        <v>113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R2042" t="s">
        <v>114</v>
      </c>
      <c r="S2042" t="str">
        <f>"19:08:52.430"</f>
        <v>19:08:52.430</v>
      </c>
      <c r="T2042" t="str">
        <f>"19:08:52.430"</f>
        <v>19:08:52.430</v>
      </c>
      <c r="U2042" t="str">
        <f t="shared" si="94"/>
        <v>a1cdbe</v>
      </c>
      <c r="V2042">
        <v>0</v>
      </c>
      <c r="W2042">
        <v>0</v>
      </c>
      <c r="X2042">
        <v>1</v>
      </c>
      <c r="Y2042">
        <v>0</v>
      </c>
      <c r="Z2042">
        <v>0</v>
      </c>
      <c r="AB2042">
        <v>0</v>
      </c>
      <c r="AC2042">
        <v>9</v>
      </c>
      <c r="AD2042">
        <v>3</v>
      </c>
      <c r="AE2042">
        <v>0</v>
      </c>
      <c r="AF2042">
        <v>9</v>
      </c>
      <c r="AG2042" t="s">
        <v>158</v>
      </c>
      <c r="AH2042">
        <v>0</v>
      </c>
      <c r="AI2042">
        <v>3</v>
      </c>
      <c r="AJ2042">
        <v>1</v>
      </c>
      <c r="AK2042">
        <v>0</v>
      </c>
      <c r="AL2042" t="s">
        <v>1638</v>
      </c>
      <c r="AM2042">
        <v>46.868234000000001</v>
      </c>
      <c r="AN2042" t="s">
        <v>3845</v>
      </c>
      <c r="AO2042">
        <v>-123.053613</v>
      </c>
      <c r="AP2042">
        <v>100</v>
      </c>
      <c r="AQ2042">
        <v>2000</v>
      </c>
      <c r="AR2042" t="s">
        <v>118</v>
      </c>
      <c r="AS2042">
        <v>-76</v>
      </c>
      <c r="AT2042">
        <v>22</v>
      </c>
      <c r="AU2042">
        <v>64</v>
      </c>
      <c r="BC2042">
        <v>1200</v>
      </c>
      <c r="BD2042">
        <v>1</v>
      </c>
      <c r="BE2042" t="str">
        <f t="shared" si="95"/>
        <v xml:space="preserve">N215T   </v>
      </c>
      <c r="BF2042">
        <v>1</v>
      </c>
      <c r="BH2042">
        <v>0</v>
      </c>
      <c r="BI2042">
        <v>0</v>
      </c>
      <c r="BJ2042">
        <v>0</v>
      </c>
      <c r="BK2042">
        <v>2425</v>
      </c>
      <c r="BL2042">
        <v>425</v>
      </c>
      <c r="BM2042" t="s">
        <v>119</v>
      </c>
      <c r="BN2042">
        <v>1</v>
      </c>
      <c r="BO2042">
        <v>1</v>
      </c>
      <c r="BP2042">
        <v>1</v>
      </c>
      <c r="BQ2042">
        <v>0</v>
      </c>
      <c r="BT2042">
        <v>0</v>
      </c>
      <c r="BU2042">
        <v>0</v>
      </c>
      <c r="BV2042">
        <v>0</v>
      </c>
      <c r="CC2042" t="str">
        <f>"19:08:52.430"</f>
        <v>19:08:52.430</v>
      </c>
      <c r="CD2042" t="str">
        <f>"431818041"</f>
        <v>431818041</v>
      </c>
      <c r="CQ2042">
        <v>0</v>
      </c>
      <c r="CR2042">
        <v>2</v>
      </c>
      <c r="CS2042">
        <v>0</v>
      </c>
      <c r="CT2042">
        <v>2</v>
      </c>
      <c r="CU2042">
        <v>0</v>
      </c>
      <c r="CV2042">
        <v>7</v>
      </c>
      <c r="CW2042" t="s">
        <v>120</v>
      </c>
      <c r="CX2042">
        <v>261</v>
      </c>
      <c r="CY2042">
        <v>2</v>
      </c>
      <c r="CZ2042" t="s">
        <v>121</v>
      </c>
      <c r="DA2042" t="s">
        <v>122</v>
      </c>
      <c r="DD2042">
        <v>15477580</v>
      </c>
      <c r="DE2042" t="s">
        <v>123</v>
      </c>
    </row>
    <row r="2043" spans="1:109" x14ac:dyDescent="0.3">
      <c r="A2043" t="str">
        <f>"19:08:53.531"</f>
        <v>19:08:53.531</v>
      </c>
      <c r="B2043" t="s">
        <v>110</v>
      </c>
      <c r="C2043" t="str">
        <f t="shared" si="93"/>
        <v>ffdfd3c0</v>
      </c>
      <c r="D2043" t="s">
        <v>111</v>
      </c>
      <c r="E2043">
        <v>18</v>
      </c>
      <c r="F2043">
        <v>1018</v>
      </c>
      <c r="G2043" t="s">
        <v>112</v>
      </c>
      <c r="J2043" t="s">
        <v>113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R2043" t="s">
        <v>114</v>
      </c>
      <c r="S2043" t="str">
        <f>"19:08:53.297"</f>
        <v>19:08:53.297</v>
      </c>
      <c r="T2043" t="str">
        <f>"19:08:53.000"</f>
        <v>19:08:53.000</v>
      </c>
      <c r="U2043" t="str">
        <f t="shared" si="94"/>
        <v>a1cdbe</v>
      </c>
      <c r="V2043">
        <v>0</v>
      </c>
      <c r="W2043">
        <v>0</v>
      </c>
      <c r="X2043">
        <v>1</v>
      </c>
      <c r="Y2043">
        <v>0</v>
      </c>
      <c r="Z2043">
        <v>0</v>
      </c>
      <c r="AB2043">
        <v>0</v>
      </c>
      <c r="AC2043">
        <v>9</v>
      </c>
      <c r="AD2043">
        <v>3</v>
      </c>
      <c r="AE2043">
        <v>0</v>
      </c>
      <c r="AF2043">
        <v>9</v>
      </c>
      <c r="AG2043" t="s">
        <v>158</v>
      </c>
      <c r="AH2043">
        <v>0</v>
      </c>
      <c r="AI2043">
        <v>3</v>
      </c>
      <c r="AJ2043">
        <v>1</v>
      </c>
      <c r="AK2043">
        <v>0</v>
      </c>
      <c r="AL2043" t="s">
        <v>3846</v>
      </c>
      <c r="AM2043">
        <v>46.868319999999997</v>
      </c>
      <c r="AN2043" t="s">
        <v>3847</v>
      </c>
      <c r="AO2043">
        <v>-123.05401999999999</v>
      </c>
      <c r="AP2043">
        <v>100</v>
      </c>
      <c r="AQ2043">
        <v>2000</v>
      </c>
      <c r="AR2043" t="s">
        <v>118</v>
      </c>
      <c r="AS2043">
        <v>-76</v>
      </c>
      <c r="AT2043">
        <v>22</v>
      </c>
      <c r="AU2043">
        <v>64</v>
      </c>
      <c r="BC2043">
        <v>1200</v>
      </c>
      <c r="BD2043">
        <v>1</v>
      </c>
      <c r="BE2043" t="str">
        <f t="shared" si="95"/>
        <v xml:space="preserve">N215T   </v>
      </c>
      <c r="BF2043">
        <v>1</v>
      </c>
      <c r="BH2043">
        <v>0</v>
      </c>
      <c r="BI2043">
        <v>0</v>
      </c>
      <c r="BJ2043">
        <v>0</v>
      </c>
      <c r="BK2043">
        <v>2425</v>
      </c>
      <c r="BL2043">
        <v>425</v>
      </c>
      <c r="BM2043" t="s">
        <v>119</v>
      </c>
      <c r="BN2043">
        <v>1</v>
      </c>
      <c r="BO2043">
        <v>1</v>
      </c>
      <c r="BP2043">
        <v>1</v>
      </c>
      <c r="BQ2043">
        <v>0</v>
      </c>
      <c r="BT2043">
        <v>0</v>
      </c>
      <c r="BU2043">
        <v>0</v>
      </c>
      <c r="BV2043">
        <v>0</v>
      </c>
      <c r="CC2043" t="str">
        <f>"19:08:53.305"</f>
        <v>19:08:53.305</v>
      </c>
      <c r="CD2043" t="str">
        <f>"301732345"</f>
        <v>301732345</v>
      </c>
      <c r="CQ2043">
        <v>0</v>
      </c>
      <c r="CR2043">
        <v>2</v>
      </c>
      <c r="CS2043">
        <v>0</v>
      </c>
      <c r="CT2043">
        <v>2</v>
      </c>
      <c r="CU2043">
        <v>0</v>
      </c>
      <c r="CV2043">
        <v>7</v>
      </c>
      <c r="CW2043" t="s">
        <v>120</v>
      </c>
      <c r="CX2043">
        <v>261</v>
      </c>
      <c r="CY2043">
        <v>2</v>
      </c>
      <c r="CZ2043" t="s">
        <v>121</v>
      </c>
      <c r="DA2043" t="s">
        <v>122</v>
      </c>
      <c r="DD2043">
        <v>15478221</v>
      </c>
      <c r="DE2043" t="s">
        <v>123</v>
      </c>
    </row>
    <row r="2044" spans="1:109" x14ac:dyDescent="0.3">
      <c r="A2044" t="str">
        <f>"19:08:54.492"</f>
        <v>19:08:54.492</v>
      </c>
      <c r="B2044" t="s">
        <v>110</v>
      </c>
      <c r="C2044" t="str">
        <f t="shared" si="93"/>
        <v>ffdfd3c0</v>
      </c>
      <c r="D2044" t="s">
        <v>111</v>
      </c>
      <c r="E2044">
        <v>18</v>
      </c>
      <c r="F2044">
        <v>1018</v>
      </c>
      <c r="G2044" t="s">
        <v>112</v>
      </c>
      <c r="J2044" t="s">
        <v>113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R2044" t="s">
        <v>114</v>
      </c>
      <c r="S2044" t="str">
        <f>"19:08:54.258"</f>
        <v>19:08:54.258</v>
      </c>
      <c r="T2044" t="str">
        <f>"19:08:53.961"</f>
        <v>19:08:53.961</v>
      </c>
      <c r="U2044" t="str">
        <f t="shared" si="94"/>
        <v>a1cdbe</v>
      </c>
      <c r="V2044">
        <v>0</v>
      </c>
      <c r="W2044">
        <v>0</v>
      </c>
      <c r="X2044">
        <v>1</v>
      </c>
      <c r="Y2044">
        <v>0</v>
      </c>
      <c r="Z2044">
        <v>0</v>
      </c>
      <c r="AB2044">
        <v>0</v>
      </c>
      <c r="AC2044">
        <v>9</v>
      </c>
      <c r="AD2044">
        <v>3</v>
      </c>
      <c r="AE2044">
        <v>0</v>
      </c>
      <c r="AF2044">
        <v>9</v>
      </c>
      <c r="AG2044" t="s">
        <v>158</v>
      </c>
      <c r="AH2044">
        <v>0</v>
      </c>
      <c r="AI2044">
        <v>3</v>
      </c>
      <c r="AJ2044">
        <v>1</v>
      </c>
      <c r="AK2044">
        <v>0</v>
      </c>
      <c r="AL2044" t="s">
        <v>3848</v>
      </c>
      <c r="AM2044">
        <v>46.868426999999997</v>
      </c>
      <c r="AN2044" t="s">
        <v>3849</v>
      </c>
      <c r="AO2044">
        <v>-123.05447100000001</v>
      </c>
      <c r="AP2044">
        <v>100</v>
      </c>
      <c r="AQ2044">
        <v>2000</v>
      </c>
      <c r="AR2044" t="s">
        <v>118</v>
      </c>
      <c r="AS2044">
        <v>-76</v>
      </c>
      <c r="AT2044">
        <v>22</v>
      </c>
      <c r="AU2044">
        <v>0</v>
      </c>
      <c r="BC2044">
        <v>1200</v>
      </c>
      <c r="BD2044">
        <v>1</v>
      </c>
      <c r="BE2044" t="str">
        <f t="shared" si="95"/>
        <v xml:space="preserve">N215T   </v>
      </c>
      <c r="BF2044">
        <v>1</v>
      </c>
      <c r="BH2044">
        <v>0</v>
      </c>
      <c r="BI2044">
        <v>0</v>
      </c>
      <c r="BJ2044">
        <v>0</v>
      </c>
      <c r="BK2044">
        <v>2425</v>
      </c>
      <c r="BL2044">
        <v>425</v>
      </c>
      <c r="BM2044" t="s">
        <v>119</v>
      </c>
      <c r="BN2044">
        <v>1</v>
      </c>
      <c r="BO2044">
        <v>1</v>
      </c>
      <c r="BP2044">
        <v>1</v>
      </c>
      <c r="BQ2044">
        <v>0</v>
      </c>
      <c r="BT2044">
        <v>0</v>
      </c>
      <c r="BU2044">
        <v>0</v>
      </c>
      <c r="BV2044">
        <v>0</v>
      </c>
      <c r="CC2044" t="str">
        <f>"19:08:54.258"</f>
        <v>19:08:54.258</v>
      </c>
      <c r="CD2044" t="str">
        <f>"261637788"</f>
        <v>261637788</v>
      </c>
      <c r="CQ2044">
        <v>0</v>
      </c>
      <c r="CR2044">
        <v>2</v>
      </c>
      <c r="CS2044">
        <v>0</v>
      </c>
      <c r="CT2044">
        <v>2</v>
      </c>
      <c r="CU2044">
        <v>0</v>
      </c>
      <c r="CV2044">
        <v>7</v>
      </c>
      <c r="CW2044" t="s">
        <v>120</v>
      </c>
      <c r="CX2044">
        <v>261</v>
      </c>
      <c r="CY2044">
        <v>2</v>
      </c>
      <c r="CZ2044" t="s">
        <v>121</v>
      </c>
      <c r="DA2044" t="s">
        <v>122</v>
      </c>
      <c r="DD2044">
        <v>15478844</v>
      </c>
      <c r="DE2044" t="s">
        <v>123</v>
      </c>
    </row>
    <row r="2045" spans="1:109" x14ac:dyDescent="0.3">
      <c r="A2045" t="str">
        <f>"19:08:55.438"</f>
        <v>19:08:55.438</v>
      </c>
      <c r="B2045" t="s">
        <v>110</v>
      </c>
      <c r="C2045" t="str">
        <f t="shared" si="93"/>
        <v>ffdfd3c0</v>
      </c>
      <c r="D2045" t="s">
        <v>111</v>
      </c>
      <c r="E2045">
        <v>18</v>
      </c>
      <c r="F2045">
        <v>1018</v>
      </c>
      <c r="G2045" t="s">
        <v>112</v>
      </c>
      <c r="J2045" t="s">
        <v>113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R2045" t="s">
        <v>114</v>
      </c>
      <c r="S2045" t="str">
        <f>"19:08:55.219"</f>
        <v>19:08:55.219</v>
      </c>
      <c r="T2045" t="str">
        <f>"19:08:55.016"</f>
        <v>19:08:55.016</v>
      </c>
      <c r="U2045" t="str">
        <f t="shared" si="94"/>
        <v>a1cdbe</v>
      </c>
      <c r="V2045">
        <v>0</v>
      </c>
      <c r="W2045">
        <v>0</v>
      </c>
      <c r="X2045">
        <v>1</v>
      </c>
      <c r="Y2045">
        <v>0</v>
      </c>
      <c r="Z2045">
        <v>0</v>
      </c>
      <c r="AB2045">
        <v>0</v>
      </c>
      <c r="AC2045">
        <v>9</v>
      </c>
      <c r="AD2045">
        <v>3</v>
      </c>
      <c r="AE2045">
        <v>0</v>
      </c>
      <c r="AF2045">
        <v>9</v>
      </c>
      <c r="AG2045" t="s">
        <v>158</v>
      </c>
      <c r="AH2045">
        <v>0</v>
      </c>
      <c r="AI2045">
        <v>3</v>
      </c>
      <c r="AJ2045">
        <v>1</v>
      </c>
      <c r="AK2045">
        <v>0</v>
      </c>
      <c r="AL2045" t="s">
        <v>3850</v>
      </c>
      <c r="AM2045">
        <v>46.868490999999999</v>
      </c>
      <c r="AN2045" t="s">
        <v>3851</v>
      </c>
      <c r="AO2045">
        <v>-123.054986</v>
      </c>
      <c r="AP2045">
        <v>100</v>
      </c>
      <c r="AQ2045">
        <v>2000</v>
      </c>
      <c r="AR2045" t="s">
        <v>118</v>
      </c>
      <c r="AS2045">
        <v>-76</v>
      </c>
      <c r="AT2045">
        <v>21</v>
      </c>
      <c r="AU2045">
        <v>0</v>
      </c>
      <c r="BC2045">
        <v>1200</v>
      </c>
      <c r="BD2045">
        <v>1</v>
      </c>
      <c r="BE2045" t="str">
        <f t="shared" si="95"/>
        <v xml:space="preserve">N215T   </v>
      </c>
      <c r="BF2045">
        <v>1</v>
      </c>
      <c r="BH2045">
        <v>0</v>
      </c>
      <c r="BI2045">
        <v>0</v>
      </c>
      <c r="BJ2045">
        <v>0</v>
      </c>
      <c r="BK2045">
        <v>2425</v>
      </c>
      <c r="BL2045">
        <v>425</v>
      </c>
      <c r="BM2045" t="s">
        <v>119</v>
      </c>
      <c r="BN2045">
        <v>1</v>
      </c>
      <c r="BO2045">
        <v>1</v>
      </c>
      <c r="BP2045">
        <v>1</v>
      </c>
      <c r="BQ2045">
        <v>0</v>
      </c>
      <c r="BT2045">
        <v>0</v>
      </c>
      <c r="BU2045">
        <v>0</v>
      </c>
      <c r="BV2045">
        <v>0</v>
      </c>
      <c r="CC2045" t="str">
        <f>"19:08:55.219"</f>
        <v>19:08:55.219</v>
      </c>
      <c r="CD2045" t="str">
        <f>"221587618"</f>
        <v>221587618</v>
      </c>
      <c r="CQ2045">
        <v>0</v>
      </c>
      <c r="CR2045">
        <v>2</v>
      </c>
      <c r="CS2045">
        <v>0</v>
      </c>
      <c r="CT2045">
        <v>2</v>
      </c>
      <c r="CU2045">
        <v>0</v>
      </c>
      <c r="CV2045">
        <v>2</v>
      </c>
      <c r="CW2045" t="s">
        <v>172</v>
      </c>
      <c r="CX2045">
        <v>326</v>
      </c>
      <c r="CY2045">
        <v>0</v>
      </c>
      <c r="CZ2045" t="s">
        <v>173</v>
      </c>
      <c r="DA2045" t="s">
        <v>174</v>
      </c>
      <c r="DD2045">
        <v>6941418</v>
      </c>
      <c r="DE2045" t="s">
        <v>123</v>
      </c>
    </row>
    <row r="2046" spans="1:109" x14ac:dyDescent="0.3">
      <c r="A2046" t="str">
        <f>"19:08:56.500"</f>
        <v>19:08:56.500</v>
      </c>
      <c r="B2046" t="s">
        <v>110</v>
      </c>
      <c r="C2046" t="str">
        <f t="shared" si="93"/>
        <v>ffdfd3c0</v>
      </c>
      <c r="D2046" t="s">
        <v>111</v>
      </c>
      <c r="E2046">
        <v>18</v>
      </c>
      <c r="F2046">
        <v>1018</v>
      </c>
      <c r="G2046" t="s">
        <v>112</v>
      </c>
      <c r="J2046" t="s">
        <v>113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R2046" t="s">
        <v>114</v>
      </c>
      <c r="S2046" t="str">
        <f>"19:08:56.281"</f>
        <v>19:08:56.281</v>
      </c>
      <c r="T2046" t="str">
        <f>"19:08:55.984"</f>
        <v>19:08:55.984</v>
      </c>
      <c r="U2046" t="str">
        <f t="shared" si="94"/>
        <v>a1cdbe</v>
      </c>
      <c r="V2046">
        <v>0</v>
      </c>
      <c r="W2046">
        <v>0</v>
      </c>
      <c r="X2046">
        <v>1</v>
      </c>
      <c r="Y2046">
        <v>0</v>
      </c>
      <c r="Z2046">
        <v>0</v>
      </c>
      <c r="AB2046">
        <v>0</v>
      </c>
      <c r="AC2046">
        <v>9</v>
      </c>
      <c r="AD2046">
        <v>3</v>
      </c>
      <c r="AE2046">
        <v>0</v>
      </c>
      <c r="AF2046">
        <v>9</v>
      </c>
      <c r="AG2046" t="s">
        <v>158</v>
      </c>
      <c r="AH2046">
        <v>0</v>
      </c>
      <c r="AI2046">
        <v>3</v>
      </c>
      <c r="AJ2046">
        <v>1</v>
      </c>
      <c r="AK2046">
        <v>0</v>
      </c>
      <c r="AL2046" t="s">
        <v>3852</v>
      </c>
      <c r="AM2046">
        <v>46.868597999999999</v>
      </c>
      <c r="AN2046" t="s">
        <v>3853</v>
      </c>
      <c r="AO2046">
        <v>-123.055544</v>
      </c>
      <c r="AP2046">
        <v>100</v>
      </c>
      <c r="AQ2046">
        <v>2000</v>
      </c>
      <c r="AR2046" t="s">
        <v>118</v>
      </c>
      <c r="AS2046">
        <v>-76</v>
      </c>
      <c r="AT2046">
        <v>21</v>
      </c>
      <c r="AU2046">
        <v>0</v>
      </c>
      <c r="BC2046">
        <v>1200</v>
      </c>
      <c r="BD2046">
        <v>1</v>
      </c>
      <c r="BE2046" t="str">
        <f t="shared" si="95"/>
        <v xml:space="preserve">N215T   </v>
      </c>
      <c r="BF2046">
        <v>1</v>
      </c>
      <c r="BH2046">
        <v>0</v>
      </c>
      <c r="BI2046">
        <v>0</v>
      </c>
      <c r="BJ2046">
        <v>0</v>
      </c>
      <c r="BK2046">
        <v>2425</v>
      </c>
      <c r="BL2046">
        <v>425</v>
      </c>
      <c r="BM2046" t="s">
        <v>119</v>
      </c>
      <c r="BN2046">
        <v>1</v>
      </c>
      <c r="BO2046">
        <v>1</v>
      </c>
      <c r="BP2046">
        <v>1</v>
      </c>
      <c r="BQ2046">
        <v>0</v>
      </c>
      <c r="BT2046">
        <v>0</v>
      </c>
      <c r="BU2046">
        <v>0</v>
      </c>
      <c r="BV2046">
        <v>0</v>
      </c>
      <c r="CC2046" t="str">
        <f>"19:08:56.289"</f>
        <v>19:08:56.289</v>
      </c>
      <c r="CD2046" t="str">
        <f>"286438338"</f>
        <v>286438338</v>
      </c>
      <c r="CQ2046">
        <v>0</v>
      </c>
      <c r="CR2046">
        <v>2</v>
      </c>
      <c r="CS2046">
        <v>0</v>
      </c>
      <c r="CT2046">
        <v>2</v>
      </c>
      <c r="CU2046">
        <v>0</v>
      </c>
      <c r="CV2046">
        <v>7</v>
      </c>
      <c r="CW2046" t="s">
        <v>120</v>
      </c>
      <c r="CX2046">
        <v>261</v>
      </c>
      <c r="CY2046">
        <v>2</v>
      </c>
      <c r="CZ2046" t="s">
        <v>121</v>
      </c>
      <c r="DA2046" t="s">
        <v>122</v>
      </c>
      <c r="DD2046">
        <v>15480222</v>
      </c>
      <c r="DE2046" t="s">
        <v>123</v>
      </c>
    </row>
    <row r="2047" spans="1:109" x14ac:dyDescent="0.3">
      <c r="A2047" t="str">
        <f>"19:08:57.500"</f>
        <v>19:08:57.500</v>
      </c>
      <c r="B2047" t="s">
        <v>110</v>
      </c>
      <c r="C2047" t="str">
        <f t="shared" si="93"/>
        <v>ffdfd3c0</v>
      </c>
      <c r="D2047" t="s">
        <v>111</v>
      </c>
      <c r="E2047">
        <v>18</v>
      </c>
      <c r="F2047">
        <v>1018</v>
      </c>
      <c r="G2047" t="s">
        <v>112</v>
      </c>
      <c r="J2047" t="s">
        <v>113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R2047" t="s">
        <v>114</v>
      </c>
      <c r="S2047" t="str">
        <f>"19:08:57.305"</f>
        <v>19:08:57.305</v>
      </c>
      <c r="T2047" t="str">
        <f>"19:08:57.008"</f>
        <v>19:08:57.008</v>
      </c>
      <c r="U2047" t="str">
        <f t="shared" si="94"/>
        <v>a1cdbe</v>
      </c>
      <c r="V2047">
        <v>0</v>
      </c>
      <c r="W2047">
        <v>0</v>
      </c>
      <c r="X2047">
        <v>1</v>
      </c>
      <c r="Y2047">
        <v>0</v>
      </c>
      <c r="Z2047">
        <v>0</v>
      </c>
      <c r="AB2047">
        <v>0</v>
      </c>
      <c r="AC2047">
        <v>9</v>
      </c>
      <c r="AD2047">
        <v>3</v>
      </c>
      <c r="AE2047">
        <v>0</v>
      </c>
      <c r="AF2047">
        <v>9</v>
      </c>
      <c r="AG2047" t="s">
        <v>158</v>
      </c>
      <c r="AH2047">
        <v>0</v>
      </c>
      <c r="AI2047">
        <v>3</v>
      </c>
      <c r="AJ2047">
        <v>1</v>
      </c>
      <c r="AK2047">
        <v>0</v>
      </c>
      <c r="AL2047" t="s">
        <v>3854</v>
      </c>
      <c r="AM2047">
        <v>46.868727</v>
      </c>
      <c r="AN2047" t="s">
        <v>3855</v>
      </c>
      <c r="AO2047">
        <v>-123.05607999999999</v>
      </c>
      <c r="AP2047">
        <v>100</v>
      </c>
      <c r="AQ2047">
        <v>2000</v>
      </c>
      <c r="AR2047" t="s">
        <v>118</v>
      </c>
      <c r="AS2047">
        <v>-76</v>
      </c>
      <c r="AT2047">
        <v>21</v>
      </c>
      <c r="AU2047">
        <v>0</v>
      </c>
      <c r="BC2047">
        <v>1200</v>
      </c>
      <c r="BD2047">
        <v>1</v>
      </c>
      <c r="BE2047" t="str">
        <f t="shared" si="95"/>
        <v xml:space="preserve">N215T   </v>
      </c>
      <c r="BF2047">
        <v>1</v>
      </c>
      <c r="BH2047">
        <v>0</v>
      </c>
      <c r="BI2047">
        <v>0</v>
      </c>
      <c r="BJ2047">
        <v>0</v>
      </c>
      <c r="BK2047">
        <v>2425</v>
      </c>
      <c r="BL2047">
        <v>425</v>
      </c>
      <c r="BM2047" t="s">
        <v>119</v>
      </c>
      <c r="BN2047">
        <v>1</v>
      </c>
      <c r="BO2047">
        <v>1</v>
      </c>
      <c r="BP2047">
        <v>1</v>
      </c>
      <c r="BQ2047">
        <v>0</v>
      </c>
      <c r="BT2047">
        <v>0</v>
      </c>
      <c r="BU2047">
        <v>0</v>
      </c>
      <c r="BV2047">
        <v>0</v>
      </c>
      <c r="CC2047" t="str">
        <f>"19:08:57.305"</f>
        <v>19:08:57.305</v>
      </c>
      <c r="CD2047" t="str">
        <f>"306337881"</f>
        <v>306337881</v>
      </c>
      <c r="CQ2047">
        <v>0</v>
      </c>
      <c r="CR2047">
        <v>2</v>
      </c>
      <c r="CS2047">
        <v>0</v>
      </c>
      <c r="CT2047">
        <v>2</v>
      </c>
      <c r="CU2047">
        <v>0</v>
      </c>
      <c r="CV2047">
        <v>7</v>
      </c>
      <c r="CW2047" t="s">
        <v>120</v>
      </c>
      <c r="CX2047">
        <v>261</v>
      </c>
      <c r="CY2047">
        <v>2</v>
      </c>
      <c r="CZ2047" t="s">
        <v>121</v>
      </c>
      <c r="DA2047" t="s">
        <v>122</v>
      </c>
      <c r="DD2047">
        <v>15480949</v>
      </c>
      <c r="DE2047" t="s">
        <v>123</v>
      </c>
    </row>
    <row r="2048" spans="1:109" x14ac:dyDescent="0.3">
      <c r="A2048" t="str">
        <f>"19:08:58.609"</f>
        <v>19:08:58.609</v>
      </c>
      <c r="B2048" t="s">
        <v>110</v>
      </c>
      <c r="C2048" t="str">
        <f t="shared" si="93"/>
        <v>ffdfd3c0</v>
      </c>
      <c r="D2048" t="s">
        <v>111</v>
      </c>
      <c r="E2048">
        <v>18</v>
      </c>
      <c r="F2048">
        <v>1018</v>
      </c>
      <c r="G2048" t="s">
        <v>112</v>
      </c>
      <c r="J2048" t="s">
        <v>113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R2048" t="s">
        <v>114</v>
      </c>
      <c r="S2048" t="str">
        <f>"19:08:58.367"</f>
        <v>19:08:58.367</v>
      </c>
      <c r="T2048" t="str">
        <f>"19:08:57.969"</f>
        <v>19:08:57.969</v>
      </c>
      <c r="U2048" t="str">
        <f t="shared" si="94"/>
        <v>a1cdbe</v>
      </c>
      <c r="V2048">
        <v>0</v>
      </c>
      <c r="W2048">
        <v>0</v>
      </c>
      <c r="X2048">
        <v>1</v>
      </c>
      <c r="Y2048">
        <v>0</v>
      </c>
      <c r="Z2048">
        <v>0</v>
      </c>
      <c r="AB2048">
        <v>0</v>
      </c>
      <c r="AC2048">
        <v>9</v>
      </c>
      <c r="AD2048">
        <v>3</v>
      </c>
      <c r="AE2048">
        <v>0</v>
      </c>
      <c r="AF2048">
        <v>9</v>
      </c>
      <c r="AG2048" t="s">
        <v>158</v>
      </c>
      <c r="AH2048">
        <v>0</v>
      </c>
      <c r="AI2048">
        <v>3</v>
      </c>
      <c r="AJ2048">
        <v>1</v>
      </c>
      <c r="AK2048">
        <v>0</v>
      </c>
      <c r="AL2048" t="s">
        <v>3856</v>
      </c>
      <c r="AM2048">
        <v>46.868813000000003</v>
      </c>
      <c r="AN2048" t="s">
        <v>3857</v>
      </c>
      <c r="AO2048">
        <v>-123.056617</v>
      </c>
      <c r="AP2048">
        <v>100</v>
      </c>
      <c r="AQ2048">
        <v>2000</v>
      </c>
      <c r="AR2048" t="s">
        <v>118</v>
      </c>
      <c r="AS2048">
        <v>-77</v>
      </c>
      <c r="AT2048">
        <v>20</v>
      </c>
      <c r="AU2048">
        <v>0</v>
      </c>
      <c r="BC2048">
        <v>1200</v>
      </c>
      <c r="BD2048">
        <v>1</v>
      </c>
      <c r="BE2048" t="str">
        <f t="shared" si="95"/>
        <v xml:space="preserve">N215T   </v>
      </c>
      <c r="BF2048">
        <v>1</v>
      </c>
      <c r="BH2048">
        <v>0</v>
      </c>
      <c r="BI2048">
        <v>0</v>
      </c>
      <c r="BJ2048">
        <v>0</v>
      </c>
      <c r="BK2048">
        <v>2450</v>
      </c>
      <c r="BL2048">
        <v>450</v>
      </c>
      <c r="BM2048" t="s">
        <v>119</v>
      </c>
      <c r="BN2048">
        <v>1</v>
      </c>
      <c r="BO2048">
        <v>1</v>
      </c>
      <c r="BP2048">
        <v>1</v>
      </c>
      <c r="BQ2048">
        <v>0</v>
      </c>
      <c r="BT2048">
        <v>0</v>
      </c>
      <c r="BU2048">
        <v>0</v>
      </c>
      <c r="BV2048">
        <v>0</v>
      </c>
      <c r="CC2048" t="str">
        <f>"19:08:58.375"</f>
        <v>19:08:58.375</v>
      </c>
      <c r="CD2048" t="str">
        <f>"371232988"</f>
        <v>371232988</v>
      </c>
      <c r="CQ2048">
        <v>0</v>
      </c>
      <c r="CR2048">
        <v>2</v>
      </c>
      <c r="CS2048">
        <v>0</v>
      </c>
      <c r="CT2048">
        <v>2</v>
      </c>
      <c r="CU2048">
        <v>0</v>
      </c>
      <c r="CV2048">
        <v>7</v>
      </c>
      <c r="CW2048" t="s">
        <v>120</v>
      </c>
      <c r="CX2048">
        <v>261</v>
      </c>
      <c r="CY2048">
        <v>2</v>
      </c>
      <c r="CZ2048" t="s">
        <v>121</v>
      </c>
      <c r="DA2048" t="s">
        <v>122</v>
      </c>
      <c r="DD2048">
        <v>15481635</v>
      </c>
      <c r="DE2048" t="s">
        <v>123</v>
      </c>
    </row>
    <row r="2049" spans="1:109" x14ac:dyDescent="0.3">
      <c r="A2049" t="str">
        <f>"19:08:59.414"</f>
        <v>19:08:59.414</v>
      </c>
      <c r="B2049" t="s">
        <v>110</v>
      </c>
      <c r="C2049" t="str">
        <f t="shared" si="93"/>
        <v>ffdfd3c0</v>
      </c>
      <c r="D2049" t="s">
        <v>111</v>
      </c>
      <c r="E2049">
        <v>18</v>
      </c>
      <c r="F2049">
        <v>1018</v>
      </c>
      <c r="G2049" t="s">
        <v>112</v>
      </c>
      <c r="J2049" t="s">
        <v>113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R2049" t="s">
        <v>114</v>
      </c>
      <c r="S2049" t="str">
        <f>"19:08:59.211"</f>
        <v>19:08:59.211</v>
      </c>
      <c r="T2049" t="str">
        <f>"19:08:58.914"</f>
        <v>19:08:58.914</v>
      </c>
      <c r="U2049" t="str">
        <f t="shared" si="94"/>
        <v>a1cdbe</v>
      </c>
      <c r="V2049">
        <v>0</v>
      </c>
      <c r="W2049">
        <v>0</v>
      </c>
      <c r="X2049">
        <v>1</v>
      </c>
      <c r="Y2049">
        <v>0</v>
      </c>
      <c r="Z2049">
        <v>0</v>
      </c>
      <c r="AB2049">
        <v>0</v>
      </c>
      <c r="AC2049">
        <v>9</v>
      </c>
      <c r="AD2049">
        <v>3</v>
      </c>
      <c r="AE2049">
        <v>0</v>
      </c>
      <c r="AF2049">
        <v>9</v>
      </c>
      <c r="AG2049" t="s">
        <v>158</v>
      </c>
      <c r="AH2049">
        <v>0</v>
      </c>
      <c r="AI2049">
        <v>3</v>
      </c>
      <c r="AJ2049">
        <v>1</v>
      </c>
      <c r="AK2049">
        <v>0</v>
      </c>
      <c r="AL2049" t="s">
        <v>3858</v>
      </c>
      <c r="AM2049">
        <v>46.868920000000003</v>
      </c>
      <c r="AN2049" t="s">
        <v>3859</v>
      </c>
      <c r="AO2049">
        <v>-123.057046</v>
      </c>
      <c r="AP2049">
        <v>100</v>
      </c>
      <c r="AQ2049">
        <v>2000</v>
      </c>
      <c r="AR2049" t="s">
        <v>118</v>
      </c>
      <c r="AS2049">
        <v>-77</v>
      </c>
      <c r="AT2049">
        <v>20</v>
      </c>
      <c r="AU2049">
        <v>0</v>
      </c>
      <c r="BC2049">
        <v>1200</v>
      </c>
      <c r="BD2049">
        <v>1</v>
      </c>
      <c r="BE2049" t="str">
        <f t="shared" si="95"/>
        <v xml:space="preserve">N215T   </v>
      </c>
      <c r="BF2049">
        <v>1</v>
      </c>
      <c r="BH2049">
        <v>0</v>
      </c>
      <c r="BI2049">
        <v>0</v>
      </c>
      <c r="BJ2049">
        <v>0</v>
      </c>
      <c r="BK2049">
        <v>2450</v>
      </c>
      <c r="BL2049">
        <v>450</v>
      </c>
      <c r="BM2049" t="s">
        <v>119</v>
      </c>
      <c r="BN2049">
        <v>1</v>
      </c>
      <c r="BO2049">
        <v>1</v>
      </c>
      <c r="BP2049">
        <v>1</v>
      </c>
      <c r="BQ2049">
        <v>0</v>
      </c>
      <c r="BT2049">
        <v>0</v>
      </c>
      <c r="BU2049">
        <v>0</v>
      </c>
      <c r="BV2049">
        <v>0</v>
      </c>
      <c r="CC2049" t="str">
        <f>"19:08:59.211"</f>
        <v>19:08:59.211</v>
      </c>
      <c r="CD2049" t="str">
        <f>"211150260"</f>
        <v>211150260</v>
      </c>
      <c r="CQ2049">
        <v>0</v>
      </c>
      <c r="CR2049">
        <v>2</v>
      </c>
      <c r="CS2049">
        <v>0</v>
      </c>
      <c r="CT2049">
        <v>2</v>
      </c>
      <c r="CU2049">
        <v>0</v>
      </c>
      <c r="CV2049">
        <v>6</v>
      </c>
      <c r="CW2049" t="s">
        <v>120</v>
      </c>
      <c r="CX2049">
        <v>261</v>
      </c>
      <c r="CY2049">
        <v>2</v>
      </c>
      <c r="CZ2049" t="s">
        <v>121</v>
      </c>
      <c r="DA2049" t="s">
        <v>122</v>
      </c>
      <c r="DD2049">
        <v>15482185</v>
      </c>
      <c r="DE2049" t="s">
        <v>123</v>
      </c>
    </row>
    <row r="2050" spans="1:109" x14ac:dyDescent="0.3">
      <c r="A2050" t="str">
        <f>"19:09:00.422"</f>
        <v>19:09:00.422</v>
      </c>
      <c r="B2050" t="s">
        <v>110</v>
      </c>
      <c r="C2050" t="str">
        <f t="shared" ref="C2050:C2113" si="96">"ffdfd3c0"</f>
        <v>ffdfd3c0</v>
      </c>
      <c r="D2050" t="s">
        <v>111</v>
      </c>
      <c r="E2050">
        <v>18</v>
      </c>
      <c r="F2050">
        <v>1018</v>
      </c>
      <c r="G2050" t="s">
        <v>112</v>
      </c>
      <c r="J2050" t="s">
        <v>113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R2050" t="s">
        <v>114</v>
      </c>
      <c r="S2050" t="str">
        <f>"19:09:00.195"</f>
        <v>19:09:00.195</v>
      </c>
      <c r="T2050" t="str">
        <f>"19:08:59.992"</f>
        <v>19:08:59.992</v>
      </c>
      <c r="U2050" t="str">
        <f t="shared" ref="U2050:U2113" si="97">"a1cdbe"</f>
        <v>a1cdbe</v>
      </c>
      <c r="V2050">
        <v>0</v>
      </c>
      <c r="W2050">
        <v>0</v>
      </c>
      <c r="X2050">
        <v>1</v>
      </c>
      <c r="Y2050">
        <v>0</v>
      </c>
      <c r="Z2050">
        <v>0</v>
      </c>
      <c r="AB2050">
        <v>0</v>
      </c>
      <c r="AC2050">
        <v>9</v>
      </c>
      <c r="AD2050">
        <v>3</v>
      </c>
      <c r="AE2050">
        <v>0</v>
      </c>
      <c r="AF2050">
        <v>9</v>
      </c>
      <c r="AG2050" t="s">
        <v>158</v>
      </c>
      <c r="AH2050">
        <v>0</v>
      </c>
      <c r="AI2050">
        <v>3</v>
      </c>
      <c r="AJ2050">
        <v>1</v>
      </c>
      <c r="AK2050">
        <v>0</v>
      </c>
      <c r="AL2050" t="s">
        <v>3860</v>
      </c>
      <c r="AM2050">
        <v>46.868985000000002</v>
      </c>
      <c r="AN2050" t="s">
        <v>3861</v>
      </c>
      <c r="AO2050">
        <v>-123.057582</v>
      </c>
      <c r="AP2050">
        <v>100</v>
      </c>
      <c r="AQ2050">
        <v>2000</v>
      </c>
      <c r="AR2050" t="s">
        <v>118</v>
      </c>
      <c r="AS2050">
        <v>-77</v>
      </c>
      <c r="AT2050">
        <v>20</v>
      </c>
      <c r="AU2050">
        <v>-64</v>
      </c>
      <c r="BC2050">
        <v>1200</v>
      </c>
      <c r="BD2050">
        <v>1</v>
      </c>
      <c r="BE2050" t="str">
        <f t="shared" ref="BE2050:BE2113" si="98">"N215T   "</f>
        <v xml:space="preserve">N215T   </v>
      </c>
      <c r="BF2050">
        <v>1</v>
      </c>
      <c r="BH2050">
        <v>0</v>
      </c>
      <c r="BI2050">
        <v>0</v>
      </c>
      <c r="BJ2050">
        <v>0</v>
      </c>
      <c r="BK2050">
        <v>2450</v>
      </c>
      <c r="BL2050">
        <v>450</v>
      </c>
      <c r="BM2050" t="s">
        <v>119</v>
      </c>
      <c r="BN2050">
        <v>1</v>
      </c>
      <c r="BO2050">
        <v>1</v>
      </c>
      <c r="BP2050">
        <v>1</v>
      </c>
      <c r="BQ2050">
        <v>0</v>
      </c>
      <c r="BT2050">
        <v>0</v>
      </c>
      <c r="BU2050">
        <v>0</v>
      </c>
      <c r="BV2050">
        <v>0</v>
      </c>
      <c r="CC2050" t="str">
        <f>"19:09:00.203"</f>
        <v>19:09:00.203</v>
      </c>
      <c r="CD2050" t="str">
        <f>"201052753"</f>
        <v>201052753</v>
      </c>
      <c r="CQ2050">
        <v>0</v>
      </c>
      <c r="CR2050">
        <v>2</v>
      </c>
      <c r="CS2050">
        <v>0</v>
      </c>
      <c r="CT2050">
        <v>2</v>
      </c>
      <c r="CU2050">
        <v>0</v>
      </c>
      <c r="CV2050">
        <v>7</v>
      </c>
      <c r="CW2050" t="s">
        <v>120</v>
      </c>
      <c r="CX2050">
        <v>261</v>
      </c>
      <c r="CY2050">
        <v>2</v>
      </c>
      <c r="CZ2050" t="s">
        <v>121</v>
      </c>
      <c r="DA2050" t="s">
        <v>122</v>
      </c>
      <c r="DD2050">
        <v>15482881</v>
      </c>
      <c r="DE2050" t="s">
        <v>123</v>
      </c>
    </row>
    <row r="2051" spans="1:109" x14ac:dyDescent="0.3">
      <c r="A2051" t="str">
        <f>"19:09:01.523"</f>
        <v>19:09:01.523</v>
      </c>
      <c r="B2051" t="s">
        <v>110</v>
      </c>
      <c r="C2051" t="str">
        <f t="shared" si="96"/>
        <v>ffdfd3c0</v>
      </c>
      <c r="D2051" t="s">
        <v>111</v>
      </c>
      <c r="E2051">
        <v>18</v>
      </c>
      <c r="F2051">
        <v>1018</v>
      </c>
      <c r="G2051" t="s">
        <v>112</v>
      </c>
      <c r="J2051" t="s">
        <v>113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R2051" t="s">
        <v>114</v>
      </c>
      <c r="S2051" t="str">
        <f>"19:09:01.320"</f>
        <v>19:09:01.320</v>
      </c>
      <c r="T2051" t="str">
        <f>"19:09:01.117"</f>
        <v>19:09:01.117</v>
      </c>
      <c r="U2051" t="str">
        <f t="shared" si="97"/>
        <v>a1cdbe</v>
      </c>
      <c r="V2051">
        <v>0</v>
      </c>
      <c r="W2051">
        <v>0</v>
      </c>
      <c r="X2051">
        <v>1</v>
      </c>
      <c r="Y2051">
        <v>0</v>
      </c>
      <c r="Z2051">
        <v>0</v>
      </c>
      <c r="AB2051">
        <v>0</v>
      </c>
      <c r="AC2051">
        <v>9</v>
      </c>
      <c r="AD2051">
        <v>3</v>
      </c>
      <c r="AE2051">
        <v>0</v>
      </c>
      <c r="AF2051">
        <v>9</v>
      </c>
      <c r="AG2051" t="s">
        <v>158</v>
      </c>
      <c r="AH2051">
        <v>0</v>
      </c>
      <c r="AI2051">
        <v>3</v>
      </c>
      <c r="AJ2051">
        <v>1</v>
      </c>
      <c r="AK2051">
        <v>0</v>
      </c>
      <c r="AL2051" t="s">
        <v>3862</v>
      </c>
      <c r="AM2051">
        <v>46.869092000000002</v>
      </c>
      <c r="AN2051" t="s">
        <v>3863</v>
      </c>
      <c r="AO2051">
        <v>-123.05813999999999</v>
      </c>
      <c r="AP2051">
        <v>100</v>
      </c>
      <c r="AQ2051">
        <v>2000</v>
      </c>
      <c r="AR2051" t="s">
        <v>118</v>
      </c>
      <c r="AS2051">
        <v>-77</v>
      </c>
      <c r="AT2051">
        <v>20</v>
      </c>
      <c r="AU2051">
        <v>-64</v>
      </c>
      <c r="BC2051">
        <v>1200</v>
      </c>
      <c r="BD2051">
        <v>1</v>
      </c>
      <c r="BE2051" t="str">
        <f t="shared" si="98"/>
        <v xml:space="preserve">N215T   </v>
      </c>
      <c r="BF2051">
        <v>1</v>
      </c>
      <c r="BH2051">
        <v>0</v>
      </c>
      <c r="BI2051">
        <v>0</v>
      </c>
      <c r="BJ2051">
        <v>0</v>
      </c>
      <c r="BK2051">
        <v>2425</v>
      </c>
      <c r="BL2051">
        <v>425</v>
      </c>
      <c r="BM2051" t="s">
        <v>119</v>
      </c>
      <c r="BN2051">
        <v>1</v>
      </c>
      <c r="BO2051">
        <v>1</v>
      </c>
      <c r="BP2051">
        <v>1</v>
      </c>
      <c r="BQ2051">
        <v>0</v>
      </c>
      <c r="BT2051">
        <v>0</v>
      </c>
      <c r="BU2051">
        <v>0</v>
      </c>
      <c r="BV2051">
        <v>0</v>
      </c>
      <c r="CC2051" t="str">
        <f>"19:09:01.328"</f>
        <v>19:09:01.328</v>
      </c>
      <c r="CD2051" t="str">
        <f>"325941959"</f>
        <v>325941959</v>
      </c>
      <c r="CQ2051">
        <v>0</v>
      </c>
      <c r="CR2051">
        <v>2</v>
      </c>
      <c r="CS2051">
        <v>0</v>
      </c>
      <c r="CT2051">
        <v>2</v>
      </c>
      <c r="CU2051">
        <v>0</v>
      </c>
      <c r="CV2051">
        <v>7</v>
      </c>
      <c r="CW2051" t="s">
        <v>120</v>
      </c>
      <c r="CX2051">
        <v>261</v>
      </c>
      <c r="CY2051">
        <v>2</v>
      </c>
      <c r="CZ2051" t="s">
        <v>121</v>
      </c>
      <c r="DA2051" t="s">
        <v>122</v>
      </c>
      <c r="DD2051">
        <v>15483706</v>
      </c>
      <c r="DE2051" t="s">
        <v>123</v>
      </c>
    </row>
    <row r="2052" spans="1:109" x14ac:dyDescent="0.3">
      <c r="A2052" t="str">
        <f>"19:09:02.633"</f>
        <v>19:09:02.633</v>
      </c>
      <c r="B2052" t="s">
        <v>110</v>
      </c>
      <c r="C2052" t="str">
        <f t="shared" si="96"/>
        <v>ffdfd3c0</v>
      </c>
      <c r="D2052" t="s">
        <v>111</v>
      </c>
      <c r="E2052">
        <v>18</v>
      </c>
      <c r="F2052">
        <v>1018</v>
      </c>
      <c r="G2052" t="s">
        <v>112</v>
      </c>
      <c r="J2052" t="s">
        <v>113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R2052" t="s">
        <v>114</v>
      </c>
      <c r="S2052" t="str">
        <f>"19:09:02.375"</f>
        <v>19:09:02.375</v>
      </c>
      <c r="T2052" t="str">
        <f>"19:09:01.977"</f>
        <v>19:09:01.977</v>
      </c>
      <c r="U2052" t="str">
        <f t="shared" si="97"/>
        <v>a1cdbe</v>
      </c>
      <c r="V2052">
        <v>0</v>
      </c>
      <c r="W2052">
        <v>0</v>
      </c>
      <c r="X2052">
        <v>1</v>
      </c>
      <c r="Y2052">
        <v>0</v>
      </c>
      <c r="Z2052">
        <v>0</v>
      </c>
      <c r="AB2052">
        <v>0</v>
      </c>
      <c r="AC2052">
        <v>9</v>
      </c>
      <c r="AD2052">
        <v>3</v>
      </c>
      <c r="AE2052">
        <v>0</v>
      </c>
      <c r="AF2052">
        <v>9</v>
      </c>
      <c r="AG2052" t="s">
        <v>158</v>
      </c>
      <c r="AH2052">
        <v>0</v>
      </c>
      <c r="AI2052">
        <v>3</v>
      </c>
      <c r="AJ2052">
        <v>1</v>
      </c>
      <c r="AK2052">
        <v>0</v>
      </c>
      <c r="AL2052" t="s">
        <v>3864</v>
      </c>
      <c r="AM2052">
        <v>46.869177999999998</v>
      </c>
      <c r="AN2052" t="s">
        <v>3865</v>
      </c>
      <c r="AO2052">
        <v>-123.058677</v>
      </c>
      <c r="AP2052">
        <v>100</v>
      </c>
      <c r="AQ2052">
        <v>2000</v>
      </c>
      <c r="AR2052" t="s">
        <v>118</v>
      </c>
      <c r="AS2052">
        <v>-77</v>
      </c>
      <c r="AT2052">
        <v>19</v>
      </c>
      <c r="AU2052">
        <v>-64</v>
      </c>
      <c r="BC2052">
        <v>1200</v>
      </c>
      <c r="BD2052">
        <v>1</v>
      </c>
      <c r="BE2052" t="str">
        <f t="shared" si="98"/>
        <v xml:space="preserve">N215T   </v>
      </c>
      <c r="BF2052">
        <v>1</v>
      </c>
      <c r="BH2052">
        <v>0</v>
      </c>
      <c r="BI2052">
        <v>0</v>
      </c>
      <c r="BJ2052">
        <v>0</v>
      </c>
      <c r="BK2052">
        <v>2425</v>
      </c>
      <c r="BL2052">
        <v>425</v>
      </c>
      <c r="BM2052" t="s">
        <v>119</v>
      </c>
      <c r="BN2052">
        <v>1</v>
      </c>
      <c r="BO2052">
        <v>1</v>
      </c>
      <c r="BP2052">
        <v>1</v>
      </c>
      <c r="BQ2052">
        <v>0</v>
      </c>
      <c r="BT2052">
        <v>0</v>
      </c>
      <c r="BU2052">
        <v>0</v>
      </c>
      <c r="BV2052">
        <v>0</v>
      </c>
      <c r="CC2052" t="str">
        <f>"19:09:02.375"</f>
        <v>19:09:02.375</v>
      </c>
      <c r="CD2052" t="str">
        <f>"375838542"</f>
        <v>375838542</v>
      </c>
      <c r="CQ2052">
        <v>0</v>
      </c>
      <c r="CR2052">
        <v>2</v>
      </c>
      <c r="CS2052">
        <v>0</v>
      </c>
      <c r="CT2052">
        <v>2</v>
      </c>
      <c r="CU2052">
        <v>0</v>
      </c>
      <c r="CV2052">
        <v>7</v>
      </c>
      <c r="CW2052" t="s">
        <v>120</v>
      </c>
      <c r="CX2052">
        <v>261</v>
      </c>
      <c r="CY2052">
        <v>2</v>
      </c>
      <c r="CZ2052" t="s">
        <v>121</v>
      </c>
      <c r="DA2052" t="s">
        <v>122</v>
      </c>
      <c r="DD2052">
        <v>15484454</v>
      </c>
      <c r="DE2052" t="s">
        <v>123</v>
      </c>
    </row>
    <row r="2053" spans="1:109" x14ac:dyDescent="0.3">
      <c r="A2053" t="str">
        <f>"19:09:03.734"</f>
        <v>19:09:03.734</v>
      </c>
      <c r="B2053" t="s">
        <v>110</v>
      </c>
      <c r="C2053" t="str">
        <f t="shared" si="96"/>
        <v>ffdfd3c0</v>
      </c>
      <c r="D2053" t="s">
        <v>111</v>
      </c>
      <c r="E2053">
        <v>18</v>
      </c>
      <c r="F2053">
        <v>1018</v>
      </c>
      <c r="G2053" t="s">
        <v>112</v>
      </c>
      <c r="J2053" t="s">
        <v>113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R2053" t="s">
        <v>114</v>
      </c>
      <c r="S2053" t="str">
        <f>"19:09:03.516"</f>
        <v>19:09:03.516</v>
      </c>
      <c r="T2053" t="str">
        <f>"19:09:03.414"</f>
        <v>19:09:03.414</v>
      </c>
      <c r="U2053" t="str">
        <f t="shared" si="97"/>
        <v>a1cdbe</v>
      </c>
      <c r="V2053">
        <v>0</v>
      </c>
      <c r="W2053">
        <v>0</v>
      </c>
      <c r="X2053">
        <v>1</v>
      </c>
      <c r="Y2053">
        <v>0</v>
      </c>
      <c r="Z2053">
        <v>0</v>
      </c>
      <c r="AB2053">
        <v>0</v>
      </c>
      <c r="AC2053">
        <v>9</v>
      </c>
      <c r="AD2053">
        <v>3</v>
      </c>
      <c r="AE2053">
        <v>0</v>
      </c>
      <c r="AF2053">
        <v>9</v>
      </c>
      <c r="AG2053" t="s">
        <v>158</v>
      </c>
      <c r="AH2053">
        <v>0</v>
      </c>
      <c r="AI2053">
        <v>3</v>
      </c>
      <c r="AJ2053">
        <v>1</v>
      </c>
      <c r="AK2053">
        <v>0</v>
      </c>
      <c r="AL2053" t="s">
        <v>3866</v>
      </c>
      <c r="AM2053">
        <v>46.869264000000001</v>
      </c>
      <c r="AN2053" t="s">
        <v>3867</v>
      </c>
      <c r="AO2053">
        <v>-123.059342</v>
      </c>
      <c r="AP2053">
        <v>100</v>
      </c>
      <c r="AQ2053">
        <v>2000</v>
      </c>
      <c r="AR2053" t="s">
        <v>118</v>
      </c>
      <c r="AS2053">
        <v>-78</v>
      </c>
      <c r="AT2053">
        <v>19</v>
      </c>
      <c r="AU2053">
        <v>-64</v>
      </c>
      <c r="BC2053">
        <v>1200</v>
      </c>
      <c r="BD2053">
        <v>1</v>
      </c>
      <c r="BE2053" t="str">
        <f t="shared" si="98"/>
        <v xml:space="preserve">N215T   </v>
      </c>
      <c r="BF2053">
        <v>1</v>
      </c>
      <c r="BH2053">
        <v>0</v>
      </c>
      <c r="BI2053">
        <v>0</v>
      </c>
      <c r="BJ2053">
        <v>0</v>
      </c>
      <c r="BK2053">
        <v>2425</v>
      </c>
      <c r="BL2053">
        <v>425</v>
      </c>
      <c r="BM2053" t="s">
        <v>119</v>
      </c>
      <c r="BN2053">
        <v>1</v>
      </c>
      <c r="BO2053">
        <v>1</v>
      </c>
      <c r="BP2053">
        <v>1</v>
      </c>
      <c r="BQ2053">
        <v>0</v>
      </c>
      <c r="BT2053">
        <v>0</v>
      </c>
      <c r="BU2053">
        <v>0</v>
      </c>
      <c r="BV2053">
        <v>0</v>
      </c>
      <c r="CC2053" t="str">
        <f>"19:09:03.516"</f>
        <v>19:09:03.516</v>
      </c>
      <c r="CD2053" t="str">
        <f>"515726268"</f>
        <v>515726268</v>
      </c>
      <c r="CQ2053">
        <v>0</v>
      </c>
      <c r="CR2053">
        <v>2</v>
      </c>
      <c r="CS2053">
        <v>0</v>
      </c>
      <c r="CT2053">
        <v>2</v>
      </c>
      <c r="CU2053">
        <v>0</v>
      </c>
      <c r="CV2053">
        <v>6</v>
      </c>
      <c r="CW2053" t="s">
        <v>120</v>
      </c>
      <c r="CX2053">
        <v>261</v>
      </c>
      <c r="CY2053">
        <v>2</v>
      </c>
      <c r="CZ2053" t="s">
        <v>121</v>
      </c>
      <c r="DA2053" t="s">
        <v>122</v>
      </c>
      <c r="DD2053">
        <v>15485196</v>
      </c>
      <c r="DE2053" t="s">
        <v>123</v>
      </c>
    </row>
    <row r="2054" spans="1:109" x14ac:dyDescent="0.3">
      <c r="A2054" t="str">
        <f>"19:09:04.695"</f>
        <v>19:09:04.695</v>
      </c>
      <c r="B2054" t="s">
        <v>110</v>
      </c>
      <c r="C2054" t="str">
        <f t="shared" si="96"/>
        <v>ffdfd3c0</v>
      </c>
      <c r="D2054" t="s">
        <v>111</v>
      </c>
      <c r="E2054">
        <v>18</v>
      </c>
      <c r="F2054">
        <v>1018</v>
      </c>
      <c r="G2054" t="s">
        <v>112</v>
      </c>
      <c r="J2054" t="s">
        <v>113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R2054" t="s">
        <v>114</v>
      </c>
      <c r="S2054" t="str">
        <f>"19:09:04.469"</f>
        <v>19:09:04.469</v>
      </c>
      <c r="T2054" t="str">
        <f>"19:09:04.469"</f>
        <v>19:09:04.469</v>
      </c>
      <c r="U2054" t="str">
        <f t="shared" si="97"/>
        <v>a1cdbe</v>
      </c>
      <c r="V2054">
        <v>0</v>
      </c>
      <c r="W2054">
        <v>0</v>
      </c>
      <c r="X2054">
        <v>1</v>
      </c>
      <c r="Y2054">
        <v>0</v>
      </c>
      <c r="Z2054">
        <v>0</v>
      </c>
      <c r="AB2054">
        <v>0</v>
      </c>
      <c r="AC2054">
        <v>9</v>
      </c>
      <c r="AD2054">
        <v>3</v>
      </c>
      <c r="AE2054">
        <v>0</v>
      </c>
      <c r="AF2054">
        <v>9</v>
      </c>
      <c r="AG2054" t="s">
        <v>158</v>
      </c>
      <c r="AH2054">
        <v>0</v>
      </c>
      <c r="AI2054">
        <v>3</v>
      </c>
      <c r="AJ2054">
        <v>1</v>
      </c>
      <c r="AK2054">
        <v>0</v>
      </c>
      <c r="AL2054" t="s">
        <v>3868</v>
      </c>
      <c r="AM2054">
        <v>46.869371000000001</v>
      </c>
      <c r="AN2054" t="s">
        <v>3869</v>
      </c>
      <c r="AO2054">
        <v>-123.059793</v>
      </c>
      <c r="AP2054">
        <v>100</v>
      </c>
      <c r="AQ2054">
        <v>2000</v>
      </c>
      <c r="AR2054" t="s">
        <v>118</v>
      </c>
      <c r="AS2054">
        <v>-78</v>
      </c>
      <c r="AT2054">
        <v>19</v>
      </c>
      <c r="AU2054">
        <v>-64</v>
      </c>
      <c r="BC2054">
        <v>1200</v>
      </c>
      <c r="BD2054">
        <v>1</v>
      </c>
      <c r="BE2054" t="str">
        <f t="shared" si="98"/>
        <v xml:space="preserve">N215T   </v>
      </c>
      <c r="BF2054">
        <v>1</v>
      </c>
      <c r="BH2054">
        <v>0</v>
      </c>
      <c r="BI2054">
        <v>0</v>
      </c>
      <c r="BJ2054">
        <v>0</v>
      </c>
      <c r="BK2054">
        <v>2425</v>
      </c>
      <c r="BL2054">
        <v>425</v>
      </c>
      <c r="BM2054" t="s">
        <v>119</v>
      </c>
      <c r="BN2054">
        <v>1</v>
      </c>
      <c r="BO2054">
        <v>1</v>
      </c>
      <c r="BP2054">
        <v>1</v>
      </c>
      <c r="BQ2054">
        <v>0</v>
      </c>
      <c r="BT2054">
        <v>0</v>
      </c>
      <c r="BU2054">
        <v>0</v>
      </c>
      <c r="BV2054">
        <v>0</v>
      </c>
      <c r="CC2054" t="str">
        <f>"19:09:04.477"</f>
        <v>19:09:04.477</v>
      </c>
      <c r="CD2054" t="str">
        <f>"475631719"</f>
        <v>475631719</v>
      </c>
      <c r="CQ2054">
        <v>0</v>
      </c>
      <c r="CR2054">
        <v>2</v>
      </c>
      <c r="CS2054">
        <v>0</v>
      </c>
      <c r="CT2054">
        <v>2</v>
      </c>
      <c r="CU2054">
        <v>0</v>
      </c>
      <c r="CV2054">
        <v>6</v>
      </c>
      <c r="CW2054" t="s">
        <v>120</v>
      </c>
      <c r="CX2054">
        <v>261</v>
      </c>
      <c r="CY2054">
        <v>2</v>
      </c>
      <c r="CZ2054" t="s">
        <v>121</v>
      </c>
      <c r="DA2054" t="s">
        <v>122</v>
      </c>
      <c r="DD2054">
        <v>15485822</v>
      </c>
      <c r="DE2054" t="s">
        <v>123</v>
      </c>
    </row>
    <row r="2055" spans="1:109" x14ac:dyDescent="0.3">
      <c r="A2055" t="str">
        <f>"19:09:05.648"</f>
        <v>19:09:05.648</v>
      </c>
      <c r="B2055" t="s">
        <v>110</v>
      </c>
      <c r="C2055" t="str">
        <f t="shared" si="96"/>
        <v>ffdfd3c0</v>
      </c>
      <c r="D2055" t="s">
        <v>111</v>
      </c>
      <c r="E2055">
        <v>18</v>
      </c>
      <c r="F2055">
        <v>1018</v>
      </c>
      <c r="G2055" t="s">
        <v>112</v>
      </c>
      <c r="J2055" t="s">
        <v>113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R2055" t="s">
        <v>114</v>
      </c>
      <c r="S2055" t="str">
        <f>"19:09:05.398"</f>
        <v>19:09:05.398</v>
      </c>
      <c r="T2055" t="str">
        <f>"19:09:05.000"</f>
        <v>19:09:05.000</v>
      </c>
      <c r="U2055" t="str">
        <f t="shared" si="97"/>
        <v>a1cdbe</v>
      </c>
      <c r="V2055">
        <v>0</v>
      </c>
      <c r="W2055">
        <v>0</v>
      </c>
      <c r="X2055">
        <v>1</v>
      </c>
      <c r="Y2055">
        <v>0</v>
      </c>
      <c r="Z2055">
        <v>0</v>
      </c>
      <c r="AB2055">
        <v>0</v>
      </c>
      <c r="AC2055">
        <v>9</v>
      </c>
      <c r="AD2055">
        <v>3</v>
      </c>
      <c r="AE2055">
        <v>0</v>
      </c>
      <c r="AF2055">
        <v>9</v>
      </c>
      <c r="AG2055" t="s">
        <v>158</v>
      </c>
      <c r="AH2055">
        <v>0</v>
      </c>
      <c r="AI2055">
        <v>3</v>
      </c>
      <c r="AJ2055">
        <v>1</v>
      </c>
      <c r="AK2055">
        <v>0</v>
      </c>
      <c r="AL2055" t="s">
        <v>3870</v>
      </c>
      <c r="AM2055">
        <v>46.869435000000003</v>
      </c>
      <c r="AN2055" t="s">
        <v>3871</v>
      </c>
      <c r="AO2055">
        <v>-123.060329</v>
      </c>
      <c r="AP2055">
        <v>100</v>
      </c>
      <c r="AQ2055">
        <v>2000</v>
      </c>
      <c r="AR2055" t="s">
        <v>118</v>
      </c>
      <c r="AS2055">
        <v>-78</v>
      </c>
      <c r="AT2055">
        <v>19</v>
      </c>
      <c r="AU2055">
        <v>-64</v>
      </c>
      <c r="BC2055">
        <v>1200</v>
      </c>
      <c r="BD2055">
        <v>1</v>
      </c>
      <c r="BE2055" t="str">
        <f t="shared" si="98"/>
        <v xml:space="preserve">N215T   </v>
      </c>
      <c r="BF2055">
        <v>1</v>
      </c>
      <c r="BH2055">
        <v>0</v>
      </c>
      <c r="BI2055">
        <v>0</v>
      </c>
      <c r="BJ2055">
        <v>0</v>
      </c>
      <c r="BK2055">
        <v>2425</v>
      </c>
      <c r="BL2055">
        <v>425</v>
      </c>
      <c r="BM2055" t="s">
        <v>119</v>
      </c>
      <c r="BN2055">
        <v>1</v>
      </c>
      <c r="BO2055">
        <v>1</v>
      </c>
      <c r="BP2055">
        <v>1</v>
      </c>
      <c r="BQ2055">
        <v>0</v>
      </c>
      <c r="BT2055">
        <v>0</v>
      </c>
      <c r="BU2055">
        <v>0</v>
      </c>
      <c r="BV2055">
        <v>0</v>
      </c>
      <c r="CC2055" t="str">
        <f>"19:09:05.406"</f>
        <v>19:09:05.406</v>
      </c>
      <c r="CD2055" t="str">
        <f>"405540137"</f>
        <v>405540137</v>
      </c>
      <c r="CQ2055">
        <v>0</v>
      </c>
      <c r="CR2055">
        <v>2</v>
      </c>
      <c r="CS2055">
        <v>0</v>
      </c>
      <c r="CT2055">
        <v>2</v>
      </c>
      <c r="CU2055">
        <v>0</v>
      </c>
      <c r="CV2055">
        <v>7</v>
      </c>
      <c r="CW2055" t="s">
        <v>120</v>
      </c>
      <c r="CX2055">
        <v>261</v>
      </c>
      <c r="CY2055">
        <v>2</v>
      </c>
      <c r="CZ2055" t="s">
        <v>121</v>
      </c>
      <c r="DA2055" t="s">
        <v>122</v>
      </c>
      <c r="DD2055">
        <v>15486452</v>
      </c>
      <c r="DE2055" t="s">
        <v>123</v>
      </c>
    </row>
    <row r="2056" spans="1:109" x14ac:dyDescent="0.3">
      <c r="A2056" t="str">
        <f>"19:09:06.750"</f>
        <v>19:09:06.750</v>
      </c>
      <c r="B2056" t="s">
        <v>110</v>
      </c>
      <c r="C2056" t="str">
        <f t="shared" si="96"/>
        <v>ffdfd3c0</v>
      </c>
      <c r="D2056" t="s">
        <v>111</v>
      </c>
      <c r="E2056">
        <v>18</v>
      </c>
      <c r="F2056">
        <v>1018</v>
      </c>
      <c r="G2056" t="s">
        <v>112</v>
      </c>
      <c r="J2056" t="s">
        <v>113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R2056" t="s">
        <v>114</v>
      </c>
      <c r="S2056" t="str">
        <f>"19:09:06.500"</f>
        <v>19:09:06.500</v>
      </c>
      <c r="T2056" t="str">
        <f>"19:09:06.297"</f>
        <v>19:09:06.297</v>
      </c>
      <c r="U2056" t="str">
        <f t="shared" si="97"/>
        <v>a1cdbe</v>
      </c>
      <c r="V2056">
        <v>0</v>
      </c>
      <c r="W2056">
        <v>0</v>
      </c>
      <c r="X2056">
        <v>1</v>
      </c>
      <c r="Y2056">
        <v>0</v>
      </c>
      <c r="Z2056">
        <v>0</v>
      </c>
      <c r="AB2056">
        <v>0</v>
      </c>
      <c r="AC2056">
        <v>9</v>
      </c>
      <c r="AD2056">
        <v>3</v>
      </c>
      <c r="AE2056">
        <v>0</v>
      </c>
      <c r="AF2056">
        <v>9</v>
      </c>
      <c r="AG2056" t="s">
        <v>158</v>
      </c>
      <c r="AH2056">
        <v>0</v>
      </c>
      <c r="AI2056">
        <v>3</v>
      </c>
      <c r="AJ2056">
        <v>1</v>
      </c>
      <c r="AK2056">
        <v>0</v>
      </c>
      <c r="AL2056" t="s">
        <v>3872</v>
      </c>
      <c r="AM2056">
        <v>46.869543</v>
      </c>
      <c r="AN2056" t="s">
        <v>3873</v>
      </c>
      <c r="AO2056">
        <v>-123.06088699999999</v>
      </c>
      <c r="AP2056">
        <v>100</v>
      </c>
      <c r="AQ2056">
        <v>2000</v>
      </c>
      <c r="AR2056" t="s">
        <v>118</v>
      </c>
      <c r="AS2056">
        <v>-78</v>
      </c>
      <c r="AT2056">
        <v>19</v>
      </c>
      <c r="AU2056">
        <v>-64</v>
      </c>
      <c r="BC2056">
        <v>1200</v>
      </c>
      <c r="BD2056">
        <v>1</v>
      </c>
      <c r="BE2056" t="str">
        <f t="shared" si="98"/>
        <v xml:space="preserve">N215T   </v>
      </c>
      <c r="BF2056">
        <v>1</v>
      </c>
      <c r="BH2056">
        <v>0</v>
      </c>
      <c r="BI2056">
        <v>0</v>
      </c>
      <c r="BJ2056">
        <v>0</v>
      </c>
      <c r="BK2056">
        <v>2425</v>
      </c>
      <c r="BL2056">
        <v>425</v>
      </c>
      <c r="BM2056" t="s">
        <v>119</v>
      </c>
      <c r="BN2056">
        <v>1</v>
      </c>
      <c r="BO2056">
        <v>1</v>
      </c>
      <c r="BP2056">
        <v>1</v>
      </c>
      <c r="BQ2056">
        <v>0</v>
      </c>
      <c r="BT2056">
        <v>0</v>
      </c>
      <c r="BU2056">
        <v>0</v>
      </c>
      <c r="BV2056">
        <v>0</v>
      </c>
      <c r="CC2056" t="str">
        <f>"19:09:06.500"</f>
        <v>19:09:06.500</v>
      </c>
      <c r="CD2056" t="str">
        <f>"500432277"</f>
        <v>500432277</v>
      </c>
      <c r="CQ2056">
        <v>0</v>
      </c>
      <c r="CR2056">
        <v>2</v>
      </c>
      <c r="CS2056">
        <v>0</v>
      </c>
      <c r="CT2056">
        <v>2</v>
      </c>
      <c r="CU2056">
        <v>0</v>
      </c>
      <c r="CV2056">
        <v>7</v>
      </c>
      <c r="CW2056" t="s">
        <v>120</v>
      </c>
      <c r="CX2056">
        <v>261</v>
      </c>
      <c r="CY2056">
        <v>2</v>
      </c>
      <c r="CZ2056" t="s">
        <v>121</v>
      </c>
      <c r="DA2056" t="s">
        <v>122</v>
      </c>
      <c r="DD2056">
        <v>15487254</v>
      </c>
      <c r="DE2056" t="s">
        <v>123</v>
      </c>
    </row>
    <row r="2057" spans="1:109" x14ac:dyDescent="0.3">
      <c r="A2057" t="str">
        <f>"19:09:07.813"</f>
        <v>19:09:07.813</v>
      </c>
      <c r="B2057" t="s">
        <v>110</v>
      </c>
      <c r="C2057" t="str">
        <f t="shared" si="96"/>
        <v>ffdfd3c0</v>
      </c>
      <c r="D2057" t="s">
        <v>111</v>
      </c>
      <c r="E2057">
        <v>18</v>
      </c>
      <c r="F2057">
        <v>1018</v>
      </c>
      <c r="G2057" t="s">
        <v>112</v>
      </c>
      <c r="J2057" t="s">
        <v>113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R2057" t="s">
        <v>114</v>
      </c>
      <c r="S2057" t="str">
        <f>"19:09:07.578"</f>
        <v>19:09:07.578</v>
      </c>
      <c r="T2057" t="str">
        <f>"19:09:07.375"</f>
        <v>19:09:07.375</v>
      </c>
      <c r="U2057" t="str">
        <f t="shared" si="97"/>
        <v>a1cdbe</v>
      </c>
      <c r="V2057">
        <v>0</v>
      </c>
      <c r="W2057">
        <v>0</v>
      </c>
      <c r="X2057">
        <v>1</v>
      </c>
      <c r="Y2057">
        <v>0</v>
      </c>
      <c r="Z2057">
        <v>0</v>
      </c>
      <c r="AB2057">
        <v>0</v>
      </c>
      <c r="AC2057">
        <v>9</v>
      </c>
      <c r="AD2057">
        <v>3</v>
      </c>
      <c r="AE2057">
        <v>0</v>
      </c>
      <c r="AF2057">
        <v>9</v>
      </c>
      <c r="AG2057" t="s">
        <v>158</v>
      </c>
      <c r="AH2057">
        <v>0</v>
      </c>
      <c r="AI2057">
        <v>3</v>
      </c>
      <c r="AJ2057">
        <v>1</v>
      </c>
      <c r="AK2057">
        <v>0</v>
      </c>
      <c r="AL2057" t="s">
        <v>3874</v>
      </c>
      <c r="AM2057">
        <v>46.86965</v>
      </c>
      <c r="AN2057" t="s">
        <v>3875</v>
      </c>
      <c r="AO2057">
        <v>-123.061423</v>
      </c>
      <c r="AP2057">
        <v>100</v>
      </c>
      <c r="AQ2057">
        <v>2000</v>
      </c>
      <c r="AR2057" t="s">
        <v>118</v>
      </c>
      <c r="AS2057">
        <v>-78</v>
      </c>
      <c r="AT2057">
        <v>19</v>
      </c>
      <c r="AU2057">
        <v>0</v>
      </c>
      <c r="BC2057">
        <v>1200</v>
      </c>
      <c r="BD2057">
        <v>1</v>
      </c>
      <c r="BE2057" t="str">
        <f t="shared" si="98"/>
        <v xml:space="preserve">N215T   </v>
      </c>
      <c r="BF2057">
        <v>1</v>
      </c>
      <c r="BH2057">
        <v>0</v>
      </c>
      <c r="BI2057">
        <v>0</v>
      </c>
      <c r="BJ2057">
        <v>0</v>
      </c>
      <c r="BK2057">
        <v>2425</v>
      </c>
      <c r="BL2057">
        <v>425</v>
      </c>
      <c r="BM2057" t="s">
        <v>119</v>
      </c>
      <c r="BN2057">
        <v>1</v>
      </c>
      <c r="BO2057">
        <v>1</v>
      </c>
      <c r="BP2057">
        <v>1</v>
      </c>
      <c r="BQ2057">
        <v>0</v>
      </c>
      <c r="BT2057">
        <v>0</v>
      </c>
      <c r="BU2057">
        <v>0</v>
      </c>
      <c r="BV2057">
        <v>0</v>
      </c>
      <c r="CC2057" t="str">
        <f>"19:09:07.578"</f>
        <v>19:09:07.578</v>
      </c>
      <c r="CD2057" t="str">
        <f>"580325934"</f>
        <v>580325934</v>
      </c>
      <c r="CQ2057">
        <v>0</v>
      </c>
      <c r="CR2057">
        <v>2</v>
      </c>
      <c r="CS2057">
        <v>0</v>
      </c>
      <c r="CT2057">
        <v>2</v>
      </c>
      <c r="CU2057">
        <v>0</v>
      </c>
      <c r="CV2057">
        <v>7</v>
      </c>
      <c r="CW2057" t="s">
        <v>120</v>
      </c>
      <c r="CX2057">
        <v>261</v>
      </c>
      <c r="CY2057">
        <v>2</v>
      </c>
      <c r="CZ2057" t="s">
        <v>121</v>
      </c>
      <c r="DA2057" t="s">
        <v>122</v>
      </c>
      <c r="DD2057">
        <v>15488056</v>
      </c>
      <c r="DE2057" t="s">
        <v>123</v>
      </c>
    </row>
    <row r="2058" spans="1:109" x14ac:dyDescent="0.3">
      <c r="A2058" t="str">
        <f>"19:09:08.711"</f>
        <v>19:09:08.711</v>
      </c>
      <c r="B2058" t="s">
        <v>110</v>
      </c>
      <c r="C2058" t="str">
        <f t="shared" si="96"/>
        <v>ffdfd3c0</v>
      </c>
      <c r="D2058" t="s">
        <v>111</v>
      </c>
      <c r="E2058">
        <v>18</v>
      </c>
      <c r="F2058">
        <v>1018</v>
      </c>
      <c r="G2058" t="s">
        <v>112</v>
      </c>
      <c r="J2058" t="s">
        <v>113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R2058" t="s">
        <v>114</v>
      </c>
      <c r="S2058" t="str">
        <f>"19:09:08.508"</f>
        <v>19:09:08.508</v>
      </c>
      <c r="T2058" t="str">
        <f>"19:09:08.305"</f>
        <v>19:09:08.305</v>
      </c>
      <c r="U2058" t="str">
        <f t="shared" si="97"/>
        <v>a1cdbe</v>
      </c>
      <c r="V2058">
        <v>0</v>
      </c>
      <c r="W2058">
        <v>0</v>
      </c>
      <c r="X2058">
        <v>1</v>
      </c>
      <c r="Y2058">
        <v>0</v>
      </c>
      <c r="Z2058">
        <v>0</v>
      </c>
      <c r="AB2058">
        <v>0</v>
      </c>
      <c r="AC2058">
        <v>9</v>
      </c>
      <c r="AD2058">
        <v>3</v>
      </c>
      <c r="AE2058">
        <v>0</v>
      </c>
      <c r="AF2058">
        <v>9</v>
      </c>
      <c r="AG2058" t="s">
        <v>158</v>
      </c>
      <c r="AH2058">
        <v>0</v>
      </c>
      <c r="AI2058">
        <v>3</v>
      </c>
      <c r="AJ2058">
        <v>1</v>
      </c>
      <c r="AK2058">
        <v>0</v>
      </c>
      <c r="AL2058" t="s">
        <v>3876</v>
      </c>
      <c r="AM2058">
        <v>46.869736000000003</v>
      </c>
      <c r="AN2058" t="s">
        <v>3877</v>
      </c>
      <c r="AO2058">
        <v>-123.06191699999999</v>
      </c>
      <c r="AP2058">
        <v>100</v>
      </c>
      <c r="AQ2058">
        <v>2000</v>
      </c>
      <c r="AR2058" t="s">
        <v>118</v>
      </c>
      <c r="AS2058">
        <v>-78</v>
      </c>
      <c r="AT2058">
        <v>19</v>
      </c>
      <c r="AU2058">
        <v>0</v>
      </c>
      <c r="BC2058">
        <v>1200</v>
      </c>
      <c r="BD2058">
        <v>1</v>
      </c>
      <c r="BE2058" t="str">
        <f t="shared" si="98"/>
        <v xml:space="preserve">N215T   </v>
      </c>
      <c r="BF2058">
        <v>1</v>
      </c>
      <c r="BH2058">
        <v>0</v>
      </c>
      <c r="BI2058">
        <v>0</v>
      </c>
      <c r="BJ2058">
        <v>0</v>
      </c>
      <c r="BK2058">
        <v>2425</v>
      </c>
      <c r="BL2058">
        <v>425</v>
      </c>
      <c r="BM2058" t="s">
        <v>119</v>
      </c>
      <c r="BN2058">
        <v>1</v>
      </c>
      <c r="BO2058">
        <v>1</v>
      </c>
      <c r="BP2058">
        <v>1</v>
      </c>
      <c r="BQ2058">
        <v>0</v>
      </c>
      <c r="BT2058">
        <v>0</v>
      </c>
      <c r="BU2058">
        <v>0</v>
      </c>
      <c r="BV2058">
        <v>0</v>
      </c>
      <c r="CC2058" t="str">
        <f>"19:09:08.508"</f>
        <v>19:09:08.508</v>
      </c>
      <c r="CD2058" t="str">
        <f>"510234328"</f>
        <v>510234328</v>
      </c>
      <c r="CQ2058">
        <v>0</v>
      </c>
      <c r="CR2058">
        <v>2</v>
      </c>
      <c r="CS2058">
        <v>0</v>
      </c>
      <c r="CT2058">
        <v>2</v>
      </c>
      <c r="CU2058">
        <v>0</v>
      </c>
      <c r="CV2058">
        <v>6</v>
      </c>
      <c r="CW2058" t="s">
        <v>120</v>
      </c>
      <c r="CX2058">
        <v>261</v>
      </c>
      <c r="CY2058">
        <v>2</v>
      </c>
      <c r="CZ2058" t="s">
        <v>121</v>
      </c>
      <c r="DA2058" t="s">
        <v>122</v>
      </c>
      <c r="DD2058">
        <v>15488666</v>
      </c>
      <c r="DE2058" t="s">
        <v>123</v>
      </c>
    </row>
    <row r="2059" spans="1:109" x14ac:dyDescent="0.3">
      <c r="A2059" t="str">
        <f>"19:09:09.719"</f>
        <v>19:09:09.719</v>
      </c>
      <c r="B2059" t="s">
        <v>110</v>
      </c>
      <c r="C2059" t="str">
        <f t="shared" si="96"/>
        <v>ffdfd3c0</v>
      </c>
      <c r="D2059" t="s">
        <v>111</v>
      </c>
      <c r="E2059">
        <v>18</v>
      </c>
      <c r="F2059">
        <v>1018</v>
      </c>
      <c r="G2059" t="s">
        <v>112</v>
      </c>
      <c r="J2059" t="s">
        <v>113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R2059" t="s">
        <v>114</v>
      </c>
      <c r="S2059" t="str">
        <f>"19:09:09.484"</f>
        <v>19:09:09.484</v>
      </c>
      <c r="T2059" t="str">
        <f>"19:09:09.281"</f>
        <v>19:09:09.281</v>
      </c>
      <c r="U2059" t="str">
        <f t="shared" si="97"/>
        <v>a1cdbe</v>
      </c>
      <c r="V2059">
        <v>0</v>
      </c>
      <c r="W2059">
        <v>0</v>
      </c>
      <c r="X2059">
        <v>1</v>
      </c>
      <c r="Y2059">
        <v>0</v>
      </c>
      <c r="Z2059">
        <v>0</v>
      </c>
      <c r="AB2059">
        <v>0</v>
      </c>
      <c r="AC2059">
        <v>9</v>
      </c>
      <c r="AD2059">
        <v>3</v>
      </c>
      <c r="AE2059">
        <v>0</v>
      </c>
      <c r="AF2059">
        <v>9</v>
      </c>
      <c r="AG2059" t="s">
        <v>158</v>
      </c>
      <c r="AH2059">
        <v>0</v>
      </c>
      <c r="AI2059">
        <v>3</v>
      </c>
      <c r="AJ2059">
        <v>1</v>
      </c>
      <c r="AK2059">
        <v>0</v>
      </c>
      <c r="AL2059" t="s">
        <v>3878</v>
      </c>
      <c r="AM2059">
        <v>46.869821999999999</v>
      </c>
      <c r="AN2059" t="s">
        <v>3879</v>
      </c>
      <c r="AO2059">
        <v>-123.062432</v>
      </c>
      <c r="AP2059">
        <v>100</v>
      </c>
      <c r="AQ2059">
        <v>2000</v>
      </c>
      <c r="AR2059" t="s">
        <v>118</v>
      </c>
      <c r="AS2059">
        <v>-78</v>
      </c>
      <c r="AT2059">
        <v>19</v>
      </c>
      <c r="AU2059">
        <v>0</v>
      </c>
      <c r="BC2059">
        <v>1200</v>
      </c>
      <c r="BD2059">
        <v>1</v>
      </c>
      <c r="BE2059" t="str">
        <f t="shared" si="98"/>
        <v xml:space="preserve">N215T   </v>
      </c>
      <c r="BF2059">
        <v>1</v>
      </c>
      <c r="BH2059">
        <v>0</v>
      </c>
      <c r="BI2059">
        <v>0</v>
      </c>
      <c r="BJ2059">
        <v>0</v>
      </c>
      <c r="BK2059">
        <v>2425</v>
      </c>
      <c r="BL2059">
        <v>425</v>
      </c>
      <c r="BM2059" t="s">
        <v>119</v>
      </c>
      <c r="BN2059">
        <v>1</v>
      </c>
      <c r="BO2059">
        <v>1</v>
      </c>
      <c r="BP2059">
        <v>1</v>
      </c>
      <c r="BQ2059">
        <v>0</v>
      </c>
      <c r="BT2059">
        <v>0</v>
      </c>
      <c r="BU2059">
        <v>0</v>
      </c>
      <c r="BV2059">
        <v>0</v>
      </c>
      <c r="CC2059" t="str">
        <f>"19:09:09.484"</f>
        <v>19:09:09.484</v>
      </c>
      <c r="CD2059" t="str">
        <f>"485138300"</f>
        <v>485138300</v>
      </c>
      <c r="CQ2059">
        <v>0</v>
      </c>
      <c r="CR2059">
        <v>2</v>
      </c>
      <c r="CS2059">
        <v>0</v>
      </c>
      <c r="CT2059">
        <v>2</v>
      </c>
      <c r="CU2059">
        <v>0</v>
      </c>
      <c r="CV2059">
        <v>6</v>
      </c>
      <c r="CW2059" t="s">
        <v>120</v>
      </c>
      <c r="CX2059">
        <v>261</v>
      </c>
      <c r="CY2059">
        <v>2</v>
      </c>
      <c r="CZ2059" t="s">
        <v>121</v>
      </c>
      <c r="DA2059" t="s">
        <v>122</v>
      </c>
      <c r="DD2059">
        <v>15489336</v>
      </c>
      <c r="DE2059" t="s">
        <v>123</v>
      </c>
    </row>
    <row r="2060" spans="1:109" x14ac:dyDescent="0.3">
      <c r="A2060" t="str">
        <f>"19:09:10.523"</f>
        <v>19:09:10.523</v>
      </c>
      <c r="B2060" t="s">
        <v>110</v>
      </c>
      <c r="C2060" t="str">
        <f t="shared" si="96"/>
        <v>ffdfd3c0</v>
      </c>
      <c r="D2060" t="s">
        <v>111</v>
      </c>
      <c r="E2060">
        <v>18</v>
      </c>
      <c r="F2060">
        <v>1018</v>
      </c>
      <c r="G2060" t="s">
        <v>112</v>
      </c>
      <c r="J2060" t="s">
        <v>113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R2060" t="s">
        <v>114</v>
      </c>
      <c r="S2060" t="str">
        <f>"19:09:10.336"</f>
        <v>19:09:10.336</v>
      </c>
      <c r="T2060" t="str">
        <f>"19:09:09.836"</f>
        <v>19:09:09.836</v>
      </c>
      <c r="U2060" t="str">
        <f t="shared" si="97"/>
        <v>a1cdbe</v>
      </c>
      <c r="V2060">
        <v>0</v>
      </c>
      <c r="W2060">
        <v>0</v>
      </c>
      <c r="X2060">
        <v>1</v>
      </c>
      <c r="Y2060">
        <v>0</v>
      </c>
      <c r="Z2060">
        <v>0</v>
      </c>
      <c r="AB2060">
        <v>0</v>
      </c>
      <c r="AC2060">
        <v>9</v>
      </c>
      <c r="AD2060">
        <v>3</v>
      </c>
      <c r="AE2060">
        <v>0</v>
      </c>
      <c r="AF2060">
        <v>9</v>
      </c>
      <c r="AG2060" t="s">
        <v>158</v>
      </c>
      <c r="AH2060">
        <v>0</v>
      </c>
      <c r="AI2060">
        <v>3</v>
      </c>
      <c r="AJ2060">
        <v>1</v>
      </c>
      <c r="AK2060">
        <v>0</v>
      </c>
      <c r="AL2060" t="s">
        <v>1624</v>
      </c>
      <c r="AM2060">
        <v>46.869864</v>
      </c>
      <c r="AN2060" t="s">
        <v>3880</v>
      </c>
      <c r="AO2060">
        <v>-123.062861</v>
      </c>
      <c r="AP2060">
        <v>100</v>
      </c>
      <c r="AQ2060">
        <v>2000</v>
      </c>
      <c r="AR2060" t="s">
        <v>118</v>
      </c>
      <c r="AS2060">
        <v>-78</v>
      </c>
      <c r="AT2060">
        <v>19</v>
      </c>
      <c r="AU2060">
        <v>0</v>
      </c>
      <c r="BC2060">
        <v>1200</v>
      </c>
      <c r="BD2060">
        <v>1</v>
      </c>
      <c r="BE2060" t="str">
        <f t="shared" si="98"/>
        <v xml:space="preserve">N215T   </v>
      </c>
      <c r="BF2060">
        <v>1</v>
      </c>
      <c r="BH2060">
        <v>0</v>
      </c>
      <c r="BI2060">
        <v>0</v>
      </c>
      <c r="BJ2060">
        <v>0</v>
      </c>
      <c r="BK2060">
        <v>2425</v>
      </c>
      <c r="BL2060">
        <v>425</v>
      </c>
      <c r="BM2060" t="s">
        <v>119</v>
      </c>
      <c r="BN2060">
        <v>1</v>
      </c>
      <c r="BO2060">
        <v>1</v>
      </c>
      <c r="BP2060">
        <v>1</v>
      </c>
      <c r="BQ2060">
        <v>0</v>
      </c>
      <c r="BT2060">
        <v>0</v>
      </c>
      <c r="BU2060">
        <v>0</v>
      </c>
      <c r="BV2060">
        <v>0</v>
      </c>
      <c r="CC2060" t="str">
        <f>"19:09:10.344"</f>
        <v>19:09:10.344</v>
      </c>
      <c r="CD2060" t="str">
        <f>"340063409"</f>
        <v>340063409</v>
      </c>
      <c r="CQ2060">
        <v>0</v>
      </c>
      <c r="CR2060">
        <v>2</v>
      </c>
      <c r="CS2060">
        <v>0</v>
      </c>
      <c r="CT2060">
        <v>2</v>
      </c>
      <c r="CU2060">
        <v>0</v>
      </c>
      <c r="CV2060">
        <v>3</v>
      </c>
      <c r="CW2060" t="s">
        <v>120</v>
      </c>
      <c r="CX2060">
        <v>257</v>
      </c>
      <c r="CY2060">
        <v>0</v>
      </c>
      <c r="CZ2060" t="s">
        <v>615</v>
      </c>
      <c r="DA2060" t="s">
        <v>616</v>
      </c>
      <c r="DD2060">
        <v>15696484</v>
      </c>
      <c r="DE2060" t="s">
        <v>123</v>
      </c>
    </row>
    <row r="2061" spans="1:109" x14ac:dyDescent="0.3">
      <c r="A2061" t="str">
        <f>"19:09:11.531"</f>
        <v>19:09:11.531</v>
      </c>
      <c r="B2061" t="s">
        <v>110</v>
      </c>
      <c r="C2061" t="str">
        <f t="shared" si="96"/>
        <v>ffdfd3c0</v>
      </c>
      <c r="D2061" t="s">
        <v>111</v>
      </c>
      <c r="E2061">
        <v>18</v>
      </c>
      <c r="F2061">
        <v>1018</v>
      </c>
      <c r="G2061" t="s">
        <v>112</v>
      </c>
      <c r="J2061" t="s">
        <v>113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R2061" t="s">
        <v>114</v>
      </c>
      <c r="S2061" t="str">
        <f>"19:09:11.313"</f>
        <v>19:09:11.313</v>
      </c>
      <c r="T2061" t="str">
        <f>"19:09:10.914"</f>
        <v>19:09:10.914</v>
      </c>
      <c r="U2061" t="str">
        <f t="shared" si="97"/>
        <v>a1cdbe</v>
      </c>
      <c r="V2061">
        <v>0</v>
      </c>
      <c r="W2061">
        <v>0</v>
      </c>
      <c r="X2061">
        <v>1</v>
      </c>
      <c r="Y2061">
        <v>0</v>
      </c>
      <c r="Z2061">
        <v>0</v>
      </c>
      <c r="AB2061">
        <v>0</v>
      </c>
      <c r="AC2061">
        <v>9</v>
      </c>
      <c r="AD2061">
        <v>3</v>
      </c>
      <c r="AE2061">
        <v>0</v>
      </c>
      <c r="AF2061">
        <v>9</v>
      </c>
      <c r="AG2061" t="s">
        <v>158</v>
      </c>
      <c r="AH2061">
        <v>0</v>
      </c>
      <c r="AI2061">
        <v>3</v>
      </c>
      <c r="AJ2061">
        <v>1</v>
      </c>
      <c r="AK2061">
        <v>0</v>
      </c>
      <c r="AL2061" t="s">
        <v>3881</v>
      </c>
      <c r="AM2061">
        <v>46.869971999999997</v>
      </c>
      <c r="AN2061" t="s">
        <v>3882</v>
      </c>
      <c r="AO2061">
        <v>-123.063419</v>
      </c>
      <c r="AP2061">
        <v>100</v>
      </c>
      <c r="AQ2061">
        <v>2000</v>
      </c>
      <c r="AR2061" t="s">
        <v>118</v>
      </c>
      <c r="AS2061">
        <v>-78</v>
      </c>
      <c r="AT2061">
        <v>19</v>
      </c>
      <c r="AU2061">
        <v>0</v>
      </c>
      <c r="BC2061">
        <v>1200</v>
      </c>
      <c r="BD2061">
        <v>1</v>
      </c>
      <c r="BE2061" t="str">
        <f t="shared" si="98"/>
        <v xml:space="preserve">N215T   </v>
      </c>
      <c r="BF2061">
        <v>1</v>
      </c>
      <c r="BH2061">
        <v>0</v>
      </c>
      <c r="BI2061">
        <v>0</v>
      </c>
      <c r="BJ2061">
        <v>0</v>
      </c>
      <c r="BK2061">
        <v>2425</v>
      </c>
      <c r="BL2061">
        <v>425</v>
      </c>
      <c r="BM2061" t="s">
        <v>119</v>
      </c>
      <c r="BN2061">
        <v>1</v>
      </c>
      <c r="BO2061">
        <v>1</v>
      </c>
      <c r="BP2061">
        <v>1</v>
      </c>
      <c r="BQ2061">
        <v>0</v>
      </c>
      <c r="BT2061">
        <v>0</v>
      </c>
      <c r="BU2061">
        <v>0</v>
      </c>
      <c r="BV2061">
        <v>0</v>
      </c>
      <c r="CC2061" t="str">
        <f>"19:09:11.313"</f>
        <v>19:09:11.313</v>
      </c>
      <c r="CD2061" t="str">
        <f>"314958083"</f>
        <v>314958083</v>
      </c>
      <c r="CQ2061">
        <v>0</v>
      </c>
      <c r="CR2061">
        <v>2</v>
      </c>
      <c r="CS2061">
        <v>0</v>
      </c>
      <c r="CT2061">
        <v>2</v>
      </c>
      <c r="CU2061">
        <v>0</v>
      </c>
      <c r="CV2061">
        <v>7</v>
      </c>
      <c r="CW2061" t="s">
        <v>120</v>
      </c>
      <c r="CX2061">
        <v>261</v>
      </c>
      <c r="CY2061">
        <v>2</v>
      </c>
      <c r="CZ2061" t="s">
        <v>121</v>
      </c>
      <c r="DA2061" t="s">
        <v>122</v>
      </c>
      <c r="DD2061">
        <v>15490659</v>
      </c>
      <c r="DE2061" t="s">
        <v>123</v>
      </c>
    </row>
    <row r="2062" spans="1:109" x14ac:dyDescent="0.3">
      <c r="A2062" t="str">
        <f>"19:09:12.688"</f>
        <v>19:09:12.688</v>
      </c>
      <c r="B2062" t="s">
        <v>110</v>
      </c>
      <c r="C2062" t="str">
        <f t="shared" si="96"/>
        <v>ffdfd3c0</v>
      </c>
      <c r="D2062" t="s">
        <v>111</v>
      </c>
      <c r="E2062">
        <v>18</v>
      </c>
      <c r="F2062">
        <v>1018</v>
      </c>
      <c r="G2062" t="s">
        <v>112</v>
      </c>
      <c r="J2062" t="s">
        <v>113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R2062" t="s">
        <v>114</v>
      </c>
      <c r="S2062" t="str">
        <f>"19:09:12.438"</f>
        <v>19:09:12.438</v>
      </c>
      <c r="T2062" t="str">
        <f>"19:09:12.039"</f>
        <v>19:09:12.039</v>
      </c>
      <c r="U2062" t="str">
        <f t="shared" si="97"/>
        <v>a1cdbe</v>
      </c>
      <c r="V2062">
        <v>0</v>
      </c>
      <c r="W2062">
        <v>0</v>
      </c>
      <c r="X2062">
        <v>1</v>
      </c>
      <c r="Y2062">
        <v>0</v>
      </c>
      <c r="Z2062">
        <v>0</v>
      </c>
      <c r="AB2062">
        <v>0</v>
      </c>
      <c r="AC2062">
        <v>9</v>
      </c>
      <c r="AD2062">
        <v>3</v>
      </c>
      <c r="AE2062">
        <v>0</v>
      </c>
      <c r="AF2062">
        <v>9</v>
      </c>
      <c r="AG2062" t="s">
        <v>158</v>
      </c>
      <c r="AH2062">
        <v>0</v>
      </c>
      <c r="AI2062">
        <v>3</v>
      </c>
      <c r="AJ2062">
        <v>1</v>
      </c>
      <c r="AK2062">
        <v>0</v>
      </c>
      <c r="AL2062" t="s">
        <v>1622</v>
      </c>
      <c r="AM2062">
        <v>46.870058</v>
      </c>
      <c r="AN2062" t="s">
        <v>3883</v>
      </c>
      <c r="AO2062">
        <v>-123.064041</v>
      </c>
      <c r="AP2062">
        <v>100</v>
      </c>
      <c r="AQ2062">
        <v>2000</v>
      </c>
      <c r="AR2062" t="s">
        <v>118</v>
      </c>
      <c r="AS2062">
        <v>-78</v>
      </c>
      <c r="AT2062">
        <v>19</v>
      </c>
      <c r="AU2062">
        <v>0</v>
      </c>
      <c r="BC2062">
        <v>1200</v>
      </c>
      <c r="BD2062">
        <v>1</v>
      </c>
      <c r="BE2062" t="str">
        <f t="shared" si="98"/>
        <v xml:space="preserve">N215T   </v>
      </c>
      <c r="BF2062">
        <v>1</v>
      </c>
      <c r="BH2062">
        <v>0</v>
      </c>
      <c r="BI2062">
        <v>0</v>
      </c>
      <c r="BJ2062">
        <v>0</v>
      </c>
      <c r="BK2062">
        <v>2425</v>
      </c>
      <c r="BL2062">
        <v>425</v>
      </c>
      <c r="BM2062" t="s">
        <v>119</v>
      </c>
      <c r="BN2062">
        <v>1</v>
      </c>
      <c r="BO2062">
        <v>1</v>
      </c>
      <c r="BP2062">
        <v>1</v>
      </c>
      <c r="BQ2062">
        <v>0</v>
      </c>
      <c r="BT2062">
        <v>0</v>
      </c>
      <c r="BU2062">
        <v>0</v>
      </c>
      <c r="BV2062">
        <v>0</v>
      </c>
      <c r="CC2062" t="str">
        <f>"19:09:12.438"</f>
        <v>19:09:12.438</v>
      </c>
      <c r="CD2062" t="str">
        <f>"439847271"</f>
        <v>439847271</v>
      </c>
      <c r="CQ2062">
        <v>0</v>
      </c>
      <c r="CR2062">
        <v>2</v>
      </c>
      <c r="CS2062">
        <v>0</v>
      </c>
      <c r="CT2062">
        <v>2</v>
      </c>
      <c r="CU2062">
        <v>0</v>
      </c>
      <c r="CV2062">
        <v>7</v>
      </c>
      <c r="CW2062" t="s">
        <v>120</v>
      </c>
      <c r="CX2062">
        <v>261</v>
      </c>
      <c r="CY2062">
        <v>2</v>
      </c>
      <c r="CZ2062" t="s">
        <v>121</v>
      </c>
      <c r="DA2062" t="s">
        <v>122</v>
      </c>
      <c r="DD2062">
        <v>15491455</v>
      </c>
      <c r="DE2062" t="s">
        <v>123</v>
      </c>
    </row>
    <row r="2063" spans="1:109" x14ac:dyDescent="0.3">
      <c r="A2063" t="str">
        <f>"19:09:13.641"</f>
        <v>19:09:13.641</v>
      </c>
      <c r="B2063" t="s">
        <v>110</v>
      </c>
      <c r="C2063" t="str">
        <f t="shared" si="96"/>
        <v>ffdfd3c0</v>
      </c>
      <c r="D2063" t="s">
        <v>111</v>
      </c>
      <c r="E2063">
        <v>18</v>
      </c>
      <c r="F2063">
        <v>1018</v>
      </c>
      <c r="G2063" t="s">
        <v>112</v>
      </c>
      <c r="J2063" t="s">
        <v>113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R2063" t="s">
        <v>114</v>
      </c>
      <c r="S2063" t="str">
        <f>"19:09:13.430"</f>
        <v>19:09:13.430</v>
      </c>
      <c r="T2063" t="str">
        <f>"19:09:13.031"</f>
        <v>19:09:13.031</v>
      </c>
      <c r="U2063" t="str">
        <f t="shared" si="97"/>
        <v>a1cdbe</v>
      </c>
      <c r="V2063">
        <v>0</v>
      </c>
      <c r="W2063">
        <v>0</v>
      </c>
      <c r="X2063">
        <v>1</v>
      </c>
      <c r="Y2063">
        <v>0</v>
      </c>
      <c r="Z2063">
        <v>0</v>
      </c>
      <c r="AB2063">
        <v>0</v>
      </c>
      <c r="AC2063">
        <v>9</v>
      </c>
      <c r="AD2063">
        <v>3</v>
      </c>
      <c r="AE2063">
        <v>0</v>
      </c>
      <c r="AF2063">
        <v>9</v>
      </c>
      <c r="AG2063" t="s">
        <v>158</v>
      </c>
      <c r="AH2063">
        <v>0</v>
      </c>
      <c r="AI2063">
        <v>3</v>
      </c>
      <c r="AJ2063">
        <v>1</v>
      </c>
      <c r="AK2063">
        <v>0</v>
      </c>
      <c r="AL2063" t="s">
        <v>3884</v>
      </c>
      <c r="AM2063">
        <v>46.870142999999999</v>
      </c>
      <c r="AN2063" t="s">
        <v>3885</v>
      </c>
      <c r="AO2063">
        <v>-123.064492</v>
      </c>
      <c r="AP2063">
        <v>100</v>
      </c>
      <c r="AQ2063">
        <v>2000</v>
      </c>
      <c r="AR2063" t="s">
        <v>118</v>
      </c>
      <c r="AS2063">
        <v>-78</v>
      </c>
      <c r="AT2063">
        <v>19</v>
      </c>
      <c r="AU2063">
        <v>64</v>
      </c>
      <c r="BC2063">
        <v>1200</v>
      </c>
      <c r="BD2063">
        <v>1</v>
      </c>
      <c r="BE2063" t="str">
        <f t="shared" si="98"/>
        <v xml:space="preserve">N215T   </v>
      </c>
      <c r="BF2063">
        <v>1</v>
      </c>
      <c r="BH2063">
        <v>0</v>
      </c>
      <c r="BI2063">
        <v>0</v>
      </c>
      <c r="BJ2063">
        <v>0</v>
      </c>
      <c r="BK2063">
        <v>2425</v>
      </c>
      <c r="BL2063">
        <v>425</v>
      </c>
      <c r="BM2063" t="s">
        <v>119</v>
      </c>
      <c r="BN2063">
        <v>1</v>
      </c>
      <c r="BO2063">
        <v>1</v>
      </c>
      <c r="BP2063">
        <v>1</v>
      </c>
      <c r="BQ2063">
        <v>0</v>
      </c>
      <c r="BT2063">
        <v>0</v>
      </c>
      <c r="BU2063">
        <v>0</v>
      </c>
      <c r="BV2063">
        <v>0</v>
      </c>
      <c r="CC2063" t="str">
        <f>"19:09:13.430"</f>
        <v>19:09:13.430</v>
      </c>
      <c r="CD2063" t="str">
        <f>"429749775"</f>
        <v>429749775</v>
      </c>
      <c r="CQ2063">
        <v>0</v>
      </c>
      <c r="CR2063">
        <v>2</v>
      </c>
      <c r="CS2063">
        <v>0</v>
      </c>
      <c r="CT2063">
        <v>2</v>
      </c>
      <c r="CU2063">
        <v>0</v>
      </c>
      <c r="CV2063">
        <v>7</v>
      </c>
      <c r="CW2063" t="s">
        <v>120</v>
      </c>
      <c r="CX2063">
        <v>261</v>
      </c>
      <c r="CY2063">
        <v>2</v>
      </c>
      <c r="CZ2063" t="s">
        <v>121</v>
      </c>
      <c r="DA2063" t="s">
        <v>122</v>
      </c>
      <c r="DD2063">
        <v>15492113</v>
      </c>
      <c r="DE2063" t="s">
        <v>123</v>
      </c>
    </row>
    <row r="2064" spans="1:109" x14ac:dyDescent="0.3">
      <c r="A2064" t="str">
        <f>"19:09:14.695"</f>
        <v>19:09:14.695</v>
      </c>
      <c r="B2064" t="s">
        <v>110</v>
      </c>
      <c r="C2064" t="str">
        <f t="shared" si="96"/>
        <v>ffdfd3c0</v>
      </c>
      <c r="D2064" t="s">
        <v>111</v>
      </c>
      <c r="E2064">
        <v>18</v>
      </c>
      <c r="F2064">
        <v>1018</v>
      </c>
      <c r="G2064" t="s">
        <v>112</v>
      </c>
      <c r="J2064" t="s">
        <v>113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R2064" t="s">
        <v>114</v>
      </c>
      <c r="S2064" t="str">
        <f>"19:09:14.445"</f>
        <v>19:09:14.445</v>
      </c>
      <c r="T2064" t="str">
        <f>"19:09:14.242"</f>
        <v>19:09:14.242</v>
      </c>
      <c r="U2064" t="str">
        <f t="shared" si="97"/>
        <v>a1cdbe</v>
      </c>
      <c r="V2064">
        <v>0</v>
      </c>
      <c r="W2064">
        <v>0</v>
      </c>
      <c r="X2064">
        <v>1</v>
      </c>
      <c r="Y2064">
        <v>0</v>
      </c>
      <c r="Z2064">
        <v>0</v>
      </c>
      <c r="AB2064">
        <v>0</v>
      </c>
      <c r="AC2064">
        <v>9</v>
      </c>
      <c r="AD2064">
        <v>3</v>
      </c>
      <c r="AE2064">
        <v>0</v>
      </c>
      <c r="AF2064">
        <v>9</v>
      </c>
      <c r="AG2064" t="s">
        <v>158</v>
      </c>
      <c r="AH2064">
        <v>0</v>
      </c>
      <c r="AI2064">
        <v>3</v>
      </c>
      <c r="AJ2064">
        <v>1</v>
      </c>
      <c r="AK2064">
        <v>0</v>
      </c>
      <c r="AL2064" t="s">
        <v>3886</v>
      </c>
      <c r="AM2064">
        <v>46.870229000000002</v>
      </c>
      <c r="AN2064" t="s">
        <v>3887</v>
      </c>
      <c r="AO2064">
        <v>-123.065071</v>
      </c>
      <c r="AP2064">
        <v>100</v>
      </c>
      <c r="AQ2064">
        <v>2000</v>
      </c>
      <c r="AR2064" t="s">
        <v>118</v>
      </c>
      <c r="AS2064">
        <v>-78</v>
      </c>
      <c r="AT2064">
        <v>19</v>
      </c>
      <c r="AU2064">
        <v>64</v>
      </c>
      <c r="BC2064">
        <v>1200</v>
      </c>
      <c r="BD2064">
        <v>1</v>
      </c>
      <c r="BE2064" t="str">
        <f t="shared" si="98"/>
        <v xml:space="preserve">N215T   </v>
      </c>
      <c r="BF2064">
        <v>1</v>
      </c>
      <c r="BH2064">
        <v>0</v>
      </c>
      <c r="BI2064">
        <v>0</v>
      </c>
      <c r="BJ2064">
        <v>0</v>
      </c>
      <c r="BK2064">
        <v>2425</v>
      </c>
      <c r="BL2064">
        <v>425</v>
      </c>
      <c r="BM2064" t="s">
        <v>119</v>
      </c>
      <c r="BN2064">
        <v>1</v>
      </c>
      <c r="BO2064">
        <v>1</v>
      </c>
      <c r="BP2064">
        <v>1</v>
      </c>
      <c r="BQ2064">
        <v>0</v>
      </c>
      <c r="BT2064">
        <v>0</v>
      </c>
      <c r="BU2064">
        <v>0</v>
      </c>
      <c r="BV2064">
        <v>0</v>
      </c>
      <c r="CC2064" t="str">
        <f>"19:09:14.453"</f>
        <v>19:09:14.453</v>
      </c>
      <c r="CD2064" t="str">
        <f>"449649320"</f>
        <v>449649320</v>
      </c>
      <c r="CQ2064">
        <v>0</v>
      </c>
      <c r="CR2064">
        <v>2</v>
      </c>
      <c r="CS2064">
        <v>0</v>
      </c>
      <c r="CT2064">
        <v>2</v>
      </c>
      <c r="CU2064">
        <v>0</v>
      </c>
      <c r="CV2064">
        <v>7</v>
      </c>
      <c r="CW2064" t="s">
        <v>120</v>
      </c>
      <c r="CX2064">
        <v>261</v>
      </c>
      <c r="CY2064">
        <v>2</v>
      </c>
      <c r="CZ2064" t="s">
        <v>121</v>
      </c>
      <c r="DA2064" t="s">
        <v>122</v>
      </c>
      <c r="DD2064">
        <v>15492788</v>
      </c>
      <c r="DE2064" t="s">
        <v>123</v>
      </c>
    </row>
    <row r="2065" spans="1:109" x14ac:dyDescent="0.3">
      <c r="A2065" t="str">
        <f>"19:09:15.758"</f>
        <v>19:09:15.758</v>
      </c>
      <c r="B2065" t="s">
        <v>110</v>
      </c>
      <c r="C2065" t="str">
        <f t="shared" si="96"/>
        <v>ffdfd3c0</v>
      </c>
      <c r="D2065" t="s">
        <v>111</v>
      </c>
      <c r="E2065">
        <v>18</v>
      </c>
      <c r="F2065">
        <v>1018</v>
      </c>
      <c r="G2065" t="s">
        <v>112</v>
      </c>
      <c r="J2065" t="s">
        <v>113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R2065" t="s">
        <v>114</v>
      </c>
      <c r="S2065" t="str">
        <f>"19:09:15.508"</f>
        <v>19:09:15.508</v>
      </c>
      <c r="T2065" t="str">
        <f>"19:09:15.211"</f>
        <v>19:09:15.211</v>
      </c>
      <c r="U2065" t="str">
        <f t="shared" si="97"/>
        <v>a1cdbe</v>
      </c>
      <c r="V2065">
        <v>0</v>
      </c>
      <c r="W2065">
        <v>0</v>
      </c>
      <c r="X2065">
        <v>1</v>
      </c>
      <c r="Y2065">
        <v>0</v>
      </c>
      <c r="Z2065">
        <v>0</v>
      </c>
      <c r="AB2065">
        <v>0</v>
      </c>
      <c r="AC2065">
        <v>9</v>
      </c>
      <c r="AD2065">
        <v>3</v>
      </c>
      <c r="AE2065">
        <v>0</v>
      </c>
      <c r="AF2065">
        <v>9</v>
      </c>
      <c r="AG2065" t="s">
        <v>158</v>
      </c>
      <c r="AH2065">
        <v>0</v>
      </c>
      <c r="AI2065">
        <v>3</v>
      </c>
      <c r="AJ2065">
        <v>1</v>
      </c>
      <c r="AK2065">
        <v>0</v>
      </c>
      <c r="AL2065" t="s">
        <v>3888</v>
      </c>
      <c r="AM2065">
        <v>46.870336999999999</v>
      </c>
      <c r="AN2065" t="s">
        <v>3889</v>
      </c>
      <c r="AO2065">
        <v>-123.065608</v>
      </c>
      <c r="AP2065">
        <v>100</v>
      </c>
      <c r="AQ2065">
        <v>2000</v>
      </c>
      <c r="AR2065" t="s">
        <v>118</v>
      </c>
      <c r="AS2065">
        <v>-78</v>
      </c>
      <c r="AT2065">
        <v>19</v>
      </c>
      <c r="AU2065">
        <v>64</v>
      </c>
      <c r="BC2065">
        <v>1200</v>
      </c>
      <c r="BD2065">
        <v>1</v>
      </c>
      <c r="BE2065" t="str">
        <f t="shared" si="98"/>
        <v xml:space="preserve">N215T   </v>
      </c>
      <c r="BF2065">
        <v>1</v>
      </c>
      <c r="BH2065">
        <v>0</v>
      </c>
      <c r="BI2065">
        <v>0</v>
      </c>
      <c r="BJ2065">
        <v>0</v>
      </c>
      <c r="BK2065">
        <v>2425</v>
      </c>
      <c r="BL2065">
        <v>425</v>
      </c>
      <c r="BM2065" t="s">
        <v>119</v>
      </c>
      <c r="BN2065">
        <v>1</v>
      </c>
      <c r="BO2065">
        <v>1</v>
      </c>
      <c r="BP2065">
        <v>1</v>
      </c>
      <c r="BQ2065">
        <v>0</v>
      </c>
      <c r="BT2065">
        <v>0</v>
      </c>
      <c r="BU2065">
        <v>0</v>
      </c>
      <c r="BV2065">
        <v>0</v>
      </c>
      <c r="CC2065" t="str">
        <f>"19:09:15.516"</f>
        <v>19:09:15.516</v>
      </c>
      <c r="CD2065" t="str">
        <f>"514544438"</f>
        <v>514544438</v>
      </c>
      <c r="CQ2065">
        <v>0</v>
      </c>
      <c r="CR2065">
        <v>2</v>
      </c>
      <c r="CS2065">
        <v>0</v>
      </c>
      <c r="CT2065">
        <v>2</v>
      </c>
      <c r="CU2065">
        <v>0</v>
      </c>
      <c r="CV2065">
        <v>7</v>
      </c>
      <c r="CW2065" t="s">
        <v>120</v>
      </c>
      <c r="CX2065">
        <v>261</v>
      </c>
      <c r="CY2065">
        <v>2</v>
      </c>
      <c r="CZ2065" t="s">
        <v>121</v>
      </c>
      <c r="DA2065" t="s">
        <v>122</v>
      </c>
      <c r="DD2065">
        <v>15493553</v>
      </c>
      <c r="DE2065" t="s">
        <v>123</v>
      </c>
    </row>
    <row r="2066" spans="1:109" x14ac:dyDescent="0.3">
      <c r="A2066" t="str">
        <f>"19:09:16.711"</f>
        <v>19:09:16.711</v>
      </c>
      <c r="B2066" t="s">
        <v>110</v>
      </c>
      <c r="C2066" t="str">
        <f t="shared" si="96"/>
        <v>ffdfd3c0</v>
      </c>
      <c r="D2066" t="s">
        <v>111</v>
      </c>
      <c r="E2066">
        <v>18</v>
      </c>
      <c r="F2066">
        <v>1018</v>
      </c>
      <c r="G2066" t="s">
        <v>112</v>
      </c>
      <c r="J2066" t="s">
        <v>113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R2066" t="s">
        <v>114</v>
      </c>
      <c r="S2066" t="str">
        <f>"19:09:16.469"</f>
        <v>19:09:16.469</v>
      </c>
      <c r="T2066" t="str">
        <f>"19:09:16.266"</f>
        <v>19:09:16.266</v>
      </c>
      <c r="U2066" t="str">
        <f t="shared" si="97"/>
        <v>a1cdbe</v>
      </c>
      <c r="V2066">
        <v>0</v>
      </c>
      <c r="W2066">
        <v>0</v>
      </c>
      <c r="X2066">
        <v>1</v>
      </c>
      <c r="Y2066">
        <v>0</v>
      </c>
      <c r="Z2066">
        <v>0</v>
      </c>
      <c r="AB2066">
        <v>0</v>
      </c>
      <c r="AC2066">
        <v>9</v>
      </c>
      <c r="AD2066">
        <v>3</v>
      </c>
      <c r="AE2066">
        <v>0</v>
      </c>
      <c r="AF2066">
        <v>9</v>
      </c>
      <c r="AG2066" t="s">
        <v>158</v>
      </c>
      <c r="AH2066">
        <v>0</v>
      </c>
      <c r="AI2066">
        <v>3</v>
      </c>
      <c r="AJ2066">
        <v>1</v>
      </c>
      <c r="AK2066">
        <v>0</v>
      </c>
      <c r="AL2066" t="s">
        <v>3890</v>
      </c>
      <c r="AM2066">
        <v>46.870421999999998</v>
      </c>
      <c r="AN2066" t="s">
        <v>3891</v>
      </c>
      <c r="AO2066">
        <v>-123.066101</v>
      </c>
      <c r="AP2066">
        <v>100</v>
      </c>
      <c r="AQ2066">
        <v>2000</v>
      </c>
      <c r="AR2066" t="s">
        <v>118</v>
      </c>
      <c r="AS2066">
        <v>-78</v>
      </c>
      <c r="AT2066">
        <v>18</v>
      </c>
      <c r="AU2066">
        <v>128</v>
      </c>
      <c r="BC2066">
        <v>1200</v>
      </c>
      <c r="BD2066">
        <v>1</v>
      </c>
      <c r="BE2066" t="str">
        <f t="shared" si="98"/>
        <v xml:space="preserve">N215T   </v>
      </c>
      <c r="BF2066">
        <v>1</v>
      </c>
      <c r="BH2066">
        <v>0</v>
      </c>
      <c r="BI2066">
        <v>0</v>
      </c>
      <c r="BJ2066">
        <v>0</v>
      </c>
      <c r="BK2066">
        <v>2425</v>
      </c>
      <c r="BL2066">
        <v>425</v>
      </c>
      <c r="BM2066" t="s">
        <v>119</v>
      </c>
      <c r="BN2066">
        <v>1</v>
      </c>
      <c r="BO2066">
        <v>1</v>
      </c>
      <c r="BP2066">
        <v>1</v>
      </c>
      <c r="BQ2066">
        <v>0</v>
      </c>
      <c r="BT2066">
        <v>0</v>
      </c>
      <c r="BU2066">
        <v>0</v>
      </c>
      <c r="BV2066">
        <v>0</v>
      </c>
      <c r="CC2066" t="str">
        <f>"19:09:16.477"</f>
        <v>19:09:16.477</v>
      </c>
      <c r="CD2066" t="str">
        <f>"474449888"</f>
        <v>474449888</v>
      </c>
      <c r="CQ2066">
        <v>0</v>
      </c>
      <c r="CR2066">
        <v>2</v>
      </c>
      <c r="CS2066">
        <v>0</v>
      </c>
      <c r="CT2066">
        <v>2</v>
      </c>
      <c r="CU2066">
        <v>0</v>
      </c>
      <c r="CV2066">
        <v>7</v>
      </c>
      <c r="CW2066" t="s">
        <v>120</v>
      </c>
      <c r="CX2066">
        <v>261</v>
      </c>
      <c r="CY2066">
        <v>2</v>
      </c>
      <c r="CZ2066" t="s">
        <v>121</v>
      </c>
      <c r="DA2066" t="s">
        <v>122</v>
      </c>
      <c r="DD2066">
        <v>15494245</v>
      </c>
      <c r="DE2066" t="s">
        <v>123</v>
      </c>
    </row>
    <row r="2067" spans="1:109" x14ac:dyDescent="0.3">
      <c r="A2067" t="str">
        <f>"19:09:17.664"</f>
        <v>19:09:17.664</v>
      </c>
      <c r="B2067" t="s">
        <v>110</v>
      </c>
      <c r="C2067" t="str">
        <f t="shared" si="96"/>
        <v>ffdfd3c0</v>
      </c>
      <c r="D2067" t="s">
        <v>111</v>
      </c>
      <c r="E2067">
        <v>18</v>
      </c>
      <c r="F2067">
        <v>1018</v>
      </c>
      <c r="G2067" t="s">
        <v>112</v>
      </c>
      <c r="J2067" t="s">
        <v>113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R2067" t="s">
        <v>114</v>
      </c>
      <c r="S2067" t="str">
        <f>"19:09:17.430"</f>
        <v>19:09:17.430</v>
      </c>
      <c r="T2067" t="str">
        <f>"19:09:17.227"</f>
        <v>19:09:17.227</v>
      </c>
      <c r="U2067" t="str">
        <f t="shared" si="97"/>
        <v>a1cdbe</v>
      </c>
      <c r="V2067">
        <v>0</v>
      </c>
      <c r="W2067">
        <v>0</v>
      </c>
      <c r="X2067">
        <v>1</v>
      </c>
      <c r="Y2067">
        <v>0</v>
      </c>
      <c r="Z2067">
        <v>0</v>
      </c>
      <c r="AB2067">
        <v>0</v>
      </c>
      <c r="AC2067">
        <v>9</v>
      </c>
      <c r="AD2067">
        <v>3</v>
      </c>
      <c r="AE2067">
        <v>0</v>
      </c>
      <c r="AF2067">
        <v>9</v>
      </c>
      <c r="AG2067" t="s">
        <v>158</v>
      </c>
      <c r="AH2067">
        <v>0</v>
      </c>
      <c r="AI2067">
        <v>3</v>
      </c>
      <c r="AJ2067">
        <v>1</v>
      </c>
      <c r="AK2067">
        <v>0</v>
      </c>
      <c r="AL2067" t="s">
        <v>3892</v>
      </c>
      <c r="AM2067">
        <v>46.870508000000001</v>
      </c>
      <c r="AN2067" t="s">
        <v>3893</v>
      </c>
      <c r="AO2067">
        <v>-123.066659</v>
      </c>
      <c r="AP2067">
        <v>100</v>
      </c>
      <c r="AQ2067">
        <v>2000</v>
      </c>
      <c r="AR2067" t="s">
        <v>118</v>
      </c>
      <c r="AS2067">
        <v>-78</v>
      </c>
      <c r="AT2067">
        <v>18</v>
      </c>
      <c r="AU2067">
        <v>128</v>
      </c>
      <c r="BC2067">
        <v>1200</v>
      </c>
      <c r="BD2067">
        <v>1</v>
      </c>
      <c r="BE2067" t="str">
        <f t="shared" si="98"/>
        <v xml:space="preserve">N215T   </v>
      </c>
      <c r="BF2067">
        <v>1</v>
      </c>
      <c r="BH2067">
        <v>0</v>
      </c>
      <c r="BI2067">
        <v>0</v>
      </c>
      <c r="BJ2067">
        <v>0</v>
      </c>
      <c r="BK2067">
        <v>2425</v>
      </c>
      <c r="BL2067">
        <v>425</v>
      </c>
      <c r="BM2067" t="s">
        <v>119</v>
      </c>
      <c r="BN2067">
        <v>1</v>
      </c>
      <c r="BO2067">
        <v>1</v>
      </c>
      <c r="BP2067">
        <v>1</v>
      </c>
      <c r="BQ2067">
        <v>0</v>
      </c>
      <c r="BT2067">
        <v>0</v>
      </c>
      <c r="BU2067">
        <v>0</v>
      </c>
      <c r="BV2067">
        <v>0</v>
      </c>
      <c r="CC2067" t="str">
        <f>"19:09:17.438"</f>
        <v>19:09:17.438</v>
      </c>
      <c r="CD2067" t="str">
        <f>"434355340"</f>
        <v>434355340</v>
      </c>
      <c r="CQ2067">
        <v>0</v>
      </c>
      <c r="CR2067">
        <v>2</v>
      </c>
      <c r="CS2067">
        <v>0</v>
      </c>
      <c r="CT2067">
        <v>2</v>
      </c>
      <c r="CU2067">
        <v>0</v>
      </c>
      <c r="CV2067">
        <v>7</v>
      </c>
      <c r="CW2067" t="s">
        <v>120</v>
      </c>
      <c r="CX2067">
        <v>261</v>
      </c>
      <c r="CY2067">
        <v>2</v>
      </c>
      <c r="CZ2067" t="s">
        <v>121</v>
      </c>
      <c r="DA2067" t="s">
        <v>122</v>
      </c>
      <c r="DD2067">
        <v>15494894</v>
      </c>
      <c r="DE2067" t="s">
        <v>123</v>
      </c>
    </row>
    <row r="2068" spans="1:109" x14ac:dyDescent="0.3">
      <c r="A2068" t="str">
        <f>"19:09:18.617"</f>
        <v>19:09:18.617</v>
      </c>
      <c r="B2068" t="s">
        <v>110</v>
      </c>
      <c r="C2068" t="str">
        <f t="shared" si="96"/>
        <v>ffdfd3c0</v>
      </c>
      <c r="D2068" t="s">
        <v>111</v>
      </c>
      <c r="E2068">
        <v>18</v>
      </c>
      <c r="F2068">
        <v>1018</v>
      </c>
      <c r="G2068" t="s">
        <v>112</v>
      </c>
      <c r="J2068" t="s">
        <v>113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R2068" t="s">
        <v>114</v>
      </c>
      <c r="S2068" t="str">
        <f>"19:09:18.391"</f>
        <v>19:09:18.391</v>
      </c>
      <c r="T2068" t="str">
        <f>"19:09:18.094"</f>
        <v>19:09:18.094</v>
      </c>
      <c r="U2068" t="str">
        <f t="shared" si="97"/>
        <v>a1cdbe</v>
      </c>
      <c r="V2068">
        <v>0</v>
      </c>
      <c r="W2068">
        <v>0</v>
      </c>
      <c r="X2068">
        <v>1</v>
      </c>
      <c r="Y2068">
        <v>0</v>
      </c>
      <c r="Z2068">
        <v>0</v>
      </c>
      <c r="AB2068">
        <v>0</v>
      </c>
      <c r="AC2068">
        <v>9</v>
      </c>
      <c r="AD2068">
        <v>3</v>
      </c>
      <c r="AE2068">
        <v>0</v>
      </c>
      <c r="AF2068">
        <v>9</v>
      </c>
      <c r="AG2068" t="s">
        <v>158</v>
      </c>
      <c r="AH2068">
        <v>0</v>
      </c>
      <c r="AI2068">
        <v>3</v>
      </c>
      <c r="AJ2068">
        <v>1</v>
      </c>
      <c r="AK2068">
        <v>0</v>
      </c>
      <c r="AL2068" t="s">
        <v>3894</v>
      </c>
      <c r="AM2068">
        <v>46.870615000000001</v>
      </c>
      <c r="AN2068" t="s">
        <v>3895</v>
      </c>
      <c r="AO2068">
        <v>-123.067131</v>
      </c>
      <c r="AP2068">
        <v>100</v>
      </c>
      <c r="AQ2068">
        <v>2000</v>
      </c>
      <c r="AR2068" t="s">
        <v>118</v>
      </c>
      <c r="AS2068">
        <v>-78</v>
      </c>
      <c r="AT2068">
        <v>18</v>
      </c>
      <c r="AU2068">
        <v>128</v>
      </c>
      <c r="BC2068">
        <v>1200</v>
      </c>
      <c r="BD2068">
        <v>1</v>
      </c>
      <c r="BE2068" t="str">
        <f t="shared" si="98"/>
        <v xml:space="preserve">N215T   </v>
      </c>
      <c r="BF2068">
        <v>1</v>
      </c>
      <c r="BH2068">
        <v>0</v>
      </c>
      <c r="BI2068">
        <v>0</v>
      </c>
      <c r="BJ2068">
        <v>0</v>
      </c>
      <c r="BK2068">
        <v>2425</v>
      </c>
      <c r="BL2068">
        <v>425</v>
      </c>
      <c r="BM2068" t="s">
        <v>119</v>
      </c>
      <c r="BN2068">
        <v>1</v>
      </c>
      <c r="BO2068">
        <v>1</v>
      </c>
      <c r="BP2068">
        <v>1</v>
      </c>
      <c r="BQ2068">
        <v>0</v>
      </c>
      <c r="BT2068">
        <v>0</v>
      </c>
      <c r="BU2068">
        <v>0</v>
      </c>
      <c r="BV2068">
        <v>0</v>
      </c>
      <c r="CC2068" t="str">
        <f>"19:09:18.391"</f>
        <v>19:09:18.391</v>
      </c>
      <c r="CD2068" t="str">
        <f>"394260806"</f>
        <v>394260806</v>
      </c>
      <c r="CQ2068">
        <v>0</v>
      </c>
      <c r="CR2068">
        <v>2</v>
      </c>
      <c r="CS2068">
        <v>0</v>
      </c>
      <c r="CT2068">
        <v>2</v>
      </c>
      <c r="CU2068">
        <v>0</v>
      </c>
      <c r="CV2068">
        <v>7</v>
      </c>
      <c r="CW2068" t="s">
        <v>120</v>
      </c>
      <c r="CX2068">
        <v>261</v>
      </c>
      <c r="CY2068">
        <v>2</v>
      </c>
      <c r="CZ2068" t="s">
        <v>121</v>
      </c>
      <c r="DA2068" t="s">
        <v>122</v>
      </c>
      <c r="DD2068">
        <v>15495525</v>
      </c>
      <c r="DE2068" t="s">
        <v>123</v>
      </c>
    </row>
    <row r="2069" spans="1:109" x14ac:dyDescent="0.3">
      <c r="A2069" t="str">
        <f>"19:09:19.672"</f>
        <v>19:09:19.672</v>
      </c>
      <c r="B2069" t="s">
        <v>110</v>
      </c>
      <c r="C2069" t="str">
        <f t="shared" si="96"/>
        <v>ffdfd3c0</v>
      </c>
      <c r="D2069" t="s">
        <v>111</v>
      </c>
      <c r="E2069">
        <v>18</v>
      </c>
      <c r="F2069">
        <v>1018</v>
      </c>
      <c r="G2069" t="s">
        <v>112</v>
      </c>
      <c r="J2069" t="s">
        <v>113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R2069" t="s">
        <v>114</v>
      </c>
      <c r="S2069" t="str">
        <f>"19:09:19.469"</f>
        <v>19:09:19.469</v>
      </c>
      <c r="T2069" t="str">
        <f>"19:09:19.070"</f>
        <v>19:09:19.070</v>
      </c>
      <c r="U2069" t="str">
        <f t="shared" si="97"/>
        <v>a1cdbe</v>
      </c>
      <c r="V2069">
        <v>0</v>
      </c>
      <c r="W2069">
        <v>0</v>
      </c>
      <c r="X2069">
        <v>1</v>
      </c>
      <c r="Y2069">
        <v>0</v>
      </c>
      <c r="Z2069">
        <v>0</v>
      </c>
      <c r="AB2069">
        <v>0</v>
      </c>
      <c r="AC2069">
        <v>9</v>
      </c>
      <c r="AD2069">
        <v>3</v>
      </c>
      <c r="AE2069">
        <v>0</v>
      </c>
      <c r="AF2069">
        <v>9</v>
      </c>
      <c r="AG2069" t="s">
        <v>158</v>
      </c>
      <c r="AH2069">
        <v>0</v>
      </c>
      <c r="AI2069">
        <v>3</v>
      </c>
      <c r="AJ2069">
        <v>1</v>
      </c>
      <c r="AK2069">
        <v>0</v>
      </c>
      <c r="AL2069" t="s">
        <v>3896</v>
      </c>
      <c r="AM2069">
        <v>46.870700999999997</v>
      </c>
      <c r="AN2069" t="s">
        <v>3897</v>
      </c>
      <c r="AO2069">
        <v>-123.06771000000001</v>
      </c>
      <c r="AP2069">
        <v>100</v>
      </c>
      <c r="AQ2069">
        <v>2000</v>
      </c>
      <c r="AR2069" t="s">
        <v>118</v>
      </c>
      <c r="AS2069">
        <v>-78</v>
      </c>
      <c r="AT2069">
        <v>18</v>
      </c>
      <c r="AU2069">
        <v>192</v>
      </c>
      <c r="BC2069">
        <v>1200</v>
      </c>
      <c r="BD2069">
        <v>1</v>
      </c>
      <c r="BE2069" t="str">
        <f t="shared" si="98"/>
        <v xml:space="preserve">N215T   </v>
      </c>
      <c r="BF2069">
        <v>1</v>
      </c>
      <c r="BH2069">
        <v>0</v>
      </c>
      <c r="BI2069">
        <v>0</v>
      </c>
      <c r="BJ2069">
        <v>0</v>
      </c>
      <c r="BK2069">
        <v>2450</v>
      </c>
      <c r="BL2069">
        <v>450</v>
      </c>
      <c r="BM2069" t="s">
        <v>119</v>
      </c>
      <c r="BN2069">
        <v>1</v>
      </c>
      <c r="BO2069">
        <v>1</v>
      </c>
      <c r="BP2069">
        <v>1</v>
      </c>
      <c r="BQ2069">
        <v>0</v>
      </c>
      <c r="BT2069">
        <v>0</v>
      </c>
      <c r="BU2069">
        <v>0</v>
      </c>
      <c r="BV2069">
        <v>0</v>
      </c>
      <c r="CC2069" t="str">
        <f>"19:09:19.477"</f>
        <v>19:09:19.477</v>
      </c>
      <c r="CD2069" t="str">
        <f>"474154440"</f>
        <v>474154440</v>
      </c>
      <c r="CQ2069">
        <v>0</v>
      </c>
      <c r="CR2069">
        <v>2</v>
      </c>
      <c r="CS2069">
        <v>0</v>
      </c>
      <c r="CT2069">
        <v>2</v>
      </c>
      <c r="CU2069">
        <v>0</v>
      </c>
      <c r="CV2069">
        <v>7</v>
      </c>
      <c r="CW2069" t="s">
        <v>120</v>
      </c>
      <c r="CX2069">
        <v>261</v>
      </c>
      <c r="CY2069">
        <v>2</v>
      </c>
      <c r="CZ2069" t="s">
        <v>121</v>
      </c>
      <c r="DA2069" t="s">
        <v>122</v>
      </c>
      <c r="DD2069">
        <v>15496277</v>
      </c>
      <c r="DE2069" t="s">
        <v>123</v>
      </c>
    </row>
    <row r="2070" spans="1:109" x14ac:dyDescent="0.3">
      <c r="A2070" t="str">
        <f>"19:09:20.633"</f>
        <v>19:09:20.633</v>
      </c>
      <c r="B2070" t="s">
        <v>110</v>
      </c>
      <c r="C2070" t="str">
        <f t="shared" si="96"/>
        <v>ffdfd3c0</v>
      </c>
      <c r="D2070" t="s">
        <v>111</v>
      </c>
      <c r="E2070">
        <v>18</v>
      </c>
      <c r="F2070">
        <v>1018</v>
      </c>
      <c r="G2070" t="s">
        <v>112</v>
      </c>
      <c r="J2070" t="s">
        <v>113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R2070" t="s">
        <v>114</v>
      </c>
      <c r="S2070" t="str">
        <f>"19:09:20.430"</f>
        <v>19:09:20.430</v>
      </c>
      <c r="T2070" t="str">
        <f>"19:09:20.133"</f>
        <v>19:09:20.133</v>
      </c>
      <c r="U2070" t="str">
        <f t="shared" si="97"/>
        <v>a1cdbe</v>
      </c>
      <c r="V2070">
        <v>0</v>
      </c>
      <c r="W2070">
        <v>0</v>
      </c>
      <c r="X2070">
        <v>1</v>
      </c>
      <c r="Y2070">
        <v>0</v>
      </c>
      <c r="Z2070">
        <v>0</v>
      </c>
      <c r="AB2070">
        <v>0</v>
      </c>
      <c r="AC2070">
        <v>9</v>
      </c>
      <c r="AD2070">
        <v>3</v>
      </c>
      <c r="AE2070">
        <v>0</v>
      </c>
      <c r="AF2070">
        <v>9</v>
      </c>
      <c r="AG2070" t="s">
        <v>158</v>
      </c>
      <c r="AH2070">
        <v>0</v>
      </c>
      <c r="AI2070">
        <v>3</v>
      </c>
      <c r="AJ2070">
        <v>1</v>
      </c>
      <c r="AK2070">
        <v>0</v>
      </c>
      <c r="AL2070" t="s">
        <v>3898</v>
      </c>
      <c r="AM2070">
        <v>46.870744000000002</v>
      </c>
      <c r="AN2070" t="s">
        <v>3899</v>
      </c>
      <c r="AO2070">
        <v>-123.068225</v>
      </c>
      <c r="AP2070">
        <v>100</v>
      </c>
      <c r="AQ2070">
        <v>2100</v>
      </c>
      <c r="AR2070" t="s">
        <v>118</v>
      </c>
      <c r="AS2070">
        <v>-78</v>
      </c>
      <c r="AT2070">
        <v>17</v>
      </c>
      <c r="AU2070">
        <v>192</v>
      </c>
      <c r="BC2070">
        <v>1200</v>
      </c>
      <c r="BD2070">
        <v>1</v>
      </c>
      <c r="BE2070" t="str">
        <f t="shared" si="98"/>
        <v xml:space="preserve">N215T   </v>
      </c>
      <c r="BF2070">
        <v>1</v>
      </c>
      <c r="BH2070">
        <v>0</v>
      </c>
      <c r="BI2070">
        <v>0</v>
      </c>
      <c r="BJ2070">
        <v>0</v>
      </c>
      <c r="BK2070">
        <v>2450</v>
      </c>
      <c r="BL2070">
        <v>350</v>
      </c>
      <c r="BM2070" t="s">
        <v>119</v>
      </c>
      <c r="BN2070">
        <v>1</v>
      </c>
      <c r="BO2070">
        <v>1</v>
      </c>
      <c r="BP2070">
        <v>1</v>
      </c>
      <c r="BQ2070">
        <v>0</v>
      </c>
      <c r="BT2070">
        <v>0</v>
      </c>
      <c r="BU2070">
        <v>0</v>
      </c>
      <c r="BV2070">
        <v>0</v>
      </c>
      <c r="CC2070" t="str">
        <f>"19:09:20.438"</f>
        <v>19:09:20.438</v>
      </c>
      <c r="CD2070" t="str">
        <f>"434059891"</f>
        <v>434059891</v>
      </c>
      <c r="CQ2070">
        <v>0</v>
      </c>
      <c r="CR2070">
        <v>2</v>
      </c>
      <c r="CS2070">
        <v>0</v>
      </c>
      <c r="CT2070">
        <v>2</v>
      </c>
      <c r="CU2070">
        <v>0</v>
      </c>
      <c r="CV2070">
        <v>7</v>
      </c>
      <c r="CW2070" t="s">
        <v>120</v>
      </c>
      <c r="CX2070">
        <v>261</v>
      </c>
      <c r="CY2070">
        <v>2</v>
      </c>
      <c r="CZ2070" t="s">
        <v>121</v>
      </c>
      <c r="DA2070" t="s">
        <v>122</v>
      </c>
      <c r="DD2070">
        <v>15496988</v>
      </c>
      <c r="DE2070" t="s">
        <v>123</v>
      </c>
    </row>
    <row r="2071" spans="1:109" x14ac:dyDescent="0.3">
      <c r="A2071" t="str">
        <f>"19:09:21.539"</f>
        <v>19:09:21.539</v>
      </c>
      <c r="B2071" t="s">
        <v>110</v>
      </c>
      <c r="C2071" t="str">
        <f t="shared" si="96"/>
        <v>ffdfd3c0</v>
      </c>
      <c r="D2071" t="s">
        <v>111</v>
      </c>
      <c r="E2071">
        <v>18</v>
      </c>
      <c r="F2071">
        <v>1018</v>
      </c>
      <c r="G2071" t="s">
        <v>112</v>
      </c>
      <c r="J2071" t="s">
        <v>113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R2071" t="s">
        <v>114</v>
      </c>
      <c r="S2071" t="str">
        <f>"19:09:21.273"</f>
        <v>19:09:21.273</v>
      </c>
      <c r="T2071" t="str">
        <f>"19:09:21.172"</f>
        <v>19:09:21.172</v>
      </c>
      <c r="U2071" t="str">
        <f t="shared" si="97"/>
        <v>a1cdbe</v>
      </c>
      <c r="V2071">
        <v>0</v>
      </c>
      <c r="W2071">
        <v>0</v>
      </c>
      <c r="X2071">
        <v>1</v>
      </c>
      <c r="Y2071">
        <v>0</v>
      </c>
      <c r="Z2071">
        <v>0</v>
      </c>
      <c r="AB2071">
        <v>0</v>
      </c>
      <c r="AC2071">
        <v>9</v>
      </c>
      <c r="AD2071">
        <v>3</v>
      </c>
      <c r="AE2071">
        <v>0</v>
      </c>
      <c r="AF2071">
        <v>9</v>
      </c>
      <c r="AG2071" t="s">
        <v>158</v>
      </c>
      <c r="AH2071">
        <v>0</v>
      </c>
      <c r="AI2071">
        <v>3</v>
      </c>
      <c r="AJ2071">
        <v>1</v>
      </c>
      <c r="AK2071">
        <v>0</v>
      </c>
      <c r="AL2071" t="s">
        <v>3900</v>
      </c>
      <c r="AM2071">
        <v>46.870829999999998</v>
      </c>
      <c r="AN2071" t="s">
        <v>3901</v>
      </c>
      <c r="AO2071">
        <v>-123.06863300000001</v>
      </c>
      <c r="AP2071">
        <v>100</v>
      </c>
      <c r="AQ2071">
        <v>2100</v>
      </c>
      <c r="AR2071" t="s">
        <v>118</v>
      </c>
      <c r="AS2071">
        <v>-78</v>
      </c>
      <c r="AT2071">
        <v>17</v>
      </c>
      <c r="AU2071">
        <v>192</v>
      </c>
      <c r="BC2071">
        <v>1200</v>
      </c>
      <c r="BD2071">
        <v>1</v>
      </c>
      <c r="BE2071" t="str">
        <f t="shared" si="98"/>
        <v xml:space="preserve">N215T   </v>
      </c>
      <c r="BF2071">
        <v>1</v>
      </c>
      <c r="BH2071">
        <v>0</v>
      </c>
      <c r="BI2071">
        <v>0</v>
      </c>
      <c r="BJ2071">
        <v>0</v>
      </c>
      <c r="BK2071">
        <v>2450</v>
      </c>
      <c r="BL2071">
        <v>350</v>
      </c>
      <c r="BM2071" t="s">
        <v>119</v>
      </c>
      <c r="BN2071">
        <v>1</v>
      </c>
      <c r="BO2071">
        <v>1</v>
      </c>
      <c r="BP2071">
        <v>1</v>
      </c>
      <c r="BQ2071">
        <v>0</v>
      </c>
      <c r="BT2071">
        <v>0</v>
      </c>
      <c r="BU2071">
        <v>0</v>
      </c>
      <c r="BV2071">
        <v>0</v>
      </c>
      <c r="CC2071" t="str">
        <f>"19:09:21.273"</f>
        <v>19:09:21.273</v>
      </c>
      <c r="CD2071" t="str">
        <f>"273977167"</f>
        <v>273977167</v>
      </c>
      <c r="CQ2071">
        <v>0</v>
      </c>
      <c r="CR2071">
        <v>2</v>
      </c>
      <c r="CS2071">
        <v>0</v>
      </c>
      <c r="CT2071">
        <v>2</v>
      </c>
      <c r="CU2071">
        <v>0</v>
      </c>
      <c r="CV2071">
        <v>7</v>
      </c>
      <c r="CW2071" t="s">
        <v>120</v>
      </c>
      <c r="CX2071">
        <v>261</v>
      </c>
      <c r="CY2071">
        <v>2</v>
      </c>
      <c r="CZ2071" t="s">
        <v>121</v>
      </c>
      <c r="DA2071" t="s">
        <v>122</v>
      </c>
      <c r="DD2071">
        <v>15497529</v>
      </c>
      <c r="DE2071" t="s">
        <v>123</v>
      </c>
    </row>
    <row r="2072" spans="1:109" x14ac:dyDescent="0.3">
      <c r="A2072" t="str">
        <f>"19:09:22.539"</f>
        <v>19:09:22.539</v>
      </c>
      <c r="B2072" t="s">
        <v>110</v>
      </c>
      <c r="C2072" t="str">
        <f t="shared" si="96"/>
        <v>ffdfd3c0</v>
      </c>
      <c r="D2072" t="s">
        <v>111</v>
      </c>
      <c r="E2072">
        <v>18</v>
      </c>
      <c r="F2072">
        <v>1018</v>
      </c>
      <c r="G2072" t="s">
        <v>112</v>
      </c>
      <c r="J2072" t="s">
        <v>113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R2072" t="s">
        <v>114</v>
      </c>
      <c r="S2072" t="str">
        <f>"19:09:22.273"</f>
        <v>19:09:22.273</v>
      </c>
      <c r="T2072" t="str">
        <f>"19:09:22.172"</f>
        <v>19:09:22.172</v>
      </c>
      <c r="U2072" t="str">
        <f t="shared" si="97"/>
        <v>a1cdbe</v>
      </c>
      <c r="V2072">
        <v>0</v>
      </c>
      <c r="W2072">
        <v>0</v>
      </c>
      <c r="X2072">
        <v>1</v>
      </c>
      <c r="Y2072">
        <v>0</v>
      </c>
      <c r="Z2072">
        <v>0</v>
      </c>
      <c r="AB2072">
        <v>0</v>
      </c>
      <c r="AC2072">
        <v>9</v>
      </c>
      <c r="AD2072">
        <v>3</v>
      </c>
      <c r="AE2072">
        <v>0</v>
      </c>
      <c r="AF2072">
        <v>9</v>
      </c>
      <c r="AG2072" t="s">
        <v>158</v>
      </c>
      <c r="AH2072">
        <v>0</v>
      </c>
      <c r="AI2072">
        <v>3</v>
      </c>
      <c r="AJ2072">
        <v>1</v>
      </c>
      <c r="AK2072">
        <v>0</v>
      </c>
      <c r="AL2072" t="s">
        <v>3902</v>
      </c>
      <c r="AM2072">
        <v>46.870894</v>
      </c>
      <c r="AN2072" t="s">
        <v>3903</v>
      </c>
      <c r="AO2072">
        <v>-123.069191</v>
      </c>
      <c r="AP2072">
        <v>100</v>
      </c>
      <c r="AQ2072">
        <v>2100</v>
      </c>
      <c r="AR2072" t="s">
        <v>118</v>
      </c>
      <c r="AS2072">
        <v>-78</v>
      </c>
      <c r="AT2072">
        <v>17</v>
      </c>
      <c r="AU2072">
        <v>192</v>
      </c>
      <c r="BC2072">
        <v>1200</v>
      </c>
      <c r="BD2072">
        <v>1</v>
      </c>
      <c r="BE2072" t="str">
        <f t="shared" si="98"/>
        <v xml:space="preserve">N215T   </v>
      </c>
      <c r="BF2072">
        <v>1</v>
      </c>
      <c r="BH2072">
        <v>0</v>
      </c>
      <c r="BI2072">
        <v>0</v>
      </c>
      <c r="BJ2072">
        <v>0</v>
      </c>
      <c r="BK2072">
        <v>2450</v>
      </c>
      <c r="BL2072">
        <v>350</v>
      </c>
      <c r="BM2072" t="s">
        <v>119</v>
      </c>
      <c r="BN2072">
        <v>1</v>
      </c>
      <c r="BO2072">
        <v>1</v>
      </c>
      <c r="BP2072">
        <v>1</v>
      </c>
      <c r="BQ2072">
        <v>0</v>
      </c>
      <c r="BT2072">
        <v>0</v>
      </c>
      <c r="BU2072">
        <v>0</v>
      </c>
      <c r="BV2072">
        <v>0</v>
      </c>
      <c r="CC2072" t="str">
        <f>"19:09:22.281"</f>
        <v>19:09:22.281</v>
      </c>
      <c r="CD2072" t="str">
        <f>"278878192"</f>
        <v>278878192</v>
      </c>
      <c r="CQ2072">
        <v>0</v>
      </c>
      <c r="CR2072">
        <v>2</v>
      </c>
      <c r="CS2072">
        <v>0</v>
      </c>
      <c r="CT2072">
        <v>2</v>
      </c>
      <c r="CU2072">
        <v>0</v>
      </c>
      <c r="CV2072">
        <v>7</v>
      </c>
      <c r="CW2072" t="s">
        <v>120</v>
      </c>
      <c r="CX2072">
        <v>261</v>
      </c>
      <c r="CY2072">
        <v>2</v>
      </c>
      <c r="CZ2072" t="s">
        <v>121</v>
      </c>
      <c r="DA2072" t="s">
        <v>122</v>
      </c>
      <c r="DD2072">
        <v>15498204</v>
      </c>
      <c r="DE2072" t="s">
        <v>123</v>
      </c>
    </row>
    <row r="2073" spans="1:109" x14ac:dyDescent="0.3">
      <c r="A2073" t="str">
        <f>"19:09:23.602"</f>
        <v>19:09:23.602</v>
      </c>
      <c r="B2073" t="s">
        <v>110</v>
      </c>
      <c r="C2073" t="str">
        <f t="shared" si="96"/>
        <v>ffdfd3c0</v>
      </c>
      <c r="D2073" t="s">
        <v>111</v>
      </c>
      <c r="E2073">
        <v>18</v>
      </c>
      <c r="F2073">
        <v>1018</v>
      </c>
      <c r="G2073" t="s">
        <v>112</v>
      </c>
      <c r="J2073" t="s">
        <v>113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R2073" t="s">
        <v>114</v>
      </c>
      <c r="S2073" t="str">
        <f>"19:09:23.328"</f>
        <v>19:09:23.328</v>
      </c>
      <c r="T2073" t="str">
        <f>"19:09:23.125"</f>
        <v>19:09:23.125</v>
      </c>
      <c r="U2073" t="str">
        <f t="shared" si="97"/>
        <v>a1cdbe</v>
      </c>
      <c r="V2073">
        <v>0</v>
      </c>
      <c r="W2073">
        <v>0</v>
      </c>
      <c r="X2073">
        <v>1</v>
      </c>
      <c r="Y2073">
        <v>0</v>
      </c>
      <c r="Z2073">
        <v>0</v>
      </c>
      <c r="AB2073">
        <v>0</v>
      </c>
      <c r="AC2073">
        <v>9</v>
      </c>
      <c r="AD2073">
        <v>3</v>
      </c>
      <c r="AE2073">
        <v>0</v>
      </c>
      <c r="AF2073">
        <v>9</v>
      </c>
      <c r="AG2073" t="s">
        <v>158</v>
      </c>
      <c r="AH2073">
        <v>0</v>
      </c>
      <c r="AI2073">
        <v>3</v>
      </c>
      <c r="AJ2073">
        <v>1</v>
      </c>
      <c r="AK2073">
        <v>0</v>
      </c>
      <c r="AL2073" t="s">
        <v>3904</v>
      </c>
      <c r="AM2073">
        <v>46.870980000000003</v>
      </c>
      <c r="AN2073" t="s">
        <v>3905</v>
      </c>
      <c r="AO2073">
        <v>-123.069749</v>
      </c>
      <c r="AP2073">
        <v>100</v>
      </c>
      <c r="AQ2073">
        <v>2100</v>
      </c>
      <c r="AR2073" t="s">
        <v>118</v>
      </c>
      <c r="AS2073">
        <v>-77</v>
      </c>
      <c r="AT2073">
        <v>16</v>
      </c>
      <c r="AU2073">
        <v>192</v>
      </c>
      <c r="BC2073">
        <v>1200</v>
      </c>
      <c r="BD2073">
        <v>1</v>
      </c>
      <c r="BE2073" t="str">
        <f t="shared" si="98"/>
        <v xml:space="preserve">N215T   </v>
      </c>
      <c r="BF2073">
        <v>1</v>
      </c>
      <c r="BH2073">
        <v>0</v>
      </c>
      <c r="BI2073">
        <v>0</v>
      </c>
      <c r="BJ2073">
        <v>0</v>
      </c>
      <c r="BK2073">
        <v>2450</v>
      </c>
      <c r="BL2073">
        <v>350</v>
      </c>
      <c r="BM2073" t="s">
        <v>119</v>
      </c>
      <c r="BN2073">
        <v>1</v>
      </c>
      <c r="BO2073">
        <v>1</v>
      </c>
      <c r="BP2073">
        <v>1</v>
      </c>
      <c r="BQ2073">
        <v>0</v>
      </c>
      <c r="BT2073">
        <v>0</v>
      </c>
      <c r="BU2073">
        <v>0</v>
      </c>
      <c r="BV2073">
        <v>0</v>
      </c>
      <c r="CC2073" t="str">
        <f>"19:09:23.328"</f>
        <v>19:09:23.328</v>
      </c>
      <c r="CD2073" t="str">
        <f>"328774790"</f>
        <v>328774790</v>
      </c>
      <c r="CQ2073">
        <v>0</v>
      </c>
      <c r="CR2073">
        <v>2</v>
      </c>
      <c r="CS2073">
        <v>0</v>
      </c>
      <c r="CT2073">
        <v>2</v>
      </c>
      <c r="CU2073">
        <v>0</v>
      </c>
      <c r="CV2073">
        <v>7</v>
      </c>
      <c r="CW2073" t="s">
        <v>120</v>
      </c>
      <c r="CX2073">
        <v>261</v>
      </c>
      <c r="CY2073">
        <v>2</v>
      </c>
      <c r="CZ2073" t="s">
        <v>121</v>
      </c>
      <c r="DA2073" t="s">
        <v>122</v>
      </c>
      <c r="DD2073">
        <v>15498926</v>
      </c>
      <c r="DE2073" t="s">
        <v>123</v>
      </c>
    </row>
    <row r="2074" spans="1:109" x14ac:dyDescent="0.3">
      <c r="A2074" t="str">
        <f>"19:09:24.602"</f>
        <v>19:09:24.602</v>
      </c>
      <c r="B2074" t="s">
        <v>110</v>
      </c>
      <c r="C2074" t="str">
        <f t="shared" si="96"/>
        <v>ffdfd3c0</v>
      </c>
      <c r="D2074" t="s">
        <v>111</v>
      </c>
      <c r="E2074">
        <v>18</v>
      </c>
      <c r="F2074">
        <v>1018</v>
      </c>
      <c r="G2074" t="s">
        <v>112</v>
      </c>
      <c r="J2074" t="s">
        <v>113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R2074" t="s">
        <v>114</v>
      </c>
      <c r="S2074" t="str">
        <f>"19:09:24.344"</f>
        <v>19:09:24.344</v>
      </c>
      <c r="T2074" t="str">
        <f>"19:09:24.141"</f>
        <v>19:09:24.141</v>
      </c>
      <c r="U2074" t="str">
        <f t="shared" si="97"/>
        <v>a1cdbe</v>
      </c>
      <c r="V2074">
        <v>0</v>
      </c>
      <c r="W2074">
        <v>0</v>
      </c>
      <c r="X2074">
        <v>1</v>
      </c>
      <c r="Y2074">
        <v>0</v>
      </c>
      <c r="Z2074">
        <v>0</v>
      </c>
      <c r="AB2074">
        <v>0</v>
      </c>
      <c r="AC2074">
        <v>9</v>
      </c>
      <c r="AD2074">
        <v>3</v>
      </c>
      <c r="AE2074">
        <v>0</v>
      </c>
      <c r="AF2074">
        <v>9</v>
      </c>
      <c r="AG2074" t="s">
        <v>158</v>
      </c>
      <c r="AH2074">
        <v>0</v>
      </c>
      <c r="AI2074">
        <v>3</v>
      </c>
      <c r="AJ2074">
        <v>1</v>
      </c>
      <c r="AK2074">
        <v>0</v>
      </c>
      <c r="AL2074" t="s">
        <v>3906</v>
      </c>
      <c r="AM2074">
        <v>46.871065999999999</v>
      </c>
      <c r="AN2074" t="s">
        <v>3907</v>
      </c>
      <c r="AO2074">
        <v>-123.07026399999999</v>
      </c>
      <c r="AP2074">
        <v>100</v>
      </c>
      <c r="AQ2074">
        <v>2100</v>
      </c>
      <c r="AR2074" t="s">
        <v>118</v>
      </c>
      <c r="AS2074">
        <v>-77</v>
      </c>
      <c r="AT2074">
        <v>16</v>
      </c>
      <c r="AU2074">
        <v>192</v>
      </c>
      <c r="BC2074">
        <v>1200</v>
      </c>
      <c r="BD2074">
        <v>1</v>
      </c>
      <c r="BE2074" t="str">
        <f t="shared" si="98"/>
        <v xml:space="preserve">N215T   </v>
      </c>
      <c r="BF2074">
        <v>1</v>
      </c>
      <c r="BH2074">
        <v>0</v>
      </c>
      <c r="BI2074">
        <v>0</v>
      </c>
      <c r="BJ2074">
        <v>0</v>
      </c>
      <c r="BK2074">
        <v>2450</v>
      </c>
      <c r="BL2074">
        <v>350</v>
      </c>
      <c r="BM2074" t="s">
        <v>119</v>
      </c>
      <c r="BN2074">
        <v>1</v>
      </c>
      <c r="BO2074">
        <v>1</v>
      </c>
      <c r="BP2074">
        <v>1</v>
      </c>
      <c r="BQ2074">
        <v>0</v>
      </c>
      <c r="BT2074">
        <v>0</v>
      </c>
      <c r="BU2074">
        <v>0</v>
      </c>
      <c r="BV2074">
        <v>0</v>
      </c>
      <c r="CC2074" t="str">
        <f>"19:09:24.352"</f>
        <v>19:09:24.352</v>
      </c>
      <c r="CD2074" t="str">
        <f>"348674337"</f>
        <v>348674337</v>
      </c>
      <c r="CQ2074">
        <v>0</v>
      </c>
      <c r="CR2074">
        <v>2</v>
      </c>
      <c r="CS2074">
        <v>0</v>
      </c>
      <c r="CT2074">
        <v>2</v>
      </c>
      <c r="CU2074">
        <v>0</v>
      </c>
      <c r="CV2074">
        <v>7</v>
      </c>
      <c r="CW2074" t="s">
        <v>120</v>
      </c>
      <c r="CX2074">
        <v>261</v>
      </c>
      <c r="CY2074">
        <v>2</v>
      </c>
      <c r="CZ2074" t="s">
        <v>121</v>
      </c>
      <c r="DA2074" t="s">
        <v>122</v>
      </c>
      <c r="DD2074">
        <v>15499630</v>
      </c>
      <c r="DE2074" t="s">
        <v>123</v>
      </c>
    </row>
    <row r="2075" spans="1:109" x14ac:dyDescent="0.3">
      <c r="A2075" t="str">
        <f>"19:09:25.758"</f>
        <v>19:09:25.758</v>
      </c>
      <c r="B2075" t="s">
        <v>110</v>
      </c>
      <c r="C2075" t="str">
        <f t="shared" si="96"/>
        <v>ffdfd3c0</v>
      </c>
      <c r="D2075" t="s">
        <v>111</v>
      </c>
      <c r="E2075">
        <v>18</v>
      </c>
      <c r="F2075">
        <v>1018</v>
      </c>
      <c r="G2075" t="s">
        <v>112</v>
      </c>
      <c r="J2075" t="s">
        <v>113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R2075" t="s">
        <v>114</v>
      </c>
      <c r="S2075" t="str">
        <f>"19:09:25.484"</f>
        <v>19:09:25.484</v>
      </c>
      <c r="T2075" t="str">
        <f>"19:09:25.086"</f>
        <v>19:09:25.086</v>
      </c>
      <c r="U2075" t="str">
        <f t="shared" si="97"/>
        <v>a1cdbe</v>
      </c>
      <c r="V2075">
        <v>0</v>
      </c>
      <c r="W2075">
        <v>0</v>
      </c>
      <c r="X2075">
        <v>1</v>
      </c>
      <c r="Y2075">
        <v>0</v>
      </c>
      <c r="Z2075">
        <v>0</v>
      </c>
      <c r="AB2075">
        <v>0</v>
      </c>
      <c r="AC2075">
        <v>9</v>
      </c>
      <c r="AD2075">
        <v>3</v>
      </c>
      <c r="AE2075">
        <v>0</v>
      </c>
      <c r="AF2075">
        <v>9</v>
      </c>
      <c r="AG2075" t="s">
        <v>158</v>
      </c>
      <c r="AH2075">
        <v>0</v>
      </c>
      <c r="AI2075">
        <v>3</v>
      </c>
      <c r="AJ2075">
        <v>1</v>
      </c>
      <c r="AK2075">
        <v>0</v>
      </c>
      <c r="AL2075" t="s">
        <v>3908</v>
      </c>
      <c r="AM2075">
        <v>46.871130000000001</v>
      </c>
      <c r="AN2075" t="s">
        <v>3909</v>
      </c>
      <c r="AO2075">
        <v>-123.07082200000001</v>
      </c>
      <c r="AP2075">
        <v>100</v>
      </c>
      <c r="AQ2075">
        <v>2100</v>
      </c>
      <c r="AR2075" t="s">
        <v>118</v>
      </c>
      <c r="AS2075">
        <v>-77</v>
      </c>
      <c r="AT2075">
        <v>16</v>
      </c>
      <c r="AU2075">
        <v>128</v>
      </c>
      <c r="BC2075">
        <v>1200</v>
      </c>
      <c r="BD2075">
        <v>1</v>
      </c>
      <c r="BE2075" t="str">
        <f t="shared" si="98"/>
        <v xml:space="preserve">N215T   </v>
      </c>
      <c r="BF2075">
        <v>1</v>
      </c>
      <c r="BH2075">
        <v>0</v>
      </c>
      <c r="BI2075">
        <v>0</v>
      </c>
      <c r="BJ2075">
        <v>0</v>
      </c>
      <c r="BK2075">
        <v>2450</v>
      </c>
      <c r="BL2075">
        <v>350</v>
      </c>
      <c r="BM2075" t="s">
        <v>119</v>
      </c>
      <c r="BN2075">
        <v>1</v>
      </c>
      <c r="BO2075">
        <v>1</v>
      </c>
      <c r="BP2075">
        <v>1</v>
      </c>
      <c r="BQ2075">
        <v>0</v>
      </c>
      <c r="BT2075">
        <v>0</v>
      </c>
      <c r="BU2075">
        <v>0</v>
      </c>
      <c r="BV2075">
        <v>0</v>
      </c>
      <c r="CC2075" t="str">
        <f>"19:09:25.492"</f>
        <v>19:09:25.492</v>
      </c>
      <c r="CD2075" t="str">
        <f>"488562076"</f>
        <v>488562076</v>
      </c>
      <c r="CQ2075">
        <v>0</v>
      </c>
      <c r="CR2075">
        <v>2</v>
      </c>
      <c r="CS2075">
        <v>0</v>
      </c>
      <c r="CT2075">
        <v>2</v>
      </c>
      <c r="CU2075">
        <v>0</v>
      </c>
      <c r="CV2075">
        <v>7</v>
      </c>
      <c r="CW2075" t="s">
        <v>120</v>
      </c>
      <c r="CX2075">
        <v>261</v>
      </c>
      <c r="CY2075">
        <v>2</v>
      </c>
      <c r="CZ2075" t="s">
        <v>121</v>
      </c>
      <c r="DA2075" t="s">
        <v>122</v>
      </c>
      <c r="DD2075">
        <v>15500388</v>
      </c>
      <c r="DE2075" t="s">
        <v>123</v>
      </c>
    </row>
    <row r="2076" spans="1:109" x14ac:dyDescent="0.3">
      <c r="A2076" t="str">
        <f>"19:09:26.766"</f>
        <v>19:09:26.766</v>
      </c>
      <c r="B2076" t="s">
        <v>110</v>
      </c>
      <c r="C2076" t="str">
        <f t="shared" si="96"/>
        <v>ffdfd3c0</v>
      </c>
      <c r="D2076" t="s">
        <v>111</v>
      </c>
      <c r="E2076">
        <v>18</v>
      </c>
      <c r="F2076">
        <v>1018</v>
      </c>
      <c r="G2076" t="s">
        <v>112</v>
      </c>
      <c r="J2076" t="s">
        <v>113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R2076" t="s">
        <v>114</v>
      </c>
      <c r="S2076" t="str">
        <f>"19:09:26.508"</f>
        <v>19:09:26.508</v>
      </c>
      <c r="T2076" t="str">
        <f>"19:09:26.109"</f>
        <v>19:09:26.109</v>
      </c>
      <c r="U2076" t="str">
        <f t="shared" si="97"/>
        <v>a1cdbe</v>
      </c>
      <c r="V2076">
        <v>0</v>
      </c>
      <c r="W2076">
        <v>0</v>
      </c>
      <c r="X2076">
        <v>1</v>
      </c>
      <c r="Y2076">
        <v>0</v>
      </c>
      <c r="Z2076">
        <v>0</v>
      </c>
      <c r="AB2076">
        <v>0</v>
      </c>
      <c r="AC2076">
        <v>9</v>
      </c>
      <c r="AD2076">
        <v>3</v>
      </c>
      <c r="AE2076">
        <v>0</v>
      </c>
      <c r="AF2076">
        <v>9</v>
      </c>
      <c r="AG2076" t="s">
        <v>158</v>
      </c>
      <c r="AH2076">
        <v>0</v>
      </c>
      <c r="AI2076">
        <v>3</v>
      </c>
      <c r="AJ2076">
        <v>1</v>
      </c>
      <c r="AK2076">
        <v>0</v>
      </c>
      <c r="AL2076" t="s">
        <v>1612</v>
      </c>
      <c r="AM2076">
        <v>46.871195</v>
      </c>
      <c r="AN2076" t="s">
        <v>3910</v>
      </c>
      <c r="AO2076">
        <v>-123.07138</v>
      </c>
      <c r="AP2076">
        <v>100</v>
      </c>
      <c r="AQ2076">
        <v>2100</v>
      </c>
      <c r="AR2076" t="s">
        <v>118</v>
      </c>
      <c r="AS2076">
        <v>-77</v>
      </c>
      <c r="AT2076">
        <v>16</v>
      </c>
      <c r="AU2076">
        <v>128</v>
      </c>
      <c r="BC2076">
        <v>1200</v>
      </c>
      <c r="BD2076">
        <v>1</v>
      </c>
      <c r="BE2076" t="str">
        <f t="shared" si="98"/>
        <v xml:space="preserve">N215T   </v>
      </c>
      <c r="BF2076">
        <v>1</v>
      </c>
      <c r="BH2076">
        <v>0</v>
      </c>
      <c r="BI2076">
        <v>0</v>
      </c>
      <c r="BJ2076">
        <v>0</v>
      </c>
      <c r="BK2076">
        <v>2450</v>
      </c>
      <c r="BL2076">
        <v>350</v>
      </c>
      <c r="BM2076" t="s">
        <v>119</v>
      </c>
      <c r="BN2076">
        <v>1</v>
      </c>
      <c r="BO2076">
        <v>1</v>
      </c>
      <c r="BP2076">
        <v>1</v>
      </c>
      <c r="BQ2076">
        <v>0</v>
      </c>
      <c r="BT2076">
        <v>0</v>
      </c>
      <c r="BU2076">
        <v>0</v>
      </c>
      <c r="BV2076">
        <v>0</v>
      </c>
      <c r="CC2076" t="str">
        <f>"19:09:26.508"</f>
        <v>19:09:26.508</v>
      </c>
      <c r="CD2076" t="str">
        <f>"508461622"</f>
        <v>508461622</v>
      </c>
      <c r="CQ2076">
        <v>0</v>
      </c>
      <c r="CR2076">
        <v>2</v>
      </c>
      <c r="CS2076">
        <v>0</v>
      </c>
      <c r="CT2076">
        <v>2</v>
      </c>
      <c r="CU2076">
        <v>0</v>
      </c>
      <c r="CV2076">
        <v>7</v>
      </c>
      <c r="CW2076" t="s">
        <v>120</v>
      </c>
      <c r="CX2076">
        <v>261</v>
      </c>
      <c r="CY2076">
        <v>2</v>
      </c>
      <c r="CZ2076" t="s">
        <v>121</v>
      </c>
      <c r="DA2076" t="s">
        <v>122</v>
      </c>
      <c r="DD2076">
        <v>15501065</v>
      </c>
      <c r="DE2076" t="s">
        <v>123</v>
      </c>
    </row>
    <row r="2077" spans="1:109" x14ac:dyDescent="0.3">
      <c r="A2077" t="str">
        <f>"19:09:27.719"</f>
        <v>19:09:27.719</v>
      </c>
      <c r="B2077" t="s">
        <v>110</v>
      </c>
      <c r="C2077" t="str">
        <f t="shared" si="96"/>
        <v>ffdfd3c0</v>
      </c>
      <c r="D2077" t="s">
        <v>111</v>
      </c>
      <c r="E2077">
        <v>18</v>
      </c>
      <c r="F2077">
        <v>1018</v>
      </c>
      <c r="G2077" t="s">
        <v>112</v>
      </c>
      <c r="J2077" t="s">
        <v>113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R2077" t="s">
        <v>114</v>
      </c>
      <c r="S2077" t="str">
        <f>"19:09:27.477"</f>
        <v>19:09:27.477</v>
      </c>
      <c r="T2077" t="str">
        <f>"19:09:26.977"</f>
        <v>19:09:26.977</v>
      </c>
      <c r="U2077" t="str">
        <f t="shared" si="97"/>
        <v>a1cdbe</v>
      </c>
      <c r="V2077">
        <v>0</v>
      </c>
      <c r="W2077">
        <v>0</v>
      </c>
      <c r="X2077">
        <v>1</v>
      </c>
      <c r="Y2077">
        <v>0</v>
      </c>
      <c r="Z2077">
        <v>0</v>
      </c>
      <c r="AB2077">
        <v>0</v>
      </c>
      <c r="AC2077">
        <v>9</v>
      </c>
      <c r="AD2077">
        <v>3</v>
      </c>
      <c r="AE2077">
        <v>0</v>
      </c>
      <c r="AF2077">
        <v>9</v>
      </c>
      <c r="AG2077" t="s">
        <v>158</v>
      </c>
      <c r="AH2077">
        <v>0</v>
      </c>
      <c r="AI2077">
        <v>3</v>
      </c>
      <c r="AJ2077">
        <v>1</v>
      </c>
      <c r="AK2077">
        <v>0</v>
      </c>
      <c r="AL2077" t="s">
        <v>3911</v>
      </c>
      <c r="AM2077">
        <v>46.871302</v>
      </c>
      <c r="AN2077" t="s">
        <v>3912</v>
      </c>
      <c r="AO2077">
        <v>-123.071873</v>
      </c>
      <c r="AP2077">
        <v>100</v>
      </c>
      <c r="AQ2077">
        <v>2100</v>
      </c>
      <c r="AR2077" t="s">
        <v>118</v>
      </c>
      <c r="AS2077">
        <v>-77</v>
      </c>
      <c r="AT2077">
        <v>16</v>
      </c>
      <c r="AU2077">
        <v>128</v>
      </c>
      <c r="BC2077">
        <v>1200</v>
      </c>
      <c r="BD2077">
        <v>1</v>
      </c>
      <c r="BE2077" t="str">
        <f t="shared" si="98"/>
        <v xml:space="preserve">N215T   </v>
      </c>
      <c r="BF2077">
        <v>1</v>
      </c>
      <c r="BH2077">
        <v>0</v>
      </c>
      <c r="BI2077">
        <v>0</v>
      </c>
      <c r="BJ2077">
        <v>0</v>
      </c>
      <c r="BK2077">
        <v>2450</v>
      </c>
      <c r="BL2077">
        <v>350</v>
      </c>
      <c r="BM2077" t="s">
        <v>119</v>
      </c>
      <c r="BN2077">
        <v>1</v>
      </c>
      <c r="BO2077">
        <v>1</v>
      </c>
      <c r="BP2077">
        <v>1</v>
      </c>
      <c r="BQ2077">
        <v>0</v>
      </c>
      <c r="BT2077">
        <v>0</v>
      </c>
      <c r="BU2077">
        <v>0</v>
      </c>
      <c r="BV2077">
        <v>0</v>
      </c>
      <c r="CC2077" t="str">
        <f>"19:09:27.484"</f>
        <v>19:09:27.484</v>
      </c>
      <c r="CD2077" t="str">
        <f>"483365607"</f>
        <v>483365607</v>
      </c>
      <c r="CQ2077">
        <v>0</v>
      </c>
      <c r="CR2077">
        <v>2</v>
      </c>
      <c r="CS2077">
        <v>0</v>
      </c>
      <c r="CT2077">
        <v>2</v>
      </c>
      <c r="CU2077">
        <v>0</v>
      </c>
      <c r="CV2077">
        <v>7</v>
      </c>
      <c r="CW2077" t="s">
        <v>120</v>
      </c>
      <c r="CX2077">
        <v>261</v>
      </c>
      <c r="CY2077">
        <v>2</v>
      </c>
      <c r="CZ2077" t="s">
        <v>121</v>
      </c>
      <c r="DA2077" t="s">
        <v>122</v>
      </c>
      <c r="DD2077">
        <v>15501721</v>
      </c>
      <c r="DE2077" t="s">
        <v>123</v>
      </c>
    </row>
    <row r="2078" spans="1:109" x14ac:dyDescent="0.3">
      <c r="A2078" t="str">
        <f>"19:09:28.625"</f>
        <v>19:09:28.625</v>
      </c>
      <c r="B2078" t="s">
        <v>110</v>
      </c>
      <c r="C2078" t="str">
        <f t="shared" si="96"/>
        <v>ffdfd3c0</v>
      </c>
      <c r="D2078" t="s">
        <v>111</v>
      </c>
      <c r="E2078">
        <v>18</v>
      </c>
      <c r="F2078">
        <v>1018</v>
      </c>
      <c r="G2078" t="s">
        <v>112</v>
      </c>
      <c r="J2078" t="s">
        <v>113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R2078" t="s">
        <v>114</v>
      </c>
      <c r="S2078" t="str">
        <f>"19:09:28.406"</f>
        <v>19:09:28.406</v>
      </c>
      <c r="T2078" t="str">
        <f>"19:09:28.109"</f>
        <v>19:09:28.109</v>
      </c>
      <c r="U2078" t="str">
        <f t="shared" si="97"/>
        <v>a1cdbe</v>
      </c>
      <c r="V2078">
        <v>0</v>
      </c>
      <c r="W2078">
        <v>0</v>
      </c>
      <c r="X2078">
        <v>1</v>
      </c>
      <c r="Y2078">
        <v>0</v>
      </c>
      <c r="Z2078">
        <v>0</v>
      </c>
      <c r="AB2078">
        <v>0</v>
      </c>
      <c r="AC2078">
        <v>9</v>
      </c>
      <c r="AD2078">
        <v>3</v>
      </c>
      <c r="AE2078">
        <v>0</v>
      </c>
      <c r="AF2078">
        <v>9</v>
      </c>
      <c r="AG2078" t="s">
        <v>158</v>
      </c>
      <c r="AH2078">
        <v>0</v>
      </c>
      <c r="AI2078">
        <v>3</v>
      </c>
      <c r="AJ2078">
        <v>1</v>
      </c>
      <c r="AK2078">
        <v>0</v>
      </c>
      <c r="AL2078" t="s">
        <v>3913</v>
      </c>
      <c r="AM2078">
        <v>46.871344999999998</v>
      </c>
      <c r="AN2078" t="s">
        <v>3914</v>
      </c>
      <c r="AO2078">
        <v>-123.07241</v>
      </c>
      <c r="AP2078">
        <v>100</v>
      </c>
      <c r="AQ2078">
        <v>2100</v>
      </c>
      <c r="AR2078" t="s">
        <v>118</v>
      </c>
      <c r="AS2078">
        <v>-77</v>
      </c>
      <c r="AT2078">
        <v>15</v>
      </c>
      <c r="AU2078">
        <v>128</v>
      </c>
      <c r="BC2078">
        <v>1200</v>
      </c>
      <c r="BD2078">
        <v>1</v>
      </c>
      <c r="BE2078" t="str">
        <f t="shared" si="98"/>
        <v xml:space="preserve">N215T   </v>
      </c>
      <c r="BF2078">
        <v>1</v>
      </c>
      <c r="BH2078">
        <v>0</v>
      </c>
      <c r="BI2078">
        <v>0</v>
      </c>
      <c r="BJ2078">
        <v>0</v>
      </c>
      <c r="BK2078">
        <v>2475</v>
      </c>
      <c r="BL2078">
        <v>375</v>
      </c>
      <c r="BM2078" t="s">
        <v>119</v>
      </c>
      <c r="BN2078">
        <v>1</v>
      </c>
      <c r="BO2078">
        <v>1</v>
      </c>
      <c r="BP2078">
        <v>1</v>
      </c>
      <c r="BQ2078">
        <v>0</v>
      </c>
      <c r="BT2078">
        <v>0</v>
      </c>
      <c r="BU2078">
        <v>0</v>
      </c>
      <c r="BV2078">
        <v>0</v>
      </c>
      <c r="CC2078" t="str">
        <f>"19:09:28.414"</f>
        <v>19:09:28.414</v>
      </c>
      <c r="CD2078" t="str">
        <f>"413274028"</f>
        <v>413274028</v>
      </c>
      <c r="CQ2078">
        <v>0</v>
      </c>
      <c r="CR2078">
        <v>2</v>
      </c>
      <c r="CS2078">
        <v>0</v>
      </c>
      <c r="CT2078">
        <v>2</v>
      </c>
      <c r="CU2078">
        <v>0</v>
      </c>
      <c r="CV2078">
        <v>7</v>
      </c>
      <c r="CW2078" t="s">
        <v>120</v>
      </c>
      <c r="CX2078">
        <v>261</v>
      </c>
      <c r="CY2078">
        <v>2</v>
      </c>
      <c r="CZ2078" t="s">
        <v>121</v>
      </c>
      <c r="DA2078" t="s">
        <v>122</v>
      </c>
      <c r="DD2078">
        <v>15502333</v>
      </c>
      <c r="DE2078" t="s">
        <v>123</v>
      </c>
    </row>
    <row r="2079" spans="1:109" x14ac:dyDescent="0.3">
      <c r="A2079" t="str">
        <f>"19:09:29.781"</f>
        <v>19:09:29.781</v>
      </c>
      <c r="B2079" t="s">
        <v>110</v>
      </c>
      <c r="C2079" t="str">
        <f t="shared" si="96"/>
        <v>ffdfd3c0</v>
      </c>
      <c r="D2079" t="s">
        <v>111</v>
      </c>
      <c r="E2079">
        <v>18</v>
      </c>
      <c r="F2079">
        <v>1018</v>
      </c>
      <c r="G2079" t="s">
        <v>112</v>
      </c>
      <c r="J2079" t="s">
        <v>113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R2079" t="s">
        <v>114</v>
      </c>
      <c r="S2079" t="str">
        <f>"19:09:29.531"</f>
        <v>19:09:29.531</v>
      </c>
      <c r="T2079" t="str">
        <f>"19:09:29.133"</f>
        <v>19:09:29.133</v>
      </c>
      <c r="U2079" t="str">
        <f t="shared" si="97"/>
        <v>a1cdbe</v>
      </c>
      <c r="V2079">
        <v>0</v>
      </c>
      <c r="W2079">
        <v>0</v>
      </c>
      <c r="X2079">
        <v>1</v>
      </c>
      <c r="Y2079">
        <v>0</v>
      </c>
      <c r="Z2079">
        <v>0</v>
      </c>
      <c r="AB2079">
        <v>0</v>
      </c>
      <c r="AC2079">
        <v>9</v>
      </c>
      <c r="AD2079">
        <v>3</v>
      </c>
      <c r="AE2079">
        <v>0</v>
      </c>
      <c r="AF2079">
        <v>9</v>
      </c>
      <c r="AG2079" t="s">
        <v>158</v>
      </c>
      <c r="AH2079">
        <v>0</v>
      </c>
      <c r="AI2079">
        <v>3</v>
      </c>
      <c r="AJ2079">
        <v>1</v>
      </c>
      <c r="AK2079">
        <v>0</v>
      </c>
      <c r="AL2079" t="s">
        <v>3915</v>
      </c>
      <c r="AM2079">
        <v>46.871451999999998</v>
      </c>
      <c r="AN2079" t="s">
        <v>3916</v>
      </c>
      <c r="AO2079">
        <v>-123.072925</v>
      </c>
      <c r="AP2079">
        <v>100</v>
      </c>
      <c r="AQ2079">
        <v>2100</v>
      </c>
      <c r="AR2079" t="s">
        <v>118</v>
      </c>
      <c r="AS2079">
        <v>-77</v>
      </c>
      <c r="AT2079">
        <v>15</v>
      </c>
      <c r="AU2079">
        <v>64</v>
      </c>
      <c r="BC2079">
        <v>1200</v>
      </c>
      <c r="BD2079">
        <v>1</v>
      </c>
      <c r="BE2079" t="str">
        <f t="shared" si="98"/>
        <v xml:space="preserve">N215T   </v>
      </c>
      <c r="BF2079">
        <v>1</v>
      </c>
      <c r="BH2079">
        <v>0</v>
      </c>
      <c r="BI2079">
        <v>0</v>
      </c>
      <c r="BJ2079">
        <v>0</v>
      </c>
      <c r="BK2079">
        <v>2450</v>
      </c>
      <c r="BL2079">
        <v>350</v>
      </c>
      <c r="BM2079" t="s">
        <v>119</v>
      </c>
      <c r="BN2079">
        <v>1</v>
      </c>
      <c r="BO2079">
        <v>1</v>
      </c>
      <c r="BP2079">
        <v>1</v>
      </c>
      <c r="BQ2079">
        <v>0</v>
      </c>
      <c r="BT2079">
        <v>0</v>
      </c>
      <c r="BU2079">
        <v>0</v>
      </c>
      <c r="BV2079">
        <v>0</v>
      </c>
      <c r="CC2079" t="str">
        <f>"19:09:29.539"</f>
        <v>19:09:29.539</v>
      </c>
      <c r="CD2079" t="str">
        <f>"538163233"</f>
        <v>538163233</v>
      </c>
      <c r="CQ2079">
        <v>0</v>
      </c>
      <c r="CR2079">
        <v>2</v>
      </c>
      <c r="CS2079">
        <v>0</v>
      </c>
      <c r="CT2079">
        <v>2</v>
      </c>
      <c r="CU2079">
        <v>0</v>
      </c>
      <c r="CV2079">
        <v>7</v>
      </c>
      <c r="CW2079" t="s">
        <v>120</v>
      </c>
      <c r="CX2079">
        <v>261</v>
      </c>
      <c r="CY2079">
        <v>2</v>
      </c>
      <c r="CZ2079" t="s">
        <v>121</v>
      </c>
      <c r="DA2079" t="s">
        <v>122</v>
      </c>
      <c r="DD2079">
        <v>15503172</v>
      </c>
      <c r="DE2079" t="s">
        <v>123</v>
      </c>
    </row>
    <row r="2080" spans="1:109" x14ac:dyDescent="0.3">
      <c r="A2080" t="str">
        <f>"19:09:30.641"</f>
        <v>19:09:30.641</v>
      </c>
      <c r="B2080" t="s">
        <v>110</v>
      </c>
      <c r="C2080" t="str">
        <f t="shared" si="96"/>
        <v>ffdfd3c0</v>
      </c>
      <c r="D2080" t="s">
        <v>111</v>
      </c>
      <c r="E2080">
        <v>18</v>
      </c>
      <c r="F2080">
        <v>1018</v>
      </c>
      <c r="G2080" t="s">
        <v>112</v>
      </c>
      <c r="J2080" t="s">
        <v>113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R2080" t="s">
        <v>114</v>
      </c>
      <c r="S2080" t="str">
        <f>"19:09:30.391"</f>
        <v>19:09:30.391</v>
      </c>
      <c r="T2080" t="str">
        <f>"19:09:30.188"</f>
        <v>19:09:30.188</v>
      </c>
      <c r="U2080" t="str">
        <f t="shared" si="97"/>
        <v>a1cdbe</v>
      </c>
      <c r="V2080">
        <v>0</v>
      </c>
      <c r="W2080">
        <v>0</v>
      </c>
      <c r="X2080">
        <v>1</v>
      </c>
      <c r="Y2080">
        <v>0</v>
      </c>
      <c r="Z2080">
        <v>0</v>
      </c>
      <c r="AB2080">
        <v>0</v>
      </c>
      <c r="AC2080">
        <v>9</v>
      </c>
      <c r="AD2080">
        <v>3</v>
      </c>
      <c r="AE2080">
        <v>0</v>
      </c>
      <c r="AF2080">
        <v>9</v>
      </c>
      <c r="AG2080" t="s">
        <v>158</v>
      </c>
      <c r="AH2080">
        <v>0</v>
      </c>
      <c r="AI2080">
        <v>3</v>
      </c>
      <c r="AJ2080">
        <v>1</v>
      </c>
      <c r="AK2080">
        <v>0</v>
      </c>
      <c r="AL2080" t="s">
        <v>3917</v>
      </c>
      <c r="AM2080">
        <v>46.871473999999999</v>
      </c>
      <c r="AN2080" t="s">
        <v>3918</v>
      </c>
      <c r="AO2080">
        <v>-123.073375</v>
      </c>
      <c r="AP2080">
        <v>100</v>
      </c>
      <c r="AQ2080">
        <v>2100</v>
      </c>
      <c r="AR2080" t="s">
        <v>118</v>
      </c>
      <c r="AS2080">
        <v>-77</v>
      </c>
      <c r="AT2080">
        <v>16</v>
      </c>
      <c r="AU2080">
        <v>64</v>
      </c>
      <c r="BC2080">
        <v>1200</v>
      </c>
      <c r="BD2080">
        <v>1</v>
      </c>
      <c r="BE2080" t="str">
        <f t="shared" si="98"/>
        <v xml:space="preserve">N215T   </v>
      </c>
      <c r="BF2080">
        <v>1</v>
      </c>
      <c r="BH2080">
        <v>0</v>
      </c>
      <c r="BI2080">
        <v>0</v>
      </c>
      <c r="BJ2080">
        <v>0</v>
      </c>
      <c r="BK2080">
        <v>2450</v>
      </c>
      <c r="BL2080">
        <v>350</v>
      </c>
      <c r="BM2080" t="s">
        <v>119</v>
      </c>
      <c r="BN2080">
        <v>1</v>
      </c>
      <c r="BO2080">
        <v>1</v>
      </c>
      <c r="BP2080">
        <v>1</v>
      </c>
      <c r="BQ2080">
        <v>0</v>
      </c>
      <c r="BT2080">
        <v>0</v>
      </c>
      <c r="BU2080">
        <v>0</v>
      </c>
      <c r="BV2080">
        <v>0</v>
      </c>
      <c r="CC2080" t="str">
        <f>"19:09:30.391"</f>
        <v>19:09:30.391</v>
      </c>
      <c r="CD2080" t="str">
        <f>"393079040"</f>
        <v>393079040</v>
      </c>
      <c r="CQ2080">
        <v>0</v>
      </c>
      <c r="CR2080">
        <v>2</v>
      </c>
      <c r="CS2080">
        <v>0</v>
      </c>
      <c r="CT2080">
        <v>2</v>
      </c>
      <c r="CU2080">
        <v>0</v>
      </c>
      <c r="CV2080">
        <v>7</v>
      </c>
      <c r="CW2080" t="s">
        <v>120</v>
      </c>
      <c r="CX2080">
        <v>261</v>
      </c>
      <c r="CY2080">
        <v>2</v>
      </c>
      <c r="CZ2080" t="s">
        <v>121</v>
      </c>
      <c r="DA2080" t="s">
        <v>122</v>
      </c>
      <c r="DD2080">
        <v>15503764</v>
      </c>
      <c r="DE2080" t="s">
        <v>123</v>
      </c>
    </row>
    <row r="2081" spans="1:109" x14ac:dyDescent="0.3">
      <c r="A2081" t="str">
        <f>"19:09:31.742"</f>
        <v>19:09:31.742</v>
      </c>
      <c r="B2081" t="s">
        <v>110</v>
      </c>
      <c r="C2081" t="str">
        <f t="shared" si="96"/>
        <v>ffdfd3c0</v>
      </c>
      <c r="D2081" t="s">
        <v>111</v>
      </c>
      <c r="E2081">
        <v>18</v>
      </c>
      <c r="F2081">
        <v>1018</v>
      </c>
      <c r="G2081" t="s">
        <v>112</v>
      </c>
      <c r="J2081" t="s">
        <v>113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R2081" t="s">
        <v>114</v>
      </c>
      <c r="S2081" t="str">
        <f>"19:09:31.531"</f>
        <v>19:09:31.531</v>
      </c>
      <c r="T2081" t="str">
        <f>"19:09:31.234"</f>
        <v>19:09:31.234</v>
      </c>
      <c r="U2081" t="str">
        <f t="shared" si="97"/>
        <v>a1cdbe</v>
      </c>
      <c r="V2081">
        <v>0</v>
      </c>
      <c r="W2081">
        <v>0</v>
      </c>
      <c r="X2081">
        <v>1</v>
      </c>
      <c r="Y2081">
        <v>0</v>
      </c>
      <c r="Z2081">
        <v>0</v>
      </c>
      <c r="AB2081">
        <v>0</v>
      </c>
      <c r="AC2081">
        <v>9</v>
      </c>
      <c r="AD2081">
        <v>3</v>
      </c>
      <c r="AE2081">
        <v>0</v>
      </c>
      <c r="AF2081">
        <v>9</v>
      </c>
      <c r="AG2081" t="s">
        <v>158</v>
      </c>
      <c r="AH2081">
        <v>0</v>
      </c>
      <c r="AI2081">
        <v>3</v>
      </c>
      <c r="AJ2081">
        <v>1</v>
      </c>
      <c r="AK2081">
        <v>0</v>
      </c>
      <c r="AL2081" t="s">
        <v>3919</v>
      </c>
      <c r="AM2081">
        <v>46.871580999999999</v>
      </c>
      <c r="AN2081" t="s">
        <v>3920</v>
      </c>
      <c r="AO2081">
        <v>-123.07399700000001</v>
      </c>
      <c r="AP2081">
        <v>100</v>
      </c>
      <c r="AQ2081">
        <v>2100</v>
      </c>
      <c r="AR2081" t="s">
        <v>118</v>
      </c>
      <c r="AS2081">
        <v>-77</v>
      </c>
      <c r="AT2081">
        <v>16</v>
      </c>
      <c r="AU2081">
        <v>64</v>
      </c>
      <c r="BC2081">
        <v>1200</v>
      </c>
      <c r="BD2081">
        <v>1</v>
      </c>
      <c r="BE2081" t="str">
        <f t="shared" si="98"/>
        <v xml:space="preserve">N215T   </v>
      </c>
      <c r="BF2081">
        <v>1</v>
      </c>
      <c r="BH2081">
        <v>0</v>
      </c>
      <c r="BI2081">
        <v>0</v>
      </c>
      <c r="BJ2081">
        <v>0</v>
      </c>
      <c r="BK2081">
        <v>2450</v>
      </c>
      <c r="BL2081">
        <v>350</v>
      </c>
      <c r="BM2081" t="s">
        <v>119</v>
      </c>
      <c r="BN2081">
        <v>1</v>
      </c>
      <c r="BO2081">
        <v>1</v>
      </c>
      <c r="BP2081">
        <v>1</v>
      </c>
      <c r="BQ2081">
        <v>0</v>
      </c>
      <c r="BT2081">
        <v>0</v>
      </c>
      <c r="BU2081">
        <v>0</v>
      </c>
      <c r="BV2081">
        <v>0</v>
      </c>
      <c r="CC2081" t="str">
        <f>"19:09:31.531"</f>
        <v>19:09:31.531</v>
      </c>
      <c r="CD2081" t="str">
        <f>"532966756"</f>
        <v>532966756</v>
      </c>
      <c r="CQ2081">
        <v>0</v>
      </c>
      <c r="CR2081">
        <v>2</v>
      </c>
      <c r="CS2081">
        <v>0</v>
      </c>
      <c r="CT2081">
        <v>2</v>
      </c>
      <c r="CU2081">
        <v>0</v>
      </c>
      <c r="CV2081">
        <v>7</v>
      </c>
      <c r="CW2081" t="s">
        <v>120</v>
      </c>
      <c r="CX2081">
        <v>261</v>
      </c>
      <c r="CY2081">
        <v>2</v>
      </c>
      <c r="CZ2081" t="s">
        <v>121</v>
      </c>
      <c r="DA2081" t="s">
        <v>122</v>
      </c>
      <c r="DD2081">
        <v>15504581</v>
      </c>
      <c r="DE2081" t="s">
        <v>123</v>
      </c>
    </row>
    <row r="2082" spans="1:109" x14ac:dyDescent="0.3">
      <c r="A2082" t="str">
        <f>"19:09:32.898"</f>
        <v>19:09:32.898</v>
      </c>
      <c r="B2082" t="s">
        <v>110</v>
      </c>
      <c r="C2082" t="str">
        <f t="shared" si="96"/>
        <v>ffdfd3c0</v>
      </c>
      <c r="D2082" t="s">
        <v>111</v>
      </c>
      <c r="E2082">
        <v>18</v>
      </c>
      <c r="F2082">
        <v>1018</v>
      </c>
      <c r="G2082" t="s">
        <v>112</v>
      </c>
      <c r="J2082" t="s">
        <v>113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R2082" t="s">
        <v>114</v>
      </c>
      <c r="S2082" t="str">
        <f>"19:09:32.625"</f>
        <v>19:09:32.625</v>
      </c>
      <c r="T2082" t="str">
        <f>"19:09:32.523"</f>
        <v>19:09:32.523</v>
      </c>
      <c r="U2082" t="str">
        <f t="shared" si="97"/>
        <v>a1cdbe</v>
      </c>
      <c r="V2082">
        <v>0</v>
      </c>
      <c r="W2082">
        <v>0</v>
      </c>
      <c r="X2082">
        <v>1</v>
      </c>
      <c r="Y2082">
        <v>0</v>
      </c>
      <c r="Z2082">
        <v>0</v>
      </c>
      <c r="AB2082">
        <v>0</v>
      </c>
      <c r="AC2082">
        <v>9</v>
      </c>
      <c r="AD2082">
        <v>3</v>
      </c>
      <c r="AE2082">
        <v>0</v>
      </c>
      <c r="AF2082">
        <v>9</v>
      </c>
      <c r="AG2082" t="s">
        <v>158</v>
      </c>
      <c r="AH2082">
        <v>0</v>
      </c>
      <c r="AI2082">
        <v>3</v>
      </c>
      <c r="AJ2082">
        <v>1</v>
      </c>
      <c r="AK2082">
        <v>0</v>
      </c>
      <c r="AL2082" t="s">
        <v>3921</v>
      </c>
      <c r="AM2082">
        <v>46.871623999999997</v>
      </c>
      <c r="AN2082" t="s">
        <v>3922</v>
      </c>
      <c r="AO2082">
        <v>-123.074555</v>
      </c>
      <c r="AP2082">
        <v>100</v>
      </c>
      <c r="AQ2082">
        <v>2100</v>
      </c>
      <c r="AR2082" t="s">
        <v>118</v>
      </c>
      <c r="AS2082">
        <v>-77</v>
      </c>
      <c r="AT2082">
        <v>16</v>
      </c>
      <c r="AU2082">
        <v>64</v>
      </c>
      <c r="BC2082">
        <v>1200</v>
      </c>
      <c r="BD2082">
        <v>1</v>
      </c>
      <c r="BE2082" t="str">
        <f t="shared" si="98"/>
        <v xml:space="preserve">N215T   </v>
      </c>
      <c r="BF2082">
        <v>1</v>
      </c>
      <c r="BH2082">
        <v>0</v>
      </c>
      <c r="BI2082">
        <v>0</v>
      </c>
      <c r="BJ2082">
        <v>0</v>
      </c>
      <c r="BK2082">
        <v>2450</v>
      </c>
      <c r="BL2082">
        <v>350</v>
      </c>
      <c r="BM2082" t="s">
        <v>119</v>
      </c>
      <c r="BN2082">
        <v>1</v>
      </c>
      <c r="BO2082">
        <v>1</v>
      </c>
      <c r="BP2082">
        <v>1</v>
      </c>
      <c r="BQ2082">
        <v>0</v>
      </c>
      <c r="BT2082">
        <v>0</v>
      </c>
      <c r="BU2082">
        <v>0</v>
      </c>
      <c r="BV2082">
        <v>0</v>
      </c>
      <c r="CC2082" t="str">
        <f>"19:09:32.625"</f>
        <v>19:09:32.625</v>
      </c>
      <c r="CD2082" t="str">
        <f>"627858922"</f>
        <v>627858922</v>
      </c>
      <c r="CQ2082">
        <v>0</v>
      </c>
      <c r="CR2082">
        <v>2</v>
      </c>
      <c r="CS2082">
        <v>0</v>
      </c>
      <c r="CT2082">
        <v>2</v>
      </c>
      <c r="CU2082">
        <v>0</v>
      </c>
      <c r="CV2082">
        <v>7</v>
      </c>
      <c r="CW2082" t="s">
        <v>120</v>
      </c>
      <c r="CX2082">
        <v>261</v>
      </c>
      <c r="CY2082">
        <v>2</v>
      </c>
      <c r="CZ2082" t="s">
        <v>121</v>
      </c>
      <c r="DA2082" t="s">
        <v>122</v>
      </c>
      <c r="DD2082">
        <v>15505358</v>
      </c>
      <c r="DE2082" t="s">
        <v>123</v>
      </c>
    </row>
    <row r="2083" spans="1:109" x14ac:dyDescent="0.3">
      <c r="A2083" t="str">
        <f>"19:09:33.750"</f>
        <v>19:09:33.750</v>
      </c>
      <c r="B2083" t="s">
        <v>110</v>
      </c>
      <c r="C2083" t="str">
        <f t="shared" si="96"/>
        <v>ffdfd3c0</v>
      </c>
      <c r="D2083" t="s">
        <v>111</v>
      </c>
      <c r="E2083">
        <v>18</v>
      </c>
      <c r="F2083">
        <v>1018</v>
      </c>
      <c r="G2083" t="s">
        <v>112</v>
      </c>
      <c r="J2083" t="s">
        <v>113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R2083" t="s">
        <v>114</v>
      </c>
      <c r="S2083" t="str">
        <f>"19:09:33.539"</f>
        <v>19:09:33.539</v>
      </c>
      <c r="T2083" t="str">
        <f>"19:09:33.141"</f>
        <v>19:09:33.141</v>
      </c>
      <c r="U2083" t="str">
        <f t="shared" si="97"/>
        <v>a1cdbe</v>
      </c>
      <c r="V2083">
        <v>0</v>
      </c>
      <c r="W2083">
        <v>0</v>
      </c>
      <c r="X2083">
        <v>1</v>
      </c>
      <c r="Y2083">
        <v>0</v>
      </c>
      <c r="Z2083">
        <v>0</v>
      </c>
      <c r="AB2083">
        <v>0</v>
      </c>
      <c r="AC2083">
        <v>9</v>
      </c>
      <c r="AD2083">
        <v>3</v>
      </c>
      <c r="AE2083">
        <v>0</v>
      </c>
      <c r="AF2083">
        <v>9</v>
      </c>
      <c r="AG2083" t="s">
        <v>158</v>
      </c>
      <c r="AH2083">
        <v>0</v>
      </c>
      <c r="AI2083">
        <v>3</v>
      </c>
      <c r="AJ2083">
        <v>1</v>
      </c>
      <c r="AK2083">
        <v>0</v>
      </c>
      <c r="AL2083" t="s">
        <v>1608</v>
      </c>
      <c r="AM2083">
        <v>46.871730999999997</v>
      </c>
      <c r="AN2083" t="s">
        <v>3923</v>
      </c>
      <c r="AO2083">
        <v>-123.07504900000001</v>
      </c>
      <c r="AP2083">
        <v>100</v>
      </c>
      <c r="AQ2083">
        <v>2100</v>
      </c>
      <c r="AR2083" t="s">
        <v>118</v>
      </c>
      <c r="AS2083">
        <v>-77</v>
      </c>
      <c r="AT2083">
        <v>16</v>
      </c>
      <c r="AU2083">
        <v>0</v>
      </c>
      <c r="BC2083">
        <v>1200</v>
      </c>
      <c r="BD2083">
        <v>1</v>
      </c>
      <c r="BE2083" t="str">
        <f t="shared" si="98"/>
        <v xml:space="preserve">N215T   </v>
      </c>
      <c r="BF2083">
        <v>1</v>
      </c>
      <c r="BH2083">
        <v>0</v>
      </c>
      <c r="BI2083">
        <v>0</v>
      </c>
      <c r="BJ2083">
        <v>0</v>
      </c>
      <c r="BK2083">
        <v>2475</v>
      </c>
      <c r="BL2083">
        <v>375</v>
      </c>
      <c r="BM2083" t="s">
        <v>119</v>
      </c>
      <c r="BN2083">
        <v>1</v>
      </c>
      <c r="BO2083">
        <v>1</v>
      </c>
      <c r="BP2083">
        <v>1</v>
      </c>
      <c r="BQ2083">
        <v>0</v>
      </c>
      <c r="BT2083">
        <v>0</v>
      </c>
      <c r="BU2083">
        <v>0</v>
      </c>
      <c r="BV2083">
        <v>0</v>
      </c>
      <c r="CC2083" t="str">
        <f>"19:09:33.539"</f>
        <v>19:09:33.539</v>
      </c>
      <c r="CD2083" t="str">
        <f>"542768818"</f>
        <v>542768818</v>
      </c>
      <c r="CQ2083">
        <v>0</v>
      </c>
      <c r="CR2083">
        <v>2</v>
      </c>
      <c r="CS2083">
        <v>0</v>
      </c>
      <c r="CT2083">
        <v>2</v>
      </c>
      <c r="CU2083">
        <v>0</v>
      </c>
      <c r="CV2083">
        <v>7</v>
      </c>
      <c r="CW2083" t="s">
        <v>120</v>
      </c>
      <c r="CX2083">
        <v>261</v>
      </c>
      <c r="CY2083">
        <v>2</v>
      </c>
      <c r="CZ2083" t="s">
        <v>121</v>
      </c>
      <c r="DA2083" t="s">
        <v>122</v>
      </c>
      <c r="DD2083">
        <v>15505987</v>
      </c>
      <c r="DE2083" t="s">
        <v>123</v>
      </c>
    </row>
    <row r="2084" spans="1:109" x14ac:dyDescent="0.3">
      <c r="A2084" t="str">
        <f>"19:09:34.758"</f>
        <v>19:09:34.758</v>
      </c>
      <c r="B2084" t="s">
        <v>110</v>
      </c>
      <c r="C2084" t="str">
        <f t="shared" si="96"/>
        <v>ffdfd3c0</v>
      </c>
      <c r="D2084" t="s">
        <v>111</v>
      </c>
      <c r="E2084">
        <v>18</v>
      </c>
      <c r="F2084">
        <v>1018</v>
      </c>
      <c r="G2084" t="s">
        <v>112</v>
      </c>
      <c r="J2084" t="s">
        <v>113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R2084" t="s">
        <v>114</v>
      </c>
      <c r="S2084" t="str">
        <f>"19:09:34.484"</f>
        <v>19:09:34.484</v>
      </c>
      <c r="T2084" t="str">
        <f>"19:09:34.383"</f>
        <v>19:09:34.383</v>
      </c>
      <c r="U2084" t="str">
        <f t="shared" si="97"/>
        <v>a1cdbe</v>
      </c>
      <c r="V2084">
        <v>0</v>
      </c>
      <c r="W2084">
        <v>0</v>
      </c>
      <c r="X2084">
        <v>1</v>
      </c>
      <c r="Y2084">
        <v>0</v>
      </c>
      <c r="Z2084">
        <v>0</v>
      </c>
      <c r="AB2084">
        <v>0</v>
      </c>
      <c r="AC2084">
        <v>9</v>
      </c>
      <c r="AD2084">
        <v>3</v>
      </c>
      <c r="AE2084">
        <v>0</v>
      </c>
      <c r="AF2084">
        <v>9</v>
      </c>
      <c r="AG2084" t="s">
        <v>158</v>
      </c>
      <c r="AH2084">
        <v>0</v>
      </c>
      <c r="AI2084">
        <v>3</v>
      </c>
      <c r="AJ2084">
        <v>1</v>
      </c>
      <c r="AK2084">
        <v>0</v>
      </c>
      <c r="AL2084" t="s">
        <v>3924</v>
      </c>
      <c r="AM2084">
        <v>46.871796000000003</v>
      </c>
      <c r="AN2084" t="s">
        <v>3925</v>
      </c>
      <c r="AO2084">
        <v>-123.07550000000001</v>
      </c>
      <c r="AP2084">
        <v>100</v>
      </c>
      <c r="AQ2084">
        <v>2100</v>
      </c>
      <c r="AR2084" t="s">
        <v>118</v>
      </c>
      <c r="AS2084">
        <v>-77</v>
      </c>
      <c r="AT2084">
        <v>16</v>
      </c>
      <c r="AU2084">
        <v>0</v>
      </c>
      <c r="BC2084">
        <v>1200</v>
      </c>
      <c r="BD2084">
        <v>1</v>
      </c>
      <c r="BE2084" t="str">
        <f t="shared" si="98"/>
        <v xml:space="preserve">N215T   </v>
      </c>
      <c r="BF2084">
        <v>1</v>
      </c>
      <c r="BH2084">
        <v>0</v>
      </c>
      <c r="BI2084">
        <v>0</v>
      </c>
      <c r="BJ2084">
        <v>0</v>
      </c>
      <c r="BK2084">
        <v>2450</v>
      </c>
      <c r="BL2084">
        <v>350</v>
      </c>
      <c r="BM2084" t="s">
        <v>119</v>
      </c>
      <c r="BN2084">
        <v>1</v>
      </c>
      <c r="BO2084">
        <v>1</v>
      </c>
      <c r="BP2084">
        <v>1</v>
      </c>
      <c r="BQ2084">
        <v>0</v>
      </c>
      <c r="BT2084">
        <v>0</v>
      </c>
      <c r="BU2084">
        <v>0</v>
      </c>
      <c r="BV2084">
        <v>0</v>
      </c>
      <c r="CC2084" t="str">
        <f>"19:09:34.484"</f>
        <v>19:09:34.484</v>
      </c>
      <c r="CD2084" t="str">
        <f>"487682834"</f>
        <v>487682834</v>
      </c>
      <c r="CQ2084">
        <v>0</v>
      </c>
      <c r="CR2084">
        <v>2</v>
      </c>
      <c r="CS2084">
        <v>0</v>
      </c>
      <c r="CT2084">
        <v>2</v>
      </c>
      <c r="CU2084">
        <v>0</v>
      </c>
      <c r="CV2084">
        <v>4</v>
      </c>
      <c r="CW2084" t="s">
        <v>120</v>
      </c>
      <c r="CX2084">
        <v>257</v>
      </c>
      <c r="CY2084">
        <v>1</v>
      </c>
      <c r="CZ2084" t="s">
        <v>615</v>
      </c>
      <c r="DA2084" t="s">
        <v>616</v>
      </c>
      <c r="DD2084">
        <v>11932427</v>
      </c>
      <c r="DE2084" t="s">
        <v>123</v>
      </c>
    </row>
    <row r="2085" spans="1:109" x14ac:dyDescent="0.3">
      <c r="A2085" t="str">
        <f>"19:09:35.563"</f>
        <v>19:09:35.563</v>
      </c>
      <c r="B2085" t="s">
        <v>110</v>
      </c>
      <c r="C2085" t="str">
        <f t="shared" si="96"/>
        <v>ffdfd3c0</v>
      </c>
      <c r="D2085" t="s">
        <v>111</v>
      </c>
      <c r="E2085">
        <v>18</v>
      </c>
      <c r="F2085">
        <v>1018</v>
      </c>
      <c r="G2085" t="s">
        <v>112</v>
      </c>
      <c r="J2085" t="s">
        <v>113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R2085" t="s">
        <v>114</v>
      </c>
      <c r="S2085" t="str">
        <f>"19:09:35.320"</f>
        <v>19:09:35.320</v>
      </c>
      <c r="T2085" t="str">
        <f>"19:09:35.023"</f>
        <v>19:09:35.023</v>
      </c>
      <c r="U2085" t="str">
        <f t="shared" si="97"/>
        <v>a1cdbe</v>
      </c>
      <c r="V2085">
        <v>0</v>
      </c>
      <c r="W2085">
        <v>0</v>
      </c>
      <c r="X2085">
        <v>1</v>
      </c>
      <c r="Y2085">
        <v>0</v>
      </c>
      <c r="Z2085">
        <v>0</v>
      </c>
      <c r="AB2085">
        <v>0</v>
      </c>
      <c r="AC2085">
        <v>9</v>
      </c>
      <c r="AD2085">
        <v>3</v>
      </c>
      <c r="AE2085">
        <v>0</v>
      </c>
      <c r="AF2085">
        <v>9</v>
      </c>
      <c r="AG2085" t="s">
        <v>158</v>
      </c>
      <c r="AH2085">
        <v>0</v>
      </c>
      <c r="AI2085">
        <v>3</v>
      </c>
      <c r="AJ2085">
        <v>1</v>
      </c>
      <c r="AK2085">
        <v>0</v>
      </c>
      <c r="AL2085" t="s">
        <v>3926</v>
      </c>
      <c r="AM2085">
        <v>46.871839000000001</v>
      </c>
      <c r="AN2085" t="s">
        <v>3927</v>
      </c>
      <c r="AO2085">
        <v>-123.075993</v>
      </c>
      <c r="AP2085">
        <v>100</v>
      </c>
      <c r="AQ2085">
        <v>2100</v>
      </c>
      <c r="AR2085" t="s">
        <v>118</v>
      </c>
      <c r="AS2085">
        <v>-77</v>
      </c>
      <c r="AT2085">
        <v>16</v>
      </c>
      <c r="AU2085">
        <v>0</v>
      </c>
      <c r="BC2085">
        <v>1200</v>
      </c>
      <c r="BD2085">
        <v>1</v>
      </c>
      <c r="BE2085" t="str">
        <f t="shared" si="98"/>
        <v xml:space="preserve">N215T   </v>
      </c>
      <c r="BF2085">
        <v>1</v>
      </c>
      <c r="BH2085">
        <v>0</v>
      </c>
      <c r="BI2085">
        <v>0</v>
      </c>
      <c r="BJ2085">
        <v>0</v>
      </c>
      <c r="BK2085">
        <v>2450</v>
      </c>
      <c r="BL2085">
        <v>350</v>
      </c>
      <c r="BM2085" t="s">
        <v>119</v>
      </c>
      <c r="BN2085">
        <v>1</v>
      </c>
      <c r="BO2085">
        <v>1</v>
      </c>
      <c r="BP2085">
        <v>1</v>
      </c>
      <c r="BQ2085">
        <v>0</v>
      </c>
      <c r="BT2085">
        <v>0</v>
      </c>
      <c r="BU2085">
        <v>0</v>
      </c>
      <c r="BV2085">
        <v>0</v>
      </c>
      <c r="CC2085" t="str">
        <f>"19:09:35.328"</f>
        <v>19:09:35.328</v>
      </c>
      <c r="CD2085" t="str">
        <f>"327593025"</f>
        <v>327593025</v>
      </c>
      <c r="CQ2085">
        <v>0</v>
      </c>
      <c r="CR2085">
        <v>2</v>
      </c>
      <c r="CS2085">
        <v>0</v>
      </c>
      <c r="CT2085">
        <v>2</v>
      </c>
      <c r="CU2085">
        <v>0</v>
      </c>
      <c r="CV2085">
        <v>7</v>
      </c>
      <c r="CW2085" t="s">
        <v>120</v>
      </c>
      <c r="CX2085">
        <v>261</v>
      </c>
      <c r="CY2085">
        <v>2</v>
      </c>
      <c r="CZ2085" t="s">
        <v>121</v>
      </c>
      <c r="DA2085" t="s">
        <v>122</v>
      </c>
      <c r="DD2085">
        <v>15507311</v>
      </c>
      <c r="DE2085" t="s">
        <v>123</v>
      </c>
    </row>
    <row r="2086" spans="1:109" x14ac:dyDescent="0.3">
      <c r="A2086" t="str">
        <f>"19:09:36.516"</f>
        <v>19:09:36.516</v>
      </c>
      <c r="B2086" t="s">
        <v>110</v>
      </c>
      <c r="C2086" t="str">
        <f t="shared" si="96"/>
        <v>ffdfd3c0</v>
      </c>
      <c r="D2086" t="s">
        <v>111</v>
      </c>
      <c r="E2086">
        <v>18</v>
      </c>
      <c r="F2086">
        <v>1018</v>
      </c>
      <c r="G2086" t="s">
        <v>112</v>
      </c>
      <c r="J2086" t="s">
        <v>113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R2086" t="s">
        <v>114</v>
      </c>
      <c r="S2086" t="str">
        <f>"19:09:36.281"</f>
        <v>19:09:36.281</v>
      </c>
      <c r="T2086" t="str">
        <f>"19:09:35.883"</f>
        <v>19:09:35.883</v>
      </c>
      <c r="U2086" t="str">
        <f t="shared" si="97"/>
        <v>a1cdbe</v>
      </c>
      <c r="V2086">
        <v>0</v>
      </c>
      <c r="W2086">
        <v>0</v>
      </c>
      <c r="X2086">
        <v>1</v>
      </c>
      <c r="Y2086">
        <v>0</v>
      </c>
      <c r="Z2086">
        <v>0</v>
      </c>
      <c r="AB2086">
        <v>0</v>
      </c>
      <c r="AC2086">
        <v>9</v>
      </c>
      <c r="AD2086">
        <v>3</v>
      </c>
      <c r="AE2086">
        <v>0</v>
      </c>
      <c r="AF2086">
        <v>9</v>
      </c>
      <c r="AG2086" t="s">
        <v>158</v>
      </c>
      <c r="AH2086">
        <v>0</v>
      </c>
      <c r="AI2086">
        <v>3</v>
      </c>
      <c r="AJ2086">
        <v>1</v>
      </c>
      <c r="AK2086">
        <v>0</v>
      </c>
      <c r="AL2086" t="s">
        <v>3928</v>
      </c>
      <c r="AM2086">
        <v>46.871903000000003</v>
      </c>
      <c r="AN2086" t="s">
        <v>3929</v>
      </c>
      <c r="AO2086">
        <v>-123.076444</v>
      </c>
      <c r="AP2086">
        <v>100</v>
      </c>
      <c r="AQ2086">
        <v>2100</v>
      </c>
      <c r="AR2086" t="s">
        <v>118</v>
      </c>
      <c r="AS2086">
        <v>-77</v>
      </c>
      <c r="AT2086">
        <v>16</v>
      </c>
      <c r="AU2086">
        <v>0</v>
      </c>
      <c r="BC2086">
        <v>1200</v>
      </c>
      <c r="BD2086">
        <v>1</v>
      </c>
      <c r="BE2086" t="str">
        <f t="shared" si="98"/>
        <v xml:space="preserve">N215T   </v>
      </c>
      <c r="BF2086">
        <v>1</v>
      </c>
      <c r="BH2086">
        <v>0</v>
      </c>
      <c r="BI2086">
        <v>0</v>
      </c>
      <c r="BJ2086">
        <v>0</v>
      </c>
      <c r="BK2086">
        <v>2475</v>
      </c>
      <c r="BL2086">
        <v>375</v>
      </c>
      <c r="BM2086" t="s">
        <v>119</v>
      </c>
      <c r="BN2086">
        <v>1</v>
      </c>
      <c r="BO2086">
        <v>1</v>
      </c>
      <c r="BP2086">
        <v>1</v>
      </c>
      <c r="BQ2086">
        <v>0</v>
      </c>
      <c r="BT2086">
        <v>0</v>
      </c>
      <c r="BU2086">
        <v>0</v>
      </c>
      <c r="BV2086">
        <v>0</v>
      </c>
      <c r="CC2086" t="str">
        <f>"19:09:36.289"</f>
        <v>19:09:36.289</v>
      </c>
      <c r="CD2086" t="str">
        <f>"287498486"</f>
        <v>287498486</v>
      </c>
      <c r="CQ2086">
        <v>0</v>
      </c>
      <c r="CR2086">
        <v>2</v>
      </c>
      <c r="CS2086">
        <v>0</v>
      </c>
      <c r="CT2086">
        <v>2</v>
      </c>
      <c r="CU2086">
        <v>0</v>
      </c>
      <c r="CV2086">
        <v>7</v>
      </c>
      <c r="CW2086" t="s">
        <v>120</v>
      </c>
      <c r="CX2086">
        <v>261</v>
      </c>
      <c r="CY2086">
        <v>2</v>
      </c>
      <c r="CZ2086" t="s">
        <v>121</v>
      </c>
      <c r="DA2086" t="s">
        <v>122</v>
      </c>
      <c r="DD2086">
        <v>15507983</v>
      </c>
      <c r="DE2086" t="s">
        <v>123</v>
      </c>
    </row>
    <row r="2087" spans="1:109" x14ac:dyDescent="0.3">
      <c r="A2087" t="str">
        <f>"19:09:37.625"</f>
        <v>19:09:37.625</v>
      </c>
      <c r="B2087" t="s">
        <v>110</v>
      </c>
      <c r="C2087" t="str">
        <f t="shared" si="96"/>
        <v>ffdfd3c0</v>
      </c>
      <c r="D2087" t="s">
        <v>111</v>
      </c>
      <c r="E2087">
        <v>18</v>
      </c>
      <c r="F2087">
        <v>1018</v>
      </c>
      <c r="G2087" t="s">
        <v>112</v>
      </c>
      <c r="J2087" t="s">
        <v>113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R2087" t="s">
        <v>114</v>
      </c>
      <c r="S2087" t="str">
        <f>"19:09:37.375"</f>
        <v>19:09:37.375</v>
      </c>
      <c r="T2087" t="str">
        <f>"19:09:36.875"</f>
        <v>19:09:36.875</v>
      </c>
      <c r="U2087" t="str">
        <f t="shared" si="97"/>
        <v>a1cdbe</v>
      </c>
      <c r="V2087">
        <v>0</v>
      </c>
      <c r="W2087">
        <v>0</v>
      </c>
      <c r="X2087">
        <v>1</v>
      </c>
      <c r="Y2087">
        <v>0</v>
      </c>
      <c r="Z2087">
        <v>0</v>
      </c>
      <c r="AB2087">
        <v>0</v>
      </c>
      <c r="AC2087">
        <v>9</v>
      </c>
      <c r="AD2087">
        <v>3</v>
      </c>
      <c r="AE2087">
        <v>0</v>
      </c>
      <c r="AF2087">
        <v>9</v>
      </c>
      <c r="AG2087" t="s">
        <v>158</v>
      </c>
      <c r="AH2087">
        <v>0</v>
      </c>
      <c r="AI2087">
        <v>3</v>
      </c>
      <c r="AJ2087">
        <v>1</v>
      </c>
      <c r="AK2087">
        <v>0</v>
      </c>
      <c r="AL2087" t="s">
        <v>1606</v>
      </c>
      <c r="AM2087">
        <v>46.872010000000003</v>
      </c>
      <c r="AN2087" t="s">
        <v>3930</v>
      </c>
      <c r="AO2087">
        <v>-123.077023</v>
      </c>
      <c r="AP2087">
        <v>100</v>
      </c>
      <c r="AQ2087">
        <v>2100</v>
      </c>
      <c r="AR2087" t="s">
        <v>118</v>
      </c>
      <c r="AS2087">
        <v>-77</v>
      </c>
      <c r="AT2087">
        <v>17</v>
      </c>
      <c r="AU2087">
        <v>0</v>
      </c>
      <c r="BC2087">
        <v>1200</v>
      </c>
      <c r="BD2087">
        <v>1</v>
      </c>
      <c r="BE2087" t="str">
        <f t="shared" si="98"/>
        <v xml:space="preserve">N215T   </v>
      </c>
      <c r="BF2087">
        <v>1</v>
      </c>
      <c r="BH2087">
        <v>0</v>
      </c>
      <c r="BI2087">
        <v>0</v>
      </c>
      <c r="BJ2087">
        <v>0</v>
      </c>
      <c r="BK2087">
        <v>2475</v>
      </c>
      <c r="BL2087">
        <v>375</v>
      </c>
      <c r="BM2087" t="s">
        <v>119</v>
      </c>
      <c r="BN2087">
        <v>1</v>
      </c>
      <c r="BO2087">
        <v>1</v>
      </c>
      <c r="BP2087">
        <v>1</v>
      </c>
      <c r="BQ2087">
        <v>0</v>
      </c>
      <c r="BT2087">
        <v>0</v>
      </c>
      <c r="BU2087">
        <v>0</v>
      </c>
      <c r="BV2087">
        <v>0</v>
      </c>
      <c r="CC2087" t="str">
        <f>"19:09:37.383"</f>
        <v>19:09:37.383</v>
      </c>
      <c r="CD2087" t="str">
        <f>"382390648"</f>
        <v>382390648</v>
      </c>
      <c r="CQ2087">
        <v>0</v>
      </c>
      <c r="CR2087">
        <v>2</v>
      </c>
      <c r="CS2087">
        <v>0</v>
      </c>
      <c r="CT2087">
        <v>2</v>
      </c>
      <c r="CU2087">
        <v>0</v>
      </c>
      <c r="CV2087">
        <v>7</v>
      </c>
      <c r="CW2087" t="s">
        <v>120</v>
      </c>
      <c r="CX2087">
        <v>261</v>
      </c>
      <c r="CY2087">
        <v>2</v>
      </c>
      <c r="CZ2087" t="s">
        <v>121</v>
      </c>
      <c r="DA2087" t="s">
        <v>122</v>
      </c>
      <c r="DD2087">
        <v>15508729</v>
      </c>
      <c r="DE2087" t="s">
        <v>123</v>
      </c>
    </row>
    <row r="2088" spans="1:109" x14ac:dyDescent="0.3">
      <c r="A2088" t="str">
        <f>"19:09:38.734"</f>
        <v>19:09:38.734</v>
      </c>
      <c r="B2088" t="s">
        <v>110</v>
      </c>
      <c r="C2088" t="str">
        <f t="shared" si="96"/>
        <v>ffdfd3c0</v>
      </c>
      <c r="D2088" t="s">
        <v>111</v>
      </c>
      <c r="E2088">
        <v>18</v>
      </c>
      <c r="F2088">
        <v>1018</v>
      </c>
      <c r="G2088" t="s">
        <v>112</v>
      </c>
      <c r="J2088" t="s">
        <v>113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R2088" t="s">
        <v>114</v>
      </c>
      <c r="S2088" t="str">
        <f>"19:09:38.477"</f>
        <v>19:09:38.477</v>
      </c>
      <c r="T2088" t="str">
        <f>"19:09:38.375"</f>
        <v>19:09:38.375</v>
      </c>
      <c r="U2088" t="str">
        <f t="shared" si="97"/>
        <v>a1cdbe</v>
      </c>
      <c r="V2088">
        <v>0</v>
      </c>
      <c r="W2088">
        <v>0</v>
      </c>
      <c r="X2088">
        <v>1</v>
      </c>
      <c r="Y2088">
        <v>0</v>
      </c>
      <c r="Z2088">
        <v>0</v>
      </c>
      <c r="AB2088">
        <v>0</v>
      </c>
      <c r="AC2088">
        <v>9</v>
      </c>
      <c r="AD2088">
        <v>3</v>
      </c>
      <c r="AE2088">
        <v>0</v>
      </c>
      <c r="AF2088">
        <v>9</v>
      </c>
      <c r="AG2088" t="s">
        <v>158</v>
      </c>
      <c r="AH2088">
        <v>0</v>
      </c>
      <c r="AI2088">
        <v>3</v>
      </c>
      <c r="AJ2088">
        <v>1</v>
      </c>
      <c r="AK2088">
        <v>0</v>
      </c>
      <c r="AL2088" t="s">
        <v>3931</v>
      </c>
      <c r="AM2088">
        <v>46.872118</v>
      </c>
      <c r="AN2088" t="s">
        <v>3932</v>
      </c>
      <c r="AO2088">
        <v>-123.07755899999999</v>
      </c>
      <c r="AP2088">
        <v>100</v>
      </c>
      <c r="AQ2088">
        <v>2100</v>
      </c>
      <c r="AR2088" t="s">
        <v>118</v>
      </c>
      <c r="AS2088">
        <v>-77</v>
      </c>
      <c r="AT2088">
        <v>17</v>
      </c>
      <c r="AU2088">
        <v>0</v>
      </c>
      <c r="BC2088">
        <v>1200</v>
      </c>
      <c r="BD2088">
        <v>1</v>
      </c>
      <c r="BE2088" t="str">
        <f t="shared" si="98"/>
        <v xml:space="preserve">N215T   </v>
      </c>
      <c r="BF2088">
        <v>1</v>
      </c>
      <c r="BH2088">
        <v>0</v>
      </c>
      <c r="BI2088">
        <v>0</v>
      </c>
      <c r="BJ2088">
        <v>0</v>
      </c>
      <c r="BK2088">
        <v>2475</v>
      </c>
      <c r="BL2088">
        <v>375</v>
      </c>
      <c r="BM2088" t="s">
        <v>119</v>
      </c>
      <c r="BN2088">
        <v>1</v>
      </c>
      <c r="BO2088">
        <v>1</v>
      </c>
      <c r="BP2088">
        <v>1</v>
      </c>
      <c r="BQ2088">
        <v>0</v>
      </c>
      <c r="BT2088">
        <v>0</v>
      </c>
      <c r="BU2088">
        <v>0</v>
      </c>
      <c r="BV2088">
        <v>0</v>
      </c>
      <c r="CC2088" t="str">
        <f>"19:09:38.477"</f>
        <v>19:09:38.477</v>
      </c>
      <c r="CD2088" t="str">
        <f>"477282814"</f>
        <v>477282814</v>
      </c>
      <c r="CQ2088">
        <v>0</v>
      </c>
      <c r="CR2088">
        <v>2</v>
      </c>
      <c r="CS2088">
        <v>0</v>
      </c>
      <c r="CT2088">
        <v>2</v>
      </c>
      <c r="CU2088">
        <v>0</v>
      </c>
      <c r="CV2088">
        <v>7</v>
      </c>
      <c r="CW2088" t="s">
        <v>120</v>
      </c>
      <c r="CX2088">
        <v>261</v>
      </c>
      <c r="CY2088">
        <v>2</v>
      </c>
      <c r="CZ2088" t="s">
        <v>121</v>
      </c>
      <c r="DA2088" t="s">
        <v>122</v>
      </c>
      <c r="DD2088">
        <v>15509463</v>
      </c>
      <c r="DE2088" t="s">
        <v>123</v>
      </c>
    </row>
    <row r="2089" spans="1:109" x14ac:dyDescent="0.3">
      <c r="A2089" t="str">
        <f>"19:09:39.633"</f>
        <v>19:09:39.633</v>
      </c>
      <c r="B2089" t="s">
        <v>110</v>
      </c>
      <c r="C2089" t="str">
        <f t="shared" si="96"/>
        <v>ffdfd3c0</v>
      </c>
      <c r="D2089" t="s">
        <v>111</v>
      </c>
      <c r="E2089">
        <v>18</v>
      </c>
      <c r="F2089">
        <v>1018</v>
      </c>
      <c r="G2089" t="s">
        <v>112</v>
      </c>
      <c r="J2089" t="s">
        <v>113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R2089" t="s">
        <v>114</v>
      </c>
      <c r="S2089" t="str">
        <f>"19:09:39.422"</f>
        <v>19:09:39.422</v>
      </c>
      <c r="T2089" t="str">
        <f>"19:09:38.922"</f>
        <v>19:09:38.922</v>
      </c>
      <c r="U2089" t="str">
        <f t="shared" si="97"/>
        <v>a1cdbe</v>
      </c>
      <c r="V2089">
        <v>0</v>
      </c>
      <c r="W2089">
        <v>0</v>
      </c>
      <c r="X2089">
        <v>1</v>
      </c>
      <c r="Y2089">
        <v>0</v>
      </c>
      <c r="Z2089">
        <v>0</v>
      </c>
      <c r="AB2089">
        <v>0</v>
      </c>
      <c r="AC2089">
        <v>9</v>
      </c>
      <c r="AD2089">
        <v>3</v>
      </c>
      <c r="AE2089">
        <v>0</v>
      </c>
      <c r="AF2089">
        <v>9</v>
      </c>
      <c r="AG2089" t="s">
        <v>158</v>
      </c>
      <c r="AH2089">
        <v>0</v>
      </c>
      <c r="AI2089">
        <v>3</v>
      </c>
      <c r="AJ2089">
        <v>1</v>
      </c>
      <c r="AK2089">
        <v>0</v>
      </c>
      <c r="AL2089" t="s">
        <v>3933</v>
      </c>
      <c r="AM2089">
        <v>46.872182000000002</v>
      </c>
      <c r="AN2089" t="s">
        <v>3934</v>
      </c>
      <c r="AO2089">
        <v>-123.078074</v>
      </c>
      <c r="AP2089">
        <v>100</v>
      </c>
      <c r="AQ2089">
        <v>2100</v>
      </c>
      <c r="AR2089" t="s">
        <v>118</v>
      </c>
      <c r="AS2089">
        <v>-77</v>
      </c>
      <c r="AT2089">
        <v>17</v>
      </c>
      <c r="AU2089">
        <v>0</v>
      </c>
      <c r="BC2089">
        <v>1200</v>
      </c>
      <c r="BD2089">
        <v>1</v>
      </c>
      <c r="BE2089" t="str">
        <f t="shared" si="98"/>
        <v xml:space="preserve">N215T   </v>
      </c>
      <c r="BF2089">
        <v>1</v>
      </c>
      <c r="BH2089">
        <v>0</v>
      </c>
      <c r="BI2089">
        <v>0</v>
      </c>
      <c r="BJ2089">
        <v>0</v>
      </c>
      <c r="BK2089">
        <v>2475</v>
      </c>
      <c r="BL2089">
        <v>375</v>
      </c>
      <c r="BM2089" t="s">
        <v>119</v>
      </c>
      <c r="BN2089">
        <v>1</v>
      </c>
      <c r="BO2089">
        <v>1</v>
      </c>
      <c r="BP2089">
        <v>1</v>
      </c>
      <c r="BQ2089">
        <v>0</v>
      </c>
      <c r="BT2089">
        <v>0</v>
      </c>
      <c r="BU2089">
        <v>0</v>
      </c>
      <c r="BV2089">
        <v>0</v>
      </c>
      <c r="CC2089" t="str">
        <f>"19:09:39.422"</f>
        <v>19:09:39.422</v>
      </c>
      <c r="CD2089" t="str">
        <f>"422189744"</f>
        <v>422189744</v>
      </c>
      <c r="CQ2089">
        <v>0</v>
      </c>
      <c r="CR2089">
        <v>2</v>
      </c>
      <c r="CS2089">
        <v>0</v>
      </c>
      <c r="CT2089">
        <v>2</v>
      </c>
      <c r="CU2089">
        <v>0</v>
      </c>
      <c r="CV2089">
        <v>7</v>
      </c>
      <c r="CW2089" t="s">
        <v>120</v>
      </c>
      <c r="CX2089">
        <v>261</v>
      </c>
      <c r="CY2089">
        <v>2</v>
      </c>
      <c r="CZ2089" t="s">
        <v>121</v>
      </c>
      <c r="DA2089" t="s">
        <v>122</v>
      </c>
      <c r="DD2089">
        <v>15510169</v>
      </c>
      <c r="DE2089" t="s">
        <v>123</v>
      </c>
    </row>
    <row r="2090" spans="1:109" x14ac:dyDescent="0.3">
      <c r="A2090" t="str">
        <f>"19:09:40.797"</f>
        <v>19:09:40.797</v>
      </c>
      <c r="B2090" t="s">
        <v>110</v>
      </c>
      <c r="C2090" t="str">
        <f t="shared" si="96"/>
        <v>ffdfd3c0</v>
      </c>
      <c r="D2090" t="s">
        <v>111</v>
      </c>
      <c r="E2090">
        <v>18</v>
      </c>
      <c r="F2090">
        <v>1018</v>
      </c>
      <c r="G2090" t="s">
        <v>112</v>
      </c>
      <c r="J2090" t="s">
        <v>113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R2090" t="s">
        <v>114</v>
      </c>
      <c r="S2090" t="str">
        <f>"19:09:40.570"</f>
        <v>19:09:40.570</v>
      </c>
      <c r="T2090" t="str">
        <f>"19:09:40.070"</f>
        <v>19:09:40.070</v>
      </c>
      <c r="U2090" t="str">
        <f t="shared" si="97"/>
        <v>a1cdbe</v>
      </c>
      <c r="V2090">
        <v>0</v>
      </c>
      <c r="W2090">
        <v>0</v>
      </c>
      <c r="X2090">
        <v>1</v>
      </c>
      <c r="Y2090">
        <v>0</v>
      </c>
      <c r="Z2090">
        <v>0</v>
      </c>
      <c r="AB2090">
        <v>0</v>
      </c>
      <c r="AC2090">
        <v>9</v>
      </c>
      <c r="AD2090">
        <v>3</v>
      </c>
      <c r="AE2090">
        <v>0</v>
      </c>
      <c r="AF2090">
        <v>9</v>
      </c>
      <c r="AG2090" t="s">
        <v>158</v>
      </c>
      <c r="AH2090">
        <v>0</v>
      </c>
      <c r="AI2090">
        <v>3</v>
      </c>
      <c r="AJ2090">
        <v>1</v>
      </c>
      <c r="AK2090">
        <v>0</v>
      </c>
      <c r="AL2090" t="s">
        <v>1604</v>
      </c>
      <c r="AM2090">
        <v>46.872289000000002</v>
      </c>
      <c r="AN2090" t="s">
        <v>3935</v>
      </c>
      <c r="AO2090">
        <v>-123.078632</v>
      </c>
      <c r="AP2090">
        <v>100</v>
      </c>
      <c r="AQ2090">
        <v>2100</v>
      </c>
      <c r="AR2090" t="s">
        <v>118</v>
      </c>
      <c r="AS2090">
        <v>-77</v>
      </c>
      <c r="AT2090">
        <v>17</v>
      </c>
      <c r="AU2090">
        <v>0</v>
      </c>
      <c r="BC2090">
        <v>1200</v>
      </c>
      <c r="BD2090">
        <v>1</v>
      </c>
      <c r="BE2090" t="str">
        <f t="shared" si="98"/>
        <v xml:space="preserve">N215T   </v>
      </c>
      <c r="BF2090">
        <v>1</v>
      </c>
      <c r="BH2090">
        <v>0</v>
      </c>
      <c r="BI2090">
        <v>0</v>
      </c>
      <c r="BJ2090">
        <v>0</v>
      </c>
      <c r="BK2090">
        <v>2475</v>
      </c>
      <c r="BL2090">
        <v>375</v>
      </c>
      <c r="BM2090" t="s">
        <v>119</v>
      </c>
      <c r="BN2090">
        <v>1</v>
      </c>
      <c r="BO2090">
        <v>1</v>
      </c>
      <c r="BP2090">
        <v>1</v>
      </c>
      <c r="BQ2090">
        <v>0</v>
      </c>
      <c r="BT2090">
        <v>0</v>
      </c>
      <c r="BU2090">
        <v>0</v>
      </c>
      <c r="BV2090">
        <v>0</v>
      </c>
      <c r="CC2090" t="str">
        <f>"19:09:40.578"</f>
        <v>19:09:40.578</v>
      </c>
      <c r="CD2090" t="str">
        <f>"577076003"</f>
        <v>577076003</v>
      </c>
      <c r="CQ2090">
        <v>0</v>
      </c>
      <c r="CR2090">
        <v>2</v>
      </c>
      <c r="CS2090">
        <v>0</v>
      </c>
      <c r="CT2090">
        <v>2</v>
      </c>
      <c r="CU2090">
        <v>0</v>
      </c>
      <c r="CV2090">
        <v>7</v>
      </c>
      <c r="CW2090" t="s">
        <v>120</v>
      </c>
      <c r="CX2090">
        <v>261</v>
      </c>
      <c r="CY2090">
        <v>2</v>
      </c>
      <c r="CZ2090" t="s">
        <v>121</v>
      </c>
      <c r="DA2090" t="s">
        <v>122</v>
      </c>
      <c r="DD2090">
        <v>15510933</v>
      </c>
      <c r="DE2090" t="s">
        <v>123</v>
      </c>
    </row>
    <row r="2091" spans="1:109" x14ac:dyDescent="0.3">
      <c r="A2091" t="str">
        <f>"19:09:41.750"</f>
        <v>19:09:41.750</v>
      </c>
      <c r="B2091" t="s">
        <v>110</v>
      </c>
      <c r="C2091" t="str">
        <f t="shared" si="96"/>
        <v>ffdfd3c0</v>
      </c>
      <c r="D2091" t="s">
        <v>111</v>
      </c>
      <c r="E2091">
        <v>18</v>
      </c>
      <c r="F2091">
        <v>1018</v>
      </c>
      <c r="G2091" t="s">
        <v>112</v>
      </c>
      <c r="J2091" t="s">
        <v>113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R2091" t="s">
        <v>114</v>
      </c>
      <c r="S2091" t="str">
        <f>"19:09:41.531"</f>
        <v>19:09:41.531</v>
      </c>
      <c r="T2091" t="str">
        <f>"19:09:41.133"</f>
        <v>19:09:41.133</v>
      </c>
      <c r="U2091" t="str">
        <f t="shared" si="97"/>
        <v>a1cdbe</v>
      </c>
      <c r="V2091">
        <v>0</v>
      </c>
      <c r="W2091">
        <v>0</v>
      </c>
      <c r="X2091">
        <v>1</v>
      </c>
      <c r="Y2091">
        <v>0</v>
      </c>
      <c r="Z2091">
        <v>0</v>
      </c>
      <c r="AB2091">
        <v>0</v>
      </c>
      <c r="AC2091">
        <v>9</v>
      </c>
      <c r="AD2091">
        <v>3</v>
      </c>
      <c r="AE2091">
        <v>0</v>
      </c>
      <c r="AF2091">
        <v>9</v>
      </c>
      <c r="AG2091" t="s">
        <v>158</v>
      </c>
      <c r="AH2091">
        <v>0</v>
      </c>
      <c r="AI2091">
        <v>3</v>
      </c>
      <c r="AJ2091">
        <v>1</v>
      </c>
      <c r="AK2091">
        <v>0</v>
      </c>
      <c r="AL2091" t="s">
        <v>3936</v>
      </c>
      <c r="AM2091">
        <v>46.872332</v>
      </c>
      <c r="AN2091" t="s">
        <v>3937</v>
      </c>
      <c r="AO2091">
        <v>-123.079126</v>
      </c>
      <c r="AP2091">
        <v>100</v>
      </c>
      <c r="AQ2091">
        <v>2100</v>
      </c>
      <c r="AR2091" t="s">
        <v>118</v>
      </c>
      <c r="AS2091">
        <v>-77</v>
      </c>
      <c r="AT2091">
        <v>18</v>
      </c>
      <c r="AU2091">
        <v>0</v>
      </c>
      <c r="BC2091">
        <v>1200</v>
      </c>
      <c r="BD2091">
        <v>1</v>
      </c>
      <c r="BE2091" t="str">
        <f t="shared" si="98"/>
        <v xml:space="preserve">N215T   </v>
      </c>
      <c r="BF2091">
        <v>1</v>
      </c>
      <c r="BH2091">
        <v>0</v>
      </c>
      <c r="BI2091">
        <v>0</v>
      </c>
      <c r="BJ2091">
        <v>0</v>
      </c>
      <c r="BK2091">
        <v>2475</v>
      </c>
      <c r="BL2091">
        <v>375</v>
      </c>
      <c r="BM2091" t="s">
        <v>119</v>
      </c>
      <c r="BN2091">
        <v>1</v>
      </c>
      <c r="BO2091">
        <v>1</v>
      </c>
      <c r="BP2091">
        <v>1</v>
      </c>
      <c r="BQ2091">
        <v>0</v>
      </c>
      <c r="BT2091">
        <v>0</v>
      </c>
      <c r="BU2091">
        <v>0</v>
      </c>
      <c r="BV2091">
        <v>0</v>
      </c>
      <c r="CC2091" t="str">
        <f>"19:09:41.539"</f>
        <v>19:09:41.539</v>
      </c>
      <c r="CD2091" t="str">
        <f>"536981459"</f>
        <v>536981459</v>
      </c>
      <c r="CQ2091">
        <v>0</v>
      </c>
      <c r="CR2091">
        <v>2</v>
      </c>
      <c r="CS2091">
        <v>0</v>
      </c>
      <c r="CT2091">
        <v>2</v>
      </c>
      <c r="CU2091">
        <v>0</v>
      </c>
      <c r="CV2091">
        <v>7</v>
      </c>
      <c r="CW2091" t="s">
        <v>120</v>
      </c>
      <c r="CX2091">
        <v>261</v>
      </c>
      <c r="CY2091">
        <v>2</v>
      </c>
      <c r="CZ2091" t="s">
        <v>121</v>
      </c>
      <c r="DA2091" t="s">
        <v>122</v>
      </c>
      <c r="DD2091">
        <v>15511596</v>
      </c>
      <c r="DE2091" t="s">
        <v>123</v>
      </c>
    </row>
    <row r="2092" spans="1:109" x14ac:dyDescent="0.3">
      <c r="A2092" t="str">
        <f>"19:09:42.656"</f>
        <v>19:09:42.656</v>
      </c>
      <c r="B2092" t="s">
        <v>110</v>
      </c>
      <c r="C2092" t="str">
        <f t="shared" si="96"/>
        <v>ffdfd3c0</v>
      </c>
      <c r="D2092" t="s">
        <v>111</v>
      </c>
      <c r="E2092">
        <v>18</v>
      </c>
      <c r="F2092">
        <v>1018</v>
      </c>
      <c r="G2092" t="s">
        <v>112</v>
      </c>
      <c r="J2092" t="s">
        <v>113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R2092" t="s">
        <v>114</v>
      </c>
      <c r="S2092" t="str">
        <f>"19:09:42.422"</f>
        <v>19:09:42.422</v>
      </c>
      <c r="T2092" t="str">
        <f>"19:09:41.719"</f>
        <v>19:09:41.719</v>
      </c>
      <c r="U2092" t="str">
        <f t="shared" si="97"/>
        <v>a1cdbe</v>
      </c>
      <c r="V2092">
        <v>0</v>
      </c>
      <c r="W2092">
        <v>0</v>
      </c>
      <c r="X2092">
        <v>1</v>
      </c>
      <c r="Y2092">
        <v>0</v>
      </c>
      <c r="Z2092">
        <v>0</v>
      </c>
      <c r="AB2092">
        <v>0</v>
      </c>
      <c r="AC2092">
        <v>9</v>
      </c>
      <c r="AD2092">
        <v>3</v>
      </c>
      <c r="AE2092">
        <v>0</v>
      </c>
      <c r="AF2092">
        <v>9</v>
      </c>
      <c r="AG2092" t="s">
        <v>158</v>
      </c>
      <c r="AH2092">
        <v>0</v>
      </c>
      <c r="AI2092">
        <v>3</v>
      </c>
      <c r="AJ2092">
        <v>1</v>
      </c>
      <c r="AK2092">
        <v>0</v>
      </c>
      <c r="AL2092" t="s">
        <v>3938</v>
      </c>
      <c r="AM2092">
        <v>46.872439</v>
      </c>
      <c r="AN2092" t="s">
        <v>3939</v>
      </c>
      <c r="AO2092">
        <v>-123.07961899999999</v>
      </c>
      <c r="AP2092">
        <v>100</v>
      </c>
      <c r="AQ2092">
        <v>2100</v>
      </c>
      <c r="AR2092" t="s">
        <v>118</v>
      </c>
      <c r="AS2092">
        <v>-77</v>
      </c>
      <c r="AT2092">
        <v>18</v>
      </c>
      <c r="AU2092">
        <v>0</v>
      </c>
      <c r="BC2092">
        <v>1200</v>
      </c>
      <c r="BD2092">
        <v>1</v>
      </c>
      <c r="BE2092" t="str">
        <f t="shared" si="98"/>
        <v xml:space="preserve">N215T   </v>
      </c>
      <c r="BF2092">
        <v>1</v>
      </c>
      <c r="BH2092">
        <v>0</v>
      </c>
      <c r="BI2092">
        <v>0</v>
      </c>
      <c r="BJ2092">
        <v>0</v>
      </c>
      <c r="BK2092">
        <v>2475</v>
      </c>
      <c r="BL2092">
        <v>375</v>
      </c>
      <c r="BM2092" t="s">
        <v>119</v>
      </c>
      <c r="BN2092">
        <v>1</v>
      </c>
      <c r="BO2092">
        <v>1</v>
      </c>
      <c r="BP2092">
        <v>1</v>
      </c>
      <c r="BQ2092">
        <v>0</v>
      </c>
      <c r="BT2092">
        <v>0</v>
      </c>
      <c r="BU2092">
        <v>0</v>
      </c>
      <c r="BV2092">
        <v>0</v>
      </c>
      <c r="CC2092" t="str">
        <f>"19:09:42.422"</f>
        <v>19:09:42.422</v>
      </c>
      <c r="CD2092" t="str">
        <f>"421894298"</f>
        <v>421894298</v>
      </c>
      <c r="CQ2092">
        <v>0</v>
      </c>
      <c r="CR2092">
        <v>2</v>
      </c>
      <c r="CS2092">
        <v>0</v>
      </c>
      <c r="CT2092">
        <v>2</v>
      </c>
      <c r="CU2092">
        <v>0</v>
      </c>
      <c r="CV2092">
        <v>7</v>
      </c>
      <c r="CW2092" t="s">
        <v>120</v>
      </c>
      <c r="CX2092">
        <v>261</v>
      </c>
      <c r="CY2092">
        <v>2</v>
      </c>
      <c r="CZ2092" t="s">
        <v>121</v>
      </c>
      <c r="DA2092" t="s">
        <v>122</v>
      </c>
      <c r="DD2092">
        <v>15512232</v>
      </c>
      <c r="DE2092" t="s">
        <v>123</v>
      </c>
    </row>
    <row r="2093" spans="1:109" x14ac:dyDescent="0.3">
      <c r="A2093" t="str">
        <f>"19:09:43.711"</f>
        <v>19:09:43.711</v>
      </c>
      <c r="B2093" t="s">
        <v>110</v>
      </c>
      <c r="C2093" t="str">
        <f t="shared" si="96"/>
        <v>ffdfd3c0</v>
      </c>
      <c r="D2093" t="s">
        <v>111</v>
      </c>
      <c r="E2093">
        <v>18</v>
      </c>
      <c r="F2093">
        <v>1018</v>
      </c>
      <c r="G2093" t="s">
        <v>112</v>
      </c>
      <c r="J2093" t="s">
        <v>113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R2093" t="s">
        <v>114</v>
      </c>
      <c r="S2093" t="str">
        <f>"19:09:43.484"</f>
        <v>19:09:43.484</v>
      </c>
      <c r="T2093" t="str">
        <f>"19:09:43.086"</f>
        <v>19:09:43.086</v>
      </c>
      <c r="U2093" t="str">
        <f t="shared" si="97"/>
        <v>a1cdbe</v>
      </c>
      <c r="V2093">
        <v>0</v>
      </c>
      <c r="W2093">
        <v>0</v>
      </c>
      <c r="X2093">
        <v>1</v>
      </c>
      <c r="Y2093">
        <v>0</v>
      </c>
      <c r="Z2093">
        <v>0</v>
      </c>
      <c r="AB2093">
        <v>0</v>
      </c>
      <c r="AC2093">
        <v>9</v>
      </c>
      <c r="AD2093">
        <v>3</v>
      </c>
      <c r="AE2093">
        <v>0</v>
      </c>
      <c r="AF2093">
        <v>9</v>
      </c>
      <c r="AG2093" t="s">
        <v>158</v>
      </c>
      <c r="AH2093">
        <v>0</v>
      </c>
      <c r="AI2093">
        <v>3</v>
      </c>
      <c r="AJ2093">
        <v>1</v>
      </c>
      <c r="AK2093">
        <v>0</v>
      </c>
      <c r="AL2093" t="s">
        <v>1602</v>
      </c>
      <c r="AM2093">
        <v>46.872525000000003</v>
      </c>
      <c r="AN2093" t="s">
        <v>3940</v>
      </c>
      <c r="AO2093">
        <v>-123.08017700000001</v>
      </c>
      <c r="AP2093">
        <v>100</v>
      </c>
      <c r="AQ2093">
        <v>2100</v>
      </c>
      <c r="AR2093" t="s">
        <v>118</v>
      </c>
      <c r="AS2093">
        <v>-77</v>
      </c>
      <c r="AT2093">
        <v>18</v>
      </c>
      <c r="AU2093">
        <v>64</v>
      </c>
      <c r="BC2093">
        <v>1200</v>
      </c>
      <c r="BD2093">
        <v>1</v>
      </c>
      <c r="BE2093" t="str">
        <f t="shared" si="98"/>
        <v xml:space="preserve">N215T   </v>
      </c>
      <c r="BF2093">
        <v>1</v>
      </c>
      <c r="BH2093">
        <v>0</v>
      </c>
      <c r="BI2093">
        <v>0</v>
      </c>
      <c r="BJ2093">
        <v>0</v>
      </c>
      <c r="BK2093">
        <v>2475</v>
      </c>
      <c r="BL2093">
        <v>375</v>
      </c>
      <c r="BM2093" t="s">
        <v>119</v>
      </c>
      <c r="BN2093">
        <v>1</v>
      </c>
      <c r="BO2093">
        <v>1</v>
      </c>
      <c r="BP2093">
        <v>1</v>
      </c>
      <c r="BQ2093">
        <v>0</v>
      </c>
      <c r="BT2093">
        <v>0</v>
      </c>
      <c r="BU2093">
        <v>0</v>
      </c>
      <c r="BV2093">
        <v>0</v>
      </c>
      <c r="CC2093" t="str">
        <f>"19:09:43.484"</f>
        <v>19:09:43.484</v>
      </c>
      <c r="CD2093" t="str">
        <f>"486789414"</f>
        <v>486789414</v>
      </c>
      <c r="CQ2093">
        <v>0</v>
      </c>
      <c r="CR2093">
        <v>2</v>
      </c>
      <c r="CS2093">
        <v>0</v>
      </c>
      <c r="CT2093">
        <v>2</v>
      </c>
      <c r="CU2093">
        <v>0</v>
      </c>
      <c r="CV2093">
        <v>7</v>
      </c>
      <c r="CW2093" t="s">
        <v>120</v>
      </c>
      <c r="CX2093">
        <v>261</v>
      </c>
      <c r="CY2093">
        <v>2</v>
      </c>
      <c r="CZ2093" t="s">
        <v>121</v>
      </c>
      <c r="DA2093" t="s">
        <v>122</v>
      </c>
      <c r="DD2093">
        <v>15513021</v>
      </c>
      <c r="DE2093" t="s">
        <v>123</v>
      </c>
    </row>
    <row r="2094" spans="1:109" x14ac:dyDescent="0.3">
      <c r="A2094" t="str">
        <f>"19:09:44.711"</f>
        <v>19:09:44.711</v>
      </c>
      <c r="B2094" t="s">
        <v>110</v>
      </c>
      <c r="C2094" t="str">
        <f t="shared" si="96"/>
        <v>ffdfd3c0</v>
      </c>
      <c r="D2094" t="s">
        <v>111</v>
      </c>
      <c r="E2094">
        <v>18</v>
      </c>
      <c r="F2094">
        <v>1018</v>
      </c>
      <c r="G2094" t="s">
        <v>112</v>
      </c>
      <c r="J2094" t="s">
        <v>113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R2094" t="s">
        <v>114</v>
      </c>
      <c r="S2094" t="str">
        <f>"19:09:44.477"</f>
        <v>19:09:44.477</v>
      </c>
      <c r="T2094" t="str">
        <f>"19:09:44.273"</f>
        <v>19:09:44.273</v>
      </c>
      <c r="U2094" t="str">
        <f t="shared" si="97"/>
        <v>a1cdbe</v>
      </c>
      <c r="V2094">
        <v>0</v>
      </c>
      <c r="W2094">
        <v>0</v>
      </c>
      <c r="X2094">
        <v>1</v>
      </c>
      <c r="Y2094">
        <v>0</v>
      </c>
      <c r="Z2094">
        <v>0</v>
      </c>
      <c r="AB2094">
        <v>0</v>
      </c>
      <c r="AC2094">
        <v>9</v>
      </c>
      <c r="AD2094">
        <v>3</v>
      </c>
      <c r="AE2094">
        <v>0</v>
      </c>
      <c r="AF2094">
        <v>9</v>
      </c>
      <c r="AG2094" t="s">
        <v>158</v>
      </c>
      <c r="AH2094">
        <v>0</v>
      </c>
      <c r="AI2094">
        <v>3</v>
      </c>
      <c r="AJ2094">
        <v>1</v>
      </c>
      <c r="AK2094">
        <v>0</v>
      </c>
      <c r="AL2094" t="s">
        <v>3941</v>
      </c>
      <c r="AM2094">
        <v>46.872568000000001</v>
      </c>
      <c r="AN2094" t="s">
        <v>3942</v>
      </c>
      <c r="AO2094">
        <v>-123.080735</v>
      </c>
      <c r="AP2094">
        <v>100</v>
      </c>
      <c r="AQ2094">
        <v>2100</v>
      </c>
      <c r="AR2094" t="s">
        <v>118</v>
      </c>
      <c r="AS2094">
        <v>-77</v>
      </c>
      <c r="AT2094">
        <v>18</v>
      </c>
      <c r="AU2094">
        <v>0</v>
      </c>
      <c r="BC2094">
        <v>1200</v>
      </c>
      <c r="BD2094">
        <v>1</v>
      </c>
      <c r="BE2094" t="str">
        <f t="shared" si="98"/>
        <v xml:space="preserve">N215T   </v>
      </c>
      <c r="BF2094">
        <v>1</v>
      </c>
      <c r="BH2094">
        <v>0</v>
      </c>
      <c r="BI2094">
        <v>0</v>
      </c>
      <c r="BJ2094">
        <v>0</v>
      </c>
      <c r="BK2094">
        <v>2450</v>
      </c>
      <c r="BL2094">
        <v>350</v>
      </c>
      <c r="BM2094" t="s">
        <v>119</v>
      </c>
      <c r="BN2094">
        <v>1</v>
      </c>
      <c r="BO2094">
        <v>1</v>
      </c>
      <c r="BP2094">
        <v>1</v>
      </c>
      <c r="BQ2094">
        <v>0</v>
      </c>
      <c r="BT2094">
        <v>0</v>
      </c>
      <c r="BU2094">
        <v>0</v>
      </c>
      <c r="BV2094">
        <v>0</v>
      </c>
      <c r="CC2094" t="str">
        <f>"19:09:44.477"</f>
        <v>19:09:44.477</v>
      </c>
      <c r="CD2094" t="str">
        <f>"476691917"</f>
        <v>476691917</v>
      </c>
      <c r="CQ2094">
        <v>0</v>
      </c>
      <c r="CR2094">
        <v>2</v>
      </c>
      <c r="CS2094">
        <v>0</v>
      </c>
      <c r="CT2094">
        <v>2</v>
      </c>
      <c r="CU2094">
        <v>0</v>
      </c>
      <c r="CV2094">
        <v>6</v>
      </c>
      <c r="CW2094" t="s">
        <v>120</v>
      </c>
      <c r="CX2094">
        <v>261</v>
      </c>
      <c r="CY2094">
        <v>2</v>
      </c>
      <c r="CZ2094" t="s">
        <v>121</v>
      </c>
      <c r="DA2094" t="s">
        <v>122</v>
      </c>
      <c r="DD2094">
        <v>15513733</v>
      </c>
      <c r="DE2094" t="s">
        <v>123</v>
      </c>
    </row>
    <row r="2095" spans="1:109" x14ac:dyDescent="0.3">
      <c r="A2095" t="str">
        <f>"19:09:45.625"</f>
        <v>19:09:45.625</v>
      </c>
      <c r="B2095" t="s">
        <v>110</v>
      </c>
      <c r="C2095" t="str">
        <f t="shared" si="96"/>
        <v>ffdfd3c0</v>
      </c>
      <c r="D2095" t="s">
        <v>111</v>
      </c>
      <c r="E2095">
        <v>18</v>
      </c>
      <c r="F2095">
        <v>1018</v>
      </c>
      <c r="G2095" t="s">
        <v>112</v>
      </c>
      <c r="J2095" t="s">
        <v>113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R2095" t="s">
        <v>114</v>
      </c>
      <c r="S2095" t="str">
        <f>"19:09:45.414"</f>
        <v>19:09:45.414</v>
      </c>
      <c r="T2095" t="str">
        <f>"19:09:45.117"</f>
        <v>19:09:45.117</v>
      </c>
      <c r="U2095" t="str">
        <f t="shared" si="97"/>
        <v>a1cdbe</v>
      </c>
      <c r="V2095">
        <v>0</v>
      </c>
      <c r="W2095">
        <v>0</v>
      </c>
      <c r="X2095">
        <v>1</v>
      </c>
      <c r="Y2095">
        <v>0</v>
      </c>
      <c r="Z2095">
        <v>0</v>
      </c>
      <c r="AB2095">
        <v>0</v>
      </c>
      <c r="AC2095">
        <v>9</v>
      </c>
      <c r="AD2095">
        <v>3</v>
      </c>
      <c r="AE2095">
        <v>0</v>
      </c>
      <c r="AF2095">
        <v>9</v>
      </c>
      <c r="AG2095" t="s">
        <v>158</v>
      </c>
      <c r="AH2095">
        <v>0</v>
      </c>
      <c r="AI2095">
        <v>3</v>
      </c>
      <c r="AJ2095">
        <v>1</v>
      </c>
      <c r="AK2095">
        <v>0</v>
      </c>
      <c r="AL2095" t="s">
        <v>3943</v>
      </c>
      <c r="AM2095">
        <v>46.872653999999997</v>
      </c>
      <c r="AN2095" t="s">
        <v>3944</v>
      </c>
      <c r="AO2095">
        <v>-123.081164</v>
      </c>
      <c r="AP2095">
        <v>100</v>
      </c>
      <c r="AQ2095">
        <v>2100</v>
      </c>
      <c r="AR2095" t="s">
        <v>118</v>
      </c>
      <c r="AS2095">
        <v>-77</v>
      </c>
      <c r="AT2095">
        <v>18</v>
      </c>
      <c r="AU2095">
        <v>0</v>
      </c>
      <c r="BC2095">
        <v>1200</v>
      </c>
      <c r="BD2095">
        <v>1</v>
      </c>
      <c r="BE2095" t="str">
        <f t="shared" si="98"/>
        <v xml:space="preserve">N215T   </v>
      </c>
      <c r="BF2095">
        <v>1</v>
      </c>
      <c r="BH2095">
        <v>0</v>
      </c>
      <c r="BI2095">
        <v>0</v>
      </c>
      <c r="BJ2095">
        <v>0</v>
      </c>
      <c r="BK2095">
        <v>2450</v>
      </c>
      <c r="BL2095">
        <v>350</v>
      </c>
      <c r="BM2095" t="s">
        <v>119</v>
      </c>
      <c r="BN2095">
        <v>1</v>
      </c>
      <c r="BO2095">
        <v>1</v>
      </c>
      <c r="BP2095">
        <v>1</v>
      </c>
      <c r="BQ2095">
        <v>0</v>
      </c>
      <c r="BT2095">
        <v>0</v>
      </c>
      <c r="BU2095">
        <v>0</v>
      </c>
      <c r="BV2095">
        <v>0</v>
      </c>
      <c r="CC2095" t="str">
        <f>"19:09:45.422"</f>
        <v>19:09:45.422</v>
      </c>
      <c r="CD2095" t="str">
        <f>"421598848"</f>
        <v>421598848</v>
      </c>
      <c r="CQ2095">
        <v>0</v>
      </c>
      <c r="CR2095">
        <v>2</v>
      </c>
      <c r="CS2095">
        <v>0</v>
      </c>
      <c r="CT2095">
        <v>2</v>
      </c>
      <c r="CU2095">
        <v>0</v>
      </c>
      <c r="CV2095">
        <v>7</v>
      </c>
      <c r="CW2095" t="s">
        <v>120</v>
      </c>
      <c r="CX2095">
        <v>261</v>
      </c>
      <c r="CY2095">
        <v>2</v>
      </c>
      <c r="CZ2095" t="s">
        <v>121</v>
      </c>
      <c r="DA2095" t="s">
        <v>122</v>
      </c>
      <c r="DD2095">
        <v>15514356</v>
      </c>
      <c r="DE2095" t="s">
        <v>123</v>
      </c>
    </row>
    <row r="2096" spans="1:109" x14ac:dyDescent="0.3">
      <c r="A2096" t="str">
        <f>"19:09:46.727"</f>
        <v>19:09:46.727</v>
      </c>
      <c r="B2096" t="s">
        <v>110</v>
      </c>
      <c r="C2096" t="str">
        <f t="shared" si="96"/>
        <v>ffdfd3c0</v>
      </c>
      <c r="D2096" t="s">
        <v>111</v>
      </c>
      <c r="E2096">
        <v>18</v>
      </c>
      <c r="F2096">
        <v>1018</v>
      </c>
      <c r="G2096" t="s">
        <v>112</v>
      </c>
      <c r="J2096" t="s">
        <v>113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R2096" t="s">
        <v>114</v>
      </c>
      <c r="S2096" t="str">
        <f>"19:09:46.453"</f>
        <v>19:09:46.453</v>
      </c>
      <c r="T2096" t="str">
        <f>"19:09:46.156"</f>
        <v>19:09:46.156</v>
      </c>
      <c r="U2096" t="str">
        <f t="shared" si="97"/>
        <v>a1cdbe</v>
      </c>
      <c r="V2096">
        <v>0</v>
      </c>
      <c r="W2096">
        <v>0</v>
      </c>
      <c r="X2096">
        <v>1</v>
      </c>
      <c r="Y2096">
        <v>0</v>
      </c>
      <c r="Z2096">
        <v>0</v>
      </c>
      <c r="AB2096">
        <v>0</v>
      </c>
      <c r="AC2096">
        <v>9</v>
      </c>
      <c r="AD2096">
        <v>3</v>
      </c>
      <c r="AE2096">
        <v>0</v>
      </c>
      <c r="AF2096">
        <v>9</v>
      </c>
      <c r="AG2096" t="s">
        <v>158</v>
      </c>
      <c r="AH2096">
        <v>0</v>
      </c>
      <c r="AI2096">
        <v>3</v>
      </c>
      <c r="AJ2096">
        <v>1</v>
      </c>
      <c r="AK2096">
        <v>0</v>
      </c>
      <c r="AL2096" t="s">
        <v>3945</v>
      </c>
      <c r="AM2096">
        <v>46.872760999999997</v>
      </c>
      <c r="AN2096" t="s">
        <v>3946</v>
      </c>
      <c r="AO2096">
        <v>-123.081765</v>
      </c>
      <c r="AP2096">
        <v>100</v>
      </c>
      <c r="AQ2096">
        <v>2100</v>
      </c>
      <c r="AR2096" t="s">
        <v>118</v>
      </c>
      <c r="AS2096">
        <v>-76</v>
      </c>
      <c r="AT2096">
        <v>18</v>
      </c>
      <c r="AU2096">
        <v>0</v>
      </c>
      <c r="BC2096">
        <v>1200</v>
      </c>
      <c r="BD2096">
        <v>1</v>
      </c>
      <c r="BE2096" t="str">
        <f t="shared" si="98"/>
        <v xml:space="preserve">N215T   </v>
      </c>
      <c r="BF2096">
        <v>1</v>
      </c>
      <c r="BH2096">
        <v>0</v>
      </c>
      <c r="BI2096">
        <v>0</v>
      </c>
      <c r="BJ2096">
        <v>0</v>
      </c>
      <c r="BK2096">
        <v>2475</v>
      </c>
      <c r="BL2096">
        <v>375</v>
      </c>
      <c r="BM2096" t="s">
        <v>119</v>
      </c>
      <c r="BN2096">
        <v>1</v>
      </c>
      <c r="BO2096">
        <v>1</v>
      </c>
      <c r="BP2096">
        <v>1</v>
      </c>
      <c r="BQ2096">
        <v>0</v>
      </c>
      <c r="BT2096">
        <v>0</v>
      </c>
      <c r="BU2096">
        <v>0</v>
      </c>
      <c r="BV2096">
        <v>0</v>
      </c>
      <c r="CC2096" t="str">
        <f>"19:09:46.453"</f>
        <v>19:09:46.453</v>
      </c>
      <c r="CD2096" t="str">
        <f>"456496920"</f>
        <v>456496920</v>
      </c>
      <c r="CQ2096">
        <v>0</v>
      </c>
      <c r="CR2096">
        <v>2</v>
      </c>
      <c r="CS2096">
        <v>0</v>
      </c>
      <c r="CT2096">
        <v>2</v>
      </c>
      <c r="CU2096">
        <v>0</v>
      </c>
      <c r="CV2096">
        <v>7</v>
      </c>
      <c r="CW2096" t="s">
        <v>120</v>
      </c>
      <c r="CX2096">
        <v>261</v>
      </c>
      <c r="CY2096">
        <v>2</v>
      </c>
      <c r="CZ2096" t="s">
        <v>121</v>
      </c>
      <c r="DA2096" t="s">
        <v>122</v>
      </c>
      <c r="DD2096">
        <v>15515079</v>
      </c>
      <c r="DE2096" t="s">
        <v>123</v>
      </c>
    </row>
    <row r="2097" spans="1:109" x14ac:dyDescent="0.3">
      <c r="A2097" t="str">
        <f>"19:09:47.836"</f>
        <v>19:09:47.836</v>
      </c>
      <c r="B2097" t="s">
        <v>110</v>
      </c>
      <c r="C2097" t="str">
        <f t="shared" si="96"/>
        <v>ffdfd3c0</v>
      </c>
      <c r="D2097" t="s">
        <v>111</v>
      </c>
      <c r="E2097">
        <v>18</v>
      </c>
      <c r="F2097">
        <v>1018</v>
      </c>
      <c r="G2097" t="s">
        <v>112</v>
      </c>
      <c r="J2097" t="s">
        <v>113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R2097" t="s">
        <v>114</v>
      </c>
      <c r="S2097" t="str">
        <f>"19:09:47.609"</f>
        <v>19:09:47.609</v>
      </c>
      <c r="T2097" t="str">
        <f>"19:09:47.109"</f>
        <v>19:09:47.109</v>
      </c>
      <c r="U2097" t="str">
        <f t="shared" si="97"/>
        <v>a1cdbe</v>
      </c>
      <c r="V2097">
        <v>0</v>
      </c>
      <c r="W2097">
        <v>0</v>
      </c>
      <c r="X2097">
        <v>1</v>
      </c>
      <c r="Y2097">
        <v>0</v>
      </c>
      <c r="Z2097">
        <v>0</v>
      </c>
      <c r="AB2097">
        <v>0</v>
      </c>
      <c r="AC2097">
        <v>9</v>
      </c>
      <c r="AD2097">
        <v>3</v>
      </c>
      <c r="AE2097">
        <v>0</v>
      </c>
      <c r="AF2097">
        <v>9</v>
      </c>
      <c r="AG2097" t="s">
        <v>158</v>
      </c>
      <c r="AH2097">
        <v>0</v>
      </c>
      <c r="AI2097">
        <v>3</v>
      </c>
      <c r="AJ2097">
        <v>1</v>
      </c>
      <c r="AK2097">
        <v>0</v>
      </c>
      <c r="AL2097" t="s">
        <v>3947</v>
      </c>
      <c r="AM2097">
        <v>46.872847</v>
      </c>
      <c r="AN2097" t="s">
        <v>3948</v>
      </c>
      <c r="AO2097">
        <v>-123.082302</v>
      </c>
      <c r="AP2097">
        <v>100</v>
      </c>
      <c r="AQ2097">
        <v>2100</v>
      </c>
      <c r="AR2097" t="s">
        <v>118</v>
      </c>
      <c r="AS2097">
        <v>-76</v>
      </c>
      <c r="AT2097">
        <v>18</v>
      </c>
      <c r="AU2097">
        <v>0</v>
      </c>
      <c r="BC2097">
        <v>1200</v>
      </c>
      <c r="BD2097">
        <v>1</v>
      </c>
      <c r="BE2097" t="str">
        <f t="shared" si="98"/>
        <v xml:space="preserve">N215T   </v>
      </c>
      <c r="BF2097">
        <v>1</v>
      </c>
      <c r="BH2097">
        <v>0</v>
      </c>
      <c r="BI2097">
        <v>0</v>
      </c>
      <c r="BJ2097">
        <v>0</v>
      </c>
      <c r="BK2097">
        <v>2475</v>
      </c>
      <c r="BL2097">
        <v>375</v>
      </c>
      <c r="BM2097" t="s">
        <v>119</v>
      </c>
      <c r="BN2097">
        <v>1</v>
      </c>
      <c r="BO2097">
        <v>1</v>
      </c>
      <c r="BP2097">
        <v>1</v>
      </c>
      <c r="BQ2097">
        <v>0</v>
      </c>
      <c r="BT2097">
        <v>0</v>
      </c>
      <c r="BU2097">
        <v>0</v>
      </c>
      <c r="BV2097">
        <v>0</v>
      </c>
      <c r="CC2097" t="str">
        <f>"19:09:47.609"</f>
        <v>19:09:47.609</v>
      </c>
      <c r="CD2097" t="str">
        <f>"611383170"</f>
        <v>611383170</v>
      </c>
      <c r="CQ2097">
        <v>0</v>
      </c>
      <c r="CR2097">
        <v>2</v>
      </c>
      <c r="CS2097">
        <v>0</v>
      </c>
      <c r="CT2097">
        <v>2</v>
      </c>
      <c r="CU2097">
        <v>0</v>
      </c>
      <c r="CV2097">
        <v>7</v>
      </c>
      <c r="CW2097" t="s">
        <v>120</v>
      </c>
      <c r="CX2097">
        <v>261</v>
      </c>
      <c r="CY2097">
        <v>2</v>
      </c>
      <c r="CZ2097" t="s">
        <v>121</v>
      </c>
      <c r="DA2097" t="s">
        <v>122</v>
      </c>
      <c r="DD2097">
        <v>15515948</v>
      </c>
      <c r="DE2097" t="s">
        <v>123</v>
      </c>
    </row>
    <row r="2098" spans="1:109" x14ac:dyDescent="0.3">
      <c r="A2098" t="str">
        <f>"19:09:48.992"</f>
        <v>19:09:48.992</v>
      </c>
      <c r="B2098" t="s">
        <v>110</v>
      </c>
      <c r="C2098" t="str">
        <f t="shared" si="96"/>
        <v>ffdfd3c0</v>
      </c>
      <c r="D2098" t="s">
        <v>111</v>
      </c>
      <c r="E2098">
        <v>18</v>
      </c>
      <c r="F2098">
        <v>1018</v>
      </c>
      <c r="G2098" t="s">
        <v>112</v>
      </c>
      <c r="J2098" t="s">
        <v>113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R2098" t="s">
        <v>114</v>
      </c>
      <c r="S2098" t="str">
        <f>"19:09:48.703"</f>
        <v>19:09:48.703</v>
      </c>
      <c r="T2098" t="str">
        <f>"19:09:48.602"</f>
        <v>19:09:48.602</v>
      </c>
      <c r="U2098" t="str">
        <f t="shared" si="97"/>
        <v>a1cdbe</v>
      </c>
      <c r="V2098">
        <v>0</v>
      </c>
      <c r="W2098">
        <v>0</v>
      </c>
      <c r="X2098">
        <v>1</v>
      </c>
      <c r="Y2098">
        <v>0</v>
      </c>
      <c r="Z2098">
        <v>0</v>
      </c>
      <c r="AB2098">
        <v>0</v>
      </c>
      <c r="AC2098">
        <v>9</v>
      </c>
      <c r="AD2098">
        <v>3</v>
      </c>
      <c r="AE2098">
        <v>0</v>
      </c>
      <c r="AF2098">
        <v>9</v>
      </c>
      <c r="AG2098" t="s">
        <v>158</v>
      </c>
      <c r="AH2098">
        <v>0</v>
      </c>
      <c r="AI2098">
        <v>3</v>
      </c>
      <c r="AJ2098">
        <v>1</v>
      </c>
      <c r="AK2098">
        <v>0</v>
      </c>
      <c r="AL2098" t="s">
        <v>3949</v>
      </c>
      <c r="AM2098">
        <v>46.872933000000003</v>
      </c>
      <c r="AN2098" t="s">
        <v>3950</v>
      </c>
      <c r="AO2098">
        <v>-123.08286</v>
      </c>
      <c r="AP2098">
        <v>100</v>
      </c>
      <c r="AQ2098">
        <v>2100</v>
      </c>
      <c r="AR2098" t="s">
        <v>118</v>
      </c>
      <c r="AS2098">
        <v>-76</v>
      </c>
      <c r="AT2098">
        <v>18</v>
      </c>
      <c r="AU2098">
        <v>0</v>
      </c>
      <c r="BC2098">
        <v>1200</v>
      </c>
      <c r="BD2098">
        <v>1</v>
      </c>
      <c r="BE2098" t="str">
        <f t="shared" si="98"/>
        <v xml:space="preserve">N215T   </v>
      </c>
      <c r="BF2098">
        <v>1</v>
      </c>
      <c r="BH2098">
        <v>0</v>
      </c>
      <c r="BI2098">
        <v>0</v>
      </c>
      <c r="BJ2098">
        <v>0</v>
      </c>
      <c r="BK2098">
        <v>2475</v>
      </c>
      <c r="BL2098">
        <v>375</v>
      </c>
      <c r="BM2098" t="s">
        <v>119</v>
      </c>
      <c r="BN2098">
        <v>1</v>
      </c>
      <c r="BO2098">
        <v>1</v>
      </c>
      <c r="BP2098">
        <v>1</v>
      </c>
      <c r="BQ2098">
        <v>0</v>
      </c>
      <c r="BT2098">
        <v>0</v>
      </c>
      <c r="BU2098">
        <v>0</v>
      </c>
      <c r="BV2098">
        <v>0</v>
      </c>
      <c r="CC2098" t="str">
        <f>"19:09:48.703"</f>
        <v>19:09:48.703</v>
      </c>
      <c r="CD2098" t="str">
        <f>"706275331"</f>
        <v>706275331</v>
      </c>
      <c r="CQ2098">
        <v>0</v>
      </c>
      <c r="CR2098">
        <v>2</v>
      </c>
      <c r="CS2098">
        <v>0</v>
      </c>
      <c r="CT2098">
        <v>2</v>
      </c>
      <c r="CU2098">
        <v>0</v>
      </c>
      <c r="CV2098">
        <v>7</v>
      </c>
      <c r="CW2098" t="s">
        <v>120</v>
      </c>
      <c r="CX2098">
        <v>261</v>
      </c>
      <c r="CY2098">
        <v>2</v>
      </c>
      <c r="CZ2098" t="s">
        <v>121</v>
      </c>
      <c r="DA2098" t="s">
        <v>122</v>
      </c>
      <c r="DD2098">
        <v>15516742</v>
      </c>
      <c r="DE2098" t="s">
        <v>123</v>
      </c>
    </row>
    <row r="2099" spans="1:109" x14ac:dyDescent="0.3">
      <c r="A2099" t="str">
        <f>"19:09:49.844"</f>
        <v>19:09:49.844</v>
      </c>
      <c r="B2099" t="s">
        <v>110</v>
      </c>
      <c r="C2099" t="str">
        <f t="shared" si="96"/>
        <v>ffdfd3c0</v>
      </c>
      <c r="D2099" t="s">
        <v>111</v>
      </c>
      <c r="E2099">
        <v>18</v>
      </c>
      <c r="F2099">
        <v>1018</v>
      </c>
      <c r="G2099" t="s">
        <v>112</v>
      </c>
      <c r="J2099" t="s">
        <v>113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R2099" t="s">
        <v>114</v>
      </c>
      <c r="S2099" t="str">
        <f>"19:09:49.617"</f>
        <v>19:09:49.617</v>
      </c>
      <c r="T2099" t="str">
        <f>"19:09:49.617"</f>
        <v>19:09:49.617</v>
      </c>
      <c r="U2099" t="str">
        <f t="shared" si="97"/>
        <v>a1cdbe</v>
      </c>
      <c r="V2099">
        <v>0</v>
      </c>
      <c r="W2099">
        <v>0</v>
      </c>
      <c r="X2099">
        <v>1</v>
      </c>
      <c r="Y2099">
        <v>0</v>
      </c>
      <c r="Z2099">
        <v>0</v>
      </c>
      <c r="AB2099">
        <v>0</v>
      </c>
      <c r="AC2099">
        <v>9</v>
      </c>
      <c r="AD2099">
        <v>3</v>
      </c>
      <c r="AE2099">
        <v>0</v>
      </c>
      <c r="AF2099">
        <v>9</v>
      </c>
      <c r="AG2099" t="s">
        <v>158</v>
      </c>
      <c r="AH2099">
        <v>0</v>
      </c>
      <c r="AI2099">
        <v>3</v>
      </c>
      <c r="AJ2099">
        <v>1</v>
      </c>
      <c r="AK2099">
        <v>0</v>
      </c>
      <c r="AL2099" t="s">
        <v>1598</v>
      </c>
      <c r="AM2099">
        <v>46.873040000000003</v>
      </c>
      <c r="AN2099" t="s">
        <v>3951</v>
      </c>
      <c r="AO2099">
        <v>-123.083332</v>
      </c>
      <c r="AP2099">
        <v>100</v>
      </c>
      <c r="AQ2099">
        <v>2100</v>
      </c>
      <c r="AR2099" t="s">
        <v>118</v>
      </c>
      <c r="AS2099">
        <v>-76</v>
      </c>
      <c r="AT2099">
        <v>18</v>
      </c>
      <c r="AU2099">
        <v>0</v>
      </c>
      <c r="BC2099">
        <v>1200</v>
      </c>
      <c r="BD2099">
        <v>1</v>
      </c>
      <c r="BE2099" t="str">
        <f t="shared" si="98"/>
        <v xml:space="preserve">N215T   </v>
      </c>
      <c r="BF2099">
        <v>1</v>
      </c>
      <c r="BH2099">
        <v>0</v>
      </c>
      <c r="BI2099">
        <v>0</v>
      </c>
      <c r="BJ2099">
        <v>0</v>
      </c>
      <c r="BK2099">
        <v>2475</v>
      </c>
      <c r="BL2099">
        <v>375</v>
      </c>
      <c r="BM2099" t="s">
        <v>119</v>
      </c>
      <c r="BN2099">
        <v>1</v>
      </c>
      <c r="BO2099">
        <v>1</v>
      </c>
      <c r="BP2099">
        <v>1</v>
      </c>
      <c r="BQ2099">
        <v>0</v>
      </c>
      <c r="BT2099">
        <v>0</v>
      </c>
      <c r="BU2099">
        <v>0</v>
      </c>
      <c r="BV2099">
        <v>0</v>
      </c>
      <c r="CC2099" t="str">
        <f>"19:09:49.625"</f>
        <v>19:09:49.625</v>
      </c>
      <c r="CD2099" t="str">
        <f>"621185223"</f>
        <v>621185223</v>
      </c>
      <c r="CQ2099">
        <v>0</v>
      </c>
      <c r="CR2099">
        <v>2</v>
      </c>
      <c r="CS2099">
        <v>0</v>
      </c>
      <c r="CT2099">
        <v>2</v>
      </c>
      <c r="CU2099">
        <v>0</v>
      </c>
      <c r="CV2099">
        <v>7</v>
      </c>
      <c r="CW2099" t="s">
        <v>120</v>
      </c>
      <c r="CX2099">
        <v>261</v>
      </c>
      <c r="CY2099">
        <v>2</v>
      </c>
      <c r="CZ2099" t="s">
        <v>121</v>
      </c>
      <c r="DA2099" t="s">
        <v>122</v>
      </c>
      <c r="DD2099">
        <v>15517385</v>
      </c>
      <c r="DE2099" t="s">
        <v>123</v>
      </c>
    </row>
    <row r="2100" spans="1:109" x14ac:dyDescent="0.3">
      <c r="A2100" t="str">
        <f>"19:09:50.797"</f>
        <v>19:09:50.797</v>
      </c>
      <c r="B2100" t="s">
        <v>110</v>
      </c>
      <c r="C2100" t="str">
        <f t="shared" si="96"/>
        <v>ffdfd3c0</v>
      </c>
      <c r="D2100" t="s">
        <v>111</v>
      </c>
      <c r="E2100">
        <v>18</v>
      </c>
      <c r="F2100">
        <v>1018</v>
      </c>
      <c r="G2100" t="s">
        <v>112</v>
      </c>
      <c r="J2100" t="s">
        <v>113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R2100" t="s">
        <v>114</v>
      </c>
      <c r="S2100" t="str">
        <f>"19:09:50.547"</f>
        <v>19:09:50.547</v>
      </c>
      <c r="T2100" t="str">
        <f>"19:09:50.148"</f>
        <v>19:09:50.148</v>
      </c>
      <c r="U2100" t="str">
        <f t="shared" si="97"/>
        <v>a1cdbe</v>
      </c>
      <c r="V2100">
        <v>0</v>
      </c>
      <c r="W2100">
        <v>0</v>
      </c>
      <c r="X2100">
        <v>1</v>
      </c>
      <c r="Y2100">
        <v>0</v>
      </c>
      <c r="Z2100">
        <v>0</v>
      </c>
      <c r="AB2100">
        <v>0</v>
      </c>
      <c r="AC2100">
        <v>9</v>
      </c>
      <c r="AD2100">
        <v>3</v>
      </c>
      <c r="AE2100">
        <v>0</v>
      </c>
      <c r="AF2100">
        <v>9</v>
      </c>
      <c r="AG2100" t="s">
        <v>158</v>
      </c>
      <c r="AH2100">
        <v>0</v>
      </c>
      <c r="AI2100">
        <v>3</v>
      </c>
      <c r="AJ2100">
        <v>1</v>
      </c>
      <c r="AK2100">
        <v>0</v>
      </c>
      <c r="AL2100" t="s">
        <v>3952</v>
      </c>
      <c r="AM2100">
        <v>46.873125999999999</v>
      </c>
      <c r="AN2100" t="s">
        <v>3953</v>
      </c>
      <c r="AO2100">
        <v>-123.083825</v>
      </c>
      <c r="AP2100">
        <v>100</v>
      </c>
      <c r="AQ2100">
        <v>2100</v>
      </c>
      <c r="AR2100" t="s">
        <v>118</v>
      </c>
      <c r="AS2100">
        <v>-76</v>
      </c>
      <c r="AT2100">
        <v>18</v>
      </c>
      <c r="AU2100">
        <v>0</v>
      </c>
      <c r="BC2100">
        <v>1200</v>
      </c>
      <c r="BD2100">
        <v>1</v>
      </c>
      <c r="BE2100" t="str">
        <f t="shared" si="98"/>
        <v xml:space="preserve">N215T   </v>
      </c>
      <c r="BF2100">
        <v>1</v>
      </c>
      <c r="BH2100">
        <v>0</v>
      </c>
      <c r="BI2100">
        <v>0</v>
      </c>
      <c r="BJ2100">
        <v>0</v>
      </c>
      <c r="BK2100">
        <v>2475</v>
      </c>
      <c r="BL2100">
        <v>375</v>
      </c>
      <c r="BM2100" t="s">
        <v>119</v>
      </c>
      <c r="BN2100">
        <v>1</v>
      </c>
      <c r="BO2100">
        <v>1</v>
      </c>
      <c r="BP2100">
        <v>1</v>
      </c>
      <c r="BQ2100">
        <v>0</v>
      </c>
      <c r="BT2100">
        <v>0</v>
      </c>
      <c r="BU2100">
        <v>0</v>
      </c>
      <c r="BV2100">
        <v>0</v>
      </c>
      <c r="CC2100" t="str">
        <f>"19:09:50.555"</f>
        <v>19:09:50.555</v>
      </c>
      <c r="CD2100" t="str">
        <f>"551093635"</f>
        <v>551093635</v>
      </c>
      <c r="CQ2100">
        <v>0</v>
      </c>
      <c r="CR2100">
        <v>2</v>
      </c>
      <c r="CS2100">
        <v>0</v>
      </c>
      <c r="CT2100">
        <v>2</v>
      </c>
      <c r="CU2100">
        <v>0</v>
      </c>
      <c r="CV2100">
        <v>7</v>
      </c>
      <c r="CW2100" t="s">
        <v>120</v>
      </c>
      <c r="CX2100">
        <v>261</v>
      </c>
      <c r="CY2100">
        <v>2</v>
      </c>
      <c r="CZ2100" t="s">
        <v>121</v>
      </c>
      <c r="DA2100" t="s">
        <v>122</v>
      </c>
      <c r="DD2100">
        <v>15518037</v>
      </c>
      <c r="DE2100" t="s">
        <v>123</v>
      </c>
    </row>
    <row r="2101" spans="1:109" x14ac:dyDescent="0.3">
      <c r="A2101" t="str">
        <f>"19:09:51.703"</f>
        <v>19:09:51.703</v>
      </c>
      <c r="B2101" t="s">
        <v>110</v>
      </c>
      <c r="C2101" t="str">
        <f t="shared" si="96"/>
        <v>ffdfd3c0</v>
      </c>
      <c r="D2101" t="s">
        <v>111</v>
      </c>
      <c r="E2101">
        <v>18</v>
      </c>
      <c r="F2101">
        <v>1018</v>
      </c>
      <c r="G2101" t="s">
        <v>112</v>
      </c>
      <c r="J2101" t="s">
        <v>113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R2101" t="s">
        <v>114</v>
      </c>
      <c r="S2101" t="str">
        <f>"19:09:51.508"</f>
        <v>19:09:51.508</v>
      </c>
      <c r="T2101" t="str">
        <f>"19:09:50.711"</f>
        <v>19:09:50.711</v>
      </c>
      <c r="U2101" t="str">
        <f t="shared" si="97"/>
        <v>a1cdbe</v>
      </c>
      <c r="V2101">
        <v>0</v>
      </c>
      <c r="W2101">
        <v>0</v>
      </c>
      <c r="X2101">
        <v>1</v>
      </c>
      <c r="Y2101">
        <v>0</v>
      </c>
      <c r="Z2101">
        <v>0</v>
      </c>
      <c r="AB2101">
        <v>0</v>
      </c>
      <c r="AC2101">
        <v>9</v>
      </c>
      <c r="AD2101">
        <v>3</v>
      </c>
      <c r="AE2101">
        <v>0</v>
      </c>
      <c r="AF2101">
        <v>9</v>
      </c>
      <c r="AG2101" t="s">
        <v>158</v>
      </c>
      <c r="AH2101">
        <v>0</v>
      </c>
      <c r="AI2101">
        <v>3</v>
      </c>
      <c r="AJ2101">
        <v>1</v>
      </c>
      <c r="AK2101">
        <v>0</v>
      </c>
      <c r="AL2101" t="s">
        <v>3954</v>
      </c>
      <c r="AM2101">
        <v>46.873168999999997</v>
      </c>
      <c r="AN2101" t="s">
        <v>3955</v>
      </c>
      <c r="AO2101">
        <v>-123.08434</v>
      </c>
      <c r="AP2101">
        <v>100</v>
      </c>
      <c r="AQ2101">
        <v>2100</v>
      </c>
      <c r="AR2101" t="s">
        <v>118</v>
      </c>
      <c r="AS2101">
        <v>-76</v>
      </c>
      <c r="AT2101">
        <v>18</v>
      </c>
      <c r="AU2101">
        <v>0</v>
      </c>
      <c r="BC2101">
        <v>1200</v>
      </c>
      <c r="BD2101">
        <v>1</v>
      </c>
      <c r="BE2101" t="str">
        <f t="shared" si="98"/>
        <v xml:space="preserve">N215T   </v>
      </c>
      <c r="BF2101">
        <v>1</v>
      </c>
      <c r="BH2101">
        <v>0</v>
      </c>
      <c r="BI2101">
        <v>0</v>
      </c>
      <c r="BJ2101">
        <v>0</v>
      </c>
      <c r="BK2101">
        <v>2475</v>
      </c>
      <c r="BL2101">
        <v>375</v>
      </c>
      <c r="BM2101" t="s">
        <v>119</v>
      </c>
      <c r="BN2101">
        <v>1</v>
      </c>
      <c r="BO2101">
        <v>1</v>
      </c>
      <c r="BP2101">
        <v>1</v>
      </c>
      <c r="BQ2101">
        <v>0</v>
      </c>
      <c r="BT2101">
        <v>0</v>
      </c>
      <c r="BU2101">
        <v>0</v>
      </c>
      <c r="BV2101">
        <v>0</v>
      </c>
      <c r="CC2101" t="str">
        <f>"19:09:51.508"</f>
        <v>19:09:51.508</v>
      </c>
      <c r="CD2101" t="str">
        <f>"510999103"</f>
        <v>510999103</v>
      </c>
      <c r="CQ2101">
        <v>0</v>
      </c>
      <c r="CR2101">
        <v>2</v>
      </c>
      <c r="CS2101">
        <v>0</v>
      </c>
      <c r="CT2101">
        <v>2</v>
      </c>
      <c r="CU2101">
        <v>0</v>
      </c>
      <c r="CV2101">
        <v>7</v>
      </c>
      <c r="CW2101" t="s">
        <v>120</v>
      </c>
      <c r="CX2101">
        <v>261</v>
      </c>
      <c r="CY2101">
        <v>2</v>
      </c>
      <c r="CZ2101" t="s">
        <v>121</v>
      </c>
      <c r="DA2101" t="s">
        <v>122</v>
      </c>
      <c r="DD2101">
        <v>15518718</v>
      </c>
      <c r="DE2101" t="s">
        <v>123</v>
      </c>
    </row>
    <row r="2102" spans="1:109" x14ac:dyDescent="0.3">
      <c r="A2102" t="str">
        <f>"19:09:52.656"</f>
        <v>19:09:52.656</v>
      </c>
      <c r="B2102" t="s">
        <v>110</v>
      </c>
      <c r="C2102" t="str">
        <f t="shared" si="96"/>
        <v>ffdfd3c0</v>
      </c>
      <c r="D2102" t="s">
        <v>111</v>
      </c>
      <c r="E2102">
        <v>18</v>
      </c>
      <c r="F2102">
        <v>1018</v>
      </c>
      <c r="G2102" t="s">
        <v>112</v>
      </c>
      <c r="J2102" t="s">
        <v>113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R2102" t="s">
        <v>114</v>
      </c>
      <c r="S2102" t="str">
        <f>"19:09:52.438"</f>
        <v>19:09:52.438</v>
      </c>
      <c r="T2102" t="str">
        <f>"19:09:52.141"</f>
        <v>19:09:52.141</v>
      </c>
      <c r="U2102" t="str">
        <f t="shared" si="97"/>
        <v>a1cdbe</v>
      </c>
      <c r="V2102">
        <v>0</v>
      </c>
      <c r="W2102">
        <v>0</v>
      </c>
      <c r="X2102">
        <v>1</v>
      </c>
      <c r="Y2102">
        <v>0</v>
      </c>
      <c r="Z2102">
        <v>0</v>
      </c>
      <c r="AB2102">
        <v>0</v>
      </c>
      <c r="AC2102">
        <v>9</v>
      </c>
      <c r="AD2102">
        <v>3</v>
      </c>
      <c r="AE2102">
        <v>0</v>
      </c>
      <c r="AF2102">
        <v>9</v>
      </c>
      <c r="AG2102" t="s">
        <v>158</v>
      </c>
      <c r="AH2102">
        <v>0</v>
      </c>
      <c r="AI2102">
        <v>3</v>
      </c>
      <c r="AJ2102">
        <v>1</v>
      </c>
      <c r="AK2102">
        <v>0</v>
      </c>
      <c r="AL2102" t="s">
        <v>1596</v>
      </c>
      <c r="AM2102">
        <v>46.873255</v>
      </c>
      <c r="AN2102" t="s">
        <v>3956</v>
      </c>
      <c r="AO2102">
        <v>-123.08476899999999</v>
      </c>
      <c r="AP2102">
        <v>100</v>
      </c>
      <c r="AQ2102">
        <v>2100</v>
      </c>
      <c r="AR2102" t="s">
        <v>118</v>
      </c>
      <c r="AS2102">
        <v>-76</v>
      </c>
      <c r="AT2102">
        <v>18</v>
      </c>
      <c r="AU2102">
        <v>0</v>
      </c>
      <c r="BC2102">
        <v>1200</v>
      </c>
      <c r="BD2102">
        <v>1</v>
      </c>
      <c r="BE2102" t="str">
        <f t="shared" si="98"/>
        <v xml:space="preserve">N215T   </v>
      </c>
      <c r="BF2102">
        <v>1</v>
      </c>
      <c r="BH2102">
        <v>0</v>
      </c>
      <c r="BI2102">
        <v>0</v>
      </c>
      <c r="BJ2102">
        <v>0</v>
      </c>
      <c r="BK2102">
        <v>2475</v>
      </c>
      <c r="BL2102">
        <v>375</v>
      </c>
      <c r="BM2102" t="s">
        <v>119</v>
      </c>
      <c r="BN2102">
        <v>1</v>
      </c>
      <c r="BO2102">
        <v>1</v>
      </c>
      <c r="BP2102">
        <v>1</v>
      </c>
      <c r="BQ2102">
        <v>0</v>
      </c>
      <c r="BT2102">
        <v>0</v>
      </c>
      <c r="BU2102">
        <v>0</v>
      </c>
      <c r="BV2102">
        <v>0</v>
      </c>
      <c r="CC2102" t="str">
        <f>"19:09:52.438"</f>
        <v>19:09:52.438</v>
      </c>
      <c r="CD2102" t="str">
        <f>"440907516"</f>
        <v>440907516</v>
      </c>
      <c r="CQ2102">
        <v>0</v>
      </c>
      <c r="CR2102">
        <v>2</v>
      </c>
      <c r="CS2102">
        <v>0</v>
      </c>
      <c r="CT2102">
        <v>2</v>
      </c>
      <c r="CU2102">
        <v>0</v>
      </c>
      <c r="CV2102">
        <v>7</v>
      </c>
      <c r="CW2102" t="s">
        <v>120</v>
      </c>
      <c r="CX2102">
        <v>261</v>
      </c>
      <c r="CY2102">
        <v>2</v>
      </c>
      <c r="CZ2102" t="s">
        <v>121</v>
      </c>
      <c r="DA2102" t="s">
        <v>122</v>
      </c>
      <c r="DD2102">
        <v>15519376</v>
      </c>
      <c r="DE2102" t="s">
        <v>123</v>
      </c>
    </row>
    <row r="2103" spans="1:109" x14ac:dyDescent="0.3">
      <c r="A2103" t="str">
        <f>"19:09:53.766"</f>
        <v>19:09:53.766</v>
      </c>
      <c r="B2103" t="s">
        <v>110</v>
      </c>
      <c r="C2103" t="str">
        <f t="shared" si="96"/>
        <v>ffdfd3c0</v>
      </c>
      <c r="D2103" t="s">
        <v>111</v>
      </c>
      <c r="E2103">
        <v>18</v>
      </c>
      <c r="F2103">
        <v>1018</v>
      </c>
      <c r="G2103" t="s">
        <v>112</v>
      </c>
      <c r="J2103" t="s">
        <v>113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R2103" t="s">
        <v>114</v>
      </c>
      <c r="S2103" t="str">
        <f>"19:09:53.516"</f>
        <v>19:09:53.516</v>
      </c>
      <c r="T2103" t="str">
        <f>"19:09:53.117"</f>
        <v>19:09:53.117</v>
      </c>
      <c r="U2103" t="str">
        <f t="shared" si="97"/>
        <v>a1cdbe</v>
      </c>
      <c r="V2103">
        <v>0</v>
      </c>
      <c r="W2103">
        <v>0</v>
      </c>
      <c r="X2103">
        <v>1</v>
      </c>
      <c r="Y2103">
        <v>0</v>
      </c>
      <c r="Z2103">
        <v>0</v>
      </c>
      <c r="AB2103">
        <v>0</v>
      </c>
      <c r="AC2103">
        <v>9</v>
      </c>
      <c r="AD2103">
        <v>3</v>
      </c>
      <c r="AE2103">
        <v>0</v>
      </c>
      <c r="AF2103">
        <v>9</v>
      </c>
      <c r="AG2103" t="s">
        <v>158</v>
      </c>
      <c r="AH2103">
        <v>0</v>
      </c>
      <c r="AI2103">
        <v>3</v>
      </c>
      <c r="AJ2103">
        <v>1</v>
      </c>
      <c r="AK2103">
        <v>0</v>
      </c>
      <c r="AL2103" t="s">
        <v>3957</v>
      </c>
      <c r="AM2103">
        <v>46.873362</v>
      </c>
      <c r="AN2103" t="s">
        <v>3958</v>
      </c>
      <c r="AO2103">
        <v>-123.08532700000001</v>
      </c>
      <c r="AP2103">
        <v>100</v>
      </c>
      <c r="AQ2103">
        <v>2100</v>
      </c>
      <c r="AR2103" t="s">
        <v>118</v>
      </c>
      <c r="AS2103">
        <v>-77</v>
      </c>
      <c r="AT2103">
        <v>18</v>
      </c>
      <c r="AU2103">
        <v>0</v>
      </c>
      <c r="BC2103">
        <v>1200</v>
      </c>
      <c r="BD2103">
        <v>1</v>
      </c>
      <c r="BE2103" t="str">
        <f t="shared" si="98"/>
        <v xml:space="preserve">N215T   </v>
      </c>
      <c r="BF2103">
        <v>1</v>
      </c>
      <c r="BH2103">
        <v>0</v>
      </c>
      <c r="BI2103">
        <v>0</v>
      </c>
      <c r="BJ2103">
        <v>0</v>
      </c>
      <c r="BK2103">
        <v>2475</v>
      </c>
      <c r="BL2103">
        <v>375</v>
      </c>
      <c r="BM2103" t="s">
        <v>119</v>
      </c>
      <c r="BN2103">
        <v>1</v>
      </c>
      <c r="BO2103">
        <v>1</v>
      </c>
      <c r="BP2103">
        <v>1</v>
      </c>
      <c r="BQ2103">
        <v>0</v>
      </c>
      <c r="BT2103">
        <v>0</v>
      </c>
      <c r="BU2103">
        <v>0</v>
      </c>
      <c r="BV2103">
        <v>0</v>
      </c>
      <c r="CC2103" t="str">
        <f>"19:09:53.523"</f>
        <v>19:09:53.523</v>
      </c>
      <c r="CD2103" t="str">
        <f>"520801144"</f>
        <v>520801144</v>
      </c>
      <c r="CQ2103">
        <v>0</v>
      </c>
      <c r="CR2103">
        <v>2</v>
      </c>
      <c r="CS2103">
        <v>0</v>
      </c>
      <c r="CT2103">
        <v>2</v>
      </c>
      <c r="CU2103">
        <v>0</v>
      </c>
      <c r="CV2103">
        <v>7</v>
      </c>
      <c r="CW2103" t="s">
        <v>120</v>
      </c>
      <c r="CX2103">
        <v>261</v>
      </c>
      <c r="CY2103">
        <v>2</v>
      </c>
      <c r="CZ2103" t="s">
        <v>121</v>
      </c>
      <c r="DA2103" t="s">
        <v>122</v>
      </c>
      <c r="DD2103">
        <v>15520133</v>
      </c>
      <c r="DE2103" t="s">
        <v>123</v>
      </c>
    </row>
    <row r="2104" spans="1:109" x14ac:dyDescent="0.3">
      <c r="A2104" t="str">
        <f>"19:09:54.922"</f>
        <v>19:09:54.922</v>
      </c>
      <c r="B2104" t="s">
        <v>110</v>
      </c>
      <c r="C2104" t="str">
        <f t="shared" si="96"/>
        <v>ffdfd3c0</v>
      </c>
      <c r="D2104" t="s">
        <v>111</v>
      </c>
      <c r="E2104">
        <v>18</v>
      </c>
      <c r="F2104">
        <v>1018</v>
      </c>
      <c r="G2104" t="s">
        <v>112</v>
      </c>
      <c r="J2104" t="s">
        <v>113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R2104" t="s">
        <v>114</v>
      </c>
      <c r="S2104" t="str">
        <f>"19:09:54.641"</f>
        <v>19:09:54.641</v>
      </c>
      <c r="T2104" t="str">
        <f>"19:09:54.141"</f>
        <v>19:09:54.141</v>
      </c>
      <c r="U2104" t="str">
        <f t="shared" si="97"/>
        <v>a1cdbe</v>
      </c>
      <c r="V2104">
        <v>0</v>
      </c>
      <c r="W2104">
        <v>0</v>
      </c>
      <c r="X2104">
        <v>1</v>
      </c>
      <c r="Y2104">
        <v>0</v>
      </c>
      <c r="Z2104">
        <v>0</v>
      </c>
      <c r="AB2104">
        <v>0</v>
      </c>
      <c r="AC2104">
        <v>9</v>
      </c>
      <c r="AD2104">
        <v>3</v>
      </c>
      <c r="AE2104">
        <v>0</v>
      </c>
      <c r="AF2104">
        <v>9</v>
      </c>
      <c r="AG2104" t="s">
        <v>158</v>
      </c>
      <c r="AH2104">
        <v>0</v>
      </c>
      <c r="AI2104">
        <v>3</v>
      </c>
      <c r="AJ2104">
        <v>1</v>
      </c>
      <c r="AK2104">
        <v>0</v>
      </c>
      <c r="AL2104" t="s">
        <v>3959</v>
      </c>
      <c r="AM2104">
        <v>46.873448000000003</v>
      </c>
      <c r="AN2104" t="s">
        <v>3960</v>
      </c>
      <c r="AO2104">
        <v>-123.085971</v>
      </c>
      <c r="AP2104">
        <v>100</v>
      </c>
      <c r="AQ2104">
        <v>2100</v>
      </c>
      <c r="AR2104" t="s">
        <v>118</v>
      </c>
      <c r="AS2104">
        <v>-77</v>
      </c>
      <c r="AT2104">
        <v>18</v>
      </c>
      <c r="AU2104">
        <v>0</v>
      </c>
      <c r="BC2104">
        <v>1200</v>
      </c>
      <c r="BD2104">
        <v>1</v>
      </c>
      <c r="BE2104" t="str">
        <f t="shared" si="98"/>
        <v xml:space="preserve">N215T   </v>
      </c>
      <c r="BF2104">
        <v>1</v>
      </c>
      <c r="BH2104">
        <v>0</v>
      </c>
      <c r="BI2104">
        <v>0</v>
      </c>
      <c r="BJ2104">
        <v>0</v>
      </c>
      <c r="BK2104">
        <v>2475</v>
      </c>
      <c r="BL2104">
        <v>375</v>
      </c>
      <c r="BM2104" t="s">
        <v>119</v>
      </c>
      <c r="BN2104">
        <v>1</v>
      </c>
      <c r="BO2104">
        <v>1</v>
      </c>
      <c r="BP2104">
        <v>1</v>
      </c>
      <c r="BQ2104">
        <v>0</v>
      </c>
      <c r="BT2104">
        <v>0</v>
      </c>
      <c r="BU2104">
        <v>0</v>
      </c>
      <c r="BV2104">
        <v>0</v>
      </c>
      <c r="CC2104" t="str">
        <f>"19:09:54.648"</f>
        <v>19:09:54.648</v>
      </c>
      <c r="CD2104" t="str">
        <f>"645690352"</f>
        <v>645690352</v>
      </c>
      <c r="CQ2104">
        <v>0</v>
      </c>
      <c r="CR2104">
        <v>2</v>
      </c>
      <c r="CS2104">
        <v>0</v>
      </c>
      <c r="CT2104">
        <v>2</v>
      </c>
      <c r="CU2104">
        <v>0</v>
      </c>
      <c r="CV2104">
        <v>6</v>
      </c>
      <c r="CW2104" t="s">
        <v>120</v>
      </c>
      <c r="CX2104">
        <v>261</v>
      </c>
      <c r="CY2104">
        <v>2</v>
      </c>
      <c r="CZ2104" t="s">
        <v>121</v>
      </c>
      <c r="DA2104" t="s">
        <v>122</v>
      </c>
      <c r="DD2104">
        <v>15520913</v>
      </c>
      <c r="DE2104" t="s">
        <v>123</v>
      </c>
    </row>
    <row r="2105" spans="1:109" x14ac:dyDescent="0.3">
      <c r="A2105" t="str">
        <f>"19:09:55.828"</f>
        <v>19:09:55.828</v>
      </c>
      <c r="B2105" t="s">
        <v>110</v>
      </c>
      <c r="C2105" t="str">
        <f t="shared" si="96"/>
        <v>ffdfd3c0</v>
      </c>
      <c r="D2105" t="s">
        <v>111</v>
      </c>
      <c r="E2105">
        <v>18</v>
      </c>
      <c r="F2105">
        <v>1018</v>
      </c>
      <c r="G2105" t="s">
        <v>112</v>
      </c>
      <c r="J2105" t="s">
        <v>113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R2105" t="s">
        <v>114</v>
      </c>
      <c r="S2105" t="str">
        <f>"19:09:55.602"</f>
        <v>19:09:55.602</v>
      </c>
      <c r="T2105" t="str">
        <f>"19:09:55.602"</f>
        <v>19:09:55.602</v>
      </c>
      <c r="U2105" t="str">
        <f t="shared" si="97"/>
        <v>a1cdbe</v>
      </c>
      <c r="V2105">
        <v>0</v>
      </c>
      <c r="W2105">
        <v>0</v>
      </c>
      <c r="X2105">
        <v>1</v>
      </c>
      <c r="Y2105">
        <v>0</v>
      </c>
      <c r="Z2105">
        <v>0</v>
      </c>
      <c r="AB2105">
        <v>0</v>
      </c>
      <c r="AC2105">
        <v>9</v>
      </c>
      <c r="AD2105">
        <v>3</v>
      </c>
      <c r="AE2105">
        <v>0</v>
      </c>
      <c r="AF2105">
        <v>9</v>
      </c>
      <c r="AG2105" t="s">
        <v>158</v>
      </c>
      <c r="AH2105">
        <v>0</v>
      </c>
      <c r="AI2105">
        <v>3</v>
      </c>
      <c r="AJ2105">
        <v>1</v>
      </c>
      <c r="AK2105">
        <v>0</v>
      </c>
      <c r="AL2105" t="s">
        <v>3961</v>
      </c>
      <c r="AM2105">
        <v>46.873533999999999</v>
      </c>
      <c r="AN2105" t="s">
        <v>3962</v>
      </c>
      <c r="AO2105">
        <v>-123.086421</v>
      </c>
      <c r="AP2105">
        <v>100</v>
      </c>
      <c r="AQ2105">
        <v>2100</v>
      </c>
      <c r="AR2105" t="s">
        <v>118</v>
      </c>
      <c r="AS2105">
        <v>-77</v>
      </c>
      <c r="AT2105">
        <v>17</v>
      </c>
      <c r="AU2105">
        <v>0</v>
      </c>
      <c r="BC2105">
        <v>1200</v>
      </c>
      <c r="BD2105">
        <v>1</v>
      </c>
      <c r="BE2105" t="str">
        <f t="shared" si="98"/>
        <v xml:space="preserve">N215T   </v>
      </c>
      <c r="BF2105">
        <v>1</v>
      </c>
      <c r="BH2105">
        <v>0</v>
      </c>
      <c r="BI2105">
        <v>0</v>
      </c>
      <c r="BJ2105">
        <v>0</v>
      </c>
      <c r="BK2105">
        <v>2475</v>
      </c>
      <c r="BL2105">
        <v>375</v>
      </c>
      <c r="BM2105" t="s">
        <v>119</v>
      </c>
      <c r="BN2105">
        <v>1</v>
      </c>
      <c r="BO2105">
        <v>1</v>
      </c>
      <c r="BP2105">
        <v>1</v>
      </c>
      <c r="BQ2105">
        <v>0</v>
      </c>
      <c r="BT2105">
        <v>0</v>
      </c>
      <c r="BU2105">
        <v>0</v>
      </c>
      <c r="BV2105">
        <v>0</v>
      </c>
      <c r="CC2105" t="str">
        <f>"19:09:55.609"</f>
        <v>19:09:55.609</v>
      </c>
      <c r="CD2105" t="str">
        <f>"605595814"</f>
        <v>605595814</v>
      </c>
      <c r="CQ2105">
        <v>0</v>
      </c>
      <c r="CR2105">
        <v>2</v>
      </c>
      <c r="CS2105">
        <v>0</v>
      </c>
      <c r="CT2105">
        <v>2</v>
      </c>
      <c r="CU2105">
        <v>0</v>
      </c>
      <c r="CV2105">
        <v>6</v>
      </c>
      <c r="CW2105" t="s">
        <v>120</v>
      </c>
      <c r="CX2105">
        <v>261</v>
      </c>
      <c r="CY2105">
        <v>2</v>
      </c>
      <c r="CZ2105" t="s">
        <v>121</v>
      </c>
      <c r="DA2105" t="s">
        <v>122</v>
      </c>
      <c r="DD2105">
        <v>15521627</v>
      </c>
      <c r="DE2105" t="s">
        <v>123</v>
      </c>
    </row>
    <row r="2106" spans="1:109" x14ac:dyDescent="0.3">
      <c r="A2106" t="str">
        <f>"19:09:56.781"</f>
        <v>19:09:56.781</v>
      </c>
      <c r="B2106" t="s">
        <v>110</v>
      </c>
      <c r="C2106" t="str">
        <f t="shared" si="96"/>
        <v>ffdfd3c0</v>
      </c>
      <c r="D2106" t="s">
        <v>111</v>
      </c>
      <c r="E2106">
        <v>18</v>
      </c>
      <c r="F2106">
        <v>1018</v>
      </c>
      <c r="G2106" t="s">
        <v>112</v>
      </c>
      <c r="J2106" t="s">
        <v>113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R2106" t="s">
        <v>114</v>
      </c>
      <c r="S2106" t="str">
        <f>"19:09:56.531"</f>
        <v>19:09:56.531</v>
      </c>
      <c r="T2106" t="str">
        <f>"19:09:56.531"</f>
        <v>19:09:56.531</v>
      </c>
      <c r="U2106" t="str">
        <f t="shared" si="97"/>
        <v>a1cdbe</v>
      </c>
      <c r="V2106">
        <v>0</v>
      </c>
      <c r="W2106">
        <v>0</v>
      </c>
      <c r="X2106">
        <v>1</v>
      </c>
      <c r="Y2106">
        <v>0</v>
      </c>
      <c r="Z2106">
        <v>0</v>
      </c>
      <c r="AB2106">
        <v>0</v>
      </c>
      <c r="AC2106">
        <v>9</v>
      </c>
      <c r="AD2106">
        <v>3</v>
      </c>
      <c r="AE2106">
        <v>0</v>
      </c>
      <c r="AF2106">
        <v>9</v>
      </c>
      <c r="AG2106" t="s">
        <v>158</v>
      </c>
      <c r="AH2106">
        <v>0</v>
      </c>
      <c r="AI2106">
        <v>3</v>
      </c>
      <c r="AJ2106">
        <v>1</v>
      </c>
      <c r="AK2106">
        <v>0</v>
      </c>
      <c r="AL2106" t="s">
        <v>3963</v>
      </c>
      <c r="AM2106">
        <v>46.873576999999997</v>
      </c>
      <c r="AN2106" t="s">
        <v>3964</v>
      </c>
      <c r="AO2106">
        <v>-123.086915</v>
      </c>
      <c r="AP2106">
        <v>100</v>
      </c>
      <c r="AQ2106">
        <v>2100</v>
      </c>
      <c r="AR2106" t="s">
        <v>118</v>
      </c>
      <c r="AS2106">
        <v>-77</v>
      </c>
      <c r="AT2106">
        <v>17</v>
      </c>
      <c r="AU2106">
        <v>-64</v>
      </c>
      <c r="BC2106">
        <v>1200</v>
      </c>
      <c r="BD2106">
        <v>1</v>
      </c>
      <c r="BE2106" t="str">
        <f t="shared" si="98"/>
        <v xml:space="preserve">N215T   </v>
      </c>
      <c r="BF2106">
        <v>1</v>
      </c>
      <c r="BH2106">
        <v>0</v>
      </c>
      <c r="BI2106">
        <v>0</v>
      </c>
      <c r="BJ2106">
        <v>0</v>
      </c>
      <c r="BK2106">
        <v>2475</v>
      </c>
      <c r="BL2106">
        <v>375</v>
      </c>
      <c r="BM2106" t="s">
        <v>119</v>
      </c>
      <c r="BN2106">
        <v>1</v>
      </c>
      <c r="BO2106">
        <v>1</v>
      </c>
      <c r="BP2106">
        <v>1</v>
      </c>
      <c r="BQ2106">
        <v>0</v>
      </c>
      <c r="BT2106">
        <v>0</v>
      </c>
      <c r="BU2106">
        <v>0</v>
      </c>
      <c r="BV2106">
        <v>0</v>
      </c>
      <c r="CC2106" t="str">
        <f>"19:09:56.539"</f>
        <v>19:09:56.539</v>
      </c>
      <c r="CD2106" t="str">
        <f>"535504226"</f>
        <v>535504226</v>
      </c>
      <c r="CQ2106">
        <v>0</v>
      </c>
      <c r="CR2106">
        <v>2</v>
      </c>
      <c r="CS2106">
        <v>0</v>
      </c>
      <c r="CT2106">
        <v>2</v>
      </c>
      <c r="CU2106">
        <v>0</v>
      </c>
      <c r="CV2106">
        <v>6</v>
      </c>
      <c r="CW2106" t="s">
        <v>120</v>
      </c>
      <c r="CX2106">
        <v>261</v>
      </c>
      <c r="CY2106">
        <v>2</v>
      </c>
      <c r="CZ2106" t="s">
        <v>121</v>
      </c>
      <c r="DA2106" t="s">
        <v>122</v>
      </c>
      <c r="DD2106">
        <v>15522315</v>
      </c>
      <c r="DE2106" t="s">
        <v>123</v>
      </c>
    </row>
    <row r="2107" spans="1:109" x14ac:dyDescent="0.3">
      <c r="A2107" t="str">
        <f>"19:09:57.789"</f>
        <v>19:09:57.789</v>
      </c>
      <c r="B2107" t="s">
        <v>110</v>
      </c>
      <c r="C2107" t="str">
        <f t="shared" si="96"/>
        <v>ffdfd3c0</v>
      </c>
      <c r="D2107" t="s">
        <v>111</v>
      </c>
      <c r="E2107">
        <v>18</v>
      </c>
      <c r="F2107">
        <v>1018</v>
      </c>
      <c r="G2107" t="s">
        <v>112</v>
      </c>
      <c r="J2107" t="s">
        <v>113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R2107" t="s">
        <v>114</v>
      </c>
      <c r="S2107" t="str">
        <f>"19:09:57.555"</f>
        <v>19:09:57.555</v>
      </c>
      <c r="T2107" t="str">
        <f>"19:09:57.555"</f>
        <v>19:09:57.555</v>
      </c>
      <c r="U2107" t="str">
        <f t="shared" si="97"/>
        <v>a1cdbe</v>
      </c>
      <c r="V2107">
        <v>0</v>
      </c>
      <c r="W2107">
        <v>0</v>
      </c>
      <c r="X2107">
        <v>1</v>
      </c>
      <c r="Y2107">
        <v>0</v>
      </c>
      <c r="Z2107">
        <v>0</v>
      </c>
      <c r="AB2107">
        <v>0</v>
      </c>
      <c r="AC2107">
        <v>9</v>
      </c>
      <c r="AD2107">
        <v>3</v>
      </c>
      <c r="AE2107">
        <v>0</v>
      </c>
      <c r="AF2107">
        <v>9</v>
      </c>
      <c r="AG2107" t="s">
        <v>158</v>
      </c>
      <c r="AH2107">
        <v>0</v>
      </c>
      <c r="AI2107">
        <v>3</v>
      </c>
      <c r="AJ2107">
        <v>1</v>
      </c>
      <c r="AK2107">
        <v>0</v>
      </c>
      <c r="AL2107" t="s">
        <v>3965</v>
      </c>
      <c r="AM2107">
        <v>46.873662000000003</v>
      </c>
      <c r="AN2107" t="s">
        <v>3966</v>
      </c>
      <c r="AO2107">
        <v>-123.087451</v>
      </c>
      <c r="AP2107">
        <v>100</v>
      </c>
      <c r="AQ2107">
        <v>2100</v>
      </c>
      <c r="AR2107" t="s">
        <v>118</v>
      </c>
      <c r="AS2107">
        <v>-77</v>
      </c>
      <c r="AT2107">
        <v>17</v>
      </c>
      <c r="AU2107">
        <v>-64</v>
      </c>
      <c r="BC2107">
        <v>1200</v>
      </c>
      <c r="BD2107">
        <v>1</v>
      </c>
      <c r="BE2107" t="str">
        <f t="shared" si="98"/>
        <v xml:space="preserve">N215T   </v>
      </c>
      <c r="BF2107">
        <v>1</v>
      </c>
      <c r="BH2107">
        <v>0</v>
      </c>
      <c r="BI2107">
        <v>0</v>
      </c>
      <c r="BJ2107">
        <v>0</v>
      </c>
      <c r="BK2107">
        <v>2450</v>
      </c>
      <c r="BL2107">
        <v>350</v>
      </c>
      <c r="BM2107" t="s">
        <v>119</v>
      </c>
      <c r="BN2107">
        <v>1</v>
      </c>
      <c r="BO2107">
        <v>1</v>
      </c>
      <c r="BP2107">
        <v>1</v>
      </c>
      <c r="BQ2107">
        <v>0</v>
      </c>
      <c r="BT2107">
        <v>0</v>
      </c>
      <c r="BU2107">
        <v>0</v>
      </c>
      <c r="BV2107">
        <v>0</v>
      </c>
      <c r="CC2107" t="str">
        <f>"19:09:57.555"</f>
        <v>19:09:57.555</v>
      </c>
      <c r="CD2107" t="str">
        <f>"555403777"</f>
        <v>555403777</v>
      </c>
      <c r="CQ2107">
        <v>0</v>
      </c>
      <c r="CR2107">
        <v>2</v>
      </c>
      <c r="CS2107">
        <v>0</v>
      </c>
      <c r="CT2107">
        <v>2</v>
      </c>
      <c r="CU2107">
        <v>0</v>
      </c>
      <c r="CV2107">
        <v>6</v>
      </c>
      <c r="CW2107" t="s">
        <v>120</v>
      </c>
      <c r="CX2107">
        <v>261</v>
      </c>
      <c r="CY2107">
        <v>2</v>
      </c>
      <c r="CZ2107" t="s">
        <v>121</v>
      </c>
      <c r="DA2107" t="s">
        <v>122</v>
      </c>
      <c r="DD2107">
        <v>15523073</v>
      </c>
      <c r="DE2107" t="s">
        <v>123</v>
      </c>
    </row>
    <row r="2108" spans="1:109" x14ac:dyDescent="0.3">
      <c r="A2108" t="str">
        <f>"19:09:58.641"</f>
        <v>19:09:58.641</v>
      </c>
      <c r="B2108" t="s">
        <v>110</v>
      </c>
      <c r="C2108" t="str">
        <f t="shared" si="96"/>
        <v>ffdfd3c0</v>
      </c>
      <c r="D2108" t="s">
        <v>111</v>
      </c>
      <c r="E2108">
        <v>18</v>
      </c>
      <c r="F2108">
        <v>1018</v>
      </c>
      <c r="G2108" t="s">
        <v>112</v>
      </c>
      <c r="J2108" t="s">
        <v>113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R2108" t="s">
        <v>114</v>
      </c>
      <c r="S2108" t="str">
        <f>"19:09:58.406"</f>
        <v>19:09:58.406</v>
      </c>
      <c r="T2108" t="str">
        <f>"19:09:58.406"</f>
        <v>19:09:58.406</v>
      </c>
      <c r="U2108" t="str">
        <f t="shared" si="97"/>
        <v>a1cdbe</v>
      </c>
      <c r="V2108">
        <v>0</v>
      </c>
      <c r="W2108">
        <v>0</v>
      </c>
      <c r="X2108">
        <v>1</v>
      </c>
      <c r="Y2108">
        <v>0</v>
      </c>
      <c r="Z2108">
        <v>0</v>
      </c>
      <c r="AB2108">
        <v>0</v>
      </c>
      <c r="AC2108">
        <v>9</v>
      </c>
      <c r="AD2108">
        <v>3</v>
      </c>
      <c r="AE2108">
        <v>0</v>
      </c>
      <c r="AF2108">
        <v>9</v>
      </c>
      <c r="AG2108" t="s">
        <v>158</v>
      </c>
      <c r="AH2108">
        <v>0</v>
      </c>
      <c r="AI2108">
        <v>3</v>
      </c>
      <c r="AJ2108">
        <v>1</v>
      </c>
      <c r="AK2108">
        <v>0</v>
      </c>
      <c r="AL2108" t="s">
        <v>3967</v>
      </c>
      <c r="AM2108">
        <v>46.87377</v>
      </c>
      <c r="AN2108" t="s">
        <v>3968</v>
      </c>
      <c r="AO2108">
        <v>-123.08785899999999</v>
      </c>
      <c r="AP2108">
        <v>100</v>
      </c>
      <c r="AQ2108">
        <v>2100</v>
      </c>
      <c r="AR2108" t="s">
        <v>118</v>
      </c>
      <c r="AS2108">
        <v>-77</v>
      </c>
      <c r="AT2108">
        <v>17</v>
      </c>
      <c r="AU2108">
        <v>0</v>
      </c>
      <c r="BC2108">
        <v>1200</v>
      </c>
      <c r="BD2108">
        <v>1</v>
      </c>
      <c r="BE2108" t="str">
        <f t="shared" si="98"/>
        <v xml:space="preserve">N215T   </v>
      </c>
      <c r="BF2108">
        <v>1</v>
      </c>
      <c r="BH2108">
        <v>0</v>
      </c>
      <c r="BI2108">
        <v>0</v>
      </c>
      <c r="BJ2108">
        <v>0</v>
      </c>
      <c r="BK2108">
        <v>2475</v>
      </c>
      <c r="BL2108">
        <v>375</v>
      </c>
      <c r="BM2108" t="s">
        <v>119</v>
      </c>
      <c r="BN2108">
        <v>1</v>
      </c>
      <c r="BO2108">
        <v>1</v>
      </c>
      <c r="BP2108">
        <v>1</v>
      </c>
      <c r="BQ2108">
        <v>0</v>
      </c>
      <c r="BT2108">
        <v>0</v>
      </c>
      <c r="BU2108">
        <v>0</v>
      </c>
      <c r="BV2108">
        <v>0</v>
      </c>
      <c r="CC2108" t="str">
        <f>"19:09:58.414"</f>
        <v>19:09:58.414</v>
      </c>
      <c r="CD2108" t="str">
        <f>"410319584"</f>
        <v>410319584</v>
      </c>
      <c r="CQ2108">
        <v>0</v>
      </c>
      <c r="CR2108">
        <v>2</v>
      </c>
      <c r="CS2108">
        <v>0</v>
      </c>
      <c r="CT2108">
        <v>2</v>
      </c>
      <c r="CU2108">
        <v>0</v>
      </c>
      <c r="CV2108">
        <v>6</v>
      </c>
      <c r="CW2108" t="s">
        <v>120</v>
      </c>
      <c r="CX2108">
        <v>261</v>
      </c>
      <c r="CY2108">
        <v>2</v>
      </c>
      <c r="CZ2108" t="s">
        <v>121</v>
      </c>
      <c r="DA2108" t="s">
        <v>122</v>
      </c>
      <c r="DD2108">
        <v>15523651</v>
      </c>
      <c r="DE2108" t="s">
        <v>123</v>
      </c>
    </row>
    <row r="2109" spans="1:109" x14ac:dyDescent="0.3">
      <c r="A2109" t="str">
        <f>"19:09:59.750"</f>
        <v>19:09:59.750</v>
      </c>
      <c r="B2109" t="s">
        <v>110</v>
      </c>
      <c r="C2109" t="str">
        <f t="shared" si="96"/>
        <v>ffdfd3c0</v>
      </c>
      <c r="D2109" t="s">
        <v>111</v>
      </c>
      <c r="E2109">
        <v>18</v>
      </c>
      <c r="F2109">
        <v>1018</v>
      </c>
      <c r="G2109" t="s">
        <v>112</v>
      </c>
      <c r="J2109" t="s">
        <v>113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R2109" t="s">
        <v>114</v>
      </c>
      <c r="S2109" t="str">
        <f>"19:09:59.531"</f>
        <v>19:09:59.531</v>
      </c>
      <c r="T2109" t="str">
        <f>"19:09:59.031"</f>
        <v>19:09:59.031</v>
      </c>
      <c r="U2109" t="str">
        <f t="shared" si="97"/>
        <v>a1cdbe</v>
      </c>
      <c r="V2109">
        <v>0</v>
      </c>
      <c r="W2109">
        <v>0</v>
      </c>
      <c r="X2109">
        <v>1</v>
      </c>
      <c r="Y2109">
        <v>0</v>
      </c>
      <c r="Z2109">
        <v>0</v>
      </c>
      <c r="AB2109">
        <v>0</v>
      </c>
      <c r="AC2109">
        <v>9</v>
      </c>
      <c r="AD2109">
        <v>3</v>
      </c>
      <c r="AE2109">
        <v>0</v>
      </c>
      <c r="AF2109">
        <v>9</v>
      </c>
      <c r="AG2109" t="s">
        <v>158</v>
      </c>
      <c r="AH2109">
        <v>0</v>
      </c>
      <c r="AI2109">
        <v>3</v>
      </c>
      <c r="AJ2109">
        <v>1</v>
      </c>
      <c r="AK2109">
        <v>0</v>
      </c>
      <c r="AL2109" t="s">
        <v>1592</v>
      </c>
      <c r="AM2109">
        <v>46.873812999999998</v>
      </c>
      <c r="AN2109" t="s">
        <v>3969</v>
      </c>
      <c r="AO2109">
        <v>-123.088503</v>
      </c>
      <c r="AP2109">
        <v>100</v>
      </c>
      <c r="AQ2109">
        <v>2100</v>
      </c>
      <c r="AR2109" t="s">
        <v>118</v>
      </c>
      <c r="AS2109">
        <v>-77</v>
      </c>
      <c r="AT2109">
        <v>17</v>
      </c>
      <c r="AU2109">
        <v>-64</v>
      </c>
      <c r="BC2109">
        <v>1200</v>
      </c>
      <c r="BD2109">
        <v>1</v>
      </c>
      <c r="BE2109" t="str">
        <f t="shared" si="98"/>
        <v xml:space="preserve">N215T   </v>
      </c>
      <c r="BF2109">
        <v>1</v>
      </c>
      <c r="BH2109">
        <v>0</v>
      </c>
      <c r="BI2109">
        <v>0</v>
      </c>
      <c r="BJ2109">
        <v>0</v>
      </c>
      <c r="BK2109">
        <v>2475</v>
      </c>
      <c r="BL2109">
        <v>375</v>
      </c>
      <c r="BM2109" t="s">
        <v>119</v>
      </c>
      <c r="BN2109">
        <v>1</v>
      </c>
      <c r="BO2109">
        <v>1</v>
      </c>
      <c r="BP2109">
        <v>1</v>
      </c>
      <c r="BQ2109">
        <v>0</v>
      </c>
      <c r="BT2109">
        <v>0</v>
      </c>
      <c r="BU2109">
        <v>0</v>
      </c>
      <c r="BV2109">
        <v>0</v>
      </c>
      <c r="CC2109" t="str">
        <f>"19:09:59.539"</f>
        <v>19:09:59.539</v>
      </c>
      <c r="CD2109" t="str">
        <f>"535208798"</f>
        <v>535208798</v>
      </c>
      <c r="CQ2109">
        <v>0</v>
      </c>
      <c r="CR2109">
        <v>2</v>
      </c>
      <c r="CS2109">
        <v>0</v>
      </c>
      <c r="CT2109">
        <v>2</v>
      </c>
      <c r="CU2109">
        <v>0</v>
      </c>
      <c r="CV2109">
        <v>7</v>
      </c>
      <c r="CW2109" t="s">
        <v>120</v>
      </c>
      <c r="CX2109">
        <v>261</v>
      </c>
      <c r="CY2109">
        <v>2</v>
      </c>
      <c r="CZ2109" t="s">
        <v>121</v>
      </c>
      <c r="DA2109" t="s">
        <v>122</v>
      </c>
      <c r="DD2109">
        <v>15524466</v>
      </c>
      <c r="DE2109" t="s">
        <v>123</v>
      </c>
    </row>
    <row r="2110" spans="1:109" x14ac:dyDescent="0.3">
      <c r="A2110" t="str">
        <f>"19:10:00.906"</f>
        <v>19:10:00.906</v>
      </c>
      <c r="B2110" t="s">
        <v>110</v>
      </c>
      <c r="C2110" t="str">
        <f t="shared" si="96"/>
        <v>ffdfd3c0</v>
      </c>
      <c r="D2110" t="s">
        <v>111</v>
      </c>
      <c r="E2110">
        <v>18</v>
      </c>
      <c r="F2110">
        <v>1018</v>
      </c>
      <c r="G2110" t="s">
        <v>112</v>
      </c>
      <c r="J2110" t="s">
        <v>113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R2110" t="s">
        <v>114</v>
      </c>
      <c r="S2110" t="str">
        <f>"19:10:00.688"</f>
        <v>19:10:00.688</v>
      </c>
      <c r="T2110" t="str">
        <f>"19:10:00.688"</f>
        <v>19:10:00.688</v>
      </c>
      <c r="U2110" t="str">
        <f t="shared" si="97"/>
        <v>a1cdbe</v>
      </c>
      <c r="V2110">
        <v>0</v>
      </c>
      <c r="W2110">
        <v>0</v>
      </c>
      <c r="X2110">
        <v>1</v>
      </c>
      <c r="Y2110">
        <v>0</v>
      </c>
      <c r="Z2110">
        <v>0</v>
      </c>
      <c r="AB2110">
        <v>0</v>
      </c>
      <c r="AC2110">
        <v>9</v>
      </c>
      <c r="AD2110">
        <v>3</v>
      </c>
      <c r="AE2110">
        <v>0</v>
      </c>
      <c r="AF2110">
        <v>9</v>
      </c>
      <c r="AG2110" t="s">
        <v>158</v>
      </c>
      <c r="AH2110">
        <v>0</v>
      </c>
      <c r="AI2110">
        <v>3</v>
      </c>
      <c r="AJ2110">
        <v>1</v>
      </c>
      <c r="AK2110">
        <v>0</v>
      </c>
      <c r="AL2110" t="s">
        <v>3970</v>
      </c>
      <c r="AM2110">
        <v>46.873919999999998</v>
      </c>
      <c r="AN2110" t="s">
        <v>3971</v>
      </c>
      <c r="AO2110">
        <v>-123.089061</v>
      </c>
      <c r="AP2110">
        <v>100</v>
      </c>
      <c r="AQ2110">
        <v>2100</v>
      </c>
      <c r="AR2110" t="s">
        <v>118</v>
      </c>
      <c r="AS2110">
        <v>-77</v>
      </c>
      <c r="AT2110">
        <v>17</v>
      </c>
      <c r="AU2110">
        <v>-64</v>
      </c>
      <c r="BC2110">
        <v>1200</v>
      </c>
      <c r="BD2110">
        <v>1</v>
      </c>
      <c r="BE2110" t="str">
        <f t="shared" si="98"/>
        <v xml:space="preserve">N215T   </v>
      </c>
      <c r="BF2110">
        <v>1</v>
      </c>
      <c r="BH2110">
        <v>0</v>
      </c>
      <c r="BI2110">
        <v>0</v>
      </c>
      <c r="BJ2110">
        <v>0</v>
      </c>
      <c r="BK2110">
        <v>2475</v>
      </c>
      <c r="BL2110">
        <v>375</v>
      </c>
      <c r="BM2110" t="s">
        <v>119</v>
      </c>
      <c r="BN2110">
        <v>1</v>
      </c>
      <c r="BO2110">
        <v>1</v>
      </c>
      <c r="BP2110">
        <v>1</v>
      </c>
      <c r="BQ2110">
        <v>0</v>
      </c>
      <c r="BT2110">
        <v>0</v>
      </c>
      <c r="BU2110">
        <v>0</v>
      </c>
      <c r="BV2110">
        <v>0</v>
      </c>
      <c r="CC2110" t="str">
        <f>"19:10:00.688"</f>
        <v>19:10:00.688</v>
      </c>
      <c r="CD2110" t="str">
        <f>"690095049"</f>
        <v>690095049</v>
      </c>
      <c r="CQ2110">
        <v>0</v>
      </c>
      <c r="CR2110">
        <v>2</v>
      </c>
      <c r="CS2110">
        <v>0</v>
      </c>
      <c r="CT2110">
        <v>2</v>
      </c>
      <c r="CU2110">
        <v>0</v>
      </c>
      <c r="CV2110">
        <v>7</v>
      </c>
      <c r="CW2110" t="s">
        <v>120</v>
      </c>
      <c r="CX2110">
        <v>261</v>
      </c>
      <c r="CY2110">
        <v>2</v>
      </c>
      <c r="CZ2110" t="s">
        <v>121</v>
      </c>
      <c r="DA2110" t="s">
        <v>122</v>
      </c>
      <c r="DD2110">
        <v>15525342</v>
      </c>
      <c r="DE2110" t="s">
        <v>123</v>
      </c>
    </row>
    <row r="2111" spans="1:109" x14ac:dyDescent="0.3">
      <c r="A2111" t="str">
        <f>"19:10:01.914"</f>
        <v>19:10:01.914</v>
      </c>
      <c r="B2111" t="s">
        <v>110</v>
      </c>
      <c r="C2111" t="str">
        <f t="shared" si="96"/>
        <v>ffdfd3c0</v>
      </c>
      <c r="D2111" t="s">
        <v>111</v>
      </c>
      <c r="E2111">
        <v>18</v>
      </c>
      <c r="F2111">
        <v>1018</v>
      </c>
      <c r="G2111" t="s">
        <v>112</v>
      </c>
      <c r="J2111" t="s">
        <v>113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R2111" t="s">
        <v>114</v>
      </c>
      <c r="S2111" t="str">
        <f>"19:10:01.680"</f>
        <v>19:10:01.680</v>
      </c>
      <c r="T2111" t="str">
        <f>"19:10:01.180"</f>
        <v>19:10:01.180</v>
      </c>
      <c r="U2111" t="str">
        <f t="shared" si="97"/>
        <v>a1cdbe</v>
      </c>
      <c r="V2111">
        <v>0</v>
      </c>
      <c r="W2111">
        <v>0</v>
      </c>
      <c r="X2111">
        <v>1</v>
      </c>
      <c r="Y2111">
        <v>0</v>
      </c>
      <c r="Z2111">
        <v>0</v>
      </c>
      <c r="AB2111">
        <v>0</v>
      </c>
      <c r="AC2111">
        <v>9</v>
      </c>
      <c r="AD2111">
        <v>3</v>
      </c>
      <c r="AE2111">
        <v>0</v>
      </c>
      <c r="AF2111">
        <v>9</v>
      </c>
      <c r="AG2111" t="s">
        <v>158</v>
      </c>
      <c r="AH2111">
        <v>0</v>
      </c>
      <c r="AI2111">
        <v>3</v>
      </c>
      <c r="AJ2111">
        <v>1</v>
      </c>
      <c r="AK2111">
        <v>0</v>
      </c>
      <c r="AL2111" t="s">
        <v>3972</v>
      </c>
      <c r="AM2111">
        <v>46.873984</v>
      </c>
      <c r="AN2111" t="s">
        <v>3973</v>
      </c>
      <c r="AO2111">
        <v>-123.08957599999999</v>
      </c>
      <c r="AP2111">
        <v>100</v>
      </c>
      <c r="AQ2111">
        <v>2100</v>
      </c>
      <c r="AR2111" t="s">
        <v>118</v>
      </c>
      <c r="AS2111">
        <v>-77</v>
      </c>
      <c r="AT2111">
        <v>17</v>
      </c>
      <c r="AU2111">
        <v>-64</v>
      </c>
      <c r="BC2111">
        <v>1200</v>
      </c>
      <c r="BD2111">
        <v>1</v>
      </c>
      <c r="BE2111" t="str">
        <f t="shared" si="98"/>
        <v xml:space="preserve">N215T   </v>
      </c>
      <c r="BF2111">
        <v>1</v>
      </c>
      <c r="BH2111">
        <v>0</v>
      </c>
      <c r="BI2111">
        <v>0</v>
      </c>
      <c r="BJ2111">
        <v>0</v>
      </c>
      <c r="BK2111">
        <v>2475</v>
      </c>
      <c r="BL2111">
        <v>375</v>
      </c>
      <c r="BM2111" t="s">
        <v>119</v>
      </c>
      <c r="BN2111">
        <v>1</v>
      </c>
      <c r="BO2111">
        <v>1</v>
      </c>
      <c r="BP2111">
        <v>1</v>
      </c>
      <c r="BQ2111">
        <v>0</v>
      </c>
      <c r="BT2111">
        <v>0</v>
      </c>
      <c r="BU2111">
        <v>0</v>
      </c>
      <c r="BV2111">
        <v>0</v>
      </c>
      <c r="CC2111" t="str">
        <f>"19:10:01.680"</f>
        <v>19:10:01.680</v>
      </c>
      <c r="CD2111" t="str">
        <f>"679997580"</f>
        <v>679997580</v>
      </c>
      <c r="CQ2111">
        <v>0</v>
      </c>
      <c r="CR2111">
        <v>2</v>
      </c>
      <c r="CS2111">
        <v>0</v>
      </c>
      <c r="CT2111">
        <v>2</v>
      </c>
      <c r="CU2111">
        <v>0</v>
      </c>
      <c r="CV2111">
        <v>7</v>
      </c>
      <c r="CW2111" t="s">
        <v>120</v>
      </c>
      <c r="CX2111">
        <v>261</v>
      </c>
      <c r="CY2111">
        <v>2</v>
      </c>
      <c r="CZ2111" t="s">
        <v>121</v>
      </c>
      <c r="DA2111" t="s">
        <v>122</v>
      </c>
      <c r="DD2111">
        <v>15526033</v>
      </c>
      <c r="DE2111" t="s">
        <v>123</v>
      </c>
    </row>
    <row r="2112" spans="1:109" x14ac:dyDescent="0.3">
      <c r="A2112" t="str">
        <f>"19:10:02.922"</f>
        <v>19:10:02.922</v>
      </c>
      <c r="B2112" t="s">
        <v>110</v>
      </c>
      <c r="C2112" t="str">
        <f t="shared" si="96"/>
        <v>ffdfd3c0</v>
      </c>
      <c r="D2112" t="s">
        <v>111</v>
      </c>
      <c r="E2112">
        <v>18</v>
      </c>
      <c r="F2112">
        <v>1018</v>
      </c>
      <c r="G2112" t="s">
        <v>112</v>
      </c>
      <c r="J2112" t="s">
        <v>113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R2112" t="s">
        <v>114</v>
      </c>
      <c r="S2112" t="str">
        <f>"19:10:02.648"</f>
        <v>19:10:02.648</v>
      </c>
      <c r="T2112" t="str">
        <f>"19:10:02.250"</f>
        <v>19:10:02.250</v>
      </c>
      <c r="U2112" t="str">
        <f t="shared" si="97"/>
        <v>a1cdbe</v>
      </c>
      <c r="V2112">
        <v>0</v>
      </c>
      <c r="W2112">
        <v>0</v>
      </c>
      <c r="X2112">
        <v>1</v>
      </c>
      <c r="Y2112">
        <v>0</v>
      </c>
      <c r="Z2112">
        <v>0</v>
      </c>
      <c r="AB2112">
        <v>0</v>
      </c>
      <c r="AC2112">
        <v>9</v>
      </c>
      <c r="AD2112">
        <v>3</v>
      </c>
      <c r="AE2112">
        <v>0</v>
      </c>
      <c r="AF2112">
        <v>9</v>
      </c>
      <c r="AG2112" t="s">
        <v>158</v>
      </c>
      <c r="AH2112">
        <v>0</v>
      </c>
      <c r="AI2112">
        <v>3</v>
      </c>
      <c r="AJ2112">
        <v>1</v>
      </c>
      <c r="AK2112">
        <v>0</v>
      </c>
      <c r="AL2112" t="s">
        <v>1590</v>
      </c>
      <c r="AM2112">
        <v>46.874091999999997</v>
      </c>
      <c r="AN2112" t="s">
        <v>3974</v>
      </c>
      <c r="AO2112">
        <v>-123.090112</v>
      </c>
      <c r="AP2112">
        <v>100</v>
      </c>
      <c r="AQ2112">
        <v>2100</v>
      </c>
      <c r="AR2112" t="s">
        <v>118</v>
      </c>
      <c r="AS2112">
        <v>-77</v>
      </c>
      <c r="AT2112">
        <v>17</v>
      </c>
      <c r="AU2112">
        <v>-64</v>
      </c>
      <c r="BC2112">
        <v>1200</v>
      </c>
      <c r="BD2112">
        <v>1</v>
      </c>
      <c r="BE2112" t="str">
        <f t="shared" si="98"/>
        <v xml:space="preserve">N215T   </v>
      </c>
      <c r="BF2112">
        <v>1</v>
      </c>
      <c r="BH2112">
        <v>0</v>
      </c>
      <c r="BI2112">
        <v>0</v>
      </c>
      <c r="BJ2112">
        <v>0</v>
      </c>
      <c r="BK2112">
        <v>2475</v>
      </c>
      <c r="BL2112">
        <v>375</v>
      </c>
      <c r="BM2112" t="s">
        <v>119</v>
      </c>
      <c r="BN2112">
        <v>1</v>
      </c>
      <c r="BO2112">
        <v>1</v>
      </c>
      <c r="BP2112">
        <v>1</v>
      </c>
      <c r="BQ2112">
        <v>0</v>
      </c>
      <c r="BT2112">
        <v>0</v>
      </c>
      <c r="BU2112">
        <v>0</v>
      </c>
      <c r="BV2112">
        <v>0</v>
      </c>
      <c r="CC2112" t="str">
        <f>"19:10:02.656"</f>
        <v>19:10:02.656</v>
      </c>
      <c r="CD2112" t="str">
        <f>"654901535"</f>
        <v>654901535</v>
      </c>
      <c r="CQ2112">
        <v>0</v>
      </c>
      <c r="CR2112">
        <v>2</v>
      </c>
      <c r="CS2112">
        <v>0</v>
      </c>
      <c r="CT2112">
        <v>2</v>
      </c>
      <c r="CU2112">
        <v>0</v>
      </c>
      <c r="CV2112">
        <v>7</v>
      </c>
      <c r="CW2112" t="s">
        <v>120</v>
      </c>
      <c r="CX2112">
        <v>261</v>
      </c>
      <c r="CY2112">
        <v>2</v>
      </c>
      <c r="CZ2112" t="s">
        <v>121</v>
      </c>
      <c r="DA2112" t="s">
        <v>122</v>
      </c>
      <c r="DD2112">
        <v>15526725</v>
      </c>
      <c r="DE2112" t="s">
        <v>123</v>
      </c>
    </row>
    <row r="2113" spans="1:109" x14ac:dyDescent="0.3">
      <c r="A2113" t="str">
        <f>"19:10:03.727"</f>
        <v>19:10:03.727</v>
      </c>
      <c r="B2113" t="s">
        <v>110</v>
      </c>
      <c r="C2113" t="str">
        <f t="shared" si="96"/>
        <v>ffdfd3c0</v>
      </c>
      <c r="D2113" t="s">
        <v>111</v>
      </c>
      <c r="E2113">
        <v>18</v>
      </c>
      <c r="F2113">
        <v>1018</v>
      </c>
      <c r="G2113" t="s">
        <v>112</v>
      </c>
      <c r="J2113" t="s">
        <v>113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R2113" t="s">
        <v>114</v>
      </c>
      <c r="S2113" t="str">
        <f>"19:10:03.508"</f>
        <v>19:10:03.508</v>
      </c>
      <c r="T2113" t="str">
        <f>"19:10:03.305"</f>
        <v>19:10:03.305</v>
      </c>
      <c r="U2113" t="str">
        <f t="shared" si="97"/>
        <v>a1cdbe</v>
      </c>
      <c r="V2113">
        <v>0</v>
      </c>
      <c r="W2113">
        <v>0</v>
      </c>
      <c r="X2113">
        <v>1</v>
      </c>
      <c r="Y2113">
        <v>0</v>
      </c>
      <c r="Z2113">
        <v>0</v>
      </c>
      <c r="AB2113">
        <v>0</v>
      </c>
      <c r="AC2113">
        <v>9</v>
      </c>
      <c r="AD2113">
        <v>3</v>
      </c>
      <c r="AE2113">
        <v>0</v>
      </c>
      <c r="AF2113">
        <v>9</v>
      </c>
      <c r="AG2113" t="s">
        <v>158</v>
      </c>
      <c r="AH2113">
        <v>0</v>
      </c>
      <c r="AI2113">
        <v>3</v>
      </c>
      <c r="AJ2113">
        <v>1</v>
      </c>
      <c r="AK2113">
        <v>0</v>
      </c>
      <c r="AL2113" t="s">
        <v>3975</v>
      </c>
      <c r="AM2113">
        <v>46.874155999999999</v>
      </c>
      <c r="AN2113" t="s">
        <v>3976</v>
      </c>
      <c r="AO2113">
        <v>-123.090541</v>
      </c>
      <c r="AP2113">
        <v>100</v>
      </c>
      <c r="AQ2113">
        <v>2100</v>
      </c>
      <c r="AR2113" t="s">
        <v>118</v>
      </c>
      <c r="AS2113">
        <v>-77</v>
      </c>
      <c r="AT2113">
        <v>17</v>
      </c>
      <c r="AU2113">
        <v>0</v>
      </c>
      <c r="BC2113">
        <v>1200</v>
      </c>
      <c r="BD2113">
        <v>1</v>
      </c>
      <c r="BE2113" t="str">
        <f t="shared" si="98"/>
        <v xml:space="preserve">N215T   </v>
      </c>
      <c r="BF2113">
        <v>1</v>
      </c>
      <c r="BH2113">
        <v>0</v>
      </c>
      <c r="BI2113">
        <v>0</v>
      </c>
      <c r="BJ2113">
        <v>0</v>
      </c>
      <c r="BK2113">
        <v>2475</v>
      </c>
      <c r="BL2113">
        <v>375</v>
      </c>
      <c r="BM2113" t="s">
        <v>119</v>
      </c>
      <c r="BN2113">
        <v>1</v>
      </c>
      <c r="BO2113">
        <v>1</v>
      </c>
      <c r="BP2113">
        <v>1</v>
      </c>
      <c r="BQ2113">
        <v>0</v>
      </c>
      <c r="BT2113">
        <v>0</v>
      </c>
      <c r="BU2113">
        <v>0</v>
      </c>
      <c r="BV2113">
        <v>0</v>
      </c>
      <c r="CC2113" t="str">
        <f>"19:10:03.508"</f>
        <v>19:10:03.508</v>
      </c>
      <c r="CD2113" t="str">
        <f>"509817332"</f>
        <v>509817332</v>
      </c>
      <c r="CQ2113">
        <v>0</v>
      </c>
      <c r="CR2113">
        <v>2</v>
      </c>
      <c r="CS2113">
        <v>0</v>
      </c>
      <c r="CT2113">
        <v>2</v>
      </c>
      <c r="CU2113">
        <v>0</v>
      </c>
      <c r="CV2113">
        <v>7</v>
      </c>
      <c r="CW2113" t="s">
        <v>120</v>
      </c>
      <c r="CX2113">
        <v>261</v>
      </c>
      <c r="CY2113">
        <v>2</v>
      </c>
      <c r="CZ2113" t="s">
        <v>121</v>
      </c>
      <c r="DA2113" t="s">
        <v>122</v>
      </c>
      <c r="DD2113">
        <v>15527289</v>
      </c>
      <c r="DE2113" t="s">
        <v>123</v>
      </c>
    </row>
    <row r="2114" spans="1:109" x14ac:dyDescent="0.3">
      <c r="A2114" t="str">
        <f>"19:10:04.883"</f>
        <v>19:10:04.883</v>
      </c>
      <c r="B2114" t="s">
        <v>110</v>
      </c>
      <c r="C2114" t="str">
        <f t="shared" ref="C2114:C2177" si="99">"ffdfd3c0"</f>
        <v>ffdfd3c0</v>
      </c>
      <c r="D2114" t="s">
        <v>111</v>
      </c>
      <c r="E2114">
        <v>18</v>
      </c>
      <c r="F2114">
        <v>1018</v>
      </c>
      <c r="G2114" t="s">
        <v>112</v>
      </c>
      <c r="J2114" t="s">
        <v>113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R2114" t="s">
        <v>114</v>
      </c>
      <c r="S2114" t="str">
        <f>"19:10:04.633"</f>
        <v>19:10:04.633</v>
      </c>
      <c r="T2114" t="str">
        <f>"19:10:04.336"</f>
        <v>19:10:04.336</v>
      </c>
      <c r="U2114" t="str">
        <f t="shared" ref="U2114:U2177" si="100">"a1cdbe"</f>
        <v>a1cdbe</v>
      </c>
      <c r="V2114">
        <v>0</v>
      </c>
      <c r="W2114">
        <v>0</v>
      </c>
      <c r="X2114">
        <v>1</v>
      </c>
      <c r="Y2114">
        <v>0</v>
      </c>
      <c r="Z2114">
        <v>0</v>
      </c>
      <c r="AB2114">
        <v>0</v>
      </c>
      <c r="AC2114">
        <v>9</v>
      </c>
      <c r="AD2114">
        <v>3</v>
      </c>
      <c r="AE2114">
        <v>0</v>
      </c>
      <c r="AF2114">
        <v>9</v>
      </c>
      <c r="AG2114" t="s">
        <v>158</v>
      </c>
      <c r="AH2114">
        <v>0</v>
      </c>
      <c r="AI2114">
        <v>3</v>
      </c>
      <c r="AJ2114">
        <v>1</v>
      </c>
      <c r="AK2114">
        <v>0</v>
      </c>
      <c r="AL2114" t="s">
        <v>3977</v>
      </c>
      <c r="AM2114">
        <v>46.874242000000002</v>
      </c>
      <c r="AN2114" t="s">
        <v>3978</v>
      </c>
      <c r="AO2114">
        <v>-123.09116400000001</v>
      </c>
      <c r="AP2114">
        <v>100</v>
      </c>
      <c r="AQ2114">
        <v>2100</v>
      </c>
      <c r="AR2114" t="s">
        <v>118</v>
      </c>
      <c r="AS2114">
        <v>-77</v>
      </c>
      <c r="AT2114">
        <v>17</v>
      </c>
      <c r="AU2114">
        <v>0</v>
      </c>
      <c r="BC2114">
        <v>1200</v>
      </c>
      <c r="BD2114">
        <v>1</v>
      </c>
      <c r="BE2114" t="str">
        <f t="shared" ref="BE2114:BE2177" si="101">"N215T   "</f>
        <v xml:space="preserve">N215T   </v>
      </c>
      <c r="BF2114">
        <v>1</v>
      </c>
      <c r="BH2114">
        <v>0</v>
      </c>
      <c r="BI2114">
        <v>0</v>
      </c>
      <c r="BJ2114">
        <v>0</v>
      </c>
      <c r="BK2114">
        <v>2475</v>
      </c>
      <c r="BL2114">
        <v>375</v>
      </c>
      <c r="BM2114" t="s">
        <v>119</v>
      </c>
      <c r="BN2114">
        <v>1</v>
      </c>
      <c r="BO2114">
        <v>1</v>
      </c>
      <c r="BP2114">
        <v>1</v>
      </c>
      <c r="BQ2114">
        <v>0</v>
      </c>
      <c r="BT2114">
        <v>0</v>
      </c>
      <c r="BU2114">
        <v>0</v>
      </c>
      <c r="BV2114">
        <v>0</v>
      </c>
      <c r="CC2114" t="str">
        <f>"19:10:04.633"</f>
        <v>19:10:04.633</v>
      </c>
      <c r="CD2114" t="str">
        <f>"634706546"</f>
        <v>634706546</v>
      </c>
      <c r="CQ2114">
        <v>0</v>
      </c>
      <c r="CR2114">
        <v>2</v>
      </c>
      <c r="CS2114">
        <v>0</v>
      </c>
      <c r="CT2114">
        <v>2</v>
      </c>
      <c r="CU2114">
        <v>0</v>
      </c>
      <c r="CV2114">
        <v>7</v>
      </c>
      <c r="CW2114" t="s">
        <v>120</v>
      </c>
      <c r="CX2114">
        <v>261</v>
      </c>
      <c r="CY2114">
        <v>2</v>
      </c>
      <c r="CZ2114" t="s">
        <v>121</v>
      </c>
      <c r="DA2114" t="s">
        <v>122</v>
      </c>
      <c r="DD2114">
        <v>15528058</v>
      </c>
      <c r="DE2114" t="s">
        <v>123</v>
      </c>
    </row>
    <row r="2115" spans="1:109" x14ac:dyDescent="0.3">
      <c r="A2115" t="str">
        <f>"19:10:05.789"</f>
        <v>19:10:05.789</v>
      </c>
      <c r="B2115" t="s">
        <v>110</v>
      </c>
      <c r="C2115" t="str">
        <f t="shared" si="99"/>
        <v>ffdfd3c0</v>
      </c>
      <c r="D2115" t="s">
        <v>111</v>
      </c>
      <c r="E2115">
        <v>18</v>
      </c>
      <c r="F2115">
        <v>1018</v>
      </c>
      <c r="G2115" t="s">
        <v>112</v>
      </c>
      <c r="J2115" t="s">
        <v>113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R2115" t="s">
        <v>114</v>
      </c>
      <c r="S2115" t="str">
        <f>"19:10:05.516"</f>
        <v>19:10:05.516</v>
      </c>
      <c r="T2115" t="str">
        <f>"19:10:05.414"</f>
        <v>19:10:05.414</v>
      </c>
      <c r="U2115" t="str">
        <f t="shared" si="100"/>
        <v>a1cdbe</v>
      </c>
      <c r="V2115">
        <v>0</v>
      </c>
      <c r="W2115">
        <v>0</v>
      </c>
      <c r="X2115">
        <v>1</v>
      </c>
      <c r="Y2115">
        <v>0</v>
      </c>
      <c r="Z2115">
        <v>0</v>
      </c>
      <c r="AB2115">
        <v>0</v>
      </c>
      <c r="AC2115">
        <v>9</v>
      </c>
      <c r="AD2115">
        <v>3</v>
      </c>
      <c r="AE2115">
        <v>0</v>
      </c>
      <c r="AF2115">
        <v>9</v>
      </c>
      <c r="AG2115" t="s">
        <v>158</v>
      </c>
      <c r="AH2115">
        <v>0</v>
      </c>
      <c r="AI2115">
        <v>3</v>
      </c>
      <c r="AJ2115">
        <v>1</v>
      </c>
      <c r="AK2115">
        <v>0</v>
      </c>
      <c r="AL2115" t="s">
        <v>1588</v>
      </c>
      <c r="AM2115">
        <v>46.874327999999998</v>
      </c>
      <c r="AN2115" t="s">
        <v>3979</v>
      </c>
      <c r="AO2115">
        <v>-123.091593</v>
      </c>
      <c r="AP2115">
        <v>100</v>
      </c>
      <c r="AQ2115">
        <v>2100</v>
      </c>
      <c r="AR2115" t="s">
        <v>118</v>
      </c>
      <c r="AS2115">
        <v>-77</v>
      </c>
      <c r="AT2115">
        <v>18</v>
      </c>
      <c r="AU2115">
        <v>0</v>
      </c>
      <c r="BC2115">
        <v>1200</v>
      </c>
      <c r="BD2115">
        <v>1</v>
      </c>
      <c r="BE2115" t="str">
        <f t="shared" si="101"/>
        <v xml:space="preserve">N215T   </v>
      </c>
      <c r="BF2115">
        <v>1</v>
      </c>
      <c r="BH2115">
        <v>0</v>
      </c>
      <c r="BI2115">
        <v>0</v>
      </c>
      <c r="BJ2115">
        <v>0</v>
      </c>
      <c r="BK2115">
        <v>2475</v>
      </c>
      <c r="BL2115">
        <v>375</v>
      </c>
      <c r="BM2115" t="s">
        <v>119</v>
      </c>
      <c r="BN2115">
        <v>1</v>
      </c>
      <c r="BO2115">
        <v>1</v>
      </c>
      <c r="BP2115">
        <v>1</v>
      </c>
      <c r="BQ2115">
        <v>0</v>
      </c>
      <c r="BT2115">
        <v>0</v>
      </c>
      <c r="BU2115">
        <v>0</v>
      </c>
      <c r="BV2115">
        <v>0</v>
      </c>
      <c r="CC2115" t="str">
        <f>"19:10:05.523"</f>
        <v>19:10:05.523</v>
      </c>
      <c r="CD2115" t="str">
        <f>"519619379"</f>
        <v>519619379</v>
      </c>
      <c r="CQ2115">
        <v>0</v>
      </c>
      <c r="CR2115">
        <v>2</v>
      </c>
      <c r="CS2115">
        <v>0</v>
      </c>
      <c r="CT2115">
        <v>2</v>
      </c>
      <c r="CU2115">
        <v>0</v>
      </c>
      <c r="CV2115">
        <v>7</v>
      </c>
      <c r="CW2115" t="s">
        <v>120</v>
      </c>
      <c r="CX2115">
        <v>261</v>
      </c>
      <c r="CY2115">
        <v>2</v>
      </c>
      <c r="CZ2115" t="s">
        <v>121</v>
      </c>
      <c r="DA2115" t="s">
        <v>122</v>
      </c>
      <c r="DD2115">
        <v>15528684</v>
      </c>
      <c r="DE2115" t="s">
        <v>123</v>
      </c>
    </row>
    <row r="2116" spans="1:109" x14ac:dyDescent="0.3">
      <c r="A2116" t="str">
        <f>"19:10:06.797"</f>
        <v>19:10:06.797</v>
      </c>
      <c r="B2116" t="s">
        <v>110</v>
      </c>
      <c r="C2116" t="str">
        <f t="shared" si="99"/>
        <v>ffdfd3c0</v>
      </c>
      <c r="D2116" t="s">
        <v>111</v>
      </c>
      <c r="E2116">
        <v>18</v>
      </c>
      <c r="F2116">
        <v>1018</v>
      </c>
      <c r="G2116" t="s">
        <v>112</v>
      </c>
      <c r="J2116" t="s">
        <v>113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R2116" t="s">
        <v>114</v>
      </c>
      <c r="S2116" t="str">
        <f>"19:10:06.578"</f>
        <v>19:10:06.578</v>
      </c>
      <c r="T2116" t="str">
        <f>"19:10:06.281"</f>
        <v>19:10:06.281</v>
      </c>
      <c r="U2116" t="str">
        <f t="shared" si="100"/>
        <v>a1cdbe</v>
      </c>
      <c r="V2116">
        <v>0</v>
      </c>
      <c r="W2116">
        <v>0</v>
      </c>
      <c r="X2116">
        <v>1</v>
      </c>
      <c r="Y2116">
        <v>0</v>
      </c>
      <c r="Z2116">
        <v>0</v>
      </c>
      <c r="AB2116">
        <v>0</v>
      </c>
      <c r="AC2116">
        <v>9</v>
      </c>
      <c r="AD2116">
        <v>3</v>
      </c>
      <c r="AE2116">
        <v>0</v>
      </c>
      <c r="AF2116">
        <v>9</v>
      </c>
      <c r="AG2116" t="s">
        <v>158</v>
      </c>
      <c r="AH2116">
        <v>0</v>
      </c>
      <c r="AI2116">
        <v>3</v>
      </c>
      <c r="AJ2116">
        <v>1</v>
      </c>
      <c r="AK2116">
        <v>0</v>
      </c>
      <c r="AL2116" t="s">
        <v>3980</v>
      </c>
      <c r="AM2116">
        <v>46.874370999999996</v>
      </c>
      <c r="AN2116" t="s">
        <v>3981</v>
      </c>
      <c r="AO2116">
        <v>-123.092151</v>
      </c>
      <c r="AP2116">
        <v>100</v>
      </c>
      <c r="AQ2116">
        <v>2100</v>
      </c>
      <c r="AR2116" t="s">
        <v>118</v>
      </c>
      <c r="AS2116">
        <v>-77</v>
      </c>
      <c r="AT2116">
        <v>18</v>
      </c>
      <c r="AU2116">
        <v>0</v>
      </c>
      <c r="BC2116">
        <v>1200</v>
      </c>
      <c r="BD2116">
        <v>1</v>
      </c>
      <c r="BE2116" t="str">
        <f t="shared" si="101"/>
        <v xml:space="preserve">N215T   </v>
      </c>
      <c r="BF2116">
        <v>1</v>
      </c>
      <c r="BH2116">
        <v>0</v>
      </c>
      <c r="BI2116">
        <v>0</v>
      </c>
      <c r="BJ2116">
        <v>0</v>
      </c>
      <c r="BK2116">
        <v>2450</v>
      </c>
      <c r="BL2116">
        <v>350</v>
      </c>
      <c r="BM2116" t="s">
        <v>119</v>
      </c>
      <c r="BN2116">
        <v>1</v>
      </c>
      <c r="BO2116">
        <v>1</v>
      </c>
      <c r="BP2116">
        <v>1</v>
      </c>
      <c r="BQ2116">
        <v>0</v>
      </c>
      <c r="BT2116">
        <v>0</v>
      </c>
      <c r="BU2116">
        <v>0</v>
      </c>
      <c r="BV2116">
        <v>0</v>
      </c>
      <c r="CC2116" t="str">
        <f>"19:10:06.586"</f>
        <v>19:10:06.586</v>
      </c>
      <c r="CD2116" t="str">
        <f>"584514499"</f>
        <v>584514499</v>
      </c>
      <c r="CQ2116">
        <v>0</v>
      </c>
      <c r="CR2116">
        <v>2</v>
      </c>
      <c r="CS2116">
        <v>0</v>
      </c>
      <c r="CT2116">
        <v>2</v>
      </c>
      <c r="CU2116">
        <v>0</v>
      </c>
      <c r="CV2116">
        <v>7</v>
      </c>
      <c r="CW2116" t="s">
        <v>120</v>
      </c>
      <c r="CX2116">
        <v>261</v>
      </c>
      <c r="CY2116">
        <v>2</v>
      </c>
      <c r="CZ2116" t="s">
        <v>121</v>
      </c>
      <c r="DA2116" t="s">
        <v>122</v>
      </c>
      <c r="DD2116">
        <v>15529475</v>
      </c>
      <c r="DE2116" t="s">
        <v>123</v>
      </c>
    </row>
    <row r="2117" spans="1:109" x14ac:dyDescent="0.3">
      <c r="A2117" t="str">
        <f>"19:10:07.945"</f>
        <v>19:10:07.945</v>
      </c>
      <c r="B2117" t="s">
        <v>110</v>
      </c>
      <c r="C2117" t="str">
        <f t="shared" si="99"/>
        <v>ffdfd3c0</v>
      </c>
      <c r="D2117" t="s">
        <v>111</v>
      </c>
      <c r="E2117">
        <v>18</v>
      </c>
      <c r="F2117">
        <v>1018</v>
      </c>
      <c r="G2117" t="s">
        <v>112</v>
      </c>
      <c r="J2117" t="s">
        <v>113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R2117" t="s">
        <v>114</v>
      </c>
      <c r="S2117" t="str">
        <f>"19:10:07.688"</f>
        <v>19:10:07.688</v>
      </c>
      <c r="T2117" t="str">
        <f>"19:10:07.188"</f>
        <v>19:10:07.188</v>
      </c>
      <c r="U2117" t="str">
        <f t="shared" si="100"/>
        <v>a1cdbe</v>
      </c>
      <c r="V2117">
        <v>0</v>
      </c>
      <c r="W2117">
        <v>0</v>
      </c>
      <c r="X2117">
        <v>1</v>
      </c>
      <c r="Y2117">
        <v>0</v>
      </c>
      <c r="Z2117">
        <v>0</v>
      </c>
      <c r="AB2117">
        <v>0</v>
      </c>
      <c r="AC2117">
        <v>9</v>
      </c>
      <c r="AD2117">
        <v>3</v>
      </c>
      <c r="AE2117">
        <v>0</v>
      </c>
      <c r="AF2117">
        <v>9</v>
      </c>
      <c r="AG2117" t="s">
        <v>158</v>
      </c>
      <c r="AH2117">
        <v>0</v>
      </c>
      <c r="AI2117">
        <v>3</v>
      </c>
      <c r="AJ2117">
        <v>1</v>
      </c>
      <c r="AK2117">
        <v>0</v>
      </c>
      <c r="AL2117" t="s">
        <v>3982</v>
      </c>
      <c r="AM2117">
        <v>46.874499</v>
      </c>
      <c r="AN2117" t="s">
        <v>3983</v>
      </c>
      <c r="AO2117">
        <v>-123.092752</v>
      </c>
      <c r="AP2117">
        <v>100</v>
      </c>
      <c r="AQ2117">
        <v>2100</v>
      </c>
      <c r="AR2117" t="s">
        <v>118</v>
      </c>
      <c r="AS2117">
        <v>-77</v>
      </c>
      <c r="AT2117">
        <v>18</v>
      </c>
      <c r="AU2117">
        <v>0</v>
      </c>
      <c r="BC2117">
        <v>1200</v>
      </c>
      <c r="BD2117">
        <v>1</v>
      </c>
      <c r="BE2117" t="str">
        <f t="shared" si="101"/>
        <v xml:space="preserve">N215T   </v>
      </c>
      <c r="BF2117">
        <v>1</v>
      </c>
      <c r="BH2117">
        <v>0</v>
      </c>
      <c r="BI2117">
        <v>0</v>
      </c>
      <c r="BJ2117">
        <v>0</v>
      </c>
      <c r="BK2117">
        <v>2475</v>
      </c>
      <c r="BL2117">
        <v>375</v>
      </c>
      <c r="BM2117" t="s">
        <v>119</v>
      </c>
      <c r="BN2117">
        <v>1</v>
      </c>
      <c r="BO2117">
        <v>1</v>
      </c>
      <c r="BP2117">
        <v>1</v>
      </c>
      <c r="BQ2117">
        <v>0</v>
      </c>
      <c r="BT2117">
        <v>0</v>
      </c>
      <c r="BU2117">
        <v>0</v>
      </c>
      <c r="BV2117">
        <v>0</v>
      </c>
      <c r="CC2117" t="str">
        <f>"19:10:07.695"</f>
        <v>19:10:07.695</v>
      </c>
      <c r="CD2117" t="str">
        <f>"694405184"</f>
        <v>694405184</v>
      </c>
      <c r="CQ2117">
        <v>0</v>
      </c>
      <c r="CR2117">
        <v>2</v>
      </c>
      <c r="CS2117">
        <v>0</v>
      </c>
      <c r="CT2117">
        <v>2</v>
      </c>
      <c r="CU2117">
        <v>0</v>
      </c>
      <c r="CV2117">
        <v>7</v>
      </c>
      <c r="CW2117" t="s">
        <v>120</v>
      </c>
      <c r="CX2117">
        <v>261</v>
      </c>
      <c r="CY2117">
        <v>2</v>
      </c>
      <c r="CZ2117" t="s">
        <v>121</v>
      </c>
      <c r="DA2117" t="s">
        <v>122</v>
      </c>
      <c r="DD2117">
        <v>15530317</v>
      </c>
      <c r="DE2117" t="s">
        <v>123</v>
      </c>
    </row>
    <row r="2118" spans="1:109" x14ac:dyDescent="0.3">
      <c r="A2118" t="str">
        <f>"19:10:08.953"</f>
        <v>19:10:08.953</v>
      </c>
      <c r="B2118" t="s">
        <v>110</v>
      </c>
      <c r="C2118" t="str">
        <f t="shared" si="99"/>
        <v>ffdfd3c0</v>
      </c>
      <c r="D2118" t="s">
        <v>111</v>
      </c>
      <c r="E2118">
        <v>18</v>
      </c>
      <c r="F2118">
        <v>1018</v>
      </c>
      <c r="G2118" t="s">
        <v>112</v>
      </c>
      <c r="J2118" t="s">
        <v>113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R2118" t="s">
        <v>114</v>
      </c>
      <c r="S2118" t="str">
        <f>"19:10:08.711"</f>
        <v>19:10:08.711</v>
      </c>
      <c r="T2118" t="str">
        <f>"19:10:08.313"</f>
        <v>19:10:08.313</v>
      </c>
      <c r="U2118" t="str">
        <f t="shared" si="100"/>
        <v>a1cdbe</v>
      </c>
      <c r="V2118">
        <v>0</v>
      </c>
      <c r="W2118">
        <v>0</v>
      </c>
      <c r="X2118">
        <v>1</v>
      </c>
      <c r="Y2118">
        <v>0</v>
      </c>
      <c r="Z2118">
        <v>0</v>
      </c>
      <c r="AB2118">
        <v>0</v>
      </c>
      <c r="AC2118">
        <v>9</v>
      </c>
      <c r="AD2118">
        <v>3</v>
      </c>
      <c r="AE2118">
        <v>0</v>
      </c>
      <c r="AF2118">
        <v>9</v>
      </c>
      <c r="AG2118" t="s">
        <v>158</v>
      </c>
      <c r="AH2118">
        <v>0</v>
      </c>
      <c r="AI2118">
        <v>3</v>
      </c>
      <c r="AJ2118">
        <v>1</v>
      </c>
      <c r="AK2118">
        <v>0</v>
      </c>
      <c r="AL2118" t="s">
        <v>3984</v>
      </c>
      <c r="AM2118">
        <v>46.874563999999999</v>
      </c>
      <c r="AN2118" t="s">
        <v>3985</v>
      </c>
      <c r="AO2118">
        <v>-123.093288</v>
      </c>
      <c r="AP2118">
        <v>100</v>
      </c>
      <c r="AQ2118">
        <v>2100</v>
      </c>
      <c r="AR2118" t="s">
        <v>118</v>
      </c>
      <c r="AS2118">
        <v>-77</v>
      </c>
      <c r="AT2118">
        <v>18</v>
      </c>
      <c r="AU2118">
        <v>0</v>
      </c>
      <c r="BC2118">
        <v>1200</v>
      </c>
      <c r="BD2118">
        <v>1</v>
      </c>
      <c r="BE2118" t="str">
        <f t="shared" si="101"/>
        <v xml:space="preserve">N215T   </v>
      </c>
      <c r="BF2118">
        <v>1</v>
      </c>
      <c r="BH2118">
        <v>0</v>
      </c>
      <c r="BI2118">
        <v>0</v>
      </c>
      <c r="BJ2118">
        <v>0</v>
      </c>
      <c r="BK2118">
        <v>2450</v>
      </c>
      <c r="BL2118">
        <v>350</v>
      </c>
      <c r="BM2118" t="s">
        <v>119</v>
      </c>
      <c r="BN2118">
        <v>1</v>
      </c>
      <c r="BO2118">
        <v>1</v>
      </c>
      <c r="BP2118">
        <v>1</v>
      </c>
      <c r="BQ2118">
        <v>0</v>
      </c>
      <c r="BT2118">
        <v>0</v>
      </c>
      <c r="BU2118">
        <v>0</v>
      </c>
      <c r="BV2118">
        <v>0</v>
      </c>
      <c r="CC2118" t="str">
        <f>"19:10:08.711"</f>
        <v>19:10:08.711</v>
      </c>
      <c r="CD2118" t="str">
        <f>"714304733"</f>
        <v>714304733</v>
      </c>
      <c r="CQ2118">
        <v>0</v>
      </c>
      <c r="CR2118">
        <v>2</v>
      </c>
      <c r="CS2118">
        <v>0</v>
      </c>
      <c r="CT2118">
        <v>2</v>
      </c>
      <c r="CU2118">
        <v>0</v>
      </c>
      <c r="CV2118">
        <v>7</v>
      </c>
      <c r="CW2118" t="s">
        <v>120</v>
      </c>
      <c r="CX2118">
        <v>261</v>
      </c>
      <c r="CY2118">
        <v>2</v>
      </c>
      <c r="CZ2118" t="s">
        <v>121</v>
      </c>
      <c r="DA2118" t="s">
        <v>122</v>
      </c>
      <c r="DD2118">
        <v>15531049</v>
      </c>
      <c r="DE2118" t="s">
        <v>123</v>
      </c>
    </row>
    <row r="2119" spans="1:109" x14ac:dyDescent="0.3">
      <c r="A2119" t="str">
        <f>"19:10:09.961"</f>
        <v>19:10:09.961</v>
      </c>
      <c r="B2119" t="s">
        <v>110</v>
      </c>
      <c r="C2119" t="str">
        <f t="shared" si="99"/>
        <v>ffdfd3c0</v>
      </c>
      <c r="D2119" t="s">
        <v>111</v>
      </c>
      <c r="E2119">
        <v>18</v>
      </c>
      <c r="F2119">
        <v>1018</v>
      </c>
      <c r="G2119" t="s">
        <v>112</v>
      </c>
      <c r="J2119" t="s">
        <v>113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R2119" t="s">
        <v>114</v>
      </c>
      <c r="S2119" t="str">
        <f>"19:10:09.742"</f>
        <v>19:10:09.742</v>
      </c>
      <c r="T2119" t="str">
        <f>"19:10:09.742"</f>
        <v>19:10:09.742</v>
      </c>
      <c r="U2119" t="str">
        <f t="shared" si="100"/>
        <v>a1cdbe</v>
      </c>
      <c r="V2119">
        <v>0</v>
      </c>
      <c r="W2119">
        <v>0</v>
      </c>
      <c r="X2119">
        <v>1</v>
      </c>
      <c r="Y2119">
        <v>0</v>
      </c>
      <c r="Z2119">
        <v>0</v>
      </c>
      <c r="AB2119">
        <v>0</v>
      </c>
      <c r="AC2119">
        <v>9</v>
      </c>
      <c r="AD2119">
        <v>3</v>
      </c>
      <c r="AE2119">
        <v>0</v>
      </c>
      <c r="AF2119">
        <v>9</v>
      </c>
      <c r="AG2119" t="s">
        <v>158</v>
      </c>
      <c r="AH2119">
        <v>0</v>
      </c>
      <c r="AI2119">
        <v>3</v>
      </c>
      <c r="AJ2119">
        <v>1</v>
      </c>
      <c r="AK2119">
        <v>0</v>
      </c>
      <c r="AL2119" t="s">
        <v>3986</v>
      </c>
      <c r="AM2119">
        <v>46.874670999999999</v>
      </c>
      <c r="AN2119" t="s">
        <v>3987</v>
      </c>
      <c r="AO2119">
        <v>-123.09378100000001</v>
      </c>
      <c r="AP2119">
        <v>100</v>
      </c>
      <c r="AQ2119">
        <v>2100</v>
      </c>
      <c r="AR2119" t="s">
        <v>118</v>
      </c>
      <c r="AS2119">
        <v>-77</v>
      </c>
      <c r="AT2119">
        <v>19</v>
      </c>
      <c r="AU2119">
        <v>0</v>
      </c>
      <c r="BC2119">
        <v>1200</v>
      </c>
      <c r="BD2119">
        <v>1</v>
      </c>
      <c r="BE2119" t="str">
        <f t="shared" si="101"/>
        <v xml:space="preserve">N215T   </v>
      </c>
      <c r="BF2119">
        <v>1</v>
      </c>
      <c r="BH2119">
        <v>0</v>
      </c>
      <c r="BI2119">
        <v>0</v>
      </c>
      <c r="BJ2119">
        <v>0</v>
      </c>
      <c r="BK2119">
        <v>2450</v>
      </c>
      <c r="BL2119">
        <v>350</v>
      </c>
      <c r="BM2119" t="s">
        <v>119</v>
      </c>
      <c r="BN2119">
        <v>1</v>
      </c>
      <c r="BO2119">
        <v>1</v>
      </c>
      <c r="BP2119">
        <v>1</v>
      </c>
      <c r="BQ2119">
        <v>0</v>
      </c>
      <c r="BT2119">
        <v>0</v>
      </c>
      <c r="BU2119">
        <v>0</v>
      </c>
      <c r="BV2119">
        <v>0</v>
      </c>
      <c r="CC2119" t="str">
        <f>"19:10:09.750"</f>
        <v>19:10:09.750</v>
      </c>
      <c r="CD2119" t="str">
        <f>"749202805"</f>
        <v>749202805</v>
      </c>
      <c r="CQ2119">
        <v>0</v>
      </c>
      <c r="CR2119">
        <v>2</v>
      </c>
      <c r="CS2119">
        <v>0</v>
      </c>
      <c r="CT2119">
        <v>2</v>
      </c>
      <c r="CU2119">
        <v>0</v>
      </c>
      <c r="CV2119">
        <v>7</v>
      </c>
      <c r="CW2119" t="s">
        <v>120</v>
      </c>
      <c r="CX2119">
        <v>261</v>
      </c>
      <c r="CY2119">
        <v>2</v>
      </c>
      <c r="CZ2119" t="s">
        <v>121</v>
      </c>
      <c r="DA2119" t="s">
        <v>122</v>
      </c>
      <c r="DD2119">
        <v>15531804</v>
      </c>
      <c r="DE2119" t="s">
        <v>123</v>
      </c>
    </row>
    <row r="2120" spans="1:109" x14ac:dyDescent="0.3">
      <c r="A2120" t="str">
        <f>"19:10:10.961"</f>
        <v>19:10:10.961</v>
      </c>
      <c r="B2120" t="s">
        <v>110</v>
      </c>
      <c r="C2120" t="str">
        <f t="shared" si="99"/>
        <v>ffdfd3c0</v>
      </c>
      <c r="D2120" t="s">
        <v>111</v>
      </c>
      <c r="E2120">
        <v>18</v>
      </c>
      <c r="F2120">
        <v>1018</v>
      </c>
      <c r="G2120" t="s">
        <v>112</v>
      </c>
      <c r="J2120" t="s">
        <v>113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R2120" t="s">
        <v>114</v>
      </c>
      <c r="S2120" t="str">
        <f>"19:10:10.734"</f>
        <v>19:10:10.734</v>
      </c>
      <c r="T2120" t="str">
        <f>"19:10:10.633"</f>
        <v>19:10:10.633</v>
      </c>
      <c r="U2120" t="str">
        <f t="shared" si="100"/>
        <v>a1cdbe</v>
      </c>
      <c r="V2120">
        <v>0</v>
      </c>
      <c r="W2120">
        <v>0</v>
      </c>
      <c r="X2120">
        <v>1</v>
      </c>
      <c r="Y2120">
        <v>0</v>
      </c>
      <c r="Z2120">
        <v>0</v>
      </c>
      <c r="AB2120">
        <v>0</v>
      </c>
      <c r="AC2120">
        <v>9</v>
      </c>
      <c r="AD2120">
        <v>3</v>
      </c>
      <c r="AE2120">
        <v>0</v>
      </c>
      <c r="AF2120">
        <v>9</v>
      </c>
      <c r="AG2120" t="s">
        <v>158</v>
      </c>
      <c r="AH2120">
        <v>0</v>
      </c>
      <c r="AI2120">
        <v>3</v>
      </c>
      <c r="AJ2120">
        <v>1</v>
      </c>
      <c r="AK2120">
        <v>0</v>
      </c>
      <c r="AL2120" t="s">
        <v>3988</v>
      </c>
      <c r="AM2120">
        <v>46.874757000000002</v>
      </c>
      <c r="AN2120" t="s">
        <v>3989</v>
      </c>
      <c r="AO2120">
        <v>-123.094275</v>
      </c>
      <c r="AP2120">
        <v>100</v>
      </c>
      <c r="AQ2120">
        <v>2100</v>
      </c>
      <c r="AR2120" t="s">
        <v>118</v>
      </c>
      <c r="AS2120">
        <v>-77</v>
      </c>
      <c r="AT2120">
        <v>19</v>
      </c>
      <c r="AU2120">
        <v>0</v>
      </c>
      <c r="BC2120">
        <v>1200</v>
      </c>
      <c r="BD2120">
        <v>1</v>
      </c>
      <c r="BE2120" t="str">
        <f t="shared" si="101"/>
        <v xml:space="preserve">N215T   </v>
      </c>
      <c r="BF2120">
        <v>1</v>
      </c>
      <c r="BH2120">
        <v>0</v>
      </c>
      <c r="BI2120">
        <v>0</v>
      </c>
      <c r="BJ2120">
        <v>0</v>
      </c>
      <c r="BK2120">
        <v>2450</v>
      </c>
      <c r="BL2120">
        <v>350</v>
      </c>
      <c r="BM2120" t="s">
        <v>119</v>
      </c>
      <c r="BN2120">
        <v>1</v>
      </c>
      <c r="BO2120">
        <v>1</v>
      </c>
      <c r="BP2120">
        <v>1</v>
      </c>
      <c r="BQ2120">
        <v>0</v>
      </c>
      <c r="BT2120">
        <v>0</v>
      </c>
      <c r="BU2120">
        <v>0</v>
      </c>
      <c r="BV2120">
        <v>0</v>
      </c>
      <c r="CC2120" t="str">
        <f>"19:10:10.742"</f>
        <v>19:10:10.742</v>
      </c>
      <c r="CD2120" t="str">
        <f>"739109059"</f>
        <v>739109059</v>
      </c>
      <c r="CQ2120">
        <v>0</v>
      </c>
      <c r="CR2120">
        <v>2</v>
      </c>
      <c r="CS2120">
        <v>0</v>
      </c>
      <c r="CT2120">
        <v>2</v>
      </c>
      <c r="CU2120">
        <v>0</v>
      </c>
      <c r="CV2120">
        <v>6</v>
      </c>
      <c r="CW2120" t="s">
        <v>120</v>
      </c>
      <c r="CX2120">
        <v>257</v>
      </c>
      <c r="CY2120">
        <v>1</v>
      </c>
      <c r="CZ2120" t="s">
        <v>615</v>
      </c>
      <c r="DA2120" t="s">
        <v>616</v>
      </c>
      <c r="DD2120">
        <v>11959282</v>
      </c>
      <c r="DE2120" t="s">
        <v>123</v>
      </c>
    </row>
    <row r="2121" spans="1:109" x14ac:dyDescent="0.3">
      <c r="A2121" t="str">
        <f>"19:10:11.922"</f>
        <v>19:10:11.922</v>
      </c>
      <c r="B2121" t="s">
        <v>110</v>
      </c>
      <c r="C2121" t="str">
        <f t="shared" si="99"/>
        <v>ffdfd3c0</v>
      </c>
      <c r="D2121" t="s">
        <v>111</v>
      </c>
      <c r="E2121">
        <v>18</v>
      </c>
      <c r="F2121">
        <v>1018</v>
      </c>
      <c r="G2121" t="s">
        <v>112</v>
      </c>
      <c r="J2121" t="s">
        <v>113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R2121" t="s">
        <v>114</v>
      </c>
      <c r="S2121" t="str">
        <f>"19:10:11.711"</f>
        <v>19:10:11.711</v>
      </c>
      <c r="T2121" t="str">
        <f>"19:10:11.508"</f>
        <v>19:10:11.508</v>
      </c>
      <c r="U2121" t="str">
        <f t="shared" si="100"/>
        <v>a1cdbe</v>
      </c>
      <c r="V2121">
        <v>0</v>
      </c>
      <c r="W2121">
        <v>0</v>
      </c>
      <c r="X2121">
        <v>1</v>
      </c>
      <c r="Y2121">
        <v>0</v>
      </c>
      <c r="Z2121">
        <v>0</v>
      </c>
      <c r="AB2121">
        <v>0</v>
      </c>
      <c r="AC2121">
        <v>9</v>
      </c>
      <c r="AD2121">
        <v>3</v>
      </c>
      <c r="AE2121">
        <v>0</v>
      </c>
      <c r="AF2121">
        <v>9</v>
      </c>
      <c r="AG2121" t="s">
        <v>158</v>
      </c>
      <c r="AH2121">
        <v>0</v>
      </c>
      <c r="AI2121">
        <v>3</v>
      </c>
      <c r="AJ2121">
        <v>1</v>
      </c>
      <c r="AK2121">
        <v>0</v>
      </c>
      <c r="AL2121" t="s">
        <v>1584</v>
      </c>
      <c r="AM2121">
        <v>46.874864000000002</v>
      </c>
      <c r="AN2121" t="s">
        <v>3990</v>
      </c>
      <c r="AO2121">
        <v>-123.09481100000001</v>
      </c>
      <c r="AP2121">
        <v>100</v>
      </c>
      <c r="AQ2121">
        <v>2100</v>
      </c>
      <c r="AR2121" t="s">
        <v>118</v>
      </c>
      <c r="AS2121">
        <v>-77</v>
      </c>
      <c r="AT2121">
        <v>19</v>
      </c>
      <c r="AU2121">
        <v>0</v>
      </c>
      <c r="BC2121">
        <v>1200</v>
      </c>
      <c r="BD2121">
        <v>1</v>
      </c>
      <c r="BE2121" t="str">
        <f t="shared" si="101"/>
        <v xml:space="preserve">N215T   </v>
      </c>
      <c r="BF2121">
        <v>1</v>
      </c>
      <c r="BH2121">
        <v>0</v>
      </c>
      <c r="BI2121">
        <v>0</v>
      </c>
      <c r="BJ2121">
        <v>0</v>
      </c>
      <c r="BK2121">
        <v>2475</v>
      </c>
      <c r="BL2121">
        <v>375</v>
      </c>
      <c r="BM2121" t="s">
        <v>119</v>
      </c>
      <c r="BN2121">
        <v>1</v>
      </c>
      <c r="BO2121">
        <v>1</v>
      </c>
      <c r="BP2121">
        <v>1</v>
      </c>
      <c r="BQ2121">
        <v>0</v>
      </c>
      <c r="BT2121">
        <v>0</v>
      </c>
      <c r="BU2121">
        <v>0</v>
      </c>
      <c r="BV2121">
        <v>0</v>
      </c>
      <c r="CC2121" t="str">
        <f>"19:10:11.711"</f>
        <v>19:10:11.711</v>
      </c>
      <c r="CD2121" t="str">
        <f>"714009282"</f>
        <v>714009282</v>
      </c>
      <c r="CQ2121">
        <v>0</v>
      </c>
      <c r="CR2121">
        <v>2</v>
      </c>
      <c r="CS2121">
        <v>0</v>
      </c>
      <c r="CT2121">
        <v>2</v>
      </c>
      <c r="CU2121">
        <v>0</v>
      </c>
      <c r="CV2121">
        <v>7</v>
      </c>
      <c r="CW2121" t="s">
        <v>120</v>
      </c>
      <c r="CX2121">
        <v>261</v>
      </c>
      <c r="CY2121">
        <v>2</v>
      </c>
      <c r="CZ2121" t="s">
        <v>121</v>
      </c>
      <c r="DA2121" t="s">
        <v>122</v>
      </c>
      <c r="DD2121">
        <v>15533273</v>
      </c>
      <c r="DE2121" t="s">
        <v>123</v>
      </c>
    </row>
    <row r="2122" spans="1:109" x14ac:dyDescent="0.3">
      <c r="A2122" t="str">
        <f>"19:10:13.023"</f>
        <v>19:10:13.023</v>
      </c>
      <c r="B2122" t="s">
        <v>110</v>
      </c>
      <c r="C2122" t="str">
        <f t="shared" si="99"/>
        <v>ffdfd3c0</v>
      </c>
      <c r="D2122" t="s">
        <v>111</v>
      </c>
      <c r="E2122">
        <v>18</v>
      </c>
      <c r="F2122">
        <v>1018</v>
      </c>
      <c r="G2122" t="s">
        <v>112</v>
      </c>
      <c r="J2122" t="s">
        <v>113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R2122" t="s">
        <v>114</v>
      </c>
      <c r="S2122" t="str">
        <f>"19:10:12.773"</f>
        <v>19:10:12.773</v>
      </c>
      <c r="T2122" t="str">
        <f>"19:10:12.570"</f>
        <v>19:10:12.570</v>
      </c>
      <c r="U2122" t="str">
        <f t="shared" si="100"/>
        <v>a1cdbe</v>
      </c>
      <c r="V2122">
        <v>0</v>
      </c>
      <c r="W2122">
        <v>0</v>
      </c>
      <c r="X2122">
        <v>1</v>
      </c>
      <c r="Y2122">
        <v>0</v>
      </c>
      <c r="Z2122">
        <v>0</v>
      </c>
      <c r="AB2122">
        <v>0</v>
      </c>
      <c r="AC2122">
        <v>9</v>
      </c>
      <c r="AD2122">
        <v>3</v>
      </c>
      <c r="AE2122">
        <v>0</v>
      </c>
      <c r="AF2122">
        <v>9</v>
      </c>
      <c r="AG2122" t="s">
        <v>158</v>
      </c>
      <c r="AH2122">
        <v>0</v>
      </c>
      <c r="AI2122">
        <v>3</v>
      </c>
      <c r="AJ2122">
        <v>1</v>
      </c>
      <c r="AK2122">
        <v>0</v>
      </c>
      <c r="AL2122" t="s">
        <v>3991</v>
      </c>
      <c r="AM2122">
        <v>46.874949999999998</v>
      </c>
      <c r="AN2122" t="s">
        <v>3992</v>
      </c>
      <c r="AO2122">
        <v>-123.095348</v>
      </c>
      <c r="AP2122">
        <v>100</v>
      </c>
      <c r="AQ2122">
        <v>2100</v>
      </c>
      <c r="AR2122" t="s">
        <v>118</v>
      </c>
      <c r="AS2122">
        <v>-76</v>
      </c>
      <c r="AT2122">
        <v>20</v>
      </c>
      <c r="AU2122">
        <v>64</v>
      </c>
      <c r="BC2122">
        <v>1200</v>
      </c>
      <c r="BD2122">
        <v>1</v>
      </c>
      <c r="BE2122" t="str">
        <f t="shared" si="101"/>
        <v xml:space="preserve">N215T   </v>
      </c>
      <c r="BF2122">
        <v>1</v>
      </c>
      <c r="BH2122">
        <v>0</v>
      </c>
      <c r="BI2122">
        <v>0</v>
      </c>
      <c r="BJ2122">
        <v>0</v>
      </c>
      <c r="BK2122">
        <v>2475</v>
      </c>
      <c r="BL2122">
        <v>375</v>
      </c>
      <c r="BM2122" t="s">
        <v>119</v>
      </c>
      <c r="BN2122">
        <v>1</v>
      </c>
      <c r="BO2122">
        <v>1</v>
      </c>
      <c r="BP2122">
        <v>1</v>
      </c>
      <c r="BQ2122">
        <v>0</v>
      </c>
      <c r="BT2122">
        <v>0</v>
      </c>
      <c r="BU2122">
        <v>0</v>
      </c>
      <c r="BV2122">
        <v>0</v>
      </c>
      <c r="CC2122" t="str">
        <f>"19:10:12.781"</f>
        <v>19:10:12.781</v>
      </c>
      <c r="CD2122" t="str">
        <f>"778904390"</f>
        <v>778904390</v>
      </c>
      <c r="CQ2122">
        <v>0</v>
      </c>
      <c r="CR2122">
        <v>2</v>
      </c>
      <c r="CS2122">
        <v>0</v>
      </c>
      <c r="CT2122">
        <v>2</v>
      </c>
      <c r="CU2122">
        <v>0</v>
      </c>
      <c r="CV2122">
        <v>7</v>
      </c>
      <c r="CW2122" t="s">
        <v>120</v>
      </c>
      <c r="CX2122">
        <v>261</v>
      </c>
      <c r="CY2122">
        <v>2</v>
      </c>
      <c r="CZ2122" t="s">
        <v>121</v>
      </c>
      <c r="DA2122" t="s">
        <v>122</v>
      </c>
      <c r="DD2122">
        <v>15533992</v>
      </c>
      <c r="DE2122" t="s">
        <v>123</v>
      </c>
    </row>
    <row r="2123" spans="1:109" x14ac:dyDescent="0.3">
      <c r="A2123" t="str">
        <f>"19:10:14.078"</f>
        <v>19:10:14.078</v>
      </c>
      <c r="B2123" t="s">
        <v>110</v>
      </c>
      <c r="C2123" t="str">
        <f t="shared" si="99"/>
        <v>ffdfd3c0</v>
      </c>
      <c r="D2123" t="s">
        <v>111</v>
      </c>
      <c r="E2123">
        <v>18</v>
      </c>
      <c r="F2123">
        <v>1018</v>
      </c>
      <c r="G2123" t="s">
        <v>112</v>
      </c>
      <c r="J2123" t="s">
        <v>113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R2123" t="s">
        <v>114</v>
      </c>
      <c r="S2123" t="str">
        <f>"19:10:13.844"</f>
        <v>19:10:13.844</v>
      </c>
      <c r="T2123" t="str">
        <f>"19:10:13.547"</f>
        <v>19:10:13.547</v>
      </c>
      <c r="U2123" t="str">
        <f t="shared" si="100"/>
        <v>a1cdbe</v>
      </c>
      <c r="V2123">
        <v>0</v>
      </c>
      <c r="W2123">
        <v>0</v>
      </c>
      <c r="X2123">
        <v>1</v>
      </c>
      <c r="Y2123">
        <v>0</v>
      </c>
      <c r="Z2123">
        <v>0</v>
      </c>
      <c r="AB2123">
        <v>0</v>
      </c>
      <c r="AC2123">
        <v>9</v>
      </c>
      <c r="AD2123">
        <v>3</v>
      </c>
      <c r="AE2123">
        <v>0</v>
      </c>
      <c r="AF2123">
        <v>9</v>
      </c>
      <c r="AG2123" t="s">
        <v>158</v>
      </c>
      <c r="AH2123">
        <v>0</v>
      </c>
      <c r="AI2123">
        <v>3</v>
      </c>
      <c r="AJ2123">
        <v>1</v>
      </c>
      <c r="AK2123">
        <v>0</v>
      </c>
      <c r="AL2123" t="s">
        <v>3993</v>
      </c>
      <c r="AM2123">
        <v>46.875036000000001</v>
      </c>
      <c r="AN2123" t="s">
        <v>3994</v>
      </c>
      <c r="AO2123">
        <v>-123.095884</v>
      </c>
      <c r="AP2123">
        <v>100</v>
      </c>
      <c r="AQ2123">
        <v>2100</v>
      </c>
      <c r="AR2123" t="s">
        <v>118</v>
      </c>
      <c r="AS2123">
        <v>-76</v>
      </c>
      <c r="AT2123">
        <v>20</v>
      </c>
      <c r="AU2123">
        <v>64</v>
      </c>
      <c r="BC2123">
        <v>1200</v>
      </c>
      <c r="BD2123">
        <v>1</v>
      </c>
      <c r="BE2123" t="str">
        <f t="shared" si="101"/>
        <v xml:space="preserve">N215T   </v>
      </c>
      <c r="BF2123">
        <v>1</v>
      </c>
      <c r="BH2123">
        <v>0</v>
      </c>
      <c r="BI2123">
        <v>0</v>
      </c>
      <c r="BJ2123">
        <v>0</v>
      </c>
      <c r="BK2123">
        <v>2450</v>
      </c>
      <c r="BL2123">
        <v>350</v>
      </c>
      <c r="BM2123" t="s">
        <v>119</v>
      </c>
      <c r="BN2123">
        <v>1</v>
      </c>
      <c r="BO2123">
        <v>1</v>
      </c>
      <c r="BP2123">
        <v>1</v>
      </c>
      <c r="BQ2123">
        <v>0</v>
      </c>
      <c r="BT2123">
        <v>0</v>
      </c>
      <c r="BU2123">
        <v>0</v>
      </c>
      <c r="BV2123">
        <v>0</v>
      </c>
      <c r="CC2123" t="str">
        <f>"19:10:13.844"</f>
        <v>19:10:13.844</v>
      </c>
      <c r="CD2123" t="str">
        <f>"843799510"</f>
        <v>843799510</v>
      </c>
      <c r="CQ2123">
        <v>0</v>
      </c>
      <c r="CR2123">
        <v>2</v>
      </c>
      <c r="CS2123">
        <v>0</v>
      </c>
      <c r="CT2123">
        <v>2</v>
      </c>
      <c r="CU2123">
        <v>0</v>
      </c>
      <c r="CV2123">
        <v>7</v>
      </c>
      <c r="CW2123" t="s">
        <v>120</v>
      </c>
      <c r="CX2123">
        <v>261</v>
      </c>
      <c r="CY2123">
        <v>2</v>
      </c>
      <c r="CZ2123" t="s">
        <v>121</v>
      </c>
      <c r="DA2123" t="s">
        <v>122</v>
      </c>
      <c r="DD2123">
        <v>15534730</v>
      </c>
      <c r="DE2123" t="s">
        <v>123</v>
      </c>
    </row>
    <row r="2124" spans="1:109" x14ac:dyDescent="0.3">
      <c r="A2124" t="str">
        <f>"19:10:14.938"</f>
        <v>19:10:14.938</v>
      </c>
      <c r="B2124" t="s">
        <v>110</v>
      </c>
      <c r="C2124" t="str">
        <f t="shared" si="99"/>
        <v>ffdfd3c0</v>
      </c>
      <c r="D2124" t="s">
        <v>111</v>
      </c>
      <c r="E2124">
        <v>18</v>
      </c>
      <c r="F2124">
        <v>1018</v>
      </c>
      <c r="G2124" t="s">
        <v>112</v>
      </c>
      <c r="J2124" t="s">
        <v>113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R2124" t="s">
        <v>114</v>
      </c>
      <c r="S2124" t="str">
        <f>"19:10:14.711"</f>
        <v>19:10:14.711</v>
      </c>
      <c r="T2124" t="str">
        <f>"19:10:14.609"</f>
        <v>19:10:14.609</v>
      </c>
      <c r="U2124" t="str">
        <f t="shared" si="100"/>
        <v>a1cdbe</v>
      </c>
      <c r="V2124">
        <v>0</v>
      </c>
      <c r="W2124">
        <v>0</v>
      </c>
      <c r="X2124">
        <v>1</v>
      </c>
      <c r="Y2124">
        <v>0</v>
      </c>
      <c r="Z2124">
        <v>0</v>
      </c>
      <c r="AB2124">
        <v>0</v>
      </c>
      <c r="AC2124">
        <v>9</v>
      </c>
      <c r="AD2124">
        <v>3</v>
      </c>
      <c r="AE2124">
        <v>0</v>
      </c>
      <c r="AF2124">
        <v>9</v>
      </c>
      <c r="AG2124" t="s">
        <v>158</v>
      </c>
      <c r="AH2124">
        <v>0</v>
      </c>
      <c r="AI2124">
        <v>3</v>
      </c>
      <c r="AJ2124">
        <v>1</v>
      </c>
      <c r="AK2124">
        <v>0</v>
      </c>
      <c r="AL2124" t="s">
        <v>1582</v>
      </c>
      <c r="AM2124">
        <v>46.875121999999998</v>
      </c>
      <c r="AN2124" t="s">
        <v>3995</v>
      </c>
      <c r="AO2124">
        <v>-123.09631299999999</v>
      </c>
      <c r="AP2124">
        <v>100</v>
      </c>
      <c r="AQ2124">
        <v>2100</v>
      </c>
      <c r="AR2124" t="s">
        <v>118</v>
      </c>
      <c r="AS2124">
        <v>-76</v>
      </c>
      <c r="AT2124">
        <v>21</v>
      </c>
      <c r="AU2124">
        <v>64</v>
      </c>
      <c r="BC2124">
        <v>1200</v>
      </c>
      <c r="BD2124">
        <v>1</v>
      </c>
      <c r="BE2124" t="str">
        <f t="shared" si="101"/>
        <v xml:space="preserve">N215T   </v>
      </c>
      <c r="BF2124">
        <v>1</v>
      </c>
      <c r="BH2124">
        <v>0</v>
      </c>
      <c r="BI2124">
        <v>0</v>
      </c>
      <c r="BJ2124">
        <v>0</v>
      </c>
      <c r="BK2124">
        <v>2475</v>
      </c>
      <c r="BL2124">
        <v>375</v>
      </c>
      <c r="BM2124" t="s">
        <v>119</v>
      </c>
      <c r="BN2124">
        <v>1</v>
      </c>
      <c r="BO2124">
        <v>1</v>
      </c>
      <c r="BP2124">
        <v>1</v>
      </c>
      <c r="BQ2124">
        <v>0</v>
      </c>
      <c r="BT2124">
        <v>0</v>
      </c>
      <c r="BU2124">
        <v>0</v>
      </c>
      <c r="BV2124">
        <v>0</v>
      </c>
      <c r="CC2124" t="str">
        <f>"19:10:14.711"</f>
        <v>19:10:14.711</v>
      </c>
      <c r="CD2124" t="str">
        <f>"713713833"</f>
        <v>713713833</v>
      </c>
      <c r="CQ2124">
        <v>0</v>
      </c>
      <c r="CR2124">
        <v>2</v>
      </c>
      <c r="CS2124">
        <v>0</v>
      </c>
      <c r="CT2124">
        <v>2</v>
      </c>
      <c r="CU2124">
        <v>0</v>
      </c>
      <c r="CV2124">
        <v>7</v>
      </c>
      <c r="CW2124" t="s">
        <v>120</v>
      </c>
      <c r="CX2124">
        <v>261</v>
      </c>
      <c r="CY2124">
        <v>2</v>
      </c>
      <c r="CZ2124" t="s">
        <v>121</v>
      </c>
      <c r="DA2124" t="s">
        <v>122</v>
      </c>
      <c r="DD2124">
        <v>15535368</v>
      </c>
      <c r="DE2124" t="s">
        <v>123</v>
      </c>
    </row>
    <row r="2125" spans="1:109" x14ac:dyDescent="0.3">
      <c r="A2125" t="str">
        <f>"19:10:15.992"</f>
        <v>19:10:15.992</v>
      </c>
      <c r="B2125" t="s">
        <v>110</v>
      </c>
      <c r="C2125" t="str">
        <f t="shared" si="99"/>
        <v>ffdfd3c0</v>
      </c>
      <c r="D2125" t="s">
        <v>111</v>
      </c>
      <c r="E2125">
        <v>18</v>
      </c>
      <c r="F2125">
        <v>1018</v>
      </c>
      <c r="G2125" t="s">
        <v>112</v>
      </c>
      <c r="J2125" t="s">
        <v>113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R2125" t="s">
        <v>114</v>
      </c>
      <c r="S2125" t="str">
        <f>"19:10:15.742"</f>
        <v>19:10:15.742</v>
      </c>
      <c r="T2125" t="str">
        <f>"19:10:15.242"</f>
        <v>19:10:15.242</v>
      </c>
      <c r="U2125" t="str">
        <f t="shared" si="100"/>
        <v>a1cdbe</v>
      </c>
      <c r="V2125">
        <v>0</v>
      </c>
      <c r="W2125">
        <v>0</v>
      </c>
      <c r="X2125">
        <v>1</v>
      </c>
      <c r="Y2125">
        <v>0</v>
      </c>
      <c r="Z2125">
        <v>0</v>
      </c>
      <c r="AB2125">
        <v>0</v>
      </c>
      <c r="AC2125">
        <v>9</v>
      </c>
      <c r="AD2125">
        <v>3</v>
      </c>
      <c r="AE2125">
        <v>0</v>
      </c>
      <c r="AF2125">
        <v>9</v>
      </c>
      <c r="AG2125" t="s">
        <v>158</v>
      </c>
      <c r="AH2125">
        <v>0</v>
      </c>
      <c r="AI2125">
        <v>3</v>
      </c>
      <c r="AJ2125">
        <v>1</v>
      </c>
      <c r="AK2125">
        <v>0</v>
      </c>
      <c r="AL2125" t="s">
        <v>3996</v>
      </c>
      <c r="AM2125">
        <v>46.875207000000003</v>
      </c>
      <c r="AN2125" t="s">
        <v>3997</v>
      </c>
      <c r="AO2125">
        <v>-123.09687099999999</v>
      </c>
      <c r="AP2125">
        <v>100</v>
      </c>
      <c r="AQ2125">
        <v>2100</v>
      </c>
      <c r="AR2125" t="s">
        <v>118</v>
      </c>
      <c r="AS2125">
        <v>-76</v>
      </c>
      <c r="AT2125">
        <v>21</v>
      </c>
      <c r="AU2125">
        <v>64</v>
      </c>
      <c r="BC2125">
        <v>1200</v>
      </c>
      <c r="BD2125">
        <v>1</v>
      </c>
      <c r="BE2125" t="str">
        <f t="shared" si="101"/>
        <v xml:space="preserve">N215T   </v>
      </c>
      <c r="BF2125">
        <v>1</v>
      </c>
      <c r="BH2125">
        <v>0</v>
      </c>
      <c r="BI2125">
        <v>0</v>
      </c>
      <c r="BJ2125">
        <v>0</v>
      </c>
      <c r="BK2125">
        <v>2475</v>
      </c>
      <c r="BL2125">
        <v>375</v>
      </c>
      <c r="BM2125" t="s">
        <v>119</v>
      </c>
      <c r="BN2125">
        <v>1</v>
      </c>
      <c r="BO2125">
        <v>1</v>
      </c>
      <c r="BP2125">
        <v>1</v>
      </c>
      <c r="BQ2125">
        <v>0</v>
      </c>
      <c r="BT2125">
        <v>0</v>
      </c>
      <c r="BU2125">
        <v>0</v>
      </c>
      <c r="BV2125">
        <v>0</v>
      </c>
      <c r="CC2125" t="str">
        <f>"19:10:15.750"</f>
        <v>19:10:15.750</v>
      </c>
      <c r="CD2125" t="str">
        <f>"748611895"</f>
        <v>748611895</v>
      </c>
      <c r="CQ2125">
        <v>0</v>
      </c>
      <c r="CR2125">
        <v>2</v>
      </c>
      <c r="CS2125">
        <v>0</v>
      </c>
      <c r="CT2125">
        <v>2</v>
      </c>
      <c r="CU2125">
        <v>0</v>
      </c>
      <c r="CV2125">
        <v>6</v>
      </c>
      <c r="CW2125" t="s">
        <v>120</v>
      </c>
      <c r="CX2125">
        <v>261</v>
      </c>
      <c r="CY2125">
        <v>2</v>
      </c>
      <c r="CZ2125" t="s">
        <v>121</v>
      </c>
      <c r="DA2125" t="s">
        <v>122</v>
      </c>
      <c r="DD2125">
        <v>15536185</v>
      </c>
      <c r="DE2125" t="s">
        <v>123</v>
      </c>
    </row>
    <row r="2126" spans="1:109" x14ac:dyDescent="0.3">
      <c r="A2126" t="str">
        <f>"19:10:16.898"</f>
        <v>19:10:16.898</v>
      </c>
      <c r="B2126" t="s">
        <v>110</v>
      </c>
      <c r="C2126" t="str">
        <f t="shared" si="99"/>
        <v>ffdfd3c0</v>
      </c>
      <c r="D2126" t="s">
        <v>111</v>
      </c>
      <c r="E2126">
        <v>18</v>
      </c>
      <c r="F2126">
        <v>1018</v>
      </c>
      <c r="G2126" t="s">
        <v>112</v>
      </c>
      <c r="J2126" t="s">
        <v>113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R2126" t="s">
        <v>114</v>
      </c>
      <c r="S2126" t="str">
        <f>"19:10:16.672"</f>
        <v>19:10:16.672</v>
      </c>
      <c r="T2126" t="str">
        <f>"19:10:16.375"</f>
        <v>19:10:16.375</v>
      </c>
      <c r="U2126" t="str">
        <f t="shared" si="100"/>
        <v>a1cdbe</v>
      </c>
      <c r="V2126">
        <v>0</v>
      </c>
      <c r="W2126">
        <v>0</v>
      </c>
      <c r="X2126">
        <v>1</v>
      </c>
      <c r="Y2126">
        <v>0</v>
      </c>
      <c r="Z2126">
        <v>0</v>
      </c>
      <c r="AB2126">
        <v>0</v>
      </c>
      <c r="AC2126">
        <v>9</v>
      </c>
      <c r="AD2126">
        <v>3</v>
      </c>
      <c r="AE2126">
        <v>0</v>
      </c>
      <c r="AF2126">
        <v>9</v>
      </c>
      <c r="AG2126" t="s">
        <v>158</v>
      </c>
      <c r="AH2126">
        <v>0</v>
      </c>
      <c r="AI2126">
        <v>3</v>
      </c>
      <c r="AJ2126">
        <v>1</v>
      </c>
      <c r="AK2126">
        <v>0</v>
      </c>
      <c r="AL2126" t="s">
        <v>3998</v>
      </c>
      <c r="AM2126">
        <v>46.875315000000001</v>
      </c>
      <c r="AN2126" t="s">
        <v>3999</v>
      </c>
      <c r="AO2126">
        <v>-123.097365</v>
      </c>
      <c r="AP2126">
        <v>100</v>
      </c>
      <c r="AQ2126">
        <v>2100</v>
      </c>
      <c r="AR2126" t="s">
        <v>118</v>
      </c>
      <c r="AS2126">
        <v>-76</v>
      </c>
      <c r="AT2126">
        <v>21</v>
      </c>
      <c r="AU2126">
        <v>0</v>
      </c>
      <c r="BC2126">
        <v>1200</v>
      </c>
      <c r="BD2126">
        <v>1</v>
      </c>
      <c r="BE2126" t="str">
        <f t="shared" si="101"/>
        <v xml:space="preserve">N215T   </v>
      </c>
      <c r="BF2126">
        <v>1</v>
      </c>
      <c r="BH2126">
        <v>0</v>
      </c>
      <c r="BI2126">
        <v>0</v>
      </c>
      <c r="BJ2126">
        <v>0</v>
      </c>
      <c r="BK2126">
        <v>2475</v>
      </c>
      <c r="BL2126">
        <v>375</v>
      </c>
      <c r="BM2126" t="s">
        <v>119</v>
      </c>
      <c r="BN2126">
        <v>1</v>
      </c>
      <c r="BO2126">
        <v>1</v>
      </c>
      <c r="BP2126">
        <v>1</v>
      </c>
      <c r="BQ2126">
        <v>0</v>
      </c>
      <c r="BT2126">
        <v>0</v>
      </c>
      <c r="BU2126">
        <v>0</v>
      </c>
      <c r="BV2126">
        <v>0</v>
      </c>
      <c r="CC2126" t="str">
        <f>"19:10:16.680"</f>
        <v>19:10:16.680</v>
      </c>
      <c r="CD2126" t="str">
        <f>"678523573"</f>
        <v>678523573</v>
      </c>
      <c r="CQ2126">
        <v>0</v>
      </c>
      <c r="CR2126">
        <v>2</v>
      </c>
      <c r="CS2126">
        <v>0</v>
      </c>
      <c r="CT2126">
        <v>2</v>
      </c>
      <c r="CU2126">
        <v>0</v>
      </c>
      <c r="CV2126">
        <v>6</v>
      </c>
      <c r="CW2126" t="s">
        <v>120</v>
      </c>
      <c r="CX2126">
        <v>257</v>
      </c>
      <c r="CY2126">
        <v>0</v>
      </c>
      <c r="CZ2126" t="s">
        <v>615</v>
      </c>
      <c r="DA2126" t="s">
        <v>616</v>
      </c>
      <c r="DD2126">
        <v>15734147</v>
      </c>
      <c r="DE2126" t="s">
        <v>123</v>
      </c>
    </row>
    <row r="2127" spans="1:109" x14ac:dyDescent="0.3">
      <c r="A2127" t="str">
        <f>"19:10:17.953"</f>
        <v>19:10:17.953</v>
      </c>
      <c r="B2127" t="s">
        <v>110</v>
      </c>
      <c r="C2127" t="str">
        <f t="shared" si="99"/>
        <v>ffdfd3c0</v>
      </c>
      <c r="D2127" t="s">
        <v>111</v>
      </c>
      <c r="E2127">
        <v>18</v>
      </c>
      <c r="F2127">
        <v>1018</v>
      </c>
      <c r="G2127" t="s">
        <v>112</v>
      </c>
      <c r="J2127" t="s">
        <v>113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R2127" t="s">
        <v>114</v>
      </c>
      <c r="S2127" t="str">
        <f>"19:10:17.711"</f>
        <v>19:10:17.711</v>
      </c>
      <c r="T2127" t="str">
        <f>"19:10:17.508"</f>
        <v>19:10:17.508</v>
      </c>
      <c r="U2127" t="str">
        <f t="shared" si="100"/>
        <v>a1cdbe</v>
      </c>
      <c r="V2127">
        <v>0</v>
      </c>
      <c r="W2127">
        <v>0</v>
      </c>
      <c r="X2127">
        <v>1</v>
      </c>
      <c r="Y2127">
        <v>0</v>
      </c>
      <c r="Z2127">
        <v>0</v>
      </c>
      <c r="AB2127">
        <v>0</v>
      </c>
      <c r="AC2127">
        <v>9</v>
      </c>
      <c r="AD2127">
        <v>3</v>
      </c>
      <c r="AE2127">
        <v>0</v>
      </c>
      <c r="AF2127">
        <v>9</v>
      </c>
      <c r="AG2127" t="s">
        <v>158</v>
      </c>
      <c r="AH2127">
        <v>0</v>
      </c>
      <c r="AI2127">
        <v>3</v>
      </c>
      <c r="AJ2127">
        <v>1</v>
      </c>
      <c r="AK2127">
        <v>0</v>
      </c>
      <c r="AL2127" t="s">
        <v>4000</v>
      </c>
      <c r="AM2127">
        <v>46.875422</v>
      </c>
      <c r="AN2127" t="s">
        <v>4001</v>
      </c>
      <c r="AO2127">
        <v>-123.09790099999999</v>
      </c>
      <c r="AP2127">
        <v>100</v>
      </c>
      <c r="AQ2127">
        <v>2100</v>
      </c>
      <c r="AR2127" t="s">
        <v>118</v>
      </c>
      <c r="AS2127">
        <v>-76</v>
      </c>
      <c r="AT2127">
        <v>22</v>
      </c>
      <c r="AU2127">
        <v>0</v>
      </c>
      <c r="BC2127">
        <v>1200</v>
      </c>
      <c r="BD2127">
        <v>1</v>
      </c>
      <c r="BE2127" t="str">
        <f t="shared" si="101"/>
        <v xml:space="preserve">N215T   </v>
      </c>
      <c r="BF2127">
        <v>1</v>
      </c>
      <c r="BH2127">
        <v>0</v>
      </c>
      <c r="BI2127">
        <v>0</v>
      </c>
      <c r="BJ2127">
        <v>0</v>
      </c>
      <c r="BK2127">
        <v>2475</v>
      </c>
      <c r="BL2127">
        <v>375</v>
      </c>
      <c r="BM2127" t="s">
        <v>119</v>
      </c>
      <c r="BN2127">
        <v>1</v>
      </c>
      <c r="BO2127">
        <v>1</v>
      </c>
      <c r="BP2127">
        <v>1</v>
      </c>
      <c r="BQ2127">
        <v>0</v>
      </c>
      <c r="BT2127">
        <v>0</v>
      </c>
      <c r="BU2127">
        <v>0</v>
      </c>
      <c r="BV2127">
        <v>0</v>
      </c>
      <c r="CC2127" t="str">
        <f>"19:10:17.711"</f>
        <v>19:10:17.711</v>
      </c>
      <c r="CD2127" t="str">
        <f>"713421555"</f>
        <v>713421555</v>
      </c>
      <c r="CQ2127">
        <v>0</v>
      </c>
      <c r="CR2127">
        <v>2</v>
      </c>
      <c r="CS2127">
        <v>0</v>
      </c>
      <c r="CT2127">
        <v>2</v>
      </c>
      <c r="CU2127">
        <v>0</v>
      </c>
      <c r="CV2127">
        <v>6</v>
      </c>
      <c r="CW2127" t="s">
        <v>120</v>
      </c>
      <c r="CX2127">
        <v>257</v>
      </c>
      <c r="CY2127">
        <v>0</v>
      </c>
      <c r="CZ2127" t="s">
        <v>615</v>
      </c>
      <c r="DA2127" t="s">
        <v>616</v>
      </c>
      <c r="DD2127">
        <v>15734689</v>
      </c>
      <c r="DE2127" t="s">
        <v>123</v>
      </c>
    </row>
    <row r="2128" spans="1:109" x14ac:dyDescent="0.3">
      <c r="A2128" t="str">
        <f>"19:10:18.906"</f>
        <v>19:10:18.906</v>
      </c>
      <c r="B2128" t="s">
        <v>110</v>
      </c>
      <c r="C2128" t="str">
        <f t="shared" si="99"/>
        <v>ffdfd3c0</v>
      </c>
      <c r="D2128" t="s">
        <v>111</v>
      </c>
      <c r="E2128">
        <v>18</v>
      </c>
      <c r="F2128">
        <v>1018</v>
      </c>
      <c r="G2128" t="s">
        <v>112</v>
      </c>
      <c r="J2128" t="s">
        <v>113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R2128" t="s">
        <v>114</v>
      </c>
      <c r="S2128" t="str">
        <f>"19:10:18.703"</f>
        <v>19:10:18.703</v>
      </c>
      <c r="T2128" t="str">
        <f>"19:10:18.500"</f>
        <v>19:10:18.500</v>
      </c>
      <c r="U2128" t="str">
        <f t="shared" si="100"/>
        <v>a1cdbe</v>
      </c>
      <c r="V2128">
        <v>0</v>
      </c>
      <c r="W2128">
        <v>0</v>
      </c>
      <c r="X2128">
        <v>1</v>
      </c>
      <c r="Y2128">
        <v>0</v>
      </c>
      <c r="Z2128">
        <v>0</v>
      </c>
      <c r="AB2128">
        <v>0</v>
      </c>
      <c r="AC2128">
        <v>9</v>
      </c>
      <c r="AD2128">
        <v>3</v>
      </c>
      <c r="AE2128">
        <v>0</v>
      </c>
      <c r="AF2128">
        <v>9</v>
      </c>
      <c r="AG2128" t="s">
        <v>158</v>
      </c>
      <c r="AH2128">
        <v>0</v>
      </c>
      <c r="AI2128">
        <v>3</v>
      </c>
      <c r="AJ2128">
        <v>1</v>
      </c>
      <c r="AK2128">
        <v>0</v>
      </c>
      <c r="AL2128" t="s">
        <v>1578</v>
      </c>
      <c r="AM2128">
        <v>46.875551000000002</v>
      </c>
      <c r="AN2128" t="s">
        <v>4002</v>
      </c>
      <c r="AO2128">
        <v>-123.09835200000001</v>
      </c>
      <c r="AP2128">
        <v>100</v>
      </c>
      <c r="AQ2128">
        <v>2100</v>
      </c>
      <c r="AR2128" t="s">
        <v>118</v>
      </c>
      <c r="AS2128">
        <v>-76</v>
      </c>
      <c r="AT2128">
        <v>22</v>
      </c>
      <c r="AU2128">
        <v>0</v>
      </c>
      <c r="BC2128">
        <v>1200</v>
      </c>
      <c r="BD2128">
        <v>1</v>
      </c>
      <c r="BE2128" t="str">
        <f t="shared" si="101"/>
        <v xml:space="preserve">N215T   </v>
      </c>
      <c r="BF2128">
        <v>1</v>
      </c>
      <c r="BH2128">
        <v>0</v>
      </c>
      <c r="BI2128">
        <v>0</v>
      </c>
      <c r="BJ2128">
        <v>0</v>
      </c>
      <c r="BK2128">
        <v>2475</v>
      </c>
      <c r="BL2128">
        <v>375</v>
      </c>
      <c r="BM2128" t="s">
        <v>119</v>
      </c>
      <c r="BN2128">
        <v>1</v>
      </c>
      <c r="BO2128">
        <v>1</v>
      </c>
      <c r="BP2128">
        <v>1</v>
      </c>
      <c r="BQ2128">
        <v>0</v>
      </c>
      <c r="BT2128">
        <v>0</v>
      </c>
      <c r="BU2128">
        <v>0</v>
      </c>
      <c r="BV2128">
        <v>0</v>
      </c>
      <c r="CC2128" t="str">
        <f>"19:10:18.703"</f>
        <v>19:10:18.703</v>
      </c>
      <c r="CD2128" t="str">
        <f>"703320860"</f>
        <v>703320860</v>
      </c>
      <c r="CQ2128">
        <v>0</v>
      </c>
      <c r="CR2128">
        <v>2</v>
      </c>
      <c r="CS2128">
        <v>0</v>
      </c>
      <c r="CT2128">
        <v>2</v>
      </c>
      <c r="CU2128">
        <v>0</v>
      </c>
      <c r="CV2128">
        <v>7</v>
      </c>
      <c r="CW2128" t="s">
        <v>120</v>
      </c>
      <c r="CX2128">
        <v>261</v>
      </c>
      <c r="CY2128">
        <v>2</v>
      </c>
      <c r="CZ2128" t="s">
        <v>121</v>
      </c>
      <c r="DA2128" t="s">
        <v>122</v>
      </c>
      <c r="DD2128">
        <v>15538276</v>
      </c>
      <c r="DE2128" t="s">
        <v>123</v>
      </c>
    </row>
    <row r="2129" spans="1:109" x14ac:dyDescent="0.3">
      <c r="A2129" t="str">
        <f>"19:10:19.820"</f>
        <v>19:10:19.820</v>
      </c>
      <c r="B2129" t="s">
        <v>110</v>
      </c>
      <c r="C2129" t="str">
        <f t="shared" si="99"/>
        <v>ffdfd3c0</v>
      </c>
      <c r="D2129" t="s">
        <v>111</v>
      </c>
      <c r="E2129">
        <v>18</v>
      </c>
      <c r="F2129">
        <v>1018</v>
      </c>
      <c r="G2129" t="s">
        <v>112</v>
      </c>
      <c r="J2129" t="s">
        <v>113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R2129" t="s">
        <v>114</v>
      </c>
      <c r="S2129" t="str">
        <f>"19:10:19.617"</f>
        <v>19:10:19.617</v>
      </c>
      <c r="T2129" t="str">
        <f>"19:10:19.320"</f>
        <v>19:10:19.320</v>
      </c>
      <c r="U2129" t="str">
        <f t="shared" si="100"/>
        <v>a1cdbe</v>
      </c>
      <c r="V2129">
        <v>0</v>
      </c>
      <c r="W2129">
        <v>0</v>
      </c>
      <c r="X2129">
        <v>1</v>
      </c>
      <c r="Y2129">
        <v>0</v>
      </c>
      <c r="Z2129">
        <v>0</v>
      </c>
      <c r="AB2129">
        <v>0</v>
      </c>
      <c r="AC2129">
        <v>9</v>
      </c>
      <c r="AD2129">
        <v>3</v>
      </c>
      <c r="AE2129">
        <v>0</v>
      </c>
      <c r="AF2129">
        <v>9</v>
      </c>
      <c r="AG2129" t="s">
        <v>158</v>
      </c>
      <c r="AH2129">
        <v>0</v>
      </c>
      <c r="AI2129">
        <v>3</v>
      </c>
      <c r="AJ2129">
        <v>1</v>
      </c>
      <c r="AK2129">
        <v>0</v>
      </c>
      <c r="AL2129" t="s">
        <v>4003</v>
      </c>
      <c r="AM2129">
        <v>46.875636999999998</v>
      </c>
      <c r="AN2129" t="s">
        <v>4004</v>
      </c>
      <c r="AO2129">
        <v>-123.098845</v>
      </c>
      <c r="AP2129">
        <v>100</v>
      </c>
      <c r="AQ2129">
        <v>2100</v>
      </c>
      <c r="AR2129" t="s">
        <v>118</v>
      </c>
      <c r="AS2129">
        <v>-76</v>
      </c>
      <c r="AT2129">
        <v>23</v>
      </c>
      <c r="AU2129">
        <v>0</v>
      </c>
      <c r="BC2129">
        <v>1200</v>
      </c>
      <c r="BD2129">
        <v>1</v>
      </c>
      <c r="BE2129" t="str">
        <f t="shared" si="101"/>
        <v xml:space="preserve">N215T   </v>
      </c>
      <c r="BF2129">
        <v>1</v>
      </c>
      <c r="BH2129">
        <v>0</v>
      </c>
      <c r="BI2129">
        <v>0</v>
      </c>
      <c r="BJ2129">
        <v>0</v>
      </c>
      <c r="BK2129">
        <v>2475</v>
      </c>
      <c r="BL2129">
        <v>375</v>
      </c>
      <c r="BM2129" t="s">
        <v>119</v>
      </c>
      <c r="BN2129">
        <v>1</v>
      </c>
      <c r="BO2129">
        <v>1</v>
      </c>
      <c r="BP2129">
        <v>1</v>
      </c>
      <c r="BQ2129">
        <v>0</v>
      </c>
      <c r="BT2129">
        <v>0</v>
      </c>
      <c r="BU2129">
        <v>0</v>
      </c>
      <c r="BV2129">
        <v>0</v>
      </c>
      <c r="CC2129" t="str">
        <f>"19:10:19.617"</f>
        <v>19:10:19.617</v>
      </c>
      <c r="CD2129" t="str">
        <f>"618230744"</f>
        <v>618230744</v>
      </c>
      <c r="CQ2129">
        <v>0</v>
      </c>
      <c r="CR2129">
        <v>2</v>
      </c>
      <c r="CS2129">
        <v>0</v>
      </c>
      <c r="CT2129">
        <v>2</v>
      </c>
      <c r="CU2129">
        <v>0</v>
      </c>
      <c r="CV2129">
        <v>7</v>
      </c>
      <c r="CW2129" t="s">
        <v>120</v>
      </c>
      <c r="CX2129">
        <v>261</v>
      </c>
      <c r="CY2129">
        <v>2</v>
      </c>
      <c r="CZ2129" t="s">
        <v>121</v>
      </c>
      <c r="DA2129" t="s">
        <v>122</v>
      </c>
      <c r="DD2129">
        <v>15538975</v>
      </c>
      <c r="DE2129" t="s">
        <v>123</v>
      </c>
    </row>
    <row r="2130" spans="1:109" x14ac:dyDescent="0.3">
      <c r="A2130" t="str">
        <f>"19:10:20.969"</f>
        <v>19:10:20.969</v>
      </c>
      <c r="B2130" t="s">
        <v>110</v>
      </c>
      <c r="C2130" t="str">
        <f t="shared" si="99"/>
        <v>ffdfd3c0</v>
      </c>
      <c r="D2130" t="s">
        <v>111</v>
      </c>
      <c r="E2130">
        <v>18</v>
      </c>
      <c r="F2130">
        <v>1018</v>
      </c>
      <c r="G2130" t="s">
        <v>112</v>
      </c>
      <c r="J2130" t="s">
        <v>113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R2130" t="s">
        <v>114</v>
      </c>
      <c r="S2130" t="str">
        <f>"19:10:20.758"</f>
        <v>19:10:20.758</v>
      </c>
      <c r="T2130" t="str">
        <f>"19:10:20.461"</f>
        <v>19:10:20.461</v>
      </c>
      <c r="U2130" t="str">
        <f t="shared" si="100"/>
        <v>a1cdbe</v>
      </c>
      <c r="V2130">
        <v>0</v>
      </c>
      <c r="W2130">
        <v>0</v>
      </c>
      <c r="X2130">
        <v>1</v>
      </c>
      <c r="Y2130">
        <v>0</v>
      </c>
      <c r="Z2130">
        <v>0</v>
      </c>
      <c r="AB2130">
        <v>0</v>
      </c>
      <c r="AC2130">
        <v>9</v>
      </c>
      <c r="AD2130">
        <v>3</v>
      </c>
      <c r="AE2130">
        <v>0</v>
      </c>
      <c r="AF2130">
        <v>9</v>
      </c>
      <c r="AG2130" t="s">
        <v>158</v>
      </c>
      <c r="AH2130">
        <v>0</v>
      </c>
      <c r="AI2130">
        <v>3</v>
      </c>
      <c r="AJ2130">
        <v>1</v>
      </c>
      <c r="AK2130">
        <v>0</v>
      </c>
      <c r="AL2130" t="s">
        <v>4005</v>
      </c>
      <c r="AM2130">
        <v>46.875722000000003</v>
      </c>
      <c r="AN2130" t="s">
        <v>4006</v>
      </c>
      <c r="AO2130">
        <v>-123.099403</v>
      </c>
      <c r="AP2130">
        <v>100</v>
      </c>
      <c r="AQ2130">
        <v>2100</v>
      </c>
      <c r="AR2130" t="s">
        <v>118</v>
      </c>
      <c r="AS2130">
        <v>-76</v>
      </c>
      <c r="AT2130">
        <v>23</v>
      </c>
      <c r="AU2130">
        <v>0</v>
      </c>
      <c r="BC2130">
        <v>1200</v>
      </c>
      <c r="BD2130">
        <v>1</v>
      </c>
      <c r="BE2130" t="str">
        <f t="shared" si="101"/>
        <v xml:space="preserve">N215T   </v>
      </c>
      <c r="BF2130">
        <v>1</v>
      </c>
      <c r="BH2130">
        <v>0</v>
      </c>
      <c r="BI2130">
        <v>0</v>
      </c>
      <c r="BJ2130">
        <v>0</v>
      </c>
      <c r="BK2130">
        <v>2475</v>
      </c>
      <c r="BL2130">
        <v>375</v>
      </c>
      <c r="BM2130" t="s">
        <v>119</v>
      </c>
      <c r="BN2130">
        <v>1</v>
      </c>
      <c r="BO2130">
        <v>1</v>
      </c>
      <c r="BP2130">
        <v>1</v>
      </c>
      <c r="BQ2130">
        <v>0</v>
      </c>
      <c r="BT2130">
        <v>0</v>
      </c>
      <c r="BU2130">
        <v>0</v>
      </c>
      <c r="BV2130">
        <v>0</v>
      </c>
      <c r="CC2130" t="str">
        <f>"19:10:20.758"</f>
        <v>19:10:20.758</v>
      </c>
      <c r="CD2130" t="str">
        <f>"758118470"</f>
        <v>758118470</v>
      </c>
      <c r="CQ2130">
        <v>0</v>
      </c>
      <c r="CR2130">
        <v>2</v>
      </c>
      <c r="CS2130">
        <v>0</v>
      </c>
      <c r="CT2130">
        <v>2</v>
      </c>
      <c r="CU2130">
        <v>0</v>
      </c>
      <c r="CV2130">
        <v>7</v>
      </c>
      <c r="CW2130" t="s">
        <v>120</v>
      </c>
      <c r="CX2130">
        <v>261</v>
      </c>
      <c r="CY2130">
        <v>2</v>
      </c>
      <c r="CZ2130" t="s">
        <v>121</v>
      </c>
      <c r="DA2130" t="s">
        <v>122</v>
      </c>
      <c r="DD2130">
        <v>15539883</v>
      </c>
      <c r="DE2130" t="s">
        <v>123</v>
      </c>
    </row>
    <row r="2131" spans="1:109" x14ac:dyDescent="0.3">
      <c r="A2131" t="str">
        <f>"19:10:21.922"</f>
        <v>19:10:21.922</v>
      </c>
      <c r="B2131" t="s">
        <v>110</v>
      </c>
      <c r="C2131" t="str">
        <f t="shared" si="99"/>
        <v>ffdfd3c0</v>
      </c>
      <c r="D2131" t="s">
        <v>111</v>
      </c>
      <c r="E2131">
        <v>18</v>
      </c>
      <c r="F2131">
        <v>1018</v>
      </c>
      <c r="G2131" t="s">
        <v>112</v>
      </c>
      <c r="J2131" t="s">
        <v>113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R2131" t="s">
        <v>114</v>
      </c>
      <c r="S2131" t="str">
        <f>"19:10:21.727"</f>
        <v>19:10:21.727</v>
      </c>
      <c r="T2131" t="str">
        <f>"19:10:21.328"</f>
        <v>19:10:21.328</v>
      </c>
      <c r="U2131" t="str">
        <f t="shared" si="100"/>
        <v>a1cdbe</v>
      </c>
      <c r="V2131">
        <v>0</v>
      </c>
      <c r="W2131">
        <v>0</v>
      </c>
      <c r="X2131">
        <v>1</v>
      </c>
      <c r="Y2131">
        <v>0</v>
      </c>
      <c r="Z2131">
        <v>0</v>
      </c>
      <c r="AB2131">
        <v>0</v>
      </c>
      <c r="AC2131">
        <v>9</v>
      </c>
      <c r="AD2131">
        <v>3</v>
      </c>
      <c r="AE2131">
        <v>0</v>
      </c>
      <c r="AF2131">
        <v>9</v>
      </c>
      <c r="AG2131" t="s">
        <v>158</v>
      </c>
      <c r="AH2131">
        <v>0</v>
      </c>
      <c r="AI2131">
        <v>3</v>
      </c>
      <c r="AJ2131">
        <v>1</v>
      </c>
      <c r="AK2131">
        <v>0</v>
      </c>
      <c r="AL2131" t="s">
        <v>4007</v>
      </c>
      <c r="AM2131">
        <v>46.875872999999999</v>
      </c>
      <c r="AN2131" t="s">
        <v>4008</v>
      </c>
      <c r="AO2131">
        <v>-123.09996099999999</v>
      </c>
      <c r="AP2131">
        <v>100</v>
      </c>
      <c r="AQ2131">
        <v>2100</v>
      </c>
      <c r="AR2131" t="s">
        <v>118</v>
      </c>
      <c r="AS2131">
        <v>-75</v>
      </c>
      <c r="AT2131">
        <v>23</v>
      </c>
      <c r="AU2131">
        <v>0</v>
      </c>
      <c r="BC2131">
        <v>1200</v>
      </c>
      <c r="BD2131">
        <v>1</v>
      </c>
      <c r="BE2131" t="str">
        <f t="shared" si="101"/>
        <v xml:space="preserve">N215T   </v>
      </c>
      <c r="BF2131">
        <v>1</v>
      </c>
      <c r="BH2131">
        <v>0</v>
      </c>
      <c r="BI2131">
        <v>0</v>
      </c>
      <c r="BJ2131">
        <v>0</v>
      </c>
      <c r="BK2131">
        <v>2475</v>
      </c>
      <c r="BL2131">
        <v>375</v>
      </c>
      <c r="BM2131" t="s">
        <v>119</v>
      </c>
      <c r="BN2131">
        <v>1</v>
      </c>
      <c r="BO2131">
        <v>1</v>
      </c>
      <c r="BP2131">
        <v>1</v>
      </c>
      <c r="BQ2131">
        <v>0</v>
      </c>
      <c r="BT2131">
        <v>0</v>
      </c>
      <c r="BU2131">
        <v>0</v>
      </c>
      <c r="BV2131">
        <v>0</v>
      </c>
      <c r="CC2131" t="str">
        <f>"19:10:21.734"</f>
        <v>19:10:21.734</v>
      </c>
      <c r="CD2131" t="str">
        <f>"733025327"</f>
        <v>733025327</v>
      </c>
      <c r="CQ2131">
        <v>0</v>
      </c>
      <c r="CR2131">
        <v>2</v>
      </c>
      <c r="CS2131">
        <v>0</v>
      </c>
      <c r="CT2131">
        <v>2</v>
      </c>
      <c r="CU2131">
        <v>0</v>
      </c>
      <c r="CV2131">
        <v>6</v>
      </c>
      <c r="CW2131" t="s">
        <v>120</v>
      </c>
      <c r="CX2131">
        <v>257</v>
      </c>
      <c r="CY2131">
        <v>0</v>
      </c>
      <c r="CZ2131" t="s">
        <v>615</v>
      </c>
      <c r="DA2131" t="s">
        <v>616</v>
      </c>
      <c r="DD2131">
        <v>15737008</v>
      </c>
      <c r="DE2131" t="s">
        <v>123</v>
      </c>
    </row>
    <row r="2132" spans="1:109" x14ac:dyDescent="0.3">
      <c r="A2132" t="str">
        <f>"19:10:22.977"</f>
        <v>19:10:22.977</v>
      </c>
      <c r="B2132" t="s">
        <v>110</v>
      </c>
      <c r="C2132" t="str">
        <f t="shared" si="99"/>
        <v>ffdfd3c0</v>
      </c>
      <c r="D2132" t="s">
        <v>111</v>
      </c>
      <c r="E2132">
        <v>18</v>
      </c>
      <c r="F2132">
        <v>1018</v>
      </c>
      <c r="G2132" t="s">
        <v>112</v>
      </c>
      <c r="J2132" t="s">
        <v>113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R2132" t="s">
        <v>114</v>
      </c>
      <c r="S2132" t="str">
        <f>"19:10:22.781"</f>
        <v>19:10:22.781</v>
      </c>
      <c r="T2132" t="str">
        <f>"19:10:22.281"</f>
        <v>19:10:22.281</v>
      </c>
      <c r="U2132" t="str">
        <f t="shared" si="100"/>
        <v>a1cdbe</v>
      </c>
      <c r="V2132">
        <v>0</v>
      </c>
      <c r="W2132">
        <v>0</v>
      </c>
      <c r="X2132">
        <v>1</v>
      </c>
      <c r="Y2132">
        <v>0</v>
      </c>
      <c r="Z2132">
        <v>0</v>
      </c>
      <c r="AB2132">
        <v>0</v>
      </c>
      <c r="AC2132">
        <v>9</v>
      </c>
      <c r="AD2132">
        <v>3</v>
      </c>
      <c r="AE2132">
        <v>0</v>
      </c>
      <c r="AF2132">
        <v>9</v>
      </c>
      <c r="AG2132" t="s">
        <v>158</v>
      </c>
      <c r="AH2132">
        <v>0</v>
      </c>
      <c r="AI2132">
        <v>3</v>
      </c>
      <c r="AJ2132">
        <v>1</v>
      </c>
      <c r="AK2132">
        <v>0</v>
      </c>
      <c r="AL2132" t="s">
        <v>4009</v>
      </c>
      <c r="AM2132">
        <v>46.875957999999997</v>
      </c>
      <c r="AN2132" t="s">
        <v>4010</v>
      </c>
      <c r="AO2132">
        <v>-123.100433</v>
      </c>
      <c r="AP2132">
        <v>100</v>
      </c>
      <c r="AQ2132">
        <v>2100</v>
      </c>
      <c r="AR2132" t="s">
        <v>118</v>
      </c>
      <c r="AS2132">
        <v>-75</v>
      </c>
      <c r="AT2132">
        <v>24</v>
      </c>
      <c r="AU2132">
        <v>0</v>
      </c>
      <c r="BC2132">
        <v>1200</v>
      </c>
      <c r="BD2132">
        <v>1</v>
      </c>
      <c r="BE2132" t="str">
        <f t="shared" si="101"/>
        <v xml:space="preserve">N215T   </v>
      </c>
      <c r="BF2132">
        <v>1</v>
      </c>
      <c r="BH2132">
        <v>0</v>
      </c>
      <c r="BI2132">
        <v>0</v>
      </c>
      <c r="BJ2132">
        <v>0</v>
      </c>
      <c r="BK2132">
        <v>2475</v>
      </c>
      <c r="BL2132">
        <v>375</v>
      </c>
      <c r="BM2132" t="s">
        <v>119</v>
      </c>
      <c r="BN2132">
        <v>1</v>
      </c>
      <c r="BO2132">
        <v>1</v>
      </c>
      <c r="BP2132">
        <v>1</v>
      </c>
      <c r="BQ2132">
        <v>0</v>
      </c>
      <c r="BT2132">
        <v>0</v>
      </c>
      <c r="BU2132">
        <v>0</v>
      </c>
      <c r="BV2132">
        <v>0</v>
      </c>
      <c r="CC2132" t="str">
        <f>"19:10:22.781"</f>
        <v>19:10:22.781</v>
      </c>
      <c r="CD2132" t="str">
        <f>"782919034"</f>
        <v>782919034</v>
      </c>
      <c r="CQ2132">
        <v>0</v>
      </c>
      <c r="CR2132">
        <v>2</v>
      </c>
      <c r="CS2132">
        <v>0</v>
      </c>
      <c r="CT2132">
        <v>2</v>
      </c>
      <c r="CU2132">
        <v>0</v>
      </c>
      <c r="CV2132">
        <v>7</v>
      </c>
      <c r="CW2132" t="s">
        <v>120</v>
      </c>
      <c r="CX2132">
        <v>261</v>
      </c>
      <c r="CY2132">
        <v>2</v>
      </c>
      <c r="CZ2132" t="s">
        <v>121</v>
      </c>
      <c r="DA2132" t="s">
        <v>122</v>
      </c>
      <c r="DD2132">
        <v>15541247</v>
      </c>
      <c r="DE2132" t="s">
        <v>123</v>
      </c>
    </row>
    <row r="2133" spans="1:109" x14ac:dyDescent="0.3">
      <c r="A2133" t="str">
        <f>"19:10:23.883"</f>
        <v>19:10:23.883</v>
      </c>
      <c r="B2133" t="s">
        <v>110</v>
      </c>
      <c r="C2133" t="str">
        <f t="shared" si="99"/>
        <v>ffdfd3c0</v>
      </c>
      <c r="D2133" t="s">
        <v>111</v>
      </c>
      <c r="E2133">
        <v>18</v>
      </c>
      <c r="F2133">
        <v>1018</v>
      </c>
      <c r="G2133" t="s">
        <v>112</v>
      </c>
      <c r="J2133" t="s">
        <v>113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R2133" t="s">
        <v>114</v>
      </c>
      <c r="S2133" t="str">
        <f>"19:10:23.664"</f>
        <v>19:10:23.664</v>
      </c>
      <c r="T2133" t="str">
        <f>"19:10:23.367"</f>
        <v>19:10:23.367</v>
      </c>
      <c r="U2133" t="str">
        <f t="shared" si="100"/>
        <v>a1cdbe</v>
      </c>
      <c r="V2133">
        <v>0</v>
      </c>
      <c r="W2133">
        <v>0</v>
      </c>
      <c r="X2133">
        <v>1</v>
      </c>
      <c r="Y2133">
        <v>0</v>
      </c>
      <c r="Z2133">
        <v>0</v>
      </c>
      <c r="AB2133">
        <v>0</v>
      </c>
      <c r="AC2133">
        <v>9</v>
      </c>
      <c r="AD2133">
        <v>3</v>
      </c>
      <c r="AE2133">
        <v>0</v>
      </c>
      <c r="AF2133">
        <v>9</v>
      </c>
      <c r="AG2133" t="s">
        <v>158</v>
      </c>
      <c r="AH2133">
        <v>0</v>
      </c>
      <c r="AI2133">
        <v>3</v>
      </c>
      <c r="AJ2133">
        <v>1</v>
      </c>
      <c r="AK2133">
        <v>0</v>
      </c>
      <c r="AL2133" t="s">
        <v>4011</v>
      </c>
      <c r="AM2133">
        <v>46.876044</v>
      </c>
      <c r="AN2133" t="s">
        <v>4012</v>
      </c>
      <c r="AO2133">
        <v>-123.100905</v>
      </c>
      <c r="AP2133">
        <v>100</v>
      </c>
      <c r="AQ2133">
        <v>2100</v>
      </c>
      <c r="AR2133" t="s">
        <v>118</v>
      </c>
      <c r="AS2133">
        <v>-76</v>
      </c>
      <c r="AT2133">
        <v>24</v>
      </c>
      <c r="AU2133">
        <v>0</v>
      </c>
      <c r="BC2133">
        <v>1200</v>
      </c>
      <c r="BD2133">
        <v>1</v>
      </c>
      <c r="BE2133" t="str">
        <f t="shared" si="101"/>
        <v xml:space="preserve">N215T   </v>
      </c>
      <c r="BF2133">
        <v>1</v>
      </c>
      <c r="BH2133">
        <v>0</v>
      </c>
      <c r="BI2133">
        <v>0</v>
      </c>
      <c r="BJ2133">
        <v>0</v>
      </c>
      <c r="BK2133">
        <v>2475</v>
      </c>
      <c r="BL2133">
        <v>375</v>
      </c>
      <c r="BM2133" t="s">
        <v>119</v>
      </c>
      <c r="BN2133">
        <v>1</v>
      </c>
      <c r="BO2133">
        <v>1</v>
      </c>
      <c r="BP2133">
        <v>1</v>
      </c>
      <c r="BQ2133">
        <v>0</v>
      </c>
      <c r="BT2133">
        <v>0</v>
      </c>
      <c r="BU2133">
        <v>0</v>
      </c>
      <c r="BV2133">
        <v>0</v>
      </c>
      <c r="CC2133" t="str">
        <f>"19:10:23.664"</f>
        <v>19:10:23.664</v>
      </c>
      <c r="CD2133" t="str">
        <f>"667831867"</f>
        <v>667831867</v>
      </c>
      <c r="CQ2133">
        <v>0</v>
      </c>
      <c r="CR2133">
        <v>2</v>
      </c>
      <c r="CS2133">
        <v>0</v>
      </c>
      <c r="CT2133">
        <v>2</v>
      </c>
      <c r="CU2133">
        <v>0</v>
      </c>
      <c r="CV2133">
        <v>7</v>
      </c>
      <c r="CW2133" t="s">
        <v>120</v>
      </c>
      <c r="CX2133">
        <v>261</v>
      </c>
      <c r="CY2133">
        <v>2</v>
      </c>
      <c r="CZ2133" t="s">
        <v>121</v>
      </c>
      <c r="DA2133" t="s">
        <v>122</v>
      </c>
      <c r="DD2133">
        <v>15541928</v>
      </c>
      <c r="DE2133" t="s">
        <v>123</v>
      </c>
    </row>
    <row r="2134" spans="1:109" x14ac:dyDescent="0.3">
      <c r="A2134" t="str">
        <f>"19:10:24.688"</f>
        <v>19:10:24.688</v>
      </c>
      <c r="B2134" t="s">
        <v>110</v>
      </c>
      <c r="C2134" t="str">
        <f t="shared" si="99"/>
        <v>ffdfd3c0</v>
      </c>
      <c r="D2134" t="s">
        <v>111</v>
      </c>
      <c r="E2134">
        <v>18</v>
      </c>
      <c r="F2134">
        <v>1018</v>
      </c>
      <c r="G2134" t="s">
        <v>112</v>
      </c>
      <c r="J2134" t="s">
        <v>113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R2134" t="s">
        <v>114</v>
      </c>
      <c r="S2134" t="str">
        <f>"19:10:24.492"</f>
        <v>19:10:24.492</v>
      </c>
      <c r="T2134" t="str">
        <f>"19:10:24.289"</f>
        <v>19:10:24.289</v>
      </c>
      <c r="U2134" t="str">
        <f t="shared" si="100"/>
        <v>a1cdbe</v>
      </c>
      <c r="V2134">
        <v>0</v>
      </c>
      <c r="W2134">
        <v>0</v>
      </c>
      <c r="X2134">
        <v>1</v>
      </c>
      <c r="Y2134">
        <v>0</v>
      </c>
      <c r="Z2134">
        <v>0</v>
      </c>
      <c r="AB2134">
        <v>0</v>
      </c>
      <c r="AC2134">
        <v>9</v>
      </c>
      <c r="AD2134">
        <v>3</v>
      </c>
      <c r="AE2134">
        <v>0</v>
      </c>
      <c r="AF2134">
        <v>9</v>
      </c>
      <c r="AG2134" t="s">
        <v>158</v>
      </c>
      <c r="AH2134">
        <v>0</v>
      </c>
      <c r="AI2134">
        <v>3</v>
      </c>
      <c r="AJ2134">
        <v>1</v>
      </c>
      <c r="AK2134">
        <v>0</v>
      </c>
      <c r="AL2134" t="s">
        <v>4013</v>
      </c>
      <c r="AM2134">
        <v>46.876151999999998</v>
      </c>
      <c r="AN2134" t="s">
        <v>4014</v>
      </c>
      <c r="AO2134">
        <v>-123.10133500000001</v>
      </c>
      <c r="AP2134">
        <v>100</v>
      </c>
      <c r="AQ2134">
        <v>2100</v>
      </c>
      <c r="AR2134" t="s">
        <v>118</v>
      </c>
      <c r="AS2134">
        <v>-76</v>
      </c>
      <c r="AT2134">
        <v>23</v>
      </c>
      <c r="AU2134">
        <v>0</v>
      </c>
      <c r="BC2134">
        <v>1200</v>
      </c>
      <c r="BD2134">
        <v>1</v>
      </c>
      <c r="BE2134" t="str">
        <f t="shared" si="101"/>
        <v xml:space="preserve">N215T   </v>
      </c>
      <c r="BF2134">
        <v>1</v>
      </c>
      <c r="BH2134">
        <v>0</v>
      </c>
      <c r="BI2134">
        <v>0</v>
      </c>
      <c r="BJ2134">
        <v>0</v>
      </c>
      <c r="BK2134">
        <v>2475</v>
      </c>
      <c r="BL2134">
        <v>375</v>
      </c>
      <c r="BM2134" t="s">
        <v>119</v>
      </c>
      <c r="BN2134">
        <v>1</v>
      </c>
      <c r="BO2134">
        <v>1</v>
      </c>
      <c r="BP2134">
        <v>1</v>
      </c>
      <c r="BQ2134">
        <v>0</v>
      </c>
      <c r="BT2134">
        <v>0</v>
      </c>
      <c r="BU2134">
        <v>0</v>
      </c>
      <c r="BV2134">
        <v>0</v>
      </c>
      <c r="CC2134" t="str">
        <f>"19:10:24.492"</f>
        <v>19:10:24.492</v>
      </c>
      <c r="CD2134" t="str">
        <f>"492750618"</f>
        <v>492750618</v>
      </c>
      <c r="CQ2134">
        <v>0</v>
      </c>
      <c r="CR2134">
        <v>2</v>
      </c>
      <c r="CS2134">
        <v>0</v>
      </c>
      <c r="CT2134">
        <v>2</v>
      </c>
      <c r="CU2134">
        <v>0</v>
      </c>
      <c r="CV2134">
        <v>7</v>
      </c>
      <c r="CW2134" t="s">
        <v>120</v>
      </c>
      <c r="CX2134">
        <v>261</v>
      </c>
      <c r="CY2134">
        <v>2</v>
      </c>
      <c r="CZ2134" t="s">
        <v>121</v>
      </c>
      <c r="DA2134" t="s">
        <v>122</v>
      </c>
      <c r="DD2134">
        <v>15542564</v>
      </c>
      <c r="DE2134" t="s">
        <v>123</v>
      </c>
    </row>
    <row r="2135" spans="1:109" x14ac:dyDescent="0.3">
      <c r="A2135" t="str">
        <f>"19:10:25.797"</f>
        <v>19:10:25.797</v>
      </c>
      <c r="B2135" t="s">
        <v>110</v>
      </c>
      <c r="C2135" t="str">
        <f t="shared" si="99"/>
        <v>ffdfd3c0</v>
      </c>
      <c r="D2135" t="s">
        <v>111</v>
      </c>
      <c r="E2135">
        <v>18</v>
      </c>
      <c r="F2135">
        <v>1018</v>
      </c>
      <c r="G2135" t="s">
        <v>112</v>
      </c>
      <c r="J2135" t="s">
        <v>113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R2135" t="s">
        <v>114</v>
      </c>
      <c r="S2135" t="str">
        <f>"19:10:25.570"</f>
        <v>19:10:25.570</v>
      </c>
      <c r="T2135" t="str">
        <f>"19:10:25.172"</f>
        <v>19:10:25.172</v>
      </c>
      <c r="U2135" t="str">
        <f t="shared" si="100"/>
        <v>a1cdbe</v>
      </c>
      <c r="V2135">
        <v>0</v>
      </c>
      <c r="W2135">
        <v>0</v>
      </c>
      <c r="X2135">
        <v>1</v>
      </c>
      <c r="Y2135">
        <v>0</v>
      </c>
      <c r="Z2135">
        <v>0</v>
      </c>
      <c r="AB2135">
        <v>0</v>
      </c>
      <c r="AC2135">
        <v>9</v>
      </c>
      <c r="AD2135">
        <v>3</v>
      </c>
      <c r="AE2135">
        <v>0</v>
      </c>
      <c r="AF2135">
        <v>9</v>
      </c>
      <c r="AG2135" t="s">
        <v>158</v>
      </c>
      <c r="AH2135">
        <v>0</v>
      </c>
      <c r="AI2135">
        <v>3</v>
      </c>
      <c r="AJ2135">
        <v>1</v>
      </c>
      <c r="AK2135">
        <v>0</v>
      </c>
      <c r="AL2135" t="s">
        <v>4015</v>
      </c>
      <c r="AM2135">
        <v>46.876280000000001</v>
      </c>
      <c r="AN2135" t="s">
        <v>4016</v>
      </c>
      <c r="AO2135">
        <v>-123.101871</v>
      </c>
      <c r="AP2135">
        <v>100</v>
      </c>
      <c r="AQ2135">
        <v>2100</v>
      </c>
      <c r="AR2135" t="s">
        <v>118</v>
      </c>
      <c r="AS2135">
        <v>-76</v>
      </c>
      <c r="AT2135">
        <v>23</v>
      </c>
      <c r="AU2135">
        <v>0</v>
      </c>
      <c r="BC2135">
        <v>1200</v>
      </c>
      <c r="BD2135">
        <v>1</v>
      </c>
      <c r="BE2135" t="str">
        <f t="shared" si="101"/>
        <v xml:space="preserve">N215T   </v>
      </c>
      <c r="BF2135">
        <v>1</v>
      </c>
      <c r="BH2135">
        <v>0</v>
      </c>
      <c r="BI2135">
        <v>0</v>
      </c>
      <c r="BJ2135">
        <v>0</v>
      </c>
      <c r="BK2135">
        <v>2475</v>
      </c>
      <c r="BL2135">
        <v>375</v>
      </c>
      <c r="BM2135" t="s">
        <v>119</v>
      </c>
      <c r="BN2135">
        <v>1</v>
      </c>
      <c r="BO2135">
        <v>1</v>
      </c>
      <c r="BP2135">
        <v>1</v>
      </c>
      <c r="BQ2135">
        <v>0</v>
      </c>
      <c r="BT2135">
        <v>0</v>
      </c>
      <c r="BU2135">
        <v>0</v>
      </c>
      <c r="BV2135">
        <v>0</v>
      </c>
      <c r="CC2135" t="str">
        <f>"19:10:25.570"</f>
        <v>19:10:25.570</v>
      </c>
      <c r="CD2135" t="str">
        <f>"572644236"</f>
        <v>572644236</v>
      </c>
      <c r="CQ2135">
        <v>0</v>
      </c>
      <c r="CR2135">
        <v>2</v>
      </c>
      <c r="CS2135">
        <v>0</v>
      </c>
      <c r="CT2135">
        <v>2</v>
      </c>
      <c r="CU2135">
        <v>0</v>
      </c>
      <c r="CV2135">
        <v>7</v>
      </c>
      <c r="CW2135" t="s">
        <v>120</v>
      </c>
      <c r="CX2135">
        <v>261</v>
      </c>
      <c r="CY2135">
        <v>2</v>
      </c>
      <c r="CZ2135" t="s">
        <v>121</v>
      </c>
      <c r="DA2135" t="s">
        <v>122</v>
      </c>
      <c r="DD2135">
        <v>15543400</v>
      </c>
      <c r="DE2135" t="s">
        <v>123</v>
      </c>
    </row>
    <row r="2136" spans="1:109" x14ac:dyDescent="0.3">
      <c r="A2136" t="str">
        <f>"19:10:26.852"</f>
        <v>19:10:26.852</v>
      </c>
      <c r="B2136" t="s">
        <v>110</v>
      </c>
      <c r="C2136" t="str">
        <f t="shared" si="99"/>
        <v>ffdfd3c0</v>
      </c>
      <c r="D2136" t="s">
        <v>111</v>
      </c>
      <c r="E2136">
        <v>18</v>
      </c>
      <c r="F2136">
        <v>1018</v>
      </c>
      <c r="G2136" t="s">
        <v>112</v>
      </c>
      <c r="J2136" t="s">
        <v>113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R2136" t="s">
        <v>114</v>
      </c>
      <c r="S2136" t="str">
        <f>"19:10:26.633"</f>
        <v>19:10:26.633</v>
      </c>
      <c r="T2136" t="str">
        <f>"19:10:26.336"</f>
        <v>19:10:26.336</v>
      </c>
      <c r="U2136" t="str">
        <f t="shared" si="100"/>
        <v>a1cdbe</v>
      </c>
      <c r="V2136">
        <v>0</v>
      </c>
      <c r="W2136">
        <v>0</v>
      </c>
      <c r="X2136">
        <v>1</v>
      </c>
      <c r="Y2136">
        <v>0</v>
      </c>
      <c r="Z2136">
        <v>0</v>
      </c>
      <c r="AB2136">
        <v>0</v>
      </c>
      <c r="AC2136">
        <v>9</v>
      </c>
      <c r="AD2136">
        <v>3</v>
      </c>
      <c r="AE2136">
        <v>0</v>
      </c>
      <c r="AF2136">
        <v>9</v>
      </c>
      <c r="AG2136" t="s">
        <v>158</v>
      </c>
      <c r="AH2136">
        <v>0</v>
      </c>
      <c r="AI2136">
        <v>3</v>
      </c>
      <c r="AJ2136">
        <v>1</v>
      </c>
      <c r="AK2136">
        <v>0</v>
      </c>
      <c r="AL2136" t="s">
        <v>4017</v>
      </c>
      <c r="AM2136">
        <v>46.876387999999999</v>
      </c>
      <c r="AN2136" t="s">
        <v>4018</v>
      </c>
      <c r="AO2136">
        <v>-123.10245</v>
      </c>
      <c r="AP2136">
        <v>100</v>
      </c>
      <c r="AQ2136">
        <v>2100</v>
      </c>
      <c r="AR2136" t="s">
        <v>118</v>
      </c>
      <c r="AS2136">
        <v>-76</v>
      </c>
      <c r="AT2136">
        <v>23</v>
      </c>
      <c r="AU2136">
        <v>0</v>
      </c>
      <c r="BC2136">
        <v>1200</v>
      </c>
      <c r="BD2136">
        <v>1</v>
      </c>
      <c r="BE2136" t="str">
        <f t="shared" si="101"/>
        <v xml:space="preserve">N215T   </v>
      </c>
      <c r="BF2136">
        <v>1</v>
      </c>
      <c r="BH2136">
        <v>0</v>
      </c>
      <c r="BI2136">
        <v>0</v>
      </c>
      <c r="BJ2136">
        <v>0</v>
      </c>
      <c r="BK2136">
        <v>2475</v>
      </c>
      <c r="BL2136">
        <v>375</v>
      </c>
      <c r="BM2136" t="s">
        <v>119</v>
      </c>
      <c r="BN2136">
        <v>1</v>
      </c>
      <c r="BO2136">
        <v>1</v>
      </c>
      <c r="BP2136">
        <v>1</v>
      </c>
      <c r="BQ2136">
        <v>0</v>
      </c>
      <c r="BT2136">
        <v>0</v>
      </c>
      <c r="BU2136">
        <v>0</v>
      </c>
      <c r="BV2136">
        <v>0</v>
      </c>
      <c r="CC2136" t="str">
        <f>"19:10:26.641"</f>
        <v>19:10:26.641</v>
      </c>
      <c r="CD2136" t="str">
        <f>"637539341"</f>
        <v>637539341</v>
      </c>
      <c r="CQ2136">
        <v>0</v>
      </c>
      <c r="CR2136">
        <v>2</v>
      </c>
      <c r="CS2136">
        <v>0</v>
      </c>
      <c r="CT2136">
        <v>2</v>
      </c>
      <c r="CU2136">
        <v>0</v>
      </c>
      <c r="CV2136">
        <v>7</v>
      </c>
      <c r="CW2136" t="s">
        <v>120</v>
      </c>
      <c r="CX2136">
        <v>261</v>
      </c>
      <c r="CY2136">
        <v>2</v>
      </c>
      <c r="CZ2136" t="s">
        <v>121</v>
      </c>
      <c r="DA2136" t="s">
        <v>122</v>
      </c>
      <c r="DD2136">
        <v>15544121</v>
      </c>
      <c r="DE2136" t="s">
        <v>123</v>
      </c>
    </row>
    <row r="2137" spans="1:109" x14ac:dyDescent="0.3">
      <c r="A2137" t="str">
        <f>"19:10:27.805"</f>
        <v>19:10:27.805</v>
      </c>
      <c r="B2137" t="s">
        <v>110</v>
      </c>
      <c r="C2137" t="str">
        <f t="shared" si="99"/>
        <v>ffdfd3c0</v>
      </c>
      <c r="D2137" t="s">
        <v>111</v>
      </c>
      <c r="E2137">
        <v>18</v>
      </c>
      <c r="F2137">
        <v>1018</v>
      </c>
      <c r="G2137" t="s">
        <v>112</v>
      </c>
      <c r="J2137" t="s">
        <v>113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R2137" t="s">
        <v>114</v>
      </c>
      <c r="S2137" t="str">
        <f>"19:10:27.578"</f>
        <v>19:10:27.578</v>
      </c>
      <c r="T2137" t="str">
        <f>"19:10:27.375"</f>
        <v>19:10:27.375</v>
      </c>
      <c r="U2137" t="str">
        <f t="shared" si="100"/>
        <v>a1cdbe</v>
      </c>
      <c r="V2137">
        <v>0</v>
      </c>
      <c r="W2137">
        <v>0</v>
      </c>
      <c r="X2137">
        <v>1</v>
      </c>
      <c r="Y2137">
        <v>0</v>
      </c>
      <c r="Z2137">
        <v>0</v>
      </c>
      <c r="AB2137">
        <v>0</v>
      </c>
      <c r="AC2137">
        <v>9</v>
      </c>
      <c r="AD2137">
        <v>3</v>
      </c>
      <c r="AE2137">
        <v>0</v>
      </c>
      <c r="AF2137">
        <v>9</v>
      </c>
      <c r="AG2137" t="s">
        <v>158</v>
      </c>
      <c r="AH2137">
        <v>0</v>
      </c>
      <c r="AI2137">
        <v>3</v>
      </c>
      <c r="AJ2137">
        <v>1</v>
      </c>
      <c r="AK2137">
        <v>0</v>
      </c>
      <c r="AL2137" t="s">
        <v>1570</v>
      </c>
      <c r="AM2137">
        <v>46.876472999999997</v>
      </c>
      <c r="AN2137" t="s">
        <v>4019</v>
      </c>
      <c r="AO2137">
        <v>-123.102901</v>
      </c>
      <c r="AP2137">
        <v>100</v>
      </c>
      <c r="AQ2137">
        <v>2100</v>
      </c>
      <c r="AR2137" t="s">
        <v>118</v>
      </c>
      <c r="AS2137">
        <v>-76</v>
      </c>
      <c r="AT2137">
        <v>23</v>
      </c>
      <c r="AU2137">
        <v>-64</v>
      </c>
      <c r="BC2137">
        <v>1200</v>
      </c>
      <c r="BD2137">
        <v>1</v>
      </c>
      <c r="BE2137" t="str">
        <f t="shared" si="101"/>
        <v xml:space="preserve">N215T   </v>
      </c>
      <c r="BF2137">
        <v>1</v>
      </c>
      <c r="BH2137">
        <v>0</v>
      </c>
      <c r="BI2137">
        <v>0</v>
      </c>
      <c r="BJ2137">
        <v>0</v>
      </c>
      <c r="BK2137">
        <v>2475</v>
      </c>
      <c r="BL2137">
        <v>375</v>
      </c>
      <c r="BM2137" t="s">
        <v>119</v>
      </c>
      <c r="BN2137">
        <v>1</v>
      </c>
      <c r="BO2137">
        <v>1</v>
      </c>
      <c r="BP2137">
        <v>1</v>
      </c>
      <c r="BQ2137">
        <v>0</v>
      </c>
      <c r="BT2137">
        <v>0</v>
      </c>
      <c r="BU2137">
        <v>0</v>
      </c>
      <c r="BV2137">
        <v>0</v>
      </c>
      <c r="CC2137" t="str">
        <f>"19:10:27.586"</f>
        <v>19:10:27.586</v>
      </c>
      <c r="CD2137" t="str">
        <f>"582446273"</f>
        <v>582446273</v>
      </c>
      <c r="CQ2137">
        <v>0</v>
      </c>
      <c r="CR2137">
        <v>2</v>
      </c>
      <c r="CS2137">
        <v>0</v>
      </c>
      <c r="CT2137">
        <v>2</v>
      </c>
      <c r="CU2137">
        <v>0</v>
      </c>
      <c r="CV2137">
        <v>7</v>
      </c>
      <c r="CW2137" t="s">
        <v>120</v>
      </c>
      <c r="CX2137">
        <v>261</v>
      </c>
      <c r="CY2137">
        <v>2</v>
      </c>
      <c r="CZ2137" t="s">
        <v>121</v>
      </c>
      <c r="DA2137" t="s">
        <v>122</v>
      </c>
      <c r="DD2137">
        <v>15544812</v>
      </c>
      <c r="DE2137" t="s">
        <v>123</v>
      </c>
    </row>
    <row r="2138" spans="1:109" x14ac:dyDescent="0.3">
      <c r="A2138" t="str">
        <f>"19:10:28.961"</f>
        <v>19:10:28.961</v>
      </c>
      <c r="B2138" t="s">
        <v>110</v>
      </c>
      <c r="C2138" t="str">
        <f t="shared" si="99"/>
        <v>ffdfd3c0</v>
      </c>
      <c r="D2138" t="s">
        <v>111</v>
      </c>
      <c r="E2138">
        <v>18</v>
      </c>
      <c r="F2138">
        <v>1018</v>
      </c>
      <c r="G2138" t="s">
        <v>112</v>
      </c>
      <c r="J2138" t="s">
        <v>113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R2138" t="s">
        <v>114</v>
      </c>
      <c r="S2138" t="str">
        <f>"19:10:28.703"</f>
        <v>19:10:28.703</v>
      </c>
      <c r="T2138" t="str">
        <f>"19:10:28.203"</f>
        <v>19:10:28.203</v>
      </c>
      <c r="U2138" t="str">
        <f t="shared" si="100"/>
        <v>a1cdbe</v>
      </c>
      <c r="V2138">
        <v>0</v>
      </c>
      <c r="W2138">
        <v>0</v>
      </c>
      <c r="X2138">
        <v>1</v>
      </c>
      <c r="Y2138">
        <v>0</v>
      </c>
      <c r="Z2138">
        <v>0</v>
      </c>
      <c r="AB2138">
        <v>0</v>
      </c>
      <c r="AC2138">
        <v>9</v>
      </c>
      <c r="AD2138">
        <v>3</v>
      </c>
      <c r="AE2138">
        <v>0</v>
      </c>
      <c r="AF2138">
        <v>9</v>
      </c>
      <c r="AG2138" t="s">
        <v>158</v>
      </c>
      <c r="AH2138">
        <v>0</v>
      </c>
      <c r="AI2138">
        <v>3</v>
      </c>
      <c r="AJ2138">
        <v>1</v>
      </c>
      <c r="AK2138">
        <v>0</v>
      </c>
      <c r="AL2138" t="s">
        <v>4020</v>
      </c>
      <c r="AM2138">
        <v>46.876624</v>
      </c>
      <c r="AN2138" t="s">
        <v>4021</v>
      </c>
      <c r="AO2138">
        <v>-123.10350200000001</v>
      </c>
      <c r="AP2138">
        <v>100</v>
      </c>
      <c r="AQ2138">
        <v>2100</v>
      </c>
      <c r="AR2138" t="s">
        <v>118</v>
      </c>
      <c r="AS2138">
        <v>-76</v>
      </c>
      <c r="AT2138">
        <v>23</v>
      </c>
      <c r="AU2138">
        <v>0</v>
      </c>
      <c r="BC2138">
        <v>1200</v>
      </c>
      <c r="BD2138">
        <v>1</v>
      </c>
      <c r="BE2138" t="str">
        <f t="shared" si="101"/>
        <v xml:space="preserve">N215T   </v>
      </c>
      <c r="BF2138">
        <v>1</v>
      </c>
      <c r="BH2138">
        <v>0</v>
      </c>
      <c r="BI2138">
        <v>0</v>
      </c>
      <c r="BJ2138">
        <v>0</v>
      </c>
      <c r="BK2138">
        <v>2450</v>
      </c>
      <c r="BL2138">
        <v>350</v>
      </c>
      <c r="BM2138" t="s">
        <v>119</v>
      </c>
      <c r="BN2138">
        <v>1</v>
      </c>
      <c r="BO2138">
        <v>1</v>
      </c>
      <c r="BP2138">
        <v>1</v>
      </c>
      <c r="BQ2138">
        <v>0</v>
      </c>
      <c r="BT2138">
        <v>0</v>
      </c>
      <c r="BU2138">
        <v>0</v>
      </c>
      <c r="BV2138">
        <v>0</v>
      </c>
      <c r="CC2138" t="str">
        <f>"19:10:28.711"</f>
        <v>19:10:28.711</v>
      </c>
      <c r="CD2138" t="str">
        <f>"707335469"</f>
        <v>707335469</v>
      </c>
      <c r="CQ2138">
        <v>0</v>
      </c>
      <c r="CR2138">
        <v>2</v>
      </c>
      <c r="CS2138">
        <v>0</v>
      </c>
      <c r="CT2138">
        <v>2</v>
      </c>
      <c r="CU2138">
        <v>0</v>
      </c>
      <c r="CV2138">
        <v>7</v>
      </c>
      <c r="CW2138" t="s">
        <v>120</v>
      </c>
      <c r="CX2138">
        <v>261</v>
      </c>
      <c r="CY2138">
        <v>2</v>
      </c>
      <c r="CZ2138" t="s">
        <v>121</v>
      </c>
      <c r="DA2138" t="s">
        <v>122</v>
      </c>
      <c r="DD2138">
        <v>15545638</v>
      </c>
      <c r="DE2138" t="s">
        <v>123</v>
      </c>
    </row>
    <row r="2139" spans="1:109" x14ac:dyDescent="0.3">
      <c r="A2139" t="str">
        <f>"19:10:30.016"</f>
        <v>19:10:30.016</v>
      </c>
      <c r="B2139" t="s">
        <v>110</v>
      </c>
      <c r="C2139" t="str">
        <f t="shared" si="99"/>
        <v>ffdfd3c0</v>
      </c>
      <c r="D2139" t="s">
        <v>111</v>
      </c>
      <c r="E2139">
        <v>18</v>
      </c>
      <c r="F2139">
        <v>1018</v>
      </c>
      <c r="G2139" t="s">
        <v>112</v>
      </c>
      <c r="J2139" t="s">
        <v>113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R2139" t="s">
        <v>114</v>
      </c>
      <c r="S2139" t="str">
        <f>"19:10:29.813"</f>
        <v>19:10:29.813</v>
      </c>
      <c r="T2139" t="str">
        <f>"19:10:29.313"</f>
        <v>19:10:29.313</v>
      </c>
      <c r="U2139" t="str">
        <f t="shared" si="100"/>
        <v>a1cdbe</v>
      </c>
      <c r="V2139">
        <v>0</v>
      </c>
      <c r="W2139">
        <v>0</v>
      </c>
      <c r="X2139">
        <v>1</v>
      </c>
      <c r="Y2139">
        <v>0</v>
      </c>
      <c r="Z2139">
        <v>0</v>
      </c>
      <c r="AB2139">
        <v>0</v>
      </c>
      <c r="AC2139">
        <v>9</v>
      </c>
      <c r="AD2139">
        <v>3</v>
      </c>
      <c r="AE2139">
        <v>0</v>
      </c>
      <c r="AF2139">
        <v>9</v>
      </c>
      <c r="AG2139" t="s">
        <v>158</v>
      </c>
      <c r="AH2139">
        <v>0</v>
      </c>
      <c r="AI2139">
        <v>3</v>
      </c>
      <c r="AJ2139">
        <v>1</v>
      </c>
      <c r="AK2139">
        <v>0</v>
      </c>
      <c r="AL2139" t="s">
        <v>4022</v>
      </c>
      <c r="AM2139">
        <v>46.876708999999998</v>
      </c>
      <c r="AN2139" t="s">
        <v>4023</v>
      </c>
      <c r="AO2139">
        <v>-123.10406</v>
      </c>
      <c r="AP2139">
        <v>100</v>
      </c>
      <c r="AQ2139">
        <v>2100</v>
      </c>
      <c r="AR2139" t="s">
        <v>118</v>
      </c>
      <c r="AS2139">
        <v>-76</v>
      </c>
      <c r="AT2139">
        <v>22</v>
      </c>
      <c r="AU2139">
        <v>0</v>
      </c>
      <c r="BC2139">
        <v>1200</v>
      </c>
      <c r="BD2139">
        <v>1</v>
      </c>
      <c r="BE2139" t="str">
        <f t="shared" si="101"/>
        <v xml:space="preserve">N215T   </v>
      </c>
      <c r="BF2139">
        <v>1</v>
      </c>
      <c r="BH2139">
        <v>0</v>
      </c>
      <c r="BI2139">
        <v>0</v>
      </c>
      <c r="BJ2139">
        <v>0</v>
      </c>
      <c r="BK2139">
        <v>2450</v>
      </c>
      <c r="BL2139">
        <v>350</v>
      </c>
      <c r="BM2139" t="s">
        <v>119</v>
      </c>
      <c r="BN2139">
        <v>1</v>
      </c>
      <c r="BO2139">
        <v>1</v>
      </c>
      <c r="BP2139">
        <v>1</v>
      </c>
      <c r="BQ2139">
        <v>0</v>
      </c>
      <c r="BT2139">
        <v>0</v>
      </c>
      <c r="BU2139">
        <v>0</v>
      </c>
      <c r="BV2139">
        <v>0</v>
      </c>
      <c r="CC2139" t="str">
        <f>"19:10:29.820"</f>
        <v>19:10:29.820</v>
      </c>
      <c r="CD2139" t="str">
        <f>"817226145"</f>
        <v>817226145</v>
      </c>
      <c r="CQ2139">
        <v>0</v>
      </c>
      <c r="CR2139">
        <v>2</v>
      </c>
      <c r="CS2139">
        <v>0</v>
      </c>
      <c r="CT2139">
        <v>2</v>
      </c>
      <c r="CU2139">
        <v>0</v>
      </c>
      <c r="CV2139">
        <v>7</v>
      </c>
      <c r="CW2139" t="s">
        <v>120</v>
      </c>
      <c r="CX2139">
        <v>261</v>
      </c>
      <c r="CY2139">
        <v>2</v>
      </c>
      <c r="CZ2139" t="s">
        <v>121</v>
      </c>
      <c r="DA2139" t="s">
        <v>122</v>
      </c>
      <c r="DD2139">
        <v>15546439</v>
      </c>
      <c r="DE2139" t="s">
        <v>123</v>
      </c>
    </row>
    <row r="2140" spans="1:109" x14ac:dyDescent="0.3">
      <c r="A2140" t="str">
        <f>"19:10:31.023"</f>
        <v>19:10:31.023</v>
      </c>
      <c r="B2140" t="s">
        <v>110</v>
      </c>
      <c r="C2140" t="str">
        <f t="shared" si="99"/>
        <v>ffdfd3c0</v>
      </c>
      <c r="D2140" t="s">
        <v>111</v>
      </c>
      <c r="E2140">
        <v>18</v>
      </c>
      <c r="F2140">
        <v>1018</v>
      </c>
      <c r="G2140" t="s">
        <v>112</v>
      </c>
      <c r="J2140" t="s">
        <v>113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R2140" t="s">
        <v>114</v>
      </c>
      <c r="S2140" t="str">
        <f>"19:10:30.789"</f>
        <v>19:10:30.789</v>
      </c>
      <c r="T2140" t="str">
        <f>"19:10:30.789"</f>
        <v>19:10:30.789</v>
      </c>
      <c r="U2140" t="str">
        <f t="shared" si="100"/>
        <v>a1cdbe</v>
      </c>
      <c r="V2140">
        <v>0</v>
      </c>
      <c r="W2140">
        <v>0</v>
      </c>
      <c r="X2140">
        <v>1</v>
      </c>
      <c r="Y2140">
        <v>0</v>
      </c>
      <c r="Z2140">
        <v>0</v>
      </c>
      <c r="AB2140">
        <v>0</v>
      </c>
      <c r="AC2140">
        <v>9</v>
      </c>
      <c r="AD2140">
        <v>3</v>
      </c>
      <c r="AE2140">
        <v>0</v>
      </c>
      <c r="AF2140">
        <v>9</v>
      </c>
      <c r="AG2140" t="s">
        <v>158</v>
      </c>
      <c r="AH2140">
        <v>0</v>
      </c>
      <c r="AI2140">
        <v>3</v>
      </c>
      <c r="AJ2140">
        <v>1</v>
      </c>
      <c r="AK2140">
        <v>0</v>
      </c>
      <c r="AL2140" t="s">
        <v>4024</v>
      </c>
      <c r="AM2140">
        <v>46.876837999999999</v>
      </c>
      <c r="AN2140" t="s">
        <v>4025</v>
      </c>
      <c r="AO2140">
        <v>-123.104553</v>
      </c>
      <c r="AP2140">
        <v>100</v>
      </c>
      <c r="AQ2140">
        <v>2100</v>
      </c>
      <c r="AR2140" t="s">
        <v>118</v>
      </c>
      <c r="AS2140">
        <v>-76</v>
      </c>
      <c r="AT2140">
        <v>22</v>
      </c>
      <c r="AU2140">
        <v>-64</v>
      </c>
      <c r="BC2140">
        <v>1200</v>
      </c>
      <c r="BD2140">
        <v>1</v>
      </c>
      <c r="BE2140" t="str">
        <f t="shared" si="101"/>
        <v xml:space="preserve">N215T   </v>
      </c>
      <c r="BF2140">
        <v>1</v>
      </c>
      <c r="BH2140">
        <v>0</v>
      </c>
      <c r="BI2140">
        <v>0</v>
      </c>
      <c r="BJ2140">
        <v>0</v>
      </c>
      <c r="BK2140">
        <v>2450</v>
      </c>
      <c r="BL2140">
        <v>350</v>
      </c>
      <c r="BM2140" t="s">
        <v>119</v>
      </c>
      <c r="BN2140">
        <v>1</v>
      </c>
      <c r="BO2140">
        <v>1</v>
      </c>
      <c r="BP2140">
        <v>1</v>
      </c>
      <c r="BQ2140">
        <v>0</v>
      </c>
      <c r="BT2140">
        <v>0</v>
      </c>
      <c r="BU2140">
        <v>0</v>
      </c>
      <c r="BV2140">
        <v>0</v>
      </c>
      <c r="CC2140" t="str">
        <f>"19:10:30.789"</f>
        <v>19:10:30.789</v>
      </c>
      <c r="CD2140" t="str">
        <f>"792130126"</f>
        <v>792130126</v>
      </c>
      <c r="CQ2140">
        <v>0</v>
      </c>
      <c r="CR2140">
        <v>2</v>
      </c>
      <c r="CS2140">
        <v>0</v>
      </c>
      <c r="CT2140">
        <v>2</v>
      </c>
      <c r="CU2140">
        <v>0</v>
      </c>
      <c r="CV2140">
        <v>7</v>
      </c>
      <c r="CW2140" t="s">
        <v>120</v>
      </c>
      <c r="CX2140">
        <v>261</v>
      </c>
      <c r="CY2140">
        <v>2</v>
      </c>
      <c r="CZ2140" t="s">
        <v>121</v>
      </c>
      <c r="DA2140" t="s">
        <v>122</v>
      </c>
      <c r="DD2140">
        <v>15547131</v>
      </c>
      <c r="DE2140" t="s">
        <v>123</v>
      </c>
    </row>
    <row r="2141" spans="1:109" x14ac:dyDescent="0.3">
      <c r="A2141" t="str">
        <f>"19:10:31.984"</f>
        <v>19:10:31.984</v>
      </c>
      <c r="B2141" t="s">
        <v>110</v>
      </c>
      <c r="C2141" t="str">
        <f t="shared" si="99"/>
        <v>ffdfd3c0</v>
      </c>
      <c r="D2141" t="s">
        <v>111</v>
      </c>
      <c r="E2141">
        <v>18</v>
      </c>
      <c r="F2141">
        <v>1018</v>
      </c>
      <c r="G2141" t="s">
        <v>112</v>
      </c>
      <c r="J2141" t="s">
        <v>113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R2141" t="s">
        <v>114</v>
      </c>
      <c r="S2141" t="str">
        <f>"19:10:31.766"</f>
        <v>19:10:31.766</v>
      </c>
      <c r="T2141" t="str">
        <f>"19:10:31.664"</f>
        <v>19:10:31.664</v>
      </c>
      <c r="U2141" t="str">
        <f t="shared" si="100"/>
        <v>a1cdbe</v>
      </c>
      <c r="V2141">
        <v>0</v>
      </c>
      <c r="W2141">
        <v>0</v>
      </c>
      <c r="X2141">
        <v>1</v>
      </c>
      <c r="Y2141">
        <v>0</v>
      </c>
      <c r="Z2141">
        <v>0</v>
      </c>
      <c r="AB2141">
        <v>0</v>
      </c>
      <c r="AC2141">
        <v>9</v>
      </c>
      <c r="AD2141">
        <v>3</v>
      </c>
      <c r="AE2141">
        <v>0</v>
      </c>
      <c r="AF2141">
        <v>9</v>
      </c>
      <c r="AG2141" t="s">
        <v>158</v>
      </c>
      <c r="AH2141">
        <v>0</v>
      </c>
      <c r="AI2141">
        <v>3</v>
      </c>
      <c r="AJ2141">
        <v>1</v>
      </c>
      <c r="AK2141">
        <v>0</v>
      </c>
      <c r="AL2141" t="s">
        <v>4026</v>
      </c>
      <c r="AM2141">
        <v>46.876902999999999</v>
      </c>
      <c r="AN2141" t="s">
        <v>4027</v>
      </c>
      <c r="AO2141">
        <v>-123.105047</v>
      </c>
      <c r="AP2141">
        <v>100</v>
      </c>
      <c r="AQ2141">
        <v>2100</v>
      </c>
      <c r="AR2141" t="s">
        <v>118</v>
      </c>
      <c r="AS2141">
        <v>-76</v>
      </c>
      <c r="AT2141">
        <v>22</v>
      </c>
      <c r="AU2141">
        <v>0</v>
      </c>
      <c r="BC2141">
        <v>1200</v>
      </c>
      <c r="BD2141">
        <v>1</v>
      </c>
      <c r="BE2141" t="str">
        <f t="shared" si="101"/>
        <v xml:space="preserve">N215T   </v>
      </c>
      <c r="BF2141">
        <v>1</v>
      </c>
      <c r="BH2141">
        <v>0</v>
      </c>
      <c r="BI2141">
        <v>0</v>
      </c>
      <c r="BJ2141">
        <v>0</v>
      </c>
      <c r="BK2141">
        <v>2450</v>
      </c>
      <c r="BL2141">
        <v>350</v>
      </c>
      <c r="BM2141" t="s">
        <v>119</v>
      </c>
      <c r="BN2141">
        <v>1</v>
      </c>
      <c r="BO2141">
        <v>1</v>
      </c>
      <c r="BP2141">
        <v>1</v>
      </c>
      <c r="BQ2141">
        <v>0</v>
      </c>
      <c r="BT2141">
        <v>0</v>
      </c>
      <c r="BU2141">
        <v>0</v>
      </c>
      <c r="BV2141">
        <v>0</v>
      </c>
      <c r="CC2141" t="str">
        <f>"19:10:31.766"</f>
        <v>19:10:31.766</v>
      </c>
      <c r="CD2141" t="str">
        <f>"767034098"</f>
        <v>767034098</v>
      </c>
      <c r="CQ2141">
        <v>0</v>
      </c>
      <c r="CR2141">
        <v>2</v>
      </c>
      <c r="CS2141">
        <v>0</v>
      </c>
      <c r="CT2141">
        <v>2</v>
      </c>
      <c r="CU2141">
        <v>0</v>
      </c>
      <c r="CV2141">
        <v>7</v>
      </c>
      <c r="CW2141" t="s">
        <v>120</v>
      </c>
      <c r="CX2141">
        <v>261</v>
      </c>
      <c r="CY2141">
        <v>2</v>
      </c>
      <c r="CZ2141" t="s">
        <v>121</v>
      </c>
      <c r="DA2141" t="s">
        <v>122</v>
      </c>
      <c r="DD2141">
        <v>15547842</v>
      </c>
      <c r="DE2141" t="s">
        <v>123</v>
      </c>
    </row>
    <row r="2142" spans="1:109" x14ac:dyDescent="0.3">
      <c r="A2142" t="str">
        <f>"19:10:32.984"</f>
        <v>19:10:32.984</v>
      </c>
      <c r="B2142" t="s">
        <v>110</v>
      </c>
      <c r="C2142" t="str">
        <f t="shared" si="99"/>
        <v>ffdfd3c0</v>
      </c>
      <c r="D2142" t="s">
        <v>111</v>
      </c>
      <c r="E2142">
        <v>18</v>
      </c>
      <c r="F2142">
        <v>1018</v>
      </c>
      <c r="G2142" t="s">
        <v>112</v>
      </c>
      <c r="J2142" t="s">
        <v>113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R2142" t="s">
        <v>114</v>
      </c>
      <c r="S2142" t="str">
        <f>"19:10:32.766"</f>
        <v>19:10:32.766</v>
      </c>
      <c r="T2142" t="str">
        <f>"19:10:32.766"</f>
        <v>19:10:32.766</v>
      </c>
      <c r="U2142" t="str">
        <f t="shared" si="100"/>
        <v>a1cdbe</v>
      </c>
      <c r="V2142">
        <v>0</v>
      </c>
      <c r="W2142">
        <v>0</v>
      </c>
      <c r="X2142">
        <v>1</v>
      </c>
      <c r="Y2142">
        <v>0</v>
      </c>
      <c r="Z2142">
        <v>0</v>
      </c>
      <c r="AB2142">
        <v>0</v>
      </c>
      <c r="AC2142">
        <v>9</v>
      </c>
      <c r="AD2142">
        <v>3</v>
      </c>
      <c r="AE2142">
        <v>0</v>
      </c>
      <c r="AF2142">
        <v>9</v>
      </c>
      <c r="AG2142" t="s">
        <v>158</v>
      </c>
      <c r="AH2142">
        <v>0</v>
      </c>
      <c r="AI2142">
        <v>3</v>
      </c>
      <c r="AJ2142">
        <v>1</v>
      </c>
      <c r="AK2142">
        <v>0</v>
      </c>
      <c r="AL2142" t="s">
        <v>4028</v>
      </c>
      <c r="AM2142">
        <v>46.877009999999999</v>
      </c>
      <c r="AN2142" t="s">
        <v>4029</v>
      </c>
      <c r="AO2142">
        <v>-123.105583</v>
      </c>
      <c r="AP2142">
        <v>100</v>
      </c>
      <c r="AQ2142">
        <v>2100</v>
      </c>
      <c r="AR2142" t="s">
        <v>118</v>
      </c>
      <c r="AS2142">
        <v>-76</v>
      </c>
      <c r="AT2142">
        <v>22</v>
      </c>
      <c r="AU2142">
        <v>0</v>
      </c>
      <c r="BC2142">
        <v>1200</v>
      </c>
      <c r="BD2142">
        <v>1</v>
      </c>
      <c r="BE2142" t="str">
        <f t="shared" si="101"/>
        <v xml:space="preserve">N215T   </v>
      </c>
      <c r="BF2142">
        <v>1</v>
      </c>
      <c r="BH2142">
        <v>0</v>
      </c>
      <c r="BI2142">
        <v>0</v>
      </c>
      <c r="BJ2142">
        <v>0</v>
      </c>
      <c r="BK2142">
        <v>2450</v>
      </c>
      <c r="BL2142">
        <v>350</v>
      </c>
      <c r="BM2142" t="s">
        <v>119</v>
      </c>
      <c r="BN2142">
        <v>1</v>
      </c>
      <c r="BO2142">
        <v>1</v>
      </c>
      <c r="BP2142">
        <v>1</v>
      </c>
      <c r="BQ2142">
        <v>0</v>
      </c>
      <c r="BT2142">
        <v>0</v>
      </c>
      <c r="BU2142">
        <v>0</v>
      </c>
      <c r="BV2142">
        <v>0</v>
      </c>
      <c r="CC2142" t="str">
        <f>"19:10:32.773"</f>
        <v>19:10:32.773</v>
      </c>
      <c r="CD2142" t="str">
        <f>"771935108"</f>
        <v>771935108</v>
      </c>
      <c r="CQ2142">
        <v>0</v>
      </c>
      <c r="CR2142">
        <v>2</v>
      </c>
      <c r="CS2142">
        <v>0</v>
      </c>
      <c r="CT2142">
        <v>2</v>
      </c>
      <c r="CU2142">
        <v>0</v>
      </c>
      <c r="CV2142">
        <v>6</v>
      </c>
      <c r="CW2142" t="s">
        <v>120</v>
      </c>
      <c r="CX2142">
        <v>261</v>
      </c>
      <c r="CY2142">
        <v>2</v>
      </c>
      <c r="CZ2142" t="s">
        <v>121</v>
      </c>
      <c r="DA2142" t="s">
        <v>122</v>
      </c>
      <c r="DD2142">
        <v>15548575</v>
      </c>
      <c r="DE2142" t="s">
        <v>123</v>
      </c>
    </row>
    <row r="2143" spans="1:109" x14ac:dyDescent="0.3">
      <c r="A2143" t="str">
        <f>"19:10:34.094"</f>
        <v>19:10:34.094</v>
      </c>
      <c r="B2143" t="s">
        <v>110</v>
      </c>
      <c r="C2143" t="str">
        <f t="shared" si="99"/>
        <v>ffdfd3c0</v>
      </c>
      <c r="D2143" t="s">
        <v>111</v>
      </c>
      <c r="E2143">
        <v>18</v>
      </c>
      <c r="F2143">
        <v>1018</v>
      </c>
      <c r="G2143" t="s">
        <v>112</v>
      </c>
      <c r="J2143" t="s">
        <v>113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R2143" t="s">
        <v>114</v>
      </c>
      <c r="S2143" t="str">
        <f>"19:10:33.859"</f>
        <v>19:10:33.859</v>
      </c>
      <c r="T2143" t="str">
        <f>"19:10:33.859"</f>
        <v>19:10:33.859</v>
      </c>
      <c r="U2143" t="str">
        <f t="shared" si="100"/>
        <v>a1cdbe</v>
      </c>
      <c r="V2143">
        <v>0</v>
      </c>
      <c r="W2143">
        <v>0</v>
      </c>
      <c r="X2143">
        <v>1</v>
      </c>
      <c r="Y2143">
        <v>0</v>
      </c>
      <c r="Z2143">
        <v>0</v>
      </c>
      <c r="AB2143">
        <v>0</v>
      </c>
      <c r="AC2143">
        <v>9</v>
      </c>
      <c r="AD2143">
        <v>3</v>
      </c>
      <c r="AE2143">
        <v>0</v>
      </c>
      <c r="AF2143">
        <v>9</v>
      </c>
      <c r="AG2143" t="s">
        <v>158</v>
      </c>
      <c r="AH2143">
        <v>0</v>
      </c>
      <c r="AI2143">
        <v>3</v>
      </c>
      <c r="AJ2143">
        <v>1</v>
      </c>
      <c r="AK2143">
        <v>0</v>
      </c>
      <c r="AL2143" t="s">
        <v>4030</v>
      </c>
      <c r="AM2143">
        <v>46.877116999999998</v>
      </c>
      <c r="AN2143" t="s">
        <v>4031</v>
      </c>
      <c r="AO2143">
        <v>-123.106098</v>
      </c>
      <c r="AP2143">
        <v>100</v>
      </c>
      <c r="AQ2143">
        <v>2100</v>
      </c>
      <c r="AR2143" t="s">
        <v>118</v>
      </c>
      <c r="AS2143">
        <v>-75</v>
      </c>
      <c r="AT2143">
        <v>22</v>
      </c>
      <c r="AU2143">
        <v>0</v>
      </c>
      <c r="BC2143">
        <v>1200</v>
      </c>
      <c r="BD2143">
        <v>1</v>
      </c>
      <c r="BE2143" t="str">
        <f t="shared" si="101"/>
        <v xml:space="preserve">N215T   </v>
      </c>
      <c r="BF2143">
        <v>1</v>
      </c>
      <c r="BH2143">
        <v>0</v>
      </c>
      <c r="BI2143">
        <v>0</v>
      </c>
      <c r="BJ2143">
        <v>0</v>
      </c>
      <c r="BK2143">
        <v>2450</v>
      </c>
      <c r="BL2143">
        <v>350</v>
      </c>
      <c r="BM2143" t="s">
        <v>119</v>
      </c>
      <c r="BN2143">
        <v>1</v>
      </c>
      <c r="BO2143">
        <v>1</v>
      </c>
      <c r="BP2143">
        <v>1</v>
      </c>
      <c r="BQ2143">
        <v>0</v>
      </c>
      <c r="BT2143">
        <v>0</v>
      </c>
      <c r="BU2143">
        <v>0</v>
      </c>
      <c r="BV2143">
        <v>0</v>
      </c>
      <c r="CC2143" t="str">
        <f>"19:10:33.867"</f>
        <v>19:10:33.867</v>
      </c>
      <c r="CD2143" t="str">
        <f>"866827273"</f>
        <v>866827273</v>
      </c>
      <c r="CQ2143">
        <v>0</v>
      </c>
      <c r="CR2143">
        <v>2</v>
      </c>
      <c r="CS2143">
        <v>0</v>
      </c>
      <c r="CT2143">
        <v>2</v>
      </c>
      <c r="CU2143">
        <v>0</v>
      </c>
      <c r="CV2143">
        <v>7</v>
      </c>
      <c r="CW2143" t="s">
        <v>120</v>
      </c>
      <c r="CX2143">
        <v>261</v>
      </c>
      <c r="CY2143">
        <v>2</v>
      </c>
      <c r="CZ2143" t="s">
        <v>121</v>
      </c>
      <c r="DA2143" t="s">
        <v>122</v>
      </c>
      <c r="DD2143">
        <v>15549354</v>
      </c>
      <c r="DE2143" t="s">
        <v>123</v>
      </c>
    </row>
    <row r="2144" spans="1:109" x14ac:dyDescent="0.3">
      <c r="A2144" t="str">
        <f>"19:10:34.945"</f>
        <v>19:10:34.945</v>
      </c>
      <c r="B2144" t="s">
        <v>110</v>
      </c>
      <c r="C2144" t="str">
        <f t="shared" si="99"/>
        <v>ffdfd3c0</v>
      </c>
      <c r="D2144" t="s">
        <v>111</v>
      </c>
      <c r="E2144">
        <v>18</v>
      </c>
      <c r="F2144">
        <v>1018</v>
      </c>
      <c r="G2144" t="s">
        <v>112</v>
      </c>
      <c r="J2144" t="s">
        <v>113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R2144" t="s">
        <v>114</v>
      </c>
      <c r="S2144" t="str">
        <f>"19:10:34.719"</f>
        <v>19:10:34.719</v>
      </c>
      <c r="T2144" t="str">
        <f>"19:10:34.320"</f>
        <v>19:10:34.320</v>
      </c>
      <c r="U2144" t="str">
        <f t="shared" si="100"/>
        <v>a1cdbe</v>
      </c>
      <c r="V2144">
        <v>0</v>
      </c>
      <c r="W2144">
        <v>0</v>
      </c>
      <c r="X2144">
        <v>1</v>
      </c>
      <c r="Y2144">
        <v>0</v>
      </c>
      <c r="Z2144">
        <v>0</v>
      </c>
      <c r="AB2144">
        <v>0</v>
      </c>
      <c r="AC2144">
        <v>9</v>
      </c>
      <c r="AD2144">
        <v>3</v>
      </c>
      <c r="AE2144">
        <v>0</v>
      </c>
      <c r="AF2144">
        <v>9</v>
      </c>
      <c r="AG2144" t="s">
        <v>158</v>
      </c>
      <c r="AH2144">
        <v>0</v>
      </c>
      <c r="AI2144">
        <v>3</v>
      </c>
      <c r="AJ2144">
        <v>1</v>
      </c>
      <c r="AK2144">
        <v>0</v>
      </c>
      <c r="AL2144" t="s">
        <v>4032</v>
      </c>
      <c r="AM2144">
        <v>46.877223999999998</v>
      </c>
      <c r="AN2144" t="s">
        <v>4033</v>
      </c>
      <c r="AO2144">
        <v>-123.10659200000001</v>
      </c>
      <c r="AP2144">
        <v>100</v>
      </c>
      <c r="AQ2144">
        <v>2100</v>
      </c>
      <c r="AR2144" t="s">
        <v>118</v>
      </c>
      <c r="AS2144">
        <v>-75</v>
      </c>
      <c r="AT2144">
        <v>22</v>
      </c>
      <c r="AU2144">
        <v>0</v>
      </c>
      <c r="BC2144">
        <v>1200</v>
      </c>
      <c r="BD2144">
        <v>1</v>
      </c>
      <c r="BE2144" t="str">
        <f t="shared" si="101"/>
        <v xml:space="preserve">N215T   </v>
      </c>
      <c r="BF2144">
        <v>1</v>
      </c>
      <c r="BH2144">
        <v>0</v>
      </c>
      <c r="BI2144">
        <v>0</v>
      </c>
      <c r="BJ2144">
        <v>0</v>
      </c>
      <c r="BK2144">
        <v>2450</v>
      </c>
      <c r="BL2144">
        <v>350</v>
      </c>
      <c r="BM2144" t="s">
        <v>119</v>
      </c>
      <c r="BN2144">
        <v>1</v>
      </c>
      <c r="BO2144">
        <v>1</v>
      </c>
      <c r="BP2144">
        <v>1</v>
      </c>
      <c r="BQ2144">
        <v>0</v>
      </c>
      <c r="BT2144">
        <v>0</v>
      </c>
      <c r="BU2144">
        <v>0</v>
      </c>
      <c r="BV2144">
        <v>0</v>
      </c>
      <c r="CC2144" t="str">
        <f>"19:10:34.719"</f>
        <v>19:10:34.719</v>
      </c>
      <c r="CD2144" t="str">
        <f>"721743065"</f>
        <v>721743065</v>
      </c>
      <c r="CQ2144">
        <v>0</v>
      </c>
      <c r="CR2144">
        <v>2</v>
      </c>
      <c r="CS2144">
        <v>0</v>
      </c>
      <c r="CT2144">
        <v>2</v>
      </c>
      <c r="CU2144">
        <v>0</v>
      </c>
      <c r="CV2144">
        <v>7</v>
      </c>
      <c r="CW2144" t="s">
        <v>120</v>
      </c>
      <c r="CX2144">
        <v>261</v>
      </c>
      <c r="CY2144">
        <v>2</v>
      </c>
      <c r="CZ2144" t="s">
        <v>121</v>
      </c>
      <c r="DA2144" t="s">
        <v>122</v>
      </c>
      <c r="DD2144">
        <v>15549956</v>
      </c>
      <c r="DE2144" t="s">
        <v>123</v>
      </c>
    </row>
    <row r="2145" spans="1:109" x14ac:dyDescent="0.3">
      <c r="A2145" t="str">
        <f>"19:10:35.953"</f>
        <v>19:10:35.953</v>
      </c>
      <c r="B2145" t="s">
        <v>110</v>
      </c>
      <c r="C2145" t="str">
        <f t="shared" si="99"/>
        <v>ffdfd3c0</v>
      </c>
      <c r="D2145" t="s">
        <v>111</v>
      </c>
      <c r="E2145">
        <v>18</v>
      </c>
      <c r="F2145">
        <v>1018</v>
      </c>
      <c r="G2145" t="s">
        <v>112</v>
      </c>
      <c r="J2145" t="s">
        <v>113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R2145" t="s">
        <v>114</v>
      </c>
      <c r="S2145" t="str">
        <f>"19:10:35.727"</f>
        <v>19:10:35.727</v>
      </c>
      <c r="T2145" t="str">
        <f>"19:10:35.328"</f>
        <v>19:10:35.328</v>
      </c>
      <c r="U2145" t="str">
        <f t="shared" si="100"/>
        <v>a1cdbe</v>
      </c>
      <c r="V2145">
        <v>0</v>
      </c>
      <c r="W2145">
        <v>0</v>
      </c>
      <c r="X2145">
        <v>1</v>
      </c>
      <c r="Y2145">
        <v>0</v>
      </c>
      <c r="Z2145">
        <v>0</v>
      </c>
      <c r="AB2145">
        <v>0</v>
      </c>
      <c r="AC2145">
        <v>9</v>
      </c>
      <c r="AD2145">
        <v>3</v>
      </c>
      <c r="AE2145">
        <v>0</v>
      </c>
      <c r="AF2145">
        <v>9</v>
      </c>
      <c r="AG2145" t="s">
        <v>158</v>
      </c>
      <c r="AH2145">
        <v>0</v>
      </c>
      <c r="AI2145">
        <v>3</v>
      </c>
      <c r="AJ2145">
        <v>1</v>
      </c>
      <c r="AK2145">
        <v>0</v>
      </c>
      <c r="AL2145" t="s">
        <v>4034</v>
      </c>
      <c r="AM2145">
        <v>46.877332000000003</v>
      </c>
      <c r="AN2145" t="s">
        <v>4035</v>
      </c>
      <c r="AO2145">
        <v>-123.107085</v>
      </c>
      <c r="AP2145">
        <v>100</v>
      </c>
      <c r="AQ2145">
        <v>2100</v>
      </c>
      <c r="AR2145" t="s">
        <v>118</v>
      </c>
      <c r="AS2145">
        <v>-75</v>
      </c>
      <c r="AT2145">
        <v>22</v>
      </c>
      <c r="AU2145">
        <v>64</v>
      </c>
      <c r="BC2145">
        <v>1200</v>
      </c>
      <c r="BD2145">
        <v>1</v>
      </c>
      <c r="BE2145" t="str">
        <f t="shared" si="101"/>
        <v xml:space="preserve">N215T   </v>
      </c>
      <c r="BF2145">
        <v>1</v>
      </c>
      <c r="BH2145">
        <v>0</v>
      </c>
      <c r="BI2145">
        <v>0</v>
      </c>
      <c r="BJ2145">
        <v>0</v>
      </c>
      <c r="BK2145">
        <v>2450</v>
      </c>
      <c r="BL2145">
        <v>350</v>
      </c>
      <c r="BM2145" t="s">
        <v>119</v>
      </c>
      <c r="BN2145">
        <v>1</v>
      </c>
      <c r="BO2145">
        <v>1</v>
      </c>
      <c r="BP2145">
        <v>1</v>
      </c>
      <c r="BQ2145">
        <v>0</v>
      </c>
      <c r="BT2145">
        <v>0</v>
      </c>
      <c r="BU2145">
        <v>0</v>
      </c>
      <c r="BV2145">
        <v>0</v>
      </c>
      <c r="CC2145" t="str">
        <f>"19:10:35.727"</f>
        <v>19:10:35.727</v>
      </c>
      <c r="CD2145" t="str">
        <f>"726644092"</f>
        <v>726644092</v>
      </c>
      <c r="CQ2145">
        <v>0</v>
      </c>
      <c r="CR2145">
        <v>2</v>
      </c>
      <c r="CS2145">
        <v>0</v>
      </c>
      <c r="CT2145">
        <v>2</v>
      </c>
      <c r="CU2145">
        <v>0</v>
      </c>
      <c r="CV2145">
        <v>6</v>
      </c>
      <c r="CW2145" t="s">
        <v>120</v>
      </c>
      <c r="CX2145">
        <v>261</v>
      </c>
      <c r="CY2145">
        <v>2</v>
      </c>
      <c r="CZ2145" t="s">
        <v>121</v>
      </c>
      <c r="DA2145" t="s">
        <v>122</v>
      </c>
      <c r="DD2145">
        <v>15550672</v>
      </c>
      <c r="DE2145" t="s">
        <v>123</v>
      </c>
    </row>
    <row r="2146" spans="1:109" x14ac:dyDescent="0.3">
      <c r="A2146" t="str">
        <f>"19:10:37.109"</f>
        <v>19:10:37.109</v>
      </c>
      <c r="B2146" t="s">
        <v>110</v>
      </c>
      <c r="C2146" t="str">
        <f t="shared" si="99"/>
        <v>ffdfd3c0</v>
      </c>
      <c r="D2146" t="s">
        <v>111</v>
      </c>
      <c r="E2146">
        <v>18</v>
      </c>
      <c r="F2146">
        <v>1018</v>
      </c>
      <c r="G2146" t="s">
        <v>112</v>
      </c>
      <c r="J2146" t="s">
        <v>113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R2146" t="s">
        <v>114</v>
      </c>
      <c r="S2146" t="str">
        <f>"19:10:36.844"</f>
        <v>19:10:36.844</v>
      </c>
      <c r="T2146" t="str">
        <f>"19:10:36.445"</f>
        <v>19:10:36.445</v>
      </c>
      <c r="U2146" t="str">
        <f t="shared" si="100"/>
        <v>a1cdbe</v>
      </c>
      <c r="V2146">
        <v>0</v>
      </c>
      <c r="W2146">
        <v>0</v>
      </c>
      <c r="X2146">
        <v>1</v>
      </c>
      <c r="Y2146">
        <v>0</v>
      </c>
      <c r="Z2146">
        <v>0</v>
      </c>
      <c r="AB2146">
        <v>0</v>
      </c>
      <c r="AC2146">
        <v>9</v>
      </c>
      <c r="AD2146">
        <v>3</v>
      </c>
      <c r="AE2146">
        <v>0</v>
      </c>
      <c r="AF2146">
        <v>9</v>
      </c>
      <c r="AG2146" t="s">
        <v>158</v>
      </c>
      <c r="AH2146">
        <v>0</v>
      </c>
      <c r="AI2146">
        <v>3</v>
      </c>
      <c r="AJ2146">
        <v>1</v>
      </c>
      <c r="AK2146">
        <v>0</v>
      </c>
      <c r="AL2146" t="s">
        <v>4036</v>
      </c>
      <c r="AM2146">
        <v>46.877417999999999</v>
      </c>
      <c r="AN2146" t="s">
        <v>4037</v>
      </c>
      <c r="AO2146">
        <v>-123.107643</v>
      </c>
      <c r="AP2146">
        <v>100</v>
      </c>
      <c r="AQ2146">
        <v>2100</v>
      </c>
      <c r="AR2146" t="s">
        <v>118</v>
      </c>
      <c r="AS2146">
        <v>-75</v>
      </c>
      <c r="AT2146">
        <v>21</v>
      </c>
      <c r="AU2146">
        <v>0</v>
      </c>
      <c r="BC2146">
        <v>1200</v>
      </c>
      <c r="BD2146">
        <v>1</v>
      </c>
      <c r="BE2146" t="str">
        <f t="shared" si="101"/>
        <v xml:space="preserve">N215T   </v>
      </c>
      <c r="BF2146">
        <v>1</v>
      </c>
      <c r="BH2146">
        <v>0</v>
      </c>
      <c r="BI2146">
        <v>0</v>
      </c>
      <c r="BJ2146">
        <v>0</v>
      </c>
      <c r="BK2146">
        <v>2450</v>
      </c>
      <c r="BL2146">
        <v>350</v>
      </c>
      <c r="BM2146" t="s">
        <v>119</v>
      </c>
      <c r="BN2146">
        <v>1</v>
      </c>
      <c r="BO2146">
        <v>1</v>
      </c>
      <c r="BP2146">
        <v>1</v>
      </c>
      <c r="BQ2146">
        <v>0</v>
      </c>
      <c r="BT2146">
        <v>0</v>
      </c>
      <c r="BU2146">
        <v>0</v>
      </c>
      <c r="BV2146">
        <v>0</v>
      </c>
      <c r="CC2146" t="str">
        <f>"19:10:36.852"</f>
        <v>19:10:36.852</v>
      </c>
      <c r="CD2146" t="str">
        <f>"851533294"</f>
        <v>851533294</v>
      </c>
      <c r="CQ2146">
        <v>0</v>
      </c>
      <c r="CR2146">
        <v>2</v>
      </c>
      <c r="CS2146">
        <v>0</v>
      </c>
      <c r="CT2146">
        <v>2</v>
      </c>
      <c r="CU2146">
        <v>0</v>
      </c>
      <c r="CV2146">
        <v>7</v>
      </c>
      <c r="CW2146" t="s">
        <v>120</v>
      </c>
      <c r="CX2146">
        <v>261</v>
      </c>
      <c r="CY2146">
        <v>2</v>
      </c>
      <c r="CZ2146" t="s">
        <v>121</v>
      </c>
      <c r="DA2146" t="s">
        <v>122</v>
      </c>
      <c r="DD2146">
        <v>15551431</v>
      </c>
      <c r="DE2146" t="s">
        <v>123</v>
      </c>
    </row>
    <row r="2147" spans="1:109" x14ac:dyDescent="0.3">
      <c r="A2147" t="str">
        <f>"19:10:38.063"</f>
        <v>19:10:38.063</v>
      </c>
      <c r="B2147" t="s">
        <v>110</v>
      </c>
      <c r="C2147" t="str">
        <f t="shared" si="99"/>
        <v>ffdfd3c0</v>
      </c>
      <c r="D2147" t="s">
        <v>111</v>
      </c>
      <c r="E2147">
        <v>18</v>
      </c>
      <c r="F2147">
        <v>1018</v>
      </c>
      <c r="G2147" t="s">
        <v>112</v>
      </c>
      <c r="J2147" t="s">
        <v>113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R2147" t="s">
        <v>114</v>
      </c>
      <c r="S2147" t="str">
        <f>"19:10:37.852"</f>
        <v>19:10:37.852</v>
      </c>
      <c r="T2147" t="str">
        <f>"19:10:37.852"</f>
        <v>19:10:37.852</v>
      </c>
      <c r="U2147" t="str">
        <f t="shared" si="100"/>
        <v>a1cdbe</v>
      </c>
      <c r="V2147">
        <v>0</v>
      </c>
      <c r="W2147">
        <v>0</v>
      </c>
      <c r="X2147">
        <v>1</v>
      </c>
      <c r="Y2147">
        <v>0</v>
      </c>
      <c r="Z2147">
        <v>0</v>
      </c>
      <c r="AB2147">
        <v>0</v>
      </c>
      <c r="AC2147">
        <v>9</v>
      </c>
      <c r="AD2147">
        <v>3</v>
      </c>
      <c r="AE2147">
        <v>0</v>
      </c>
      <c r="AF2147">
        <v>9</v>
      </c>
      <c r="AG2147" t="s">
        <v>158</v>
      </c>
      <c r="AH2147">
        <v>0</v>
      </c>
      <c r="AI2147">
        <v>3</v>
      </c>
      <c r="AJ2147">
        <v>1</v>
      </c>
      <c r="AK2147">
        <v>0</v>
      </c>
      <c r="AL2147" t="s">
        <v>4038</v>
      </c>
      <c r="AM2147">
        <v>46.877502999999997</v>
      </c>
      <c r="AN2147" t="s">
        <v>4039</v>
      </c>
      <c r="AO2147">
        <v>-123.108137</v>
      </c>
      <c r="AP2147">
        <v>100</v>
      </c>
      <c r="AQ2147">
        <v>2100</v>
      </c>
      <c r="AR2147" t="s">
        <v>118</v>
      </c>
      <c r="AS2147">
        <v>-75</v>
      </c>
      <c r="AT2147">
        <v>21</v>
      </c>
      <c r="AU2147">
        <v>0</v>
      </c>
      <c r="BC2147">
        <v>1200</v>
      </c>
      <c r="BD2147">
        <v>1</v>
      </c>
      <c r="BE2147" t="str">
        <f t="shared" si="101"/>
        <v xml:space="preserve">N215T   </v>
      </c>
      <c r="BF2147">
        <v>1</v>
      </c>
      <c r="BH2147">
        <v>0</v>
      </c>
      <c r="BI2147">
        <v>0</v>
      </c>
      <c r="BJ2147">
        <v>0</v>
      </c>
      <c r="BK2147">
        <v>2475</v>
      </c>
      <c r="BL2147">
        <v>375</v>
      </c>
      <c r="BM2147" t="s">
        <v>119</v>
      </c>
      <c r="BN2147">
        <v>1</v>
      </c>
      <c r="BO2147">
        <v>1</v>
      </c>
      <c r="BP2147">
        <v>1</v>
      </c>
      <c r="BQ2147">
        <v>0</v>
      </c>
      <c r="BT2147">
        <v>0</v>
      </c>
      <c r="BU2147">
        <v>0</v>
      </c>
      <c r="BV2147">
        <v>0</v>
      </c>
      <c r="CC2147" t="str">
        <f>"19:10:37.859"</f>
        <v>19:10:37.859</v>
      </c>
      <c r="CD2147" t="str">
        <f>"856435951"</f>
        <v>856435951</v>
      </c>
      <c r="CQ2147">
        <v>0</v>
      </c>
      <c r="CR2147">
        <v>2</v>
      </c>
      <c r="CS2147">
        <v>0</v>
      </c>
      <c r="CT2147">
        <v>2</v>
      </c>
      <c r="CU2147">
        <v>0</v>
      </c>
      <c r="CV2147">
        <v>5</v>
      </c>
      <c r="CW2147" t="s">
        <v>120</v>
      </c>
      <c r="CX2147">
        <v>257</v>
      </c>
      <c r="CY2147">
        <v>1</v>
      </c>
      <c r="CZ2147" t="s">
        <v>615</v>
      </c>
      <c r="DA2147" t="s">
        <v>616</v>
      </c>
      <c r="DD2147">
        <v>11979603</v>
      </c>
      <c r="DE2147" t="s">
        <v>123</v>
      </c>
    </row>
    <row r="2148" spans="1:109" x14ac:dyDescent="0.3">
      <c r="A2148" t="str">
        <f>"19:10:39.016"</f>
        <v>19:10:39.016</v>
      </c>
      <c r="B2148" t="s">
        <v>110</v>
      </c>
      <c r="C2148" t="str">
        <f t="shared" si="99"/>
        <v>ffdfd3c0</v>
      </c>
      <c r="D2148" t="s">
        <v>111</v>
      </c>
      <c r="E2148">
        <v>18</v>
      </c>
      <c r="F2148">
        <v>1018</v>
      </c>
      <c r="G2148" t="s">
        <v>112</v>
      </c>
      <c r="J2148" t="s">
        <v>113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R2148" t="s">
        <v>114</v>
      </c>
      <c r="S2148" t="str">
        <f>"19:10:38.781"</f>
        <v>19:10:38.781</v>
      </c>
      <c r="T2148" t="str">
        <f>"19:10:38.383"</f>
        <v>19:10:38.383</v>
      </c>
      <c r="U2148" t="str">
        <f t="shared" si="100"/>
        <v>a1cdbe</v>
      </c>
      <c r="V2148">
        <v>0</v>
      </c>
      <c r="W2148">
        <v>0</v>
      </c>
      <c r="X2148">
        <v>1</v>
      </c>
      <c r="Y2148">
        <v>0</v>
      </c>
      <c r="Z2148">
        <v>0</v>
      </c>
      <c r="AB2148">
        <v>0</v>
      </c>
      <c r="AC2148">
        <v>9</v>
      </c>
      <c r="AD2148">
        <v>3</v>
      </c>
      <c r="AE2148">
        <v>0</v>
      </c>
      <c r="AF2148">
        <v>9</v>
      </c>
      <c r="AG2148" t="s">
        <v>158</v>
      </c>
      <c r="AH2148">
        <v>0</v>
      </c>
      <c r="AI2148">
        <v>3</v>
      </c>
      <c r="AJ2148">
        <v>1</v>
      </c>
      <c r="AK2148">
        <v>0</v>
      </c>
      <c r="AL2148" t="s">
        <v>4040</v>
      </c>
      <c r="AM2148">
        <v>46.877611000000002</v>
      </c>
      <c r="AN2148" t="s">
        <v>4041</v>
      </c>
      <c r="AO2148">
        <v>-123.108609</v>
      </c>
      <c r="AP2148">
        <v>100</v>
      </c>
      <c r="AQ2148">
        <v>2100</v>
      </c>
      <c r="AR2148" t="s">
        <v>118</v>
      </c>
      <c r="AS2148">
        <v>-75</v>
      </c>
      <c r="AT2148">
        <v>21</v>
      </c>
      <c r="AU2148">
        <v>0</v>
      </c>
      <c r="BC2148">
        <v>1200</v>
      </c>
      <c r="BD2148">
        <v>1</v>
      </c>
      <c r="BE2148" t="str">
        <f t="shared" si="101"/>
        <v xml:space="preserve">N215T   </v>
      </c>
      <c r="BF2148">
        <v>1</v>
      </c>
      <c r="BH2148">
        <v>0</v>
      </c>
      <c r="BI2148">
        <v>0</v>
      </c>
      <c r="BJ2148">
        <v>0</v>
      </c>
      <c r="BK2148">
        <v>2450</v>
      </c>
      <c r="BL2148">
        <v>350</v>
      </c>
      <c r="BM2148" t="s">
        <v>119</v>
      </c>
      <c r="BN2148">
        <v>1</v>
      </c>
      <c r="BO2148">
        <v>1</v>
      </c>
      <c r="BP2148">
        <v>1</v>
      </c>
      <c r="BQ2148">
        <v>0</v>
      </c>
      <c r="BT2148">
        <v>0</v>
      </c>
      <c r="BU2148">
        <v>0</v>
      </c>
      <c r="BV2148">
        <v>0</v>
      </c>
      <c r="CC2148" t="str">
        <f>"19:10:38.789"</f>
        <v>19:10:38.789</v>
      </c>
      <c r="CD2148" t="str">
        <f>"786342725"</f>
        <v>786342725</v>
      </c>
      <c r="CQ2148">
        <v>0</v>
      </c>
      <c r="CR2148">
        <v>2</v>
      </c>
      <c r="CS2148">
        <v>0</v>
      </c>
      <c r="CT2148">
        <v>2</v>
      </c>
      <c r="CU2148">
        <v>0</v>
      </c>
      <c r="CV2148">
        <v>7</v>
      </c>
      <c r="CW2148" t="s">
        <v>120</v>
      </c>
      <c r="CX2148">
        <v>261</v>
      </c>
      <c r="CY2148">
        <v>2</v>
      </c>
      <c r="CZ2148" t="s">
        <v>121</v>
      </c>
      <c r="DA2148" t="s">
        <v>122</v>
      </c>
      <c r="DD2148">
        <v>15552815</v>
      </c>
      <c r="DE2148" t="s">
        <v>123</v>
      </c>
    </row>
    <row r="2149" spans="1:109" x14ac:dyDescent="0.3">
      <c r="A2149" t="str">
        <f>"19:10:40.078"</f>
        <v>19:10:40.078</v>
      </c>
      <c r="B2149" t="s">
        <v>110</v>
      </c>
      <c r="C2149" t="str">
        <f t="shared" si="99"/>
        <v>ffdfd3c0</v>
      </c>
      <c r="D2149" t="s">
        <v>111</v>
      </c>
      <c r="E2149">
        <v>18</v>
      </c>
      <c r="F2149">
        <v>1018</v>
      </c>
      <c r="G2149" t="s">
        <v>112</v>
      </c>
      <c r="J2149" t="s">
        <v>113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R2149" t="s">
        <v>114</v>
      </c>
      <c r="S2149" t="str">
        <f>"19:10:39.844"</f>
        <v>19:10:39.844</v>
      </c>
      <c r="T2149" t="str">
        <f>"19:10:39.844"</f>
        <v>19:10:39.844</v>
      </c>
      <c r="U2149" t="str">
        <f t="shared" si="100"/>
        <v>a1cdbe</v>
      </c>
      <c r="V2149">
        <v>0</v>
      </c>
      <c r="W2149">
        <v>0</v>
      </c>
      <c r="X2149">
        <v>1</v>
      </c>
      <c r="Y2149">
        <v>0</v>
      </c>
      <c r="Z2149">
        <v>0</v>
      </c>
      <c r="AB2149">
        <v>0</v>
      </c>
      <c r="AC2149">
        <v>9</v>
      </c>
      <c r="AD2149">
        <v>3</v>
      </c>
      <c r="AE2149">
        <v>0</v>
      </c>
      <c r="AF2149">
        <v>9</v>
      </c>
      <c r="AG2149" t="s">
        <v>158</v>
      </c>
      <c r="AH2149">
        <v>0</v>
      </c>
      <c r="AI2149">
        <v>3</v>
      </c>
      <c r="AJ2149">
        <v>1</v>
      </c>
      <c r="AK2149">
        <v>0</v>
      </c>
      <c r="AL2149" t="s">
        <v>4042</v>
      </c>
      <c r="AM2149">
        <v>46.877738999999998</v>
      </c>
      <c r="AN2149" t="s">
        <v>4043</v>
      </c>
      <c r="AO2149">
        <v>-123.10912399999999</v>
      </c>
      <c r="AP2149">
        <v>100</v>
      </c>
      <c r="AQ2149">
        <v>2100</v>
      </c>
      <c r="AR2149" t="s">
        <v>118</v>
      </c>
      <c r="AS2149">
        <v>-75</v>
      </c>
      <c r="AT2149">
        <v>21</v>
      </c>
      <c r="AU2149">
        <v>-64</v>
      </c>
      <c r="BC2149">
        <v>1200</v>
      </c>
      <c r="BD2149">
        <v>1</v>
      </c>
      <c r="BE2149" t="str">
        <f t="shared" si="101"/>
        <v xml:space="preserve">N215T   </v>
      </c>
      <c r="BF2149">
        <v>1</v>
      </c>
      <c r="BH2149">
        <v>0</v>
      </c>
      <c r="BI2149">
        <v>0</v>
      </c>
      <c r="BJ2149">
        <v>0</v>
      </c>
      <c r="BK2149">
        <v>2450</v>
      </c>
      <c r="BL2149">
        <v>350</v>
      </c>
      <c r="BM2149" t="s">
        <v>119</v>
      </c>
      <c r="BN2149">
        <v>1</v>
      </c>
      <c r="BO2149">
        <v>1</v>
      </c>
      <c r="BP2149">
        <v>1</v>
      </c>
      <c r="BQ2149">
        <v>0</v>
      </c>
      <c r="BT2149">
        <v>0</v>
      </c>
      <c r="BU2149">
        <v>0</v>
      </c>
      <c r="BV2149">
        <v>0</v>
      </c>
      <c r="CC2149" t="str">
        <f>"19:10:39.852"</f>
        <v>19:10:39.852</v>
      </c>
      <c r="CD2149" t="str">
        <f>"851237844"</f>
        <v>851237844</v>
      </c>
      <c r="CQ2149">
        <v>0</v>
      </c>
      <c r="CR2149">
        <v>2</v>
      </c>
      <c r="CS2149">
        <v>0</v>
      </c>
      <c r="CT2149">
        <v>2</v>
      </c>
      <c r="CU2149">
        <v>0</v>
      </c>
      <c r="CV2149">
        <v>7</v>
      </c>
      <c r="CW2149" t="s">
        <v>120</v>
      </c>
      <c r="CX2149">
        <v>261</v>
      </c>
      <c r="CY2149">
        <v>2</v>
      </c>
      <c r="CZ2149" t="s">
        <v>121</v>
      </c>
      <c r="DA2149" t="s">
        <v>122</v>
      </c>
      <c r="DD2149">
        <v>15553550</v>
      </c>
      <c r="DE2149" t="s">
        <v>123</v>
      </c>
    </row>
    <row r="2150" spans="1:109" x14ac:dyDescent="0.3">
      <c r="A2150" t="str">
        <f>"19:10:41.078"</f>
        <v>19:10:41.078</v>
      </c>
      <c r="B2150" t="s">
        <v>110</v>
      </c>
      <c r="C2150" t="str">
        <f t="shared" si="99"/>
        <v>ffdfd3c0</v>
      </c>
      <c r="D2150" t="s">
        <v>111</v>
      </c>
      <c r="E2150">
        <v>18</v>
      </c>
      <c r="F2150">
        <v>1018</v>
      </c>
      <c r="G2150" t="s">
        <v>112</v>
      </c>
      <c r="J2150" t="s">
        <v>113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R2150" t="s">
        <v>114</v>
      </c>
      <c r="S2150" t="str">
        <f>"19:10:40.805"</f>
        <v>19:10:40.805</v>
      </c>
      <c r="T2150" t="str">
        <f>"19:10:40.703"</f>
        <v>19:10:40.703</v>
      </c>
      <c r="U2150" t="str">
        <f t="shared" si="100"/>
        <v>a1cdbe</v>
      </c>
      <c r="V2150">
        <v>0</v>
      </c>
      <c r="W2150">
        <v>0</v>
      </c>
      <c r="X2150">
        <v>1</v>
      </c>
      <c r="Y2150">
        <v>0</v>
      </c>
      <c r="Z2150">
        <v>0</v>
      </c>
      <c r="AB2150">
        <v>0</v>
      </c>
      <c r="AC2150">
        <v>9</v>
      </c>
      <c r="AD2150">
        <v>3</v>
      </c>
      <c r="AE2150">
        <v>0</v>
      </c>
      <c r="AF2150">
        <v>9</v>
      </c>
      <c r="AG2150" t="s">
        <v>158</v>
      </c>
      <c r="AH2150">
        <v>0</v>
      </c>
      <c r="AI2150">
        <v>3</v>
      </c>
      <c r="AJ2150">
        <v>1</v>
      </c>
      <c r="AK2150">
        <v>0</v>
      </c>
      <c r="AL2150" t="s">
        <v>4044</v>
      </c>
      <c r="AM2150">
        <v>46.877782000000003</v>
      </c>
      <c r="AN2150" t="s">
        <v>4045</v>
      </c>
      <c r="AO2150">
        <v>-123.109639</v>
      </c>
      <c r="AP2150">
        <v>100</v>
      </c>
      <c r="AQ2150">
        <v>2100</v>
      </c>
      <c r="AR2150" t="s">
        <v>118</v>
      </c>
      <c r="AS2150">
        <v>-75</v>
      </c>
      <c r="AT2150">
        <v>21</v>
      </c>
      <c r="AU2150">
        <v>-64</v>
      </c>
      <c r="BC2150">
        <v>1200</v>
      </c>
      <c r="BD2150">
        <v>1</v>
      </c>
      <c r="BE2150" t="str">
        <f t="shared" si="101"/>
        <v xml:space="preserve">N215T   </v>
      </c>
      <c r="BF2150">
        <v>1</v>
      </c>
      <c r="BH2150">
        <v>0</v>
      </c>
      <c r="BI2150">
        <v>0</v>
      </c>
      <c r="BJ2150">
        <v>0</v>
      </c>
      <c r="BK2150">
        <v>2450</v>
      </c>
      <c r="BL2150">
        <v>350</v>
      </c>
      <c r="BM2150" t="s">
        <v>119</v>
      </c>
      <c r="BN2150">
        <v>1</v>
      </c>
      <c r="BO2150">
        <v>1</v>
      </c>
      <c r="BP2150">
        <v>1</v>
      </c>
      <c r="BQ2150">
        <v>0</v>
      </c>
      <c r="BT2150">
        <v>0</v>
      </c>
      <c r="BU2150">
        <v>0</v>
      </c>
      <c r="BV2150">
        <v>0</v>
      </c>
      <c r="CC2150" t="str">
        <f>"19:10:40.813"</f>
        <v>19:10:40.813</v>
      </c>
      <c r="CD2150" t="str">
        <f>"811143289"</f>
        <v>811143289</v>
      </c>
      <c r="CQ2150">
        <v>0</v>
      </c>
      <c r="CR2150">
        <v>2</v>
      </c>
      <c r="CS2150">
        <v>0</v>
      </c>
      <c r="CT2150">
        <v>2</v>
      </c>
      <c r="CU2150">
        <v>0</v>
      </c>
      <c r="CV2150">
        <v>6</v>
      </c>
      <c r="CW2150" t="s">
        <v>120</v>
      </c>
      <c r="CX2150">
        <v>261</v>
      </c>
      <c r="CY2150">
        <v>2</v>
      </c>
      <c r="CZ2150" t="s">
        <v>121</v>
      </c>
      <c r="DA2150" t="s">
        <v>122</v>
      </c>
      <c r="DD2150">
        <v>15554198</v>
      </c>
      <c r="DE2150" t="s">
        <v>123</v>
      </c>
    </row>
    <row r="2151" spans="1:109" x14ac:dyDescent="0.3">
      <c r="A2151" t="str">
        <f>"19:10:41.984"</f>
        <v>19:10:41.984</v>
      </c>
      <c r="B2151" t="s">
        <v>110</v>
      </c>
      <c r="C2151" t="str">
        <f t="shared" si="99"/>
        <v>ffdfd3c0</v>
      </c>
      <c r="D2151" t="s">
        <v>111</v>
      </c>
      <c r="E2151">
        <v>18</v>
      </c>
      <c r="F2151">
        <v>1018</v>
      </c>
      <c r="G2151" t="s">
        <v>112</v>
      </c>
      <c r="J2151" t="s">
        <v>113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R2151" t="s">
        <v>114</v>
      </c>
      <c r="S2151" t="str">
        <f>"19:10:41.734"</f>
        <v>19:10:41.734</v>
      </c>
      <c r="T2151" t="str">
        <f>"19:10:41.734"</f>
        <v>19:10:41.734</v>
      </c>
      <c r="U2151" t="str">
        <f t="shared" si="100"/>
        <v>a1cdbe</v>
      </c>
      <c r="V2151">
        <v>0</v>
      </c>
      <c r="W2151">
        <v>0</v>
      </c>
      <c r="X2151">
        <v>1</v>
      </c>
      <c r="Y2151">
        <v>0</v>
      </c>
      <c r="Z2151">
        <v>0</v>
      </c>
      <c r="AB2151">
        <v>0</v>
      </c>
      <c r="AC2151">
        <v>9</v>
      </c>
      <c r="AD2151">
        <v>3</v>
      </c>
      <c r="AE2151">
        <v>0</v>
      </c>
      <c r="AF2151">
        <v>9</v>
      </c>
      <c r="AG2151" t="s">
        <v>158</v>
      </c>
      <c r="AH2151">
        <v>0</v>
      </c>
      <c r="AI2151">
        <v>3</v>
      </c>
      <c r="AJ2151">
        <v>1</v>
      </c>
      <c r="AK2151">
        <v>0</v>
      </c>
      <c r="AL2151" t="s">
        <v>4046</v>
      </c>
      <c r="AM2151">
        <v>46.877890000000001</v>
      </c>
      <c r="AN2151" t="s">
        <v>4047</v>
      </c>
      <c r="AO2151">
        <v>-123.110111</v>
      </c>
      <c r="AP2151">
        <v>100</v>
      </c>
      <c r="AQ2151">
        <v>2100</v>
      </c>
      <c r="AR2151" t="s">
        <v>118</v>
      </c>
      <c r="AS2151">
        <v>-76</v>
      </c>
      <c r="AT2151">
        <v>21</v>
      </c>
      <c r="AU2151">
        <v>-64</v>
      </c>
      <c r="BC2151">
        <v>1200</v>
      </c>
      <c r="BD2151">
        <v>1</v>
      </c>
      <c r="BE2151" t="str">
        <f t="shared" si="101"/>
        <v xml:space="preserve">N215T   </v>
      </c>
      <c r="BF2151">
        <v>1</v>
      </c>
      <c r="BH2151">
        <v>0</v>
      </c>
      <c r="BI2151">
        <v>0</v>
      </c>
      <c r="BJ2151">
        <v>0</v>
      </c>
      <c r="BK2151">
        <v>2450</v>
      </c>
      <c r="BL2151">
        <v>350</v>
      </c>
      <c r="BM2151" t="s">
        <v>119</v>
      </c>
      <c r="BN2151">
        <v>1</v>
      </c>
      <c r="BO2151">
        <v>1</v>
      </c>
      <c r="BP2151">
        <v>1</v>
      </c>
      <c r="BQ2151">
        <v>0</v>
      </c>
      <c r="BT2151">
        <v>0</v>
      </c>
      <c r="BU2151">
        <v>0</v>
      </c>
      <c r="BV2151">
        <v>0</v>
      </c>
      <c r="CC2151" t="str">
        <f>"19:10:41.742"</f>
        <v>19:10:41.742</v>
      </c>
      <c r="CD2151" t="str">
        <f>"741051702"</f>
        <v>741051702</v>
      </c>
      <c r="CQ2151">
        <v>0</v>
      </c>
      <c r="CR2151">
        <v>2</v>
      </c>
      <c r="CS2151">
        <v>0</v>
      </c>
      <c r="CT2151">
        <v>2</v>
      </c>
      <c r="CU2151">
        <v>0</v>
      </c>
      <c r="CV2151">
        <v>7</v>
      </c>
      <c r="CW2151" t="s">
        <v>120</v>
      </c>
      <c r="CX2151">
        <v>261</v>
      </c>
      <c r="CY2151">
        <v>2</v>
      </c>
      <c r="CZ2151" t="s">
        <v>121</v>
      </c>
      <c r="DA2151" t="s">
        <v>122</v>
      </c>
      <c r="DD2151">
        <v>15554873</v>
      </c>
      <c r="DE2151" t="s">
        <v>123</v>
      </c>
    </row>
    <row r="2152" spans="1:109" x14ac:dyDescent="0.3">
      <c r="A2152" t="str">
        <f>"19:10:42.992"</f>
        <v>19:10:42.992</v>
      </c>
      <c r="B2152" t="s">
        <v>110</v>
      </c>
      <c r="C2152" t="str">
        <f t="shared" si="99"/>
        <v>ffdfd3c0</v>
      </c>
      <c r="D2152" t="s">
        <v>111</v>
      </c>
      <c r="E2152">
        <v>18</v>
      </c>
      <c r="F2152">
        <v>1018</v>
      </c>
      <c r="G2152" t="s">
        <v>112</v>
      </c>
      <c r="J2152" t="s">
        <v>113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R2152" t="s">
        <v>114</v>
      </c>
      <c r="S2152" t="str">
        <f>"19:10:42.711"</f>
        <v>19:10:42.711</v>
      </c>
      <c r="T2152" t="str">
        <f>"19:10:42.711"</f>
        <v>19:10:42.711</v>
      </c>
      <c r="U2152" t="str">
        <f t="shared" si="100"/>
        <v>a1cdbe</v>
      </c>
      <c r="V2152">
        <v>0</v>
      </c>
      <c r="W2152">
        <v>0</v>
      </c>
      <c r="X2152">
        <v>1</v>
      </c>
      <c r="Y2152">
        <v>0</v>
      </c>
      <c r="Z2152">
        <v>0</v>
      </c>
      <c r="AB2152">
        <v>0</v>
      </c>
      <c r="AC2152">
        <v>9</v>
      </c>
      <c r="AD2152">
        <v>3</v>
      </c>
      <c r="AE2152">
        <v>0</v>
      </c>
      <c r="AF2152">
        <v>9</v>
      </c>
      <c r="AG2152" t="s">
        <v>158</v>
      </c>
      <c r="AH2152">
        <v>0</v>
      </c>
      <c r="AI2152">
        <v>3</v>
      </c>
      <c r="AJ2152">
        <v>1</v>
      </c>
      <c r="AK2152">
        <v>0</v>
      </c>
      <c r="AL2152" t="s">
        <v>4048</v>
      </c>
      <c r="AM2152">
        <v>46.878017999999997</v>
      </c>
      <c r="AN2152" t="s">
        <v>4049</v>
      </c>
      <c r="AO2152">
        <v>-123.110604</v>
      </c>
      <c r="AP2152">
        <v>100</v>
      </c>
      <c r="AQ2152">
        <v>2100</v>
      </c>
      <c r="AR2152" t="s">
        <v>118</v>
      </c>
      <c r="AS2152">
        <v>-76</v>
      </c>
      <c r="AT2152">
        <v>21</v>
      </c>
      <c r="AU2152">
        <v>-64</v>
      </c>
      <c r="BC2152">
        <v>1200</v>
      </c>
      <c r="BD2152">
        <v>1</v>
      </c>
      <c r="BE2152" t="str">
        <f t="shared" si="101"/>
        <v xml:space="preserve">N215T   </v>
      </c>
      <c r="BF2152">
        <v>1</v>
      </c>
      <c r="BH2152">
        <v>0</v>
      </c>
      <c r="BI2152">
        <v>0</v>
      </c>
      <c r="BJ2152">
        <v>0</v>
      </c>
      <c r="BK2152">
        <v>2450</v>
      </c>
      <c r="BL2152">
        <v>350</v>
      </c>
      <c r="BM2152" t="s">
        <v>119</v>
      </c>
      <c r="BN2152">
        <v>1</v>
      </c>
      <c r="BO2152">
        <v>1</v>
      </c>
      <c r="BP2152">
        <v>1</v>
      </c>
      <c r="BQ2152">
        <v>0</v>
      </c>
      <c r="BT2152">
        <v>0</v>
      </c>
      <c r="BU2152">
        <v>0</v>
      </c>
      <c r="BV2152">
        <v>0</v>
      </c>
      <c r="CC2152" t="str">
        <f>"19:10:42.719"</f>
        <v>19:10:42.719</v>
      </c>
      <c r="CD2152" t="str">
        <f>"715955675"</f>
        <v>715955675</v>
      </c>
      <c r="CQ2152">
        <v>0</v>
      </c>
      <c r="CR2152">
        <v>2</v>
      </c>
      <c r="CS2152">
        <v>0</v>
      </c>
      <c r="CT2152">
        <v>2</v>
      </c>
      <c r="CU2152">
        <v>0</v>
      </c>
      <c r="CV2152">
        <v>7</v>
      </c>
      <c r="CW2152" t="s">
        <v>120</v>
      </c>
      <c r="CX2152">
        <v>261</v>
      </c>
      <c r="CY2152">
        <v>2</v>
      </c>
      <c r="CZ2152" t="s">
        <v>121</v>
      </c>
      <c r="DA2152" t="s">
        <v>122</v>
      </c>
      <c r="DD2152">
        <v>15555572</v>
      </c>
      <c r="DE2152" t="s">
        <v>123</v>
      </c>
    </row>
    <row r="2153" spans="1:109" x14ac:dyDescent="0.3">
      <c r="A2153" t="str">
        <f>"19:10:44.094"</f>
        <v>19:10:44.094</v>
      </c>
      <c r="B2153" t="s">
        <v>110</v>
      </c>
      <c r="C2153" t="str">
        <f t="shared" si="99"/>
        <v>ffdfd3c0</v>
      </c>
      <c r="D2153" t="s">
        <v>111</v>
      </c>
      <c r="E2153">
        <v>18</v>
      </c>
      <c r="F2153">
        <v>1018</v>
      </c>
      <c r="G2153" t="s">
        <v>112</v>
      </c>
      <c r="J2153" t="s">
        <v>113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R2153" t="s">
        <v>114</v>
      </c>
      <c r="S2153" t="str">
        <f>"19:10:43.883"</f>
        <v>19:10:43.883</v>
      </c>
      <c r="T2153" t="str">
        <f>"19:10:43.383"</f>
        <v>19:10:43.383</v>
      </c>
      <c r="U2153" t="str">
        <f t="shared" si="100"/>
        <v>a1cdbe</v>
      </c>
      <c r="V2153">
        <v>0</v>
      </c>
      <c r="W2153">
        <v>0</v>
      </c>
      <c r="X2153">
        <v>1</v>
      </c>
      <c r="Y2153">
        <v>0</v>
      </c>
      <c r="Z2153">
        <v>0</v>
      </c>
      <c r="AB2153">
        <v>0</v>
      </c>
      <c r="AC2153">
        <v>9</v>
      </c>
      <c r="AD2153">
        <v>3</v>
      </c>
      <c r="AE2153">
        <v>0</v>
      </c>
      <c r="AF2153">
        <v>9</v>
      </c>
      <c r="AG2153" t="s">
        <v>158</v>
      </c>
      <c r="AH2153">
        <v>0</v>
      </c>
      <c r="AI2153">
        <v>3</v>
      </c>
      <c r="AJ2153">
        <v>1</v>
      </c>
      <c r="AK2153">
        <v>0</v>
      </c>
      <c r="AL2153" t="s">
        <v>4050</v>
      </c>
      <c r="AM2153">
        <v>46.878104</v>
      </c>
      <c r="AN2153" t="s">
        <v>4051</v>
      </c>
      <c r="AO2153">
        <v>-123.111248</v>
      </c>
      <c r="AP2153">
        <v>100</v>
      </c>
      <c r="AQ2153">
        <v>2100</v>
      </c>
      <c r="AR2153" t="s">
        <v>118</v>
      </c>
      <c r="AS2153">
        <v>-76</v>
      </c>
      <c r="AT2153">
        <v>21</v>
      </c>
      <c r="AU2153">
        <v>-64</v>
      </c>
      <c r="BC2153">
        <v>1200</v>
      </c>
      <c r="BD2153">
        <v>1</v>
      </c>
      <c r="BE2153" t="str">
        <f t="shared" si="101"/>
        <v xml:space="preserve">N215T   </v>
      </c>
      <c r="BF2153">
        <v>1</v>
      </c>
      <c r="BH2153">
        <v>0</v>
      </c>
      <c r="BI2153">
        <v>0</v>
      </c>
      <c r="BJ2153">
        <v>0</v>
      </c>
      <c r="BK2153">
        <v>2450</v>
      </c>
      <c r="BL2153">
        <v>350</v>
      </c>
      <c r="BM2153" t="s">
        <v>119</v>
      </c>
      <c r="BN2153">
        <v>1</v>
      </c>
      <c r="BO2153">
        <v>1</v>
      </c>
      <c r="BP2153">
        <v>1</v>
      </c>
      <c r="BQ2153">
        <v>0</v>
      </c>
      <c r="BT2153">
        <v>0</v>
      </c>
      <c r="BU2153">
        <v>0</v>
      </c>
      <c r="BV2153">
        <v>0</v>
      </c>
      <c r="CC2153" t="str">
        <f>"19:10:43.883"</f>
        <v>19:10:43.883</v>
      </c>
      <c r="CD2153" t="str">
        <f>"885840469"</f>
        <v>885840469</v>
      </c>
      <c r="CQ2153">
        <v>0</v>
      </c>
      <c r="CR2153">
        <v>2</v>
      </c>
      <c r="CS2153">
        <v>0</v>
      </c>
      <c r="CT2153">
        <v>2</v>
      </c>
      <c r="CU2153">
        <v>0</v>
      </c>
      <c r="CV2153">
        <v>7</v>
      </c>
      <c r="CW2153" t="s">
        <v>120</v>
      </c>
      <c r="CX2153">
        <v>261</v>
      </c>
      <c r="CY2153">
        <v>2</v>
      </c>
      <c r="CZ2153" t="s">
        <v>121</v>
      </c>
      <c r="DA2153" t="s">
        <v>122</v>
      </c>
      <c r="DD2153">
        <v>15556441</v>
      </c>
      <c r="DE2153" t="s">
        <v>123</v>
      </c>
    </row>
    <row r="2154" spans="1:109" x14ac:dyDescent="0.3">
      <c r="A2154" t="str">
        <f>"19:10:44.953"</f>
        <v>19:10:44.953</v>
      </c>
      <c r="B2154" t="s">
        <v>110</v>
      </c>
      <c r="C2154" t="str">
        <f t="shared" si="99"/>
        <v>ffdfd3c0</v>
      </c>
      <c r="D2154" t="s">
        <v>111</v>
      </c>
      <c r="E2154">
        <v>18</v>
      </c>
      <c r="F2154">
        <v>1018</v>
      </c>
      <c r="G2154" t="s">
        <v>112</v>
      </c>
      <c r="J2154" t="s">
        <v>113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R2154" t="s">
        <v>114</v>
      </c>
      <c r="S2154" t="str">
        <f>"19:10:44.734"</f>
        <v>19:10:44.734</v>
      </c>
      <c r="T2154" t="str">
        <f>"19:10:44.531"</f>
        <v>19:10:44.531</v>
      </c>
      <c r="U2154" t="str">
        <f t="shared" si="100"/>
        <v>a1cdbe</v>
      </c>
      <c r="V2154">
        <v>0</v>
      </c>
      <c r="W2154">
        <v>0</v>
      </c>
      <c r="X2154">
        <v>1</v>
      </c>
      <c r="Y2154">
        <v>0</v>
      </c>
      <c r="Z2154">
        <v>0</v>
      </c>
      <c r="AB2154">
        <v>0</v>
      </c>
      <c r="AC2154">
        <v>9</v>
      </c>
      <c r="AD2154">
        <v>3</v>
      </c>
      <c r="AE2154">
        <v>0</v>
      </c>
      <c r="AF2154">
        <v>9</v>
      </c>
      <c r="AG2154" t="s">
        <v>158</v>
      </c>
      <c r="AH2154">
        <v>0</v>
      </c>
      <c r="AI2154">
        <v>3</v>
      </c>
      <c r="AJ2154">
        <v>1</v>
      </c>
      <c r="AK2154">
        <v>0</v>
      </c>
      <c r="AL2154" t="s">
        <v>4052</v>
      </c>
      <c r="AM2154">
        <v>46.878189999999996</v>
      </c>
      <c r="AN2154" t="s">
        <v>4053</v>
      </c>
      <c r="AO2154">
        <v>-123.111656</v>
      </c>
      <c r="AP2154">
        <v>100</v>
      </c>
      <c r="AQ2154">
        <v>2100</v>
      </c>
      <c r="AR2154" t="s">
        <v>118</v>
      </c>
      <c r="AS2154">
        <v>-76</v>
      </c>
      <c r="AT2154">
        <v>21</v>
      </c>
      <c r="AU2154">
        <v>-64</v>
      </c>
      <c r="BC2154">
        <v>1200</v>
      </c>
      <c r="BD2154">
        <v>1</v>
      </c>
      <c r="BE2154" t="str">
        <f t="shared" si="101"/>
        <v xml:space="preserve">N215T   </v>
      </c>
      <c r="BF2154">
        <v>1</v>
      </c>
      <c r="BH2154">
        <v>0</v>
      </c>
      <c r="BI2154">
        <v>0</v>
      </c>
      <c r="BJ2154">
        <v>0</v>
      </c>
      <c r="BK2154">
        <v>2450</v>
      </c>
      <c r="BL2154">
        <v>350</v>
      </c>
      <c r="BM2154" t="s">
        <v>119</v>
      </c>
      <c r="BN2154">
        <v>1</v>
      </c>
      <c r="BO2154">
        <v>1</v>
      </c>
      <c r="BP2154">
        <v>1</v>
      </c>
      <c r="BQ2154">
        <v>0</v>
      </c>
      <c r="BT2154">
        <v>0</v>
      </c>
      <c r="BU2154">
        <v>0</v>
      </c>
      <c r="BV2154">
        <v>0</v>
      </c>
      <c r="CC2154" t="str">
        <f>"19:10:44.742"</f>
        <v>19:10:44.742</v>
      </c>
      <c r="CD2154" t="str">
        <f>"740756254"</f>
        <v>740756254</v>
      </c>
      <c r="CQ2154">
        <v>0</v>
      </c>
      <c r="CR2154">
        <v>2</v>
      </c>
      <c r="CS2154">
        <v>0</v>
      </c>
      <c r="CT2154">
        <v>2</v>
      </c>
      <c r="CU2154">
        <v>0</v>
      </c>
      <c r="CV2154">
        <v>7</v>
      </c>
      <c r="CW2154" t="s">
        <v>120</v>
      </c>
      <c r="CX2154">
        <v>261</v>
      </c>
      <c r="CY2154">
        <v>2</v>
      </c>
      <c r="CZ2154" t="s">
        <v>121</v>
      </c>
      <c r="DA2154" t="s">
        <v>122</v>
      </c>
      <c r="DD2154">
        <v>15557054</v>
      </c>
      <c r="DE2154" t="s">
        <v>123</v>
      </c>
    </row>
    <row r="2155" spans="1:109" x14ac:dyDescent="0.3">
      <c r="A2155" t="str">
        <f>"19:10:46.055"</f>
        <v>19:10:46.055</v>
      </c>
      <c r="B2155" t="s">
        <v>110</v>
      </c>
      <c r="C2155" t="str">
        <f t="shared" si="99"/>
        <v>ffdfd3c0</v>
      </c>
      <c r="D2155" t="s">
        <v>111</v>
      </c>
      <c r="E2155">
        <v>18</v>
      </c>
      <c r="F2155">
        <v>1018</v>
      </c>
      <c r="G2155" t="s">
        <v>112</v>
      </c>
      <c r="J2155" t="s">
        <v>113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R2155" t="s">
        <v>114</v>
      </c>
      <c r="S2155" t="str">
        <f>"19:10:45.820"</f>
        <v>19:10:45.820</v>
      </c>
      <c r="T2155" t="str">
        <f>"19:10:45.422"</f>
        <v>19:10:45.422</v>
      </c>
      <c r="U2155" t="str">
        <f t="shared" si="100"/>
        <v>a1cdbe</v>
      </c>
      <c r="V2155">
        <v>0</v>
      </c>
      <c r="W2155">
        <v>0</v>
      </c>
      <c r="X2155">
        <v>1</v>
      </c>
      <c r="Y2155">
        <v>0</v>
      </c>
      <c r="Z2155">
        <v>0</v>
      </c>
      <c r="AB2155">
        <v>0</v>
      </c>
      <c r="AC2155">
        <v>9</v>
      </c>
      <c r="AD2155">
        <v>3</v>
      </c>
      <c r="AE2155">
        <v>0</v>
      </c>
      <c r="AF2155">
        <v>9</v>
      </c>
      <c r="AG2155" t="s">
        <v>158</v>
      </c>
      <c r="AH2155">
        <v>0</v>
      </c>
      <c r="AI2155">
        <v>3</v>
      </c>
      <c r="AJ2155">
        <v>1</v>
      </c>
      <c r="AK2155">
        <v>0</v>
      </c>
      <c r="AL2155" t="s">
        <v>4054</v>
      </c>
      <c r="AM2155">
        <v>46.878297000000003</v>
      </c>
      <c r="AN2155" t="s">
        <v>4055</v>
      </c>
      <c r="AO2155">
        <v>-123.112235</v>
      </c>
      <c r="AP2155">
        <v>100</v>
      </c>
      <c r="AQ2155">
        <v>2100</v>
      </c>
      <c r="AR2155" t="s">
        <v>118</v>
      </c>
      <c r="AS2155">
        <v>-77</v>
      </c>
      <c r="AT2155">
        <v>21</v>
      </c>
      <c r="AU2155">
        <v>-64</v>
      </c>
      <c r="BC2155">
        <v>1200</v>
      </c>
      <c r="BD2155">
        <v>1</v>
      </c>
      <c r="BE2155" t="str">
        <f t="shared" si="101"/>
        <v xml:space="preserve">N215T   </v>
      </c>
      <c r="BF2155">
        <v>1</v>
      </c>
      <c r="BH2155">
        <v>0</v>
      </c>
      <c r="BI2155">
        <v>0</v>
      </c>
      <c r="BJ2155">
        <v>0</v>
      </c>
      <c r="BK2155">
        <v>2450</v>
      </c>
      <c r="BL2155">
        <v>350</v>
      </c>
      <c r="BM2155" t="s">
        <v>119</v>
      </c>
      <c r="BN2155">
        <v>1</v>
      </c>
      <c r="BO2155">
        <v>1</v>
      </c>
      <c r="BP2155">
        <v>1</v>
      </c>
      <c r="BQ2155">
        <v>0</v>
      </c>
      <c r="BT2155">
        <v>0</v>
      </c>
      <c r="BU2155">
        <v>0</v>
      </c>
      <c r="BV2155">
        <v>0</v>
      </c>
      <c r="CC2155" t="str">
        <f>"19:10:45.820"</f>
        <v>19:10:45.820</v>
      </c>
      <c r="CD2155" t="str">
        <f>"820649898"</f>
        <v>820649898</v>
      </c>
      <c r="CQ2155">
        <v>0</v>
      </c>
      <c r="CR2155">
        <v>2</v>
      </c>
      <c r="CS2155">
        <v>0</v>
      </c>
      <c r="CT2155">
        <v>2</v>
      </c>
      <c r="CU2155">
        <v>0</v>
      </c>
      <c r="CV2155">
        <v>7</v>
      </c>
      <c r="CW2155" t="s">
        <v>120</v>
      </c>
      <c r="CX2155">
        <v>261</v>
      </c>
      <c r="CY2155">
        <v>2</v>
      </c>
      <c r="CZ2155" t="s">
        <v>121</v>
      </c>
      <c r="DA2155" t="s">
        <v>122</v>
      </c>
      <c r="DD2155">
        <v>15557769</v>
      </c>
      <c r="DE2155" t="s">
        <v>123</v>
      </c>
    </row>
    <row r="2156" spans="1:109" x14ac:dyDescent="0.3">
      <c r="A2156" t="str">
        <f>"19:10:47.063"</f>
        <v>19:10:47.063</v>
      </c>
      <c r="B2156" t="s">
        <v>110</v>
      </c>
      <c r="C2156" t="str">
        <f t="shared" si="99"/>
        <v>ffdfd3c0</v>
      </c>
      <c r="D2156" t="s">
        <v>111</v>
      </c>
      <c r="E2156">
        <v>18</v>
      </c>
      <c r="F2156">
        <v>1018</v>
      </c>
      <c r="G2156" t="s">
        <v>112</v>
      </c>
      <c r="J2156" t="s">
        <v>113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R2156" t="s">
        <v>114</v>
      </c>
      <c r="S2156" t="str">
        <f>"19:10:46.852"</f>
        <v>19:10:46.852</v>
      </c>
      <c r="T2156" t="str">
        <f>"19:10:46.852"</f>
        <v>19:10:46.852</v>
      </c>
      <c r="U2156" t="str">
        <f t="shared" si="100"/>
        <v>a1cdbe</v>
      </c>
      <c r="V2156">
        <v>0</v>
      </c>
      <c r="W2156">
        <v>0</v>
      </c>
      <c r="X2156">
        <v>1</v>
      </c>
      <c r="Y2156">
        <v>0</v>
      </c>
      <c r="Z2156">
        <v>0</v>
      </c>
      <c r="AB2156">
        <v>0</v>
      </c>
      <c r="AC2156">
        <v>9</v>
      </c>
      <c r="AD2156">
        <v>3</v>
      </c>
      <c r="AE2156">
        <v>0</v>
      </c>
      <c r="AF2156">
        <v>9</v>
      </c>
      <c r="AG2156" t="s">
        <v>158</v>
      </c>
      <c r="AH2156">
        <v>0</v>
      </c>
      <c r="AI2156">
        <v>3</v>
      </c>
      <c r="AJ2156">
        <v>1</v>
      </c>
      <c r="AK2156">
        <v>0</v>
      </c>
      <c r="AL2156" t="s">
        <v>4056</v>
      </c>
      <c r="AM2156">
        <v>46.878382999999999</v>
      </c>
      <c r="AN2156" t="s">
        <v>4057</v>
      </c>
      <c r="AO2156">
        <v>-123.112793</v>
      </c>
      <c r="AP2156">
        <v>100</v>
      </c>
      <c r="AQ2156">
        <v>2100</v>
      </c>
      <c r="AR2156" t="s">
        <v>118</v>
      </c>
      <c r="AS2156">
        <v>-77</v>
      </c>
      <c r="AT2156">
        <v>20</v>
      </c>
      <c r="AU2156">
        <v>-64</v>
      </c>
      <c r="BC2156">
        <v>1200</v>
      </c>
      <c r="BD2156">
        <v>1</v>
      </c>
      <c r="BE2156" t="str">
        <f t="shared" si="101"/>
        <v xml:space="preserve">N215T   </v>
      </c>
      <c r="BF2156">
        <v>1</v>
      </c>
      <c r="BH2156">
        <v>0</v>
      </c>
      <c r="BI2156">
        <v>0</v>
      </c>
      <c r="BJ2156">
        <v>0</v>
      </c>
      <c r="BK2156">
        <v>2450</v>
      </c>
      <c r="BL2156">
        <v>350</v>
      </c>
      <c r="BM2156" t="s">
        <v>119</v>
      </c>
      <c r="BN2156">
        <v>1</v>
      </c>
      <c r="BO2156">
        <v>1</v>
      </c>
      <c r="BP2156">
        <v>1</v>
      </c>
      <c r="BQ2156">
        <v>0</v>
      </c>
      <c r="BT2156">
        <v>0</v>
      </c>
      <c r="BU2156">
        <v>0</v>
      </c>
      <c r="BV2156">
        <v>0</v>
      </c>
      <c r="CC2156" t="str">
        <f>"19:10:46.859"</f>
        <v>19:10:46.859</v>
      </c>
      <c r="CD2156" t="str">
        <f>"855547975"</f>
        <v>855547975</v>
      </c>
      <c r="CQ2156">
        <v>0</v>
      </c>
      <c r="CR2156">
        <v>2</v>
      </c>
      <c r="CS2156">
        <v>0</v>
      </c>
      <c r="CT2156">
        <v>2</v>
      </c>
      <c r="CU2156">
        <v>0</v>
      </c>
      <c r="CV2156">
        <v>7</v>
      </c>
      <c r="CW2156" t="s">
        <v>120</v>
      </c>
      <c r="CX2156">
        <v>261</v>
      </c>
      <c r="CY2156">
        <v>2</v>
      </c>
      <c r="CZ2156" t="s">
        <v>121</v>
      </c>
      <c r="DA2156" t="s">
        <v>122</v>
      </c>
      <c r="DD2156">
        <v>15558442</v>
      </c>
      <c r="DE2156" t="s">
        <v>123</v>
      </c>
    </row>
    <row r="2157" spans="1:109" x14ac:dyDescent="0.3">
      <c r="A2157" t="str">
        <f>"19:10:48.117"</f>
        <v>19:10:48.117</v>
      </c>
      <c r="B2157" t="s">
        <v>110</v>
      </c>
      <c r="C2157" t="str">
        <f t="shared" si="99"/>
        <v>ffdfd3c0</v>
      </c>
      <c r="D2157" t="s">
        <v>111</v>
      </c>
      <c r="E2157">
        <v>18</v>
      </c>
      <c r="F2157">
        <v>1018</v>
      </c>
      <c r="G2157" t="s">
        <v>112</v>
      </c>
      <c r="J2157" t="s">
        <v>113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R2157" t="s">
        <v>114</v>
      </c>
      <c r="S2157" t="str">
        <f>"19:10:47.898"</f>
        <v>19:10:47.898</v>
      </c>
      <c r="T2157" t="str">
        <f>"19:10:47.797"</f>
        <v>19:10:47.797</v>
      </c>
      <c r="U2157" t="str">
        <f t="shared" si="100"/>
        <v>a1cdbe</v>
      </c>
      <c r="V2157">
        <v>0</v>
      </c>
      <c r="W2157">
        <v>0</v>
      </c>
      <c r="X2157">
        <v>1</v>
      </c>
      <c r="Y2157">
        <v>0</v>
      </c>
      <c r="Z2157">
        <v>0</v>
      </c>
      <c r="AB2157">
        <v>0</v>
      </c>
      <c r="AC2157">
        <v>9</v>
      </c>
      <c r="AD2157">
        <v>3</v>
      </c>
      <c r="AE2157">
        <v>0</v>
      </c>
      <c r="AF2157">
        <v>9</v>
      </c>
      <c r="AG2157" t="s">
        <v>158</v>
      </c>
      <c r="AH2157">
        <v>0</v>
      </c>
      <c r="AI2157">
        <v>3</v>
      </c>
      <c r="AJ2157">
        <v>1</v>
      </c>
      <c r="AK2157">
        <v>0</v>
      </c>
      <c r="AL2157" t="s">
        <v>1554</v>
      </c>
      <c r="AM2157">
        <v>46.878469000000003</v>
      </c>
      <c r="AN2157" t="s">
        <v>4058</v>
      </c>
      <c r="AO2157">
        <v>-123.113286</v>
      </c>
      <c r="AP2157">
        <v>100</v>
      </c>
      <c r="AQ2157">
        <v>2100</v>
      </c>
      <c r="AR2157" t="s">
        <v>118</v>
      </c>
      <c r="AS2157">
        <v>-77</v>
      </c>
      <c r="AT2157">
        <v>20</v>
      </c>
      <c r="AU2157">
        <v>0</v>
      </c>
      <c r="BC2157">
        <v>1200</v>
      </c>
      <c r="BD2157">
        <v>1</v>
      </c>
      <c r="BE2157" t="str">
        <f t="shared" si="101"/>
        <v xml:space="preserve">N215T   </v>
      </c>
      <c r="BF2157">
        <v>1</v>
      </c>
      <c r="BH2157">
        <v>0</v>
      </c>
      <c r="BI2157">
        <v>0</v>
      </c>
      <c r="BJ2157">
        <v>0</v>
      </c>
      <c r="BK2157">
        <v>2450</v>
      </c>
      <c r="BL2157">
        <v>350</v>
      </c>
      <c r="BM2157" t="s">
        <v>119</v>
      </c>
      <c r="BN2157">
        <v>1</v>
      </c>
      <c r="BO2157">
        <v>1</v>
      </c>
      <c r="BP2157">
        <v>1</v>
      </c>
      <c r="BQ2157">
        <v>0</v>
      </c>
      <c r="BT2157">
        <v>0</v>
      </c>
      <c r="BU2157">
        <v>0</v>
      </c>
      <c r="BV2157">
        <v>0</v>
      </c>
      <c r="CC2157" t="str">
        <f>"19:10:47.906"</f>
        <v>19:10:47.906</v>
      </c>
      <c r="CD2157" t="str">
        <f>"905444563"</f>
        <v>905444563</v>
      </c>
      <c r="CQ2157">
        <v>0</v>
      </c>
      <c r="CR2157">
        <v>2</v>
      </c>
      <c r="CS2157">
        <v>0</v>
      </c>
      <c r="CT2157">
        <v>2</v>
      </c>
      <c r="CU2157">
        <v>0</v>
      </c>
      <c r="CV2157">
        <v>7</v>
      </c>
      <c r="CW2157" t="s">
        <v>120</v>
      </c>
      <c r="CX2157">
        <v>261</v>
      </c>
      <c r="CY2157">
        <v>2</v>
      </c>
      <c r="CZ2157" t="s">
        <v>121</v>
      </c>
      <c r="DA2157" t="s">
        <v>122</v>
      </c>
      <c r="DD2157">
        <v>15559178</v>
      </c>
      <c r="DE2157" t="s">
        <v>123</v>
      </c>
    </row>
    <row r="2158" spans="1:109" x14ac:dyDescent="0.3">
      <c r="A2158" t="str">
        <f>"19:10:49.078"</f>
        <v>19:10:49.078</v>
      </c>
      <c r="B2158" t="s">
        <v>110</v>
      </c>
      <c r="C2158" t="str">
        <f t="shared" si="99"/>
        <v>ffdfd3c0</v>
      </c>
      <c r="D2158" t="s">
        <v>111</v>
      </c>
      <c r="E2158">
        <v>18</v>
      </c>
      <c r="F2158">
        <v>1018</v>
      </c>
      <c r="G2158" t="s">
        <v>112</v>
      </c>
      <c r="J2158" t="s">
        <v>113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R2158" t="s">
        <v>114</v>
      </c>
      <c r="S2158" t="str">
        <f>"19:10:48.828"</f>
        <v>19:10:48.828</v>
      </c>
      <c r="T2158" t="str">
        <f>"19:10:48.828"</f>
        <v>19:10:48.828</v>
      </c>
      <c r="U2158" t="str">
        <f t="shared" si="100"/>
        <v>a1cdbe</v>
      </c>
      <c r="V2158">
        <v>0</v>
      </c>
      <c r="W2158">
        <v>0</v>
      </c>
      <c r="X2158">
        <v>1</v>
      </c>
      <c r="Y2158">
        <v>0</v>
      </c>
      <c r="Z2158">
        <v>0</v>
      </c>
      <c r="AB2158">
        <v>0</v>
      </c>
      <c r="AC2158">
        <v>9</v>
      </c>
      <c r="AD2158">
        <v>3</v>
      </c>
      <c r="AE2158">
        <v>0</v>
      </c>
      <c r="AF2158">
        <v>9</v>
      </c>
      <c r="AG2158" t="s">
        <v>158</v>
      </c>
      <c r="AH2158">
        <v>0</v>
      </c>
      <c r="AI2158">
        <v>3</v>
      </c>
      <c r="AJ2158">
        <v>1</v>
      </c>
      <c r="AK2158">
        <v>0</v>
      </c>
      <c r="AL2158" t="s">
        <v>4059</v>
      </c>
      <c r="AM2158">
        <v>46.878576000000002</v>
      </c>
      <c r="AN2158" t="s">
        <v>4060</v>
      </c>
      <c r="AO2158">
        <v>-123.113823</v>
      </c>
      <c r="AP2158">
        <v>100</v>
      </c>
      <c r="AQ2158">
        <v>2100</v>
      </c>
      <c r="AR2158" t="s">
        <v>118</v>
      </c>
      <c r="AS2158">
        <v>-77</v>
      </c>
      <c r="AT2158">
        <v>20</v>
      </c>
      <c r="AU2158">
        <v>0</v>
      </c>
      <c r="BC2158">
        <v>1200</v>
      </c>
      <c r="BD2158">
        <v>1</v>
      </c>
      <c r="BE2158" t="str">
        <f t="shared" si="101"/>
        <v xml:space="preserve">N215T   </v>
      </c>
      <c r="BF2158">
        <v>1</v>
      </c>
      <c r="BH2158">
        <v>0</v>
      </c>
      <c r="BI2158">
        <v>0</v>
      </c>
      <c r="BJ2158">
        <v>0</v>
      </c>
      <c r="BK2158">
        <v>2450</v>
      </c>
      <c r="BL2158">
        <v>350</v>
      </c>
      <c r="BM2158" t="s">
        <v>119</v>
      </c>
      <c r="BN2158">
        <v>1</v>
      </c>
      <c r="BO2158">
        <v>1</v>
      </c>
      <c r="BP2158">
        <v>1</v>
      </c>
      <c r="BQ2158">
        <v>0</v>
      </c>
      <c r="BT2158">
        <v>0</v>
      </c>
      <c r="BU2158">
        <v>0</v>
      </c>
      <c r="BV2158">
        <v>0</v>
      </c>
      <c r="CC2158" t="str">
        <f>"19:10:48.836"</f>
        <v>19:10:48.836</v>
      </c>
      <c r="CD2158" t="str">
        <f>"835352986"</f>
        <v>835352986</v>
      </c>
      <c r="CQ2158">
        <v>0</v>
      </c>
      <c r="CR2158">
        <v>2</v>
      </c>
      <c r="CS2158">
        <v>0</v>
      </c>
      <c r="CT2158">
        <v>2</v>
      </c>
      <c r="CU2158">
        <v>0</v>
      </c>
      <c r="CV2158">
        <v>7</v>
      </c>
      <c r="CW2158" t="s">
        <v>120</v>
      </c>
      <c r="CX2158">
        <v>261</v>
      </c>
      <c r="CY2158">
        <v>2</v>
      </c>
      <c r="CZ2158" t="s">
        <v>121</v>
      </c>
      <c r="DA2158" t="s">
        <v>122</v>
      </c>
      <c r="DD2158">
        <v>15559822</v>
      </c>
      <c r="DE2158" t="s">
        <v>123</v>
      </c>
    </row>
    <row r="2159" spans="1:109" x14ac:dyDescent="0.3">
      <c r="A2159" t="str">
        <f>"19:10:50.180"</f>
        <v>19:10:50.180</v>
      </c>
      <c r="B2159" t="s">
        <v>110</v>
      </c>
      <c r="C2159" t="str">
        <f t="shared" si="99"/>
        <v>ffdfd3c0</v>
      </c>
      <c r="D2159" t="s">
        <v>111</v>
      </c>
      <c r="E2159">
        <v>18</v>
      </c>
      <c r="F2159">
        <v>1018</v>
      </c>
      <c r="G2159" t="s">
        <v>112</v>
      </c>
      <c r="J2159" t="s">
        <v>113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R2159" t="s">
        <v>114</v>
      </c>
      <c r="S2159" t="str">
        <f>"19:10:49.914"</f>
        <v>19:10:49.914</v>
      </c>
      <c r="T2159" t="str">
        <f>"19:10:49.813"</f>
        <v>19:10:49.813</v>
      </c>
      <c r="U2159" t="str">
        <f t="shared" si="100"/>
        <v>a1cdbe</v>
      </c>
      <c r="V2159">
        <v>0</v>
      </c>
      <c r="W2159">
        <v>0</v>
      </c>
      <c r="X2159">
        <v>1</v>
      </c>
      <c r="Y2159">
        <v>0</v>
      </c>
      <c r="Z2159">
        <v>0</v>
      </c>
      <c r="AB2159">
        <v>0</v>
      </c>
      <c r="AC2159">
        <v>9</v>
      </c>
      <c r="AD2159">
        <v>3</v>
      </c>
      <c r="AE2159">
        <v>0</v>
      </c>
      <c r="AF2159">
        <v>9</v>
      </c>
      <c r="AG2159" t="s">
        <v>158</v>
      </c>
      <c r="AH2159">
        <v>0</v>
      </c>
      <c r="AI2159">
        <v>3</v>
      </c>
      <c r="AJ2159">
        <v>1</v>
      </c>
      <c r="AK2159">
        <v>0</v>
      </c>
      <c r="AL2159" t="s">
        <v>4061</v>
      </c>
      <c r="AM2159">
        <v>46.878661999999998</v>
      </c>
      <c r="AN2159" t="s">
        <v>4062</v>
      </c>
      <c r="AO2159">
        <v>-123.114338</v>
      </c>
      <c r="AP2159">
        <v>100</v>
      </c>
      <c r="AQ2159">
        <v>2100</v>
      </c>
      <c r="AR2159" t="s">
        <v>118</v>
      </c>
      <c r="AS2159">
        <v>-77</v>
      </c>
      <c r="AT2159">
        <v>20</v>
      </c>
      <c r="AU2159">
        <v>0</v>
      </c>
      <c r="BC2159">
        <v>1200</v>
      </c>
      <c r="BD2159">
        <v>1</v>
      </c>
      <c r="BE2159" t="str">
        <f t="shared" si="101"/>
        <v xml:space="preserve">N215T   </v>
      </c>
      <c r="BF2159">
        <v>1</v>
      </c>
      <c r="BH2159">
        <v>0</v>
      </c>
      <c r="BI2159">
        <v>0</v>
      </c>
      <c r="BJ2159">
        <v>0</v>
      </c>
      <c r="BK2159">
        <v>2450</v>
      </c>
      <c r="BL2159">
        <v>350</v>
      </c>
      <c r="BM2159" t="s">
        <v>119</v>
      </c>
      <c r="BN2159">
        <v>1</v>
      </c>
      <c r="BO2159">
        <v>1</v>
      </c>
      <c r="BP2159">
        <v>1</v>
      </c>
      <c r="BQ2159">
        <v>0</v>
      </c>
      <c r="BT2159">
        <v>0</v>
      </c>
      <c r="BU2159">
        <v>0</v>
      </c>
      <c r="BV2159">
        <v>0</v>
      </c>
      <c r="CC2159" t="str">
        <f>"19:10:49.914"</f>
        <v>19:10:49.914</v>
      </c>
      <c r="CD2159" t="str">
        <f>"915246616"</f>
        <v>915246616</v>
      </c>
      <c r="CQ2159">
        <v>0</v>
      </c>
      <c r="CR2159">
        <v>2</v>
      </c>
      <c r="CS2159">
        <v>0</v>
      </c>
      <c r="CT2159">
        <v>2</v>
      </c>
      <c r="CU2159">
        <v>0</v>
      </c>
      <c r="CV2159">
        <v>7</v>
      </c>
      <c r="CW2159" t="s">
        <v>120</v>
      </c>
      <c r="CX2159">
        <v>261</v>
      </c>
      <c r="CY2159">
        <v>2</v>
      </c>
      <c r="CZ2159" t="s">
        <v>121</v>
      </c>
      <c r="DA2159" t="s">
        <v>122</v>
      </c>
      <c r="DD2159">
        <v>15560511</v>
      </c>
      <c r="DE2159" t="s">
        <v>123</v>
      </c>
    </row>
    <row r="2160" spans="1:109" x14ac:dyDescent="0.3">
      <c r="A2160" t="str">
        <f>"19:10:51.133"</f>
        <v>19:10:51.133</v>
      </c>
      <c r="B2160" t="s">
        <v>110</v>
      </c>
      <c r="C2160" t="str">
        <f t="shared" si="99"/>
        <v>ffdfd3c0</v>
      </c>
      <c r="D2160" t="s">
        <v>111</v>
      </c>
      <c r="E2160">
        <v>18</v>
      </c>
      <c r="F2160">
        <v>1018</v>
      </c>
      <c r="G2160" t="s">
        <v>112</v>
      </c>
      <c r="J2160" t="s">
        <v>113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R2160" t="s">
        <v>114</v>
      </c>
      <c r="S2160" t="str">
        <f>"19:10:50.914"</f>
        <v>19:10:50.914</v>
      </c>
      <c r="T2160" t="str">
        <f>"19:10:50.414"</f>
        <v>19:10:50.414</v>
      </c>
      <c r="U2160" t="str">
        <f t="shared" si="100"/>
        <v>a1cdbe</v>
      </c>
      <c r="V2160">
        <v>0</v>
      </c>
      <c r="W2160">
        <v>0</v>
      </c>
      <c r="X2160">
        <v>1</v>
      </c>
      <c r="Y2160">
        <v>0</v>
      </c>
      <c r="Z2160">
        <v>0</v>
      </c>
      <c r="AB2160">
        <v>0</v>
      </c>
      <c r="AC2160">
        <v>9</v>
      </c>
      <c r="AD2160">
        <v>3</v>
      </c>
      <c r="AE2160">
        <v>0</v>
      </c>
      <c r="AF2160">
        <v>9</v>
      </c>
      <c r="AG2160" t="s">
        <v>158</v>
      </c>
      <c r="AH2160">
        <v>0</v>
      </c>
      <c r="AI2160">
        <v>3</v>
      </c>
      <c r="AJ2160">
        <v>1</v>
      </c>
      <c r="AK2160">
        <v>0</v>
      </c>
      <c r="AL2160" t="s">
        <v>4063</v>
      </c>
      <c r="AM2160">
        <v>46.878748000000002</v>
      </c>
      <c r="AN2160" t="s">
        <v>4064</v>
      </c>
      <c r="AO2160">
        <v>-123.11491700000001</v>
      </c>
      <c r="AP2160">
        <v>100</v>
      </c>
      <c r="AQ2160">
        <v>2100</v>
      </c>
      <c r="AR2160" t="s">
        <v>118</v>
      </c>
      <c r="AS2160">
        <v>-77</v>
      </c>
      <c r="AT2160">
        <v>19</v>
      </c>
      <c r="AU2160">
        <v>0</v>
      </c>
      <c r="BC2160">
        <v>1200</v>
      </c>
      <c r="BD2160">
        <v>1</v>
      </c>
      <c r="BE2160" t="str">
        <f t="shared" si="101"/>
        <v xml:space="preserve">N215T   </v>
      </c>
      <c r="BF2160">
        <v>1</v>
      </c>
      <c r="BH2160">
        <v>0</v>
      </c>
      <c r="BI2160">
        <v>0</v>
      </c>
      <c r="BJ2160">
        <v>0</v>
      </c>
      <c r="BK2160">
        <v>2450</v>
      </c>
      <c r="BL2160">
        <v>350</v>
      </c>
      <c r="BM2160" t="s">
        <v>119</v>
      </c>
      <c r="BN2160">
        <v>1</v>
      </c>
      <c r="BO2160">
        <v>1</v>
      </c>
      <c r="BP2160">
        <v>1</v>
      </c>
      <c r="BQ2160">
        <v>0</v>
      </c>
      <c r="BT2160">
        <v>0</v>
      </c>
      <c r="BU2160">
        <v>0</v>
      </c>
      <c r="BV2160">
        <v>0</v>
      </c>
      <c r="CC2160" t="str">
        <f>"19:10:50.922"</f>
        <v>19:10:50.922</v>
      </c>
      <c r="CD2160" t="str">
        <f>"920147652"</f>
        <v>920147652</v>
      </c>
      <c r="CQ2160">
        <v>0</v>
      </c>
      <c r="CR2160">
        <v>2</v>
      </c>
      <c r="CS2160">
        <v>0</v>
      </c>
      <c r="CT2160">
        <v>2</v>
      </c>
      <c r="CU2160">
        <v>0</v>
      </c>
      <c r="CV2160">
        <v>7</v>
      </c>
      <c r="CW2160" t="s">
        <v>120</v>
      </c>
      <c r="CX2160">
        <v>261</v>
      </c>
      <c r="CY2160">
        <v>2</v>
      </c>
      <c r="CZ2160" t="s">
        <v>121</v>
      </c>
      <c r="DA2160" t="s">
        <v>122</v>
      </c>
      <c r="DD2160">
        <v>15561201</v>
      </c>
      <c r="DE2160" t="s">
        <v>123</v>
      </c>
    </row>
    <row r="2161" spans="1:109" x14ac:dyDescent="0.3">
      <c r="A2161" t="str">
        <f>"19:10:52.195"</f>
        <v>19:10:52.195</v>
      </c>
      <c r="B2161" t="s">
        <v>110</v>
      </c>
      <c r="C2161" t="str">
        <f t="shared" si="99"/>
        <v>ffdfd3c0</v>
      </c>
      <c r="D2161" t="s">
        <v>111</v>
      </c>
      <c r="E2161">
        <v>18</v>
      </c>
      <c r="F2161">
        <v>1018</v>
      </c>
      <c r="G2161" t="s">
        <v>112</v>
      </c>
      <c r="J2161" t="s">
        <v>113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R2161" t="s">
        <v>114</v>
      </c>
      <c r="S2161" t="str">
        <f>"19:10:51.953"</f>
        <v>19:10:51.953</v>
      </c>
      <c r="T2161" t="str">
        <f>"19:10:51.852"</f>
        <v>19:10:51.852</v>
      </c>
      <c r="U2161" t="str">
        <f t="shared" si="100"/>
        <v>a1cdbe</v>
      </c>
      <c r="V2161">
        <v>0</v>
      </c>
      <c r="W2161">
        <v>0</v>
      </c>
      <c r="X2161">
        <v>1</v>
      </c>
      <c r="Y2161">
        <v>0</v>
      </c>
      <c r="Z2161">
        <v>0</v>
      </c>
      <c r="AB2161">
        <v>0</v>
      </c>
      <c r="AC2161">
        <v>9</v>
      </c>
      <c r="AD2161">
        <v>3</v>
      </c>
      <c r="AE2161">
        <v>0</v>
      </c>
      <c r="AF2161">
        <v>9</v>
      </c>
      <c r="AG2161" t="s">
        <v>158</v>
      </c>
      <c r="AH2161">
        <v>0</v>
      </c>
      <c r="AI2161">
        <v>3</v>
      </c>
      <c r="AJ2161">
        <v>1</v>
      </c>
      <c r="AK2161">
        <v>0</v>
      </c>
      <c r="AL2161" t="s">
        <v>4065</v>
      </c>
      <c r="AM2161">
        <v>46.878855000000001</v>
      </c>
      <c r="AN2161" t="s">
        <v>4066</v>
      </c>
      <c r="AO2161">
        <v>-123.115475</v>
      </c>
      <c r="AP2161">
        <v>100</v>
      </c>
      <c r="AQ2161">
        <v>2100</v>
      </c>
      <c r="AR2161" t="s">
        <v>118</v>
      </c>
      <c r="AS2161">
        <v>-77</v>
      </c>
      <c r="AT2161">
        <v>19</v>
      </c>
      <c r="AU2161">
        <v>64</v>
      </c>
      <c r="BC2161">
        <v>1200</v>
      </c>
      <c r="BD2161">
        <v>1</v>
      </c>
      <c r="BE2161" t="str">
        <f t="shared" si="101"/>
        <v xml:space="preserve">N215T   </v>
      </c>
      <c r="BF2161">
        <v>1</v>
      </c>
      <c r="BH2161">
        <v>0</v>
      </c>
      <c r="BI2161">
        <v>0</v>
      </c>
      <c r="BJ2161">
        <v>0</v>
      </c>
      <c r="BK2161">
        <v>2450</v>
      </c>
      <c r="BL2161">
        <v>350</v>
      </c>
      <c r="BM2161" t="s">
        <v>119</v>
      </c>
      <c r="BN2161">
        <v>1</v>
      </c>
      <c r="BO2161">
        <v>1</v>
      </c>
      <c r="BP2161">
        <v>1</v>
      </c>
      <c r="BQ2161">
        <v>0</v>
      </c>
      <c r="BT2161">
        <v>0</v>
      </c>
      <c r="BU2161">
        <v>0</v>
      </c>
      <c r="BV2161">
        <v>0</v>
      </c>
      <c r="CC2161" t="str">
        <f>"19:10:51.953"</f>
        <v>19:10:51.953</v>
      </c>
      <c r="CD2161" t="str">
        <f>"955045722"</f>
        <v>955045722</v>
      </c>
      <c r="CQ2161">
        <v>0</v>
      </c>
      <c r="CR2161">
        <v>2</v>
      </c>
      <c r="CS2161">
        <v>0</v>
      </c>
      <c r="CT2161">
        <v>2</v>
      </c>
      <c r="CU2161">
        <v>0</v>
      </c>
      <c r="CV2161">
        <v>7</v>
      </c>
      <c r="CW2161" t="s">
        <v>120</v>
      </c>
      <c r="CX2161">
        <v>261</v>
      </c>
      <c r="CY2161">
        <v>2</v>
      </c>
      <c r="CZ2161" t="s">
        <v>121</v>
      </c>
      <c r="DA2161" t="s">
        <v>122</v>
      </c>
      <c r="DD2161">
        <v>15561921</v>
      </c>
      <c r="DE2161" t="s">
        <v>123</v>
      </c>
    </row>
    <row r="2162" spans="1:109" x14ac:dyDescent="0.3">
      <c r="A2162" t="str">
        <f>"19:10:53.148"</f>
        <v>19:10:53.148</v>
      </c>
      <c r="B2162" t="s">
        <v>110</v>
      </c>
      <c r="C2162" t="str">
        <f t="shared" si="99"/>
        <v>ffdfd3c0</v>
      </c>
      <c r="D2162" t="s">
        <v>111</v>
      </c>
      <c r="E2162">
        <v>18</v>
      </c>
      <c r="F2162">
        <v>1018</v>
      </c>
      <c r="G2162" t="s">
        <v>112</v>
      </c>
      <c r="J2162" t="s">
        <v>113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R2162" t="s">
        <v>114</v>
      </c>
      <c r="S2162" t="str">
        <f>"19:10:52.898"</f>
        <v>19:10:52.898</v>
      </c>
      <c r="T2162" t="str">
        <f>"19:10:52.695"</f>
        <v>19:10:52.695</v>
      </c>
      <c r="U2162" t="str">
        <f t="shared" si="100"/>
        <v>a1cdbe</v>
      </c>
      <c r="V2162">
        <v>0</v>
      </c>
      <c r="W2162">
        <v>0</v>
      </c>
      <c r="X2162">
        <v>1</v>
      </c>
      <c r="Y2162">
        <v>0</v>
      </c>
      <c r="Z2162">
        <v>0</v>
      </c>
      <c r="AB2162">
        <v>0</v>
      </c>
      <c r="AC2162">
        <v>9</v>
      </c>
      <c r="AD2162">
        <v>3</v>
      </c>
      <c r="AE2162">
        <v>0</v>
      </c>
      <c r="AF2162">
        <v>9</v>
      </c>
      <c r="AG2162" t="s">
        <v>158</v>
      </c>
      <c r="AH2162">
        <v>0</v>
      </c>
      <c r="AI2162">
        <v>3</v>
      </c>
      <c r="AJ2162">
        <v>1</v>
      </c>
      <c r="AK2162">
        <v>0</v>
      </c>
      <c r="AL2162" t="s">
        <v>1550</v>
      </c>
      <c r="AM2162">
        <v>46.878940999999998</v>
      </c>
      <c r="AN2162" t="s">
        <v>4067</v>
      </c>
      <c r="AO2162">
        <v>-123.11594700000001</v>
      </c>
      <c r="AP2162">
        <v>100</v>
      </c>
      <c r="AQ2162">
        <v>2100</v>
      </c>
      <c r="AR2162" t="s">
        <v>118</v>
      </c>
      <c r="AS2162">
        <v>-77</v>
      </c>
      <c r="AT2162">
        <v>19</v>
      </c>
      <c r="AU2162">
        <v>64</v>
      </c>
      <c r="BC2162">
        <v>1200</v>
      </c>
      <c r="BD2162">
        <v>1</v>
      </c>
      <c r="BE2162" t="str">
        <f t="shared" si="101"/>
        <v xml:space="preserve">N215T   </v>
      </c>
      <c r="BF2162">
        <v>1</v>
      </c>
      <c r="BH2162">
        <v>0</v>
      </c>
      <c r="BI2162">
        <v>0</v>
      </c>
      <c r="BJ2162">
        <v>0</v>
      </c>
      <c r="BK2162">
        <v>2450</v>
      </c>
      <c r="BL2162">
        <v>350</v>
      </c>
      <c r="BM2162" t="s">
        <v>119</v>
      </c>
      <c r="BN2162">
        <v>1</v>
      </c>
      <c r="BO2162">
        <v>1</v>
      </c>
      <c r="BP2162">
        <v>1</v>
      </c>
      <c r="BQ2162">
        <v>0</v>
      </c>
      <c r="BT2162">
        <v>0</v>
      </c>
      <c r="BU2162">
        <v>0</v>
      </c>
      <c r="BV2162">
        <v>0</v>
      </c>
      <c r="CC2162" t="str">
        <f>"19:10:52.898"</f>
        <v>19:10:52.898</v>
      </c>
      <c r="CD2162" t="str">
        <f>"899952659"</f>
        <v>899952659</v>
      </c>
      <c r="CQ2162">
        <v>0</v>
      </c>
      <c r="CR2162">
        <v>2</v>
      </c>
      <c r="CS2162">
        <v>0</v>
      </c>
      <c r="CT2162">
        <v>2</v>
      </c>
      <c r="CU2162">
        <v>0</v>
      </c>
      <c r="CV2162">
        <v>7</v>
      </c>
      <c r="CW2162" t="s">
        <v>120</v>
      </c>
      <c r="CX2162">
        <v>261</v>
      </c>
      <c r="CY2162">
        <v>2</v>
      </c>
      <c r="CZ2162" t="s">
        <v>121</v>
      </c>
      <c r="DA2162" t="s">
        <v>122</v>
      </c>
      <c r="DD2162">
        <v>15562597</v>
      </c>
      <c r="DE2162" t="s">
        <v>123</v>
      </c>
    </row>
    <row r="2163" spans="1:109" x14ac:dyDescent="0.3">
      <c r="A2163" t="str">
        <f>"19:10:54.156"</f>
        <v>19:10:54.156</v>
      </c>
      <c r="B2163" t="s">
        <v>110</v>
      </c>
      <c r="C2163" t="str">
        <f t="shared" si="99"/>
        <v>ffdfd3c0</v>
      </c>
      <c r="D2163" t="s">
        <v>111</v>
      </c>
      <c r="E2163">
        <v>18</v>
      </c>
      <c r="F2163">
        <v>1018</v>
      </c>
      <c r="G2163" t="s">
        <v>112</v>
      </c>
      <c r="J2163" t="s">
        <v>113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R2163" t="s">
        <v>114</v>
      </c>
      <c r="S2163" t="str">
        <f>"19:10:53.930"</f>
        <v>19:10:53.930</v>
      </c>
      <c r="T2163" t="str">
        <f>"19:10:53.828"</f>
        <v>19:10:53.828</v>
      </c>
      <c r="U2163" t="str">
        <f t="shared" si="100"/>
        <v>a1cdbe</v>
      </c>
      <c r="V2163">
        <v>0</v>
      </c>
      <c r="W2163">
        <v>0</v>
      </c>
      <c r="X2163">
        <v>1</v>
      </c>
      <c r="Y2163">
        <v>0</v>
      </c>
      <c r="Z2163">
        <v>0</v>
      </c>
      <c r="AB2163">
        <v>0</v>
      </c>
      <c r="AC2163">
        <v>9</v>
      </c>
      <c r="AD2163">
        <v>3</v>
      </c>
      <c r="AE2163">
        <v>0</v>
      </c>
      <c r="AF2163">
        <v>9</v>
      </c>
      <c r="AG2163" t="s">
        <v>158</v>
      </c>
      <c r="AH2163">
        <v>0</v>
      </c>
      <c r="AI2163">
        <v>3</v>
      </c>
      <c r="AJ2163">
        <v>1</v>
      </c>
      <c r="AK2163">
        <v>0</v>
      </c>
      <c r="AL2163" t="s">
        <v>4068</v>
      </c>
      <c r="AM2163">
        <v>46.879027000000001</v>
      </c>
      <c r="AN2163" t="s">
        <v>4069</v>
      </c>
      <c r="AO2163">
        <v>-123.116462</v>
      </c>
      <c r="AP2163">
        <v>100</v>
      </c>
      <c r="AQ2163">
        <v>2100</v>
      </c>
      <c r="AR2163" t="s">
        <v>118</v>
      </c>
      <c r="AS2163">
        <v>-77</v>
      </c>
      <c r="AT2163">
        <v>19</v>
      </c>
      <c r="AU2163">
        <v>64</v>
      </c>
      <c r="BC2163">
        <v>1200</v>
      </c>
      <c r="BD2163">
        <v>1</v>
      </c>
      <c r="BE2163" t="str">
        <f t="shared" si="101"/>
        <v xml:space="preserve">N215T   </v>
      </c>
      <c r="BF2163">
        <v>1</v>
      </c>
      <c r="BH2163">
        <v>0</v>
      </c>
      <c r="BI2163">
        <v>0</v>
      </c>
      <c r="BJ2163">
        <v>0</v>
      </c>
      <c r="BK2163">
        <v>2450</v>
      </c>
      <c r="BL2163">
        <v>350</v>
      </c>
      <c r="BM2163" t="s">
        <v>119</v>
      </c>
      <c r="BN2163">
        <v>1</v>
      </c>
      <c r="BO2163">
        <v>1</v>
      </c>
      <c r="BP2163">
        <v>1</v>
      </c>
      <c r="BQ2163">
        <v>0</v>
      </c>
      <c r="BT2163">
        <v>0</v>
      </c>
      <c r="BU2163">
        <v>0</v>
      </c>
      <c r="BV2163">
        <v>0</v>
      </c>
      <c r="CC2163" t="str">
        <f>"19:10:53.938"</f>
        <v>19:10:53.938</v>
      </c>
      <c r="CD2163" t="str">
        <f>"934850734"</f>
        <v>934850734</v>
      </c>
      <c r="CQ2163">
        <v>0</v>
      </c>
      <c r="CR2163">
        <v>2</v>
      </c>
      <c r="CS2163">
        <v>0</v>
      </c>
      <c r="CT2163">
        <v>2</v>
      </c>
      <c r="CU2163">
        <v>0</v>
      </c>
      <c r="CV2163">
        <v>7</v>
      </c>
      <c r="CW2163" t="s">
        <v>120</v>
      </c>
      <c r="CX2163">
        <v>261</v>
      </c>
      <c r="CY2163">
        <v>2</v>
      </c>
      <c r="CZ2163" t="s">
        <v>121</v>
      </c>
      <c r="DA2163" t="s">
        <v>122</v>
      </c>
      <c r="DD2163">
        <v>15563276</v>
      </c>
      <c r="DE2163" t="s">
        <v>123</v>
      </c>
    </row>
    <row r="2164" spans="1:109" x14ac:dyDescent="0.3">
      <c r="A2164" t="str">
        <f>"19:10:55.008"</f>
        <v>19:10:55.008</v>
      </c>
      <c r="B2164" t="s">
        <v>110</v>
      </c>
      <c r="C2164" t="str">
        <f t="shared" si="99"/>
        <v>ffdfd3c0</v>
      </c>
      <c r="D2164" t="s">
        <v>111</v>
      </c>
      <c r="E2164">
        <v>18</v>
      </c>
      <c r="F2164">
        <v>1018</v>
      </c>
      <c r="G2164" t="s">
        <v>112</v>
      </c>
      <c r="J2164" t="s">
        <v>113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R2164" t="s">
        <v>114</v>
      </c>
      <c r="S2164" t="str">
        <f>"19:10:54.789"</f>
        <v>19:10:54.789</v>
      </c>
      <c r="T2164" t="str">
        <f>"19:10:54.289"</f>
        <v>19:10:54.289</v>
      </c>
      <c r="U2164" t="str">
        <f t="shared" si="100"/>
        <v>a1cdbe</v>
      </c>
      <c r="V2164">
        <v>0</v>
      </c>
      <c r="W2164">
        <v>0</v>
      </c>
      <c r="X2164">
        <v>1</v>
      </c>
      <c r="Y2164">
        <v>0</v>
      </c>
      <c r="Z2164">
        <v>0</v>
      </c>
      <c r="AB2164">
        <v>0</v>
      </c>
      <c r="AC2164">
        <v>9</v>
      </c>
      <c r="AD2164">
        <v>3</v>
      </c>
      <c r="AE2164">
        <v>0</v>
      </c>
      <c r="AF2164">
        <v>9</v>
      </c>
      <c r="AG2164" t="s">
        <v>158</v>
      </c>
      <c r="AH2164">
        <v>0</v>
      </c>
      <c r="AI2164">
        <v>3</v>
      </c>
      <c r="AJ2164">
        <v>1</v>
      </c>
      <c r="AK2164">
        <v>0</v>
      </c>
      <c r="AL2164" t="s">
        <v>4070</v>
      </c>
      <c r="AM2164">
        <v>46.879112999999997</v>
      </c>
      <c r="AN2164" t="s">
        <v>4071</v>
      </c>
      <c r="AO2164">
        <v>-123.116913</v>
      </c>
      <c r="AP2164">
        <v>100</v>
      </c>
      <c r="AQ2164">
        <v>2100</v>
      </c>
      <c r="AR2164" t="s">
        <v>118</v>
      </c>
      <c r="AS2164">
        <v>-77</v>
      </c>
      <c r="AT2164">
        <v>18</v>
      </c>
      <c r="AU2164">
        <v>64</v>
      </c>
      <c r="BC2164">
        <v>1200</v>
      </c>
      <c r="BD2164">
        <v>1</v>
      </c>
      <c r="BE2164" t="str">
        <f t="shared" si="101"/>
        <v xml:space="preserve">N215T   </v>
      </c>
      <c r="BF2164">
        <v>1</v>
      </c>
      <c r="BH2164">
        <v>0</v>
      </c>
      <c r="BI2164">
        <v>0</v>
      </c>
      <c r="BJ2164">
        <v>0</v>
      </c>
      <c r="BK2164">
        <v>2450</v>
      </c>
      <c r="BL2164">
        <v>350</v>
      </c>
      <c r="BM2164" t="s">
        <v>119</v>
      </c>
      <c r="BN2164">
        <v>1</v>
      </c>
      <c r="BO2164">
        <v>1</v>
      </c>
      <c r="BP2164">
        <v>1</v>
      </c>
      <c r="BQ2164">
        <v>0</v>
      </c>
      <c r="BT2164">
        <v>0</v>
      </c>
      <c r="BU2164">
        <v>0</v>
      </c>
      <c r="BV2164">
        <v>0</v>
      </c>
      <c r="CC2164" t="str">
        <f>"19:10:54.789"</f>
        <v>19:10:54.789</v>
      </c>
      <c r="CD2164" t="str">
        <f>"789766539"</f>
        <v>789766539</v>
      </c>
      <c r="CQ2164">
        <v>0</v>
      </c>
      <c r="CR2164">
        <v>2</v>
      </c>
      <c r="CS2164">
        <v>0</v>
      </c>
      <c r="CT2164">
        <v>2</v>
      </c>
      <c r="CU2164">
        <v>0</v>
      </c>
      <c r="CV2164">
        <v>7</v>
      </c>
      <c r="CW2164" t="s">
        <v>120</v>
      </c>
      <c r="CX2164">
        <v>261</v>
      </c>
      <c r="CY2164">
        <v>2</v>
      </c>
      <c r="CZ2164" t="s">
        <v>121</v>
      </c>
      <c r="DA2164" t="s">
        <v>122</v>
      </c>
      <c r="DD2164">
        <v>15563895</v>
      </c>
      <c r="DE2164" t="s">
        <v>123</v>
      </c>
    </row>
    <row r="2165" spans="1:109" x14ac:dyDescent="0.3">
      <c r="A2165" t="str">
        <f>"19:10:56.016"</f>
        <v>19:10:56.016</v>
      </c>
      <c r="B2165" t="s">
        <v>110</v>
      </c>
      <c r="C2165" t="str">
        <f t="shared" si="99"/>
        <v>ffdfd3c0</v>
      </c>
      <c r="D2165" t="s">
        <v>111</v>
      </c>
      <c r="E2165">
        <v>18</v>
      </c>
      <c r="F2165">
        <v>1018</v>
      </c>
      <c r="G2165" t="s">
        <v>112</v>
      </c>
      <c r="J2165" t="s">
        <v>113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R2165" t="s">
        <v>114</v>
      </c>
      <c r="S2165" t="str">
        <f>"19:10:55.789"</f>
        <v>19:10:55.789</v>
      </c>
      <c r="T2165" t="str">
        <f>"19:10:55.391"</f>
        <v>19:10:55.391</v>
      </c>
      <c r="U2165" t="str">
        <f t="shared" si="100"/>
        <v>a1cdbe</v>
      </c>
      <c r="V2165">
        <v>0</v>
      </c>
      <c r="W2165">
        <v>0</v>
      </c>
      <c r="X2165">
        <v>1</v>
      </c>
      <c r="Y2165">
        <v>0</v>
      </c>
      <c r="Z2165">
        <v>0</v>
      </c>
      <c r="AB2165">
        <v>0</v>
      </c>
      <c r="AC2165">
        <v>9</v>
      </c>
      <c r="AD2165">
        <v>3</v>
      </c>
      <c r="AE2165">
        <v>0</v>
      </c>
      <c r="AF2165">
        <v>9</v>
      </c>
      <c r="AG2165" t="s">
        <v>158</v>
      </c>
      <c r="AH2165">
        <v>0</v>
      </c>
      <c r="AI2165">
        <v>3</v>
      </c>
      <c r="AJ2165">
        <v>1</v>
      </c>
      <c r="AK2165">
        <v>0</v>
      </c>
      <c r="AL2165" t="s">
        <v>4072</v>
      </c>
      <c r="AM2165">
        <v>46.879176999999999</v>
      </c>
      <c r="AN2165" t="s">
        <v>4073</v>
      </c>
      <c r="AO2165">
        <v>-123.11744899999999</v>
      </c>
      <c r="AP2165">
        <v>100</v>
      </c>
      <c r="AQ2165">
        <v>2100</v>
      </c>
      <c r="AR2165" t="s">
        <v>118</v>
      </c>
      <c r="AS2165">
        <v>-77</v>
      </c>
      <c r="AT2165">
        <v>18</v>
      </c>
      <c r="AU2165">
        <v>64</v>
      </c>
      <c r="BC2165">
        <v>1200</v>
      </c>
      <c r="BD2165">
        <v>1</v>
      </c>
      <c r="BE2165" t="str">
        <f t="shared" si="101"/>
        <v xml:space="preserve">N215T   </v>
      </c>
      <c r="BF2165">
        <v>1</v>
      </c>
      <c r="BH2165">
        <v>0</v>
      </c>
      <c r="BI2165">
        <v>0</v>
      </c>
      <c r="BJ2165">
        <v>0</v>
      </c>
      <c r="BK2165">
        <v>2450</v>
      </c>
      <c r="BL2165">
        <v>350</v>
      </c>
      <c r="BM2165" t="s">
        <v>119</v>
      </c>
      <c r="BN2165">
        <v>1</v>
      </c>
      <c r="BO2165">
        <v>1</v>
      </c>
      <c r="BP2165">
        <v>1</v>
      </c>
      <c r="BQ2165">
        <v>0</v>
      </c>
      <c r="BT2165">
        <v>0</v>
      </c>
      <c r="BU2165">
        <v>0</v>
      </c>
      <c r="BV2165">
        <v>0</v>
      </c>
      <c r="CC2165" t="str">
        <f>"19:10:55.797"</f>
        <v>19:10:55.797</v>
      </c>
      <c r="CD2165" t="str">
        <f>"794667567"</f>
        <v>794667567</v>
      </c>
      <c r="CQ2165">
        <v>0</v>
      </c>
      <c r="CR2165">
        <v>2</v>
      </c>
      <c r="CS2165">
        <v>0</v>
      </c>
      <c r="CT2165">
        <v>2</v>
      </c>
      <c r="CU2165">
        <v>0</v>
      </c>
      <c r="CV2165">
        <v>7</v>
      </c>
      <c r="CW2165" t="s">
        <v>120</v>
      </c>
      <c r="CX2165">
        <v>261</v>
      </c>
      <c r="CY2165">
        <v>2</v>
      </c>
      <c r="CZ2165" t="s">
        <v>121</v>
      </c>
      <c r="DA2165" t="s">
        <v>122</v>
      </c>
      <c r="DD2165">
        <v>15564655</v>
      </c>
      <c r="DE2165" t="s">
        <v>123</v>
      </c>
    </row>
    <row r="2166" spans="1:109" x14ac:dyDescent="0.3">
      <c r="A2166" t="str">
        <f>"19:10:57.070"</f>
        <v>19:10:57.070</v>
      </c>
      <c r="B2166" t="s">
        <v>110</v>
      </c>
      <c r="C2166" t="str">
        <f t="shared" si="99"/>
        <v>ffdfd3c0</v>
      </c>
      <c r="D2166" t="s">
        <v>111</v>
      </c>
      <c r="E2166">
        <v>18</v>
      </c>
      <c r="F2166">
        <v>1018</v>
      </c>
      <c r="G2166" t="s">
        <v>112</v>
      </c>
      <c r="J2166" t="s">
        <v>113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R2166" t="s">
        <v>114</v>
      </c>
      <c r="S2166" t="str">
        <f>"19:10:56.828"</f>
        <v>19:10:56.828</v>
      </c>
      <c r="T2166" t="str">
        <f>"19:10:56.430"</f>
        <v>19:10:56.430</v>
      </c>
      <c r="U2166" t="str">
        <f t="shared" si="100"/>
        <v>a1cdbe</v>
      </c>
      <c r="V2166">
        <v>0</v>
      </c>
      <c r="W2166">
        <v>0</v>
      </c>
      <c r="X2166">
        <v>1</v>
      </c>
      <c r="Y2166">
        <v>0</v>
      </c>
      <c r="Z2166">
        <v>0</v>
      </c>
      <c r="AB2166">
        <v>0</v>
      </c>
      <c r="AC2166">
        <v>9</v>
      </c>
      <c r="AD2166">
        <v>3</v>
      </c>
      <c r="AE2166">
        <v>0</v>
      </c>
      <c r="AF2166">
        <v>9</v>
      </c>
      <c r="AG2166" t="s">
        <v>158</v>
      </c>
      <c r="AH2166">
        <v>0</v>
      </c>
      <c r="AI2166">
        <v>3</v>
      </c>
      <c r="AJ2166">
        <v>1</v>
      </c>
      <c r="AK2166">
        <v>0</v>
      </c>
      <c r="AL2166" t="s">
        <v>4074</v>
      </c>
      <c r="AM2166">
        <v>46.879306</v>
      </c>
      <c r="AN2166" t="s">
        <v>4075</v>
      </c>
      <c r="AO2166">
        <v>-123.117943</v>
      </c>
      <c r="AP2166">
        <v>100</v>
      </c>
      <c r="AQ2166">
        <v>2100</v>
      </c>
      <c r="AR2166" t="s">
        <v>118</v>
      </c>
      <c r="AS2166">
        <v>-77</v>
      </c>
      <c r="AT2166">
        <v>18</v>
      </c>
      <c r="AU2166">
        <v>64</v>
      </c>
      <c r="BC2166">
        <v>1200</v>
      </c>
      <c r="BD2166">
        <v>1</v>
      </c>
      <c r="BE2166" t="str">
        <f t="shared" si="101"/>
        <v xml:space="preserve">N215T   </v>
      </c>
      <c r="BF2166">
        <v>1</v>
      </c>
      <c r="BH2166">
        <v>0</v>
      </c>
      <c r="BI2166">
        <v>0</v>
      </c>
      <c r="BJ2166">
        <v>0</v>
      </c>
      <c r="BK2166">
        <v>2475</v>
      </c>
      <c r="BL2166">
        <v>375</v>
      </c>
      <c r="BM2166" t="s">
        <v>119</v>
      </c>
      <c r="BN2166">
        <v>1</v>
      </c>
      <c r="BO2166">
        <v>1</v>
      </c>
      <c r="BP2166">
        <v>1</v>
      </c>
      <c r="BQ2166">
        <v>0</v>
      </c>
      <c r="BT2166">
        <v>0</v>
      </c>
      <c r="BU2166">
        <v>0</v>
      </c>
      <c r="BV2166">
        <v>0</v>
      </c>
      <c r="CC2166" t="str">
        <f>"19:10:56.828"</f>
        <v>19:10:56.828</v>
      </c>
      <c r="CD2166" t="str">
        <f>"829565640"</f>
        <v>829565640</v>
      </c>
      <c r="CQ2166">
        <v>0</v>
      </c>
      <c r="CR2166">
        <v>2</v>
      </c>
      <c r="CS2166">
        <v>0</v>
      </c>
      <c r="CT2166">
        <v>2</v>
      </c>
      <c r="CU2166">
        <v>0</v>
      </c>
      <c r="CV2166">
        <v>7</v>
      </c>
      <c r="CW2166" t="s">
        <v>120</v>
      </c>
      <c r="CX2166">
        <v>261</v>
      </c>
      <c r="CY2166">
        <v>2</v>
      </c>
      <c r="CZ2166" t="s">
        <v>121</v>
      </c>
      <c r="DA2166" t="s">
        <v>122</v>
      </c>
      <c r="DD2166">
        <v>15565392</v>
      </c>
      <c r="DE2166" t="s">
        <v>123</v>
      </c>
    </row>
    <row r="2167" spans="1:109" x14ac:dyDescent="0.3">
      <c r="A2167" t="str">
        <f>"19:10:58.172"</f>
        <v>19:10:58.172</v>
      </c>
      <c r="B2167" t="s">
        <v>110</v>
      </c>
      <c r="C2167" t="str">
        <f t="shared" si="99"/>
        <v>ffdfd3c0</v>
      </c>
      <c r="D2167" t="s">
        <v>111</v>
      </c>
      <c r="E2167">
        <v>18</v>
      </c>
      <c r="F2167">
        <v>1018</v>
      </c>
      <c r="G2167" t="s">
        <v>112</v>
      </c>
      <c r="J2167" t="s">
        <v>113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R2167" t="s">
        <v>114</v>
      </c>
      <c r="S2167" t="str">
        <f>"19:10:57.953"</f>
        <v>19:10:57.953</v>
      </c>
      <c r="T2167" t="str">
        <f>"19:10:57.453"</f>
        <v>19:10:57.453</v>
      </c>
      <c r="U2167" t="str">
        <f t="shared" si="100"/>
        <v>a1cdbe</v>
      </c>
      <c r="V2167">
        <v>0</v>
      </c>
      <c r="W2167">
        <v>0</v>
      </c>
      <c r="X2167">
        <v>1</v>
      </c>
      <c r="Y2167">
        <v>0</v>
      </c>
      <c r="Z2167">
        <v>0</v>
      </c>
      <c r="AB2167">
        <v>0</v>
      </c>
      <c r="AC2167">
        <v>9</v>
      </c>
      <c r="AD2167">
        <v>3</v>
      </c>
      <c r="AE2167">
        <v>0</v>
      </c>
      <c r="AF2167">
        <v>9</v>
      </c>
      <c r="AG2167" t="s">
        <v>158</v>
      </c>
      <c r="AH2167">
        <v>0</v>
      </c>
      <c r="AI2167">
        <v>3</v>
      </c>
      <c r="AJ2167">
        <v>1</v>
      </c>
      <c r="AK2167">
        <v>0</v>
      </c>
      <c r="AL2167" t="s">
        <v>4076</v>
      </c>
      <c r="AM2167">
        <v>46.879370000000002</v>
      </c>
      <c r="AN2167" t="s">
        <v>4077</v>
      </c>
      <c r="AO2167">
        <v>-123.118565</v>
      </c>
      <c r="AP2167">
        <v>100</v>
      </c>
      <c r="AQ2167">
        <v>2100</v>
      </c>
      <c r="AR2167" t="s">
        <v>118</v>
      </c>
      <c r="AS2167">
        <v>-77</v>
      </c>
      <c r="AT2167">
        <v>18</v>
      </c>
      <c r="AU2167">
        <v>128</v>
      </c>
      <c r="BC2167">
        <v>1200</v>
      </c>
      <c r="BD2167">
        <v>1</v>
      </c>
      <c r="BE2167" t="str">
        <f t="shared" si="101"/>
        <v xml:space="preserve">N215T   </v>
      </c>
      <c r="BF2167">
        <v>1</v>
      </c>
      <c r="BH2167">
        <v>0</v>
      </c>
      <c r="BI2167">
        <v>0</v>
      </c>
      <c r="BJ2167">
        <v>0</v>
      </c>
      <c r="BK2167">
        <v>2475</v>
      </c>
      <c r="BL2167">
        <v>375</v>
      </c>
      <c r="BM2167" t="s">
        <v>119</v>
      </c>
      <c r="BN2167">
        <v>1</v>
      </c>
      <c r="BO2167">
        <v>1</v>
      </c>
      <c r="BP2167">
        <v>1</v>
      </c>
      <c r="BQ2167">
        <v>0</v>
      </c>
      <c r="BT2167">
        <v>0</v>
      </c>
      <c r="BU2167">
        <v>0</v>
      </c>
      <c r="BV2167">
        <v>0</v>
      </c>
      <c r="CC2167" t="str">
        <f>"19:10:57.953"</f>
        <v>19:10:57.953</v>
      </c>
      <c r="CD2167" t="str">
        <f>"954454849"</f>
        <v>954454849</v>
      </c>
      <c r="CQ2167">
        <v>0</v>
      </c>
      <c r="CR2167">
        <v>2</v>
      </c>
      <c r="CS2167">
        <v>0</v>
      </c>
      <c r="CT2167">
        <v>2</v>
      </c>
      <c r="CU2167">
        <v>0</v>
      </c>
      <c r="CV2167">
        <v>7</v>
      </c>
      <c r="CW2167" t="s">
        <v>120</v>
      </c>
      <c r="CX2167">
        <v>261</v>
      </c>
      <c r="CY2167">
        <v>2</v>
      </c>
      <c r="CZ2167" t="s">
        <v>121</v>
      </c>
      <c r="DA2167" t="s">
        <v>122</v>
      </c>
      <c r="DD2167">
        <v>15566169</v>
      </c>
      <c r="DE2167" t="s">
        <v>123</v>
      </c>
    </row>
    <row r="2168" spans="1:109" x14ac:dyDescent="0.3">
      <c r="A2168" t="str">
        <f>"19:10:59.227"</f>
        <v>19:10:59.227</v>
      </c>
      <c r="B2168" t="s">
        <v>110</v>
      </c>
      <c r="C2168" t="str">
        <f t="shared" si="99"/>
        <v>ffdfd3c0</v>
      </c>
      <c r="D2168" t="s">
        <v>111</v>
      </c>
      <c r="E2168">
        <v>18</v>
      </c>
      <c r="F2168">
        <v>1018</v>
      </c>
      <c r="G2168" t="s">
        <v>112</v>
      </c>
      <c r="J2168" t="s">
        <v>113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R2168" t="s">
        <v>114</v>
      </c>
      <c r="S2168" t="str">
        <f>"19:10:59.000"</f>
        <v>19:10:59.000</v>
      </c>
      <c r="T2168" t="str">
        <f>"19:10:58.898"</f>
        <v>19:10:58.898</v>
      </c>
      <c r="U2168" t="str">
        <f t="shared" si="100"/>
        <v>a1cdbe</v>
      </c>
      <c r="V2168">
        <v>0</v>
      </c>
      <c r="W2168">
        <v>0</v>
      </c>
      <c r="X2168">
        <v>1</v>
      </c>
      <c r="Y2168">
        <v>0</v>
      </c>
      <c r="Z2168">
        <v>0</v>
      </c>
      <c r="AB2168">
        <v>0</v>
      </c>
      <c r="AC2168">
        <v>9</v>
      </c>
      <c r="AD2168">
        <v>3</v>
      </c>
      <c r="AE2168">
        <v>0</v>
      </c>
      <c r="AF2168">
        <v>9</v>
      </c>
      <c r="AG2168" t="s">
        <v>158</v>
      </c>
      <c r="AH2168">
        <v>0</v>
      </c>
      <c r="AI2168">
        <v>3</v>
      </c>
      <c r="AJ2168">
        <v>1</v>
      </c>
      <c r="AK2168">
        <v>0</v>
      </c>
      <c r="AL2168" t="s">
        <v>1546</v>
      </c>
      <c r="AM2168">
        <v>46.879455999999998</v>
      </c>
      <c r="AN2168" t="s">
        <v>4078</v>
      </c>
      <c r="AO2168">
        <v>-123.11905899999999</v>
      </c>
      <c r="AP2168">
        <v>100</v>
      </c>
      <c r="AQ2168">
        <v>2100</v>
      </c>
      <c r="AR2168" t="s">
        <v>118</v>
      </c>
      <c r="AS2168">
        <v>-77</v>
      </c>
      <c r="AT2168">
        <v>17</v>
      </c>
      <c r="AU2168">
        <v>128</v>
      </c>
      <c r="BC2168">
        <v>1200</v>
      </c>
      <c r="BD2168">
        <v>1</v>
      </c>
      <c r="BE2168" t="str">
        <f t="shared" si="101"/>
        <v xml:space="preserve">N215T   </v>
      </c>
      <c r="BF2168">
        <v>1</v>
      </c>
      <c r="BH2168">
        <v>0</v>
      </c>
      <c r="BI2168">
        <v>0</v>
      </c>
      <c r="BJ2168">
        <v>0</v>
      </c>
      <c r="BK2168">
        <v>2475</v>
      </c>
      <c r="BL2168">
        <v>375</v>
      </c>
      <c r="BM2168" t="s">
        <v>119</v>
      </c>
      <c r="BN2168">
        <v>1</v>
      </c>
      <c r="BO2168">
        <v>1</v>
      </c>
      <c r="BP2168">
        <v>1</v>
      </c>
      <c r="BQ2168">
        <v>0</v>
      </c>
      <c r="BT2168">
        <v>0</v>
      </c>
      <c r="BU2168">
        <v>0</v>
      </c>
      <c r="BV2168">
        <v>0</v>
      </c>
      <c r="CC2168" t="str">
        <f>"19:10:59.008"</f>
        <v>19:10:59.008</v>
      </c>
      <c r="CD2168" t="str">
        <f>"004351456"</f>
        <v>004351456</v>
      </c>
      <c r="CQ2168">
        <v>0</v>
      </c>
      <c r="CR2168">
        <v>2</v>
      </c>
      <c r="CS2168">
        <v>0</v>
      </c>
      <c r="CT2168">
        <v>2</v>
      </c>
      <c r="CU2168">
        <v>0</v>
      </c>
      <c r="CV2168">
        <v>7</v>
      </c>
      <c r="CW2168" t="s">
        <v>120</v>
      </c>
      <c r="CX2168">
        <v>261</v>
      </c>
      <c r="CY2168">
        <v>2</v>
      </c>
      <c r="CZ2168" t="s">
        <v>121</v>
      </c>
      <c r="DA2168" t="s">
        <v>122</v>
      </c>
      <c r="DD2168">
        <v>15566853</v>
      </c>
      <c r="DE2168" t="s">
        <v>123</v>
      </c>
    </row>
    <row r="2169" spans="1:109" x14ac:dyDescent="0.3">
      <c r="A2169" t="str">
        <f>"19:11:00.234"</f>
        <v>19:11:00.234</v>
      </c>
      <c r="B2169" t="s">
        <v>110</v>
      </c>
      <c r="C2169" t="str">
        <f t="shared" si="99"/>
        <v>ffdfd3c0</v>
      </c>
      <c r="D2169" t="s">
        <v>111</v>
      </c>
      <c r="E2169">
        <v>18</v>
      </c>
      <c r="F2169">
        <v>1018</v>
      </c>
      <c r="G2169" t="s">
        <v>112</v>
      </c>
      <c r="J2169" t="s">
        <v>113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R2169" t="s">
        <v>114</v>
      </c>
      <c r="S2169" t="str">
        <f>"19:11:00.008"</f>
        <v>19:11:00.008</v>
      </c>
      <c r="T2169" t="str">
        <f>"19:10:59.508"</f>
        <v>19:10:59.508</v>
      </c>
      <c r="U2169" t="str">
        <f t="shared" si="100"/>
        <v>a1cdbe</v>
      </c>
      <c r="V2169">
        <v>0</v>
      </c>
      <c r="W2169">
        <v>0</v>
      </c>
      <c r="X2169">
        <v>1</v>
      </c>
      <c r="Y2169">
        <v>0</v>
      </c>
      <c r="Z2169">
        <v>0</v>
      </c>
      <c r="AB2169">
        <v>0</v>
      </c>
      <c r="AC2169">
        <v>9</v>
      </c>
      <c r="AD2169">
        <v>3</v>
      </c>
      <c r="AE2169">
        <v>0</v>
      </c>
      <c r="AF2169">
        <v>9</v>
      </c>
      <c r="AG2169" t="s">
        <v>158</v>
      </c>
      <c r="AH2169">
        <v>0</v>
      </c>
      <c r="AI2169">
        <v>3</v>
      </c>
      <c r="AJ2169">
        <v>1</v>
      </c>
      <c r="AK2169">
        <v>0</v>
      </c>
      <c r="AL2169" t="s">
        <v>4079</v>
      </c>
      <c r="AM2169">
        <v>46.879542000000001</v>
      </c>
      <c r="AN2169" t="s">
        <v>4080</v>
      </c>
      <c r="AO2169">
        <v>-123.119659</v>
      </c>
      <c r="AP2169">
        <v>100</v>
      </c>
      <c r="AQ2169">
        <v>2100</v>
      </c>
      <c r="AR2169" t="s">
        <v>118</v>
      </c>
      <c r="AS2169">
        <v>-77</v>
      </c>
      <c r="AT2169">
        <v>17</v>
      </c>
      <c r="AU2169">
        <v>128</v>
      </c>
      <c r="BC2169">
        <v>1200</v>
      </c>
      <c r="BD2169">
        <v>1</v>
      </c>
      <c r="BE2169" t="str">
        <f t="shared" si="101"/>
        <v xml:space="preserve">N215T   </v>
      </c>
      <c r="BF2169">
        <v>1</v>
      </c>
      <c r="BH2169">
        <v>0</v>
      </c>
      <c r="BI2169">
        <v>0</v>
      </c>
      <c r="BJ2169">
        <v>0</v>
      </c>
      <c r="BK2169">
        <v>2475</v>
      </c>
      <c r="BL2169">
        <v>375</v>
      </c>
      <c r="BM2169" t="s">
        <v>119</v>
      </c>
      <c r="BN2169">
        <v>1</v>
      </c>
      <c r="BO2169">
        <v>1</v>
      </c>
      <c r="BP2169">
        <v>1</v>
      </c>
      <c r="BQ2169">
        <v>0</v>
      </c>
      <c r="BT2169">
        <v>0</v>
      </c>
      <c r="BU2169">
        <v>0</v>
      </c>
      <c r="BV2169">
        <v>0</v>
      </c>
      <c r="CC2169" t="str">
        <f>"19:11:00.008"</f>
        <v>19:11:00.008</v>
      </c>
      <c r="CD2169" t="str">
        <f>"009252232"</f>
        <v>009252232</v>
      </c>
      <c r="CQ2169">
        <v>0</v>
      </c>
      <c r="CR2169">
        <v>2</v>
      </c>
      <c r="CS2169">
        <v>0</v>
      </c>
      <c r="CT2169">
        <v>2</v>
      </c>
      <c r="CU2169">
        <v>0</v>
      </c>
      <c r="CV2169">
        <v>5</v>
      </c>
      <c r="CW2169" t="s">
        <v>120</v>
      </c>
      <c r="CX2169">
        <v>257</v>
      </c>
      <c r="CY2169">
        <v>1</v>
      </c>
      <c r="CZ2169" t="s">
        <v>615</v>
      </c>
      <c r="DA2169" t="s">
        <v>616</v>
      </c>
      <c r="DD2169">
        <v>11995850</v>
      </c>
      <c r="DE2169" t="s">
        <v>123</v>
      </c>
    </row>
    <row r="2170" spans="1:109" x14ac:dyDescent="0.3">
      <c r="A2170" t="str">
        <f>"19:11:01.094"</f>
        <v>19:11:01.094</v>
      </c>
      <c r="B2170" t="s">
        <v>110</v>
      </c>
      <c r="C2170" t="str">
        <f t="shared" si="99"/>
        <v>ffdfd3c0</v>
      </c>
      <c r="D2170" t="s">
        <v>111</v>
      </c>
      <c r="E2170">
        <v>18</v>
      </c>
      <c r="F2170">
        <v>1018</v>
      </c>
      <c r="G2170" t="s">
        <v>112</v>
      </c>
      <c r="J2170" t="s">
        <v>113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R2170" t="s">
        <v>114</v>
      </c>
      <c r="S2170" t="str">
        <f>"19:11:00.891"</f>
        <v>19:11:00.891</v>
      </c>
      <c r="T2170" t="str">
        <f>"19:11:00.594"</f>
        <v>19:11:00.594</v>
      </c>
      <c r="U2170" t="str">
        <f t="shared" si="100"/>
        <v>a1cdbe</v>
      </c>
      <c r="V2170">
        <v>0</v>
      </c>
      <c r="W2170">
        <v>0</v>
      </c>
      <c r="X2170">
        <v>1</v>
      </c>
      <c r="Y2170">
        <v>0</v>
      </c>
      <c r="Z2170">
        <v>0</v>
      </c>
      <c r="AB2170">
        <v>0</v>
      </c>
      <c r="AC2170">
        <v>9</v>
      </c>
      <c r="AD2170">
        <v>3</v>
      </c>
      <c r="AE2170">
        <v>0</v>
      </c>
      <c r="AF2170">
        <v>9</v>
      </c>
      <c r="AG2170" t="s">
        <v>158</v>
      </c>
      <c r="AH2170">
        <v>0</v>
      </c>
      <c r="AI2170">
        <v>3</v>
      </c>
      <c r="AJ2170">
        <v>1</v>
      </c>
      <c r="AK2170">
        <v>0</v>
      </c>
      <c r="AL2170" t="s">
        <v>4081</v>
      </c>
      <c r="AM2170">
        <v>46.879584999999999</v>
      </c>
      <c r="AN2170" t="s">
        <v>4082</v>
      </c>
      <c r="AO2170">
        <v>-123.12006700000001</v>
      </c>
      <c r="AP2170">
        <v>100</v>
      </c>
      <c r="AQ2170">
        <v>2100</v>
      </c>
      <c r="AR2170" t="s">
        <v>118</v>
      </c>
      <c r="AS2170">
        <v>-77</v>
      </c>
      <c r="AT2170">
        <v>17</v>
      </c>
      <c r="AU2170">
        <v>128</v>
      </c>
      <c r="BC2170">
        <v>1200</v>
      </c>
      <c r="BD2170">
        <v>1</v>
      </c>
      <c r="BE2170" t="str">
        <f t="shared" si="101"/>
        <v xml:space="preserve">N215T   </v>
      </c>
      <c r="BF2170">
        <v>1</v>
      </c>
      <c r="BH2170">
        <v>0</v>
      </c>
      <c r="BI2170">
        <v>0</v>
      </c>
      <c r="BJ2170">
        <v>0</v>
      </c>
      <c r="BK2170">
        <v>2475</v>
      </c>
      <c r="BL2170">
        <v>375</v>
      </c>
      <c r="BM2170" t="s">
        <v>119</v>
      </c>
      <c r="BN2170">
        <v>1</v>
      </c>
      <c r="BO2170">
        <v>1</v>
      </c>
      <c r="BP2170">
        <v>1</v>
      </c>
      <c r="BQ2170">
        <v>0</v>
      </c>
      <c r="BT2170">
        <v>0</v>
      </c>
      <c r="BU2170">
        <v>0</v>
      </c>
      <c r="BV2170">
        <v>0</v>
      </c>
      <c r="CC2170" t="str">
        <f>"19:11:00.891"</f>
        <v>19:11:00.891</v>
      </c>
      <c r="CD2170" t="str">
        <f>"894165339"</f>
        <v>894165339</v>
      </c>
      <c r="CQ2170">
        <v>0</v>
      </c>
      <c r="CR2170">
        <v>2</v>
      </c>
      <c r="CS2170">
        <v>0</v>
      </c>
      <c r="CT2170">
        <v>2</v>
      </c>
      <c r="CU2170">
        <v>0</v>
      </c>
      <c r="CV2170">
        <v>7</v>
      </c>
      <c r="CW2170" t="s">
        <v>120</v>
      </c>
      <c r="CX2170">
        <v>261</v>
      </c>
      <c r="CY2170">
        <v>2</v>
      </c>
      <c r="CZ2170" t="s">
        <v>121</v>
      </c>
      <c r="DA2170" t="s">
        <v>122</v>
      </c>
      <c r="DD2170">
        <v>15568209</v>
      </c>
      <c r="DE2170" t="s">
        <v>123</v>
      </c>
    </row>
    <row r="2171" spans="1:109" x14ac:dyDescent="0.3">
      <c r="A2171" t="str">
        <f>"19:11:02.305"</f>
        <v>19:11:02.305</v>
      </c>
      <c r="B2171" t="s">
        <v>110</v>
      </c>
      <c r="C2171" t="str">
        <f t="shared" si="99"/>
        <v>ffdfd3c0</v>
      </c>
      <c r="D2171" t="s">
        <v>111</v>
      </c>
      <c r="E2171">
        <v>18</v>
      </c>
      <c r="F2171">
        <v>1018</v>
      </c>
      <c r="G2171" t="s">
        <v>112</v>
      </c>
      <c r="J2171" t="s">
        <v>113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R2171" t="s">
        <v>114</v>
      </c>
      <c r="S2171" t="str">
        <f>"19:11:02.016"</f>
        <v>19:11:02.016</v>
      </c>
      <c r="T2171" t="str">
        <f>"19:11:01.914"</f>
        <v>19:11:01.914</v>
      </c>
      <c r="U2171" t="str">
        <f t="shared" si="100"/>
        <v>a1cdbe</v>
      </c>
      <c r="V2171">
        <v>0</v>
      </c>
      <c r="W2171">
        <v>0</v>
      </c>
      <c r="X2171">
        <v>1</v>
      </c>
      <c r="Y2171">
        <v>0</v>
      </c>
      <c r="Z2171">
        <v>0</v>
      </c>
      <c r="AB2171">
        <v>0</v>
      </c>
      <c r="AC2171">
        <v>9</v>
      </c>
      <c r="AD2171">
        <v>3</v>
      </c>
      <c r="AE2171">
        <v>0</v>
      </c>
      <c r="AF2171">
        <v>9</v>
      </c>
      <c r="AG2171" t="s">
        <v>158</v>
      </c>
      <c r="AH2171">
        <v>0</v>
      </c>
      <c r="AI2171">
        <v>3</v>
      </c>
      <c r="AJ2171">
        <v>1</v>
      </c>
      <c r="AK2171">
        <v>0</v>
      </c>
      <c r="AL2171" t="s">
        <v>4083</v>
      </c>
      <c r="AM2171">
        <v>46.879671000000002</v>
      </c>
      <c r="AN2171" t="s">
        <v>4084</v>
      </c>
      <c r="AO2171">
        <v>-123.120689</v>
      </c>
      <c r="AP2171">
        <v>100</v>
      </c>
      <c r="AQ2171">
        <v>2100</v>
      </c>
      <c r="AR2171" t="s">
        <v>118</v>
      </c>
      <c r="AS2171">
        <v>-77</v>
      </c>
      <c r="AT2171">
        <v>16</v>
      </c>
      <c r="AU2171">
        <v>128</v>
      </c>
      <c r="BC2171">
        <v>1200</v>
      </c>
      <c r="BD2171">
        <v>1</v>
      </c>
      <c r="BE2171" t="str">
        <f t="shared" si="101"/>
        <v xml:space="preserve">N215T   </v>
      </c>
      <c r="BF2171">
        <v>1</v>
      </c>
      <c r="BH2171">
        <v>0</v>
      </c>
      <c r="BI2171">
        <v>0</v>
      </c>
      <c r="BJ2171">
        <v>0</v>
      </c>
      <c r="BK2171">
        <v>2475</v>
      </c>
      <c r="BL2171">
        <v>375</v>
      </c>
      <c r="BM2171" t="s">
        <v>119</v>
      </c>
      <c r="BN2171">
        <v>1</v>
      </c>
      <c r="BO2171">
        <v>1</v>
      </c>
      <c r="BP2171">
        <v>1</v>
      </c>
      <c r="BQ2171">
        <v>0</v>
      </c>
      <c r="BT2171">
        <v>0</v>
      </c>
      <c r="BU2171">
        <v>0</v>
      </c>
      <c r="BV2171">
        <v>0</v>
      </c>
      <c r="CC2171" t="str">
        <f>"19:11:02.016"</f>
        <v>19:11:02.016</v>
      </c>
      <c r="CD2171" t="str">
        <f>"019054547"</f>
        <v>019054547</v>
      </c>
      <c r="CQ2171">
        <v>0</v>
      </c>
      <c r="CR2171">
        <v>2</v>
      </c>
      <c r="CS2171">
        <v>0</v>
      </c>
      <c r="CT2171">
        <v>2</v>
      </c>
      <c r="CU2171">
        <v>0</v>
      </c>
      <c r="CV2171">
        <v>7</v>
      </c>
      <c r="CW2171" t="s">
        <v>120</v>
      </c>
      <c r="CX2171">
        <v>261</v>
      </c>
      <c r="CY2171">
        <v>2</v>
      </c>
      <c r="CZ2171" t="s">
        <v>121</v>
      </c>
      <c r="DA2171" t="s">
        <v>122</v>
      </c>
      <c r="DD2171">
        <v>15569024</v>
      </c>
      <c r="DE2171" t="s">
        <v>123</v>
      </c>
    </row>
    <row r="2172" spans="1:109" x14ac:dyDescent="0.3">
      <c r="A2172" t="str">
        <f>"19:11:03.203"</f>
        <v>19:11:03.203</v>
      </c>
      <c r="B2172" t="s">
        <v>110</v>
      </c>
      <c r="C2172" t="str">
        <f t="shared" si="99"/>
        <v>ffdfd3c0</v>
      </c>
      <c r="D2172" t="s">
        <v>111</v>
      </c>
      <c r="E2172">
        <v>18</v>
      </c>
      <c r="F2172">
        <v>1018</v>
      </c>
      <c r="G2172" t="s">
        <v>112</v>
      </c>
      <c r="J2172" t="s">
        <v>113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R2172" t="s">
        <v>114</v>
      </c>
      <c r="S2172" t="str">
        <f>"19:11:02.945"</f>
        <v>19:11:02.945</v>
      </c>
      <c r="T2172" t="str">
        <f>"19:11:02.945"</f>
        <v>19:11:02.945</v>
      </c>
      <c r="U2172" t="str">
        <f t="shared" si="100"/>
        <v>a1cdbe</v>
      </c>
      <c r="V2172">
        <v>0</v>
      </c>
      <c r="W2172">
        <v>0</v>
      </c>
      <c r="X2172">
        <v>1</v>
      </c>
      <c r="Y2172">
        <v>0</v>
      </c>
      <c r="Z2172">
        <v>0</v>
      </c>
      <c r="AB2172">
        <v>0</v>
      </c>
      <c r="AC2172">
        <v>9</v>
      </c>
      <c r="AD2172">
        <v>3</v>
      </c>
      <c r="AE2172">
        <v>0</v>
      </c>
      <c r="AF2172">
        <v>9</v>
      </c>
      <c r="AG2172" t="s">
        <v>158</v>
      </c>
      <c r="AH2172">
        <v>0</v>
      </c>
      <c r="AI2172">
        <v>3</v>
      </c>
      <c r="AJ2172">
        <v>1</v>
      </c>
      <c r="AK2172">
        <v>0</v>
      </c>
      <c r="AL2172" t="s">
        <v>4085</v>
      </c>
      <c r="AM2172">
        <v>46.879756</v>
      </c>
      <c r="AN2172" t="s">
        <v>4086</v>
      </c>
      <c r="AO2172">
        <v>-123.12109700000001</v>
      </c>
      <c r="AP2172">
        <v>100</v>
      </c>
      <c r="AQ2172">
        <v>2100</v>
      </c>
      <c r="AR2172" t="s">
        <v>118</v>
      </c>
      <c r="AS2172">
        <v>-77</v>
      </c>
      <c r="AT2172">
        <v>16</v>
      </c>
      <c r="AU2172">
        <v>64</v>
      </c>
      <c r="BC2172">
        <v>1200</v>
      </c>
      <c r="BD2172">
        <v>1</v>
      </c>
      <c r="BE2172" t="str">
        <f t="shared" si="101"/>
        <v xml:space="preserve">N215T   </v>
      </c>
      <c r="BF2172">
        <v>1</v>
      </c>
      <c r="BH2172">
        <v>0</v>
      </c>
      <c r="BI2172">
        <v>0</v>
      </c>
      <c r="BJ2172">
        <v>0</v>
      </c>
      <c r="BK2172">
        <v>2475</v>
      </c>
      <c r="BL2172">
        <v>375</v>
      </c>
      <c r="BM2172" t="s">
        <v>119</v>
      </c>
      <c r="BN2172">
        <v>1</v>
      </c>
      <c r="BO2172">
        <v>1</v>
      </c>
      <c r="BP2172">
        <v>1</v>
      </c>
      <c r="BQ2172">
        <v>0</v>
      </c>
      <c r="BT2172">
        <v>0</v>
      </c>
      <c r="BU2172">
        <v>0</v>
      </c>
      <c r="BV2172">
        <v>0</v>
      </c>
      <c r="CC2172" t="str">
        <f>"19:11:02.945"</f>
        <v>19:11:02.945</v>
      </c>
      <c r="CD2172" t="str">
        <f>"948962966"</f>
        <v>948962966</v>
      </c>
      <c r="CQ2172">
        <v>0</v>
      </c>
      <c r="CR2172">
        <v>2</v>
      </c>
      <c r="CS2172">
        <v>0</v>
      </c>
      <c r="CT2172">
        <v>2</v>
      </c>
      <c r="CU2172">
        <v>0</v>
      </c>
      <c r="CV2172">
        <v>7</v>
      </c>
      <c r="CW2172" t="s">
        <v>120</v>
      </c>
      <c r="CX2172">
        <v>261</v>
      </c>
      <c r="CY2172">
        <v>2</v>
      </c>
      <c r="CZ2172" t="s">
        <v>121</v>
      </c>
      <c r="DA2172" t="s">
        <v>122</v>
      </c>
      <c r="DD2172">
        <v>15569680</v>
      </c>
      <c r="DE2172" t="s">
        <v>123</v>
      </c>
    </row>
    <row r="2173" spans="1:109" x14ac:dyDescent="0.3">
      <c r="A2173" t="str">
        <f>"19:11:04.258"</f>
        <v>19:11:04.258</v>
      </c>
      <c r="B2173" t="s">
        <v>110</v>
      </c>
      <c r="C2173" t="str">
        <f t="shared" si="99"/>
        <v>ffdfd3c0</v>
      </c>
      <c r="D2173" t="s">
        <v>111</v>
      </c>
      <c r="E2173">
        <v>18</v>
      </c>
      <c r="F2173">
        <v>1018</v>
      </c>
      <c r="G2173" t="s">
        <v>112</v>
      </c>
      <c r="J2173" t="s">
        <v>113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R2173" t="s">
        <v>114</v>
      </c>
      <c r="S2173" t="str">
        <f>"19:11:04.023"</f>
        <v>19:11:04.023</v>
      </c>
      <c r="T2173" t="str">
        <f>"19:11:04.023"</f>
        <v>19:11:04.023</v>
      </c>
      <c r="U2173" t="str">
        <f t="shared" si="100"/>
        <v>a1cdbe</v>
      </c>
      <c r="V2173">
        <v>0</v>
      </c>
      <c r="W2173">
        <v>0</v>
      </c>
      <c r="X2173">
        <v>1</v>
      </c>
      <c r="Y2173">
        <v>0</v>
      </c>
      <c r="Z2173">
        <v>0</v>
      </c>
      <c r="AB2173">
        <v>0</v>
      </c>
      <c r="AC2173">
        <v>9</v>
      </c>
      <c r="AD2173">
        <v>3</v>
      </c>
      <c r="AE2173">
        <v>0</v>
      </c>
      <c r="AF2173">
        <v>9</v>
      </c>
      <c r="AG2173" t="s">
        <v>158</v>
      </c>
      <c r="AH2173">
        <v>0</v>
      </c>
      <c r="AI2173">
        <v>3</v>
      </c>
      <c r="AJ2173">
        <v>1</v>
      </c>
      <c r="AK2173">
        <v>0</v>
      </c>
      <c r="AL2173" t="s">
        <v>4087</v>
      </c>
      <c r="AM2173">
        <v>46.879798999999998</v>
      </c>
      <c r="AN2173" t="s">
        <v>4088</v>
      </c>
      <c r="AO2173">
        <v>-123.121719</v>
      </c>
      <c r="AP2173">
        <v>100</v>
      </c>
      <c r="AQ2173">
        <v>2100</v>
      </c>
      <c r="AR2173" t="s">
        <v>118</v>
      </c>
      <c r="AS2173">
        <v>-76</v>
      </c>
      <c r="AT2173">
        <v>16</v>
      </c>
      <c r="AU2173">
        <v>64</v>
      </c>
      <c r="BC2173">
        <v>1200</v>
      </c>
      <c r="BD2173">
        <v>1</v>
      </c>
      <c r="BE2173" t="str">
        <f t="shared" si="101"/>
        <v xml:space="preserve">N215T   </v>
      </c>
      <c r="BF2173">
        <v>1</v>
      </c>
      <c r="BH2173">
        <v>0</v>
      </c>
      <c r="BI2173">
        <v>0</v>
      </c>
      <c r="BJ2173">
        <v>0</v>
      </c>
      <c r="BK2173">
        <v>2475</v>
      </c>
      <c r="BL2173">
        <v>375</v>
      </c>
      <c r="BM2173" t="s">
        <v>119</v>
      </c>
      <c r="BN2173">
        <v>1</v>
      </c>
      <c r="BO2173">
        <v>1</v>
      </c>
      <c r="BP2173">
        <v>1</v>
      </c>
      <c r="BQ2173">
        <v>0</v>
      </c>
      <c r="BT2173">
        <v>0</v>
      </c>
      <c r="BU2173">
        <v>0</v>
      </c>
      <c r="BV2173">
        <v>0</v>
      </c>
      <c r="CC2173" t="str">
        <f>"19:11:04.031"</f>
        <v>19:11:04.031</v>
      </c>
      <c r="CD2173" t="str">
        <f>"028856616"</f>
        <v>028856616</v>
      </c>
      <c r="CQ2173">
        <v>0</v>
      </c>
      <c r="CR2173">
        <v>2</v>
      </c>
      <c r="CS2173">
        <v>0</v>
      </c>
      <c r="CT2173">
        <v>2</v>
      </c>
      <c r="CU2173">
        <v>0</v>
      </c>
      <c r="CV2173">
        <v>7</v>
      </c>
      <c r="CW2173" t="s">
        <v>120</v>
      </c>
      <c r="CX2173">
        <v>261</v>
      </c>
      <c r="CY2173">
        <v>2</v>
      </c>
      <c r="CZ2173" t="s">
        <v>121</v>
      </c>
      <c r="DA2173" t="s">
        <v>122</v>
      </c>
      <c r="DD2173">
        <v>15570389</v>
      </c>
      <c r="DE2173" t="s">
        <v>123</v>
      </c>
    </row>
    <row r="2174" spans="1:109" x14ac:dyDescent="0.3">
      <c r="A2174" t="str">
        <f>"19:11:05.211"</f>
        <v>19:11:05.211</v>
      </c>
      <c r="B2174" t="s">
        <v>110</v>
      </c>
      <c r="C2174" t="str">
        <f t="shared" si="99"/>
        <v>ffdfd3c0</v>
      </c>
      <c r="D2174" t="s">
        <v>111</v>
      </c>
      <c r="E2174">
        <v>18</v>
      </c>
      <c r="F2174">
        <v>1018</v>
      </c>
      <c r="G2174" t="s">
        <v>112</v>
      </c>
      <c r="J2174" t="s">
        <v>113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R2174" t="s">
        <v>114</v>
      </c>
      <c r="S2174" t="str">
        <f>"19:11:04.984"</f>
        <v>19:11:04.984</v>
      </c>
      <c r="T2174" t="str">
        <f>"19:11:04.484"</f>
        <v>19:11:04.484</v>
      </c>
      <c r="U2174" t="str">
        <f t="shared" si="100"/>
        <v>a1cdbe</v>
      </c>
      <c r="V2174">
        <v>0</v>
      </c>
      <c r="W2174">
        <v>0</v>
      </c>
      <c r="X2174">
        <v>1</v>
      </c>
      <c r="Y2174">
        <v>0</v>
      </c>
      <c r="Z2174">
        <v>0</v>
      </c>
      <c r="AB2174">
        <v>0</v>
      </c>
      <c r="AC2174">
        <v>9</v>
      </c>
      <c r="AD2174">
        <v>3</v>
      </c>
      <c r="AE2174">
        <v>0</v>
      </c>
      <c r="AF2174">
        <v>9</v>
      </c>
      <c r="AG2174" t="s">
        <v>158</v>
      </c>
      <c r="AH2174">
        <v>0</v>
      </c>
      <c r="AI2174">
        <v>3</v>
      </c>
      <c r="AJ2174">
        <v>1</v>
      </c>
      <c r="AK2174">
        <v>0</v>
      </c>
      <c r="AL2174" t="s">
        <v>4089</v>
      </c>
      <c r="AM2174">
        <v>46.879863999999998</v>
      </c>
      <c r="AN2174" t="s">
        <v>4090</v>
      </c>
      <c r="AO2174">
        <v>-123.12217</v>
      </c>
      <c r="AP2174">
        <v>100</v>
      </c>
      <c r="AQ2174">
        <v>2100</v>
      </c>
      <c r="AR2174" t="s">
        <v>118</v>
      </c>
      <c r="AS2174">
        <v>-76</v>
      </c>
      <c r="AT2174">
        <v>16</v>
      </c>
      <c r="AU2174">
        <v>64</v>
      </c>
      <c r="BC2174">
        <v>1200</v>
      </c>
      <c r="BD2174">
        <v>1</v>
      </c>
      <c r="BE2174" t="str">
        <f t="shared" si="101"/>
        <v xml:space="preserve">N215T   </v>
      </c>
      <c r="BF2174">
        <v>1</v>
      </c>
      <c r="BH2174">
        <v>0</v>
      </c>
      <c r="BI2174">
        <v>0</v>
      </c>
      <c r="BJ2174">
        <v>0</v>
      </c>
      <c r="BK2174">
        <v>2475</v>
      </c>
      <c r="BL2174">
        <v>375</v>
      </c>
      <c r="BM2174" t="s">
        <v>119</v>
      </c>
      <c r="BN2174">
        <v>1</v>
      </c>
      <c r="BO2174">
        <v>1</v>
      </c>
      <c r="BP2174">
        <v>1</v>
      </c>
      <c r="BQ2174">
        <v>0</v>
      </c>
      <c r="BT2174">
        <v>0</v>
      </c>
      <c r="BU2174">
        <v>0</v>
      </c>
      <c r="BV2174">
        <v>0</v>
      </c>
      <c r="CC2174" t="str">
        <f>"19:11:04.992"</f>
        <v>19:11:04.992</v>
      </c>
      <c r="CD2174" t="str">
        <f>"988762080"</f>
        <v>988762080</v>
      </c>
      <c r="CQ2174">
        <v>0</v>
      </c>
      <c r="CR2174">
        <v>2</v>
      </c>
      <c r="CS2174">
        <v>0</v>
      </c>
      <c r="CT2174">
        <v>2</v>
      </c>
      <c r="CU2174">
        <v>0</v>
      </c>
      <c r="CV2174">
        <v>7</v>
      </c>
      <c r="CW2174" t="s">
        <v>120</v>
      </c>
      <c r="CX2174">
        <v>261</v>
      </c>
      <c r="CY2174">
        <v>2</v>
      </c>
      <c r="CZ2174" t="s">
        <v>121</v>
      </c>
      <c r="DA2174" t="s">
        <v>122</v>
      </c>
      <c r="DD2174">
        <v>15571072</v>
      </c>
      <c r="DE2174" t="s">
        <v>123</v>
      </c>
    </row>
    <row r="2175" spans="1:109" x14ac:dyDescent="0.3">
      <c r="A2175" t="str">
        <f>"19:11:06.070"</f>
        <v>19:11:06.070</v>
      </c>
      <c r="B2175" t="s">
        <v>110</v>
      </c>
      <c r="C2175" t="str">
        <f t="shared" si="99"/>
        <v>ffdfd3c0</v>
      </c>
      <c r="D2175" t="s">
        <v>111</v>
      </c>
      <c r="E2175">
        <v>18</v>
      </c>
      <c r="F2175">
        <v>1018</v>
      </c>
      <c r="G2175" t="s">
        <v>112</v>
      </c>
      <c r="J2175" t="s">
        <v>113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R2175" t="s">
        <v>114</v>
      </c>
      <c r="S2175" t="str">
        <f>"19:11:05.852"</f>
        <v>19:11:05.852</v>
      </c>
      <c r="T2175" t="str">
        <f>"19:11:05.453"</f>
        <v>19:11:05.453</v>
      </c>
      <c r="U2175" t="str">
        <f t="shared" si="100"/>
        <v>a1cdbe</v>
      </c>
      <c r="V2175">
        <v>0</v>
      </c>
      <c r="W2175">
        <v>0</v>
      </c>
      <c r="X2175">
        <v>1</v>
      </c>
      <c r="Y2175">
        <v>0</v>
      </c>
      <c r="Z2175">
        <v>0</v>
      </c>
      <c r="AB2175">
        <v>0</v>
      </c>
      <c r="AC2175">
        <v>9</v>
      </c>
      <c r="AD2175">
        <v>3</v>
      </c>
      <c r="AE2175">
        <v>0</v>
      </c>
      <c r="AF2175">
        <v>9</v>
      </c>
      <c r="AG2175" t="s">
        <v>158</v>
      </c>
      <c r="AH2175">
        <v>0</v>
      </c>
      <c r="AI2175">
        <v>3</v>
      </c>
      <c r="AJ2175">
        <v>1</v>
      </c>
      <c r="AK2175">
        <v>0</v>
      </c>
      <c r="AL2175" t="s">
        <v>4091</v>
      </c>
      <c r="AM2175">
        <v>46.879970999999998</v>
      </c>
      <c r="AN2175" t="s">
        <v>4092</v>
      </c>
      <c r="AO2175">
        <v>-123.122578</v>
      </c>
      <c r="AP2175">
        <v>100</v>
      </c>
      <c r="AQ2175">
        <v>2100</v>
      </c>
      <c r="AR2175" t="s">
        <v>118</v>
      </c>
      <c r="AS2175">
        <v>-76</v>
      </c>
      <c r="AT2175">
        <v>15</v>
      </c>
      <c r="AU2175">
        <v>0</v>
      </c>
      <c r="BC2175">
        <v>1200</v>
      </c>
      <c r="BD2175">
        <v>1</v>
      </c>
      <c r="BE2175" t="str">
        <f t="shared" si="101"/>
        <v xml:space="preserve">N215T   </v>
      </c>
      <c r="BF2175">
        <v>1</v>
      </c>
      <c r="BH2175">
        <v>0</v>
      </c>
      <c r="BI2175">
        <v>0</v>
      </c>
      <c r="BJ2175">
        <v>0</v>
      </c>
      <c r="BK2175">
        <v>2475</v>
      </c>
      <c r="BL2175">
        <v>375</v>
      </c>
      <c r="BM2175" t="s">
        <v>119</v>
      </c>
      <c r="BN2175">
        <v>1</v>
      </c>
      <c r="BO2175">
        <v>1</v>
      </c>
      <c r="BP2175">
        <v>1</v>
      </c>
      <c r="BQ2175">
        <v>0</v>
      </c>
      <c r="BT2175">
        <v>0</v>
      </c>
      <c r="BU2175">
        <v>0</v>
      </c>
      <c r="BV2175">
        <v>0</v>
      </c>
      <c r="CC2175" t="str">
        <f>"19:11:05.859"</f>
        <v>19:11:05.859</v>
      </c>
      <c r="CD2175" t="str">
        <f>"858676408"</f>
        <v>858676408</v>
      </c>
      <c r="CQ2175">
        <v>0</v>
      </c>
      <c r="CR2175">
        <v>2</v>
      </c>
      <c r="CS2175">
        <v>0</v>
      </c>
      <c r="CT2175">
        <v>2</v>
      </c>
      <c r="CU2175">
        <v>0</v>
      </c>
      <c r="CV2175">
        <v>6</v>
      </c>
      <c r="CW2175" t="s">
        <v>120</v>
      </c>
      <c r="CX2175">
        <v>261</v>
      </c>
      <c r="CY2175">
        <v>2</v>
      </c>
      <c r="CZ2175" t="s">
        <v>121</v>
      </c>
      <c r="DA2175" t="s">
        <v>122</v>
      </c>
      <c r="DD2175">
        <v>15571684</v>
      </c>
      <c r="DE2175" t="s">
        <v>123</v>
      </c>
    </row>
    <row r="2176" spans="1:109" x14ac:dyDescent="0.3">
      <c r="A2176" t="str">
        <f>"19:11:07.070"</f>
        <v>19:11:07.070</v>
      </c>
      <c r="B2176" t="s">
        <v>110</v>
      </c>
      <c r="C2176" t="str">
        <f t="shared" si="99"/>
        <v>ffdfd3c0</v>
      </c>
      <c r="D2176" t="s">
        <v>111</v>
      </c>
      <c r="E2176">
        <v>18</v>
      </c>
      <c r="F2176">
        <v>1018</v>
      </c>
      <c r="G2176" t="s">
        <v>112</v>
      </c>
      <c r="J2176" t="s">
        <v>113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R2176" t="s">
        <v>114</v>
      </c>
      <c r="S2176" t="str">
        <f>"19:11:06.813"</f>
        <v>19:11:06.813</v>
      </c>
      <c r="T2176" t="str">
        <f>"19:11:06.414"</f>
        <v>19:11:06.414</v>
      </c>
      <c r="U2176" t="str">
        <f t="shared" si="100"/>
        <v>a1cdbe</v>
      </c>
      <c r="V2176">
        <v>0</v>
      </c>
      <c r="W2176">
        <v>0</v>
      </c>
      <c r="X2176">
        <v>1</v>
      </c>
      <c r="Y2176">
        <v>0</v>
      </c>
      <c r="Z2176">
        <v>0</v>
      </c>
      <c r="AB2176">
        <v>0</v>
      </c>
      <c r="AC2176">
        <v>9</v>
      </c>
      <c r="AD2176">
        <v>3</v>
      </c>
      <c r="AE2176">
        <v>0</v>
      </c>
      <c r="AF2176">
        <v>9</v>
      </c>
      <c r="AG2176" t="s">
        <v>158</v>
      </c>
      <c r="AH2176">
        <v>0</v>
      </c>
      <c r="AI2176">
        <v>3</v>
      </c>
      <c r="AJ2176">
        <v>1</v>
      </c>
      <c r="AK2176">
        <v>0</v>
      </c>
      <c r="AL2176" t="s">
        <v>4093</v>
      </c>
      <c r="AM2176">
        <v>46.880034999999999</v>
      </c>
      <c r="AN2176" t="s">
        <v>4094</v>
      </c>
      <c r="AO2176">
        <v>-123.12315700000001</v>
      </c>
      <c r="AP2176">
        <v>100</v>
      </c>
      <c r="AQ2176">
        <v>2100</v>
      </c>
      <c r="AR2176" t="s">
        <v>118</v>
      </c>
      <c r="AS2176">
        <v>-77</v>
      </c>
      <c r="AT2176">
        <v>14</v>
      </c>
      <c r="AU2176">
        <v>64</v>
      </c>
      <c r="BC2176">
        <v>1200</v>
      </c>
      <c r="BD2176">
        <v>1</v>
      </c>
      <c r="BE2176" t="str">
        <f t="shared" si="101"/>
        <v xml:space="preserve">N215T   </v>
      </c>
      <c r="BF2176">
        <v>1</v>
      </c>
      <c r="BH2176">
        <v>0</v>
      </c>
      <c r="BI2176">
        <v>0</v>
      </c>
      <c r="BJ2176">
        <v>0</v>
      </c>
      <c r="BK2176">
        <v>2450</v>
      </c>
      <c r="BL2176">
        <v>350</v>
      </c>
      <c r="BM2176" t="s">
        <v>119</v>
      </c>
      <c r="BN2176">
        <v>1</v>
      </c>
      <c r="BO2176">
        <v>1</v>
      </c>
      <c r="BP2176">
        <v>1</v>
      </c>
      <c r="BQ2176">
        <v>0</v>
      </c>
      <c r="BT2176">
        <v>0</v>
      </c>
      <c r="BU2176">
        <v>0</v>
      </c>
      <c r="BV2176">
        <v>0</v>
      </c>
      <c r="CC2176" t="str">
        <f>"19:11:06.820"</f>
        <v>19:11:06.820</v>
      </c>
      <c r="CD2176" t="str">
        <f>"818581879"</f>
        <v>818581879</v>
      </c>
      <c r="CQ2176">
        <v>0</v>
      </c>
      <c r="CR2176">
        <v>2</v>
      </c>
      <c r="CS2176">
        <v>0</v>
      </c>
      <c r="CT2176">
        <v>2</v>
      </c>
      <c r="CU2176">
        <v>0</v>
      </c>
      <c r="CV2176">
        <v>6</v>
      </c>
      <c r="CW2176" t="s">
        <v>120</v>
      </c>
      <c r="CX2176">
        <v>261</v>
      </c>
      <c r="CY2176">
        <v>2</v>
      </c>
      <c r="CZ2176" t="s">
        <v>121</v>
      </c>
      <c r="DA2176" t="s">
        <v>122</v>
      </c>
      <c r="DD2176">
        <v>15572360</v>
      </c>
      <c r="DE2176" t="s">
        <v>123</v>
      </c>
    </row>
    <row r="2177" spans="1:109" x14ac:dyDescent="0.3">
      <c r="A2177" t="str">
        <f>"19:11:07.930"</f>
        <v>19:11:07.930</v>
      </c>
      <c r="B2177" t="s">
        <v>110</v>
      </c>
      <c r="C2177" t="str">
        <f t="shared" si="99"/>
        <v>ffdfd3c0</v>
      </c>
      <c r="D2177" t="s">
        <v>111</v>
      </c>
      <c r="E2177">
        <v>18</v>
      </c>
      <c r="F2177">
        <v>1018</v>
      </c>
      <c r="G2177" t="s">
        <v>112</v>
      </c>
      <c r="J2177" t="s">
        <v>113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R2177" t="s">
        <v>114</v>
      </c>
      <c r="S2177" t="str">
        <f>"19:11:07.711"</f>
        <v>19:11:07.711</v>
      </c>
      <c r="T2177" t="str">
        <f>"19:11:07.414"</f>
        <v>19:11:07.414</v>
      </c>
      <c r="U2177" t="str">
        <f t="shared" si="100"/>
        <v>a1cdbe</v>
      </c>
      <c r="V2177">
        <v>0</v>
      </c>
      <c r="W2177">
        <v>0</v>
      </c>
      <c r="X2177">
        <v>1</v>
      </c>
      <c r="Y2177">
        <v>0</v>
      </c>
      <c r="Z2177">
        <v>0</v>
      </c>
      <c r="AB2177">
        <v>0</v>
      </c>
      <c r="AC2177">
        <v>9</v>
      </c>
      <c r="AD2177">
        <v>3</v>
      </c>
      <c r="AE2177">
        <v>0</v>
      </c>
      <c r="AF2177">
        <v>9</v>
      </c>
      <c r="AG2177" t="s">
        <v>158</v>
      </c>
      <c r="AH2177">
        <v>0</v>
      </c>
      <c r="AI2177">
        <v>3</v>
      </c>
      <c r="AJ2177">
        <v>1</v>
      </c>
      <c r="AK2177">
        <v>0</v>
      </c>
      <c r="AL2177" t="s">
        <v>4095</v>
      </c>
      <c r="AM2177">
        <v>46.880077999999997</v>
      </c>
      <c r="AN2177" t="s">
        <v>4096</v>
      </c>
      <c r="AO2177">
        <v>-123.123651</v>
      </c>
      <c r="AP2177">
        <v>100</v>
      </c>
      <c r="AQ2177">
        <v>2100</v>
      </c>
      <c r="AR2177" t="s">
        <v>118</v>
      </c>
      <c r="AS2177">
        <v>-78</v>
      </c>
      <c r="AT2177">
        <v>12</v>
      </c>
      <c r="AU2177">
        <v>64</v>
      </c>
      <c r="BC2177">
        <v>1200</v>
      </c>
      <c r="BD2177">
        <v>1</v>
      </c>
      <c r="BE2177" t="str">
        <f t="shared" si="101"/>
        <v xml:space="preserve">N215T   </v>
      </c>
      <c r="BF2177">
        <v>1</v>
      </c>
      <c r="BH2177">
        <v>0</v>
      </c>
      <c r="BI2177">
        <v>0</v>
      </c>
      <c r="BJ2177">
        <v>0</v>
      </c>
      <c r="BK2177">
        <v>2475</v>
      </c>
      <c r="BL2177">
        <v>375</v>
      </c>
      <c r="BM2177" t="s">
        <v>119</v>
      </c>
      <c r="BN2177">
        <v>1</v>
      </c>
      <c r="BO2177">
        <v>1</v>
      </c>
      <c r="BP2177">
        <v>1</v>
      </c>
      <c r="BQ2177">
        <v>0</v>
      </c>
      <c r="BT2177">
        <v>0</v>
      </c>
      <c r="BU2177">
        <v>0</v>
      </c>
      <c r="BV2177">
        <v>0</v>
      </c>
      <c r="CC2177" t="str">
        <f>"19:11:07.719"</f>
        <v>19:11:07.719</v>
      </c>
      <c r="CD2177" t="str">
        <f>"718493255"</f>
        <v>718493255</v>
      </c>
      <c r="CQ2177">
        <v>0</v>
      </c>
      <c r="CR2177">
        <v>2</v>
      </c>
      <c r="CS2177">
        <v>0</v>
      </c>
      <c r="CT2177">
        <v>2</v>
      </c>
      <c r="CU2177">
        <v>0</v>
      </c>
      <c r="CV2177">
        <v>6</v>
      </c>
      <c r="CW2177" t="s">
        <v>120</v>
      </c>
      <c r="CX2177">
        <v>261</v>
      </c>
      <c r="CY2177">
        <v>2</v>
      </c>
      <c r="CZ2177" t="s">
        <v>121</v>
      </c>
      <c r="DA2177" t="s">
        <v>122</v>
      </c>
      <c r="DD2177">
        <v>15572978</v>
      </c>
      <c r="DE2177" t="s">
        <v>123</v>
      </c>
    </row>
    <row r="2178" spans="1:109" x14ac:dyDescent="0.3">
      <c r="A2178" t="str">
        <f>"19:11:09.039"</f>
        <v>19:11:09.039</v>
      </c>
      <c r="B2178" t="s">
        <v>110</v>
      </c>
      <c r="C2178" t="str">
        <f t="shared" ref="C2178:C2241" si="102">"ffdfd3c0"</f>
        <v>ffdfd3c0</v>
      </c>
      <c r="D2178" t="s">
        <v>111</v>
      </c>
      <c r="E2178">
        <v>18</v>
      </c>
      <c r="F2178">
        <v>1018</v>
      </c>
      <c r="G2178" t="s">
        <v>112</v>
      </c>
      <c r="J2178" t="s">
        <v>113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R2178" t="s">
        <v>114</v>
      </c>
      <c r="S2178" t="str">
        <f>"19:11:08.781"</f>
        <v>19:11:08.781</v>
      </c>
      <c r="T2178" t="str">
        <f>"19:11:08.578"</f>
        <v>19:11:08.578</v>
      </c>
      <c r="U2178" t="str">
        <f t="shared" ref="U2178:U2241" si="103">"a1cdbe"</f>
        <v>a1cdbe</v>
      </c>
      <c r="V2178">
        <v>0</v>
      </c>
      <c r="W2178">
        <v>0</v>
      </c>
      <c r="X2178">
        <v>1</v>
      </c>
      <c r="Y2178">
        <v>0</v>
      </c>
      <c r="Z2178">
        <v>0</v>
      </c>
      <c r="AB2178">
        <v>0</v>
      </c>
      <c r="AC2178">
        <v>9</v>
      </c>
      <c r="AD2178">
        <v>3</v>
      </c>
      <c r="AE2178">
        <v>0</v>
      </c>
      <c r="AF2178">
        <v>9</v>
      </c>
      <c r="AG2178" t="s">
        <v>158</v>
      </c>
      <c r="AH2178">
        <v>0</v>
      </c>
      <c r="AI2178">
        <v>3</v>
      </c>
      <c r="AJ2178">
        <v>1</v>
      </c>
      <c r="AK2178">
        <v>0</v>
      </c>
      <c r="AL2178" t="s">
        <v>4097</v>
      </c>
      <c r="AM2178">
        <v>46.880121000000003</v>
      </c>
      <c r="AN2178" t="s">
        <v>4098</v>
      </c>
      <c r="AO2178">
        <v>-123.12418700000001</v>
      </c>
      <c r="AP2178">
        <v>100</v>
      </c>
      <c r="AQ2178">
        <v>2100</v>
      </c>
      <c r="AR2178" t="s">
        <v>118</v>
      </c>
      <c r="AS2178">
        <v>-78</v>
      </c>
      <c r="AT2178">
        <v>13</v>
      </c>
      <c r="AU2178">
        <v>64</v>
      </c>
      <c r="BC2178">
        <v>1200</v>
      </c>
      <c r="BD2178">
        <v>1</v>
      </c>
      <c r="BE2178" t="str">
        <f t="shared" ref="BE2178:BE2241" si="104">"N215T   "</f>
        <v xml:space="preserve">N215T   </v>
      </c>
      <c r="BF2178">
        <v>1</v>
      </c>
      <c r="BH2178">
        <v>0</v>
      </c>
      <c r="BI2178">
        <v>0</v>
      </c>
      <c r="BJ2178">
        <v>0</v>
      </c>
      <c r="BK2178">
        <v>2475</v>
      </c>
      <c r="BL2178">
        <v>375</v>
      </c>
      <c r="BM2178" t="s">
        <v>119</v>
      </c>
      <c r="BN2178">
        <v>1</v>
      </c>
      <c r="BO2178">
        <v>1</v>
      </c>
      <c r="BP2178">
        <v>1</v>
      </c>
      <c r="BQ2178">
        <v>0</v>
      </c>
      <c r="BT2178">
        <v>0</v>
      </c>
      <c r="BU2178">
        <v>0</v>
      </c>
      <c r="BV2178">
        <v>0</v>
      </c>
      <c r="CC2178" t="str">
        <f>"19:11:08.781"</f>
        <v>19:11:08.781</v>
      </c>
      <c r="CD2178" t="str">
        <f>"783388383"</f>
        <v>783388383</v>
      </c>
      <c r="CQ2178">
        <v>0</v>
      </c>
      <c r="CR2178">
        <v>2</v>
      </c>
      <c r="CS2178">
        <v>0</v>
      </c>
      <c r="CT2178">
        <v>2</v>
      </c>
      <c r="CU2178">
        <v>0</v>
      </c>
      <c r="CV2178">
        <v>6</v>
      </c>
      <c r="CW2178" t="s">
        <v>120</v>
      </c>
      <c r="CX2178">
        <v>261</v>
      </c>
      <c r="CY2178">
        <v>2</v>
      </c>
      <c r="CZ2178" t="s">
        <v>121</v>
      </c>
      <c r="DA2178" t="s">
        <v>122</v>
      </c>
      <c r="DD2178">
        <v>15573671</v>
      </c>
      <c r="DE2178" t="s">
        <v>123</v>
      </c>
    </row>
    <row r="2179" spans="1:109" x14ac:dyDescent="0.3">
      <c r="A2179" t="str">
        <f>"19:11:10.094"</f>
        <v>19:11:10.094</v>
      </c>
      <c r="B2179" t="s">
        <v>110</v>
      </c>
      <c r="C2179" t="str">
        <f t="shared" si="102"/>
        <v>ffdfd3c0</v>
      </c>
      <c r="D2179" t="s">
        <v>111</v>
      </c>
      <c r="E2179">
        <v>18</v>
      </c>
      <c r="F2179">
        <v>1018</v>
      </c>
      <c r="G2179" t="s">
        <v>112</v>
      </c>
      <c r="J2179" t="s">
        <v>113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R2179" t="s">
        <v>114</v>
      </c>
      <c r="S2179" t="str">
        <f>"19:11:09.844"</f>
        <v>19:11:09.844</v>
      </c>
      <c r="T2179" t="str">
        <f>"19:11:09.844"</f>
        <v>19:11:09.844</v>
      </c>
      <c r="U2179" t="str">
        <f t="shared" si="103"/>
        <v>a1cdbe</v>
      </c>
      <c r="V2179">
        <v>0</v>
      </c>
      <c r="W2179">
        <v>0</v>
      </c>
      <c r="X2179">
        <v>1</v>
      </c>
      <c r="Y2179">
        <v>0</v>
      </c>
      <c r="Z2179">
        <v>0</v>
      </c>
      <c r="AB2179">
        <v>0</v>
      </c>
      <c r="AC2179">
        <v>9</v>
      </c>
      <c r="AD2179">
        <v>3</v>
      </c>
      <c r="AE2179">
        <v>0</v>
      </c>
      <c r="AF2179">
        <v>9</v>
      </c>
      <c r="AG2179" t="s">
        <v>158</v>
      </c>
      <c r="AH2179">
        <v>0</v>
      </c>
      <c r="AI2179">
        <v>3</v>
      </c>
      <c r="AJ2179">
        <v>1</v>
      </c>
      <c r="AK2179">
        <v>0</v>
      </c>
      <c r="AL2179" t="s">
        <v>4099</v>
      </c>
      <c r="AM2179">
        <v>46.880206999999999</v>
      </c>
      <c r="AN2179" t="s">
        <v>4100</v>
      </c>
      <c r="AO2179">
        <v>-123.124702</v>
      </c>
      <c r="AP2179">
        <v>100</v>
      </c>
      <c r="AQ2179">
        <v>2100</v>
      </c>
      <c r="AR2179" t="s">
        <v>118</v>
      </c>
      <c r="AS2179">
        <v>-78</v>
      </c>
      <c r="AT2179">
        <v>13</v>
      </c>
      <c r="AU2179">
        <v>-64</v>
      </c>
      <c r="BC2179">
        <v>1200</v>
      </c>
      <c r="BD2179">
        <v>1</v>
      </c>
      <c r="BE2179" t="str">
        <f t="shared" si="104"/>
        <v xml:space="preserve">N215T   </v>
      </c>
      <c r="BF2179">
        <v>1</v>
      </c>
      <c r="BH2179">
        <v>0</v>
      </c>
      <c r="BI2179">
        <v>0</v>
      </c>
      <c r="BJ2179">
        <v>0</v>
      </c>
      <c r="BK2179">
        <v>2475</v>
      </c>
      <c r="BL2179">
        <v>375</v>
      </c>
      <c r="BM2179" t="s">
        <v>119</v>
      </c>
      <c r="BN2179">
        <v>1</v>
      </c>
      <c r="BO2179">
        <v>1</v>
      </c>
      <c r="BP2179">
        <v>1</v>
      </c>
      <c r="BQ2179">
        <v>0</v>
      </c>
      <c r="BT2179">
        <v>0</v>
      </c>
      <c r="BU2179">
        <v>0</v>
      </c>
      <c r="BV2179">
        <v>0</v>
      </c>
      <c r="CC2179" t="str">
        <f>"19:11:09.852"</f>
        <v>19:11:09.852</v>
      </c>
      <c r="CD2179" t="str">
        <f>"848283520"</f>
        <v>848283520</v>
      </c>
      <c r="CQ2179">
        <v>0</v>
      </c>
      <c r="CR2179">
        <v>2</v>
      </c>
      <c r="CS2179">
        <v>0</v>
      </c>
      <c r="CT2179">
        <v>2</v>
      </c>
      <c r="CU2179">
        <v>0</v>
      </c>
      <c r="CV2179">
        <v>6</v>
      </c>
      <c r="CW2179" t="s">
        <v>120</v>
      </c>
      <c r="CX2179">
        <v>261</v>
      </c>
      <c r="CY2179">
        <v>2</v>
      </c>
      <c r="CZ2179" t="s">
        <v>121</v>
      </c>
      <c r="DA2179" t="s">
        <v>122</v>
      </c>
      <c r="DD2179">
        <v>15574395</v>
      </c>
      <c r="DE2179" t="s">
        <v>123</v>
      </c>
    </row>
    <row r="2180" spans="1:109" x14ac:dyDescent="0.3">
      <c r="A2180" t="str">
        <f>"19:11:11.148"</f>
        <v>19:11:11.148</v>
      </c>
      <c r="B2180" t="s">
        <v>110</v>
      </c>
      <c r="C2180" t="str">
        <f t="shared" si="102"/>
        <v>ffdfd3c0</v>
      </c>
      <c r="D2180" t="s">
        <v>111</v>
      </c>
      <c r="E2180">
        <v>18</v>
      </c>
      <c r="F2180">
        <v>1018</v>
      </c>
      <c r="G2180" t="s">
        <v>112</v>
      </c>
      <c r="J2180" t="s">
        <v>113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R2180" t="s">
        <v>114</v>
      </c>
      <c r="S2180" t="str">
        <f>"19:11:10.883"</f>
        <v>19:11:10.883</v>
      </c>
      <c r="T2180" t="str">
        <f>"19:11:10.484"</f>
        <v>19:11:10.484</v>
      </c>
      <c r="U2180" t="str">
        <f t="shared" si="103"/>
        <v>a1cdbe</v>
      </c>
      <c r="V2180">
        <v>0</v>
      </c>
      <c r="W2180">
        <v>0</v>
      </c>
      <c r="X2180">
        <v>1</v>
      </c>
      <c r="Y2180">
        <v>0</v>
      </c>
      <c r="Z2180">
        <v>0</v>
      </c>
      <c r="AB2180">
        <v>0</v>
      </c>
      <c r="AC2180">
        <v>9</v>
      </c>
      <c r="AD2180">
        <v>3</v>
      </c>
      <c r="AE2180">
        <v>0</v>
      </c>
      <c r="AF2180">
        <v>9</v>
      </c>
      <c r="AG2180" t="s">
        <v>158</v>
      </c>
      <c r="AH2180">
        <v>0</v>
      </c>
      <c r="AI2180">
        <v>3</v>
      </c>
      <c r="AJ2180">
        <v>1</v>
      </c>
      <c r="AK2180">
        <v>0</v>
      </c>
      <c r="AL2180" t="s">
        <v>4101</v>
      </c>
      <c r="AM2180">
        <v>46.880271</v>
      </c>
      <c r="AN2180" t="s">
        <v>4102</v>
      </c>
      <c r="AO2180">
        <v>-123.125281</v>
      </c>
      <c r="AP2180">
        <v>100</v>
      </c>
      <c r="AQ2180">
        <v>2100</v>
      </c>
      <c r="AR2180" t="s">
        <v>118</v>
      </c>
      <c r="AS2180">
        <v>-78</v>
      </c>
      <c r="AT2180">
        <v>13</v>
      </c>
      <c r="AU2180">
        <v>-192</v>
      </c>
      <c r="BC2180">
        <v>1200</v>
      </c>
      <c r="BD2180">
        <v>1</v>
      </c>
      <c r="BE2180" t="str">
        <f t="shared" si="104"/>
        <v xml:space="preserve">N215T   </v>
      </c>
      <c r="BF2180">
        <v>1</v>
      </c>
      <c r="BH2180">
        <v>0</v>
      </c>
      <c r="BI2180">
        <v>0</v>
      </c>
      <c r="BJ2180">
        <v>0</v>
      </c>
      <c r="BK2180">
        <v>2475</v>
      </c>
      <c r="BL2180">
        <v>375</v>
      </c>
      <c r="BM2180" t="s">
        <v>119</v>
      </c>
      <c r="BN2180">
        <v>1</v>
      </c>
      <c r="BO2180">
        <v>1</v>
      </c>
      <c r="BP2180">
        <v>1</v>
      </c>
      <c r="BQ2180">
        <v>0</v>
      </c>
      <c r="BT2180">
        <v>0</v>
      </c>
      <c r="BU2180">
        <v>0</v>
      </c>
      <c r="BV2180">
        <v>0</v>
      </c>
      <c r="CC2180" t="str">
        <f>"19:11:10.883"</f>
        <v>19:11:10.883</v>
      </c>
      <c r="CD2180" t="str">
        <f>"883181602"</f>
        <v>883181602</v>
      </c>
      <c r="CQ2180">
        <v>0</v>
      </c>
      <c r="CR2180">
        <v>2</v>
      </c>
      <c r="CS2180">
        <v>0</v>
      </c>
      <c r="CT2180">
        <v>2</v>
      </c>
      <c r="CU2180">
        <v>0</v>
      </c>
      <c r="CV2180">
        <v>6</v>
      </c>
      <c r="CW2180" t="s">
        <v>120</v>
      </c>
      <c r="CX2180">
        <v>261</v>
      </c>
      <c r="CY2180">
        <v>2</v>
      </c>
      <c r="CZ2180" t="s">
        <v>121</v>
      </c>
      <c r="DA2180" t="s">
        <v>122</v>
      </c>
      <c r="DD2180">
        <v>15575110</v>
      </c>
      <c r="DE2180" t="s">
        <v>123</v>
      </c>
    </row>
    <row r="2181" spans="1:109" x14ac:dyDescent="0.3">
      <c r="A2181" t="str">
        <f>"19:11:12.250"</f>
        <v>19:11:12.250</v>
      </c>
      <c r="B2181" t="s">
        <v>110</v>
      </c>
      <c r="C2181" t="str">
        <f t="shared" si="102"/>
        <v>ffdfd3c0</v>
      </c>
      <c r="D2181" t="s">
        <v>111</v>
      </c>
      <c r="E2181">
        <v>18</v>
      </c>
      <c r="F2181">
        <v>1018</v>
      </c>
      <c r="G2181" t="s">
        <v>112</v>
      </c>
      <c r="J2181" t="s">
        <v>113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R2181" t="s">
        <v>114</v>
      </c>
      <c r="S2181" t="str">
        <f>"19:11:12.016"</f>
        <v>19:11:12.016</v>
      </c>
      <c r="T2181" t="str">
        <f>"19:11:10.914"</f>
        <v>19:11:10.914</v>
      </c>
      <c r="U2181" t="str">
        <f t="shared" si="103"/>
        <v>a1cdbe</v>
      </c>
      <c r="V2181">
        <v>0</v>
      </c>
      <c r="W2181">
        <v>0</v>
      </c>
      <c r="X2181">
        <v>1</v>
      </c>
      <c r="Y2181">
        <v>0</v>
      </c>
      <c r="Z2181">
        <v>0</v>
      </c>
      <c r="AB2181">
        <v>0</v>
      </c>
      <c r="AC2181">
        <v>9</v>
      </c>
      <c r="AD2181">
        <v>3</v>
      </c>
      <c r="AE2181">
        <v>0</v>
      </c>
      <c r="AF2181">
        <v>9</v>
      </c>
      <c r="AG2181" t="s">
        <v>158</v>
      </c>
      <c r="AH2181">
        <v>0</v>
      </c>
      <c r="AI2181">
        <v>3</v>
      </c>
      <c r="AJ2181">
        <v>1</v>
      </c>
      <c r="AK2181">
        <v>0</v>
      </c>
      <c r="AL2181" t="s">
        <v>4103</v>
      </c>
      <c r="AM2181">
        <v>46.880313999999998</v>
      </c>
      <c r="AN2181" t="s">
        <v>4104</v>
      </c>
      <c r="AO2181">
        <v>-123.12590400000001</v>
      </c>
      <c r="AP2181">
        <v>100</v>
      </c>
      <c r="AQ2181">
        <v>2100</v>
      </c>
      <c r="AR2181" t="s">
        <v>118</v>
      </c>
      <c r="AS2181">
        <v>-78</v>
      </c>
      <c r="AT2181">
        <v>13</v>
      </c>
      <c r="AU2181">
        <v>-256</v>
      </c>
      <c r="BC2181">
        <v>1200</v>
      </c>
      <c r="BD2181">
        <v>1</v>
      </c>
      <c r="BE2181" t="str">
        <f t="shared" si="104"/>
        <v xml:space="preserve">N215T   </v>
      </c>
      <c r="BF2181">
        <v>1</v>
      </c>
      <c r="BH2181">
        <v>0</v>
      </c>
      <c r="BI2181">
        <v>0</v>
      </c>
      <c r="BJ2181">
        <v>0</v>
      </c>
      <c r="BK2181">
        <v>2475</v>
      </c>
      <c r="BL2181">
        <v>375</v>
      </c>
      <c r="BM2181" t="s">
        <v>119</v>
      </c>
      <c r="BN2181">
        <v>1</v>
      </c>
      <c r="BO2181">
        <v>1</v>
      </c>
      <c r="BP2181">
        <v>1</v>
      </c>
      <c r="BQ2181">
        <v>0</v>
      </c>
      <c r="BT2181">
        <v>0</v>
      </c>
      <c r="BU2181">
        <v>0</v>
      </c>
      <c r="BV2181">
        <v>0</v>
      </c>
      <c r="CC2181" t="str">
        <f>"19:11:12.023"</f>
        <v>19:11:12.023</v>
      </c>
      <c r="CD2181" t="str">
        <f>"023069343"</f>
        <v>023069343</v>
      </c>
      <c r="CQ2181">
        <v>0</v>
      </c>
      <c r="CR2181">
        <v>2</v>
      </c>
      <c r="CS2181">
        <v>0</v>
      </c>
      <c r="CT2181">
        <v>2</v>
      </c>
      <c r="CU2181">
        <v>0</v>
      </c>
      <c r="CV2181">
        <v>6</v>
      </c>
      <c r="CW2181" t="s">
        <v>120</v>
      </c>
      <c r="CX2181">
        <v>261</v>
      </c>
      <c r="CY2181">
        <v>2</v>
      </c>
      <c r="CZ2181" t="s">
        <v>121</v>
      </c>
      <c r="DA2181" t="s">
        <v>122</v>
      </c>
      <c r="DD2181">
        <v>15575966</v>
      </c>
      <c r="DE2181" t="s">
        <v>123</v>
      </c>
    </row>
    <row r="2182" spans="1:109" x14ac:dyDescent="0.3">
      <c r="A2182" t="str">
        <f>"19:11:13.305"</f>
        <v>19:11:13.305</v>
      </c>
      <c r="B2182" t="s">
        <v>110</v>
      </c>
      <c r="C2182" t="str">
        <f t="shared" si="102"/>
        <v>ffdfd3c0</v>
      </c>
      <c r="D2182" t="s">
        <v>111</v>
      </c>
      <c r="E2182">
        <v>18</v>
      </c>
      <c r="F2182">
        <v>1018</v>
      </c>
      <c r="G2182" t="s">
        <v>112</v>
      </c>
      <c r="J2182" t="s">
        <v>113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R2182" t="s">
        <v>114</v>
      </c>
      <c r="S2182" t="str">
        <f>"19:11:13.102"</f>
        <v>19:11:13.102</v>
      </c>
      <c r="T2182" t="str">
        <f>"19:11:13.102"</f>
        <v>19:11:13.102</v>
      </c>
      <c r="U2182" t="str">
        <f t="shared" si="103"/>
        <v>a1cdbe</v>
      </c>
      <c r="V2182">
        <v>0</v>
      </c>
      <c r="W2182">
        <v>0</v>
      </c>
      <c r="X2182">
        <v>1</v>
      </c>
      <c r="Y2182">
        <v>0</v>
      </c>
      <c r="Z2182">
        <v>0</v>
      </c>
      <c r="AB2182">
        <v>0</v>
      </c>
      <c r="AC2182">
        <v>9</v>
      </c>
      <c r="AD2182">
        <v>3</v>
      </c>
      <c r="AE2182">
        <v>0</v>
      </c>
      <c r="AF2182">
        <v>9</v>
      </c>
      <c r="AG2182" t="s">
        <v>158</v>
      </c>
      <c r="AH2182">
        <v>0</v>
      </c>
      <c r="AI2182">
        <v>3</v>
      </c>
      <c r="AJ2182">
        <v>1</v>
      </c>
      <c r="AK2182">
        <v>0</v>
      </c>
      <c r="AL2182" t="s">
        <v>4105</v>
      </c>
      <c r="AM2182">
        <v>46.880378999999998</v>
      </c>
      <c r="AN2182" t="s">
        <v>4106</v>
      </c>
      <c r="AO2182">
        <v>-123.126462</v>
      </c>
      <c r="AP2182">
        <v>100</v>
      </c>
      <c r="AQ2182">
        <v>2100</v>
      </c>
      <c r="AR2182" t="s">
        <v>118</v>
      </c>
      <c r="AS2182">
        <v>-78</v>
      </c>
      <c r="AT2182">
        <v>15</v>
      </c>
      <c r="AU2182">
        <v>-192</v>
      </c>
      <c r="BC2182">
        <v>1200</v>
      </c>
      <c r="BD2182">
        <v>1</v>
      </c>
      <c r="BE2182" t="str">
        <f t="shared" si="104"/>
        <v xml:space="preserve">N215T   </v>
      </c>
      <c r="BF2182">
        <v>1</v>
      </c>
      <c r="BH2182">
        <v>0</v>
      </c>
      <c r="BI2182">
        <v>0</v>
      </c>
      <c r="BJ2182">
        <v>0</v>
      </c>
      <c r="BK2182">
        <v>2450</v>
      </c>
      <c r="BL2182">
        <v>350</v>
      </c>
      <c r="BM2182" t="s">
        <v>119</v>
      </c>
      <c r="BN2182">
        <v>1</v>
      </c>
      <c r="BO2182">
        <v>1</v>
      </c>
      <c r="BP2182">
        <v>1</v>
      </c>
      <c r="BQ2182">
        <v>0</v>
      </c>
      <c r="BT2182">
        <v>0</v>
      </c>
      <c r="BU2182">
        <v>0</v>
      </c>
      <c r="BV2182">
        <v>0</v>
      </c>
      <c r="CC2182" t="str">
        <f>"19:11:13.102"</f>
        <v>19:11:13.102</v>
      </c>
      <c r="CD2182" t="str">
        <f>"102962993"</f>
        <v>102962993</v>
      </c>
      <c r="CQ2182">
        <v>0</v>
      </c>
      <c r="CR2182">
        <v>2</v>
      </c>
      <c r="CS2182">
        <v>0</v>
      </c>
      <c r="CT2182">
        <v>2</v>
      </c>
      <c r="CU2182">
        <v>0</v>
      </c>
      <c r="CV2182">
        <v>6</v>
      </c>
      <c r="CW2182" t="s">
        <v>120</v>
      </c>
      <c r="CX2182">
        <v>261</v>
      </c>
      <c r="CY2182">
        <v>2</v>
      </c>
      <c r="CZ2182" t="s">
        <v>121</v>
      </c>
      <c r="DA2182" t="s">
        <v>122</v>
      </c>
      <c r="DD2182">
        <v>15576676</v>
      </c>
      <c r="DE2182" t="s">
        <v>123</v>
      </c>
    </row>
    <row r="2183" spans="1:109" x14ac:dyDescent="0.3">
      <c r="A2183" t="str">
        <f>"19:11:14.313"</f>
        <v>19:11:14.313</v>
      </c>
      <c r="B2183" t="s">
        <v>110</v>
      </c>
      <c r="C2183" t="str">
        <f t="shared" si="102"/>
        <v>ffdfd3c0</v>
      </c>
      <c r="D2183" t="s">
        <v>111</v>
      </c>
      <c r="E2183">
        <v>18</v>
      </c>
      <c r="F2183">
        <v>1018</v>
      </c>
      <c r="G2183" t="s">
        <v>112</v>
      </c>
      <c r="J2183" t="s">
        <v>113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R2183" t="s">
        <v>114</v>
      </c>
      <c r="S2183" t="str">
        <f>"19:11:14.047"</f>
        <v>19:11:14.047</v>
      </c>
      <c r="T2183" t="str">
        <f>"19:11:14.047"</f>
        <v>19:11:14.047</v>
      </c>
      <c r="U2183" t="str">
        <f t="shared" si="103"/>
        <v>a1cdbe</v>
      </c>
      <c r="V2183">
        <v>0</v>
      </c>
      <c r="W2183">
        <v>0</v>
      </c>
      <c r="X2183">
        <v>1</v>
      </c>
      <c r="Y2183">
        <v>0</v>
      </c>
      <c r="Z2183">
        <v>0</v>
      </c>
      <c r="AB2183">
        <v>0</v>
      </c>
      <c r="AC2183">
        <v>9</v>
      </c>
      <c r="AD2183">
        <v>3</v>
      </c>
      <c r="AE2183">
        <v>0</v>
      </c>
      <c r="AF2183">
        <v>9</v>
      </c>
      <c r="AG2183" t="s">
        <v>158</v>
      </c>
      <c r="AH2183">
        <v>0</v>
      </c>
      <c r="AI2183">
        <v>3</v>
      </c>
      <c r="AJ2183">
        <v>1</v>
      </c>
      <c r="AK2183">
        <v>0</v>
      </c>
      <c r="AL2183" t="s">
        <v>4107</v>
      </c>
      <c r="AM2183">
        <v>46.880443</v>
      </c>
      <c r="AN2183" t="s">
        <v>4108</v>
      </c>
      <c r="AO2183">
        <v>-123.12693400000001</v>
      </c>
      <c r="AP2183">
        <v>100</v>
      </c>
      <c r="AQ2183">
        <v>2100</v>
      </c>
      <c r="AR2183" t="s">
        <v>118</v>
      </c>
      <c r="AS2183">
        <v>-78</v>
      </c>
      <c r="AT2183">
        <v>16</v>
      </c>
      <c r="AU2183">
        <v>-256</v>
      </c>
      <c r="BC2183">
        <v>1200</v>
      </c>
      <c r="BD2183">
        <v>1</v>
      </c>
      <c r="BE2183" t="str">
        <f t="shared" si="104"/>
        <v xml:space="preserve">N215T   </v>
      </c>
      <c r="BF2183">
        <v>1</v>
      </c>
      <c r="BH2183">
        <v>0</v>
      </c>
      <c r="BI2183">
        <v>0</v>
      </c>
      <c r="BJ2183">
        <v>0</v>
      </c>
      <c r="BK2183">
        <v>2450</v>
      </c>
      <c r="BL2183">
        <v>350</v>
      </c>
      <c r="BM2183" t="s">
        <v>119</v>
      </c>
      <c r="BN2183">
        <v>1</v>
      </c>
      <c r="BO2183">
        <v>1</v>
      </c>
      <c r="BP2183">
        <v>1</v>
      </c>
      <c r="BQ2183">
        <v>0</v>
      </c>
      <c r="BT2183">
        <v>0</v>
      </c>
      <c r="BU2183">
        <v>0</v>
      </c>
      <c r="BV2183">
        <v>0</v>
      </c>
      <c r="CC2183" t="str">
        <f>"19:11:14.047"</f>
        <v>19:11:14.047</v>
      </c>
      <c r="CD2183" t="str">
        <f>"047868222"</f>
        <v>047868222</v>
      </c>
      <c r="CQ2183">
        <v>0</v>
      </c>
      <c r="CR2183">
        <v>2</v>
      </c>
      <c r="CS2183">
        <v>0</v>
      </c>
      <c r="CT2183">
        <v>2</v>
      </c>
      <c r="CU2183">
        <v>0</v>
      </c>
      <c r="CV2183">
        <v>5</v>
      </c>
      <c r="CW2183" t="s">
        <v>120</v>
      </c>
      <c r="CX2183">
        <v>257</v>
      </c>
      <c r="CY2183">
        <v>1</v>
      </c>
      <c r="CZ2183" t="s">
        <v>615</v>
      </c>
      <c r="DA2183" t="s">
        <v>616</v>
      </c>
      <c r="DD2183">
        <v>12006129</v>
      </c>
      <c r="DE2183" t="s">
        <v>123</v>
      </c>
    </row>
    <row r="2184" spans="1:109" x14ac:dyDescent="0.3">
      <c r="A2184" t="str">
        <f>"19:11:15.328"</f>
        <v>19:11:15.328</v>
      </c>
      <c r="B2184" t="s">
        <v>110</v>
      </c>
      <c r="C2184" t="str">
        <f t="shared" si="102"/>
        <v>ffdfd3c0</v>
      </c>
      <c r="D2184" t="s">
        <v>111</v>
      </c>
      <c r="E2184">
        <v>18</v>
      </c>
      <c r="F2184">
        <v>1018</v>
      </c>
      <c r="G2184" t="s">
        <v>112</v>
      </c>
      <c r="J2184" t="s">
        <v>113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R2184" t="s">
        <v>114</v>
      </c>
      <c r="S2184" t="str">
        <f>"19:11:15.078"</f>
        <v>19:11:15.078</v>
      </c>
      <c r="T2184" t="str">
        <f>"19:11:15.078"</f>
        <v>19:11:15.078</v>
      </c>
      <c r="U2184" t="str">
        <f t="shared" si="103"/>
        <v>a1cdbe</v>
      </c>
      <c r="V2184">
        <v>0</v>
      </c>
      <c r="W2184">
        <v>0</v>
      </c>
      <c r="X2184">
        <v>1</v>
      </c>
      <c r="Y2184">
        <v>0</v>
      </c>
      <c r="Z2184">
        <v>0</v>
      </c>
      <c r="AB2184">
        <v>0</v>
      </c>
      <c r="AC2184">
        <v>9</v>
      </c>
      <c r="AD2184">
        <v>3</v>
      </c>
      <c r="AE2184">
        <v>0</v>
      </c>
      <c r="AF2184">
        <v>9</v>
      </c>
      <c r="AG2184" t="s">
        <v>158</v>
      </c>
      <c r="AH2184">
        <v>0</v>
      </c>
      <c r="AI2184">
        <v>3</v>
      </c>
      <c r="AJ2184">
        <v>1</v>
      </c>
      <c r="AK2184">
        <v>0</v>
      </c>
      <c r="AL2184" t="s">
        <v>4109</v>
      </c>
      <c r="AM2184">
        <v>46.880529000000003</v>
      </c>
      <c r="AN2184" t="s">
        <v>4110</v>
      </c>
      <c r="AO2184">
        <v>-123.12751299999999</v>
      </c>
      <c r="AP2184">
        <v>100</v>
      </c>
      <c r="AQ2184">
        <v>2100</v>
      </c>
      <c r="AR2184" t="s">
        <v>118</v>
      </c>
      <c r="AS2184">
        <v>-79</v>
      </c>
      <c r="AT2184">
        <v>16</v>
      </c>
      <c r="AU2184">
        <v>-256</v>
      </c>
      <c r="BC2184">
        <v>1200</v>
      </c>
      <c r="BD2184">
        <v>1</v>
      </c>
      <c r="BE2184" t="str">
        <f t="shared" si="104"/>
        <v xml:space="preserve">N215T   </v>
      </c>
      <c r="BF2184">
        <v>1</v>
      </c>
      <c r="BH2184">
        <v>0</v>
      </c>
      <c r="BI2184">
        <v>0</v>
      </c>
      <c r="BJ2184">
        <v>0</v>
      </c>
      <c r="BK2184">
        <v>2450</v>
      </c>
      <c r="BL2184">
        <v>350</v>
      </c>
      <c r="BM2184" t="s">
        <v>119</v>
      </c>
      <c r="BN2184">
        <v>1</v>
      </c>
      <c r="BO2184">
        <v>1</v>
      </c>
      <c r="BP2184">
        <v>1</v>
      </c>
      <c r="BQ2184">
        <v>0</v>
      </c>
      <c r="BT2184">
        <v>0</v>
      </c>
      <c r="BU2184">
        <v>0</v>
      </c>
      <c r="BV2184">
        <v>0</v>
      </c>
      <c r="CC2184" t="str">
        <f>"19:11:15.086"</f>
        <v>19:11:15.086</v>
      </c>
      <c r="CD2184" t="str">
        <f>"082768035"</f>
        <v>082768035</v>
      </c>
      <c r="CQ2184">
        <v>0</v>
      </c>
      <c r="CR2184">
        <v>2</v>
      </c>
      <c r="CS2184">
        <v>0</v>
      </c>
      <c r="CT2184">
        <v>2</v>
      </c>
      <c r="CU2184">
        <v>0</v>
      </c>
      <c r="CV2184">
        <v>7</v>
      </c>
      <c r="CW2184" t="s">
        <v>120</v>
      </c>
      <c r="CX2184">
        <v>261</v>
      </c>
      <c r="CY2184">
        <v>2</v>
      </c>
      <c r="CZ2184" t="s">
        <v>121</v>
      </c>
      <c r="DA2184" t="s">
        <v>122</v>
      </c>
      <c r="DD2184">
        <v>15578085</v>
      </c>
      <c r="DE2184" t="s">
        <v>123</v>
      </c>
    </row>
    <row r="2185" spans="1:109" x14ac:dyDescent="0.3">
      <c r="A2185" t="str">
        <f>"19:11:16.375"</f>
        <v>19:11:16.375</v>
      </c>
      <c r="B2185" t="s">
        <v>110</v>
      </c>
      <c r="C2185" t="str">
        <f t="shared" si="102"/>
        <v>ffdfd3c0</v>
      </c>
      <c r="D2185" t="s">
        <v>111</v>
      </c>
      <c r="E2185">
        <v>18</v>
      </c>
      <c r="F2185">
        <v>1018</v>
      </c>
      <c r="G2185" t="s">
        <v>112</v>
      </c>
      <c r="J2185" t="s">
        <v>113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R2185" t="s">
        <v>114</v>
      </c>
      <c r="S2185" t="str">
        <f>"19:11:16.117"</f>
        <v>19:11:16.117</v>
      </c>
      <c r="T2185" t="str">
        <f>"19:11:16.117"</f>
        <v>19:11:16.117</v>
      </c>
      <c r="U2185" t="str">
        <f t="shared" si="103"/>
        <v>a1cdbe</v>
      </c>
      <c r="V2185">
        <v>0</v>
      </c>
      <c r="W2185">
        <v>0</v>
      </c>
      <c r="X2185">
        <v>1</v>
      </c>
      <c r="Y2185">
        <v>0</v>
      </c>
      <c r="Z2185">
        <v>0</v>
      </c>
      <c r="AB2185">
        <v>0</v>
      </c>
      <c r="AC2185">
        <v>9</v>
      </c>
      <c r="AD2185">
        <v>3</v>
      </c>
      <c r="AE2185">
        <v>0</v>
      </c>
      <c r="AF2185">
        <v>9</v>
      </c>
      <c r="AG2185" t="s">
        <v>158</v>
      </c>
      <c r="AH2185">
        <v>0</v>
      </c>
      <c r="AI2185">
        <v>3</v>
      </c>
      <c r="AJ2185">
        <v>1</v>
      </c>
      <c r="AK2185">
        <v>0</v>
      </c>
      <c r="AL2185" t="s">
        <v>4111</v>
      </c>
      <c r="AM2185">
        <v>46.880636000000003</v>
      </c>
      <c r="AN2185" t="s">
        <v>4112</v>
      </c>
      <c r="AO2185">
        <v>-123.128028</v>
      </c>
      <c r="AP2185">
        <v>100</v>
      </c>
      <c r="AQ2185">
        <v>2100</v>
      </c>
      <c r="AR2185" t="s">
        <v>118</v>
      </c>
      <c r="AS2185">
        <v>-79</v>
      </c>
      <c r="AT2185">
        <v>16</v>
      </c>
      <c r="AU2185">
        <v>-192</v>
      </c>
      <c r="BC2185">
        <v>1200</v>
      </c>
      <c r="BD2185">
        <v>1</v>
      </c>
      <c r="BE2185" t="str">
        <f t="shared" si="104"/>
        <v xml:space="preserve">N215T   </v>
      </c>
      <c r="BF2185">
        <v>1</v>
      </c>
      <c r="BH2185">
        <v>0</v>
      </c>
      <c r="BI2185">
        <v>0</v>
      </c>
      <c r="BJ2185">
        <v>0</v>
      </c>
      <c r="BK2185">
        <v>2450</v>
      </c>
      <c r="BL2185">
        <v>350</v>
      </c>
      <c r="BM2185" t="s">
        <v>119</v>
      </c>
      <c r="BN2185">
        <v>1</v>
      </c>
      <c r="BO2185">
        <v>1</v>
      </c>
      <c r="BP2185">
        <v>1</v>
      </c>
      <c r="BQ2185">
        <v>0</v>
      </c>
      <c r="BT2185">
        <v>0</v>
      </c>
      <c r="BU2185">
        <v>0</v>
      </c>
      <c r="BV2185">
        <v>0</v>
      </c>
      <c r="CC2185" t="str">
        <f>"19:11:16.117"</f>
        <v>19:11:16.117</v>
      </c>
      <c r="CD2185" t="str">
        <f>"117666097"</f>
        <v>117666097</v>
      </c>
      <c r="CQ2185">
        <v>0</v>
      </c>
      <c r="CR2185">
        <v>2</v>
      </c>
      <c r="CS2185">
        <v>0</v>
      </c>
      <c r="CT2185">
        <v>2</v>
      </c>
      <c r="CU2185">
        <v>0</v>
      </c>
      <c r="CV2185">
        <v>7</v>
      </c>
      <c r="CW2185" t="s">
        <v>120</v>
      </c>
      <c r="CX2185">
        <v>261</v>
      </c>
      <c r="CY2185">
        <v>2</v>
      </c>
      <c r="CZ2185" t="s">
        <v>121</v>
      </c>
      <c r="DA2185" t="s">
        <v>122</v>
      </c>
      <c r="DD2185">
        <v>15578867</v>
      </c>
      <c r="DE2185" t="s">
        <v>123</v>
      </c>
    </row>
    <row r="2186" spans="1:109" x14ac:dyDescent="0.3">
      <c r="A2186" t="str">
        <f>"19:11:17.383"</f>
        <v>19:11:17.383</v>
      </c>
      <c r="B2186" t="s">
        <v>110</v>
      </c>
      <c r="C2186" t="str">
        <f t="shared" si="102"/>
        <v>ffdfd3c0</v>
      </c>
      <c r="D2186" t="s">
        <v>111</v>
      </c>
      <c r="E2186">
        <v>18</v>
      </c>
      <c r="F2186">
        <v>1018</v>
      </c>
      <c r="G2186" t="s">
        <v>112</v>
      </c>
      <c r="J2186" t="s">
        <v>113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R2186" t="s">
        <v>114</v>
      </c>
      <c r="S2186" t="str">
        <f>"19:11:17.117"</f>
        <v>19:11:17.117</v>
      </c>
      <c r="T2186" t="str">
        <f>"19:11:16.719"</f>
        <v>19:11:16.719</v>
      </c>
      <c r="U2186" t="str">
        <f t="shared" si="103"/>
        <v>a1cdbe</v>
      </c>
      <c r="V2186">
        <v>0</v>
      </c>
      <c r="W2186">
        <v>0</v>
      </c>
      <c r="X2186">
        <v>1</v>
      </c>
      <c r="Y2186">
        <v>0</v>
      </c>
      <c r="Z2186">
        <v>0</v>
      </c>
      <c r="AB2186">
        <v>0</v>
      </c>
      <c r="AC2186">
        <v>9</v>
      </c>
      <c r="AD2186">
        <v>3</v>
      </c>
      <c r="AE2186">
        <v>0</v>
      </c>
      <c r="AF2186">
        <v>9</v>
      </c>
      <c r="AG2186" t="s">
        <v>158</v>
      </c>
      <c r="AH2186">
        <v>0</v>
      </c>
      <c r="AI2186">
        <v>3</v>
      </c>
      <c r="AJ2186">
        <v>1</v>
      </c>
      <c r="AK2186">
        <v>0</v>
      </c>
      <c r="AL2186" t="s">
        <v>4113</v>
      </c>
      <c r="AM2186">
        <v>46.880701000000002</v>
      </c>
      <c r="AN2186" t="s">
        <v>4114</v>
      </c>
      <c r="AO2186">
        <v>-123.128564</v>
      </c>
      <c r="AP2186">
        <v>100</v>
      </c>
      <c r="AQ2186">
        <v>2100</v>
      </c>
      <c r="AR2186" t="s">
        <v>118</v>
      </c>
      <c r="AS2186">
        <v>-79</v>
      </c>
      <c r="AT2186">
        <v>16</v>
      </c>
      <c r="AU2186">
        <v>-128</v>
      </c>
      <c r="BC2186">
        <v>1200</v>
      </c>
      <c r="BD2186">
        <v>1</v>
      </c>
      <c r="BE2186" t="str">
        <f t="shared" si="104"/>
        <v xml:space="preserve">N215T   </v>
      </c>
      <c r="BF2186">
        <v>1</v>
      </c>
      <c r="BH2186">
        <v>0</v>
      </c>
      <c r="BI2186">
        <v>0</v>
      </c>
      <c r="BJ2186">
        <v>0</v>
      </c>
      <c r="BK2186">
        <v>2450</v>
      </c>
      <c r="BL2186">
        <v>350</v>
      </c>
      <c r="BM2186" t="s">
        <v>119</v>
      </c>
      <c r="BN2186">
        <v>1</v>
      </c>
      <c r="BO2186">
        <v>1</v>
      </c>
      <c r="BP2186">
        <v>1</v>
      </c>
      <c r="BQ2186">
        <v>0</v>
      </c>
      <c r="BT2186">
        <v>0</v>
      </c>
      <c r="BU2186">
        <v>0</v>
      </c>
      <c r="BV2186">
        <v>0</v>
      </c>
      <c r="CC2186" t="str">
        <f>"19:11:17.125"</f>
        <v>19:11:17.125</v>
      </c>
      <c r="CD2186" t="str">
        <f>"122567132"</f>
        <v>122567132</v>
      </c>
      <c r="CQ2186">
        <v>0</v>
      </c>
      <c r="CR2186">
        <v>2</v>
      </c>
      <c r="CS2186">
        <v>0</v>
      </c>
      <c r="CT2186">
        <v>2</v>
      </c>
      <c r="CU2186">
        <v>0</v>
      </c>
      <c r="CV2186">
        <v>6</v>
      </c>
      <c r="CW2186" t="s">
        <v>120</v>
      </c>
      <c r="CX2186">
        <v>261</v>
      </c>
      <c r="CY2186">
        <v>2</v>
      </c>
      <c r="CZ2186" t="s">
        <v>121</v>
      </c>
      <c r="DA2186" t="s">
        <v>122</v>
      </c>
      <c r="DD2186">
        <v>15579528</v>
      </c>
      <c r="DE2186" t="s">
        <v>123</v>
      </c>
    </row>
    <row r="2187" spans="1:109" x14ac:dyDescent="0.3">
      <c r="A2187" t="str">
        <f>"19:11:18.234"</f>
        <v>19:11:18.234</v>
      </c>
      <c r="B2187" t="s">
        <v>110</v>
      </c>
      <c r="C2187" t="str">
        <f t="shared" si="102"/>
        <v>ffdfd3c0</v>
      </c>
      <c r="D2187" t="s">
        <v>111</v>
      </c>
      <c r="E2187">
        <v>18</v>
      </c>
      <c r="F2187">
        <v>1018</v>
      </c>
      <c r="G2187" t="s">
        <v>112</v>
      </c>
      <c r="J2187" t="s">
        <v>113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R2187" t="s">
        <v>114</v>
      </c>
      <c r="S2187" t="str">
        <f>"19:11:18.000"</f>
        <v>19:11:18.000</v>
      </c>
      <c r="T2187" t="str">
        <f>"19:11:17.703"</f>
        <v>19:11:17.703</v>
      </c>
      <c r="U2187" t="str">
        <f t="shared" si="103"/>
        <v>a1cdbe</v>
      </c>
      <c r="V2187">
        <v>0</v>
      </c>
      <c r="W2187">
        <v>0</v>
      </c>
      <c r="X2187">
        <v>1</v>
      </c>
      <c r="Y2187">
        <v>0</v>
      </c>
      <c r="Z2187">
        <v>0</v>
      </c>
      <c r="AB2187">
        <v>0</v>
      </c>
      <c r="AC2187">
        <v>9</v>
      </c>
      <c r="AD2187">
        <v>3</v>
      </c>
      <c r="AE2187">
        <v>0</v>
      </c>
      <c r="AF2187">
        <v>9</v>
      </c>
      <c r="AG2187" t="s">
        <v>158</v>
      </c>
      <c r="AH2187">
        <v>0</v>
      </c>
      <c r="AI2187">
        <v>3</v>
      </c>
      <c r="AJ2187">
        <v>1</v>
      </c>
      <c r="AK2187">
        <v>0</v>
      </c>
      <c r="AL2187" t="s">
        <v>4115</v>
      </c>
      <c r="AM2187">
        <v>46.880764999999997</v>
      </c>
      <c r="AN2187" t="s">
        <v>4116</v>
      </c>
      <c r="AO2187">
        <v>-123.129058</v>
      </c>
      <c r="AP2187">
        <v>100</v>
      </c>
      <c r="AQ2187">
        <v>2100</v>
      </c>
      <c r="AR2187" t="s">
        <v>118</v>
      </c>
      <c r="AS2187">
        <v>-79</v>
      </c>
      <c r="AT2187">
        <v>16</v>
      </c>
      <c r="AU2187">
        <v>-128</v>
      </c>
      <c r="BC2187">
        <v>1200</v>
      </c>
      <c r="BD2187">
        <v>1</v>
      </c>
      <c r="BE2187" t="str">
        <f t="shared" si="104"/>
        <v xml:space="preserve">N215T   </v>
      </c>
      <c r="BF2187">
        <v>1</v>
      </c>
      <c r="BH2187">
        <v>0</v>
      </c>
      <c r="BI2187">
        <v>0</v>
      </c>
      <c r="BJ2187">
        <v>0</v>
      </c>
      <c r="BK2187">
        <v>2450</v>
      </c>
      <c r="BL2187">
        <v>350</v>
      </c>
      <c r="BM2187" t="s">
        <v>119</v>
      </c>
      <c r="BN2187">
        <v>1</v>
      </c>
      <c r="BO2187">
        <v>1</v>
      </c>
      <c r="BP2187">
        <v>1</v>
      </c>
      <c r="BQ2187">
        <v>0</v>
      </c>
      <c r="BT2187">
        <v>0</v>
      </c>
      <c r="BU2187">
        <v>0</v>
      </c>
      <c r="BV2187">
        <v>0</v>
      </c>
      <c r="CC2187" t="str">
        <f>"19:11:18.008"</f>
        <v>19:11:18.008</v>
      </c>
      <c r="CD2187" t="str">
        <f>"007479975"</f>
        <v>007479975</v>
      </c>
      <c r="CQ2187">
        <v>0</v>
      </c>
      <c r="CR2187">
        <v>2</v>
      </c>
      <c r="CS2187">
        <v>0</v>
      </c>
      <c r="CT2187">
        <v>2</v>
      </c>
      <c r="CU2187">
        <v>0</v>
      </c>
      <c r="CV2187">
        <v>6</v>
      </c>
      <c r="CW2187" t="s">
        <v>120</v>
      </c>
      <c r="CX2187">
        <v>261</v>
      </c>
      <c r="CY2187">
        <v>2</v>
      </c>
      <c r="CZ2187" t="s">
        <v>121</v>
      </c>
      <c r="DA2187" t="s">
        <v>122</v>
      </c>
      <c r="DD2187">
        <v>15580169</v>
      </c>
      <c r="DE2187" t="s">
        <v>123</v>
      </c>
    </row>
    <row r="2188" spans="1:109" x14ac:dyDescent="0.3">
      <c r="A2188" t="str">
        <f>"19:11:19.289"</f>
        <v>19:11:19.289</v>
      </c>
      <c r="B2188" t="s">
        <v>110</v>
      </c>
      <c r="C2188" t="str">
        <f t="shared" si="102"/>
        <v>ffdfd3c0</v>
      </c>
      <c r="D2188" t="s">
        <v>111</v>
      </c>
      <c r="E2188">
        <v>18</v>
      </c>
      <c r="F2188">
        <v>1018</v>
      </c>
      <c r="G2188" t="s">
        <v>112</v>
      </c>
      <c r="J2188" t="s">
        <v>113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R2188" t="s">
        <v>114</v>
      </c>
      <c r="S2188" t="str">
        <f>"19:11:19.055"</f>
        <v>19:11:19.055</v>
      </c>
      <c r="T2188" t="str">
        <f>"19:11:18.656"</f>
        <v>19:11:18.656</v>
      </c>
      <c r="U2188" t="str">
        <f t="shared" si="103"/>
        <v>a1cdbe</v>
      </c>
      <c r="V2188">
        <v>0</v>
      </c>
      <c r="W2188">
        <v>0</v>
      </c>
      <c r="X2188">
        <v>1</v>
      </c>
      <c r="Y2188">
        <v>0</v>
      </c>
      <c r="Z2188">
        <v>0</v>
      </c>
      <c r="AB2188">
        <v>0</v>
      </c>
      <c r="AC2188">
        <v>9</v>
      </c>
      <c r="AD2188">
        <v>3</v>
      </c>
      <c r="AE2188">
        <v>0</v>
      </c>
      <c r="AF2188">
        <v>9</v>
      </c>
      <c r="AG2188" t="s">
        <v>158</v>
      </c>
      <c r="AH2188">
        <v>0</v>
      </c>
      <c r="AI2188">
        <v>3</v>
      </c>
      <c r="AJ2188">
        <v>1</v>
      </c>
      <c r="AK2188">
        <v>0</v>
      </c>
      <c r="AL2188" t="s">
        <v>4117</v>
      </c>
      <c r="AM2188">
        <v>46.880851</v>
      </c>
      <c r="AN2188" t="s">
        <v>4118</v>
      </c>
      <c r="AO2188">
        <v>-123.129616</v>
      </c>
      <c r="AP2188">
        <v>100</v>
      </c>
      <c r="AQ2188">
        <v>2100</v>
      </c>
      <c r="AR2188" t="s">
        <v>118</v>
      </c>
      <c r="AS2188">
        <v>-80</v>
      </c>
      <c r="AT2188">
        <v>16</v>
      </c>
      <c r="AU2188">
        <v>-128</v>
      </c>
      <c r="BC2188">
        <v>1200</v>
      </c>
      <c r="BD2188">
        <v>1</v>
      </c>
      <c r="BE2188" t="str">
        <f t="shared" si="104"/>
        <v xml:space="preserve">N215T   </v>
      </c>
      <c r="BF2188">
        <v>1</v>
      </c>
      <c r="BH2188">
        <v>0</v>
      </c>
      <c r="BI2188">
        <v>0</v>
      </c>
      <c r="BJ2188">
        <v>0</v>
      </c>
      <c r="BK2188">
        <v>2450</v>
      </c>
      <c r="BL2188">
        <v>350</v>
      </c>
      <c r="BM2188" t="s">
        <v>119</v>
      </c>
      <c r="BN2188">
        <v>1</v>
      </c>
      <c r="BO2188">
        <v>1</v>
      </c>
      <c r="BP2188">
        <v>1</v>
      </c>
      <c r="BQ2188">
        <v>0</v>
      </c>
      <c r="BT2188">
        <v>0</v>
      </c>
      <c r="BU2188">
        <v>0</v>
      </c>
      <c r="BV2188">
        <v>0</v>
      </c>
      <c r="CC2188" t="str">
        <f>"19:11:19.055"</f>
        <v>19:11:19.055</v>
      </c>
      <c r="CD2188" t="str">
        <f>"057376588"</f>
        <v>057376588</v>
      </c>
      <c r="CQ2188">
        <v>0</v>
      </c>
      <c r="CR2188">
        <v>2</v>
      </c>
      <c r="CS2188">
        <v>0</v>
      </c>
      <c r="CT2188">
        <v>2</v>
      </c>
      <c r="CU2188">
        <v>0</v>
      </c>
      <c r="CV2188">
        <v>7</v>
      </c>
      <c r="CW2188" t="s">
        <v>120</v>
      </c>
      <c r="CX2188">
        <v>261</v>
      </c>
      <c r="CY2188">
        <v>2</v>
      </c>
      <c r="CZ2188" t="s">
        <v>121</v>
      </c>
      <c r="DA2188" t="s">
        <v>122</v>
      </c>
      <c r="DD2188">
        <v>15580930</v>
      </c>
      <c r="DE2188" t="s">
        <v>123</v>
      </c>
    </row>
    <row r="2189" spans="1:109" x14ac:dyDescent="0.3">
      <c r="A2189" t="str">
        <f>"19:11:20.195"</f>
        <v>19:11:20.195</v>
      </c>
      <c r="B2189" t="s">
        <v>110</v>
      </c>
      <c r="C2189" t="str">
        <f t="shared" si="102"/>
        <v>ffdfd3c0</v>
      </c>
      <c r="D2189" t="s">
        <v>111</v>
      </c>
      <c r="E2189">
        <v>18</v>
      </c>
      <c r="F2189">
        <v>1018</v>
      </c>
      <c r="G2189" t="s">
        <v>112</v>
      </c>
      <c r="J2189" t="s">
        <v>113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R2189" t="s">
        <v>114</v>
      </c>
      <c r="S2189" t="str">
        <f>"19:11:19.906"</f>
        <v>19:11:19.906</v>
      </c>
      <c r="T2189" t="str">
        <f>"19:11:19.703"</f>
        <v>19:11:19.703</v>
      </c>
      <c r="U2189" t="str">
        <f t="shared" si="103"/>
        <v>a1cdbe</v>
      </c>
      <c r="V2189">
        <v>0</v>
      </c>
      <c r="W2189">
        <v>0</v>
      </c>
      <c r="X2189">
        <v>1</v>
      </c>
      <c r="Y2189">
        <v>0</v>
      </c>
      <c r="Z2189">
        <v>0</v>
      </c>
      <c r="AB2189">
        <v>0</v>
      </c>
      <c r="AC2189">
        <v>9</v>
      </c>
      <c r="AD2189">
        <v>3</v>
      </c>
      <c r="AE2189">
        <v>0</v>
      </c>
      <c r="AF2189">
        <v>9</v>
      </c>
      <c r="AG2189" t="s">
        <v>158</v>
      </c>
      <c r="AH2189">
        <v>0</v>
      </c>
      <c r="AI2189">
        <v>3</v>
      </c>
      <c r="AJ2189">
        <v>1</v>
      </c>
      <c r="AK2189">
        <v>0</v>
      </c>
      <c r="AL2189" t="s">
        <v>4119</v>
      </c>
      <c r="AM2189">
        <v>46.880893999999998</v>
      </c>
      <c r="AN2189" t="s">
        <v>4120</v>
      </c>
      <c r="AO2189">
        <v>-123.130109</v>
      </c>
      <c r="AP2189">
        <v>100</v>
      </c>
      <c r="AQ2189">
        <v>2100</v>
      </c>
      <c r="AR2189" t="s">
        <v>118</v>
      </c>
      <c r="AS2189">
        <v>-80</v>
      </c>
      <c r="AT2189">
        <v>16</v>
      </c>
      <c r="AU2189">
        <v>-64</v>
      </c>
      <c r="BC2189">
        <v>1200</v>
      </c>
      <c r="BD2189">
        <v>1</v>
      </c>
      <c r="BE2189" t="str">
        <f t="shared" si="104"/>
        <v xml:space="preserve">N215T   </v>
      </c>
      <c r="BF2189">
        <v>1</v>
      </c>
      <c r="BH2189">
        <v>0</v>
      </c>
      <c r="BI2189">
        <v>0</v>
      </c>
      <c r="BJ2189">
        <v>0</v>
      </c>
      <c r="BK2189">
        <v>2425</v>
      </c>
      <c r="BL2189">
        <v>325</v>
      </c>
      <c r="BM2189" t="s">
        <v>119</v>
      </c>
      <c r="BN2189">
        <v>1</v>
      </c>
      <c r="BO2189">
        <v>1</v>
      </c>
      <c r="BP2189">
        <v>1</v>
      </c>
      <c r="BQ2189">
        <v>0</v>
      </c>
      <c r="BT2189">
        <v>0</v>
      </c>
      <c r="BU2189">
        <v>0</v>
      </c>
      <c r="BV2189">
        <v>0</v>
      </c>
      <c r="CC2189" t="str">
        <f>"19:11:19.914"</f>
        <v>19:11:19.914</v>
      </c>
      <c r="CD2189" t="str">
        <f>"912290081"</f>
        <v>912290081</v>
      </c>
      <c r="CQ2189">
        <v>0</v>
      </c>
      <c r="CR2189">
        <v>2</v>
      </c>
      <c r="CS2189">
        <v>0</v>
      </c>
      <c r="CT2189">
        <v>2</v>
      </c>
      <c r="CU2189">
        <v>0</v>
      </c>
      <c r="CV2189">
        <v>5</v>
      </c>
      <c r="CW2189" t="s">
        <v>120</v>
      </c>
      <c r="CX2189">
        <v>257</v>
      </c>
      <c r="CY2189">
        <v>1</v>
      </c>
      <c r="CZ2189" t="s">
        <v>615</v>
      </c>
      <c r="DA2189" t="s">
        <v>616</v>
      </c>
      <c r="DD2189">
        <v>12010618</v>
      </c>
      <c r="DE2189" t="s">
        <v>123</v>
      </c>
    </row>
    <row r="2190" spans="1:109" x14ac:dyDescent="0.3">
      <c r="A2190" t="str">
        <f>"19:11:21.148"</f>
        <v>19:11:21.148</v>
      </c>
      <c r="B2190" t="s">
        <v>110</v>
      </c>
      <c r="C2190" t="str">
        <f t="shared" si="102"/>
        <v>ffdfd3c0</v>
      </c>
      <c r="D2190" t="s">
        <v>111</v>
      </c>
      <c r="E2190">
        <v>18</v>
      </c>
      <c r="F2190">
        <v>1018</v>
      </c>
      <c r="G2190" t="s">
        <v>112</v>
      </c>
      <c r="J2190" t="s">
        <v>113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R2190" t="s">
        <v>114</v>
      </c>
      <c r="S2190" t="str">
        <f>"19:11:20.898"</f>
        <v>19:11:20.898</v>
      </c>
      <c r="T2190" t="str">
        <f>"19:11:20.602"</f>
        <v>19:11:20.602</v>
      </c>
      <c r="U2190" t="str">
        <f t="shared" si="103"/>
        <v>a1cdbe</v>
      </c>
      <c r="V2190">
        <v>0</v>
      </c>
      <c r="W2190">
        <v>0</v>
      </c>
      <c r="X2190">
        <v>1</v>
      </c>
      <c r="Y2190">
        <v>0</v>
      </c>
      <c r="Z2190">
        <v>0</v>
      </c>
      <c r="AB2190">
        <v>0</v>
      </c>
      <c r="AC2190">
        <v>9</v>
      </c>
      <c r="AD2190">
        <v>3</v>
      </c>
      <c r="AE2190">
        <v>0</v>
      </c>
      <c r="AF2190">
        <v>9</v>
      </c>
      <c r="AG2190" t="s">
        <v>158</v>
      </c>
      <c r="AH2190">
        <v>0</v>
      </c>
      <c r="AI2190">
        <v>3</v>
      </c>
      <c r="AJ2190">
        <v>1</v>
      </c>
      <c r="AK2190">
        <v>0</v>
      </c>
      <c r="AL2190" t="s">
        <v>4121</v>
      </c>
      <c r="AM2190">
        <v>46.881000999999998</v>
      </c>
      <c r="AN2190" t="s">
        <v>4122</v>
      </c>
      <c r="AO2190">
        <v>-123.130646</v>
      </c>
      <c r="AP2190">
        <v>100</v>
      </c>
      <c r="AQ2190">
        <v>2100</v>
      </c>
      <c r="AR2190" t="s">
        <v>118</v>
      </c>
      <c r="AS2190">
        <v>-79</v>
      </c>
      <c r="AT2190">
        <v>16</v>
      </c>
      <c r="AU2190">
        <v>-64</v>
      </c>
      <c r="BC2190">
        <v>1200</v>
      </c>
      <c r="BD2190">
        <v>1</v>
      </c>
      <c r="BE2190" t="str">
        <f t="shared" si="104"/>
        <v xml:space="preserve">N215T   </v>
      </c>
      <c r="BF2190">
        <v>1</v>
      </c>
      <c r="BH2190">
        <v>0</v>
      </c>
      <c r="BI2190">
        <v>0</v>
      </c>
      <c r="BJ2190">
        <v>0</v>
      </c>
      <c r="BK2190">
        <v>2425</v>
      </c>
      <c r="BL2190">
        <v>325</v>
      </c>
      <c r="BM2190" t="s">
        <v>119</v>
      </c>
      <c r="BN2190">
        <v>1</v>
      </c>
      <c r="BO2190">
        <v>1</v>
      </c>
      <c r="BP2190">
        <v>1</v>
      </c>
      <c r="BQ2190">
        <v>0</v>
      </c>
      <c r="BT2190">
        <v>0</v>
      </c>
      <c r="BU2190">
        <v>0</v>
      </c>
      <c r="BV2190">
        <v>0</v>
      </c>
      <c r="CC2190" t="str">
        <f>"19:11:20.898"</f>
        <v>19:11:20.898</v>
      </c>
      <c r="CD2190" t="str">
        <f>"902194905"</f>
        <v>902194905</v>
      </c>
      <c r="CQ2190">
        <v>0</v>
      </c>
      <c r="CR2190">
        <v>2</v>
      </c>
      <c r="CS2190">
        <v>0</v>
      </c>
      <c r="CT2190">
        <v>2</v>
      </c>
      <c r="CU2190">
        <v>0</v>
      </c>
      <c r="CV2190">
        <v>6</v>
      </c>
      <c r="CW2190" t="s">
        <v>120</v>
      </c>
      <c r="CX2190">
        <v>261</v>
      </c>
      <c r="CY2190">
        <v>2</v>
      </c>
      <c r="CZ2190" t="s">
        <v>121</v>
      </c>
      <c r="DA2190" t="s">
        <v>122</v>
      </c>
      <c r="DD2190">
        <v>15582336</v>
      </c>
      <c r="DE2190" t="s">
        <v>123</v>
      </c>
    </row>
    <row r="2191" spans="1:109" x14ac:dyDescent="0.3">
      <c r="A2191" t="str">
        <f>"19:11:22.109"</f>
        <v>19:11:22.109</v>
      </c>
      <c r="B2191" t="s">
        <v>110</v>
      </c>
      <c r="C2191" t="str">
        <f t="shared" si="102"/>
        <v>ffdfd3c0</v>
      </c>
      <c r="D2191" t="s">
        <v>111</v>
      </c>
      <c r="E2191">
        <v>18</v>
      </c>
      <c r="F2191">
        <v>1018</v>
      </c>
      <c r="G2191" t="s">
        <v>112</v>
      </c>
      <c r="J2191" t="s">
        <v>113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R2191" t="s">
        <v>114</v>
      </c>
      <c r="S2191" t="str">
        <f>"19:11:21.891"</f>
        <v>19:11:21.891</v>
      </c>
      <c r="T2191" t="str">
        <f>"19:11:21.688"</f>
        <v>19:11:21.688</v>
      </c>
      <c r="U2191" t="str">
        <f t="shared" si="103"/>
        <v>a1cdbe</v>
      </c>
      <c r="V2191">
        <v>0</v>
      </c>
      <c r="W2191">
        <v>0</v>
      </c>
      <c r="X2191">
        <v>1</v>
      </c>
      <c r="Y2191">
        <v>0</v>
      </c>
      <c r="Z2191">
        <v>0</v>
      </c>
      <c r="AB2191">
        <v>0</v>
      </c>
      <c r="AC2191">
        <v>9</v>
      </c>
      <c r="AD2191">
        <v>3</v>
      </c>
      <c r="AE2191">
        <v>0</v>
      </c>
      <c r="AF2191">
        <v>9</v>
      </c>
      <c r="AG2191" t="s">
        <v>158</v>
      </c>
      <c r="AH2191">
        <v>0</v>
      </c>
      <c r="AI2191">
        <v>3</v>
      </c>
      <c r="AJ2191">
        <v>1</v>
      </c>
      <c r="AK2191">
        <v>0</v>
      </c>
      <c r="AL2191" t="s">
        <v>4123</v>
      </c>
      <c r="AM2191">
        <v>46.881044000000003</v>
      </c>
      <c r="AN2191" t="s">
        <v>4124</v>
      </c>
      <c r="AO2191">
        <v>-123.131096</v>
      </c>
      <c r="AP2191">
        <v>100</v>
      </c>
      <c r="AQ2191">
        <v>2100</v>
      </c>
      <c r="AR2191" t="s">
        <v>118</v>
      </c>
      <c r="AS2191">
        <v>-79</v>
      </c>
      <c r="AT2191">
        <v>16</v>
      </c>
      <c r="AU2191">
        <v>0</v>
      </c>
      <c r="BC2191">
        <v>1200</v>
      </c>
      <c r="BD2191">
        <v>1</v>
      </c>
      <c r="BE2191" t="str">
        <f t="shared" si="104"/>
        <v xml:space="preserve">N215T   </v>
      </c>
      <c r="BF2191">
        <v>1</v>
      </c>
      <c r="BH2191">
        <v>0</v>
      </c>
      <c r="BI2191">
        <v>0</v>
      </c>
      <c r="BJ2191">
        <v>0</v>
      </c>
      <c r="BK2191">
        <v>2425</v>
      </c>
      <c r="BL2191">
        <v>325</v>
      </c>
      <c r="BM2191" t="s">
        <v>119</v>
      </c>
      <c r="BN2191">
        <v>1</v>
      </c>
      <c r="BO2191">
        <v>1</v>
      </c>
      <c r="BP2191">
        <v>1</v>
      </c>
      <c r="BQ2191">
        <v>0</v>
      </c>
      <c r="BT2191">
        <v>0</v>
      </c>
      <c r="BU2191">
        <v>0</v>
      </c>
      <c r="BV2191">
        <v>0</v>
      </c>
      <c r="CC2191" t="str">
        <f>"19:11:21.891"</f>
        <v>19:11:21.891</v>
      </c>
      <c r="CD2191" t="str">
        <f>"892097429"</f>
        <v>892097429</v>
      </c>
      <c r="CQ2191">
        <v>0</v>
      </c>
      <c r="CR2191">
        <v>2</v>
      </c>
      <c r="CS2191">
        <v>0</v>
      </c>
      <c r="CT2191">
        <v>2</v>
      </c>
      <c r="CU2191">
        <v>0</v>
      </c>
      <c r="CV2191">
        <v>7</v>
      </c>
      <c r="CW2191" t="s">
        <v>120</v>
      </c>
      <c r="CX2191">
        <v>261</v>
      </c>
      <c r="CY2191">
        <v>2</v>
      </c>
      <c r="CZ2191" t="s">
        <v>121</v>
      </c>
      <c r="DA2191" t="s">
        <v>122</v>
      </c>
      <c r="DD2191">
        <v>15583044</v>
      </c>
      <c r="DE2191" t="s">
        <v>123</v>
      </c>
    </row>
    <row r="2192" spans="1:109" x14ac:dyDescent="0.3">
      <c r="A2192" t="str">
        <f>"19:11:23.164"</f>
        <v>19:11:23.164</v>
      </c>
      <c r="B2192" t="s">
        <v>110</v>
      </c>
      <c r="C2192" t="str">
        <f t="shared" si="102"/>
        <v>ffdfd3c0</v>
      </c>
      <c r="D2192" t="s">
        <v>111</v>
      </c>
      <c r="E2192">
        <v>18</v>
      </c>
      <c r="F2192">
        <v>1018</v>
      </c>
      <c r="G2192" t="s">
        <v>112</v>
      </c>
      <c r="J2192" t="s">
        <v>113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R2192" t="s">
        <v>114</v>
      </c>
      <c r="S2192" t="str">
        <f>"19:11:22.938"</f>
        <v>19:11:22.938</v>
      </c>
      <c r="T2192" t="str">
        <f>"19:11:22.734"</f>
        <v>19:11:22.734</v>
      </c>
      <c r="U2192" t="str">
        <f t="shared" si="103"/>
        <v>a1cdbe</v>
      </c>
      <c r="V2192">
        <v>0</v>
      </c>
      <c r="W2192">
        <v>0</v>
      </c>
      <c r="X2192">
        <v>1</v>
      </c>
      <c r="Y2192">
        <v>0</v>
      </c>
      <c r="Z2192">
        <v>0</v>
      </c>
      <c r="AB2192">
        <v>0</v>
      </c>
      <c r="AC2192">
        <v>9</v>
      </c>
      <c r="AD2192">
        <v>3</v>
      </c>
      <c r="AE2192">
        <v>0</v>
      </c>
      <c r="AF2192">
        <v>9</v>
      </c>
      <c r="AG2192" t="s">
        <v>158</v>
      </c>
      <c r="AH2192">
        <v>0</v>
      </c>
      <c r="AI2192">
        <v>3</v>
      </c>
      <c r="AJ2192">
        <v>1</v>
      </c>
      <c r="AK2192">
        <v>0</v>
      </c>
      <c r="AL2192" t="s">
        <v>4125</v>
      </c>
      <c r="AM2192">
        <v>46.881129999999999</v>
      </c>
      <c r="AN2192" t="s">
        <v>4126</v>
      </c>
      <c r="AO2192">
        <v>-123.131676</v>
      </c>
      <c r="AP2192">
        <v>100</v>
      </c>
      <c r="AQ2192">
        <v>2100</v>
      </c>
      <c r="AR2192" t="s">
        <v>118</v>
      </c>
      <c r="AS2192">
        <v>-79</v>
      </c>
      <c r="AT2192">
        <v>15</v>
      </c>
      <c r="AU2192">
        <v>0</v>
      </c>
      <c r="BC2192">
        <v>1200</v>
      </c>
      <c r="BD2192">
        <v>1</v>
      </c>
      <c r="BE2192" t="str">
        <f t="shared" si="104"/>
        <v xml:space="preserve">N215T   </v>
      </c>
      <c r="BF2192">
        <v>1</v>
      </c>
      <c r="BH2192">
        <v>0</v>
      </c>
      <c r="BI2192">
        <v>0</v>
      </c>
      <c r="BJ2192">
        <v>0</v>
      </c>
      <c r="BK2192">
        <v>2425</v>
      </c>
      <c r="BL2192">
        <v>325</v>
      </c>
      <c r="BM2192" t="s">
        <v>119</v>
      </c>
      <c r="BN2192">
        <v>1</v>
      </c>
      <c r="BO2192">
        <v>1</v>
      </c>
      <c r="BP2192">
        <v>1</v>
      </c>
      <c r="BQ2192">
        <v>0</v>
      </c>
      <c r="BT2192">
        <v>0</v>
      </c>
      <c r="BU2192">
        <v>0</v>
      </c>
      <c r="BV2192">
        <v>0</v>
      </c>
      <c r="CC2192" t="str">
        <f>"19:11:22.945"</f>
        <v>19:11:22.945</v>
      </c>
      <c r="CD2192" t="str">
        <f>"941994023"</f>
        <v>941994023</v>
      </c>
      <c r="CQ2192">
        <v>0</v>
      </c>
      <c r="CR2192">
        <v>2</v>
      </c>
      <c r="CS2192">
        <v>0</v>
      </c>
      <c r="CT2192">
        <v>2</v>
      </c>
      <c r="CU2192">
        <v>0</v>
      </c>
      <c r="CV2192">
        <v>6</v>
      </c>
      <c r="CW2192" t="s">
        <v>120</v>
      </c>
      <c r="CX2192">
        <v>261</v>
      </c>
      <c r="CY2192">
        <v>2</v>
      </c>
      <c r="CZ2192" t="s">
        <v>121</v>
      </c>
      <c r="DA2192" t="s">
        <v>122</v>
      </c>
      <c r="DD2192">
        <v>15583774</v>
      </c>
      <c r="DE2192" t="s">
        <v>123</v>
      </c>
    </row>
    <row r="2193" spans="1:109" x14ac:dyDescent="0.3">
      <c r="A2193" t="str">
        <f>"19:11:24.367"</f>
        <v>19:11:24.367</v>
      </c>
      <c r="B2193" t="s">
        <v>110</v>
      </c>
      <c r="C2193" t="str">
        <f t="shared" si="102"/>
        <v>ffdfd3c0</v>
      </c>
      <c r="D2193" t="s">
        <v>111</v>
      </c>
      <c r="E2193">
        <v>18</v>
      </c>
      <c r="F2193">
        <v>1018</v>
      </c>
      <c r="G2193" t="s">
        <v>112</v>
      </c>
      <c r="J2193" t="s">
        <v>113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R2193" t="s">
        <v>114</v>
      </c>
      <c r="S2193" t="str">
        <f>"19:11:24.109"</f>
        <v>19:11:24.109</v>
      </c>
      <c r="T2193" t="str">
        <f>"19:11:24.109"</f>
        <v>19:11:24.109</v>
      </c>
      <c r="U2193" t="str">
        <f t="shared" si="103"/>
        <v>a1cdbe</v>
      </c>
      <c r="V2193">
        <v>0</v>
      </c>
      <c r="W2193">
        <v>0</v>
      </c>
      <c r="X2193">
        <v>1</v>
      </c>
      <c r="Y2193">
        <v>0</v>
      </c>
      <c r="Z2193">
        <v>0</v>
      </c>
      <c r="AB2193">
        <v>0</v>
      </c>
      <c r="AC2193">
        <v>9</v>
      </c>
      <c r="AD2193">
        <v>3</v>
      </c>
      <c r="AE2193">
        <v>0</v>
      </c>
      <c r="AF2193">
        <v>9</v>
      </c>
      <c r="AG2193" t="s">
        <v>158</v>
      </c>
      <c r="AH2193">
        <v>0</v>
      </c>
      <c r="AI2193">
        <v>3</v>
      </c>
      <c r="AJ2193">
        <v>1</v>
      </c>
      <c r="AK2193">
        <v>0</v>
      </c>
      <c r="AL2193" t="s">
        <v>4127</v>
      </c>
      <c r="AM2193">
        <v>46.881216000000002</v>
      </c>
      <c r="AN2193" t="s">
        <v>4128</v>
      </c>
      <c r="AO2193">
        <v>-123.13229800000001</v>
      </c>
      <c r="AP2193">
        <v>100</v>
      </c>
      <c r="AQ2193">
        <v>2100</v>
      </c>
      <c r="AR2193" t="s">
        <v>118</v>
      </c>
      <c r="AS2193">
        <v>-79</v>
      </c>
      <c r="AT2193">
        <v>14</v>
      </c>
      <c r="AU2193">
        <v>64</v>
      </c>
      <c r="BC2193">
        <v>1200</v>
      </c>
      <c r="BD2193">
        <v>1</v>
      </c>
      <c r="BE2193" t="str">
        <f t="shared" si="104"/>
        <v xml:space="preserve">N215T   </v>
      </c>
      <c r="BF2193">
        <v>1</v>
      </c>
      <c r="BH2193">
        <v>0</v>
      </c>
      <c r="BI2193">
        <v>0</v>
      </c>
      <c r="BJ2193">
        <v>0</v>
      </c>
      <c r="BK2193">
        <v>2425</v>
      </c>
      <c r="BL2193">
        <v>325</v>
      </c>
      <c r="BM2193" t="s">
        <v>119</v>
      </c>
      <c r="BN2193">
        <v>1</v>
      </c>
      <c r="BO2193">
        <v>1</v>
      </c>
      <c r="BP2193">
        <v>1</v>
      </c>
      <c r="BQ2193">
        <v>0</v>
      </c>
      <c r="BT2193">
        <v>0</v>
      </c>
      <c r="BU2193">
        <v>0</v>
      </c>
      <c r="BV2193">
        <v>0</v>
      </c>
      <c r="CC2193" t="str">
        <f>"19:11:24.109"</f>
        <v>19:11:24.109</v>
      </c>
      <c r="CD2193" t="str">
        <f>"111878816"</f>
        <v>111878816</v>
      </c>
      <c r="CQ2193">
        <v>0</v>
      </c>
      <c r="CR2193">
        <v>2</v>
      </c>
      <c r="CS2193">
        <v>0</v>
      </c>
      <c r="CT2193">
        <v>2</v>
      </c>
      <c r="CU2193">
        <v>0</v>
      </c>
      <c r="CV2193">
        <v>7</v>
      </c>
      <c r="CW2193" t="s">
        <v>120</v>
      </c>
      <c r="CX2193">
        <v>261</v>
      </c>
      <c r="CY2193">
        <v>2</v>
      </c>
      <c r="CZ2193" t="s">
        <v>121</v>
      </c>
      <c r="DA2193" t="s">
        <v>122</v>
      </c>
      <c r="DD2193">
        <v>15584684</v>
      </c>
      <c r="DE2193" t="s">
        <v>123</v>
      </c>
    </row>
    <row r="2194" spans="1:109" x14ac:dyDescent="0.3">
      <c r="A2194" t="str">
        <f>"19:11:25.172"</f>
        <v>19:11:25.172</v>
      </c>
      <c r="B2194" t="s">
        <v>110</v>
      </c>
      <c r="C2194" t="str">
        <f t="shared" si="102"/>
        <v>ffdfd3c0</v>
      </c>
      <c r="D2194" t="s">
        <v>111</v>
      </c>
      <c r="E2194">
        <v>18</v>
      </c>
      <c r="F2194">
        <v>1018</v>
      </c>
      <c r="G2194" t="s">
        <v>112</v>
      </c>
      <c r="J2194" t="s">
        <v>113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R2194" t="s">
        <v>114</v>
      </c>
      <c r="S2194" t="str">
        <f>"19:11:24.961"</f>
        <v>19:11:24.961</v>
      </c>
      <c r="T2194" t="str">
        <f>"19:11:24.563"</f>
        <v>19:11:24.563</v>
      </c>
      <c r="U2194" t="str">
        <f t="shared" si="103"/>
        <v>a1cdbe</v>
      </c>
      <c r="V2194">
        <v>0</v>
      </c>
      <c r="W2194">
        <v>0</v>
      </c>
      <c r="X2194">
        <v>1</v>
      </c>
      <c r="Y2194">
        <v>0</v>
      </c>
      <c r="Z2194">
        <v>0</v>
      </c>
      <c r="AB2194">
        <v>0</v>
      </c>
      <c r="AC2194">
        <v>9</v>
      </c>
      <c r="AD2194">
        <v>3</v>
      </c>
      <c r="AE2194">
        <v>0</v>
      </c>
      <c r="AF2194">
        <v>9</v>
      </c>
      <c r="AG2194" t="s">
        <v>158</v>
      </c>
      <c r="AH2194">
        <v>0</v>
      </c>
      <c r="AI2194">
        <v>3</v>
      </c>
      <c r="AJ2194">
        <v>1</v>
      </c>
      <c r="AK2194">
        <v>0</v>
      </c>
      <c r="AL2194" t="s">
        <v>4129</v>
      </c>
      <c r="AM2194">
        <v>46.881258000000003</v>
      </c>
      <c r="AN2194" t="s">
        <v>4130</v>
      </c>
      <c r="AO2194">
        <v>-123.13279199999999</v>
      </c>
      <c r="AP2194">
        <v>100</v>
      </c>
      <c r="AQ2194">
        <v>2100</v>
      </c>
      <c r="AR2194" t="s">
        <v>118</v>
      </c>
      <c r="AS2194">
        <v>-79</v>
      </c>
      <c r="AT2194">
        <v>14</v>
      </c>
      <c r="AU2194">
        <v>64</v>
      </c>
      <c r="BC2194">
        <v>1200</v>
      </c>
      <c r="BD2194">
        <v>1</v>
      </c>
      <c r="BE2194" t="str">
        <f t="shared" si="104"/>
        <v xml:space="preserve">N215T   </v>
      </c>
      <c r="BF2194">
        <v>1</v>
      </c>
      <c r="BH2194">
        <v>0</v>
      </c>
      <c r="BI2194">
        <v>0</v>
      </c>
      <c r="BJ2194">
        <v>0</v>
      </c>
      <c r="BK2194">
        <v>2425</v>
      </c>
      <c r="BL2194">
        <v>325</v>
      </c>
      <c r="BM2194" t="s">
        <v>119</v>
      </c>
      <c r="BN2194">
        <v>1</v>
      </c>
      <c r="BO2194">
        <v>1</v>
      </c>
      <c r="BP2194">
        <v>1</v>
      </c>
      <c r="BQ2194">
        <v>0</v>
      </c>
      <c r="BT2194">
        <v>0</v>
      </c>
      <c r="BU2194">
        <v>0</v>
      </c>
      <c r="BV2194">
        <v>0</v>
      </c>
      <c r="CC2194" t="str">
        <f>"19:11:24.969"</f>
        <v>19:11:24.969</v>
      </c>
      <c r="CD2194" t="str">
        <f>"966791783"</f>
        <v>966791783</v>
      </c>
      <c r="CQ2194">
        <v>0</v>
      </c>
      <c r="CR2194">
        <v>2</v>
      </c>
      <c r="CS2194">
        <v>0</v>
      </c>
      <c r="CT2194">
        <v>2</v>
      </c>
      <c r="CU2194">
        <v>0</v>
      </c>
      <c r="CV2194">
        <v>6</v>
      </c>
      <c r="CW2194" t="s">
        <v>120</v>
      </c>
      <c r="CX2194">
        <v>257</v>
      </c>
      <c r="CY2194">
        <v>1</v>
      </c>
      <c r="CZ2194" t="s">
        <v>615</v>
      </c>
      <c r="DA2194" t="s">
        <v>616</v>
      </c>
      <c r="DD2194">
        <v>12014497</v>
      </c>
      <c r="DE2194" t="s">
        <v>123</v>
      </c>
    </row>
    <row r="2195" spans="1:109" x14ac:dyDescent="0.3">
      <c r="A2195" t="str">
        <f>"19:11:26.328"</f>
        <v>19:11:26.328</v>
      </c>
      <c r="B2195" t="s">
        <v>110</v>
      </c>
      <c r="C2195" t="str">
        <f t="shared" si="102"/>
        <v>ffdfd3c0</v>
      </c>
      <c r="D2195" t="s">
        <v>111</v>
      </c>
      <c r="E2195">
        <v>18</v>
      </c>
      <c r="F2195">
        <v>1018</v>
      </c>
      <c r="G2195" t="s">
        <v>112</v>
      </c>
      <c r="J2195" t="s">
        <v>113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R2195" t="s">
        <v>114</v>
      </c>
      <c r="S2195" t="str">
        <f>"19:11:26.086"</f>
        <v>19:11:26.086</v>
      </c>
      <c r="T2195" t="str">
        <f>"19:11:25.688"</f>
        <v>19:11:25.688</v>
      </c>
      <c r="U2195" t="str">
        <f t="shared" si="103"/>
        <v>a1cdbe</v>
      </c>
      <c r="V2195">
        <v>0</v>
      </c>
      <c r="W2195">
        <v>0</v>
      </c>
      <c r="X2195">
        <v>1</v>
      </c>
      <c r="Y2195">
        <v>0</v>
      </c>
      <c r="Z2195">
        <v>0</v>
      </c>
      <c r="AB2195">
        <v>0</v>
      </c>
      <c r="AC2195">
        <v>9</v>
      </c>
      <c r="AD2195">
        <v>3</v>
      </c>
      <c r="AE2195">
        <v>0</v>
      </c>
      <c r="AF2195">
        <v>9</v>
      </c>
      <c r="AG2195" t="s">
        <v>158</v>
      </c>
      <c r="AH2195">
        <v>0</v>
      </c>
      <c r="AI2195">
        <v>3</v>
      </c>
      <c r="AJ2195">
        <v>1</v>
      </c>
      <c r="AK2195">
        <v>0</v>
      </c>
      <c r="AL2195" t="s">
        <v>4131</v>
      </c>
      <c r="AM2195">
        <v>46.881323000000002</v>
      </c>
      <c r="AN2195" t="s">
        <v>4132</v>
      </c>
      <c r="AO2195">
        <v>-123.133392</v>
      </c>
      <c r="AP2195">
        <v>100</v>
      </c>
      <c r="AQ2195">
        <v>2100</v>
      </c>
      <c r="AR2195" t="s">
        <v>118</v>
      </c>
      <c r="AS2195">
        <v>-78</v>
      </c>
      <c r="AT2195">
        <v>12</v>
      </c>
      <c r="AU2195">
        <v>256</v>
      </c>
      <c r="BC2195">
        <v>1200</v>
      </c>
      <c r="BD2195">
        <v>1</v>
      </c>
      <c r="BE2195" t="str">
        <f t="shared" si="104"/>
        <v xml:space="preserve">N215T   </v>
      </c>
      <c r="BF2195">
        <v>1</v>
      </c>
      <c r="BH2195">
        <v>0</v>
      </c>
      <c r="BI2195">
        <v>0</v>
      </c>
      <c r="BJ2195">
        <v>0</v>
      </c>
      <c r="BK2195">
        <v>2450</v>
      </c>
      <c r="BL2195">
        <v>350</v>
      </c>
      <c r="BM2195" t="s">
        <v>119</v>
      </c>
      <c r="BN2195">
        <v>1</v>
      </c>
      <c r="BO2195">
        <v>1</v>
      </c>
      <c r="BP2195">
        <v>1</v>
      </c>
      <c r="BQ2195">
        <v>0</v>
      </c>
      <c r="BT2195">
        <v>0</v>
      </c>
      <c r="BU2195">
        <v>0</v>
      </c>
      <c r="BV2195">
        <v>0</v>
      </c>
      <c r="CC2195" t="str">
        <f>"19:11:26.094"</f>
        <v>19:11:26.094</v>
      </c>
      <c r="CD2195" t="str">
        <f>"091683851"</f>
        <v>091683851</v>
      </c>
      <c r="CQ2195">
        <v>0</v>
      </c>
      <c r="CR2195">
        <v>2</v>
      </c>
      <c r="CS2195">
        <v>0</v>
      </c>
      <c r="CT2195">
        <v>2</v>
      </c>
      <c r="CU2195">
        <v>0</v>
      </c>
      <c r="CV2195">
        <v>7</v>
      </c>
      <c r="CW2195" t="s">
        <v>120</v>
      </c>
      <c r="CX2195">
        <v>261</v>
      </c>
      <c r="CY2195">
        <v>2</v>
      </c>
      <c r="CZ2195" t="s">
        <v>121</v>
      </c>
      <c r="DA2195" t="s">
        <v>122</v>
      </c>
      <c r="DD2195">
        <v>15586058</v>
      </c>
      <c r="DE2195" t="s">
        <v>123</v>
      </c>
    </row>
    <row r="2196" spans="1:109" x14ac:dyDescent="0.3">
      <c r="A2196" t="str">
        <f>"19:11:27.336"</f>
        <v>19:11:27.336</v>
      </c>
      <c r="B2196" t="s">
        <v>110</v>
      </c>
      <c r="C2196" t="str">
        <f t="shared" si="102"/>
        <v>ffdfd3c0</v>
      </c>
      <c r="D2196" t="s">
        <v>111</v>
      </c>
      <c r="E2196">
        <v>18</v>
      </c>
      <c r="F2196">
        <v>1018</v>
      </c>
      <c r="G2196" t="s">
        <v>112</v>
      </c>
      <c r="J2196" t="s">
        <v>113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R2196" t="s">
        <v>114</v>
      </c>
      <c r="S2196" t="str">
        <f>"19:11:27.094"</f>
        <v>19:11:27.094</v>
      </c>
      <c r="T2196" t="str">
        <f>"19:11:27.094"</f>
        <v>19:11:27.094</v>
      </c>
      <c r="U2196" t="str">
        <f t="shared" si="103"/>
        <v>a1cdbe</v>
      </c>
      <c r="V2196">
        <v>0</v>
      </c>
      <c r="W2196">
        <v>0</v>
      </c>
      <c r="X2196">
        <v>1</v>
      </c>
      <c r="Y2196">
        <v>0</v>
      </c>
      <c r="Z2196">
        <v>0</v>
      </c>
      <c r="AB2196">
        <v>0</v>
      </c>
      <c r="AC2196">
        <v>9</v>
      </c>
      <c r="AD2196">
        <v>3</v>
      </c>
      <c r="AE2196">
        <v>0</v>
      </c>
      <c r="AF2196">
        <v>9</v>
      </c>
      <c r="AG2196" t="s">
        <v>158</v>
      </c>
      <c r="AH2196">
        <v>0</v>
      </c>
      <c r="AI2196">
        <v>3</v>
      </c>
      <c r="AJ2196">
        <v>1</v>
      </c>
      <c r="AK2196">
        <v>0</v>
      </c>
      <c r="AL2196" t="s">
        <v>4133</v>
      </c>
      <c r="AM2196">
        <v>46.881366</v>
      </c>
      <c r="AN2196" t="s">
        <v>4134</v>
      </c>
      <c r="AO2196">
        <v>-123.13392899999999</v>
      </c>
      <c r="AP2196">
        <v>100</v>
      </c>
      <c r="AQ2196">
        <v>2100</v>
      </c>
      <c r="AR2196" t="s">
        <v>118</v>
      </c>
      <c r="AS2196">
        <v>-78</v>
      </c>
      <c r="AT2196">
        <v>12</v>
      </c>
      <c r="AU2196">
        <v>64</v>
      </c>
      <c r="BC2196">
        <v>1200</v>
      </c>
      <c r="BD2196">
        <v>1</v>
      </c>
      <c r="BE2196" t="str">
        <f t="shared" si="104"/>
        <v xml:space="preserve">N215T   </v>
      </c>
      <c r="BF2196">
        <v>1</v>
      </c>
      <c r="BH2196">
        <v>0</v>
      </c>
      <c r="BI2196">
        <v>0</v>
      </c>
      <c r="BJ2196">
        <v>0</v>
      </c>
      <c r="BK2196">
        <v>2450</v>
      </c>
      <c r="BL2196">
        <v>350</v>
      </c>
      <c r="BM2196" t="s">
        <v>119</v>
      </c>
      <c r="BN2196">
        <v>1</v>
      </c>
      <c r="BO2196">
        <v>1</v>
      </c>
      <c r="BP2196">
        <v>1</v>
      </c>
      <c r="BQ2196">
        <v>0</v>
      </c>
      <c r="BT2196">
        <v>0</v>
      </c>
      <c r="BU2196">
        <v>0</v>
      </c>
      <c r="BV2196">
        <v>0</v>
      </c>
      <c r="CC2196" t="str">
        <f>"19:11:27.094"</f>
        <v>19:11:27.094</v>
      </c>
      <c r="CD2196" t="str">
        <f>"096584890"</f>
        <v>096584890</v>
      </c>
      <c r="CQ2196">
        <v>0</v>
      </c>
      <c r="CR2196">
        <v>2</v>
      </c>
      <c r="CS2196">
        <v>0</v>
      </c>
      <c r="CT2196">
        <v>2</v>
      </c>
      <c r="CU2196">
        <v>0</v>
      </c>
      <c r="CV2196">
        <v>7</v>
      </c>
      <c r="CW2196" t="s">
        <v>120</v>
      </c>
      <c r="CX2196">
        <v>261</v>
      </c>
      <c r="CY2196">
        <v>2</v>
      </c>
      <c r="CZ2196" t="s">
        <v>121</v>
      </c>
      <c r="DA2196" t="s">
        <v>122</v>
      </c>
      <c r="DD2196">
        <v>15586732</v>
      </c>
      <c r="DE2196" t="s">
        <v>123</v>
      </c>
    </row>
    <row r="2197" spans="1:109" x14ac:dyDescent="0.3">
      <c r="A2197" t="str">
        <f>"19:11:28.344"</f>
        <v>19:11:28.344</v>
      </c>
      <c r="B2197" t="s">
        <v>110</v>
      </c>
      <c r="C2197" t="str">
        <f t="shared" si="102"/>
        <v>ffdfd3c0</v>
      </c>
      <c r="D2197" t="s">
        <v>111</v>
      </c>
      <c r="E2197">
        <v>18</v>
      </c>
      <c r="F2197">
        <v>1018</v>
      </c>
      <c r="G2197" t="s">
        <v>112</v>
      </c>
      <c r="J2197" t="s">
        <v>113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R2197" t="s">
        <v>114</v>
      </c>
      <c r="S2197" t="str">
        <f>"19:11:28.094"</f>
        <v>19:11:28.094</v>
      </c>
      <c r="T2197" t="str">
        <f>"19:11:28.094"</f>
        <v>19:11:28.094</v>
      </c>
      <c r="U2197" t="str">
        <f t="shared" si="103"/>
        <v>a1cdbe</v>
      </c>
      <c r="V2197">
        <v>0</v>
      </c>
      <c r="W2197">
        <v>0</v>
      </c>
      <c r="X2197">
        <v>1</v>
      </c>
      <c r="Y2197">
        <v>0</v>
      </c>
      <c r="Z2197">
        <v>0</v>
      </c>
      <c r="AB2197">
        <v>0</v>
      </c>
      <c r="AC2197">
        <v>9</v>
      </c>
      <c r="AD2197">
        <v>3</v>
      </c>
      <c r="AE2197">
        <v>0</v>
      </c>
      <c r="AF2197">
        <v>9</v>
      </c>
      <c r="AG2197" t="s">
        <v>158</v>
      </c>
      <c r="AH2197">
        <v>0</v>
      </c>
      <c r="AI2197">
        <v>3</v>
      </c>
      <c r="AJ2197">
        <v>1</v>
      </c>
      <c r="AK2197">
        <v>0</v>
      </c>
      <c r="AL2197" t="s">
        <v>4135</v>
      </c>
      <c r="AM2197">
        <v>46.881452000000003</v>
      </c>
      <c r="AN2197" t="s">
        <v>4136</v>
      </c>
      <c r="AO2197">
        <v>-123.134422</v>
      </c>
      <c r="AP2197">
        <v>100</v>
      </c>
      <c r="AQ2197">
        <v>2100</v>
      </c>
      <c r="AR2197" t="s">
        <v>118</v>
      </c>
      <c r="AS2197">
        <v>-78</v>
      </c>
      <c r="AT2197">
        <v>13</v>
      </c>
      <c r="AU2197">
        <v>0</v>
      </c>
      <c r="BC2197">
        <v>1200</v>
      </c>
      <c r="BD2197">
        <v>1</v>
      </c>
      <c r="BE2197" t="str">
        <f t="shared" si="104"/>
        <v xml:space="preserve">N215T   </v>
      </c>
      <c r="BF2197">
        <v>1</v>
      </c>
      <c r="BH2197">
        <v>0</v>
      </c>
      <c r="BI2197">
        <v>0</v>
      </c>
      <c r="BJ2197">
        <v>0</v>
      </c>
      <c r="BK2197">
        <v>2450</v>
      </c>
      <c r="BL2197">
        <v>350</v>
      </c>
      <c r="BM2197" t="s">
        <v>119</v>
      </c>
      <c r="BN2197">
        <v>1</v>
      </c>
      <c r="BO2197">
        <v>1</v>
      </c>
      <c r="BP2197">
        <v>1</v>
      </c>
      <c r="BQ2197">
        <v>0</v>
      </c>
      <c r="BT2197">
        <v>0</v>
      </c>
      <c r="BU2197">
        <v>0</v>
      </c>
      <c r="BV2197">
        <v>0</v>
      </c>
      <c r="CC2197" t="str">
        <f>"19:11:28.102"</f>
        <v>19:11:28.102</v>
      </c>
      <c r="CD2197" t="str">
        <f>"101485941"</f>
        <v>101485941</v>
      </c>
      <c r="CQ2197">
        <v>0</v>
      </c>
      <c r="CR2197">
        <v>2</v>
      </c>
      <c r="CS2197">
        <v>0</v>
      </c>
      <c r="CT2197">
        <v>2</v>
      </c>
      <c r="CU2197">
        <v>0</v>
      </c>
      <c r="CV2197">
        <v>7</v>
      </c>
      <c r="CW2197" t="s">
        <v>120</v>
      </c>
      <c r="CX2197">
        <v>261</v>
      </c>
      <c r="CY2197">
        <v>2</v>
      </c>
      <c r="CZ2197" t="s">
        <v>121</v>
      </c>
      <c r="DA2197" t="s">
        <v>122</v>
      </c>
      <c r="DD2197">
        <v>15587451</v>
      </c>
      <c r="DE2197" t="s">
        <v>123</v>
      </c>
    </row>
    <row r="2198" spans="1:109" x14ac:dyDescent="0.3">
      <c r="A2198" t="str">
        <f>"19:11:29.148"</f>
        <v>19:11:29.148</v>
      </c>
      <c r="B2198" t="s">
        <v>110</v>
      </c>
      <c r="C2198" t="str">
        <f t="shared" si="102"/>
        <v>ffdfd3c0</v>
      </c>
      <c r="D2198" t="s">
        <v>111</v>
      </c>
      <c r="E2198">
        <v>18</v>
      </c>
      <c r="F2198">
        <v>1018</v>
      </c>
      <c r="G2198" t="s">
        <v>112</v>
      </c>
      <c r="J2198" t="s">
        <v>113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R2198" t="s">
        <v>114</v>
      </c>
      <c r="S2198" t="str">
        <f>"19:11:28.953"</f>
        <v>19:11:28.953</v>
      </c>
      <c r="T2198" t="str">
        <f>"19:11:28.656"</f>
        <v>19:11:28.656</v>
      </c>
      <c r="U2198" t="str">
        <f t="shared" si="103"/>
        <v>a1cdbe</v>
      </c>
      <c r="V2198">
        <v>0</v>
      </c>
      <c r="W2198">
        <v>0</v>
      </c>
      <c r="X2198">
        <v>1</v>
      </c>
      <c r="Y2198">
        <v>0</v>
      </c>
      <c r="Z2198">
        <v>0</v>
      </c>
      <c r="AB2198">
        <v>0</v>
      </c>
      <c r="AC2198">
        <v>9</v>
      </c>
      <c r="AD2198">
        <v>3</v>
      </c>
      <c r="AE2198">
        <v>0</v>
      </c>
      <c r="AF2198">
        <v>9</v>
      </c>
      <c r="AG2198" t="s">
        <v>158</v>
      </c>
      <c r="AH2198">
        <v>0</v>
      </c>
      <c r="AI2198">
        <v>3</v>
      </c>
      <c r="AJ2198">
        <v>1</v>
      </c>
      <c r="AK2198">
        <v>0</v>
      </c>
      <c r="AL2198" t="s">
        <v>4137</v>
      </c>
      <c r="AM2198">
        <v>46.881495000000001</v>
      </c>
      <c r="AN2198" t="s">
        <v>4138</v>
      </c>
      <c r="AO2198">
        <v>-123.134894</v>
      </c>
      <c r="AP2198">
        <v>100</v>
      </c>
      <c r="AQ2198">
        <v>2100</v>
      </c>
      <c r="AR2198" t="s">
        <v>118</v>
      </c>
      <c r="AS2198">
        <v>-78</v>
      </c>
      <c r="AT2198">
        <v>14</v>
      </c>
      <c r="AU2198">
        <v>-64</v>
      </c>
      <c r="BC2198">
        <v>1200</v>
      </c>
      <c r="BD2198">
        <v>1</v>
      </c>
      <c r="BE2198" t="str">
        <f t="shared" si="104"/>
        <v xml:space="preserve">N215T   </v>
      </c>
      <c r="BF2198">
        <v>1</v>
      </c>
      <c r="BH2198">
        <v>0</v>
      </c>
      <c r="BI2198">
        <v>0</v>
      </c>
      <c r="BJ2198">
        <v>0</v>
      </c>
      <c r="BK2198">
        <v>2450</v>
      </c>
      <c r="BL2198">
        <v>350</v>
      </c>
      <c r="BM2198" t="s">
        <v>119</v>
      </c>
      <c r="BN2198">
        <v>1</v>
      </c>
      <c r="BO2198">
        <v>1</v>
      </c>
      <c r="BP2198">
        <v>1</v>
      </c>
      <c r="BQ2198">
        <v>0</v>
      </c>
      <c r="BT2198">
        <v>0</v>
      </c>
      <c r="BU2198">
        <v>0</v>
      </c>
      <c r="BV2198">
        <v>0</v>
      </c>
      <c r="CC2198" t="str">
        <f>"19:11:28.953"</f>
        <v>19:11:28.953</v>
      </c>
      <c r="CD2198" t="str">
        <f>"956401743"</f>
        <v>956401743</v>
      </c>
      <c r="CQ2198">
        <v>0</v>
      </c>
      <c r="CR2198">
        <v>2</v>
      </c>
      <c r="CS2198">
        <v>0</v>
      </c>
      <c r="CT2198">
        <v>2</v>
      </c>
      <c r="CU2198">
        <v>0</v>
      </c>
      <c r="CV2198">
        <v>7</v>
      </c>
      <c r="CW2198" t="s">
        <v>120</v>
      </c>
      <c r="CX2198">
        <v>261</v>
      </c>
      <c r="CY2198">
        <v>2</v>
      </c>
      <c r="CZ2198" t="s">
        <v>121</v>
      </c>
      <c r="DA2198" t="s">
        <v>122</v>
      </c>
      <c r="DD2198">
        <v>15588029</v>
      </c>
      <c r="DE2198" t="s">
        <v>123</v>
      </c>
    </row>
    <row r="2199" spans="1:109" x14ac:dyDescent="0.3">
      <c r="A2199" t="str">
        <f>"19:11:30.250"</f>
        <v>19:11:30.250</v>
      </c>
      <c r="B2199" t="s">
        <v>110</v>
      </c>
      <c r="C2199" t="str">
        <f t="shared" si="102"/>
        <v>ffdfd3c0</v>
      </c>
      <c r="D2199" t="s">
        <v>111</v>
      </c>
      <c r="E2199">
        <v>18</v>
      </c>
      <c r="F2199">
        <v>1018</v>
      </c>
      <c r="G2199" t="s">
        <v>112</v>
      </c>
      <c r="J2199" t="s">
        <v>113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R2199" t="s">
        <v>114</v>
      </c>
      <c r="S2199" t="str">
        <f>"19:11:30.016"</f>
        <v>19:11:30.016</v>
      </c>
      <c r="T2199" t="str">
        <f>"19:11:29.617"</f>
        <v>19:11:29.617</v>
      </c>
      <c r="U2199" t="str">
        <f t="shared" si="103"/>
        <v>a1cdbe</v>
      </c>
      <c r="V2199">
        <v>0</v>
      </c>
      <c r="W2199">
        <v>0</v>
      </c>
      <c r="X2199">
        <v>1</v>
      </c>
      <c r="Y2199">
        <v>0</v>
      </c>
      <c r="Z2199">
        <v>0</v>
      </c>
      <c r="AB2199">
        <v>0</v>
      </c>
      <c r="AC2199">
        <v>9</v>
      </c>
      <c r="AD2199">
        <v>3</v>
      </c>
      <c r="AE2199">
        <v>0</v>
      </c>
      <c r="AF2199">
        <v>9</v>
      </c>
      <c r="AG2199" t="s">
        <v>158</v>
      </c>
      <c r="AH2199">
        <v>0</v>
      </c>
      <c r="AI2199">
        <v>3</v>
      </c>
      <c r="AJ2199">
        <v>1</v>
      </c>
      <c r="AK2199">
        <v>0</v>
      </c>
      <c r="AL2199" t="s">
        <v>4139</v>
      </c>
      <c r="AM2199">
        <v>46.881537000000002</v>
      </c>
      <c r="AN2199" t="s">
        <v>4140</v>
      </c>
      <c r="AO2199">
        <v>-123.135452</v>
      </c>
      <c r="AP2199">
        <v>100</v>
      </c>
      <c r="AQ2199">
        <v>2100</v>
      </c>
      <c r="AR2199" t="s">
        <v>118</v>
      </c>
      <c r="AS2199">
        <v>-78</v>
      </c>
      <c r="AT2199">
        <v>14</v>
      </c>
      <c r="AU2199">
        <v>-128</v>
      </c>
      <c r="BC2199">
        <v>1200</v>
      </c>
      <c r="BD2199">
        <v>1</v>
      </c>
      <c r="BE2199" t="str">
        <f t="shared" si="104"/>
        <v xml:space="preserve">N215T   </v>
      </c>
      <c r="BF2199">
        <v>1</v>
      </c>
      <c r="BH2199">
        <v>0</v>
      </c>
      <c r="BI2199">
        <v>0</v>
      </c>
      <c r="BJ2199">
        <v>0</v>
      </c>
      <c r="BK2199">
        <v>2450</v>
      </c>
      <c r="BL2199">
        <v>350</v>
      </c>
      <c r="BM2199" t="s">
        <v>119</v>
      </c>
      <c r="BN2199">
        <v>1</v>
      </c>
      <c r="BO2199">
        <v>1</v>
      </c>
      <c r="BP2199">
        <v>1</v>
      </c>
      <c r="BQ2199">
        <v>0</v>
      </c>
      <c r="BT2199">
        <v>0</v>
      </c>
      <c r="BU2199">
        <v>0</v>
      </c>
      <c r="BV2199">
        <v>0</v>
      </c>
      <c r="CC2199" t="str">
        <f>"19:11:30.023"</f>
        <v>19:11:30.023</v>
      </c>
      <c r="CD2199" t="str">
        <f>"021296874"</f>
        <v>021296874</v>
      </c>
      <c r="CQ2199">
        <v>0</v>
      </c>
      <c r="CR2199">
        <v>2</v>
      </c>
      <c r="CS2199">
        <v>0</v>
      </c>
      <c r="CT2199">
        <v>2</v>
      </c>
      <c r="CU2199">
        <v>0</v>
      </c>
      <c r="CV2199">
        <v>7</v>
      </c>
      <c r="CW2199" t="s">
        <v>120</v>
      </c>
      <c r="CX2199">
        <v>261</v>
      </c>
      <c r="CY2199">
        <v>2</v>
      </c>
      <c r="CZ2199" t="s">
        <v>121</v>
      </c>
      <c r="DA2199" t="s">
        <v>122</v>
      </c>
      <c r="DD2199">
        <v>15588799</v>
      </c>
      <c r="DE2199" t="s">
        <v>123</v>
      </c>
    </row>
    <row r="2200" spans="1:109" x14ac:dyDescent="0.3">
      <c r="A2200" t="str">
        <f>"19:11:31.211"</f>
        <v>19:11:31.211</v>
      </c>
      <c r="B2200" t="s">
        <v>110</v>
      </c>
      <c r="C2200" t="str">
        <f t="shared" si="102"/>
        <v>ffdfd3c0</v>
      </c>
      <c r="D2200" t="s">
        <v>111</v>
      </c>
      <c r="E2200">
        <v>18</v>
      </c>
      <c r="F2200">
        <v>1018</v>
      </c>
      <c r="G2200" t="s">
        <v>112</v>
      </c>
      <c r="J2200" t="s">
        <v>113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R2200" t="s">
        <v>114</v>
      </c>
      <c r="S2200" t="str">
        <f>"19:11:30.961"</f>
        <v>19:11:30.961</v>
      </c>
      <c r="T2200" t="str">
        <f>"19:11:30.664"</f>
        <v>19:11:30.664</v>
      </c>
      <c r="U2200" t="str">
        <f t="shared" si="103"/>
        <v>a1cdbe</v>
      </c>
      <c r="V2200">
        <v>0</v>
      </c>
      <c r="W2200">
        <v>0</v>
      </c>
      <c r="X2200">
        <v>1</v>
      </c>
      <c r="Y2200">
        <v>0</v>
      </c>
      <c r="Z2200">
        <v>0</v>
      </c>
      <c r="AB2200">
        <v>0</v>
      </c>
      <c r="AC2200">
        <v>9</v>
      </c>
      <c r="AD2200">
        <v>3</v>
      </c>
      <c r="AE2200">
        <v>0</v>
      </c>
      <c r="AF2200">
        <v>9</v>
      </c>
      <c r="AG2200" t="s">
        <v>158</v>
      </c>
      <c r="AH2200">
        <v>0</v>
      </c>
      <c r="AI2200">
        <v>3</v>
      </c>
      <c r="AJ2200">
        <v>1</v>
      </c>
      <c r="AK2200">
        <v>0</v>
      </c>
      <c r="AL2200" t="s">
        <v>4141</v>
      </c>
      <c r="AM2200">
        <v>46.881644999999999</v>
      </c>
      <c r="AN2200" t="s">
        <v>4142</v>
      </c>
      <c r="AO2200">
        <v>-123.13596699999999</v>
      </c>
      <c r="AP2200">
        <v>100</v>
      </c>
      <c r="AQ2200">
        <v>2100</v>
      </c>
      <c r="AR2200" t="s">
        <v>118</v>
      </c>
      <c r="AS2200">
        <v>-77</v>
      </c>
      <c r="AT2200">
        <v>15</v>
      </c>
      <c r="AU2200">
        <v>-128</v>
      </c>
      <c r="BC2200">
        <v>1200</v>
      </c>
      <c r="BD2200">
        <v>1</v>
      </c>
      <c r="BE2200" t="str">
        <f t="shared" si="104"/>
        <v xml:space="preserve">N215T   </v>
      </c>
      <c r="BF2200">
        <v>1</v>
      </c>
      <c r="BH2200">
        <v>0</v>
      </c>
      <c r="BI2200">
        <v>0</v>
      </c>
      <c r="BJ2200">
        <v>0</v>
      </c>
      <c r="BK2200">
        <v>2450</v>
      </c>
      <c r="BL2200">
        <v>350</v>
      </c>
      <c r="BM2200" t="s">
        <v>119</v>
      </c>
      <c r="BN2200">
        <v>1</v>
      </c>
      <c r="BO2200">
        <v>1</v>
      </c>
      <c r="BP2200">
        <v>1</v>
      </c>
      <c r="BQ2200">
        <v>0</v>
      </c>
      <c r="BT2200">
        <v>0</v>
      </c>
      <c r="BU2200">
        <v>0</v>
      </c>
      <c r="BV2200">
        <v>0</v>
      </c>
      <c r="CC2200" t="str">
        <f>"19:11:30.969"</f>
        <v>19:11:30.969</v>
      </c>
      <c r="CD2200" t="str">
        <f>"966200312"</f>
        <v>966200312</v>
      </c>
      <c r="CQ2200">
        <v>0</v>
      </c>
      <c r="CR2200">
        <v>2</v>
      </c>
      <c r="CS2200">
        <v>0</v>
      </c>
      <c r="CT2200">
        <v>2</v>
      </c>
      <c r="CU2200">
        <v>0</v>
      </c>
      <c r="CV2200">
        <v>7</v>
      </c>
      <c r="CW2200" t="s">
        <v>120</v>
      </c>
      <c r="CX2200">
        <v>257</v>
      </c>
      <c r="CY2200">
        <v>0</v>
      </c>
      <c r="CZ2200" t="s">
        <v>615</v>
      </c>
      <c r="DA2200" t="s">
        <v>616</v>
      </c>
      <c r="DD2200">
        <v>15775160</v>
      </c>
      <c r="DE2200" t="s">
        <v>123</v>
      </c>
    </row>
    <row r="2201" spans="1:109" x14ac:dyDescent="0.3">
      <c r="A2201" t="str">
        <f>"19:11:32.266"</f>
        <v>19:11:32.266</v>
      </c>
      <c r="B2201" t="s">
        <v>110</v>
      </c>
      <c r="C2201" t="str">
        <f t="shared" si="102"/>
        <v>ffdfd3c0</v>
      </c>
      <c r="D2201" t="s">
        <v>111</v>
      </c>
      <c r="E2201">
        <v>18</v>
      </c>
      <c r="F2201">
        <v>1018</v>
      </c>
      <c r="G2201" t="s">
        <v>112</v>
      </c>
      <c r="J2201" t="s">
        <v>113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R2201" t="s">
        <v>114</v>
      </c>
      <c r="S2201" t="str">
        <f>"19:11:32.016"</f>
        <v>19:11:32.016</v>
      </c>
      <c r="T2201" t="str">
        <f>"19:11:32.016"</f>
        <v>19:11:32.016</v>
      </c>
      <c r="U2201" t="str">
        <f t="shared" si="103"/>
        <v>a1cdbe</v>
      </c>
      <c r="V2201">
        <v>0</v>
      </c>
      <c r="W2201">
        <v>0</v>
      </c>
      <c r="X2201">
        <v>1</v>
      </c>
      <c r="Y2201">
        <v>0</v>
      </c>
      <c r="Z2201">
        <v>0</v>
      </c>
      <c r="AB2201">
        <v>0</v>
      </c>
      <c r="AC2201">
        <v>9</v>
      </c>
      <c r="AD2201">
        <v>3</v>
      </c>
      <c r="AE2201">
        <v>0</v>
      </c>
      <c r="AF2201">
        <v>9</v>
      </c>
      <c r="AG2201" t="s">
        <v>158</v>
      </c>
      <c r="AH2201">
        <v>0</v>
      </c>
      <c r="AI2201">
        <v>3</v>
      </c>
      <c r="AJ2201">
        <v>1</v>
      </c>
      <c r="AK2201">
        <v>0</v>
      </c>
      <c r="AL2201" t="s">
        <v>1528</v>
      </c>
      <c r="AM2201">
        <v>46.881687999999997</v>
      </c>
      <c r="AN2201" t="s">
        <v>4143</v>
      </c>
      <c r="AO2201">
        <v>-123.136482</v>
      </c>
      <c r="AP2201">
        <v>100</v>
      </c>
      <c r="AQ2201">
        <v>2100</v>
      </c>
      <c r="AR2201" t="s">
        <v>118</v>
      </c>
      <c r="AS2201">
        <v>-78</v>
      </c>
      <c r="AT2201">
        <v>16</v>
      </c>
      <c r="AU2201">
        <v>-192</v>
      </c>
      <c r="BC2201">
        <v>1200</v>
      </c>
      <c r="BD2201">
        <v>1</v>
      </c>
      <c r="BE2201" t="str">
        <f t="shared" si="104"/>
        <v xml:space="preserve">N215T   </v>
      </c>
      <c r="BF2201">
        <v>1</v>
      </c>
      <c r="BH2201">
        <v>0</v>
      </c>
      <c r="BI2201">
        <v>0</v>
      </c>
      <c r="BJ2201">
        <v>0</v>
      </c>
      <c r="BK2201">
        <v>2450</v>
      </c>
      <c r="BL2201">
        <v>350</v>
      </c>
      <c r="BM2201" t="s">
        <v>119</v>
      </c>
      <c r="BN2201">
        <v>1</v>
      </c>
      <c r="BO2201">
        <v>1</v>
      </c>
      <c r="BP2201">
        <v>1</v>
      </c>
      <c r="BQ2201">
        <v>0</v>
      </c>
      <c r="BT2201">
        <v>0</v>
      </c>
      <c r="BU2201">
        <v>0</v>
      </c>
      <c r="BV2201">
        <v>0</v>
      </c>
      <c r="CC2201" t="str">
        <f>"19:11:32.016"</f>
        <v>19:11:32.016</v>
      </c>
      <c r="CD2201" t="str">
        <f>"016096831"</f>
        <v>016096831</v>
      </c>
      <c r="CQ2201">
        <v>0</v>
      </c>
      <c r="CR2201">
        <v>2</v>
      </c>
      <c r="CS2201">
        <v>0</v>
      </c>
      <c r="CT2201">
        <v>2</v>
      </c>
      <c r="CU2201">
        <v>0</v>
      </c>
      <c r="CV2201">
        <v>7</v>
      </c>
      <c r="CW2201" t="s">
        <v>120</v>
      </c>
      <c r="CX2201">
        <v>257</v>
      </c>
      <c r="CY2201">
        <v>1</v>
      </c>
      <c r="CZ2201" t="s">
        <v>615</v>
      </c>
      <c r="DA2201" t="s">
        <v>616</v>
      </c>
      <c r="DD2201">
        <v>12019581</v>
      </c>
      <c r="DE2201" t="s">
        <v>123</v>
      </c>
    </row>
    <row r="2202" spans="1:109" x14ac:dyDescent="0.3">
      <c r="A2202" t="str">
        <f>"19:11:33.367"</f>
        <v>19:11:33.367</v>
      </c>
      <c r="B2202" t="s">
        <v>110</v>
      </c>
      <c r="C2202" t="str">
        <f t="shared" si="102"/>
        <v>ffdfd3c0</v>
      </c>
      <c r="D2202" t="s">
        <v>111</v>
      </c>
      <c r="E2202">
        <v>18</v>
      </c>
      <c r="F2202">
        <v>1018</v>
      </c>
      <c r="G2202" t="s">
        <v>112</v>
      </c>
      <c r="J2202" t="s">
        <v>113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R2202" t="s">
        <v>114</v>
      </c>
      <c r="S2202" t="str">
        <f>"19:11:33.125"</f>
        <v>19:11:33.125</v>
      </c>
      <c r="T2202" t="str">
        <f>"19:11:32.625"</f>
        <v>19:11:32.625</v>
      </c>
      <c r="U2202" t="str">
        <f t="shared" si="103"/>
        <v>a1cdbe</v>
      </c>
      <c r="V2202">
        <v>0</v>
      </c>
      <c r="W2202">
        <v>0</v>
      </c>
      <c r="X2202">
        <v>1</v>
      </c>
      <c r="Y2202">
        <v>0</v>
      </c>
      <c r="Z2202">
        <v>0</v>
      </c>
      <c r="AB2202">
        <v>0</v>
      </c>
      <c r="AC2202">
        <v>9</v>
      </c>
      <c r="AD2202">
        <v>3</v>
      </c>
      <c r="AE2202">
        <v>0</v>
      </c>
      <c r="AF2202">
        <v>9</v>
      </c>
      <c r="AG2202" t="s">
        <v>158</v>
      </c>
      <c r="AH2202">
        <v>0</v>
      </c>
      <c r="AI2202">
        <v>3</v>
      </c>
      <c r="AJ2202">
        <v>1</v>
      </c>
      <c r="AK2202">
        <v>0</v>
      </c>
      <c r="AL2202" t="s">
        <v>4144</v>
      </c>
      <c r="AM2202">
        <v>46.881773000000003</v>
      </c>
      <c r="AN2202" t="s">
        <v>4145</v>
      </c>
      <c r="AO2202">
        <v>-123.137083</v>
      </c>
      <c r="AP2202">
        <v>100</v>
      </c>
      <c r="AQ2202">
        <v>2000</v>
      </c>
      <c r="AR2202" t="s">
        <v>118</v>
      </c>
      <c r="AS2202">
        <v>-78</v>
      </c>
      <c r="AT2202">
        <v>17</v>
      </c>
      <c r="AU2202">
        <v>-192</v>
      </c>
      <c r="BC2202">
        <v>1200</v>
      </c>
      <c r="BD2202">
        <v>1</v>
      </c>
      <c r="BE2202" t="str">
        <f t="shared" si="104"/>
        <v xml:space="preserve">N215T   </v>
      </c>
      <c r="BF2202">
        <v>1</v>
      </c>
      <c r="BH2202">
        <v>0</v>
      </c>
      <c r="BI2202">
        <v>0</v>
      </c>
      <c r="BJ2202">
        <v>0</v>
      </c>
      <c r="BK2202">
        <v>2450</v>
      </c>
      <c r="BL2202">
        <v>450</v>
      </c>
      <c r="BM2202" t="s">
        <v>119</v>
      </c>
      <c r="BN2202">
        <v>1</v>
      </c>
      <c r="BO2202">
        <v>1</v>
      </c>
      <c r="BP2202">
        <v>1</v>
      </c>
      <c r="BQ2202">
        <v>0</v>
      </c>
      <c r="BT2202">
        <v>0</v>
      </c>
      <c r="BU2202">
        <v>0</v>
      </c>
      <c r="BV2202">
        <v>0</v>
      </c>
      <c r="CC2202" t="str">
        <f>"19:11:33.125"</f>
        <v>19:11:33.125</v>
      </c>
      <c r="CD2202" t="str">
        <f>"125987400"</f>
        <v>125987400</v>
      </c>
      <c r="CQ2202">
        <v>0</v>
      </c>
      <c r="CR2202">
        <v>2</v>
      </c>
      <c r="CS2202">
        <v>0</v>
      </c>
      <c r="CT2202">
        <v>2</v>
      </c>
      <c r="CU2202">
        <v>0</v>
      </c>
      <c r="CV2202">
        <v>7</v>
      </c>
      <c r="CW2202" t="s">
        <v>120</v>
      </c>
      <c r="CX2202">
        <v>257</v>
      </c>
      <c r="CY2202">
        <v>0</v>
      </c>
      <c r="CZ2202" t="s">
        <v>615</v>
      </c>
      <c r="DA2202" t="s">
        <v>616</v>
      </c>
      <c r="DD2202">
        <v>15776326</v>
      </c>
      <c r="DE2202" t="s">
        <v>123</v>
      </c>
    </row>
    <row r="2203" spans="1:109" x14ac:dyDescent="0.3">
      <c r="A2203" t="str">
        <f>"19:11:34.430"</f>
        <v>19:11:34.430</v>
      </c>
      <c r="B2203" t="s">
        <v>110</v>
      </c>
      <c r="C2203" t="str">
        <f t="shared" si="102"/>
        <v>ffdfd3c0</v>
      </c>
      <c r="D2203" t="s">
        <v>111</v>
      </c>
      <c r="E2203">
        <v>18</v>
      </c>
      <c r="F2203">
        <v>1018</v>
      </c>
      <c r="G2203" t="s">
        <v>112</v>
      </c>
      <c r="J2203" t="s">
        <v>113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R2203" t="s">
        <v>114</v>
      </c>
      <c r="S2203" t="str">
        <f>"19:11:34.188"</f>
        <v>19:11:34.188</v>
      </c>
      <c r="T2203" t="str">
        <f>"19:11:34.188"</f>
        <v>19:11:34.188</v>
      </c>
      <c r="U2203" t="str">
        <f t="shared" si="103"/>
        <v>a1cdbe</v>
      </c>
      <c r="V2203">
        <v>0</v>
      </c>
      <c r="W2203">
        <v>0</v>
      </c>
      <c r="X2203">
        <v>1</v>
      </c>
      <c r="Y2203">
        <v>0</v>
      </c>
      <c r="Z2203">
        <v>0</v>
      </c>
      <c r="AB2203">
        <v>0</v>
      </c>
      <c r="AC2203">
        <v>9</v>
      </c>
      <c r="AD2203">
        <v>3</v>
      </c>
      <c r="AE2203">
        <v>0</v>
      </c>
      <c r="AF2203">
        <v>9</v>
      </c>
      <c r="AG2203" t="s">
        <v>158</v>
      </c>
      <c r="AH2203">
        <v>0</v>
      </c>
      <c r="AI2203">
        <v>3</v>
      </c>
      <c r="AJ2203">
        <v>1</v>
      </c>
      <c r="AK2203">
        <v>0</v>
      </c>
      <c r="AL2203" t="s">
        <v>4146</v>
      </c>
      <c r="AM2203">
        <v>46.881881</v>
      </c>
      <c r="AN2203" t="s">
        <v>4147</v>
      </c>
      <c r="AO2203">
        <v>-123.13757699999999</v>
      </c>
      <c r="AP2203">
        <v>100</v>
      </c>
      <c r="AQ2203">
        <v>2000</v>
      </c>
      <c r="AR2203" t="s">
        <v>118</v>
      </c>
      <c r="AS2203">
        <v>-77</v>
      </c>
      <c r="AT2203">
        <v>18</v>
      </c>
      <c r="AU2203">
        <v>-192</v>
      </c>
      <c r="BC2203">
        <v>1200</v>
      </c>
      <c r="BD2203">
        <v>1</v>
      </c>
      <c r="BE2203" t="str">
        <f t="shared" si="104"/>
        <v xml:space="preserve">N215T   </v>
      </c>
      <c r="BF2203">
        <v>1</v>
      </c>
      <c r="BH2203">
        <v>0</v>
      </c>
      <c r="BI2203">
        <v>0</v>
      </c>
      <c r="BJ2203">
        <v>0</v>
      </c>
      <c r="BK2203">
        <v>2425</v>
      </c>
      <c r="BL2203">
        <v>425</v>
      </c>
      <c r="BM2203" t="s">
        <v>119</v>
      </c>
      <c r="BN2203">
        <v>1</v>
      </c>
      <c r="BO2203">
        <v>1</v>
      </c>
      <c r="BP2203">
        <v>1</v>
      </c>
      <c r="BQ2203">
        <v>0</v>
      </c>
      <c r="BT2203">
        <v>0</v>
      </c>
      <c r="BU2203">
        <v>0</v>
      </c>
      <c r="BV2203">
        <v>0</v>
      </c>
      <c r="CC2203" t="str">
        <f>"19:11:34.188"</f>
        <v>19:11:34.188</v>
      </c>
      <c r="CD2203" t="str">
        <f>"190886246"</f>
        <v>190886246</v>
      </c>
      <c r="CQ2203">
        <v>0</v>
      </c>
      <c r="CR2203">
        <v>2</v>
      </c>
      <c r="CS2203">
        <v>0</v>
      </c>
      <c r="CT2203">
        <v>2</v>
      </c>
      <c r="CU2203">
        <v>0</v>
      </c>
      <c r="CV2203">
        <v>7</v>
      </c>
      <c r="CW2203" t="s">
        <v>120</v>
      </c>
      <c r="CX2203">
        <v>261</v>
      </c>
      <c r="CY2203">
        <v>2</v>
      </c>
      <c r="CZ2203" t="s">
        <v>121</v>
      </c>
      <c r="DA2203" t="s">
        <v>122</v>
      </c>
      <c r="DD2203">
        <v>15591770</v>
      </c>
      <c r="DE2203" t="s">
        <v>123</v>
      </c>
    </row>
    <row r="2204" spans="1:109" x14ac:dyDescent="0.3">
      <c r="A2204" t="str">
        <f>"19:11:35.281"</f>
        <v>19:11:35.281</v>
      </c>
      <c r="B2204" t="s">
        <v>110</v>
      </c>
      <c r="C2204" t="str">
        <f t="shared" si="102"/>
        <v>ffdfd3c0</v>
      </c>
      <c r="D2204" t="s">
        <v>111</v>
      </c>
      <c r="E2204">
        <v>18</v>
      </c>
      <c r="F2204">
        <v>1018</v>
      </c>
      <c r="G2204" t="s">
        <v>112</v>
      </c>
      <c r="J2204" t="s">
        <v>113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R2204" t="s">
        <v>114</v>
      </c>
      <c r="S2204" t="str">
        <f>"19:11:35.039"</f>
        <v>19:11:35.039</v>
      </c>
      <c r="T2204" t="str">
        <f>"19:11:34.836"</f>
        <v>19:11:34.836</v>
      </c>
      <c r="U2204" t="str">
        <f t="shared" si="103"/>
        <v>a1cdbe</v>
      </c>
      <c r="V2204">
        <v>0</v>
      </c>
      <c r="W2204">
        <v>0</v>
      </c>
      <c r="X2204">
        <v>1</v>
      </c>
      <c r="Y2204">
        <v>0</v>
      </c>
      <c r="Z2204">
        <v>0</v>
      </c>
      <c r="AB2204">
        <v>0</v>
      </c>
      <c r="AC2204">
        <v>9</v>
      </c>
      <c r="AD2204">
        <v>3</v>
      </c>
      <c r="AE2204">
        <v>0</v>
      </c>
      <c r="AF2204">
        <v>9</v>
      </c>
      <c r="AG2204" t="s">
        <v>158</v>
      </c>
      <c r="AH2204">
        <v>0</v>
      </c>
      <c r="AI2204">
        <v>3</v>
      </c>
      <c r="AJ2204">
        <v>1</v>
      </c>
      <c r="AK2204">
        <v>0</v>
      </c>
      <c r="AL2204" t="s">
        <v>4148</v>
      </c>
      <c r="AM2204">
        <v>46.881967000000003</v>
      </c>
      <c r="AN2204" t="s">
        <v>4149</v>
      </c>
      <c r="AO2204">
        <v>-123.13807</v>
      </c>
      <c r="AP2204">
        <v>100</v>
      </c>
      <c r="AQ2204">
        <v>2000</v>
      </c>
      <c r="AR2204" t="s">
        <v>118</v>
      </c>
      <c r="AS2204">
        <v>-78</v>
      </c>
      <c r="AT2204">
        <v>18</v>
      </c>
      <c r="AU2204">
        <v>-192</v>
      </c>
      <c r="BC2204">
        <v>1200</v>
      </c>
      <c r="BD2204">
        <v>1</v>
      </c>
      <c r="BE2204" t="str">
        <f t="shared" si="104"/>
        <v xml:space="preserve">N215T   </v>
      </c>
      <c r="BF2204">
        <v>1</v>
      </c>
      <c r="BH2204">
        <v>0</v>
      </c>
      <c r="BI2204">
        <v>0</v>
      </c>
      <c r="BJ2204">
        <v>0</v>
      </c>
      <c r="BK2204">
        <v>2425</v>
      </c>
      <c r="BL2204">
        <v>425</v>
      </c>
      <c r="BM2204" t="s">
        <v>119</v>
      </c>
      <c r="BN2204">
        <v>1</v>
      </c>
      <c r="BO2204">
        <v>1</v>
      </c>
      <c r="BP2204">
        <v>1</v>
      </c>
      <c r="BQ2204">
        <v>0</v>
      </c>
      <c r="BT2204">
        <v>0</v>
      </c>
      <c r="BU2204">
        <v>0</v>
      </c>
      <c r="BV2204">
        <v>0</v>
      </c>
      <c r="CC2204" t="str">
        <f>"19:11:35.047"</f>
        <v>19:11:35.047</v>
      </c>
      <c r="CD2204" t="str">
        <f>"045802043"</f>
        <v>045802043</v>
      </c>
      <c r="CQ2204">
        <v>0</v>
      </c>
      <c r="CR2204">
        <v>2</v>
      </c>
      <c r="CS2204">
        <v>0</v>
      </c>
      <c r="CT2204">
        <v>2</v>
      </c>
      <c r="CU2204">
        <v>0</v>
      </c>
      <c r="CV2204">
        <v>7</v>
      </c>
      <c r="CW2204" t="s">
        <v>120</v>
      </c>
      <c r="CX2204">
        <v>261</v>
      </c>
      <c r="CY2204">
        <v>2</v>
      </c>
      <c r="CZ2204" t="s">
        <v>121</v>
      </c>
      <c r="DA2204" t="s">
        <v>122</v>
      </c>
      <c r="DD2204">
        <v>15592360</v>
      </c>
      <c r="DE2204" t="s">
        <v>123</v>
      </c>
    </row>
    <row r="2205" spans="1:109" x14ac:dyDescent="0.3">
      <c r="A2205" t="str">
        <f>"19:11:36.438"</f>
        <v>19:11:36.438</v>
      </c>
      <c r="B2205" t="s">
        <v>110</v>
      </c>
      <c r="C2205" t="str">
        <f t="shared" si="102"/>
        <v>ffdfd3c0</v>
      </c>
      <c r="D2205" t="s">
        <v>111</v>
      </c>
      <c r="E2205">
        <v>18</v>
      </c>
      <c r="F2205">
        <v>1018</v>
      </c>
      <c r="G2205" t="s">
        <v>112</v>
      </c>
      <c r="J2205" t="s">
        <v>113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R2205" t="s">
        <v>114</v>
      </c>
      <c r="S2205" t="str">
        <f>"19:11:36.211"</f>
        <v>19:11:36.211</v>
      </c>
      <c r="T2205" t="str">
        <f>"19:11:35.813"</f>
        <v>19:11:35.813</v>
      </c>
      <c r="U2205" t="str">
        <f t="shared" si="103"/>
        <v>a1cdbe</v>
      </c>
      <c r="V2205">
        <v>0</v>
      </c>
      <c r="W2205">
        <v>0</v>
      </c>
      <c r="X2205">
        <v>1</v>
      </c>
      <c r="Y2205">
        <v>0</v>
      </c>
      <c r="Z2205">
        <v>0</v>
      </c>
      <c r="AB2205">
        <v>0</v>
      </c>
      <c r="AC2205">
        <v>9</v>
      </c>
      <c r="AD2205">
        <v>3</v>
      </c>
      <c r="AE2205">
        <v>0</v>
      </c>
      <c r="AF2205">
        <v>9</v>
      </c>
      <c r="AG2205" t="s">
        <v>158</v>
      </c>
      <c r="AH2205">
        <v>0</v>
      </c>
      <c r="AI2205">
        <v>3</v>
      </c>
      <c r="AJ2205">
        <v>1</v>
      </c>
      <c r="AK2205">
        <v>0</v>
      </c>
      <c r="AL2205" t="s">
        <v>4150</v>
      </c>
      <c r="AM2205">
        <v>46.882052000000002</v>
      </c>
      <c r="AN2205" t="s">
        <v>4151</v>
      </c>
      <c r="AO2205">
        <v>-123.138649</v>
      </c>
      <c r="AP2205">
        <v>100</v>
      </c>
      <c r="AQ2205">
        <v>2000</v>
      </c>
      <c r="AR2205" t="s">
        <v>118</v>
      </c>
      <c r="AS2205">
        <v>-78</v>
      </c>
      <c r="AT2205">
        <v>17</v>
      </c>
      <c r="AU2205">
        <v>-192</v>
      </c>
      <c r="BC2205">
        <v>1200</v>
      </c>
      <c r="BD2205">
        <v>1</v>
      </c>
      <c r="BE2205" t="str">
        <f t="shared" si="104"/>
        <v xml:space="preserve">N215T   </v>
      </c>
      <c r="BF2205">
        <v>1</v>
      </c>
      <c r="BH2205">
        <v>0</v>
      </c>
      <c r="BI2205">
        <v>0</v>
      </c>
      <c r="BJ2205">
        <v>0</v>
      </c>
      <c r="BK2205">
        <v>2425</v>
      </c>
      <c r="BL2205">
        <v>425</v>
      </c>
      <c r="BM2205" t="s">
        <v>119</v>
      </c>
      <c r="BN2205">
        <v>1</v>
      </c>
      <c r="BO2205">
        <v>1</v>
      </c>
      <c r="BP2205">
        <v>1</v>
      </c>
      <c r="BQ2205">
        <v>0</v>
      </c>
      <c r="BT2205">
        <v>0</v>
      </c>
      <c r="BU2205">
        <v>0</v>
      </c>
      <c r="BV2205">
        <v>0</v>
      </c>
      <c r="CC2205" t="str">
        <f>"19:11:36.219"</f>
        <v>19:11:36.219</v>
      </c>
      <c r="CD2205" t="str">
        <f>"215686836"</f>
        <v>215686836</v>
      </c>
      <c r="CQ2205">
        <v>0</v>
      </c>
      <c r="CR2205">
        <v>2</v>
      </c>
      <c r="CS2205">
        <v>0</v>
      </c>
      <c r="CT2205">
        <v>2</v>
      </c>
      <c r="CU2205">
        <v>0</v>
      </c>
      <c r="CV2205">
        <v>7</v>
      </c>
      <c r="CW2205" t="s">
        <v>120</v>
      </c>
      <c r="CX2205">
        <v>261</v>
      </c>
      <c r="CY2205">
        <v>2</v>
      </c>
      <c r="CZ2205" t="s">
        <v>121</v>
      </c>
      <c r="DA2205" t="s">
        <v>122</v>
      </c>
      <c r="DD2205">
        <v>15593189</v>
      </c>
      <c r="DE2205" t="s">
        <v>123</v>
      </c>
    </row>
    <row r="2206" spans="1:109" x14ac:dyDescent="0.3">
      <c r="A2206" t="str">
        <f>"19:11:37.445"</f>
        <v>19:11:37.445</v>
      </c>
      <c r="B2206" t="s">
        <v>110</v>
      </c>
      <c r="C2206" t="str">
        <f t="shared" si="102"/>
        <v>ffdfd3c0</v>
      </c>
      <c r="D2206" t="s">
        <v>111</v>
      </c>
      <c r="E2206">
        <v>18</v>
      </c>
      <c r="F2206">
        <v>1018</v>
      </c>
      <c r="G2206" t="s">
        <v>112</v>
      </c>
      <c r="J2206" t="s">
        <v>113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R2206" t="s">
        <v>114</v>
      </c>
      <c r="S2206" t="str">
        <f>"19:11:37.219"</f>
        <v>19:11:37.219</v>
      </c>
      <c r="T2206" t="str">
        <f>"19:11:37.219"</f>
        <v>19:11:37.219</v>
      </c>
      <c r="U2206" t="str">
        <f t="shared" si="103"/>
        <v>a1cdbe</v>
      </c>
      <c r="V2206">
        <v>0</v>
      </c>
      <c r="W2206">
        <v>0</v>
      </c>
      <c r="X2206">
        <v>1</v>
      </c>
      <c r="Y2206">
        <v>0</v>
      </c>
      <c r="Z2206">
        <v>0</v>
      </c>
      <c r="AB2206">
        <v>0</v>
      </c>
      <c r="AC2206">
        <v>9</v>
      </c>
      <c r="AD2206">
        <v>3</v>
      </c>
      <c r="AE2206">
        <v>0</v>
      </c>
      <c r="AF2206">
        <v>9</v>
      </c>
      <c r="AG2206" t="s">
        <v>158</v>
      </c>
      <c r="AH2206">
        <v>0</v>
      </c>
      <c r="AI2206">
        <v>3</v>
      </c>
      <c r="AJ2206">
        <v>1</v>
      </c>
      <c r="AK2206">
        <v>0</v>
      </c>
      <c r="AL2206" t="s">
        <v>4152</v>
      </c>
      <c r="AM2206">
        <v>46.882137999999998</v>
      </c>
      <c r="AN2206" t="s">
        <v>4153</v>
      </c>
      <c r="AO2206">
        <v>-123.139229</v>
      </c>
      <c r="AP2206">
        <v>100</v>
      </c>
      <c r="AQ2206">
        <v>2000</v>
      </c>
      <c r="AR2206" t="s">
        <v>118</v>
      </c>
      <c r="AS2206">
        <v>-78</v>
      </c>
      <c r="AT2206">
        <v>16</v>
      </c>
      <c r="AU2206">
        <v>-128</v>
      </c>
      <c r="BC2206">
        <v>1200</v>
      </c>
      <c r="BD2206">
        <v>1</v>
      </c>
      <c r="BE2206" t="str">
        <f t="shared" si="104"/>
        <v xml:space="preserve">N215T   </v>
      </c>
      <c r="BF2206">
        <v>1</v>
      </c>
      <c r="BH2206">
        <v>0</v>
      </c>
      <c r="BI2206">
        <v>0</v>
      </c>
      <c r="BJ2206">
        <v>0</v>
      </c>
      <c r="BK2206">
        <v>2425</v>
      </c>
      <c r="BL2206">
        <v>425</v>
      </c>
      <c r="BM2206" t="s">
        <v>119</v>
      </c>
      <c r="BN2206">
        <v>1</v>
      </c>
      <c r="BO2206">
        <v>1</v>
      </c>
      <c r="BP2206">
        <v>1</v>
      </c>
      <c r="BQ2206">
        <v>0</v>
      </c>
      <c r="BT2206">
        <v>0</v>
      </c>
      <c r="BU2206">
        <v>0</v>
      </c>
      <c r="BV2206">
        <v>0</v>
      </c>
      <c r="CC2206" t="str">
        <f>"19:11:37.219"</f>
        <v>19:11:37.219</v>
      </c>
      <c r="CD2206" t="str">
        <f>"220583724"</f>
        <v>220583724</v>
      </c>
      <c r="CQ2206">
        <v>0</v>
      </c>
      <c r="CR2206">
        <v>2</v>
      </c>
      <c r="CS2206">
        <v>0</v>
      </c>
      <c r="CT2206">
        <v>2</v>
      </c>
      <c r="CU2206">
        <v>0</v>
      </c>
      <c r="CV2206">
        <v>6</v>
      </c>
      <c r="CW2206" t="s">
        <v>120</v>
      </c>
      <c r="CX2206">
        <v>257</v>
      </c>
      <c r="CY2206">
        <v>1</v>
      </c>
      <c r="CZ2206" t="s">
        <v>615</v>
      </c>
      <c r="DA2206" t="s">
        <v>616</v>
      </c>
      <c r="DD2206">
        <v>12023461</v>
      </c>
      <c r="DE2206" t="s">
        <v>123</v>
      </c>
    </row>
    <row r="2207" spans="1:109" x14ac:dyDescent="0.3">
      <c r="A2207" t="str">
        <f>"19:11:38.445"</f>
        <v>19:11:38.445</v>
      </c>
      <c r="B2207" t="s">
        <v>110</v>
      </c>
      <c r="C2207" t="str">
        <f t="shared" si="102"/>
        <v>ffdfd3c0</v>
      </c>
      <c r="D2207" t="s">
        <v>111</v>
      </c>
      <c r="E2207">
        <v>18</v>
      </c>
      <c r="F2207">
        <v>1018</v>
      </c>
      <c r="G2207" t="s">
        <v>112</v>
      </c>
      <c r="J2207" t="s">
        <v>113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R2207" t="s">
        <v>114</v>
      </c>
      <c r="S2207" t="str">
        <f>"19:11:38.234"</f>
        <v>19:11:38.234</v>
      </c>
      <c r="T2207" t="str">
        <f>"19:11:37.734"</f>
        <v>19:11:37.734</v>
      </c>
      <c r="U2207" t="str">
        <f t="shared" si="103"/>
        <v>a1cdbe</v>
      </c>
      <c r="V2207">
        <v>0</v>
      </c>
      <c r="W2207">
        <v>0</v>
      </c>
      <c r="X2207">
        <v>1</v>
      </c>
      <c r="Y2207">
        <v>0</v>
      </c>
      <c r="Z2207">
        <v>0</v>
      </c>
      <c r="AB2207">
        <v>0</v>
      </c>
      <c r="AC2207">
        <v>9</v>
      </c>
      <c r="AD2207">
        <v>3</v>
      </c>
      <c r="AE2207">
        <v>0</v>
      </c>
      <c r="AF2207">
        <v>9</v>
      </c>
      <c r="AG2207" t="s">
        <v>158</v>
      </c>
      <c r="AH2207">
        <v>0</v>
      </c>
      <c r="AI2207">
        <v>3</v>
      </c>
      <c r="AJ2207">
        <v>1</v>
      </c>
      <c r="AK2207">
        <v>0</v>
      </c>
      <c r="AL2207" t="s">
        <v>4154</v>
      </c>
      <c r="AM2207">
        <v>46.882202999999997</v>
      </c>
      <c r="AN2207" t="s">
        <v>4155</v>
      </c>
      <c r="AO2207">
        <v>-123.139765</v>
      </c>
      <c r="AP2207">
        <v>100</v>
      </c>
      <c r="AQ2207">
        <v>2000</v>
      </c>
      <c r="AR2207" t="s">
        <v>118</v>
      </c>
      <c r="AS2207">
        <v>-79</v>
      </c>
      <c r="AT2207">
        <v>16</v>
      </c>
      <c r="AU2207">
        <v>64</v>
      </c>
      <c r="BC2207">
        <v>1200</v>
      </c>
      <c r="BD2207">
        <v>1</v>
      </c>
      <c r="BE2207" t="str">
        <f t="shared" si="104"/>
        <v xml:space="preserve">N215T   </v>
      </c>
      <c r="BF2207">
        <v>1</v>
      </c>
      <c r="BH2207">
        <v>0</v>
      </c>
      <c r="BI2207">
        <v>0</v>
      </c>
      <c r="BJ2207">
        <v>0</v>
      </c>
      <c r="BK2207">
        <v>2425</v>
      </c>
      <c r="BL2207">
        <v>425</v>
      </c>
      <c r="BM2207" t="s">
        <v>119</v>
      </c>
      <c r="BN2207">
        <v>1</v>
      </c>
      <c r="BO2207">
        <v>1</v>
      </c>
      <c r="BP2207">
        <v>1</v>
      </c>
      <c r="BQ2207">
        <v>0</v>
      </c>
      <c r="BT2207">
        <v>0</v>
      </c>
      <c r="BU2207">
        <v>0</v>
      </c>
      <c r="BV2207">
        <v>0</v>
      </c>
      <c r="CC2207" t="str">
        <f>"19:11:38.242"</f>
        <v>19:11:38.242</v>
      </c>
      <c r="CD2207" t="str">
        <f>"240487435"</f>
        <v>240487435</v>
      </c>
      <c r="CQ2207">
        <v>0</v>
      </c>
      <c r="CR2207">
        <v>2</v>
      </c>
      <c r="CS2207">
        <v>0</v>
      </c>
      <c r="CT2207">
        <v>2</v>
      </c>
      <c r="CU2207">
        <v>0</v>
      </c>
      <c r="CV2207">
        <v>7</v>
      </c>
      <c r="CW2207" t="s">
        <v>120</v>
      </c>
      <c r="CX2207">
        <v>261</v>
      </c>
      <c r="CY2207">
        <v>2</v>
      </c>
      <c r="CZ2207" t="s">
        <v>121</v>
      </c>
      <c r="DA2207" t="s">
        <v>122</v>
      </c>
      <c r="DD2207">
        <v>15594586</v>
      </c>
      <c r="DE2207" t="s">
        <v>123</v>
      </c>
    </row>
    <row r="2208" spans="1:109" x14ac:dyDescent="0.3">
      <c r="A2208" t="str">
        <f>"19:11:39.500"</f>
        <v>19:11:39.500</v>
      </c>
      <c r="B2208" t="s">
        <v>110</v>
      </c>
      <c r="C2208" t="str">
        <f t="shared" si="102"/>
        <v>ffdfd3c0</v>
      </c>
      <c r="D2208" t="s">
        <v>111</v>
      </c>
      <c r="E2208">
        <v>18</v>
      </c>
      <c r="F2208">
        <v>1018</v>
      </c>
      <c r="G2208" t="s">
        <v>112</v>
      </c>
      <c r="J2208" t="s">
        <v>113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R2208" t="s">
        <v>114</v>
      </c>
      <c r="S2208" t="str">
        <f>"19:11:39.289"</f>
        <v>19:11:39.289</v>
      </c>
      <c r="T2208" t="str">
        <f>"19:11:39.188"</f>
        <v>19:11:39.188</v>
      </c>
      <c r="U2208" t="str">
        <f t="shared" si="103"/>
        <v>a1cdbe</v>
      </c>
      <c r="V2208">
        <v>0</v>
      </c>
      <c r="W2208">
        <v>0</v>
      </c>
      <c r="X2208">
        <v>1</v>
      </c>
      <c r="Y2208">
        <v>0</v>
      </c>
      <c r="Z2208">
        <v>0</v>
      </c>
      <c r="AB2208">
        <v>0</v>
      </c>
      <c r="AC2208">
        <v>9</v>
      </c>
      <c r="AD2208">
        <v>3</v>
      </c>
      <c r="AE2208">
        <v>0</v>
      </c>
      <c r="AF2208">
        <v>9</v>
      </c>
      <c r="AG2208" t="s">
        <v>158</v>
      </c>
      <c r="AH2208">
        <v>0</v>
      </c>
      <c r="AI2208">
        <v>3</v>
      </c>
      <c r="AJ2208">
        <v>1</v>
      </c>
      <c r="AK2208">
        <v>0</v>
      </c>
      <c r="AL2208" t="s">
        <v>4156</v>
      </c>
      <c r="AM2208">
        <v>46.882288000000003</v>
      </c>
      <c r="AN2208" t="s">
        <v>4157</v>
      </c>
      <c r="AO2208">
        <v>-123.140323</v>
      </c>
      <c r="AP2208">
        <v>100</v>
      </c>
      <c r="AQ2208">
        <v>2000</v>
      </c>
      <c r="AR2208" t="s">
        <v>118</v>
      </c>
      <c r="AS2208">
        <v>-79</v>
      </c>
      <c r="AT2208">
        <v>15</v>
      </c>
      <c r="AU2208">
        <v>-128</v>
      </c>
      <c r="BC2208">
        <v>1200</v>
      </c>
      <c r="BD2208">
        <v>1</v>
      </c>
      <c r="BE2208" t="str">
        <f t="shared" si="104"/>
        <v xml:space="preserve">N215T   </v>
      </c>
      <c r="BF2208">
        <v>1</v>
      </c>
      <c r="BH2208">
        <v>0</v>
      </c>
      <c r="BI2208">
        <v>0</v>
      </c>
      <c r="BJ2208">
        <v>0</v>
      </c>
      <c r="BK2208">
        <v>2425</v>
      </c>
      <c r="BL2208">
        <v>425</v>
      </c>
      <c r="BM2208" t="s">
        <v>119</v>
      </c>
      <c r="BN2208">
        <v>1</v>
      </c>
      <c r="BO2208">
        <v>1</v>
      </c>
      <c r="BP2208">
        <v>1</v>
      </c>
      <c r="BQ2208">
        <v>0</v>
      </c>
      <c r="BT2208">
        <v>0</v>
      </c>
      <c r="BU2208">
        <v>0</v>
      </c>
      <c r="BV2208">
        <v>0</v>
      </c>
      <c r="CC2208" t="str">
        <f>"19:11:39.289"</f>
        <v>19:11:39.289</v>
      </c>
      <c r="CD2208" t="str">
        <f>"290379727"</f>
        <v>290379727</v>
      </c>
      <c r="CQ2208">
        <v>0</v>
      </c>
      <c r="CR2208">
        <v>2</v>
      </c>
      <c r="CS2208">
        <v>0</v>
      </c>
      <c r="CT2208">
        <v>2</v>
      </c>
      <c r="CU2208">
        <v>0</v>
      </c>
      <c r="CV2208">
        <v>6</v>
      </c>
      <c r="CW2208" t="s">
        <v>120</v>
      </c>
      <c r="CX2208">
        <v>257</v>
      </c>
      <c r="CY2208">
        <v>1</v>
      </c>
      <c r="CZ2208" t="s">
        <v>615</v>
      </c>
      <c r="DA2208" t="s">
        <v>616</v>
      </c>
      <c r="DD2208">
        <v>12024978</v>
      </c>
      <c r="DE2208" t="s">
        <v>123</v>
      </c>
    </row>
    <row r="2209" spans="1:109" x14ac:dyDescent="0.3">
      <c r="A2209" t="str">
        <f>"19:11:40.359"</f>
        <v>19:11:40.359</v>
      </c>
      <c r="B2209" t="s">
        <v>110</v>
      </c>
      <c r="C2209" t="str">
        <f t="shared" si="102"/>
        <v>ffdfd3c0</v>
      </c>
      <c r="D2209" t="s">
        <v>111</v>
      </c>
      <c r="E2209">
        <v>18</v>
      </c>
      <c r="F2209">
        <v>1018</v>
      </c>
      <c r="G2209" t="s">
        <v>112</v>
      </c>
      <c r="J2209" t="s">
        <v>113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R2209" t="s">
        <v>114</v>
      </c>
      <c r="S2209" t="str">
        <f>"19:11:40.156"</f>
        <v>19:11:40.156</v>
      </c>
      <c r="T2209" t="str">
        <f>"19:11:39.758"</f>
        <v>19:11:39.758</v>
      </c>
      <c r="U2209" t="str">
        <f t="shared" si="103"/>
        <v>a1cdbe</v>
      </c>
      <c r="V2209">
        <v>0</v>
      </c>
      <c r="W2209">
        <v>0</v>
      </c>
      <c r="X2209">
        <v>1</v>
      </c>
      <c r="Y2209">
        <v>0</v>
      </c>
      <c r="Z2209">
        <v>0</v>
      </c>
      <c r="AB2209">
        <v>0</v>
      </c>
      <c r="AC2209">
        <v>9</v>
      </c>
      <c r="AD2209">
        <v>3</v>
      </c>
      <c r="AE2209">
        <v>0</v>
      </c>
      <c r="AF2209">
        <v>9</v>
      </c>
      <c r="AG2209" t="s">
        <v>158</v>
      </c>
      <c r="AH2209">
        <v>0</v>
      </c>
      <c r="AI2209">
        <v>3</v>
      </c>
      <c r="AJ2209">
        <v>1</v>
      </c>
      <c r="AK2209">
        <v>0</v>
      </c>
      <c r="AL2209" t="s">
        <v>1524</v>
      </c>
      <c r="AM2209">
        <v>46.882331000000001</v>
      </c>
      <c r="AN2209" t="s">
        <v>4158</v>
      </c>
      <c r="AO2209">
        <v>-123.14075200000001</v>
      </c>
      <c r="AP2209">
        <v>100</v>
      </c>
      <c r="AQ2209">
        <v>2000</v>
      </c>
      <c r="AR2209" t="s">
        <v>118</v>
      </c>
      <c r="AS2209">
        <v>-79</v>
      </c>
      <c r="AT2209">
        <v>15</v>
      </c>
      <c r="AU2209">
        <v>-64</v>
      </c>
      <c r="BC2209">
        <v>1200</v>
      </c>
      <c r="BD2209">
        <v>1</v>
      </c>
      <c r="BE2209" t="str">
        <f t="shared" si="104"/>
        <v xml:space="preserve">N215T   </v>
      </c>
      <c r="BF2209">
        <v>1</v>
      </c>
      <c r="BH2209">
        <v>0</v>
      </c>
      <c r="BI2209">
        <v>0</v>
      </c>
      <c r="BJ2209">
        <v>0</v>
      </c>
      <c r="BK2209">
        <v>2425</v>
      </c>
      <c r="BL2209">
        <v>425</v>
      </c>
      <c r="BM2209" t="s">
        <v>119</v>
      </c>
      <c r="BN2209">
        <v>1</v>
      </c>
      <c r="BO2209">
        <v>1</v>
      </c>
      <c r="BP2209">
        <v>1</v>
      </c>
      <c r="BQ2209">
        <v>0</v>
      </c>
      <c r="BT2209">
        <v>0</v>
      </c>
      <c r="BU2209">
        <v>0</v>
      </c>
      <c r="BV2209">
        <v>0</v>
      </c>
      <c r="CC2209" t="str">
        <f>"19:11:40.164"</f>
        <v>19:11:40.164</v>
      </c>
      <c r="CD2209" t="str">
        <f>"160298375"</f>
        <v>160298375</v>
      </c>
      <c r="CQ2209">
        <v>0</v>
      </c>
      <c r="CR2209">
        <v>2</v>
      </c>
      <c r="CS2209">
        <v>0</v>
      </c>
      <c r="CT2209">
        <v>2</v>
      </c>
      <c r="CU2209">
        <v>0</v>
      </c>
      <c r="CV2209">
        <v>7</v>
      </c>
      <c r="CW2209" t="s">
        <v>120</v>
      </c>
      <c r="CX2209">
        <v>261</v>
      </c>
      <c r="CY2209">
        <v>2</v>
      </c>
      <c r="CZ2209" t="s">
        <v>121</v>
      </c>
      <c r="DA2209" t="s">
        <v>122</v>
      </c>
      <c r="DD2209">
        <v>15595898</v>
      </c>
      <c r="DE2209" t="s">
        <v>123</v>
      </c>
    </row>
    <row r="2210" spans="1:109" x14ac:dyDescent="0.3">
      <c r="A2210" t="str">
        <f>"19:11:41.313"</f>
        <v>19:11:41.313</v>
      </c>
      <c r="B2210" t="s">
        <v>110</v>
      </c>
      <c r="C2210" t="str">
        <f t="shared" si="102"/>
        <v>ffdfd3c0</v>
      </c>
      <c r="D2210" t="s">
        <v>111</v>
      </c>
      <c r="E2210">
        <v>18</v>
      </c>
      <c r="F2210">
        <v>1018</v>
      </c>
      <c r="G2210" t="s">
        <v>112</v>
      </c>
      <c r="J2210" t="s">
        <v>113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R2210" t="s">
        <v>114</v>
      </c>
      <c r="S2210" t="str">
        <f>"19:11:41.086"</f>
        <v>19:11:41.086</v>
      </c>
      <c r="T2210" t="str">
        <f>"19:11:41.086"</f>
        <v>19:11:41.086</v>
      </c>
      <c r="U2210" t="str">
        <f t="shared" si="103"/>
        <v>a1cdbe</v>
      </c>
      <c r="V2210">
        <v>0</v>
      </c>
      <c r="W2210">
        <v>0</v>
      </c>
      <c r="X2210">
        <v>1</v>
      </c>
      <c r="Y2210">
        <v>0</v>
      </c>
      <c r="Z2210">
        <v>0</v>
      </c>
      <c r="AB2210">
        <v>0</v>
      </c>
      <c r="AC2210">
        <v>9</v>
      </c>
      <c r="AD2210">
        <v>3</v>
      </c>
      <c r="AE2210">
        <v>0</v>
      </c>
      <c r="AF2210">
        <v>9</v>
      </c>
      <c r="AG2210" t="s">
        <v>158</v>
      </c>
      <c r="AH2210">
        <v>0</v>
      </c>
      <c r="AI2210">
        <v>3</v>
      </c>
      <c r="AJ2210">
        <v>1</v>
      </c>
      <c r="AK2210">
        <v>0</v>
      </c>
      <c r="AL2210" t="s">
        <v>4159</v>
      </c>
      <c r="AM2210">
        <v>46.882396</v>
      </c>
      <c r="AN2210" t="s">
        <v>4160</v>
      </c>
      <c r="AO2210">
        <v>-123.141246</v>
      </c>
      <c r="AP2210">
        <v>100</v>
      </c>
      <c r="AQ2210">
        <v>2000</v>
      </c>
      <c r="AR2210" t="s">
        <v>118</v>
      </c>
      <c r="AS2210">
        <v>-79</v>
      </c>
      <c r="AT2210">
        <v>14</v>
      </c>
      <c r="AU2210">
        <v>0</v>
      </c>
      <c r="BC2210">
        <v>1200</v>
      </c>
      <c r="BD2210">
        <v>1</v>
      </c>
      <c r="BE2210" t="str">
        <f t="shared" si="104"/>
        <v xml:space="preserve">N215T   </v>
      </c>
      <c r="BF2210">
        <v>1</v>
      </c>
      <c r="BH2210">
        <v>0</v>
      </c>
      <c r="BI2210">
        <v>0</v>
      </c>
      <c r="BJ2210">
        <v>0</v>
      </c>
      <c r="BK2210">
        <v>2425</v>
      </c>
      <c r="BL2210">
        <v>425</v>
      </c>
      <c r="BM2210" t="s">
        <v>119</v>
      </c>
      <c r="BN2210">
        <v>1</v>
      </c>
      <c r="BO2210">
        <v>1</v>
      </c>
      <c r="BP2210">
        <v>1</v>
      </c>
      <c r="BQ2210">
        <v>0</v>
      </c>
      <c r="BT2210">
        <v>0</v>
      </c>
      <c r="BU2210">
        <v>0</v>
      </c>
      <c r="BV2210">
        <v>0</v>
      </c>
      <c r="CC2210" t="str">
        <f>"19:11:41.094"</f>
        <v>19:11:41.094</v>
      </c>
      <c r="CD2210" t="str">
        <f>"090206803"</f>
        <v>090206803</v>
      </c>
      <c r="CQ2210">
        <v>0</v>
      </c>
      <c r="CR2210">
        <v>2</v>
      </c>
      <c r="CS2210">
        <v>0</v>
      </c>
      <c r="CT2210">
        <v>2</v>
      </c>
      <c r="CU2210">
        <v>0</v>
      </c>
      <c r="CV2210">
        <v>7</v>
      </c>
      <c r="CW2210" t="s">
        <v>120</v>
      </c>
      <c r="CX2210">
        <v>261</v>
      </c>
      <c r="CY2210">
        <v>2</v>
      </c>
      <c r="CZ2210" t="s">
        <v>121</v>
      </c>
      <c r="DA2210" t="s">
        <v>122</v>
      </c>
      <c r="DD2210">
        <v>15596534</v>
      </c>
      <c r="DE2210" t="s">
        <v>123</v>
      </c>
    </row>
    <row r="2211" spans="1:109" x14ac:dyDescent="0.3">
      <c r="A2211" t="str">
        <f>"19:11:42.266"</f>
        <v>19:11:42.266</v>
      </c>
      <c r="B2211" t="s">
        <v>110</v>
      </c>
      <c r="C2211" t="str">
        <f t="shared" si="102"/>
        <v>ffdfd3c0</v>
      </c>
      <c r="D2211" t="s">
        <v>111</v>
      </c>
      <c r="E2211">
        <v>18</v>
      </c>
      <c r="F2211">
        <v>1018</v>
      </c>
      <c r="G2211" t="s">
        <v>112</v>
      </c>
      <c r="J2211" t="s">
        <v>113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R2211" t="s">
        <v>114</v>
      </c>
      <c r="S2211" t="str">
        <f>"19:11:42.031"</f>
        <v>19:11:42.031</v>
      </c>
      <c r="T2211" t="str">
        <f>"19:11:41.531"</f>
        <v>19:11:41.531</v>
      </c>
      <c r="U2211" t="str">
        <f t="shared" si="103"/>
        <v>a1cdbe</v>
      </c>
      <c r="V2211">
        <v>0</v>
      </c>
      <c r="W2211">
        <v>0</v>
      </c>
      <c r="X2211">
        <v>1</v>
      </c>
      <c r="Y2211">
        <v>0</v>
      </c>
      <c r="Z2211">
        <v>0</v>
      </c>
      <c r="AB2211">
        <v>0</v>
      </c>
      <c r="AC2211">
        <v>9</v>
      </c>
      <c r="AD2211">
        <v>3</v>
      </c>
      <c r="AE2211">
        <v>0</v>
      </c>
      <c r="AF2211">
        <v>9</v>
      </c>
      <c r="AG2211" t="s">
        <v>158</v>
      </c>
      <c r="AH2211">
        <v>0</v>
      </c>
      <c r="AI2211">
        <v>3</v>
      </c>
      <c r="AJ2211">
        <v>1</v>
      </c>
      <c r="AK2211">
        <v>0</v>
      </c>
      <c r="AL2211" t="s">
        <v>4161</v>
      </c>
      <c r="AM2211">
        <v>46.882460000000002</v>
      </c>
      <c r="AN2211" t="s">
        <v>4162</v>
      </c>
      <c r="AO2211">
        <v>-123.141761</v>
      </c>
      <c r="AP2211">
        <v>100</v>
      </c>
      <c r="AQ2211">
        <v>2000</v>
      </c>
      <c r="AR2211" t="s">
        <v>118</v>
      </c>
      <c r="AS2211">
        <v>-79</v>
      </c>
      <c r="AT2211">
        <v>14</v>
      </c>
      <c r="AU2211">
        <v>0</v>
      </c>
      <c r="BC2211">
        <v>1200</v>
      </c>
      <c r="BD2211">
        <v>1</v>
      </c>
      <c r="BE2211" t="str">
        <f t="shared" si="104"/>
        <v xml:space="preserve">N215T   </v>
      </c>
      <c r="BF2211">
        <v>1</v>
      </c>
      <c r="BH2211">
        <v>0</v>
      </c>
      <c r="BI2211">
        <v>0</v>
      </c>
      <c r="BJ2211">
        <v>0</v>
      </c>
      <c r="BK2211">
        <v>2425</v>
      </c>
      <c r="BL2211">
        <v>425</v>
      </c>
      <c r="BM2211" t="s">
        <v>119</v>
      </c>
      <c r="BN2211">
        <v>1</v>
      </c>
      <c r="BO2211">
        <v>1</v>
      </c>
      <c r="BP2211">
        <v>1</v>
      </c>
      <c r="BQ2211">
        <v>0</v>
      </c>
      <c r="BT2211">
        <v>0</v>
      </c>
      <c r="BU2211">
        <v>0</v>
      </c>
      <c r="BV2211">
        <v>0</v>
      </c>
      <c r="CC2211" t="str">
        <f>"19:11:42.031"</f>
        <v>19:11:42.031</v>
      </c>
      <c r="CD2211" t="str">
        <f>"035109121"</f>
        <v>035109121</v>
      </c>
      <c r="CQ2211">
        <v>0</v>
      </c>
      <c r="CR2211">
        <v>2</v>
      </c>
      <c r="CS2211">
        <v>0</v>
      </c>
      <c r="CT2211">
        <v>2</v>
      </c>
      <c r="CU2211">
        <v>0</v>
      </c>
      <c r="CV2211">
        <v>6</v>
      </c>
      <c r="CW2211" t="s">
        <v>120</v>
      </c>
      <c r="CX2211">
        <v>257</v>
      </c>
      <c r="CY2211">
        <v>0</v>
      </c>
      <c r="CZ2211" t="s">
        <v>615</v>
      </c>
      <c r="DA2211" t="s">
        <v>616</v>
      </c>
      <c r="DD2211">
        <v>15781277</v>
      </c>
      <c r="DE2211" t="s">
        <v>123</v>
      </c>
    </row>
    <row r="2212" spans="1:109" x14ac:dyDescent="0.3">
      <c r="A2212" t="str">
        <f>"19:11:43.375"</f>
        <v>19:11:43.375</v>
      </c>
      <c r="B2212" t="s">
        <v>110</v>
      </c>
      <c r="C2212" t="str">
        <f t="shared" si="102"/>
        <v>ffdfd3c0</v>
      </c>
      <c r="D2212" t="s">
        <v>111</v>
      </c>
      <c r="E2212">
        <v>18</v>
      </c>
      <c r="F2212">
        <v>1018</v>
      </c>
      <c r="G2212" t="s">
        <v>112</v>
      </c>
      <c r="J2212" t="s">
        <v>113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R2212" t="s">
        <v>114</v>
      </c>
      <c r="S2212" t="str">
        <f>"19:11:43.156"</f>
        <v>19:11:43.156</v>
      </c>
      <c r="T2212" t="str">
        <f>"19:11:43.156"</f>
        <v>19:11:43.156</v>
      </c>
      <c r="U2212" t="str">
        <f t="shared" si="103"/>
        <v>a1cdbe</v>
      </c>
      <c r="V2212">
        <v>0</v>
      </c>
      <c r="W2212">
        <v>0</v>
      </c>
      <c r="X2212">
        <v>1</v>
      </c>
      <c r="Y2212">
        <v>0</v>
      </c>
      <c r="Z2212">
        <v>0</v>
      </c>
      <c r="AB2212">
        <v>0</v>
      </c>
      <c r="AC2212">
        <v>9</v>
      </c>
      <c r="AD2212">
        <v>3</v>
      </c>
      <c r="AE2212">
        <v>0</v>
      </c>
      <c r="AF2212">
        <v>9</v>
      </c>
      <c r="AG2212" t="s">
        <v>158</v>
      </c>
      <c r="AH2212">
        <v>0</v>
      </c>
      <c r="AI2212">
        <v>3</v>
      </c>
      <c r="AJ2212">
        <v>1</v>
      </c>
      <c r="AK2212">
        <v>0</v>
      </c>
      <c r="AL2212" t="s">
        <v>4163</v>
      </c>
      <c r="AM2212">
        <v>46.882503</v>
      </c>
      <c r="AN2212" t="s">
        <v>4164</v>
      </c>
      <c r="AO2212">
        <v>-123.142383</v>
      </c>
      <c r="AP2212">
        <v>100</v>
      </c>
      <c r="AQ2212">
        <v>2000</v>
      </c>
      <c r="AR2212" t="s">
        <v>118</v>
      </c>
      <c r="AS2212">
        <v>-78</v>
      </c>
      <c r="AT2212">
        <v>13</v>
      </c>
      <c r="AU2212">
        <v>64</v>
      </c>
      <c r="BC2212">
        <v>1200</v>
      </c>
      <c r="BD2212">
        <v>1</v>
      </c>
      <c r="BE2212" t="str">
        <f t="shared" si="104"/>
        <v xml:space="preserve">N215T   </v>
      </c>
      <c r="BF2212">
        <v>1</v>
      </c>
      <c r="BH2212">
        <v>0</v>
      </c>
      <c r="BI2212">
        <v>0</v>
      </c>
      <c r="BJ2212">
        <v>0</v>
      </c>
      <c r="BK2212">
        <v>2425</v>
      </c>
      <c r="BL2212">
        <v>425</v>
      </c>
      <c r="BM2212" t="s">
        <v>119</v>
      </c>
      <c r="BN2212">
        <v>1</v>
      </c>
      <c r="BO2212">
        <v>1</v>
      </c>
      <c r="BP2212">
        <v>1</v>
      </c>
      <c r="BQ2212">
        <v>0</v>
      </c>
      <c r="BT2212">
        <v>0</v>
      </c>
      <c r="BU2212">
        <v>0</v>
      </c>
      <c r="BV2212">
        <v>0</v>
      </c>
      <c r="CC2212" t="str">
        <f>"19:11:43.156"</f>
        <v>19:11:43.156</v>
      </c>
      <c r="CD2212" t="str">
        <f>"160002972"</f>
        <v>160002972</v>
      </c>
      <c r="CQ2212">
        <v>0</v>
      </c>
      <c r="CR2212">
        <v>2</v>
      </c>
      <c r="CS2212">
        <v>0</v>
      </c>
      <c r="CT2212">
        <v>2</v>
      </c>
      <c r="CU2212">
        <v>0</v>
      </c>
      <c r="CV2212">
        <v>7</v>
      </c>
      <c r="CW2212" t="s">
        <v>120</v>
      </c>
      <c r="CX2212">
        <v>261</v>
      </c>
      <c r="CY2212">
        <v>2</v>
      </c>
      <c r="CZ2212" t="s">
        <v>121</v>
      </c>
      <c r="DA2212" t="s">
        <v>122</v>
      </c>
      <c r="DD2212">
        <v>15597975</v>
      </c>
      <c r="DE2212" t="s">
        <v>123</v>
      </c>
    </row>
    <row r="2213" spans="1:109" x14ac:dyDescent="0.3">
      <c r="A2213" t="str">
        <f>"19:11:44.430"</f>
        <v>19:11:44.430</v>
      </c>
      <c r="B2213" t="s">
        <v>110</v>
      </c>
      <c r="C2213" t="str">
        <f t="shared" si="102"/>
        <v>ffdfd3c0</v>
      </c>
      <c r="D2213" t="s">
        <v>111</v>
      </c>
      <c r="E2213">
        <v>18</v>
      </c>
      <c r="F2213">
        <v>1018</v>
      </c>
      <c r="G2213" t="s">
        <v>112</v>
      </c>
      <c r="J2213" t="s">
        <v>113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R2213" t="s">
        <v>114</v>
      </c>
      <c r="S2213" t="str">
        <f>"19:11:44.188"</f>
        <v>19:11:44.188</v>
      </c>
      <c r="T2213" t="str">
        <f>"19:11:43.984"</f>
        <v>19:11:43.984</v>
      </c>
      <c r="U2213" t="str">
        <f t="shared" si="103"/>
        <v>a1cdbe</v>
      </c>
      <c r="V2213">
        <v>0</v>
      </c>
      <c r="W2213">
        <v>0</v>
      </c>
      <c r="X2213">
        <v>1</v>
      </c>
      <c r="Y2213">
        <v>0</v>
      </c>
      <c r="Z2213">
        <v>0</v>
      </c>
      <c r="AB2213">
        <v>0</v>
      </c>
      <c r="AC2213">
        <v>9</v>
      </c>
      <c r="AD2213">
        <v>3</v>
      </c>
      <c r="AE2213">
        <v>0</v>
      </c>
      <c r="AF2213">
        <v>9</v>
      </c>
      <c r="AG2213" t="s">
        <v>158</v>
      </c>
      <c r="AH2213">
        <v>0</v>
      </c>
      <c r="AI2213">
        <v>3</v>
      </c>
      <c r="AJ2213">
        <v>1</v>
      </c>
      <c r="AK2213">
        <v>0</v>
      </c>
      <c r="AL2213" t="s">
        <v>4165</v>
      </c>
      <c r="AM2213">
        <v>46.882567000000002</v>
      </c>
      <c r="AN2213" t="s">
        <v>4166</v>
      </c>
      <c r="AO2213">
        <v>-123.14294099999999</v>
      </c>
      <c r="AP2213">
        <v>100</v>
      </c>
      <c r="AQ2213">
        <v>2000</v>
      </c>
      <c r="AR2213" t="s">
        <v>118</v>
      </c>
      <c r="AS2213">
        <v>-78</v>
      </c>
      <c r="AT2213">
        <v>13</v>
      </c>
      <c r="AU2213">
        <v>64</v>
      </c>
      <c r="BC2213">
        <v>1200</v>
      </c>
      <c r="BD2213">
        <v>1</v>
      </c>
      <c r="BE2213" t="str">
        <f t="shared" si="104"/>
        <v xml:space="preserve">N215T   </v>
      </c>
      <c r="BF2213">
        <v>1</v>
      </c>
      <c r="BH2213">
        <v>0</v>
      </c>
      <c r="BI2213">
        <v>0</v>
      </c>
      <c r="BJ2213">
        <v>0</v>
      </c>
      <c r="BK2213">
        <v>2425</v>
      </c>
      <c r="BL2213">
        <v>425</v>
      </c>
      <c r="BM2213" t="s">
        <v>119</v>
      </c>
      <c r="BN2213">
        <v>1</v>
      </c>
      <c r="BO2213">
        <v>1</v>
      </c>
      <c r="BP2213">
        <v>1</v>
      </c>
      <c r="BQ2213">
        <v>0</v>
      </c>
      <c r="BT2213">
        <v>0</v>
      </c>
      <c r="BU2213">
        <v>0</v>
      </c>
      <c r="BV2213">
        <v>0</v>
      </c>
      <c r="CC2213" t="str">
        <f>"19:11:44.195"</f>
        <v>19:11:44.195</v>
      </c>
      <c r="CD2213" t="str">
        <f>"194901062"</f>
        <v>194901062</v>
      </c>
      <c r="CQ2213">
        <v>0</v>
      </c>
      <c r="CR2213">
        <v>2</v>
      </c>
      <c r="CS2213">
        <v>0</v>
      </c>
      <c r="CT2213">
        <v>2</v>
      </c>
      <c r="CU2213">
        <v>0</v>
      </c>
      <c r="CV2213">
        <v>7</v>
      </c>
      <c r="CW2213" t="s">
        <v>120</v>
      </c>
      <c r="CX2213">
        <v>261</v>
      </c>
      <c r="CY2213">
        <v>2</v>
      </c>
      <c r="CZ2213" t="s">
        <v>121</v>
      </c>
      <c r="DA2213" t="s">
        <v>122</v>
      </c>
      <c r="DD2213">
        <v>15598721</v>
      </c>
      <c r="DE2213" t="s">
        <v>123</v>
      </c>
    </row>
    <row r="2214" spans="1:109" x14ac:dyDescent="0.3">
      <c r="A2214" t="str">
        <f>"19:11:45.484"</f>
        <v>19:11:45.484</v>
      </c>
      <c r="B2214" t="s">
        <v>110</v>
      </c>
      <c r="C2214" t="str">
        <f t="shared" si="102"/>
        <v>ffdfd3c0</v>
      </c>
      <c r="D2214" t="s">
        <v>111</v>
      </c>
      <c r="E2214">
        <v>18</v>
      </c>
      <c r="F2214">
        <v>1018</v>
      </c>
      <c r="G2214" t="s">
        <v>112</v>
      </c>
      <c r="J2214" t="s">
        <v>113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R2214" t="s">
        <v>114</v>
      </c>
      <c r="S2214" t="str">
        <f>"19:11:45.227"</f>
        <v>19:11:45.227</v>
      </c>
      <c r="T2214" t="str">
        <f>"19:11:45.125"</f>
        <v>19:11:45.125</v>
      </c>
      <c r="U2214" t="str">
        <f t="shared" si="103"/>
        <v>a1cdbe</v>
      </c>
      <c r="V2214">
        <v>0</v>
      </c>
      <c r="W2214">
        <v>0</v>
      </c>
      <c r="X2214">
        <v>1</v>
      </c>
      <c r="Y2214">
        <v>0</v>
      </c>
      <c r="Z2214">
        <v>0</v>
      </c>
      <c r="AB2214">
        <v>0</v>
      </c>
      <c r="AC2214">
        <v>9</v>
      </c>
      <c r="AD2214">
        <v>3</v>
      </c>
      <c r="AE2214">
        <v>0</v>
      </c>
      <c r="AF2214">
        <v>9</v>
      </c>
      <c r="AG2214" t="s">
        <v>158</v>
      </c>
      <c r="AH2214">
        <v>0</v>
      </c>
      <c r="AI2214">
        <v>3</v>
      </c>
      <c r="AJ2214">
        <v>1</v>
      </c>
      <c r="AK2214">
        <v>0</v>
      </c>
      <c r="AL2214" t="s">
        <v>4167</v>
      </c>
      <c r="AM2214">
        <v>46.882652999999998</v>
      </c>
      <c r="AN2214" t="s">
        <v>4168</v>
      </c>
      <c r="AO2214">
        <v>-123.143477</v>
      </c>
      <c r="AP2214">
        <v>100</v>
      </c>
      <c r="AQ2214">
        <v>2000</v>
      </c>
      <c r="AR2214" t="s">
        <v>118</v>
      </c>
      <c r="AS2214">
        <v>-78</v>
      </c>
      <c r="AT2214">
        <v>12</v>
      </c>
      <c r="AU2214">
        <v>0</v>
      </c>
      <c r="BC2214">
        <v>1200</v>
      </c>
      <c r="BD2214">
        <v>1</v>
      </c>
      <c r="BE2214" t="str">
        <f t="shared" si="104"/>
        <v xml:space="preserve">N215T   </v>
      </c>
      <c r="BF2214">
        <v>1</v>
      </c>
      <c r="BH2214">
        <v>0</v>
      </c>
      <c r="BI2214">
        <v>0</v>
      </c>
      <c r="BJ2214">
        <v>0</v>
      </c>
      <c r="BK2214">
        <v>2425</v>
      </c>
      <c r="BL2214">
        <v>425</v>
      </c>
      <c r="BM2214" t="s">
        <v>119</v>
      </c>
      <c r="BN2214">
        <v>1</v>
      </c>
      <c r="BO2214">
        <v>1</v>
      </c>
      <c r="BP2214">
        <v>1</v>
      </c>
      <c r="BQ2214">
        <v>0</v>
      </c>
      <c r="BT2214">
        <v>0</v>
      </c>
      <c r="BU2214">
        <v>0</v>
      </c>
      <c r="BV2214">
        <v>0</v>
      </c>
      <c r="CC2214" t="str">
        <f>"19:11:45.227"</f>
        <v>19:11:45.227</v>
      </c>
      <c r="CD2214" t="str">
        <f>"229799150"</f>
        <v>229799150</v>
      </c>
      <c r="CQ2214">
        <v>0</v>
      </c>
      <c r="CR2214">
        <v>2</v>
      </c>
      <c r="CS2214">
        <v>0</v>
      </c>
      <c r="CT2214">
        <v>2</v>
      </c>
      <c r="CU2214">
        <v>0</v>
      </c>
      <c r="CV2214">
        <v>6</v>
      </c>
      <c r="CW2214" t="s">
        <v>120</v>
      </c>
      <c r="CX2214">
        <v>261</v>
      </c>
      <c r="CY2214">
        <v>2</v>
      </c>
      <c r="CZ2214" t="s">
        <v>121</v>
      </c>
      <c r="DA2214" t="s">
        <v>122</v>
      </c>
      <c r="DD2214">
        <v>15599405</v>
      </c>
      <c r="DE2214" t="s">
        <v>123</v>
      </c>
    </row>
    <row r="2215" spans="1:109" x14ac:dyDescent="0.3">
      <c r="A2215" t="str">
        <f>"19:11:46.391"</f>
        <v>19:11:46.391</v>
      </c>
      <c r="B2215" t="s">
        <v>110</v>
      </c>
      <c r="C2215" t="str">
        <f t="shared" si="102"/>
        <v>ffdfd3c0</v>
      </c>
      <c r="D2215" t="s">
        <v>111</v>
      </c>
      <c r="E2215">
        <v>18</v>
      </c>
      <c r="F2215">
        <v>1018</v>
      </c>
      <c r="G2215" t="s">
        <v>112</v>
      </c>
      <c r="J2215" t="s">
        <v>113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R2215" t="s">
        <v>114</v>
      </c>
      <c r="S2215" t="str">
        <f>"19:11:46.156"</f>
        <v>19:11:46.156</v>
      </c>
      <c r="T2215" t="str">
        <f>"19:11:45.758"</f>
        <v>19:11:45.758</v>
      </c>
      <c r="U2215" t="str">
        <f t="shared" si="103"/>
        <v>a1cdbe</v>
      </c>
      <c r="V2215">
        <v>0</v>
      </c>
      <c r="W2215">
        <v>0</v>
      </c>
      <c r="X2215">
        <v>1</v>
      </c>
      <c r="Y2215">
        <v>0</v>
      </c>
      <c r="Z2215">
        <v>0</v>
      </c>
      <c r="AB2215">
        <v>0</v>
      </c>
      <c r="AC2215">
        <v>9</v>
      </c>
      <c r="AD2215">
        <v>3</v>
      </c>
      <c r="AE2215">
        <v>0</v>
      </c>
      <c r="AF2215">
        <v>9</v>
      </c>
      <c r="AG2215" t="s">
        <v>158</v>
      </c>
      <c r="AH2215">
        <v>0</v>
      </c>
      <c r="AI2215">
        <v>3</v>
      </c>
      <c r="AJ2215">
        <v>1</v>
      </c>
      <c r="AK2215">
        <v>0</v>
      </c>
      <c r="AL2215" t="s">
        <v>4169</v>
      </c>
      <c r="AM2215">
        <v>46.882674999999999</v>
      </c>
      <c r="AN2215" t="s">
        <v>4170</v>
      </c>
      <c r="AO2215">
        <v>-123.143928</v>
      </c>
      <c r="AP2215">
        <v>100</v>
      </c>
      <c r="AQ2215">
        <v>2000</v>
      </c>
      <c r="AR2215" t="s">
        <v>118</v>
      </c>
      <c r="AS2215">
        <v>-78</v>
      </c>
      <c r="AT2215">
        <v>12</v>
      </c>
      <c r="AU2215">
        <v>0</v>
      </c>
      <c r="BC2215">
        <v>1200</v>
      </c>
      <c r="BD2215">
        <v>1</v>
      </c>
      <c r="BE2215" t="str">
        <f t="shared" si="104"/>
        <v xml:space="preserve">N215T   </v>
      </c>
      <c r="BF2215">
        <v>1</v>
      </c>
      <c r="BH2215">
        <v>0</v>
      </c>
      <c r="BI2215">
        <v>0</v>
      </c>
      <c r="BJ2215">
        <v>0</v>
      </c>
      <c r="BK2215">
        <v>2425</v>
      </c>
      <c r="BL2215">
        <v>425</v>
      </c>
      <c r="BM2215" t="s">
        <v>119</v>
      </c>
      <c r="BN2215">
        <v>1</v>
      </c>
      <c r="BO2215">
        <v>1</v>
      </c>
      <c r="BP2215">
        <v>1</v>
      </c>
      <c r="BQ2215">
        <v>0</v>
      </c>
      <c r="BT2215">
        <v>0</v>
      </c>
      <c r="BU2215">
        <v>0</v>
      </c>
      <c r="BV2215">
        <v>0</v>
      </c>
      <c r="CC2215" t="str">
        <f>"19:11:46.156"</f>
        <v>19:11:46.156</v>
      </c>
      <c r="CD2215" t="str">
        <f>"159702500"</f>
        <v>159702500</v>
      </c>
      <c r="CQ2215">
        <v>0</v>
      </c>
      <c r="CR2215">
        <v>2</v>
      </c>
      <c r="CS2215">
        <v>0</v>
      </c>
      <c r="CT2215">
        <v>2</v>
      </c>
      <c r="CU2215">
        <v>0</v>
      </c>
      <c r="CV2215">
        <v>6</v>
      </c>
      <c r="CW2215" t="s">
        <v>120</v>
      </c>
      <c r="CX2215">
        <v>257</v>
      </c>
      <c r="CY2215">
        <v>0</v>
      </c>
      <c r="CZ2215" t="s">
        <v>615</v>
      </c>
      <c r="DA2215" t="s">
        <v>616</v>
      </c>
      <c r="DD2215">
        <v>15783480</v>
      </c>
      <c r="DE2215" t="s">
        <v>123</v>
      </c>
    </row>
    <row r="2216" spans="1:109" x14ac:dyDescent="0.3">
      <c r="A2216" t="str">
        <f>"19:11:47.398"</f>
        <v>19:11:47.398</v>
      </c>
      <c r="B2216" t="s">
        <v>110</v>
      </c>
      <c r="C2216" t="str">
        <f t="shared" si="102"/>
        <v>ffdfd3c0</v>
      </c>
      <c r="D2216" t="s">
        <v>111</v>
      </c>
      <c r="E2216">
        <v>18</v>
      </c>
      <c r="F2216">
        <v>1018</v>
      </c>
      <c r="G2216" t="s">
        <v>112</v>
      </c>
      <c r="J2216" t="s">
        <v>113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R2216" t="s">
        <v>114</v>
      </c>
      <c r="S2216" t="str">
        <f>"19:11:47.188"</f>
        <v>19:11:47.188</v>
      </c>
      <c r="T2216" t="str">
        <f>"19:11:46.789"</f>
        <v>19:11:46.789</v>
      </c>
      <c r="U2216" t="str">
        <f t="shared" si="103"/>
        <v>a1cdbe</v>
      </c>
      <c r="V2216">
        <v>0</v>
      </c>
      <c r="W2216">
        <v>0</v>
      </c>
      <c r="X2216">
        <v>1</v>
      </c>
      <c r="Y2216">
        <v>0</v>
      </c>
      <c r="Z2216">
        <v>0</v>
      </c>
      <c r="AB2216">
        <v>0</v>
      </c>
      <c r="AC2216">
        <v>9</v>
      </c>
      <c r="AD2216">
        <v>3</v>
      </c>
      <c r="AE2216">
        <v>0</v>
      </c>
      <c r="AF2216">
        <v>9</v>
      </c>
      <c r="AG2216" t="s">
        <v>158</v>
      </c>
      <c r="AH2216">
        <v>0</v>
      </c>
      <c r="AI2216">
        <v>3</v>
      </c>
      <c r="AJ2216">
        <v>1</v>
      </c>
      <c r="AK2216">
        <v>0</v>
      </c>
      <c r="AL2216" t="s">
        <v>4171</v>
      </c>
      <c r="AM2216">
        <v>46.882739000000001</v>
      </c>
      <c r="AN2216" t="s">
        <v>4172</v>
      </c>
      <c r="AO2216">
        <v>-123.144507</v>
      </c>
      <c r="AP2216">
        <v>100</v>
      </c>
      <c r="AQ2216">
        <v>2000</v>
      </c>
      <c r="AR2216" t="s">
        <v>118</v>
      </c>
      <c r="AS2216">
        <v>-78</v>
      </c>
      <c r="AT2216">
        <v>11</v>
      </c>
      <c r="AU2216">
        <v>0</v>
      </c>
      <c r="BC2216">
        <v>1200</v>
      </c>
      <c r="BD2216">
        <v>1</v>
      </c>
      <c r="BE2216" t="str">
        <f t="shared" si="104"/>
        <v xml:space="preserve">N215T   </v>
      </c>
      <c r="BF2216">
        <v>1</v>
      </c>
      <c r="BH2216">
        <v>0</v>
      </c>
      <c r="BI2216">
        <v>0</v>
      </c>
      <c r="BJ2216">
        <v>0</v>
      </c>
      <c r="BK2216">
        <v>2425</v>
      </c>
      <c r="BL2216">
        <v>425</v>
      </c>
      <c r="BM2216" t="s">
        <v>119</v>
      </c>
      <c r="BN2216">
        <v>1</v>
      </c>
      <c r="BO2216">
        <v>1</v>
      </c>
      <c r="BP2216">
        <v>1</v>
      </c>
      <c r="BQ2216">
        <v>0</v>
      </c>
      <c r="BT2216">
        <v>0</v>
      </c>
      <c r="BU2216">
        <v>0</v>
      </c>
      <c r="BV2216">
        <v>0</v>
      </c>
      <c r="CC2216" t="str">
        <f>"19:11:47.195"</f>
        <v>19:11:47.195</v>
      </c>
      <c r="CD2216" t="str">
        <f>"194600458"</f>
        <v>194600458</v>
      </c>
      <c r="CQ2216">
        <v>0</v>
      </c>
      <c r="CR2216">
        <v>2</v>
      </c>
      <c r="CS2216">
        <v>0</v>
      </c>
      <c r="CT2216">
        <v>2</v>
      </c>
      <c r="CU2216">
        <v>0</v>
      </c>
      <c r="CV2216">
        <v>6</v>
      </c>
      <c r="CW2216" t="s">
        <v>120</v>
      </c>
      <c r="CX2216">
        <v>257</v>
      </c>
      <c r="CY2216">
        <v>1</v>
      </c>
      <c r="CZ2216" t="s">
        <v>615</v>
      </c>
      <c r="DA2216" t="s">
        <v>616</v>
      </c>
      <c r="DD2216">
        <v>12030722</v>
      </c>
      <c r="DE2216" t="s">
        <v>123</v>
      </c>
    </row>
    <row r="2217" spans="1:109" x14ac:dyDescent="0.3">
      <c r="A2217" t="str">
        <f>"19:11:48.406"</f>
        <v>19:11:48.406</v>
      </c>
      <c r="B2217" t="s">
        <v>110</v>
      </c>
      <c r="C2217" t="str">
        <f t="shared" si="102"/>
        <v>ffdfd3c0</v>
      </c>
      <c r="D2217" t="s">
        <v>111</v>
      </c>
      <c r="E2217">
        <v>18</v>
      </c>
      <c r="F2217">
        <v>1018</v>
      </c>
      <c r="G2217" t="s">
        <v>112</v>
      </c>
      <c r="J2217" t="s">
        <v>113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R2217" t="s">
        <v>114</v>
      </c>
      <c r="S2217" t="str">
        <f>"19:11:48.148"</f>
        <v>19:11:48.148</v>
      </c>
      <c r="T2217" t="str">
        <f>"19:11:48.148"</f>
        <v>19:11:48.148</v>
      </c>
      <c r="U2217" t="str">
        <f t="shared" si="103"/>
        <v>a1cdbe</v>
      </c>
      <c r="V2217">
        <v>0</v>
      </c>
      <c r="W2217">
        <v>0</v>
      </c>
      <c r="X2217">
        <v>1</v>
      </c>
      <c r="Y2217">
        <v>0</v>
      </c>
      <c r="Z2217">
        <v>0</v>
      </c>
      <c r="AB2217">
        <v>0</v>
      </c>
      <c r="AC2217">
        <v>9</v>
      </c>
      <c r="AD2217">
        <v>3</v>
      </c>
      <c r="AE2217">
        <v>0</v>
      </c>
      <c r="AF2217">
        <v>9</v>
      </c>
      <c r="AG2217" t="s">
        <v>158</v>
      </c>
      <c r="AH2217">
        <v>0</v>
      </c>
      <c r="AI2217">
        <v>3</v>
      </c>
      <c r="AJ2217">
        <v>1</v>
      </c>
      <c r="AK2217">
        <v>0</v>
      </c>
      <c r="AL2217" t="s">
        <v>4173</v>
      </c>
      <c r="AM2217">
        <v>46.882781999999999</v>
      </c>
      <c r="AN2217" t="s">
        <v>4174</v>
      </c>
      <c r="AO2217">
        <v>-123.14500099999999</v>
      </c>
      <c r="AP2217">
        <v>100</v>
      </c>
      <c r="AQ2217">
        <v>2000</v>
      </c>
      <c r="AR2217" t="s">
        <v>118</v>
      </c>
      <c r="AS2217">
        <v>-78</v>
      </c>
      <c r="AT2217">
        <v>11</v>
      </c>
      <c r="AU2217">
        <v>0</v>
      </c>
      <c r="BC2217">
        <v>1200</v>
      </c>
      <c r="BD2217">
        <v>1</v>
      </c>
      <c r="BE2217" t="str">
        <f t="shared" si="104"/>
        <v xml:space="preserve">N215T   </v>
      </c>
      <c r="BF2217">
        <v>1</v>
      </c>
      <c r="BH2217">
        <v>0</v>
      </c>
      <c r="BI2217">
        <v>0</v>
      </c>
      <c r="BJ2217">
        <v>0</v>
      </c>
      <c r="BK2217">
        <v>2425</v>
      </c>
      <c r="BL2217">
        <v>425</v>
      </c>
      <c r="BM2217" t="s">
        <v>119</v>
      </c>
      <c r="BN2217">
        <v>1</v>
      </c>
      <c r="BO2217">
        <v>1</v>
      </c>
      <c r="BP2217">
        <v>1</v>
      </c>
      <c r="BQ2217">
        <v>0</v>
      </c>
      <c r="BT2217">
        <v>0</v>
      </c>
      <c r="BU2217">
        <v>0</v>
      </c>
      <c r="BV2217">
        <v>0</v>
      </c>
      <c r="CC2217" t="str">
        <f>"19:11:48.156"</f>
        <v>19:11:48.156</v>
      </c>
      <c r="CD2217" t="str">
        <f>"154511144"</f>
        <v>154511144</v>
      </c>
      <c r="CQ2217">
        <v>0</v>
      </c>
      <c r="CR2217">
        <v>2</v>
      </c>
      <c r="CS2217">
        <v>0</v>
      </c>
      <c r="CT2217">
        <v>2</v>
      </c>
      <c r="CU2217">
        <v>0</v>
      </c>
      <c r="CV2217">
        <v>6</v>
      </c>
      <c r="CW2217" t="s">
        <v>120</v>
      </c>
      <c r="CX2217">
        <v>261</v>
      </c>
      <c r="CY2217">
        <v>2</v>
      </c>
      <c r="CZ2217" t="s">
        <v>121</v>
      </c>
      <c r="DA2217" t="s">
        <v>122</v>
      </c>
      <c r="DD2217">
        <v>15601501</v>
      </c>
      <c r="DE2217" t="s">
        <v>123</v>
      </c>
    </row>
    <row r="2218" spans="1:109" x14ac:dyDescent="0.3">
      <c r="A2218" t="str">
        <f>"19:11:49.359"</f>
        <v>19:11:49.359</v>
      </c>
      <c r="B2218" t="s">
        <v>110</v>
      </c>
      <c r="C2218" t="str">
        <f t="shared" si="102"/>
        <v>ffdfd3c0</v>
      </c>
      <c r="D2218" t="s">
        <v>111</v>
      </c>
      <c r="E2218">
        <v>18</v>
      </c>
      <c r="F2218">
        <v>1018</v>
      </c>
      <c r="G2218" t="s">
        <v>112</v>
      </c>
      <c r="J2218" t="s">
        <v>113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R2218" t="s">
        <v>114</v>
      </c>
      <c r="S2218" t="str">
        <f>"19:11:49.125"</f>
        <v>19:11:49.125</v>
      </c>
      <c r="T2218" t="str">
        <f>"19:11:48.727"</f>
        <v>19:11:48.727</v>
      </c>
      <c r="U2218" t="str">
        <f t="shared" si="103"/>
        <v>a1cdbe</v>
      </c>
      <c r="V2218">
        <v>0</v>
      </c>
      <c r="W2218">
        <v>0</v>
      </c>
      <c r="X2218">
        <v>1</v>
      </c>
      <c r="Y2218">
        <v>0</v>
      </c>
      <c r="Z2218">
        <v>0</v>
      </c>
      <c r="AB2218">
        <v>0</v>
      </c>
      <c r="AC2218">
        <v>9</v>
      </c>
      <c r="AD2218">
        <v>3</v>
      </c>
      <c r="AE2218">
        <v>0</v>
      </c>
      <c r="AF2218">
        <v>9</v>
      </c>
      <c r="AG2218" t="s">
        <v>158</v>
      </c>
      <c r="AH2218">
        <v>0</v>
      </c>
      <c r="AI2218">
        <v>3</v>
      </c>
      <c r="AJ2218">
        <v>1</v>
      </c>
      <c r="AK2218">
        <v>0</v>
      </c>
      <c r="AL2218" t="s">
        <v>4175</v>
      </c>
      <c r="AM2218">
        <v>46.882846000000001</v>
      </c>
      <c r="AN2218" t="s">
        <v>4176</v>
      </c>
      <c r="AO2218">
        <v>-123.145473</v>
      </c>
      <c r="AP2218">
        <v>100</v>
      </c>
      <c r="AQ2218">
        <v>2000</v>
      </c>
      <c r="AR2218" t="s">
        <v>118</v>
      </c>
      <c r="AS2218">
        <v>-78</v>
      </c>
      <c r="AT2218">
        <v>11</v>
      </c>
      <c r="AU2218">
        <v>-64</v>
      </c>
      <c r="BC2218">
        <v>1200</v>
      </c>
      <c r="BD2218">
        <v>1</v>
      </c>
      <c r="BE2218" t="str">
        <f t="shared" si="104"/>
        <v xml:space="preserve">N215T   </v>
      </c>
      <c r="BF2218">
        <v>1</v>
      </c>
      <c r="BH2218">
        <v>0</v>
      </c>
      <c r="BI2218">
        <v>0</v>
      </c>
      <c r="BJ2218">
        <v>0</v>
      </c>
      <c r="BK2218">
        <v>2425</v>
      </c>
      <c r="BL2218">
        <v>425</v>
      </c>
      <c r="BM2218" t="s">
        <v>119</v>
      </c>
      <c r="BN2218">
        <v>1</v>
      </c>
      <c r="BO2218">
        <v>1</v>
      </c>
      <c r="BP2218">
        <v>1</v>
      </c>
      <c r="BQ2218">
        <v>0</v>
      </c>
      <c r="BT2218">
        <v>0</v>
      </c>
      <c r="BU2218">
        <v>0</v>
      </c>
      <c r="BV2218">
        <v>0</v>
      </c>
      <c r="CC2218" t="str">
        <f>"19:11:49.133"</f>
        <v>19:11:49.133</v>
      </c>
      <c r="CD2218" t="str">
        <f>"129409722"</f>
        <v>129409722</v>
      </c>
      <c r="CQ2218">
        <v>0</v>
      </c>
      <c r="CR2218">
        <v>2</v>
      </c>
      <c r="CS2218">
        <v>0</v>
      </c>
      <c r="CT2218">
        <v>2</v>
      </c>
      <c r="CU2218">
        <v>0</v>
      </c>
      <c r="CV2218">
        <v>6</v>
      </c>
      <c r="CW2218" t="s">
        <v>120</v>
      </c>
      <c r="CX2218">
        <v>257</v>
      </c>
      <c r="CY2218">
        <v>0</v>
      </c>
      <c r="CZ2218" t="s">
        <v>615</v>
      </c>
      <c r="DA2218" t="s">
        <v>616</v>
      </c>
      <c r="DD2218">
        <v>15785179</v>
      </c>
      <c r="DE2218" t="s">
        <v>123</v>
      </c>
    </row>
    <row r="2219" spans="1:109" x14ac:dyDescent="0.3">
      <c r="A2219" t="str">
        <f>"19:11:50.367"</f>
        <v>19:11:50.367</v>
      </c>
      <c r="B2219" t="s">
        <v>110</v>
      </c>
      <c r="C2219" t="str">
        <f t="shared" si="102"/>
        <v>ffdfd3c0</v>
      </c>
      <c r="D2219" t="s">
        <v>111</v>
      </c>
      <c r="E2219">
        <v>18</v>
      </c>
      <c r="F2219">
        <v>1018</v>
      </c>
      <c r="G2219" t="s">
        <v>112</v>
      </c>
      <c r="J2219" t="s">
        <v>113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R2219" t="s">
        <v>114</v>
      </c>
      <c r="S2219" t="str">
        <f>"19:11:50.164"</f>
        <v>19:11:50.164</v>
      </c>
      <c r="T2219" t="str">
        <f>"19:11:49.664"</f>
        <v>19:11:49.664</v>
      </c>
      <c r="U2219" t="str">
        <f t="shared" si="103"/>
        <v>a1cdbe</v>
      </c>
      <c r="V2219">
        <v>0</v>
      </c>
      <c r="W2219">
        <v>0</v>
      </c>
      <c r="X2219">
        <v>1</v>
      </c>
      <c r="Y2219">
        <v>0</v>
      </c>
      <c r="Z2219">
        <v>0</v>
      </c>
      <c r="AB2219">
        <v>0</v>
      </c>
      <c r="AC2219">
        <v>9</v>
      </c>
      <c r="AD2219">
        <v>3</v>
      </c>
      <c r="AE2219">
        <v>0</v>
      </c>
      <c r="AF2219">
        <v>9</v>
      </c>
      <c r="AG2219" t="s">
        <v>158</v>
      </c>
      <c r="AH2219">
        <v>0</v>
      </c>
      <c r="AI2219">
        <v>3</v>
      </c>
      <c r="AJ2219">
        <v>1</v>
      </c>
      <c r="AK2219">
        <v>0</v>
      </c>
      <c r="AL2219" t="s">
        <v>4177</v>
      </c>
      <c r="AM2219">
        <v>46.882888999999999</v>
      </c>
      <c r="AN2219" t="s">
        <v>4178</v>
      </c>
      <c r="AO2219">
        <v>-123.14603099999999</v>
      </c>
      <c r="AP2219">
        <v>100</v>
      </c>
      <c r="AQ2219">
        <v>2000</v>
      </c>
      <c r="AR2219" t="s">
        <v>118</v>
      </c>
      <c r="AS2219">
        <v>-79</v>
      </c>
      <c r="AT2219">
        <v>11</v>
      </c>
      <c r="AU2219">
        <v>-128</v>
      </c>
      <c r="BC2219">
        <v>1200</v>
      </c>
      <c r="BD2219">
        <v>1</v>
      </c>
      <c r="BE2219" t="str">
        <f t="shared" si="104"/>
        <v xml:space="preserve">N215T   </v>
      </c>
      <c r="BF2219">
        <v>1</v>
      </c>
      <c r="BH2219">
        <v>0</v>
      </c>
      <c r="BI2219">
        <v>0</v>
      </c>
      <c r="BJ2219">
        <v>0</v>
      </c>
      <c r="BK2219">
        <v>2425</v>
      </c>
      <c r="BL2219">
        <v>425</v>
      </c>
      <c r="BM2219" t="s">
        <v>119</v>
      </c>
      <c r="BN2219">
        <v>1</v>
      </c>
      <c r="BO2219">
        <v>1</v>
      </c>
      <c r="BP2219">
        <v>1</v>
      </c>
      <c r="BQ2219">
        <v>0</v>
      </c>
      <c r="BT2219">
        <v>0</v>
      </c>
      <c r="BU2219">
        <v>0</v>
      </c>
      <c r="BV2219">
        <v>0</v>
      </c>
      <c r="CC2219" t="str">
        <f>"19:11:50.164"</f>
        <v>19:11:50.164</v>
      </c>
      <c r="CD2219" t="str">
        <f>"164313239"</f>
        <v>164313239</v>
      </c>
      <c r="CQ2219">
        <v>0</v>
      </c>
      <c r="CR2219">
        <v>2</v>
      </c>
      <c r="CS2219">
        <v>0</v>
      </c>
      <c r="CT2219">
        <v>2</v>
      </c>
      <c r="CU2219">
        <v>0</v>
      </c>
      <c r="CV2219">
        <v>7</v>
      </c>
      <c r="CW2219" t="s">
        <v>120</v>
      </c>
      <c r="CX2219">
        <v>261</v>
      </c>
      <c r="CY2219">
        <v>2</v>
      </c>
      <c r="CZ2219" t="s">
        <v>121</v>
      </c>
      <c r="DA2219" t="s">
        <v>122</v>
      </c>
      <c r="DD2219">
        <v>15602905</v>
      </c>
      <c r="DE2219" t="s">
        <v>123</v>
      </c>
    </row>
    <row r="2220" spans="1:109" x14ac:dyDescent="0.3">
      <c r="A2220" t="str">
        <f>"19:11:51.266"</f>
        <v>19:11:51.266</v>
      </c>
      <c r="B2220" t="s">
        <v>110</v>
      </c>
      <c r="C2220" t="str">
        <f t="shared" si="102"/>
        <v>ffdfd3c0</v>
      </c>
      <c r="D2220" t="s">
        <v>111</v>
      </c>
      <c r="E2220">
        <v>18</v>
      </c>
      <c r="F2220">
        <v>1018</v>
      </c>
      <c r="G2220" t="s">
        <v>112</v>
      </c>
      <c r="J2220" t="s">
        <v>113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R2220" t="s">
        <v>114</v>
      </c>
      <c r="S2220" t="str">
        <f>"19:11:51.063"</f>
        <v>19:11:51.063</v>
      </c>
      <c r="T2220" t="str">
        <f>"19:11:50.859"</f>
        <v>19:11:50.859</v>
      </c>
      <c r="U2220" t="str">
        <f t="shared" si="103"/>
        <v>a1cdbe</v>
      </c>
      <c r="V2220">
        <v>0</v>
      </c>
      <c r="W2220">
        <v>0</v>
      </c>
      <c r="X2220">
        <v>1</v>
      </c>
      <c r="Y2220">
        <v>0</v>
      </c>
      <c r="Z2220">
        <v>0</v>
      </c>
      <c r="AB2220">
        <v>0</v>
      </c>
      <c r="AC2220">
        <v>9</v>
      </c>
      <c r="AD2220">
        <v>3</v>
      </c>
      <c r="AE2220">
        <v>0</v>
      </c>
      <c r="AF2220">
        <v>9</v>
      </c>
      <c r="AG2220" t="s">
        <v>158</v>
      </c>
      <c r="AH2220">
        <v>0</v>
      </c>
      <c r="AI2220">
        <v>3</v>
      </c>
      <c r="AJ2220">
        <v>1</v>
      </c>
      <c r="AK2220">
        <v>0</v>
      </c>
      <c r="AL2220" t="s">
        <v>4179</v>
      </c>
      <c r="AM2220">
        <v>46.882953999999998</v>
      </c>
      <c r="AN2220" t="s">
        <v>4180</v>
      </c>
      <c r="AO2220">
        <v>-123.146524</v>
      </c>
      <c r="AP2220">
        <v>100</v>
      </c>
      <c r="AQ2220">
        <v>2000</v>
      </c>
      <c r="AR2220" t="s">
        <v>118</v>
      </c>
      <c r="AS2220">
        <v>-78</v>
      </c>
      <c r="AT2220">
        <v>12</v>
      </c>
      <c r="AU2220">
        <v>-128</v>
      </c>
      <c r="BC2220">
        <v>1200</v>
      </c>
      <c r="BD2220">
        <v>1</v>
      </c>
      <c r="BE2220" t="str">
        <f t="shared" si="104"/>
        <v xml:space="preserve">N215T   </v>
      </c>
      <c r="BF2220">
        <v>1</v>
      </c>
      <c r="BH2220">
        <v>0</v>
      </c>
      <c r="BI2220">
        <v>0</v>
      </c>
      <c r="BJ2220">
        <v>0</v>
      </c>
      <c r="BK2220">
        <v>2425</v>
      </c>
      <c r="BL2220">
        <v>425</v>
      </c>
      <c r="BM2220" t="s">
        <v>119</v>
      </c>
      <c r="BN2220">
        <v>1</v>
      </c>
      <c r="BO2220">
        <v>1</v>
      </c>
      <c r="BP2220">
        <v>1</v>
      </c>
      <c r="BQ2220">
        <v>0</v>
      </c>
      <c r="BT2220">
        <v>0</v>
      </c>
      <c r="BU2220">
        <v>0</v>
      </c>
      <c r="BV2220">
        <v>0</v>
      </c>
      <c r="CC2220" t="str">
        <f>"19:11:51.063"</f>
        <v>19:11:51.063</v>
      </c>
      <c r="CD2220" t="str">
        <f>"064224627"</f>
        <v>064224627</v>
      </c>
      <c r="CQ2220">
        <v>0</v>
      </c>
      <c r="CR2220">
        <v>2</v>
      </c>
      <c r="CS2220">
        <v>0</v>
      </c>
      <c r="CT2220">
        <v>2</v>
      </c>
      <c r="CU2220">
        <v>0</v>
      </c>
      <c r="CV2220">
        <v>7</v>
      </c>
      <c r="CW2220" t="s">
        <v>120</v>
      </c>
      <c r="CX2220">
        <v>261</v>
      </c>
      <c r="CY2220">
        <v>2</v>
      </c>
      <c r="CZ2220" t="s">
        <v>121</v>
      </c>
      <c r="DA2220" t="s">
        <v>122</v>
      </c>
      <c r="DD2220">
        <v>15603513</v>
      </c>
      <c r="DE2220" t="s">
        <v>123</v>
      </c>
    </row>
    <row r="2221" spans="1:109" x14ac:dyDescent="0.3">
      <c r="A2221" t="str">
        <f>"19:11:52.227"</f>
        <v>19:11:52.227</v>
      </c>
      <c r="B2221" t="s">
        <v>110</v>
      </c>
      <c r="C2221" t="str">
        <f t="shared" si="102"/>
        <v>ffdfd3c0</v>
      </c>
      <c r="D2221" t="s">
        <v>111</v>
      </c>
      <c r="E2221">
        <v>18</v>
      </c>
      <c r="F2221">
        <v>1018</v>
      </c>
      <c r="G2221" t="s">
        <v>112</v>
      </c>
      <c r="J2221" t="s">
        <v>113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R2221" t="s">
        <v>114</v>
      </c>
      <c r="S2221" t="str">
        <f>"19:11:52.008"</f>
        <v>19:11:52.008</v>
      </c>
      <c r="T2221" t="str">
        <f>"19:11:51.906"</f>
        <v>19:11:51.906</v>
      </c>
      <c r="U2221" t="str">
        <f t="shared" si="103"/>
        <v>a1cdbe</v>
      </c>
      <c r="V2221">
        <v>0</v>
      </c>
      <c r="W2221">
        <v>0</v>
      </c>
      <c r="X2221">
        <v>1</v>
      </c>
      <c r="Y2221">
        <v>0</v>
      </c>
      <c r="Z2221">
        <v>0</v>
      </c>
      <c r="AB2221">
        <v>0</v>
      </c>
      <c r="AC2221">
        <v>9</v>
      </c>
      <c r="AD2221">
        <v>3</v>
      </c>
      <c r="AE2221">
        <v>0</v>
      </c>
      <c r="AF2221">
        <v>9</v>
      </c>
      <c r="AG2221" t="s">
        <v>158</v>
      </c>
      <c r="AH2221">
        <v>0</v>
      </c>
      <c r="AI2221">
        <v>3</v>
      </c>
      <c r="AJ2221">
        <v>1</v>
      </c>
      <c r="AK2221">
        <v>0</v>
      </c>
      <c r="AL2221" t="s">
        <v>4181</v>
      </c>
      <c r="AM2221">
        <v>46.883018</v>
      </c>
      <c r="AN2221" t="s">
        <v>4182</v>
      </c>
      <c r="AO2221">
        <v>-123.14706099999999</v>
      </c>
      <c r="AP2221">
        <v>100</v>
      </c>
      <c r="AQ2221">
        <v>2000</v>
      </c>
      <c r="AR2221" t="s">
        <v>118</v>
      </c>
      <c r="AS2221">
        <v>-78</v>
      </c>
      <c r="AT2221">
        <v>12</v>
      </c>
      <c r="AU2221">
        <v>-64</v>
      </c>
      <c r="BC2221">
        <v>1200</v>
      </c>
      <c r="BD2221">
        <v>1</v>
      </c>
      <c r="BE2221" t="str">
        <f t="shared" si="104"/>
        <v xml:space="preserve">N215T   </v>
      </c>
      <c r="BF2221">
        <v>1</v>
      </c>
      <c r="BH2221">
        <v>0</v>
      </c>
      <c r="BI2221">
        <v>0</v>
      </c>
      <c r="BJ2221">
        <v>0</v>
      </c>
      <c r="BK2221">
        <v>2400</v>
      </c>
      <c r="BL2221">
        <v>400</v>
      </c>
      <c r="BM2221" t="s">
        <v>119</v>
      </c>
      <c r="BN2221">
        <v>1</v>
      </c>
      <c r="BO2221">
        <v>1</v>
      </c>
      <c r="BP2221">
        <v>1</v>
      </c>
      <c r="BQ2221">
        <v>0</v>
      </c>
      <c r="BT2221">
        <v>0</v>
      </c>
      <c r="BU2221">
        <v>0</v>
      </c>
      <c r="BV2221">
        <v>0</v>
      </c>
      <c r="CC2221" t="str">
        <f>"19:11:52.008"</f>
        <v>19:11:52.008</v>
      </c>
      <c r="CD2221" t="str">
        <f>"009125824"</f>
        <v>009125824</v>
      </c>
      <c r="CQ2221">
        <v>0</v>
      </c>
      <c r="CR2221">
        <v>2</v>
      </c>
      <c r="CS2221">
        <v>0</v>
      </c>
      <c r="CT2221">
        <v>2</v>
      </c>
      <c r="CU2221">
        <v>0</v>
      </c>
      <c r="CV2221">
        <v>6</v>
      </c>
      <c r="CW2221" t="s">
        <v>120</v>
      </c>
      <c r="CX2221">
        <v>257</v>
      </c>
      <c r="CY2221">
        <v>0</v>
      </c>
      <c r="CZ2221" t="s">
        <v>615</v>
      </c>
      <c r="DA2221" t="s">
        <v>616</v>
      </c>
      <c r="DD2221">
        <v>15786830</v>
      </c>
      <c r="DE2221" t="s">
        <v>123</v>
      </c>
    </row>
    <row r="2222" spans="1:109" x14ac:dyDescent="0.3">
      <c r="A2222" t="str">
        <f>"19:11:53.281"</f>
        <v>19:11:53.281</v>
      </c>
      <c r="B2222" t="s">
        <v>110</v>
      </c>
      <c r="C2222" t="str">
        <f t="shared" si="102"/>
        <v>ffdfd3c0</v>
      </c>
      <c r="D2222" t="s">
        <v>111</v>
      </c>
      <c r="E2222">
        <v>18</v>
      </c>
      <c r="F2222">
        <v>1018</v>
      </c>
      <c r="G2222" t="s">
        <v>112</v>
      </c>
      <c r="J2222" t="s">
        <v>113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R2222" t="s">
        <v>114</v>
      </c>
      <c r="S2222" t="str">
        <f>"19:11:53.039"</f>
        <v>19:11:53.039</v>
      </c>
      <c r="T2222" t="str">
        <f>"19:11:52.836"</f>
        <v>19:11:52.836</v>
      </c>
      <c r="U2222" t="str">
        <f t="shared" si="103"/>
        <v>a1cdbe</v>
      </c>
      <c r="V2222">
        <v>0</v>
      </c>
      <c r="W2222">
        <v>0</v>
      </c>
      <c r="X2222">
        <v>1</v>
      </c>
      <c r="Y2222">
        <v>0</v>
      </c>
      <c r="Z2222">
        <v>0</v>
      </c>
      <c r="AB2222">
        <v>0</v>
      </c>
      <c r="AC2222">
        <v>9</v>
      </c>
      <c r="AD2222">
        <v>3</v>
      </c>
      <c r="AE2222">
        <v>0</v>
      </c>
      <c r="AF2222">
        <v>9</v>
      </c>
      <c r="AG2222" t="s">
        <v>158</v>
      </c>
      <c r="AH2222">
        <v>0</v>
      </c>
      <c r="AI2222">
        <v>3</v>
      </c>
      <c r="AJ2222">
        <v>1</v>
      </c>
      <c r="AK2222">
        <v>0</v>
      </c>
      <c r="AL2222" t="s">
        <v>4183</v>
      </c>
      <c r="AM2222">
        <v>46.883038999999997</v>
      </c>
      <c r="AN2222" t="s">
        <v>4184</v>
      </c>
      <c r="AO2222">
        <v>-123.147576</v>
      </c>
      <c r="AP2222">
        <v>100</v>
      </c>
      <c r="AQ2222">
        <v>2000</v>
      </c>
      <c r="AR2222" t="s">
        <v>118</v>
      </c>
      <c r="AS2222">
        <v>-78</v>
      </c>
      <c r="AT2222">
        <v>12</v>
      </c>
      <c r="AU2222">
        <v>-64</v>
      </c>
      <c r="BC2222">
        <v>1200</v>
      </c>
      <c r="BD2222">
        <v>1</v>
      </c>
      <c r="BE2222" t="str">
        <f t="shared" si="104"/>
        <v xml:space="preserve">N215T   </v>
      </c>
      <c r="BF2222">
        <v>1</v>
      </c>
      <c r="BH2222">
        <v>0</v>
      </c>
      <c r="BI2222">
        <v>0</v>
      </c>
      <c r="BJ2222">
        <v>0</v>
      </c>
      <c r="BK2222">
        <v>2400</v>
      </c>
      <c r="BL2222">
        <v>400</v>
      </c>
      <c r="BM2222" t="s">
        <v>119</v>
      </c>
      <c r="BN2222">
        <v>1</v>
      </c>
      <c r="BO2222">
        <v>1</v>
      </c>
      <c r="BP2222">
        <v>1</v>
      </c>
      <c r="BQ2222">
        <v>0</v>
      </c>
      <c r="BT2222">
        <v>0</v>
      </c>
      <c r="BU2222">
        <v>0</v>
      </c>
      <c r="BV2222">
        <v>0</v>
      </c>
      <c r="CC2222" t="str">
        <f>"19:11:53.047"</f>
        <v>19:11:53.047</v>
      </c>
      <c r="CD2222" t="str">
        <f>"044023815"</f>
        <v>044023815</v>
      </c>
      <c r="CQ2222">
        <v>0</v>
      </c>
      <c r="CR2222">
        <v>2</v>
      </c>
      <c r="CS2222">
        <v>0</v>
      </c>
      <c r="CT2222">
        <v>2</v>
      </c>
      <c r="CU2222">
        <v>0</v>
      </c>
      <c r="CV2222">
        <v>6</v>
      </c>
      <c r="CW2222" t="s">
        <v>120</v>
      </c>
      <c r="CX2222">
        <v>257</v>
      </c>
      <c r="CY2222">
        <v>1</v>
      </c>
      <c r="CZ2222" t="s">
        <v>615</v>
      </c>
      <c r="DA2222" t="s">
        <v>616</v>
      </c>
      <c r="DD2222">
        <v>12035019</v>
      </c>
      <c r="DE2222" t="s">
        <v>123</v>
      </c>
    </row>
    <row r="2223" spans="1:109" x14ac:dyDescent="0.3">
      <c r="A2223" t="str">
        <f>"19:11:54.484"</f>
        <v>19:11:54.484</v>
      </c>
      <c r="B2223" t="s">
        <v>110</v>
      </c>
      <c r="C2223" t="str">
        <f t="shared" si="102"/>
        <v>ffdfd3c0</v>
      </c>
      <c r="D2223" t="s">
        <v>111</v>
      </c>
      <c r="E2223">
        <v>18</v>
      </c>
      <c r="F2223">
        <v>1018</v>
      </c>
      <c r="G2223" t="s">
        <v>112</v>
      </c>
      <c r="J2223" t="s">
        <v>113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R2223" t="s">
        <v>114</v>
      </c>
      <c r="S2223" t="str">
        <f>"19:11:54.227"</f>
        <v>19:11:54.227</v>
      </c>
      <c r="T2223" t="str">
        <f>"19:11:53.727"</f>
        <v>19:11:53.727</v>
      </c>
      <c r="U2223" t="str">
        <f t="shared" si="103"/>
        <v>a1cdbe</v>
      </c>
      <c r="V2223">
        <v>0</v>
      </c>
      <c r="W2223">
        <v>0</v>
      </c>
      <c r="X2223">
        <v>1</v>
      </c>
      <c r="Y2223">
        <v>0</v>
      </c>
      <c r="Z2223">
        <v>0</v>
      </c>
      <c r="AB2223">
        <v>0</v>
      </c>
      <c r="AC2223">
        <v>9</v>
      </c>
      <c r="AD2223">
        <v>3</v>
      </c>
      <c r="AE2223">
        <v>0</v>
      </c>
      <c r="AF2223">
        <v>9</v>
      </c>
      <c r="AG2223" t="s">
        <v>158</v>
      </c>
      <c r="AH2223">
        <v>0</v>
      </c>
      <c r="AI2223">
        <v>3</v>
      </c>
      <c r="AJ2223">
        <v>1</v>
      </c>
      <c r="AK2223">
        <v>0</v>
      </c>
      <c r="AL2223" t="s">
        <v>4185</v>
      </c>
      <c r="AM2223">
        <v>46.883125</v>
      </c>
      <c r="AN2223" t="s">
        <v>4186</v>
      </c>
      <c r="AO2223">
        <v>-123.14821999999999</v>
      </c>
      <c r="AP2223">
        <v>100</v>
      </c>
      <c r="AQ2223">
        <v>2000</v>
      </c>
      <c r="AR2223" t="s">
        <v>118</v>
      </c>
      <c r="AS2223">
        <v>-78</v>
      </c>
      <c r="AT2223">
        <v>13</v>
      </c>
      <c r="AU2223">
        <v>-64</v>
      </c>
      <c r="BC2223">
        <v>1200</v>
      </c>
      <c r="BD2223">
        <v>1</v>
      </c>
      <c r="BE2223" t="str">
        <f t="shared" si="104"/>
        <v xml:space="preserve">N215T   </v>
      </c>
      <c r="BF2223">
        <v>1</v>
      </c>
      <c r="BH2223">
        <v>0</v>
      </c>
      <c r="BI2223">
        <v>0</v>
      </c>
      <c r="BJ2223">
        <v>0</v>
      </c>
      <c r="BK2223">
        <v>2400</v>
      </c>
      <c r="BL2223">
        <v>400</v>
      </c>
      <c r="BM2223" t="s">
        <v>119</v>
      </c>
      <c r="BN2223">
        <v>1</v>
      </c>
      <c r="BO2223">
        <v>1</v>
      </c>
      <c r="BP2223">
        <v>1</v>
      </c>
      <c r="BQ2223">
        <v>0</v>
      </c>
      <c r="BT2223">
        <v>0</v>
      </c>
      <c r="BU2223">
        <v>0</v>
      </c>
      <c r="BV2223">
        <v>0</v>
      </c>
      <c r="CC2223" t="str">
        <f>"19:11:54.227"</f>
        <v>19:11:54.227</v>
      </c>
      <c r="CD2223" t="str">
        <f>"228912974"</f>
        <v>228912974</v>
      </c>
      <c r="CQ2223">
        <v>0</v>
      </c>
      <c r="CR2223">
        <v>2</v>
      </c>
      <c r="CS2223">
        <v>0</v>
      </c>
      <c r="CT2223">
        <v>2</v>
      </c>
      <c r="CU2223">
        <v>0</v>
      </c>
      <c r="CV2223">
        <v>7</v>
      </c>
      <c r="CW2223" t="s">
        <v>120</v>
      </c>
      <c r="CX2223">
        <v>261</v>
      </c>
      <c r="CY2223">
        <v>2</v>
      </c>
      <c r="CZ2223" t="s">
        <v>121</v>
      </c>
      <c r="DA2223" t="s">
        <v>122</v>
      </c>
      <c r="DD2223">
        <v>15605741</v>
      </c>
      <c r="DE2223" t="s">
        <v>123</v>
      </c>
    </row>
    <row r="2224" spans="1:109" x14ac:dyDescent="0.3">
      <c r="A2224" t="str">
        <f>"19:11:55.344"</f>
        <v>19:11:55.344</v>
      </c>
      <c r="B2224" t="s">
        <v>110</v>
      </c>
      <c r="C2224" t="str">
        <f t="shared" si="102"/>
        <v>ffdfd3c0</v>
      </c>
      <c r="D2224" t="s">
        <v>111</v>
      </c>
      <c r="E2224">
        <v>18</v>
      </c>
      <c r="F2224">
        <v>1018</v>
      </c>
      <c r="G2224" t="s">
        <v>112</v>
      </c>
      <c r="J2224" t="s">
        <v>113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R2224" t="s">
        <v>114</v>
      </c>
      <c r="S2224" t="str">
        <f>"19:11:55.109"</f>
        <v>19:11:55.109</v>
      </c>
      <c r="T2224" t="str">
        <f>"19:11:54.813"</f>
        <v>19:11:54.813</v>
      </c>
      <c r="U2224" t="str">
        <f t="shared" si="103"/>
        <v>a1cdbe</v>
      </c>
      <c r="V2224">
        <v>0</v>
      </c>
      <c r="W2224">
        <v>0</v>
      </c>
      <c r="X2224">
        <v>1</v>
      </c>
      <c r="Y2224">
        <v>0</v>
      </c>
      <c r="Z2224">
        <v>0</v>
      </c>
      <c r="AB2224">
        <v>0</v>
      </c>
      <c r="AC2224">
        <v>9</v>
      </c>
      <c r="AD2224">
        <v>3</v>
      </c>
      <c r="AE2224">
        <v>0</v>
      </c>
      <c r="AF2224">
        <v>9</v>
      </c>
      <c r="AG2224" t="s">
        <v>158</v>
      </c>
      <c r="AH2224">
        <v>0</v>
      </c>
      <c r="AI2224">
        <v>3</v>
      </c>
      <c r="AJ2224">
        <v>1</v>
      </c>
      <c r="AK2224">
        <v>0</v>
      </c>
      <c r="AL2224" t="s">
        <v>1518</v>
      </c>
      <c r="AM2224">
        <v>46.883167999999998</v>
      </c>
      <c r="AN2224" t="s">
        <v>4187</v>
      </c>
      <c r="AO2224">
        <v>-123.14864900000001</v>
      </c>
      <c r="AP2224">
        <v>100</v>
      </c>
      <c r="AQ2224">
        <v>2000</v>
      </c>
      <c r="AR2224" t="s">
        <v>118</v>
      </c>
      <c r="AS2224">
        <v>-78</v>
      </c>
      <c r="AT2224">
        <v>13</v>
      </c>
      <c r="AU2224">
        <v>-64</v>
      </c>
      <c r="BC2224">
        <v>1200</v>
      </c>
      <c r="BD2224">
        <v>1</v>
      </c>
      <c r="BE2224" t="str">
        <f t="shared" si="104"/>
        <v xml:space="preserve">N215T   </v>
      </c>
      <c r="BF2224">
        <v>1</v>
      </c>
      <c r="BH2224">
        <v>0</v>
      </c>
      <c r="BI2224">
        <v>0</v>
      </c>
      <c r="BJ2224">
        <v>0</v>
      </c>
      <c r="BK2224">
        <v>2400</v>
      </c>
      <c r="BL2224">
        <v>400</v>
      </c>
      <c r="BM2224" t="s">
        <v>119</v>
      </c>
      <c r="BN2224">
        <v>1</v>
      </c>
      <c r="BO2224">
        <v>1</v>
      </c>
      <c r="BP2224">
        <v>1</v>
      </c>
      <c r="BQ2224">
        <v>0</v>
      </c>
      <c r="BT2224">
        <v>0</v>
      </c>
      <c r="BU2224">
        <v>0</v>
      </c>
      <c r="BV2224">
        <v>0</v>
      </c>
      <c r="CC2224" t="str">
        <f>"19:11:55.117"</f>
        <v>19:11:55.117</v>
      </c>
      <c r="CD2224" t="str">
        <f>"113819752"</f>
        <v>113819752</v>
      </c>
      <c r="CQ2224">
        <v>0</v>
      </c>
      <c r="CR2224">
        <v>2</v>
      </c>
      <c r="CS2224">
        <v>0</v>
      </c>
      <c r="CT2224">
        <v>2</v>
      </c>
      <c r="CU2224">
        <v>0</v>
      </c>
      <c r="CV2224">
        <v>6</v>
      </c>
      <c r="CW2224" t="s">
        <v>120</v>
      </c>
      <c r="CX2224">
        <v>257</v>
      </c>
      <c r="CY2224">
        <v>0</v>
      </c>
      <c r="CZ2224" t="s">
        <v>615</v>
      </c>
      <c r="DA2224" t="s">
        <v>616</v>
      </c>
      <c r="DD2224">
        <v>15788538</v>
      </c>
      <c r="DE2224" t="s">
        <v>123</v>
      </c>
    </row>
    <row r="2225" spans="1:109" x14ac:dyDescent="0.3">
      <c r="A2225" t="str">
        <f>"19:11:56.344"</f>
        <v>19:11:56.344</v>
      </c>
      <c r="B2225" t="s">
        <v>110</v>
      </c>
      <c r="C2225" t="str">
        <f t="shared" si="102"/>
        <v>ffdfd3c0</v>
      </c>
      <c r="D2225" t="s">
        <v>111</v>
      </c>
      <c r="E2225">
        <v>18</v>
      </c>
      <c r="F2225">
        <v>1018</v>
      </c>
      <c r="G2225" t="s">
        <v>112</v>
      </c>
      <c r="J2225" t="s">
        <v>113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R2225" t="s">
        <v>114</v>
      </c>
      <c r="S2225" t="str">
        <f>"19:11:56.148"</f>
        <v>19:11:56.148</v>
      </c>
      <c r="T2225" t="str">
        <f>"19:11:55.750"</f>
        <v>19:11:55.750</v>
      </c>
      <c r="U2225" t="str">
        <f t="shared" si="103"/>
        <v>a1cdbe</v>
      </c>
      <c r="V2225">
        <v>0</v>
      </c>
      <c r="W2225">
        <v>0</v>
      </c>
      <c r="X2225">
        <v>1</v>
      </c>
      <c r="Y2225">
        <v>0</v>
      </c>
      <c r="Z2225">
        <v>0</v>
      </c>
      <c r="AB2225">
        <v>0</v>
      </c>
      <c r="AC2225">
        <v>9</v>
      </c>
      <c r="AD2225">
        <v>3</v>
      </c>
      <c r="AE2225">
        <v>0</v>
      </c>
      <c r="AF2225">
        <v>9</v>
      </c>
      <c r="AG2225" t="s">
        <v>158</v>
      </c>
      <c r="AH2225">
        <v>0</v>
      </c>
      <c r="AI2225">
        <v>3</v>
      </c>
      <c r="AJ2225">
        <v>1</v>
      </c>
      <c r="AK2225">
        <v>0</v>
      </c>
      <c r="AL2225" t="s">
        <v>4188</v>
      </c>
      <c r="AM2225">
        <v>46.883232999999997</v>
      </c>
      <c r="AN2225" t="s">
        <v>4189</v>
      </c>
      <c r="AO2225">
        <v>-123.149185</v>
      </c>
      <c r="AP2225">
        <v>100</v>
      </c>
      <c r="AQ2225">
        <v>2000</v>
      </c>
      <c r="AR2225" t="s">
        <v>118</v>
      </c>
      <c r="AS2225">
        <v>-78</v>
      </c>
      <c r="AT2225">
        <v>14</v>
      </c>
      <c r="AU2225">
        <v>-128</v>
      </c>
      <c r="BC2225">
        <v>1200</v>
      </c>
      <c r="BD2225">
        <v>1</v>
      </c>
      <c r="BE2225" t="str">
        <f t="shared" si="104"/>
        <v xml:space="preserve">N215T   </v>
      </c>
      <c r="BF2225">
        <v>1</v>
      </c>
      <c r="BH2225">
        <v>0</v>
      </c>
      <c r="BI2225">
        <v>0</v>
      </c>
      <c r="BJ2225">
        <v>0</v>
      </c>
      <c r="BK2225">
        <v>2400</v>
      </c>
      <c r="BL2225">
        <v>400</v>
      </c>
      <c r="BM2225" t="s">
        <v>119</v>
      </c>
      <c r="BN2225">
        <v>1</v>
      </c>
      <c r="BO2225">
        <v>1</v>
      </c>
      <c r="BP2225">
        <v>1</v>
      </c>
      <c r="BQ2225">
        <v>0</v>
      </c>
      <c r="BT2225">
        <v>0</v>
      </c>
      <c r="BU2225">
        <v>0</v>
      </c>
      <c r="BV2225">
        <v>0</v>
      </c>
      <c r="CC2225" t="str">
        <f>"19:11:56.148"</f>
        <v>19:11:56.148</v>
      </c>
      <c r="CD2225" t="str">
        <f>"148723915"</f>
        <v>148723915</v>
      </c>
      <c r="CQ2225">
        <v>0</v>
      </c>
      <c r="CR2225">
        <v>2</v>
      </c>
      <c r="CS2225">
        <v>0</v>
      </c>
      <c r="CT2225">
        <v>2</v>
      </c>
      <c r="CU2225">
        <v>0</v>
      </c>
      <c r="CV2225">
        <v>7</v>
      </c>
      <c r="CW2225" t="s">
        <v>120</v>
      </c>
      <c r="CX2225">
        <v>261</v>
      </c>
      <c r="CY2225">
        <v>2</v>
      </c>
      <c r="CZ2225" t="s">
        <v>121</v>
      </c>
      <c r="DA2225" t="s">
        <v>122</v>
      </c>
      <c r="DD2225">
        <v>15607059</v>
      </c>
      <c r="DE2225" t="s">
        <v>123</v>
      </c>
    </row>
    <row r="2226" spans="1:109" x14ac:dyDescent="0.3">
      <c r="A2226" t="str">
        <f>"19:11:57.406"</f>
        <v>19:11:57.406</v>
      </c>
      <c r="B2226" t="s">
        <v>110</v>
      </c>
      <c r="C2226" t="str">
        <f t="shared" si="102"/>
        <v>ffdfd3c0</v>
      </c>
      <c r="D2226" t="s">
        <v>111</v>
      </c>
      <c r="E2226">
        <v>18</v>
      </c>
      <c r="F2226">
        <v>1018</v>
      </c>
      <c r="G2226" t="s">
        <v>112</v>
      </c>
      <c r="J2226" t="s">
        <v>113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R2226" t="s">
        <v>114</v>
      </c>
      <c r="S2226" t="str">
        <f>"19:11:57.164"</f>
        <v>19:11:57.164</v>
      </c>
      <c r="T2226" t="str">
        <f>"19:11:57.063"</f>
        <v>19:11:57.063</v>
      </c>
      <c r="U2226" t="str">
        <f t="shared" si="103"/>
        <v>a1cdbe</v>
      </c>
      <c r="V2226">
        <v>0</v>
      </c>
      <c r="W2226">
        <v>0</v>
      </c>
      <c r="X2226">
        <v>1</v>
      </c>
      <c r="Y2226">
        <v>0</v>
      </c>
      <c r="Z2226">
        <v>0</v>
      </c>
      <c r="AB2226">
        <v>0</v>
      </c>
      <c r="AC2226">
        <v>9</v>
      </c>
      <c r="AD2226">
        <v>3</v>
      </c>
      <c r="AE2226">
        <v>0</v>
      </c>
      <c r="AF2226">
        <v>9</v>
      </c>
      <c r="AG2226" t="s">
        <v>158</v>
      </c>
      <c r="AH2226">
        <v>0</v>
      </c>
      <c r="AI2226">
        <v>3</v>
      </c>
      <c r="AJ2226">
        <v>1</v>
      </c>
      <c r="AK2226">
        <v>0</v>
      </c>
      <c r="AL2226" t="s">
        <v>4190</v>
      </c>
      <c r="AM2226">
        <v>46.883339999999997</v>
      </c>
      <c r="AN2226" t="s">
        <v>4191</v>
      </c>
      <c r="AO2226">
        <v>-123.149743</v>
      </c>
      <c r="AP2226">
        <v>100</v>
      </c>
      <c r="AQ2226">
        <v>2000</v>
      </c>
      <c r="AR2226" t="s">
        <v>118</v>
      </c>
      <c r="AS2226">
        <v>-77</v>
      </c>
      <c r="AT2226">
        <v>15</v>
      </c>
      <c r="AU2226">
        <v>-192</v>
      </c>
      <c r="BC2226">
        <v>1200</v>
      </c>
      <c r="BD2226">
        <v>1</v>
      </c>
      <c r="BE2226" t="str">
        <f t="shared" si="104"/>
        <v xml:space="preserve">N215T   </v>
      </c>
      <c r="BF2226">
        <v>1</v>
      </c>
      <c r="BH2226">
        <v>0</v>
      </c>
      <c r="BI2226">
        <v>0</v>
      </c>
      <c r="BJ2226">
        <v>0</v>
      </c>
      <c r="BK2226">
        <v>2400</v>
      </c>
      <c r="BL2226">
        <v>400</v>
      </c>
      <c r="BM2226" t="s">
        <v>119</v>
      </c>
      <c r="BN2226">
        <v>1</v>
      </c>
      <c r="BO2226">
        <v>1</v>
      </c>
      <c r="BP2226">
        <v>1</v>
      </c>
      <c r="BQ2226">
        <v>0</v>
      </c>
      <c r="BT2226">
        <v>0</v>
      </c>
      <c r="BU2226">
        <v>0</v>
      </c>
      <c r="BV2226">
        <v>0</v>
      </c>
      <c r="CC2226" t="str">
        <f>"19:11:57.172"</f>
        <v>19:11:57.172</v>
      </c>
      <c r="CD2226" t="str">
        <f>"168623472"</f>
        <v>168623472</v>
      </c>
      <c r="CQ2226">
        <v>0</v>
      </c>
      <c r="CR2226">
        <v>2</v>
      </c>
      <c r="CS2226">
        <v>0</v>
      </c>
      <c r="CT2226">
        <v>2</v>
      </c>
      <c r="CU2226">
        <v>0</v>
      </c>
      <c r="CV2226">
        <v>7</v>
      </c>
      <c r="CW2226" t="s">
        <v>120</v>
      </c>
      <c r="CX2226">
        <v>261</v>
      </c>
      <c r="CY2226">
        <v>2</v>
      </c>
      <c r="CZ2226" t="s">
        <v>121</v>
      </c>
      <c r="DA2226" t="s">
        <v>122</v>
      </c>
      <c r="DD2226">
        <v>15607827</v>
      </c>
      <c r="DE2226" t="s">
        <v>123</v>
      </c>
    </row>
    <row r="2227" spans="1:109" x14ac:dyDescent="0.3">
      <c r="A2227" t="str">
        <f>"19:11:58.406"</f>
        <v>19:11:58.406</v>
      </c>
      <c r="B2227" t="s">
        <v>110</v>
      </c>
      <c r="C2227" t="str">
        <f t="shared" si="102"/>
        <v>ffdfd3c0</v>
      </c>
      <c r="D2227" t="s">
        <v>111</v>
      </c>
      <c r="E2227">
        <v>18</v>
      </c>
      <c r="F2227">
        <v>1018</v>
      </c>
      <c r="G2227" t="s">
        <v>112</v>
      </c>
      <c r="J2227" t="s">
        <v>113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R2227" t="s">
        <v>114</v>
      </c>
      <c r="S2227" t="str">
        <f>"19:11:58.203"</f>
        <v>19:11:58.203</v>
      </c>
      <c r="T2227" t="str">
        <f>"19:11:58.102"</f>
        <v>19:11:58.102</v>
      </c>
      <c r="U2227" t="str">
        <f t="shared" si="103"/>
        <v>a1cdbe</v>
      </c>
      <c r="V2227">
        <v>0</v>
      </c>
      <c r="W2227">
        <v>0</v>
      </c>
      <c r="X2227">
        <v>1</v>
      </c>
      <c r="Y2227">
        <v>0</v>
      </c>
      <c r="Z2227">
        <v>0</v>
      </c>
      <c r="AB2227">
        <v>0</v>
      </c>
      <c r="AC2227">
        <v>9</v>
      </c>
      <c r="AD2227">
        <v>3</v>
      </c>
      <c r="AE2227">
        <v>0</v>
      </c>
      <c r="AF2227">
        <v>9</v>
      </c>
      <c r="AG2227" t="s">
        <v>158</v>
      </c>
      <c r="AH2227">
        <v>0</v>
      </c>
      <c r="AI2227">
        <v>3</v>
      </c>
      <c r="AJ2227">
        <v>1</v>
      </c>
      <c r="AK2227">
        <v>0</v>
      </c>
      <c r="AL2227" t="s">
        <v>4192</v>
      </c>
      <c r="AM2227">
        <v>46.883403999999999</v>
      </c>
      <c r="AN2227" t="s">
        <v>4193</v>
      </c>
      <c r="AO2227">
        <v>-123.15025799999999</v>
      </c>
      <c r="AP2227">
        <v>100</v>
      </c>
      <c r="AQ2227">
        <v>2000</v>
      </c>
      <c r="AR2227" t="s">
        <v>118</v>
      </c>
      <c r="AS2227">
        <v>-77</v>
      </c>
      <c r="AT2227">
        <v>15</v>
      </c>
      <c r="AU2227">
        <v>-192</v>
      </c>
      <c r="BC2227">
        <v>1200</v>
      </c>
      <c r="BD2227">
        <v>1</v>
      </c>
      <c r="BE2227" t="str">
        <f t="shared" si="104"/>
        <v xml:space="preserve">N215T   </v>
      </c>
      <c r="BF2227">
        <v>1</v>
      </c>
      <c r="BH2227">
        <v>0</v>
      </c>
      <c r="BI2227">
        <v>0</v>
      </c>
      <c r="BJ2227">
        <v>0</v>
      </c>
      <c r="BK2227">
        <v>2400</v>
      </c>
      <c r="BL2227">
        <v>400</v>
      </c>
      <c r="BM2227" t="s">
        <v>119</v>
      </c>
      <c r="BN2227">
        <v>1</v>
      </c>
      <c r="BO2227">
        <v>1</v>
      </c>
      <c r="BP2227">
        <v>1</v>
      </c>
      <c r="BQ2227">
        <v>0</v>
      </c>
      <c r="BT2227">
        <v>0</v>
      </c>
      <c r="BU2227">
        <v>0</v>
      </c>
      <c r="BV2227">
        <v>0</v>
      </c>
      <c r="CC2227" t="str">
        <f>"19:11:58.203"</f>
        <v>19:11:58.203</v>
      </c>
      <c r="CD2227" t="str">
        <f>"203521551"</f>
        <v>203521551</v>
      </c>
      <c r="CQ2227">
        <v>0</v>
      </c>
      <c r="CR2227">
        <v>2</v>
      </c>
      <c r="CS2227">
        <v>0</v>
      </c>
      <c r="CT2227">
        <v>2</v>
      </c>
      <c r="CU2227">
        <v>0</v>
      </c>
      <c r="CV2227">
        <v>7</v>
      </c>
      <c r="CW2227" t="s">
        <v>120</v>
      </c>
      <c r="CX2227">
        <v>261</v>
      </c>
      <c r="CY2227">
        <v>2</v>
      </c>
      <c r="CZ2227" t="s">
        <v>121</v>
      </c>
      <c r="DA2227" t="s">
        <v>122</v>
      </c>
      <c r="DD2227">
        <v>15608496</v>
      </c>
      <c r="DE2227" t="s">
        <v>123</v>
      </c>
    </row>
    <row r="2228" spans="1:109" x14ac:dyDescent="0.3">
      <c r="A2228" t="str">
        <f>"19:11:59.516"</f>
        <v>19:11:59.516</v>
      </c>
      <c r="B2228" t="s">
        <v>110</v>
      </c>
      <c r="C2228" t="str">
        <f t="shared" si="102"/>
        <v>ffdfd3c0</v>
      </c>
      <c r="D2228" t="s">
        <v>111</v>
      </c>
      <c r="E2228">
        <v>18</v>
      </c>
      <c r="F2228">
        <v>1018</v>
      </c>
      <c r="G2228" t="s">
        <v>112</v>
      </c>
      <c r="J2228" t="s">
        <v>113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R2228" t="s">
        <v>114</v>
      </c>
      <c r="S2228" t="str">
        <f>"19:11:59.281"</f>
        <v>19:11:59.281</v>
      </c>
      <c r="T2228" t="str">
        <f>"19:11:59.180"</f>
        <v>19:11:59.180</v>
      </c>
      <c r="U2228" t="str">
        <f t="shared" si="103"/>
        <v>a1cdbe</v>
      </c>
      <c r="V2228">
        <v>0</v>
      </c>
      <c r="W2228">
        <v>0</v>
      </c>
      <c r="X2228">
        <v>1</v>
      </c>
      <c r="Y2228">
        <v>0</v>
      </c>
      <c r="Z2228">
        <v>0</v>
      </c>
      <c r="AB2228">
        <v>0</v>
      </c>
      <c r="AC2228">
        <v>9</v>
      </c>
      <c r="AD2228">
        <v>3</v>
      </c>
      <c r="AE2228">
        <v>0</v>
      </c>
      <c r="AF2228">
        <v>9</v>
      </c>
      <c r="AG2228" t="s">
        <v>158</v>
      </c>
      <c r="AH2228">
        <v>0</v>
      </c>
      <c r="AI2228">
        <v>3</v>
      </c>
      <c r="AJ2228">
        <v>1</v>
      </c>
      <c r="AK2228">
        <v>0</v>
      </c>
      <c r="AL2228" t="s">
        <v>4194</v>
      </c>
      <c r="AM2228">
        <v>46.883468999999998</v>
      </c>
      <c r="AN2228" t="s">
        <v>4195</v>
      </c>
      <c r="AO2228">
        <v>-123.150837</v>
      </c>
      <c r="AP2228">
        <v>100</v>
      </c>
      <c r="AQ2228">
        <v>2000</v>
      </c>
      <c r="AR2228" t="s">
        <v>118</v>
      </c>
      <c r="AS2228">
        <v>-77</v>
      </c>
      <c r="AT2228">
        <v>16</v>
      </c>
      <c r="AU2228">
        <v>-192</v>
      </c>
      <c r="BC2228">
        <v>1200</v>
      </c>
      <c r="BD2228">
        <v>1</v>
      </c>
      <c r="BE2228" t="str">
        <f t="shared" si="104"/>
        <v xml:space="preserve">N215T   </v>
      </c>
      <c r="BF2228">
        <v>1</v>
      </c>
      <c r="BH2228">
        <v>0</v>
      </c>
      <c r="BI2228">
        <v>0</v>
      </c>
      <c r="BJ2228">
        <v>0</v>
      </c>
      <c r="BK2228">
        <v>2400</v>
      </c>
      <c r="BL2228">
        <v>400</v>
      </c>
      <c r="BM2228" t="s">
        <v>119</v>
      </c>
      <c r="BN2228">
        <v>1</v>
      </c>
      <c r="BO2228">
        <v>1</v>
      </c>
      <c r="BP2228">
        <v>1</v>
      </c>
      <c r="BQ2228">
        <v>0</v>
      </c>
      <c r="BT2228">
        <v>0</v>
      </c>
      <c r="BU2228">
        <v>0</v>
      </c>
      <c r="BV2228">
        <v>0</v>
      </c>
      <c r="CC2228" t="str">
        <f>"19:11:59.281"</f>
        <v>19:11:59.281</v>
      </c>
      <c r="CD2228" t="str">
        <f>"283415205"</f>
        <v>283415205</v>
      </c>
      <c r="CQ2228">
        <v>0</v>
      </c>
      <c r="CR2228">
        <v>2</v>
      </c>
      <c r="CS2228">
        <v>0</v>
      </c>
      <c r="CT2228">
        <v>2</v>
      </c>
      <c r="CU2228">
        <v>0</v>
      </c>
      <c r="CV2228">
        <v>7</v>
      </c>
      <c r="CW2228" t="s">
        <v>120</v>
      </c>
      <c r="CX2228">
        <v>261</v>
      </c>
      <c r="CY2228">
        <v>2</v>
      </c>
      <c r="CZ2228" t="s">
        <v>121</v>
      </c>
      <c r="DA2228" t="s">
        <v>122</v>
      </c>
      <c r="DD2228">
        <v>15609262</v>
      </c>
      <c r="DE2228" t="s">
        <v>123</v>
      </c>
    </row>
    <row r="2229" spans="1:109" x14ac:dyDescent="0.3">
      <c r="A2229" t="str">
        <f>"19:12:00.422"</f>
        <v>19:12:00.422</v>
      </c>
      <c r="B2229" t="s">
        <v>110</v>
      </c>
      <c r="C2229" t="str">
        <f t="shared" si="102"/>
        <v>ffdfd3c0</v>
      </c>
      <c r="D2229" t="s">
        <v>111</v>
      </c>
      <c r="E2229">
        <v>18</v>
      </c>
      <c r="F2229">
        <v>1018</v>
      </c>
      <c r="G2229" t="s">
        <v>112</v>
      </c>
      <c r="J2229" t="s">
        <v>113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R2229" t="s">
        <v>114</v>
      </c>
      <c r="S2229" t="str">
        <f>"19:12:00.180"</f>
        <v>19:12:00.180</v>
      </c>
      <c r="T2229" t="str">
        <f>"19:11:59.680"</f>
        <v>19:11:59.680</v>
      </c>
      <c r="U2229" t="str">
        <f t="shared" si="103"/>
        <v>a1cdbe</v>
      </c>
      <c r="V2229">
        <v>0</v>
      </c>
      <c r="W2229">
        <v>0</v>
      </c>
      <c r="X2229">
        <v>1</v>
      </c>
      <c r="Y2229">
        <v>0</v>
      </c>
      <c r="Z2229">
        <v>0</v>
      </c>
      <c r="AB2229">
        <v>0</v>
      </c>
      <c r="AC2229">
        <v>9</v>
      </c>
      <c r="AD2229">
        <v>3</v>
      </c>
      <c r="AE2229">
        <v>0</v>
      </c>
      <c r="AF2229">
        <v>9</v>
      </c>
      <c r="AG2229" t="s">
        <v>158</v>
      </c>
      <c r="AH2229">
        <v>0</v>
      </c>
      <c r="AI2229">
        <v>3</v>
      </c>
      <c r="AJ2229">
        <v>1</v>
      </c>
      <c r="AK2229">
        <v>0</v>
      </c>
      <c r="AL2229" t="s">
        <v>4196</v>
      </c>
      <c r="AM2229">
        <v>46.883553999999997</v>
      </c>
      <c r="AN2229" t="s">
        <v>4197</v>
      </c>
      <c r="AO2229">
        <v>-123.151309</v>
      </c>
      <c r="AP2229">
        <v>100</v>
      </c>
      <c r="AQ2229">
        <v>2000</v>
      </c>
      <c r="AR2229" t="s">
        <v>118</v>
      </c>
      <c r="AS2229">
        <v>-77</v>
      </c>
      <c r="AT2229">
        <v>16</v>
      </c>
      <c r="AU2229">
        <v>-128</v>
      </c>
      <c r="BC2229">
        <v>1200</v>
      </c>
      <c r="BD2229">
        <v>1</v>
      </c>
      <c r="BE2229" t="str">
        <f t="shared" si="104"/>
        <v xml:space="preserve">N215T   </v>
      </c>
      <c r="BF2229">
        <v>1</v>
      </c>
      <c r="BH2229">
        <v>0</v>
      </c>
      <c r="BI2229">
        <v>0</v>
      </c>
      <c r="BJ2229">
        <v>0</v>
      </c>
      <c r="BK2229">
        <v>2400</v>
      </c>
      <c r="BL2229">
        <v>400</v>
      </c>
      <c r="BM2229" t="s">
        <v>119</v>
      </c>
      <c r="BN2229">
        <v>1</v>
      </c>
      <c r="BO2229">
        <v>1</v>
      </c>
      <c r="BP2229">
        <v>1</v>
      </c>
      <c r="BQ2229">
        <v>0</v>
      </c>
      <c r="BT2229">
        <v>0</v>
      </c>
      <c r="BU2229">
        <v>0</v>
      </c>
      <c r="BV2229">
        <v>0</v>
      </c>
      <c r="CC2229" t="str">
        <f>"19:12:00.180"</f>
        <v>19:12:00.180</v>
      </c>
      <c r="CD2229" t="str">
        <f>"183326577"</f>
        <v>183326577</v>
      </c>
      <c r="CQ2229">
        <v>0</v>
      </c>
      <c r="CR2229">
        <v>2</v>
      </c>
      <c r="CS2229">
        <v>0</v>
      </c>
      <c r="CT2229">
        <v>2</v>
      </c>
      <c r="CU2229">
        <v>0</v>
      </c>
      <c r="CV2229">
        <v>7</v>
      </c>
      <c r="CW2229" t="s">
        <v>120</v>
      </c>
      <c r="CX2229">
        <v>261</v>
      </c>
      <c r="CY2229">
        <v>2</v>
      </c>
      <c r="CZ2229" t="s">
        <v>121</v>
      </c>
      <c r="DA2229" t="s">
        <v>122</v>
      </c>
      <c r="DD2229">
        <v>15609910</v>
      </c>
      <c r="DE2229" t="s">
        <v>123</v>
      </c>
    </row>
    <row r="2230" spans="1:109" x14ac:dyDescent="0.3">
      <c r="A2230" t="str">
        <f>"19:12:01.477"</f>
        <v>19:12:01.477</v>
      </c>
      <c r="B2230" t="s">
        <v>110</v>
      </c>
      <c r="C2230" t="str">
        <f t="shared" si="102"/>
        <v>ffdfd3c0</v>
      </c>
      <c r="D2230" t="s">
        <v>111</v>
      </c>
      <c r="E2230">
        <v>18</v>
      </c>
      <c r="F2230">
        <v>1018</v>
      </c>
      <c r="G2230" t="s">
        <v>112</v>
      </c>
      <c r="J2230" t="s">
        <v>113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R2230" t="s">
        <v>114</v>
      </c>
      <c r="S2230" t="str">
        <f>"19:12:01.258"</f>
        <v>19:12:01.258</v>
      </c>
      <c r="T2230" t="str">
        <f>"19:12:00.758"</f>
        <v>19:12:00.758</v>
      </c>
      <c r="U2230" t="str">
        <f t="shared" si="103"/>
        <v>a1cdbe</v>
      </c>
      <c r="V2230">
        <v>0</v>
      </c>
      <c r="W2230">
        <v>0</v>
      </c>
      <c r="X2230">
        <v>1</v>
      </c>
      <c r="Y2230">
        <v>0</v>
      </c>
      <c r="Z2230">
        <v>0</v>
      </c>
      <c r="AB2230">
        <v>0</v>
      </c>
      <c r="AC2230">
        <v>9</v>
      </c>
      <c r="AD2230">
        <v>3</v>
      </c>
      <c r="AE2230">
        <v>0</v>
      </c>
      <c r="AF2230">
        <v>9</v>
      </c>
      <c r="AG2230" t="s">
        <v>158</v>
      </c>
      <c r="AH2230">
        <v>0</v>
      </c>
      <c r="AI2230">
        <v>3</v>
      </c>
      <c r="AJ2230">
        <v>1</v>
      </c>
      <c r="AK2230">
        <v>0</v>
      </c>
      <c r="AL2230" t="s">
        <v>4198</v>
      </c>
      <c r="AM2230">
        <v>46.883597000000002</v>
      </c>
      <c r="AN2230" t="s">
        <v>4199</v>
      </c>
      <c r="AO2230">
        <v>-123.151867</v>
      </c>
      <c r="AP2230">
        <v>100</v>
      </c>
      <c r="AQ2230">
        <v>2000</v>
      </c>
      <c r="AR2230" t="s">
        <v>118</v>
      </c>
      <c r="AS2230">
        <v>-77</v>
      </c>
      <c r="AT2230">
        <v>16</v>
      </c>
      <c r="AU2230">
        <v>-192</v>
      </c>
      <c r="BC2230">
        <v>1200</v>
      </c>
      <c r="BD2230">
        <v>1</v>
      </c>
      <c r="BE2230" t="str">
        <f t="shared" si="104"/>
        <v xml:space="preserve">N215T   </v>
      </c>
      <c r="BF2230">
        <v>1</v>
      </c>
      <c r="BH2230">
        <v>0</v>
      </c>
      <c r="BI2230">
        <v>0</v>
      </c>
      <c r="BJ2230">
        <v>0</v>
      </c>
      <c r="BK2230">
        <v>2400</v>
      </c>
      <c r="BL2230">
        <v>400</v>
      </c>
      <c r="BM2230" t="s">
        <v>119</v>
      </c>
      <c r="BN2230">
        <v>1</v>
      </c>
      <c r="BO2230">
        <v>1</v>
      </c>
      <c r="BP2230">
        <v>1</v>
      </c>
      <c r="BQ2230">
        <v>0</v>
      </c>
      <c r="BT2230">
        <v>0</v>
      </c>
      <c r="BU2230">
        <v>0</v>
      </c>
      <c r="BV2230">
        <v>0</v>
      </c>
      <c r="CC2230" t="str">
        <f>"19:12:01.266"</f>
        <v>19:12:01.266</v>
      </c>
      <c r="CD2230" t="str">
        <f>"263220228"</f>
        <v>263220228</v>
      </c>
      <c r="CQ2230">
        <v>0</v>
      </c>
      <c r="CR2230">
        <v>2</v>
      </c>
      <c r="CS2230">
        <v>0</v>
      </c>
      <c r="CT2230">
        <v>2</v>
      </c>
      <c r="CU2230">
        <v>0</v>
      </c>
      <c r="CV2230">
        <v>7</v>
      </c>
      <c r="CW2230" t="s">
        <v>120</v>
      </c>
      <c r="CX2230">
        <v>261</v>
      </c>
      <c r="CY2230">
        <v>2</v>
      </c>
      <c r="CZ2230" t="s">
        <v>121</v>
      </c>
      <c r="DA2230" t="s">
        <v>122</v>
      </c>
      <c r="DD2230">
        <v>15610659</v>
      </c>
      <c r="DE2230" t="s">
        <v>123</v>
      </c>
    </row>
    <row r="2231" spans="1:109" x14ac:dyDescent="0.3">
      <c r="A2231" t="str">
        <f>"19:12:02.430"</f>
        <v>19:12:02.430</v>
      </c>
      <c r="B2231" t="s">
        <v>110</v>
      </c>
      <c r="C2231" t="str">
        <f t="shared" si="102"/>
        <v>ffdfd3c0</v>
      </c>
      <c r="D2231" t="s">
        <v>111</v>
      </c>
      <c r="E2231">
        <v>18</v>
      </c>
      <c r="F2231">
        <v>1018</v>
      </c>
      <c r="G2231" t="s">
        <v>112</v>
      </c>
      <c r="J2231" t="s">
        <v>113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R2231" t="s">
        <v>114</v>
      </c>
      <c r="S2231" t="str">
        <f>"19:12:02.188"</f>
        <v>19:12:02.188</v>
      </c>
      <c r="T2231" t="str">
        <f>"19:12:01.789"</f>
        <v>19:12:01.789</v>
      </c>
      <c r="U2231" t="str">
        <f t="shared" si="103"/>
        <v>a1cdbe</v>
      </c>
      <c r="V2231">
        <v>0</v>
      </c>
      <c r="W2231">
        <v>0</v>
      </c>
      <c r="X2231">
        <v>1</v>
      </c>
      <c r="Y2231">
        <v>0</v>
      </c>
      <c r="Z2231">
        <v>0</v>
      </c>
      <c r="AB2231">
        <v>0</v>
      </c>
      <c r="AC2231">
        <v>9</v>
      </c>
      <c r="AD2231">
        <v>3</v>
      </c>
      <c r="AE2231">
        <v>0</v>
      </c>
      <c r="AF2231">
        <v>9</v>
      </c>
      <c r="AG2231" t="s">
        <v>158</v>
      </c>
      <c r="AH2231">
        <v>0</v>
      </c>
      <c r="AI2231">
        <v>3</v>
      </c>
      <c r="AJ2231">
        <v>1</v>
      </c>
      <c r="AK2231">
        <v>0</v>
      </c>
      <c r="AL2231" t="s">
        <v>4200</v>
      </c>
      <c r="AM2231">
        <v>46.883682999999998</v>
      </c>
      <c r="AN2231" t="s">
        <v>4201</v>
      </c>
      <c r="AO2231">
        <v>-123.152382</v>
      </c>
      <c r="AP2231">
        <v>100</v>
      </c>
      <c r="AQ2231">
        <v>2000</v>
      </c>
      <c r="AR2231" t="s">
        <v>118</v>
      </c>
      <c r="AS2231">
        <v>-77</v>
      </c>
      <c r="AT2231">
        <v>15</v>
      </c>
      <c r="AU2231">
        <v>-192</v>
      </c>
      <c r="BC2231">
        <v>1200</v>
      </c>
      <c r="BD2231">
        <v>1</v>
      </c>
      <c r="BE2231" t="str">
        <f t="shared" si="104"/>
        <v xml:space="preserve">N215T   </v>
      </c>
      <c r="BF2231">
        <v>1</v>
      </c>
      <c r="BH2231">
        <v>0</v>
      </c>
      <c r="BI2231">
        <v>0</v>
      </c>
      <c r="BJ2231">
        <v>0</v>
      </c>
      <c r="BK2231">
        <v>2400</v>
      </c>
      <c r="BL2231">
        <v>400</v>
      </c>
      <c r="BM2231" t="s">
        <v>119</v>
      </c>
      <c r="BN2231">
        <v>1</v>
      </c>
      <c r="BO2231">
        <v>1</v>
      </c>
      <c r="BP2231">
        <v>1</v>
      </c>
      <c r="BQ2231">
        <v>0</v>
      </c>
      <c r="BT2231">
        <v>0</v>
      </c>
      <c r="BU2231">
        <v>0</v>
      </c>
      <c r="BV2231">
        <v>0</v>
      </c>
      <c r="CC2231" t="str">
        <f>"19:12:02.195"</f>
        <v>19:12:02.195</v>
      </c>
      <c r="CD2231" t="str">
        <f>"193128659"</f>
        <v>193128659</v>
      </c>
      <c r="CQ2231">
        <v>0</v>
      </c>
      <c r="CR2231">
        <v>2</v>
      </c>
      <c r="CS2231">
        <v>0</v>
      </c>
      <c r="CT2231">
        <v>2</v>
      </c>
      <c r="CU2231">
        <v>0</v>
      </c>
      <c r="CV2231">
        <v>7</v>
      </c>
      <c r="CW2231" t="s">
        <v>120</v>
      </c>
      <c r="CX2231">
        <v>261</v>
      </c>
      <c r="CY2231">
        <v>2</v>
      </c>
      <c r="CZ2231" t="s">
        <v>121</v>
      </c>
      <c r="DA2231" t="s">
        <v>122</v>
      </c>
      <c r="DD2231">
        <v>15611313</v>
      </c>
      <c r="DE2231" t="s">
        <v>123</v>
      </c>
    </row>
    <row r="2232" spans="1:109" x14ac:dyDescent="0.3">
      <c r="A2232" t="str">
        <f>"19:12:03.336"</f>
        <v>19:12:03.336</v>
      </c>
      <c r="B2232" t="s">
        <v>110</v>
      </c>
      <c r="C2232" t="str">
        <f t="shared" si="102"/>
        <v>ffdfd3c0</v>
      </c>
      <c r="D2232" t="s">
        <v>111</v>
      </c>
      <c r="E2232">
        <v>18</v>
      </c>
      <c r="F2232">
        <v>1018</v>
      </c>
      <c r="G2232" t="s">
        <v>112</v>
      </c>
      <c r="J2232" t="s">
        <v>113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R2232" t="s">
        <v>114</v>
      </c>
      <c r="S2232" t="str">
        <f>"19:12:03.070"</f>
        <v>19:12:03.070</v>
      </c>
      <c r="T2232" t="str">
        <f>"19:12:02.672"</f>
        <v>19:12:02.672</v>
      </c>
      <c r="U2232" t="str">
        <f t="shared" si="103"/>
        <v>a1cdbe</v>
      </c>
      <c r="V2232">
        <v>0</v>
      </c>
      <c r="W2232">
        <v>0</v>
      </c>
      <c r="X2232">
        <v>1</v>
      </c>
      <c r="Y2232">
        <v>0</v>
      </c>
      <c r="Z2232">
        <v>0</v>
      </c>
      <c r="AB2232">
        <v>0</v>
      </c>
      <c r="AC2232">
        <v>9</v>
      </c>
      <c r="AD2232">
        <v>3</v>
      </c>
      <c r="AE2232">
        <v>0</v>
      </c>
      <c r="AF2232">
        <v>9</v>
      </c>
      <c r="AG2232" t="s">
        <v>158</v>
      </c>
      <c r="AH2232">
        <v>0</v>
      </c>
      <c r="AI2232">
        <v>3</v>
      </c>
      <c r="AJ2232">
        <v>1</v>
      </c>
      <c r="AK2232">
        <v>0</v>
      </c>
      <c r="AL2232" t="s">
        <v>4202</v>
      </c>
      <c r="AM2232">
        <v>46.883726000000003</v>
      </c>
      <c r="AN2232" t="s">
        <v>4203</v>
      </c>
      <c r="AO2232">
        <v>-123.15279</v>
      </c>
      <c r="AP2232">
        <v>100</v>
      </c>
      <c r="AQ2232">
        <v>2000</v>
      </c>
      <c r="AR2232" t="s">
        <v>118</v>
      </c>
      <c r="AS2232">
        <v>-77</v>
      </c>
      <c r="AT2232">
        <v>15</v>
      </c>
      <c r="AU2232">
        <v>-256</v>
      </c>
      <c r="BC2232">
        <v>1200</v>
      </c>
      <c r="BD2232">
        <v>1</v>
      </c>
      <c r="BE2232" t="str">
        <f t="shared" si="104"/>
        <v xml:space="preserve">N215T   </v>
      </c>
      <c r="BF2232">
        <v>1</v>
      </c>
      <c r="BH2232">
        <v>0</v>
      </c>
      <c r="BI2232">
        <v>0</v>
      </c>
      <c r="BJ2232">
        <v>0</v>
      </c>
      <c r="BK2232">
        <v>2400</v>
      </c>
      <c r="BL2232">
        <v>400</v>
      </c>
      <c r="BM2232" t="s">
        <v>119</v>
      </c>
      <c r="BN2232">
        <v>1</v>
      </c>
      <c r="BO2232">
        <v>1</v>
      </c>
      <c r="BP2232">
        <v>1</v>
      </c>
      <c r="BQ2232">
        <v>0</v>
      </c>
      <c r="BT2232">
        <v>0</v>
      </c>
      <c r="BU2232">
        <v>0</v>
      </c>
      <c r="BV2232">
        <v>0</v>
      </c>
      <c r="CC2232" t="str">
        <f>"19:12:03.078"</f>
        <v>19:12:03.078</v>
      </c>
      <c r="CD2232" t="str">
        <f>"078041510"</f>
        <v>078041510</v>
      </c>
      <c r="CQ2232">
        <v>0</v>
      </c>
      <c r="CR2232">
        <v>2</v>
      </c>
      <c r="CS2232">
        <v>0</v>
      </c>
      <c r="CT2232">
        <v>2</v>
      </c>
      <c r="CU2232">
        <v>0</v>
      </c>
      <c r="CV2232">
        <v>7</v>
      </c>
      <c r="CW2232" t="s">
        <v>120</v>
      </c>
      <c r="CX2232">
        <v>261</v>
      </c>
      <c r="CY2232">
        <v>2</v>
      </c>
      <c r="CZ2232" t="s">
        <v>121</v>
      </c>
      <c r="DA2232" t="s">
        <v>122</v>
      </c>
      <c r="DD2232">
        <v>15611883</v>
      </c>
      <c r="DE2232" t="s">
        <v>123</v>
      </c>
    </row>
    <row r="2233" spans="1:109" x14ac:dyDescent="0.3">
      <c r="A2233" t="str">
        <f>"19:12:04.289"</f>
        <v>19:12:04.289</v>
      </c>
      <c r="B2233" t="s">
        <v>110</v>
      </c>
      <c r="C2233" t="str">
        <f t="shared" si="102"/>
        <v>ffdfd3c0</v>
      </c>
      <c r="D2233" t="s">
        <v>111</v>
      </c>
      <c r="E2233">
        <v>18</v>
      </c>
      <c r="F2233">
        <v>1018</v>
      </c>
      <c r="G2233" t="s">
        <v>112</v>
      </c>
      <c r="J2233" t="s">
        <v>113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R2233" t="s">
        <v>114</v>
      </c>
      <c r="S2233" t="str">
        <f>"19:12:04.078"</f>
        <v>19:12:04.078</v>
      </c>
      <c r="T2233" t="str">
        <f>"19:12:03.680"</f>
        <v>19:12:03.680</v>
      </c>
      <c r="U2233" t="str">
        <f t="shared" si="103"/>
        <v>a1cdbe</v>
      </c>
      <c r="V2233">
        <v>0</v>
      </c>
      <c r="W2233">
        <v>0</v>
      </c>
      <c r="X2233">
        <v>1</v>
      </c>
      <c r="Y2233">
        <v>0</v>
      </c>
      <c r="Z2233">
        <v>0</v>
      </c>
      <c r="AB2233">
        <v>0</v>
      </c>
      <c r="AC2233">
        <v>9</v>
      </c>
      <c r="AD2233">
        <v>3</v>
      </c>
      <c r="AE2233">
        <v>0</v>
      </c>
      <c r="AF2233">
        <v>9</v>
      </c>
      <c r="AG2233" t="s">
        <v>158</v>
      </c>
      <c r="AH2233">
        <v>0</v>
      </c>
      <c r="AI2233">
        <v>3</v>
      </c>
      <c r="AJ2233">
        <v>1</v>
      </c>
      <c r="AK2233">
        <v>0</v>
      </c>
      <c r="AL2233" t="s">
        <v>4204</v>
      </c>
      <c r="AM2233">
        <v>46.883833000000003</v>
      </c>
      <c r="AN2233" t="s">
        <v>4205</v>
      </c>
      <c r="AO2233">
        <v>-123.153369</v>
      </c>
      <c r="AP2233">
        <v>100</v>
      </c>
      <c r="AQ2233">
        <v>2000</v>
      </c>
      <c r="AR2233" t="s">
        <v>118</v>
      </c>
      <c r="AS2233">
        <v>-78</v>
      </c>
      <c r="AT2233">
        <v>14</v>
      </c>
      <c r="AU2233">
        <v>-320</v>
      </c>
      <c r="BC2233">
        <v>1200</v>
      </c>
      <c r="BD2233">
        <v>1</v>
      </c>
      <c r="BE2233" t="str">
        <f t="shared" si="104"/>
        <v xml:space="preserve">N215T   </v>
      </c>
      <c r="BF2233">
        <v>1</v>
      </c>
      <c r="BH2233">
        <v>0</v>
      </c>
      <c r="BI2233">
        <v>0</v>
      </c>
      <c r="BJ2233">
        <v>0</v>
      </c>
      <c r="BK2233">
        <v>2375</v>
      </c>
      <c r="BL2233">
        <v>375</v>
      </c>
      <c r="BM2233" t="s">
        <v>119</v>
      </c>
      <c r="BN2233">
        <v>1</v>
      </c>
      <c r="BO2233">
        <v>1</v>
      </c>
      <c r="BP2233">
        <v>1</v>
      </c>
      <c r="BQ2233">
        <v>0</v>
      </c>
      <c r="BT2233">
        <v>0</v>
      </c>
      <c r="BU2233">
        <v>0</v>
      </c>
      <c r="BV2233">
        <v>0</v>
      </c>
      <c r="CC2233" t="str">
        <f>"19:12:04.086"</f>
        <v>19:12:04.086</v>
      </c>
      <c r="CD2233" t="str">
        <f>"082942548"</f>
        <v>082942548</v>
      </c>
      <c r="CQ2233">
        <v>0</v>
      </c>
      <c r="CR2233">
        <v>2</v>
      </c>
      <c r="CS2233">
        <v>0</v>
      </c>
      <c r="CT2233">
        <v>2</v>
      </c>
      <c r="CU2233">
        <v>0</v>
      </c>
      <c r="CV2233">
        <v>7</v>
      </c>
      <c r="CW2233" t="s">
        <v>120</v>
      </c>
      <c r="CX2233">
        <v>261</v>
      </c>
      <c r="CY2233">
        <v>2</v>
      </c>
      <c r="CZ2233" t="s">
        <v>121</v>
      </c>
      <c r="DA2233" t="s">
        <v>122</v>
      </c>
      <c r="DD2233">
        <v>15612541</v>
      </c>
      <c r="DE2233" t="s">
        <v>123</v>
      </c>
    </row>
    <row r="2234" spans="1:109" x14ac:dyDescent="0.3">
      <c r="A2234" t="str">
        <f>"19:12:05.500"</f>
        <v>19:12:05.500</v>
      </c>
      <c r="B2234" t="s">
        <v>110</v>
      </c>
      <c r="C2234" t="str">
        <f t="shared" si="102"/>
        <v>ffdfd3c0</v>
      </c>
      <c r="D2234" t="s">
        <v>111</v>
      </c>
      <c r="E2234">
        <v>18</v>
      </c>
      <c r="F2234">
        <v>1018</v>
      </c>
      <c r="G2234" t="s">
        <v>112</v>
      </c>
      <c r="J2234" t="s">
        <v>113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R2234" t="s">
        <v>114</v>
      </c>
      <c r="S2234" t="str">
        <f>"19:12:05.250"</f>
        <v>19:12:05.250</v>
      </c>
      <c r="T2234" t="str">
        <f>"19:12:04.852"</f>
        <v>19:12:04.852</v>
      </c>
      <c r="U2234" t="str">
        <f t="shared" si="103"/>
        <v>a1cdbe</v>
      </c>
      <c r="V2234">
        <v>0</v>
      </c>
      <c r="W2234">
        <v>0</v>
      </c>
      <c r="X2234">
        <v>1</v>
      </c>
      <c r="Y2234">
        <v>0</v>
      </c>
      <c r="Z2234">
        <v>0</v>
      </c>
      <c r="AB2234">
        <v>0</v>
      </c>
      <c r="AC2234">
        <v>9</v>
      </c>
      <c r="AD2234">
        <v>3</v>
      </c>
      <c r="AE2234">
        <v>0</v>
      </c>
      <c r="AF2234">
        <v>9</v>
      </c>
      <c r="AG2234" t="s">
        <v>158</v>
      </c>
      <c r="AH2234">
        <v>0</v>
      </c>
      <c r="AI2234">
        <v>3</v>
      </c>
      <c r="AJ2234">
        <v>1</v>
      </c>
      <c r="AK2234">
        <v>0</v>
      </c>
      <c r="AL2234" t="s">
        <v>4206</v>
      </c>
      <c r="AM2234">
        <v>46.883876000000001</v>
      </c>
      <c r="AN2234" t="s">
        <v>4207</v>
      </c>
      <c r="AO2234">
        <v>-123.153992</v>
      </c>
      <c r="AP2234">
        <v>100</v>
      </c>
      <c r="AQ2234">
        <v>2000</v>
      </c>
      <c r="AR2234" t="s">
        <v>118</v>
      </c>
      <c r="AS2234">
        <v>-78</v>
      </c>
      <c r="AT2234">
        <v>14</v>
      </c>
      <c r="AU2234">
        <v>-320</v>
      </c>
      <c r="BC2234">
        <v>1200</v>
      </c>
      <c r="BD2234">
        <v>1</v>
      </c>
      <c r="BE2234" t="str">
        <f t="shared" si="104"/>
        <v xml:space="preserve">N215T   </v>
      </c>
      <c r="BF2234">
        <v>1</v>
      </c>
      <c r="BH2234">
        <v>0</v>
      </c>
      <c r="BI2234">
        <v>0</v>
      </c>
      <c r="BJ2234">
        <v>0</v>
      </c>
      <c r="BK2234">
        <v>2375</v>
      </c>
      <c r="BL2234">
        <v>375</v>
      </c>
      <c r="BM2234" t="s">
        <v>119</v>
      </c>
      <c r="BN2234">
        <v>1</v>
      </c>
      <c r="BO2234">
        <v>1</v>
      </c>
      <c r="BP2234">
        <v>1</v>
      </c>
      <c r="BQ2234">
        <v>0</v>
      </c>
      <c r="BT2234">
        <v>0</v>
      </c>
      <c r="BU2234">
        <v>0</v>
      </c>
      <c r="BV2234">
        <v>0</v>
      </c>
      <c r="CC2234" t="str">
        <f>"19:12:05.250"</f>
        <v>19:12:05.250</v>
      </c>
      <c r="CD2234" t="str">
        <f>"252827349"</f>
        <v>252827349</v>
      </c>
      <c r="CQ2234">
        <v>0</v>
      </c>
      <c r="CR2234">
        <v>2</v>
      </c>
      <c r="CS2234">
        <v>0</v>
      </c>
      <c r="CT2234">
        <v>2</v>
      </c>
      <c r="CU2234">
        <v>0</v>
      </c>
      <c r="CV2234">
        <v>7</v>
      </c>
      <c r="CW2234" t="s">
        <v>120</v>
      </c>
      <c r="CX2234">
        <v>261</v>
      </c>
      <c r="CY2234">
        <v>2</v>
      </c>
      <c r="CZ2234" t="s">
        <v>121</v>
      </c>
      <c r="DA2234" t="s">
        <v>122</v>
      </c>
      <c r="DD2234">
        <v>15613358</v>
      </c>
      <c r="DE2234" t="s">
        <v>123</v>
      </c>
    </row>
    <row r="2235" spans="1:109" x14ac:dyDescent="0.3">
      <c r="A2235" t="str">
        <f>"19:12:06.656"</f>
        <v>19:12:06.656</v>
      </c>
      <c r="B2235" t="s">
        <v>110</v>
      </c>
      <c r="C2235" t="str">
        <f t="shared" si="102"/>
        <v>ffdfd3c0</v>
      </c>
      <c r="D2235" t="s">
        <v>111</v>
      </c>
      <c r="E2235">
        <v>18</v>
      </c>
      <c r="F2235">
        <v>1018</v>
      </c>
      <c r="G2235" t="s">
        <v>112</v>
      </c>
      <c r="J2235" t="s">
        <v>113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R2235" t="s">
        <v>114</v>
      </c>
      <c r="S2235" t="str">
        <f>"19:12:06.391"</f>
        <v>19:12:06.391</v>
      </c>
      <c r="T2235" t="str">
        <f>"19:12:05.891"</f>
        <v>19:12:05.891</v>
      </c>
      <c r="U2235" t="str">
        <f t="shared" si="103"/>
        <v>a1cdbe</v>
      </c>
      <c r="V2235">
        <v>0</v>
      </c>
      <c r="W2235">
        <v>0</v>
      </c>
      <c r="X2235">
        <v>1</v>
      </c>
      <c r="Y2235">
        <v>0</v>
      </c>
      <c r="Z2235">
        <v>0</v>
      </c>
      <c r="AB2235">
        <v>0</v>
      </c>
      <c r="AC2235">
        <v>9</v>
      </c>
      <c r="AD2235">
        <v>3</v>
      </c>
      <c r="AE2235">
        <v>0</v>
      </c>
      <c r="AF2235">
        <v>9</v>
      </c>
      <c r="AG2235" t="s">
        <v>158</v>
      </c>
      <c r="AH2235">
        <v>0</v>
      </c>
      <c r="AI2235">
        <v>3</v>
      </c>
      <c r="AJ2235">
        <v>1</v>
      </c>
      <c r="AK2235">
        <v>0</v>
      </c>
      <c r="AL2235" t="s">
        <v>4208</v>
      </c>
      <c r="AM2235">
        <v>46.883961999999997</v>
      </c>
      <c r="AN2235" t="s">
        <v>4209</v>
      </c>
      <c r="AO2235">
        <v>-123.154614</v>
      </c>
      <c r="AP2235">
        <v>100</v>
      </c>
      <c r="AQ2235">
        <v>2000</v>
      </c>
      <c r="AR2235" t="s">
        <v>118</v>
      </c>
      <c r="AS2235">
        <v>-78</v>
      </c>
      <c r="AT2235">
        <v>14</v>
      </c>
      <c r="AU2235">
        <v>-256</v>
      </c>
      <c r="BC2235">
        <v>1200</v>
      </c>
      <c r="BD2235">
        <v>1</v>
      </c>
      <c r="BE2235" t="str">
        <f t="shared" si="104"/>
        <v xml:space="preserve">N215T   </v>
      </c>
      <c r="BF2235">
        <v>1</v>
      </c>
      <c r="BH2235">
        <v>0</v>
      </c>
      <c r="BI2235">
        <v>0</v>
      </c>
      <c r="BJ2235">
        <v>0</v>
      </c>
      <c r="BK2235">
        <v>2375</v>
      </c>
      <c r="BL2235">
        <v>375</v>
      </c>
      <c r="BM2235" t="s">
        <v>119</v>
      </c>
      <c r="BN2235">
        <v>1</v>
      </c>
      <c r="BO2235">
        <v>1</v>
      </c>
      <c r="BP2235">
        <v>1</v>
      </c>
      <c r="BQ2235">
        <v>0</v>
      </c>
      <c r="BT2235">
        <v>0</v>
      </c>
      <c r="BU2235">
        <v>0</v>
      </c>
      <c r="BV2235">
        <v>0</v>
      </c>
      <c r="CC2235" t="str">
        <f>"19:12:06.391"</f>
        <v>19:12:06.391</v>
      </c>
      <c r="CD2235" t="str">
        <f>"392715094"</f>
        <v>392715094</v>
      </c>
      <c r="CQ2235">
        <v>0</v>
      </c>
      <c r="CR2235">
        <v>2</v>
      </c>
      <c r="CS2235">
        <v>0</v>
      </c>
      <c r="CT2235">
        <v>2</v>
      </c>
      <c r="CU2235">
        <v>0</v>
      </c>
      <c r="CV2235">
        <v>7</v>
      </c>
      <c r="CW2235" t="s">
        <v>120</v>
      </c>
      <c r="CX2235">
        <v>261</v>
      </c>
      <c r="CY2235">
        <v>2</v>
      </c>
      <c r="CZ2235" t="s">
        <v>121</v>
      </c>
      <c r="DA2235" t="s">
        <v>122</v>
      </c>
      <c r="DD2235">
        <v>15614179</v>
      </c>
      <c r="DE2235" t="s">
        <v>123</v>
      </c>
    </row>
    <row r="2236" spans="1:109" x14ac:dyDescent="0.3">
      <c r="A2236" t="str">
        <f>"19:12:07.555"</f>
        <v>19:12:07.555</v>
      </c>
      <c r="B2236" t="s">
        <v>110</v>
      </c>
      <c r="C2236" t="str">
        <f t="shared" si="102"/>
        <v>ffdfd3c0</v>
      </c>
      <c r="D2236" t="s">
        <v>111</v>
      </c>
      <c r="E2236">
        <v>18</v>
      </c>
      <c r="F2236">
        <v>1018</v>
      </c>
      <c r="G2236" t="s">
        <v>112</v>
      </c>
      <c r="J2236" t="s">
        <v>113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R2236" t="s">
        <v>114</v>
      </c>
      <c r="S2236" t="str">
        <f>"19:12:07.367"</f>
        <v>19:12:07.367</v>
      </c>
      <c r="T2236" t="str">
        <f>"19:12:07.367"</f>
        <v>19:12:07.367</v>
      </c>
      <c r="U2236" t="str">
        <f t="shared" si="103"/>
        <v>a1cdbe</v>
      </c>
      <c r="V2236">
        <v>0</v>
      </c>
      <c r="W2236">
        <v>0</v>
      </c>
      <c r="X2236">
        <v>1</v>
      </c>
      <c r="Y2236">
        <v>0</v>
      </c>
      <c r="Z2236">
        <v>0</v>
      </c>
      <c r="AB2236">
        <v>0</v>
      </c>
      <c r="AC2236">
        <v>9</v>
      </c>
      <c r="AD2236">
        <v>3</v>
      </c>
      <c r="AE2236">
        <v>0</v>
      </c>
      <c r="AF2236">
        <v>9</v>
      </c>
      <c r="AG2236" t="s">
        <v>158</v>
      </c>
      <c r="AH2236">
        <v>0</v>
      </c>
      <c r="AI2236">
        <v>3</v>
      </c>
      <c r="AJ2236">
        <v>1</v>
      </c>
      <c r="AK2236">
        <v>0</v>
      </c>
      <c r="AL2236" t="s">
        <v>4210</v>
      </c>
      <c r="AM2236">
        <v>46.884005000000002</v>
      </c>
      <c r="AN2236" t="s">
        <v>4211</v>
      </c>
      <c r="AO2236">
        <v>-123.155129</v>
      </c>
      <c r="AP2236">
        <v>100</v>
      </c>
      <c r="AQ2236">
        <v>2000</v>
      </c>
      <c r="AR2236" t="s">
        <v>118</v>
      </c>
      <c r="AS2236">
        <v>-78</v>
      </c>
      <c r="AT2236">
        <v>14</v>
      </c>
      <c r="AU2236">
        <v>-256</v>
      </c>
      <c r="BC2236">
        <v>1200</v>
      </c>
      <c r="BD2236">
        <v>1</v>
      </c>
      <c r="BE2236" t="str">
        <f t="shared" si="104"/>
        <v xml:space="preserve">N215T   </v>
      </c>
      <c r="BF2236">
        <v>1</v>
      </c>
      <c r="BH2236">
        <v>0</v>
      </c>
      <c r="BI2236">
        <v>0</v>
      </c>
      <c r="BJ2236">
        <v>0</v>
      </c>
      <c r="BK2236">
        <v>2375</v>
      </c>
      <c r="BL2236">
        <v>375</v>
      </c>
      <c r="BM2236" t="s">
        <v>119</v>
      </c>
      <c r="BN2236">
        <v>1</v>
      </c>
      <c r="BO2236">
        <v>1</v>
      </c>
      <c r="BP2236">
        <v>1</v>
      </c>
      <c r="BQ2236">
        <v>0</v>
      </c>
      <c r="BT2236">
        <v>0</v>
      </c>
      <c r="BU2236">
        <v>0</v>
      </c>
      <c r="BV2236">
        <v>0</v>
      </c>
      <c r="CC2236" t="str">
        <f>"19:12:07.367"</f>
        <v>19:12:07.367</v>
      </c>
      <c r="CD2236" t="str">
        <f>"367619091"</f>
        <v>367619091</v>
      </c>
      <c r="CQ2236">
        <v>0</v>
      </c>
      <c r="CR2236">
        <v>2</v>
      </c>
      <c r="CS2236">
        <v>0</v>
      </c>
      <c r="CT2236">
        <v>2</v>
      </c>
      <c r="CU2236">
        <v>0</v>
      </c>
      <c r="CV2236">
        <v>7</v>
      </c>
      <c r="CW2236" t="s">
        <v>120</v>
      </c>
      <c r="CX2236">
        <v>261</v>
      </c>
      <c r="CY2236">
        <v>2</v>
      </c>
      <c r="CZ2236" t="s">
        <v>121</v>
      </c>
      <c r="DA2236" t="s">
        <v>122</v>
      </c>
      <c r="DD2236">
        <v>15614890</v>
      </c>
      <c r="DE2236" t="s">
        <v>123</v>
      </c>
    </row>
    <row r="2237" spans="1:109" x14ac:dyDescent="0.3">
      <c r="A2237" t="str">
        <f>"19:12:08.516"</f>
        <v>19:12:08.516</v>
      </c>
      <c r="B2237" t="s">
        <v>110</v>
      </c>
      <c r="C2237" t="str">
        <f t="shared" si="102"/>
        <v>ffdfd3c0</v>
      </c>
      <c r="D2237" t="s">
        <v>111</v>
      </c>
      <c r="E2237">
        <v>18</v>
      </c>
      <c r="F2237">
        <v>1018</v>
      </c>
      <c r="G2237" t="s">
        <v>112</v>
      </c>
      <c r="J2237" t="s">
        <v>113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R2237" t="s">
        <v>114</v>
      </c>
      <c r="S2237" t="str">
        <f>"19:12:08.297"</f>
        <v>19:12:08.297</v>
      </c>
      <c r="T2237" t="str">
        <f>"19:12:07.898"</f>
        <v>19:12:07.898</v>
      </c>
      <c r="U2237" t="str">
        <f t="shared" si="103"/>
        <v>a1cdbe</v>
      </c>
      <c r="V2237">
        <v>0</v>
      </c>
      <c r="W2237">
        <v>0</v>
      </c>
      <c r="X2237">
        <v>1</v>
      </c>
      <c r="Y2237">
        <v>0</v>
      </c>
      <c r="Z2237">
        <v>0</v>
      </c>
      <c r="AB2237">
        <v>0</v>
      </c>
      <c r="AC2237">
        <v>9</v>
      </c>
      <c r="AD2237">
        <v>3</v>
      </c>
      <c r="AE2237">
        <v>0</v>
      </c>
      <c r="AF2237">
        <v>9</v>
      </c>
      <c r="AG2237" t="s">
        <v>158</v>
      </c>
      <c r="AH2237">
        <v>0</v>
      </c>
      <c r="AI2237">
        <v>3</v>
      </c>
      <c r="AJ2237">
        <v>1</v>
      </c>
      <c r="AK2237">
        <v>0</v>
      </c>
      <c r="AL2237" t="s">
        <v>1512</v>
      </c>
      <c r="AM2237">
        <v>46.884068999999997</v>
      </c>
      <c r="AN2237" t="s">
        <v>4212</v>
      </c>
      <c r="AO2237">
        <v>-123.155537</v>
      </c>
      <c r="AP2237">
        <v>100</v>
      </c>
      <c r="AQ2237">
        <v>2000</v>
      </c>
      <c r="AR2237" t="s">
        <v>118</v>
      </c>
      <c r="AS2237">
        <v>-78</v>
      </c>
      <c r="AT2237">
        <v>14</v>
      </c>
      <c r="AU2237">
        <v>-256</v>
      </c>
      <c r="BC2237">
        <v>1200</v>
      </c>
      <c r="BD2237">
        <v>1</v>
      </c>
      <c r="BE2237" t="str">
        <f t="shared" si="104"/>
        <v xml:space="preserve">N215T   </v>
      </c>
      <c r="BF2237">
        <v>1</v>
      </c>
      <c r="BH2237">
        <v>0</v>
      </c>
      <c r="BI2237">
        <v>0</v>
      </c>
      <c r="BJ2237">
        <v>0</v>
      </c>
      <c r="BK2237">
        <v>2375</v>
      </c>
      <c r="BL2237">
        <v>375</v>
      </c>
      <c r="BM2237" t="s">
        <v>119</v>
      </c>
      <c r="BN2237">
        <v>1</v>
      </c>
      <c r="BO2237">
        <v>1</v>
      </c>
      <c r="BP2237">
        <v>1</v>
      </c>
      <c r="BQ2237">
        <v>0</v>
      </c>
      <c r="BT2237">
        <v>0</v>
      </c>
      <c r="BU2237">
        <v>0</v>
      </c>
      <c r="BV2237">
        <v>0</v>
      </c>
      <c r="CC2237" t="str">
        <f>"19:12:08.297"</f>
        <v>19:12:08.297</v>
      </c>
      <c r="CD2237" t="str">
        <f>"297527523"</f>
        <v>297527523</v>
      </c>
      <c r="CQ2237">
        <v>0</v>
      </c>
      <c r="CR2237">
        <v>2</v>
      </c>
      <c r="CS2237">
        <v>0</v>
      </c>
      <c r="CT2237">
        <v>2</v>
      </c>
      <c r="CU2237">
        <v>0</v>
      </c>
      <c r="CV2237">
        <v>7</v>
      </c>
      <c r="CW2237" t="s">
        <v>120</v>
      </c>
      <c r="CX2237">
        <v>261</v>
      </c>
      <c r="CY2237">
        <v>2</v>
      </c>
      <c r="CZ2237" t="s">
        <v>121</v>
      </c>
      <c r="DA2237" t="s">
        <v>122</v>
      </c>
      <c r="DD2237">
        <v>15615531</v>
      </c>
      <c r="DE2237" t="s">
        <v>123</v>
      </c>
    </row>
    <row r="2238" spans="1:109" x14ac:dyDescent="0.3">
      <c r="A2238" t="str">
        <f>"19:12:09.422"</f>
        <v>19:12:09.422</v>
      </c>
      <c r="B2238" t="s">
        <v>110</v>
      </c>
      <c r="C2238" t="str">
        <f t="shared" si="102"/>
        <v>ffdfd3c0</v>
      </c>
      <c r="D2238" t="s">
        <v>111</v>
      </c>
      <c r="E2238">
        <v>18</v>
      </c>
      <c r="F2238">
        <v>1018</v>
      </c>
      <c r="G2238" t="s">
        <v>112</v>
      </c>
      <c r="J2238" t="s">
        <v>113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R2238" t="s">
        <v>114</v>
      </c>
      <c r="S2238" t="str">
        <f>"19:12:09.195"</f>
        <v>19:12:09.195</v>
      </c>
      <c r="T2238" t="str">
        <f>"19:12:09.195"</f>
        <v>19:12:09.195</v>
      </c>
      <c r="U2238" t="str">
        <f t="shared" si="103"/>
        <v>a1cdbe</v>
      </c>
      <c r="V2238">
        <v>0</v>
      </c>
      <c r="W2238">
        <v>0</v>
      </c>
      <c r="X2238">
        <v>1</v>
      </c>
      <c r="Y2238">
        <v>0</v>
      </c>
      <c r="Z2238">
        <v>0</v>
      </c>
      <c r="AB2238">
        <v>0</v>
      </c>
      <c r="AC2238">
        <v>9</v>
      </c>
      <c r="AD2238">
        <v>3</v>
      </c>
      <c r="AE2238">
        <v>0</v>
      </c>
      <c r="AF2238">
        <v>9</v>
      </c>
      <c r="AG2238" t="s">
        <v>158</v>
      </c>
      <c r="AH2238">
        <v>0</v>
      </c>
      <c r="AI2238">
        <v>3</v>
      </c>
      <c r="AJ2238">
        <v>1</v>
      </c>
      <c r="AK2238">
        <v>0</v>
      </c>
      <c r="AL2238" t="s">
        <v>4213</v>
      </c>
      <c r="AM2238">
        <v>46.884155</v>
      </c>
      <c r="AN2238" t="s">
        <v>4214</v>
      </c>
      <c r="AO2238">
        <v>-123.156052</v>
      </c>
      <c r="AP2238">
        <v>100</v>
      </c>
      <c r="AQ2238">
        <v>2000</v>
      </c>
      <c r="AR2238" t="s">
        <v>118</v>
      </c>
      <c r="AS2238">
        <v>-78</v>
      </c>
      <c r="AT2238">
        <v>14</v>
      </c>
      <c r="AU2238">
        <v>-192</v>
      </c>
      <c r="BC2238">
        <v>1200</v>
      </c>
      <c r="BD2238">
        <v>1</v>
      </c>
      <c r="BE2238" t="str">
        <f t="shared" si="104"/>
        <v xml:space="preserve">N215T   </v>
      </c>
      <c r="BF2238">
        <v>1</v>
      </c>
      <c r="BH2238">
        <v>0</v>
      </c>
      <c r="BI2238">
        <v>0</v>
      </c>
      <c r="BJ2238">
        <v>0</v>
      </c>
      <c r="BK2238">
        <v>2375</v>
      </c>
      <c r="BL2238">
        <v>375</v>
      </c>
      <c r="BM2238" t="s">
        <v>119</v>
      </c>
      <c r="BN2238">
        <v>1</v>
      </c>
      <c r="BO2238">
        <v>1</v>
      </c>
      <c r="BP2238">
        <v>1</v>
      </c>
      <c r="BQ2238">
        <v>0</v>
      </c>
      <c r="BT2238">
        <v>0</v>
      </c>
      <c r="BU2238">
        <v>0</v>
      </c>
      <c r="BV2238">
        <v>0</v>
      </c>
      <c r="CC2238" t="str">
        <f>"19:12:09.195"</f>
        <v>19:12:09.195</v>
      </c>
      <c r="CD2238" t="str">
        <f>"197438895"</f>
        <v>197438895</v>
      </c>
      <c r="CQ2238">
        <v>0</v>
      </c>
      <c r="CR2238">
        <v>2</v>
      </c>
      <c r="CS2238">
        <v>0</v>
      </c>
      <c r="CT2238">
        <v>2</v>
      </c>
      <c r="CU2238">
        <v>0</v>
      </c>
      <c r="CV2238">
        <v>7</v>
      </c>
      <c r="CW2238" t="s">
        <v>120</v>
      </c>
      <c r="CX2238">
        <v>261</v>
      </c>
      <c r="CY2238">
        <v>2</v>
      </c>
      <c r="CZ2238" t="s">
        <v>121</v>
      </c>
      <c r="DA2238" t="s">
        <v>122</v>
      </c>
      <c r="DD2238">
        <v>15616151</v>
      </c>
      <c r="DE2238" t="s">
        <v>123</v>
      </c>
    </row>
    <row r="2239" spans="1:109" x14ac:dyDescent="0.3">
      <c r="A2239" t="str">
        <f>"19:12:10.477"</f>
        <v>19:12:10.477</v>
      </c>
      <c r="B2239" t="s">
        <v>110</v>
      </c>
      <c r="C2239" t="str">
        <f t="shared" si="102"/>
        <v>ffdfd3c0</v>
      </c>
      <c r="D2239" t="s">
        <v>111</v>
      </c>
      <c r="E2239">
        <v>18</v>
      </c>
      <c r="F2239">
        <v>1018</v>
      </c>
      <c r="G2239" t="s">
        <v>112</v>
      </c>
      <c r="J2239" t="s">
        <v>113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R2239" t="s">
        <v>114</v>
      </c>
      <c r="S2239" t="str">
        <f>"19:12:10.242"</f>
        <v>19:12:10.242</v>
      </c>
      <c r="T2239" t="str">
        <f>"19:12:10.141"</f>
        <v>19:12:10.141</v>
      </c>
      <c r="U2239" t="str">
        <f t="shared" si="103"/>
        <v>a1cdbe</v>
      </c>
      <c r="V2239">
        <v>0</v>
      </c>
      <c r="W2239">
        <v>0</v>
      </c>
      <c r="X2239">
        <v>1</v>
      </c>
      <c r="Y2239">
        <v>0</v>
      </c>
      <c r="Z2239">
        <v>0</v>
      </c>
      <c r="AB2239">
        <v>0</v>
      </c>
      <c r="AC2239">
        <v>9</v>
      </c>
      <c r="AD2239">
        <v>3</v>
      </c>
      <c r="AE2239">
        <v>0</v>
      </c>
      <c r="AF2239">
        <v>9</v>
      </c>
      <c r="AG2239" t="s">
        <v>158</v>
      </c>
      <c r="AH2239">
        <v>0</v>
      </c>
      <c r="AI2239">
        <v>3</v>
      </c>
      <c r="AJ2239">
        <v>1</v>
      </c>
      <c r="AK2239">
        <v>0</v>
      </c>
      <c r="AL2239" t="s">
        <v>4215</v>
      </c>
      <c r="AM2239">
        <v>46.884197999999998</v>
      </c>
      <c r="AN2239" t="s">
        <v>4216</v>
      </c>
      <c r="AO2239">
        <v>-123.156588</v>
      </c>
      <c r="AP2239">
        <v>100</v>
      </c>
      <c r="AQ2239">
        <v>2000</v>
      </c>
      <c r="AR2239" t="s">
        <v>118</v>
      </c>
      <c r="AS2239">
        <v>-78</v>
      </c>
      <c r="AT2239">
        <v>15</v>
      </c>
      <c r="AU2239">
        <v>-128</v>
      </c>
      <c r="BC2239">
        <v>1200</v>
      </c>
      <c r="BD2239">
        <v>1</v>
      </c>
      <c r="BE2239" t="str">
        <f t="shared" si="104"/>
        <v xml:space="preserve">N215T   </v>
      </c>
      <c r="BF2239">
        <v>1</v>
      </c>
      <c r="BH2239">
        <v>0</v>
      </c>
      <c r="BI2239">
        <v>0</v>
      </c>
      <c r="BJ2239">
        <v>0</v>
      </c>
      <c r="BK2239">
        <v>2350</v>
      </c>
      <c r="BL2239">
        <v>350</v>
      </c>
      <c r="BM2239" t="s">
        <v>119</v>
      </c>
      <c r="BN2239">
        <v>1</v>
      </c>
      <c r="BO2239">
        <v>1</v>
      </c>
      <c r="BP2239">
        <v>1</v>
      </c>
      <c r="BQ2239">
        <v>0</v>
      </c>
      <c r="BT2239">
        <v>0</v>
      </c>
      <c r="BU2239">
        <v>0</v>
      </c>
      <c r="BV2239">
        <v>0</v>
      </c>
      <c r="CC2239" t="str">
        <f>"19:12:10.250"</f>
        <v>19:12:10.250</v>
      </c>
      <c r="CD2239" t="str">
        <f>"247335499"</f>
        <v>247335499</v>
      </c>
      <c r="CQ2239">
        <v>0</v>
      </c>
      <c r="CR2239">
        <v>2</v>
      </c>
      <c r="CS2239">
        <v>0</v>
      </c>
      <c r="CT2239">
        <v>2</v>
      </c>
      <c r="CU2239">
        <v>0</v>
      </c>
      <c r="CV2239">
        <v>7</v>
      </c>
      <c r="CW2239" t="s">
        <v>120</v>
      </c>
      <c r="CX2239">
        <v>261</v>
      </c>
      <c r="CY2239">
        <v>2</v>
      </c>
      <c r="CZ2239" t="s">
        <v>121</v>
      </c>
      <c r="DA2239" t="s">
        <v>122</v>
      </c>
      <c r="DD2239">
        <v>15616901</v>
      </c>
      <c r="DE2239" t="s">
        <v>123</v>
      </c>
    </row>
    <row r="2240" spans="1:109" x14ac:dyDescent="0.3">
      <c r="A2240" t="str">
        <f>"19:12:11.531"</f>
        <v>19:12:11.531</v>
      </c>
      <c r="B2240" t="s">
        <v>110</v>
      </c>
      <c r="C2240" t="str">
        <f t="shared" si="102"/>
        <v>ffdfd3c0</v>
      </c>
      <c r="D2240" t="s">
        <v>111</v>
      </c>
      <c r="E2240">
        <v>18</v>
      </c>
      <c r="F2240">
        <v>1018</v>
      </c>
      <c r="G2240" t="s">
        <v>112</v>
      </c>
      <c r="J2240" t="s">
        <v>113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R2240" t="s">
        <v>114</v>
      </c>
      <c r="S2240" t="str">
        <f>"19:12:11.297"</f>
        <v>19:12:11.297</v>
      </c>
      <c r="T2240" t="str">
        <f>"19:12:11.195"</f>
        <v>19:12:11.195</v>
      </c>
      <c r="U2240" t="str">
        <f t="shared" si="103"/>
        <v>a1cdbe</v>
      </c>
      <c r="V2240">
        <v>0</v>
      </c>
      <c r="W2240">
        <v>0</v>
      </c>
      <c r="X2240">
        <v>1</v>
      </c>
      <c r="Y2240">
        <v>0</v>
      </c>
      <c r="Z2240">
        <v>0</v>
      </c>
      <c r="AB2240">
        <v>0</v>
      </c>
      <c r="AC2240">
        <v>9</v>
      </c>
      <c r="AD2240">
        <v>3</v>
      </c>
      <c r="AE2240">
        <v>0</v>
      </c>
      <c r="AF2240">
        <v>9</v>
      </c>
      <c r="AG2240" t="s">
        <v>158</v>
      </c>
      <c r="AH2240">
        <v>0</v>
      </c>
      <c r="AI2240">
        <v>3</v>
      </c>
      <c r="AJ2240">
        <v>1</v>
      </c>
      <c r="AK2240">
        <v>0</v>
      </c>
      <c r="AL2240" t="s">
        <v>4217</v>
      </c>
      <c r="AM2240">
        <v>46.884284000000001</v>
      </c>
      <c r="AN2240" t="s">
        <v>4218</v>
      </c>
      <c r="AO2240">
        <v>-123.157146</v>
      </c>
      <c r="AP2240">
        <v>100</v>
      </c>
      <c r="AQ2240">
        <v>2000</v>
      </c>
      <c r="AR2240" t="s">
        <v>118</v>
      </c>
      <c r="AS2240">
        <v>-78</v>
      </c>
      <c r="AT2240">
        <v>16</v>
      </c>
      <c r="AU2240">
        <v>0</v>
      </c>
      <c r="BC2240">
        <v>1200</v>
      </c>
      <c r="BD2240">
        <v>1</v>
      </c>
      <c r="BE2240" t="str">
        <f t="shared" si="104"/>
        <v xml:space="preserve">N215T   </v>
      </c>
      <c r="BF2240">
        <v>1</v>
      </c>
      <c r="BH2240">
        <v>0</v>
      </c>
      <c r="BI2240">
        <v>0</v>
      </c>
      <c r="BJ2240">
        <v>0</v>
      </c>
      <c r="BK2240">
        <v>2350</v>
      </c>
      <c r="BL2240">
        <v>350</v>
      </c>
      <c r="BM2240" t="s">
        <v>119</v>
      </c>
      <c r="BN2240">
        <v>1</v>
      </c>
      <c r="BO2240">
        <v>1</v>
      </c>
      <c r="BP2240">
        <v>1</v>
      </c>
      <c r="BQ2240">
        <v>0</v>
      </c>
      <c r="BT2240">
        <v>0</v>
      </c>
      <c r="BU2240">
        <v>0</v>
      </c>
      <c r="BV2240">
        <v>0</v>
      </c>
      <c r="CC2240" t="str">
        <f>"19:12:11.297"</f>
        <v>19:12:11.297</v>
      </c>
      <c r="CD2240" t="str">
        <f>"297232113"</f>
        <v>297232113</v>
      </c>
      <c r="CQ2240">
        <v>0</v>
      </c>
      <c r="CR2240">
        <v>2</v>
      </c>
      <c r="CS2240">
        <v>0</v>
      </c>
      <c r="CT2240">
        <v>2</v>
      </c>
      <c r="CU2240">
        <v>0</v>
      </c>
      <c r="CV2240">
        <v>7</v>
      </c>
      <c r="CW2240" t="s">
        <v>120</v>
      </c>
      <c r="CX2240">
        <v>261</v>
      </c>
      <c r="CY2240">
        <v>2</v>
      </c>
      <c r="CZ2240" t="s">
        <v>121</v>
      </c>
      <c r="DA2240" t="s">
        <v>122</v>
      </c>
      <c r="DD2240">
        <v>15617662</v>
      </c>
      <c r="DE2240" t="s">
        <v>123</v>
      </c>
    </row>
    <row r="2241" spans="1:109" x14ac:dyDescent="0.3">
      <c r="A2241" t="str">
        <f>"19:12:12.633"</f>
        <v>19:12:12.633</v>
      </c>
      <c r="B2241" t="s">
        <v>110</v>
      </c>
      <c r="C2241" t="str">
        <f t="shared" si="102"/>
        <v>ffdfd3c0</v>
      </c>
      <c r="D2241" t="s">
        <v>111</v>
      </c>
      <c r="E2241">
        <v>18</v>
      </c>
      <c r="F2241">
        <v>1018</v>
      </c>
      <c r="G2241" t="s">
        <v>112</v>
      </c>
      <c r="J2241" t="s">
        <v>113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R2241" t="s">
        <v>114</v>
      </c>
      <c r="S2241" t="str">
        <f>"19:12:12.406"</f>
        <v>19:12:12.406</v>
      </c>
      <c r="T2241" t="str">
        <f>"19:12:12.203"</f>
        <v>19:12:12.203</v>
      </c>
      <c r="U2241" t="str">
        <f t="shared" si="103"/>
        <v>a1cdbe</v>
      </c>
      <c r="V2241">
        <v>0</v>
      </c>
      <c r="W2241">
        <v>0</v>
      </c>
      <c r="X2241">
        <v>1</v>
      </c>
      <c r="Y2241">
        <v>0</v>
      </c>
      <c r="Z2241">
        <v>0</v>
      </c>
      <c r="AB2241">
        <v>0</v>
      </c>
      <c r="AC2241">
        <v>9</v>
      </c>
      <c r="AD2241">
        <v>3</v>
      </c>
      <c r="AE2241">
        <v>0</v>
      </c>
      <c r="AF2241">
        <v>9</v>
      </c>
      <c r="AG2241" t="s">
        <v>158</v>
      </c>
      <c r="AH2241">
        <v>0</v>
      </c>
      <c r="AI2241">
        <v>3</v>
      </c>
      <c r="AJ2241">
        <v>1</v>
      </c>
      <c r="AK2241">
        <v>0</v>
      </c>
      <c r="AL2241" t="s">
        <v>4219</v>
      </c>
      <c r="AM2241">
        <v>46.884391000000001</v>
      </c>
      <c r="AN2241" t="s">
        <v>4220</v>
      </c>
      <c r="AO2241">
        <v>-123.157768</v>
      </c>
      <c r="AP2241">
        <v>100</v>
      </c>
      <c r="AQ2241">
        <v>2000</v>
      </c>
      <c r="AR2241" t="s">
        <v>118</v>
      </c>
      <c r="AS2241">
        <v>-78</v>
      </c>
      <c r="AT2241">
        <v>16</v>
      </c>
      <c r="AU2241">
        <v>0</v>
      </c>
      <c r="BC2241">
        <v>1200</v>
      </c>
      <c r="BD2241">
        <v>1</v>
      </c>
      <c r="BE2241" t="str">
        <f t="shared" si="104"/>
        <v xml:space="preserve">N215T   </v>
      </c>
      <c r="BF2241">
        <v>1</v>
      </c>
      <c r="BH2241">
        <v>0</v>
      </c>
      <c r="BI2241">
        <v>0</v>
      </c>
      <c r="BJ2241">
        <v>0</v>
      </c>
      <c r="BK2241">
        <v>2350</v>
      </c>
      <c r="BL2241">
        <v>350</v>
      </c>
      <c r="BM2241" t="s">
        <v>119</v>
      </c>
      <c r="BN2241">
        <v>1</v>
      </c>
      <c r="BO2241">
        <v>1</v>
      </c>
      <c r="BP2241">
        <v>1</v>
      </c>
      <c r="BQ2241">
        <v>0</v>
      </c>
      <c r="BT2241">
        <v>0</v>
      </c>
      <c r="BU2241">
        <v>0</v>
      </c>
      <c r="BV2241">
        <v>0</v>
      </c>
      <c r="CC2241" t="str">
        <f>"19:12:12.406"</f>
        <v>19:12:12.406</v>
      </c>
      <c r="CD2241" t="str">
        <f>"407122809"</f>
        <v>407122809</v>
      </c>
      <c r="CQ2241">
        <v>0</v>
      </c>
      <c r="CR2241">
        <v>2</v>
      </c>
      <c r="CS2241">
        <v>0</v>
      </c>
      <c r="CT2241">
        <v>2</v>
      </c>
      <c r="CU2241">
        <v>0</v>
      </c>
      <c r="CV2241">
        <v>7</v>
      </c>
      <c r="CW2241" t="s">
        <v>120</v>
      </c>
      <c r="CX2241">
        <v>261</v>
      </c>
      <c r="CY2241">
        <v>2</v>
      </c>
      <c r="CZ2241" t="s">
        <v>121</v>
      </c>
      <c r="DA2241" t="s">
        <v>122</v>
      </c>
      <c r="DD2241">
        <v>15618448</v>
      </c>
      <c r="DE2241" t="s">
        <v>123</v>
      </c>
    </row>
    <row r="2242" spans="1:109" x14ac:dyDescent="0.3">
      <c r="A2242" t="str">
        <f>"19:12:13.492"</f>
        <v>19:12:13.492</v>
      </c>
      <c r="B2242" t="s">
        <v>110</v>
      </c>
      <c r="C2242" t="str">
        <f t="shared" ref="C2242:C2305" si="105">"ffdfd3c0"</f>
        <v>ffdfd3c0</v>
      </c>
      <c r="D2242" t="s">
        <v>111</v>
      </c>
      <c r="E2242">
        <v>18</v>
      </c>
      <c r="F2242">
        <v>1018</v>
      </c>
      <c r="G2242" t="s">
        <v>112</v>
      </c>
      <c r="J2242" t="s">
        <v>113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R2242" t="s">
        <v>114</v>
      </c>
      <c r="S2242" t="str">
        <f>"19:12:13.258"</f>
        <v>19:12:13.258</v>
      </c>
      <c r="T2242" t="str">
        <f>"19:12:13.258"</f>
        <v>19:12:13.258</v>
      </c>
      <c r="U2242" t="str">
        <f t="shared" ref="U2242:U2305" si="106">"a1cdbe"</f>
        <v>a1cdbe</v>
      </c>
      <c r="V2242">
        <v>0</v>
      </c>
      <c r="W2242">
        <v>0</v>
      </c>
      <c r="X2242">
        <v>1</v>
      </c>
      <c r="Y2242">
        <v>0</v>
      </c>
      <c r="Z2242">
        <v>0</v>
      </c>
      <c r="AB2242">
        <v>0</v>
      </c>
      <c r="AC2242">
        <v>9</v>
      </c>
      <c r="AD2242">
        <v>3</v>
      </c>
      <c r="AE2242">
        <v>0</v>
      </c>
      <c r="AF2242">
        <v>9</v>
      </c>
      <c r="AG2242" t="s">
        <v>158</v>
      </c>
      <c r="AH2242">
        <v>0</v>
      </c>
      <c r="AI2242">
        <v>3</v>
      </c>
      <c r="AJ2242">
        <v>1</v>
      </c>
      <c r="AK2242">
        <v>0</v>
      </c>
      <c r="AL2242" t="s">
        <v>4221</v>
      </c>
      <c r="AM2242">
        <v>46.884433999999999</v>
      </c>
      <c r="AN2242" t="s">
        <v>4222</v>
      </c>
      <c r="AO2242">
        <v>-123.158176</v>
      </c>
      <c r="AP2242">
        <v>100</v>
      </c>
      <c r="AQ2242">
        <v>2000</v>
      </c>
      <c r="AR2242" t="s">
        <v>118</v>
      </c>
      <c r="AS2242">
        <v>-78</v>
      </c>
      <c r="AT2242">
        <v>17</v>
      </c>
      <c r="AU2242">
        <v>0</v>
      </c>
      <c r="BC2242">
        <v>1200</v>
      </c>
      <c r="BD2242">
        <v>1</v>
      </c>
      <c r="BE2242" t="str">
        <f t="shared" ref="BE2242:BE2305" si="107">"N215T   "</f>
        <v xml:space="preserve">N215T   </v>
      </c>
      <c r="BF2242">
        <v>1</v>
      </c>
      <c r="BH2242">
        <v>0</v>
      </c>
      <c r="BI2242">
        <v>0</v>
      </c>
      <c r="BJ2242">
        <v>0</v>
      </c>
      <c r="BK2242">
        <v>2350</v>
      </c>
      <c r="BL2242">
        <v>350</v>
      </c>
      <c r="BM2242" t="s">
        <v>119</v>
      </c>
      <c r="BN2242">
        <v>1</v>
      </c>
      <c r="BO2242">
        <v>1</v>
      </c>
      <c r="BP2242">
        <v>1</v>
      </c>
      <c r="BQ2242">
        <v>0</v>
      </c>
      <c r="BT2242">
        <v>0</v>
      </c>
      <c r="BU2242">
        <v>0</v>
      </c>
      <c r="BV2242">
        <v>0</v>
      </c>
      <c r="CC2242" t="str">
        <f>"19:12:13.266"</f>
        <v>19:12:13.266</v>
      </c>
      <c r="CD2242" t="str">
        <f>"262038614"</f>
        <v>262038614</v>
      </c>
      <c r="CQ2242">
        <v>0</v>
      </c>
      <c r="CR2242">
        <v>2</v>
      </c>
      <c r="CS2242">
        <v>0</v>
      </c>
      <c r="CT2242">
        <v>2</v>
      </c>
      <c r="CU2242">
        <v>0</v>
      </c>
      <c r="CV2242">
        <v>7</v>
      </c>
      <c r="CW2242" t="s">
        <v>120</v>
      </c>
      <c r="CX2242">
        <v>261</v>
      </c>
      <c r="CY2242">
        <v>2</v>
      </c>
      <c r="CZ2242" t="s">
        <v>121</v>
      </c>
      <c r="DA2242" t="s">
        <v>122</v>
      </c>
      <c r="DD2242">
        <v>15619020</v>
      </c>
      <c r="DE2242" t="s">
        <v>123</v>
      </c>
    </row>
    <row r="2243" spans="1:109" x14ac:dyDescent="0.3">
      <c r="A2243" t="str">
        <f>"19:12:14.547"</f>
        <v>19:12:14.547</v>
      </c>
      <c r="B2243" t="s">
        <v>110</v>
      </c>
      <c r="C2243" t="str">
        <f t="shared" si="105"/>
        <v>ffdfd3c0</v>
      </c>
      <c r="D2243" t="s">
        <v>111</v>
      </c>
      <c r="E2243">
        <v>18</v>
      </c>
      <c r="F2243">
        <v>1018</v>
      </c>
      <c r="G2243" t="s">
        <v>112</v>
      </c>
      <c r="J2243" t="s">
        <v>113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R2243" t="s">
        <v>114</v>
      </c>
      <c r="S2243" t="str">
        <f>"19:12:14.320"</f>
        <v>19:12:14.320</v>
      </c>
      <c r="T2243" t="str">
        <f>"19:12:14.219"</f>
        <v>19:12:14.219</v>
      </c>
      <c r="U2243" t="str">
        <f t="shared" si="106"/>
        <v>a1cdbe</v>
      </c>
      <c r="V2243">
        <v>0</v>
      </c>
      <c r="W2243">
        <v>0</v>
      </c>
      <c r="X2243">
        <v>1</v>
      </c>
      <c r="Y2243">
        <v>0</v>
      </c>
      <c r="Z2243">
        <v>0</v>
      </c>
      <c r="AB2243">
        <v>0</v>
      </c>
      <c r="AC2243">
        <v>9</v>
      </c>
      <c r="AD2243">
        <v>3</v>
      </c>
      <c r="AE2243">
        <v>0</v>
      </c>
      <c r="AF2243">
        <v>9</v>
      </c>
      <c r="AG2243" t="s">
        <v>158</v>
      </c>
      <c r="AH2243">
        <v>0</v>
      </c>
      <c r="AI2243">
        <v>3</v>
      </c>
      <c r="AJ2243">
        <v>1</v>
      </c>
      <c r="AK2243">
        <v>0</v>
      </c>
      <c r="AL2243" t="s">
        <v>4223</v>
      </c>
      <c r="AM2243">
        <v>46.884520000000002</v>
      </c>
      <c r="AN2243" t="s">
        <v>4224</v>
      </c>
      <c r="AO2243">
        <v>-123.158777</v>
      </c>
      <c r="AP2243">
        <v>100</v>
      </c>
      <c r="AQ2243">
        <v>2000</v>
      </c>
      <c r="AR2243" t="s">
        <v>118</v>
      </c>
      <c r="AS2243">
        <v>-78</v>
      </c>
      <c r="AT2243">
        <v>17</v>
      </c>
      <c r="AU2243">
        <v>0</v>
      </c>
      <c r="BC2243">
        <v>1200</v>
      </c>
      <c r="BD2243">
        <v>1</v>
      </c>
      <c r="BE2243" t="str">
        <f t="shared" si="107"/>
        <v xml:space="preserve">N215T   </v>
      </c>
      <c r="BF2243">
        <v>1</v>
      </c>
      <c r="BH2243">
        <v>0</v>
      </c>
      <c r="BI2243">
        <v>0</v>
      </c>
      <c r="BJ2243">
        <v>0</v>
      </c>
      <c r="BK2243">
        <v>2350</v>
      </c>
      <c r="BL2243">
        <v>350</v>
      </c>
      <c r="BM2243" t="s">
        <v>119</v>
      </c>
      <c r="BN2243">
        <v>1</v>
      </c>
      <c r="BO2243">
        <v>1</v>
      </c>
      <c r="BP2243">
        <v>1</v>
      </c>
      <c r="BQ2243">
        <v>0</v>
      </c>
      <c r="BT2243">
        <v>0</v>
      </c>
      <c r="BU2243">
        <v>0</v>
      </c>
      <c r="BV2243">
        <v>0</v>
      </c>
      <c r="CC2243" t="str">
        <f>"19:12:14.328"</f>
        <v>19:12:14.328</v>
      </c>
      <c r="CD2243" t="str">
        <f>"326933746"</f>
        <v>326933746</v>
      </c>
      <c r="CQ2243">
        <v>0</v>
      </c>
      <c r="CR2243">
        <v>2</v>
      </c>
      <c r="CS2243">
        <v>0</v>
      </c>
      <c r="CT2243">
        <v>2</v>
      </c>
      <c r="CU2243">
        <v>0</v>
      </c>
      <c r="CV2243">
        <v>7</v>
      </c>
      <c r="CW2243" t="s">
        <v>120</v>
      </c>
      <c r="CX2243">
        <v>261</v>
      </c>
      <c r="CY2243">
        <v>2</v>
      </c>
      <c r="CZ2243" t="s">
        <v>121</v>
      </c>
      <c r="DA2243" t="s">
        <v>122</v>
      </c>
      <c r="DD2243">
        <v>15619737</v>
      </c>
      <c r="DE2243" t="s">
        <v>123</v>
      </c>
    </row>
    <row r="2244" spans="1:109" x14ac:dyDescent="0.3">
      <c r="A2244" t="str">
        <f>"19:12:15.555"</f>
        <v>19:12:15.555</v>
      </c>
      <c r="B2244" t="s">
        <v>110</v>
      </c>
      <c r="C2244" t="str">
        <f t="shared" si="105"/>
        <v>ffdfd3c0</v>
      </c>
      <c r="D2244" t="s">
        <v>111</v>
      </c>
      <c r="E2244">
        <v>18</v>
      </c>
      <c r="F2244">
        <v>1018</v>
      </c>
      <c r="G2244" t="s">
        <v>112</v>
      </c>
      <c r="J2244" t="s">
        <v>113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R2244" t="s">
        <v>114</v>
      </c>
      <c r="S2244" t="str">
        <f>"19:12:15.328"</f>
        <v>19:12:15.328</v>
      </c>
      <c r="T2244" t="str">
        <f>"19:12:14.828"</f>
        <v>19:12:14.828</v>
      </c>
      <c r="U2244" t="str">
        <f t="shared" si="106"/>
        <v>a1cdbe</v>
      </c>
      <c r="V2244">
        <v>0</v>
      </c>
      <c r="W2244">
        <v>0</v>
      </c>
      <c r="X2244">
        <v>1</v>
      </c>
      <c r="Y2244">
        <v>0</v>
      </c>
      <c r="Z2244">
        <v>0</v>
      </c>
      <c r="AB2244">
        <v>0</v>
      </c>
      <c r="AC2244">
        <v>9</v>
      </c>
      <c r="AD2244">
        <v>3</v>
      </c>
      <c r="AE2244">
        <v>0</v>
      </c>
      <c r="AF2244">
        <v>9</v>
      </c>
      <c r="AG2244" t="s">
        <v>158</v>
      </c>
      <c r="AH2244">
        <v>0</v>
      </c>
      <c r="AI2244">
        <v>3</v>
      </c>
      <c r="AJ2244">
        <v>1</v>
      </c>
      <c r="AK2244">
        <v>0</v>
      </c>
      <c r="AL2244" t="s">
        <v>4225</v>
      </c>
      <c r="AM2244">
        <v>46.884605999999998</v>
      </c>
      <c r="AN2244" t="s">
        <v>4226</v>
      </c>
      <c r="AO2244">
        <v>-123.15927000000001</v>
      </c>
      <c r="AP2244">
        <v>100</v>
      </c>
      <c r="AQ2244">
        <v>2000</v>
      </c>
      <c r="AR2244" t="s">
        <v>118</v>
      </c>
      <c r="AS2244">
        <v>-78</v>
      </c>
      <c r="AT2244">
        <v>17</v>
      </c>
      <c r="AU2244">
        <v>0</v>
      </c>
      <c r="BC2244">
        <v>1200</v>
      </c>
      <c r="BD2244">
        <v>1</v>
      </c>
      <c r="BE2244" t="str">
        <f t="shared" si="107"/>
        <v xml:space="preserve">N215T   </v>
      </c>
      <c r="BF2244">
        <v>1</v>
      </c>
      <c r="BH2244">
        <v>0</v>
      </c>
      <c r="BI2244">
        <v>0</v>
      </c>
      <c r="BJ2244">
        <v>0</v>
      </c>
      <c r="BK2244">
        <v>2350</v>
      </c>
      <c r="BL2244">
        <v>350</v>
      </c>
      <c r="BM2244" t="s">
        <v>119</v>
      </c>
      <c r="BN2244">
        <v>1</v>
      </c>
      <c r="BO2244">
        <v>1</v>
      </c>
      <c r="BP2244">
        <v>1</v>
      </c>
      <c r="BQ2244">
        <v>0</v>
      </c>
      <c r="BT2244">
        <v>0</v>
      </c>
      <c r="BU2244">
        <v>0</v>
      </c>
      <c r="BV2244">
        <v>0</v>
      </c>
      <c r="CC2244" t="str">
        <f>"19:12:15.328"</f>
        <v>19:12:15.328</v>
      </c>
      <c r="CD2244" t="str">
        <f>"331834771"</f>
        <v>331834771</v>
      </c>
      <c r="CQ2244">
        <v>0</v>
      </c>
      <c r="CR2244">
        <v>2</v>
      </c>
      <c r="CS2244">
        <v>0</v>
      </c>
      <c r="CT2244">
        <v>2</v>
      </c>
      <c r="CU2244">
        <v>0</v>
      </c>
      <c r="CV2244">
        <v>7</v>
      </c>
      <c r="CW2244" t="s">
        <v>120</v>
      </c>
      <c r="CX2244">
        <v>261</v>
      </c>
      <c r="CY2244">
        <v>2</v>
      </c>
      <c r="CZ2244" t="s">
        <v>121</v>
      </c>
      <c r="DA2244" t="s">
        <v>122</v>
      </c>
      <c r="DD2244">
        <v>15620427</v>
      </c>
      <c r="DE2244" t="s">
        <v>123</v>
      </c>
    </row>
    <row r="2245" spans="1:109" x14ac:dyDescent="0.3">
      <c r="A2245" t="str">
        <f>"19:12:16.664"</f>
        <v>19:12:16.664</v>
      </c>
      <c r="B2245" t="s">
        <v>110</v>
      </c>
      <c r="C2245" t="str">
        <f t="shared" si="105"/>
        <v>ffdfd3c0</v>
      </c>
      <c r="D2245" t="s">
        <v>111</v>
      </c>
      <c r="E2245">
        <v>18</v>
      </c>
      <c r="F2245">
        <v>1018</v>
      </c>
      <c r="G2245" t="s">
        <v>112</v>
      </c>
      <c r="J2245" t="s">
        <v>113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R2245" t="s">
        <v>114</v>
      </c>
      <c r="S2245" t="str">
        <f>"19:12:16.422"</f>
        <v>19:12:16.422</v>
      </c>
      <c r="T2245" t="str">
        <f>"19:12:16.320"</f>
        <v>19:12:16.320</v>
      </c>
      <c r="U2245" t="str">
        <f t="shared" si="106"/>
        <v>a1cdbe</v>
      </c>
      <c r="V2245">
        <v>0</v>
      </c>
      <c r="W2245">
        <v>0</v>
      </c>
      <c r="X2245">
        <v>1</v>
      </c>
      <c r="Y2245">
        <v>0</v>
      </c>
      <c r="Z2245">
        <v>0</v>
      </c>
      <c r="AB2245">
        <v>0</v>
      </c>
      <c r="AC2245">
        <v>9</v>
      </c>
      <c r="AD2245">
        <v>3</v>
      </c>
      <c r="AE2245">
        <v>0</v>
      </c>
      <c r="AF2245">
        <v>9</v>
      </c>
      <c r="AG2245" t="s">
        <v>158</v>
      </c>
      <c r="AH2245">
        <v>0</v>
      </c>
      <c r="AI2245">
        <v>3</v>
      </c>
      <c r="AJ2245">
        <v>1</v>
      </c>
      <c r="AK2245">
        <v>0</v>
      </c>
      <c r="AL2245" t="s">
        <v>4227</v>
      </c>
      <c r="AM2245">
        <v>46.884712999999998</v>
      </c>
      <c r="AN2245" t="s">
        <v>4228</v>
      </c>
      <c r="AO2245">
        <v>-123.159828</v>
      </c>
      <c r="AP2245">
        <v>100</v>
      </c>
      <c r="AQ2245">
        <v>2000</v>
      </c>
      <c r="AR2245" t="s">
        <v>118</v>
      </c>
      <c r="AS2245">
        <v>-78</v>
      </c>
      <c r="AT2245">
        <v>17</v>
      </c>
      <c r="AU2245">
        <v>-64</v>
      </c>
      <c r="BC2245">
        <v>1200</v>
      </c>
      <c r="BD2245">
        <v>1</v>
      </c>
      <c r="BE2245" t="str">
        <f t="shared" si="107"/>
        <v xml:space="preserve">N215T   </v>
      </c>
      <c r="BF2245">
        <v>1</v>
      </c>
      <c r="BH2245">
        <v>0</v>
      </c>
      <c r="BI2245">
        <v>0</v>
      </c>
      <c r="BJ2245">
        <v>0</v>
      </c>
      <c r="BK2245">
        <v>2350</v>
      </c>
      <c r="BL2245">
        <v>350</v>
      </c>
      <c r="BM2245" t="s">
        <v>119</v>
      </c>
      <c r="BN2245">
        <v>1</v>
      </c>
      <c r="BO2245">
        <v>1</v>
      </c>
      <c r="BP2245">
        <v>1</v>
      </c>
      <c r="BQ2245">
        <v>0</v>
      </c>
      <c r="BT2245">
        <v>0</v>
      </c>
      <c r="BU2245">
        <v>0</v>
      </c>
      <c r="BV2245">
        <v>0</v>
      </c>
      <c r="CC2245" t="str">
        <f>"19:12:16.430"</f>
        <v>19:12:16.430</v>
      </c>
      <c r="CD2245" t="str">
        <f>"426726954"</f>
        <v>426726954</v>
      </c>
      <c r="CQ2245">
        <v>0</v>
      </c>
      <c r="CR2245">
        <v>2</v>
      </c>
      <c r="CS2245">
        <v>0</v>
      </c>
      <c r="CT2245">
        <v>2</v>
      </c>
      <c r="CU2245">
        <v>0</v>
      </c>
      <c r="CV2245">
        <v>7</v>
      </c>
      <c r="CW2245" t="s">
        <v>120</v>
      </c>
      <c r="CX2245">
        <v>261</v>
      </c>
      <c r="CY2245">
        <v>2</v>
      </c>
      <c r="CZ2245" t="s">
        <v>121</v>
      </c>
      <c r="DA2245" t="s">
        <v>122</v>
      </c>
      <c r="DD2245">
        <v>15621208</v>
      </c>
      <c r="DE2245" t="s">
        <v>123</v>
      </c>
    </row>
    <row r="2246" spans="1:109" x14ac:dyDescent="0.3">
      <c r="A2246" t="str">
        <f>"19:12:17.563"</f>
        <v>19:12:17.563</v>
      </c>
      <c r="B2246" t="s">
        <v>110</v>
      </c>
      <c r="C2246" t="str">
        <f t="shared" si="105"/>
        <v>ffdfd3c0</v>
      </c>
      <c r="D2246" t="s">
        <v>111</v>
      </c>
      <c r="E2246">
        <v>18</v>
      </c>
      <c r="F2246">
        <v>1018</v>
      </c>
      <c r="G2246" t="s">
        <v>112</v>
      </c>
      <c r="J2246" t="s">
        <v>113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R2246" t="s">
        <v>114</v>
      </c>
      <c r="S2246" t="str">
        <f>"19:12:17.320"</f>
        <v>19:12:17.320</v>
      </c>
      <c r="T2246" t="str">
        <f>"19:12:17.219"</f>
        <v>19:12:17.219</v>
      </c>
      <c r="U2246" t="str">
        <f t="shared" si="106"/>
        <v>a1cdbe</v>
      </c>
      <c r="V2246">
        <v>0</v>
      </c>
      <c r="W2246">
        <v>0</v>
      </c>
      <c r="X2246">
        <v>1</v>
      </c>
      <c r="Y2246">
        <v>0</v>
      </c>
      <c r="Z2246">
        <v>0</v>
      </c>
      <c r="AB2246">
        <v>0</v>
      </c>
      <c r="AC2246">
        <v>9</v>
      </c>
      <c r="AD2246">
        <v>3</v>
      </c>
      <c r="AE2246">
        <v>0</v>
      </c>
      <c r="AF2246">
        <v>9</v>
      </c>
      <c r="AG2246" t="s">
        <v>158</v>
      </c>
      <c r="AH2246">
        <v>0</v>
      </c>
      <c r="AI2246">
        <v>3</v>
      </c>
      <c r="AJ2246">
        <v>1</v>
      </c>
      <c r="AK2246">
        <v>0</v>
      </c>
      <c r="AL2246" t="s">
        <v>4229</v>
      </c>
      <c r="AM2246">
        <v>46.884756000000003</v>
      </c>
      <c r="AN2246" t="s">
        <v>4230</v>
      </c>
      <c r="AO2246">
        <v>-123.16030000000001</v>
      </c>
      <c r="AP2246">
        <v>100</v>
      </c>
      <c r="AQ2246">
        <v>2000</v>
      </c>
      <c r="AR2246" t="s">
        <v>118</v>
      </c>
      <c r="AS2246">
        <v>-77</v>
      </c>
      <c r="AT2246">
        <v>17</v>
      </c>
      <c r="AU2246">
        <v>-64</v>
      </c>
      <c r="BC2246">
        <v>1200</v>
      </c>
      <c r="BD2246">
        <v>1</v>
      </c>
      <c r="BE2246" t="str">
        <f t="shared" si="107"/>
        <v xml:space="preserve">N215T   </v>
      </c>
      <c r="BF2246">
        <v>1</v>
      </c>
      <c r="BH2246">
        <v>0</v>
      </c>
      <c r="BI2246">
        <v>0</v>
      </c>
      <c r="BJ2246">
        <v>0</v>
      </c>
      <c r="BK2246">
        <v>2350</v>
      </c>
      <c r="BL2246">
        <v>350</v>
      </c>
      <c r="BM2246" t="s">
        <v>119</v>
      </c>
      <c r="BN2246">
        <v>1</v>
      </c>
      <c r="BO2246">
        <v>1</v>
      </c>
      <c r="BP2246">
        <v>1</v>
      </c>
      <c r="BQ2246">
        <v>0</v>
      </c>
      <c r="BT2246">
        <v>0</v>
      </c>
      <c r="BU2246">
        <v>0</v>
      </c>
      <c r="BV2246">
        <v>0</v>
      </c>
      <c r="CC2246" t="str">
        <f>"19:12:17.328"</f>
        <v>19:12:17.328</v>
      </c>
      <c r="CD2246" t="str">
        <f>"326638322"</f>
        <v>326638322</v>
      </c>
      <c r="CQ2246">
        <v>0</v>
      </c>
      <c r="CR2246">
        <v>2</v>
      </c>
      <c r="CS2246">
        <v>0</v>
      </c>
      <c r="CT2246">
        <v>2</v>
      </c>
      <c r="CU2246">
        <v>0</v>
      </c>
      <c r="CV2246">
        <v>7</v>
      </c>
      <c r="CW2246" t="s">
        <v>120</v>
      </c>
      <c r="CX2246">
        <v>261</v>
      </c>
      <c r="CY2246">
        <v>2</v>
      </c>
      <c r="CZ2246" t="s">
        <v>121</v>
      </c>
      <c r="DA2246" t="s">
        <v>122</v>
      </c>
      <c r="DD2246">
        <v>15621811</v>
      </c>
      <c r="DE2246" t="s">
        <v>123</v>
      </c>
    </row>
    <row r="2247" spans="1:109" x14ac:dyDescent="0.3">
      <c r="A2247" t="str">
        <f>"19:12:18.617"</f>
        <v>19:12:18.617</v>
      </c>
      <c r="B2247" t="s">
        <v>110</v>
      </c>
      <c r="C2247" t="str">
        <f t="shared" si="105"/>
        <v>ffdfd3c0</v>
      </c>
      <c r="D2247" t="s">
        <v>111</v>
      </c>
      <c r="E2247">
        <v>18</v>
      </c>
      <c r="F2247">
        <v>1018</v>
      </c>
      <c r="G2247" t="s">
        <v>112</v>
      </c>
      <c r="J2247" t="s">
        <v>113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R2247" t="s">
        <v>114</v>
      </c>
      <c r="S2247" t="str">
        <f>"19:12:18.375"</f>
        <v>19:12:18.375</v>
      </c>
      <c r="T2247" t="str">
        <f>"19:12:18.273"</f>
        <v>19:12:18.273</v>
      </c>
      <c r="U2247" t="str">
        <f t="shared" si="106"/>
        <v>a1cdbe</v>
      </c>
      <c r="V2247">
        <v>0</v>
      </c>
      <c r="W2247">
        <v>0</v>
      </c>
      <c r="X2247">
        <v>1</v>
      </c>
      <c r="Y2247">
        <v>0</v>
      </c>
      <c r="Z2247">
        <v>0</v>
      </c>
      <c r="AB2247">
        <v>0</v>
      </c>
      <c r="AC2247">
        <v>9</v>
      </c>
      <c r="AD2247">
        <v>3</v>
      </c>
      <c r="AE2247">
        <v>0</v>
      </c>
      <c r="AF2247">
        <v>9</v>
      </c>
      <c r="AG2247" t="s">
        <v>158</v>
      </c>
      <c r="AH2247">
        <v>0</v>
      </c>
      <c r="AI2247">
        <v>3</v>
      </c>
      <c r="AJ2247">
        <v>1</v>
      </c>
      <c r="AK2247">
        <v>0</v>
      </c>
      <c r="AL2247" t="s">
        <v>4231</v>
      </c>
      <c r="AM2247">
        <v>46.884841999999999</v>
      </c>
      <c r="AN2247" t="s">
        <v>4232</v>
      </c>
      <c r="AO2247">
        <v>-123.160858</v>
      </c>
      <c r="AP2247">
        <v>100</v>
      </c>
      <c r="AQ2247">
        <v>2000</v>
      </c>
      <c r="AR2247" t="s">
        <v>118</v>
      </c>
      <c r="AS2247">
        <v>-77</v>
      </c>
      <c r="AT2247">
        <v>18</v>
      </c>
      <c r="AU2247">
        <v>128</v>
      </c>
      <c r="BC2247">
        <v>1200</v>
      </c>
      <c r="BD2247">
        <v>1</v>
      </c>
      <c r="BE2247" t="str">
        <f t="shared" si="107"/>
        <v xml:space="preserve">N215T   </v>
      </c>
      <c r="BF2247">
        <v>1</v>
      </c>
      <c r="BH2247">
        <v>0</v>
      </c>
      <c r="BI2247">
        <v>0</v>
      </c>
      <c r="BJ2247">
        <v>0</v>
      </c>
      <c r="BK2247">
        <v>2350</v>
      </c>
      <c r="BL2247">
        <v>350</v>
      </c>
      <c r="BM2247" t="s">
        <v>119</v>
      </c>
      <c r="BN2247">
        <v>1</v>
      </c>
      <c r="BO2247">
        <v>1</v>
      </c>
      <c r="BP2247">
        <v>1</v>
      </c>
      <c r="BQ2247">
        <v>0</v>
      </c>
      <c r="BT2247">
        <v>0</v>
      </c>
      <c r="BU2247">
        <v>0</v>
      </c>
      <c r="BV2247">
        <v>0</v>
      </c>
      <c r="CC2247" t="str">
        <f>"19:12:18.375"</f>
        <v>19:12:18.375</v>
      </c>
      <c r="CD2247" t="str">
        <f>"376534916"</f>
        <v>376534916</v>
      </c>
      <c r="CQ2247">
        <v>0</v>
      </c>
      <c r="CR2247">
        <v>2</v>
      </c>
      <c r="CS2247">
        <v>0</v>
      </c>
      <c r="CT2247">
        <v>2</v>
      </c>
      <c r="CU2247">
        <v>0</v>
      </c>
      <c r="CV2247">
        <v>7</v>
      </c>
      <c r="CW2247" t="s">
        <v>120</v>
      </c>
      <c r="CX2247">
        <v>261</v>
      </c>
      <c r="CY2247">
        <v>2</v>
      </c>
      <c r="CZ2247" t="s">
        <v>121</v>
      </c>
      <c r="DA2247" t="s">
        <v>122</v>
      </c>
      <c r="DD2247">
        <v>15622494</v>
      </c>
      <c r="DE2247" t="s">
        <v>123</v>
      </c>
    </row>
    <row r="2248" spans="1:109" x14ac:dyDescent="0.3">
      <c r="A2248" t="str">
        <f>"19:12:19.422"</f>
        <v>19:12:19.422</v>
      </c>
      <c r="B2248" t="s">
        <v>110</v>
      </c>
      <c r="C2248" t="str">
        <f t="shared" si="105"/>
        <v>ffdfd3c0</v>
      </c>
      <c r="D2248" t="s">
        <v>111</v>
      </c>
      <c r="E2248">
        <v>18</v>
      </c>
      <c r="F2248">
        <v>1018</v>
      </c>
      <c r="G2248" t="s">
        <v>112</v>
      </c>
      <c r="J2248" t="s">
        <v>113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R2248" t="s">
        <v>114</v>
      </c>
      <c r="S2248" t="str">
        <f>"19:12:19.211"</f>
        <v>19:12:19.211</v>
      </c>
      <c r="T2248" t="str">
        <f>"19:12:18.813"</f>
        <v>19:12:18.813</v>
      </c>
      <c r="U2248" t="str">
        <f t="shared" si="106"/>
        <v>a1cdbe</v>
      </c>
      <c r="V2248">
        <v>0</v>
      </c>
      <c r="W2248">
        <v>0</v>
      </c>
      <c r="X2248">
        <v>1</v>
      </c>
      <c r="Y2248">
        <v>0</v>
      </c>
      <c r="Z2248">
        <v>0</v>
      </c>
      <c r="AB2248">
        <v>0</v>
      </c>
      <c r="AC2248">
        <v>9</v>
      </c>
      <c r="AD2248">
        <v>3</v>
      </c>
      <c r="AE2248">
        <v>0</v>
      </c>
      <c r="AF2248">
        <v>9</v>
      </c>
      <c r="AG2248" t="s">
        <v>158</v>
      </c>
      <c r="AH2248">
        <v>0</v>
      </c>
      <c r="AI2248">
        <v>3</v>
      </c>
      <c r="AJ2248">
        <v>1</v>
      </c>
      <c r="AK2248">
        <v>0</v>
      </c>
      <c r="AL2248" t="s">
        <v>4233</v>
      </c>
      <c r="AM2248">
        <v>46.884928000000002</v>
      </c>
      <c r="AN2248" t="s">
        <v>4234</v>
      </c>
      <c r="AO2248">
        <v>-123.16133000000001</v>
      </c>
      <c r="AP2248">
        <v>100</v>
      </c>
      <c r="AQ2248">
        <v>2000</v>
      </c>
      <c r="AR2248" t="s">
        <v>118</v>
      </c>
      <c r="AS2248">
        <v>-77</v>
      </c>
      <c r="AT2248">
        <v>19</v>
      </c>
      <c r="AU2248">
        <v>128</v>
      </c>
      <c r="BC2248">
        <v>1200</v>
      </c>
      <c r="BD2248">
        <v>1</v>
      </c>
      <c r="BE2248" t="str">
        <f t="shared" si="107"/>
        <v xml:space="preserve">N215T   </v>
      </c>
      <c r="BF2248">
        <v>1</v>
      </c>
      <c r="BH2248">
        <v>0</v>
      </c>
      <c r="BI2248">
        <v>0</v>
      </c>
      <c r="BJ2248">
        <v>0</v>
      </c>
      <c r="BK2248">
        <v>2350</v>
      </c>
      <c r="BL2248">
        <v>350</v>
      </c>
      <c r="BM2248" t="s">
        <v>119</v>
      </c>
      <c r="BN2248">
        <v>1</v>
      </c>
      <c r="BO2248">
        <v>1</v>
      </c>
      <c r="BP2248">
        <v>1</v>
      </c>
      <c r="BQ2248">
        <v>0</v>
      </c>
      <c r="BT2248">
        <v>0</v>
      </c>
      <c r="BU2248">
        <v>0</v>
      </c>
      <c r="BV2248">
        <v>0</v>
      </c>
      <c r="CC2248" t="str">
        <f>"19:12:19.219"</f>
        <v>19:12:19.219</v>
      </c>
      <c r="CD2248" t="str">
        <f>"216452199"</f>
        <v>216452199</v>
      </c>
      <c r="CQ2248">
        <v>0</v>
      </c>
      <c r="CR2248">
        <v>2</v>
      </c>
      <c r="CS2248">
        <v>0</v>
      </c>
      <c r="CT2248">
        <v>2</v>
      </c>
      <c r="CU2248">
        <v>0</v>
      </c>
      <c r="CV2248">
        <v>7</v>
      </c>
      <c r="CW2248" t="s">
        <v>120</v>
      </c>
      <c r="CX2248">
        <v>261</v>
      </c>
      <c r="CY2248">
        <v>2</v>
      </c>
      <c r="CZ2248" t="s">
        <v>121</v>
      </c>
      <c r="DA2248" t="s">
        <v>122</v>
      </c>
      <c r="DD2248">
        <v>15623125</v>
      </c>
      <c r="DE2248" t="s">
        <v>123</v>
      </c>
    </row>
    <row r="2249" spans="1:109" x14ac:dyDescent="0.3">
      <c r="A2249" t="str">
        <f>"19:12:20.578"</f>
        <v>19:12:20.578</v>
      </c>
      <c r="B2249" t="s">
        <v>110</v>
      </c>
      <c r="C2249" t="str">
        <f t="shared" si="105"/>
        <v>ffdfd3c0</v>
      </c>
      <c r="D2249" t="s">
        <v>111</v>
      </c>
      <c r="E2249">
        <v>18</v>
      </c>
      <c r="F2249">
        <v>1018</v>
      </c>
      <c r="G2249" t="s">
        <v>112</v>
      </c>
      <c r="J2249" t="s">
        <v>113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R2249" t="s">
        <v>114</v>
      </c>
      <c r="S2249" t="str">
        <f>"19:12:20.320"</f>
        <v>19:12:20.320</v>
      </c>
      <c r="T2249" t="str">
        <f>"19:12:19.922"</f>
        <v>19:12:19.922</v>
      </c>
      <c r="U2249" t="str">
        <f t="shared" si="106"/>
        <v>a1cdbe</v>
      </c>
      <c r="V2249">
        <v>0</v>
      </c>
      <c r="W2249">
        <v>0</v>
      </c>
      <c r="X2249">
        <v>1</v>
      </c>
      <c r="Y2249">
        <v>0</v>
      </c>
      <c r="Z2249">
        <v>0</v>
      </c>
      <c r="AB2249">
        <v>0</v>
      </c>
      <c r="AC2249">
        <v>9</v>
      </c>
      <c r="AD2249">
        <v>3</v>
      </c>
      <c r="AE2249">
        <v>0</v>
      </c>
      <c r="AF2249">
        <v>9</v>
      </c>
      <c r="AG2249" t="s">
        <v>158</v>
      </c>
      <c r="AH2249">
        <v>0</v>
      </c>
      <c r="AI2249">
        <v>3</v>
      </c>
      <c r="AJ2249">
        <v>1</v>
      </c>
      <c r="AK2249">
        <v>0</v>
      </c>
      <c r="AL2249" t="s">
        <v>4235</v>
      </c>
      <c r="AM2249">
        <v>46.884991999999997</v>
      </c>
      <c r="AN2249" t="s">
        <v>4236</v>
      </c>
      <c r="AO2249">
        <v>-123.161888</v>
      </c>
      <c r="AP2249">
        <v>100</v>
      </c>
      <c r="AQ2249">
        <v>2000</v>
      </c>
      <c r="AR2249" t="s">
        <v>118</v>
      </c>
      <c r="AS2249">
        <v>-77</v>
      </c>
      <c r="AT2249">
        <v>18</v>
      </c>
      <c r="AU2249">
        <v>64</v>
      </c>
      <c r="BC2249">
        <v>1200</v>
      </c>
      <c r="BD2249">
        <v>1</v>
      </c>
      <c r="BE2249" t="str">
        <f t="shared" si="107"/>
        <v xml:space="preserve">N215T   </v>
      </c>
      <c r="BF2249">
        <v>1</v>
      </c>
      <c r="BH2249">
        <v>0</v>
      </c>
      <c r="BI2249">
        <v>0</v>
      </c>
      <c r="BJ2249">
        <v>0</v>
      </c>
      <c r="BK2249">
        <v>2350</v>
      </c>
      <c r="BL2249">
        <v>350</v>
      </c>
      <c r="BM2249" t="s">
        <v>119</v>
      </c>
      <c r="BN2249">
        <v>1</v>
      </c>
      <c r="BO2249">
        <v>1</v>
      </c>
      <c r="BP2249">
        <v>1</v>
      </c>
      <c r="BQ2249">
        <v>0</v>
      </c>
      <c r="BT2249">
        <v>0</v>
      </c>
      <c r="BU2249">
        <v>0</v>
      </c>
      <c r="BV2249">
        <v>0</v>
      </c>
      <c r="CC2249" t="str">
        <f>"19:12:20.328"</f>
        <v>19:12:20.328</v>
      </c>
      <c r="CD2249" t="str">
        <f>"326342888"</f>
        <v>326342888</v>
      </c>
      <c r="CQ2249">
        <v>0</v>
      </c>
      <c r="CR2249">
        <v>2</v>
      </c>
      <c r="CS2249">
        <v>0</v>
      </c>
      <c r="CT2249">
        <v>2</v>
      </c>
      <c r="CU2249">
        <v>0</v>
      </c>
      <c r="CV2249">
        <v>7</v>
      </c>
      <c r="CW2249" t="s">
        <v>120</v>
      </c>
      <c r="CX2249">
        <v>261</v>
      </c>
      <c r="CY2249">
        <v>2</v>
      </c>
      <c r="CZ2249" t="s">
        <v>121</v>
      </c>
      <c r="DA2249" t="s">
        <v>122</v>
      </c>
      <c r="DD2249">
        <v>15623946</v>
      </c>
      <c r="DE2249" t="s">
        <v>123</v>
      </c>
    </row>
    <row r="2250" spans="1:109" x14ac:dyDescent="0.3">
      <c r="A2250" t="str">
        <f>"19:12:21.484"</f>
        <v>19:12:21.484</v>
      </c>
      <c r="B2250" t="s">
        <v>110</v>
      </c>
      <c r="C2250" t="str">
        <f t="shared" si="105"/>
        <v>ffdfd3c0</v>
      </c>
      <c r="D2250" t="s">
        <v>111</v>
      </c>
      <c r="E2250">
        <v>18</v>
      </c>
      <c r="F2250">
        <v>1018</v>
      </c>
      <c r="G2250" t="s">
        <v>112</v>
      </c>
      <c r="J2250" t="s">
        <v>113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R2250" t="s">
        <v>114</v>
      </c>
      <c r="S2250" t="str">
        <f>"19:12:21.266"</f>
        <v>19:12:21.266</v>
      </c>
      <c r="T2250" t="str">
        <f>"19:12:20.969"</f>
        <v>19:12:20.969</v>
      </c>
      <c r="U2250" t="str">
        <f t="shared" si="106"/>
        <v>a1cdbe</v>
      </c>
      <c r="V2250">
        <v>0</v>
      </c>
      <c r="W2250">
        <v>0</v>
      </c>
      <c r="X2250">
        <v>1</v>
      </c>
      <c r="Y2250">
        <v>0</v>
      </c>
      <c r="Z2250">
        <v>0</v>
      </c>
      <c r="AB2250">
        <v>0</v>
      </c>
      <c r="AC2250">
        <v>9</v>
      </c>
      <c r="AD2250">
        <v>3</v>
      </c>
      <c r="AE2250">
        <v>0</v>
      </c>
      <c r="AF2250">
        <v>9</v>
      </c>
      <c r="AG2250" t="s">
        <v>158</v>
      </c>
      <c r="AH2250">
        <v>0</v>
      </c>
      <c r="AI2250">
        <v>3</v>
      </c>
      <c r="AJ2250">
        <v>1</v>
      </c>
      <c r="AK2250">
        <v>0</v>
      </c>
      <c r="AL2250" t="s">
        <v>4237</v>
      </c>
      <c r="AM2250">
        <v>46.885120999999998</v>
      </c>
      <c r="AN2250" t="s">
        <v>4238</v>
      </c>
      <c r="AO2250">
        <v>-123.16236000000001</v>
      </c>
      <c r="AP2250">
        <v>100</v>
      </c>
      <c r="AQ2250">
        <v>2000</v>
      </c>
      <c r="AR2250" t="s">
        <v>118</v>
      </c>
      <c r="AS2250">
        <v>-77</v>
      </c>
      <c r="AT2250">
        <v>18</v>
      </c>
      <c r="AU2250">
        <v>-64</v>
      </c>
      <c r="BC2250">
        <v>1200</v>
      </c>
      <c r="BD2250">
        <v>1</v>
      </c>
      <c r="BE2250" t="str">
        <f t="shared" si="107"/>
        <v xml:space="preserve">N215T   </v>
      </c>
      <c r="BF2250">
        <v>1</v>
      </c>
      <c r="BH2250">
        <v>0</v>
      </c>
      <c r="BI2250">
        <v>0</v>
      </c>
      <c r="BJ2250">
        <v>0</v>
      </c>
      <c r="BK2250">
        <v>2350</v>
      </c>
      <c r="BL2250">
        <v>350</v>
      </c>
      <c r="BM2250" t="s">
        <v>119</v>
      </c>
      <c r="BN2250">
        <v>1</v>
      </c>
      <c r="BO2250">
        <v>1</v>
      </c>
      <c r="BP2250">
        <v>1</v>
      </c>
      <c r="BQ2250">
        <v>0</v>
      </c>
      <c r="BT2250">
        <v>0</v>
      </c>
      <c r="BU2250">
        <v>0</v>
      </c>
      <c r="BV2250">
        <v>0</v>
      </c>
      <c r="CC2250" t="str">
        <f>"19:12:21.273"</f>
        <v>19:12:21.273</v>
      </c>
      <c r="CD2250" t="str">
        <f>"271249835"</f>
        <v>271249835</v>
      </c>
      <c r="CQ2250">
        <v>0</v>
      </c>
      <c r="CR2250">
        <v>2</v>
      </c>
      <c r="CS2250">
        <v>0</v>
      </c>
      <c r="CT2250">
        <v>2</v>
      </c>
      <c r="CU2250">
        <v>0</v>
      </c>
      <c r="CV2250">
        <v>7</v>
      </c>
      <c r="CW2250" t="s">
        <v>120</v>
      </c>
      <c r="CX2250">
        <v>261</v>
      </c>
      <c r="CY2250">
        <v>2</v>
      </c>
      <c r="CZ2250" t="s">
        <v>121</v>
      </c>
      <c r="DA2250" t="s">
        <v>122</v>
      </c>
      <c r="DD2250">
        <v>15624591</v>
      </c>
      <c r="DE2250" t="s">
        <v>123</v>
      </c>
    </row>
    <row r="2251" spans="1:109" x14ac:dyDescent="0.3">
      <c r="A2251" t="str">
        <f>"19:12:22.594"</f>
        <v>19:12:22.594</v>
      </c>
      <c r="B2251" t="s">
        <v>110</v>
      </c>
      <c r="C2251" t="str">
        <f t="shared" si="105"/>
        <v>ffdfd3c0</v>
      </c>
      <c r="D2251" t="s">
        <v>111</v>
      </c>
      <c r="E2251">
        <v>18</v>
      </c>
      <c r="F2251">
        <v>1018</v>
      </c>
      <c r="G2251" t="s">
        <v>112</v>
      </c>
      <c r="J2251" t="s">
        <v>113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R2251" t="s">
        <v>114</v>
      </c>
      <c r="S2251" t="str">
        <f>"19:12:22.359"</f>
        <v>19:12:22.359</v>
      </c>
      <c r="T2251" t="str">
        <f>"19:12:21.961"</f>
        <v>19:12:21.961</v>
      </c>
      <c r="U2251" t="str">
        <f t="shared" si="106"/>
        <v>a1cdbe</v>
      </c>
      <c r="V2251">
        <v>0</v>
      </c>
      <c r="W2251">
        <v>0</v>
      </c>
      <c r="X2251">
        <v>1</v>
      </c>
      <c r="Y2251">
        <v>0</v>
      </c>
      <c r="Z2251">
        <v>0</v>
      </c>
      <c r="AB2251">
        <v>0</v>
      </c>
      <c r="AC2251">
        <v>9</v>
      </c>
      <c r="AD2251">
        <v>3</v>
      </c>
      <c r="AE2251">
        <v>0</v>
      </c>
      <c r="AF2251">
        <v>9</v>
      </c>
      <c r="AG2251" t="s">
        <v>158</v>
      </c>
      <c r="AH2251">
        <v>0</v>
      </c>
      <c r="AI2251">
        <v>3</v>
      </c>
      <c r="AJ2251">
        <v>1</v>
      </c>
      <c r="AK2251">
        <v>0</v>
      </c>
      <c r="AL2251" t="s">
        <v>1504</v>
      </c>
      <c r="AM2251">
        <v>46.885164000000003</v>
      </c>
      <c r="AN2251" t="s">
        <v>4239</v>
      </c>
      <c r="AO2251">
        <v>-123.162918</v>
      </c>
      <c r="AP2251">
        <v>100</v>
      </c>
      <c r="AQ2251">
        <v>2000</v>
      </c>
      <c r="AR2251" t="s">
        <v>118</v>
      </c>
      <c r="AS2251">
        <v>-77</v>
      </c>
      <c r="AT2251">
        <v>17</v>
      </c>
      <c r="AU2251">
        <v>-64</v>
      </c>
      <c r="BC2251">
        <v>1200</v>
      </c>
      <c r="BD2251">
        <v>1</v>
      </c>
      <c r="BE2251" t="str">
        <f t="shared" si="107"/>
        <v xml:space="preserve">N215T   </v>
      </c>
      <c r="BF2251">
        <v>1</v>
      </c>
      <c r="BH2251">
        <v>0</v>
      </c>
      <c r="BI2251">
        <v>0</v>
      </c>
      <c r="BJ2251">
        <v>0</v>
      </c>
      <c r="BK2251">
        <v>2350</v>
      </c>
      <c r="BL2251">
        <v>350</v>
      </c>
      <c r="BM2251" t="s">
        <v>119</v>
      </c>
      <c r="BN2251">
        <v>1</v>
      </c>
      <c r="BO2251">
        <v>1</v>
      </c>
      <c r="BP2251">
        <v>1</v>
      </c>
      <c r="BQ2251">
        <v>0</v>
      </c>
      <c r="BT2251">
        <v>0</v>
      </c>
      <c r="BU2251">
        <v>0</v>
      </c>
      <c r="BV2251">
        <v>0</v>
      </c>
      <c r="CC2251" t="str">
        <f>"19:12:22.367"</f>
        <v>19:12:22.367</v>
      </c>
      <c r="CD2251" t="str">
        <f>"366142010"</f>
        <v>366142010</v>
      </c>
      <c r="CQ2251">
        <v>0</v>
      </c>
      <c r="CR2251">
        <v>2</v>
      </c>
      <c r="CS2251">
        <v>0</v>
      </c>
      <c r="CT2251">
        <v>2</v>
      </c>
      <c r="CU2251">
        <v>0</v>
      </c>
      <c r="CV2251">
        <v>7</v>
      </c>
      <c r="CW2251" t="s">
        <v>120</v>
      </c>
      <c r="CX2251">
        <v>261</v>
      </c>
      <c r="CY2251">
        <v>2</v>
      </c>
      <c r="CZ2251" t="s">
        <v>121</v>
      </c>
      <c r="DA2251" t="s">
        <v>122</v>
      </c>
      <c r="DD2251">
        <v>15625310</v>
      </c>
      <c r="DE2251" t="s">
        <v>123</v>
      </c>
    </row>
    <row r="2252" spans="1:109" x14ac:dyDescent="0.3">
      <c r="A2252" t="str">
        <f>"19:12:23.547"</f>
        <v>19:12:23.547</v>
      </c>
      <c r="B2252" t="s">
        <v>110</v>
      </c>
      <c r="C2252" t="str">
        <f t="shared" si="105"/>
        <v>ffdfd3c0</v>
      </c>
      <c r="D2252" t="s">
        <v>111</v>
      </c>
      <c r="E2252">
        <v>18</v>
      </c>
      <c r="F2252">
        <v>1018</v>
      </c>
      <c r="G2252" t="s">
        <v>112</v>
      </c>
      <c r="J2252" t="s">
        <v>113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R2252" t="s">
        <v>114</v>
      </c>
      <c r="S2252" t="str">
        <f>"19:12:23.289"</f>
        <v>19:12:23.289</v>
      </c>
      <c r="T2252" t="str">
        <f>"19:12:22.992"</f>
        <v>19:12:22.992</v>
      </c>
      <c r="U2252" t="str">
        <f t="shared" si="106"/>
        <v>a1cdbe</v>
      </c>
      <c r="V2252">
        <v>0</v>
      </c>
      <c r="W2252">
        <v>0</v>
      </c>
      <c r="X2252">
        <v>1</v>
      </c>
      <c r="Y2252">
        <v>0</v>
      </c>
      <c r="Z2252">
        <v>0</v>
      </c>
      <c r="AB2252">
        <v>0</v>
      </c>
      <c r="AC2252">
        <v>9</v>
      </c>
      <c r="AD2252">
        <v>3</v>
      </c>
      <c r="AE2252">
        <v>0</v>
      </c>
      <c r="AF2252">
        <v>9</v>
      </c>
      <c r="AG2252" t="s">
        <v>158</v>
      </c>
      <c r="AH2252">
        <v>0</v>
      </c>
      <c r="AI2252">
        <v>3</v>
      </c>
      <c r="AJ2252">
        <v>1</v>
      </c>
      <c r="AK2252">
        <v>0</v>
      </c>
      <c r="AL2252" t="s">
        <v>4240</v>
      </c>
      <c r="AM2252">
        <v>46.885249999999999</v>
      </c>
      <c r="AN2252" t="s">
        <v>4241</v>
      </c>
      <c r="AO2252">
        <v>-123.16339000000001</v>
      </c>
      <c r="AP2252">
        <v>100</v>
      </c>
      <c r="AQ2252">
        <v>2000</v>
      </c>
      <c r="AR2252" t="s">
        <v>118</v>
      </c>
      <c r="AS2252">
        <v>-77</v>
      </c>
      <c r="AT2252">
        <v>17</v>
      </c>
      <c r="AU2252">
        <v>-64</v>
      </c>
      <c r="BC2252">
        <v>1200</v>
      </c>
      <c r="BD2252">
        <v>1</v>
      </c>
      <c r="BE2252" t="str">
        <f t="shared" si="107"/>
        <v xml:space="preserve">N215T   </v>
      </c>
      <c r="BF2252">
        <v>1</v>
      </c>
      <c r="BH2252">
        <v>0</v>
      </c>
      <c r="BI2252">
        <v>0</v>
      </c>
      <c r="BJ2252">
        <v>0</v>
      </c>
      <c r="BK2252">
        <v>2350</v>
      </c>
      <c r="BL2252">
        <v>350</v>
      </c>
      <c r="BM2252" t="s">
        <v>119</v>
      </c>
      <c r="BN2252">
        <v>1</v>
      </c>
      <c r="BO2252">
        <v>1</v>
      </c>
      <c r="BP2252">
        <v>1</v>
      </c>
      <c r="BQ2252">
        <v>0</v>
      </c>
      <c r="BT2252">
        <v>0</v>
      </c>
      <c r="BU2252">
        <v>0</v>
      </c>
      <c r="BV2252">
        <v>0</v>
      </c>
      <c r="CC2252" t="str">
        <f>"19:12:23.297"</f>
        <v>19:12:23.297</v>
      </c>
      <c r="CD2252" t="str">
        <f>"296050437"</f>
        <v>296050437</v>
      </c>
      <c r="CQ2252">
        <v>0</v>
      </c>
      <c r="CR2252">
        <v>2</v>
      </c>
      <c r="CS2252">
        <v>0</v>
      </c>
      <c r="CT2252">
        <v>2</v>
      </c>
      <c r="CU2252">
        <v>0</v>
      </c>
      <c r="CV2252">
        <v>7</v>
      </c>
      <c r="CW2252" t="s">
        <v>120</v>
      </c>
      <c r="CX2252">
        <v>261</v>
      </c>
      <c r="CY2252">
        <v>2</v>
      </c>
      <c r="CZ2252" t="s">
        <v>121</v>
      </c>
      <c r="DA2252" t="s">
        <v>122</v>
      </c>
      <c r="DD2252">
        <v>15625938</v>
      </c>
      <c r="DE2252" t="s">
        <v>123</v>
      </c>
    </row>
    <row r="2253" spans="1:109" x14ac:dyDescent="0.3">
      <c r="A2253" t="str">
        <f>"19:12:24.500"</f>
        <v>19:12:24.500</v>
      </c>
      <c r="B2253" t="s">
        <v>110</v>
      </c>
      <c r="C2253" t="str">
        <f t="shared" si="105"/>
        <v>ffdfd3c0</v>
      </c>
      <c r="D2253" t="s">
        <v>111</v>
      </c>
      <c r="E2253">
        <v>18</v>
      </c>
      <c r="F2253">
        <v>1018</v>
      </c>
      <c r="G2253" t="s">
        <v>112</v>
      </c>
      <c r="J2253" t="s">
        <v>113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R2253" t="s">
        <v>114</v>
      </c>
      <c r="S2253" t="str">
        <f>"19:12:24.281"</f>
        <v>19:12:24.281</v>
      </c>
      <c r="T2253" t="str">
        <f>"19:12:23.883"</f>
        <v>19:12:23.883</v>
      </c>
      <c r="U2253" t="str">
        <f t="shared" si="106"/>
        <v>a1cdbe</v>
      </c>
      <c r="V2253">
        <v>0</v>
      </c>
      <c r="W2253">
        <v>0</v>
      </c>
      <c r="X2253">
        <v>1</v>
      </c>
      <c r="Y2253">
        <v>0</v>
      </c>
      <c r="Z2253">
        <v>0</v>
      </c>
      <c r="AB2253">
        <v>0</v>
      </c>
      <c r="AC2253">
        <v>9</v>
      </c>
      <c r="AD2253">
        <v>3</v>
      </c>
      <c r="AE2253">
        <v>0</v>
      </c>
      <c r="AF2253">
        <v>9</v>
      </c>
      <c r="AG2253" t="s">
        <v>158</v>
      </c>
      <c r="AH2253">
        <v>0</v>
      </c>
      <c r="AI2253">
        <v>3</v>
      </c>
      <c r="AJ2253">
        <v>1</v>
      </c>
      <c r="AK2253">
        <v>0</v>
      </c>
      <c r="AL2253" t="s">
        <v>4242</v>
      </c>
      <c r="AM2253">
        <v>46.885314000000001</v>
      </c>
      <c r="AN2253" t="s">
        <v>4243</v>
      </c>
      <c r="AO2253">
        <v>-123.163927</v>
      </c>
      <c r="AP2253">
        <v>100</v>
      </c>
      <c r="AQ2253">
        <v>2000</v>
      </c>
      <c r="AR2253" t="s">
        <v>118</v>
      </c>
      <c r="AS2253">
        <v>-76</v>
      </c>
      <c r="AT2253">
        <v>18</v>
      </c>
      <c r="AU2253">
        <v>-64</v>
      </c>
      <c r="BC2253">
        <v>1200</v>
      </c>
      <c r="BD2253">
        <v>1</v>
      </c>
      <c r="BE2253" t="str">
        <f t="shared" si="107"/>
        <v xml:space="preserve">N215T   </v>
      </c>
      <c r="BF2253">
        <v>1</v>
      </c>
      <c r="BH2253">
        <v>0</v>
      </c>
      <c r="BI2253">
        <v>0</v>
      </c>
      <c r="BJ2253">
        <v>0</v>
      </c>
      <c r="BK2253">
        <v>2350</v>
      </c>
      <c r="BL2253">
        <v>350</v>
      </c>
      <c r="BM2253" t="s">
        <v>119</v>
      </c>
      <c r="BN2253">
        <v>1</v>
      </c>
      <c r="BO2253">
        <v>1</v>
      </c>
      <c r="BP2253">
        <v>1</v>
      </c>
      <c r="BQ2253">
        <v>0</v>
      </c>
      <c r="BT2253">
        <v>0</v>
      </c>
      <c r="BU2253">
        <v>0</v>
      </c>
      <c r="BV2253">
        <v>0</v>
      </c>
      <c r="CC2253" t="str">
        <f>"19:12:24.289"</f>
        <v>19:12:24.289</v>
      </c>
      <c r="CD2253" t="str">
        <f>"285952952"</f>
        <v>285952952</v>
      </c>
      <c r="CQ2253">
        <v>0</v>
      </c>
      <c r="CR2253">
        <v>2</v>
      </c>
      <c r="CS2253">
        <v>0</v>
      </c>
      <c r="CT2253">
        <v>2</v>
      </c>
      <c r="CU2253">
        <v>0</v>
      </c>
      <c r="CV2253">
        <v>7</v>
      </c>
      <c r="CW2253" t="s">
        <v>120</v>
      </c>
      <c r="CX2253">
        <v>261</v>
      </c>
      <c r="CY2253">
        <v>2</v>
      </c>
      <c r="CZ2253" t="s">
        <v>121</v>
      </c>
      <c r="DA2253" t="s">
        <v>122</v>
      </c>
      <c r="DD2253">
        <v>15626681</v>
      </c>
      <c r="DE2253" t="s">
        <v>123</v>
      </c>
    </row>
    <row r="2254" spans="1:109" x14ac:dyDescent="0.3">
      <c r="A2254" t="str">
        <f>"19:12:25.656"</f>
        <v>19:12:25.656</v>
      </c>
      <c r="B2254" t="s">
        <v>110</v>
      </c>
      <c r="C2254" t="str">
        <f t="shared" si="105"/>
        <v>ffdfd3c0</v>
      </c>
      <c r="D2254" t="s">
        <v>111</v>
      </c>
      <c r="E2254">
        <v>18</v>
      </c>
      <c r="F2254">
        <v>1018</v>
      </c>
      <c r="G2254" t="s">
        <v>112</v>
      </c>
      <c r="J2254" t="s">
        <v>113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R2254" t="s">
        <v>114</v>
      </c>
      <c r="S2254" t="str">
        <f>"19:12:25.438"</f>
        <v>19:12:25.438</v>
      </c>
      <c r="T2254" t="str">
        <f>"19:12:25.438"</f>
        <v>19:12:25.438</v>
      </c>
      <c r="U2254" t="str">
        <f t="shared" si="106"/>
        <v>a1cdbe</v>
      </c>
      <c r="V2254">
        <v>0</v>
      </c>
      <c r="W2254">
        <v>0</v>
      </c>
      <c r="X2254">
        <v>1</v>
      </c>
      <c r="Y2254">
        <v>0</v>
      </c>
      <c r="Z2254">
        <v>0</v>
      </c>
      <c r="AB2254">
        <v>0</v>
      </c>
      <c r="AC2254">
        <v>9</v>
      </c>
      <c r="AD2254">
        <v>3</v>
      </c>
      <c r="AE2254">
        <v>0</v>
      </c>
      <c r="AF2254">
        <v>9</v>
      </c>
      <c r="AG2254" t="s">
        <v>158</v>
      </c>
      <c r="AH2254">
        <v>0</v>
      </c>
      <c r="AI2254">
        <v>3</v>
      </c>
      <c r="AJ2254">
        <v>1</v>
      </c>
      <c r="AK2254">
        <v>0</v>
      </c>
      <c r="AL2254" t="s">
        <v>1502</v>
      </c>
      <c r="AM2254">
        <v>46.885421000000001</v>
      </c>
      <c r="AN2254" t="s">
        <v>4244</v>
      </c>
      <c r="AO2254">
        <v>-123.164485</v>
      </c>
      <c r="AP2254">
        <v>100</v>
      </c>
      <c r="AQ2254">
        <v>2000</v>
      </c>
      <c r="AR2254" t="s">
        <v>118</v>
      </c>
      <c r="AS2254">
        <v>-76</v>
      </c>
      <c r="AT2254">
        <v>18</v>
      </c>
      <c r="AU2254">
        <v>-192</v>
      </c>
      <c r="BC2254">
        <v>1200</v>
      </c>
      <c r="BD2254">
        <v>1</v>
      </c>
      <c r="BE2254" t="str">
        <f t="shared" si="107"/>
        <v xml:space="preserve">N215T   </v>
      </c>
      <c r="BF2254">
        <v>1</v>
      </c>
      <c r="BH2254">
        <v>0</v>
      </c>
      <c r="BI2254">
        <v>0</v>
      </c>
      <c r="BJ2254">
        <v>0</v>
      </c>
      <c r="BK2254">
        <v>2350</v>
      </c>
      <c r="BL2254">
        <v>350</v>
      </c>
      <c r="BM2254" t="s">
        <v>119</v>
      </c>
      <c r="BN2254">
        <v>1</v>
      </c>
      <c r="BO2254">
        <v>1</v>
      </c>
      <c r="BP2254">
        <v>1</v>
      </c>
      <c r="BQ2254">
        <v>0</v>
      </c>
      <c r="BT2254">
        <v>0</v>
      </c>
      <c r="BU2254">
        <v>0</v>
      </c>
      <c r="BV2254">
        <v>0</v>
      </c>
      <c r="CC2254" t="str">
        <f>"19:12:25.438"</f>
        <v>19:12:25.438</v>
      </c>
      <c r="CD2254" t="str">
        <f>"440830162"</f>
        <v>440830162</v>
      </c>
      <c r="CQ2254">
        <v>0</v>
      </c>
      <c r="CR2254">
        <v>2</v>
      </c>
      <c r="CS2254">
        <v>0</v>
      </c>
      <c r="CT2254">
        <v>2</v>
      </c>
      <c r="CU2254">
        <v>0</v>
      </c>
      <c r="CV2254">
        <v>6</v>
      </c>
      <c r="CW2254" t="s">
        <v>120</v>
      </c>
      <c r="CX2254">
        <v>257</v>
      </c>
      <c r="CY2254">
        <v>1</v>
      </c>
      <c r="CZ2254" t="s">
        <v>615</v>
      </c>
      <c r="DA2254" t="s">
        <v>616</v>
      </c>
      <c r="DD2254">
        <v>12058845</v>
      </c>
      <c r="DE2254" t="s">
        <v>123</v>
      </c>
    </row>
    <row r="2255" spans="1:109" x14ac:dyDescent="0.3">
      <c r="A2255" t="str">
        <f>"19:12:26.766"</f>
        <v>19:12:26.766</v>
      </c>
      <c r="B2255" t="s">
        <v>110</v>
      </c>
      <c r="C2255" t="str">
        <f t="shared" si="105"/>
        <v>ffdfd3c0</v>
      </c>
      <c r="D2255" t="s">
        <v>111</v>
      </c>
      <c r="E2255">
        <v>18</v>
      </c>
      <c r="F2255">
        <v>1018</v>
      </c>
      <c r="G2255" t="s">
        <v>112</v>
      </c>
      <c r="J2255" t="s">
        <v>113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R2255" t="s">
        <v>114</v>
      </c>
      <c r="S2255" t="str">
        <f>"19:12:26.516"</f>
        <v>19:12:26.516</v>
      </c>
      <c r="T2255" t="str">
        <f>"19:12:26.414"</f>
        <v>19:12:26.414</v>
      </c>
      <c r="U2255" t="str">
        <f t="shared" si="106"/>
        <v>a1cdbe</v>
      </c>
      <c r="V2255">
        <v>0</v>
      </c>
      <c r="W2255">
        <v>0</v>
      </c>
      <c r="X2255">
        <v>1</v>
      </c>
      <c r="Y2255">
        <v>0</v>
      </c>
      <c r="Z2255">
        <v>0</v>
      </c>
      <c r="AB2255">
        <v>0</v>
      </c>
      <c r="AC2255">
        <v>9</v>
      </c>
      <c r="AD2255">
        <v>3</v>
      </c>
      <c r="AE2255">
        <v>0</v>
      </c>
      <c r="AF2255">
        <v>9</v>
      </c>
      <c r="AG2255" t="s">
        <v>158</v>
      </c>
      <c r="AH2255">
        <v>0</v>
      </c>
      <c r="AI2255">
        <v>3</v>
      </c>
      <c r="AJ2255">
        <v>1</v>
      </c>
      <c r="AK2255">
        <v>0</v>
      </c>
      <c r="AL2255" t="s">
        <v>4245</v>
      </c>
      <c r="AM2255">
        <v>46.885528999999998</v>
      </c>
      <c r="AN2255" t="s">
        <v>4246</v>
      </c>
      <c r="AO2255">
        <v>-123.16510700000001</v>
      </c>
      <c r="AP2255">
        <v>100</v>
      </c>
      <c r="AQ2255">
        <v>2000</v>
      </c>
      <c r="AR2255" t="s">
        <v>118</v>
      </c>
      <c r="AS2255">
        <v>-76</v>
      </c>
      <c r="AT2255">
        <v>18</v>
      </c>
      <c r="AU2255">
        <v>-64</v>
      </c>
      <c r="BC2255">
        <v>1200</v>
      </c>
      <c r="BD2255">
        <v>1</v>
      </c>
      <c r="BE2255" t="str">
        <f t="shared" si="107"/>
        <v xml:space="preserve">N215T   </v>
      </c>
      <c r="BF2255">
        <v>1</v>
      </c>
      <c r="BH2255">
        <v>0</v>
      </c>
      <c r="BI2255">
        <v>0</v>
      </c>
      <c r="BJ2255">
        <v>0</v>
      </c>
      <c r="BK2255">
        <v>2350</v>
      </c>
      <c r="BL2255">
        <v>350</v>
      </c>
      <c r="BM2255" t="s">
        <v>119</v>
      </c>
      <c r="BN2255">
        <v>1</v>
      </c>
      <c r="BO2255">
        <v>1</v>
      </c>
      <c r="BP2255">
        <v>1</v>
      </c>
      <c r="BQ2255">
        <v>0</v>
      </c>
      <c r="BT2255">
        <v>0</v>
      </c>
      <c r="BU2255">
        <v>0</v>
      </c>
      <c r="BV2255">
        <v>0</v>
      </c>
      <c r="CC2255" t="str">
        <f>"19:12:26.523"</f>
        <v>19:12:26.523</v>
      </c>
      <c r="CD2255" t="str">
        <f>"520732849"</f>
        <v>520732849</v>
      </c>
      <c r="CQ2255">
        <v>0</v>
      </c>
      <c r="CR2255">
        <v>2</v>
      </c>
      <c r="CS2255">
        <v>0</v>
      </c>
      <c r="CT2255">
        <v>2</v>
      </c>
      <c r="CU2255">
        <v>0</v>
      </c>
      <c r="CV2255">
        <v>7</v>
      </c>
      <c r="CW2255" t="s">
        <v>120</v>
      </c>
      <c r="CX2255">
        <v>261</v>
      </c>
      <c r="CY2255">
        <v>2</v>
      </c>
      <c r="CZ2255" t="s">
        <v>121</v>
      </c>
      <c r="DA2255" t="s">
        <v>122</v>
      </c>
      <c r="DD2255">
        <v>15628133</v>
      </c>
      <c r="DE2255" t="s">
        <v>123</v>
      </c>
    </row>
    <row r="2256" spans="1:109" x14ac:dyDescent="0.3">
      <c r="A2256" t="str">
        <f>"19:12:27.719"</f>
        <v>19:12:27.719</v>
      </c>
      <c r="B2256" t="s">
        <v>110</v>
      </c>
      <c r="C2256" t="str">
        <f t="shared" si="105"/>
        <v>ffdfd3c0</v>
      </c>
      <c r="D2256" t="s">
        <v>111</v>
      </c>
      <c r="E2256">
        <v>18</v>
      </c>
      <c r="F2256">
        <v>1018</v>
      </c>
      <c r="G2256" t="s">
        <v>112</v>
      </c>
      <c r="J2256" t="s">
        <v>113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R2256" t="s">
        <v>114</v>
      </c>
      <c r="S2256" t="str">
        <f>"19:12:27.477"</f>
        <v>19:12:27.477</v>
      </c>
      <c r="T2256" t="str">
        <f>"19:12:27.375"</f>
        <v>19:12:27.375</v>
      </c>
      <c r="U2256" t="str">
        <f t="shared" si="106"/>
        <v>a1cdbe</v>
      </c>
      <c r="V2256">
        <v>0</v>
      </c>
      <c r="W2256">
        <v>0</v>
      </c>
      <c r="X2256">
        <v>1</v>
      </c>
      <c r="Y2256">
        <v>0</v>
      </c>
      <c r="Z2256">
        <v>0</v>
      </c>
      <c r="AB2256">
        <v>0</v>
      </c>
      <c r="AC2256">
        <v>9</v>
      </c>
      <c r="AD2256">
        <v>3</v>
      </c>
      <c r="AE2256">
        <v>0</v>
      </c>
      <c r="AF2256">
        <v>9</v>
      </c>
      <c r="AG2256" t="s">
        <v>158</v>
      </c>
      <c r="AH2256">
        <v>0</v>
      </c>
      <c r="AI2256">
        <v>3</v>
      </c>
      <c r="AJ2256">
        <v>1</v>
      </c>
      <c r="AK2256">
        <v>0</v>
      </c>
      <c r="AL2256" t="s">
        <v>4247</v>
      </c>
      <c r="AM2256">
        <v>46.885593</v>
      </c>
      <c r="AN2256" t="s">
        <v>4248</v>
      </c>
      <c r="AO2256">
        <v>-123.165536</v>
      </c>
      <c r="AP2256">
        <v>100</v>
      </c>
      <c r="AQ2256">
        <v>2000</v>
      </c>
      <c r="AR2256" t="s">
        <v>118</v>
      </c>
      <c r="AS2256">
        <v>-76</v>
      </c>
      <c r="AT2256">
        <v>18</v>
      </c>
      <c r="AU2256">
        <v>-192</v>
      </c>
      <c r="BC2256">
        <v>1200</v>
      </c>
      <c r="BD2256">
        <v>1</v>
      </c>
      <c r="BE2256" t="str">
        <f t="shared" si="107"/>
        <v xml:space="preserve">N215T   </v>
      </c>
      <c r="BF2256">
        <v>1</v>
      </c>
      <c r="BH2256">
        <v>0</v>
      </c>
      <c r="BI2256">
        <v>0</v>
      </c>
      <c r="BJ2256">
        <v>0</v>
      </c>
      <c r="BK2256">
        <v>2350</v>
      </c>
      <c r="BL2256">
        <v>350</v>
      </c>
      <c r="BM2256" t="s">
        <v>119</v>
      </c>
      <c r="BN2256">
        <v>1</v>
      </c>
      <c r="BO2256">
        <v>1</v>
      </c>
      <c r="BP2256">
        <v>1</v>
      </c>
      <c r="BQ2256">
        <v>0</v>
      </c>
      <c r="BT2256">
        <v>0</v>
      </c>
      <c r="BU2256">
        <v>0</v>
      </c>
      <c r="BV2256">
        <v>0</v>
      </c>
      <c r="CC2256" t="str">
        <f>"19:12:27.484"</f>
        <v>19:12:27.484</v>
      </c>
      <c r="CD2256" t="str">
        <f>"480638315"</f>
        <v>480638315</v>
      </c>
      <c r="CQ2256">
        <v>0</v>
      </c>
      <c r="CR2256">
        <v>2</v>
      </c>
      <c r="CS2256">
        <v>0</v>
      </c>
      <c r="CT2256">
        <v>2</v>
      </c>
      <c r="CU2256">
        <v>0</v>
      </c>
      <c r="CV2256">
        <v>7</v>
      </c>
      <c r="CW2256" t="s">
        <v>120</v>
      </c>
      <c r="CX2256">
        <v>261</v>
      </c>
      <c r="CY2256">
        <v>2</v>
      </c>
      <c r="CZ2256" t="s">
        <v>121</v>
      </c>
      <c r="DA2256" t="s">
        <v>122</v>
      </c>
      <c r="DD2256">
        <v>15628767</v>
      </c>
      <c r="DE2256" t="s">
        <v>123</v>
      </c>
    </row>
    <row r="2257" spans="1:109" x14ac:dyDescent="0.3">
      <c r="A2257" t="str">
        <f>"19:12:28.781"</f>
        <v>19:12:28.781</v>
      </c>
      <c r="B2257" t="s">
        <v>110</v>
      </c>
      <c r="C2257" t="str">
        <f t="shared" si="105"/>
        <v>ffdfd3c0</v>
      </c>
      <c r="D2257" t="s">
        <v>111</v>
      </c>
      <c r="E2257">
        <v>18</v>
      </c>
      <c r="F2257">
        <v>1018</v>
      </c>
      <c r="G2257" t="s">
        <v>112</v>
      </c>
      <c r="J2257" t="s">
        <v>113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R2257" t="s">
        <v>114</v>
      </c>
      <c r="S2257" t="str">
        <f>"19:12:28.555"</f>
        <v>19:12:28.555</v>
      </c>
      <c r="T2257" t="str">
        <f>"19:12:28.453"</f>
        <v>19:12:28.453</v>
      </c>
      <c r="U2257" t="str">
        <f t="shared" si="106"/>
        <v>a1cdbe</v>
      </c>
      <c r="V2257">
        <v>0</v>
      </c>
      <c r="W2257">
        <v>0</v>
      </c>
      <c r="X2257">
        <v>1</v>
      </c>
      <c r="Y2257">
        <v>0</v>
      </c>
      <c r="Z2257">
        <v>0</v>
      </c>
      <c r="AB2257">
        <v>0</v>
      </c>
      <c r="AC2257">
        <v>9</v>
      </c>
      <c r="AD2257">
        <v>3</v>
      </c>
      <c r="AE2257">
        <v>0</v>
      </c>
      <c r="AF2257">
        <v>9</v>
      </c>
      <c r="AG2257" t="s">
        <v>158</v>
      </c>
      <c r="AH2257">
        <v>0</v>
      </c>
      <c r="AI2257">
        <v>3</v>
      </c>
      <c r="AJ2257">
        <v>1</v>
      </c>
      <c r="AK2257">
        <v>0</v>
      </c>
      <c r="AL2257" t="s">
        <v>4249</v>
      </c>
      <c r="AM2257">
        <v>46.8857</v>
      </c>
      <c r="AN2257" t="s">
        <v>4250</v>
      </c>
      <c r="AO2257">
        <v>-123.166115</v>
      </c>
      <c r="AP2257">
        <v>100</v>
      </c>
      <c r="AQ2257">
        <v>2000</v>
      </c>
      <c r="AR2257" t="s">
        <v>118</v>
      </c>
      <c r="AS2257">
        <v>-77</v>
      </c>
      <c r="AT2257">
        <v>18</v>
      </c>
      <c r="AU2257">
        <v>-128</v>
      </c>
      <c r="BC2257">
        <v>1200</v>
      </c>
      <c r="BD2257">
        <v>1</v>
      </c>
      <c r="BE2257" t="str">
        <f t="shared" si="107"/>
        <v xml:space="preserve">N215T   </v>
      </c>
      <c r="BF2257">
        <v>1</v>
      </c>
      <c r="BH2257">
        <v>0</v>
      </c>
      <c r="BI2257">
        <v>0</v>
      </c>
      <c r="BJ2257">
        <v>0</v>
      </c>
      <c r="BK2257">
        <v>2350</v>
      </c>
      <c r="BL2257">
        <v>350</v>
      </c>
      <c r="BM2257" t="s">
        <v>119</v>
      </c>
      <c r="BN2257">
        <v>1</v>
      </c>
      <c r="BO2257">
        <v>1</v>
      </c>
      <c r="BP2257">
        <v>1</v>
      </c>
      <c r="BQ2257">
        <v>0</v>
      </c>
      <c r="BT2257">
        <v>0</v>
      </c>
      <c r="BU2257">
        <v>0</v>
      </c>
      <c r="BV2257">
        <v>0</v>
      </c>
      <c r="CC2257" t="str">
        <f>"19:12:28.563"</f>
        <v>19:12:28.563</v>
      </c>
      <c r="CD2257" t="str">
        <f>"560531968"</f>
        <v>560531968</v>
      </c>
      <c r="CQ2257">
        <v>0</v>
      </c>
      <c r="CR2257">
        <v>2</v>
      </c>
      <c r="CS2257">
        <v>0</v>
      </c>
      <c r="CT2257">
        <v>2</v>
      </c>
      <c r="CU2257">
        <v>0</v>
      </c>
      <c r="CV2257">
        <v>7</v>
      </c>
      <c r="CW2257" t="s">
        <v>120</v>
      </c>
      <c r="CX2257">
        <v>261</v>
      </c>
      <c r="CY2257">
        <v>2</v>
      </c>
      <c r="CZ2257" t="s">
        <v>121</v>
      </c>
      <c r="DA2257" t="s">
        <v>122</v>
      </c>
      <c r="DD2257">
        <v>15629534</v>
      </c>
      <c r="DE2257" t="s">
        <v>123</v>
      </c>
    </row>
    <row r="2258" spans="1:109" x14ac:dyDescent="0.3">
      <c r="A2258" t="str">
        <f>"19:12:29.633"</f>
        <v>19:12:29.633</v>
      </c>
      <c r="B2258" t="s">
        <v>110</v>
      </c>
      <c r="C2258" t="str">
        <f t="shared" si="105"/>
        <v>ffdfd3c0</v>
      </c>
      <c r="D2258" t="s">
        <v>111</v>
      </c>
      <c r="E2258">
        <v>18</v>
      </c>
      <c r="F2258">
        <v>1018</v>
      </c>
      <c r="G2258" t="s">
        <v>112</v>
      </c>
      <c r="J2258" t="s">
        <v>113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R2258" t="s">
        <v>114</v>
      </c>
      <c r="S2258" t="str">
        <f>"19:12:29.398"</f>
        <v>19:12:29.398</v>
      </c>
      <c r="T2258" t="str">
        <f>"19:12:29.000"</f>
        <v>19:12:29.000</v>
      </c>
      <c r="U2258" t="str">
        <f t="shared" si="106"/>
        <v>a1cdbe</v>
      </c>
      <c r="V2258">
        <v>0</v>
      </c>
      <c r="W2258">
        <v>0</v>
      </c>
      <c r="X2258">
        <v>1</v>
      </c>
      <c r="Y2258">
        <v>0</v>
      </c>
      <c r="Z2258">
        <v>0</v>
      </c>
      <c r="AB2258">
        <v>0</v>
      </c>
      <c r="AC2258">
        <v>9</v>
      </c>
      <c r="AD2258">
        <v>3</v>
      </c>
      <c r="AE2258">
        <v>0</v>
      </c>
      <c r="AF2258">
        <v>9</v>
      </c>
      <c r="AG2258" t="s">
        <v>158</v>
      </c>
      <c r="AH2258">
        <v>0</v>
      </c>
      <c r="AI2258">
        <v>3</v>
      </c>
      <c r="AJ2258">
        <v>1</v>
      </c>
      <c r="AK2258">
        <v>0</v>
      </c>
      <c r="AL2258" t="s">
        <v>1500</v>
      </c>
      <c r="AM2258">
        <v>46.885742999999998</v>
      </c>
      <c r="AN2258" t="s">
        <v>4251</v>
      </c>
      <c r="AO2258">
        <v>-123.166523</v>
      </c>
      <c r="AP2258">
        <v>100</v>
      </c>
      <c r="AQ2258">
        <v>2000</v>
      </c>
      <c r="AR2258" t="s">
        <v>118</v>
      </c>
      <c r="AS2258">
        <v>-77</v>
      </c>
      <c r="AT2258">
        <v>18</v>
      </c>
      <c r="AU2258">
        <v>-128</v>
      </c>
      <c r="BC2258">
        <v>1200</v>
      </c>
      <c r="BD2258">
        <v>1</v>
      </c>
      <c r="BE2258" t="str">
        <f t="shared" si="107"/>
        <v xml:space="preserve">N215T   </v>
      </c>
      <c r="BF2258">
        <v>1</v>
      </c>
      <c r="BH2258">
        <v>0</v>
      </c>
      <c r="BI2258">
        <v>0</v>
      </c>
      <c r="BJ2258">
        <v>0</v>
      </c>
      <c r="BK2258">
        <v>2350</v>
      </c>
      <c r="BL2258">
        <v>350</v>
      </c>
      <c r="BM2258" t="s">
        <v>119</v>
      </c>
      <c r="BN2258">
        <v>1</v>
      </c>
      <c r="BO2258">
        <v>1</v>
      </c>
      <c r="BP2258">
        <v>1</v>
      </c>
      <c r="BQ2258">
        <v>0</v>
      </c>
      <c r="BT2258">
        <v>0</v>
      </c>
      <c r="BU2258">
        <v>0</v>
      </c>
      <c r="BV2258">
        <v>0</v>
      </c>
      <c r="CC2258" t="str">
        <f>"19:12:29.398"</f>
        <v>19:12:29.398</v>
      </c>
      <c r="CD2258" t="str">
        <f>"400449258"</f>
        <v>400449258</v>
      </c>
      <c r="CQ2258">
        <v>0</v>
      </c>
      <c r="CR2258">
        <v>2</v>
      </c>
      <c r="CS2258">
        <v>0</v>
      </c>
      <c r="CT2258">
        <v>2</v>
      </c>
      <c r="CU2258">
        <v>0</v>
      </c>
      <c r="CV2258">
        <v>7</v>
      </c>
      <c r="CW2258" t="s">
        <v>120</v>
      </c>
      <c r="CX2258">
        <v>261</v>
      </c>
      <c r="CY2258">
        <v>2</v>
      </c>
      <c r="CZ2258" t="s">
        <v>121</v>
      </c>
      <c r="DA2258" t="s">
        <v>122</v>
      </c>
      <c r="DD2258">
        <v>15630125</v>
      </c>
      <c r="DE2258" t="s">
        <v>123</v>
      </c>
    </row>
    <row r="2259" spans="1:109" x14ac:dyDescent="0.3">
      <c r="A2259" t="str">
        <f>"19:12:30.586"</f>
        <v>19:12:30.586</v>
      </c>
      <c r="B2259" t="s">
        <v>110</v>
      </c>
      <c r="C2259" t="str">
        <f t="shared" si="105"/>
        <v>ffdfd3c0</v>
      </c>
      <c r="D2259" t="s">
        <v>111</v>
      </c>
      <c r="E2259">
        <v>18</v>
      </c>
      <c r="F2259">
        <v>1018</v>
      </c>
      <c r="G2259" t="s">
        <v>112</v>
      </c>
      <c r="J2259" t="s">
        <v>113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R2259" t="s">
        <v>114</v>
      </c>
      <c r="S2259" t="str">
        <f>"19:12:30.344"</f>
        <v>19:12:30.344</v>
      </c>
      <c r="T2259" t="str">
        <f>"19:12:29.844"</f>
        <v>19:12:29.844</v>
      </c>
      <c r="U2259" t="str">
        <f t="shared" si="106"/>
        <v>a1cdbe</v>
      </c>
      <c r="V2259">
        <v>0</v>
      </c>
      <c r="W2259">
        <v>0</v>
      </c>
      <c r="X2259">
        <v>1</v>
      </c>
      <c r="Y2259">
        <v>0</v>
      </c>
      <c r="Z2259">
        <v>0</v>
      </c>
      <c r="AB2259">
        <v>0</v>
      </c>
      <c r="AC2259">
        <v>9</v>
      </c>
      <c r="AD2259">
        <v>3</v>
      </c>
      <c r="AE2259">
        <v>0</v>
      </c>
      <c r="AF2259">
        <v>9</v>
      </c>
      <c r="AG2259" t="s">
        <v>158</v>
      </c>
      <c r="AH2259">
        <v>0</v>
      </c>
      <c r="AI2259">
        <v>3</v>
      </c>
      <c r="AJ2259">
        <v>1</v>
      </c>
      <c r="AK2259">
        <v>0</v>
      </c>
      <c r="AL2259" t="s">
        <v>4252</v>
      </c>
      <c r="AM2259">
        <v>46.885829000000001</v>
      </c>
      <c r="AN2259" t="s">
        <v>4253</v>
      </c>
      <c r="AO2259">
        <v>-123.167017</v>
      </c>
      <c r="AP2259">
        <v>100</v>
      </c>
      <c r="AQ2259">
        <v>2000</v>
      </c>
      <c r="AR2259" t="s">
        <v>118</v>
      </c>
      <c r="AS2259">
        <v>-77</v>
      </c>
      <c r="AT2259">
        <v>18</v>
      </c>
      <c r="AU2259">
        <v>0</v>
      </c>
      <c r="BC2259">
        <v>1200</v>
      </c>
      <c r="BD2259">
        <v>1</v>
      </c>
      <c r="BE2259" t="str">
        <f t="shared" si="107"/>
        <v xml:space="preserve">N215T   </v>
      </c>
      <c r="BF2259">
        <v>1</v>
      </c>
      <c r="BH2259">
        <v>0</v>
      </c>
      <c r="BI2259">
        <v>0</v>
      </c>
      <c r="BJ2259">
        <v>0</v>
      </c>
      <c r="BK2259">
        <v>2450</v>
      </c>
      <c r="BL2259">
        <v>450</v>
      </c>
      <c r="BM2259" t="s">
        <v>119</v>
      </c>
      <c r="BN2259">
        <v>1</v>
      </c>
      <c r="BO2259">
        <v>1</v>
      </c>
      <c r="BP2259">
        <v>1</v>
      </c>
      <c r="BQ2259">
        <v>0</v>
      </c>
      <c r="BT2259">
        <v>0</v>
      </c>
      <c r="BU2259">
        <v>0</v>
      </c>
      <c r="BV2259">
        <v>0</v>
      </c>
      <c r="CC2259" t="str">
        <f>"19:12:30.344"</f>
        <v>19:12:30.344</v>
      </c>
      <c r="CD2259" t="str">
        <f>"345356193"</f>
        <v>345356193</v>
      </c>
      <c r="CQ2259">
        <v>0</v>
      </c>
      <c r="CR2259">
        <v>2</v>
      </c>
      <c r="CS2259">
        <v>0</v>
      </c>
      <c r="CT2259">
        <v>2</v>
      </c>
      <c r="CU2259">
        <v>0</v>
      </c>
      <c r="CV2259">
        <v>7</v>
      </c>
      <c r="CW2259" t="s">
        <v>120</v>
      </c>
      <c r="CX2259">
        <v>261</v>
      </c>
      <c r="CY2259">
        <v>2</v>
      </c>
      <c r="CZ2259" t="s">
        <v>121</v>
      </c>
      <c r="DA2259" t="s">
        <v>122</v>
      </c>
      <c r="DD2259">
        <v>15630767</v>
      </c>
      <c r="DE2259" t="s">
        <v>123</v>
      </c>
    </row>
    <row r="2260" spans="1:109" x14ac:dyDescent="0.3">
      <c r="A2260" t="str">
        <f>"19:12:31.492"</f>
        <v>19:12:31.492</v>
      </c>
      <c r="B2260" t="s">
        <v>110</v>
      </c>
      <c r="C2260" t="str">
        <f t="shared" si="105"/>
        <v>ffdfd3c0</v>
      </c>
      <c r="D2260" t="s">
        <v>111</v>
      </c>
      <c r="E2260">
        <v>18</v>
      </c>
      <c r="F2260">
        <v>1018</v>
      </c>
      <c r="G2260" t="s">
        <v>112</v>
      </c>
      <c r="J2260" t="s">
        <v>113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R2260" t="s">
        <v>114</v>
      </c>
      <c r="S2260" t="str">
        <f>"19:12:31.273"</f>
        <v>19:12:31.273</v>
      </c>
      <c r="T2260" t="str">
        <f>"19:12:31.070"</f>
        <v>19:12:31.070</v>
      </c>
      <c r="U2260" t="str">
        <f t="shared" si="106"/>
        <v>a1cdbe</v>
      </c>
      <c r="V2260">
        <v>0</v>
      </c>
      <c r="W2260">
        <v>0</v>
      </c>
      <c r="X2260">
        <v>1</v>
      </c>
      <c r="Y2260">
        <v>0</v>
      </c>
      <c r="Z2260">
        <v>0</v>
      </c>
      <c r="AB2260">
        <v>0</v>
      </c>
      <c r="AC2260">
        <v>9</v>
      </c>
      <c r="AD2260">
        <v>3</v>
      </c>
      <c r="AE2260">
        <v>0</v>
      </c>
      <c r="AF2260">
        <v>9</v>
      </c>
      <c r="AG2260" t="s">
        <v>158</v>
      </c>
      <c r="AH2260">
        <v>0</v>
      </c>
      <c r="AI2260">
        <v>3</v>
      </c>
      <c r="AJ2260">
        <v>1</v>
      </c>
      <c r="AK2260">
        <v>0</v>
      </c>
      <c r="AL2260" t="s">
        <v>4254</v>
      </c>
      <c r="AM2260">
        <v>46.885936000000001</v>
      </c>
      <c r="AN2260" t="s">
        <v>4255</v>
      </c>
      <c r="AO2260">
        <v>-123.167596</v>
      </c>
      <c r="AP2260">
        <v>100</v>
      </c>
      <c r="AQ2260">
        <v>2000</v>
      </c>
      <c r="AR2260" t="s">
        <v>118</v>
      </c>
      <c r="AS2260">
        <v>-78</v>
      </c>
      <c r="AT2260">
        <v>18</v>
      </c>
      <c r="AU2260">
        <v>0</v>
      </c>
      <c r="BC2260">
        <v>1200</v>
      </c>
      <c r="BD2260">
        <v>1</v>
      </c>
      <c r="BE2260" t="str">
        <f t="shared" si="107"/>
        <v xml:space="preserve">N215T   </v>
      </c>
      <c r="BF2260">
        <v>1</v>
      </c>
      <c r="BH2260">
        <v>0</v>
      </c>
      <c r="BI2260">
        <v>0</v>
      </c>
      <c r="BJ2260">
        <v>0</v>
      </c>
      <c r="BK2260">
        <v>2350</v>
      </c>
      <c r="BL2260">
        <v>350</v>
      </c>
      <c r="BM2260" t="s">
        <v>119</v>
      </c>
      <c r="BN2260">
        <v>1</v>
      </c>
      <c r="BO2260">
        <v>1</v>
      </c>
      <c r="BP2260">
        <v>1</v>
      </c>
      <c r="BQ2260">
        <v>0</v>
      </c>
      <c r="BT2260">
        <v>0</v>
      </c>
      <c r="BU2260">
        <v>0</v>
      </c>
      <c r="BV2260">
        <v>0</v>
      </c>
      <c r="CC2260" t="str">
        <f>"19:12:31.273"</f>
        <v>19:12:31.273</v>
      </c>
      <c r="CD2260" t="str">
        <f>"275264618"</f>
        <v>275264618</v>
      </c>
      <c r="CQ2260">
        <v>0</v>
      </c>
      <c r="CR2260">
        <v>2</v>
      </c>
      <c r="CS2260">
        <v>0</v>
      </c>
      <c r="CT2260">
        <v>2</v>
      </c>
      <c r="CU2260">
        <v>0</v>
      </c>
      <c r="CV2260">
        <v>7</v>
      </c>
      <c r="CW2260" t="s">
        <v>120</v>
      </c>
      <c r="CX2260">
        <v>261</v>
      </c>
      <c r="CY2260">
        <v>2</v>
      </c>
      <c r="CZ2260" t="s">
        <v>121</v>
      </c>
      <c r="DA2260" t="s">
        <v>122</v>
      </c>
      <c r="DD2260">
        <v>15631390</v>
      </c>
      <c r="DE2260" t="s">
        <v>123</v>
      </c>
    </row>
    <row r="2261" spans="1:109" x14ac:dyDescent="0.3">
      <c r="A2261" t="str">
        <f>"19:12:32.547"</f>
        <v>19:12:32.547</v>
      </c>
      <c r="B2261" t="s">
        <v>110</v>
      </c>
      <c r="C2261" t="str">
        <f t="shared" si="105"/>
        <v>ffdfd3c0</v>
      </c>
      <c r="D2261" t="s">
        <v>111</v>
      </c>
      <c r="E2261">
        <v>18</v>
      </c>
      <c r="F2261">
        <v>1018</v>
      </c>
      <c r="G2261" t="s">
        <v>112</v>
      </c>
      <c r="J2261" t="s">
        <v>113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R2261" t="s">
        <v>114</v>
      </c>
      <c r="S2261" t="str">
        <f>"19:12:32.289"</f>
        <v>19:12:32.289</v>
      </c>
      <c r="T2261" t="str">
        <f>"19:12:31.992"</f>
        <v>19:12:31.992</v>
      </c>
      <c r="U2261" t="str">
        <f t="shared" si="106"/>
        <v>a1cdbe</v>
      </c>
      <c r="V2261">
        <v>0</v>
      </c>
      <c r="W2261">
        <v>0</v>
      </c>
      <c r="X2261">
        <v>1</v>
      </c>
      <c r="Y2261">
        <v>0</v>
      </c>
      <c r="Z2261">
        <v>0</v>
      </c>
      <c r="AB2261">
        <v>0</v>
      </c>
      <c r="AC2261">
        <v>9</v>
      </c>
      <c r="AD2261">
        <v>3</v>
      </c>
      <c r="AE2261">
        <v>0</v>
      </c>
      <c r="AF2261">
        <v>9</v>
      </c>
      <c r="AG2261" t="s">
        <v>158</v>
      </c>
      <c r="AH2261">
        <v>0</v>
      </c>
      <c r="AI2261">
        <v>3</v>
      </c>
      <c r="AJ2261">
        <v>1</v>
      </c>
      <c r="AK2261">
        <v>0</v>
      </c>
      <c r="AL2261" t="s">
        <v>1498</v>
      </c>
      <c r="AM2261">
        <v>46.886021999999997</v>
      </c>
      <c r="AN2261" t="s">
        <v>4256</v>
      </c>
      <c r="AO2261">
        <v>-123.16806800000001</v>
      </c>
      <c r="AP2261">
        <v>100</v>
      </c>
      <c r="AQ2261">
        <v>2000</v>
      </c>
      <c r="AR2261" t="s">
        <v>118</v>
      </c>
      <c r="AS2261">
        <v>-78</v>
      </c>
      <c r="AT2261">
        <v>18</v>
      </c>
      <c r="AU2261">
        <v>64</v>
      </c>
      <c r="BC2261">
        <v>1200</v>
      </c>
      <c r="BD2261">
        <v>1</v>
      </c>
      <c r="BE2261" t="str">
        <f t="shared" si="107"/>
        <v xml:space="preserve">N215T   </v>
      </c>
      <c r="BF2261">
        <v>1</v>
      </c>
      <c r="BH2261">
        <v>0</v>
      </c>
      <c r="BI2261">
        <v>0</v>
      </c>
      <c r="BJ2261">
        <v>0</v>
      </c>
      <c r="BK2261">
        <v>2350</v>
      </c>
      <c r="BL2261">
        <v>350</v>
      </c>
      <c r="BM2261" t="s">
        <v>119</v>
      </c>
      <c r="BN2261">
        <v>1</v>
      </c>
      <c r="BO2261">
        <v>1</v>
      </c>
      <c r="BP2261">
        <v>1</v>
      </c>
      <c r="BQ2261">
        <v>0</v>
      </c>
      <c r="BT2261">
        <v>0</v>
      </c>
      <c r="BU2261">
        <v>0</v>
      </c>
      <c r="BV2261">
        <v>0</v>
      </c>
      <c r="CC2261" t="str">
        <f>"19:12:32.297"</f>
        <v>19:12:32.297</v>
      </c>
      <c r="CD2261" t="str">
        <f>"295164174"</f>
        <v>295164174</v>
      </c>
      <c r="CQ2261">
        <v>0</v>
      </c>
      <c r="CR2261">
        <v>2</v>
      </c>
      <c r="CS2261">
        <v>0</v>
      </c>
      <c r="CT2261">
        <v>2</v>
      </c>
      <c r="CU2261">
        <v>0</v>
      </c>
      <c r="CV2261">
        <v>7</v>
      </c>
      <c r="CW2261" t="s">
        <v>120</v>
      </c>
      <c r="CX2261">
        <v>261</v>
      </c>
      <c r="CY2261">
        <v>2</v>
      </c>
      <c r="CZ2261" t="s">
        <v>121</v>
      </c>
      <c r="DA2261" t="s">
        <v>122</v>
      </c>
      <c r="DD2261">
        <v>15632104</v>
      </c>
      <c r="DE2261" t="s">
        <v>123</v>
      </c>
    </row>
    <row r="2262" spans="1:109" x14ac:dyDescent="0.3">
      <c r="A2262" t="str">
        <f>"19:12:33.703"</f>
        <v>19:12:33.703</v>
      </c>
      <c r="B2262" t="s">
        <v>110</v>
      </c>
      <c r="C2262" t="str">
        <f t="shared" si="105"/>
        <v>ffdfd3c0</v>
      </c>
      <c r="D2262" t="s">
        <v>111</v>
      </c>
      <c r="E2262">
        <v>18</v>
      </c>
      <c r="F2262">
        <v>1018</v>
      </c>
      <c r="G2262" t="s">
        <v>112</v>
      </c>
      <c r="J2262" t="s">
        <v>113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R2262" t="s">
        <v>114</v>
      </c>
      <c r="S2262" t="str">
        <f>"19:12:33.477"</f>
        <v>19:12:33.477</v>
      </c>
      <c r="T2262" t="str">
        <f>"19:12:32.977"</f>
        <v>19:12:32.977</v>
      </c>
      <c r="U2262" t="str">
        <f t="shared" si="106"/>
        <v>a1cdbe</v>
      </c>
      <c r="V2262">
        <v>0</v>
      </c>
      <c r="W2262">
        <v>0</v>
      </c>
      <c r="X2262">
        <v>1</v>
      </c>
      <c r="Y2262">
        <v>0</v>
      </c>
      <c r="Z2262">
        <v>0</v>
      </c>
      <c r="AB2262">
        <v>0</v>
      </c>
      <c r="AC2262">
        <v>9</v>
      </c>
      <c r="AD2262">
        <v>3</v>
      </c>
      <c r="AE2262">
        <v>0</v>
      </c>
      <c r="AF2262">
        <v>9</v>
      </c>
      <c r="AG2262" t="s">
        <v>158</v>
      </c>
      <c r="AH2262">
        <v>0</v>
      </c>
      <c r="AI2262">
        <v>3</v>
      </c>
      <c r="AJ2262">
        <v>1</v>
      </c>
      <c r="AK2262">
        <v>0</v>
      </c>
      <c r="AL2262" t="s">
        <v>4257</v>
      </c>
      <c r="AM2262">
        <v>46.886108</v>
      </c>
      <c r="AN2262" t="s">
        <v>4258</v>
      </c>
      <c r="AO2262">
        <v>-123.168712</v>
      </c>
      <c r="AP2262">
        <v>100</v>
      </c>
      <c r="AQ2262">
        <v>2000</v>
      </c>
      <c r="AR2262" t="s">
        <v>118</v>
      </c>
      <c r="AS2262">
        <v>-78</v>
      </c>
      <c r="AT2262">
        <v>18</v>
      </c>
      <c r="AU2262">
        <v>192</v>
      </c>
      <c r="BC2262">
        <v>1200</v>
      </c>
      <c r="BD2262">
        <v>1</v>
      </c>
      <c r="BE2262" t="str">
        <f t="shared" si="107"/>
        <v xml:space="preserve">N215T   </v>
      </c>
      <c r="BF2262">
        <v>1</v>
      </c>
      <c r="BH2262">
        <v>0</v>
      </c>
      <c r="BI2262">
        <v>0</v>
      </c>
      <c r="BJ2262">
        <v>0</v>
      </c>
      <c r="BK2262">
        <v>2350</v>
      </c>
      <c r="BL2262">
        <v>350</v>
      </c>
      <c r="BM2262" t="s">
        <v>119</v>
      </c>
      <c r="BN2262">
        <v>1</v>
      </c>
      <c r="BO2262">
        <v>1</v>
      </c>
      <c r="BP2262">
        <v>1</v>
      </c>
      <c r="BQ2262">
        <v>0</v>
      </c>
      <c r="BT2262">
        <v>0</v>
      </c>
      <c r="BU2262">
        <v>0</v>
      </c>
      <c r="BV2262">
        <v>0</v>
      </c>
      <c r="CC2262" t="str">
        <f>"19:12:33.477"</f>
        <v>19:12:33.477</v>
      </c>
      <c r="CD2262" t="str">
        <f>"480047478"</f>
        <v>480047478</v>
      </c>
      <c r="CQ2262">
        <v>0</v>
      </c>
      <c r="CR2262">
        <v>2</v>
      </c>
      <c r="CS2262">
        <v>0</v>
      </c>
      <c r="CT2262">
        <v>2</v>
      </c>
      <c r="CU2262">
        <v>0</v>
      </c>
      <c r="CV2262">
        <v>7</v>
      </c>
      <c r="CW2262" t="s">
        <v>120</v>
      </c>
      <c r="CX2262">
        <v>261</v>
      </c>
      <c r="CY2262">
        <v>2</v>
      </c>
      <c r="CZ2262" t="s">
        <v>121</v>
      </c>
      <c r="DA2262" t="s">
        <v>122</v>
      </c>
      <c r="DD2262">
        <v>15632928</v>
      </c>
      <c r="DE2262" t="s">
        <v>123</v>
      </c>
    </row>
    <row r="2263" spans="1:109" x14ac:dyDescent="0.3">
      <c r="A2263" t="str">
        <f>"19:12:34.758"</f>
        <v>19:12:34.758</v>
      </c>
      <c r="B2263" t="s">
        <v>110</v>
      </c>
      <c r="C2263" t="str">
        <f t="shared" si="105"/>
        <v>ffdfd3c0</v>
      </c>
      <c r="D2263" t="s">
        <v>111</v>
      </c>
      <c r="E2263">
        <v>18</v>
      </c>
      <c r="F2263">
        <v>1018</v>
      </c>
      <c r="G2263" t="s">
        <v>112</v>
      </c>
      <c r="J2263" t="s">
        <v>113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R2263" t="s">
        <v>114</v>
      </c>
      <c r="S2263" t="str">
        <f>"19:12:34.484"</f>
        <v>19:12:34.484</v>
      </c>
      <c r="T2263" t="str">
        <f>"19:12:33.984"</f>
        <v>19:12:33.984</v>
      </c>
      <c r="U2263" t="str">
        <f t="shared" si="106"/>
        <v>a1cdbe</v>
      </c>
      <c r="V2263">
        <v>0</v>
      </c>
      <c r="W2263">
        <v>0</v>
      </c>
      <c r="X2263">
        <v>1</v>
      </c>
      <c r="Y2263">
        <v>0</v>
      </c>
      <c r="Z2263">
        <v>0</v>
      </c>
      <c r="AB2263">
        <v>0</v>
      </c>
      <c r="AC2263">
        <v>9</v>
      </c>
      <c r="AD2263">
        <v>3</v>
      </c>
      <c r="AE2263">
        <v>0</v>
      </c>
      <c r="AF2263">
        <v>9</v>
      </c>
      <c r="AG2263" t="s">
        <v>158</v>
      </c>
      <c r="AH2263">
        <v>0</v>
      </c>
      <c r="AI2263">
        <v>3</v>
      </c>
      <c r="AJ2263">
        <v>1</v>
      </c>
      <c r="AK2263">
        <v>0</v>
      </c>
      <c r="AL2263" t="s">
        <v>4259</v>
      </c>
      <c r="AM2263">
        <v>46.886172000000002</v>
      </c>
      <c r="AN2263" t="s">
        <v>4260</v>
      </c>
      <c r="AO2263">
        <v>-123.16922700000001</v>
      </c>
      <c r="AP2263">
        <v>100</v>
      </c>
      <c r="AQ2263">
        <v>2000</v>
      </c>
      <c r="AR2263" t="s">
        <v>118</v>
      </c>
      <c r="AS2263">
        <v>-78</v>
      </c>
      <c r="AT2263">
        <v>18</v>
      </c>
      <c r="AU2263">
        <v>128</v>
      </c>
      <c r="BC2263">
        <v>1200</v>
      </c>
      <c r="BD2263">
        <v>1</v>
      </c>
      <c r="BE2263" t="str">
        <f t="shared" si="107"/>
        <v xml:space="preserve">N215T   </v>
      </c>
      <c r="BF2263">
        <v>1</v>
      </c>
      <c r="BH2263">
        <v>0</v>
      </c>
      <c r="BI2263">
        <v>0</v>
      </c>
      <c r="BJ2263">
        <v>0</v>
      </c>
      <c r="BK2263">
        <v>2350</v>
      </c>
      <c r="BL2263">
        <v>350</v>
      </c>
      <c r="BM2263" t="s">
        <v>119</v>
      </c>
      <c r="BN2263">
        <v>1</v>
      </c>
      <c r="BO2263">
        <v>1</v>
      </c>
      <c r="BP2263">
        <v>1</v>
      </c>
      <c r="BQ2263">
        <v>0</v>
      </c>
      <c r="BT2263">
        <v>0</v>
      </c>
      <c r="BU2263">
        <v>0</v>
      </c>
      <c r="BV2263">
        <v>0</v>
      </c>
      <c r="CC2263" t="str">
        <f>"19:12:34.484"</f>
        <v>19:12:34.484</v>
      </c>
      <c r="CD2263" t="str">
        <f>"484948516"</f>
        <v>484948516</v>
      </c>
      <c r="CQ2263">
        <v>0</v>
      </c>
      <c r="CR2263">
        <v>2</v>
      </c>
      <c r="CS2263">
        <v>0</v>
      </c>
      <c r="CT2263">
        <v>2</v>
      </c>
      <c r="CU2263">
        <v>0</v>
      </c>
      <c r="CV2263">
        <v>6</v>
      </c>
      <c r="CW2263" t="s">
        <v>120</v>
      </c>
      <c r="CX2263">
        <v>261</v>
      </c>
      <c r="CY2263">
        <v>2</v>
      </c>
      <c r="CZ2263" t="s">
        <v>121</v>
      </c>
      <c r="DA2263" t="s">
        <v>122</v>
      </c>
      <c r="DD2263">
        <v>15633624</v>
      </c>
      <c r="DE2263" t="s">
        <v>123</v>
      </c>
    </row>
    <row r="2264" spans="1:109" x14ac:dyDescent="0.3">
      <c r="A2264" t="str">
        <f>"19:12:35.664"</f>
        <v>19:12:35.664</v>
      </c>
      <c r="B2264" t="s">
        <v>110</v>
      </c>
      <c r="C2264" t="str">
        <f t="shared" si="105"/>
        <v>ffdfd3c0</v>
      </c>
      <c r="D2264" t="s">
        <v>111</v>
      </c>
      <c r="E2264">
        <v>18</v>
      </c>
      <c r="F2264">
        <v>1018</v>
      </c>
      <c r="G2264" t="s">
        <v>112</v>
      </c>
      <c r="J2264" t="s">
        <v>113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R2264" t="s">
        <v>114</v>
      </c>
      <c r="S2264" t="str">
        <f>"19:12:35.453"</f>
        <v>19:12:35.453</v>
      </c>
      <c r="T2264" t="str">
        <f>"19:12:35.453"</f>
        <v>19:12:35.453</v>
      </c>
      <c r="U2264" t="str">
        <f t="shared" si="106"/>
        <v>a1cdbe</v>
      </c>
      <c r="V2264">
        <v>0</v>
      </c>
      <c r="W2264">
        <v>0</v>
      </c>
      <c r="X2264">
        <v>1</v>
      </c>
      <c r="Y2264">
        <v>0</v>
      </c>
      <c r="Z2264">
        <v>0</v>
      </c>
      <c r="AB2264">
        <v>0</v>
      </c>
      <c r="AC2264">
        <v>9</v>
      </c>
      <c r="AD2264">
        <v>3</v>
      </c>
      <c r="AE2264">
        <v>0</v>
      </c>
      <c r="AF2264">
        <v>9</v>
      </c>
      <c r="AG2264" t="s">
        <v>158</v>
      </c>
      <c r="AH2264">
        <v>0</v>
      </c>
      <c r="AI2264">
        <v>3</v>
      </c>
      <c r="AJ2264">
        <v>1</v>
      </c>
      <c r="AK2264">
        <v>0</v>
      </c>
      <c r="AL2264" t="s">
        <v>4261</v>
      </c>
      <c r="AM2264">
        <v>46.886257999999998</v>
      </c>
      <c r="AN2264" t="s">
        <v>4262</v>
      </c>
      <c r="AO2264">
        <v>-123.169763</v>
      </c>
      <c r="AP2264">
        <v>100</v>
      </c>
      <c r="AQ2264">
        <v>2000</v>
      </c>
      <c r="AR2264" t="s">
        <v>118</v>
      </c>
      <c r="AS2264">
        <v>-79</v>
      </c>
      <c r="AT2264">
        <v>17</v>
      </c>
      <c r="AU2264">
        <v>64</v>
      </c>
      <c r="BC2264">
        <v>1200</v>
      </c>
      <c r="BD2264">
        <v>1</v>
      </c>
      <c r="BE2264" t="str">
        <f t="shared" si="107"/>
        <v xml:space="preserve">N215T   </v>
      </c>
      <c r="BF2264">
        <v>1</v>
      </c>
      <c r="BH2264">
        <v>0</v>
      </c>
      <c r="BI2264">
        <v>0</v>
      </c>
      <c r="BJ2264">
        <v>0</v>
      </c>
      <c r="BK2264">
        <v>2350</v>
      </c>
      <c r="BL2264">
        <v>350</v>
      </c>
      <c r="BM2264" t="s">
        <v>119</v>
      </c>
      <c r="BN2264">
        <v>1</v>
      </c>
      <c r="BO2264">
        <v>1</v>
      </c>
      <c r="BP2264">
        <v>1</v>
      </c>
      <c r="BQ2264">
        <v>0</v>
      </c>
      <c r="BT2264">
        <v>0</v>
      </c>
      <c r="BU2264">
        <v>0</v>
      </c>
      <c r="BV2264">
        <v>0</v>
      </c>
      <c r="CC2264" t="str">
        <f>"19:12:35.461"</f>
        <v>19:12:35.461</v>
      </c>
      <c r="CD2264" t="str">
        <f>"459852516"</f>
        <v>459852516</v>
      </c>
      <c r="CQ2264">
        <v>0</v>
      </c>
      <c r="CR2264">
        <v>2</v>
      </c>
      <c r="CS2264">
        <v>0</v>
      </c>
      <c r="CT2264">
        <v>2</v>
      </c>
      <c r="CU2264">
        <v>0</v>
      </c>
      <c r="CV2264">
        <v>6</v>
      </c>
      <c r="CW2264" t="s">
        <v>120</v>
      </c>
      <c r="CX2264">
        <v>261</v>
      </c>
      <c r="CY2264">
        <v>2</v>
      </c>
      <c r="CZ2264" t="s">
        <v>121</v>
      </c>
      <c r="DA2264" t="s">
        <v>122</v>
      </c>
      <c r="DD2264">
        <v>15634267</v>
      </c>
      <c r="DE2264" t="s">
        <v>123</v>
      </c>
    </row>
    <row r="2265" spans="1:109" x14ac:dyDescent="0.3">
      <c r="A2265" t="str">
        <f>"19:12:36.719"</f>
        <v>19:12:36.719</v>
      </c>
      <c r="B2265" t="s">
        <v>110</v>
      </c>
      <c r="C2265" t="str">
        <f t="shared" si="105"/>
        <v>ffdfd3c0</v>
      </c>
      <c r="D2265" t="s">
        <v>111</v>
      </c>
      <c r="E2265">
        <v>18</v>
      </c>
      <c r="F2265">
        <v>1018</v>
      </c>
      <c r="G2265" t="s">
        <v>112</v>
      </c>
      <c r="J2265" t="s">
        <v>113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R2265" t="s">
        <v>114</v>
      </c>
      <c r="S2265" t="str">
        <f>"19:12:36.430"</f>
        <v>19:12:36.430</v>
      </c>
      <c r="T2265" t="str">
        <f>"19:12:35.930"</f>
        <v>19:12:35.930</v>
      </c>
      <c r="U2265" t="str">
        <f t="shared" si="106"/>
        <v>a1cdbe</v>
      </c>
      <c r="V2265">
        <v>0</v>
      </c>
      <c r="W2265">
        <v>0</v>
      </c>
      <c r="X2265">
        <v>1</v>
      </c>
      <c r="Y2265">
        <v>0</v>
      </c>
      <c r="Z2265">
        <v>0</v>
      </c>
      <c r="AB2265">
        <v>0</v>
      </c>
      <c r="AC2265">
        <v>9</v>
      </c>
      <c r="AD2265">
        <v>3</v>
      </c>
      <c r="AE2265">
        <v>0</v>
      </c>
      <c r="AF2265">
        <v>9</v>
      </c>
      <c r="AG2265" t="s">
        <v>158</v>
      </c>
      <c r="AH2265">
        <v>0</v>
      </c>
      <c r="AI2265">
        <v>3</v>
      </c>
      <c r="AJ2265">
        <v>1</v>
      </c>
      <c r="AK2265">
        <v>0</v>
      </c>
      <c r="AL2265" t="s">
        <v>4263</v>
      </c>
      <c r="AM2265">
        <v>46.886344000000001</v>
      </c>
      <c r="AN2265" t="s">
        <v>4264</v>
      </c>
      <c r="AO2265">
        <v>-123.17025700000001</v>
      </c>
      <c r="AP2265">
        <v>100</v>
      </c>
      <c r="AQ2265">
        <v>2000</v>
      </c>
      <c r="AR2265" t="s">
        <v>118</v>
      </c>
      <c r="AS2265">
        <v>-79</v>
      </c>
      <c r="AT2265">
        <v>16</v>
      </c>
      <c r="AU2265">
        <v>192</v>
      </c>
      <c r="BC2265">
        <v>1200</v>
      </c>
      <c r="BD2265">
        <v>1</v>
      </c>
      <c r="BE2265" t="str">
        <f t="shared" si="107"/>
        <v xml:space="preserve">N215T   </v>
      </c>
      <c r="BF2265">
        <v>1</v>
      </c>
      <c r="BH2265">
        <v>0</v>
      </c>
      <c r="BI2265">
        <v>0</v>
      </c>
      <c r="BJ2265">
        <v>0</v>
      </c>
      <c r="BK2265">
        <v>2350</v>
      </c>
      <c r="BL2265">
        <v>350</v>
      </c>
      <c r="BM2265" t="s">
        <v>119</v>
      </c>
      <c r="BN2265">
        <v>1</v>
      </c>
      <c r="BO2265">
        <v>1</v>
      </c>
      <c r="BP2265">
        <v>1</v>
      </c>
      <c r="BQ2265">
        <v>0</v>
      </c>
      <c r="BT2265">
        <v>0</v>
      </c>
      <c r="BU2265">
        <v>0</v>
      </c>
      <c r="BV2265">
        <v>0</v>
      </c>
      <c r="CC2265" t="str">
        <f>"19:12:36.438"</f>
        <v>19:12:36.438</v>
      </c>
      <c r="CD2265" t="str">
        <f>"434756501"</f>
        <v>434756501</v>
      </c>
      <c r="CQ2265">
        <v>0</v>
      </c>
      <c r="CR2265">
        <v>2</v>
      </c>
      <c r="CS2265">
        <v>0</v>
      </c>
      <c r="CT2265">
        <v>2</v>
      </c>
      <c r="CU2265">
        <v>0</v>
      </c>
      <c r="CV2265">
        <v>7</v>
      </c>
      <c r="CW2265" t="s">
        <v>120</v>
      </c>
      <c r="CX2265">
        <v>261</v>
      </c>
      <c r="CY2265">
        <v>2</v>
      </c>
      <c r="CZ2265" t="s">
        <v>121</v>
      </c>
      <c r="DA2265" t="s">
        <v>122</v>
      </c>
      <c r="DD2265">
        <v>15634949</v>
      </c>
      <c r="DE2265" t="s">
        <v>123</v>
      </c>
    </row>
    <row r="2266" spans="1:109" x14ac:dyDescent="0.3">
      <c r="A2266" t="str">
        <f>"19:12:37.773"</f>
        <v>19:12:37.773</v>
      </c>
      <c r="B2266" t="s">
        <v>110</v>
      </c>
      <c r="C2266" t="str">
        <f t="shared" si="105"/>
        <v>ffdfd3c0</v>
      </c>
      <c r="D2266" t="s">
        <v>111</v>
      </c>
      <c r="E2266">
        <v>18</v>
      </c>
      <c r="F2266">
        <v>1018</v>
      </c>
      <c r="G2266" t="s">
        <v>112</v>
      </c>
      <c r="J2266" t="s">
        <v>113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R2266" t="s">
        <v>114</v>
      </c>
      <c r="S2266" t="str">
        <f>"19:12:37.555"</f>
        <v>19:12:37.555</v>
      </c>
      <c r="T2266" t="str">
        <f>"19:12:37.055"</f>
        <v>19:12:37.055</v>
      </c>
      <c r="U2266" t="str">
        <f t="shared" si="106"/>
        <v>a1cdbe</v>
      </c>
      <c r="V2266">
        <v>0</v>
      </c>
      <c r="W2266">
        <v>0</v>
      </c>
      <c r="X2266">
        <v>1</v>
      </c>
      <c r="Y2266">
        <v>0</v>
      </c>
      <c r="Z2266">
        <v>0</v>
      </c>
      <c r="AB2266">
        <v>0</v>
      </c>
      <c r="AC2266">
        <v>9</v>
      </c>
      <c r="AD2266">
        <v>3</v>
      </c>
      <c r="AE2266">
        <v>0</v>
      </c>
      <c r="AF2266">
        <v>9</v>
      </c>
      <c r="AG2266" t="s">
        <v>158</v>
      </c>
      <c r="AH2266">
        <v>0</v>
      </c>
      <c r="AI2266">
        <v>3</v>
      </c>
      <c r="AJ2266">
        <v>1</v>
      </c>
      <c r="AK2266">
        <v>0</v>
      </c>
      <c r="AL2266" t="s">
        <v>4265</v>
      </c>
      <c r="AM2266">
        <v>46.886451000000001</v>
      </c>
      <c r="AN2266" t="s">
        <v>4266</v>
      </c>
      <c r="AO2266">
        <v>-123.170879</v>
      </c>
      <c r="AP2266">
        <v>100</v>
      </c>
      <c r="AQ2266">
        <v>2000</v>
      </c>
      <c r="AR2266" t="s">
        <v>118</v>
      </c>
      <c r="AS2266">
        <v>-79</v>
      </c>
      <c r="AT2266">
        <v>17</v>
      </c>
      <c r="AU2266">
        <v>384</v>
      </c>
      <c r="BC2266">
        <v>1200</v>
      </c>
      <c r="BD2266">
        <v>1</v>
      </c>
      <c r="BE2266" t="str">
        <f t="shared" si="107"/>
        <v xml:space="preserve">N215T   </v>
      </c>
      <c r="BF2266">
        <v>1</v>
      </c>
      <c r="BH2266">
        <v>0</v>
      </c>
      <c r="BI2266">
        <v>0</v>
      </c>
      <c r="BJ2266">
        <v>0</v>
      </c>
      <c r="BK2266">
        <v>2350</v>
      </c>
      <c r="BL2266">
        <v>350</v>
      </c>
      <c r="BM2266" t="s">
        <v>119</v>
      </c>
      <c r="BN2266">
        <v>1</v>
      </c>
      <c r="BO2266">
        <v>1</v>
      </c>
      <c r="BP2266">
        <v>1</v>
      </c>
      <c r="BQ2266">
        <v>0</v>
      </c>
      <c r="BT2266">
        <v>0</v>
      </c>
      <c r="BU2266">
        <v>0</v>
      </c>
      <c r="BV2266">
        <v>0</v>
      </c>
      <c r="CC2266" t="str">
        <f>"19:12:37.563"</f>
        <v>19:12:37.563</v>
      </c>
      <c r="CD2266" t="str">
        <f>"559645726"</f>
        <v>559645726</v>
      </c>
      <c r="CQ2266">
        <v>0</v>
      </c>
      <c r="CR2266">
        <v>2</v>
      </c>
      <c r="CS2266">
        <v>0</v>
      </c>
      <c r="CT2266">
        <v>2</v>
      </c>
      <c r="CU2266">
        <v>0</v>
      </c>
      <c r="CV2266">
        <v>7</v>
      </c>
      <c r="CW2266" t="s">
        <v>120</v>
      </c>
      <c r="CX2266">
        <v>261</v>
      </c>
      <c r="CY2266">
        <v>2</v>
      </c>
      <c r="CZ2266" t="s">
        <v>121</v>
      </c>
      <c r="DA2266" t="s">
        <v>122</v>
      </c>
      <c r="DD2266">
        <v>15635641</v>
      </c>
      <c r="DE2266" t="s">
        <v>123</v>
      </c>
    </row>
    <row r="2267" spans="1:109" x14ac:dyDescent="0.3">
      <c r="A2267" t="str">
        <f>"19:12:38.828"</f>
        <v>19:12:38.828</v>
      </c>
      <c r="B2267" t="s">
        <v>110</v>
      </c>
      <c r="C2267" t="str">
        <f t="shared" si="105"/>
        <v>ffdfd3c0</v>
      </c>
      <c r="D2267" t="s">
        <v>111</v>
      </c>
      <c r="E2267">
        <v>18</v>
      </c>
      <c r="F2267">
        <v>1018</v>
      </c>
      <c r="G2267" t="s">
        <v>112</v>
      </c>
      <c r="J2267" t="s">
        <v>113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R2267" t="s">
        <v>114</v>
      </c>
      <c r="S2267" t="str">
        <f>"19:12:38.609"</f>
        <v>19:12:38.609</v>
      </c>
      <c r="T2267" t="str">
        <f>"19:12:38.211"</f>
        <v>19:12:38.211</v>
      </c>
      <c r="U2267" t="str">
        <f t="shared" si="106"/>
        <v>a1cdbe</v>
      </c>
      <c r="V2267">
        <v>0</v>
      </c>
      <c r="W2267">
        <v>0</v>
      </c>
      <c r="X2267">
        <v>1</v>
      </c>
      <c r="Y2267">
        <v>0</v>
      </c>
      <c r="Z2267">
        <v>0</v>
      </c>
      <c r="AB2267">
        <v>0</v>
      </c>
      <c r="AC2267">
        <v>9</v>
      </c>
      <c r="AD2267">
        <v>3</v>
      </c>
      <c r="AE2267">
        <v>0</v>
      </c>
      <c r="AF2267">
        <v>9</v>
      </c>
      <c r="AG2267" t="s">
        <v>158</v>
      </c>
      <c r="AH2267">
        <v>0</v>
      </c>
      <c r="AI2267">
        <v>3</v>
      </c>
      <c r="AJ2267">
        <v>1</v>
      </c>
      <c r="AK2267">
        <v>0</v>
      </c>
      <c r="AL2267" t="s">
        <v>1494</v>
      </c>
      <c r="AM2267">
        <v>46.886536999999997</v>
      </c>
      <c r="AN2267" t="s">
        <v>4267</v>
      </c>
      <c r="AO2267">
        <v>-123.17139400000001</v>
      </c>
      <c r="AP2267">
        <v>100</v>
      </c>
      <c r="AQ2267">
        <v>2000</v>
      </c>
      <c r="AR2267" t="s">
        <v>118</v>
      </c>
      <c r="AS2267">
        <v>-79</v>
      </c>
      <c r="AT2267">
        <v>18</v>
      </c>
      <c r="AU2267">
        <v>448</v>
      </c>
      <c r="BC2267">
        <v>1200</v>
      </c>
      <c r="BD2267">
        <v>1</v>
      </c>
      <c r="BE2267" t="str">
        <f t="shared" si="107"/>
        <v xml:space="preserve">N215T   </v>
      </c>
      <c r="BF2267">
        <v>1</v>
      </c>
      <c r="BH2267">
        <v>0</v>
      </c>
      <c r="BI2267">
        <v>0</v>
      </c>
      <c r="BJ2267">
        <v>0</v>
      </c>
      <c r="BK2267">
        <v>2350</v>
      </c>
      <c r="BL2267">
        <v>350</v>
      </c>
      <c r="BM2267" t="s">
        <v>119</v>
      </c>
      <c r="BN2267">
        <v>1</v>
      </c>
      <c r="BO2267">
        <v>1</v>
      </c>
      <c r="BP2267">
        <v>1</v>
      </c>
      <c r="BQ2267">
        <v>0</v>
      </c>
      <c r="BT2267">
        <v>0</v>
      </c>
      <c r="BU2267">
        <v>0</v>
      </c>
      <c r="BV2267">
        <v>0</v>
      </c>
      <c r="CC2267" t="str">
        <f>"19:12:38.609"</f>
        <v>19:12:38.609</v>
      </c>
      <c r="CD2267" t="str">
        <f>"609542319"</f>
        <v>609542319</v>
      </c>
      <c r="CQ2267">
        <v>0</v>
      </c>
      <c r="CR2267">
        <v>2</v>
      </c>
      <c r="CS2267">
        <v>0</v>
      </c>
      <c r="CT2267">
        <v>2</v>
      </c>
      <c r="CU2267">
        <v>0</v>
      </c>
      <c r="CV2267">
        <v>7</v>
      </c>
      <c r="CW2267" t="s">
        <v>120</v>
      </c>
      <c r="CX2267">
        <v>261</v>
      </c>
      <c r="CY2267">
        <v>2</v>
      </c>
      <c r="CZ2267" t="s">
        <v>121</v>
      </c>
      <c r="DA2267" t="s">
        <v>122</v>
      </c>
      <c r="DD2267">
        <v>15636369</v>
      </c>
      <c r="DE2267" t="s">
        <v>123</v>
      </c>
    </row>
    <row r="2268" spans="1:109" x14ac:dyDescent="0.3">
      <c r="A2268" t="str">
        <f>"19:12:39.836"</f>
        <v>19:12:39.836</v>
      </c>
      <c r="B2268" t="s">
        <v>110</v>
      </c>
      <c r="C2268" t="str">
        <f t="shared" si="105"/>
        <v>ffdfd3c0</v>
      </c>
      <c r="D2268" t="s">
        <v>111</v>
      </c>
      <c r="E2268">
        <v>18</v>
      </c>
      <c r="F2268">
        <v>1018</v>
      </c>
      <c r="G2268" t="s">
        <v>112</v>
      </c>
      <c r="J2268" t="s">
        <v>113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R2268" t="s">
        <v>114</v>
      </c>
      <c r="S2268" t="str">
        <f>"19:12:39.594"</f>
        <v>19:12:39.594</v>
      </c>
      <c r="T2268" t="str">
        <f>"19:12:39.195"</f>
        <v>19:12:39.195</v>
      </c>
      <c r="U2268" t="str">
        <f t="shared" si="106"/>
        <v>a1cdbe</v>
      </c>
      <c r="V2268">
        <v>0</v>
      </c>
      <c r="W2268">
        <v>0</v>
      </c>
      <c r="X2268">
        <v>1</v>
      </c>
      <c r="Y2268">
        <v>0</v>
      </c>
      <c r="Z2268">
        <v>0</v>
      </c>
      <c r="AB2268">
        <v>0</v>
      </c>
      <c r="AC2268">
        <v>9</v>
      </c>
      <c r="AD2268">
        <v>3</v>
      </c>
      <c r="AE2268">
        <v>0</v>
      </c>
      <c r="AF2268">
        <v>9</v>
      </c>
      <c r="AG2268" t="s">
        <v>158</v>
      </c>
      <c r="AH2268">
        <v>0</v>
      </c>
      <c r="AI2268">
        <v>3</v>
      </c>
      <c r="AJ2268">
        <v>1</v>
      </c>
      <c r="AK2268">
        <v>0</v>
      </c>
      <c r="AL2268" t="s">
        <v>4268</v>
      </c>
      <c r="AM2268">
        <v>46.886623</v>
      </c>
      <c r="AN2268" t="s">
        <v>4269</v>
      </c>
      <c r="AO2268">
        <v>-123.17197299999999</v>
      </c>
      <c r="AP2268">
        <v>100</v>
      </c>
      <c r="AQ2268">
        <v>2000</v>
      </c>
      <c r="AR2268" t="s">
        <v>118</v>
      </c>
      <c r="AS2268">
        <v>-79</v>
      </c>
      <c r="AT2268">
        <v>19</v>
      </c>
      <c r="AU2268">
        <v>768</v>
      </c>
      <c r="BC2268">
        <v>1200</v>
      </c>
      <c r="BD2268">
        <v>1</v>
      </c>
      <c r="BE2268" t="str">
        <f t="shared" si="107"/>
        <v xml:space="preserve">N215T   </v>
      </c>
      <c r="BF2268">
        <v>1</v>
      </c>
      <c r="BH2268">
        <v>0</v>
      </c>
      <c r="BI2268">
        <v>0</v>
      </c>
      <c r="BJ2268">
        <v>0</v>
      </c>
      <c r="BK2268">
        <v>2375</v>
      </c>
      <c r="BL2268">
        <v>375</v>
      </c>
      <c r="BM2268" t="s">
        <v>119</v>
      </c>
      <c r="BN2268">
        <v>1</v>
      </c>
      <c r="BO2268">
        <v>1</v>
      </c>
      <c r="BP2268">
        <v>1</v>
      </c>
      <c r="BQ2268">
        <v>0</v>
      </c>
      <c r="BT2268">
        <v>0</v>
      </c>
      <c r="BU2268">
        <v>0</v>
      </c>
      <c r="BV2268">
        <v>0</v>
      </c>
      <c r="CC2268" t="str">
        <f>"19:12:39.602"</f>
        <v>19:12:39.602</v>
      </c>
      <c r="CD2268" t="str">
        <f>"599434374"</f>
        <v>599434374</v>
      </c>
      <c r="CQ2268">
        <v>0</v>
      </c>
      <c r="CR2268">
        <v>2</v>
      </c>
      <c r="CS2268">
        <v>0</v>
      </c>
      <c r="CT2268">
        <v>2</v>
      </c>
      <c r="CU2268">
        <v>0</v>
      </c>
      <c r="CV2268">
        <v>7</v>
      </c>
      <c r="CW2268" t="s">
        <v>120</v>
      </c>
      <c r="CX2268">
        <v>257</v>
      </c>
      <c r="CY2268">
        <v>1</v>
      </c>
      <c r="CZ2268" t="s">
        <v>615</v>
      </c>
      <c r="DA2268" t="s">
        <v>616</v>
      </c>
      <c r="DD2268">
        <v>12068864</v>
      </c>
      <c r="DE2268" t="s">
        <v>123</v>
      </c>
    </row>
    <row r="2269" spans="1:109" x14ac:dyDescent="0.3">
      <c r="A2269" t="str">
        <f>"19:12:40.789"</f>
        <v>19:12:40.789</v>
      </c>
      <c r="B2269" t="s">
        <v>110</v>
      </c>
      <c r="C2269" t="str">
        <f t="shared" si="105"/>
        <v>ffdfd3c0</v>
      </c>
      <c r="D2269" t="s">
        <v>111</v>
      </c>
      <c r="E2269">
        <v>18</v>
      </c>
      <c r="F2269">
        <v>1018</v>
      </c>
      <c r="G2269" t="s">
        <v>112</v>
      </c>
      <c r="J2269" t="s">
        <v>113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R2269" t="s">
        <v>114</v>
      </c>
      <c r="S2269" t="str">
        <f>"19:12:40.586"</f>
        <v>19:12:40.586</v>
      </c>
      <c r="T2269" t="str">
        <f>"19:12:40.484"</f>
        <v>19:12:40.484</v>
      </c>
      <c r="U2269" t="str">
        <f t="shared" si="106"/>
        <v>a1cdbe</v>
      </c>
      <c r="V2269">
        <v>0</v>
      </c>
      <c r="W2269">
        <v>0</v>
      </c>
      <c r="X2269">
        <v>1</v>
      </c>
      <c r="Y2269">
        <v>0</v>
      </c>
      <c r="Z2269">
        <v>0</v>
      </c>
      <c r="AB2269">
        <v>0</v>
      </c>
      <c r="AC2269">
        <v>9</v>
      </c>
      <c r="AD2269">
        <v>3</v>
      </c>
      <c r="AE2269">
        <v>0</v>
      </c>
      <c r="AF2269">
        <v>9</v>
      </c>
      <c r="AG2269" t="s">
        <v>158</v>
      </c>
      <c r="AH2269">
        <v>0</v>
      </c>
      <c r="AI2269">
        <v>3</v>
      </c>
      <c r="AJ2269">
        <v>1</v>
      </c>
      <c r="AK2269">
        <v>0</v>
      </c>
      <c r="AL2269" t="s">
        <v>4270</v>
      </c>
      <c r="AM2269">
        <v>46.886709000000003</v>
      </c>
      <c r="AN2269" t="s">
        <v>4271</v>
      </c>
      <c r="AO2269">
        <v>-123.172445</v>
      </c>
      <c r="AP2269">
        <v>100</v>
      </c>
      <c r="AQ2269">
        <v>2000</v>
      </c>
      <c r="AR2269" t="s">
        <v>118</v>
      </c>
      <c r="AS2269">
        <v>-79</v>
      </c>
      <c r="AT2269">
        <v>21</v>
      </c>
      <c r="AU2269">
        <v>768</v>
      </c>
      <c r="BC2269">
        <v>1200</v>
      </c>
      <c r="BD2269">
        <v>1</v>
      </c>
      <c r="BE2269" t="str">
        <f t="shared" si="107"/>
        <v xml:space="preserve">N215T   </v>
      </c>
      <c r="BF2269">
        <v>1</v>
      </c>
      <c r="BH2269">
        <v>0</v>
      </c>
      <c r="BI2269">
        <v>0</v>
      </c>
      <c r="BJ2269">
        <v>0</v>
      </c>
      <c r="BK2269">
        <v>2400</v>
      </c>
      <c r="BL2269">
        <v>400</v>
      </c>
      <c r="BM2269" t="s">
        <v>119</v>
      </c>
      <c r="BN2269">
        <v>1</v>
      </c>
      <c r="BO2269">
        <v>1</v>
      </c>
      <c r="BP2269">
        <v>1</v>
      </c>
      <c r="BQ2269">
        <v>0</v>
      </c>
      <c r="BT2269">
        <v>0</v>
      </c>
      <c r="BU2269">
        <v>0</v>
      </c>
      <c r="BV2269">
        <v>0</v>
      </c>
      <c r="CC2269" t="str">
        <f>"19:12:40.586"</f>
        <v>19:12:40.586</v>
      </c>
      <c r="CD2269" t="str">
        <f>"589336798"</f>
        <v>589336798</v>
      </c>
      <c r="CQ2269">
        <v>0</v>
      </c>
      <c r="CR2269">
        <v>2</v>
      </c>
      <c r="CS2269">
        <v>0</v>
      </c>
      <c r="CT2269">
        <v>2</v>
      </c>
      <c r="CU2269">
        <v>0</v>
      </c>
      <c r="CV2269">
        <v>7</v>
      </c>
      <c r="CW2269" t="s">
        <v>120</v>
      </c>
      <c r="CX2269">
        <v>257</v>
      </c>
      <c r="CY2269">
        <v>1</v>
      </c>
      <c r="CZ2269" t="s">
        <v>615</v>
      </c>
      <c r="DA2269" t="s">
        <v>616</v>
      </c>
      <c r="DD2269">
        <v>12069556</v>
      </c>
      <c r="DE2269" t="s">
        <v>123</v>
      </c>
    </row>
    <row r="2270" spans="1:109" x14ac:dyDescent="0.3">
      <c r="A2270" t="str">
        <f>"19:12:41.945"</f>
        <v>19:12:41.945</v>
      </c>
      <c r="B2270" t="s">
        <v>110</v>
      </c>
      <c r="C2270" t="str">
        <f t="shared" si="105"/>
        <v>ffdfd3c0</v>
      </c>
      <c r="D2270" t="s">
        <v>111</v>
      </c>
      <c r="E2270">
        <v>18</v>
      </c>
      <c r="F2270">
        <v>1018</v>
      </c>
      <c r="G2270" t="s">
        <v>112</v>
      </c>
      <c r="J2270" t="s">
        <v>113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R2270" t="s">
        <v>114</v>
      </c>
      <c r="S2270" t="str">
        <f>"19:12:41.680"</f>
        <v>19:12:41.680</v>
      </c>
      <c r="T2270" t="str">
        <f>"19:12:41.578"</f>
        <v>19:12:41.578</v>
      </c>
      <c r="U2270" t="str">
        <f t="shared" si="106"/>
        <v>a1cdbe</v>
      </c>
      <c r="V2270">
        <v>0</v>
      </c>
      <c r="W2270">
        <v>0</v>
      </c>
      <c r="X2270">
        <v>1</v>
      </c>
      <c r="Y2270">
        <v>0</v>
      </c>
      <c r="Z2270">
        <v>0</v>
      </c>
      <c r="AB2270">
        <v>0</v>
      </c>
      <c r="AC2270">
        <v>9</v>
      </c>
      <c r="AD2270">
        <v>3</v>
      </c>
      <c r="AE2270">
        <v>0</v>
      </c>
      <c r="AF2270">
        <v>9</v>
      </c>
      <c r="AG2270" t="s">
        <v>158</v>
      </c>
      <c r="AH2270">
        <v>0</v>
      </c>
      <c r="AI2270">
        <v>3</v>
      </c>
      <c r="AJ2270">
        <v>1</v>
      </c>
      <c r="AK2270">
        <v>0</v>
      </c>
      <c r="AL2270" t="s">
        <v>1492</v>
      </c>
      <c r="AM2270">
        <v>46.886816000000003</v>
      </c>
      <c r="AN2270" t="s">
        <v>4272</v>
      </c>
      <c r="AO2270">
        <v>-123.17300299999999</v>
      </c>
      <c r="AP2270">
        <v>100</v>
      </c>
      <c r="AQ2270">
        <v>2000</v>
      </c>
      <c r="AR2270" t="s">
        <v>118</v>
      </c>
      <c r="AS2270">
        <v>-78</v>
      </c>
      <c r="AT2270">
        <v>23</v>
      </c>
      <c r="AU2270">
        <v>448</v>
      </c>
      <c r="BC2270">
        <v>1200</v>
      </c>
      <c r="BD2270">
        <v>1</v>
      </c>
      <c r="BE2270" t="str">
        <f t="shared" si="107"/>
        <v xml:space="preserve">N215T   </v>
      </c>
      <c r="BF2270">
        <v>1</v>
      </c>
      <c r="BH2270">
        <v>0</v>
      </c>
      <c r="BI2270">
        <v>0</v>
      </c>
      <c r="BJ2270">
        <v>0</v>
      </c>
      <c r="BK2270">
        <v>2400</v>
      </c>
      <c r="BL2270">
        <v>400</v>
      </c>
      <c r="BM2270" t="s">
        <v>119</v>
      </c>
      <c r="BN2270">
        <v>1</v>
      </c>
      <c r="BO2270">
        <v>1</v>
      </c>
      <c r="BP2270">
        <v>1</v>
      </c>
      <c r="BQ2270">
        <v>0</v>
      </c>
      <c r="BT2270">
        <v>0</v>
      </c>
      <c r="BU2270">
        <v>0</v>
      </c>
      <c r="BV2270">
        <v>0</v>
      </c>
      <c r="CC2270" t="str">
        <f>"19:12:41.688"</f>
        <v>19:12:41.688</v>
      </c>
      <c r="CD2270" t="str">
        <f>"684228860"</f>
        <v>684228860</v>
      </c>
      <c r="CQ2270">
        <v>0</v>
      </c>
      <c r="CR2270">
        <v>2</v>
      </c>
      <c r="CS2270">
        <v>0</v>
      </c>
      <c r="CT2270">
        <v>2</v>
      </c>
      <c r="CU2270">
        <v>0</v>
      </c>
      <c r="CV2270">
        <v>7</v>
      </c>
      <c r="CW2270" t="s">
        <v>120</v>
      </c>
      <c r="CX2270">
        <v>257</v>
      </c>
      <c r="CY2270">
        <v>0</v>
      </c>
      <c r="CZ2270" t="s">
        <v>615</v>
      </c>
      <c r="DA2270" t="s">
        <v>616</v>
      </c>
      <c r="DD2270">
        <v>15814135</v>
      </c>
      <c r="DE2270" t="s">
        <v>123</v>
      </c>
    </row>
    <row r="2271" spans="1:109" x14ac:dyDescent="0.3">
      <c r="A2271" t="str">
        <f>"19:12:42.750"</f>
        <v>19:12:42.750</v>
      </c>
      <c r="B2271" t="s">
        <v>110</v>
      </c>
      <c r="C2271" t="str">
        <f t="shared" si="105"/>
        <v>ffdfd3c0</v>
      </c>
      <c r="D2271" t="s">
        <v>111</v>
      </c>
      <c r="E2271">
        <v>18</v>
      </c>
      <c r="F2271">
        <v>1018</v>
      </c>
      <c r="G2271" t="s">
        <v>112</v>
      </c>
      <c r="J2271" t="s">
        <v>113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R2271" t="s">
        <v>114</v>
      </c>
      <c r="S2271" t="str">
        <f>"19:12:42.523"</f>
        <v>19:12:42.523</v>
      </c>
      <c r="T2271" t="str">
        <f>"19:12:42.523"</f>
        <v>19:12:42.523</v>
      </c>
      <c r="U2271" t="str">
        <f t="shared" si="106"/>
        <v>a1cdbe</v>
      </c>
      <c r="V2271">
        <v>0</v>
      </c>
      <c r="W2271">
        <v>0</v>
      </c>
      <c r="X2271">
        <v>1</v>
      </c>
      <c r="Y2271">
        <v>0</v>
      </c>
      <c r="Z2271">
        <v>0</v>
      </c>
      <c r="AB2271">
        <v>0</v>
      </c>
      <c r="AC2271">
        <v>9</v>
      </c>
      <c r="AD2271">
        <v>3</v>
      </c>
      <c r="AE2271">
        <v>0</v>
      </c>
      <c r="AF2271">
        <v>9</v>
      </c>
      <c r="AG2271" t="s">
        <v>158</v>
      </c>
      <c r="AH2271">
        <v>0</v>
      </c>
      <c r="AI2271">
        <v>3</v>
      </c>
      <c r="AJ2271">
        <v>1</v>
      </c>
      <c r="AK2271">
        <v>0</v>
      </c>
      <c r="AL2271" t="s">
        <v>4273</v>
      </c>
      <c r="AM2271">
        <v>46.886901999999999</v>
      </c>
      <c r="AN2271" t="s">
        <v>4274</v>
      </c>
      <c r="AO2271">
        <v>-123.173497</v>
      </c>
      <c r="AP2271">
        <v>100</v>
      </c>
      <c r="AQ2271">
        <v>2000</v>
      </c>
      <c r="AR2271" t="s">
        <v>118</v>
      </c>
      <c r="AS2271">
        <v>-78</v>
      </c>
      <c r="AT2271">
        <v>23</v>
      </c>
      <c r="AU2271">
        <v>320</v>
      </c>
      <c r="BC2271">
        <v>1200</v>
      </c>
      <c r="BD2271">
        <v>1</v>
      </c>
      <c r="BE2271" t="str">
        <f t="shared" si="107"/>
        <v xml:space="preserve">N215T   </v>
      </c>
      <c r="BF2271">
        <v>1</v>
      </c>
      <c r="BH2271">
        <v>0</v>
      </c>
      <c r="BI2271">
        <v>0</v>
      </c>
      <c r="BJ2271">
        <v>0</v>
      </c>
      <c r="BK2271">
        <v>2425</v>
      </c>
      <c r="BL2271">
        <v>425</v>
      </c>
      <c r="BM2271" t="s">
        <v>119</v>
      </c>
      <c r="BN2271">
        <v>1</v>
      </c>
      <c r="BO2271">
        <v>1</v>
      </c>
      <c r="BP2271">
        <v>1</v>
      </c>
      <c r="BQ2271">
        <v>0</v>
      </c>
      <c r="BT2271">
        <v>0</v>
      </c>
      <c r="BU2271">
        <v>0</v>
      </c>
      <c r="BV2271">
        <v>0</v>
      </c>
      <c r="CC2271" t="str">
        <f>"19:12:42.523"</f>
        <v>19:12:42.523</v>
      </c>
      <c r="CD2271" t="str">
        <f>"524156764"</f>
        <v>524156764</v>
      </c>
      <c r="CQ2271">
        <v>0</v>
      </c>
      <c r="CR2271">
        <v>2</v>
      </c>
      <c r="CS2271">
        <v>0</v>
      </c>
      <c r="CT2271">
        <v>2</v>
      </c>
      <c r="CU2271">
        <v>0</v>
      </c>
      <c r="CV2271">
        <v>7</v>
      </c>
      <c r="CW2271" t="s">
        <v>120</v>
      </c>
      <c r="CX2271">
        <v>261</v>
      </c>
      <c r="CY2271">
        <v>2</v>
      </c>
      <c r="CZ2271" t="s">
        <v>121</v>
      </c>
      <c r="DA2271" t="s">
        <v>122</v>
      </c>
      <c r="DD2271">
        <v>15639051</v>
      </c>
      <c r="DE2271" t="s">
        <v>123</v>
      </c>
    </row>
    <row r="2272" spans="1:109" x14ac:dyDescent="0.3">
      <c r="A2272" t="str">
        <f>"19:12:43.703"</f>
        <v>19:12:43.703</v>
      </c>
      <c r="B2272" t="s">
        <v>110</v>
      </c>
      <c r="C2272" t="str">
        <f t="shared" si="105"/>
        <v>ffdfd3c0</v>
      </c>
      <c r="D2272" t="s">
        <v>111</v>
      </c>
      <c r="E2272">
        <v>18</v>
      </c>
      <c r="F2272">
        <v>1018</v>
      </c>
      <c r="G2272" t="s">
        <v>112</v>
      </c>
      <c r="J2272" t="s">
        <v>113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R2272" t="s">
        <v>114</v>
      </c>
      <c r="S2272" t="str">
        <f>"19:12:43.469"</f>
        <v>19:12:43.469</v>
      </c>
      <c r="T2272" t="str">
        <f>"19:12:43.070"</f>
        <v>19:12:43.070</v>
      </c>
      <c r="U2272" t="str">
        <f t="shared" si="106"/>
        <v>a1cdbe</v>
      </c>
      <c r="V2272">
        <v>0</v>
      </c>
      <c r="W2272">
        <v>0</v>
      </c>
      <c r="X2272">
        <v>1</v>
      </c>
      <c r="Y2272">
        <v>0</v>
      </c>
      <c r="Z2272">
        <v>0</v>
      </c>
      <c r="AB2272">
        <v>0</v>
      </c>
      <c r="AC2272">
        <v>9</v>
      </c>
      <c r="AD2272">
        <v>3</v>
      </c>
      <c r="AE2272">
        <v>0</v>
      </c>
      <c r="AF2272">
        <v>9</v>
      </c>
      <c r="AG2272" t="s">
        <v>158</v>
      </c>
      <c r="AH2272">
        <v>0</v>
      </c>
      <c r="AI2272">
        <v>3</v>
      </c>
      <c r="AJ2272">
        <v>1</v>
      </c>
      <c r="AK2272">
        <v>0</v>
      </c>
      <c r="AL2272" t="s">
        <v>4275</v>
      </c>
      <c r="AM2272">
        <v>46.886988000000002</v>
      </c>
      <c r="AN2272" t="s">
        <v>4276</v>
      </c>
      <c r="AO2272">
        <v>-123.17399</v>
      </c>
      <c r="AP2272">
        <v>100</v>
      </c>
      <c r="AQ2272">
        <v>2000</v>
      </c>
      <c r="AR2272" t="s">
        <v>118</v>
      </c>
      <c r="AS2272">
        <v>-77</v>
      </c>
      <c r="AT2272">
        <v>24</v>
      </c>
      <c r="AU2272">
        <v>320</v>
      </c>
      <c r="BC2272">
        <v>1200</v>
      </c>
      <c r="BD2272">
        <v>1</v>
      </c>
      <c r="BE2272" t="str">
        <f t="shared" si="107"/>
        <v xml:space="preserve">N215T   </v>
      </c>
      <c r="BF2272">
        <v>1</v>
      </c>
      <c r="BH2272">
        <v>0</v>
      </c>
      <c r="BI2272">
        <v>0</v>
      </c>
      <c r="BJ2272">
        <v>0</v>
      </c>
      <c r="BK2272">
        <v>2425</v>
      </c>
      <c r="BL2272">
        <v>425</v>
      </c>
      <c r="BM2272" t="s">
        <v>119</v>
      </c>
      <c r="BN2272">
        <v>1</v>
      </c>
      <c r="BO2272">
        <v>1</v>
      </c>
      <c r="BP2272">
        <v>1</v>
      </c>
      <c r="BQ2272">
        <v>0</v>
      </c>
      <c r="BT2272">
        <v>0</v>
      </c>
      <c r="BU2272">
        <v>0</v>
      </c>
      <c r="BV2272">
        <v>0</v>
      </c>
      <c r="CC2272" t="str">
        <f>"19:12:43.469"</f>
        <v>19:12:43.469</v>
      </c>
      <c r="CD2272" t="str">
        <f>"469052928"</f>
        <v>469052928</v>
      </c>
      <c r="CQ2272">
        <v>0</v>
      </c>
      <c r="CR2272">
        <v>2</v>
      </c>
      <c r="CS2272">
        <v>0</v>
      </c>
      <c r="CT2272">
        <v>2</v>
      </c>
      <c r="CU2272">
        <v>0</v>
      </c>
      <c r="CV2272">
        <v>7</v>
      </c>
      <c r="CW2272" t="s">
        <v>120</v>
      </c>
      <c r="CX2272">
        <v>257</v>
      </c>
      <c r="CY2272">
        <v>0</v>
      </c>
      <c r="CZ2272" t="s">
        <v>615</v>
      </c>
      <c r="DA2272" t="s">
        <v>616</v>
      </c>
      <c r="DD2272">
        <v>15815167</v>
      </c>
      <c r="DE2272" t="s">
        <v>123</v>
      </c>
    </row>
    <row r="2273" spans="1:109" x14ac:dyDescent="0.3">
      <c r="A2273" t="str">
        <f>"19:12:44.664"</f>
        <v>19:12:44.664</v>
      </c>
      <c r="B2273" t="s">
        <v>110</v>
      </c>
      <c r="C2273" t="str">
        <f t="shared" si="105"/>
        <v>ffdfd3c0</v>
      </c>
      <c r="D2273" t="s">
        <v>111</v>
      </c>
      <c r="E2273">
        <v>18</v>
      </c>
      <c r="F2273">
        <v>1018</v>
      </c>
      <c r="G2273" t="s">
        <v>112</v>
      </c>
      <c r="J2273" t="s">
        <v>113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R2273" t="s">
        <v>114</v>
      </c>
      <c r="S2273" t="str">
        <f>"19:12:44.438"</f>
        <v>19:12:44.438</v>
      </c>
      <c r="T2273" t="str">
        <f>"19:12:44.039"</f>
        <v>19:12:44.039</v>
      </c>
      <c r="U2273" t="str">
        <f t="shared" si="106"/>
        <v>a1cdbe</v>
      </c>
      <c r="V2273">
        <v>0</v>
      </c>
      <c r="W2273">
        <v>0</v>
      </c>
      <c r="X2273">
        <v>1</v>
      </c>
      <c r="Y2273">
        <v>0</v>
      </c>
      <c r="Z2273">
        <v>0</v>
      </c>
      <c r="AB2273">
        <v>0</v>
      </c>
      <c r="AC2273">
        <v>9</v>
      </c>
      <c r="AD2273">
        <v>3</v>
      </c>
      <c r="AE2273">
        <v>0</v>
      </c>
      <c r="AF2273">
        <v>9</v>
      </c>
      <c r="AG2273" t="s">
        <v>158</v>
      </c>
      <c r="AH2273">
        <v>0</v>
      </c>
      <c r="AI2273">
        <v>3</v>
      </c>
      <c r="AJ2273">
        <v>1</v>
      </c>
      <c r="AK2273">
        <v>0</v>
      </c>
      <c r="AL2273" t="s">
        <v>4277</v>
      </c>
      <c r="AM2273">
        <v>46.887138</v>
      </c>
      <c r="AN2273" t="s">
        <v>4278</v>
      </c>
      <c r="AO2273">
        <v>-123.17446200000001</v>
      </c>
      <c r="AP2273">
        <v>100</v>
      </c>
      <c r="AQ2273">
        <v>2000</v>
      </c>
      <c r="AR2273" t="s">
        <v>118</v>
      </c>
      <c r="AS2273">
        <v>-76</v>
      </c>
      <c r="AT2273">
        <v>26</v>
      </c>
      <c r="AU2273">
        <v>448</v>
      </c>
      <c r="BC2273">
        <v>1200</v>
      </c>
      <c r="BD2273">
        <v>1</v>
      </c>
      <c r="BE2273" t="str">
        <f t="shared" si="107"/>
        <v xml:space="preserve">N215T   </v>
      </c>
      <c r="BF2273">
        <v>1</v>
      </c>
      <c r="BH2273">
        <v>0</v>
      </c>
      <c r="BI2273">
        <v>0</v>
      </c>
      <c r="BJ2273">
        <v>0</v>
      </c>
      <c r="BK2273">
        <v>2425</v>
      </c>
      <c r="BL2273">
        <v>425</v>
      </c>
      <c r="BM2273" t="s">
        <v>119</v>
      </c>
      <c r="BN2273">
        <v>1</v>
      </c>
      <c r="BO2273">
        <v>1</v>
      </c>
      <c r="BP2273">
        <v>1</v>
      </c>
      <c r="BQ2273">
        <v>0</v>
      </c>
      <c r="BT2273">
        <v>0</v>
      </c>
      <c r="BU2273">
        <v>0</v>
      </c>
      <c r="BV2273">
        <v>0</v>
      </c>
      <c r="CC2273" t="str">
        <f>"19:12:44.445"</f>
        <v>19:12:44.445</v>
      </c>
      <c r="CD2273" t="str">
        <f>"443956839"</f>
        <v>443956839</v>
      </c>
      <c r="CQ2273">
        <v>0</v>
      </c>
      <c r="CR2273">
        <v>2</v>
      </c>
      <c r="CS2273">
        <v>0</v>
      </c>
      <c r="CT2273">
        <v>2</v>
      </c>
      <c r="CU2273">
        <v>0</v>
      </c>
      <c r="CV2273">
        <v>7</v>
      </c>
      <c r="CW2273" t="s">
        <v>120</v>
      </c>
      <c r="CX2273">
        <v>257</v>
      </c>
      <c r="CY2273">
        <v>0</v>
      </c>
      <c r="CZ2273" t="s">
        <v>615</v>
      </c>
      <c r="DA2273" t="s">
        <v>616</v>
      </c>
      <c r="DD2273">
        <v>15815688</v>
      </c>
      <c r="DE2273" t="s">
        <v>123</v>
      </c>
    </row>
    <row r="2274" spans="1:109" x14ac:dyDescent="0.3">
      <c r="A2274" t="str">
        <f>"19:12:45.766"</f>
        <v>19:12:45.766</v>
      </c>
      <c r="B2274" t="s">
        <v>110</v>
      </c>
      <c r="C2274" t="str">
        <f t="shared" si="105"/>
        <v>ffdfd3c0</v>
      </c>
      <c r="D2274" t="s">
        <v>111</v>
      </c>
      <c r="E2274">
        <v>18</v>
      </c>
      <c r="F2274">
        <v>1018</v>
      </c>
      <c r="G2274" t="s">
        <v>112</v>
      </c>
      <c r="J2274" t="s">
        <v>113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R2274" t="s">
        <v>114</v>
      </c>
      <c r="S2274" t="str">
        <f>"19:12:45.523"</f>
        <v>19:12:45.523</v>
      </c>
      <c r="T2274" t="str">
        <f>"19:12:45.125"</f>
        <v>19:12:45.125</v>
      </c>
      <c r="U2274" t="str">
        <f t="shared" si="106"/>
        <v>a1cdbe</v>
      </c>
      <c r="V2274">
        <v>0</v>
      </c>
      <c r="W2274">
        <v>0</v>
      </c>
      <c r="X2274">
        <v>1</v>
      </c>
      <c r="Y2274">
        <v>0</v>
      </c>
      <c r="Z2274">
        <v>0</v>
      </c>
      <c r="AB2274">
        <v>0</v>
      </c>
      <c r="AC2274">
        <v>9</v>
      </c>
      <c r="AD2274">
        <v>3</v>
      </c>
      <c r="AE2274">
        <v>0</v>
      </c>
      <c r="AF2274">
        <v>9</v>
      </c>
      <c r="AG2274" t="s">
        <v>158</v>
      </c>
      <c r="AH2274">
        <v>0</v>
      </c>
      <c r="AI2274">
        <v>3</v>
      </c>
      <c r="AJ2274">
        <v>1</v>
      </c>
      <c r="AK2274">
        <v>0</v>
      </c>
      <c r="AL2274" t="s">
        <v>4279</v>
      </c>
      <c r="AM2274">
        <v>46.887267000000001</v>
      </c>
      <c r="AN2274" t="s">
        <v>4280</v>
      </c>
      <c r="AO2274">
        <v>-123.174977</v>
      </c>
      <c r="AP2274">
        <v>100</v>
      </c>
      <c r="AQ2274">
        <v>2100</v>
      </c>
      <c r="AR2274" t="s">
        <v>118</v>
      </c>
      <c r="AS2274">
        <v>-75</v>
      </c>
      <c r="AT2274">
        <v>26</v>
      </c>
      <c r="AU2274">
        <v>576</v>
      </c>
      <c r="BC2274">
        <v>1200</v>
      </c>
      <c r="BD2274">
        <v>1</v>
      </c>
      <c r="BE2274" t="str">
        <f t="shared" si="107"/>
        <v xml:space="preserve">N215T   </v>
      </c>
      <c r="BF2274">
        <v>1</v>
      </c>
      <c r="BH2274">
        <v>0</v>
      </c>
      <c r="BI2274">
        <v>0</v>
      </c>
      <c r="BJ2274">
        <v>0</v>
      </c>
      <c r="BK2274">
        <v>2425</v>
      </c>
      <c r="BL2274">
        <v>325</v>
      </c>
      <c r="BM2274" t="s">
        <v>119</v>
      </c>
      <c r="BN2274">
        <v>1</v>
      </c>
      <c r="BO2274">
        <v>1</v>
      </c>
      <c r="BP2274">
        <v>1</v>
      </c>
      <c r="BQ2274">
        <v>0</v>
      </c>
      <c r="BT2274">
        <v>0</v>
      </c>
      <c r="BU2274">
        <v>0</v>
      </c>
      <c r="BV2274">
        <v>0</v>
      </c>
      <c r="CC2274" t="str">
        <f>"19:12:45.523"</f>
        <v>19:12:45.523</v>
      </c>
      <c r="CD2274" t="str">
        <f>"523861296"</f>
        <v>523861296</v>
      </c>
      <c r="CQ2274">
        <v>0</v>
      </c>
      <c r="CR2274">
        <v>2</v>
      </c>
      <c r="CS2274">
        <v>0</v>
      </c>
      <c r="CT2274">
        <v>2</v>
      </c>
      <c r="CU2274">
        <v>0</v>
      </c>
      <c r="CV2274">
        <v>7</v>
      </c>
      <c r="CW2274" t="s">
        <v>120</v>
      </c>
      <c r="CX2274">
        <v>261</v>
      </c>
      <c r="CY2274">
        <v>2</v>
      </c>
      <c r="CZ2274" t="s">
        <v>121</v>
      </c>
      <c r="DA2274" t="s">
        <v>122</v>
      </c>
      <c r="DD2274">
        <v>15641154</v>
      </c>
      <c r="DE2274" t="s">
        <v>123</v>
      </c>
    </row>
    <row r="2275" spans="1:109" x14ac:dyDescent="0.3">
      <c r="A2275" t="str">
        <f>"19:12:46.820"</f>
        <v>19:12:46.820</v>
      </c>
      <c r="B2275" t="s">
        <v>110</v>
      </c>
      <c r="C2275" t="str">
        <f t="shared" si="105"/>
        <v>ffdfd3c0</v>
      </c>
      <c r="D2275" t="s">
        <v>111</v>
      </c>
      <c r="E2275">
        <v>18</v>
      </c>
      <c r="F2275">
        <v>1018</v>
      </c>
      <c r="G2275" t="s">
        <v>112</v>
      </c>
      <c r="J2275" t="s">
        <v>113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R2275" t="s">
        <v>114</v>
      </c>
      <c r="S2275" t="str">
        <f>"19:12:46.602"</f>
        <v>19:12:46.602</v>
      </c>
      <c r="T2275" t="str">
        <f>"19:12:46.500"</f>
        <v>19:12:46.500</v>
      </c>
      <c r="U2275" t="str">
        <f t="shared" si="106"/>
        <v>a1cdbe</v>
      </c>
      <c r="V2275">
        <v>0</v>
      </c>
      <c r="W2275">
        <v>0</v>
      </c>
      <c r="X2275">
        <v>1</v>
      </c>
      <c r="Y2275">
        <v>0</v>
      </c>
      <c r="Z2275">
        <v>0</v>
      </c>
      <c r="AB2275">
        <v>0</v>
      </c>
      <c r="AC2275">
        <v>9</v>
      </c>
      <c r="AD2275">
        <v>3</v>
      </c>
      <c r="AE2275">
        <v>0</v>
      </c>
      <c r="AF2275">
        <v>9</v>
      </c>
      <c r="AG2275" t="s">
        <v>158</v>
      </c>
      <c r="AH2275">
        <v>0</v>
      </c>
      <c r="AI2275">
        <v>3</v>
      </c>
      <c r="AJ2275">
        <v>1</v>
      </c>
      <c r="AK2275">
        <v>0</v>
      </c>
      <c r="AL2275" t="s">
        <v>4281</v>
      </c>
      <c r="AM2275">
        <v>46.887416999999999</v>
      </c>
      <c r="AN2275" t="s">
        <v>4282</v>
      </c>
      <c r="AO2275">
        <v>-123.175535</v>
      </c>
      <c r="AP2275">
        <v>100</v>
      </c>
      <c r="AQ2275">
        <v>2100</v>
      </c>
      <c r="AR2275" t="s">
        <v>118</v>
      </c>
      <c r="AS2275">
        <v>-74</v>
      </c>
      <c r="AT2275">
        <v>26</v>
      </c>
      <c r="AU2275">
        <v>448</v>
      </c>
      <c r="BC2275">
        <v>1200</v>
      </c>
      <c r="BD2275">
        <v>1</v>
      </c>
      <c r="BE2275" t="str">
        <f t="shared" si="107"/>
        <v xml:space="preserve">N215T   </v>
      </c>
      <c r="BF2275">
        <v>1</v>
      </c>
      <c r="BH2275">
        <v>0</v>
      </c>
      <c r="BI2275">
        <v>0</v>
      </c>
      <c r="BJ2275">
        <v>0</v>
      </c>
      <c r="BK2275">
        <v>2450</v>
      </c>
      <c r="BL2275">
        <v>350</v>
      </c>
      <c r="BM2275" t="s">
        <v>119</v>
      </c>
      <c r="BN2275">
        <v>1</v>
      </c>
      <c r="BO2275">
        <v>1</v>
      </c>
      <c r="BP2275">
        <v>1</v>
      </c>
      <c r="BQ2275">
        <v>0</v>
      </c>
      <c r="BT2275">
        <v>0</v>
      </c>
      <c r="BU2275">
        <v>0</v>
      </c>
      <c r="BV2275">
        <v>0</v>
      </c>
      <c r="CC2275" t="str">
        <f>"19:12:46.602"</f>
        <v>19:12:46.602</v>
      </c>
      <c r="CD2275" t="str">
        <f>"603743955"</f>
        <v>603743955</v>
      </c>
      <c r="CQ2275">
        <v>0</v>
      </c>
      <c r="CR2275">
        <v>2</v>
      </c>
      <c r="CS2275">
        <v>0</v>
      </c>
      <c r="CT2275">
        <v>2</v>
      </c>
      <c r="CU2275">
        <v>0</v>
      </c>
      <c r="CV2275">
        <v>7</v>
      </c>
      <c r="CW2275" t="s">
        <v>120</v>
      </c>
      <c r="CX2275">
        <v>257</v>
      </c>
      <c r="CY2275">
        <v>0</v>
      </c>
      <c r="CZ2275" t="s">
        <v>615</v>
      </c>
      <c r="DA2275" t="s">
        <v>616</v>
      </c>
      <c r="DD2275">
        <v>15816868</v>
      </c>
      <c r="DE2275" t="s">
        <v>123</v>
      </c>
    </row>
    <row r="2276" spans="1:109" x14ac:dyDescent="0.3">
      <c r="A2276" t="str">
        <f>"19:12:47.781"</f>
        <v>19:12:47.781</v>
      </c>
      <c r="B2276" t="s">
        <v>110</v>
      </c>
      <c r="C2276" t="str">
        <f t="shared" si="105"/>
        <v>ffdfd3c0</v>
      </c>
      <c r="D2276" t="s">
        <v>111</v>
      </c>
      <c r="E2276">
        <v>18</v>
      </c>
      <c r="F2276">
        <v>1018</v>
      </c>
      <c r="G2276" t="s">
        <v>112</v>
      </c>
      <c r="J2276" t="s">
        <v>113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R2276" t="s">
        <v>114</v>
      </c>
      <c r="S2276" t="str">
        <f>"19:12:47.578"</f>
        <v>19:12:47.578</v>
      </c>
      <c r="T2276" t="str">
        <f>"19:12:47.578"</f>
        <v>19:12:47.578</v>
      </c>
      <c r="U2276" t="str">
        <f t="shared" si="106"/>
        <v>a1cdbe</v>
      </c>
      <c r="V2276">
        <v>0</v>
      </c>
      <c r="W2276">
        <v>0</v>
      </c>
      <c r="X2276">
        <v>1</v>
      </c>
      <c r="Y2276">
        <v>0</v>
      </c>
      <c r="Z2276">
        <v>0</v>
      </c>
      <c r="AB2276">
        <v>0</v>
      </c>
      <c r="AC2276">
        <v>9</v>
      </c>
      <c r="AD2276">
        <v>3</v>
      </c>
      <c r="AE2276">
        <v>0</v>
      </c>
      <c r="AF2276">
        <v>9</v>
      </c>
      <c r="AG2276" t="s">
        <v>158</v>
      </c>
      <c r="AH2276">
        <v>0</v>
      </c>
      <c r="AI2276">
        <v>3</v>
      </c>
      <c r="AJ2276">
        <v>1</v>
      </c>
      <c r="AK2276">
        <v>0</v>
      </c>
      <c r="AL2276" t="s">
        <v>4283</v>
      </c>
      <c r="AM2276">
        <v>46.887503000000002</v>
      </c>
      <c r="AN2276" t="s">
        <v>4284</v>
      </c>
      <c r="AO2276">
        <v>-123.176029</v>
      </c>
      <c r="AP2276">
        <v>100</v>
      </c>
      <c r="AQ2276">
        <v>2100</v>
      </c>
      <c r="AR2276" t="s">
        <v>118</v>
      </c>
      <c r="AS2276">
        <v>-73</v>
      </c>
      <c r="AT2276">
        <v>27</v>
      </c>
      <c r="AU2276">
        <v>320</v>
      </c>
      <c r="BC2276">
        <v>1200</v>
      </c>
      <c r="BD2276">
        <v>1</v>
      </c>
      <c r="BE2276" t="str">
        <f t="shared" si="107"/>
        <v xml:space="preserve">N215T   </v>
      </c>
      <c r="BF2276">
        <v>1</v>
      </c>
      <c r="BH2276">
        <v>0</v>
      </c>
      <c r="BI2276">
        <v>0</v>
      </c>
      <c r="BJ2276">
        <v>0</v>
      </c>
      <c r="BK2276">
        <v>2450</v>
      </c>
      <c r="BL2276">
        <v>350</v>
      </c>
      <c r="BM2276" t="s">
        <v>119</v>
      </c>
      <c r="BN2276">
        <v>1</v>
      </c>
      <c r="BO2276">
        <v>1</v>
      </c>
      <c r="BP2276">
        <v>1</v>
      </c>
      <c r="BQ2276">
        <v>0</v>
      </c>
      <c r="BT2276">
        <v>0</v>
      </c>
      <c r="BU2276">
        <v>0</v>
      </c>
      <c r="BV2276">
        <v>0</v>
      </c>
      <c r="CC2276" t="str">
        <f>"19:12:47.578"</f>
        <v>19:12:47.578</v>
      </c>
      <c r="CD2276" t="str">
        <f>"578647868"</f>
        <v>578647868</v>
      </c>
      <c r="CQ2276">
        <v>0</v>
      </c>
      <c r="CR2276">
        <v>2</v>
      </c>
      <c r="CS2276">
        <v>0</v>
      </c>
      <c r="CT2276">
        <v>2</v>
      </c>
      <c r="CU2276">
        <v>0</v>
      </c>
      <c r="CV2276">
        <v>7</v>
      </c>
      <c r="CW2276" t="s">
        <v>120</v>
      </c>
      <c r="CX2276">
        <v>257</v>
      </c>
      <c r="CY2276">
        <v>0</v>
      </c>
      <c r="CZ2276" t="s">
        <v>615</v>
      </c>
      <c r="DA2276" t="s">
        <v>616</v>
      </c>
      <c r="DD2276">
        <v>15817442</v>
      </c>
      <c r="DE2276" t="s">
        <v>123</v>
      </c>
    </row>
    <row r="2277" spans="1:109" x14ac:dyDescent="0.3">
      <c r="A2277" t="str">
        <f>"19:12:48.781"</f>
        <v>19:12:48.781</v>
      </c>
      <c r="B2277" t="s">
        <v>110</v>
      </c>
      <c r="C2277" t="str">
        <f t="shared" si="105"/>
        <v>ffdfd3c0</v>
      </c>
      <c r="D2277" t="s">
        <v>111</v>
      </c>
      <c r="E2277">
        <v>18</v>
      </c>
      <c r="F2277">
        <v>1018</v>
      </c>
      <c r="G2277" t="s">
        <v>112</v>
      </c>
      <c r="J2277" t="s">
        <v>113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R2277" t="s">
        <v>114</v>
      </c>
      <c r="S2277" t="str">
        <f>"19:12:48.547"</f>
        <v>19:12:48.547</v>
      </c>
      <c r="T2277" t="str">
        <f>"19:12:48.547"</f>
        <v>19:12:48.547</v>
      </c>
      <c r="U2277" t="str">
        <f t="shared" si="106"/>
        <v>a1cdbe</v>
      </c>
      <c r="V2277">
        <v>0</v>
      </c>
      <c r="W2277">
        <v>0</v>
      </c>
      <c r="X2277">
        <v>1</v>
      </c>
      <c r="Y2277">
        <v>0</v>
      </c>
      <c r="Z2277">
        <v>0</v>
      </c>
      <c r="AB2277">
        <v>0</v>
      </c>
      <c r="AC2277">
        <v>9</v>
      </c>
      <c r="AD2277">
        <v>3</v>
      </c>
      <c r="AE2277">
        <v>0</v>
      </c>
      <c r="AF2277">
        <v>9</v>
      </c>
      <c r="AG2277" t="s">
        <v>158</v>
      </c>
      <c r="AH2277">
        <v>0</v>
      </c>
      <c r="AI2277">
        <v>3</v>
      </c>
      <c r="AJ2277">
        <v>1</v>
      </c>
      <c r="AK2277">
        <v>0</v>
      </c>
      <c r="AL2277" t="s">
        <v>4285</v>
      </c>
      <c r="AM2277">
        <v>46.887630999999999</v>
      </c>
      <c r="AN2277" t="s">
        <v>4286</v>
      </c>
      <c r="AO2277">
        <v>-123.17652200000001</v>
      </c>
      <c r="AP2277">
        <v>100</v>
      </c>
      <c r="AQ2277">
        <v>2100</v>
      </c>
      <c r="AR2277" t="s">
        <v>118</v>
      </c>
      <c r="AS2277">
        <v>-73</v>
      </c>
      <c r="AT2277">
        <v>26</v>
      </c>
      <c r="AU2277">
        <v>256</v>
      </c>
      <c r="BC2277">
        <v>1200</v>
      </c>
      <c r="BD2277">
        <v>1</v>
      </c>
      <c r="BE2277" t="str">
        <f t="shared" si="107"/>
        <v xml:space="preserve">N215T   </v>
      </c>
      <c r="BF2277">
        <v>1</v>
      </c>
      <c r="BH2277">
        <v>0</v>
      </c>
      <c r="BI2277">
        <v>0</v>
      </c>
      <c r="BJ2277">
        <v>0</v>
      </c>
      <c r="BK2277">
        <v>2450</v>
      </c>
      <c r="BL2277">
        <v>350</v>
      </c>
      <c r="BM2277" t="s">
        <v>119</v>
      </c>
      <c r="BN2277">
        <v>1</v>
      </c>
      <c r="BO2277">
        <v>1</v>
      </c>
      <c r="BP2277">
        <v>1</v>
      </c>
      <c r="BQ2277">
        <v>0</v>
      </c>
      <c r="BT2277">
        <v>0</v>
      </c>
      <c r="BU2277">
        <v>0</v>
      </c>
      <c r="BV2277">
        <v>0</v>
      </c>
      <c r="CC2277" t="str">
        <f>"19:12:48.555"</f>
        <v>19:12:48.555</v>
      </c>
      <c r="CD2277" t="str">
        <f>"553562862"</f>
        <v>553562862</v>
      </c>
      <c r="CQ2277">
        <v>0</v>
      </c>
      <c r="CR2277">
        <v>2</v>
      </c>
      <c r="CS2277">
        <v>0</v>
      </c>
      <c r="CT2277">
        <v>2</v>
      </c>
      <c r="CU2277">
        <v>0</v>
      </c>
      <c r="CV2277">
        <v>7</v>
      </c>
      <c r="CW2277" t="s">
        <v>120</v>
      </c>
      <c r="CX2277">
        <v>261</v>
      </c>
      <c r="CY2277">
        <v>2</v>
      </c>
      <c r="CZ2277" t="s">
        <v>121</v>
      </c>
      <c r="DA2277" t="s">
        <v>122</v>
      </c>
      <c r="DD2277">
        <v>15643325</v>
      </c>
      <c r="DE2277" t="s">
        <v>123</v>
      </c>
    </row>
    <row r="2278" spans="1:109" x14ac:dyDescent="0.3">
      <c r="A2278" t="str">
        <f>"19:12:49.844"</f>
        <v>19:12:49.844</v>
      </c>
      <c r="B2278" t="s">
        <v>110</v>
      </c>
      <c r="C2278" t="str">
        <f t="shared" si="105"/>
        <v>ffdfd3c0</v>
      </c>
      <c r="D2278" t="s">
        <v>111</v>
      </c>
      <c r="E2278">
        <v>18</v>
      </c>
      <c r="F2278">
        <v>1018</v>
      </c>
      <c r="G2278" t="s">
        <v>112</v>
      </c>
      <c r="J2278" t="s">
        <v>113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R2278" t="s">
        <v>114</v>
      </c>
      <c r="S2278" t="str">
        <f>"19:12:49.633"</f>
        <v>19:12:49.633</v>
      </c>
      <c r="T2278" t="str">
        <f>"19:12:49.430"</f>
        <v>19:12:49.430</v>
      </c>
      <c r="U2278" t="str">
        <f t="shared" si="106"/>
        <v>a1cdbe</v>
      </c>
      <c r="V2278">
        <v>0</v>
      </c>
      <c r="W2278">
        <v>0</v>
      </c>
      <c r="X2278">
        <v>1</v>
      </c>
      <c r="Y2278">
        <v>0</v>
      </c>
      <c r="Z2278">
        <v>0</v>
      </c>
      <c r="AB2278">
        <v>0</v>
      </c>
      <c r="AC2278">
        <v>9</v>
      </c>
      <c r="AD2278">
        <v>3</v>
      </c>
      <c r="AE2278">
        <v>0</v>
      </c>
      <c r="AF2278">
        <v>9</v>
      </c>
      <c r="AG2278" t="s">
        <v>158</v>
      </c>
      <c r="AH2278">
        <v>0</v>
      </c>
      <c r="AI2278">
        <v>3</v>
      </c>
      <c r="AJ2278">
        <v>1</v>
      </c>
      <c r="AK2278">
        <v>0</v>
      </c>
      <c r="AL2278" t="s">
        <v>4287</v>
      </c>
      <c r="AM2278">
        <v>46.887782000000001</v>
      </c>
      <c r="AN2278" t="s">
        <v>4288</v>
      </c>
      <c r="AO2278">
        <v>-123.177059</v>
      </c>
      <c r="AP2278">
        <v>100</v>
      </c>
      <c r="AQ2278">
        <v>2100</v>
      </c>
      <c r="AR2278" t="s">
        <v>118</v>
      </c>
      <c r="AS2278">
        <v>-72</v>
      </c>
      <c r="AT2278">
        <v>26</v>
      </c>
      <c r="AU2278">
        <v>192</v>
      </c>
      <c r="BC2278">
        <v>1200</v>
      </c>
      <c r="BD2278">
        <v>1</v>
      </c>
      <c r="BE2278" t="str">
        <f t="shared" si="107"/>
        <v xml:space="preserve">N215T   </v>
      </c>
      <c r="BF2278">
        <v>1</v>
      </c>
      <c r="BH2278">
        <v>0</v>
      </c>
      <c r="BI2278">
        <v>0</v>
      </c>
      <c r="BJ2278">
        <v>0</v>
      </c>
      <c r="BK2278">
        <v>2450</v>
      </c>
      <c r="BL2278">
        <v>350</v>
      </c>
      <c r="BM2278" t="s">
        <v>119</v>
      </c>
      <c r="BN2278">
        <v>1</v>
      </c>
      <c r="BO2278">
        <v>1</v>
      </c>
      <c r="BP2278">
        <v>1</v>
      </c>
      <c r="BQ2278">
        <v>0</v>
      </c>
      <c r="BT2278">
        <v>0</v>
      </c>
      <c r="BU2278">
        <v>0</v>
      </c>
      <c r="BV2278">
        <v>0</v>
      </c>
      <c r="CC2278" t="str">
        <f>"19:12:49.633"</f>
        <v>19:12:49.633</v>
      </c>
      <c r="CD2278" t="str">
        <f>"633445351"</f>
        <v>633445351</v>
      </c>
      <c r="CQ2278">
        <v>0</v>
      </c>
      <c r="CR2278">
        <v>2</v>
      </c>
      <c r="CS2278">
        <v>0</v>
      </c>
      <c r="CT2278">
        <v>2</v>
      </c>
      <c r="CU2278">
        <v>0</v>
      </c>
      <c r="CV2278">
        <v>7</v>
      </c>
      <c r="CW2278" t="s">
        <v>120</v>
      </c>
      <c r="CX2278">
        <v>257</v>
      </c>
      <c r="CY2278">
        <v>0</v>
      </c>
      <c r="CZ2278" t="s">
        <v>615</v>
      </c>
      <c r="DA2278" t="s">
        <v>616</v>
      </c>
      <c r="DD2278">
        <v>15818516</v>
      </c>
      <c r="DE2278" t="s">
        <v>123</v>
      </c>
    </row>
    <row r="2279" spans="1:109" x14ac:dyDescent="0.3">
      <c r="A2279" t="str">
        <f>"19:12:50.742"</f>
        <v>19:12:50.742</v>
      </c>
      <c r="B2279" t="s">
        <v>110</v>
      </c>
      <c r="C2279" t="str">
        <f t="shared" si="105"/>
        <v>ffdfd3c0</v>
      </c>
      <c r="D2279" t="s">
        <v>111</v>
      </c>
      <c r="E2279">
        <v>18</v>
      </c>
      <c r="F2279">
        <v>1018</v>
      </c>
      <c r="G2279" t="s">
        <v>112</v>
      </c>
      <c r="J2279" t="s">
        <v>113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R2279" t="s">
        <v>114</v>
      </c>
      <c r="S2279" t="str">
        <f>"19:12:50.500"</f>
        <v>19:12:50.500</v>
      </c>
      <c r="T2279" t="str">
        <f>"19:12:50.102"</f>
        <v>19:12:50.102</v>
      </c>
      <c r="U2279" t="str">
        <f t="shared" si="106"/>
        <v>a1cdbe</v>
      </c>
      <c r="V2279">
        <v>0</v>
      </c>
      <c r="W2279">
        <v>0</v>
      </c>
      <c r="X2279">
        <v>1</v>
      </c>
      <c r="Y2279">
        <v>0</v>
      </c>
      <c r="Z2279">
        <v>0</v>
      </c>
      <c r="AB2279">
        <v>0</v>
      </c>
      <c r="AC2279">
        <v>9</v>
      </c>
      <c r="AD2279">
        <v>3</v>
      </c>
      <c r="AE2279">
        <v>0</v>
      </c>
      <c r="AF2279">
        <v>9</v>
      </c>
      <c r="AG2279" t="s">
        <v>158</v>
      </c>
      <c r="AH2279">
        <v>0</v>
      </c>
      <c r="AI2279">
        <v>3</v>
      </c>
      <c r="AJ2279">
        <v>1</v>
      </c>
      <c r="AK2279">
        <v>0</v>
      </c>
      <c r="AL2279" t="s">
        <v>1484</v>
      </c>
      <c r="AM2279">
        <v>46.887867</v>
      </c>
      <c r="AN2279" t="s">
        <v>4289</v>
      </c>
      <c r="AO2279">
        <v>-123.177466</v>
      </c>
      <c r="AP2279">
        <v>100</v>
      </c>
      <c r="AQ2279">
        <v>2100</v>
      </c>
      <c r="AR2279" t="s">
        <v>118</v>
      </c>
      <c r="AS2279">
        <v>-72</v>
      </c>
      <c r="AT2279">
        <v>26</v>
      </c>
      <c r="AU2279">
        <v>192</v>
      </c>
      <c r="BC2279">
        <v>1200</v>
      </c>
      <c r="BD2279">
        <v>1</v>
      </c>
      <c r="BE2279" t="str">
        <f t="shared" si="107"/>
        <v xml:space="preserve">N215T   </v>
      </c>
      <c r="BF2279">
        <v>1</v>
      </c>
      <c r="BH2279">
        <v>0</v>
      </c>
      <c r="BI2279">
        <v>0</v>
      </c>
      <c r="BJ2279">
        <v>0</v>
      </c>
      <c r="BK2279">
        <v>2450</v>
      </c>
      <c r="BL2279">
        <v>350</v>
      </c>
      <c r="BM2279" t="s">
        <v>119</v>
      </c>
      <c r="BN2279">
        <v>1</v>
      </c>
      <c r="BO2279">
        <v>1</v>
      </c>
      <c r="BP2279">
        <v>1</v>
      </c>
      <c r="BQ2279">
        <v>0</v>
      </c>
      <c r="BT2279">
        <v>0</v>
      </c>
      <c r="BU2279">
        <v>0</v>
      </c>
      <c r="BV2279">
        <v>0</v>
      </c>
      <c r="CC2279" t="str">
        <f>"19:12:50.500"</f>
        <v>19:12:50.500</v>
      </c>
      <c r="CD2279" t="str">
        <f>"503370807"</f>
        <v>503370807</v>
      </c>
      <c r="CQ2279">
        <v>0</v>
      </c>
      <c r="CR2279">
        <v>2</v>
      </c>
      <c r="CS2279">
        <v>0</v>
      </c>
      <c r="CT2279">
        <v>2</v>
      </c>
      <c r="CU2279">
        <v>0</v>
      </c>
      <c r="CV2279">
        <v>7</v>
      </c>
      <c r="CW2279" t="s">
        <v>120</v>
      </c>
      <c r="CX2279">
        <v>261</v>
      </c>
      <c r="CY2279">
        <v>2</v>
      </c>
      <c r="CZ2279" t="s">
        <v>121</v>
      </c>
      <c r="DA2279" t="s">
        <v>122</v>
      </c>
      <c r="DD2279">
        <v>15644634</v>
      </c>
      <c r="DE2279" t="s">
        <v>123</v>
      </c>
    </row>
    <row r="2280" spans="1:109" x14ac:dyDescent="0.3">
      <c r="A2280" t="str">
        <f>"19:12:51.852"</f>
        <v>19:12:51.852</v>
      </c>
      <c r="B2280" t="s">
        <v>110</v>
      </c>
      <c r="C2280" t="str">
        <f t="shared" si="105"/>
        <v>ffdfd3c0</v>
      </c>
      <c r="D2280" t="s">
        <v>111</v>
      </c>
      <c r="E2280">
        <v>18</v>
      </c>
      <c r="F2280">
        <v>1018</v>
      </c>
      <c r="G2280" t="s">
        <v>112</v>
      </c>
      <c r="J2280" t="s">
        <v>113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R2280" t="s">
        <v>114</v>
      </c>
      <c r="S2280" t="str">
        <f>"19:12:51.609"</f>
        <v>19:12:51.609</v>
      </c>
      <c r="T2280" t="str">
        <f>"19:12:51.609"</f>
        <v>19:12:51.609</v>
      </c>
      <c r="U2280" t="str">
        <f t="shared" si="106"/>
        <v>a1cdbe</v>
      </c>
      <c r="V2280">
        <v>0</v>
      </c>
      <c r="W2280">
        <v>0</v>
      </c>
      <c r="X2280">
        <v>1</v>
      </c>
      <c r="Y2280">
        <v>0</v>
      </c>
      <c r="Z2280">
        <v>0</v>
      </c>
      <c r="AB2280">
        <v>0</v>
      </c>
      <c r="AC2280">
        <v>9</v>
      </c>
      <c r="AD2280">
        <v>3</v>
      </c>
      <c r="AE2280">
        <v>0</v>
      </c>
      <c r="AF2280">
        <v>9</v>
      </c>
      <c r="AG2280" t="s">
        <v>158</v>
      </c>
      <c r="AH2280">
        <v>0</v>
      </c>
      <c r="AI2280">
        <v>3</v>
      </c>
      <c r="AJ2280">
        <v>1</v>
      </c>
      <c r="AK2280">
        <v>0</v>
      </c>
      <c r="AL2280" t="s">
        <v>4290</v>
      </c>
      <c r="AM2280">
        <v>46.887996000000001</v>
      </c>
      <c r="AN2280" t="s">
        <v>4291</v>
      </c>
      <c r="AO2280">
        <v>-123.17802399999999</v>
      </c>
      <c r="AP2280">
        <v>100</v>
      </c>
      <c r="AQ2280">
        <v>2100</v>
      </c>
      <c r="AR2280" t="s">
        <v>118</v>
      </c>
      <c r="AS2280">
        <v>-72</v>
      </c>
      <c r="AT2280">
        <v>24</v>
      </c>
      <c r="AU2280">
        <v>64</v>
      </c>
      <c r="BC2280">
        <v>1200</v>
      </c>
      <c r="BD2280">
        <v>1</v>
      </c>
      <c r="BE2280" t="str">
        <f t="shared" si="107"/>
        <v xml:space="preserve">N215T   </v>
      </c>
      <c r="BF2280">
        <v>1</v>
      </c>
      <c r="BH2280">
        <v>0</v>
      </c>
      <c r="BI2280">
        <v>0</v>
      </c>
      <c r="BJ2280">
        <v>0</v>
      </c>
      <c r="BK2280">
        <v>2450</v>
      </c>
      <c r="BL2280">
        <v>350</v>
      </c>
      <c r="BM2280" t="s">
        <v>119</v>
      </c>
      <c r="BN2280">
        <v>1</v>
      </c>
      <c r="BO2280">
        <v>1</v>
      </c>
      <c r="BP2280">
        <v>1</v>
      </c>
      <c r="BQ2280">
        <v>0</v>
      </c>
      <c r="BT2280">
        <v>0</v>
      </c>
      <c r="BU2280">
        <v>0</v>
      </c>
      <c r="BV2280">
        <v>0</v>
      </c>
      <c r="CC2280" t="str">
        <f>"19:12:51.609"</f>
        <v>19:12:51.609</v>
      </c>
      <c r="CD2280" t="str">
        <f>"613250218"</f>
        <v>613250218</v>
      </c>
      <c r="CQ2280">
        <v>0</v>
      </c>
      <c r="CR2280">
        <v>2</v>
      </c>
      <c r="CS2280">
        <v>0</v>
      </c>
      <c r="CT2280">
        <v>2</v>
      </c>
      <c r="CU2280">
        <v>0</v>
      </c>
      <c r="CV2280">
        <v>7</v>
      </c>
      <c r="CW2280" t="s">
        <v>120</v>
      </c>
      <c r="CX2280">
        <v>257</v>
      </c>
      <c r="CY2280">
        <v>0</v>
      </c>
      <c r="CZ2280" t="s">
        <v>615</v>
      </c>
      <c r="DA2280" t="s">
        <v>616</v>
      </c>
      <c r="DD2280">
        <v>15819586</v>
      </c>
      <c r="DE2280" t="s">
        <v>123</v>
      </c>
    </row>
    <row r="2281" spans="1:109" x14ac:dyDescent="0.3">
      <c r="A2281" t="str">
        <f>"19:12:52.805"</f>
        <v>19:12:52.805</v>
      </c>
      <c r="B2281" t="s">
        <v>110</v>
      </c>
      <c r="C2281" t="str">
        <f t="shared" si="105"/>
        <v>ffdfd3c0</v>
      </c>
      <c r="D2281" t="s">
        <v>111</v>
      </c>
      <c r="E2281">
        <v>18</v>
      </c>
      <c r="F2281">
        <v>1018</v>
      </c>
      <c r="G2281" t="s">
        <v>112</v>
      </c>
      <c r="J2281" t="s">
        <v>113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R2281" t="s">
        <v>114</v>
      </c>
      <c r="S2281" t="str">
        <f>"19:12:52.570"</f>
        <v>19:12:52.570</v>
      </c>
      <c r="T2281" t="str">
        <f>"19:12:52.469"</f>
        <v>19:12:52.469</v>
      </c>
      <c r="U2281" t="str">
        <f t="shared" si="106"/>
        <v>a1cdbe</v>
      </c>
      <c r="V2281">
        <v>0</v>
      </c>
      <c r="W2281">
        <v>0</v>
      </c>
      <c r="X2281">
        <v>1</v>
      </c>
      <c r="Y2281">
        <v>0</v>
      </c>
      <c r="Z2281">
        <v>0</v>
      </c>
      <c r="AB2281">
        <v>0</v>
      </c>
      <c r="AC2281">
        <v>9</v>
      </c>
      <c r="AD2281">
        <v>3</v>
      </c>
      <c r="AE2281">
        <v>0</v>
      </c>
      <c r="AF2281">
        <v>9</v>
      </c>
      <c r="AG2281" t="s">
        <v>158</v>
      </c>
      <c r="AH2281">
        <v>0</v>
      </c>
      <c r="AI2281">
        <v>3</v>
      </c>
      <c r="AJ2281">
        <v>1</v>
      </c>
      <c r="AK2281">
        <v>0</v>
      </c>
      <c r="AL2281" t="s">
        <v>4292</v>
      </c>
      <c r="AM2281">
        <v>46.888103000000001</v>
      </c>
      <c r="AN2281" t="s">
        <v>4293</v>
      </c>
      <c r="AO2281">
        <v>-123.178432</v>
      </c>
      <c r="AP2281">
        <v>100</v>
      </c>
      <c r="AQ2281">
        <v>2100</v>
      </c>
      <c r="AR2281" t="s">
        <v>118</v>
      </c>
      <c r="AS2281">
        <v>-72</v>
      </c>
      <c r="AT2281">
        <v>24</v>
      </c>
      <c r="AU2281">
        <v>-64</v>
      </c>
      <c r="BC2281">
        <v>1200</v>
      </c>
      <c r="BD2281">
        <v>1</v>
      </c>
      <c r="BE2281" t="str">
        <f t="shared" si="107"/>
        <v xml:space="preserve">N215T   </v>
      </c>
      <c r="BF2281">
        <v>1</v>
      </c>
      <c r="BH2281">
        <v>0</v>
      </c>
      <c r="BI2281">
        <v>0</v>
      </c>
      <c r="BJ2281">
        <v>0</v>
      </c>
      <c r="BK2281">
        <v>2450</v>
      </c>
      <c r="BL2281">
        <v>350</v>
      </c>
      <c r="BM2281" t="s">
        <v>119</v>
      </c>
      <c r="BN2281">
        <v>1</v>
      </c>
      <c r="BO2281">
        <v>1</v>
      </c>
      <c r="BP2281">
        <v>1</v>
      </c>
      <c r="BQ2281">
        <v>0</v>
      </c>
      <c r="BT2281">
        <v>0</v>
      </c>
      <c r="BU2281">
        <v>0</v>
      </c>
      <c r="BV2281">
        <v>0</v>
      </c>
      <c r="CC2281" t="str">
        <f>"19:12:52.570"</f>
        <v>19:12:52.570</v>
      </c>
      <c r="CD2281" t="str">
        <f>"573166926"</f>
        <v>573166926</v>
      </c>
      <c r="CQ2281">
        <v>0</v>
      </c>
      <c r="CR2281">
        <v>2</v>
      </c>
      <c r="CS2281">
        <v>0</v>
      </c>
      <c r="CT2281">
        <v>2</v>
      </c>
      <c r="CU2281">
        <v>0</v>
      </c>
      <c r="CV2281">
        <v>7</v>
      </c>
      <c r="CW2281" t="s">
        <v>120</v>
      </c>
      <c r="CX2281">
        <v>261</v>
      </c>
      <c r="CY2281">
        <v>2</v>
      </c>
      <c r="CZ2281" t="s">
        <v>121</v>
      </c>
      <c r="DA2281" t="s">
        <v>122</v>
      </c>
      <c r="DD2281">
        <v>15646100</v>
      </c>
      <c r="DE2281" t="s">
        <v>123</v>
      </c>
    </row>
    <row r="2282" spans="1:109" x14ac:dyDescent="0.3">
      <c r="A2282" t="str">
        <f>"19:12:53.914"</f>
        <v>19:12:53.914</v>
      </c>
      <c r="B2282" t="s">
        <v>110</v>
      </c>
      <c r="C2282" t="str">
        <f t="shared" si="105"/>
        <v>ffdfd3c0</v>
      </c>
      <c r="D2282" t="s">
        <v>111</v>
      </c>
      <c r="E2282">
        <v>18</v>
      </c>
      <c r="F2282">
        <v>1018</v>
      </c>
      <c r="G2282" t="s">
        <v>112</v>
      </c>
      <c r="J2282" t="s">
        <v>113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R2282" t="s">
        <v>114</v>
      </c>
      <c r="S2282" t="str">
        <f>"19:12:53.664"</f>
        <v>19:12:53.664</v>
      </c>
      <c r="T2282" t="str">
        <f>"19:12:53.563"</f>
        <v>19:12:53.563</v>
      </c>
      <c r="U2282" t="str">
        <f t="shared" si="106"/>
        <v>a1cdbe</v>
      </c>
      <c r="V2282">
        <v>0</v>
      </c>
      <c r="W2282">
        <v>0</v>
      </c>
      <c r="X2282">
        <v>1</v>
      </c>
      <c r="Y2282">
        <v>0</v>
      </c>
      <c r="Z2282">
        <v>0</v>
      </c>
      <c r="AB2282">
        <v>0</v>
      </c>
      <c r="AC2282">
        <v>9</v>
      </c>
      <c r="AD2282">
        <v>3</v>
      </c>
      <c r="AE2282">
        <v>0</v>
      </c>
      <c r="AF2282">
        <v>9</v>
      </c>
      <c r="AG2282" t="s">
        <v>158</v>
      </c>
      <c r="AH2282">
        <v>0</v>
      </c>
      <c r="AI2282">
        <v>3</v>
      </c>
      <c r="AJ2282">
        <v>1</v>
      </c>
      <c r="AK2282">
        <v>0</v>
      </c>
      <c r="AL2282" t="s">
        <v>4294</v>
      </c>
      <c r="AM2282">
        <v>46.888232000000002</v>
      </c>
      <c r="AN2282" t="s">
        <v>4295</v>
      </c>
      <c r="AO2282">
        <v>-123.17899</v>
      </c>
      <c r="AP2282">
        <v>100</v>
      </c>
      <c r="AQ2282">
        <v>2100</v>
      </c>
      <c r="AR2282" t="s">
        <v>118</v>
      </c>
      <c r="AS2282">
        <v>-73</v>
      </c>
      <c r="AT2282">
        <v>23</v>
      </c>
      <c r="AU2282">
        <v>-192</v>
      </c>
      <c r="BC2282">
        <v>1200</v>
      </c>
      <c r="BD2282">
        <v>1</v>
      </c>
      <c r="BE2282" t="str">
        <f t="shared" si="107"/>
        <v xml:space="preserve">N215T   </v>
      </c>
      <c r="BF2282">
        <v>1</v>
      </c>
      <c r="BH2282">
        <v>0</v>
      </c>
      <c r="BI2282">
        <v>0</v>
      </c>
      <c r="BJ2282">
        <v>0</v>
      </c>
      <c r="BK2282">
        <v>2450</v>
      </c>
      <c r="BL2282">
        <v>350</v>
      </c>
      <c r="BM2282" t="s">
        <v>119</v>
      </c>
      <c r="BN2282">
        <v>1</v>
      </c>
      <c r="BO2282">
        <v>1</v>
      </c>
      <c r="BP2282">
        <v>1</v>
      </c>
      <c r="BQ2282">
        <v>0</v>
      </c>
      <c r="BT2282">
        <v>0</v>
      </c>
      <c r="BU2282">
        <v>0</v>
      </c>
      <c r="BV2282">
        <v>0</v>
      </c>
      <c r="CC2282" t="str">
        <f>"19:12:53.672"</f>
        <v>19:12:53.672</v>
      </c>
      <c r="CD2282" t="str">
        <f>"668047685"</f>
        <v>668047685</v>
      </c>
      <c r="CQ2282">
        <v>0</v>
      </c>
      <c r="CR2282">
        <v>2</v>
      </c>
      <c r="CS2282">
        <v>0</v>
      </c>
      <c r="CT2282">
        <v>2</v>
      </c>
      <c r="CU2282">
        <v>0</v>
      </c>
      <c r="CV2282">
        <v>7</v>
      </c>
      <c r="CW2282" t="s">
        <v>120</v>
      </c>
      <c r="CX2282">
        <v>257</v>
      </c>
      <c r="CY2282">
        <v>0</v>
      </c>
      <c r="CZ2282" t="s">
        <v>615</v>
      </c>
      <c r="DA2282" t="s">
        <v>616</v>
      </c>
      <c r="DD2282">
        <v>15820640</v>
      </c>
      <c r="DE2282" t="s">
        <v>123</v>
      </c>
    </row>
    <row r="2283" spans="1:109" x14ac:dyDescent="0.3">
      <c r="A2283" t="str">
        <f>"19:12:54.867"</f>
        <v>19:12:54.867</v>
      </c>
      <c r="B2283" t="s">
        <v>110</v>
      </c>
      <c r="C2283" t="str">
        <f t="shared" si="105"/>
        <v>ffdfd3c0</v>
      </c>
      <c r="D2283" t="s">
        <v>111</v>
      </c>
      <c r="E2283">
        <v>18</v>
      </c>
      <c r="F2283">
        <v>1018</v>
      </c>
      <c r="G2283" t="s">
        <v>112</v>
      </c>
      <c r="J2283" t="s">
        <v>113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R2283" t="s">
        <v>114</v>
      </c>
      <c r="S2283" t="str">
        <f>"19:12:54.641"</f>
        <v>19:12:54.641</v>
      </c>
      <c r="T2283" t="str">
        <f>"19:12:54.539"</f>
        <v>19:12:54.539</v>
      </c>
      <c r="U2283" t="str">
        <f t="shared" si="106"/>
        <v>a1cdbe</v>
      </c>
      <c r="V2283">
        <v>0</v>
      </c>
      <c r="W2283">
        <v>0</v>
      </c>
      <c r="X2283">
        <v>1</v>
      </c>
      <c r="Y2283">
        <v>0</v>
      </c>
      <c r="Z2283">
        <v>0</v>
      </c>
      <c r="AB2283">
        <v>0</v>
      </c>
      <c r="AC2283">
        <v>9</v>
      </c>
      <c r="AD2283">
        <v>3</v>
      </c>
      <c r="AE2283">
        <v>0</v>
      </c>
      <c r="AF2283">
        <v>9</v>
      </c>
      <c r="AG2283" t="s">
        <v>158</v>
      </c>
      <c r="AH2283">
        <v>0</v>
      </c>
      <c r="AI2283">
        <v>3</v>
      </c>
      <c r="AJ2283">
        <v>1</v>
      </c>
      <c r="AK2283">
        <v>0</v>
      </c>
      <c r="AL2283" t="s">
        <v>4296</v>
      </c>
      <c r="AM2283">
        <v>46.888297000000001</v>
      </c>
      <c r="AN2283" t="s">
        <v>4297</v>
      </c>
      <c r="AO2283">
        <v>-123.179483</v>
      </c>
      <c r="AP2283">
        <v>100</v>
      </c>
      <c r="AQ2283">
        <v>2100</v>
      </c>
      <c r="AR2283" t="s">
        <v>118</v>
      </c>
      <c r="AS2283">
        <v>-73</v>
      </c>
      <c r="AT2283">
        <v>22</v>
      </c>
      <c r="AU2283">
        <v>-320</v>
      </c>
      <c r="BC2283">
        <v>1200</v>
      </c>
      <c r="BD2283">
        <v>1</v>
      </c>
      <c r="BE2283" t="str">
        <f t="shared" si="107"/>
        <v xml:space="preserve">N215T   </v>
      </c>
      <c r="BF2283">
        <v>1</v>
      </c>
      <c r="BH2283">
        <v>0</v>
      </c>
      <c r="BI2283">
        <v>0</v>
      </c>
      <c r="BJ2283">
        <v>0</v>
      </c>
      <c r="BK2283">
        <v>2450</v>
      </c>
      <c r="BL2283">
        <v>350</v>
      </c>
      <c r="BM2283" t="s">
        <v>119</v>
      </c>
      <c r="BN2283">
        <v>1</v>
      </c>
      <c r="BO2283">
        <v>1</v>
      </c>
      <c r="BP2283">
        <v>1</v>
      </c>
      <c r="BQ2283">
        <v>0</v>
      </c>
      <c r="BT2283">
        <v>0</v>
      </c>
      <c r="BU2283">
        <v>0</v>
      </c>
      <c r="BV2283">
        <v>0</v>
      </c>
      <c r="CC2283" t="str">
        <f>"19:12:54.641"</f>
        <v>19:12:54.641</v>
      </c>
      <c r="CD2283" t="str">
        <f>"642951590"</f>
        <v>642951590</v>
      </c>
      <c r="CQ2283">
        <v>0</v>
      </c>
      <c r="CR2283">
        <v>2</v>
      </c>
      <c r="CS2283">
        <v>0</v>
      </c>
      <c r="CT2283">
        <v>2</v>
      </c>
      <c r="CU2283">
        <v>0</v>
      </c>
      <c r="CV2283">
        <v>7</v>
      </c>
      <c r="CW2283" t="s">
        <v>120</v>
      </c>
      <c r="CX2283">
        <v>257</v>
      </c>
      <c r="CY2283">
        <v>0</v>
      </c>
      <c r="CZ2283" t="s">
        <v>615</v>
      </c>
      <c r="DA2283" t="s">
        <v>616</v>
      </c>
      <c r="DD2283">
        <v>15821153</v>
      </c>
      <c r="DE2283" t="s">
        <v>123</v>
      </c>
    </row>
    <row r="2284" spans="1:109" x14ac:dyDescent="0.3">
      <c r="A2284" t="str">
        <f>"19:12:55.820"</f>
        <v>19:12:55.820</v>
      </c>
      <c r="B2284" t="s">
        <v>110</v>
      </c>
      <c r="C2284" t="str">
        <f t="shared" si="105"/>
        <v>ffdfd3c0</v>
      </c>
      <c r="D2284" t="s">
        <v>111</v>
      </c>
      <c r="E2284">
        <v>18</v>
      </c>
      <c r="F2284">
        <v>1018</v>
      </c>
      <c r="G2284" t="s">
        <v>112</v>
      </c>
      <c r="J2284" t="s">
        <v>113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R2284" t="s">
        <v>114</v>
      </c>
      <c r="S2284" t="str">
        <f>"19:12:55.602"</f>
        <v>19:12:55.602</v>
      </c>
      <c r="T2284" t="str">
        <f>"19:12:55.500"</f>
        <v>19:12:55.500</v>
      </c>
      <c r="U2284" t="str">
        <f t="shared" si="106"/>
        <v>a1cdbe</v>
      </c>
      <c r="V2284">
        <v>0</v>
      </c>
      <c r="W2284">
        <v>0</v>
      </c>
      <c r="X2284">
        <v>1</v>
      </c>
      <c r="Y2284">
        <v>0</v>
      </c>
      <c r="Z2284">
        <v>0</v>
      </c>
      <c r="AB2284">
        <v>0</v>
      </c>
      <c r="AC2284">
        <v>9</v>
      </c>
      <c r="AD2284">
        <v>3</v>
      </c>
      <c r="AE2284">
        <v>0</v>
      </c>
      <c r="AF2284">
        <v>9</v>
      </c>
      <c r="AG2284" t="s">
        <v>158</v>
      </c>
      <c r="AH2284">
        <v>0</v>
      </c>
      <c r="AI2284">
        <v>3</v>
      </c>
      <c r="AJ2284">
        <v>1</v>
      </c>
      <c r="AK2284">
        <v>0</v>
      </c>
      <c r="AL2284" t="s">
        <v>1480</v>
      </c>
      <c r="AM2284">
        <v>46.888404000000001</v>
      </c>
      <c r="AN2284" t="s">
        <v>4298</v>
      </c>
      <c r="AO2284">
        <v>-123.17995500000001</v>
      </c>
      <c r="AP2284">
        <v>100</v>
      </c>
      <c r="AQ2284">
        <v>2100</v>
      </c>
      <c r="AR2284" t="s">
        <v>118</v>
      </c>
      <c r="AS2284">
        <v>-73</v>
      </c>
      <c r="AT2284">
        <v>23</v>
      </c>
      <c r="AU2284">
        <v>-384</v>
      </c>
      <c r="BC2284">
        <v>1200</v>
      </c>
      <c r="BD2284">
        <v>1</v>
      </c>
      <c r="BE2284" t="str">
        <f t="shared" si="107"/>
        <v xml:space="preserve">N215T   </v>
      </c>
      <c r="BF2284">
        <v>1</v>
      </c>
      <c r="BH2284">
        <v>0</v>
      </c>
      <c r="BI2284">
        <v>0</v>
      </c>
      <c r="BJ2284">
        <v>0</v>
      </c>
      <c r="BK2284">
        <v>2450</v>
      </c>
      <c r="BL2284">
        <v>350</v>
      </c>
      <c r="BM2284" t="s">
        <v>119</v>
      </c>
      <c r="BN2284">
        <v>1</v>
      </c>
      <c r="BO2284">
        <v>1</v>
      </c>
      <c r="BP2284">
        <v>1</v>
      </c>
      <c r="BQ2284">
        <v>0</v>
      </c>
      <c r="BT2284">
        <v>0</v>
      </c>
      <c r="BU2284">
        <v>0</v>
      </c>
      <c r="BV2284">
        <v>0</v>
      </c>
      <c r="CC2284" t="str">
        <f>"19:12:55.602"</f>
        <v>19:12:55.602</v>
      </c>
      <c r="CD2284" t="str">
        <f>"602856986"</f>
        <v>602856986</v>
      </c>
      <c r="CQ2284">
        <v>0</v>
      </c>
      <c r="CR2284">
        <v>2</v>
      </c>
      <c r="CS2284">
        <v>0</v>
      </c>
      <c r="CT2284">
        <v>2</v>
      </c>
      <c r="CU2284">
        <v>0</v>
      </c>
      <c r="CV2284">
        <v>7</v>
      </c>
      <c r="CW2284" t="s">
        <v>120</v>
      </c>
      <c r="CX2284">
        <v>257</v>
      </c>
      <c r="CY2284">
        <v>0</v>
      </c>
      <c r="CZ2284" t="s">
        <v>615</v>
      </c>
      <c r="DA2284" t="s">
        <v>616</v>
      </c>
      <c r="DD2284">
        <v>15821673</v>
      </c>
      <c r="DE2284" t="s">
        <v>123</v>
      </c>
    </row>
    <row r="2285" spans="1:109" x14ac:dyDescent="0.3">
      <c r="A2285" t="str">
        <f>"19:12:56.883"</f>
        <v>19:12:56.883</v>
      </c>
      <c r="B2285" t="s">
        <v>110</v>
      </c>
      <c r="C2285" t="str">
        <f t="shared" si="105"/>
        <v>ffdfd3c0</v>
      </c>
      <c r="D2285" t="s">
        <v>111</v>
      </c>
      <c r="E2285">
        <v>18</v>
      </c>
      <c r="F2285">
        <v>1018</v>
      </c>
      <c r="G2285" t="s">
        <v>112</v>
      </c>
      <c r="J2285" t="s">
        <v>113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R2285" t="s">
        <v>114</v>
      </c>
      <c r="S2285" t="str">
        <f>"19:12:56.648"</f>
        <v>19:12:56.648</v>
      </c>
      <c r="T2285" t="str">
        <f>"19:12:56.547"</f>
        <v>19:12:56.547</v>
      </c>
      <c r="U2285" t="str">
        <f t="shared" si="106"/>
        <v>a1cdbe</v>
      </c>
      <c r="V2285">
        <v>0</v>
      </c>
      <c r="W2285">
        <v>0</v>
      </c>
      <c r="X2285">
        <v>1</v>
      </c>
      <c r="Y2285">
        <v>0</v>
      </c>
      <c r="Z2285">
        <v>0</v>
      </c>
      <c r="AB2285">
        <v>0</v>
      </c>
      <c r="AC2285">
        <v>9</v>
      </c>
      <c r="AD2285">
        <v>3</v>
      </c>
      <c r="AE2285">
        <v>0</v>
      </c>
      <c r="AF2285">
        <v>9</v>
      </c>
      <c r="AG2285" t="s">
        <v>158</v>
      </c>
      <c r="AH2285">
        <v>0</v>
      </c>
      <c r="AI2285">
        <v>3</v>
      </c>
      <c r="AJ2285">
        <v>1</v>
      </c>
      <c r="AK2285">
        <v>0</v>
      </c>
      <c r="AL2285" t="s">
        <v>4299</v>
      </c>
      <c r="AM2285">
        <v>46.888533000000002</v>
      </c>
      <c r="AN2285" t="s">
        <v>4300</v>
      </c>
      <c r="AO2285">
        <v>-123.18047</v>
      </c>
      <c r="AP2285">
        <v>100</v>
      </c>
      <c r="AQ2285">
        <v>2100</v>
      </c>
      <c r="AR2285" t="s">
        <v>118</v>
      </c>
      <c r="AS2285">
        <v>-73</v>
      </c>
      <c r="AT2285">
        <v>24</v>
      </c>
      <c r="AU2285">
        <v>-384</v>
      </c>
      <c r="BC2285">
        <v>1200</v>
      </c>
      <c r="BD2285">
        <v>1</v>
      </c>
      <c r="BE2285" t="str">
        <f t="shared" si="107"/>
        <v xml:space="preserve">N215T   </v>
      </c>
      <c r="BF2285">
        <v>1</v>
      </c>
      <c r="BH2285">
        <v>0</v>
      </c>
      <c r="BI2285">
        <v>0</v>
      </c>
      <c r="BJ2285">
        <v>0</v>
      </c>
      <c r="BK2285">
        <v>2450</v>
      </c>
      <c r="BL2285">
        <v>350</v>
      </c>
      <c r="BM2285" t="s">
        <v>119</v>
      </c>
      <c r="BN2285">
        <v>1</v>
      </c>
      <c r="BO2285">
        <v>1</v>
      </c>
      <c r="BP2285">
        <v>1</v>
      </c>
      <c r="BQ2285">
        <v>0</v>
      </c>
      <c r="BT2285">
        <v>0</v>
      </c>
      <c r="BU2285">
        <v>0</v>
      </c>
      <c r="BV2285">
        <v>0</v>
      </c>
      <c r="CC2285" t="str">
        <f>"19:12:56.656"</f>
        <v>19:12:56.656</v>
      </c>
      <c r="CD2285" t="str">
        <f>"652753497"</f>
        <v>652753497</v>
      </c>
      <c r="CQ2285">
        <v>0</v>
      </c>
      <c r="CR2285">
        <v>2</v>
      </c>
      <c r="CS2285">
        <v>0</v>
      </c>
      <c r="CT2285">
        <v>2</v>
      </c>
      <c r="CU2285">
        <v>0</v>
      </c>
      <c r="CV2285">
        <v>7</v>
      </c>
      <c r="CW2285" t="s">
        <v>120</v>
      </c>
      <c r="CX2285">
        <v>257</v>
      </c>
      <c r="CY2285">
        <v>0</v>
      </c>
      <c r="CZ2285" t="s">
        <v>615</v>
      </c>
      <c r="DA2285" t="s">
        <v>616</v>
      </c>
      <c r="DD2285">
        <v>15822255</v>
      </c>
      <c r="DE2285" t="s">
        <v>123</v>
      </c>
    </row>
    <row r="2286" spans="1:109" x14ac:dyDescent="0.3">
      <c r="A2286" t="str">
        <f>"19:12:57.781"</f>
        <v>19:12:57.781</v>
      </c>
      <c r="B2286" t="s">
        <v>110</v>
      </c>
      <c r="C2286" t="str">
        <f t="shared" si="105"/>
        <v>ffdfd3c0</v>
      </c>
      <c r="D2286" t="s">
        <v>111</v>
      </c>
      <c r="E2286">
        <v>18</v>
      </c>
      <c r="F2286">
        <v>1018</v>
      </c>
      <c r="G2286" t="s">
        <v>112</v>
      </c>
      <c r="J2286" t="s">
        <v>113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R2286" t="s">
        <v>114</v>
      </c>
      <c r="S2286" t="str">
        <f>"19:12:57.531"</f>
        <v>19:12:57.531</v>
      </c>
      <c r="T2286" t="str">
        <f>"19:12:57.133"</f>
        <v>19:12:57.133</v>
      </c>
      <c r="U2286" t="str">
        <f t="shared" si="106"/>
        <v>a1cdbe</v>
      </c>
      <c r="V2286">
        <v>0</v>
      </c>
      <c r="W2286">
        <v>0</v>
      </c>
      <c r="X2286">
        <v>1</v>
      </c>
      <c r="Y2286">
        <v>0</v>
      </c>
      <c r="Z2286">
        <v>0</v>
      </c>
      <c r="AB2286">
        <v>0</v>
      </c>
      <c r="AC2286">
        <v>9</v>
      </c>
      <c r="AD2286">
        <v>3</v>
      </c>
      <c r="AE2286">
        <v>0</v>
      </c>
      <c r="AF2286">
        <v>9</v>
      </c>
      <c r="AG2286" t="s">
        <v>158</v>
      </c>
      <c r="AH2286">
        <v>0</v>
      </c>
      <c r="AI2286">
        <v>3</v>
      </c>
      <c r="AJ2286">
        <v>1</v>
      </c>
      <c r="AK2286">
        <v>0</v>
      </c>
      <c r="AL2286" t="s">
        <v>1478</v>
      </c>
      <c r="AM2286">
        <v>46.888618000000001</v>
      </c>
      <c r="AN2286" t="s">
        <v>4301</v>
      </c>
      <c r="AO2286">
        <v>-123.18089999999999</v>
      </c>
      <c r="AP2286">
        <v>100</v>
      </c>
      <c r="AQ2286">
        <v>2000</v>
      </c>
      <c r="AR2286" t="s">
        <v>118</v>
      </c>
      <c r="AS2286">
        <v>-74</v>
      </c>
      <c r="AT2286">
        <v>24</v>
      </c>
      <c r="AU2286">
        <v>-448</v>
      </c>
      <c r="BC2286">
        <v>1200</v>
      </c>
      <c r="BD2286">
        <v>1</v>
      </c>
      <c r="BE2286" t="str">
        <f t="shared" si="107"/>
        <v xml:space="preserve">N215T   </v>
      </c>
      <c r="BF2286">
        <v>1</v>
      </c>
      <c r="BH2286">
        <v>0</v>
      </c>
      <c r="BI2286">
        <v>0</v>
      </c>
      <c r="BJ2286">
        <v>0</v>
      </c>
      <c r="BK2286">
        <v>2550</v>
      </c>
      <c r="BL2286">
        <v>550</v>
      </c>
      <c r="BM2286" t="s">
        <v>119</v>
      </c>
      <c r="BN2286">
        <v>1</v>
      </c>
      <c r="BO2286">
        <v>1</v>
      </c>
      <c r="BP2286">
        <v>1</v>
      </c>
      <c r="BQ2286">
        <v>0</v>
      </c>
      <c r="BT2286">
        <v>0</v>
      </c>
      <c r="BU2286">
        <v>0</v>
      </c>
      <c r="BV2286">
        <v>0</v>
      </c>
      <c r="CC2286" t="str">
        <f>"19:12:57.539"</f>
        <v>19:12:57.539</v>
      </c>
      <c r="CD2286" t="str">
        <f>"537677947"</f>
        <v>537677947</v>
      </c>
      <c r="CQ2286">
        <v>0</v>
      </c>
      <c r="CR2286">
        <v>2</v>
      </c>
      <c r="CS2286">
        <v>0</v>
      </c>
      <c r="CT2286">
        <v>2</v>
      </c>
      <c r="CU2286">
        <v>0</v>
      </c>
      <c r="CV2286">
        <v>6</v>
      </c>
      <c r="CW2286" t="s">
        <v>120</v>
      </c>
      <c r="CX2286">
        <v>261</v>
      </c>
      <c r="CY2286">
        <v>2</v>
      </c>
      <c r="CZ2286" t="s">
        <v>121</v>
      </c>
      <c r="DA2286" t="s">
        <v>122</v>
      </c>
      <c r="DD2286">
        <v>15649558</v>
      </c>
      <c r="DE2286" t="s">
        <v>123</v>
      </c>
    </row>
    <row r="2287" spans="1:109" x14ac:dyDescent="0.3">
      <c r="A2287" t="str">
        <f>"19:12:58.641"</f>
        <v>19:12:58.641</v>
      </c>
      <c r="B2287" t="s">
        <v>110</v>
      </c>
      <c r="C2287" t="str">
        <f t="shared" si="105"/>
        <v>ffdfd3c0</v>
      </c>
      <c r="D2287" t="s">
        <v>111</v>
      </c>
      <c r="E2287">
        <v>18</v>
      </c>
      <c r="F2287">
        <v>1018</v>
      </c>
      <c r="G2287" t="s">
        <v>112</v>
      </c>
      <c r="J2287" t="s">
        <v>113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R2287" t="s">
        <v>114</v>
      </c>
      <c r="S2287" t="str">
        <f>"19:12:58.391"</f>
        <v>19:12:58.391</v>
      </c>
      <c r="T2287" t="str">
        <f>"19:12:57.992"</f>
        <v>19:12:57.992</v>
      </c>
      <c r="U2287" t="str">
        <f t="shared" si="106"/>
        <v>a1cdbe</v>
      </c>
      <c r="V2287">
        <v>0</v>
      </c>
      <c r="W2287">
        <v>0</v>
      </c>
      <c r="X2287">
        <v>1</v>
      </c>
      <c r="Y2287">
        <v>0</v>
      </c>
      <c r="Z2287">
        <v>0</v>
      </c>
      <c r="AB2287">
        <v>0</v>
      </c>
      <c r="AC2287">
        <v>9</v>
      </c>
      <c r="AD2287">
        <v>3</v>
      </c>
      <c r="AE2287">
        <v>0</v>
      </c>
      <c r="AF2287">
        <v>9</v>
      </c>
      <c r="AG2287" t="s">
        <v>158</v>
      </c>
      <c r="AH2287">
        <v>0</v>
      </c>
      <c r="AI2287">
        <v>3</v>
      </c>
      <c r="AJ2287">
        <v>1</v>
      </c>
      <c r="AK2287">
        <v>0</v>
      </c>
      <c r="AL2287" t="s">
        <v>4302</v>
      </c>
      <c r="AM2287">
        <v>46.888725999999998</v>
      </c>
      <c r="AN2287" t="s">
        <v>4303</v>
      </c>
      <c r="AO2287">
        <v>-123.18132900000001</v>
      </c>
      <c r="AP2287">
        <v>100</v>
      </c>
      <c r="AQ2287">
        <v>2000</v>
      </c>
      <c r="AR2287" t="s">
        <v>118</v>
      </c>
      <c r="AS2287">
        <v>-74</v>
      </c>
      <c r="AT2287">
        <v>25</v>
      </c>
      <c r="AU2287">
        <v>-384</v>
      </c>
      <c r="BC2287">
        <v>1200</v>
      </c>
      <c r="BD2287">
        <v>1</v>
      </c>
      <c r="BE2287" t="str">
        <f t="shared" si="107"/>
        <v xml:space="preserve">N215T   </v>
      </c>
      <c r="BF2287">
        <v>1</v>
      </c>
      <c r="BH2287">
        <v>0</v>
      </c>
      <c r="BI2287">
        <v>0</v>
      </c>
      <c r="BJ2287">
        <v>0</v>
      </c>
      <c r="BK2287">
        <v>2425</v>
      </c>
      <c r="BL2287">
        <v>425</v>
      </c>
      <c r="BM2287" t="s">
        <v>119</v>
      </c>
      <c r="BN2287">
        <v>1</v>
      </c>
      <c r="BO2287">
        <v>1</v>
      </c>
      <c r="BP2287">
        <v>1</v>
      </c>
      <c r="BQ2287">
        <v>0</v>
      </c>
      <c r="BT2287">
        <v>0</v>
      </c>
      <c r="BU2287">
        <v>0</v>
      </c>
      <c r="BV2287">
        <v>0</v>
      </c>
      <c r="CC2287" t="str">
        <f>"19:12:58.391"</f>
        <v>19:12:58.391</v>
      </c>
      <c r="CD2287" t="str">
        <f>"392582010"</f>
        <v>392582010</v>
      </c>
      <c r="CQ2287">
        <v>0</v>
      </c>
      <c r="CR2287">
        <v>2</v>
      </c>
      <c r="CS2287">
        <v>0</v>
      </c>
      <c r="CT2287">
        <v>2</v>
      </c>
      <c r="CU2287">
        <v>0</v>
      </c>
      <c r="CV2287">
        <v>7</v>
      </c>
      <c r="CW2287" t="s">
        <v>120</v>
      </c>
      <c r="CX2287">
        <v>257</v>
      </c>
      <c r="CY2287">
        <v>0</v>
      </c>
      <c r="CZ2287" t="s">
        <v>615</v>
      </c>
      <c r="DA2287" t="s">
        <v>616</v>
      </c>
      <c r="DD2287">
        <v>15823178</v>
      </c>
      <c r="DE2287" t="s">
        <v>123</v>
      </c>
    </row>
    <row r="2288" spans="1:109" x14ac:dyDescent="0.3">
      <c r="A2288" t="str">
        <f>"19:12:59.547"</f>
        <v>19:12:59.547</v>
      </c>
      <c r="B2288" t="s">
        <v>110</v>
      </c>
      <c r="C2288" t="str">
        <f t="shared" si="105"/>
        <v>ffdfd3c0</v>
      </c>
      <c r="D2288" t="s">
        <v>111</v>
      </c>
      <c r="E2288">
        <v>18</v>
      </c>
      <c r="F2288">
        <v>1018</v>
      </c>
      <c r="G2288" t="s">
        <v>112</v>
      </c>
      <c r="J2288" t="s">
        <v>113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R2288" t="s">
        <v>114</v>
      </c>
      <c r="S2288" t="str">
        <f>"19:12:59.320"</f>
        <v>19:12:59.320</v>
      </c>
      <c r="T2288" t="str">
        <f>"19:12:59.117"</f>
        <v>19:12:59.117</v>
      </c>
      <c r="U2288" t="str">
        <f t="shared" si="106"/>
        <v>a1cdbe</v>
      </c>
      <c r="V2288">
        <v>0</v>
      </c>
      <c r="W2288">
        <v>0</v>
      </c>
      <c r="X2288">
        <v>1</v>
      </c>
      <c r="Y2288">
        <v>0</v>
      </c>
      <c r="Z2288">
        <v>0</v>
      </c>
      <c r="AB2288">
        <v>0</v>
      </c>
      <c r="AC2288">
        <v>9</v>
      </c>
      <c r="AD2288">
        <v>3</v>
      </c>
      <c r="AE2288">
        <v>0</v>
      </c>
      <c r="AF2288">
        <v>9</v>
      </c>
      <c r="AG2288" t="s">
        <v>158</v>
      </c>
      <c r="AH2288">
        <v>0</v>
      </c>
      <c r="AI2288">
        <v>3</v>
      </c>
      <c r="AJ2288">
        <v>1</v>
      </c>
      <c r="AK2288">
        <v>0</v>
      </c>
      <c r="AL2288" t="s">
        <v>4304</v>
      </c>
      <c r="AM2288">
        <v>46.888832999999998</v>
      </c>
      <c r="AN2288" t="s">
        <v>4305</v>
      </c>
      <c r="AO2288">
        <v>-123.18180099999999</v>
      </c>
      <c r="AP2288">
        <v>100</v>
      </c>
      <c r="AQ2288">
        <v>2000</v>
      </c>
      <c r="AR2288" t="s">
        <v>118</v>
      </c>
      <c r="AS2288">
        <v>-74</v>
      </c>
      <c r="AT2288">
        <v>26</v>
      </c>
      <c r="AU2288">
        <v>-384</v>
      </c>
      <c r="BC2288">
        <v>1200</v>
      </c>
      <c r="BD2288">
        <v>1</v>
      </c>
      <c r="BE2288" t="str">
        <f t="shared" si="107"/>
        <v xml:space="preserve">N215T   </v>
      </c>
      <c r="BF2288">
        <v>1</v>
      </c>
      <c r="BH2288">
        <v>0</v>
      </c>
      <c r="BI2288">
        <v>0</v>
      </c>
      <c r="BJ2288">
        <v>0</v>
      </c>
      <c r="BK2288">
        <v>2425</v>
      </c>
      <c r="BL2288">
        <v>425</v>
      </c>
      <c r="BM2288" t="s">
        <v>119</v>
      </c>
      <c r="BN2288">
        <v>1</v>
      </c>
      <c r="BO2288">
        <v>1</v>
      </c>
      <c r="BP2288">
        <v>1</v>
      </c>
      <c r="BQ2288">
        <v>0</v>
      </c>
      <c r="BT2288">
        <v>0</v>
      </c>
      <c r="BU2288">
        <v>0</v>
      </c>
      <c r="BV2288">
        <v>0</v>
      </c>
      <c r="CC2288" t="str">
        <f>"19:12:59.320"</f>
        <v>19:12:59.320</v>
      </c>
      <c r="CD2288" t="str">
        <f>"322490360"</f>
        <v>322490360</v>
      </c>
      <c r="CQ2288">
        <v>0</v>
      </c>
      <c r="CR2288">
        <v>2</v>
      </c>
      <c r="CS2288">
        <v>0</v>
      </c>
      <c r="CT2288">
        <v>2</v>
      </c>
      <c r="CU2288">
        <v>0</v>
      </c>
      <c r="CV2288">
        <v>7</v>
      </c>
      <c r="CW2288" t="s">
        <v>120</v>
      </c>
      <c r="CX2288">
        <v>257</v>
      </c>
      <c r="CY2288">
        <v>0</v>
      </c>
      <c r="CZ2288" t="s">
        <v>615</v>
      </c>
      <c r="DA2288" t="s">
        <v>616</v>
      </c>
      <c r="DD2288">
        <v>15823740</v>
      </c>
      <c r="DE2288" t="s">
        <v>123</v>
      </c>
    </row>
    <row r="2289" spans="1:109" x14ac:dyDescent="0.3">
      <c r="A2289" t="str">
        <f>"19:13:00.648"</f>
        <v>19:13:00.648</v>
      </c>
      <c r="B2289" t="s">
        <v>110</v>
      </c>
      <c r="C2289" t="str">
        <f t="shared" si="105"/>
        <v>ffdfd3c0</v>
      </c>
      <c r="D2289" t="s">
        <v>111</v>
      </c>
      <c r="E2289">
        <v>18</v>
      </c>
      <c r="F2289">
        <v>1018</v>
      </c>
      <c r="G2289" t="s">
        <v>112</v>
      </c>
      <c r="J2289" t="s">
        <v>113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R2289" t="s">
        <v>114</v>
      </c>
      <c r="S2289" t="str">
        <f>"19:13:00.445"</f>
        <v>19:13:00.445</v>
      </c>
      <c r="T2289" t="str">
        <f>"19:12:59.945"</f>
        <v>19:12:59.945</v>
      </c>
      <c r="U2289" t="str">
        <f t="shared" si="106"/>
        <v>a1cdbe</v>
      </c>
      <c r="V2289">
        <v>0</v>
      </c>
      <c r="W2289">
        <v>0</v>
      </c>
      <c r="X2289">
        <v>1</v>
      </c>
      <c r="Y2289">
        <v>0</v>
      </c>
      <c r="Z2289">
        <v>0</v>
      </c>
      <c r="AB2289">
        <v>0</v>
      </c>
      <c r="AC2289">
        <v>9</v>
      </c>
      <c r="AD2289">
        <v>3</v>
      </c>
      <c r="AE2289">
        <v>0</v>
      </c>
      <c r="AF2289">
        <v>9</v>
      </c>
      <c r="AG2289" t="s">
        <v>158</v>
      </c>
      <c r="AH2289">
        <v>0</v>
      </c>
      <c r="AI2289">
        <v>3</v>
      </c>
      <c r="AJ2289">
        <v>1</v>
      </c>
      <c r="AK2289">
        <v>0</v>
      </c>
      <c r="AL2289" t="s">
        <v>4306</v>
      </c>
      <c r="AM2289">
        <v>46.888961999999999</v>
      </c>
      <c r="AN2289" t="s">
        <v>4307</v>
      </c>
      <c r="AO2289">
        <v>-123.182423</v>
      </c>
      <c r="AP2289">
        <v>100</v>
      </c>
      <c r="AQ2289">
        <v>2000</v>
      </c>
      <c r="AR2289" t="s">
        <v>118</v>
      </c>
      <c r="AS2289">
        <v>-74</v>
      </c>
      <c r="AT2289">
        <v>26</v>
      </c>
      <c r="AU2289">
        <v>-320</v>
      </c>
      <c r="BC2289">
        <v>1200</v>
      </c>
      <c r="BD2289">
        <v>1</v>
      </c>
      <c r="BE2289" t="str">
        <f t="shared" si="107"/>
        <v xml:space="preserve">N215T   </v>
      </c>
      <c r="BF2289">
        <v>1</v>
      </c>
      <c r="BH2289">
        <v>0</v>
      </c>
      <c r="BI2289">
        <v>0</v>
      </c>
      <c r="BJ2289">
        <v>0</v>
      </c>
      <c r="BK2289">
        <v>2425</v>
      </c>
      <c r="BL2289">
        <v>425</v>
      </c>
      <c r="BM2289" t="s">
        <v>119</v>
      </c>
      <c r="BN2289">
        <v>1</v>
      </c>
      <c r="BO2289">
        <v>1</v>
      </c>
      <c r="BP2289">
        <v>1</v>
      </c>
      <c r="BQ2289">
        <v>0</v>
      </c>
      <c r="BT2289">
        <v>0</v>
      </c>
      <c r="BU2289">
        <v>0</v>
      </c>
      <c r="BV2289">
        <v>0</v>
      </c>
      <c r="CC2289" t="str">
        <f>"19:13:00.445"</f>
        <v>19:13:00.445</v>
      </c>
      <c r="CD2289" t="str">
        <f>"447379485"</f>
        <v>447379485</v>
      </c>
      <c r="CQ2289">
        <v>0</v>
      </c>
      <c r="CR2289">
        <v>2</v>
      </c>
      <c r="CS2289">
        <v>0</v>
      </c>
      <c r="CT2289">
        <v>2</v>
      </c>
      <c r="CU2289">
        <v>0</v>
      </c>
      <c r="CV2289">
        <v>7</v>
      </c>
      <c r="CW2289" t="s">
        <v>120</v>
      </c>
      <c r="CX2289">
        <v>257</v>
      </c>
      <c r="CY2289">
        <v>0</v>
      </c>
      <c r="CZ2289" t="s">
        <v>615</v>
      </c>
      <c r="DA2289" t="s">
        <v>616</v>
      </c>
      <c r="DD2289">
        <v>15824344</v>
      </c>
      <c r="DE2289" t="s">
        <v>123</v>
      </c>
    </row>
    <row r="2290" spans="1:109" x14ac:dyDescent="0.3">
      <c r="A2290" t="str">
        <f>"19:13:01.563"</f>
        <v>19:13:01.563</v>
      </c>
      <c r="B2290" t="s">
        <v>110</v>
      </c>
      <c r="C2290" t="str">
        <f t="shared" si="105"/>
        <v>ffdfd3c0</v>
      </c>
      <c r="D2290" t="s">
        <v>111</v>
      </c>
      <c r="E2290">
        <v>18</v>
      </c>
      <c r="F2290">
        <v>1018</v>
      </c>
      <c r="G2290" t="s">
        <v>112</v>
      </c>
      <c r="J2290" t="s">
        <v>113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R2290" t="s">
        <v>114</v>
      </c>
      <c r="S2290" t="str">
        <f>"19:13:01.359"</f>
        <v>19:13:01.359</v>
      </c>
      <c r="T2290" t="str">
        <f>"19:13:01.063"</f>
        <v>19:13:01.063</v>
      </c>
      <c r="U2290" t="str">
        <f t="shared" si="106"/>
        <v>a1cdbe</v>
      </c>
      <c r="V2290">
        <v>0</v>
      </c>
      <c r="W2290">
        <v>0</v>
      </c>
      <c r="X2290">
        <v>1</v>
      </c>
      <c r="Y2290">
        <v>0</v>
      </c>
      <c r="Z2290">
        <v>0</v>
      </c>
      <c r="AB2290">
        <v>0</v>
      </c>
      <c r="AC2290">
        <v>9</v>
      </c>
      <c r="AD2290">
        <v>3</v>
      </c>
      <c r="AE2290">
        <v>0</v>
      </c>
      <c r="AF2290">
        <v>9</v>
      </c>
      <c r="AG2290" t="s">
        <v>158</v>
      </c>
      <c r="AH2290">
        <v>0</v>
      </c>
      <c r="AI2290">
        <v>3</v>
      </c>
      <c r="AJ2290">
        <v>1</v>
      </c>
      <c r="AK2290">
        <v>0</v>
      </c>
      <c r="AL2290" t="s">
        <v>4308</v>
      </c>
      <c r="AM2290">
        <v>46.889091000000001</v>
      </c>
      <c r="AN2290" t="s">
        <v>4309</v>
      </c>
      <c r="AO2290">
        <v>-123.182788</v>
      </c>
      <c r="AP2290">
        <v>100</v>
      </c>
      <c r="AQ2290">
        <v>2000</v>
      </c>
      <c r="AR2290" t="s">
        <v>118</v>
      </c>
      <c r="AS2290">
        <v>-74</v>
      </c>
      <c r="AT2290">
        <v>26</v>
      </c>
      <c r="AU2290">
        <v>-320</v>
      </c>
      <c r="BC2290">
        <v>1200</v>
      </c>
      <c r="BD2290">
        <v>1</v>
      </c>
      <c r="BE2290" t="str">
        <f t="shared" si="107"/>
        <v xml:space="preserve">N215T   </v>
      </c>
      <c r="BF2290">
        <v>1</v>
      </c>
      <c r="BH2290">
        <v>0</v>
      </c>
      <c r="BI2290">
        <v>0</v>
      </c>
      <c r="BJ2290">
        <v>0</v>
      </c>
      <c r="BK2290">
        <v>2400</v>
      </c>
      <c r="BL2290">
        <v>400</v>
      </c>
      <c r="BM2290" t="s">
        <v>119</v>
      </c>
      <c r="BN2290">
        <v>1</v>
      </c>
      <c r="BO2290">
        <v>1</v>
      </c>
      <c r="BP2290">
        <v>1</v>
      </c>
      <c r="BQ2290">
        <v>0</v>
      </c>
      <c r="BT2290">
        <v>0</v>
      </c>
      <c r="BU2290">
        <v>0</v>
      </c>
      <c r="BV2290">
        <v>0</v>
      </c>
      <c r="CC2290" t="str">
        <f>"19:13:01.359"</f>
        <v>19:13:01.359</v>
      </c>
      <c r="CD2290" t="str">
        <f>"362289306"</f>
        <v>362289306</v>
      </c>
      <c r="CQ2290">
        <v>0</v>
      </c>
      <c r="CR2290">
        <v>2</v>
      </c>
      <c r="CS2290">
        <v>0</v>
      </c>
      <c r="CT2290">
        <v>2</v>
      </c>
      <c r="CU2290">
        <v>0</v>
      </c>
      <c r="CV2290">
        <v>6</v>
      </c>
      <c r="CW2290" t="s">
        <v>120</v>
      </c>
      <c r="CX2290">
        <v>257</v>
      </c>
      <c r="CY2290">
        <v>1</v>
      </c>
      <c r="CZ2290" t="s">
        <v>615</v>
      </c>
      <c r="DA2290" t="s">
        <v>616</v>
      </c>
      <c r="DD2290">
        <v>12084470</v>
      </c>
      <c r="DE2290" t="s">
        <v>123</v>
      </c>
    </row>
    <row r="2291" spans="1:109" x14ac:dyDescent="0.3">
      <c r="A2291" t="str">
        <f>"19:13:02.563"</f>
        <v>19:13:02.563</v>
      </c>
      <c r="B2291" t="s">
        <v>110</v>
      </c>
      <c r="C2291" t="str">
        <f t="shared" si="105"/>
        <v>ffdfd3c0</v>
      </c>
      <c r="D2291" t="s">
        <v>111</v>
      </c>
      <c r="E2291">
        <v>18</v>
      </c>
      <c r="F2291">
        <v>1018</v>
      </c>
      <c r="G2291" t="s">
        <v>112</v>
      </c>
      <c r="J2291" t="s">
        <v>113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R2291" t="s">
        <v>114</v>
      </c>
      <c r="S2291" t="str">
        <f>"19:13:02.367"</f>
        <v>19:13:02.367</v>
      </c>
      <c r="T2291" t="str">
        <f>"19:13:01.969"</f>
        <v>19:13:01.969</v>
      </c>
      <c r="U2291" t="str">
        <f t="shared" si="106"/>
        <v>a1cdbe</v>
      </c>
      <c r="V2291">
        <v>0</v>
      </c>
      <c r="W2291">
        <v>0</v>
      </c>
      <c r="X2291">
        <v>1</v>
      </c>
      <c r="Y2291">
        <v>0</v>
      </c>
      <c r="Z2291">
        <v>0</v>
      </c>
      <c r="AB2291">
        <v>0</v>
      </c>
      <c r="AC2291">
        <v>9</v>
      </c>
      <c r="AD2291">
        <v>3</v>
      </c>
      <c r="AE2291">
        <v>0</v>
      </c>
      <c r="AF2291">
        <v>9</v>
      </c>
      <c r="AG2291" t="s">
        <v>158</v>
      </c>
      <c r="AH2291">
        <v>0</v>
      </c>
      <c r="AI2291">
        <v>3</v>
      </c>
      <c r="AJ2291">
        <v>1</v>
      </c>
      <c r="AK2291">
        <v>0</v>
      </c>
      <c r="AL2291" t="s">
        <v>4310</v>
      </c>
      <c r="AM2291">
        <v>46.889240999999998</v>
      </c>
      <c r="AN2291" t="s">
        <v>4311</v>
      </c>
      <c r="AO2291">
        <v>-123.18338900000001</v>
      </c>
      <c r="AP2291">
        <v>100</v>
      </c>
      <c r="AQ2291">
        <v>2000</v>
      </c>
      <c r="AR2291" t="s">
        <v>118</v>
      </c>
      <c r="AS2291">
        <v>-75</v>
      </c>
      <c r="AT2291">
        <v>26</v>
      </c>
      <c r="AU2291">
        <v>-320</v>
      </c>
      <c r="BC2291">
        <v>1200</v>
      </c>
      <c r="BD2291">
        <v>1</v>
      </c>
      <c r="BE2291" t="str">
        <f t="shared" si="107"/>
        <v xml:space="preserve">N215T   </v>
      </c>
      <c r="BF2291">
        <v>1</v>
      </c>
      <c r="BH2291">
        <v>0</v>
      </c>
      <c r="BI2291">
        <v>0</v>
      </c>
      <c r="BJ2291">
        <v>0</v>
      </c>
      <c r="BK2291">
        <v>2400</v>
      </c>
      <c r="BL2291">
        <v>400</v>
      </c>
      <c r="BM2291" t="s">
        <v>119</v>
      </c>
      <c r="BN2291">
        <v>1</v>
      </c>
      <c r="BO2291">
        <v>1</v>
      </c>
      <c r="BP2291">
        <v>1</v>
      </c>
      <c r="BQ2291">
        <v>0</v>
      </c>
      <c r="BT2291">
        <v>0</v>
      </c>
      <c r="BU2291">
        <v>0</v>
      </c>
      <c r="BV2291">
        <v>0</v>
      </c>
      <c r="CC2291" t="str">
        <f>"19:13:02.367"</f>
        <v>19:13:02.367</v>
      </c>
      <c r="CD2291" t="str">
        <f>"367190258"</f>
        <v>367190258</v>
      </c>
      <c r="CQ2291">
        <v>0</v>
      </c>
      <c r="CR2291">
        <v>2</v>
      </c>
      <c r="CS2291">
        <v>0</v>
      </c>
      <c r="CT2291">
        <v>2</v>
      </c>
      <c r="CU2291">
        <v>0</v>
      </c>
      <c r="CV2291">
        <v>7</v>
      </c>
      <c r="CW2291" t="s">
        <v>120</v>
      </c>
      <c r="CX2291">
        <v>257</v>
      </c>
      <c r="CY2291">
        <v>0</v>
      </c>
      <c r="CZ2291" t="s">
        <v>615</v>
      </c>
      <c r="DA2291" t="s">
        <v>616</v>
      </c>
      <c r="DD2291">
        <v>15825453</v>
      </c>
      <c r="DE2291" t="s">
        <v>123</v>
      </c>
    </row>
    <row r="2292" spans="1:109" x14ac:dyDescent="0.3">
      <c r="A2292" t="str">
        <f>"19:13:03.672"</f>
        <v>19:13:03.672</v>
      </c>
      <c r="B2292" t="s">
        <v>110</v>
      </c>
      <c r="C2292" t="str">
        <f t="shared" si="105"/>
        <v>ffdfd3c0</v>
      </c>
      <c r="D2292" t="s">
        <v>111</v>
      </c>
      <c r="E2292">
        <v>18</v>
      </c>
      <c r="F2292">
        <v>1018</v>
      </c>
      <c r="G2292" t="s">
        <v>112</v>
      </c>
      <c r="J2292" t="s">
        <v>113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R2292" t="s">
        <v>114</v>
      </c>
      <c r="S2292" t="str">
        <f>"19:13:03.461"</f>
        <v>19:13:03.461</v>
      </c>
      <c r="T2292" t="str">
        <f>"19:13:02.961"</f>
        <v>19:13:02.961</v>
      </c>
      <c r="U2292" t="str">
        <f t="shared" si="106"/>
        <v>a1cdbe</v>
      </c>
      <c r="V2292">
        <v>0</v>
      </c>
      <c r="W2292">
        <v>0</v>
      </c>
      <c r="X2292">
        <v>1</v>
      </c>
      <c r="Y2292">
        <v>0</v>
      </c>
      <c r="Z2292">
        <v>0</v>
      </c>
      <c r="AB2292">
        <v>0</v>
      </c>
      <c r="AC2292">
        <v>9</v>
      </c>
      <c r="AD2292">
        <v>3</v>
      </c>
      <c r="AE2292">
        <v>0</v>
      </c>
      <c r="AF2292">
        <v>9</v>
      </c>
      <c r="AG2292" t="s">
        <v>158</v>
      </c>
      <c r="AH2292">
        <v>0</v>
      </c>
      <c r="AI2292">
        <v>3</v>
      </c>
      <c r="AJ2292">
        <v>1</v>
      </c>
      <c r="AK2292">
        <v>0</v>
      </c>
      <c r="AL2292" t="s">
        <v>4312</v>
      </c>
      <c r="AM2292">
        <v>46.889327000000002</v>
      </c>
      <c r="AN2292" t="s">
        <v>4313</v>
      </c>
      <c r="AO2292">
        <v>-123.183925</v>
      </c>
      <c r="AP2292">
        <v>100</v>
      </c>
      <c r="AQ2292">
        <v>2000</v>
      </c>
      <c r="AR2292" t="s">
        <v>118</v>
      </c>
      <c r="AS2292">
        <v>-75</v>
      </c>
      <c r="AT2292">
        <v>26</v>
      </c>
      <c r="AU2292">
        <v>-320</v>
      </c>
      <c r="BC2292">
        <v>1200</v>
      </c>
      <c r="BD2292">
        <v>1</v>
      </c>
      <c r="BE2292" t="str">
        <f t="shared" si="107"/>
        <v xml:space="preserve">N215T   </v>
      </c>
      <c r="BF2292">
        <v>1</v>
      </c>
      <c r="BH2292">
        <v>0</v>
      </c>
      <c r="BI2292">
        <v>0</v>
      </c>
      <c r="BJ2292">
        <v>0</v>
      </c>
      <c r="BK2292">
        <v>2400</v>
      </c>
      <c r="BL2292">
        <v>400</v>
      </c>
      <c r="BM2292" t="s">
        <v>119</v>
      </c>
      <c r="BN2292">
        <v>1</v>
      </c>
      <c r="BO2292">
        <v>1</v>
      </c>
      <c r="BP2292">
        <v>1</v>
      </c>
      <c r="BQ2292">
        <v>0</v>
      </c>
      <c r="BT2292">
        <v>0</v>
      </c>
      <c r="BU2292">
        <v>0</v>
      </c>
      <c r="BV2292">
        <v>0</v>
      </c>
      <c r="CC2292" t="str">
        <f>"19:13:03.461"</f>
        <v>19:13:03.461</v>
      </c>
      <c r="CD2292" t="str">
        <f>"462082341"</f>
        <v>462082341</v>
      </c>
      <c r="CQ2292">
        <v>0</v>
      </c>
      <c r="CR2292">
        <v>2</v>
      </c>
      <c r="CS2292">
        <v>0</v>
      </c>
      <c r="CT2292">
        <v>2</v>
      </c>
      <c r="CU2292">
        <v>0</v>
      </c>
      <c r="CV2292">
        <v>6</v>
      </c>
      <c r="CW2292" t="s">
        <v>120</v>
      </c>
      <c r="CX2292">
        <v>257</v>
      </c>
      <c r="CY2292">
        <v>0</v>
      </c>
      <c r="CZ2292" t="s">
        <v>615</v>
      </c>
      <c r="DA2292" t="s">
        <v>616</v>
      </c>
      <c r="DD2292">
        <v>15825994</v>
      </c>
      <c r="DE2292" t="s">
        <v>123</v>
      </c>
    </row>
    <row r="2293" spans="1:109" x14ac:dyDescent="0.3">
      <c r="A2293" t="str">
        <f>"19:13:04.773"</f>
        <v>19:13:04.773</v>
      </c>
      <c r="B2293" t="s">
        <v>110</v>
      </c>
      <c r="C2293" t="str">
        <f t="shared" si="105"/>
        <v>ffdfd3c0</v>
      </c>
      <c r="D2293" t="s">
        <v>111</v>
      </c>
      <c r="E2293">
        <v>18</v>
      </c>
      <c r="F2293">
        <v>1018</v>
      </c>
      <c r="G2293" t="s">
        <v>112</v>
      </c>
      <c r="J2293" t="s">
        <v>113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R2293" t="s">
        <v>114</v>
      </c>
      <c r="S2293" t="str">
        <f>"19:13:04.570"</f>
        <v>19:13:04.570</v>
      </c>
      <c r="T2293" t="str">
        <f>"19:13:04.070"</f>
        <v>19:13:04.070</v>
      </c>
      <c r="U2293" t="str">
        <f t="shared" si="106"/>
        <v>a1cdbe</v>
      </c>
      <c r="V2293">
        <v>0</v>
      </c>
      <c r="W2293">
        <v>0</v>
      </c>
      <c r="X2293">
        <v>1</v>
      </c>
      <c r="Y2293">
        <v>0</v>
      </c>
      <c r="Z2293">
        <v>0</v>
      </c>
      <c r="AB2293">
        <v>0</v>
      </c>
      <c r="AC2293">
        <v>9</v>
      </c>
      <c r="AD2293">
        <v>3</v>
      </c>
      <c r="AE2293">
        <v>0</v>
      </c>
      <c r="AF2293">
        <v>9</v>
      </c>
      <c r="AG2293" t="s">
        <v>158</v>
      </c>
      <c r="AH2293">
        <v>0</v>
      </c>
      <c r="AI2293">
        <v>3</v>
      </c>
      <c r="AJ2293">
        <v>1</v>
      </c>
      <c r="AK2293">
        <v>0</v>
      </c>
      <c r="AL2293" t="s">
        <v>4314</v>
      </c>
      <c r="AM2293">
        <v>46.889454999999998</v>
      </c>
      <c r="AN2293" t="s">
        <v>4315</v>
      </c>
      <c r="AO2293">
        <v>-123.184483</v>
      </c>
      <c r="AP2293">
        <v>100</v>
      </c>
      <c r="AQ2293">
        <v>2000</v>
      </c>
      <c r="AR2293" t="s">
        <v>118</v>
      </c>
      <c r="AS2293">
        <v>-75</v>
      </c>
      <c r="AT2293">
        <v>25</v>
      </c>
      <c r="AU2293">
        <v>-384</v>
      </c>
      <c r="BC2293">
        <v>1200</v>
      </c>
      <c r="BD2293">
        <v>1</v>
      </c>
      <c r="BE2293" t="str">
        <f t="shared" si="107"/>
        <v xml:space="preserve">N215T   </v>
      </c>
      <c r="BF2293">
        <v>1</v>
      </c>
      <c r="BH2293">
        <v>0</v>
      </c>
      <c r="BI2293">
        <v>0</v>
      </c>
      <c r="BJ2293">
        <v>0</v>
      </c>
      <c r="BK2293">
        <v>2400</v>
      </c>
      <c r="BL2293">
        <v>400</v>
      </c>
      <c r="BM2293" t="s">
        <v>119</v>
      </c>
      <c r="BN2293">
        <v>1</v>
      </c>
      <c r="BO2293">
        <v>1</v>
      </c>
      <c r="BP2293">
        <v>1</v>
      </c>
      <c r="BQ2293">
        <v>0</v>
      </c>
      <c r="BT2293">
        <v>0</v>
      </c>
      <c r="BU2293">
        <v>0</v>
      </c>
      <c r="BV2293">
        <v>0</v>
      </c>
      <c r="CC2293" t="str">
        <f>"19:13:04.570"</f>
        <v>19:13:04.570</v>
      </c>
      <c r="CD2293" t="str">
        <f>"571972935"</f>
        <v>571972935</v>
      </c>
      <c r="CQ2293">
        <v>0</v>
      </c>
      <c r="CR2293">
        <v>2</v>
      </c>
      <c r="CS2293">
        <v>0</v>
      </c>
      <c r="CT2293">
        <v>2</v>
      </c>
      <c r="CU2293">
        <v>0</v>
      </c>
      <c r="CV2293">
        <v>6</v>
      </c>
      <c r="CW2293" t="s">
        <v>120</v>
      </c>
      <c r="CX2293">
        <v>257</v>
      </c>
      <c r="CY2293">
        <v>1</v>
      </c>
      <c r="CZ2293" t="s">
        <v>615</v>
      </c>
      <c r="DA2293" t="s">
        <v>616</v>
      </c>
      <c r="DD2293">
        <v>12086667</v>
      </c>
      <c r="DE2293" t="s">
        <v>123</v>
      </c>
    </row>
    <row r="2294" spans="1:109" x14ac:dyDescent="0.3">
      <c r="A2294" t="str">
        <f>"19:13:05.680"</f>
        <v>19:13:05.680</v>
      </c>
      <c r="B2294" t="s">
        <v>110</v>
      </c>
      <c r="C2294" t="str">
        <f t="shared" si="105"/>
        <v>ffdfd3c0</v>
      </c>
      <c r="D2294" t="s">
        <v>111</v>
      </c>
      <c r="E2294">
        <v>18</v>
      </c>
      <c r="F2294">
        <v>1018</v>
      </c>
      <c r="G2294" t="s">
        <v>112</v>
      </c>
      <c r="J2294" t="s">
        <v>113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R2294" t="s">
        <v>114</v>
      </c>
      <c r="S2294" t="str">
        <f>"19:13:05.438"</f>
        <v>19:13:05.438</v>
      </c>
      <c r="T2294" t="str">
        <f>"19:13:05.438"</f>
        <v>19:13:05.438</v>
      </c>
      <c r="U2294" t="str">
        <f t="shared" si="106"/>
        <v>a1cdbe</v>
      </c>
      <c r="V2294">
        <v>0</v>
      </c>
      <c r="W2294">
        <v>0</v>
      </c>
      <c r="X2294">
        <v>1</v>
      </c>
      <c r="Y2294">
        <v>0</v>
      </c>
      <c r="Z2294">
        <v>0</v>
      </c>
      <c r="AB2294">
        <v>0</v>
      </c>
      <c r="AC2294">
        <v>9</v>
      </c>
      <c r="AD2294">
        <v>3</v>
      </c>
      <c r="AE2294">
        <v>0</v>
      </c>
      <c r="AF2294">
        <v>9</v>
      </c>
      <c r="AG2294" t="s">
        <v>158</v>
      </c>
      <c r="AH2294">
        <v>0</v>
      </c>
      <c r="AI2294">
        <v>3</v>
      </c>
      <c r="AJ2294">
        <v>1</v>
      </c>
      <c r="AK2294">
        <v>0</v>
      </c>
      <c r="AL2294" t="s">
        <v>1472</v>
      </c>
      <c r="AM2294">
        <v>46.889563000000003</v>
      </c>
      <c r="AN2294" t="s">
        <v>4316</v>
      </c>
      <c r="AO2294">
        <v>-123.184912</v>
      </c>
      <c r="AP2294">
        <v>100</v>
      </c>
      <c r="AQ2294">
        <v>2000</v>
      </c>
      <c r="AR2294" t="s">
        <v>118</v>
      </c>
      <c r="AS2294">
        <v>-76</v>
      </c>
      <c r="AT2294">
        <v>24</v>
      </c>
      <c r="AU2294">
        <v>-384</v>
      </c>
      <c r="BC2294">
        <v>1200</v>
      </c>
      <c r="BD2294">
        <v>1</v>
      </c>
      <c r="BE2294" t="str">
        <f t="shared" si="107"/>
        <v xml:space="preserve">N215T   </v>
      </c>
      <c r="BF2294">
        <v>1</v>
      </c>
      <c r="BH2294">
        <v>0</v>
      </c>
      <c r="BI2294">
        <v>0</v>
      </c>
      <c r="BJ2294">
        <v>0</v>
      </c>
      <c r="BK2294">
        <v>2375</v>
      </c>
      <c r="BL2294">
        <v>375</v>
      </c>
      <c r="BM2294" t="s">
        <v>119</v>
      </c>
      <c r="BN2294">
        <v>1</v>
      </c>
      <c r="BO2294">
        <v>1</v>
      </c>
      <c r="BP2294">
        <v>1</v>
      </c>
      <c r="BQ2294">
        <v>0</v>
      </c>
      <c r="BT2294">
        <v>0</v>
      </c>
      <c r="BU2294">
        <v>0</v>
      </c>
      <c r="BV2294">
        <v>0</v>
      </c>
      <c r="CC2294" t="str">
        <f>"19:13:05.445"</f>
        <v>19:13:05.445</v>
      </c>
      <c r="CD2294" t="str">
        <f>"441887198"</f>
        <v>441887198</v>
      </c>
      <c r="CQ2294">
        <v>0</v>
      </c>
      <c r="CR2294">
        <v>2</v>
      </c>
      <c r="CS2294">
        <v>0</v>
      </c>
      <c r="CT2294">
        <v>2</v>
      </c>
      <c r="CU2294">
        <v>0</v>
      </c>
      <c r="CV2294">
        <v>6</v>
      </c>
      <c r="CW2294" t="s">
        <v>120</v>
      </c>
      <c r="CX2294">
        <v>257</v>
      </c>
      <c r="CY2294">
        <v>0</v>
      </c>
      <c r="CZ2294" t="s">
        <v>615</v>
      </c>
      <c r="DA2294" t="s">
        <v>616</v>
      </c>
      <c r="DD2294">
        <v>15827074</v>
      </c>
      <c r="DE2294" t="s">
        <v>123</v>
      </c>
    </row>
    <row r="2295" spans="1:109" x14ac:dyDescent="0.3">
      <c r="A2295" t="str">
        <f>"19:13:06.633"</f>
        <v>19:13:06.633</v>
      </c>
      <c r="B2295" t="s">
        <v>110</v>
      </c>
      <c r="C2295" t="str">
        <f t="shared" si="105"/>
        <v>ffdfd3c0</v>
      </c>
      <c r="D2295" t="s">
        <v>111</v>
      </c>
      <c r="E2295">
        <v>18</v>
      </c>
      <c r="F2295">
        <v>1018</v>
      </c>
      <c r="G2295" t="s">
        <v>112</v>
      </c>
      <c r="J2295" t="s">
        <v>113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R2295" t="s">
        <v>114</v>
      </c>
      <c r="S2295" t="str">
        <f>"19:13:06.414"</f>
        <v>19:13:06.414</v>
      </c>
      <c r="T2295" t="str">
        <f>"19:13:06.313"</f>
        <v>19:13:06.313</v>
      </c>
      <c r="U2295" t="str">
        <f t="shared" si="106"/>
        <v>a1cdbe</v>
      </c>
      <c r="V2295">
        <v>0</v>
      </c>
      <c r="W2295">
        <v>0</v>
      </c>
      <c r="X2295">
        <v>1</v>
      </c>
      <c r="Y2295">
        <v>0</v>
      </c>
      <c r="Z2295">
        <v>0</v>
      </c>
      <c r="AB2295">
        <v>0</v>
      </c>
      <c r="AC2295">
        <v>9</v>
      </c>
      <c r="AD2295">
        <v>3</v>
      </c>
      <c r="AE2295">
        <v>0</v>
      </c>
      <c r="AF2295">
        <v>9</v>
      </c>
      <c r="AG2295" t="s">
        <v>158</v>
      </c>
      <c r="AH2295">
        <v>0</v>
      </c>
      <c r="AI2295">
        <v>3</v>
      </c>
      <c r="AJ2295">
        <v>1</v>
      </c>
      <c r="AK2295">
        <v>0</v>
      </c>
      <c r="AL2295" t="s">
        <v>4317</v>
      </c>
      <c r="AM2295">
        <v>46.889690999999999</v>
      </c>
      <c r="AN2295" t="s">
        <v>4318</v>
      </c>
      <c r="AO2295">
        <v>-123.18544900000001</v>
      </c>
      <c r="AP2295">
        <v>100</v>
      </c>
      <c r="AQ2295">
        <v>2000</v>
      </c>
      <c r="AR2295" t="s">
        <v>118</v>
      </c>
      <c r="AS2295">
        <v>-77</v>
      </c>
      <c r="AT2295">
        <v>24</v>
      </c>
      <c r="AU2295">
        <v>-320</v>
      </c>
      <c r="BC2295">
        <v>1200</v>
      </c>
      <c r="BD2295">
        <v>1</v>
      </c>
      <c r="BE2295" t="str">
        <f t="shared" si="107"/>
        <v xml:space="preserve">N215T   </v>
      </c>
      <c r="BF2295">
        <v>1</v>
      </c>
      <c r="BH2295">
        <v>0</v>
      </c>
      <c r="BI2295">
        <v>0</v>
      </c>
      <c r="BJ2295">
        <v>0</v>
      </c>
      <c r="BK2295">
        <v>2375</v>
      </c>
      <c r="BL2295">
        <v>375</v>
      </c>
      <c r="BM2295" t="s">
        <v>119</v>
      </c>
      <c r="BN2295">
        <v>1</v>
      </c>
      <c r="BO2295">
        <v>1</v>
      </c>
      <c r="BP2295">
        <v>1</v>
      </c>
      <c r="BQ2295">
        <v>0</v>
      </c>
      <c r="BT2295">
        <v>0</v>
      </c>
      <c r="BU2295">
        <v>0</v>
      </c>
      <c r="BV2295">
        <v>0</v>
      </c>
      <c r="CC2295" t="str">
        <f>"19:13:06.414"</f>
        <v>19:13:06.414</v>
      </c>
      <c r="CD2295" t="str">
        <f>"416791093"</f>
        <v>416791093</v>
      </c>
      <c r="CQ2295">
        <v>0</v>
      </c>
      <c r="CR2295">
        <v>2</v>
      </c>
      <c r="CS2295">
        <v>0</v>
      </c>
      <c r="CT2295">
        <v>2</v>
      </c>
      <c r="CU2295">
        <v>0</v>
      </c>
      <c r="CV2295">
        <v>7</v>
      </c>
      <c r="CW2295" t="s">
        <v>120</v>
      </c>
      <c r="CX2295">
        <v>257</v>
      </c>
      <c r="CY2295">
        <v>0</v>
      </c>
      <c r="CZ2295" t="s">
        <v>615</v>
      </c>
      <c r="DA2295" t="s">
        <v>616</v>
      </c>
      <c r="DD2295">
        <v>15827655</v>
      </c>
      <c r="DE2295" t="s">
        <v>123</v>
      </c>
    </row>
    <row r="2296" spans="1:109" x14ac:dyDescent="0.3">
      <c r="A2296" t="str">
        <f>"19:13:07.586"</f>
        <v>19:13:07.586</v>
      </c>
      <c r="B2296" t="s">
        <v>110</v>
      </c>
      <c r="C2296" t="str">
        <f t="shared" si="105"/>
        <v>ffdfd3c0</v>
      </c>
      <c r="D2296" t="s">
        <v>111</v>
      </c>
      <c r="E2296">
        <v>18</v>
      </c>
      <c r="F2296">
        <v>1018</v>
      </c>
      <c r="G2296" t="s">
        <v>112</v>
      </c>
      <c r="J2296" t="s">
        <v>113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R2296" t="s">
        <v>114</v>
      </c>
      <c r="S2296" t="str">
        <f>"19:13:07.359"</f>
        <v>19:13:07.359</v>
      </c>
      <c r="T2296" t="str">
        <f>"19:13:06.961"</f>
        <v>19:13:06.961</v>
      </c>
      <c r="U2296" t="str">
        <f t="shared" si="106"/>
        <v>a1cdbe</v>
      </c>
      <c r="V2296">
        <v>0</v>
      </c>
      <c r="W2296">
        <v>0</v>
      </c>
      <c r="X2296">
        <v>1</v>
      </c>
      <c r="Y2296">
        <v>0</v>
      </c>
      <c r="Z2296">
        <v>0</v>
      </c>
      <c r="AB2296">
        <v>0</v>
      </c>
      <c r="AC2296">
        <v>9</v>
      </c>
      <c r="AD2296">
        <v>3</v>
      </c>
      <c r="AE2296">
        <v>0</v>
      </c>
      <c r="AF2296">
        <v>9</v>
      </c>
      <c r="AG2296" t="s">
        <v>158</v>
      </c>
      <c r="AH2296">
        <v>0</v>
      </c>
      <c r="AI2296">
        <v>3</v>
      </c>
      <c r="AJ2296">
        <v>1</v>
      </c>
      <c r="AK2296">
        <v>0</v>
      </c>
      <c r="AL2296" t="s">
        <v>4319</v>
      </c>
      <c r="AM2296">
        <v>46.889798999999996</v>
      </c>
      <c r="AN2296" t="s">
        <v>4320</v>
      </c>
      <c r="AO2296">
        <v>-123.18589900000001</v>
      </c>
      <c r="AP2296">
        <v>100</v>
      </c>
      <c r="AQ2296">
        <v>2000</v>
      </c>
      <c r="AR2296" t="s">
        <v>118</v>
      </c>
      <c r="AS2296">
        <v>-77</v>
      </c>
      <c r="AT2296">
        <v>24</v>
      </c>
      <c r="AU2296">
        <v>-320</v>
      </c>
      <c r="BC2296">
        <v>1200</v>
      </c>
      <c r="BD2296">
        <v>1</v>
      </c>
      <c r="BE2296" t="str">
        <f t="shared" si="107"/>
        <v xml:space="preserve">N215T   </v>
      </c>
      <c r="BF2296">
        <v>1</v>
      </c>
      <c r="BH2296">
        <v>0</v>
      </c>
      <c r="BI2296">
        <v>0</v>
      </c>
      <c r="BJ2296">
        <v>0</v>
      </c>
      <c r="BK2296">
        <v>2375</v>
      </c>
      <c r="BL2296">
        <v>375</v>
      </c>
      <c r="BM2296" t="s">
        <v>119</v>
      </c>
      <c r="BN2296">
        <v>1</v>
      </c>
      <c r="BO2296">
        <v>1</v>
      </c>
      <c r="BP2296">
        <v>1</v>
      </c>
      <c r="BQ2296">
        <v>0</v>
      </c>
      <c r="BT2296">
        <v>0</v>
      </c>
      <c r="BU2296">
        <v>0</v>
      </c>
      <c r="BV2296">
        <v>0</v>
      </c>
      <c r="CC2296" t="str">
        <f>"19:13:07.359"</f>
        <v>19:13:07.359</v>
      </c>
      <c r="CD2296" t="str">
        <f>"361697962"</f>
        <v>361697962</v>
      </c>
      <c r="CQ2296">
        <v>0</v>
      </c>
      <c r="CR2296">
        <v>2</v>
      </c>
      <c r="CS2296">
        <v>0</v>
      </c>
      <c r="CT2296">
        <v>2</v>
      </c>
      <c r="CU2296">
        <v>0</v>
      </c>
      <c r="CV2296">
        <v>7</v>
      </c>
      <c r="CW2296" t="s">
        <v>120</v>
      </c>
      <c r="CX2296">
        <v>257</v>
      </c>
      <c r="CY2296">
        <v>0</v>
      </c>
      <c r="CZ2296" t="s">
        <v>615</v>
      </c>
      <c r="DA2296" t="s">
        <v>616</v>
      </c>
      <c r="DD2296">
        <v>15828179</v>
      </c>
      <c r="DE2296" t="s">
        <v>123</v>
      </c>
    </row>
    <row r="2297" spans="1:109" x14ac:dyDescent="0.3">
      <c r="A2297" t="str">
        <f>"19:13:08.547"</f>
        <v>19:13:08.547</v>
      </c>
      <c r="B2297" t="s">
        <v>110</v>
      </c>
      <c r="C2297" t="str">
        <f t="shared" si="105"/>
        <v>ffdfd3c0</v>
      </c>
      <c r="D2297" t="s">
        <v>111</v>
      </c>
      <c r="E2297">
        <v>18</v>
      </c>
      <c r="F2297">
        <v>1018</v>
      </c>
      <c r="G2297" t="s">
        <v>112</v>
      </c>
      <c r="J2297" t="s">
        <v>113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R2297" t="s">
        <v>114</v>
      </c>
      <c r="S2297" t="str">
        <f>"19:13:08.320"</f>
        <v>19:13:08.320</v>
      </c>
      <c r="T2297" t="str">
        <f>"19:13:08.023"</f>
        <v>19:13:08.023</v>
      </c>
      <c r="U2297" t="str">
        <f t="shared" si="106"/>
        <v>a1cdbe</v>
      </c>
      <c r="V2297">
        <v>0</v>
      </c>
      <c r="W2297">
        <v>0</v>
      </c>
      <c r="X2297">
        <v>1</v>
      </c>
      <c r="Y2297">
        <v>0</v>
      </c>
      <c r="Z2297">
        <v>0</v>
      </c>
      <c r="AB2297">
        <v>0</v>
      </c>
      <c r="AC2297">
        <v>9</v>
      </c>
      <c r="AD2297">
        <v>3</v>
      </c>
      <c r="AE2297">
        <v>0</v>
      </c>
      <c r="AF2297">
        <v>9</v>
      </c>
      <c r="AG2297" t="s">
        <v>158</v>
      </c>
      <c r="AH2297">
        <v>0</v>
      </c>
      <c r="AI2297">
        <v>3</v>
      </c>
      <c r="AJ2297">
        <v>1</v>
      </c>
      <c r="AK2297">
        <v>0</v>
      </c>
      <c r="AL2297" t="s">
        <v>1470</v>
      </c>
      <c r="AM2297">
        <v>46.889884000000002</v>
      </c>
      <c r="AN2297" t="s">
        <v>4321</v>
      </c>
      <c r="AO2297">
        <v>-123.186393</v>
      </c>
      <c r="AP2297">
        <v>100</v>
      </c>
      <c r="AQ2297">
        <v>2000</v>
      </c>
      <c r="AR2297" t="s">
        <v>118</v>
      </c>
      <c r="AS2297">
        <v>-76</v>
      </c>
      <c r="AT2297">
        <v>24</v>
      </c>
      <c r="AU2297">
        <v>-192</v>
      </c>
      <c r="BC2297">
        <v>1200</v>
      </c>
      <c r="BD2297">
        <v>1</v>
      </c>
      <c r="BE2297" t="str">
        <f t="shared" si="107"/>
        <v xml:space="preserve">N215T   </v>
      </c>
      <c r="BF2297">
        <v>1</v>
      </c>
      <c r="BH2297">
        <v>0</v>
      </c>
      <c r="BI2297">
        <v>0</v>
      </c>
      <c r="BJ2297">
        <v>0</v>
      </c>
      <c r="BK2297">
        <v>2375</v>
      </c>
      <c r="BL2297">
        <v>375</v>
      </c>
      <c r="BM2297" t="s">
        <v>119</v>
      </c>
      <c r="BN2297">
        <v>1</v>
      </c>
      <c r="BO2297">
        <v>1</v>
      </c>
      <c r="BP2297">
        <v>1</v>
      </c>
      <c r="BQ2297">
        <v>0</v>
      </c>
      <c r="BT2297">
        <v>0</v>
      </c>
      <c r="BU2297">
        <v>0</v>
      </c>
      <c r="BV2297">
        <v>0</v>
      </c>
      <c r="CC2297" t="str">
        <f>"19:13:08.320"</f>
        <v>19:13:08.320</v>
      </c>
      <c r="CD2297" t="str">
        <f>"321603338"</f>
        <v>321603338</v>
      </c>
      <c r="CQ2297">
        <v>0</v>
      </c>
      <c r="CR2297">
        <v>2</v>
      </c>
      <c r="CS2297">
        <v>0</v>
      </c>
      <c r="CT2297">
        <v>2</v>
      </c>
      <c r="CU2297">
        <v>0</v>
      </c>
      <c r="CV2297">
        <v>7</v>
      </c>
      <c r="CW2297" t="s">
        <v>120</v>
      </c>
      <c r="CX2297">
        <v>257</v>
      </c>
      <c r="CY2297">
        <v>0</v>
      </c>
      <c r="CZ2297" t="s">
        <v>615</v>
      </c>
      <c r="DA2297" t="s">
        <v>616</v>
      </c>
      <c r="DD2297">
        <v>15828706</v>
      </c>
      <c r="DE2297" t="s">
        <v>123</v>
      </c>
    </row>
    <row r="2298" spans="1:109" x14ac:dyDescent="0.3">
      <c r="A2298" t="str">
        <f>"19:13:09.602"</f>
        <v>19:13:09.602</v>
      </c>
      <c r="B2298" t="s">
        <v>110</v>
      </c>
      <c r="C2298" t="str">
        <f t="shared" si="105"/>
        <v>ffdfd3c0</v>
      </c>
      <c r="D2298" t="s">
        <v>111</v>
      </c>
      <c r="E2298">
        <v>18</v>
      </c>
      <c r="F2298">
        <v>1018</v>
      </c>
      <c r="G2298" t="s">
        <v>112</v>
      </c>
      <c r="J2298" t="s">
        <v>113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R2298" t="s">
        <v>114</v>
      </c>
      <c r="S2298" t="str">
        <f>"19:13:09.367"</f>
        <v>19:13:09.367</v>
      </c>
      <c r="T2298" t="str">
        <f>"19:13:08.969"</f>
        <v>19:13:08.969</v>
      </c>
      <c r="U2298" t="str">
        <f t="shared" si="106"/>
        <v>a1cdbe</v>
      </c>
      <c r="V2298">
        <v>0</v>
      </c>
      <c r="W2298">
        <v>0</v>
      </c>
      <c r="X2298">
        <v>1</v>
      </c>
      <c r="Y2298">
        <v>0</v>
      </c>
      <c r="Z2298">
        <v>0</v>
      </c>
      <c r="AB2298">
        <v>0</v>
      </c>
      <c r="AC2298">
        <v>9</v>
      </c>
      <c r="AD2298">
        <v>3</v>
      </c>
      <c r="AE2298">
        <v>0</v>
      </c>
      <c r="AF2298">
        <v>9</v>
      </c>
      <c r="AG2298" t="s">
        <v>158</v>
      </c>
      <c r="AH2298">
        <v>0</v>
      </c>
      <c r="AI2298">
        <v>3</v>
      </c>
      <c r="AJ2298">
        <v>1</v>
      </c>
      <c r="AK2298">
        <v>0</v>
      </c>
      <c r="AL2298" t="s">
        <v>4322</v>
      </c>
      <c r="AM2298">
        <v>46.889969999999998</v>
      </c>
      <c r="AN2298" t="s">
        <v>4323</v>
      </c>
      <c r="AO2298">
        <v>-123.18695099999999</v>
      </c>
      <c r="AP2298">
        <v>100</v>
      </c>
      <c r="AQ2298">
        <v>2000</v>
      </c>
      <c r="AR2298" t="s">
        <v>118</v>
      </c>
      <c r="AS2298">
        <v>-76</v>
      </c>
      <c r="AT2298">
        <v>24</v>
      </c>
      <c r="AU2298">
        <v>-128</v>
      </c>
      <c r="BC2298">
        <v>1200</v>
      </c>
      <c r="BD2298">
        <v>1</v>
      </c>
      <c r="BE2298" t="str">
        <f t="shared" si="107"/>
        <v xml:space="preserve">N215T   </v>
      </c>
      <c r="BF2298">
        <v>1</v>
      </c>
      <c r="BH2298">
        <v>0</v>
      </c>
      <c r="BI2298">
        <v>0</v>
      </c>
      <c r="BJ2298">
        <v>0</v>
      </c>
      <c r="BK2298">
        <v>2375</v>
      </c>
      <c r="BL2298">
        <v>375</v>
      </c>
      <c r="BM2298" t="s">
        <v>119</v>
      </c>
      <c r="BN2298">
        <v>1</v>
      </c>
      <c r="BO2298">
        <v>1</v>
      </c>
      <c r="BP2298">
        <v>1</v>
      </c>
      <c r="BQ2298">
        <v>0</v>
      </c>
      <c r="BT2298">
        <v>0</v>
      </c>
      <c r="BU2298">
        <v>0</v>
      </c>
      <c r="BV2298">
        <v>0</v>
      </c>
      <c r="CC2298" t="str">
        <f>"19:13:09.375"</f>
        <v>19:13:09.375</v>
      </c>
      <c r="CD2298" t="str">
        <f>"371499858"</f>
        <v>371499858</v>
      </c>
      <c r="CQ2298">
        <v>0</v>
      </c>
      <c r="CR2298">
        <v>2</v>
      </c>
      <c r="CS2298">
        <v>0</v>
      </c>
      <c r="CT2298">
        <v>2</v>
      </c>
      <c r="CU2298">
        <v>0</v>
      </c>
      <c r="CV2298">
        <v>6</v>
      </c>
      <c r="CW2298" t="s">
        <v>120</v>
      </c>
      <c r="CX2298">
        <v>257</v>
      </c>
      <c r="CY2298">
        <v>0</v>
      </c>
      <c r="CZ2298" t="s">
        <v>615</v>
      </c>
      <c r="DA2298" t="s">
        <v>616</v>
      </c>
      <c r="DD2298">
        <v>15829288</v>
      </c>
      <c r="DE2298" t="s">
        <v>123</v>
      </c>
    </row>
    <row r="2299" spans="1:109" x14ac:dyDescent="0.3">
      <c r="A2299" t="str">
        <f>"19:13:10.703"</f>
        <v>19:13:10.703</v>
      </c>
      <c r="B2299" t="s">
        <v>110</v>
      </c>
      <c r="C2299" t="str">
        <f t="shared" si="105"/>
        <v>ffdfd3c0</v>
      </c>
      <c r="D2299" t="s">
        <v>111</v>
      </c>
      <c r="E2299">
        <v>18</v>
      </c>
      <c r="F2299">
        <v>1018</v>
      </c>
      <c r="G2299" t="s">
        <v>112</v>
      </c>
      <c r="J2299" t="s">
        <v>113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R2299" t="s">
        <v>114</v>
      </c>
      <c r="S2299" t="str">
        <f>"19:13:10.461"</f>
        <v>19:13:10.461</v>
      </c>
      <c r="T2299" t="str">
        <f>"19:13:10.164"</f>
        <v>19:13:10.164</v>
      </c>
      <c r="U2299" t="str">
        <f t="shared" si="106"/>
        <v>a1cdbe</v>
      </c>
      <c r="V2299">
        <v>0</v>
      </c>
      <c r="W2299">
        <v>0</v>
      </c>
      <c r="X2299">
        <v>1</v>
      </c>
      <c r="Y2299">
        <v>0</v>
      </c>
      <c r="Z2299">
        <v>0</v>
      </c>
      <c r="AB2299">
        <v>0</v>
      </c>
      <c r="AC2299">
        <v>9</v>
      </c>
      <c r="AD2299">
        <v>3</v>
      </c>
      <c r="AE2299">
        <v>0</v>
      </c>
      <c r="AF2299">
        <v>9</v>
      </c>
      <c r="AG2299" t="s">
        <v>158</v>
      </c>
      <c r="AH2299">
        <v>0</v>
      </c>
      <c r="AI2299">
        <v>3</v>
      </c>
      <c r="AJ2299">
        <v>1</v>
      </c>
      <c r="AK2299">
        <v>0</v>
      </c>
      <c r="AL2299" t="s">
        <v>4324</v>
      </c>
      <c r="AM2299">
        <v>46.890098999999999</v>
      </c>
      <c r="AN2299" t="s">
        <v>4325</v>
      </c>
      <c r="AO2299">
        <v>-123.18750900000001</v>
      </c>
      <c r="AP2299">
        <v>100</v>
      </c>
      <c r="AQ2299">
        <v>2000</v>
      </c>
      <c r="AR2299" t="s">
        <v>118</v>
      </c>
      <c r="AS2299">
        <v>-75</v>
      </c>
      <c r="AT2299">
        <v>24</v>
      </c>
      <c r="AU2299">
        <v>0</v>
      </c>
      <c r="BC2299">
        <v>1200</v>
      </c>
      <c r="BD2299">
        <v>1</v>
      </c>
      <c r="BE2299" t="str">
        <f t="shared" si="107"/>
        <v xml:space="preserve">N215T   </v>
      </c>
      <c r="BF2299">
        <v>1</v>
      </c>
      <c r="BH2299">
        <v>0</v>
      </c>
      <c r="BI2299">
        <v>0</v>
      </c>
      <c r="BJ2299">
        <v>0</v>
      </c>
      <c r="BK2299">
        <v>2375</v>
      </c>
      <c r="BL2299">
        <v>375</v>
      </c>
      <c r="BM2299" t="s">
        <v>119</v>
      </c>
      <c r="BN2299">
        <v>1</v>
      </c>
      <c r="BO2299">
        <v>1</v>
      </c>
      <c r="BP2299">
        <v>1</v>
      </c>
      <c r="BQ2299">
        <v>0</v>
      </c>
      <c r="BT2299">
        <v>0</v>
      </c>
      <c r="BU2299">
        <v>0</v>
      </c>
      <c r="BV2299">
        <v>0</v>
      </c>
      <c r="CC2299" t="str">
        <f>"19:13:10.469"</f>
        <v>19:13:10.469</v>
      </c>
      <c r="CD2299" t="str">
        <f>"466391933"</f>
        <v>466391933</v>
      </c>
      <c r="CQ2299">
        <v>0</v>
      </c>
      <c r="CR2299">
        <v>2</v>
      </c>
      <c r="CS2299">
        <v>0</v>
      </c>
      <c r="CT2299">
        <v>2</v>
      </c>
      <c r="CU2299">
        <v>0</v>
      </c>
      <c r="CV2299">
        <v>6</v>
      </c>
      <c r="CW2299" t="s">
        <v>120</v>
      </c>
      <c r="CX2299">
        <v>257</v>
      </c>
      <c r="CY2299">
        <v>0</v>
      </c>
      <c r="CZ2299" t="s">
        <v>615</v>
      </c>
      <c r="DA2299" t="s">
        <v>616</v>
      </c>
      <c r="DD2299">
        <v>15829889</v>
      </c>
      <c r="DE2299" t="s">
        <v>123</v>
      </c>
    </row>
    <row r="2300" spans="1:109" x14ac:dyDescent="0.3">
      <c r="A2300" t="str">
        <f>"19:13:11.820"</f>
        <v>19:13:11.820</v>
      </c>
      <c r="B2300" t="s">
        <v>110</v>
      </c>
      <c r="C2300" t="str">
        <f t="shared" si="105"/>
        <v>ffdfd3c0</v>
      </c>
      <c r="D2300" t="s">
        <v>111</v>
      </c>
      <c r="E2300">
        <v>18</v>
      </c>
      <c r="F2300">
        <v>1018</v>
      </c>
      <c r="G2300" t="s">
        <v>112</v>
      </c>
      <c r="J2300" t="s">
        <v>113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R2300" t="s">
        <v>114</v>
      </c>
      <c r="S2300" t="str">
        <f>"19:13:11.602"</f>
        <v>19:13:11.602</v>
      </c>
      <c r="T2300" t="str">
        <f>"19:13:11.102"</f>
        <v>19:13:11.102</v>
      </c>
      <c r="U2300" t="str">
        <f t="shared" si="106"/>
        <v>a1cdbe</v>
      </c>
      <c r="V2300">
        <v>0</v>
      </c>
      <c r="W2300">
        <v>0</v>
      </c>
      <c r="X2300">
        <v>1</v>
      </c>
      <c r="Y2300">
        <v>0</v>
      </c>
      <c r="Z2300">
        <v>0</v>
      </c>
      <c r="AB2300">
        <v>0</v>
      </c>
      <c r="AC2300">
        <v>9</v>
      </c>
      <c r="AD2300">
        <v>3</v>
      </c>
      <c r="AE2300">
        <v>0</v>
      </c>
      <c r="AF2300">
        <v>9</v>
      </c>
      <c r="AG2300" t="s">
        <v>158</v>
      </c>
      <c r="AH2300">
        <v>0</v>
      </c>
      <c r="AI2300">
        <v>3</v>
      </c>
      <c r="AJ2300">
        <v>1</v>
      </c>
      <c r="AK2300">
        <v>0</v>
      </c>
      <c r="AL2300" t="s">
        <v>4326</v>
      </c>
      <c r="AM2300">
        <v>46.890248999999997</v>
      </c>
      <c r="AN2300" t="s">
        <v>4327</v>
      </c>
      <c r="AO2300">
        <v>-123.188045</v>
      </c>
      <c r="AP2300">
        <v>100</v>
      </c>
      <c r="AQ2300">
        <v>2000</v>
      </c>
      <c r="AR2300" t="s">
        <v>118</v>
      </c>
      <c r="AS2300">
        <v>-75</v>
      </c>
      <c r="AT2300">
        <v>25</v>
      </c>
      <c r="AU2300">
        <v>-64</v>
      </c>
      <c r="BC2300">
        <v>1200</v>
      </c>
      <c r="BD2300">
        <v>1</v>
      </c>
      <c r="BE2300" t="str">
        <f t="shared" si="107"/>
        <v xml:space="preserve">N215T   </v>
      </c>
      <c r="BF2300">
        <v>1</v>
      </c>
      <c r="BH2300">
        <v>0</v>
      </c>
      <c r="BI2300">
        <v>0</v>
      </c>
      <c r="BJ2300">
        <v>0</v>
      </c>
      <c r="BK2300">
        <v>2375</v>
      </c>
      <c r="BL2300">
        <v>375</v>
      </c>
      <c r="BM2300" t="s">
        <v>119</v>
      </c>
      <c r="BN2300">
        <v>1</v>
      </c>
      <c r="BO2300">
        <v>1</v>
      </c>
      <c r="BP2300">
        <v>1</v>
      </c>
      <c r="BQ2300">
        <v>0</v>
      </c>
      <c r="BT2300">
        <v>0</v>
      </c>
      <c r="BU2300">
        <v>0</v>
      </c>
      <c r="BV2300">
        <v>0</v>
      </c>
      <c r="CC2300" t="str">
        <f>"19:13:11.609"</f>
        <v>19:13:11.609</v>
      </c>
      <c r="CD2300" t="str">
        <f>"606279581"</f>
        <v>606279581</v>
      </c>
      <c r="CQ2300">
        <v>0</v>
      </c>
      <c r="CR2300">
        <v>2</v>
      </c>
      <c r="CS2300">
        <v>0</v>
      </c>
      <c r="CT2300">
        <v>2</v>
      </c>
      <c r="CU2300">
        <v>0</v>
      </c>
      <c r="CV2300">
        <v>6</v>
      </c>
      <c r="CW2300" t="s">
        <v>120</v>
      </c>
      <c r="CX2300">
        <v>257</v>
      </c>
      <c r="CY2300">
        <v>0</v>
      </c>
      <c r="CZ2300" t="s">
        <v>615</v>
      </c>
      <c r="DA2300" t="s">
        <v>616</v>
      </c>
      <c r="DD2300">
        <v>15830573</v>
      </c>
      <c r="DE2300" t="s">
        <v>123</v>
      </c>
    </row>
    <row r="2301" spans="1:109" x14ac:dyDescent="0.3">
      <c r="A2301" t="str">
        <f>"19:13:12.773"</f>
        <v>19:13:12.773</v>
      </c>
      <c r="B2301" t="s">
        <v>110</v>
      </c>
      <c r="C2301" t="str">
        <f t="shared" si="105"/>
        <v>ffdfd3c0</v>
      </c>
      <c r="D2301" t="s">
        <v>111</v>
      </c>
      <c r="E2301">
        <v>18</v>
      </c>
      <c r="F2301">
        <v>1018</v>
      </c>
      <c r="G2301" t="s">
        <v>112</v>
      </c>
      <c r="J2301" t="s">
        <v>113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R2301" t="s">
        <v>114</v>
      </c>
      <c r="S2301" t="str">
        <f>"19:13:12.547"</f>
        <v>19:13:12.547</v>
      </c>
      <c r="T2301" t="str">
        <f>"19:13:12.547"</f>
        <v>19:13:12.547</v>
      </c>
      <c r="U2301" t="str">
        <f t="shared" si="106"/>
        <v>a1cdbe</v>
      </c>
      <c r="V2301">
        <v>0</v>
      </c>
      <c r="W2301">
        <v>0</v>
      </c>
      <c r="X2301">
        <v>1</v>
      </c>
      <c r="Y2301">
        <v>0</v>
      </c>
      <c r="Z2301">
        <v>0</v>
      </c>
      <c r="AB2301">
        <v>0</v>
      </c>
      <c r="AC2301">
        <v>9</v>
      </c>
      <c r="AD2301">
        <v>3</v>
      </c>
      <c r="AE2301">
        <v>0</v>
      </c>
      <c r="AF2301">
        <v>9</v>
      </c>
      <c r="AG2301" t="s">
        <v>158</v>
      </c>
      <c r="AH2301">
        <v>0</v>
      </c>
      <c r="AI2301">
        <v>3</v>
      </c>
      <c r="AJ2301">
        <v>1</v>
      </c>
      <c r="AK2301">
        <v>0</v>
      </c>
      <c r="AL2301" t="s">
        <v>4328</v>
      </c>
      <c r="AM2301">
        <v>46.890357000000002</v>
      </c>
      <c r="AN2301" t="s">
        <v>4329</v>
      </c>
      <c r="AO2301">
        <v>-123.188496</v>
      </c>
      <c r="AP2301">
        <v>100</v>
      </c>
      <c r="AQ2301">
        <v>2000</v>
      </c>
      <c r="AR2301" t="s">
        <v>118</v>
      </c>
      <c r="AS2301">
        <v>-74</v>
      </c>
      <c r="AT2301">
        <v>25</v>
      </c>
      <c r="AU2301">
        <v>0</v>
      </c>
      <c r="BC2301">
        <v>1200</v>
      </c>
      <c r="BD2301">
        <v>1</v>
      </c>
      <c r="BE2301" t="str">
        <f t="shared" si="107"/>
        <v xml:space="preserve">N215T   </v>
      </c>
      <c r="BF2301">
        <v>1</v>
      </c>
      <c r="BH2301">
        <v>0</v>
      </c>
      <c r="BI2301">
        <v>0</v>
      </c>
      <c r="BJ2301">
        <v>0</v>
      </c>
      <c r="BK2301">
        <v>2375</v>
      </c>
      <c r="BL2301">
        <v>375</v>
      </c>
      <c r="BM2301" t="s">
        <v>119</v>
      </c>
      <c r="BN2301">
        <v>1</v>
      </c>
      <c r="BO2301">
        <v>1</v>
      </c>
      <c r="BP2301">
        <v>1</v>
      </c>
      <c r="BQ2301">
        <v>0</v>
      </c>
      <c r="BT2301">
        <v>0</v>
      </c>
      <c r="BU2301">
        <v>0</v>
      </c>
      <c r="BV2301">
        <v>0</v>
      </c>
      <c r="CC2301" t="str">
        <f>"19:13:12.555"</f>
        <v>19:13:12.555</v>
      </c>
      <c r="CD2301" t="str">
        <f>"551186454"</f>
        <v>551186454</v>
      </c>
      <c r="CQ2301">
        <v>0</v>
      </c>
      <c r="CR2301">
        <v>2</v>
      </c>
      <c r="CS2301">
        <v>0</v>
      </c>
      <c r="CT2301">
        <v>2</v>
      </c>
      <c r="CU2301">
        <v>0</v>
      </c>
      <c r="CV2301">
        <v>6</v>
      </c>
      <c r="CW2301" t="s">
        <v>120</v>
      </c>
      <c r="CX2301">
        <v>257</v>
      </c>
      <c r="CY2301">
        <v>1</v>
      </c>
      <c r="CZ2301" t="s">
        <v>615</v>
      </c>
      <c r="DA2301" t="s">
        <v>616</v>
      </c>
      <c r="DD2301">
        <v>12092508</v>
      </c>
      <c r="DE2301" t="s">
        <v>123</v>
      </c>
    </row>
    <row r="2302" spans="1:109" x14ac:dyDescent="0.3">
      <c r="A2302" t="str">
        <f>"19:13:13.773"</f>
        <v>19:13:13.773</v>
      </c>
      <c r="B2302" t="s">
        <v>110</v>
      </c>
      <c r="C2302" t="str">
        <f t="shared" si="105"/>
        <v>ffdfd3c0</v>
      </c>
      <c r="D2302" t="s">
        <v>111</v>
      </c>
      <c r="E2302">
        <v>18</v>
      </c>
      <c r="F2302">
        <v>1018</v>
      </c>
      <c r="G2302" t="s">
        <v>112</v>
      </c>
      <c r="J2302" t="s">
        <v>113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R2302" t="s">
        <v>114</v>
      </c>
      <c r="S2302" t="str">
        <f>"19:13:13.555"</f>
        <v>19:13:13.555</v>
      </c>
      <c r="T2302" t="str">
        <f>"19:13:13.453"</f>
        <v>19:13:13.453</v>
      </c>
      <c r="U2302" t="str">
        <f t="shared" si="106"/>
        <v>a1cdbe</v>
      </c>
      <c r="V2302">
        <v>0</v>
      </c>
      <c r="W2302">
        <v>0</v>
      </c>
      <c r="X2302">
        <v>1</v>
      </c>
      <c r="Y2302">
        <v>0</v>
      </c>
      <c r="Z2302">
        <v>0</v>
      </c>
      <c r="AB2302">
        <v>0</v>
      </c>
      <c r="AC2302">
        <v>9</v>
      </c>
      <c r="AD2302">
        <v>3</v>
      </c>
      <c r="AE2302">
        <v>0</v>
      </c>
      <c r="AF2302">
        <v>9</v>
      </c>
      <c r="AG2302" t="s">
        <v>158</v>
      </c>
      <c r="AH2302">
        <v>0</v>
      </c>
      <c r="AI2302">
        <v>3</v>
      </c>
      <c r="AJ2302">
        <v>1</v>
      </c>
      <c r="AK2302">
        <v>0</v>
      </c>
      <c r="AL2302" t="s">
        <v>4330</v>
      </c>
      <c r="AM2302">
        <v>46.890464000000001</v>
      </c>
      <c r="AN2302" t="s">
        <v>4331</v>
      </c>
      <c r="AO2302">
        <v>-123.189075</v>
      </c>
      <c r="AP2302">
        <v>100</v>
      </c>
      <c r="AQ2302">
        <v>2000</v>
      </c>
      <c r="AR2302" t="s">
        <v>118</v>
      </c>
      <c r="AS2302">
        <v>-73</v>
      </c>
      <c r="AT2302">
        <v>25</v>
      </c>
      <c r="AU2302">
        <v>0</v>
      </c>
      <c r="BC2302">
        <v>1200</v>
      </c>
      <c r="BD2302">
        <v>1</v>
      </c>
      <c r="BE2302" t="str">
        <f t="shared" si="107"/>
        <v xml:space="preserve">N215T   </v>
      </c>
      <c r="BF2302">
        <v>1</v>
      </c>
      <c r="BH2302">
        <v>0</v>
      </c>
      <c r="BI2302">
        <v>0</v>
      </c>
      <c r="BJ2302">
        <v>0</v>
      </c>
      <c r="BK2302">
        <v>2375</v>
      </c>
      <c r="BL2302">
        <v>375</v>
      </c>
      <c r="BM2302" t="s">
        <v>119</v>
      </c>
      <c r="BN2302">
        <v>1</v>
      </c>
      <c r="BO2302">
        <v>1</v>
      </c>
      <c r="BP2302">
        <v>1</v>
      </c>
      <c r="BQ2302">
        <v>0</v>
      </c>
      <c r="BT2302">
        <v>0</v>
      </c>
      <c r="BU2302">
        <v>0</v>
      </c>
      <c r="BV2302">
        <v>0</v>
      </c>
      <c r="CC2302" t="str">
        <f>"19:13:13.555"</f>
        <v>19:13:13.555</v>
      </c>
      <c r="CD2302" t="str">
        <f>"556087425"</f>
        <v>556087425</v>
      </c>
      <c r="CQ2302">
        <v>0</v>
      </c>
      <c r="CR2302">
        <v>2</v>
      </c>
      <c r="CS2302">
        <v>0</v>
      </c>
      <c r="CT2302">
        <v>2</v>
      </c>
      <c r="CU2302">
        <v>0</v>
      </c>
      <c r="CV2302">
        <v>6</v>
      </c>
      <c r="CW2302" t="s">
        <v>120</v>
      </c>
      <c r="CX2302">
        <v>257</v>
      </c>
      <c r="CY2302">
        <v>0</v>
      </c>
      <c r="CZ2302" t="s">
        <v>615</v>
      </c>
      <c r="DA2302" t="s">
        <v>616</v>
      </c>
      <c r="DD2302">
        <v>15831624</v>
      </c>
      <c r="DE2302" t="s">
        <v>123</v>
      </c>
    </row>
    <row r="2303" spans="1:109" x14ac:dyDescent="0.3">
      <c r="A2303" t="str">
        <f>"19:13:14.828"</f>
        <v>19:13:14.828</v>
      </c>
      <c r="B2303" t="s">
        <v>110</v>
      </c>
      <c r="C2303" t="str">
        <f t="shared" si="105"/>
        <v>ffdfd3c0</v>
      </c>
      <c r="D2303" t="s">
        <v>111</v>
      </c>
      <c r="E2303">
        <v>18</v>
      </c>
      <c r="F2303">
        <v>1018</v>
      </c>
      <c r="G2303" t="s">
        <v>112</v>
      </c>
      <c r="J2303" t="s">
        <v>113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R2303" t="s">
        <v>114</v>
      </c>
      <c r="S2303" t="str">
        <f>"19:13:14.617"</f>
        <v>19:13:14.617</v>
      </c>
      <c r="T2303" t="str">
        <f>"19:13:14.516"</f>
        <v>19:13:14.516</v>
      </c>
      <c r="U2303" t="str">
        <f t="shared" si="106"/>
        <v>a1cdbe</v>
      </c>
      <c r="V2303">
        <v>0</v>
      </c>
      <c r="W2303">
        <v>0</v>
      </c>
      <c r="X2303">
        <v>1</v>
      </c>
      <c r="Y2303">
        <v>0</v>
      </c>
      <c r="Z2303">
        <v>0</v>
      </c>
      <c r="AB2303">
        <v>0</v>
      </c>
      <c r="AC2303">
        <v>9</v>
      </c>
      <c r="AD2303">
        <v>3</v>
      </c>
      <c r="AE2303">
        <v>0</v>
      </c>
      <c r="AF2303">
        <v>9</v>
      </c>
      <c r="AG2303" t="s">
        <v>158</v>
      </c>
      <c r="AH2303">
        <v>0</v>
      </c>
      <c r="AI2303">
        <v>3</v>
      </c>
      <c r="AJ2303">
        <v>1</v>
      </c>
      <c r="AK2303">
        <v>0</v>
      </c>
      <c r="AL2303" t="s">
        <v>4332</v>
      </c>
      <c r="AM2303">
        <v>46.890635000000003</v>
      </c>
      <c r="AN2303" t="s">
        <v>4333</v>
      </c>
      <c r="AO2303">
        <v>-123.189547</v>
      </c>
      <c r="AP2303">
        <v>100</v>
      </c>
      <c r="AQ2303">
        <v>2000</v>
      </c>
      <c r="AR2303" t="s">
        <v>118</v>
      </c>
      <c r="AS2303">
        <v>-73</v>
      </c>
      <c r="AT2303">
        <v>26</v>
      </c>
      <c r="AU2303">
        <v>64</v>
      </c>
      <c r="BC2303">
        <v>1200</v>
      </c>
      <c r="BD2303">
        <v>1</v>
      </c>
      <c r="BE2303" t="str">
        <f t="shared" si="107"/>
        <v xml:space="preserve">N215T   </v>
      </c>
      <c r="BF2303">
        <v>1</v>
      </c>
      <c r="BH2303">
        <v>0</v>
      </c>
      <c r="BI2303">
        <v>0</v>
      </c>
      <c r="BJ2303">
        <v>0</v>
      </c>
      <c r="BK2303">
        <v>2375</v>
      </c>
      <c r="BL2303">
        <v>375</v>
      </c>
      <c r="BM2303" t="s">
        <v>119</v>
      </c>
      <c r="BN2303">
        <v>1</v>
      </c>
      <c r="BO2303">
        <v>1</v>
      </c>
      <c r="BP2303">
        <v>1</v>
      </c>
      <c r="BQ2303">
        <v>0</v>
      </c>
      <c r="BT2303">
        <v>0</v>
      </c>
      <c r="BU2303">
        <v>0</v>
      </c>
      <c r="BV2303">
        <v>0</v>
      </c>
      <c r="CC2303" t="str">
        <f>"19:13:14.617"</f>
        <v>19:13:14.617</v>
      </c>
      <c r="CD2303" t="str">
        <f>"620982430"</f>
        <v>620982430</v>
      </c>
      <c r="CQ2303">
        <v>0</v>
      </c>
      <c r="CR2303">
        <v>2</v>
      </c>
      <c r="CS2303">
        <v>0</v>
      </c>
      <c r="CT2303">
        <v>2</v>
      </c>
      <c r="CU2303">
        <v>0</v>
      </c>
      <c r="CV2303">
        <v>6</v>
      </c>
      <c r="CW2303" t="s">
        <v>120</v>
      </c>
      <c r="CX2303">
        <v>257</v>
      </c>
      <c r="CY2303">
        <v>1</v>
      </c>
      <c r="CZ2303" t="s">
        <v>615</v>
      </c>
      <c r="DA2303" t="s">
        <v>616</v>
      </c>
      <c r="DD2303">
        <v>12093905</v>
      </c>
      <c r="DE2303" t="s">
        <v>123</v>
      </c>
    </row>
    <row r="2304" spans="1:109" x14ac:dyDescent="0.3">
      <c r="A2304" t="str">
        <f>"19:13:15.734"</f>
        <v>19:13:15.734</v>
      </c>
      <c r="B2304" t="s">
        <v>110</v>
      </c>
      <c r="C2304" t="str">
        <f t="shared" si="105"/>
        <v>ffdfd3c0</v>
      </c>
      <c r="D2304" t="s">
        <v>111</v>
      </c>
      <c r="E2304">
        <v>18</v>
      </c>
      <c r="F2304">
        <v>1018</v>
      </c>
      <c r="G2304" t="s">
        <v>112</v>
      </c>
      <c r="J2304" t="s">
        <v>113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R2304" t="s">
        <v>114</v>
      </c>
      <c r="S2304" t="str">
        <f>"19:13:15.484"</f>
        <v>19:13:15.484</v>
      </c>
      <c r="T2304" t="str">
        <f>"19:13:15.086"</f>
        <v>19:13:15.086</v>
      </c>
      <c r="U2304" t="str">
        <f t="shared" si="106"/>
        <v>a1cdbe</v>
      </c>
      <c r="V2304">
        <v>0</v>
      </c>
      <c r="W2304">
        <v>0</v>
      </c>
      <c r="X2304">
        <v>1</v>
      </c>
      <c r="Y2304">
        <v>0</v>
      </c>
      <c r="Z2304">
        <v>0</v>
      </c>
      <c r="AB2304">
        <v>0</v>
      </c>
      <c r="AC2304">
        <v>9</v>
      </c>
      <c r="AD2304">
        <v>3</v>
      </c>
      <c r="AE2304">
        <v>0</v>
      </c>
      <c r="AF2304">
        <v>9</v>
      </c>
      <c r="AG2304" t="s">
        <v>158</v>
      </c>
      <c r="AH2304">
        <v>0</v>
      </c>
      <c r="AI2304">
        <v>3</v>
      </c>
      <c r="AJ2304">
        <v>1</v>
      </c>
      <c r="AK2304">
        <v>0</v>
      </c>
      <c r="AL2304" t="s">
        <v>4334</v>
      </c>
      <c r="AM2304">
        <v>46.890720999999999</v>
      </c>
      <c r="AN2304" t="s">
        <v>4335</v>
      </c>
      <c r="AO2304">
        <v>-123.189976</v>
      </c>
      <c r="AP2304">
        <v>100</v>
      </c>
      <c r="AQ2304">
        <v>2000</v>
      </c>
      <c r="AR2304" t="s">
        <v>118</v>
      </c>
      <c r="AS2304">
        <v>-72</v>
      </c>
      <c r="AT2304">
        <v>25</v>
      </c>
      <c r="AU2304">
        <v>0</v>
      </c>
      <c r="BC2304">
        <v>1200</v>
      </c>
      <c r="BD2304">
        <v>1</v>
      </c>
      <c r="BE2304" t="str">
        <f t="shared" si="107"/>
        <v xml:space="preserve">N215T   </v>
      </c>
      <c r="BF2304">
        <v>1</v>
      </c>
      <c r="BH2304">
        <v>0</v>
      </c>
      <c r="BI2304">
        <v>0</v>
      </c>
      <c r="BJ2304">
        <v>0</v>
      </c>
      <c r="BK2304">
        <v>2375</v>
      </c>
      <c r="BL2304">
        <v>375</v>
      </c>
      <c r="BM2304" t="s">
        <v>119</v>
      </c>
      <c r="BN2304">
        <v>1</v>
      </c>
      <c r="BO2304">
        <v>1</v>
      </c>
      <c r="BP2304">
        <v>1</v>
      </c>
      <c r="BQ2304">
        <v>0</v>
      </c>
      <c r="BT2304">
        <v>0</v>
      </c>
      <c r="BU2304">
        <v>0</v>
      </c>
      <c r="BV2304">
        <v>0</v>
      </c>
      <c r="CC2304" t="str">
        <f>"19:13:15.492"</f>
        <v>19:13:15.492</v>
      </c>
      <c r="CD2304" t="str">
        <f>"490896690"</f>
        <v>490896690</v>
      </c>
      <c r="CQ2304">
        <v>0</v>
      </c>
      <c r="CR2304">
        <v>2</v>
      </c>
      <c r="CS2304">
        <v>0</v>
      </c>
      <c r="CT2304">
        <v>2</v>
      </c>
      <c r="CU2304">
        <v>0</v>
      </c>
      <c r="CV2304">
        <v>6</v>
      </c>
      <c r="CW2304" t="s">
        <v>120</v>
      </c>
      <c r="CX2304">
        <v>257</v>
      </c>
      <c r="CY2304">
        <v>1</v>
      </c>
      <c r="CZ2304" t="s">
        <v>615</v>
      </c>
      <c r="DA2304" t="s">
        <v>616</v>
      </c>
      <c r="DD2304">
        <v>12094543</v>
      </c>
      <c r="DE2304" t="s">
        <v>123</v>
      </c>
    </row>
    <row r="2305" spans="1:109" x14ac:dyDescent="0.3">
      <c r="A2305" t="str">
        <f>"19:13:16.844"</f>
        <v>19:13:16.844</v>
      </c>
      <c r="B2305" t="s">
        <v>110</v>
      </c>
      <c r="C2305" t="str">
        <f t="shared" si="105"/>
        <v>ffdfd3c0</v>
      </c>
      <c r="D2305" t="s">
        <v>111</v>
      </c>
      <c r="E2305">
        <v>18</v>
      </c>
      <c r="F2305">
        <v>1018</v>
      </c>
      <c r="G2305" t="s">
        <v>112</v>
      </c>
      <c r="J2305" t="s">
        <v>113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R2305" t="s">
        <v>114</v>
      </c>
      <c r="S2305" t="str">
        <f>"19:13:16.594"</f>
        <v>19:13:16.594</v>
      </c>
      <c r="T2305" t="str">
        <f>"19:13:16.195"</f>
        <v>19:13:16.195</v>
      </c>
      <c r="U2305" t="str">
        <f t="shared" si="106"/>
        <v>a1cdbe</v>
      </c>
      <c r="V2305">
        <v>0</v>
      </c>
      <c r="W2305">
        <v>0</v>
      </c>
      <c r="X2305">
        <v>1</v>
      </c>
      <c r="Y2305">
        <v>0</v>
      </c>
      <c r="Z2305">
        <v>0</v>
      </c>
      <c r="AB2305">
        <v>0</v>
      </c>
      <c r="AC2305">
        <v>9</v>
      </c>
      <c r="AD2305">
        <v>3</v>
      </c>
      <c r="AE2305">
        <v>0</v>
      </c>
      <c r="AF2305">
        <v>9</v>
      </c>
      <c r="AG2305" t="s">
        <v>158</v>
      </c>
      <c r="AH2305">
        <v>0</v>
      </c>
      <c r="AI2305">
        <v>3</v>
      </c>
      <c r="AJ2305">
        <v>1</v>
      </c>
      <c r="AK2305">
        <v>0</v>
      </c>
      <c r="AL2305" t="s">
        <v>4336</v>
      </c>
      <c r="AM2305">
        <v>46.890807000000002</v>
      </c>
      <c r="AN2305" t="s">
        <v>4337</v>
      </c>
      <c r="AO2305">
        <v>-123.190534</v>
      </c>
      <c r="AP2305">
        <v>100</v>
      </c>
      <c r="AQ2305">
        <v>2000</v>
      </c>
      <c r="AR2305" t="s">
        <v>118</v>
      </c>
      <c r="AS2305">
        <v>-72</v>
      </c>
      <c r="AT2305">
        <v>25</v>
      </c>
      <c r="AU2305">
        <v>64</v>
      </c>
      <c r="BC2305">
        <v>1200</v>
      </c>
      <c r="BD2305">
        <v>1</v>
      </c>
      <c r="BE2305" t="str">
        <f t="shared" si="107"/>
        <v xml:space="preserve">N215T   </v>
      </c>
      <c r="BF2305">
        <v>1</v>
      </c>
      <c r="BH2305">
        <v>0</v>
      </c>
      <c r="BI2305">
        <v>0</v>
      </c>
      <c r="BJ2305">
        <v>0</v>
      </c>
      <c r="BK2305">
        <v>2375</v>
      </c>
      <c r="BL2305">
        <v>375</v>
      </c>
      <c r="BM2305" t="s">
        <v>119</v>
      </c>
      <c r="BN2305">
        <v>1</v>
      </c>
      <c r="BO2305">
        <v>1</v>
      </c>
      <c r="BP2305">
        <v>1</v>
      </c>
      <c r="BQ2305">
        <v>0</v>
      </c>
      <c r="BT2305">
        <v>0</v>
      </c>
      <c r="BU2305">
        <v>0</v>
      </c>
      <c r="BV2305">
        <v>0</v>
      </c>
      <c r="CC2305" t="str">
        <f>"19:13:16.602"</f>
        <v>19:13:16.602</v>
      </c>
      <c r="CD2305" t="str">
        <f>"600787296"</f>
        <v>600787296</v>
      </c>
      <c r="CQ2305">
        <v>0</v>
      </c>
      <c r="CR2305">
        <v>2</v>
      </c>
      <c r="CS2305">
        <v>0</v>
      </c>
      <c r="CT2305">
        <v>2</v>
      </c>
      <c r="CU2305">
        <v>0</v>
      </c>
      <c r="CV2305">
        <v>6</v>
      </c>
      <c r="CW2305" t="s">
        <v>120</v>
      </c>
      <c r="CX2305">
        <v>257</v>
      </c>
      <c r="CY2305">
        <v>0</v>
      </c>
      <c r="CZ2305" t="s">
        <v>615</v>
      </c>
      <c r="DA2305" t="s">
        <v>616</v>
      </c>
      <c r="DD2305">
        <v>15833338</v>
      </c>
      <c r="DE2305" t="s">
        <v>123</v>
      </c>
    </row>
    <row r="2306" spans="1:109" x14ac:dyDescent="0.3">
      <c r="A2306" t="str">
        <f>"19:13:17.898"</f>
        <v>19:13:17.898</v>
      </c>
      <c r="B2306" t="s">
        <v>110</v>
      </c>
      <c r="C2306" t="str">
        <f t="shared" ref="C2306:C2369" si="108">"ffdfd3c0"</f>
        <v>ffdfd3c0</v>
      </c>
      <c r="D2306" t="s">
        <v>111</v>
      </c>
      <c r="E2306">
        <v>18</v>
      </c>
      <c r="F2306">
        <v>1018</v>
      </c>
      <c r="G2306" t="s">
        <v>112</v>
      </c>
      <c r="J2306" t="s">
        <v>113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R2306" t="s">
        <v>114</v>
      </c>
      <c r="S2306" t="str">
        <f>"19:13:17.648"</f>
        <v>19:13:17.648</v>
      </c>
      <c r="T2306" t="str">
        <f>"19:13:17.250"</f>
        <v>19:13:17.250</v>
      </c>
      <c r="U2306" t="str">
        <f t="shared" ref="U2306:U2369" si="109">"a1cdbe"</f>
        <v>a1cdbe</v>
      </c>
      <c r="V2306">
        <v>0</v>
      </c>
      <c r="W2306">
        <v>0</v>
      </c>
      <c r="X2306">
        <v>1</v>
      </c>
      <c r="Y2306">
        <v>0</v>
      </c>
      <c r="Z2306">
        <v>0</v>
      </c>
      <c r="AB2306">
        <v>0</v>
      </c>
      <c r="AC2306">
        <v>9</v>
      </c>
      <c r="AD2306">
        <v>3</v>
      </c>
      <c r="AE2306">
        <v>0</v>
      </c>
      <c r="AF2306">
        <v>9</v>
      </c>
      <c r="AG2306" t="s">
        <v>158</v>
      </c>
      <c r="AH2306">
        <v>0</v>
      </c>
      <c r="AI2306">
        <v>3</v>
      </c>
      <c r="AJ2306">
        <v>1</v>
      </c>
      <c r="AK2306">
        <v>0</v>
      </c>
      <c r="AL2306" t="s">
        <v>1462</v>
      </c>
      <c r="AM2306">
        <v>46.890979000000002</v>
      </c>
      <c r="AN2306" t="s">
        <v>4338</v>
      </c>
      <c r="AO2306">
        <v>-123.191006</v>
      </c>
      <c r="AP2306">
        <v>100</v>
      </c>
      <c r="AQ2306">
        <v>2000</v>
      </c>
      <c r="AR2306" t="s">
        <v>118</v>
      </c>
      <c r="AS2306">
        <v>-72</v>
      </c>
      <c r="AT2306">
        <v>25</v>
      </c>
      <c r="AU2306">
        <v>64</v>
      </c>
      <c r="BC2306">
        <v>1200</v>
      </c>
      <c r="BD2306">
        <v>1</v>
      </c>
      <c r="BE2306" t="str">
        <f t="shared" ref="BE2306:BE2369" si="110">"N215T   "</f>
        <v xml:space="preserve">N215T   </v>
      </c>
      <c r="BF2306">
        <v>1</v>
      </c>
      <c r="BH2306">
        <v>0</v>
      </c>
      <c r="BI2306">
        <v>0</v>
      </c>
      <c r="BJ2306">
        <v>0</v>
      </c>
      <c r="BK2306">
        <v>2375</v>
      </c>
      <c r="BL2306">
        <v>375</v>
      </c>
      <c r="BM2306" t="s">
        <v>119</v>
      </c>
      <c r="BN2306">
        <v>1</v>
      </c>
      <c r="BO2306">
        <v>1</v>
      </c>
      <c r="BP2306">
        <v>1</v>
      </c>
      <c r="BQ2306">
        <v>0</v>
      </c>
      <c r="BT2306">
        <v>0</v>
      </c>
      <c r="BU2306">
        <v>0</v>
      </c>
      <c r="BV2306">
        <v>0</v>
      </c>
      <c r="CC2306" t="str">
        <f>"19:13:17.648"</f>
        <v>19:13:17.648</v>
      </c>
      <c r="CD2306" t="str">
        <f>"650683821"</f>
        <v>650683821</v>
      </c>
      <c r="CQ2306">
        <v>0</v>
      </c>
      <c r="CR2306">
        <v>2</v>
      </c>
      <c r="CS2306">
        <v>0</v>
      </c>
      <c r="CT2306">
        <v>2</v>
      </c>
      <c r="CU2306">
        <v>0</v>
      </c>
      <c r="CV2306">
        <v>6</v>
      </c>
      <c r="CW2306" t="s">
        <v>120</v>
      </c>
      <c r="CX2306">
        <v>257</v>
      </c>
      <c r="CY2306">
        <v>0</v>
      </c>
      <c r="CZ2306" t="s">
        <v>615</v>
      </c>
      <c r="DA2306" t="s">
        <v>616</v>
      </c>
      <c r="DD2306">
        <v>15833898</v>
      </c>
      <c r="DE2306" t="s">
        <v>123</v>
      </c>
    </row>
    <row r="2307" spans="1:109" x14ac:dyDescent="0.3">
      <c r="A2307" t="str">
        <f>"19:13:18.852"</f>
        <v>19:13:18.852</v>
      </c>
      <c r="B2307" t="s">
        <v>110</v>
      </c>
      <c r="C2307" t="str">
        <f t="shared" si="108"/>
        <v>ffdfd3c0</v>
      </c>
      <c r="D2307" t="s">
        <v>111</v>
      </c>
      <c r="E2307">
        <v>18</v>
      </c>
      <c r="F2307">
        <v>1018</v>
      </c>
      <c r="G2307" t="s">
        <v>112</v>
      </c>
      <c r="J2307" t="s">
        <v>113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R2307" t="s">
        <v>114</v>
      </c>
      <c r="S2307" t="str">
        <f>"19:13:18.633"</f>
        <v>19:13:18.633</v>
      </c>
      <c r="T2307" t="str">
        <f>"19:13:18.234"</f>
        <v>19:13:18.234</v>
      </c>
      <c r="U2307" t="str">
        <f t="shared" si="109"/>
        <v>a1cdbe</v>
      </c>
      <c r="V2307">
        <v>0</v>
      </c>
      <c r="W2307">
        <v>0</v>
      </c>
      <c r="X2307">
        <v>1</v>
      </c>
      <c r="Y2307">
        <v>0</v>
      </c>
      <c r="Z2307">
        <v>0</v>
      </c>
      <c r="AB2307">
        <v>0</v>
      </c>
      <c r="AC2307">
        <v>9</v>
      </c>
      <c r="AD2307">
        <v>3</v>
      </c>
      <c r="AE2307">
        <v>0</v>
      </c>
      <c r="AF2307">
        <v>9</v>
      </c>
      <c r="AG2307" t="s">
        <v>158</v>
      </c>
      <c r="AH2307">
        <v>0</v>
      </c>
      <c r="AI2307">
        <v>3</v>
      </c>
      <c r="AJ2307">
        <v>1</v>
      </c>
      <c r="AK2307">
        <v>0</v>
      </c>
      <c r="AL2307" t="s">
        <v>4339</v>
      </c>
      <c r="AM2307">
        <v>46.891086000000001</v>
      </c>
      <c r="AN2307" t="s">
        <v>4340</v>
      </c>
      <c r="AO2307">
        <v>-123.19152099999999</v>
      </c>
      <c r="AP2307">
        <v>100</v>
      </c>
      <c r="AQ2307">
        <v>2000</v>
      </c>
      <c r="AR2307" t="s">
        <v>118</v>
      </c>
      <c r="AS2307">
        <v>-71</v>
      </c>
      <c r="AT2307">
        <v>26</v>
      </c>
      <c r="AU2307">
        <v>-128</v>
      </c>
      <c r="BC2307">
        <v>1200</v>
      </c>
      <c r="BD2307">
        <v>1</v>
      </c>
      <c r="BE2307" t="str">
        <f t="shared" si="110"/>
        <v xml:space="preserve">N215T   </v>
      </c>
      <c r="BF2307">
        <v>1</v>
      </c>
      <c r="BH2307">
        <v>0</v>
      </c>
      <c r="BI2307">
        <v>0</v>
      </c>
      <c r="BJ2307">
        <v>0</v>
      </c>
      <c r="BK2307">
        <v>2375</v>
      </c>
      <c r="BL2307">
        <v>375</v>
      </c>
      <c r="BM2307" t="s">
        <v>119</v>
      </c>
      <c r="BN2307">
        <v>1</v>
      </c>
      <c r="BO2307">
        <v>1</v>
      </c>
      <c r="BP2307">
        <v>1</v>
      </c>
      <c r="BQ2307">
        <v>0</v>
      </c>
      <c r="BT2307">
        <v>0</v>
      </c>
      <c r="BU2307">
        <v>0</v>
      </c>
      <c r="BV2307">
        <v>0</v>
      </c>
      <c r="CC2307" t="str">
        <f>"19:13:18.641"</f>
        <v>19:13:18.641</v>
      </c>
      <c r="CD2307" t="str">
        <f>"640586260"</f>
        <v>640586260</v>
      </c>
      <c r="CQ2307">
        <v>0</v>
      </c>
      <c r="CR2307">
        <v>2</v>
      </c>
      <c r="CS2307">
        <v>0</v>
      </c>
      <c r="CT2307">
        <v>2</v>
      </c>
      <c r="CU2307">
        <v>0</v>
      </c>
      <c r="CV2307">
        <v>6</v>
      </c>
      <c r="CW2307" t="s">
        <v>120</v>
      </c>
      <c r="CX2307">
        <v>257</v>
      </c>
      <c r="CY2307">
        <v>0</v>
      </c>
      <c r="CZ2307" t="s">
        <v>615</v>
      </c>
      <c r="DA2307" t="s">
        <v>616</v>
      </c>
      <c r="DD2307">
        <v>15834434</v>
      </c>
      <c r="DE2307" t="s">
        <v>123</v>
      </c>
    </row>
    <row r="2308" spans="1:109" x14ac:dyDescent="0.3">
      <c r="A2308" t="str">
        <f>"19:13:19.859"</f>
        <v>19:13:19.859</v>
      </c>
      <c r="B2308" t="s">
        <v>110</v>
      </c>
      <c r="C2308" t="str">
        <f t="shared" si="108"/>
        <v>ffdfd3c0</v>
      </c>
      <c r="D2308" t="s">
        <v>111</v>
      </c>
      <c r="E2308">
        <v>18</v>
      </c>
      <c r="F2308">
        <v>1018</v>
      </c>
      <c r="G2308" t="s">
        <v>112</v>
      </c>
      <c r="J2308" t="s">
        <v>113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R2308" t="s">
        <v>114</v>
      </c>
      <c r="S2308" t="str">
        <f>"19:13:19.656"</f>
        <v>19:13:19.656</v>
      </c>
      <c r="T2308" t="str">
        <f>"19:13:19.656"</f>
        <v>19:13:19.656</v>
      </c>
      <c r="U2308" t="str">
        <f t="shared" si="109"/>
        <v>a1cdbe</v>
      </c>
      <c r="V2308">
        <v>0</v>
      </c>
      <c r="W2308">
        <v>0</v>
      </c>
      <c r="X2308">
        <v>1</v>
      </c>
      <c r="Y2308">
        <v>0</v>
      </c>
      <c r="Z2308">
        <v>0</v>
      </c>
      <c r="AB2308">
        <v>0</v>
      </c>
      <c r="AC2308">
        <v>9</v>
      </c>
      <c r="AD2308">
        <v>3</v>
      </c>
      <c r="AE2308">
        <v>0</v>
      </c>
      <c r="AF2308">
        <v>9</v>
      </c>
      <c r="AG2308" t="s">
        <v>158</v>
      </c>
      <c r="AH2308">
        <v>0</v>
      </c>
      <c r="AI2308">
        <v>3</v>
      </c>
      <c r="AJ2308">
        <v>1</v>
      </c>
      <c r="AK2308">
        <v>0</v>
      </c>
      <c r="AL2308" t="s">
        <v>4341</v>
      </c>
      <c r="AM2308">
        <v>46.891215000000003</v>
      </c>
      <c r="AN2308" t="s">
        <v>4342</v>
      </c>
      <c r="AO2308">
        <v>-123.19197200000001</v>
      </c>
      <c r="AP2308">
        <v>100</v>
      </c>
      <c r="AQ2308">
        <v>2000</v>
      </c>
      <c r="AR2308" t="s">
        <v>118</v>
      </c>
      <c r="AS2308">
        <v>-71</v>
      </c>
      <c r="AT2308">
        <v>26</v>
      </c>
      <c r="AU2308">
        <v>-128</v>
      </c>
      <c r="BC2308">
        <v>1200</v>
      </c>
      <c r="BD2308">
        <v>1</v>
      </c>
      <c r="BE2308" t="str">
        <f t="shared" si="110"/>
        <v xml:space="preserve">N215T   </v>
      </c>
      <c r="BF2308">
        <v>1</v>
      </c>
      <c r="BH2308">
        <v>0</v>
      </c>
      <c r="BI2308">
        <v>0</v>
      </c>
      <c r="BJ2308">
        <v>0</v>
      </c>
      <c r="BK2308">
        <v>2375</v>
      </c>
      <c r="BL2308">
        <v>375</v>
      </c>
      <c r="BM2308" t="s">
        <v>119</v>
      </c>
      <c r="BN2308">
        <v>1</v>
      </c>
      <c r="BO2308">
        <v>1</v>
      </c>
      <c r="BP2308">
        <v>1</v>
      </c>
      <c r="BQ2308">
        <v>0</v>
      </c>
      <c r="BT2308">
        <v>0</v>
      </c>
      <c r="BU2308">
        <v>0</v>
      </c>
      <c r="BV2308">
        <v>0</v>
      </c>
      <c r="CC2308" t="str">
        <f>"19:13:19.664"</f>
        <v>19:13:19.664</v>
      </c>
      <c r="CD2308" t="str">
        <f>"660485734"</f>
        <v>660485734</v>
      </c>
      <c r="CQ2308">
        <v>0</v>
      </c>
      <c r="CR2308">
        <v>2</v>
      </c>
      <c r="CS2308">
        <v>0</v>
      </c>
      <c r="CT2308">
        <v>2</v>
      </c>
      <c r="CU2308">
        <v>0</v>
      </c>
      <c r="CV2308">
        <v>6</v>
      </c>
      <c r="CW2308" t="s">
        <v>120</v>
      </c>
      <c r="CX2308">
        <v>257</v>
      </c>
      <c r="CY2308">
        <v>1</v>
      </c>
      <c r="CZ2308" t="s">
        <v>615</v>
      </c>
      <c r="DA2308" t="s">
        <v>616</v>
      </c>
      <c r="DD2308">
        <v>12097401</v>
      </c>
      <c r="DE2308" t="s">
        <v>123</v>
      </c>
    </row>
    <row r="2309" spans="1:109" x14ac:dyDescent="0.3">
      <c r="A2309" t="str">
        <f>"19:13:20.813"</f>
        <v>19:13:20.813</v>
      </c>
      <c r="B2309" t="s">
        <v>110</v>
      </c>
      <c r="C2309" t="str">
        <f t="shared" si="108"/>
        <v>ffdfd3c0</v>
      </c>
      <c r="D2309" t="s">
        <v>111</v>
      </c>
      <c r="E2309">
        <v>18</v>
      </c>
      <c r="F2309">
        <v>1018</v>
      </c>
      <c r="G2309" t="s">
        <v>112</v>
      </c>
      <c r="J2309" t="s">
        <v>113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R2309" t="s">
        <v>114</v>
      </c>
      <c r="S2309" t="str">
        <f>"19:13:20.570"</f>
        <v>19:13:20.570</v>
      </c>
      <c r="T2309" t="str">
        <f>"19:13:20.172"</f>
        <v>19:13:20.172</v>
      </c>
      <c r="U2309" t="str">
        <f t="shared" si="109"/>
        <v>a1cdbe</v>
      </c>
      <c r="V2309">
        <v>0</v>
      </c>
      <c r="W2309">
        <v>0</v>
      </c>
      <c r="X2309">
        <v>1</v>
      </c>
      <c r="Y2309">
        <v>0</v>
      </c>
      <c r="Z2309">
        <v>0</v>
      </c>
      <c r="AB2309">
        <v>0</v>
      </c>
      <c r="AC2309">
        <v>9</v>
      </c>
      <c r="AD2309">
        <v>3</v>
      </c>
      <c r="AE2309">
        <v>0</v>
      </c>
      <c r="AF2309">
        <v>9</v>
      </c>
      <c r="AG2309" t="s">
        <v>158</v>
      </c>
      <c r="AH2309">
        <v>0</v>
      </c>
      <c r="AI2309">
        <v>3</v>
      </c>
      <c r="AJ2309">
        <v>1</v>
      </c>
      <c r="AK2309">
        <v>0</v>
      </c>
      <c r="AL2309" t="s">
        <v>4343</v>
      </c>
      <c r="AM2309">
        <v>46.891322000000002</v>
      </c>
      <c r="AN2309" t="s">
        <v>4344</v>
      </c>
      <c r="AO2309">
        <v>-123.19244399999999</v>
      </c>
      <c r="AP2309">
        <v>100</v>
      </c>
      <c r="AQ2309">
        <v>2000</v>
      </c>
      <c r="AR2309" t="s">
        <v>118</v>
      </c>
      <c r="AS2309">
        <v>-71</v>
      </c>
      <c r="AT2309">
        <v>26</v>
      </c>
      <c r="AU2309">
        <v>-128</v>
      </c>
      <c r="BC2309">
        <v>1200</v>
      </c>
      <c r="BD2309">
        <v>1</v>
      </c>
      <c r="BE2309" t="str">
        <f t="shared" si="110"/>
        <v xml:space="preserve">N215T   </v>
      </c>
      <c r="BF2309">
        <v>1</v>
      </c>
      <c r="BH2309">
        <v>0</v>
      </c>
      <c r="BI2309">
        <v>0</v>
      </c>
      <c r="BJ2309">
        <v>0</v>
      </c>
      <c r="BK2309">
        <v>2375</v>
      </c>
      <c r="BL2309">
        <v>375</v>
      </c>
      <c r="BM2309" t="s">
        <v>119</v>
      </c>
      <c r="BN2309">
        <v>1</v>
      </c>
      <c r="BO2309">
        <v>1</v>
      </c>
      <c r="BP2309">
        <v>1</v>
      </c>
      <c r="BQ2309">
        <v>0</v>
      </c>
      <c r="BT2309">
        <v>0</v>
      </c>
      <c r="BU2309">
        <v>0</v>
      </c>
      <c r="BV2309">
        <v>0</v>
      </c>
      <c r="CC2309" t="str">
        <f>"19:13:20.578"</f>
        <v>19:13:20.578</v>
      </c>
      <c r="CD2309" t="str">
        <f>"575395558"</f>
        <v>575395558</v>
      </c>
      <c r="CQ2309">
        <v>0</v>
      </c>
      <c r="CR2309">
        <v>2</v>
      </c>
      <c r="CS2309">
        <v>0</v>
      </c>
      <c r="CT2309">
        <v>2</v>
      </c>
      <c r="CU2309">
        <v>0</v>
      </c>
      <c r="CV2309">
        <v>6</v>
      </c>
      <c r="CW2309" t="s">
        <v>120</v>
      </c>
      <c r="CX2309">
        <v>257</v>
      </c>
      <c r="CY2309">
        <v>0</v>
      </c>
      <c r="CZ2309" t="s">
        <v>615</v>
      </c>
      <c r="DA2309" t="s">
        <v>616</v>
      </c>
      <c r="DD2309">
        <v>15835585</v>
      </c>
      <c r="DE2309" t="s">
        <v>123</v>
      </c>
    </row>
    <row r="2310" spans="1:109" x14ac:dyDescent="0.3">
      <c r="A2310" t="str">
        <f>"19:13:21.820"</f>
        <v>19:13:21.820</v>
      </c>
      <c r="B2310" t="s">
        <v>110</v>
      </c>
      <c r="C2310" t="str">
        <f t="shared" si="108"/>
        <v>ffdfd3c0</v>
      </c>
      <c r="D2310" t="s">
        <v>111</v>
      </c>
      <c r="E2310">
        <v>18</v>
      </c>
      <c r="F2310">
        <v>1018</v>
      </c>
      <c r="G2310" t="s">
        <v>112</v>
      </c>
      <c r="J2310" t="s">
        <v>113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R2310" t="s">
        <v>114</v>
      </c>
      <c r="S2310" t="str">
        <f>"19:13:21.547"</f>
        <v>19:13:21.547</v>
      </c>
      <c r="T2310" t="str">
        <f>"19:13:21.250"</f>
        <v>19:13:21.250</v>
      </c>
      <c r="U2310" t="str">
        <f t="shared" si="109"/>
        <v>a1cdbe</v>
      </c>
      <c r="V2310">
        <v>0</v>
      </c>
      <c r="W2310">
        <v>0</v>
      </c>
      <c r="X2310">
        <v>1</v>
      </c>
      <c r="Y2310">
        <v>0</v>
      </c>
      <c r="Z2310">
        <v>0</v>
      </c>
      <c r="AB2310">
        <v>0</v>
      </c>
      <c r="AC2310">
        <v>9</v>
      </c>
      <c r="AD2310">
        <v>3</v>
      </c>
      <c r="AE2310">
        <v>0</v>
      </c>
      <c r="AF2310">
        <v>9</v>
      </c>
      <c r="AG2310" t="s">
        <v>158</v>
      </c>
      <c r="AH2310">
        <v>0</v>
      </c>
      <c r="AI2310">
        <v>3</v>
      </c>
      <c r="AJ2310">
        <v>1</v>
      </c>
      <c r="AK2310">
        <v>0</v>
      </c>
      <c r="AL2310" t="s">
        <v>4345</v>
      </c>
      <c r="AM2310">
        <v>46.891407999999998</v>
      </c>
      <c r="AN2310" t="s">
        <v>4346</v>
      </c>
      <c r="AO2310">
        <v>-123.19287300000001</v>
      </c>
      <c r="AP2310">
        <v>100</v>
      </c>
      <c r="AQ2310">
        <v>2000</v>
      </c>
      <c r="AR2310" t="s">
        <v>118</v>
      </c>
      <c r="AS2310">
        <v>-72</v>
      </c>
      <c r="AT2310">
        <v>26</v>
      </c>
      <c r="AU2310">
        <v>-128</v>
      </c>
      <c r="BC2310">
        <v>1200</v>
      </c>
      <c r="BD2310">
        <v>1</v>
      </c>
      <c r="BE2310" t="str">
        <f t="shared" si="110"/>
        <v xml:space="preserve">N215T   </v>
      </c>
      <c r="BF2310">
        <v>1</v>
      </c>
      <c r="BH2310">
        <v>0</v>
      </c>
      <c r="BI2310">
        <v>0</v>
      </c>
      <c r="BJ2310">
        <v>0</v>
      </c>
      <c r="BK2310">
        <v>2350</v>
      </c>
      <c r="BL2310">
        <v>350</v>
      </c>
      <c r="BM2310" t="s">
        <v>119</v>
      </c>
      <c r="BN2310">
        <v>1</v>
      </c>
      <c r="BO2310">
        <v>1</v>
      </c>
      <c r="BP2310">
        <v>1</v>
      </c>
      <c r="BQ2310">
        <v>0</v>
      </c>
      <c r="BT2310">
        <v>0</v>
      </c>
      <c r="BU2310">
        <v>0</v>
      </c>
      <c r="BV2310">
        <v>0</v>
      </c>
      <c r="CC2310" t="str">
        <f>"19:13:21.547"</f>
        <v>19:13:21.547</v>
      </c>
      <c r="CD2310" t="str">
        <f>"550299468"</f>
        <v>550299468</v>
      </c>
      <c r="CQ2310">
        <v>0</v>
      </c>
      <c r="CR2310">
        <v>2</v>
      </c>
      <c r="CS2310">
        <v>0</v>
      </c>
      <c r="CT2310">
        <v>2</v>
      </c>
      <c r="CU2310">
        <v>0</v>
      </c>
      <c r="CV2310">
        <v>6</v>
      </c>
      <c r="CW2310" t="s">
        <v>120</v>
      </c>
      <c r="CX2310">
        <v>257</v>
      </c>
      <c r="CY2310">
        <v>0</v>
      </c>
      <c r="CZ2310" t="s">
        <v>615</v>
      </c>
      <c r="DA2310" t="s">
        <v>616</v>
      </c>
      <c r="DD2310">
        <v>15836136</v>
      </c>
      <c r="DE2310" t="s">
        <v>123</v>
      </c>
    </row>
    <row r="2311" spans="1:109" x14ac:dyDescent="0.3">
      <c r="A2311" t="str">
        <f>"19:13:22.625"</f>
        <v>19:13:22.625</v>
      </c>
      <c r="B2311" t="s">
        <v>110</v>
      </c>
      <c r="C2311" t="str">
        <f t="shared" si="108"/>
        <v>ffdfd3c0</v>
      </c>
      <c r="D2311" t="s">
        <v>111</v>
      </c>
      <c r="E2311">
        <v>18</v>
      </c>
      <c r="F2311">
        <v>1018</v>
      </c>
      <c r="G2311" t="s">
        <v>112</v>
      </c>
      <c r="J2311" t="s">
        <v>113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R2311" t="s">
        <v>114</v>
      </c>
      <c r="S2311" t="str">
        <f>"19:13:22.383"</f>
        <v>19:13:22.383</v>
      </c>
      <c r="T2311" t="str">
        <f>"19:13:22.281"</f>
        <v>19:13:22.281</v>
      </c>
      <c r="U2311" t="str">
        <f t="shared" si="109"/>
        <v>a1cdbe</v>
      </c>
      <c r="V2311">
        <v>0</v>
      </c>
      <c r="W2311">
        <v>0</v>
      </c>
      <c r="X2311">
        <v>1</v>
      </c>
      <c r="Y2311">
        <v>0</v>
      </c>
      <c r="Z2311">
        <v>0</v>
      </c>
      <c r="AB2311">
        <v>0</v>
      </c>
      <c r="AC2311">
        <v>9</v>
      </c>
      <c r="AD2311">
        <v>3</v>
      </c>
      <c r="AE2311">
        <v>0</v>
      </c>
      <c r="AF2311">
        <v>9</v>
      </c>
      <c r="AG2311" t="s">
        <v>158</v>
      </c>
      <c r="AH2311">
        <v>0</v>
      </c>
      <c r="AI2311">
        <v>3</v>
      </c>
      <c r="AJ2311">
        <v>1</v>
      </c>
      <c r="AK2311">
        <v>0</v>
      </c>
      <c r="AL2311" t="s">
        <v>4347</v>
      </c>
      <c r="AM2311">
        <v>46.891514999999998</v>
      </c>
      <c r="AN2311" t="s">
        <v>4348</v>
      </c>
      <c r="AO2311">
        <v>-123.19334499999999</v>
      </c>
      <c r="AP2311">
        <v>100</v>
      </c>
      <c r="AQ2311">
        <v>2000</v>
      </c>
      <c r="AR2311" t="s">
        <v>118</v>
      </c>
      <c r="AS2311">
        <v>-72</v>
      </c>
      <c r="AT2311">
        <v>26</v>
      </c>
      <c r="AU2311">
        <v>-192</v>
      </c>
      <c r="BC2311">
        <v>1200</v>
      </c>
      <c r="BD2311">
        <v>1</v>
      </c>
      <c r="BE2311" t="str">
        <f t="shared" si="110"/>
        <v xml:space="preserve">N215T   </v>
      </c>
      <c r="BF2311">
        <v>1</v>
      </c>
      <c r="BH2311">
        <v>0</v>
      </c>
      <c r="BI2311">
        <v>0</v>
      </c>
      <c r="BJ2311">
        <v>0</v>
      </c>
      <c r="BK2311">
        <v>2350</v>
      </c>
      <c r="BL2311">
        <v>350</v>
      </c>
      <c r="BM2311" t="s">
        <v>119</v>
      </c>
      <c r="BN2311">
        <v>1</v>
      </c>
      <c r="BO2311">
        <v>1</v>
      </c>
      <c r="BP2311">
        <v>1</v>
      </c>
      <c r="BQ2311">
        <v>0</v>
      </c>
      <c r="BT2311">
        <v>0</v>
      </c>
      <c r="BU2311">
        <v>0</v>
      </c>
      <c r="BV2311">
        <v>0</v>
      </c>
      <c r="CC2311" t="str">
        <f>"19:13:22.391"</f>
        <v>19:13:22.391</v>
      </c>
      <c r="CD2311" t="str">
        <f>"390216684"</f>
        <v>390216684</v>
      </c>
      <c r="CQ2311">
        <v>0</v>
      </c>
      <c r="CR2311">
        <v>2</v>
      </c>
      <c r="CS2311">
        <v>0</v>
      </c>
      <c r="CT2311">
        <v>2</v>
      </c>
      <c r="CU2311">
        <v>0</v>
      </c>
      <c r="CV2311">
        <v>6</v>
      </c>
      <c r="CW2311" t="s">
        <v>120</v>
      </c>
      <c r="CX2311">
        <v>257</v>
      </c>
      <c r="CY2311">
        <v>0</v>
      </c>
      <c r="CZ2311" t="s">
        <v>615</v>
      </c>
      <c r="DA2311" t="s">
        <v>616</v>
      </c>
      <c r="DD2311">
        <v>15836594</v>
      </c>
      <c r="DE2311" t="s">
        <v>123</v>
      </c>
    </row>
    <row r="2312" spans="1:109" x14ac:dyDescent="0.3">
      <c r="A2312" t="str">
        <f>"19:13:23.781"</f>
        <v>19:13:23.781</v>
      </c>
      <c r="B2312" t="s">
        <v>110</v>
      </c>
      <c r="C2312" t="str">
        <f t="shared" si="108"/>
        <v>ffdfd3c0</v>
      </c>
      <c r="D2312" t="s">
        <v>111</v>
      </c>
      <c r="E2312">
        <v>18</v>
      </c>
      <c r="F2312">
        <v>1018</v>
      </c>
      <c r="G2312" t="s">
        <v>112</v>
      </c>
      <c r="J2312" t="s">
        <v>113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R2312" t="s">
        <v>114</v>
      </c>
      <c r="S2312" t="str">
        <f>"19:13:23.555"</f>
        <v>19:13:23.555</v>
      </c>
      <c r="T2312" t="str">
        <f>"19:13:23.555"</f>
        <v>19:13:23.555</v>
      </c>
      <c r="U2312" t="str">
        <f t="shared" si="109"/>
        <v>a1cdbe</v>
      </c>
      <c r="V2312">
        <v>0</v>
      </c>
      <c r="W2312">
        <v>0</v>
      </c>
      <c r="X2312">
        <v>1</v>
      </c>
      <c r="Y2312">
        <v>0</v>
      </c>
      <c r="Z2312">
        <v>0</v>
      </c>
      <c r="AB2312">
        <v>0</v>
      </c>
      <c r="AC2312">
        <v>9</v>
      </c>
      <c r="AD2312">
        <v>3</v>
      </c>
      <c r="AE2312">
        <v>0</v>
      </c>
      <c r="AF2312">
        <v>9</v>
      </c>
      <c r="AG2312" t="s">
        <v>158</v>
      </c>
      <c r="AH2312">
        <v>0</v>
      </c>
      <c r="AI2312">
        <v>3</v>
      </c>
      <c r="AJ2312">
        <v>1</v>
      </c>
      <c r="AK2312">
        <v>0</v>
      </c>
      <c r="AL2312" t="s">
        <v>4349</v>
      </c>
      <c r="AM2312">
        <v>46.891665000000003</v>
      </c>
      <c r="AN2312" t="s">
        <v>4350</v>
      </c>
      <c r="AO2312">
        <v>-123.193882</v>
      </c>
      <c r="AP2312">
        <v>100</v>
      </c>
      <c r="AQ2312">
        <v>2000</v>
      </c>
      <c r="AR2312" t="s">
        <v>118</v>
      </c>
      <c r="AS2312">
        <v>-72</v>
      </c>
      <c r="AT2312">
        <v>26</v>
      </c>
      <c r="AU2312">
        <v>-256</v>
      </c>
      <c r="BC2312">
        <v>1200</v>
      </c>
      <c r="BD2312">
        <v>1</v>
      </c>
      <c r="BE2312" t="str">
        <f t="shared" si="110"/>
        <v xml:space="preserve">N215T   </v>
      </c>
      <c r="BF2312">
        <v>1</v>
      </c>
      <c r="BH2312">
        <v>0</v>
      </c>
      <c r="BI2312">
        <v>0</v>
      </c>
      <c r="BJ2312">
        <v>0</v>
      </c>
      <c r="BK2312">
        <v>2350</v>
      </c>
      <c r="BL2312">
        <v>350</v>
      </c>
      <c r="BM2312" t="s">
        <v>119</v>
      </c>
      <c r="BN2312">
        <v>1</v>
      </c>
      <c r="BO2312">
        <v>1</v>
      </c>
      <c r="BP2312">
        <v>1</v>
      </c>
      <c r="BQ2312">
        <v>0</v>
      </c>
      <c r="BT2312">
        <v>0</v>
      </c>
      <c r="BU2312">
        <v>0</v>
      </c>
      <c r="BV2312">
        <v>0</v>
      </c>
      <c r="CC2312" t="str">
        <f>"19:13:23.563"</f>
        <v>19:13:23.563</v>
      </c>
      <c r="CD2312" t="str">
        <f>"560101369"</f>
        <v>560101369</v>
      </c>
      <c r="CQ2312">
        <v>0</v>
      </c>
      <c r="CR2312">
        <v>2</v>
      </c>
      <c r="CS2312">
        <v>0</v>
      </c>
      <c r="CT2312">
        <v>2</v>
      </c>
      <c r="CU2312">
        <v>0</v>
      </c>
      <c r="CV2312">
        <v>6</v>
      </c>
      <c r="CW2312" t="s">
        <v>120</v>
      </c>
      <c r="CX2312">
        <v>257</v>
      </c>
      <c r="CY2312">
        <v>0</v>
      </c>
      <c r="CZ2312" t="s">
        <v>615</v>
      </c>
      <c r="DA2312" t="s">
        <v>616</v>
      </c>
      <c r="DD2312">
        <v>15837251</v>
      </c>
      <c r="DE2312" t="s">
        <v>123</v>
      </c>
    </row>
    <row r="2313" spans="1:109" x14ac:dyDescent="0.3">
      <c r="A2313" t="str">
        <f>"19:13:24.781"</f>
        <v>19:13:24.781</v>
      </c>
      <c r="B2313" t="s">
        <v>110</v>
      </c>
      <c r="C2313" t="str">
        <f t="shared" si="108"/>
        <v>ffdfd3c0</v>
      </c>
      <c r="D2313" t="s">
        <v>111</v>
      </c>
      <c r="E2313">
        <v>18</v>
      </c>
      <c r="F2313">
        <v>1018</v>
      </c>
      <c r="G2313" t="s">
        <v>112</v>
      </c>
      <c r="J2313" t="s">
        <v>113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R2313" t="s">
        <v>114</v>
      </c>
      <c r="S2313" t="str">
        <f>"19:13:24.531"</f>
        <v>19:13:24.531</v>
      </c>
      <c r="T2313" t="str">
        <f>"19:13:24.133"</f>
        <v>19:13:24.133</v>
      </c>
      <c r="U2313" t="str">
        <f t="shared" si="109"/>
        <v>a1cdbe</v>
      </c>
      <c r="V2313">
        <v>0</v>
      </c>
      <c r="W2313">
        <v>0</v>
      </c>
      <c r="X2313">
        <v>1</v>
      </c>
      <c r="Y2313">
        <v>0</v>
      </c>
      <c r="Z2313">
        <v>0</v>
      </c>
      <c r="AB2313">
        <v>0</v>
      </c>
      <c r="AC2313">
        <v>9</v>
      </c>
      <c r="AD2313">
        <v>3</v>
      </c>
      <c r="AE2313">
        <v>0</v>
      </c>
      <c r="AF2313">
        <v>9</v>
      </c>
      <c r="AG2313" t="s">
        <v>158</v>
      </c>
      <c r="AH2313">
        <v>0</v>
      </c>
      <c r="AI2313">
        <v>3</v>
      </c>
      <c r="AJ2313">
        <v>1</v>
      </c>
      <c r="AK2313">
        <v>0</v>
      </c>
      <c r="AL2313" t="s">
        <v>4351</v>
      </c>
      <c r="AM2313">
        <v>46.891793999999997</v>
      </c>
      <c r="AN2313" t="s">
        <v>4352</v>
      </c>
      <c r="AO2313">
        <v>-123.19437499999999</v>
      </c>
      <c r="AP2313">
        <v>100</v>
      </c>
      <c r="AQ2313">
        <v>2000</v>
      </c>
      <c r="AR2313" t="s">
        <v>118</v>
      </c>
      <c r="AS2313">
        <v>-72</v>
      </c>
      <c r="AT2313">
        <v>27</v>
      </c>
      <c r="AU2313">
        <v>-192</v>
      </c>
      <c r="BC2313">
        <v>1200</v>
      </c>
      <c r="BD2313">
        <v>1</v>
      </c>
      <c r="BE2313" t="str">
        <f t="shared" si="110"/>
        <v xml:space="preserve">N215T   </v>
      </c>
      <c r="BF2313">
        <v>1</v>
      </c>
      <c r="BH2313">
        <v>0</v>
      </c>
      <c r="BI2313">
        <v>0</v>
      </c>
      <c r="BJ2313">
        <v>0</v>
      </c>
      <c r="BK2313">
        <v>2350</v>
      </c>
      <c r="BL2313">
        <v>350</v>
      </c>
      <c r="BM2313" t="s">
        <v>119</v>
      </c>
      <c r="BN2313">
        <v>1</v>
      </c>
      <c r="BO2313">
        <v>1</v>
      </c>
      <c r="BP2313">
        <v>1</v>
      </c>
      <c r="BQ2313">
        <v>0</v>
      </c>
      <c r="BT2313">
        <v>0</v>
      </c>
      <c r="BU2313">
        <v>0</v>
      </c>
      <c r="BV2313">
        <v>0</v>
      </c>
      <c r="CC2313" t="str">
        <f>"19:13:24.531"</f>
        <v>19:13:24.531</v>
      </c>
      <c r="CD2313" t="str">
        <f>"535005279"</f>
        <v>535005279</v>
      </c>
      <c r="CQ2313">
        <v>0</v>
      </c>
      <c r="CR2313">
        <v>2</v>
      </c>
      <c r="CS2313">
        <v>0</v>
      </c>
      <c r="CT2313">
        <v>2</v>
      </c>
      <c r="CU2313">
        <v>0</v>
      </c>
      <c r="CV2313">
        <v>6</v>
      </c>
      <c r="CW2313" t="s">
        <v>120</v>
      </c>
      <c r="CX2313">
        <v>257</v>
      </c>
      <c r="CY2313">
        <v>0</v>
      </c>
      <c r="CZ2313" t="s">
        <v>615</v>
      </c>
      <c r="DA2313" t="s">
        <v>616</v>
      </c>
      <c r="DD2313">
        <v>15837819</v>
      </c>
      <c r="DE2313" t="s">
        <v>123</v>
      </c>
    </row>
    <row r="2314" spans="1:109" x14ac:dyDescent="0.3">
      <c r="A2314" t="str">
        <f>"19:13:25.891"</f>
        <v>19:13:25.891</v>
      </c>
      <c r="B2314" t="s">
        <v>110</v>
      </c>
      <c r="C2314" t="str">
        <f t="shared" si="108"/>
        <v>ffdfd3c0</v>
      </c>
      <c r="D2314" t="s">
        <v>111</v>
      </c>
      <c r="E2314">
        <v>18</v>
      </c>
      <c r="F2314">
        <v>1018</v>
      </c>
      <c r="G2314" t="s">
        <v>112</v>
      </c>
      <c r="J2314" t="s">
        <v>113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R2314" t="s">
        <v>114</v>
      </c>
      <c r="S2314" t="str">
        <f>"19:13:25.672"</f>
        <v>19:13:25.672</v>
      </c>
      <c r="T2314" t="str">
        <f>"19:13:25.172"</f>
        <v>19:13:25.172</v>
      </c>
      <c r="U2314" t="str">
        <f t="shared" si="109"/>
        <v>a1cdbe</v>
      </c>
      <c r="V2314">
        <v>0</v>
      </c>
      <c r="W2314">
        <v>0</v>
      </c>
      <c r="X2314">
        <v>1</v>
      </c>
      <c r="Y2314">
        <v>0</v>
      </c>
      <c r="Z2314">
        <v>0</v>
      </c>
      <c r="AB2314">
        <v>0</v>
      </c>
      <c r="AC2314">
        <v>9</v>
      </c>
      <c r="AD2314">
        <v>3</v>
      </c>
      <c r="AE2314">
        <v>0</v>
      </c>
      <c r="AF2314">
        <v>9</v>
      </c>
      <c r="AG2314" t="s">
        <v>158</v>
      </c>
      <c r="AH2314">
        <v>0</v>
      </c>
      <c r="AI2314">
        <v>3</v>
      </c>
      <c r="AJ2314">
        <v>1</v>
      </c>
      <c r="AK2314">
        <v>0</v>
      </c>
      <c r="AL2314" t="s">
        <v>4353</v>
      </c>
      <c r="AM2314">
        <v>46.891944000000002</v>
      </c>
      <c r="AN2314" t="s">
        <v>4354</v>
      </c>
      <c r="AO2314">
        <v>-123.194911</v>
      </c>
      <c r="AP2314">
        <v>100</v>
      </c>
      <c r="AQ2314">
        <v>2000</v>
      </c>
      <c r="AR2314" t="s">
        <v>118</v>
      </c>
      <c r="AS2314">
        <v>-72</v>
      </c>
      <c r="AT2314">
        <v>27</v>
      </c>
      <c r="AU2314">
        <v>-128</v>
      </c>
      <c r="BC2314">
        <v>1200</v>
      </c>
      <c r="BD2314">
        <v>1</v>
      </c>
      <c r="BE2314" t="str">
        <f t="shared" si="110"/>
        <v xml:space="preserve">N215T   </v>
      </c>
      <c r="BF2314">
        <v>1</v>
      </c>
      <c r="BH2314">
        <v>0</v>
      </c>
      <c r="BI2314">
        <v>0</v>
      </c>
      <c r="BJ2314">
        <v>0</v>
      </c>
      <c r="BK2314">
        <v>2350</v>
      </c>
      <c r="BL2314">
        <v>350</v>
      </c>
      <c r="BM2314" t="s">
        <v>119</v>
      </c>
      <c r="BN2314">
        <v>1</v>
      </c>
      <c r="BO2314">
        <v>1</v>
      </c>
      <c r="BP2314">
        <v>1</v>
      </c>
      <c r="BQ2314">
        <v>0</v>
      </c>
      <c r="BT2314">
        <v>0</v>
      </c>
      <c r="BU2314">
        <v>0</v>
      </c>
      <c r="BV2314">
        <v>0</v>
      </c>
      <c r="CC2314" t="str">
        <f>"19:13:25.672"</f>
        <v>19:13:25.672</v>
      </c>
      <c r="CD2314" t="str">
        <f>"674892939"</f>
        <v>674892939</v>
      </c>
      <c r="CQ2314">
        <v>0</v>
      </c>
      <c r="CR2314">
        <v>2</v>
      </c>
      <c r="CS2314">
        <v>0</v>
      </c>
      <c r="CT2314">
        <v>2</v>
      </c>
      <c r="CU2314">
        <v>0</v>
      </c>
      <c r="CV2314">
        <v>6</v>
      </c>
      <c r="CW2314" t="s">
        <v>120</v>
      </c>
      <c r="CX2314">
        <v>257</v>
      </c>
      <c r="CY2314">
        <v>0</v>
      </c>
      <c r="CZ2314" t="s">
        <v>615</v>
      </c>
      <c r="DA2314" t="s">
        <v>616</v>
      </c>
      <c r="DD2314">
        <v>15838470</v>
      </c>
      <c r="DE2314" t="s">
        <v>123</v>
      </c>
    </row>
    <row r="2315" spans="1:109" x14ac:dyDescent="0.3">
      <c r="A2315" t="str">
        <f>"19:13:26.695"</f>
        <v>19:13:26.695</v>
      </c>
      <c r="B2315" t="s">
        <v>110</v>
      </c>
      <c r="C2315" t="str">
        <f t="shared" si="108"/>
        <v>ffdfd3c0</v>
      </c>
      <c r="D2315" t="s">
        <v>111</v>
      </c>
      <c r="E2315">
        <v>18</v>
      </c>
      <c r="F2315">
        <v>1018</v>
      </c>
      <c r="G2315" t="s">
        <v>112</v>
      </c>
      <c r="J2315" t="s">
        <v>113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R2315" t="s">
        <v>114</v>
      </c>
      <c r="S2315" t="str">
        <f>"19:13:26.492"</f>
        <v>19:13:26.492</v>
      </c>
      <c r="T2315" t="str">
        <f>"19:13:26.094"</f>
        <v>19:13:26.094</v>
      </c>
      <c r="U2315" t="str">
        <f t="shared" si="109"/>
        <v>a1cdbe</v>
      </c>
      <c r="V2315">
        <v>0</v>
      </c>
      <c r="W2315">
        <v>0</v>
      </c>
      <c r="X2315">
        <v>1</v>
      </c>
      <c r="Y2315">
        <v>0</v>
      </c>
      <c r="Z2315">
        <v>0</v>
      </c>
      <c r="AB2315">
        <v>0</v>
      </c>
      <c r="AC2315">
        <v>9</v>
      </c>
      <c r="AD2315">
        <v>3</v>
      </c>
      <c r="AE2315">
        <v>0</v>
      </c>
      <c r="AF2315">
        <v>9</v>
      </c>
      <c r="AG2315" t="s">
        <v>158</v>
      </c>
      <c r="AH2315">
        <v>0</v>
      </c>
      <c r="AI2315">
        <v>3</v>
      </c>
      <c r="AJ2315">
        <v>1</v>
      </c>
      <c r="AK2315">
        <v>0</v>
      </c>
      <c r="AL2315" t="s">
        <v>4355</v>
      </c>
      <c r="AM2315">
        <v>46.892029999999998</v>
      </c>
      <c r="AN2315" t="s">
        <v>4356</v>
      </c>
      <c r="AO2315">
        <v>-123.195319</v>
      </c>
      <c r="AP2315">
        <v>100</v>
      </c>
      <c r="AQ2315">
        <v>2000</v>
      </c>
      <c r="AR2315" t="s">
        <v>118</v>
      </c>
      <c r="AS2315">
        <v>-72</v>
      </c>
      <c r="AT2315">
        <v>28</v>
      </c>
      <c r="AU2315">
        <v>-64</v>
      </c>
      <c r="BC2315">
        <v>1200</v>
      </c>
      <c r="BD2315">
        <v>1</v>
      </c>
      <c r="BE2315" t="str">
        <f t="shared" si="110"/>
        <v xml:space="preserve">N215T   </v>
      </c>
      <c r="BF2315">
        <v>1</v>
      </c>
      <c r="BH2315">
        <v>0</v>
      </c>
      <c r="BI2315">
        <v>0</v>
      </c>
      <c r="BJ2315">
        <v>0</v>
      </c>
      <c r="BK2315">
        <v>2350</v>
      </c>
      <c r="BL2315">
        <v>350</v>
      </c>
      <c r="BM2315" t="s">
        <v>119</v>
      </c>
      <c r="BN2315">
        <v>1</v>
      </c>
      <c r="BO2315">
        <v>1</v>
      </c>
      <c r="BP2315">
        <v>1</v>
      </c>
      <c r="BQ2315">
        <v>0</v>
      </c>
      <c r="BT2315">
        <v>0</v>
      </c>
      <c r="BU2315">
        <v>0</v>
      </c>
      <c r="BV2315">
        <v>0</v>
      </c>
      <c r="CC2315" t="str">
        <f>"19:13:26.500"</f>
        <v>19:13:26.500</v>
      </c>
      <c r="CD2315" t="str">
        <f>"499811619"</f>
        <v>499811619</v>
      </c>
      <c r="CQ2315">
        <v>0</v>
      </c>
      <c r="CR2315">
        <v>2</v>
      </c>
      <c r="CS2315">
        <v>0</v>
      </c>
      <c r="CT2315">
        <v>2</v>
      </c>
      <c r="CU2315">
        <v>0</v>
      </c>
      <c r="CV2315">
        <v>6</v>
      </c>
      <c r="CW2315" t="s">
        <v>120</v>
      </c>
      <c r="CX2315">
        <v>257</v>
      </c>
      <c r="CY2315">
        <v>1</v>
      </c>
      <c r="CZ2315" t="s">
        <v>615</v>
      </c>
      <c r="DA2315" t="s">
        <v>616</v>
      </c>
      <c r="DD2315">
        <v>12102301</v>
      </c>
      <c r="DE2315" t="s">
        <v>123</v>
      </c>
    </row>
    <row r="2316" spans="1:109" x14ac:dyDescent="0.3">
      <c r="A2316" t="str">
        <f>"19:13:27.703"</f>
        <v>19:13:27.703</v>
      </c>
      <c r="B2316" t="s">
        <v>110</v>
      </c>
      <c r="C2316" t="str">
        <f t="shared" si="108"/>
        <v>ffdfd3c0</v>
      </c>
      <c r="D2316" t="s">
        <v>111</v>
      </c>
      <c r="E2316">
        <v>18</v>
      </c>
      <c r="F2316">
        <v>1018</v>
      </c>
      <c r="G2316" t="s">
        <v>112</v>
      </c>
      <c r="J2316" t="s">
        <v>113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R2316" t="s">
        <v>114</v>
      </c>
      <c r="S2316" t="str">
        <f>"19:13:27.438"</f>
        <v>19:13:27.438</v>
      </c>
      <c r="T2316" t="str">
        <f>"19:13:27.141"</f>
        <v>19:13:27.141</v>
      </c>
      <c r="U2316" t="str">
        <f t="shared" si="109"/>
        <v>a1cdbe</v>
      </c>
      <c r="V2316">
        <v>0</v>
      </c>
      <c r="W2316">
        <v>0</v>
      </c>
      <c r="X2316">
        <v>1</v>
      </c>
      <c r="Y2316">
        <v>0</v>
      </c>
      <c r="Z2316">
        <v>0</v>
      </c>
      <c r="AB2316">
        <v>0</v>
      </c>
      <c r="AC2316">
        <v>9</v>
      </c>
      <c r="AD2316">
        <v>3</v>
      </c>
      <c r="AE2316">
        <v>0</v>
      </c>
      <c r="AF2316">
        <v>9</v>
      </c>
      <c r="AG2316" t="s">
        <v>158</v>
      </c>
      <c r="AH2316">
        <v>0</v>
      </c>
      <c r="AI2316">
        <v>3</v>
      </c>
      <c r="AJ2316">
        <v>1</v>
      </c>
      <c r="AK2316">
        <v>0</v>
      </c>
      <c r="AL2316" t="s">
        <v>1454</v>
      </c>
      <c r="AM2316">
        <v>46.892158999999999</v>
      </c>
      <c r="AN2316" t="s">
        <v>4357</v>
      </c>
      <c r="AO2316">
        <v>-123.19574799999999</v>
      </c>
      <c r="AP2316">
        <v>100</v>
      </c>
      <c r="AQ2316">
        <v>2000</v>
      </c>
      <c r="AR2316" t="s">
        <v>118</v>
      </c>
      <c r="AS2316">
        <v>-72</v>
      </c>
      <c r="AT2316">
        <v>28</v>
      </c>
      <c r="AU2316">
        <v>0</v>
      </c>
      <c r="BC2316">
        <v>1200</v>
      </c>
      <c r="BD2316">
        <v>1</v>
      </c>
      <c r="BE2316" t="str">
        <f t="shared" si="110"/>
        <v xml:space="preserve">N215T   </v>
      </c>
      <c r="BF2316">
        <v>1</v>
      </c>
      <c r="BH2316">
        <v>0</v>
      </c>
      <c r="BI2316">
        <v>0</v>
      </c>
      <c r="BJ2316">
        <v>0</v>
      </c>
      <c r="BK2316">
        <v>2350</v>
      </c>
      <c r="BL2316">
        <v>350</v>
      </c>
      <c r="BM2316" t="s">
        <v>119</v>
      </c>
      <c r="BN2316">
        <v>1</v>
      </c>
      <c r="BO2316">
        <v>1</v>
      </c>
      <c r="BP2316">
        <v>1</v>
      </c>
      <c r="BQ2316">
        <v>0</v>
      </c>
      <c r="BT2316">
        <v>0</v>
      </c>
      <c r="BU2316">
        <v>0</v>
      </c>
      <c r="BV2316">
        <v>0</v>
      </c>
      <c r="CC2316" t="str">
        <f>"19:13:27.445"</f>
        <v>19:13:27.445</v>
      </c>
      <c r="CD2316" t="str">
        <f>"444718725"</f>
        <v>444718725</v>
      </c>
      <c r="CQ2316">
        <v>0</v>
      </c>
      <c r="CR2316">
        <v>2</v>
      </c>
      <c r="CS2316">
        <v>0</v>
      </c>
      <c r="CT2316">
        <v>2</v>
      </c>
      <c r="CU2316">
        <v>0</v>
      </c>
      <c r="CV2316">
        <v>6</v>
      </c>
      <c r="CW2316" t="s">
        <v>120</v>
      </c>
      <c r="CX2316">
        <v>257</v>
      </c>
      <c r="CY2316">
        <v>1</v>
      </c>
      <c r="CZ2316" t="s">
        <v>615</v>
      </c>
      <c r="DA2316" t="s">
        <v>616</v>
      </c>
      <c r="DD2316">
        <v>12102967</v>
      </c>
      <c r="DE2316" t="s">
        <v>123</v>
      </c>
    </row>
    <row r="2317" spans="1:109" x14ac:dyDescent="0.3">
      <c r="A2317" t="str">
        <f>"19:13:28.711"</f>
        <v>19:13:28.711</v>
      </c>
      <c r="B2317" t="s">
        <v>110</v>
      </c>
      <c r="C2317" t="str">
        <f t="shared" si="108"/>
        <v>ffdfd3c0</v>
      </c>
      <c r="D2317" t="s">
        <v>111</v>
      </c>
      <c r="E2317">
        <v>18</v>
      </c>
      <c r="F2317">
        <v>1018</v>
      </c>
      <c r="G2317" t="s">
        <v>112</v>
      </c>
      <c r="J2317" t="s">
        <v>113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R2317" t="s">
        <v>114</v>
      </c>
      <c r="S2317" t="str">
        <f>"19:13:28.461"</f>
        <v>19:13:28.461</v>
      </c>
      <c r="T2317" t="str">
        <f>"19:13:28.164"</f>
        <v>19:13:28.164</v>
      </c>
      <c r="U2317" t="str">
        <f t="shared" si="109"/>
        <v>a1cdbe</v>
      </c>
      <c r="V2317">
        <v>0</v>
      </c>
      <c r="W2317">
        <v>0</v>
      </c>
      <c r="X2317">
        <v>1</v>
      </c>
      <c r="Y2317">
        <v>0</v>
      </c>
      <c r="Z2317">
        <v>0</v>
      </c>
      <c r="AB2317">
        <v>0</v>
      </c>
      <c r="AC2317">
        <v>9</v>
      </c>
      <c r="AD2317">
        <v>3</v>
      </c>
      <c r="AE2317">
        <v>0</v>
      </c>
      <c r="AF2317">
        <v>9</v>
      </c>
      <c r="AG2317" t="s">
        <v>158</v>
      </c>
      <c r="AH2317">
        <v>0</v>
      </c>
      <c r="AI2317">
        <v>3</v>
      </c>
      <c r="AJ2317">
        <v>1</v>
      </c>
      <c r="AK2317">
        <v>0</v>
      </c>
      <c r="AL2317" t="s">
        <v>4358</v>
      </c>
      <c r="AM2317">
        <v>46.892308999999997</v>
      </c>
      <c r="AN2317" t="s">
        <v>4359</v>
      </c>
      <c r="AO2317">
        <v>-123.196285</v>
      </c>
      <c r="AP2317">
        <v>100</v>
      </c>
      <c r="AQ2317">
        <v>2000</v>
      </c>
      <c r="AR2317" t="s">
        <v>118</v>
      </c>
      <c r="AS2317">
        <v>-72</v>
      </c>
      <c r="AT2317">
        <v>29</v>
      </c>
      <c r="AU2317">
        <v>0</v>
      </c>
      <c r="BC2317">
        <v>1200</v>
      </c>
      <c r="BD2317">
        <v>1</v>
      </c>
      <c r="BE2317" t="str">
        <f t="shared" si="110"/>
        <v xml:space="preserve">N215T   </v>
      </c>
      <c r="BF2317">
        <v>1</v>
      </c>
      <c r="BH2317">
        <v>0</v>
      </c>
      <c r="BI2317">
        <v>0</v>
      </c>
      <c r="BJ2317">
        <v>0</v>
      </c>
      <c r="BK2317">
        <v>2350</v>
      </c>
      <c r="BL2317">
        <v>350</v>
      </c>
      <c r="BM2317" t="s">
        <v>119</v>
      </c>
      <c r="BN2317">
        <v>1</v>
      </c>
      <c r="BO2317">
        <v>1</v>
      </c>
      <c r="BP2317">
        <v>1</v>
      </c>
      <c r="BQ2317">
        <v>0</v>
      </c>
      <c r="BT2317">
        <v>0</v>
      </c>
      <c r="BU2317">
        <v>0</v>
      </c>
      <c r="BV2317">
        <v>0</v>
      </c>
      <c r="CC2317" t="str">
        <f>"19:13:28.461"</f>
        <v>19:13:28.461</v>
      </c>
      <c r="CD2317" t="str">
        <f>"464617975"</f>
        <v>464617975</v>
      </c>
      <c r="CQ2317">
        <v>0</v>
      </c>
      <c r="CR2317">
        <v>2</v>
      </c>
      <c r="CS2317">
        <v>0</v>
      </c>
      <c r="CT2317">
        <v>2</v>
      </c>
      <c r="CU2317">
        <v>0</v>
      </c>
      <c r="CV2317">
        <v>6</v>
      </c>
      <c r="CW2317" t="s">
        <v>120</v>
      </c>
      <c r="CX2317">
        <v>257</v>
      </c>
      <c r="CY2317">
        <v>0</v>
      </c>
      <c r="CZ2317" t="s">
        <v>615</v>
      </c>
      <c r="DA2317" t="s">
        <v>616</v>
      </c>
      <c r="DD2317">
        <v>15839966</v>
      </c>
      <c r="DE2317" t="s">
        <v>123</v>
      </c>
    </row>
    <row r="2318" spans="1:109" x14ac:dyDescent="0.3">
      <c r="A2318" t="str">
        <f>"19:13:29.766"</f>
        <v>19:13:29.766</v>
      </c>
      <c r="B2318" t="s">
        <v>110</v>
      </c>
      <c r="C2318" t="str">
        <f t="shared" si="108"/>
        <v>ffdfd3c0</v>
      </c>
      <c r="D2318" t="s">
        <v>111</v>
      </c>
      <c r="E2318">
        <v>18</v>
      </c>
      <c r="F2318">
        <v>1018</v>
      </c>
      <c r="G2318" t="s">
        <v>112</v>
      </c>
      <c r="J2318" t="s">
        <v>113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R2318" t="s">
        <v>114</v>
      </c>
      <c r="S2318" t="str">
        <f>"19:13:29.508"</f>
        <v>19:13:29.508</v>
      </c>
      <c r="T2318" t="str">
        <f>"19:13:29.211"</f>
        <v>19:13:29.211</v>
      </c>
      <c r="U2318" t="str">
        <f t="shared" si="109"/>
        <v>a1cdbe</v>
      </c>
      <c r="V2318">
        <v>0</v>
      </c>
      <c r="W2318">
        <v>0</v>
      </c>
      <c r="X2318">
        <v>1</v>
      </c>
      <c r="Y2318">
        <v>0</v>
      </c>
      <c r="Z2318">
        <v>0</v>
      </c>
      <c r="AB2318">
        <v>0</v>
      </c>
      <c r="AC2318">
        <v>9</v>
      </c>
      <c r="AD2318">
        <v>3</v>
      </c>
      <c r="AE2318">
        <v>0</v>
      </c>
      <c r="AF2318">
        <v>9</v>
      </c>
      <c r="AG2318" t="s">
        <v>158</v>
      </c>
      <c r="AH2318">
        <v>0</v>
      </c>
      <c r="AI2318">
        <v>3</v>
      </c>
      <c r="AJ2318">
        <v>1</v>
      </c>
      <c r="AK2318">
        <v>0</v>
      </c>
      <c r="AL2318" t="s">
        <v>4360</v>
      </c>
      <c r="AM2318">
        <v>46.892437999999999</v>
      </c>
      <c r="AN2318" t="s">
        <v>4361</v>
      </c>
      <c r="AO2318">
        <v>-123.196735</v>
      </c>
      <c r="AP2318">
        <v>100</v>
      </c>
      <c r="AQ2318">
        <v>2000</v>
      </c>
      <c r="AR2318" t="s">
        <v>118</v>
      </c>
      <c r="AS2318">
        <v>-72</v>
      </c>
      <c r="AT2318">
        <v>29</v>
      </c>
      <c r="AU2318">
        <v>-64</v>
      </c>
      <c r="BC2318">
        <v>1200</v>
      </c>
      <c r="BD2318">
        <v>1</v>
      </c>
      <c r="BE2318" t="str">
        <f t="shared" si="110"/>
        <v xml:space="preserve">N215T   </v>
      </c>
      <c r="BF2318">
        <v>1</v>
      </c>
      <c r="BH2318">
        <v>0</v>
      </c>
      <c r="BI2318">
        <v>0</v>
      </c>
      <c r="BJ2318">
        <v>0</v>
      </c>
      <c r="BK2318">
        <v>2350</v>
      </c>
      <c r="BL2318">
        <v>350</v>
      </c>
      <c r="BM2318" t="s">
        <v>119</v>
      </c>
      <c r="BN2318">
        <v>1</v>
      </c>
      <c r="BO2318">
        <v>1</v>
      </c>
      <c r="BP2318">
        <v>1</v>
      </c>
      <c r="BQ2318">
        <v>0</v>
      </c>
      <c r="BT2318">
        <v>0</v>
      </c>
      <c r="BU2318">
        <v>0</v>
      </c>
      <c r="BV2318">
        <v>0</v>
      </c>
      <c r="CC2318" t="str">
        <f>"19:13:29.516"</f>
        <v>19:13:29.516</v>
      </c>
      <c r="CD2318" t="str">
        <f>"514514495"</f>
        <v>514514495</v>
      </c>
      <c r="CQ2318">
        <v>0</v>
      </c>
      <c r="CR2318">
        <v>2</v>
      </c>
      <c r="CS2318">
        <v>0</v>
      </c>
      <c r="CT2318">
        <v>2</v>
      </c>
      <c r="CU2318">
        <v>0</v>
      </c>
      <c r="CV2318">
        <v>6</v>
      </c>
      <c r="CW2318" t="s">
        <v>120</v>
      </c>
      <c r="CX2318">
        <v>257</v>
      </c>
      <c r="CY2318">
        <v>0</v>
      </c>
      <c r="CZ2318" t="s">
        <v>615</v>
      </c>
      <c r="DA2318" t="s">
        <v>616</v>
      </c>
      <c r="DD2318">
        <v>15840556</v>
      </c>
      <c r="DE2318" t="s">
        <v>123</v>
      </c>
    </row>
    <row r="2319" spans="1:109" x14ac:dyDescent="0.3">
      <c r="A2319" t="str">
        <f>"19:13:30.727"</f>
        <v>19:13:30.727</v>
      </c>
      <c r="B2319" t="s">
        <v>110</v>
      </c>
      <c r="C2319" t="str">
        <f t="shared" si="108"/>
        <v>ffdfd3c0</v>
      </c>
      <c r="D2319" t="s">
        <v>111</v>
      </c>
      <c r="E2319">
        <v>18</v>
      </c>
      <c r="F2319">
        <v>1018</v>
      </c>
      <c r="G2319" t="s">
        <v>112</v>
      </c>
      <c r="J2319" t="s">
        <v>113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R2319" t="s">
        <v>114</v>
      </c>
      <c r="S2319" t="str">
        <f>"19:13:30.500"</f>
        <v>19:13:30.500</v>
      </c>
      <c r="T2319" t="str">
        <f>"19:13:30.203"</f>
        <v>19:13:30.203</v>
      </c>
      <c r="U2319" t="str">
        <f t="shared" si="109"/>
        <v>a1cdbe</v>
      </c>
      <c r="V2319">
        <v>0</v>
      </c>
      <c r="W2319">
        <v>0</v>
      </c>
      <c r="X2319">
        <v>1</v>
      </c>
      <c r="Y2319">
        <v>0</v>
      </c>
      <c r="Z2319">
        <v>0</v>
      </c>
      <c r="AB2319">
        <v>0</v>
      </c>
      <c r="AC2319">
        <v>9</v>
      </c>
      <c r="AD2319">
        <v>3</v>
      </c>
      <c r="AE2319">
        <v>0</v>
      </c>
      <c r="AF2319">
        <v>9</v>
      </c>
      <c r="AG2319" t="s">
        <v>158</v>
      </c>
      <c r="AH2319">
        <v>0</v>
      </c>
      <c r="AI2319">
        <v>3</v>
      </c>
      <c r="AJ2319">
        <v>1</v>
      </c>
      <c r="AK2319">
        <v>0</v>
      </c>
      <c r="AL2319" t="s">
        <v>4362</v>
      </c>
      <c r="AM2319">
        <v>46.892588000000003</v>
      </c>
      <c r="AN2319" t="s">
        <v>4363</v>
      </c>
      <c r="AO2319">
        <v>-123.19725</v>
      </c>
      <c r="AP2319">
        <v>100</v>
      </c>
      <c r="AQ2319">
        <v>2000</v>
      </c>
      <c r="AR2319" t="s">
        <v>118</v>
      </c>
      <c r="AS2319">
        <v>-72</v>
      </c>
      <c r="AT2319">
        <v>29</v>
      </c>
      <c r="AU2319">
        <v>-64</v>
      </c>
      <c r="BC2319">
        <v>1200</v>
      </c>
      <c r="BD2319">
        <v>1</v>
      </c>
      <c r="BE2319" t="str">
        <f t="shared" si="110"/>
        <v xml:space="preserve">N215T   </v>
      </c>
      <c r="BF2319">
        <v>1</v>
      </c>
      <c r="BH2319">
        <v>0</v>
      </c>
      <c r="BI2319">
        <v>0</v>
      </c>
      <c r="BJ2319">
        <v>0</v>
      </c>
      <c r="BK2319">
        <v>2350</v>
      </c>
      <c r="BL2319">
        <v>350</v>
      </c>
      <c r="BM2319" t="s">
        <v>119</v>
      </c>
      <c r="BN2319">
        <v>1</v>
      </c>
      <c r="BO2319">
        <v>1</v>
      </c>
      <c r="BP2319">
        <v>1</v>
      </c>
      <c r="BQ2319">
        <v>0</v>
      </c>
      <c r="BT2319">
        <v>0</v>
      </c>
      <c r="BU2319">
        <v>0</v>
      </c>
      <c r="BV2319">
        <v>0</v>
      </c>
      <c r="CC2319" t="str">
        <f>"19:13:30.508"</f>
        <v>19:13:30.508</v>
      </c>
      <c r="CD2319" t="str">
        <f>"504416935"</f>
        <v>504416935</v>
      </c>
      <c r="CQ2319">
        <v>0</v>
      </c>
      <c r="CR2319">
        <v>2</v>
      </c>
      <c r="CS2319">
        <v>0</v>
      </c>
      <c r="CT2319">
        <v>2</v>
      </c>
      <c r="CU2319">
        <v>0</v>
      </c>
      <c r="CV2319">
        <v>6</v>
      </c>
      <c r="CW2319" t="s">
        <v>120</v>
      </c>
      <c r="CX2319">
        <v>257</v>
      </c>
      <c r="CY2319">
        <v>0</v>
      </c>
      <c r="CZ2319" t="s">
        <v>615</v>
      </c>
      <c r="DA2319" t="s">
        <v>616</v>
      </c>
      <c r="DD2319">
        <v>15841111</v>
      </c>
      <c r="DE2319" t="s">
        <v>123</v>
      </c>
    </row>
    <row r="2320" spans="1:109" x14ac:dyDescent="0.3">
      <c r="A2320" t="str">
        <f>"19:13:31.820"</f>
        <v>19:13:31.820</v>
      </c>
      <c r="B2320" t="s">
        <v>110</v>
      </c>
      <c r="C2320" t="str">
        <f t="shared" si="108"/>
        <v>ffdfd3c0</v>
      </c>
      <c r="D2320" t="s">
        <v>111</v>
      </c>
      <c r="E2320">
        <v>18</v>
      </c>
      <c r="F2320">
        <v>1018</v>
      </c>
      <c r="G2320" t="s">
        <v>112</v>
      </c>
      <c r="J2320" t="s">
        <v>113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R2320" t="s">
        <v>114</v>
      </c>
      <c r="S2320" t="str">
        <f>"19:13:31.547"</f>
        <v>19:13:31.547</v>
      </c>
      <c r="T2320" t="str">
        <f>"19:13:31.148"</f>
        <v>19:13:31.148</v>
      </c>
      <c r="U2320" t="str">
        <f t="shared" si="109"/>
        <v>a1cdbe</v>
      </c>
      <c r="V2320">
        <v>0</v>
      </c>
      <c r="W2320">
        <v>0</v>
      </c>
      <c r="X2320">
        <v>1</v>
      </c>
      <c r="Y2320">
        <v>0</v>
      </c>
      <c r="Z2320">
        <v>0</v>
      </c>
      <c r="AB2320">
        <v>0</v>
      </c>
      <c r="AC2320">
        <v>9</v>
      </c>
      <c r="AD2320">
        <v>3</v>
      </c>
      <c r="AE2320">
        <v>0</v>
      </c>
      <c r="AF2320">
        <v>9</v>
      </c>
      <c r="AG2320" t="s">
        <v>158</v>
      </c>
      <c r="AH2320">
        <v>0</v>
      </c>
      <c r="AI2320">
        <v>3</v>
      </c>
      <c r="AJ2320">
        <v>1</v>
      </c>
      <c r="AK2320">
        <v>0</v>
      </c>
      <c r="AL2320" t="s">
        <v>4364</v>
      </c>
      <c r="AM2320">
        <v>46.892716999999998</v>
      </c>
      <c r="AN2320" t="s">
        <v>4365</v>
      </c>
      <c r="AO2320">
        <v>-123.197722</v>
      </c>
      <c r="AP2320">
        <v>100</v>
      </c>
      <c r="AQ2320">
        <v>2000</v>
      </c>
      <c r="AR2320" t="s">
        <v>118</v>
      </c>
      <c r="AS2320">
        <v>-72</v>
      </c>
      <c r="AT2320">
        <v>29</v>
      </c>
      <c r="AU2320">
        <v>0</v>
      </c>
      <c r="BC2320">
        <v>1200</v>
      </c>
      <c r="BD2320">
        <v>1</v>
      </c>
      <c r="BE2320" t="str">
        <f t="shared" si="110"/>
        <v xml:space="preserve">N215T   </v>
      </c>
      <c r="BF2320">
        <v>1</v>
      </c>
      <c r="BH2320">
        <v>0</v>
      </c>
      <c r="BI2320">
        <v>0</v>
      </c>
      <c r="BJ2320">
        <v>0</v>
      </c>
      <c r="BK2320">
        <v>2350</v>
      </c>
      <c r="BL2320">
        <v>350</v>
      </c>
      <c r="BM2320" t="s">
        <v>119</v>
      </c>
      <c r="BN2320">
        <v>1</v>
      </c>
      <c r="BO2320">
        <v>1</v>
      </c>
      <c r="BP2320">
        <v>1</v>
      </c>
      <c r="BQ2320">
        <v>0</v>
      </c>
      <c r="BT2320">
        <v>0</v>
      </c>
      <c r="BU2320">
        <v>0</v>
      </c>
      <c r="BV2320">
        <v>0</v>
      </c>
      <c r="CC2320" t="str">
        <f>"19:13:31.555"</f>
        <v>19:13:31.555</v>
      </c>
      <c r="CD2320" t="str">
        <f>"554313457"</f>
        <v>554313457</v>
      </c>
      <c r="CQ2320">
        <v>0</v>
      </c>
      <c r="CR2320">
        <v>2</v>
      </c>
      <c r="CS2320">
        <v>0</v>
      </c>
      <c r="CT2320">
        <v>2</v>
      </c>
      <c r="CU2320">
        <v>0</v>
      </c>
      <c r="CV2320">
        <v>6</v>
      </c>
      <c r="CW2320" t="s">
        <v>120</v>
      </c>
      <c r="CX2320">
        <v>257</v>
      </c>
      <c r="CY2320">
        <v>1</v>
      </c>
      <c r="CZ2320" t="s">
        <v>615</v>
      </c>
      <c r="DA2320" t="s">
        <v>616</v>
      </c>
      <c r="DD2320">
        <v>12105953</v>
      </c>
      <c r="DE2320" t="s">
        <v>123</v>
      </c>
    </row>
    <row r="2321" spans="1:109" x14ac:dyDescent="0.3">
      <c r="A2321" t="str">
        <f>"19:13:32.984"</f>
        <v>19:13:32.984</v>
      </c>
      <c r="B2321" t="s">
        <v>110</v>
      </c>
      <c r="C2321" t="str">
        <f t="shared" si="108"/>
        <v>ffdfd3c0</v>
      </c>
      <c r="D2321" t="s">
        <v>111</v>
      </c>
      <c r="E2321">
        <v>18</v>
      </c>
      <c r="F2321">
        <v>1018</v>
      </c>
      <c r="G2321" t="s">
        <v>112</v>
      </c>
      <c r="J2321" t="s">
        <v>113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R2321" t="s">
        <v>114</v>
      </c>
      <c r="S2321" t="str">
        <f>"19:13:32.703"</f>
        <v>19:13:32.703</v>
      </c>
      <c r="T2321" t="str">
        <f>"19:13:32.203"</f>
        <v>19:13:32.203</v>
      </c>
      <c r="U2321" t="str">
        <f t="shared" si="109"/>
        <v>a1cdbe</v>
      </c>
      <c r="V2321">
        <v>0</v>
      </c>
      <c r="W2321">
        <v>0</v>
      </c>
      <c r="X2321">
        <v>1</v>
      </c>
      <c r="Y2321">
        <v>0</v>
      </c>
      <c r="Z2321">
        <v>0</v>
      </c>
      <c r="AB2321">
        <v>0</v>
      </c>
      <c r="AC2321">
        <v>9</v>
      </c>
      <c r="AD2321">
        <v>3</v>
      </c>
      <c r="AE2321">
        <v>0</v>
      </c>
      <c r="AF2321">
        <v>9</v>
      </c>
      <c r="AG2321" t="s">
        <v>158</v>
      </c>
      <c r="AH2321">
        <v>0</v>
      </c>
      <c r="AI2321">
        <v>3</v>
      </c>
      <c r="AJ2321">
        <v>1</v>
      </c>
      <c r="AK2321">
        <v>0</v>
      </c>
      <c r="AL2321" t="s">
        <v>4366</v>
      </c>
      <c r="AM2321">
        <v>46.892867000000003</v>
      </c>
      <c r="AN2321" t="s">
        <v>4367</v>
      </c>
      <c r="AO2321">
        <v>-123.19828</v>
      </c>
      <c r="AP2321">
        <v>100</v>
      </c>
      <c r="AQ2321">
        <v>2000</v>
      </c>
      <c r="AR2321" t="s">
        <v>118</v>
      </c>
      <c r="AS2321">
        <v>-72</v>
      </c>
      <c r="AT2321">
        <v>29</v>
      </c>
      <c r="AU2321">
        <v>0</v>
      </c>
      <c r="BC2321">
        <v>1200</v>
      </c>
      <c r="BD2321">
        <v>1</v>
      </c>
      <c r="BE2321" t="str">
        <f t="shared" si="110"/>
        <v xml:space="preserve">N215T   </v>
      </c>
      <c r="BF2321">
        <v>1</v>
      </c>
      <c r="BH2321">
        <v>0</v>
      </c>
      <c r="BI2321">
        <v>0</v>
      </c>
      <c r="BJ2321">
        <v>0</v>
      </c>
      <c r="BK2321">
        <v>2350</v>
      </c>
      <c r="BL2321">
        <v>350</v>
      </c>
      <c r="BM2321" t="s">
        <v>119</v>
      </c>
      <c r="BN2321">
        <v>1</v>
      </c>
      <c r="BO2321">
        <v>1</v>
      </c>
      <c r="BP2321">
        <v>1</v>
      </c>
      <c r="BQ2321">
        <v>0</v>
      </c>
      <c r="BT2321">
        <v>0</v>
      </c>
      <c r="BU2321">
        <v>0</v>
      </c>
      <c r="BV2321">
        <v>0</v>
      </c>
      <c r="CC2321" t="str">
        <f>"19:13:32.711"</f>
        <v>19:13:32.711</v>
      </c>
      <c r="CD2321" t="str">
        <f>"709199626"</f>
        <v>709199626</v>
      </c>
      <c r="CQ2321">
        <v>0</v>
      </c>
      <c r="CR2321">
        <v>2</v>
      </c>
      <c r="CS2321">
        <v>0</v>
      </c>
      <c r="CT2321">
        <v>2</v>
      </c>
      <c r="CU2321">
        <v>0</v>
      </c>
      <c r="CV2321">
        <v>6</v>
      </c>
      <c r="CW2321" t="s">
        <v>120</v>
      </c>
      <c r="CX2321">
        <v>257</v>
      </c>
      <c r="CY2321">
        <v>0</v>
      </c>
      <c r="CZ2321" t="s">
        <v>615</v>
      </c>
      <c r="DA2321" t="s">
        <v>616</v>
      </c>
      <c r="DD2321">
        <v>15842372</v>
      </c>
      <c r="DE2321" t="s">
        <v>123</v>
      </c>
    </row>
    <row r="2322" spans="1:109" x14ac:dyDescent="0.3">
      <c r="A2322" t="str">
        <f>"19:13:33.883"</f>
        <v>19:13:33.883</v>
      </c>
      <c r="B2322" t="s">
        <v>110</v>
      </c>
      <c r="C2322" t="str">
        <f t="shared" si="108"/>
        <v>ffdfd3c0</v>
      </c>
      <c r="D2322" t="s">
        <v>111</v>
      </c>
      <c r="E2322">
        <v>18</v>
      </c>
      <c r="F2322">
        <v>1018</v>
      </c>
      <c r="G2322" t="s">
        <v>112</v>
      </c>
      <c r="J2322" t="s">
        <v>113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R2322" t="s">
        <v>114</v>
      </c>
      <c r="S2322" t="str">
        <f>"19:13:33.648"</f>
        <v>19:13:33.648</v>
      </c>
      <c r="T2322" t="str">
        <f>"19:13:33.148"</f>
        <v>19:13:33.148</v>
      </c>
      <c r="U2322" t="str">
        <f t="shared" si="109"/>
        <v>a1cdbe</v>
      </c>
      <c r="V2322">
        <v>0</v>
      </c>
      <c r="W2322">
        <v>0</v>
      </c>
      <c r="X2322">
        <v>1</v>
      </c>
      <c r="Y2322">
        <v>0</v>
      </c>
      <c r="Z2322">
        <v>0</v>
      </c>
      <c r="AB2322">
        <v>0</v>
      </c>
      <c r="AC2322">
        <v>9</v>
      </c>
      <c r="AD2322">
        <v>3</v>
      </c>
      <c r="AE2322">
        <v>0</v>
      </c>
      <c r="AF2322">
        <v>9</v>
      </c>
      <c r="AG2322" t="s">
        <v>158</v>
      </c>
      <c r="AH2322">
        <v>0</v>
      </c>
      <c r="AI2322">
        <v>3</v>
      </c>
      <c r="AJ2322">
        <v>1</v>
      </c>
      <c r="AK2322">
        <v>0</v>
      </c>
      <c r="AL2322" t="s">
        <v>4368</v>
      </c>
      <c r="AM2322">
        <v>46.892995999999997</v>
      </c>
      <c r="AN2322" t="s">
        <v>4369</v>
      </c>
      <c r="AO2322">
        <v>-123.198752</v>
      </c>
      <c r="AP2322">
        <v>100</v>
      </c>
      <c r="AQ2322">
        <v>2000</v>
      </c>
      <c r="AR2322" t="s">
        <v>118</v>
      </c>
      <c r="AS2322">
        <v>-72</v>
      </c>
      <c r="AT2322">
        <v>29</v>
      </c>
      <c r="AU2322">
        <v>128</v>
      </c>
      <c r="BC2322">
        <v>1200</v>
      </c>
      <c r="BD2322">
        <v>1</v>
      </c>
      <c r="BE2322" t="str">
        <f t="shared" si="110"/>
        <v xml:space="preserve">N215T   </v>
      </c>
      <c r="BF2322">
        <v>1</v>
      </c>
      <c r="BH2322">
        <v>0</v>
      </c>
      <c r="BI2322">
        <v>0</v>
      </c>
      <c r="BJ2322">
        <v>0</v>
      </c>
      <c r="BK2322">
        <v>2350</v>
      </c>
      <c r="BL2322">
        <v>350</v>
      </c>
      <c r="BM2322" t="s">
        <v>119</v>
      </c>
      <c r="BN2322">
        <v>1</v>
      </c>
      <c r="BO2322">
        <v>1</v>
      </c>
      <c r="BP2322">
        <v>1</v>
      </c>
      <c r="BQ2322">
        <v>0</v>
      </c>
      <c r="BT2322">
        <v>0</v>
      </c>
      <c r="BU2322">
        <v>0</v>
      </c>
      <c r="BV2322">
        <v>0</v>
      </c>
      <c r="CC2322" t="str">
        <f>"19:13:33.656"</f>
        <v>19:13:33.656</v>
      </c>
      <c r="CD2322" t="str">
        <f>"654106499"</f>
        <v>654106499</v>
      </c>
      <c r="CQ2322">
        <v>0</v>
      </c>
      <c r="CR2322">
        <v>2</v>
      </c>
      <c r="CS2322">
        <v>0</v>
      </c>
      <c r="CT2322">
        <v>2</v>
      </c>
      <c r="CU2322">
        <v>0</v>
      </c>
      <c r="CV2322">
        <v>6</v>
      </c>
      <c r="CW2322" t="s">
        <v>120</v>
      </c>
      <c r="CX2322">
        <v>257</v>
      </c>
      <c r="CY2322">
        <v>0</v>
      </c>
      <c r="CZ2322" t="s">
        <v>615</v>
      </c>
      <c r="DA2322" t="s">
        <v>616</v>
      </c>
      <c r="DD2322">
        <v>15842898</v>
      </c>
      <c r="DE2322" t="s">
        <v>123</v>
      </c>
    </row>
    <row r="2323" spans="1:109" x14ac:dyDescent="0.3">
      <c r="A2323" t="str">
        <f>"19:13:34.891"</f>
        <v>19:13:34.891</v>
      </c>
      <c r="B2323" t="s">
        <v>110</v>
      </c>
      <c r="C2323" t="str">
        <f t="shared" si="108"/>
        <v>ffdfd3c0</v>
      </c>
      <c r="D2323" t="s">
        <v>111</v>
      </c>
      <c r="E2323">
        <v>18</v>
      </c>
      <c r="F2323">
        <v>1018</v>
      </c>
      <c r="G2323" t="s">
        <v>112</v>
      </c>
      <c r="J2323" t="s">
        <v>113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R2323" t="s">
        <v>114</v>
      </c>
      <c r="S2323" t="str">
        <f>"19:13:34.688"</f>
        <v>19:13:34.688</v>
      </c>
      <c r="T2323" t="str">
        <f>"19:13:34.688"</f>
        <v>19:13:34.688</v>
      </c>
      <c r="U2323" t="str">
        <f t="shared" si="109"/>
        <v>a1cdbe</v>
      </c>
      <c r="V2323">
        <v>0</v>
      </c>
      <c r="W2323">
        <v>0</v>
      </c>
      <c r="X2323">
        <v>1</v>
      </c>
      <c r="Y2323">
        <v>0</v>
      </c>
      <c r="Z2323">
        <v>0</v>
      </c>
      <c r="AB2323">
        <v>0</v>
      </c>
      <c r="AC2323">
        <v>9</v>
      </c>
      <c r="AD2323">
        <v>3</v>
      </c>
      <c r="AE2323">
        <v>0</v>
      </c>
      <c r="AF2323">
        <v>9</v>
      </c>
      <c r="AG2323" t="s">
        <v>158</v>
      </c>
      <c r="AH2323">
        <v>0</v>
      </c>
      <c r="AI2323">
        <v>3</v>
      </c>
      <c r="AJ2323">
        <v>1</v>
      </c>
      <c r="AK2323">
        <v>0</v>
      </c>
      <c r="AL2323" t="s">
        <v>4370</v>
      </c>
      <c r="AM2323">
        <v>46.893146000000002</v>
      </c>
      <c r="AN2323" t="s">
        <v>4371</v>
      </c>
      <c r="AO2323">
        <v>-123.19926700000001</v>
      </c>
      <c r="AP2323">
        <v>100</v>
      </c>
      <c r="AQ2323">
        <v>2000</v>
      </c>
      <c r="AR2323" t="s">
        <v>118</v>
      </c>
      <c r="AS2323">
        <v>-73</v>
      </c>
      <c r="AT2323">
        <v>30</v>
      </c>
      <c r="AU2323">
        <v>256</v>
      </c>
      <c r="BC2323">
        <v>1200</v>
      </c>
      <c r="BD2323">
        <v>1</v>
      </c>
      <c r="BE2323" t="str">
        <f t="shared" si="110"/>
        <v xml:space="preserve">N215T   </v>
      </c>
      <c r="BF2323">
        <v>1</v>
      </c>
      <c r="BH2323">
        <v>0</v>
      </c>
      <c r="BI2323">
        <v>0</v>
      </c>
      <c r="BJ2323">
        <v>0</v>
      </c>
      <c r="BK2323">
        <v>2350</v>
      </c>
      <c r="BL2323">
        <v>350</v>
      </c>
      <c r="BM2323" t="s">
        <v>119</v>
      </c>
      <c r="BN2323">
        <v>1</v>
      </c>
      <c r="BO2323">
        <v>1</v>
      </c>
      <c r="BP2323">
        <v>1</v>
      </c>
      <c r="BQ2323">
        <v>0</v>
      </c>
      <c r="BT2323">
        <v>0</v>
      </c>
      <c r="BU2323">
        <v>0</v>
      </c>
      <c r="BV2323">
        <v>0</v>
      </c>
      <c r="CC2323" t="str">
        <f>"19:13:34.688"</f>
        <v>19:13:34.688</v>
      </c>
      <c r="CD2323" t="str">
        <f>"689004506"</f>
        <v>689004506</v>
      </c>
      <c r="CQ2323">
        <v>0</v>
      </c>
      <c r="CR2323">
        <v>2</v>
      </c>
      <c r="CS2323">
        <v>0</v>
      </c>
      <c r="CT2323">
        <v>2</v>
      </c>
      <c r="CU2323">
        <v>0</v>
      </c>
      <c r="CV2323">
        <v>6</v>
      </c>
      <c r="CW2323" t="s">
        <v>120</v>
      </c>
      <c r="CX2323">
        <v>257</v>
      </c>
      <c r="CY2323">
        <v>0</v>
      </c>
      <c r="CZ2323" t="s">
        <v>615</v>
      </c>
      <c r="DA2323" t="s">
        <v>616</v>
      </c>
      <c r="DD2323">
        <v>15843462</v>
      </c>
      <c r="DE2323" t="s">
        <v>123</v>
      </c>
    </row>
    <row r="2324" spans="1:109" x14ac:dyDescent="0.3">
      <c r="A2324" t="str">
        <f>"19:13:35.945"</f>
        <v>19:13:35.945</v>
      </c>
      <c r="B2324" t="s">
        <v>110</v>
      </c>
      <c r="C2324" t="str">
        <f t="shared" si="108"/>
        <v>ffdfd3c0</v>
      </c>
      <c r="D2324" t="s">
        <v>111</v>
      </c>
      <c r="E2324">
        <v>18</v>
      </c>
      <c r="F2324">
        <v>1018</v>
      </c>
      <c r="G2324" t="s">
        <v>112</v>
      </c>
      <c r="J2324" t="s">
        <v>113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R2324" t="s">
        <v>114</v>
      </c>
      <c r="S2324" t="str">
        <f>"19:13:35.688"</f>
        <v>19:13:35.688</v>
      </c>
      <c r="T2324" t="str">
        <f>"19:13:35.586"</f>
        <v>19:13:35.586</v>
      </c>
      <c r="U2324" t="str">
        <f t="shared" si="109"/>
        <v>a1cdbe</v>
      </c>
      <c r="V2324">
        <v>0</v>
      </c>
      <c r="W2324">
        <v>0</v>
      </c>
      <c r="X2324">
        <v>1</v>
      </c>
      <c r="Y2324">
        <v>0</v>
      </c>
      <c r="Z2324">
        <v>0</v>
      </c>
      <c r="AB2324">
        <v>0</v>
      </c>
      <c r="AC2324">
        <v>9</v>
      </c>
      <c r="AD2324">
        <v>3</v>
      </c>
      <c r="AE2324">
        <v>0</v>
      </c>
      <c r="AF2324">
        <v>9</v>
      </c>
      <c r="AG2324" t="s">
        <v>158</v>
      </c>
      <c r="AH2324">
        <v>0</v>
      </c>
      <c r="AI2324">
        <v>3</v>
      </c>
      <c r="AJ2324">
        <v>1</v>
      </c>
      <c r="AK2324">
        <v>0</v>
      </c>
      <c r="AL2324" t="s">
        <v>4372</v>
      </c>
      <c r="AM2324">
        <v>46.893275000000003</v>
      </c>
      <c r="AN2324" t="s">
        <v>4373</v>
      </c>
      <c r="AO2324">
        <v>-123.199782</v>
      </c>
      <c r="AP2324">
        <v>100</v>
      </c>
      <c r="AQ2324">
        <v>2000</v>
      </c>
      <c r="AR2324" t="s">
        <v>118</v>
      </c>
      <c r="AS2324">
        <v>-74</v>
      </c>
      <c r="AT2324">
        <v>30</v>
      </c>
      <c r="AU2324">
        <v>256</v>
      </c>
      <c r="BC2324">
        <v>1200</v>
      </c>
      <c r="BD2324">
        <v>1</v>
      </c>
      <c r="BE2324" t="str">
        <f t="shared" si="110"/>
        <v xml:space="preserve">N215T   </v>
      </c>
      <c r="BF2324">
        <v>1</v>
      </c>
      <c r="BH2324">
        <v>0</v>
      </c>
      <c r="BI2324">
        <v>0</v>
      </c>
      <c r="BJ2324">
        <v>0</v>
      </c>
      <c r="BK2324">
        <v>2350</v>
      </c>
      <c r="BL2324">
        <v>350</v>
      </c>
      <c r="BM2324" t="s">
        <v>119</v>
      </c>
      <c r="BN2324">
        <v>1</v>
      </c>
      <c r="BO2324">
        <v>1</v>
      </c>
      <c r="BP2324">
        <v>1</v>
      </c>
      <c r="BQ2324">
        <v>0</v>
      </c>
      <c r="BT2324">
        <v>0</v>
      </c>
      <c r="BU2324">
        <v>0</v>
      </c>
      <c r="BV2324">
        <v>0</v>
      </c>
      <c r="CC2324" t="str">
        <f>"19:13:35.695"</f>
        <v>19:13:35.695</v>
      </c>
      <c r="CD2324" t="str">
        <f>"693905472"</f>
        <v>693905472</v>
      </c>
      <c r="CQ2324">
        <v>0</v>
      </c>
      <c r="CR2324">
        <v>2</v>
      </c>
      <c r="CS2324">
        <v>0</v>
      </c>
      <c r="CT2324">
        <v>2</v>
      </c>
      <c r="CU2324">
        <v>0</v>
      </c>
      <c r="CV2324">
        <v>6</v>
      </c>
      <c r="CW2324" t="s">
        <v>120</v>
      </c>
      <c r="CX2324">
        <v>257</v>
      </c>
      <c r="CY2324">
        <v>1</v>
      </c>
      <c r="CZ2324" t="s">
        <v>615</v>
      </c>
      <c r="DA2324" t="s">
        <v>616</v>
      </c>
      <c r="DD2324">
        <v>12108961</v>
      </c>
      <c r="DE2324" t="s">
        <v>123</v>
      </c>
    </row>
    <row r="2325" spans="1:109" x14ac:dyDescent="0.3">
      <c r="A2325" t="str">
        <f>"19:13:36.852"</f>
        <v>19:13:36.852</v>
      </c>
      <c r="B2325" t="s">
        <v>110</v>
      </c>
      <c r="C2325" t="str">
        <f t="shared" si="108"/>
        <v>ffdfd3c0</v>
      </c>
      <c r="D2325" t="s">
        <v>111</v>
      </c>
      <c r="E2325">
        <v>18</v>
      </c>
      <c r="F2325">
        <v>1018</v>
      </c>
      <c r="G2325" t="s">
        <v>112</v>
      </c>
      <c r="J2325" t="s">
        <v>113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R2325" t="s">
        <v>114</v>
      </c>
      <c r="S2325" t="str">
        <f>"19:13:36.602"</f>
        <v>19:13:36.602</v>
      </c>
      <c r="T2325" t="str">
        <f>"19:13:36.602"</f>
        <v>19:13:36.602</v>
      </c>
      <c r="U2325" t="str">
        <f t="shared" si="109"/>
        <v>a1cdbe</v>
      </c>
      <c r="V2325">
        <v>0</v>
      </c>
      <c r="W2325">
        <v>0</v>
      </c>
      <c r="X2325">
        <v>1</v>
      </c>
      <c r="Y2325">
        <v>0</v>
      </c>
      <c r="Z2325">
        <v>0</v>
      </c>
      <c r="AB2325">
        <v>0</v>
      </c>
      <c r="AC2325">
        <v>9</v>
      </c>
      <c r="AD2325">
        <v>3</v>
      </c>
      <c r="AE2325">
        <v>0</v>
      </c>
      <c r="AF2325">
        <v>9</v>
      </c>
      <c r="AG2325" t="s">
        <v>158</v>
      </c>
      <c r="AH2325">
        <v>0</v>
      </c>
      <c r="AI2325">
        <v>3</v>
      </c>
      <c r="AJ2325">
        <v>1</v>
      </c>
      <c r="AK2325">
        <v>0</v>
      </c>
      <c r="AL2325" t="s">
        <v>4374</v>
      </c>
      <c r="AM2325">
        <v>46.893425000000001</v>
      </c>
      <c r="AN2325" t="s">
        <v>4375</v>
      </c>
      <c r="AO2325">
        <v>-123.200254</v>
      </c>
      <c r="AP2325">
        <v>100</v>
      </c>
      <c r="AQ2325">
        <v>2000</v>
      </c>
      <c r="AR2325" t="s">
        <v>118</v>
      </c>
      <c r="AS2325">
        <v>-74</v>
      </c>
      <c r="AT2325">
        <v>30</v>
      </c>
      <c r="AU2325">
        <v>256</v>
      </c>
      <c r="BC2325">
        <v>1200</v>
      </c>
      <c r="BD2325">
        <v>1</v>
      </c>
      <c r="BE2325" t="str">
        <f t="shared" si="110"/>
        <v xml:space="preserve">N215T   </v>
      </c>
      <c r="BF2325">
        <v>1</v>
      </c>
      <c r="BH2325">
        <v>0</v>
      </c>
      <c r="BI2325">
        <v>0</v>
      </c>
      <c r="BJ2325">
        <v>0</v>
      </c>
      <c r="BK2325">
        <v>2350</v>
      </c>
      <c r="BL2325">
        <v>350</v>
      </c>
      <c r="BM2325" t="s">
        <v>119</v>
      </c>
      <c r="BN2325">
        <v>1</v>
      </c>
      <c r="BO2325">
        <v>1</v>
      </c>
      <c r="BP2325">
        <v>1</v>
      </c>
      <c r="BQ2325">
        <v>0</v>
      </c>
      <c r="BT2325">
        <v>0</v>
      </c>
      <c r="BU2325">
        <v>0</v>
      </c>
      <c r="BV2325">
        <v>0</v>
      </c>
      <c r="CC2325" t="str">
        <f>"19:13:36.609"</f>
        <v>19:13:36.609</v>
      </c>
      <c r="CD2325" t="str">
        <f>"608815297"</f>
        <v>608815297</v>
      </c>
      <c r="CQ2325">
        <v>0</v>
      </c>
      <c r="CR2325">
        <v>2</v>
      </c>
      <c r="CS2325">
        <v>0</v>
      </c>
      <c r="CT2325">
        <v>2</v>
      </c>
      <c r="CU2325">
        <v>0</v>
      </c>
      <c r="CV2325">
        <v>6</v>
      </c>
      <c r="CW2325" t="s">
        <v>120</v>
      </c>
      <c r="CX2325">
        <v>257</v>
      </c>
      <c r="CY2325">
        <v>1</v>
      </c>
      <c r="CZ2325" t="s">
        <v>615</v>
      </c>
      <c r="DA2325" t="s">
        <v>616</v>
      </c>
      <c r="DD2325">
        <v>12109603</v>
      </c>
      <c r="DE2325" t="s">
        <v>123</v>
      </c>
    </row>
    <row r="2326" spans="1:109" x14ac:dyDescent="0.3">
      <c r="A2326" t="str">
        <f>"19:13:37.961"</f>
        <v>19:13:37.961</v>
      </c>
      <c r="B2326" t="s">
        <v>110</v>
      </c>
      <c r="C2326" t="str">
        <f t="shared" si="108"/>
        <v>ffdfd3c0</v>
      </c>
      <c r="D2326" t="s">
        <v>111</v>
      </c>
      <c r="E2326">
        <v>18</v>
      </c>
      <c r="F2326">
        <v>1018</v>
      </c>
      <c r="G2326" t="s">
        <v>112</v>
      </c>
      <c r="J2326" t="s">
        <v>113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R2326" t="s">
        <v>114</v>
      </c>
      <c r="S2326" t="str">
        <f>"19:13:37.727"</f>
        <v>19:13:37.727</v>
      </c>
      <c r="T2326" t="str">
        <f>"19:13:37.625"</f>
        <v>19:13:37.625</v>
      </c>
      <c r="U2326" t="str">
        <f t="shared" si="109"/>
        <v>a1cdbe</v>
      </c>
      <c r="V2326">
        <v>0</v>
      </c>
      <c r="W2326">
        <v>0</v>
      </c>
      <c r="X2326">
        <v>1</v>
      </c>
      <c r="Y2326">
        <v>0</v>
      </c>
      <c r="Z2326">
        <v>0</v>
      </c>
      <c r="AB2326">
        <v>0</v>
      </c>
      <c r="AC2326">
        <v>9</v>
      </c>
      <c r="AD2326">
        <v>3</v>
      </c>
      <c r="AE2326">
        <v>0</v>
      </c>
      <c r="AF2326">
        <v>9</v>
      </c>
      <c r="AG2326" t="s">
        <v>158</v>
      </c>
      <c r="AH2326">
        <v>0</v>
      </c>
      <c r="AI2326">
        <v>3</v>
      </c>
      <c r="AJ2326">
        <v>1</v>
      </c>
      <c r="AK2326">
        <v>0</v>
      </c>
      <c r="AL2326" t="s">
        <v>4376</v>
      </c>
      <c r="AM2326">
        <v>46.893574999999998</v>
      </c>
      <c r="AN2326" t="s">
        <v>4377</v>
      </c>
      <c r="AO2326">
        <v>-123.200812</v>
      </c>
      <c r="AP2326">
        <v>100</v>
      </c>
      <c r="AQ2326">
        <v>2000</v>
      </c>
      <c r="AR2326" t="s">
        <v>118</v>
      </c>
      <c r="AS2326">
        <v>-74</v>
      </c>
      <c r="AT2326">
        <v>31</v>
      </c>
      <c r="AU2326">
        <v>256</v>
      </c>
      <c r="BC2326">
        <v>1200</v>
      </c>
      <c r="BD2326">
        <v>1</v>
      </c>
      <c r="BE2326" t="str">
        <f t="shared" si="110"/>
        <v xml:space="preserve">N215T   </v>
      </c>
      <c r="BF2326">
        <v>1</v>
      </c>
      <c r="BH2326">
        <v>0</v>
      </c>
      <c r="BI2326">
        <v>0</v>
      </c>
      <c r="BJ2326">
        <v>0</v>
      </c>
      <c r="BK2326">
        <v>2350</v>
      </c>
      <c r="BL2326">
        <v>350</v>
      </c>
      <c r="BM2326" t="s">
        <v>119</v>
      </c>
      <c r="BN2326">
        <v>1</v>
      </c>
      <c r="BO2326">
        <v>1</v>
      </c>
      <c r="BP2326">
        <v>1</v>
      </c>
      <c r="BQ2326">
        <v>0</v>
      </c>
      <c r="BT2326">
        <v>0</v>
      </c>
      <c r="BU2326">
        <v>0</v>
      </c>
      <c r="BV2326">
        <v>0</v>
      </c>
      <c r="CC2326" t="str">
        <f>"19:13:37.734"</f>
        <v>19:13:37.734</v>
      </c>
      <c r="CD2326" t="str">
        <f>"733704430"</f>
        <v>733704430</v>
      </c>
      <c r="CQ2326">
        <v>0</v>
      </c>
      <c r="CR2326">
        <v>2</v>
      </c>
      <c r="CS2326">
        <v>0</v>
      </c>
      <c r="CT2326">
        <v>2</v>
      </c>
      <c r="CU2326">
        <v>0</v>
      </c>
      <c r="CV2326">
        <v>6</v>
      </c>
      <c r="CW2326" t="s">
        <v>120</v>
      </c>
      <c r="CX2326">
        <v>257</v>
      </c>
      <c r="CY2326">
        <v>0</v>
      </c>
      <c r="CZ2326" t="s">
        <v>615</v>
      </c>
      <c r="DA2326" t="s">
        <v>616</v>
      </c>
      <c r="DD2326">
        <v>15845130</v>
      </c>
      <c r="DE2326" t="s">
        <v>123</v>
      </c>
    </row>
    <row r="2327" spans="1:109" x14ac:dyDescent="0.3">
      <c r="A2327" t="str">
        <f>"19:13:38.859"</f>
        <v>19:13:38.859</v>
      </c>
      <c r="B2327" t="s">
        <v>110</v>
      </c>
      <c r="C2327" t="str">
        <f t="shared" si="108"/>
        <v>ffdfd3c0</v>
      </c>
      <c r="D2327" t="s">
        <v>111</v>
      </c>
      <c r="E2327">
        <v>18</v>
      </c>
      <c r="F2327">
        <v>1018</v>
      </c>
      <c r="G2327" t="s">
        <v>112</v>
      </c>
      <c r="J2327" t="s">
        <v>113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R2327" t="s">
        <v>114</v>
      </c>
      <c r="S2327" t="str">
        <f>"19:13:38.586"</f>
        <v>19:13:38.586</v>
      </c>
      <c r="T2327" t="str">
        <f>"19:13:38.086"</f>
        <v>19:13:38.086</v>
      </c>
      <c r="U2327" t="str">
        <f t="shared" si="109"/>
        <v>a1cdbe</v>
      </c>
      <c r="V2327">
        <v>0</v>
      </c>
      <c r="W2327">
        <v>0</v>
      </c>
      <c r="X2327">
        <v>1</v>
      </c>
      <c r="Y2327">
        <v>0</v>
      </c>
      <c r="Z2327">
        <v>0</v>
      </c>
      <c r="AB2327">
        <v>0</v>
      </c>
      <c r="AC2327">
        <v>9</v>
      </c>
      <c r="AD2327">
        <v>3</v>
      </c>
      <c r="AE2327">
        <v>0</v>
      </c>
      <c r="AF2327">
        <v>9</v>
      </c>
      <c r="AG2327" t="s">
        <v>158</v>
      </c>
      <c r="AH2327">
        <v>0</v>
      </c>
      <c r="AI2327">
        <v>3</v>
      </c>
      <c r="AJ2327">
        <v>1</v>
      </c>
      <c r="AK2327">
        <v>0</v>
      </c>
      <c r="AL2327" t="s">
        <v>4378</v>
      </c>
      <c r="AM2327">
        <v>46.893704</v>
      </c>
      <c r="AN2327" t="s">
        <v>4379</v>
      </c>
      <c r="AO2327">
        <v>-123.201241</v>
      </c>
      <c r="AP2327">
        <v>100</v>
      </c>
      <c r="AQ2327">
        <v>2000</v>
      </c>
      <c r="AR2327" t="s">
        <v>118</v>
      </c>
      <c r="AS2327">
        <v>-74</v>
      </c>
      <c r="AT2327">
        <v>31</v>
      </c>
      <c r="AU2327">
        <v>320</v>
      </c>
      <c r="BC2327">
        <v>1200</v>
      </c>
      <c r="BD2327">
        <v>1</v>
      </c>
      <c r="BE2327" t="str">
        <f t="shared" si="110"/>
        <v xml:space="preserve">N215T   </v>
      </c>
      <c r="BF2327">
        <v>1</v>
      </c>
      <c r="BH2327">
        <v>0</v>
      </c>
      <c r="BI2327">
        <v>0</v>
      </c>
      <c r="BJ2327">
        <v>0</v>
      </c>
      <c r="BK2327">
        <v>2375</v>
      </c>
      <c r="BL2327">
        <v>375</v>
      </c>
      <c r="BM2327" t="s">
        <v>119</v>
      </c>
      <c r="BN2327">
        <v>1</v>
      </c>
      <c r="BO2327">
        <v>1</v>
      </c>
      <c r="BP2327">
        <v>1</v>
      </c>
      <c r="BQ2327">
        <v>0</v>
      </c>
      <c r="BT2327">
        <v>0</v>
      </c>
      <c r="BU2327">
        <v>0</v>
      </c>
      <c r="BV2327">
        <v>0</v>
      </c>
      <c r="CC2327" t="str">
        <f>"19:13:38.586"</f>
        <v>19:13:38.586</v>
      </c>
      <c r="CD2327" t="str">
        <f>"588620176"</f>
        <v>588620176</v>
      </c>
      <c r="CQ2327">
        <v>0</v>
      </c>
      <c r="CR2327">
        <v>2</v>
      </c>
      <c r="CS2327">
        <v>0</v>
      </c>
      <c r="CT2327">
        <v>2</v>
      </c>
      <c r="CU2327">
        <v>0</v>
      </c>
      <c r="CV2327">
        <v>6</v>
      </c>
      <c r="CW2327" t="s">
        <v>120</v>
      </c>
      <c r="CX2327">
        <v>257</v>
      </c>
      <c r="CY2327">
        <v>1</v>
      </c>
      <c r="CZ2327" t="s">
        <v>615</v>
      </c>
      <c r="DA2327" t="s">
        <v>616</v>
      </c>
      <c r="DD2327">
        <v>12111008</v>
      </c>
      <c r="DE2327" t="s">
        <v>123</v>
      </c>
    </row>
    <row r="2328" spans="1:109" x14ac:dyDescent="0.3">
      <c r="A2328" t="str">
        <f>"19:13:39.969"</f>
        <v>19:13:39.969</v>
      </c>
      <c r="B2328" t="s">
        <v>110</v>
      </c>
      <c r="C2328" t="str">
        <f t="shared" si="108"/>
        <v>ffdfd3c0</v>
      </c>
      <c r="D2328" t="s">
        <v>111</v>
      </c>
      <c r="E2328">
        <v>18</v>
      </c>
      <c r="F2328">
        <v>1018</v>
      </c>
      <c r="G2328" t="s">
        <v>112</v>
      </c>
      <c r="J2328" t="s">
        <v>113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R2328" t="s">
        <v>114</v>
      </c>
      <c r="S2328" t="str">
        <f>"19:13:39.742"</f>
        <v>19:13:39.742</v>
      </c>
      <c r="T2328" t="str">
        <f>"19:13:39.242"</f>
        <v>19:13:39.242</v>
      </c>
      <c r="U2328" t="str">
        <f t="shared" si="109"/>
        <v>a1cdbe</v>
      </c>
      <c r="V2328">
        <v>0</v>
      </c>
      <c r="W2328">
        <v>0</v>
      </c>
      <c r="X2328">
        <v>1</v>
      </c>
      <c r="Y2328">
        <v>0</v>
      </c>
      <c r="Z2328">
        <v>0</v>
      </c>
      <c r="AB2328">
        <v>0</v>
      </c>
      <c r="AC2328">
        <v>9</v>
      </c>
      <c r="AD2328">
        <v>3</v>
      </c>
      <c r="AE2328">
        <v>0</v>
      </c>
      <c r="AF2328">
        <v>9</v>
      </c>
      <c r="AG2328" t="s">
        <v>158</v>
      </c>
      <c r="AH2328">
        <v>0</v>
      </c>
      <c r="AI2328">
        <v>3</v>
      </c>
      <c r="AJ2328">
        <v>1</v>
      </c>
      <c r="AK2328">
        <v>0</v>
      </c>
      <c r="AL2328" t="s">
        <v>4380</v>
      </c>
      <c r="AM2328">
        <v>46.893853999999997</v>
      </c>
      <c r="AN2328" t="s">
        <v>4381</v>
      </c>
      <c r="AO2328">
        <v>-123.201778</v>
      </c>
      <c r="AP2328">
        <v>100</v>
      </c>
      <c r="AQ2328">
        <v>2000</v>
      </c>
      <c r="AR2328" t="s">
        <v>118</v>
      </c>
      <c r="AS2328">
        <v>-74</v>
      </c>
      <c r="AT2328">
        <v>31</v>
      </c>
      <c r="AU2328">
        <v>320</v>
      </c>
      <c r="BC2328">
        <v>1200</v>
      </c>
      <c r="BD2328">
        <v>1</v>
      </c>
      <c r="BE2328" t="str">
        <f t="shared" si="110"/>
        <v xml:space="preserve">N215T   </v>
      </c>
      <c r="BF2328">
        <v>1</v>
      </c>
      <c r="BH2328">
        <v>0</v>
      </c>
      <c r="BI2328">
        <v>0</v>
      </c>
      <c r="BJ2328">
        <v>0</v>
      </c>
      <c r="BK2328">
        <v>2375</v>
      </c>
      <c r="BL2328">
        <v>375</v>
      </c>
      <c r="BM2328" t="s">
        <v>119</v>
      </c>
      <c r="BN2328">
        <v>1</v>
      </c>
      <c r="BO2328">
        <v>1</v>
      </c>
      <c r="BP2328">
        <v>1</v>
      </c>
      <c r="BQ2328">
        <v>0</v>
      </c>
      <c r="BT2328">
        <v>0</v>
      </c>
      <c r="BU2328">
        <v>0</v>
      </c>
      <c r="BV2328">
        <v>0</v>
      </c>
      <c r="CC2328" t="str">
        <f>"19:13:39.742"</f>
        <v>19:13:39.742</v>
      </c>
      <c r="CD2328" t="str">
        <f>"743506346"</f>
        <v>743506346</v>
      </c>
      <c r="CQ2328">
        <v>0</v>
      </c>
      <c r="CR2328">
        <v>2</v>
      </c>
      <c r="CS2328">
        <v>0</v>
      </c>
      <c r="CT2328">
        <v>2</v>
      </c>
      <c r="CU2328">
        <v>0</v>
      </c>
      <c r="CV2328">
        <v>6</v>
      </c>
      <c r="CW2328" t="s">
        <v>120</v>
      </c>
      <c r="CX2328">
        <v>257</v>
      </c>
      <c r="CY2328">
        <v>0</v>
      </c>
      <c r="CZ2328" t="s">
        <v>615</v>
      </c>
      <c r="DA2328" t="s">
        <v>616</v>
      </c>
      <c r="DD2328">
        <v>15846213</v>
      </c>
      <c r="DE2328" t="s">
        <v>123</v>
      </c>
    </row>
    <row r="2329" spans="1:109" x14ac:dyDescent="0.3">
      <c r="A2329" t="str">
        <f>"19:13:40.977"</f>
        <v>19:13:40.977</v>
      </c>
      <c r="B2329" t="s">
        <v>110</v>
      </c>
      <c r="C2329" t="str">
        <f t="shared" si="108"/>
        <v>ffdfd3c0</v>
      </c>
      <c r="D2329" t="s">
        <v>111</v>
      </c>
      <c r="E2329">
        <v>18</v>
      </c>
      <c r="F2329">
        <v>1018</v>
      </c>
      <c r="G2329" t="s">
        <v>112</v>
      </c>
      <c r="J2329" t="s">
        <v>113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R2329" t="s">
        <v>114</v>
      </c>
      <c r="S2329" t="str">
        <f>"19:13:40.688"</f>
        <v>19:13:40.688</v>
      </c>
      <c r="T2329" t="str">
        <f>"19:13:40.688"</f>
        <v>19:13:40.688</v>
      </c>
      <c r="U2329" t="str">
        <f t="shared" si="109"/>
        <v>a1cdbe</v>
      </c>
      <c r="V2329">
        <v>0</v>
      </c>
      <c r="W2329">
        <v>0</v>
      </c>
      <c r="X2329">
        <v>1</v>
      </c>
      <c r="Y2329">
        <v>0</v>
      </c>
      <c r="Z2329">
        <v>0</v>
      </c>
      <c r="AB2329">
        <v>0</v>
      </c>
      <c r="AC2329">
        <v>9</v>
      </c>
      <c r="AD2329">
        <v>3</v>
      </c>
      <c r="AE2329">
        <v>0</v>
      </c>
      <c r="AF2329">
        <v>9</v>
      </c>
      <c r="AG2329" t="s">
        <v>158</v>
      </c>
      <c r="AH2329">
        <v>0</v>
      </c>
      <c r="AI2329">
        <v>3</v>
      </c>
      <c r="AJ2329">
        <v>1</v>
      </c>
      <c r="AK2329">
        <v>0</v>
      </c>
      <c r="AL2329" t="s">
        <v>4382</v>
      </c>
      <c r="AM2329">
        <v>46.893982999999999</v>
      </c>
      <c r="AN2329" t="s">
        <v>4383</v>
      </c>
      <c r="AO2329">
        <v>-123.202293</v>
      </c>
      <c r="AP2329">
        <v>100</v>
      </c>
      <c r="AQ2329">
        <v>2000</v>
      </c>
      <c r="AR2329" t="s">
        <v>118</v>
      </c>
      <c r="AS2329">
        <v>-74</v>
      </c>
      <c r="AT2329">
        <v>31</v>
      </c>
      <c r="AU2329">
        <v>320</v>
      </c>
      <c r="BC2329">
        <v>1200</v>
      </c>
      <c r="BD2329">
        <v>1</v>
      </c>
      <c r="BE2329" t="str">
        <f t="shared" si="110"/>
        <v xml:space="preserve">N215T   </v>
      </c>
      <c r="BF2329">
        <v>1</v>
      </c>
      <c r="BH2329">
        <v>0</v>
      </c>
      <c r="BI2329">
        <v>0</v>
      </c>
      <c r="BJ2329">
        <v>0</v>
      </c>
      <c r="BK2329">
        <v>2375</v>
      </c>
      <c r="BL2329">
        <v>375</v>
      </c>
      <c r="BM2329" t="s">
        <v>119</v>
      </c>
      <c r="BN2329">
        <v>1</v>
      </c>
      <c r="BO2329">
        <v>1</v>
      </c>
      <c r="BP2329">
        <v>1</v>
      </c>
      <c r="BQ2329">
        <v>0</v>
      </c>
      <c r="BT2329">
        <v>0</v>
      </c>
      <c r="BU2329">
        <v>0</v>
      </c>
      <c r="BV2329">
        <v>0</v>
      </c>
      <c r="CC2329" t="str">
        <f>"19:13:40.688"</f>
        <v>19:13:40.688</v>
      </c>
      <c r="CD2329" t="str">
        <f>"688413225"</f>
        <v>688413225</v>
      </c>
      <c r="CQ2329">
        <v>0</v>
      </c>
      <c r="CR2329">
        <v>2</v>
      </c>
      <c r="CS2329">
        <v>0</v>
      </c>
      <c r="CT2329">
        <v>2</v>
      </c>
      <c r="CU2329">
        <v>0</v>
      </c>
      <c r="CV2329">
        <v>6</v>
      </c>
      <c r="CW2329" t="s">
        <v>120</v>
      </c>
      <c r="CX2329">
        <v>257</v>
      </c>
      <c r="CY2329">
        <v>0</v>
      </c>
      <c r="CZ2329" t="s">
        <v>615</v>
      </c>
      <c r="DA2329" t="s">
        <v>616</v>
      </c>
      <c r="DD2329">
        <v>15846722</v>
      </c>
      <c r="DE2329" t="s">
        <v>123</v>
      </c>
    </row>
    <row r="2330" spans="1:109" x14ac:dyDescent="0.3">
      <c r="A2330" t="str">
        <f>"19:13:42.031"</f>
        <v>19:13:42.031</v>
      </c>
      <c r="B2330" t="s">
        <v>110</v>
      </c>
      <c r="C2330" t="str">
        <f t="shared" si="108"/>
        <v>ffdfd3c0</v>
      </c>
      <c r="D2330" t="s">
        <v>111</v>
      </c>
      <c r="E2330">
        <v>18</v>
      </c>
      <c r="F2330">
        <v>1018</v>
      </c>
      <c r="G2330" t="s">
        <v>112</v>
      </c>
      <c r="J2330" t="s">
        <v>113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R2330" t="s">
        <v>114</v>
      </c>
      <c r="S2330" t="str">
        <f>"19:13:41.734"</f>
        <v>19:13:41.734</v>
      </c>
      <c r="T2330" t="str">
        <f>"19:13:41.633"</f>
        <v>19:13:41.633</v>
      </c>
      <c r="U2330" t="str">
        <f t="shared" si="109"/>
        <v>a1cdbe</v>
      </c>
      <c r="V2330">
        <v>0</v>
      </c>
      <c r="W2330">
        <v>0</v>
      </c>
      <c r="X2330">
        <v>1</v>
      </c>
      <c r="Y2330">
        <v>0</v>
      </c>
      <c r="Z2330">
        <v>0</v>
      </c>
      <c r="AB2330">
        <v>0</v>
      </c>
      <c r="AC2330">
        <v>9</v>
      </c>
      <c r="AD2330">
        <v>3</v>
      </c>
      <c r="AE2330">
        <v>0</v>
      </c>
      <c r="AF2330">
        <v>9</v>
      </c>
      <c r="AG2330" t="s">
        <v>158</v>
      </c>
      <c r="AH2330">
        <v>0</v>
      </c>
      <c r="AI2330">
        <v>3</v>
      </c>
      <c r="AJ2330">
        <v>1</v>
      </c>
      <c r="AK2330">
        <v>0</v>
      </c>
      <c r="AL2330" t="s">
        <v>4384</v>
      </c>
      <c r="AM2330">
        <v>46.894132999999997</v>
      </c>
      <c r="AN2330" t="s">
        <v>4385</v>
      </c>
      <c r="AO2330">
        <v>-123.202808</v>
      </c>
      <c r="AP2330">
        <v>100</v>
      </c>
      <c r="AQ2330">
        <v>2000</v>
      </c>
      <c r="AR2330" t="s">
        <v>118</v>
      </c>
      <c r="AS2330">
        <v>-73</v>
      </c>
      <c r="AT2330">
        <v>31</v>
      </c>
      <c r="AU2330">
        <v>320</v>
      </c>
      <c r="BC2330">
        <v>1200</v>
      </c>
      <c r="BD2330">
        <v>1</v>
      </c>
      <c r="BE2330" t="str">
        <f t="shared" si="110"/>
        <v xml:space="preserve">N215T   </v>
      </c>
      <c r="BF2330">
        <v>1</v>
      </c>
      <c r="BH2330">
        <v>0</v>
      </c>
      <c r="BI2330">
        <v>0</v>
      </c>
      <c r="BJ2330">
        <v>0</v>
      </c>
      <c r="BK2330">
        <v>2400</v>
      </c>
      <c r="BL2330">
        <v>400</v>
      </c>
      <c r="BM2330" t="s">
        <v>119</v>
      </c>
      <c r="BN2330">
        <v>1</v>
      </c>
      <c r="BO2330">
        <v>1</v>
      </c>
      <c r="BP2330">
        <v>1</v>
      </c>
      <c r="BQ2330">
        <v>0</v>
      </c>
      <c r="BT2330">
        <v>0</v>
      </c>
      <c r="BU2330">
        <v>0</v>
      </c>
      <c r="BV2330">
        <v>0</v>
      </c>
      <c r="CC2330" t="str">
        <f>"19:13:41.742"</f>
        <v>19:13:41.742</v>
      </c>
      <c r="CD2330" t="str">
        <f>"738309746"</f>
        <v>738309746</v>
      </c>
      <c r="CQ2330">
        <v>0</v>
      </c>
      <c r="CR2330">
        <v>2</v>
      </c>
      <c r="CS2330">
        <v>0</v>
      </c>
      <c r="CT2330">
        <v>2</v>
      </c>
      <c r="CU2330">
        <v>0</v>
      </c>
      <c r="CV2330">
        <v>7</v>
      </c>
      <c r="CW2330" t="s">
        <v>120</v>
      </c>
      <c r="CX2330">
        <v>257</v>
      </c>
      <c r="CY2330">
        <v>0</v>
      </c>
      <c r="CZ2330" t="s">
        <v>615</v>
      </c>
      <c r="DA2330" t="s">
        <v>616</v>
      </c>
      <c r="DD2330">
        <v>15847305</v>
      </c>
      <c r="DE2330" t="s">
        <v>123</v>
      </c>
    </row>
    <row r="2331" spans="1:109" x14ac:dyDescent="0.3">
      <c r="A2331" t="str">
        <f>"19:13:42.836"</f>
        <v>19:13:42.836</v>
      </c>
      <c r="B2331" t="s">
        <v>110</v>
      </c>
      <c r="C2331" t="str">
        <f t="shared" si="108"/>
        <v>ffdfd3c0</v>
      </c>
      <c r="D2331" t="s">
        <v>111</v>
      </c>
      <c r="E2331">
        <v>18</v>
      </c>
      <c r="F2331">
        <v>1018</v>
      </c>
      <c r="G2331" t="s">
        <v>112</v>
      </c>
      <c r="J2331" t="s">
        <v>113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R2331" t="s">
        <v>114</v>
      </c>
      <c r="S2331" t="str">
        <f>"19:13:42.617"</f>
        <v>19:13:42.617</v>
      </c>
      <c r="T2331" t="str">
        <f>"19:13:42.117"</f>
        <v>19:13:42.117</v>
      </c>
      <c r="U2331" t="str">
        <f t="shared" si="109"/>
        <v>a1cdbe</v>
      </c>
      <c r="V2331">
        <v>0</v>
      </c>
      <c r="W2331">
        <v>0</v>
      </c>
      <c r="X2331">
        <v>1</v>
      </c>
      <c r="Y2331">
        <v>0</v>
      </c>
      <c r="Z2331">
        <v>0</v>
      </c>
      <c r="AB2331">
        <v>0</v>
      </c>
      <c r="AC2331">
        <v>9</v>
      </c>
      <c r="AD2331">
        <v>3</v>
      </c>
      <c r="AE2331">
        <v>0</v>
      </c>
      <c r="AF2331">
        <v>9</v>
      </c>
      <c r="AG2331" t="s">
        <v>158</v>
      </c>
      <c r="AH2331">
        <v>0</v>
      </c>
      <c r="AI2331">
        <v>3</v>
      </c>
      <c r="AJ2331">
        <v>1</v>
      </c>
      <c r="AK2331">
        <v>0</v>
      </c>
      <c r="AL2331" t="s">
        <v>4386</v>
      </c>
      <c r="AM2331">
        <v>46.894261999999998</v>
      </c>
      <c r="AN2331" t="s">
        <v>4387</v>
      </c>
      <c r="AO2331">
        <v>-123.203216</v>
      </c>
      <c r="AP2331">
        <v>100</v>
      </c>
      <c r="AQ2331">
        <v>2000</v>
      </c>
      <c r="AR2331" t="s">
        <v>118</v>
      </c>
      <c r="AS2331">
        <v>-73</v>
      </c>
      <c r="AT2331">
        <v>31</v>
      </c>
      <c r="AU2331">
        <v>384</v>
      </c>
      <c r="BC2331">
        <v>1200</v>
      </c>
      <c r="BD2331">
        <v>1</v>
      </c>
      <c r="BE2331" t="str">
        <f t="shared" si="110"/>
        <v xml:space="preserve">N215T   </v>
      </c>
      <c r="BF2331">
        <v>1</v>
      </c>
      <c r="BH2331">
        <v>0</v>
      </c>
      <c r="BI2331">
        <v>0</v>
      </c>
      <c r="BJ2331">
        <v>0</v>
      </c>
      <c r="BK2331">
        <v>2400</v>
      </c>
      <c r="BL2331">
        <v>400</v>
      </c>
      <c r="BM2331" t="s">
        <v>119</v>
      </c>
      <c r="BN2331">
        <v>1</v>
      </c>
      <c r="BO2331">
        <v>1</v>
      </c>
      <c r="BP2331">
        <v>1</v>
      </c>
      <c r="BQ2331">
        <v>0</v>
      </c>
      <c r="BT2331">
        <v>0</v>
      </c>
      <c r="BU2331">
        <v>0</v>
      </c>
      <c r="BV2331">
        <v>0</v>
      </c>
      <c r="CC2331" t="str">
        <f>"19:13:42.625"</f>
        <v>19:13:42.625</v>
      </c>
      <c r="CD2331" t="str">
        <f>"623222531"</f>
        <v>623222531</v>
      </c>
      <c r="CQ2331">
        <v>0</v>
      </c>
      <c r="CR2331">
        <v>2</v>
      </c>
      <c r="CS2331">
        <v>0</v>
      </c>
      <c r="CT2331">
        <v>2</v>
      </c>
      <c r="CU2331">
        <v>0</v>
      </c>
      <c r="CV2331">
        <v>6</v>
      </c>
      <c r="CW2331" t="s">
        <v>120</v>
      </c>
      <c r="CX2331">
        <v>257</v>
      </c>
      <c r="CY2331">
        <v>0</v>
      </c>
      <c r="CZ2331" t="s">
        <v>615</v>
      </c>
      <c r="DA2331" t="s">
        <v>616</v>
      </c>
      <c r="DD2331">
        <v>15847830</v>
      </c>
      <c r="DE2331" t="s">
        <v>123</v>
      </c>
    </row>
    <row r="2332" spans="1:109" x14ac:dyDescent="0.3">
      <c r="A2332" t="str">
        <f>"19:13:43.938"</f>
        <v>19:13:43.938</v>
      </c>
      <c r="B2332" t="s">
        <v>110</v>
      </c>
      <c r="C2332" t="str">
        <f t="shared" si="108"/>
        <v>ffdfd3c0</v>
      </c>
      <c r="D2332" t="s">
        <v>111</v>
      </c>
      <c r="E2332">
        <v>18</v>
      </c>
      <c r="F2332">
        <v>1018</v>
      </c>
      <c r="G2332" t="s">
        <v>112</v>
      </c>
      <c r="J2332" t="s">
        <v>113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R2332" t="s">
        <v>114</v>
      </c>
      <c r="S2332" t="str">
        <f>"19:13:43.695"</f>
        <v>19:13:43.695</v>
      </c>
      <c r="T2332" t="str">
        <f>"19:13:43.195"</f>
        <v>19:13:43.195</v>
      </c>
      <c r="U2332" t="str">
        <f t="shared" si="109"/>
        <v>a1cdbe</v>
      </c>
      <c r="V2332">
        <v>0</v>
      </c>
      <c r="W2332">
        <v>0</v>
      </c>
      <c r="X2332">
        <v>1</v>
      </c>
      <c r="Y2332">
        <v>0</v>
      </c>
      <c r="Z2332">
        <v>0</v>
      </c>
      <c r="AB2332">
        <v>0</v>
      </c>
      <c r="AC2332">
        <v>9</v>
      </c>
      <c r="AD2332">
        <v>3</v>
      </c>
      <c r="AE2332">
        <v>0</v>
      </c>
      <c r="AF2332">
        <v>9</v>
      </c>
      <c r="AG2332" t="s">
        <v>158</v>
      </c>
      <c r="AH2332">
        <v>0</v>
      </c>
      <c r="AI2332">
        <v>3</v>
      </c>
      <c r="AJ2332">
        <v>1</v>
      </c>
      <c r="AK2332">
        <v>0</v>
      </c>
      <c r="AL2332" t="s">
        <v>1440</v>
      </c>
      <c r="AM2332">
        <v>46.894412000000003</v>
      </c>
      <c r="AN2332" t="s">
        <v>4388</v>
      </c>
      <c r="AO2332">
        <v>-123.203773</v>
      </c>
      <c r="AP2332">
        <v>100</v>
      </c>
      <c r="AQ2332">
        <v>2000</v>
      </c>
      <c r="AR2332" t="s">
        <v>118</v>
      </c>
      <c r="AS2332">
        <v>-73</v>
      </c>
      <c r="AT2332">
        <v>31</v>
      </c>
      <c r="AU2332">
        <v>384</v>
      </c>
      <c r="BC2332">
        <v>1200</v>
      </c>
      <c r="BD2332">
        <v>1</v>
      </c>
      <c r="BE2332" t="str">
        <f t="shared" si="110"/>
        <v xml:space="preserve">N215T   </v>
      </c>
      <c r="BF2332">
        <v>1</v>
      </c>
      <c r="BH2332">
        <v>0</v>
      </c>
      <c r="BI2332">
        <v>0</v>
      </c>
      <c r="BJ2332">
        <v>0</v>
      </c>
      <c r="BK2332">
        <v>2400</v>
      </c>
      <c r="BL2332">
        <v>400</v>
      </c>
      <c r="BM2332" t="s">
        <v>119</v>
      </c>
      <c r="BN2332">
        <v>1</v>
      </c>
      <c r="BO2332">
        <v>1</v>
      </c>
      <c r="BP2332">
        <v>1</v>
      </c>
      <c r="BQ2332">
        <v>0</v>
      </c>
      <c r="BT2332">
        <v>0</v>
      </c>
      <c r="BU2332">
        <v>0</v>
      </c>
      <c r="BV2332">
        <v>0</v>
      </c>
      <c r="CC2332" t="str">
        <f>"19:13:43.703"</f>
        <v>19:13:43.703</v>
      </c>
      <c r="CD2332" t="str">
        <f>"703116105"</f>
        <v>703116105</v>
      </c>
      <c r="CQ2332">
        <v>0</v>
      </c>
      <c r="CR2332">
        <v>2</v>
      </c>
      <c r="CS2332">
        <v>0</v>
      </c>
      <c r="CT2332">
        <v>2</v>
      </c>
      <c r="CU2332">
        <v>0</v>
      </c>
      <c r="CV2332">
        <v>6</v>
      </c>
      <c r="CW2332" t="s">
        <v>120</v>
      </c>
      <c r="CX2332">
        <v>257</v>
      </c>
      <c r="CY2332">
        <v>0</v>
      </c>
      <c r="CZ2332" t="s">
        <v>615</v>
      </c>
      <c r="DA2332" t="s">
        <v>616</v>
      </c>
      <c r="DD2332">
        <v>15848402</v>
      </c>
      <c r="DE2332" t="s">
        <v>123</v>
      </c>
    </row>
    <row r="2333" spans="1:109" x14ac:dyDescent="0.3">
      <c r="A2333" t="str">
        <f>"19:13:44.898"</f>
        <v>19:13:44.898</v>
      </c>
      <c r="B2333" t="s">
        <v>110</v>
      </c>
      <c r="C2333" t="str">
        <f t="shared" si="108"/>
        <v>ffdfd3c0</v>
      </c>
      <c r="D2333" t="s">
        <v>111</v>
      </c>
      <c r="E2333">
        <v>18</v>
      </c>
      <c r="F2333">
        <v>1018</v>
      </c>
      <c r="G2333" t="s">
        <v>112</v>
      </c>
      <c r="J2333" t="s">
        <v>113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R2333" t="s">
        <v>114</v>
      </c>
      <c r="S2333" t="str">
        <f>"19:13:44.688"</f>
        <v>19:13:44.688</v>
      </c>
      <c r="T2333" t="str">
        <f>"19:13:44.391"</f>
        <v>19:13:44.391</v>
      </c>
      <c r="U2333" t="str">
        <f t="shared" si="109"/>
        <v>a1cdbe</v>
      </c>
      <c r="V2333">
        <v>0</v>
      </c>
      <c r="W2333">
        <v>0</v>
      </c>
      <c r="X2333">
        <v>1</v>
      </c>
      <c r="Y2333">
        <v>0</v>
      </c>
      <c r="Z2333">
        <v>0</v>
      </c>
      <c r="AB2333">
        <v>0</v>
      </c>
      <c r="AC2333">
        <v>9</v>
      </c>
      <c r="AD2333">
        <v>3</v>
      </c>
      <c r="AE2333">
        <v>0</v>
      </c>
      <c r="AF2333">
        <v>9</v>
      </c>
      <c r="AG2333" t="s">
        <v>158</v>
      </c>
      <c r="AH2333">
        <v>0</v>
      </c>
      <c r="AI2333">
        <v>3</v>
      </c>
      <c r="AJ2333">
        <v>1</v>
      </c>
      <c r="AK2333">
        <v>0</v>
      </c>
      <c r="AL2333" t="s">
        <v>4389</v>
      </c>
      <c r="AM2333">
        <v>46.894584000000002</v>
      </c>
      <c r="AN2333" t="s">
        <v>4390</v>
      </c>
      <c r="AO2333">
        <v>-123.204267</v>
      </c>
      <c r="AP2333">
        <v>100</v>
      </c>
      <c r="AQ2333">
        <v>2000</v>
      </c>
      <c r="AR2333" t="s">
        <v>118</v>
      </c>
      <c r="AS2333">
        <v>-72</v>
      </c>
      <c r="AT2333">
        <v>32</v>
      </c>
      <c r="AU2333">
        <v>320</v>
      </c>
      <c r="BC2333">
        <v>1200</v>
      </c>
      <c r="BD2333">
        <v>1</v>
      </c>
      <c r="BE2333" t="str">
        <f t="shared" si="110"/>
        <v xml:space="preserve">N215T   </v>
      </c>
      <c r="BF2333">
        <v>1</v>
      </c>
      <c r="BH2333">
        <v>0</v>
      </c>
      <c r="BI2333">
        <v>0</v>
      </c>
      <c r="BJ2333">
        <v>0</v>
      </c>
      <c r="BK2333">
        <v>2400</v>
      </c>
      <c r="BL2333">
        <v>400</v>
      </c>
      <c r="BM2333" t="s">
        <v>119</v>
      </c>
      <c r="BN2333">
        <v>1</v>
      </c>
      <c r="BO2333">
        <v>1</v>
      </c>
      <c r="BP2333">
        <v>1</v>
      </c>
      <c r="BQ2333">
        <v>0</v>
      </c>
      <c r="BT2333">
        <v>0</v>
      </c>
      <c r="BU2333">
        <v>0</v>
      </c>
      <c r="BV2333">
        <v>0</v>
      </c>
      <c r="CC2333" t="str">
        <f>"19:13:44.695"</f>
        <v>19:13:44.695</v>
      </c>
      <c r="CD2333" t="str">
        <f>"693018553"</f>
        <v>693018553</v>
      </c>
      <c r="CQ2333">
        <v>0</v>
      </c>
      <c r="CR2333">
        <v>2</v>
      </c>
      <c r="CS2333">
        <v>0</v>
      </c>
      <c r="CT2333">
        <v>2</v>
      </c>
      <c r="CU2333">
        <v>0</v>
      </c>
      <c r="CV2333">
        <v>6</v>
      </c>
      <c r="CW2333" t="s">
        <v>120</v>
      </c>
      <c r="CX2333">
        <v>257</v>
      </c>
      <c r="CY2333">
        <v>0</v>
      </c>
      <c r="CZ2333" t="s">
        <v>615</v>
      </c>
      <c r="DA2333" t="s">
        <v>616</v>
      </c>
      <c r="DD2333">
        <v>15848925</v>
      </c>
      <c r="DE2333" t="s">
        <v>123</v>
      </c>
    </row>
    <row r="2334" spans="1:109" x14ac:dyDescent="0.3">
      <c r="A2334" t="str">
        <f>"19:13:46.000"</f>
        <v>19:13:46.000</v>
      </c>
      <c r="B2334" t="s">
        <v>110</v>
      </c>
      <c r="C2334" t="str">
        <f t="shared" si="108"/>
        <v>ffdfd3c0</v>
      </c>
      <c r="D2334" t="s">
        <v>111</v>
      </c>
      <c r="E2334">
        <v>18</v>
      </c>
      <c r="F2334">
        <v>1018</v>
      </c>
      <c r="G2334" t="s">
        <v>112</v>
      </c>
      <c r="J2334" t="s">
        <v>113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R2334" t="s">
        <v>114</v>
      </c>
      <c r="S2334" t="str">
        <f>"19:13:45.742"</f>
        <v>19:13:45.742</v>
      </c>
      <c r="T2334" t="str">
        <f>"19:13:45.445"</f>
        <v>19:13:45.445</v>
      </c>
      <c r="U2334" t="str">
        <f t="shared" si="109"/>
        <v>a1cdbe</v>
      </c>
      <c r="V2334">
        <v>0</v>
      </c>
      <c r="W2334">
        <v>0</v>
      </c>
      <c r="X2334">
        <v>1</v>
      </c>
      <c r="Y2334">
        <v>0</v>
      </c>
      <c r="Z2334">
        <v>0</v>
      </c>
      <c r="AB2334">
        <v>0</v>
      </c>
      <c r="AC2334">
        <v>9</v>
      </c>
      <c r="AD2334">
        <v>3</v>
      </c>
      <c r="AE2334">
        <v>0</v>
      </c>
      <c r="AF2334">
        <v>9</v>
      </c>
      <c r="AG2334" t="s">
        <v>1307</v>
      </c>
      <c r="AH2334">
        <v>0</v>
      </c>
      <c r="AI2334">
        <v>3</v>
      </c>
      <c r="AJ2334">
        <v>1</v>
      </c>
      <c r="AK2334">
        <v>0</v>
      </c>
      <c r="AL2334" t="s">
        <v>4391</v>
      </c>
      <c r="AM2334">
        <v>46.894734</v>
      </c>
      <c r="AN2334" t="s">
        <v>4392</v>
      </c>
      <c r="AO2334">
        <v>-123.204739</v>
      </c>
      <c r="AP2334">
        <v>100</v>
      </c>
      <c r="AQ2334">
        <v>2000</v>
      </c>
      <c r="AR2334" t="s">
        <v>118</v>
      </c>
      <c r="AS2334">
        <v>-72</v>
      </c>
      <c r="AT2334">
        <v>32</v>
      </c>
      <c r="AU2334">
        <v>192</v>
      </c>
      <c r="BC2334">
        <v>1200</v>
      </c>
      <c r="BD2334">
        <v>1</v>
      </c>
      <c r="BE2334" t="str">
        <f t="shared" si="110"/>
        <v xml:space="preserve">N215T   </v>
      </c>
      <c r="BF2334">
        <v>1</v>
      </c>
      <c r="BH2334">
        <v>0</v>
      </c>
      <c r="BI2334">
        <v>0</v>
      </c>
      <c r="BJ2334">
        <v>0</v>
      </c>
      <c r="BK2334">
        <v>2400</v>
      </c>
      <c r="BL2334">
        <v>400</v>
      </c>
      <c r="BM2334" t="s">
        <v>119</v>
      </c>
      <c r="BN2334">
        <v>1</v>
      </c>
      <c r="BO2334">
        <v>1</v>
      </c>
      <c r="BP2334">
        <v>1</v>
      </c>
      <c r="BQ2334">
        <v>0</v>
      </c>
      <c r="BT2334">
        <v>0</v>
      </c>
      <c r="BU2334">
        <v>0</v>
      </c>
      <c r="BV2334">
        <v>0</v>
      </c>
      <c r="CC2334" t="str">
        <f>"19:13:45.742"</f>
        <v>19:13:45.742</v>
      </c>
      <c r="CD2334" t="str">
        <f>"742915080"</f>
        <v>742915080</v>
      </c>
      <c r="CQ2334">
        <v>0</v>
      </c>
      <c r="CR2334">
        <v>2</v>
      </c>
      <c r="CS2334">
        <v>0</v>
      </c>
      <c r="CT2334">
        <v>2</v>
      </c>
      <c r="CU2334">
        <v>0</v>
      </c>
      <c r="CV2334">
        <v>6</v>
      </c>
      <c r="CW2334" t="s">
        <v>120</v>
      </c>
      <c r="CX2334">
        <v>257</v>
      </c>
      <c r="CY2334">
        <v>0</v>
      </c>
      <c r="CZ2334" t="s">
        <v>615</v>
      </c>
      <c r="DA2334" t="s">
        <v>616</v>
      </c>
      <c r="DD2334">
        <v>15849475</v>
      </c>
      <c r="DE2334" t="s">
        <v>123</v>
      </c>
    </row>
    <row r="2335" spans="1:109" x14ac:dyDescent="0.3">
      <c r="A2335" t="str">
        <f>"19:13:47.008"</f>
        <v>19:13:47.008</v>
      </c>
      <c r="B2335" t="s">
        <v>110</v>
      </c>
      <c r="C2335" t="str">
        <f t="shared" si="108"/>
        <v>ffdfd3c0</v>
      </c>
      <c r="D2335" t="s">
        <v>111</v>
      </c>
      <c r="E2335">
        <v>18</v>
      </c>
      <c r="F2335">
        <v>1018</v>
      </c>
      <c r="G2335" t="s">
        <v>112</v>
      </c>
      <c r="J2335" t="s">
        <v>113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R2335" t="s">
        <v>114</v>
      </c>
      <c r="S2335" t="str">
        <f>"19:13:46.773"</f>
        <v>19:13:46.773</v>
      </c>
      <c r="T2335" t="str">
        <f>"19:13:46.273"</f>
        <v>19:13:46.273</v>
      </c>
      <c r="U2335" t="str">
        <f t="shared" si="109"/>
        <v>a1cdbe</v>
      </c>
      <c r="V2335">
        <v>0</v>
      </c>
      <c r="W2335">
        <v>0</v>
      </c>
      <c r="X2335">
        <v>1</v>
      </c>
      <c r="Y2335">
        <v>0</v>
      </c>
      <c r="Z2335">
        <v>0</v>
      </c>
      <c r="AB2335">
        <v>0</v>
      </c>
      <c r="AC2335">
        <v>9</v>
      </c>
      <c r="AD2335">
        <v>3</v>
      </c>
      <c r="AE2335">
        <v>0</v>
      </c>
      <c r="AF2335">
        <v>9</v>
      </c>
      <c r="AG2335" t="s">
        <v>158</v>
      </c>
      <c r="AH2335">
        <v>0</v>
      </c>
      <c r="AI2335">
        <v>3</v>
      </c>
      <c r="AJ2335">
        <v>1</v>
      </c>
      <c r="AK2335">
        <v>0</v>
      </c>
      <c r="AL2335" t="s">
        <v>4393</v>
      </c>
      <c r="AM2335">
        <v>46.894905999999999</v>
      </c>
      <c r="AN2335" t="s">
        <v>4394</v>
      </c>
      <c r="AO2335">
        <v>-123.205276</v>
      </c>
      <c r="AP2335">
        <v>100</v>
      </c>
      <c r="AQ2335">
        <v>2000</v>
      </c>
      <c r="AR2335" t="s">
        <v>118</v>
      </c>
      <c r="AS2335">
        <v>-72</v>
      </c>
      <c r="AT2335">
        <v>33</v>
      </c>
      <c r="AU2335">
        <v>192</v>
      </c>
      <c r="BC2335">
        <v>1200</v>
      </c>
      <c r="BD2335">
        <v>1</v>
      </c>
      <c r="BE2335" t="str">
        <f t="shared" si="110"/>
        <v xml:space="preserve">N215T   </v>
      </c>
      <c r="BF2335">
        <v>1</v>
      </c>
      <c r="BH2335">
        <v>0</v>
      </c>
      <c r="BI2335">
        <v>0</v>
      </c>
      <c r="BJ2335">
        <v>0</v>
      </c>
      <c r="BK2335">
        <v>2425</v>
      </c>
      <c r="BL2335">
        <v>425</v>
      </c>
      <c r="BM2335" t="s">
        <v>119</v>
      </c>
      <c r="BN2335">
        <v>1</v>
      </c>
      <c r="BO2335">
        <v>1</v>
      </c>
      <c r="BP2335">
        <v>1</v>
      </c>
      <c r="BQ2335">
        <v>0</v>
      </c>
      <c r="BT2335">
        <v>0</v>
      </c>
      <c r="BU2335">
        <v>0</v>
      </c>
      <c r="BV2335">
        <v>0</v>
      </c>
      <c r="CC2335" t="str">
        <f>"19:13:46.781"</f>
        <v>19:13:46.781</v>
      </c>
      <c r="CD2335" t="str">
        <f>"777813098"</f>
        <v>777813098</v>
      </c>
      <c r="CQ2335">
        <v>0</v>
      </c>
      <c r="CR2335">
        <v>2</v>
      </c>
      <c r="CS2335">
        <v>0</v>
      </c>
      <c r="CT2335">
        <v>2</v>
      </c>
      <c r="CU2335">
        <v>0</v>
      </c>
      <c r="CV2335">
        <v>6</v>
      </c>
      <c r="CW2335" t="s">
        <v>120</v>
      </c>
      <c r="CX2335">
        <v>257</v>
      </c>
      <c r="CY2335">
        <v>1</v>
      </c>
      <c r="CZ2335" t="s">
        <v>615</v>
      </c>
      <c r="DA2335" t="s">
        <v>616</v>
      </c>
      <c r="DD2335">
        <v>12116737</v>
      </c>
      <c r="DE2335" t="s">
        <v>123</v>
      </c>
    </row>
    <row r="2336" spans="1:109" x14ac:dyDescent="0.3">
      <c r="A2336" t="str">
        <f>"19:13:48.063"</f>
        <v>19:13:48.063</v>
      </c>
      <c r="B2336" t="s">
        <v>110</v>
      </c>
      <c r="C2336" t="str">
        <f t="shared" si="108"/>
        <v>ffdfd3c0</v>
      </c>
      <c r="D2336" t="s">
        <v>111</v>
      </c>
      <c r="E2336">
        <v>18</v>
      </c>
      <c r="F2336">
        <v>1018</v>
      </c>
      <c r="G2336" t="s">
        <v>112</v>
      </c>
      <c r="J2336" t="s">
        <v>113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R2336" t="s">
        <v>114</v>
      </c>
      <c r="S2336" t="str">
        <f>"19:13:47.836"</f>
        <v>19:13:47.836</v>
      </c>
      <c r="T2336" t="str">
        <f>"19:13:47.734"</f>
        <v>19:13:47.734</v>
      </c>
      <c r="U2336" t="str">
        <f t="shared" si="109"/>
        <v>a1cdbe</v>
      </c>
      <c r="V2336">
        <v>0</v>
      </c>
      <c r="W2336">
        <v>0</v>
      </c>
      <c r="X2336">
        <v>1</v>
      </c>
      <c r="Y2336">
        <v>0</v>
      </c>
      <c r="Z2336">
        <v>0</v>
      </c>
      <c r="AB2336">
        <v>0</v>
      </c>
      <c r="AC2336">
        <v>9</v>
      </c>
      <c r="AD2336">
        <v>3</v>
      </c>
      <c r="AE2336">
        <v>0</v>
      </c>
      <c r="AF2336">
        <v>9</v>
      </c>
      <c r="AG2336" t="s">
        <v>158</v>
      </c>
      <c r="AH2336">
        <v>0</v>
      </c>
      <c r="AI2336">
        <v>3</v>
      </c>
      <c r="AJ2336">
        <v>1</v>
      </c>
      <c r="AK2336">
        <v>0</v>
      </c>
      <c r="AL2336" t="s">
        <v>4395</v>
      </c>
      <c r="AM2336">
        <v>46.895055999999997</v>
      </c>
      <c r="AN2336" t="s">
        <v>4396</v>
      </c>
      <c r="AO2336">
        <v>-123.205748</v>
      </c>
      <c r="AP2336">
        <v>100</v>
      </c>
      <c r="AQ2336">
        <v>2000</v>
      </c>
      <c r="AR2336" t="s">
        <v>118</v>
      </c>
      <c r="AS2336">
        <v>-71</v>
      </c>
      <c r="AT2336">
        <v>33</v>
      </c>
      <c r="AU2336">
        <v>128</v>
      </c>
      <c r="BC2336">
        <v>1200</v>
      </c>
      <c r="BD2336">
        <v>1</v>
      </c>
      <c r="BE2336" t="str">
        <f t="shared" si="110"/>
        <v xml:space="preserve">N215T   </v>
      </c>
      <c r="BF2336">
        <v>1</v>
      </c>
      <c r="BH2336">
        <v>0</v>
      </c>
      <c r="BI2336">
        <v>0</v>
      </c>
      <c r="BJ2336">
        <v>0</v>
      </c>
      <c r="BK2336">
        <v>2425</v>
      </c>
      <c r="BL2336">
        <v>425</v>
      </c>
      <c r="BM2336" t="s">
        <v>119</v>
      </c>
      <c r="BN2336">
        <v>1</v>
      </c>
      <c r="BO2336">
        <v>1</v>
      </c>
      <c r="BP2336">
        <v>1</v>
      </c>
      <c r="BQ2336">
        <v>0</v>
      </c>
      <c r="BT2336">
        <v>0</v>
      </c>
      <c r="BU2336">
        <v>0</v>
      </c>
      <c r="BV2336">
        <v>0</v>
      </c>
      <c r="CC2336" t="str">
        <f>"19:13:47.844"</f>
        <v>19:13:47.844</v>
      </c>
      <c r="CD2336" t="str">
        <f>"842708149"</f>
        <v>842708149</v>
      </c>
      <c r="CQ2336">
        <v>0</v>
      </c>
      <c r="CR2336">
        <v>2</v>
      </c>
      <c r="CS2336">
        <v>0</v>
      </c>
      <c r="CT2336">
        <v>2</v>
      </c>
      <c r="CU2336">
        <v>0</v>
      </c>
      <c r="CV2336">
        <v>6</v>
      </c>
      <c r="CW2336" t="s">
        <v>120</v>
      </c>
      <c r="CX2336">
        <v>257</v>
      </c>
      <c r="CY2336">
        <v>0</v>
      </c>
      <c r="CZ2336" t="s">
        <v>615</v>
      </c>
      <c r="DA2336" t="s">
        <v>616</v>
      </c>
      <c r="DD2336">
        <v>15850651</v>
      </c>
      <c r="DE2336" t="s">
        <v>123</v>
      </c>
    </row>
    <row r="2337" spans="1:109" x14ac:dyDescent="0.3">
      <c r="A2337" t="str">
        <f>"19:13:49.117"</f>
        <v>19:13:49.117</v>
      </c>
      <c r="B2337" t="s">
        <v>110</v>
      </c>
      <c r="C2337" t="str">
        <f t="shared" si="108"/>
        <v>ffdfd3c0</v>
      </c>
      <c r="D2337" t="s">
        <v>111</v>
      </c>
      <c r="E2337">
        <v>18</v>
      </c>
      <c r="F2337">
        <v>1018</v>
      </c>
      <c r="G2337" t="s">
        <v>112</v>
      </c>
      <c r="J2337" t="s">
        <v>113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R2337" t="s">
        <v>114</v>
      </c>
      <c r="S2337" t="str">
        <f>"19:13:48.844"</f>
        <v>19:13:48.844</v>
      </c>
      <c r="T2337" t="str">
        <f>"19:13:48.547"</f>
        <v>19:13:48.547</v>
      </c>
      <c r="U2337" t="str">
        <f t="shared" si="109"/>
        <v>a1cdbe</v>
      </c>
      <c r="V2337">
        <v>0</v>
      </c>
      <c r="W2337">
        <v>0</v>
      </c>
      <c r="X2337">
        <v>1</v>
      </c>
      <c r="Y2337">
        <v>0</v>
      </c>
      <c r="Z2337">
        <v>0</v>
      </c>
      <c r="AB2337">
        <v>0</v>
      </c>
      <c r="AC2337">
        <v>9</v>
      </c>
      <c r="AD2337">
        <v>3</v>
      </c>
      <c r="AE2337">
        <v>0</v>
      </c>
      <c r="AF2337">
        <v>9</v>
      </c>
      <c r="AG2337" t="s">
        <v>158</v>
      </c>
      <c r="AH2337">
        <v>0</v>
      </c>
      <c r="AI2337">
        <v>3</v>
      </c>
      <c r="AJ2337">
        <v>1</v>
      </c>
      <c r="AK2337">
        <v>0</v>
      </c>
      <c r="AL2337" t="s">
        <v>4397</v>
      </c>
      <c r="AM2337">
        <v>46.895226999999998</v>
      </c>
      <c r="AN2337" t="s">
        <v>4398</v>
      </c>
      <c r="AO2337">
        <v>-123.20624100000001</v>
      </c>
      <c r="AP2337">
        <v>100</v>
      </c>
      <c r="AQ2337">
        <v>2000</v>
      </c>
      <c r="AR2337" t="s">
        <v>118</v>
      </c>
      <c r="AS2337">
        <v>-72</v>
      </c>
      <c r="AT2337">
        <v>34</v>
      </c>
      <c r="AU2337">
        <v>128</v>
      </c>
      <c r="BC2337">
        <v>1200</v>
      </c>
      <c r="BD2337">
        <v>1</v>
      </c>
      <c r="BE2337" t="str">
        <f t="shared" si="110"/>
        <v xml:space="preserve">N215T   </v>
      </c>
      <c r="BF2337">
        <v>1</v>
      </c>
      <c r="BH2337">
        <v>0</v>
      </c>
      <c r="BI2337">
        <v>0</v>
      </c>
      <c r="BJ2337">
        <v>0</v>
      </c>
      <c r="BK2337">
        <v>2425</v>
      </c>
      <c r="BL2337">
        <v>425</v>
      </c>
      <c r="BM2337" t="s">
        <v>119</v>
      </c>
      <c r="BN2337">
        <v>1</v>
      </c>
      <c r="BO2337">
        <v>1</v>
      </c>
      <c r="BP2337">
        <v>1</v>
      </c>
      <c r="BQ2337">
        <v>0</v>
      </c>
      <c r="BT2337">
        <v>0</v>
      </c>
      <c r="BU2337">
        <v>0</v>
      </c>
      <c r="BV2337">
        <v>0</v>
      </c>
      <c r="CC2337" t="str">
        <f>"19:13:48.844"</f>
        <v>19:13:48.844</v>
      </c>
      <c r="CD2337" t="str">
        <f>"847609121"</f>
        <v>847609121</v>
      </c>
      <c r="CQ2337">
        <v>0</v>
      </c>
      <c r="CR2337">
        <v>2</v>
      </c>
      <c r="CS2337">
        <v>0</v>
      </c>
      <c r="CT2337">
        <v>2</v>
      </c>
      <c r="CU2337">
        <v>0</v>
      </c>
      <c r="CV2337">
        <v>6</v>
      </c>
      <c r="CW2337" t="s">
        <v>120</v>
      </c>
      <c r="CX2337">
        <v>257</v>
      </c>
      <c r="CY2337">
        <v>1</v>
      </c>
      <c r="CZ2337" t="s">
        <v>615</v>
      </c>
      <c r="DA2337" t="s">
        <v>616</v>
      </c>
      <c r="DD2337">
        <v>12118281</v>
      </c>
      <c r="DE2337" t="s">
        <v>123</v>
      </c>
    </row>
    <row r="2338" spans="1:109" x14ac:dyDescent="0.3">
      <c r="A2338" t="str">
        <f>"19:13:50.023"</f>
        <v>19:13:50.023</v>
      </c>
      <c r="B2338" t="s">
        <v>110</v>
      </c>
      <c r="C2338" t="str">
        <f t="shared" si="108"/>
        <v>ffdfd3c0</v>
      </c>
      <c r="D2338" t="s">
        <v>111</v>
      </c>
      <c r="E2338">
        <v>18</v>
      </c>
      <c r="F2338">
        <v>1018</v>
      </c>
      <c r="G2338" t="s">
        <v>112</v>
      </c>
      <c r="J2338" t="s">
        <v>113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R2338" t="s">
        <v>114</v>
      </c>
      <c r="S2338" t="str">
        <f>"19:13:49.805"</f>
        <v>19:13:49.805</v>
      </c>
      <c r="T2338" t="str">
        <f>"19:13:49.703"</f>
        <v>19:13:49.703</v>
      </c>
      <c r="U2338" t="str">
        <f t="shared" si="109"/>
        <v>a1cdbe</v>
      </c>
      <c r="V2338">
        <v>0</v>
      </c>
      <c r="W2338">
        <v>0</v>
      </c>
      <c r="X2338">
        <v>1</v>
      </c>
      <c r="Y2338">
        <v>0</v>
      </c>
      <c r="Z2338">
        <v>0</v>
      </c>
      <c r="AB2338">
        <v>0</v>
      </c>
      <c r="AC2338">
        <v>9</v>
      </c>
      <c r="AD2338">
        <v>3</v>
      </c>
      <c r="AE2338">
        <v>0</v>
      </c>
      <c r="AF2338">
        <v>9</v>
      </c>
      <c r="AG2338" t="s">
        <v>158</v>
      </c>
      <c r="AH2338">
        <v>0</v>
      </c>
      <c r="AI2338">
        <v>3</v>
      </c>
      <c r="AJ2338">
        <v>1</v>
      </c>
      <c r="AK2338">
        <v>0</v>
      </c>
      <c r="AL2338" t="s">
        <v>4399</v>
      </c>
      <c r="AM2338">
        <v>46.895378000000001</v>
      </c>
      <c r="AN2338" t="s">
        <v>4400</v>
      </c>
      <c r="AO2338">
        <v>-123.20673499999999</v>
      </c>
      <c r="AP2338">
        <v>100</v>
      </c>
      <c r="AQ2338">
        <v>2000</v>
      </c>
      <c r="AR2338" t="s">
        <v>118</v>
      </c>
      <c r="AS2338">
        <v>-72</v>
      </c>
      <c r="AT2338">
        <v>33</v>
      </c>
      <c r="AU2338">
        <v>64</v>
      </c>
      <c r="BC2338">
        <v>1200</v>
      </c>
      <c r="BD2338">
        <v>1</v>
      </c>
      <c r="BE2338" t="str">
        <f t="shared" si="110"/>
        <v xml:space="preserve">N215T   </v>
      </c>
      <c r="BF2338">
        <v>1</v>
      </c>
      <c r="BH2338">
        <v>0</v>
      </c>
      <c r="BI2338">
        <v>0</v>
      </c>
      <c r="BJ2338">
        <v>0</v>
      </c>
      <c r="BK2338">
        <v>2425</v>
      </c>
      <c r="BL2338">
        <v>425</v>
      </c>
      <c r="BM2338" t="s">
        <v>119</v>
      </c>
      <c r="BN2338">
        <v>1</v>
      </c>
      <c r="BO2338">
        <v>1</v>
      </c>
      <c r="BP2338">
        <v>1</v>
      </c>
      <c r="BQ2338">
        <v>0</v>
      </c>
      <c r="BT2338">
        <v>0</v>
      </c>
      <c r="BU2338">
        <v>0</v>
      </c>
      <c r="BV2338">
        <v>0</v>
      </c>
      <c r="CC2338" t="str">
        <f>"19:13:49.805"</f>
        <v>19:13:49.805</v>
      </c>
      <c r="CD2338" t="str">
        <f>"807514524"</f>
        <v>807514524</v>
      </c>
      <c r="CQ2338">
        <v>0</v>
      </c>
      <c r="CR2338">
        <v>2</v>
      </c>
      <c r="CS2338">
        <v>0</v>
      </c>
      <c r="CT2338">
        <v>2</v>
      </c>
      <c r="CU2338">
        <v>0</v>
      </c>
      <c r="CV2338">
        <v>6</v>
      </c>
      <c r="CW2338" t="s">
        <v>120</v>
      </c>
      <c r="CX2338">
        <v>257</v>
      </c>
      <c r="CY2338">
        <v>1</v>
      </c>
      <c r="CZ2338" t="s">
        <v>615</v>
      </c>
      <c r="DA2338" t="s">
        <v>616</v>
      </c>
      <c r="DD2338">
        <v>12118983</v>
      </c>
      <c r="DE2338" t="s">
        <v>123</v>
      </c>
    </row>
    <row r="2339" spans="1:109" x14ac:dyDescent="0.3">
      <c r="A2339" t="str">
        <f>"19:13:51.078"</f>
        <v>19:13:51.078</v>
      </c>
      <c r="B2339" t="s">
        <v>110</v>
      </c>
      <c r="C2339" t="str">
        <f t="shared" si="108"/>
        <v>ffdfd3c0</v>
      </c>
      <c r="D2339" t="s">
        <v>111</v>
      </c>
      <c r="E2339">
        <v>18</v>
      </c>
      <c r="F2339">
        <v>1018</v>
      </c>
      <c r="G2339" t="s">
        <v>112</v>
      </c>
      <c r="J2339" t="s">
        <v>113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R2339" t="s">
        <v>114</v>
      </c>
      <c r="S2339" t="str">
        <f>"19:13:50.852"</f>
        <v>19:13:50.852</v>
      </c>
      <c r="T2339" t="str">
        <f>"19:13:50.648"</f>
        <v>19:13:50.648</v>
      </c>
      <c r="U2339" t="str">
        <f t="shared" si="109"/>
        <v>a1cdbe</v>
      </c>
      <c r="V2339">
        <v>0</v>
      </c>
      <c r="W2339">
        <v>0</v>
      </c>
      <c r="X2339">
        <v>1</v>
      </c>
      <c r="Y2339">
        <v>0</v>
      </c>
      <c r="Z2339">
        <v>0</v>
      </c>
      <c r="AB2339">
        <v>0</v>
      </c>
      <c r="AC2339">
        <v>9</v>
      </c>
      <c r="AD2339">
        <v>3</v>
      </c>
      <c r="AE2339">
        <v>0</v>
      </c>
      <c r="AF2339">
        <v>9</v>
      </c>
      <c r="AG2339" t="s">
        <v>158</v>
      </c>
      <c r="AH2339">
        <v>0</v>
      </c>
      <c r="AI2339">
        <v>3</v>
      </c>
      <c r="AJ2339">
        <v>1</v>
      </c>
      <c r="AK2339">
        <v>0</v>
      </c>
      <c r="AL2339" t="s">
        <v>4401</v>
      </c>
      <c r="AM2339">
        <v>46.895505999999997</v>
      </c>
      <c r="AN2339" t="s">
        <v>4402</v>
      </c>
      <c r="AO2339">
        <v>-123.20727100000001</v>
      </c>
      <c r="AP2339">
        <v>100</v>
      </c>
      <c r="AQ2339">
        <v>2000</v>
      </c>
      <c r="AR2339" t="s">
        <v>118</v>
      </c>
      <c r="AS2339">
        <v>-72</v>
      </c>
      <c r="AT2339">
        <v>33</v>
      </c>
      <c r="AU2339">
        <v>128</v>
      </c>
      <c r="BC2339">
        <v>1200</v>
      </c>
      <c r="BD2339">
        <v>1</v>
      </c>
      <c r="BE2339" t="str">
        <f t="shared" si="110"/>
        <v xml:space="preserve">N215T   </v>
      </c>
      <c r="BF2339">
        <v>1</v>
      </c>
      <c r="BH2339">
        <v>0</v>
      </c>
      <c r="BI2339">
        <v>0</v>
      </c>
      <c r="BJ2339">
        <v>0</v>
      </c>
      <c r="BK2339">
        <v>2425</v>
      </c>
      <c r="BL2339">
        <v>425</v>
      </c>
      <c r="BM2339" t="s">
        <v>119</v>
      </c>
      <c r="BN2339">
        <v>1</v>
      </c>
      <c r="BO2339">
        <v>1</v>
      </c>
      <c r="BP2339">
        <v>1</v>
      </c>
      <c r="BQ2339">
        <v>0</v>
      </c>
      <c r="BT2339">
        <v>0</v>
      </c>
      <c r="BU2339">
        <v>0</v>
      </c>
      <c r="BV2339">
        <v>0</v>
      </c>
      <c r="CC2339" t="str">
        <f>"19:13:50.859"</f>
        <v>19:13:50.859</v>
      </c>
      <c r="CD2339" t="str">
        <f>"857411040"</f>
        <v>857411040</v>
      </c>
      <c r="CQ2339">
        <v>0</v>
      </c>
      <c r="CR2339">
        <v>2</v>
      </c>
      <c r="CS2339">
        <v>0</v>
      </c>
      <c r="CT2339">
        <v>2</v>
      </c>
      <c r="CU2339">
        <v>0</v>
      </c>
      <c r="CV2339">
        <v>6</v>
      </c>
      <c r="CW2339" t="s">
        <v>120</v>
      </c>
      <c r="CX2339">
        <v>257</v>
      </c>
      <c r="CY2339">
        <v>0</v>
      </c>
      <c r="CZ2339" t="s">
        <v>615</v>
      </c>
      <c r="DA2339" t="s">
        <v>616</v>
      </c>
      <c r="DD2339">
        <v>15852298</v>
      </c>
      <c r="DE2339" t="s">
        <v>123</v>
      </c>
    </row>
    <row r="2340" spans="1:109" x14ac:dyDescent="0.3">
      <c r="A2340" t="str">
        <f>"19:13:51.938"</f>
        <v>19:13:51.938</v>
      </c>
      <c r="B2340" t="s">
        <v>110</v>
      </c>
      <c r="C2340" t="str">
        <f t="shared" si="108"/>
        <v>ffdfd3c0</v>
      </c>
      <c r="D2340" t="s">
        <v>111</v>
      </c>
      <c r="E2340">
        <v>18</v>
      </c>
      <c r="F2340">
        <v>1018</v>
      </c>
      <c r="G2340" t="s">
        <v>112</v>
      </c>
      <c r="J2340" t="s">
        <v>113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R2340" t="s">
        <v>114</v>
      </c>
      <c r="S2340" t="str">
        <f>"19:13:51.695"</f>
        <v>19:13:51.695</v>
      </c>
      <c r="T2340" t="str">
        <f>"19:13:51.695"</f>
        <v>19:13:51.695</v>
      </c>
      <c r="U2340" t="str">
        <f t="shared" si="109"/>
        <v>a1cdbe</v>
      </c>
      <c r="V2340">
        <v>0</v>
      </c>
      <c r="W2340">
        <v>0</v>
      </c>
      <c r="X2340">
        <v>1</v>
      </c>
      <c r="Y2340">
        <v>0</v>
      </c>
      <c r="Z2340">
        <v>0</v>
      </c>
      <c r="AB2340">
        <v>0</v>
      </c>
      <c r="AC2340">
        <v>9</v>
      </c>
      <c r="AD2340">
        <v>3</v>
      </c>
      <c r="AE2340">
        <v>0</v>
      </c>
      <c r="AF2340">
        <v>9</v>
      </c>
      <c r="AG2340" t="s">
        <v>158</v>
      </c>
      <c r="AH2340">
        <v>0</v>
      </c>
      <c r="AI2340">
        <v>3</v>
      </c>
      <c r="AJ2340">
        <v>1</v>
      </c>
      <c r="AK2340">
        <v>0</v>
      </c>
      <c r="AL2340" t="s">
        <v>4403</v>
      </c>
      <c r="AM2340">
        <v>46.895634999999999</v>
      </c>
      <c r="AN2340" t="s">
        <v>4404</v>
      </c>
      <c r="AO2340">
        <v>-123.20761400000001</v>
      </c>
      <c r="AP2340">
        <v>100</v>
      </c>
      <c r="AQ2340">
        <v>2000</v>
      </c>
      <c r="AR2340" t="s">
        <v>118</v>
      </c>
      <c r="AS2340">
        <v>-72</v>
      </c>
      <c r="AT2340">
        <v>33</v>
      </c>
      <c r="AU2340">
        <v>192</v>
      </c>
      <c r="BC2340">
        <v>1200</v>
      </c>
      <c r="BD2340">
        <v>1</v>
      </c>
      <c r="BE2340" t="str">
        <f t="shared" si="110"/>
        <v xml:space="preserve">N215T   </v>
      </c>
      <c r="BF2340">
        <v>1</v>
      </c>
      <c r="BH2340">
        <v>0</v>
      </c>
      <c r="BI2340">
        <v>0</v>
      </c>
      <c r="BJ2340">
        <v>0</v>
      </c>
      <c r="BK2340">
        <v>2425</v>
      </c>
      <c r="BL2340">
        <v>425</v>
      </c>
      <c r="BM2340" t="s">
        <v>119</v>
      </c>
      <c r="BN2340">
        <v>1</v>
      </c>
      <c r="BO2340">
        <v>1</v>
      </c>
      <c r="BP2340">
        <v>1</v>
      </c>
      <c r="BQ2340">
        <v>0</v>
      </c>
      <c r="BT2340">
        <v>0</v>
      </c>
      <c r="BU2340">
        <v>0</v>
      </c>
      <c r="BV2340">
        <v>0</v>
      </c>
      <c r="CC2340" t="str">
        <f>"19:13:51.695"</f>
        <v>19:13:51.695</v>
      </c>
      <c r="CD2340" t="str">
        <f>"697328266"</f>
        <v>697328266</v>
      </c>
      <c r="CQ2340">
        <v>0</v>
      </c>
      <c r="CR2340">
        <v>2</v>
      </c>
      <c r="CS2340">
        <v>0</v>
      </c>
      <c r="CT2340">
        <v>2</v>
      </c>
      <c r="CU2340">
        <v>0</v>
      </c>
      <c r="CV2340">
        <v>6</v>
      </c>
      <c r="CW2340" t="s">
        <v>120</v>
      </c>
      <c r="CX2340">
        <v>257</v>
      </c>
      <c r="CY2340">
        <v>0</v>
      </c>
      <c r="CZ2340" t="s">
        <v>615</v>
      </c>
      <c r="DA2340" t="s">
        <v>616</v>
      </c>
      <c r="DD2340">
        <v>15852832</v>
      </c>
      <c r="DE2340" t="s">
        <v>123</v>
      </c>
    </row>
    <row r="2341" spans="1:109" x14ac:dyDescent="0.3">
      <c r="A2341" t="str">
        <f>"19:13:52.938"</f>
        <v>19:13:52.938</v>
      </c>
      <c r="B2341" t="s">
        <v>110</v>
      </c>
      <c r="C2341" t="str">
        <f t="shared" si="108"/>
        <v>ffdfd3c0</v>
      </c>
      <c r="D2341" t="s">
        <v>111</v>
      </c>
      <c r="E2341">
        <v>18</v>
      </c>
      <c r="F2341">
        <v>1018</v>
      </c>
      <c r="G2341" t="s">
        <v>112</v>
      </c>
      <c r="J2341" t="s">
        <v>113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R2341" t="s">
        <v>114</v>
      </c>
      <c r="S2341" t="str">
        <f>"19:13:52.711"</f>
        <v>19:13:52.711</v>
      </c>
      <c r="T2341" t="str">
        <f>"19:13:52.711"</f>
        <v>19:13:52.711</v>
      </c>
      <c r="U2341" t="str">
        <f t="shared" si="109"/>
        <v>a1cdbe</v>
      </c>
      <c r="V2341">
        <v>0</v>
      </c>
      <c r="W2341">
        <v>0</v>
      </c>
      <c r="X2341">
        <v>1</v>
      </c>
      <c r="Y2341">
        <v>0</v>
      </c>
      <c r="Z2341">
        <v>0</v>
      </c>
      <c r="AB2341">
        <v>0</v>
      </c>
      <c r="AC2341">
        <v>9</v>
      </c>
      <c r="AD2341">
        <v>3</v>
      </c>
      <c r="AE2341">
        <v>0</v>
      </c>
      <c r="AF2341">
        <v>9</v>
      </c>
      <c r="AG2341" t="s">
        <v>158</v>
      </c>
      <c r="AH2341">
        <v>0</v>
      </c>
      <c r="AI2341">
        <v>3</v>
      </c>
      <c r="AJ2341">
        <v>1</v>
      </c>
      <c r="AK2341">
        <v>0</v>
      </c>
      <c r="AL2341" t="s">
        <v>4405</v>
      </c>
      <c r="AM2341">
        <v>46.895784999999997</v>
      </c>
      <c r="AN2341" t="s">
        <v>4406</v>
      </c>
      <c r="AO2341">
        <v>-123.208151</v>
      </c>
      <c r="AP2341">
        <v>100</v>
      </c>
      <c r="AQ2341">
        <v>2000</v>
      </c>
      <c r="AR2341" t="s">
        <v>118</v>
      </c>
      <c r="AS2341">
        <v>-72</v>
      </c>
      <c r="AT2341">
        <v>32</v>
      </c>
      <c r="AU2341">
        <v>128</v>
      </c>
      <c r="BC2341">
        <v>1200</v>
      </c>
      <c r="BD2341">
        <v>1</v>
      </c>
      <c r="BE2341" t="str">
        <f t="shared" si="110"/>
        <v xml:space="preserve">N215T   </v>
      </c>
      <c r="BF2341">
        <v>1</v>
      </c>
      <c r="BH2341">
        <v>0</v>
      </c>
      <c r="BI2341">
        <v>0</v>
      </c>
      <c r="BJ2341">
        <v>0</v>
      </c>
      <c r="BK2341">
        <v>2425</v>
      </c>
      <c r="BL2341">
        <v>425</v>
      </c>
      <c r="BM2341" t="s">
        <v>119</v>
      </c>
      <c r="BN2341">
        <v>1</v>
      </c>
      <c r="BO2341">
        <v>1</v>
      </c>
      <c r="BP2341">
        <v>1</v>
      </c>
      <c r="BQ2341">
        <v>0</v>
      </c>
      <c r="BT2341">
        <v>0</v>
      </c>
      <c r="BU2341">
        <v>0</v>
      </c>
      <c r="BV2341">
        <v>0</v>
      </c>
      <c r="CC2341" t="str">
        <f>"19:13:52.719"</f>
        <v>19:13:52.719</v>
      </c>
      <c r="CD2341" t="str">
        <f>"717227755"</f>
        <v>717227755</v>
      </c>
      <c r="CQ2341">
        <v>0</v>
      </c>
      <c r="CR2341">
        <v>2</v>
      </c>
      <c r="CS2341">
        <v>0</v>
      </c>
      <c r="CT2341">
        <v>2</v>
      </c>
      <c r="CU2341">
        <v>0</v>
      </c>
      <c r="CV2341">
        <v>6</v>
      </c>
      <c r="CW2341" t="s">
        <v>120</v>
      </c>
      <c r="CX2341">
        <v>257</v>
      </c>
      <c r="CY2341">
        <v>0</v>
      </c>
      <c r="CZ2341" t="s">
        <v>615</v>
      </c>
      <c r="DA2341" t="s">
        <v>616</v>
      </c>
      <c r="DD2341">
        <v>15853400</v>
      </c>
      <c r="DE2341" t="s">
        <v>123</v>
      </c>
    </row>
    <row r="2342" spans="1:109" x14ac:dyDescent="0.3">
      <c r="A2342" t="str">
        <f>"19:13:54.047"</f>
        <v>19:13:54.047</v>
      </c>
      <c r="B2342" t="s">
        <v>110</v>
      </c>
      <c r="C2342" t="str">
        <f t="shared" si="108"/>
        <v>ffdfd3c0</v>
      </c>
      <c r="D2342" t="s">
        <v>111</v>
      </c>
      <c r="E2342">
        <v>18</v>
      </c>
      <c r="F2342">
        <v>1018</v>
      </c>
      <c r="G2342" t="s">
        <v>112</v>
      </c>
      <c r="J2342" t="s">
        <v>113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R2342" t="s">
        <v>114</v>
      </c>
      <c r="S2342" t="str">
        <f>"19:13:53.805"</f>
        <v>19:13:53.805</v>
      </c>
      <c r="T2342" t="str">
        <f>"19:13:53.305"</f>
        <v>19:13:53.305</v>
      </c>
      <c r="U2342" t="str">
        <f t="shared" si="109"/>
        <v>a1cdbe</v>
      </c>
      <c r="V2342">
        <v>0</v>
      </c>
      <c r="W2342">
        <v>0</v>
      </c>
      <c r="X2342">
        <v>1</v>
      </c>
      <c r="Y2342">
        <v>0</v>
      </c>
      <c r="Z2342">
        <v>0</v>
      </c>
      <c r="AB2342">
        <v>0</v>
      </c>
      <c r="AC2342">
        <v>9</v>
      </c>
      <c r="AD2342">
        <v>3</v>
      </c>
      <c r="AE2342">
        <v>0</v>
      </c>
      <c r="AF2342">
        <v>9</v>
      </c>
      <c r="AG2342" t="s">
        <v>158</v>
      </c>
      <c r="AH2342">
        <v>0</v>
      </c>
      <c r="AI2342">
        <v>3</v>
      </c>
      <c r="AJ2342">
        <v>1</v>
      </c>
      <c r="AK2342">
        <v>0</v>
      </c>
      <c r="AL2342" t="s">
        <v>4407</v>
      </c>
      <c r="AM2342">
        <v>46.895977999999999</v>
      </c>
      <c r="AN2342" t="s">
        <v>4408</v>
      </c>
      <c r="AO2342">
        <v>-123.20864400000001</v>
      </c>
      <c r="AP2342">
        <v>100</v>
      </c>
      <c r="AQ2342">
        <v>2000</v>
      </c>
      <c r="AR2342" t="s">
        <v>118</v>
      </c>
      <c r="AS2342">
        <v>-72</v>
      </c>
      <c r="AT2342">
        <v>32</v>
      </c>
      <c r="AU2342">
        <v>128</v>
      </c>
      <c r="BC2342">
        <v>1200</v>
      </c>
      <c r="BD2342">
        <v>1</v>
      </c>
      <c r="BE2342" t="str">
        <f t="shared" si="110"/>
        <v xml:space="preserve">N215T   </v>
      </c>
      <c r="BF2342">
        <v>1</v>
      </c>
      <c r="BH2342">
        <v>0</v>
      </c>
      <c r="BI2342">
        <v>0</v>
      </c>
      <c r="BJ2342">
        <v>0</v>
      </c>
      <c r="BK2342">
        <v>2425</v>
      </c>
      <c r="BL2342">
        <v>425</v>
      </c>
      <c r="BM2342" t="s">
        <v>119</v>
      </c>
      <c r="BN2342">
        <v>1</v>
      </c>
      <c r="BO2342">
        <v>1</v>
      </c>
      <c r="BP2342">
        <v>1</v>
      </c>
      <c r="BQ2342">
        <v>0</v>
      </c>
      <c r="BT2342">
        <v>0</v>
      </c>
      <c r="BU2342">
        <v>0</v>
      </c>
      <c r="BV2342">
        <v>0</v>
      </c>
      <c r="CC2342" t="str">
        <f>"19:13:53.813"</f>
        <v>19:13:53.813</v>
      </c>
      <c r="CD2342" t="str">
        <f>"812119854"</f>
        <v>812119854</v>
      </c>
      <c r="CQ2342">
        <v>0</v>
      </c>
      <c r="CR2342">
        <v>2</v>
      </c>
      <c r="CS2342">
        <v>0</v>
      </c>
      <c r="CT2342">
        <v>2</v>
      </c>
      <c r="CU2342">
        <v>0</v>
      </c>
      <c r="CV2342">
        <v>6</v>
      </c>
      <c r="CW2342" t="s">
        <v>120</v>
      </c>
      <c r="CX2342">
        <v>257</v>
      </c>
      <c r="CY2342">
        <v>0</v>
      </c>
      <c r="CZ2342" t="s">
        <v>615</v>
      </c>
      <c r="DA2342" t="s">
        <v>616</v>
      </c>
      <c r="DD2342">
        <v>15853993</v>
      </c>
      <c r="DE2342" t="s">
        <v>123</v>
      </c>
    </row>
    <row r="2343" spans="1:109" x14ac:dyDescent="0.3">
      <c r="A2343" t="str">
        <f>"19:13:55.102"</f>
        <v>19:13:55.102</v>
      </c>
      <c r="B2343" t="s">
        <v>110</v>
      </c>
      <c r="C2343" t="str">
        <f t="shared" si="108"/>
        <v>ffdfd3c0</v>
      </c>
      <c r="D2343" t="s">
        <v>111</v>
      </c>
      <c r="E2343">
        <v>18</v>
      </c>
      <c r="F2343">
        <v>1018</v>
      </c>
      <c r="G2343" t="s">
        <v>112</v>
      </c>
      <c r="J2343" t="s">
        <v>113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R2343" t="s">
        <v>114</v>
      </c>
      <c r="S2343" t="str">
        <f>"19:13:54.891"</f>
        <v>19:13:54.891</v>
      </c>
      <c r="T2343" t="str">
        <f>"19:13:54.688"</f>
        <v>19:13:54.688</v>
      </c>
      <c r="U2343" t="str">
        <f t="shared" si="109"/>
        <v>a1cdbe</v>
      </c>
      <c r="V2343">
        <v>0</v>
      </c>
      <c r="W2343">
        <v>0</v>
      </c>
      <c r="X2343">
        <v>1</v>
      </c>
      <c r="Y2343">
        <v>0</v>
      </c>
      <c r="Z2343">
        <v>0</v>
      </c>
      <c r="AB2343">
        <v>0</v>
      </c>
      <c r="AC2343">
        <v>9</v>
      </c>
      <c r="AD2343">
        <v>3</v>
      </c>
      <c r="AE2343">
        <v>0</v>
      </c>
      <c r="AF2343">
        <v>9</v>
      </c>
      <c r="AG2343" t="s">
        <v>158</v>
      </c>
      <c r="AH2343">
        <v>0</v>
      </c>
      <c r="AI2343">
        <v>3</v>
      </c>
      <c r="AJ2343">
        <v>1</v>
      </c>
      <c r="AK2343">
        <v>0</v>
      </c>
      <c r="AL2343" t="s">
        <v>4409</v>
      </c>
      <c r="AM2343">
        <v>46.896107000000001</v>
      </c>
      <c r="AN2343" t="s">
        <v>4410</v>
      </c>
      <c r="AO2343">
        <v>-123.209202</v>
      </c>
      <c r="AP2343">
        <v>100</v>
      </c>
      <c r="AQ2343">
        <v>2000</v>
      </c>
      <c r="AR2343" t="s">
        <v>118</v>
      </c>
      <c r="AS2343">
        <v>-72</v>
      </c>
      <c r="AT2343">
        <v>31</v>
      </c>
      <c r="AU2343">
        <v>0</v>
      </c>
      <c r="BC2343">
        <v>1200</v>
      </c>
      <c r="BD2343">
        <v>1</v>
      </c>
      <c r="BE2343" t="str">
        <f t="shared" si="110"/>
        <v xml:space="preserve">N215T   </v>
      </c>
      <c r="BF2343">
        <v>1</v>
      </c>
      <c r="BH2343">
        <v>0</v>
      </c>
      <c r="BI2343">
        <v>0</v>
      </c>
      <c r="BJ2343">
        <v>0</v>
      </c>
      <c r="BK2343">
        <v>2425</v>
      </c>
      <c r="BL2343">
        <v>425</v>
      </c>
      <c r="BM2343" t="s">
        <v>119</v>
      </c>
      <c r="BN2343">
        <v>1</v>
      </c>
      <c r="BO2343">
        <v>1</v>
      </c>
      <c r="BP2343">
        <v>1</v>
      </c>
      <c r="BQ2343">
        <v>0</v>
      </c>
      <c r="BT2343">
        <v>0</v>
      </c>
      <c r="BU2343">
        <v>0</v>
      </c>
      <c r="BV2343">
        <v>0</v>
      </c>
      <c r="CC2343" t="str">
        <f>"19:13:54.891"</f>
        <v>19:13:54.891</v>
      </c>
      <c r="CD2343" t="str">
        <f>"892013435"</f>
        <v>892013435</v>
      </c>
      <c r="CQ2343">
        <v>0</v>
      </c>
      <c r="CR2343">
        <v>2</v>
      </c>
      <c r="CS2343">
        <v>0</v>
      </c>
      <c r="CT2343">
        <v>2</v>
      </c>
      <c r="CU2343">
        <v>0</v>
      </c>
      <c r="CV2343">
        <v>6</v>
      </c>
      <c r="CW2343" t="s">
        <v>120</v>
      </c>
      <c r="CX2343">
        <v>257</v>
      </c>
      <c r="CY2343">
        <v>1</v>
      </c>
      <c r="CZ2343" t="s">
        <v>615</v>
      </c>
      <c r="DA2343" t="s">
        <v>616</v>
      </c>
      <c r="DD2343">
        <v>12122608</v>
      </c>
      <c r="DE2343" t="s">
        <v>123</v>
      </c>
    </row>
    <row r="2344" spans="1:109" x14ac:dyDescent="0.3">
      <c r="A2344" t="str">
        <f>"19:13:55.953"</f>
        <v>19:13:55.953</v>
      </c>
      <c r="B2344" t="s">
        <v>110</v>
      </c>
      <c r="C2344" t="str">
        <f t="shared" si="108"/>
        <v>ffdfd3c0</v>
      </c>
      <c r="D2344" t="s">
        <v>111</v>
      </c>
      <c r="E2344">
        <v>18</v>
      </c>
      <c r="F2344">
        <v>1018</v>
      </c>
      <c r="G2344" t="s">
        <v>112</v>
      </c>
      <c r="J2344" t="s">
        <v>113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R2344" t="s">
        <v>114</v>
      </c>
      <c r="S2344" t="str">
        <f>"19:13:55.711"</f>
        <v>19:13:55.711</v>
      </c>
      <c r="T2344" t="str">
        <f>"19:13:55.609"</f>
        <v>19:13:55.609</v>
      </c>
      <c r="U2344" t="str">
        <f t="shared" si="109"/>
        <v>a1cdbe</v>
      </c>
      <c r="V2344">
        <v>0</v>
      </c>
      <c r="W2344">
        <v>0</v>
      </c>
      <c r="X2344">
        <v>1</v>
      </c>
      <c r="Y2344">
        <v>0</v>
      </c>
      <c r="Z2344">
        <v>0</v>
      </c>
      <c r="AB2344">
        <v>0</v>
      </c>
      <c r="AC2344">
        <v>9</v>
      </c>
      <c r="AD2344">
        <v>3</v>
      </c>
      <c r="AE2344">
        <v>0</v>
      </c>
      <c r="AF2344">
        <v>9</v>
      </c>
      <c r="AG2344" t="s">
        <v>158</v>
      </c>
      <c r="AH2344">
        <v>0</v>
      </c>
      <c r="AI2344">
        <v>3</v>
      </c>
      <c r="AJ2344">
        <v>1</v>
      </c>
      <c r="AK2344">
        <v>0</v>
      </c>
      <c r="AL2344" t="s">
        <v>4411</v>
      </c>
      <c r="AM2344">
        <v>46.896236000000002</v>
      </c>
      <c r="AN2344" t="s">
        <v>4412</v>
      </c>
      <c r="AO2344">
        <v>-123.20961</v>
      </c>
      <c r="AP2344">
        <v>100</v>
      </c>
      <c r="AQ2344">
        <v>2000</v>
      </c>
      <c r="AR2344" t="s">
        <v>118</v>
      </c>
      <c r="AS2344">
        <v>-72</v>
      </c>
      <c r="AT2344">
        <v>31</v>
      </c>
      <c r="AU2344">
        <v>0</v>
      </c>
      <c r="BC2344">
        <v>1200</v>
      </c>
      <c r="BD2344">
        <v>1</v>
      </c>
      <c r="BE2344" t="str">
        <f t="shared" si="110"/>
        <v xml:space="preserve">N215T   </v>
      </c>
      <c r="BF2344">
        <v>1</v>
      </c>
      <c r="BH2344">
        <v>0</v>
      </c>
      <c r="BI2344">
        <v>0</v>
      </c>
      <c r="BJ2344">
        <v>0</v>
      </c>
      <c r="BK2344">
        <v>2425</v>
      </c>
      <c r="BL2344">
        <v>425</v>
      </c>
      <c r="BM2344" t="s">
        <v>119</v>
      </c>
      <c r="BN2344">
        <v>1</v>
      </c>
      <c r="BO2344">
        <v>1</v>
      </c>
      <c r="BP2344">
        <v>1</v>
      </c>
      <c r="BQ2344">
        <v>0</v>
      </c>
      <c r="BT2344">
        <v>0</v>
      </c>
      <c r="BU2344">
        <v>0</v>
      </c>
      <c r="BV2344">
        <v>0</v>
      </c>
      <c r="CC2344" t="str">
        <f>"19:13:55.719"</f>
        <v>19:13:55.719</v>
      </c>
      <c r="CD2344" t="str">
        <f>"716932117"</f>
        <v>716932117</v>
      </c>
      <c r="CQ2344">
        <v>0</v>
      </c>
      <c r="CR2344">
        <v>2</v>
      </c>
      <c r="CS2344">
        <v>0</v>
      </c>
      <c r="CT2344">
        <v>2</v>
      </c>
      <c r="CU2344">
        <v>0</v>
      </c>
      <c r="CV2344">
        <v>6</v>
      </c>
      <c r="CW2344" t="s">
        <v>120</v>
      </c>
      <c r="CX2344">
        <v>257</v>
      </c>
      <c r="CY2344">
        <v>0</v>
      </c>
      <c r="CZ2344" t="s">
        <v>615</v>
      </c>
      <c r="DA2344" t="s">
        <v>616</v>
      </c>
      <c r="DD2344">
        <v>15855111</v>
      </c>
      <c r="DE2344" t="s">
        <v>123</v>
      </c>
    </row>
    <row r="2345" spans="1:109" x14ac:dyDescent="0.3">
      <c r="A2345" t="str">
        <f>"19:13:56.961"</f>
        <v>19:13:56.961</v>
      </c>
      <c r="B2345" t="s">
        <v>110</v>
      </c>
      <c r="C2345" t="str">
        <f t="shared" si="108"/>
        <v>ffdfd3c0</v>
      </c>
      <c r="D2345" t="s">
        <v>111</v>
      </c>
      <c r="E2345">
        <v>18</v>
      </c>
      <c r="F2345">
        <v>1018</v>
      </c>
      <c r="G2345" t="s">
        <v>112</v>
      </c>
      <c r="J2345" t="s">
        <v>113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R2345" t="s">
        <v>114</v>
      </c>
      <c r="S2345" t="str">
        <f>"19:13:56.719"</f>
        <v>19:13:56.719</v>
      </c>
      <c r="T2345" t="str">
        <f>"19:13:56.219"</f>
        <v>19:13:56.219</v>
      </c>
      <c r="U2345" t="str">
        <f t="shared" si="109"/>
        <v>a1cdbe</v>
      </c>
      <c r="V2345">
        <v>0</v>
      </c>
      <c r="W2345">
        <v>0</v>
      </c>
      <c r="X2345">
        <v>1</v>
      </c>
      <c r="Y2345">
        <v>0</v>
      </c>
      <c r="Z2345">
        <v>0</v>
      </c>
      <c r="AB2345">
        <v>0</v>
      </c>
      <c r="AC2345">
        <v>9</v>
      </c>
      <c r="AD2345">
        <v>3</v>
      </c>
      <c r="AE2345">
        <v>0</v>
      </c>
      <c r="AF2345">
        <v>9</v>
      </c>
      <c r="AG2345" t="s">
        <v>158</v>
      </c>
      <c r="AH2345">
        <v>0</v>
      </c>
      <c r="AI2345">
        <v>3</v>
      </c>
      <c r="AJ2345">
        <v>1</v>
      </c>
      <c r="AK2345">
        <v>0</v>
      </c>
      <c r="AL2345" t="s">
        <v>4413</v>
      </c>
      <c r="AM2345">
        <v>46.896343000000002</v>
      </c>
      <c r="AN2345" t="s">
        <v>4414</v>
      </c>
      <c r="AO2345">
        <v>-123.210061</v>
      </c>
      <c r="AP2345">
        <v>100</v>
      </c>
      <c r="AQ2345">
        <v>2000</v>
      </c>
      <c r="AR2345" t="s">
        <v>118</v>
      </c>
      <c r="AS2345">
        <v>-72</v>
      </c>
      <c r="AT2345">
        <v>30</v>
      </c>
      <c r="AU2345">
        <v>0</v>
      </c>
      <c r="BC2345">
        <v>1200</v>
      </c>
      <c r="BD2345">
        <v>1</v>
      </c>
      <c r="BE2345" t="str">
        <f t="shared" si="110"/>
        <v xml:space="preserve">N215T   </v>
      </c>
      <c r="BF2345">
        <v>1</v>
      </c>
      <c r="BH2345">
        <v>0</v>
      </c>
      <c r="BI2345">
        <v>0</v>
      </c>
      <c r="BJ2345">
        <v>0</v>
      </c>
      <c r="BK2345">
        <v>2425</v>
      </c>
      <c r="BL2345">
        <v>425</v>
      </c>
      <c r="BM2345" t="s">
        <v>119</v>
      </c>
      <c r="BN2345">
        <v>1</v>
      </c>
      <c r="BO2345">
        <v>1</v>
      </c>
      <c r="BP2345">
        <v>1</v>
      </c>
      <c r="BQ2345">
        <v>0</v>
      </c>
      <c r="BT2345">
        <v>0</v>
      </c>
      <c r="BU2345">
        <v>0</v>
      </c>
      <c r="BV2345">
        <v>0</v>
      </c>
      <c r="CC2345" t="str">
        <f>"19:13:56.719"</f>
        <v>19:13:56.719</v>
      </c>
      <c r="CD2345" t="str">
        <f>"721833100"</f>
        <v>721833100</v>
      </c>
      <c r="CQ2345">
        <v>0</v>
      </c>
      <c r="CR2345">
        <v>2</v>
      </c>
      <c r="CS2345">
        <v>0</v>
      </c>
      <c r="CT2345">
        <v>2</v>
      </c>
      <c r="CU2345">
        <v>0</v>
      </c>
      <c r="CV2345">
        <v>6</v>
      </c>
      <c r="CW2345" t="s">
        <v>120</v>
      </c>
      <c r="CX2345">
        <v>257</v>
      </c>
      <c r="CY2345">
        <v>1</v>
      </c>
      <c r="CZ2345" t="s">
        <v>615</v>
      </c>
      <c r="DA2345" t="s">
        <v>616</v>
      </c>
      <c r="DD2345">
        <v>12124105</v>
      </c>
      <c r="DE2345" t="s">
        <v>123</v>
      </c>
    </row>
    <row r="2346" spans="1:109" x14ac:dyDescent="0.3">
      <c r="A2346" t="str">
        <f>"19:13:57.820"</f>
        <v>19:13:57.820</v>
      </c>
      <c r="B2346" t="s">
        <v>110</v>
      </c>
      <c r="C2346" t="str">
        <f t="shared" si="108"/>
        <v>ffdfd3c0</v>
      </c>
      <c r="D2346" t="s">
        <v>111</v>
      </c>
      <c r="E2346">
        <v>18</v>
      </c>
      <c r="F2346">
        <v>1018</v>
      </c>
      <c r="G2346" t="s">
        <v>112</v>
      </c>
      <c r="J2346" t="s">
        <v>113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R2346" t="s">
        <v>114</v>
      </c>
      <c r="S2346" t="str">
        <f>"19:13:57.602"</f>
        <v>19:13:57.602</v>
      </c>
      <c r="T2346" t="str">
        <f>"19:13:57.305"</f>
        <v>19:13:57.305</v>
      </c>
      <c r="U2346" t="str">
        <f t="shared" si="109"/>
        <v>a1cdbe</v>
      </c>
      <c r="V2346">
        <v>0</v>
      </c>
      <c r="W2346">
        <v>0</v>
      </c>
      <c r="X2346">
        <v>1</v>
      </c>
      <c r="Y2346">
        <v>0</v>
      </c>
      <c r="Z2346">
        <v>0</v>
      </c>
      <c r="AB2346">
        <v>0</v>
      </c>
      <c r="AC2346">
        <v>9</v>
      </c>
      <c r="AD2346">
        <v>3</v>
      </c>
      <c r="AE2346">
        <v>0</v>
      </c>
      <c r="AF2346">
        <v>9</v>
      </c>
      <c r="AG2346" t="s">
        <v>158</v>
      </c>
      <c r="AH2346">
        <v>0</v>
      </c>
      <c r="AI2346">
        <v>3</v>
      </c>
      <c r="AJ2346">
        <v>1</v>
      </c>
      <c r="AK2346">
        <v>0</v>
      </c>
      <c r="AL2346" t="s">
        <v>4415</v>
      </c>
      <c r="AM2346">
        <v>46.896515000000001</v>
      </c>
      <c r="AN2346" t="s">
        <v>4416</v>
      </c>
      <c r="AO2346">
        <v>-123.210511</v>
      </c>
      <c r="AP2346">
        <v>100</v>
      </c>
      <c r="AQ2346">
        <v>2000</v>
      </c>
      <c r="AR2346" t="s">
        <v>118</v>
      </c>
      <c r="AS2346">
        <v>-72</v>
      </c>
      <c r="AT2346">
        <v>30</v>
      </c>
      <c r="AU2346">
        <v>0</v>
      </c>
      <c r="BC2346">
        <v>1200</v>
      </c>
      <c r="BD2346">
        <v>1</v>
      </c>
      <c r="BE2346" t="str">
        <f t="shared" si="110"/>
        <v xml:space="preserve">N215T   </v>
      </c>
      <c r="BF2346">
        <v>1</v>
      </c>
      <c r="BH2346">
        <v>0</v>
      </c>
      <c r="BI2346">
        <v>0</v>
      </c>
      <c r="BJ2346">
        <v>0</v>
      </c>
      <c r="BK2346">
        <v>2425</v>
      </c>
      <c r="BL2346">
        <v>425</v>
      </c>
      <c r="BM2346" t="s">
        <v>119</v>
      </c>
      <c r="BN2346">
        <v>1</v>
      </c>
      <c r="BO2346">
        <v>1</v>
      </c>
      <c r="BP2346">
        <v>1</v>
      </c>
      <c r="BQ2346">
        <v>0</v>
      </c>
      <c r="BT2346">
        <v>0</v>
      </c>
      <c r="BU2346">
        <v>0</v>
      </c>
      <c r="BV2346">
        <v>0</v>
      </c>
      <c r="CC2346" t="str">
        <f>"19:13:57.609"</f>
        <v>19:13:57.609</v>
      </c>
      <c r="CD2346" t="str">
        <f>"606745870"</f>
        <v>606745870</v>
      </c>
      <c r="CQ2346">
        <v>0</v>
      </c>
      <c r="CR2346">
        <v>2</v>
      </c>
      <c r="CS2346">
        <v>0</v>
      </c>
      <c r="CT2346">
        <v>2</v>
      </c>
      <c r="CU2346">
        <v>0</v>
      </c>
      <c r="CV2346">
        <v>6</v>
      </c>
      <c r="CW2346" t="s">
        <v>120</v>
      </c>
      <c r="CX2346">
        <v>257</v>
      </c>
      <c r="CY2346">
        <v>0</v>
      </c>
      <c r="CZ2346" t="s">
        <v>615</v>
      </c>
      <c r="DA2346" t="s">
        <v>616</v>
      </c>
      <c r="DD2346">
        <v>15856211</v>
      </c>
      <c r="DE2346" t="s">
        <v>123</v>
      </c>
    </row>
    <row r="2347" spans="1:109" x14ac:dyDescent="0.3">
      <c r="A2347" t="str">
        <f>"19:13:58.820"</f>
        <v>19:13:58.820</v>
      </c>
      <c r="B2347" t="s">
        <v>110</v>
      </c>
      <c r="C2347" t="str">
        <f t="shared" si="108"/>
        <v>ffdfd3c0</v>
      </c>
      <c r="D2347" t="s">
        <v>111</v>
      </c>
      <c r="E2347">
        <v>18</v>
      </c>
      <c r="F2347">
        <v>1018</v>
      </c>
      <c r="G2347" t="s">
        <v>112</v>
      </c>
      <c r="J2347" t="s">
        <v>113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R2347" t="s">
        <v>114</v>
      </c>
      <c r="S2347" t="str">
        <f>"19:13:58.547"</f>
        <v>19:13:58.547</v>
      </c>
      <c r="T2347" t="str">
        <f>"19:13:58.344"</f>
        <v>19:13:58.344</v>
      </c>
      <c r="U2347" t="str">
        <f t="shared" si="109"/>
        <v>a1cdbe</v>
      </c>
      <c r="V2347">
        <v>0</v>
      </c>
      <c r="W2347">
        <v>0</v>
      </c>
      <c r="X2347">
        <v>1</v>
      </c>
      <c r="Y2347">
        <v>0</v>
      </c>
      <c r="Z2347">
        <v>0</v>
      </c>
      <c r="AB2347">
        <v>0</v>
      </c>
      <c r="AC2347">
        <v>9</v>
      </c>
      <c r="AD2347">
        <v>3</v>
      </c>
      <c r="AE2347">
        <v>0</v>
      </c>
      <c r="AF2347">
        <v>9</v>
      </c>
      <c r="AG2347" t="s">
        <v>158</v>
      </c>
      <c r="AH2347">
        <v>0</v>
      </c>
      <c r="AI2347">
        <v>3</v>
      </c>
      <c r="AJ2347">
        <v>1</v>
      </c>
      <c r="AK2347">
        <v>0</v>
      </c>
      <c r="AL2347" t="s">
        <v>4417</v>
      </c>
      <c r="AM2347">
        <v>46.896622000000001</v>
      </c>
      <c r="AN2347" t="s">
        <v>4418</v>
      </c>
      <c r="AO2347">
        <v>-123.21096199999999</v>
      </c>
      <c r="AP2347">
        <v>100</v>
      </c>
      <c r="AQ2347">
        <v>2000</v>
      </c>
      <c r="AR2347" t="s">
        <v>118</v>
      </c>
      <c r="AS2347">
        <v>-72</v>
      </c>
      <c r="AT2347">
        <v>30</v>
      </c>
      <c r="AU2347">
        <v>64</v>
      </c>
      <c r="BC2347">
        <v>1200</v>
      </c>
      <c r="BD2347">
        <v>1</v>
      </c>
      <c r="BE2347" t="str">
        <f t="shared" si="110"/>
        <v xml:space="preserve">N215T   </v>
      </c>
      <c r="BF2347">
        <v>1</v>
      </c>
      <c r="BH2347">
        <v>0</v>
      </c>
      <c r="BI2347">
        <v>0</v>
      </c>
      <c r="BJ2347">
        <v>0</v>
      </c>
      <c r="BK2347">
        <v>2425</v>
      </c>
      <c r="BL2347">
        <v>425</v>
      </c>
      <c r="BM2347" t="s">
        <v>119</v>
      </c>
      <c r="BN2347">
        <v>1</v>
      </c>
      <c r="BO2347">
        <v>1</v>
      </c>
      <c r="BP2347">
        <v>1</v>
      </c>
      <c r="BQ2347">
        <v>0</v>
      </c>
      <c r="BT2347">
        <v>0</v>
      </c>
      <c r="BU2347">
        <v>0</v>
      </c>
      <c r="BV2347">
        <v>0</v>
      </c>
      <c r="CC2347" t="str">
        <f>"19:13:58.555"</f>
        <v>19:13:58.555</v>
      </c>
      <c r="CD2347" t="str">
        <f>"551652753"</f>
        <v>551652753</v>
      </c>
      <c r="CQ2347">
        <v>0</v>
      </c>
      <c r="CR2347">
        <v>2</v>
      </c>
      <c r="CS2347">
        <v>0</v>
      </c>
      <c r="CT2347">
        <v>2</v>
      </c>
      <c r="CU2347">
        <v>0</v>
      </c>
      <c r="CV2347">
        <v>6</v>
      </c>
      <c r="CW2347" t="s">
        <v>120</v>
      </c>
      <c r="CX2347">
        <v>257</v>
      </c>
      <c r="CY2347">
        <v>1</v>
      </c>
      <c r="CZ2347" t="s">
        <v>615</v>
      </c>
      <c r="DA2347" t="s">
        <v>616</v>
      </c>
      <c r="DD2347">
        <v>12125412</v>
      </c>
      <c r="DE2347" t="s">
        <v>123</v>
      </c>
    </row>
    <row r="2348" spans="1:109" x14ac:dyDescent="0.3">
      <c r="A2348" t="str">
        <f>"19:14:00.031"</f>
        <v>19:14:00.031</v>
      </c>
      <c r="B2348" t="s">
        <v>110</v>
      </c>
      <c r="C2348" t="str">
        <f t="shared" si="108"/>
        <v>ffdfd3c0</v>
      </c>
      <c r="D2348" t="s">
        <v>111</v>
      </c>
      <c r="E2348">
        <v>18</v>
      </c>
      <c r="F2348">
        <v>1018</v>
      </c>
      <c r="G2348" t="s">
        <v>112</v>
      </c>
      <c r="J2348" t="s">
        <v>113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R2348" t="s">
        <v>114</v>
      </c>
      <c r="S2348" t="str">
        <f>"19:13:59.734"</f>
        <v>19:13:59.734</v>
      </c>
      <c r="T2348" t="str">
        <f>"19:13:59.336"</f>
        <v>19:13:59.336</v>
      </c>
      <c r="U2348" t="str">
        <f t="shared" si="109"/>
        <v>a1cdbe</v>
      </c>
      <c r="V2348">
        <v>0</v>
      </c>
      <c r="W2348">
        <v>0</v>
      </c>
      <c r="X2348">
        <v>1</v>
      </c>
      <c r="Y2348">
        <v>0</v>
      </c>
      <c r="Z2348">
        <v>0</v>
      </c>
      <c r="AB2348">
        <v>0</v>
      </c>
      <c r="AC2348">
        <v>9</v>
      </c>
      <c r="AD2348">
        <v>3</v>
      </c>
      <c r="AE2348">
        <v>0</v>
      </c>
      <c r="AF2348">
        <v>9</v>
      </c>
      <c r="AG2348" t="s">
        <v>158</v>
      </c>
      <c r="AH2348">
        <v>0</v>
      </c>
      <c r="AI2348">
        <v>3</v>
      </c>
      <c r="AJ2348">
        <v>1</v>
      </c>
      <c r="AK2348">
        <v>0</v>
      </c>
      <c r="AL2348" t="s">
        <v>4419</v>
      </c>
      <c r="AM2348">
        <v>46.896794</v>
      </c>
      <c r="AN2348" t="s">
        <v>4420</v>
      </c>
      <c r="AO2348">
        <v>-123.211541</v>
      </c>
      <c r="AP2348">
        <v>100</v>
      </c>
      <c r="AQ2348">
        <v>2000</v>
      </c>
      <c r="AR2348" t="s">
        <v>118</v>
      </c>
      <c r="AS2348">
        <v>-72</v>
      </c>
      <c r="AT2348">
        <v>30</v>
      </c>
      <c r="AU2348">
        <v>0</v>
      </c>
      <c r="BC2348">
        <v>1200</v>
      </c>
      <c r="BD2348">
        <v>1</v>
      </c>
      <c r="BE2348" t="str">
        <f t="shared" si="110"/>
        <v xml:space="preserve">N215T   </v>
      </c>
      <c r="BF2348">
        <v>1</v>
      </c>
      <c r="BH2348">
        <v>0</v>
      </c>
      <c r="BI2348">
        <v>0</v>
      </c>
      <c r="BJ2348">
        <v>0</v>
      </c>
      <c r="BK2348">
        <v>2425</v>
      </c>
      <c r="BL2348">
        <v>425</v>
      </c>
      <c r="BM2348" t="s">
        <v>119</v>
      </c>
      <c r="BN2348">
        <v>1</v>
      </c>
      <c r="BO2348">
        <v>1</v>
      </c>
      <c r="BP2348">
        <v>1</v>
      </c>
      <c r="BQ2348">
        <v>0</v>
      </c>
      <c r="BT2348">
        <v>0</v>
      </c>
      <c r="BU2348">
        <v>0</v>
      </c>
      <c r="BV2348">
        <v>0</v>
      </c>
      <c r="CC2348" t="str">
        <f>"19:13:59.734"</f>
        <v>19:13:59.734</v>
      </c>
      <c r="CD2348" t="str">
        <f>"736535967"</f>
        <v>736535967</v>
      </c>
      <c r="CQ2348">
        <v>0</v>
      </c>
      <c r="CR2348">
        <v>2</v>
      </c>
      <c r="CS2348">
        <v>0</v>
      </c>
      <c r="CT2348">
        <v>2</v>
      </c>
      <c r="CU2348">
        <v>0</v>
      </c>
      <c r="CV2348">
        <v>6</v>
      </c>
      <c r="CW2348" t="s">
        <v>120</v>
      </c>
      <c r="CX2348">
        <v>257</v>
      </c>
      <c r="CY2348">
        <v>0</v>
      </c>
      <c r="CZ2348" t="s">
        <v>615</v>
      </c>
      <c r="DA2348" t="s">
        <v>616</v>
      </c>
      <c r="DD2348">
        <v>15857418</v>
      </c>
      <c r="DE2348" t="s">
        <v>123</v>
      </c>
    </row>
    <row r="2349" spans="1:109" x14ac:dyDescent="0.3">
      <c r="A2349" t="str">
        <f>"19:14:01.086"</f>
        <v>19:14:01.086</v>
      </c>
      <c r="B2349" t="s">
        <v>110</v>
      </c>
      <c r="C2349" t="str">
        <f t="shared" si="108"/>
        <v>ffdfd3c0</v>
      </c>
      <c r="D2349" t="s">
        <v>111</v>
      </c>
      <c r="E2349">
        <v>18</v>
      </c>
      <c r="F2349">
        <v>1018</v>
      </c>
      <c r="G2349" t="s">
        <v>112</v>
      </c>
      <c r="J2349" t="s">
        <v>113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R2349" t="s">
        <v>114</v>
      </c>
      <c r="S2349" t="str">
        <f>"19:14:00.844"</f>
        <v>19:14:00.844</v>
      </c>
      <c r="T2349" t="str">
        <f>"19:14:00.445"</f>
        <v>19:14:00.445</v>
      </c>
      <c r="U2349" t="str">
        <f t="shared" si="109"/>
        <v>a1cdbe</v>
      </c>
      <c r="V2349">
        <v>0</v>
      </c>
      <c r="W2349">
        <v>0</v>
      </c>
      <c r="X2349">
        <v>1</v>
      </c>
      <c r="Y2349">
        <v>0</v>
      </c>
      <c r="Z2349">
        <v>0</v>
      </c>
      <c r="AB2349">
        <v>0</v>
      </c>
      <c r="AC2349">
        <v>9</v>
      </c>
      <c r="AD2349">
        <v>3</v>
      </c>
      <c r="AE2349">
        <v>0</v>
      </c>
      <c r="AF2349">
        <v>9</v>
      </c>
      <c r="AG2349" t="s">
        <v>158</v>
      </c>
      <c r="AH2349">
        <v>0</v>
      </c>
      <c r="AI2349">
        <v>3</v>
      </c>
      <c r="AJ2349">
        <v>1</v>
      </c>
      <c r="AK2349">
        <v>0</v>
      </c>
      <c r="AL2349" t="s">
        <v>4421</v>
      </c>
      <c r="AM2349">
        <v>46.896923000000001</v>
      </c>
      <c r="AN2349" t="s">
        <v>4422</v>
      </c>
      <c r="AO2349">
        <v>-123.21207800000001</v>
      </c>
      <c r="AP2349">
        <v>100</v>
      </c>
      <c r="AQ2349">
        <v>2000</v>
      </c>
      <c r="AR2349" t="s">
        <v>118</v>
      </c>
      <c r="AS2349">
        <v>-72</v>
      </c>
      <c r="AT2349">
        <v>31</v>
      </c>
      <c r="AU2349">
        <v>0</v>
      </c>
      <c r="BC2349">
        <v>1200</v>
      </c>
      <c r="BD2349">
        <v>1</v>
      </c>
      <c r="BE2349" t="str">
        <f t="shared" si="110"/>
        <v xml:space="preserve">N215T   </v>
      </c>
      <c r="BF2349">
        <v>1</v>
      </c>
      <c r="BH2349">
        <v>0</v>
      </c>
      <c r="BI2349">
        <v>0</v>
      </c>
      <c r="BJ2349">
        <v>0</v>
      </c>
      <c r="BK2349">
        <v>2425</v>
      </c>
      <c r="BL2349">
        <v>425</v>
      </c>
      <c r="BM2349" t="s">
        <v>119</v>
      </c>
      <c r="BN2349">
        <v>1</v>
      </c>
      <c r="BO2349">
        <v>1</v>
      </c>
      <c r="BP2349">
        <v>1</v>
      </c>
      <c r="BQ2349">
        <v>0</v>
      </c>
      <c r="BT2349">
        <v>0</v>
      </c>
      <c r="BU2349">
        <v>0</v>
      </c>
      <c r="BV2349">
        <v>0</v>
      </c>
      <c r="CC2349" t="str">
        <f>"19:14:00.844"</f>
        <v>19:14:00.844</v>
      </c>
      <c r="CD2349" t="str">
        <f>"846426591"</f>
        <v>846426591</v>
      </c>
      <c r="CQ2349">
        <v>0</v>
      </c>
      <c r="CR2349">
        <v>2</v>
      </c>
      <c r="CS2349">
        <v>0</v>
      </c>
      <c r="CT2349">
        <v>2</v>
      </c>
      <c r="CU2349">
        <v>0</v>
      </c>
      <c r="CV2349">
        <v>6</v>
      </c>
      <c r="CW2349" t="s">
        <v>120</v>
      </c>
      <c r="CX2349">
        <v>257</v>
      </c>
      <c r="CY2349">
        <v>1</v>
      </c>
      <c r="CZ2349" t="s">
        <v>615</v>
      </c>
      <c r="DA2349" t="s">
        <v>616</v>
      </c>
      <c r="DD2349">
        <v>12127107</v>
      </c>
      <c r="DE2349" t="s">
        <v>123</v>
      </c>
    </row>
    <row r="2350" spans="1:109" x14ac:dyDescent="0.3">
      <c r="A2350" t="str">
        <f>"19:14:02.242"</f>
        <v>19:14:02.242</v>
      </c>
      <c r="B2350" t="s">
        <v>110</v>
      </c>
      <c r="C2350" t="str">
        <f t="shared" si="108"/>
        <v>ffdfd3c0</v>
      </c>
      <c r="D2350" t="s">
        <v>111</v>
      </c>
      <c r="E2350">
        <v>18</v>
      </c>
      <c r="F2350">
        <v>1018</v>
      </c>
      <c r="G2350" t="s">
        <v>112</v>
      </c>
      <c r="J2350" t="s">
        <v>113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R2350" t="s">
        <v>114</v>
      </c>
      <c r="S2350" t="str">
        <f>"19:14:01.969"</f>
        <v>19:14:01.969</v>
      </c>
      <c r="T2350" t="str">
        <f>"19:14:01.766"</f>
        <v>19:14:01.766</v>
      </c>
      <c r="U2350" t="str">
        <f t="shared" si="109"/>
        <v>a1cdbe</v>
      </c>
      <c r="V2350">
        <v>0</v>
      </c>
      <c r="W2350">
        <v>0</v>
      </c>
      <c r="X2350">
        <v>1</v>
      </c>
      <c r="Y2350">
        <v>0</v>
      </c>
      <c r="Z2350">
        <v>0</v>
      </c>
      <c r="AB2350">
        <v>0</v>
      </c>
      <c r="AC2350">
        <v>9</v>
      </c>
      <c r="AD2350">
        <v>3</v>
      </c>
      <c r="AE2350">
        <v>0</v>
      </c>
      <c r="AF2350">
        <v>9</v>
      </c>
      <c r="AG2350" t="s">
        <v>158</v>
      </c>
      <c r="AH2350">
        <v>0</v>
      </c>
      <c r="AI2350">
        <v>3</v>
      </c>
      <c r="AJ2350">
        <v>1</v>
      </c>
      <c r="AK2350">
        <v>0</v>
      </c>
      <c r="AL2350" t="s">
        <v>4423</v>
      </c>
      <c r="AM2350">
        <v>46.897115999999997</v>
      </c>
      <c r="AN2350" t="s">
        <v>4424</v>
      </c>
      <c r="AO2350">
        <v>-123.212636</v>
      </c>
      <c r="AP2350">
        <v>100</v>
      </c>
      <c r="AQ2350">
        <v>2000</v>
      </c>
      <c r="AR2350" t="s">
        <v>118</v>
      </c>
      <c r="AS2350">
        <v>-72</v>
      </c>
      <c r="AT2350">
        <v>31</v>
      </c>
      <c r="AU2350">
        <v>64</v>
      </c>
      <c r="BC2350">
        <v>1200</v>
      </c>
      <c r="BD2350">
        <v>1</v>
      </c>
      <c r="BE2350" t="str">
        <f t="shared" si="110"/>
        <v xml:space="preserve">N215T   </v>
      </c>
      <c r="BF2350">
        <v>1</v>
      </c>
      <c r="BH2350">
        <v>0</v>
      </c>
      <c r="BI2350">
        <v>0</v>
      </c>
      <c r="BJ2350">
        <v>0</v>
      </c>
      <c r="BK2350">
        <v>2425</v>
      </c>
      <c r="BL2350">
        <v>425</v>
      </c>
      <c r="BM2350" t="s">
        <v>119</v>
      </c>
      <c r="BN2350">
        <v>1</v>
      </c>
      <c r="BO2350">
        <v>1</v>
      </c>
      <c r="BP2350">
        <v>1</v>
      </c>
      <c r="BQ2350">
        <v>0</v>
      </c>
      <c r="BT2350">
        <v>0</v>
      </c>
      <c r="BU2350">
        <v>0</v>
      </c>
      <c r="BV2350">
        <v>0</v>
      </c>
      <c r="CC2350" t="str">
        <f>"19:14:01.969"</f>
        <v>19:14:01.969</v>
      </c>
      <c r="CD2350" t="str">
        <f>"971315725"</f>
        <v>971315725</v>
      </c>
      <c r="CQ2350">
        <v>0</v>
      </c>
      <c r="CR2350">
        <v>2</v>
      </c>
      <c r="CS2350">
        <v>0</v>
      </c>
      <c r="CT2350">
        <v>2</v>
      </c>
      <c r="CU2350">
        <v>0</v>
      </c>
      <c r="CV2350">
        <v>6</v>
      </c>
      <c r="CW2350" t="s">
        <v>120</v>
      </c>
      <c r="CX2350">
        <v>257</v>
      </c>
      <c r="CY2350">
        <v>0</v>
      </c>
      <c r="CZ2350" t="s">
        <v>615</v>
      </c>
      <c r="DA2350" t="s">
        <v>616</v>
      </c>
      <c r="DD2350">
        <v>15858733</v>
      </c>
      <c r="DE2350" t="s">
        <v>123</v>
      </c>
    </row>
    <row r="2351" spans="1:109" x14ac:dyDescent="0.3">
      <c r="A2351" t="str">
        <f>"19:14:03.094"</f>
        <v>19:14:03.094</v>
      </c>
      <c r="B2351" t="s">
        <v>110</v>
      </c>
      <c r="C2351" t="str">
        <f t="shared" si="108"/>
        <v>ffdfd3c0</v>
      </c>
      <c r="D2351" t="s">
        <v>111</v>
      </c>
      <c r="E2351">
        <v>18</v>
      </c>
      <c r="F2351">
        <v>1018</v>
      </c>
      <c r="G2351" t="s">
        <v>112</v>
      </c>
      <c r="J2351" t="s">
        <v>113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R2351" t="s">
        <v>114</v>
      </c>
      <c r="S2351" t="str">
        <f>"19:14:02.852"</f>
        <v>19:14:02.852</v>
      </c>
      <c r="T2351" t="str">
        <f>"19:14:02.750"</f>
        <v>19:14:02.750</v>
      </c>
      <c r="U2351" t="str">
        <f t="shared" si="109"/>
        <v>a1cdbe</v>
      </c>
      <c r="V2351">
        <v>0</v>
      </c>
      <c r="W2351">
        <v>0</v>
      </c>
      <c r="X2351">
        <v>1</v>
      </c>
      <c r="Y2351">
        <v>0</v>
      </c>
      <c r="Z2351">
        <v>0</v>
      </c>
      <c r="AB2351">
        <v>0</v>
      </c>
      <c r="AC2351">
        <v>9</v>
      </c>
      <c r="AD2351">
        <v>3</v>
      </c>
      <c r="AE2351">
        <v>0</v>
      </c>
      <c r="AF2351">
        <v>9</v>
      </c>
      <c r="AG2351" t="s">
        <v>158</v>
      </c>
      <c r="AH2351">
        <v>0</v>
      </c>
      <c r="AI2351">
        <v>3</v>
      </c>
      <c r="AJ2351">
        <v>1</v>
      </c>
      <c r="AK2351">
        <v>0</v>
      </c>
      <c r="AL2351" t="s">
        <v>4425</v>
      </c>
      <c r="AM2351">
        <v>46.897244000000001</v>
      </c>
      <c r="AN2351" t="s">
        <v>4426</v>
      </c>
      <c r="AO2351">
        <v>-123.213043</v>
      </c>
      <c r="AP2351">
        <v>100</v>
      </c>
      <c r="AQ2351">
        <v>2000</v>
      </c>
      <c r="AR2351" t="s">
        <v>118</v>
      </c>
      <c r="AS2351">
        <v>-72</v>
      </c>
      <c r="AT2351">
        <v>31</v>
      </c>
      <c r="AU2351">
        <v>64</v>
      </c>
      <c r="BC2351">
        <v>1200</v>
      </c>
      <c r="BD2351">
        <v>1</v>
      </c>
      <c r="BE2351" t="str">
        <f t="shared" si="110"/>
        <v xml:space="preserve">N215T   </v>
      </c>
      <c r="BF2351">
        <v>1</v>
      </c>
      <c r="BH2351">
        <v>0</v>
      </c>
      <c r="BI2351">
        <v>0</v>
      </c>
      <c r="BJ2351">
        <v>0</v>
      </c>
      <c r="BK2351">
        <v>2425</v>
      </c>
      <c r="BL2351">
        <v>425</v>
      </c>
      <c r="BM2351" t="s">
        <v>119</v>
      </c>
      <c r="BN2351">
        <v>1</v>
      </c>
      <c r="BO2351">
        <v>1</v>
      </c>
      <c r="BP2351">
        <v>1</v>
      </c>
      <c r="BQ2351">
        <v>0</v>
      </c>
      <c r="BT2351">
        <v>0</v>
      </c>
      <c r="BU2351">
        <v>0</v>
      </c>
      <c r="BV2351">
        <v>0</v>
      </c>
      <c r="CC2351" t="str">
        <f>"19:14:02.859"</f>
        <v>19:14:02.859</v>
      </c>
      <c r="CD2351" t="str">
        <f>"856228513"</f>
        <v>856228513</v>
      </c>
      <c r="CQ2351">
        <v>0</v>
      </c>
      <c r="CR2351">
        <v>2</v>
      </c>
      <c r="CS2351">
        <v>0</v>
      </c>
      <c r="CT2351">
        <v>2</v>
      </c>
      <c r="CU2351">
        <v>0</v>
      </c>
      <c r="CV2351">
        <v>6</v>
      </c>
      <c r="CW2351" t="s">
        <v>120</v>
      </c>
      <c r="CX2351">
        <v>257</v>
      </c>
      <c r="CY2351">
        <v>0</v>
      </c>
      <c r="CZ2351" t="s">
        <v>615</v>
      </c>
      <c r="DA2351" t="s">
        <v>616</v>
      </c>
      <c r="DD2351">
        <v>15859206</v>
      </c>
      <c r="DE2351" t="s">
        <v>123</v>
      </c>
    </row>
    <row r="2352" spans="1:109" x14ac:dyDescent="0.3">
      <c r="A2352" t="str">
        <f>"19:14:04.055"</f>
        <v>19:14:04.055</v>
      </c>
      <c r="B2352" t="s">
        <v>110</v>
      </c>
      <c r="C2352" t="str">
        <f t="shared" si="108"/>
        <v>ffdfd3c0</v>
      </c>
      <c r="D2352" t="s">
        <v>111</v>
      </c>
      <c r="E2352">
        <v>18</v>
      </c>
      <c r="F2352">
        <v>1018</v>
      </c>
      <c r="G2352" t="s">
        <v>112</v>
      </c>
      <c r="J2352" t="s">
        <v>113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R2352" t="s">
        <v>114</v>
      </c>
      <c r="S2352" t="str">
        <f>"19:14:03.797"</f>
        <v>19:14:03.797</v>
      </c>
      <c r="T2352" t="str">
        <f>"19:14:03.797"</f>
        <v>19:14:03.797</v>
      </c>
      <c r="U2352" t="str">
        <f t="shared" si="109"/>
        <v>a1cdbe</v>
      </c>
      <c r="V2352">
        <v>0</v>
      </c>
      <c r="W2352">
        <v>0</v>
      </c>
      <c r="X2352">
        <v>1</v>
      </c>
      <c r="Y2352">
        <v>0</v>
      </c>
      <c r="Z2352">
        <v>0</v>
      </c>
      <c r="AB2352">
        <v>0</v>
      </c>
      <c r="AC2352">
        <v>9</v>
      </c>
      <c r="AD2352">
        <v>3</v>
      </c>
      <c r="AE2352">
        <v>0</v>
      </c>
      <c r="AF2352">
        <v>9</v>
      </c>
      <c r="AG2352" t="s">
        <v>158</v>
      </c>
      <c r="AH2352">
        <v>0</v>
      </c>
      <c r="AI2352">
        <v>3</v>
      </c>
      <c r="AJ2352">
        <v>1</v>
      </c>
      <c r="AK2352">
        <v>0</v>
      </c>
      <c r="AL2352" t="s">
        <v>1422</v>
      </c>
      <c r="AM2352">
        <v>46.897373000000002</v>
      </c>
      <c r="AN2352" t="s">
        <v>4427</v>
      </c>
      <c r="AO2352">
        <v>-123.213494</v>
      </c>
      <c r="AP2352">
        <v>100</v>
      </c>
      <c r="AQ2352">
        <v>2000</v>
      </c>
      <c r="AR2352" t="s">
        <v>118</v>
      </c>
      <c r="AS2352">
        <v>-72</v>
      </c>
      <c r="AT2352">
        <v>31</v>
      </c>
      <c r="AU2352">
        <v>64</v>
      </c>
      <c r="BC2352">
        <v>1200</v>
      </c>
      <c r="BD2352">
        <v>1</v>
      </c>
      <c r="BE2352" t="str">
        <f t="shared" si="110"/>
        <v xml:space="preserve">N215T   </v>
      </c>
      <c r="BF2352">
        <v>1</v>
      </c>
      <c r="BH2352">
        <v>0</v>
      </c>
      <c r="BI2352">
        <v>0</v>
      </c>
      <c r="BJ2352">
        <v>0</v>
      </c>
      <c r="BK2352">
        <v>2425</v>
      </c>
      <c r="BL2352">
        <v>425</v>
      </c>
      <c r="BM2352" t="s">
        <v>119</v>
      </c>
      <c r="BN2352">
        <v>1</v>
      </c>
      <c r="BO2352">
        <v>1</v>
      </c>
      <c r="BP2352">
        <v>1</v>
      </c>
      <c r="BQ2352">
        <v>0</v>
      </c>
      <c r="BT2352">
        <v>0</v>
      </c>
      <c r="BU2352">
        <v>0</v>
      </c>
      <c r="BV2352">
        <v>0</v>
      </c>
      <c r="CC2352" t="str">
        <f>"19:14:03.805"</f>
        <v>19:14:03.805</v>
      </c>
      <c r="CD2352" t="str">
        <f>"801135380"</f>
        <v>801135380</v>
      </c>
      <c r="CQ2352">
        <v>0</v>
      </c>
      <c r="CR2352">
        <v>2</v>
      </c>
      <c r="CS2352">
        <v>0</v>
      </c>
      <c r="CT2352">
        <v>2</v>
      </c>
      <c r="CU2352">
        <v>0</v>
      </c>
      <c r="CV2352">
        <v>6</v>
      </c>
      <c r="CW2352" t="s">
        <v>120</v>
      </c>
      <c r="CX2352">
        <v>257</v>
      </c>
      <c r="CY2352">
        <v>0</v>
      </c>
      <c r="CZ2352" t="s">
        <v>615</v>
      </c>
      <c r="DA2352" t="s">
        <v>616</v>
      </c>
      <c r="DD2352">
        <v>15859729</v>
      </c>
      <c r="DE2352" t="s">
        <v>123</v>
      </c>
    </row>
    <row r="2353" spans="1:109" x14ac:dyDescent="0.3">
      <c r="A2353" t="str">
        <f>"19:14:04.961"</f>
        <v>19:14:04.961</v>
      </c>
      <c r="B2353" t="s">
        <v>110</v>
      </c>
      <c r="C2353" t="str">
        <f t="shared" si="108"/>
        <v>ffdfd3c0</v>
      </c>
      <c r="D2353" t="s">
        <v>111</v>
      </c>
      <c r="E2353">
        <v>18</v>
      </c>
      <c r="F2353">
        <v>1018</v>
      </c>
      <c r="G2353" t="s">
        <v>112</v>
      </c>
      <c r="J2353" t="s">
        <v>113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R2353" t="s">
        <v>114</v>
      </c>
      <c r="S2353" t="str">
        <f>"19:14:04.711"</f>
        <v>19:14:04.711</v>
      </c>
      <c r="T2353" t="str">
        <f>"19:14:04.414"</f>
        <v>19:14:04.414</v>
      </c>
      <c r="U2353" t="str">
        <f t="shared" si="109"/>
        <v>a1cdbe</v>
      </c>
      <c r="V2353">
        <v>0</v>
      </c>
      <c r="W2353">
        <v>0</v>
      </c>
      <c r="X2353">
        <v>1</v>
      </c>
      <c r="Y2353">
        <v>0</v>
      </c>
      <c r="Z2353">
        <v>0</v>
      </c>
      <c r="AB2353">
        <v>0</v>
      </c>
      <c r="AC2353">
        <v>9</v>
      </c>
      <c r="AD2353">
        <v>3</v>
      </c>
      <c r="AE2353">
        <v>0</v>
      </c>
      <c r="AF2353">
        <v>9</v>
      </c>
      <c r="AG2353" t="s">
        <v>158</v>
      </c>
      <c r="AH2353">
        <v>0</v>
      </c>
      <c r="AI2353">
        <v>3</v>
      </c>
      <c r="AJ2353">
        <v>1</v>
      </c>
      <c r="AK2353">
        <v>0</v>
      </c>
      <c r="AL2353" t="s">
        <v>4428</v>
      </c>
      <c r="AM2353">
        <v>46.897523</v>
      </c>
      <c r="AN2353" t="s">
        <v>4429</v>
      </c>
      <c r="AO2353">
        <v>-123.21392299999999</v>
      </c>
      <c r="AP2353">
        <v>100</v>
      </c>
      <c r="AQ2353">
        <v>2000</v>
      </c>
      <c r="AR2353" t="s">
        <v>118</v>
      </c>
      <c r="AS2353">
        <v>-72</v>
      </c>
      <c r="AT2353">
        <v>31</v>
      </c>
      <c r="AU2353">
        <v>0</v>
      </c>
      <c r="BC2353">
        <v>1200</v>
      </c>
      <c r="BD2353">
        <v>1</v>
      </c>
      <c r="BE2353" t="str">
        <f t="shared" si="110"/>
        <v xml:space="preserve">N215T   </v>
      </c>
      <c r="BF2353">
        <v>1</v>
      </c>
      <c r="BH2353">
        <v>0</v>
      </c>
      <c r="BI2353">
        <v>0</v>
      </c>
      <c r="BJ2353">
        <v>0</v>
      </c>
      <c r="BK2353">
        <v>2425</v>
      </c>
      <c r="BL2353">
        <v>425</v>
      </c>
      <c r="BM2353" t="s">
        <v>119</v>
      </c>
      <c r="BN2353">
        <v>1</v>
      </c>
      <c r="BO2353">
        <v>1</v>
      </c>
      <c r="BP2353">
        <v>1</v>
      </c>
      <c r="BQ2353">
        <v>0</v>
      </c>
      <c r="BT2353">
        <v>0</v>
      </c>
      <c r="BU2353">
        <v>0</v>
      </c>
      <c r="BV2353">
        <v>0</v>
      </c>
      <c r="CC2353" t="str">
        <f>"19:14:04.719"</f>
        <v>19:14:04.719</v>
      </c>
      <c r="CD2353" t="str">
        <f>"716045214"</f>
        <v>716045214</v>
      </c>
      <c r="CQ2353">
        <v>0</v>
      </c>
      <c r="CR2353">
        <v>2</v>
      </c>
      <c r="CS2353">
        <v>0</v>
      </c>
      <c r="CT2353">
        <v>2</v>
      </c>
      <c r="CU2353">
        <v>0</v>
      </c>
      <c r="CV2353">
        <v>6</v>
      </c>
      <c r="CW2353" t="s">
        <v>120</v>
      </c>
      <c r="CX2353">
        <v>257</v>
      </c>
      <c r="CY2353">
        <v>0</v>
      </c>
      <c r="CZ2353" t="s">
        <v>615</v>
      </c>
      <c r="DA2353" t="s">
        <v>616</v>
      </c>
      <c r="DD2353">
        <v>15860252</v>
      </c>
      <c r="DE2353" t="s">
        <v>123</v>
      </c>
    </row>
    <row r="2354" spans="1:109" x14ac:dyDescent="0.3">
      <c r="A2354" t="str">
        <f>"19:14:06.109"</f>
        <v>19:14:06.109</v>
      </c>
      <c r="B2354" t="s">
        <v>110</v>
      </c>
      <c r="C2354" t="str">
        <f t="shared" si="108"/>
        <v>ffdfd3c0</v>
      </c>
      <c r="D2354" t="s">
        <v>111</v>
      </c>
      <c r="E2354">
        <v>18</v>
      </c>
      <c r="F2354">
        <v>1018</v>
      </c>
      <c r="G2354" t="s">
        <v>112</v>
      </c>
      <c r="J2354" t="s">
        <v>113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R2354" t="s">
        <v>114</v>
      </c>
      <c r="S2354" t="str">
        <f>"19:14:05.836"</f>
        <v>19:14:05.836</v>
      </c>
      <c r="T2354" t="str">
        <f>"19:14:05.734"</f>
        <v>19:14:05.734</v>
      </c>
      <c r="U2354" t="str">
        <f t="shared" si="109"/>
        <v>a1cdbe</v>
      </c>
      <c r="V2354">
        <v>0</v>
      </c>
      <c r="W2354">
        <v>0</v>
      </c>
      <c r="X2354">
        <v>1</v>
      </c>
      <c r="Y2354">
        <v>0</v>
      </c>
      <c r="Z2354">
        <v>0</v>
      </c>
      <c r="AB2354">
        <v>0</v>
      </c>
      <c r="AC2354">
        <v>9</v>
      </c>
      <c r="AD2354">
        <v>3</v>
      </c>
      <c r="AE2354">
        <v>0</v>
      </c>
      <c r="AF2354">
        <v>9</v>
      </c>
      <c r="AG2354" t="s">
        <v>158</v>
      </c>
      <c r="AH2354">
        <v>0</v>
      </c>
      <c r="AI2354">
        <v>3</v>
      </c>
      <c r="AJ2354">
        <v>1</v>
      </c>
      <c r="AK2354">
        <v>0</v>
      </c>
      <c r="AL2354" t="s">
        <v>1420</v>
      </c>
      <c r="AM2354">
        <v>46.897652000000001</v>
      </c>
      <c r="AN2354" t="s">
        <v>4430</v>
      </c>
      <c r="AO2354">
        <v>-123.21448100000001</v>
      </c>
      <c r="AP2354">
        <v>100</v>
      </c>
      <c r="AQ2354">
        <v>2000</v>
      </c>
      <c r="AR2354" t="s">
        <v>118</v>
      </c>
      <c r="AS2354">
        <v>-72</v>
      </c>
      <c r="AT2354">
        <v>32</v>
      </c>
      <c r="AU2354">
        <v>-64</v>
      </c>
      <c r="BC2354">
        <v>1200</v>
      </c>
      <c r="BD2354">
        <v>1</v>
      </c>
      <c r="BE2354" t="str">
        <f t="shared" si="110"/>
        <v xml:space="preserve">N215T   </v>
      </c>
      <c r="BF2354">
        <v>1</v>
      </c>
      <c r="BH2354">
        <v>0</v>
      </c>
      <c r="BI2354">
        <v>0</v>
      </c>
      <c r="BJ2354">
        <v>0</v>
      </c>
      <c r="BK2354">
        <v>2425</v>
      </c>
      <c r="BL2354">
        <v>425</v>
      </c>
      <c r="BM2354" t="s">
        <v>119</v>
      </c>
      <c r="BN2354">
        <v>1</v>
      </c>
      <c r="BO2354">
        <v>1</v>
      </c>
      <c r="BP2354">
        <v>1</v>
      </c>
      <c r="BQ2354">
        <v>0</v>
      </c>
      <c r="BT2354">
        <v>0</v>
      </c>
      <c r="BU2354">
        <v>0</v>
      </c>
      <c r="BV2354">
        <v>0</v>
      </c>
      <c r="CC2354" t="str">
        <f>"19:14:05.844"</f>
        <v>19:14:05.844</v>
      </c>
      <c r="CD2354" t="str">
        <f>"840934354"</f>
        <v>840934354</v>
      </c>
      <c r="CQ2354">
        <v>0</v>
      </c>
      <c r="CR2354">
        <v>2</v>
      </c>
      <c r="CS2354">
        <v>0</v>
      </c>
      <c r="CT2354">
        <v>2</v>
      </c>
      <c r="CU2354">
        <v>0</v>
      </c>
      <c r="CV2354">
        <v>6</v>
      </c>
      <c r="CW2354" t="s">
        <v>120</v>
      </c>
      <c r="CX2354">
        <v>257</v>
      </c>
      <c r="CY2354">
        <v>0</v>
      </c>
      <c r="CZ2354" t="s">
        <v>615</v>
      </c>
      <c r="DA2354" t="s">
        <v>616</v>
      </c>
      <c r="DD2354">
        <v>15860917</v>
      </c>
      <c r="DE2354" t="s">
        <v>123</v>
      </c>
    </row>
    <row r="2355" spans="1:109" x14ac:dyDescent="0.3">
      <c r="A2355" t="str">
        <f>"19:14:07.172"</f>
        <v>19:14:07.172</v>
      </c>
      <c r="B2355" t="s">
        <v>110</v>
      </c>
      <c r="C2355" t="str">
        <f t="shared" si="108"/>
        <v>ffdfd3c0</v>
      </c>
      <c r="D2355" t="s">
        <v>111</v>
      </c>
      <c r="E2355">
        <v>18</v>
      </c>
      <c r="F2355">
        <v>1018</v>
      </c>
      <c r="G2355" t="s">
        <v>112</v>
      </c>
      <c r="J2355" t="s">
        <v>113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R2355" t="s">
        <v>114</v>
      </c>
      <c r="S2355" t="str">
        <f>"19:14:06.945"</f>
        <v>19:14:06.945</v>
      </c>
      <c r="T2355" t="str">
        <f>"19:14:06.742"</f>
        <v>19:14:06.742</v>
      </c>
      <c r="U2355" t="str">
        <f t="shared" si="109"/>
        <v>a1cdbe</v>
      </c>
      <c r="V2355">
        <v>0</v>
      </c>
      <c r="W2355">
        <v>0</v>
      </c>
      <c r="X2355">
        <v>1</v>
      </c>
      <c r="Y2355">
        <v>0</v>
      </c>
      <c r="Z2355">
        <v>0</v>
      </c>
      <c r="AB2355">
        <v>0</v>
      </c>
      <c r="AC2355">
        <v>9</v>
      </c>
      <c r="AD2355">
        <v>3</v>
      </c>
      <c r="AE2355">
        <v>0</v>
      </c>
      <c r="AF2355">
        <v>9</v>
      </c>
      <c r="AG2355" t="s">
        <v>158</v>
      </c>
      <c r="AH2355">
        <v>0</v>
      </c>
      <c r="AI2355">
        <v>3</v>
      </c>
      <c r="AJ2355">
        <v>1</v>
      </c>
      <c r="AK2355">
        <v>0</v>
      </c>
      <c r="AL2355" t="s">
        <v>4431</v>
      </c>
      <c r="AM2355">
        <v>46.897844999999997</v>
      </c>
      <c r="AN2355" t="s">
        <v>4432</v>
      </c>
      <c r="AO2355">
        <v>-123.21505999999999</v>
      </c>
      <c r="AP2355">
        <v>100</v>
      </c>
      <c r="AQ2355">
        <v>2000</v>
      </c>
      <c r="AR2355" t="s">
        <v>118</v>
      </c>
      <c r="AS2355">
        <v>-72</v>
      </c>
      <c r="AT2355">
        <v>33</v>
      </c>
      <c r="AU2355">
        <v>-64</v>
      </c>
      <c r="BC2355">
        <v>1200</v>
      </c>
      <c r="BD2355">
        <v>1</v>
      </c>
      <c r="BE2355" t="str">
        <f t="shared" si="110"/>
        <v xml:space="preserve">N215T   </v>
      </c>
      <c r="BF2355">
        <v>1</v>
      </c>
      <c r="BH2355">
        <v>0</v>
      </c>
      <c r="BI2355">
        <v>0</v>
      </c>
      <c r="BJ2355">
        <v>0</v>
      </c>
      <c r="BK2355">
        <v>2425</v>
      </c>
      <c r="BL2355">
        <v>425</v>
      </c>
      <c r="BM2355" t="s">
        <v>119</v>
      </c>
      <c r="BN2355">
        <v>1</v>
      </c>
      <c r="BO2355">
        <v>1</v>
      </c>
      <c r="BP2355">
        <v>1</v>
      </c>
      <c r="BQ2355">
        <v>0</v>
      </c>
      <c r="BT2355">
        <v>0</v>
      </c>
      <c r="BU2355">
        <v>0</v>
      </c>
      <c r="BV2355">
        <v>0</v>
      </c>
      <c r="CC2355" t="str">
        <f>"19:14:06.953"</f>
        <v>19:14:06.953</v>
      </c>
      <c r="CD2355" t="str">
        <f>"950825000"</f>
        <v>950825000</v>
      </c>
      <c r="CQ2355">
        <v>0</v>
      </c>
      <c r="CR2355">
        <v>2</v>
      </c>
      <c r="CS2355">
        <v>0</v>
      </c>
      <c r="CT2355">
        <v>2</v>
      </c>
      <c r="CU2355">
        <v>0</v>
      </c>
      <c r="CV2355">
        <v>6</v>
      </c>
      <c r="CW2355" t="s">
        <v>120</v>
      </c>
      <c r="CX2355">
        <v>257</v>
      </c>
      <c r="CY2355">
        <v>0</v>
      </c>
      <c r="CZ2355" t="s">
        <v>615</v>
      </c>
      <c r="DA2355" t="s">
        <v>616</v>
      </c>
      <c r="DD2355">
        <v>15861551</v>
      </c>
      <c r="DE2355" t="s">
        <v>123</v>
      </c>
    </row>
    <row r="2356" spans="1:109" x14ac:dyDescent="0.3">
      <c r="A2356" t="str">
        <f>"19:14:08.125"</f>
        <v>19:14:08.125</v>
      </c>
      <c r="B2356" t="s">
        <v>110</v>
      </c>
      <c r="C2356" t="str">
        <f t="shared" si="108"/>
        <v>ffdfd3c0</v>
      </c>
      <c r="D2356" t="s">
        <v>111</v>
      </c>
      <c r="E2356">
        <v>18</v>
      </c>
      <c r="F2356">
        <v>1018</v>
      </c>
      <c r="G2356" t="s">
        <v>112</v>
      </c>
      <c r="J2356" t="s">
        <v>113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R2356" t="s">
        <v>114</v>
      </c>
      <c r="S2356" t="str">
        <f>"19:14:07.875"</f>
        <v>19:14:07.875</v>
      </c>
      <c r="T2356" t="str">
        <f>"19:14:07.375"</f>
        <v>19:14:07.375</v>
      </c>
      <c r="U2356" t="str">
        <f t="shared" si="109"/>
        <v>a1cdbe</v>
      </c>
      <c r="V2356">
        <v>0</v>
      </c>
      <c r="W2356">
        <v>0</v>
      </c>
      <c r="X2356">
        <v>1</v>
      </c>
      <c r="Y2356">
        <v>0</v>
      </c>
      <c r="Z2356">
        <v>0</v>
      </c>
      <c r="AB2356">
        <v>0</v>
      </c>
      <c r="AC2356">
        <v>9</v>
      </c>
      <c r="AD2356">
        <v>3</v>
      </c>
      <c r="AE2356">
        <v>0</v>
      </c>
      <c r="AF2356">
        <v>9</v>
      </c>
      <c r="AG2356" t="s">
        <v>158</v>
      </c>
      <c r="AH2356">
        <v>0</v>
      </c>
      <c r="AI2356">
        <v>3</v>
      </c>
      <c r="AJ2356">
        <v>1</v>
      </c>
      <c r="AK2356">
        <v>0</v>
      </c>
      <c r="AL2356" t="s">
        <v>1418</v>
      </c>
      <c r="AM2356">
        <v>46.897973999999998</v>
      </c>
      <c r="AN2356" t="s">
        <v>4433</v>
      </c>
      <c r="AO2356">
        <v>-123.215554</v>
      </c>
      <c r="AP2356">
        <v>100</v>
      </c>
      <c r="AQ2356">
        <v>2000</v>
      </c>
      <c r="AR2356" t="s">
        <v>118</v>
      </c>
      <c r="AS2356">
        <v>-72</v>
      </c>
      <c r="AT2356">
        <v>34</v>
      </c>
      <c r="AU2356">
        <v>0</v>
      </c>
      <c r="BC2356">
        <v>1200</v>
      </c>
      <c r="BD2356">
        <v>1</v>
      </c>
      <c r="BE2356" t="str">
        <f t="shared" si="110"/>
        <v xml:space="preserve">N215T   </v>
      </c>
      <c r="BF2356">
        <v>1</v>
      </c>
      <c r="BH2356">
        <v>0</v>
      </c>
      <c r="BI2356">
        <v>0</v>
      </c>
      <c r="BJ2356">
        <v>0</v>
      </c>
      <c r="BK2356">
        <v>2425</v>
      </c>
      <c r="BL2356">
        <v>425</v>
      </c>
      <c r="BM2356" t="s">
        <v>119</v>
      </c>
      <c r="BN2356">
        <v>1</v>
      </c>
      <c r="BO2356">
        <v>1</v>
      </c>
      <c r="BP2356">
        <v>1</v>
      </c>
      <c r="BQ2356">
        <v>0</v>
      </c>
      <c r="BT2356">
        <v>0</v>
      </c>
      <c r="BU2356">
        <v>0</v>
      </c>
      <c r="BV2356">
        <v>0</v>
      </c>
      <c r="CC2356" t="str">
        <f>"19:14:07.883"</f>
        <v>19:14:07.883</v>
      </c>
      <c r="CD2356" t="str">
        <f>"880733348"</f>
        <v>880733348</v>
      </c>
      <c r="CQ2356">
        <v>0</v>
      </c>
      <c r="CR2356">
        <v>2</v>
      </c>
      <c r="CS2356">
        <v>0</v>
      </c>
      <c r="CT2356">
        <v>2</v>
      </c>
      <c r="CU2356">
        <v>0</v>
      </c>
      <c r="CV2356">
        <v>6</v>
      </c>
      <c r="CW2356" t="s">
        <v>120</v>
      </c>
      <c r="CX2356">
        <v>257</v>
      </c>
      <c r="CY2356">
        <v>1</v>
      </c>
      <c r="CZ2356" t="s">
        <v>615</v>
      </c>
      <c r="DA2356" t="s">
        <v>616</v>
      </c>
      <c r="DD2356">
        <v>12132283</v>
      </c>
      <c r="DE2356" t="s">
        <v>123</v>
      </c>
    </row>
    <row r="2357" spans="1:109" x14ac:dyDescent="0.3">
      <c r="A2357" t="str">
        <f>"19:14:09.078"</f>
        <v>19:14:09.078</v>
      </c>
      <c r="B2357" t="s">
        <v>110</v>
      </c>
      <c r="C2357" t="str">
        <f t="shared" si="108"/>
        <v>ffdfd3c0</v>
      </c>
      <c r="D2357" t="s">
        <v>111</v>
      </c>
      <c r="E2357">
        <v>18</v>
      </c>
      <c r="F2357">
        <v>1018</v>
      </c>
      <c r="G2357" t="s">
        <v>112</v>
      </c>
      <c r="J2357" t="s">
        <v>113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R2357" t="s">
        <v>114</v>
      </c>
      <c r="S2357" t="str">
        <f>"19:14:08.836"</f>
        <v>19:14:08.836</v>
      </c>
      <c r="T2357" t="str">
        <f>"19:14:08.836"</f>
        <v>19:14:08.836</v>
      </c>
      <c r="U2357" t="str">
        <f t="shared" si="109"/>
        <v>a1cdbe</v>
      </c>
      <c r="V2357">
        <v>0</v>
      </c>
      <c r="W2357">
        <v>0</v>
      </c>
      <c r="X2357">
        <v>1</v>
      </c>
      <c r="Y2357">
        <v>0</v>
      </c>
      <c r="Z2357">
        <v>0</v>
      </c>
      <c r="AB2357">
        <v>0</v>
      </c>
      <c r="AC2357">
        <v>9</v>
      </c>
      <c r="AD2357">
        <v>3</v>
      </c>
      <c r="AE2357">
        <v>0</v>
      </c>
      <c r="AF2357">
        <v>9</v>
      </c>
      <c r="AG2357" t="s">
        <v>158</v>
      </c>
      <c r="AH2357">
        <v>0</v>
      </c>
      <c r="AI2357">
        <v>3</v>
      </c>
      <c r="AJ2357">
        <v>1</v>
      </c>
      <c r="AK2357">
        <v>0</v>
      </c>
      <c r="AL2357" t="s">
        <v>4434</v>
      </c>
      <c r="AM2357">
        <v>46.898124000000003</v>
      </c>
      <c r="AN2357" t="s">
        <v>4435</v>
      </c>
      <c r="AO2357">
        <v>-123.216004</v>
      </c>
      <c r="AP2357">
        <v>100</v>
      </c>
      <c r="AQ2357">
        <v>2000</v>
      </c>
      <c r="AR2357" t="s">
        <v>118</v>
      </c>
      <c r="AS2357">
        <v>-72</v>
      </c>
      <c r="AT2357">
        <v>35</v>
      </c>
      <c r="AU2357">
        <v>-64</v>
      </c>
      <c r="BC2357">
        <v>1200</v>
      </c>
      <c r="BD2357">
        <v>1</v>
      </c>
      <c r="BE2357" t="str">
        <f t="shared" si="110"/>
        <v xml:space="preserve">N215T   </v>
      </c>
      <c r="BF2357">
        <v>1</v>
      </c>
      <c r="BH2357">
        <v>0</v>
      </c>
      <c r="BI2357">
        <v>0</v>
      </c>
      <c r="BJ2357">
        <v>0</v>
      </c>
      <c r="BK2357">
        <v>2425</v>
      </c>
      <c r="BL2357">
        <v>425</v>
      </c>
      <c r="BM2357" t="s">
        <v>119</v>
      </c>
      <c r="BN2357">
        <v>1</v>
      </c>
      <c r="BO2357">
        <v>1</v>
      </c>
      <c r="BP2357">
        <v>1</v>
      </c>
      <c r="BQ2357">
        <v>0</v>
      </c>
      <c r="BT2357">
        <v>0</v>
      </c>
      <c r="BU2357">
        <v>0</v>
      </c>
      <c r="BV2357">
        <v>0</v>
      </c>
      <c r="CC2357" t="str">
        <f>"19:14:08.844"</f>
        <v>19:14:08.844</v>
      </c>
      <c r="CD2357" t="str">
        <f>"840638733"</f>
        <v>840638733</v>
      </c>
      <c r="CQ2357">
        <v>0</v>
      </c>
      <c r="CR2357">
        <v>2</v>
      </c>
      <c r="CS2357">
        <v>0</v>
      </c>
      <c r="CT2357">
        <v>2</v>
      </c>
      <c r="CU2357">
        <v>0</v>
      </c>
      <c r="CV2357">
        <v>6</v>
      </c>
      <c r="CW2357" t="s">
        <v>120</v>
      </c>
      <c r="CX2357">
        <v>257</v>
      </c>
      <c r="CY2357">
        <v>0</v>
      </c>
      <c r="CZ2357" t="s">
        <v>615</v>
      </c>
      <c r="DA2357" t="s">
        <v>616</v>
      </c>
      <c r="DD2357">
        <v>15862597</v>
      </c>
      <c r="DE2357" t="s">
        <v>123</v>
      </c>
    </row>
    <row r="2358" spans="1:109" x14ac:dyDescent="0.3">
      <c r="A2358" t="str">
        <f>"19:14:09.984"</f>
        <v>19:14:09.984</v>
      </c>
      <c r="B2358" t="s">
        <v>110</v>
      </c>
      <c r="C2358" t="str">
        <f t="shared" si="108"/>
        <v>ffdfd3c0</v>
      </c>
      <c r="D2358" t="s">
        <v>111</v>
      </c>
      <c r="E2358">
        <v>18</v>
      </c>
      <c r="F2358">
        <v>1018</v>
      </c>
      <c r="G2358" t="s">
        <v>112</v>
      </c>
      <c r="J2358" t="s">
        <v>113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R2358" t="s">
        <v>114</v>
      </c>
      <c r="S2358" t="str">
        <f>"19:14:09.750"</f>
        <v>19:14:09.750</v>
      </c>
      <c r="T2358" t="str">
        <f>"19:14:09.352"</f>
        <v>19:14:09.352</v>
      </c>
      <c r="U2358" t="str">
        <f t="shared" si="109"/>
        <v>a1cdbe</v>
      </c>
      <c r="V2358">
        <v>0</v>
      </c>
      <c r="W2358">
        <v>0</v>
      </c>
      <c r="X2358">
        <v>1</v>
      </c>
      <c r="Y2358">
        <v>0</v>
      </c>
      <c r="Z2358">
        <v>0</v>
      </c>
      <c r="AB2358">
        <v>0</v>
      </c>
      <c r="AC2358">
        <v>9</v>
      </c>
      <c r="AD2358">
        <v>3</v>
      </c>
      <c r="AE2358">
        <v>0</v>
      </c>
      <c r="AF2358">
        <v>9</v>
      </c>
      <c r="AG2358" t="s">
        <v>158</v>
      </c>
      <c r="AH2358">
        <v>0</v>
      </c>
      <c r="AI2358">
        <v>3</v>
      </c>
      <c r="AJ2358">
        <v>1</v>
      </c>
      <c r="AK2358">
        <v>0</v>
      </c>
      <c r="AL2358" t="s">
        <v>4436</v>
      </c>
      <c r="AM2358">
        <v>46.898296000000002</v>
      </c>
      <c r="AN2358" t="s">
        <v>4437</v>
      </c>
      <c r="AO2358">
        <v>-123.21641200000001</v>
      </c>
      <c r="AP2358">
        <v>100</v>
      </c>
      <c r="AQ2358">
        <v>2000</v>
      </c>
      <c r="AR2358" t="s">
        <v>118</v>
      </c>
      <c r="AS2358">
        <v>-73</v>
      </c>
      <c r="AT2358">
        <v>36</v>
      </c>
      <c r="AU2358">
        <v>-128</v>
      </c>
      <c r="BC2358">
        <v>1200</v>
      </c>
      <c r="BD2358">
        <v>1</v>
      </c>
      <c r="BE2358" t="str">
        <f t="shared" si="110"/>
        <v xml:space="preserve">N215T   </v>
      </c>
      <c r="BF2358">
        <v>1</v>
      </c>
      <c r="BH2358">
        <v>0</v>
      </c>
      <c r="BI2358">
        <v>0</v>
      </c>
      <c r="BJ2358">
        <v>0</v>
      </c>
      <c r="BK2358">
        <v>2425</v>
      </c>
      <c r="BL2358">
        <v>425</v>
      </c>
      <c r="BM2358" t="s">
        <v>119</v>
      </c>
      <c r="BN2358">
        <v>1</v>
      </c>
      <c r="BO2358">
        <v>1</v>
      </c>
      <c r="BP2358">
        <v>1</v>
      </c>
      <c r="BQ2358">
        <v>0</v>
      </c>
      <c r="BT2358">
        <v>0</v>
      </c>
      <c r="BU2358">
        <v>0</v>
      </c>
      <c r="BV2358">
        <v>0</v>
      </c>
      <c r="CC2358" t="str">
        <f>"19:14:09.758"</f>
        <v>19:14:09.758</v>
      </c>
      <c r="CD2358" t="str">
        <f>"755548563"</f>
        <v>755548563</v>
      </c>
      <c r="CQ2358">
        <v>0</v>
      </c>
      <c r="CR2358">
        <v>2</v>
      </c>
      <c r="CS2358">
        <v>0</v>
      </c>
      <c r="CT2358">
        <v>2</v>
      </c>
      <c r="CU2358">
        <v>0</v>
      </c>
      <c r="CV2358">
        <v>6</v>
      </c>
      <c r="CW2358" t="s">
        <v>120</v>
      </c>
      <c r="CX2358">
        <v>257</v>
      </c>
      <c r="CY2358">
        <v>0</v>
      </c>
      <c r="CZ2358" t="s">
        <v>615</v>
      </c>
      <c r="DA2358" t="s">
        <v>616</v>
      </c>
      <c r="DD2358">
        <v>15863110</v>
      </c>
      <c r="DE2358" t="s">
        <v>123</v>
      </c>
    </row>
    <row r="2359" spans="1:109" x14ac:dyDescent="0.3">
      <c r="A2359" t="str">
        <f>"19:14:10.945"</f>
        <v>19:14:10.945</v>
      </c>
      <c r="B2359" t="s">
        <v>110</v>
      </c>
      <c r="C2359" t="str">
        <f t="shared" si="108"/>
        <v>ffdfd3c0</v>
      </c>
      <c r="D2359" t="s">
        <v>111</v>
      </c>
      <c r="E2359">
        <v>18</v>
      </c>
      <c r="F2359">
        <v>1018</v>
      </c>
      <c r="G2359" t="s">
        <v>112</v>
      </c>
      <c r="J2359" t="s">
        <v>113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R2359" t="s">
        <v>114</v>
      </c>
      <c r="S2359" t="str">
        <f>"19:14:10.680"</f>
        <v>19:14:10.680</v>
      </c>
      <c r="T2359" t="str">
        <f>"19:14:10.281"</f>
        <v>19:14:10.281</v>
      </c>
      <c r="U2359" t="str">
        <f t="shared" si="109"/>
        <v>a1cdbe</v>
      </c>
      <c r="V2359">
        <v>0</v>
      </c>
      <c r="W2359">
        <v>0</v>
      </c>
      <c r="X2359">
        <v>1</v>
      </c>
      <c r="Y2359">
        <v>0</v>
      </c>
      <c r="Z2359">
        <v>0</v>
      </c>
      <c r="AB2359">
        <v>0</v>
      </c>
      <c r="AC2359">
        <v>9</v>
      </c>
      <c r="AD2359">
        <v>3</v>
      </c>
      <c r="AE2359">
        <v>0</v>
      </c>
      <c r="AF2359">
        <v>9</v>
      </c>
      <c r="AG2359" t="s">
        <v>158</v>
      </c>
      <c r="AH2359">
        <v>0</v>
      </c>
      <c r="AI2359">
        <v>3</v>
      </c>
      <c r="AJ2359">
        <v>1</v>
      </c>
      <c r="AK2359">
        <v>0</v>
      </c>
      <c r="AL2359" t="s">
        <v>4438</v>
      </c>
      <c r="AM2359">
        <v>46.898446</v>
      </c>
      <c r="AN2359" t="s">
        <v>4439</v>
      </c>
      <c r="AO2359">
        <v>-123.21688399999999</v>
      </c>
      <c r="AP2359">
        <v>100</v>
      </c>
      <c r="AQ2359">
        <v>2000</v>
      </c>
      <c r="AR2359" t="s">
        <v>118</v>
      </c>
      <c r="AS2359">
        <v>-73</v>
      </c>
      <c r="AT2359">
        <v>37</v>
      </c>
      <c r="AU2359">
        <v>-192</v>
      </c>
      <c r="BC2359">
        <v>1200</v>
      </c>
      <c r="BD2359">
        <v>1</v>
      </c>
      <c r="BE2359" t="str">
        <f t="shared" si="110"/>
        <v xml:space="preserve">N215T   </v>
      </c>
      <c r="BF2359">
        <v>1</v>
      </c>
      <c r="BH2359">
        <v>0</v>
      </c>
      <c r="BI2359">
        <v>0</v>
      </c>
      <c r="BJ2359">
        <v>0</v>
      </c>
      <c r="BK2359">
        <v>2425</v>
      </c>
      <c r="BL2359">
        <v>425</v>
      </c>
      <c r="BM2359" t="s">
        <v>119</v>
      </c>
      <c r="BN2359">
        <v>1</v>
      </c>
      <c r="BO2359">
        <v>1</v>
      </c>
      <c r="BP2359">
        <v>1</v>
      </c>
      <c r="BQ2359">
        <v>0</v>
      </c>
      <c r="BT2359">
        <v>0</v>
      </c>
      <c r="BU2359">
        <v>0</v>
      </c>
      <c r="BV2359">
        <v>0</v>
      </c>
      <c r="CC2359" t="str">
        <f>"19:14:10.688"</f>
        <v>19:14:10.688</v>
      </c>
      <c r="CD2359" t="str">
        <f>"685456922"</f>
        <v>685456922</v>
      </c>
      <c r="CQ2359">
        <v>0</v>
      </c>
      <c r="CR2359">
        <v>2</v>
      </c>
      <c r="CS2359">
        <v>0</v>
      </c>
      <c r="CT2359">
        <v>2</v>
      </c>
      <c r="CU2359">
        <v>0</v>
      </c>
      <c r="CV2359">
        <v>6</v>
      </c>
      <c r="CW2359" t="s">
        <v>120</v>
      </c>
      <c r="CX2359">
        <v>257</v>
      </c>
      <c r="CY2359">
        <v>0</v>
      </c>
      <c r="CZ2359" t="s">
        <v>615</v>
      </c>
      <c r="DA2359" t="s">
        <v>616</v>
      </c>
      <c r="DD2359">
        <v>15863650</v>
      </c>
      <c r="DE2359" t="s">
        <v>123</v>
      </c>
    </row>
    <row r="2360" spans="1:109" x14ac:dyDescent="0.3">
      <c r="A2360" t="str">
        <f>"19:14:11.992"</f>
        <v>19:14:11.992</v>
      </c>
      <c r="B2360" t="s">
        <v>110</v>
      </c>
      <c r="C2360" t="str">
        <f t="shared" si="108"/>
        <v>ffdfd3c0</v>
      </c>
      <c r="D2360" t="s">
        <v>111</v>
      </c>
      <c r="E2360">
        <v>18</v>
      </c>
      <c r="F2360">
        <v>1018</v>
      </c>
      <c r="G2360" t="s">
        <v>112</v>
      </c>
      <c r="J2360" t="s">
        <v>113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R2360" t="s">
        <v>114</v>
      </c>
      <c r="S2360" t="str">
        <f>"19:14:11.773"</f>
        <v>19:14:11.773</v>
      </c>
      <c r="T2360" t="str">
        <f>"19:14:11.773"</f>
        <v>19:14:11.773</v>
      </c>
      <c r="U2360" t="str">
        <f t="shared" si="109"/>
        <v>a1cdbe</v>
      </c>
      <c r="V2360">
        <v>0</v>
      </c>
      <c r="W2360">
        <v>0</v>
      </c>
      <c r="X2360">
        <v>1</v>
      </c>
      <c r="Y2360">
        <v>0</v>
      </c>
      <c r="Z2360">
        <v>0</v>
      </c>
      <c r="AB2360">
        <v>0</v>
      </c>
      <c r="AC2360">
        <v>9</v>
      </c>
      <c r="AD2360">
        <v>3</v>
      </c>
      <c r="AE2360">
        <v>0</v>
      </c>
      <c r="AF2360">
        <v>9</v>
      </c>
      <c r="AG2360" t="s">
        <v>158</v>
      </c>
      <c r="AH2360">
        <v>0</v>
      </c>
      <c r="AI2360">
        <v>3</v>
      </c>
      <c r="AJ2360">
        <v>1</v>
      </c>
      <c r="AK2360">
        <v>0</v>
      </c>
      <c r="AL2360" t="s">
        <v>4440</v>
      </c>
      <c r="AM2360">
        <v>46.898639000000003</v>
      </c>
      <c r="AN2360" t="s">
        <v>4441</v>
      </c>
      <c r="AO2360">
        <v>-123.21744200000001</v>
      </c>
      <c r="AP2360">
        <v>100</v>
      </c>
      <c r="AQ2360">
        <v>2000</v>
      </c>
      <c r="AR2360" t="s">
        <v>118</v>
      </c>
      <c r="AS2360">
        <v>-73</v>
      </c>
      <c r="AT2360">
        <v>39</v>
      </c>
      <c r="AU2360">
        <v>-192</v>
      </c>
      <c r="BC2360">
        <v>1200</v>
      </c>
      <c r="BD2360">
        <v>1</v>
      </c>
      <c r="BE2360" t="str">
        <f t="shared" si="110"/>
        <v xml:space="preserve">N215T   </v>
      </c>
      <c r="BF2360">
        <v>1</v>
      </c>
      <c r="BH2360">
        <v>0</v>
      </c>
      <c r="BI2360">
        <v>0</v>
      </c>
      <c r="BJ2360">
        <v>0</v>
      </c>
      <c r="BK2360">
        <v>2425</v>
      </c>
      <c r="BL2360">
        <v>425</v>
      </c>
      <c r="BM2360" t="s">
        <v>119</v>
      </c>
      <c r="BN2360">
        <v>1</v>
      </c>
      <c r="BO2360">
        <v>1</v>
      </c>
      <c r="BP2360">
        <v>1</v>
      </c>
      <c r="BQ2360">
        <v>0</v>
      </c>
      <c r="BT2360">
        <v>0</v>
      </c>
      <c r="BU2360">
        <v>0</v>
      </c>
      <c r="BV2360">
        <v>0</v>
      </c>
      <c r="CC2360" t="str">
        <f>"19:14:11.781"</f>
        <v>19:14:11.781</v>
      </c>
      <c r="CD2360" t="str">
        <f>"780349030"</f>
        <v>780349030</v>
      </c>
      <c r="CQ2360">
        <v>0</v>
      </c>
      <c r="CR2360">
        <v>2</v>
      </c>
      <c r="CS2360">
        <v>0</v>
      </c>
      <c r="CT2360">
        <v>2</v>
      </c>
      <c r="CU2360">
        <v>0</v>
      </c>
      <c r="CV2360">
        <v>6</v>
      </c>
      <c r="CW2360" t="s">
        <v>120</v>
      </c>
      <c r="CX2360">
        <v>257</v>
      </c>
      <c r="CY2360">
        <v>0</v>
      </c>
      <c r="CZ2360" t="s">
        <v>615</v>
      </c>
      <c r="DA2360" t="s">
        <v>616</v>
      </c>
      <c r="DD2360">
        <v>15864274</v>
      </c>
      <c r="DE2360" t="s">
        <v>123</v>
      </c>
    </row>
    <row r="2361" spans="1:109" x14ac:dyDescent="0.3">
      <c r="A2361" t="str">
        <f>"19:14:13.047"</f>
        <v>19:14:13.047</v>
      </c>
      <c r="B2361" t="s">
        <v>110</v>
      </c>
      <c r="C2361" t="str">
        <f t="shared" si="108"/>
        <v>ffdfd3c0</v>
      </c>
      <c r="D2361" t="s">
        <v>111</v>
      </c>
      <c r="E2361">
        <v>18</v>
      </c>
      <c r="F2361">
        <v>1018</v>
      </c>
      <c r="G2361" t="s">
        <v>112</v>
      </c>
      <c r="J2361" t="s">
        <v>113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R2361" t="s">
        <v>114</v>
      </c>
      <c r="S2361" t="str">
        <f>"19:14:12.781"</f>
        <v>19:14:12.781</v>
      </c>
      <c r="T2361" t="str">
        <f>"19:14:12.781"</f>
        <v>19:14:12.781</v>
      </c>
      <c r="U2361" t="str">
        <f t="shared" si="109"/>
        <v>a1cdbe</v>
      </c>
      <c r="V2361">
        <v>0</v>
      </c>
      <c r="W2361">
        <v>0</v>
      </c>
      <c r="X2361">
        <v>1</v>
      </c>
      <c r="Y2361">
        <v>0</v>
      </c>
      <c r="Z2361">
        <v>0</v>
      </c>
      <c r="AB2361">
        <v>0</v>
      </c>
      <c r="AC2361">
        <v>9</v>
      </c>
      <c r="AD2361">
        <v>3</v>
      </c>
      <c r="AE2361">
        <v>0</v>
      </c>
      <c r="AF2361">
        <v>9</v>
      </c>
      <c r="AG2361" t="s">
        <v>158</v>
      </c>
      <c r="AH2361">
        <v>0</v>
      </c>
      <c r="AI2361">
        <v>3</v>
      </c>
      <c r="AJ2361">
        <v>1</v>
      </c>
      <c r="AK2361">
        <v>0</v>
      </c>
      <c r="AL2361" t="s">
        <v>4442</v>
      </c>
      <c r="AM2361">
        <v>46.898811000000002</v>
      </c>
      <c r="AN2361" t="s">
        <v>4443</v>
      </c>
      <c r="AO2361">
        <v>-123.21791399999999</v>
      </c>
      <c r="AP2361">
        <v>100</v>
      </c>
      <c r="AQ2361">
        <v>2000</v>
      </c>
      <c r="AR2361" t="s">
        <v>118</v>
      </c>
      <c r="AS2361">
        <v>-73</v>
      </c>
      <c r="AT2361">
        <v>39</v>
      </c>
      <c r="AU2361">
        <v>-192</v>
      </c>
      <c r="BC2361">
        <v>1200</v>
      </c>
      <c r="BD2361">
        <v>1</v>
      </c>
      <c r="BE2361" t="str">
        <f t="shared" si="110"/>
        <v xml:space="preserve">N215T   </v>
      </c>
      <c r="BF2361">
        <v>1</v>
      </c>
      <c r="BH2361">
        <v>0</v>
      </c>
      <c r="BI2361">
        <v>0</v>
      </c>
      <c r="BJ2361">
        <v>0</v>
      </c>
      <c r="BK2361">
        <v>2425</v>
      </c>
      <c r="BL2361">
        <v>425</v>
      </c>
      <c r="BM2361" t="s">
        <v>119</v>
      </c>
      <c r="BN2361">
        <v>1</v>
      </c>
      <c r="BO2361">
        <v>1</v>
      </c>
      <c r="BP2361">
        <v>1</v>
      </c>
      <c r="BQ2361">
        <v>0</v>
      </c>
      <c r="BT2361">
        <v>0</v>
      </c>
      <c r="BU2361">
        <v>0</v>
      </c>
      <c r="BV2361">
        <v>0</v>
      </c>
      <c r="CC2361" t="str">
        <f>"19:14:12.789"</f>
        <v>19:14:12.789</v>
      </c>
      <c r="CD2361" t="str">
        <f>"785250003"</f>
        <v>785250003</v>
      </c>
      <c r="CQ2361">
        <v>0</v>
      </c>
      <c r="CR2361">
        <v>2</v>
      </c>
      <c r="CS2361">
        <v>0</v>
      </c>
      <c r="CT2361">
        <v>2</v>
      </c>
      <c r="CU2361">
        <v>0</v>
      </c>
      <c r="CV2361">
        <v>6</v>
      </c>
      <c r="CW2361" t="s">
        <v>120</v>
      </c>
      <c r="CX2361">
        <v>257</v>
      </c>
      <c r="CY2361">
        <v>0</v>
      </c>
      <c r="CZ2361" t="s">
        <v>615</v>
      </c>
      <c r="DA2361" t="s">
        <v>616</v>
      </c>
      <c r="DD2361">
        <v>15864803</v>
      </c>
      <c r="DE2361" t="s">
        <v>123</v>
      </c>
    </row>
    <row r="2362" spans="1:109" x14ac:dyDescent="0.3">
      <c r="A2362" t="str">
        <f>"19:14:14.055"</f>
        <v>19:14:14.055</v>
      </c>
      <c r="B2362" t="s">
        <v>110</v>
      </c>
      <c r="C2362" t="str">
        <f t="shared" si="108"/>
        <v>ffdfd3c0</v>
      </c>
      <c r="D2362" t="s">
        <v>111</v>
      </c>
      <c r="E2362">
        <v>18</v>
      </c>
      <c r="F2362">
        <v>1018</v>
      </c>
      <c r="G2362" t="s">
        <v>112</v>
      </c>
      <c r="J2362" t="s">
        <v>113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R2362" t="s">
        <v>114</v>
      </c>
      <c r="S2362" t="str">
        <f>"19:14:13.805"</f>
        <v>19:14:13.805</v>
      </c>
      <c r="T2362" t="str">
        <f>"19:14:13.805"</f>
        <v>19:14:13.805</v>
      </c>
      <c r="U2362" t="str">
        <f t="shared" si="109"/>
        <v>a1cdbe</v>
      </c>
      <c r="V2362">
        <v>0</v>
      </c>
      <c r="W2362">
        <v>0</v>
      </c>
      <c r="X2362">
        <v>1</v>
      </c>
      <c r="Y2362">
        <v>0</v>
      </c>
      <c r="Z2362">
        <v>0</v>
      </c>
      <c r="AB2362">
        <v>0</v>
      </c>
      <c r="AC2362">
        <v>9</v>
      </c>
      <c r="AD2362">
        <v>3</v>
      </c>
      <c r="AE2362">
        <v>0</v>
      </c>
      <c r="AF2362">
        <v>9</v>
      </c>
      <c r="AG2362" t="s">
        <v>158</v>
      </c>
      <c r="AH2362">
        <v>0</v>
      </c>
      <c r="AI2362">
        <v>3</v>
      </c>
      <c r="AJ2362">
        <v>1</v>
      </c>
      <c r="AK2362">
        <v>0</v>
      </c>
      <c r="AL2362" t="s">
        <v>1412</v>
      </c>
      <c r="AM2362">
        <v>46.899003999999998</v>
      </c>
      <c r="AN2362" t="s">
        <v>4444</v>
      </c>
      <c r="AO2362">
        <v>-123.218429</v>
      </c>
      <c r="AP2362">
        <v>100</v>
      </c>
      <c r="AQ2362">
        <v>2000</v>
      </c>
      <c r="AR2362" t="s">
        <v>118</v>
      </c>
      <c r="AS2362">
        <v>-73</v>
      </c>
      <c r="AT2362">
        <v>39</v>
      </c>
      <c r="AU2362">
        <v>-192</v>
      </c>
      <c r="BC2362">
        <v>1200</v>
      </c>
      <c r="BD2362">
        <v>1</v>
      </c>
      <c r="BE2362" t="str">
        <f t="shared" si="110"/>
        <v xml:space="preserve">N215T   </v>
      </c>
      <c r="BF2362">
        <v>1</v>
      </c>
      <c r="BH2362">
        <v>0</v>
      </c>
      <c r="BI2362">
        <v>0</v>
      </c>
      <c r="BJ2362">
        <v>0</v>
      </c>
      <c r="BK2362">
        <v>2425</v>
      </c>
      <c r="BL2362">
        <v>425</v>
      </c>
      <c r="BM2362" t="s">
        <v>119</v>
      </c>
      <c r="BN2362">
        <v>1</v>
      </c>
      <c r="BO2362">
        <v>1</v>
      </c>
      <c r="BP2362">
        <v>1</v>
      </c>
      <c r="BQ2362">
        <v>0</v>
      </c>
      <c r="BT2362">
        <v>0</v>
      </c>
      <c r="BU2362">
        <v>0</v>
      </c>
      <c r="BV2362">
        <v>0</v>
      </c>
      <c r="CC2362" t="str">
        <f>"19:14:13.805"</f>
        <v>19:14:13.805</v>
      </c>
      <c r="CD2362" t="str">
        <f>"805149612"</f>
        <v>805149612</v>
      </c>
      <c r="CQ2362">
        <v>0</v>
      </c>
      <c r="CR2362">
        <v>2</v>
      </c>
      <c r="CS2362">
        <v>0</v>
      </c>
      <c r="CT2362">
        <v>2</v>
      </c>
      <c r="CU2362">
        <v>0</v>
      </c>
      <c r="CV2362">
        <v>5</v>
      </c>
      <c r="CW2362" t="s">
        <v>120</v>
      </c>
      <c r="CX2362">
        <v>257</v>
      </c>
      <c r="CY2362">
        <v>0</v>
      </c>
      <c r="CZ2362" t="s">
        <v>615</v>
      </c>
      <c r="DA2362" t="s">
        <v>616</v>
      </c>
      <c r="DD2362">
        <v>15865337</v>
      </c>
      <c r="DE2362" t="s">
        <v>123</v>
      </c>
    </row>
    <row r="2363" spans="1:109" x14ac:dyDescent="0.3">
      <c r="A2363" t="str">
        <f>"19:14:15.109"</f>
        <v>19:14:15.109</v>
      </c>
      <c r="B2363" t="s">
        <v>110</v>
      </c>
      <c r="C2363" t="str">
        <f t="shared" si="108"/>
        <v>ffdfd3c0</v>
      </c>
      <c r="D2363" t="s">
        <v>111</v>
      </c>
      <c r="E2363">
        <v>18</v>
      </c>
      <c r="F2363">
        <v>1018</v>
      </c>
      <c r="G2363" t="s">
        <v>112</v>
      </c>
      <c r="J2363" t="s">
        <v>113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R2363" t="s">
        <v>114</v>
      </c>
      <c r="S2363" t="str">
        <f>"19:14:14.914"</f>
        <v>19:14:14.914</v>
      </c>
      <c r="T2363" t="str">
        <f>"19:14:14.414"</f>
        <v>19:14:14.414</v>
      </c>
      <c r="U2363" t="str">
        <f t="shared" si="109"/>
        <v>a1cdbe</v>
      </c>
      <c r="V2363">
        <v>0</v>
      </c>
      <c r="W2363">
        <v>0</v>
      </c>
      <c r="X2363">
        <v>1</v>
      </c>
      <c r="Y2363">
        <v>0</v>
      </c>
      <c r="Z2363">
        <v>0</v>
      </c>
      <c r="AB2363">
        <v>0</v>
      </c>
      <c r="AC2363">
        <v>9</v>
      </c>
      <c r="AD2363">
        <v>3</v>
      </c>
      <c r="AE2363">
        <v>0</v>
      </c>
      <c r="AF2363">
        <v>9</v>
      </c>
      <c r="AG2363" t="s">
        <v>158</v>
      </c>
      <c r="AH2363">
        <v>0</v>
      </c>
      <c r="AI2363">
        <v>3</v>
      </c>
      <c r="AJ2363">
        <v>1</v>
      </c>
      <c r="AK2363">
        <v>0</v>
      </c>
      <c r="AL2363" t="s">
        <v>4445</v>
      </c>
      <c r="AM2363">
        <v>46.899219000000002</v>
      </c>
      <c r="AN2363" t="s">
        <v>4446</v>
      </c>
      <c r="AO2363">
        <v>-123.21894399999999</v>
      </c>
      <c r="AP2363">
        <v>100</v>
      </c>
      <c r="AQ2363">
        <v>2000</v>
      </c>
      <c r="AR2363" t="s">
        <v>118</v>
      </c>
      <c r="AS2363">
        <v>-73</v>
      </c>
      <c r="AT2363">
        <v>39</v>
      </c>
      <c r="AU2363">
        <v>-192</v>
      </c>
      <c r="BC2363">
        <v>1200</v>
      </c>
      <c r="BD2363">
        <v>1</v>
      </c>
      <c r="BE2363" t="str">
        <f t="shared" si="110"/>
        <v xml:space="preserve">N215T   </v>
      </c>
      <c r="BF2363">
        <v>1</v>
      </c>
      <c r="BH2363">
        <v>0</v>
      </c>
      <c r="BI2363">
        <v>0</v>
      </c>
      <c r="BJ2363">
        <v>0</v>
      </c>
      <c r="BK2363">
        <v>2425</v>
      </c>
      <c r="BL2363">
        <v>425</v>
      </c>
      <c r="BM2363" t="s">
        <v>119</v>
      </c>
      <c r="BN2363">
        <v>1</v>
      </c>
      <c r="BO2363">
        <v>1</v>
      </c>
      <c r="BP2363">
        <v>1</v>
      </c>
      <c r="BQ2363">
        <v>0</v>
      </c>
      <c r="BT2363">
        <v>0</v>
      </c>
      <c r="BU2363">
        <v>0</v>
      </c>
      <c r="BV2363">
        <v>0</v>
      </c>
      <c r="CC2363" t="str">
        <f>"19:14:14.914"</f>
        <v>19:14:14.914</v>
      </c>
      <c r="CD2363" t="str">
        <f>"915040131"</f>
        <v>915040131</v>
      </c>
      <c r="CQ2363">
        <v>0</v>
      </c>
      <c r="CR2363">
        <v>2</v>
      </c>
      <c r="CS2363">
        <v>0</v>
      </c>
      <c r="CT2363">
        <v>2</v>
      </c>
      <c r="CU2363">
        <v>0</v>
      </c>
      <c r="CV2363">
        <v>5</v>
      </c>
      <c r="CW2363" t="s">
        <v>120</v>
      </c>
      <c r="CX2363">
        <v>257</v>
      </c>
      <c r="CY2363">
        <v>0</v>
      </c>
      <c r="CZ2363" t="s">
        <v>615</v>
      </c>
      <c r="DA2363" t="s">
        <v>616</v>
      </c>
      <c r="DD2363">
        <v>15865946</v>
      </c>
      <c r="DE2363" t="s">
        <v>123</v>
      </c>
    </row>
    <row r="2364" spans="1:109" x14ac:dyDescent="0.3">
      <c r="A2364" t="str">
        <f>"19:14:16.266"</f>
        <v>19:14:16.266</v>
      </c>
      <c r="B2364" t="s">
        <v>110</v>
      </c>
      <c r="C2364" t="str">
        <f t="shared" si="108"/>
        <v>ffdfd3c0</v>
      </c>
      <c r="D2364" t="s">
        <v>111</v>
      </c>
      <c r="E2364">
        <v>18</v>
      </c>
      <c r="F2364">
        <v>1018</v>
      </c>
      <c r="G2364" t="s">
        <v>112</v>
      </c>
      <c r="J2364" t="s">
        <v>113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R2364" t="s">
        <v>114</v>
      </c>
      <c r="S2364" t="str">
        <f>"19:14:16.023"</f>
        <v>19:14:16.023</v>
      </c>
      <c r="T2364" t="str">
        <f>"19:14:15.422"</f>
        <v>19:14:15.422</v>
      </c>
      <c r="U2364" t="str">
        <f t="shared" si="109"/>
        <v>a1cdbe</v>
      </c>
      <c r="V2364">
        <v>0</v>
      </c>
      <c r="W2364">
        <v>0</v>
      </c>
      <c r="X2364">
        <v>1</v>
      </c>
      <c r="Y2364">
        <v>0</v>
      </c>
      <c r="Z2364">
        <v>0</v>
      </c>
      <c r="AB2364">
        <v>0</v>
      </c>
      <c r="AC2364">
        <v>9</v>
      </c>
      <c r="AD2364">
        <v>3</v>
      </c>
      <c r="AE2364">
        <v>0</v>
      </c>
      <c r="AF2364">
        <v>9</v>
      </c>
      <c r="AG2364" t="s">
        <v>158</v>
      </c>
      <c r="AH2364">
        <v>0</v>
      </c>
      <c r="AI2364">
        <v>3</v>
      </c>
      <c r="AJ2364">
        <v>1</v>
      </c>
      <c r="AK2364">
        <v>0</v>
      </c>
      <c r="AL2364" t="s">
        <v>4447</v>
      </c>
      <c r="AM2364">
        <v>46.899389999999997</v>
      </c>
      <c r="AN2364" t="s">
        <v>4448</v>
      </c>
      <c r="AO2364">
        <v>-123.21950200000001</v>
      </c>
      <c r="AP2364">
        <v>100</v>
      </c>
      <c r="AQ2364">
        <v>2000</v>
      </c>
      <c r="AR2364" t="s">
        <v>118</v>
      </c>
      <c r="AS2364">
        <v>-72</v>
      </c>
      <c r="AT2364">
        <v>40</v>
      </c>
      <c r="AU2364">
        <v>-64</v>
      </c>
      <c r="BC2364">
        <v>1200</v>
      </c>
      <c r="BD2364">
        <v>1</v>
      </c>
      <c r="BE2364" t="str">
        <f t="shared" si="110"/>
        <v xml:space="preserve">N215T   </v>
      </c>
      <c r="BF2364">
        <v>1</v>
      </c>
      <c r="BH2364">
        <v>0</v>
      </c>
      <c r="BI2364">
        <v>0</v>
      </c>
      <c r="BJ2364">
        <v>0</v>
      </c>
      <c r="BK2364">
        <v>2400</v>
      </c>
      <c r="BL2364">
        <v>400</v>
      </c>
      <c r="BM2364" t="s">
        <v>119</v>
      </c>
      <c r="BN2364">
        <v>1</v>
      </c>
      <c r="BO2364">
        <v>1</v>
      </c>
      <c r="BP2364">
        <v>1</v>
      </c>
      <c r="BQ2364">
        <v>0</v>
      </c>
      <c r="BT2364">
        <v>0</v>
      </c>
      <c r="BU2364">
        <v>0</v>
      </c>
      <c r="BV2364">
        <v>0</v>
      </c>
      <c r="CC2364" t="str">
        <f>"19:14:16.023"</f>
        <v>19:14:16.023</v>
      </c>
      <c r="CD2364" t="str">
        <f>"024930761"</f>
        <v>024930761</v>
      </c>
      <c r="CQ2364">
        <v>0</v>
      </c>
      <c r="CR2364">
        <v>2</v>
      </c>
      <c r="CS2364">
        <v>0</v>
      </c>
      <c r="CT2364">
        <v>2</v>
      </c>
      <c r="CU2364">
        <v>0</v>
      </c>
      <c r="CV2364">
        <v>5</v>
      </c>
      <c r="CW2364" t="s">
        <v>120</v>
      </c>
      <c r="CX2364">
        <v>257</v>
      </c>
      <c r="CY2364">
        <v>0</v>
      </c>
      <c r="CZ2364" t="s">
        <v>615</v>
      </c>
      <c r="DA2364" t="s">
        <v>616</v>
      </c>
      <c r="DD2364">
        <v>15866540</v>
      </c>
      <c r="DE2364" t="s">
        <v>123</v>
      </c>
    </row>
    <row r="2365" spans="1:109" x14ac:dyDescent="0.3">
      <c r="A2365" t="str">
        <f>"19:14:17.227"</f>
        <v>19:14:17.227</v>
      </c>
      <c r="B2365" t="s">
        <v>110</v>
      </c>
      <c r="C2365" t="str">
        <f t="shared" si="108"/>
        <v>ffdfd3c0</v>
      </c>
      <c r="D2365" t="s">
        <v>111</v>
      </c>
      <c r="E2365">
        <v>18</v>
      </c>
      <c r="F2365">
        <v>1018</v>
      </c>
      <c r="G2365" t="s">
        <v>112</v>
      </c>
      <c r="J2365" t="s">
        <v>113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R2365" t="s">
        <v>114</v>
      </c>
      <c r="S2365" t="str">
        <f>"19:14:16.984"</f>
        <v>19:14:16.984</v>
      </c>
      <c r="T2365" t="str">
        <f>"19:14:16.688"</f>
        <v>19:14:16.688</v>
      </c>
      <c r="U2365" t="str">
        <f t="shared" si="109"/>
        <v>a1cdbe</v>
      </c>
      <c r="V2365">
        <v>0</v>
      </c>
      <c r="W2365">
        <v>0</v>
      </c>
      <c r="X2365">
        <v>1</v>
      </c>
      <c r="Y2365">
        <v>0</v>
      </c>
      <c r="Z2365">
        <v>0</v>
      </c>
      <c r="AB2365">
        <v>0</v>
      </c>
      <c r="AC2365">
        <v>9</v>
      </c>
      <c r="AD2365">
        <v>3</v>
      </c>
      <c r="AE2365">
        <v>0</v>
      </c>
      <c r="AF2365">
        <v>9</v>
      </c>
      <c r="AG2365" t="s">
        <v>158</v>
      </c>
      <c r="AH2365">
        <v>0</v>
      </c>
      <c r="AI2365">
        <v>3</v>
      </c>
      <c r="AJ2365">
        <v>1</v>
      </c>
      <c r="AK2365">
        <v>0</v>
      </c>
      <c r="AL2365" t="s">
        <v>4449</v>
      </c>
      <c r="AM2365">
        <v>46.899605000000001</v>
      </c>
      <c r="AN2365" t="s">
        <v>4450</v>
      </c>
      <c r="AO2365">
        <v>-123.21991</v>
      </c>
      <c r="AP2365">
        <v>100</v>
      </c>
      <c r="AQ2365">
        <v>2000</v>
      </c>
      <c r="AR2365" t="s">
        <v>118</v>
      </c>
      <c r="AS2365">
        <v>-71</v>
      </c>
      <c r="AT2365">
        <v>41</v>
      </c>
      <c r="AU2365">
        <v>0</v>
      </c>
      <c r="BC2365">
        <v>1200</v>
      </c>
      <c r="BD2365">
        <v>1</v>
      </c>
      <c r="BE2365" t="str">
        <f t="shared" si="110"/>
        <v xml:space="preserve">N215T   </v>
      </c>
      <c r="BF2365">
        <v>1</v>
      </c>
      <c r="BH2365">
        <v>0</v>
      </c>
      <c r="BI2365">
        <v>0</v>
      </c>
      <c r="BJ2365">
        <v>0</v>
      </c>
      <c r="BK2365">
        <v>2400</v>
      </c>
      <c r="BL2365">
        <v>400</v>
      </c>
      <c r="BM2365" t="s">
        <v>119</v>
      </c>
      <c r="BN2365">
        <v>1</v>
      </c>
      <c r="BO2365">
        <v>1</v>
      </c>
      <c r="BP2365">
        <v>1</v>
      </c>
      <c r="BQ2365">
        <v>0</v>
      </c>
      <c r="BT2365">
        <v>0</v>
      </c>
      <c r="BU2365">
        <v>0</v>
      </c>
      <c r="BV2365">
        <v>0</v>
      </c>
      <c r="CC2365" t="str">
        <f>"19:14:16.984"</f>
        <v>19:14:16.984</v>
      </c>
      <c r="CD2365" t="str">
        <f>"984836172"</f>
        <v>984836172</v>
      </c>
      <c r="CQ2365">
        <v>0</v>
      </c>
      <c r="CR2365">
        <v>2</v>
      </c>
      <c r="CS2365">
        <v>0</v>
      </c>
      <c r="CT2365">
        <v>2</v>
      </c>
      <c r="CU2365">
        <v>0</v>
      </c>
      <c r="CV2365">
        <v>6</v>
      </c>
      <c r="CW2365" t="s">
        <v>120</v>
      </c>
      <c r="CX2365">
        <v>257</v>
      </c>
      <c r="CY2365">
        <v>0</v>
      </c>
      <c r="CZ2365" t="s">
        <v>615</v>
      </c>
      <c r="DA2365" t="s">
        <v>616</v>
      </c>
      <c r="DD2365">
        <v>15867023</v>
      </c>
      <c r="DE2365" t="s">
        <v>123</v>
      </c>
    </row>
    <row r="2366" spans="1:109" x14ac:dyDescent="0.3">
      <c r="A2366" t="str">
        <f>"19:14:18.133"</f>
        <v>19:14:18.133</v>
      </c>
      <c r="B2366" t="s">
        <v>110</v>
      </c>
      <c r="C2366" t="str">
        <f t="shared" si="108"/>
        <v>ffdfd3c0</v>
      </c>
      <c r="D2366" t="s">
        <v>111</v>
      </c>
      <c r="E2366">
        <v>18</v>
      </c>
      <c r="F2366">
        <v>1018</v>
      </c>
      <c r="G2366" t="s">
        <v>112</v>
      </c>
      <c r="J2366" t="s">
        <v>113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R2366" t="s">
        <v>114</v>
      </c>
      <c r="S2366" t="str">
        <f>"19:14:17.852"</f>
        <v>19:14:17.852</v>
      </c>
      <c r="T2366" t="str">
        <f>"19:14:17.750"</f>
        <v>19:14:17.750</v>
      </c>
      <c r="U2366" t="str">
        <f t="shared" si="109"/>
        <v>a1cdbe</v>
      </c>
      <c r="V2366">
        <v>0</v>
      </c>
      <c r="W2366">
        <v>0</v>
      </c>
      <c r="X2366">
        <v>1</v>
      </c>
      <c r="Y2366">
        <v>0</v>
      </c>
      <c r="Z2366">
        <v>0</v>
      </c>
      <c r="AB2366">
        <v>0</v>
      </c>
      <c r="AC2366">
        <v>9</v>
      </c>
      <c r="AD2366">
        <v>3</v>
      </c>
      <c r="AE2366">
        <v>0</v>
      </c>
      <c r="AF2366">
        <v>9</v>
      </c>
      <c r="AG2366" t="s">
        <v>158</v>
      </c>
      <c r="AH2366">
        <v>0</v>
      </c>
      <c r="AI2366">
        <v>3</v>
      </c>
      <c r="AJ2366">
        <v>1</v>
      </c>
      <c r="AK2366">
        <v>0</v>
      </c>
      <c r="AL2366" t="s">
        <v>4451</v>
      </c>
      <c r="AM2366">
        <v>46.899754999999999</v>
      </c>
      <c r="AN2366" t="s">
        <v>4452</v>
      </c>
      <c r="AO2366">
        <v>-123.220339</v>
      </c>
      <c r="AP2366">
        <v>100</v>
      </c>
      <c r="AQ2366">
        <v>2000</v>
      </c>
      <c r="AR2366" t="s">
        <v>118</v>
      </c>
      <c r="AS2366">
        <v>-70</v>
      </c>
      <c r="AT2366">
        <v>41</v>
      </c>
      <c r="AU2366">
        <v>128</v>
      </c>
      <c r="BC2366">
        <v>1200</v>
      </c>
      <c r="BD2366">
        <v>1</v>
      </c>
      <c r="BE2366" t="str">
        <f t="shared" si="110"/>
        <v xml:space="preserve">N215T   </v>
      </c>
      <c r="BF2366">
        <v>1</v>
      </c>
      <c r="BH2366">
        <v>0</v>
      </c>
      <c r="BI2366">
        <v>0</v>
      </c>
      <c r="BJ2366">
        <v>0</v>
      </c>
      <c r="BK2366">
        <v>2425</v>
      </c>
      <c r="BL2366">
        <v>425</v>
      </c>
      <c r="BM2366" t="s">
        <v>119</v>
      </c>
      <c r="BN2366">
        <v>1</v>
      </c>
      <c r="BO2366">
        <v>1</v>
      </c>
      <c r="BP2366">
        <v>1</v>
      </c>
      <c r="BQ2366">
        <v>0</v>
      </c>
      <c r="BT2366">
        <v>0</v>
      </c>
      <c r="BU2366">
        <v>0</v>
      </c>
      <c r="BV2366">
        <v>0</v>
      </c>
      <c r="CC2366" t="str">
        <f>"19:14:17.852"</f>
        <v>19:14:17.852</v>
      </c>
      <c r="CD2366" t="str">
        <f>"854750452"</f>
        <v>854750452</v>
      </c>
      <c r="CQ2366">
        <v>0</v>
      </c>
      <c r="CR2366">
        <v>2</v>
      </c>
      <c r="CS2366">
        <v>0</v>
      </c>
      <c r="CT2366">
        <v>2</v>
      </c>
      <c r="CU2366">
        <v>0</v>
      </c>
      <c r="CV2366">
        <v>6</v>
      </c>
      <c r="CW2366" t="s">
        <v>120</v>
      </c>
      <c r="CX2366">
        <v>257</v>
      </c>
      <c r="CY2366">
        <v>0</v>
      </c>
      <c r="CZ2366" t="s">
        <v>615</v>
      </c>
      <c r="DA2366" t="s">
        <v>616</v>
      </c>
      <c r="DD2366">
        <v>15867486</v>
      </c>
      <c r="DE2366" t="s">
        <v>123</v>
      </c>
    </row>
    <row r="2367" spans="1:109" x14ac:dyDescent="0.3">
      <c r="A2367" t="str">
        <f>"19:14:19.031"</f>
        <v>19:14:19.031</v>
      </c>
      <c r="B2367" t="s">
        <v>110</v>
      </c>
      <c r="C2367" t="str">
        <f t="shared" si="108"/>
        <v>ffdfd3c0</v>
      </c>
      <c r="D2367" t="s">
        <v>111</v>
      </c>
      <c r="E2367">
        <v>18</v>
      </c>
      <c r="F2367">
        <v>1018</v>
      </c>
      <c r="G2367" t="s">
        <v>112</v>
      </c>
      <c r="J2367" t="s">
        <v>113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R2367" t="s">
        <v>114</v>
      </c>
      <c r="S2367" t="str">
        <f>"19:14:18.797"</f>
        <v>19:14:18.797</v>
      </c>
      <c r="T2367" t="str">
        <f>"19:14:18.695"</f>
        <v>19:14:18.695</v>
      </c>
      <c r="U2367" t="str">
        <f t="shared" si="109"/>
        <v>a1cdbe</v>
      </c>
      <c r="V2367">
        <v>0</v>
      </c>
      <c r="W2367">
        <v>0</v>
      </c>
      <c r="X2367">
        <v>1</v>
      </c>
      <c r="Y2367">
        <v>0</v>
      </c>
      <c r="Z2367">
        <v>0</v>
      </c>
      <c r="AB2367">
        <v>0</v>
      </c>
      <c r="AC2367">
        <v>9</v>
      </c>
      <c r="AD2367">
        <v>3</v>
      </c>
      <c r="AE2367">
        <v>0</v>
      </c>
      <c r="AF2367">
        <v>9</v>
      </c>
      <c r="AG2367" t="s">
        <v>158</v>
      </c>
      <c r="AH2367">
        <v>0</v>
      </c>
      <c r="AI2367">
        <v>3</v>
      </c>
      <c r="AJ2367">
        <v>1</v>
      </c>
      <c r="AK2367">
        <v>0</v>
      </c>
      <c r="AL2367" t="s">
        <v>4453</v>
      </c>
      <c r="AM2367">
        <v>46.899948000000002</v>
      </c>
      <c r="AN2367" t="s">
        <v>4454</v>
      </c>
      <c r="AO2367">
        <v>-123.220811</v>
      </c>
      <c r="AP2367">
        <v>100</v>
      </c>
      <c r="AQ2367">
        <v>2000</v>
      </c>
      <c r="AR2367" t="s">
        <v>118</v>
      </c>
      <c r="AS2367">
        <v>-69</v>
      </c>
      <c r="AT2367">
        <v>41</v>
      </c>
      <c r="AU2367">
        <v>0</v>
      </c>
      <c r="BC2367">
        <v>1200</v>
      </c>
      <c r="BD2367">
        <v>1</v>
      </c>
      <c r="BE2367" t="str">
        <f t="shared" si="110"/>
        <v xml:space="preserve">N215T   </v>
      </c>
      <c r="BF2367">
        <v>1</v>
      </c>
      <c r="BH2367">
        <v>0</v>
      </c>
      <c r="BI2367">
        <v>0</v>
      </c>
      <c r="BJ2367">
        <v>0</v>
      </c>
      <c r="BK2367">
        <v>2425</v>
      </c>
      <c r="BL2367">
        <v>425</v>
      </c>
      <c r="BM2367" t="s">
        <v>119</v>
      </c>
      <c r="BN2367">
        <v>1</v>
      </c>
      <c r="BO2367">
        <v>1</v>
      </c>
      <c r="BP2367">
        <v>1</v>
      </c>
      <c r="BQ2367">
        <v>0</v>
      </c>
      <c r="BT2367">
        <v>0</v>
      </c>
      <c r="BU2367">
        <v>0</v>
      </c>
      <c r="BV2367">
        <v>0</v>
      </c>
      <c r="CC2367" t="str">
        <f>"19:14:18.797"</f>
        <v>19:14:18.797</v>
      </c>
      <c r="CD2367" t="str">
        <f>"799657351"</f>
        <v>799657351</v>
      </c>
      <c r="CQ2367">
        <v>0</v>
      </c>
      <c r="CR2367">
        <v>2</v>
      </c>
      <c r="CS2367">
        <v>0</v>
      </c>
      <c r="CT2367">
        <v>2</v>
      </c>
      <c r="CU2367">
        <v>0</v>
      </c>
      <c r="CV2367">
        <v>6</v>
      </c>
      <c r="CW2367" t="s">
        <v>120</v>
      </c>
      <c r="CX2367">
        <v>257</v>
      </c>
      <c r="CY2367">
        <v>0</v>
      </c>
      <c r="CZ2367" t="s">
        <v>615</v>
      </c>
      <c r="DA2367" t="s">
        <v>616</v>
      </c>
      <c r="DD2367">
        <v>15868015</v>
      </c>
      <c r="DE2367" t="s">
        <v>123</v>
      </c>
    </row>
    <row r="2368" spans="1:109" x14ac:dyDescent="0.3">
      <c r="A2368" t="str">
        <f>"19:14:20.094"</f>
        <v>19:14:20.094</v>
      </c>
      <c r="B2368" t="s">
        <v>110</v>
      </c>
      <c r="C2368" t="str">
        <f t="shared" si="108"/>
        <v>ffdfd3c0</v>
      </c>
      <c r="D2368" t="s">
        <v>111</v>
      </c>
      <c r="E2368">
        <v>18</v>
      </c>
      <c r="F2368">
        <v>1018</v>
      </c>
      <c r="G2368" t="s">
        <v>112</v>
      </c>
      <c r="J2368" t="s">
        <v>113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R2368" t="s">
        <v>114</v>
      </c>
      <c r="S2368" t="str">
        <f>"19:14:19.844"</f>
        <v>19:14:19.844</v>
      </c>
      <c r="T2368" t="str">
        <f>"19:14:19.844"</f>
        <v>19:14:19.844</v>
      </c>
      <c r="U2368" t="str">
        <f t="shared" si="109"/>
        <v>a1cdbe</v>
      </c>
      <c r="V2368">
        <v>0</v>
      </c>
      <c r="W2368">
        <v>0</v>
      </c>
      <c r="X2368">
        <v>1</v>
      </c>
      <c r="Y2368">
        <v>0</v>
      </c>
      <c r="Z2368">
        <v>0</v>
      </c>
      <c r="AB2368">
        <v>0</v>
      </c>
      <c r="AC2368">
        <v>9</v>
      </c>
      <c r="AD2368">
        <v>3</v>
      </c>
      <c r="AE2368">
        <v>0</v>
      </c>
      <c r="AF2368">
        <v>9</v>
      </c>
      <c r="AG2368" t="s">
        <v>158</v>
      </c>
      <c r="AH2368">
        <v>0</v>
      </c>
      <c r="AI2368">
        <v>3</v>
      </c>
      <c r="AJ2368">
        <v>1</v>
      </c>
      <c r="AK2368">
        <v>0</v>
      </c>
      <c r="AL2368" t="s">
        <v>4455</v>
      </c>
      <c r="AM2368">
        <v>46.900120000000001</v>
      </c>
      <c r="AN2368" t="s">
        <v>4456</v>
      </c>
      <c r="AO2368">
        <v>-123.221326</v>
      </c>
      <c r="AP2368">
        <v>100</v>
      </c>
      <c r="AQ2368">
        <v>2000</v>
      </c>
      <c r="AR2368" t="s">
        <v>118</v>
      </c>
      <c r="AS2368">
        <v>-68</v>
      </c>
      <c r="AT2368">
        <v>40</v>
      </c>
      <c r="AU2368">
        <v>64</v>
      </c>
      <c r="BC2368">
        <v>1200</v>
      </c>
      <c r="BD2368">
        <v>1</v>
      </c>
      <c r="BE2368" t="str">
        <f t="shared" si="110"/>
        <v xml:space="preserve">N215T   </v>
      </c>
      <c r="BF2368">
        <v>1</v>
      </c>
      <c r="BH2368">
        <v>0</v>
      </c>
      <c r="BI2368">
        <v>0</v>
      </c>
      <c r="BJ2368">
        <v>0</v>
      </c>
      <c r="BK2368">
        <v>2425</v>
      </c>
      <c r="BL2368">
        <v>425</v>
      </c>
      <c r="BM2368" t="s">
        <v>119</v>
      </c>
      <c r="BN2368">
        <v>1</v>
      </c>
      <c r="BO2368">
        <v>1</v>
      </c>
      <c r="BP2368">
        <v>1</v>
      </c>
      <c r="BQ2368">
        <v>0</v>
      </c>
      <c r="BT2368">
        <v>0</v>
      </c>
      <c r="BU2368">
        <v>0</v>
      </c>
      <c r="BV2368">
        <v>0</v>
      </c>
      <c r="CC2368" t="str">
        <f>"19:14:19.852"</f>
        <v>19:14:19.852</v>
      </c>
      <c r="CD2368" t="str">
        <f>"849553898"</f>
        <v>849553898</v>
      </c>
      <c r="CQ2368">
        <v>0</v>
      </c>
      <c r="CR2368">
        <v>2</v>
      </c>
      <c r="CS2368">
        <v>0</v>
      </c>
      <c r="CT2368">
        <v>2</v>
      </c>
      <c r="CU2368">
        <v>0</v>
      </c>
      <c r="CV2368">
        <v>6</v>
      </c>
      <c r="CW2368" t="s">
        <v>120</v>
      </c>
      <c r="CX2368">
        <v>257</v>
      </c>
      <c r="CY2368">
        <v>0</v>
      </c>
      <c r="CZ2368" t="s">
        <v>615</v>
      </c>
      <c r="DA2368" t="s">
        <v>616</v>
      </c>
      <c r="DD2368">
        <v>15868625</v>
      </c>
      <c r="DE2368" t="s">
        <v>123</v>
      </c>
    </row>
    <row r="2369" spans="1:109" x14ac:dyDescent="0.3">
      <c r="A2369" t="str">
        <f>"19:14:21.094"</f>
        <v>19:14:21.094</v>
      </c>
      <c r="B2369" t="s">
        <v>110</v>
      </c>
      <c r="C2369" t="str">
        <f t="shared" si="108"/>
        <v>ffdfd3c0</v>
      </c>
      <c r="D2369" t="s">
        <v>111</v>
      </c>
      <c r="E2369">
        <v>18</v>
      </c>
      <c r="F2369">
        <v>1018</v>
      </c>
      <c r="G2369" t="s">
        <v>112</v>
      </c>
      <c r="J2369" t="s">
        <v>113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R2369" t="s">
        <v>114</v>
      </c>
      <c r="S2369" t="str">
        <f>"19:14:20.883"</f>
        <v>19:14:20.883</v>
      </c>
      <c r="T2369" t="str">
        <f>"19:14:20.781"</f>
        <v>19:14:20.781</v>
      </c>
      <c r="U2369" t="str">
        <f t="shared" si="109"/>
        <v>a1cdbe</v>
      </c>
      <c r="V2369">
        <v>0</v>
      </c>
      <c r="W2369">
        <v>0</v>
      </c>
      <c r="X2369">
        <v>1</v>
      </c>
      <c r="Y2369">
        <v>0</v>
      </c>
      <c r="Z2369">
        <v>0</v>
      </c>
      <c r="AB2369">
        <v>0</v>
      </c>
      <c r="AC2369">
        <v>9</v>
      </c>
      <c r="AD2369">
        <v>3</v>
      </c>
      <c r="AE2369">
        <v>0</v>
      </c>
      <c r="AF2369">
        <v>9</v>
      </c>
      <c r="AG2369" t="s">
        <v>158</v>
      </c>
      <c r="AH2369">
        <v>0</v>
      </c>
      <c r="AI2369">
        <v>3</v>
      </c>
      <c r="AJ2369">
        <v>1</v>
      </c>
      <c r="AK2369">
        <v>0</v>
      </c>
      <c r="AL2369" t="s">
        <v>4457</v>
      </c>
      <c r="AM2369">
        <v>46.900312999999997</v>
      </c>
      <c r="AN2369" t="s">
        <v>4458</v>
      </c>
      <c r="AO2369">
        <v>-123.221755</v>
      </c>
      <c r="AP2369">
        <v>100</v>
      </c>
      <c r="AQ2369">
        <v>2000</v>
      </c>
      <c r="AR2369" t="s">
        <v>118</v>
      </c>
      <c r="AS2369">
        <v>-68</v>
      </c>
      <c r="AT2369">
        <v>40</v>
      </c>
      <c r="AU2369">
        <v>-64</v>
      </c>
      <c r="BC2369">
        <v>1200</v>
      </c>
      <c r="BD2369">
        <v>1</v>
      </c>
      <c r="BE2369" t="str">
        <f t="shared" si="110"/>
        <v xml:space="preserve">N215T   </v>
      </c>
      <c r="BF2369">
        <v>1</v>
      </c>
      <c r="BH2369">
        <v>0</v>
      </c>
      <c r="BI2369">
        <v>0</v>
      </c>
      <c r="BJ2369">
        <v>0</v>
      </c>
      <c r="BK2369">
        <v>2425</v>
      </c>
      <c r="BL2369">
        <v>425</v>
      </c>
      <c r="BM2369" t="s">
        <v>119</v>
      </c>
      <c r="BN2369">
        <v>1</v>
      </c>
      <c r="BO2369">
        <v>1</v>
      </c>
      <c r="BP2369">
        <v>1</v>
      </c>
      <c r="BQ2369">
        <v>0</v>
      </c>
      <c r="BT2369">
        <v>0</v>
      </c>
      <c r="BU2369">
        <v>0</v>
      </c>
      <c r="BV2369">
        <v>0</v>
      </c>
      <c r="CC2369" t="str">
        <f>"19:14:20.883"</f>
        <v>19:14:20.883</v>
      </c>
      <c r="CD2369" t="str">
        <f>"884451928"</f>
        <v>884451928</v>
      </c>
      <c r="CQ2369">
        <v>0</v>
      </c>
      <c r="CR2369">
        <v>2</v>
      </c>
      <c r="CS2369">
        <v>0</v>
      </c>
      <c r="CT2369">
        <v>2</v>
      </c>
      <c r="CU2369">
        <v>0</v>
      </c>
      <c r="CV2369">
        <v>5</v>
      </c>
      <c r="CW2369" t="s">
        <v>120</v>
      </c>
      <c r="CX2369">
        <v>257</v>
      </c>
      <c r="CY2369">
        <v>0</v>
      </c>
      <c r="CZ2369" t="s">
        <v>615</v>
      </c>
      <c r="DA2369" t="s">
        <v>616</v>
      </c>
      <c r="DD2369">
        <v>15869212</v>
      </c>
      <c r="DE2369" t="s">
        <v>123</v>
      </c>
    </row>
    <row r="2370" spans="1:109" x14ac:dyDescent="0.3">
      <c r="A2370" t="str">
        <f>"19:14:22.148"</f>
        <v>19:14:22.148</v>
      </c>
      <c r="B2370" t="s">
        <v>110</v>
      </c>
      <c r="C2370" t="str">
        <f t="shared" ref="C2370:C2433" si="111">"ffdfd3c0"</f>
        <v>ffdfd3c0</v>
      </c>
      <c r="D2370" t="s">
        <v>111</v>
      </c>
      <c r="E2370">
        <v>18</v>
      </c>
      <c r="F2370">
        <v>1018</v>
      </c>
      <c r="G2370" t="s">
        <v>112</v>
      </c>
      <c r="J2370" t="s">
        <v>113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R2370" t="s">
        <v>114</v>
      </c>
      <c r="S2370" t="str">
        <f>"19:14:21.945"</f>
        <v>19:14:21.945</v>
      </c>
      <c r="T2370" t="str">
        <f>"19:14:21.445"</f>
        <v>19:14:21.445</v>
      </c>
      <c r="U2370" t="str">
        <f t="shared" ref="U2370:U2433" si="112">"a1cdbe"</f>
        <v>a1cdbe</v>
      </c>
      <c r="V2370">
        <v>0</v>
      </c>
      <c r="W2370">
        <v>0</v>
      </c>
      <c r="X2370">
        <v>1</v>
      </c>
      <c r="Y2370">
        <v>0</v>
      </c>
      <c r="Z2370">
        <v>0</v>
      </c>
      <c r="AB2370">
        <v>0</v>
      </c>
      <c r="AC2370">
        <v>9</v>
      </c>
      <c r="AD2370">
        <v>3</v>
      </c>
      <c r="AE2370">
        <v>0</v>
      </c>
      <c r="AF2370">
        <v>9</v>
      </c>
      <c r="AG2370" t="s">
        <v>158</v>
      </c>
      <c r="AH2370">
        <v>0</v>
      </c>
      <c r="AI2370">
        <v>3</v>
      </c>
      <c r="AJ2370">
        <v>1</v>
      </c>
      <c r="AK2370">
        <v>0</v>
      </c>
      <c r="AL2370" t="s">
        <v>1402</v>
      </c>
      <c r="AM2370">
        <v>46.900548999999998</v>
      </c>
      <c r="AN2370" t="s">
        <v>4459</v>
      </c>
      <c r="AO2370">
        <v>-123.22224900000001</v>
      </c>
      <c r="AP2370">
        <v>100</v>
      </c>
      <c r="AQ2370">
        <v>2000</v>
      </c>
      <c r="AR2370" t="s">
        <v>118</v>
      </c>
      <c r="AS2370">
        <v>-68</v>
      </c>
      <c r="AT2370">
        <v>41</v>
      </c>
      <c r="AU2370">
        <v>-128</v>
      </c>
      <c r="BC2370">
        <v>1200</v>
      </c>
      <c r="BD2370">
        <v>1</v>
      </c>
      <c r="BE2370" t="str">
        <f t="shared" ref="BE2370:BE2433" si="113">"N215T   "</f>
        <v xml:space="preserve">N215T   </v>
      </c>
      <c r="BF2370">
        <v>1</v>
      </c>
      <c r="BH2370">
        <v>0</v>
      </c>
      <c r="BI2370">
        <v>0</v>
      </c>
      <c r="BJ2370">
        <v>0</v>
      </c>
      <c r="BK2370">
        <v>2425</v>
      </c>
      <c r="BL2370">
        <v>425</v>
      </c>
      <c r="BM2370" t="s">
        <v>119</v>
      </c>
      <c r="BN2370">
        <v>1</v>
      </c>
      <c r="BO2370">
        <v>1</v>
      </c>
      <c r="BP2370">
        <v>1</v>
      </c>
      <c r="BQ2370">
        <v>0</v>
      </c>
      <c r="BT2370">
        <v>0</v>
      </c>
      <c r="BU2370">
        <v>0</v>
      </c>
      <c r="BV2370">
        <v>0</v>
      </c>
      <c r="CC2370" t="str">
        <f>"19:14:21.953"</f>
        <v>19:14:21.953</v>
      </c>
      <c r="CD2370" t="str">
        <f>"949346994"</f>
        <v>949346994</v>
      </c>
      <c r="CQ2370">
        <v>0</v>
      </c>
      <c r="CR2370">
        <v>2</v>
      </c>
      <c r="CS2370">
        <v>0</v>
      </c>
      <c r="CT2370">
        <v>2</v>
      </c>
      <c r="CU2370">
        <v>0</v>
      </c>
      <c r="CV2370">
        <v>6</v>
      </c>
      <c r="CW2370" t="s">
        <v>120</v>
      </c>
      <c r="CX2370">
        <v>257</v>
      </c>
      <c r="CY2370">
        <v>0</v>
      </c>
      <c r="CZ2370" t="s">
        <v>615</v>
      </c>
      <c r="DA2370" t="s">
        <v>616</v>
      </c>
      <c r="DD2370">
        <v>15869792</v>
      </c>
      <c r="DE2370" t="s">
        <v>123</v>
      </c>
    </row>
    <row r="2371" spans="1:109" x14ac:dyDescent="0.3">
      <c r="A2371" t="str">
        <f>"19:14:23.258"</f>
        <v>19:14:23.258</v>
      </c>
      <c r="B2371" t="s">
        <v>110</v>
      </c>
      <c r="C2371" t="str">
        <f t="shared" si="111"/>
        <v>ffdfd3c0</v>
      </c>
      <c r="D2371" t="s">
        <v>111</v>
      </c>
      <c r="E2371">
        <v>18</v>
      </c>
      <c r="F2371">
        <v>1018</v>
      </c>
      <c r="G2371" t="s">
        <v>112</v>
      </c>
      <c r="J2371" t="s">
        <v>113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R2371" t="s">
        <v>114</v>
      </c>
      <c r="S2371" t="str">
        <f>"19:14:22.992"</f>
        <v>19:14:22.992</v>
      </c>
      <c r="T2371" t="str">
        <f>"19:14:22.891"</f>
        <v>19:14:22.891</v>
      </c>
      <c r="U2371" t="str">
        <f t="shared" si="112"/>
        <v>a1cdbe</v>
      </c>
      <c r="V2371">
        <v>0</v>
      </c>
      <c r="W2371">
        <v>0</v>
      </c>
      <c r="X2371">
        <v>1</v>
      </c>
      <c r="Y2371">
        <v>0</v>
      </c>
      <c r="Z2371">
        <v>0</v>
      </c>
      <c r="AB2371">
        <v>0</v>
      </c>
      <c r="AC2371">
        <v>9</v>
      </c>
      <c r="AD2371">
        <v>3</v>
      </c>
      <c r="AE2371">
        <v>0</v>
      </c>
      <c r="AF2371">
        <v>9</v>
      </c>
      <c r="AG2371" t="s">
        <v>158</v>
      </c>
      <c r="AH2371">
        <v>0</v>
      </c>
      <c r="AI2371">
        <v>3</v>
      </c>
      <c r="AJ2371">
        <v>1</v>
      </c>
      <c r="AK2371">
        <v>0</v>
      </c>
      <c r="AL2371" t="s">
        <v>4460</v>
      </c>
      <c r="AM2371">
        <v>46.900720999999997</v>
      </c>
      <c r="AN2371" t="s">
        <v>4461</v>
      </c>
      <c r="AO2371">
        <v>-123.22272100000001</v>
      </c>
      <c r="AP2371">
        <v>100</v>
      </c>
      <c r="AQ2371">
        <v>2000</v>
      </c>
      <c r="AR2371" t="s">
        <v>118</v>
      </c>
      <c r="AS2371">
        <v>-67</v>
      </c>
      <c r="AT2371">
        <v>41</v>
      </c>
      <c r="AU2371">
        <v>-320</v>
      </c>
      <c r="BC2371">
        <v>1200</v>
      </c>
      <c r="BD2371">
        <v>1</v>
      </c>
      <c r="BE2371" t="str">
        <f t="shared" si="113"/>
        <v xml:space="preserve">N215T   </v>
      </c>
      <c r="BF2371">
        <v>1</v>
      </c>
      <c r="BH2371">
        <v>0</v>
      </c>
      <c r="BI2371">
        <v>0</v>
      </c>
      <c r="BJ2371">
        <v>0</v>
      </c>
      <c r="BK2371">
        <v>2400</v>
      </c>
      <c r="BL2371">
        <v>400</v>
      </c>
      <c r="BM2371" t="s">
        <v>119</v>
      </c>
      <c r="BN2371">
        <v>1</v>
      </c>
      <c r="BO2371">
        <v>1</v>
      </c>
      <c r="BP2371">
        <v>1</v>
      </c>
      <c r="BQ2371">
        <v>0</v>
      </c>
      <c r="BT2371">
        <v>0</v>
      </c>
      <c r="BU2371">
        <v>0</v>
      </c>
      <c r="BV2371">
        <v>0</v>
      </c>
      <c r="CC2371" t="str">
        <f>"19:14:23.000"</f>
        <v>19:14:23.000</v>
      </c>
      <c r="CD2371" t="str">
        <f>"999243557"</f>
        <v>999243557</v>
      </c>
      <c r="CQ2371">
        <v>0</v>
      </c>
      <c r="CR2371">
        <v>2</v>
      </c>
      <c r="CS2371">
        <v>0</v>
      </c>
      <c r="CT2371">
        <v>2</v>
      </c>
      <c r="CU2371">
        <v>0</v>
      </c>
      <c r="CV2371">
        <v>5</v>
      </c>
      <c r="CW2371" t="s">
        <v>120</v>
      </c>
      <c r="CX2371">
        <v>257</v>
      </c>
      <c r="CY2371">
        <v>0</v>
      </c>
      <c r="CZ2371" t="s">
        <v>615</v>
      </c>
      <c r="DA2371" t="s">
        <v>616</v>
      </c>
      <c r="DD2371">
        <v>15870322</v>
      </c>
      <c r="DE2371" t="s">
        <v>123</v>
      </c>
    </row>
    <row r="2372" spans="1:109" x14ac:dyDescent="0.3">
      <c r="A2372" t="str">
        <f>"19:14:24.109"</f>
        <v>19:14:24.109</v>
      </c>
      <c r="B2372" t="s">
        <v>110</v>
      </c>
      <c r="C2372" t="str">
        <f t="shared" si="111"/>
        <v>ffdfd3c0</v>
      </c>
      <c r="D2372" t="s">
        <v>111</v>
      </c>
      <c r="E2372">
        <v>18</v>
      </c>
      <c r="F2372">
        <v>1018</v>
      </c>
      <c r="G2372" t="s">
        <v>112</v>
      </c>
      <c r="J2372" t="s">
        <v>113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R2372" t="s">
        <v>114</v>
      </c>
      <c r="S2372" t="str">
        <f>"19:14:23.867"</f>
        <v>19:14:23.867</v>
      </c>
      <c r="T2372" t="str">
        <f>"19:14:23.367"</f>
        <v>19:14:23.367</v>
      </c>
      <c r="U2372" t="str">
        <f t="shared" si="112"/>
        <v>a1cdbe</v>
      </c>
      <c r="V2372">
        <v>0</v>
      </c>
      <c r="W2372">
        <v>0</v>
      </c>
      <c r="X2372">
        <v>1</v>
      </c>
      <c r="Y2372">
        <v>0</v>
      </c>
      <c r="Z2372">
        <v>0</v>
      </c>
      <c r="AB2372">
        <v>0</v>
      </c>
      <c r="AC2372">
        <v>9</v>
      </c>
      <c r="AD2372">
        <v>3</v>
      </c>
      <c r="AE2372">
        <v>0</v>
      </c>
      <c r="AF2372">
        <v>9</v>
      </c>
      <c r="AG2372" t="s">
        <v>158</v>
      </c>
      <c r="AH2372">
        <v>0</v>
      </c>
      <c r="AI2372">
        <v>3</v>
      </c>
      <c r="AJ2372">
        <v>1</v>
      </c>
      <c r="AK2372">
        <v>0</v>
      </c>
      <c r="AL2372" t="s">
        <v>4462</v>
      </c>
      <c r="AM2372">
        <v>46.900914</v>
      </c>
      <c r="AN2372" t="s">
        <v>4463</v>
      </c>
      <c r="AO2372">
        <v>-123.22315</v>
      </c>
      <c r="AP2372">
        <v>100</v>
      </c>
      <c r="AQ2372">
        <v>2000</v>
      </c>
      <c r="AR2372" t="s">
        <v>118</v>
      </c>
      <c r="AS2372">
        <v>-67</v>
      </c>
      <c r="AT2372">
        <v>42</v>
      </c>
      <c r="AU2372">
        <v>-320</v>
      </c>
      <c r="BC2372">
        <v>1200</v>
      </c>
      <c r="BD2372">
        <v>1</v>
      </c>
      <c r="BE2372" t="str">
        <f t="shared" si="113"/>
        <v xml:space="preserve">N215T   </v>
      </c>
      <c r="BF2372">
        <v>1</v>
      </c>
      <c r="BH2372">
        <v>0</v>
      </c>
      <c r="BI2372">
        <v>0</v>
      </c>
      <c r="BJ2372">
        <v>0</v>
      </c>
      <c r="BK2372">
        <v>2400</v>
      </c>
      <c r="BL2372">
        <v>400</v>
      </c>
      <c r="BM2372" t="s">
        <v>119</v>
      </c>
      <c r="BN2372">
        <v>1</v>
      </c>
      <c r="BO2372">
        <v>1</v>
      </c>
      <c r="BP2372">
        <v>1</v>
      </c>
      <c r="BQ2372">
        <v>0</v>
      </c>
      <c r="BT2372">
        <v>0</v>
      </c>
      <c r="BU2372">
        <v>0</v>
      </c>
      <c r="BV2372">
        <v>0</v>
      </c>
      <c r="CC2372" t="str">
        <f>"19:14:23.867"</f>
        <v>19:14:23.867</v>
      </c>
      <c r="CD2372" t="str">
        <f>"869157840"</f>
        <v>869157840</v>
      </c>
      <c r="CQ2372">
        <v>0</v>
      </c>
      <c r="CR2372">
        <v>2</v>
      </c>
      <c r="CS2372">
        <v>0</v>
      </c>
      <c r="CT2372">
        <v>2</v>
      </c>
      <c r="CU2372">
        <v>0</v>
      </c>
      <c r="CV2372">
        <v>6</v>
      </c>
      <c r="CW2372" t="s">
        <v>120</v>
      </c>
      <c r="CX2372">
        <v>257</v>
      </c>
      <c r="CY2372">
        <v>1</v>
      </c>
      <c r="CZ2372" t="s">
        <v>615</v>
      </c>
      <c r="DA2372" t="s">
        <v>616</v>
      </c>
      <c r="DD2372">
        <v>12143637</v>
      </c>
      <c r="DE2372" t="s">
        <v>123</v>
      </c>
    </row>
    <row r="2373" spans="1:109" x14ac:dyDescent="0.3">
      <c r="A2373" t="str">
        <f>"19:14:25.164"</f>
        <v>19:14:25.164</v>
      </c>
      <c r="B2373" t="s">
        <v>110</v>
      </c>
      <c r="C2373" t="str">
        <f t="shared" si="111"/>
        <v>ffdfd3c0</v>
      </c>
      <c r="D2373" t="s">
        <v>111</v>
      </c>
      <c r="E2373">
        <v>18</v>
      </c>
      <c r="F2373">
        <v>1018</v>
      </c>
      <c r="G2373" t="s">
        <v>112</v>
      </c>
      <c r="J2373" t="s">
        <v>113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R2373" t="s">
        <v>114</v>
      </c>
      <c r="S2373" t="str">
        <f>"19:14:24.898"</f>
        <v>19:14:24.898</v>
      </c>
      <c r="T2373" t="str">
        <f>"19:14:24.500"</f>
        <v>19:14:24.500</v>
      </c>
      <c r="U2373" t="str">
        <f t="shared" si="112"/>
        <v>a1cdbe</v>
      </c>
      <c r="V2373">
        <v>0</v>
      </c>
      <c r="W2373">
        <v>0</v>
      </c>
      <c r="X2373">
        <v>1</v>
      </c>
      <c r="Y2373">
        <v>0</v>
      </c>
      <c r="Z2373">
        <v>0</v>
      </c>
      <c r="AB2373">
        <v>0</v>
      </c>
      <c r="AC2373">
        <v>9</v>
      </c>
      <c r="AD2373">
        <v>3</v>
      </c>
      <c r="AE2373">
        <v>0</v>
      </c>
      <c r="AF2373">
        <v>9</v>
      </c>
      <c r="AG2373" t="s">
        <v>158</v>
      </c>
      <c r="AH2373">
        <v>0</v>
      </c>
      <c r="AI2373">
        <v>3</v>
      </c>
      <c r="AJ2373">
        <v>1</v>
      </c>
      <c r="AK2373">
        <v>0</v>
      </c>
      <c r="AL2373" t="s">
        <v>4464</v>
      </c>
      <c r="AM2373">
        <v>46.901085000000002</v>
      </c>
      <c r="AN2373" t="s">
        <v>4465</v>
      </c>
      <c r="AO2373">
        <v>-123.22362200000001</v>
      </c>
      <c r="AP2373">
        <v>100</v>
      </c>
      <c r="AQ2373">
        <v>2000</v>
      </c>
      <c r="AR2373" t="s">
        <v>118</v>
      </c>
      <c r="AS2373">
        <v>-66</v>
      </c>
      <c r="AT2373">
        <v>43</v>
      </c>
      <c r="AU2373">
        <v>-256</v>
      </c>
      <c r="BC2373">
        <v>1200</v>
      </c>
      <c r="BD2373">
        <v>1</v>
      </c>
      <c r="BE2373" t="str">
        <f t="shared" si="113"/>
        <v xml:space="preserve">N215T   </v>
      </c>
      <c r="BF2373">
        <v>1</v>
      </c>
      <c r="BH2373">
        <v>0</v>
      </c>
      <c r="BI2373">
        <v>0</v>
      </c>
      <c r="BJ2373">
        <v>0</v>
      </c>
      <c r="BK2373">
        <v>2400</v>
      </c>
      <c r="BL2373">
        <v>400</v>
      </c>
      <c r="BM2373" t="s">
        <v>119</v>
      </c>
      <c r="BN2373">
        <v>1</v>
      </c>
      <c r="BO2373">
        <v>1</v>
      </c>
      <c r="BP2373">
        <v>1</v>
      </c>
      <c r="BQ2373">
        <v>0</v>
      </c>
      <c r="BT2373">
        <v>0</v>
      </c>
      <c r="BU2373">
        <v>0</v>
      </c>
      <c r="BV2373">
        <v>0</v>
      </c>
      <c r="CC2373" t="str">
        <f>"19:14:24.906"</f>
        <v>19:14:24.906</v>
      </c>
      <c r="CD2373" t="str">
        <f>"904055867"</f>
        <v>904055867</v>
      </c>
      <c r="CQ2373">
        <v>0</v>
      </c>
      <c r="CR2373">
        <v>2</v>
      </c>
      <c r="CS2373">
        <v>0</v>
      </c>
      <c r="CT2373">
        <v>2</v>
      </c>
      <c r="CU2373">
        <v>0</v>
      </c>
      <c r="CV2373">
        <v>6</v>
      </c>
      <c r="CW2373" t="s">
        <v>120</v>
      </c>
      <c r="CX2373">
        <v>257</v>
      </c>
      <c r="CY2373">
        <v>0</v>
      </c>
      <c r="CZ2373" t="s">
        <v>615</v>
      </c>
      <c r="DA2373" t="s">
        <v>616</v>
      </c>
      <c r="DD2373">
        <v>15871438</v>
      </c>
      <c r="DE2373" t="s">
        <v>123</v>
      </c>
    </row>
    <row r="2374" spans="1:109" x14ac:dyDescent="0.3">
      <c r="A2374" t="str">
        <f>"19:14:26.023"</f>
        <v>19:14:26.023</v>
      </c>
      <c r="B2374" t="s">
        <v>110</v>
      </c>
      <c r="C2374" t="str">
        <f t="shared" si="111"/>
        <v>ffdfd3c0</v>
      </c>
      <c r="D2374" t="s">
        <v>111</v>
      </c>
      <c r="E2374">
        <v>18</v>
      </c>
      <c r="F2374">
        <v>1018</v>
      </c>
      <c r="G2374" t="s">
        <v>112</v>
      </c>
      <c r="J2374" t="s">
        <v>113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R2374" t="s">
        <v>114</v>
      </c>
      <c r="S2374" t="str">
        <f>"19:14:25.773"</f>
        <v>19:14:25.773</v>
      </c>
      <c r="T2374" t="str">
        <f>"19:14:25.477"</f>
        <v>19:14:25.477</v>
      </c>
      <c r="U2374" t="str">
        <f t="shared" si="112"/>
        <v>a1cdbe</v>
      </c>
      <c r="V2374">
        <v>0</v>
      </c>
      <c r="W2374">
        <v>0</v>
      </c>
      <c r="X2374">
        <v>1</v>
      </c>
      <c r="Y2374">
        <v>0</v>
      </c>
      <c r="Z2374">
        <v>0</v>
      </c>
      <c r="AB2374">
        <v>0</v>
      </c>
      <c r="AC2374">
        <v>9</v>
      </c>
      <c r="AD2374">
        <v>3</v>
      </c>
      <c r="AE2374">
        <v>0</v>
      </c>
      <c r="AF2374">
        <v>9</v>
      </c>
      <c r="AG2374" t="s">
        <v>158</v>
      </c>
      <c r="AH2374">
        <v>0</v>
      </c>
      <c r="AI2374">
        <v>3</v>
      </c>
      <c r="AJ2374">
        <v>1</v>
      </c>
      <c r="AK2374">
        <v>0</v>
      </c>
      <c r="AL2374" t="s">
        <v>4466</v>
      </c>
      <c r="AM2374">
        <v>46.901277999999998</v>
      </c>
      <c r="AN2374" t="s">
        <v>4467</v>
      </c>
      <c r="AO2374">
        <v>-123.22398699999999</v>
      </c>
      <c r="AP2374">
        <v>100</v>
      </c>
      <c r="AQ2374">
        <v>2000</v>
      </c>
      <c r="AR2374" t="s">
        <v>118</v>
      </c>
      <c r="AS2374">
        <v>-66</v>
      </c>
      <c r="AT2374">
        <v>43</v>
      </c>
      <c r="AU2374">
        <v>-192</v>
      </c>
      <c r="BC2374">
        <v>1200</v>
      </c>
      <c r="BD2374">
        <v>1</v>
      </c>
      <c r="BE2374" t="str">
        <f t="shared" si="113"/>
        <v xml:space="preserve">N215T   </v>
      </c>
      <c r="BF2374">
        <v>1</v>
      </c>
      <c r="BH2374">
        <v>0</v>
      </c>
      <c r="BI2374">
        <v>0</v>
      </c>
      <c r="BJ2374">
        <v>0</v>
      </c>
      <c r="BK2374">
        <v>2400</v>
      </c>
      <c r="BL2374">
        <v>400</v>
      </c>
      <c r="BM2374" t="s">
        <v>119</v>
      </c>
      <c r="BN2374">
        <v>1</v>
      </c>
      <c r="BO2374">
        <v>1</v>
      </c>
      <c r="BP2374">
        <v>1</v>
      </c>
      <c r="BQ2374">
        <v>0</v>
      </c>
      <c r="BT2374">
        <v>0</v>
      </c>
      <c r="BU2374">
        <v>0</v>
      </c>
      <c r="BV2374">
        <v>0</v>
      </c>
      <c r="CC2374" t="str">
        <f>"19:14:25.773"</f>
        <v>19:14:25.773</v>
      </c>
      <c r="CD2374" t="str">
        <f>"773970157"</f>
        <v>773970157</v>
      </c>
      <c r="CQ2374">
        <v>0</v>
      </c>
      <c r="CR2374">
        <v>2</v>
      </c>
      <c r="CS2374">
        <v>0</v>
      </c>
      <c r="CT2374">
        <v>2</v>
      </c>
      <c r="CU2374">
        <v>0</v>
      </c>
      <c r="CV2374">
        <v>6</v>
      </c>
      <c r="CW2374" t="s">
        <v>120</v>
      </c>
      <c r="CX2374">
        <v>257</v>
      </c>
      <c r="CY2374">
        <v>1</v>
      </c>
      <c r="CZ2374" t="s">
        <v>615</v>
      </c>
      <c r="DA2374" t="s">
        <v>616</v>
      </c>
      <c r="DD2374">
        <v>12145016</v>
      </c>
      <c r="DE2374" t="s">
        <v>123</v>
      </c>
    </row>
    <row r="2375" spans="1:109" x14ac:dyDescent="0.3">
      <c r="A2375" t="str">
        <f>"19:14:27.125"</f>
        <v>19:14:27.125</v>
      </c>
      <c r="B2375" t="s">
        <v>110</v>
      </c>
      <c r="C2375" t="str">
        <f t="shared" si="111"/>
        <v>ffdfd3c0</v>
      </c>
      <c r="D2375" t="s">
        <v>111</v>
      </c>
      <c r="E2375">
        <v>18</v>
      </c>
      <c r="F2375">
        <v>1018</v>
      </c>
      <c r="G2375" t="s">
        <v>112</v>
      </c>
      <c r="J2375" t="s">
        <v>113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R2375" t="s">
        <v>114</v>
      </c>
      <c r="S2375" t="str">
        <f>"19:14:26.836"</f>
        <v>19:14:26.836</v>
      </c>
      <c r="T2375" t="str">
        <f>"19:14:26.039"</f>
        <v>19:14:26.039</v>
      </c>
      <c r="U2375" t="str">
        <f t="shared" si="112"/>
        <v>a1cdbe</v>
      </c>
      <c r="V2375">
        <v>0</v>
      </c>
      <c r="W2375">
        <v>0</v>
      </c>
      <c r="X2375">
        <v>1</v>
      </c>
      <c r="Y2375">
        <v>0</v>
      </c>
      <c r="Z2375">
        <v>0</v>
      </c>
      <c r="AB2375">
        <v>0</v>
      </c>
      <c r="AC2375">
        <v>9</v>
      </c>
      <c r="AD2375">
        <v>3</v>
      </c>
      <c r="AE2375">
        <v>0</v>
      </c>
      <c r="AF2375">
        <v>9</v>
      </c>
      <c r="AG2375" t="s">
        <v>158</v>
      </c>
      <c r="AH2375">
        <v>0</v>
      </c>
      <c r="AI2375">
        <v>3</v>
      </c>
      <c r="AJ2375">
        <v>1</v>
      </c>
      <c r="AK2375">
        <v>0</v>
      </c>
      <c r="AL2375" t="s">
        <v>4468</v>
      </c>
      <c r="AM2375">
        <v>46.901515000000003</v>
      </c>
      <c r="AN2375" t="s">
        <v>4469</v>
      </c>
      <c r="AO2375">
        <v>-123.22443699999999</v>
      </c>
      <c r="AP2375">
        <v>100</v>
      </c>
      <c r="AQ2375">
        <v>2000</v>
      </c>
      <c r="AR2375" t="s">
        <v>118</v>
      </c>
      <c r="AS2375">
        <v>-66</v>
      </c>
      <c r="AT2375">
        <v>43</v>
      </c>
      <c r="AU2375">
        <v>-128</v>
      </c>
      <c r="BC2375">
        <v>1200</v>
      </c>
      <c r="BD2375">
        <v>1</v>
      </c>
      <c r="BE2375" t="str">
        <f t="shared" si="113"/>
        <v xml:space="preserve">N215T   </v>
      </c>
      <c r="BF2375">
        <v>1</v>
      </c>
      <c r="BH2375">
        <v>0</v>
      </c>
      <c r="BI2375">
        <v>0</v>
      </c>
      <c r="BJ2375">
        <v>0</v>
      </c>
      <c r="BK2375">
        <v>2400</v>
      </c>
      <c r="BL2375">
        <v>400</v>
      </c>
      <c r="BM2375" t="s">
        <v>119</v>
      </c>
      <c r="BN2375">
        <v>1</v>
      </c>
      <c r="BO2375">
        <v>1</v>
      </c>
      <c r="BP2375">
        <v>1</v>
      </c>
      <c r="BQ2375">
        <v>0</v>
      </c>
      <c r="BT2375">
        <v>0</v>
      </c>
      <c r="BU2375">
        <v>0</v>
      </c>
      <c r="BV2375">
        <v>0</v>
      </c>
      <c r="CC2375" t="str">
        <f>"19:14:26.836"</f>
        <v>19:14:26.836</v>
      </c>
      <c r="CD2375" t="str">
        <f>"838865233"</f>
        <v>838865233</v>
      </c>
      <c r="CQ2375">
        <v>0</v>
      </c>
      <c r="CR2375">
        <v>2</v>
      </c>
      <c r="CS2375">
        <v>0</v>
      </c>
      <c r="CT2375">
        <v>2</v>
      </c>
      <c r="CU2375">
        <v>0</v>
      </c>
      <c r="CV2375">
        <v>6</v>
      </c>
      <c r="CW2375" t="s">
        <v>120</v>
      </c>
      <c r="CX2375">
        <v>257</v>
      </c>
      <c r="CY2375">
        <v>0</v>
      </c>
      <c r="CZ2375" t="s">
        <v>615</v>
      </c>
      <c r="DA2375" t="s">
        <v>616</v>
      </c>
      <c r="DD2375">
        <v>15872492</v>
      </c>
      <c r="DE2375" t="s">
        <v>123</v>
      </c>
    </row>
    <row r="2376" spans="1:109" x14ac:dyDescent="0.3">
      <c r="A2376" t="str">
        <f>"19:14:28.031"</f>
        <v>19:14:28.031</v>
      </c>
      <c r="B2376" t="s">
        <v>110</v>
      </c>
      <c r="C2376" t="str">
        <f t="shared" si="111"/>
        <v>ffdfd3c0</v>
      </c>
      <c r="D2376" t="s">
        <v>111</v>
      </c>
      <c r="E2376">
        <v>18</v>
      </c>
      <c r="F2376">
        <v>1018</v>
      </c>
      <c r="G2376" t="s">
        <v>112</v>
      </c>
      <c r="J2376" t="s">
        <v>113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R2376" t="s">
        <v>114</v>
      </c>
      <c r="S2376" t="str">
        <f>"19:14:27.813"</f>
        <v>19:14:27.813</v>
      </c>
      <c r="T2376" t="str">
        <f>"19:14:27.609"</f>
        <v>19:14:27.609</v>
      </c>
      <c r="U2376" t="str">
        <f t="shared" si="112"/>
        <v>a1cdbe</v>
      </c>
      <c r="V2376">
        <v>0</v>
      </c>
      <c r="W2376">
        <v>0</v>
      </c>
      <c r="X2376">
        <v>1</v>
      </c>
      <c r="Y2376">
        <v>0</v>
      </c>
      <c r="Z2376">
        <v>0</v>
      </c>
      <c r="AB2376">
        <v>0</v>
      </c>
      <c r="AC2376">
        <v>9</v>
      </c>
      <c r="AD2376">
        <v>3</v>
      </c>
      <c r="AE2376">
        <v>0</v>
      </c>
      <c r="AF2376">
        <v>9</v>
      </c>
      <c r="AG2376" t="s">
        <v>158</v>
      </c>
      <c r="AH2376">
        <v>0</v>
      </c>
      <c r="AI2376">
        <v>3</v>
      </c>
      <c r="AJ2376">
        <v>1</v>
      </c>
      <c r="AK2376">
        <v>0</v>
      </c>
      <c r="AL2376" t="s">
        <v>4470</v>
      </c>
      <c r="AM2376">
        <v>46.901707999999999</v>
      </c>
      <c r="AN2376" t="s">
        <v>4471</v>
      </c>
      <c r="AO2376">
        <v>-123.224909</v>
      </c>
      <c r="AP2376">
        <v>100</v>
      </c>
      <c r="AQ2376">
        <v>2000</v>
      </c>
      <c r="AR2376" t="s">
        <v>118</v>
      </c>
      <c r="AS2376">
        <v>-67</v>
      </c>
      <c r="AT2376">
        <v>42</v>
      </c>
      <c r="AU2376">
        <v>-64</v>
      </c>
      <c r="BC2376">
        <v>1200</v>
      </c>
      <c r="BD2376">
        <v>1</v>
      </c>
      <c r="BE2376" t="str">
        <f t="shared" si="113"/>
        <v xml:space="preserve">N215T   </v>
      </c>
      <c r="BF2376">
        <v>1</v>
      </c>
      <c r="BH2376">
        <v>0</v>
      </c>
      <c r="BI2376">
        <v>0</v>
      </c>
      <c r="BJ2376">
        <v>0</v>
      </c>
      <c r="BK2376">
        <v>2400</v>
      </c>
      <c r="BL2376">
        <v>400</v>
      </c>
      <c r="BM2376" t="s">
        <v>119</v>
      </c>
      <c r="BN2376">
        <v>1</v>
      </c>
      <c r="BO2376">
        <v>1</v>
      </c>
      <c r="BP2376">
        <v>1</v>
      </c>
      <c r="BQ2376">
        <v>0</v>
      </c>
      <c r="BT2376">
        <v>0</v>
      </c>
      <c r="BU2376">
        <v>0</v>
      </c>
      <c r="BV2376">
        <v>0</v>
      </c>
      <c r="CC2376" t="str">
        <f>"19:14:27.813"</f>
        <v>19:14:27.813</v>
      </c>
      <c r="CD2376" t="str">
        <f>"813769167"</f>
        <v>813769167</v>
      </c>
      <c r="CQ2376">
        <v>0</v>
      </c>
      <c r="CR2376">
        <v>2</v>
      </c>
      <c r="CS2376">
        <v>0</v>
      </c>
      <c r="CT2376">
        <v>2</v>
      </c>
      <c r="CU2376">
        <v>0</v>
      </c>
      <c r="CV2376">
        <v>6</v>
      </c>
      <c r="CW2376" t="s">
        <v>120</v>
      </c>
      <c r="CX2376">
        <v>257</v>
      </c>
      <c r="CY2376">
        <v>0</v>
      </c>
      <c r="CZ2376" t="s">
        <v>615</v>
      </c>
      <c r="DA2376" t="s">
        <v>616</v>
      </c>
      <c r="DD2376">
        <v>15873029</v>
      </c>
      <c r="DE2376" t="s">
        <v>123</v>
      </c>
    </row>
    <row r="2377" spans="1:109" x14ac:dyDescent="0.3">
      <c r="A2377" t="str">
        <f>"19:14:29.242"</f>
        <v>19:14:29.242</v>
      </c>
      <c r="B2377" t="s">
        <v>110</v>
      </c>
      <c r="C2377" t="str">
        <f t="shared" si="111"/>
        <v>ffdfd3c0</v>
      </c>
      <c r="D2377" t="s">
        <v>111</v>
      </c>
      <c r="E2377">
        <v>18</v>
      </c>
      <c r="F2377">
        <v>1018</v>
      </c>
      <c r="G2377" t="s">
        <v>112</v>
      </c>
      <c r="J2377" t="s">
        <v>113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R2377" t="s">
        <v>114</v>
      </c>
      <c r="S2377" t="str">
        <f>"19:14:28.977"</f>
        <v>19:14:28.977</v>
      </c>
      <c r="T2377" t="str">
        <f>"19:14:28.578"</f>
        <v>19:14:28.578</v>
      </c>
      <c r="U2377" t="str">
        <f t="shared" si="112"/>
        <v>a1cdbe</v>
      </c>
      <c r="V2377">
        <v>0</v>
      </c>
      <c r="W2377">
        <v>0</v>
      </c>
      <c r="X2377">
        <v>1</v>
      </c>
      <c r="Y2377">
        <v>0</v>
      </c>
      <c r="Z2377">
        <v>0</v>
      </c>
      <c r="AB2377">
        <v>0</v>
      </c>
      <c r="AC2377">
        <v>9</v>
      </c>
      <c r="AD2377">
        <v>3</v>
      </c>
      <c r="AE2377">
        <v>0</v>
      </c>
      <c r="AF2377">
        <v>9</v>
      </c>
      <c r="AG2377" t="s">
        <v>158</v>
      </c>
      <c r="AH2377">
        <v>0</v>
      </c>
      <c r="AI2377">
        <v>3</v>
      </c>
      <c r="AJ2377">
        <v>1</v>
      </c>
      <c r="AK2377">
        <v>0</v>
      </c>
      <c r="AL2377" t="s">
        <v>4472</v>
      </c>
      <c r="AM2377">
        <v>46.901944</v>
      </c>
      <c r="AN2377" t="s">
        <v>4473</v>
      </c>
      <c r="AO2377">
        <v>-123.225403</v>
      </c>
      <c r="AP2377">
        <v>100</v>
      </c>
      <c r="AQ2377">
        <v>2000</v>
      </c>
      <c r="AR2377" t="s">
        <v>118</v>
      </c>
      <c r="AS2377">
        <v>-68</v>
      </c>
      <c r="AT2377">
        <v>42</v>
      </c>
      <c r="AU2377">
        <v>-64</v>
      </c>
      <c r="BC2377">
        <v>1200</v>
      </c>
      <c r="BD2377">
        <v>1</v>
      </c>
      <c r="BE2377" t="str">
        <f t="shared" si="113"/>
        <v xml:space="preserve">N215T   </v>
      </c>
      <c r="BF2377">
        <v>1</v>
      </c>
      <c r="BH2377">
        <v>0</v>
      </c>
      <c r="BI2377">
        <v>0</v>
      </c>
      <c r="BJ2377">
        <v>0</v>
      </c>
      <c r="BK2377">
        <v>2400</v>
      </c>
      <c r="BL2377">
        <v>400</v>
      </c>
      <c r="BM2377" t="s">
        <v>119</v>
      </c>
      <c r="BN2377">
        <v>1</v>
      </c>
      <c r="BO2377">
        <v>1</v>
      </c>
      <c r="BP2377">
        <v>1</v>
      </c>
      <c r="BQ2377">
        <v>0</v>
      </c>
      <c r="BT2377">
        <v>0</v>
      </c>
      <c r="BU2377">
        <v>0</v>
      </c>
      <c r="BV2377">
        <v>0</v>
      </c>
      <c r="CC2377" t="str">
        <f>"19:14:28.984"</f>
        <v>19:14:28.984</v>
      </c>
      <c r="CD2377" t="str">
        <f>"983653887"</f>
        <v>983653887</v>
      </c>
      <c r="CQ2377">
        <v>0</v>
      </c>
      <c r="CR2377">
        <v>2</v>
      </c>
      <c r="CS2377">
        <v>0</v>
      </c>
      <c r="CT2377">
        <v>2</v>
      </c>
      <c r="CU2377">
        <v>0</v>
      </c>
      <c r="CV2377">
        <v>5</v>
      </c>
      <c r="CW2377" t="s">
        <v>120</v>
      </c>
      <c r="CX2377">
        <v>257</v>
      </c>
      <c r="CY2377">
        <v>1</v>
      </c>
      <c r="CZ2377" t="s">
        <v>615</v>
      </c>
      <c r="DA2377" t="s">
        <v>616</v>
      </c>
      <c r="DD2377">
        <v>12147267</v>
      </c>
      <c r="DE2377" t="s">
        <v>123</v>
      </c>
    </row>
    <row r="2378" spans="1:109" x14ac:dyDescent="0.3">
      <c r="A2378" t="str">
        <f>"19:14:30.094"</f>
        <v>19:14:30.094</v>
      </c>
      <c r="B2378" t="s">
        <v>110</v>
      </c>
      <c r="C2378" t="str">
        <f t="shared" si="111"/>
        <v>ffdfd3c0</v>
      </c>
      <c r="D2378" t="s">
        <v>111</v>
      </c>
      <c r="E2378">
        <v>18</v>
      </c>
      <c r="F2378">
        <v>1018</v>
      </c>
      <c r="G2378" t="s">
        <v>112</v>
      </c>
      <c r="J2378" t="s">
        <v>113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R2378" t="s">
        <v>114</v>
      </c>
      <c r="S2378" t="str">
        <f>"19:14:29.852"</f>
        <v>19:14:29.852</v>
      </c>
      <c r="T2378" t="str">
        <f>"19:14:29.852"</f>
        <v>19:14:29.852</v>
      </c>
      <c r="U2378" t="str">
        <f t="shared" si="112"/>
        <v>a1cdbe</v>
      </c>
      <c r="V2378">
        <v>0</v>
      </c>
      <c r="W2378">
        <v>0</v>
      </c>
      <c r="X2378">
        <v>1</v>
      </c>
      <c r="Y2378">
        <v>0</v>
      </c>
      <c r="Z2378">
        <v>0</v>
      </c>
      <c r="AB2378">
        <v>0</v>
      </c>
      <c r="AC2378">
        <v>9</v>
      </c>
      <c r="AD2378">
        <v>3</v>
      </c>
      <c r="AE2378">
        <v>0</v>
      </c>
      <c r="AF2378">
        <v>9</v>
      </c>
      <c r="AG2378" t="s">
        <v>158</v>
      </c>
      <c r="AH2378">
        <v>0</v>
      </c>
      <c r="AI2378">
        <v>3</v>
      </c>
      <c r="AJ2378">
        <v>1</v>
      </c>
      <c r="AK2378">
        <v>0</v>
      </c>
      <c r="AL2378" t="s">
        <v>4474</v>
      </c>
      <c r="AM2378">
        <v>46.902071999999997</v>
      </c>
      <c r="AN2378" t="s">
        <v>4475</v>
      </c>
      <c r="AO2378">
        <v>-123.225832</v>
      </c>
      <c r="AP2378">
        <v>100</v>
      </c>
      <c r="AQ2378">
        <v>2000</v>
      </c>
      <c r="AR2378" t="s">
        <v>118</v>
      </c>
      <c r="AS2378">
        <v>-68</v>
      </c>
      <c r="AT2378">
        <v>42</v>
      </c>
      <c r="AU2378">
        <v>-128</v>
      </c>
      <c r="BC2378">
        <v>1200</v>
      </c>
      <c r="BD2378">
        <v>1</v>
      </c>
      <c r="BE2378" t="str">
        <f t="shared" si="113"/>
        <v xml:space="preserve">N215T   </v>
      </c>
      <c r="BF2378">
        <v>1</v>
      </c>
      <c r="BH2378">
        <v>0</v>
      </c>
      <c r="BI2378">
        <v>0</v>
      </c>
      <c r="BJ2378">
        <v>0</v>
      </c>
      <c r="BK2378">
        <v>2400</v>
      </c>
      <c r="BL2378">
        <v>400</v>
      </c>
      <c r="BM2378" t="s">
        <v>119</v>
      </c>
      <c r="BN2378">
        <v>1</v>
      </c>
      <c r="BO2378">
        <v>1</v>
      </c>
      <c r="BP2378">
        <v>1</v>
      </c>
      <c r="BQ2378">
        <v>0</v>
      </c>
      <c r="BT2378">
        <v>0</v>
      </c>
      <c r="BU2378">
        <v>0</v>
      </c>
      <c r="BV2378">
        <v>0</v>
      </c>
      <c r="CC2378" t="str">
        <f>"19:14:29.852"</f>
        <v>19:14:29.852</v>
      </c>
      <c r="CD2378" t="str">
        <f>"853568175"</f>
        <v>853568175</v>
      </c>
      <c r="CQ2378">
        <v>0</v>
      </c>
      <c r="CR2378">
        <v>2</v>
      </c>
      <c r="CS2378">
        <v>0</v>
      </c>
      <c r="CT2378">
        <v>2</v>
      </c>
      <c r="CU2378">
        <v>0</v>
      </c>
      <c r="CV2378">
        <v>5</v>
      </c>
      <c r="CW2378" t="s">
        <v>120</v>
      </c>
      <c r="CX2378">
        <v>257</v>
      </c>
      <c r="CY2378">
        <v>0</v>
      </c>
      <c r="CZ2378" t="s">
        <v>615</v>
      </c>
      <c r="DA2378" t="s">
        <v>616</v>
      </c>
      <c r="DD2378">
        <v>15874197</v>
      </c>
      <c r="DE2378" t="s">
        <v>123</v>
      </c>
    </row>
    <row r="2379" spans="1:109" x14ac:dyDescent="0.3">
      <c r="A2379" t="str">
        <f>"19:14:31.102"</f>
        <v>19:14:31.102</v>
      </c>
      <c r="B2379" t="s">
        <v>110</v>
      </c>
      <c r="C2379" t="str">
        <f t="shared" si="111"/>
        <v>ffdfd3c0</v>
      </c>
      <c r="D2379" t="s">
        <v>111</v>
      </c>
      <c r="E2379">
        <v>18</v>
      </c>
      <c r="F2379">
        <v>1018</v>
      </c>
      <c r="G2379" t="s">
        <v>112</v>
      </c>
      <c r="J2379" t="s">
        <v>113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R2379" t="s">
        <v>114</v>
      </c>
      <c r="S2379" t="str">
        <f>"19:14:30.836"</f>
        <v>19:14:30.836</v>
      </c>
      <c r="T2379" t="str">
        <f>"19:14:30.438"</f>
        <v>19:14:30.438</v>
      </c>
      <c r="U2379" t="str">
        <f t="shared" si="112"/>
        <v>a1cdbe</v>
      </c>
      <c r="V2379">
        <v>0</v>
      </c>
      <c r="W2379">
        <v>0</v>
      </c>
      <c r="X2379">
        <v>1</v>
      </c>
      <c r="Y2379">
        <v>0</v>
      </c>
      <c r="Z2379">
        <v>0</v>
      </c>
      <c r="AB2379">
        <v>0</v>
      </c>
      <c r="AC2379">
        <v>9</v>
      </c>
      <c r="AD2379">
        <v>3</v>
      </c>
      <c r="AE2379">
        <v>0</v>
      </c>
      <c r="AF2379">
        <v>9</v>
      </c>
      <c r="AG2379" t="s">
        <v>158</v>
      </c>
      <c r="AH2379">
        <v>0</v>
      </c>
      <c r="AI2379">
        <v>3</v>
      </c>
      <c r="AJ2379">
        <v>1</v>
      </c>
      <c r="AK2379">
        <v>0</v>
      </c>
      <c r="AL2379" t="s">
        <v>4476</v>
      </c>
      <c r="AM2379">
        <v>46.902287000000001</v>
      </c>
      <c r="AN2379" t="s">
        <v>4477</v>
      </c>
      <c r="AO2379">
        <v>-123.226304</v>
      </c>
      <c r="AP2379">
        <v>100</v>
      </c>
      <c r="AQ2379">
        <v>2000</v>
      </c>
      <c r="AR2379" t="s">
        <v>118</v>
      </c>
      <c r="AS2379">
        <v>-68</v>
      </c>
      <c r="AT2379">
        <v>42</v>
      </c>
      <c r="AU2379">
        <v>-64</v>
      </c>
      <c r="BC2379">
        <v>1200</v>
      </c>
      <c r="BD2379">
        <v>1</v>
      </c>
      <c r="BE2379" t="str">
        <f t="shared" si="113"/>
        <v xml:space="preserve">N215T   </v>
      </c>
      <c r="BF2379">
        <v>1</v>
      </c>
      <c r="BH2379">
        <v>0</v>
      </c>
      <c r="BI2379">
        <v>0</v>
      </c>
      <c r="BJ2379">
        <v>0</v>
      </c>
      <c r="BK2379">
        <v>2400</v>
      </c>
      <c r="BL2379">
        <v>400</v>
      </c>
      <c r="BM2379" t="s">
        <v>119</v>
      </c>
      <c r="BN2379">
        <v>1</v>
      </c>
      <c r="BO2379">
        <v>1</v>
      </c>
      <c r="BP2379">
        <v>1</v>
      </c>
      <c r="BQ2379">
        <v>0</v>
      </c>
      <c r="BT2379">
        <v>0</v>
      </c>
      <c r="BU2379">
        <v>0</v>
      </c>
      <c r="BV2379">
        <v>0</v>
      </c>
      <c r="CC2379" t="str">
        <f>"19:14:30.844"</f>
        <v>19:14:30.844</v>
      </c>
      <c r="CD2379" t="str">
        <f>"843470637"</f>
        <v>843470637</v>
      </c>
      <c r="CQ2379">
        <v>0</v>
      </c>
      <c r="CR2379">
        <v>2</v>
      </c>
      <c r="CS2379">
        <v>0</v>
      </c>
      <c r="CT2379">
        <v>2</v>
      </c>
      <c r="CU2379">
        <v>0</v>
      </c>
      <c r="CV2379">
        <v>5</v>
      </c>
      <c r="CW2379" t="s">
        <v>120</v>
      </c>
      <c r="CX2379">
        <v>257</v>
      </c>
      <c r="CY2379">
        <v>0</v>
      </c>
      <c r="CZ2379" t="s">
        <v>615</v>
      </c>
      <c r="DA2379" t="s">
        <v>616</v>
      </c>
      <c r="DD2379">
        <v>15874733</v>
      </c>
      <c r="DE2379" t="s">
        <v>123</v>
      </c>
    </row>
    <row r="2380" spans="1:109" x14ac:dyDescent="0.3">
      <c r="A2380" t="str">
        <f>"19:14:31.953"</f>
        <v>19:14:31.953</v>
      </c>
      <c r="B2380" t="s">
        <v>110</v>
      </c>
      <c r="C2380" t="str">
        <f t="shared" si="111"/>
        <v>ffdfd3c0</v>
      </c>
      <c r="D2380" t="s">
        <v>111</v>
      </c>
      <c r="E2380">
        <v>18</v>
      </c>
      <c r="F2380">
        <v>1018</v>
      </c>
      <c r="G2380" t="s">
        <v>112</v>
      </c>
      <c r="J2380" t="s">
        <v>113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R2380" t="s">
        <v>114</v>
      </c>
      <c r="S2380" t="str">
        <f>"19:14:31.742"</f>
        <v>19:14:31.742</v>
      </c>
      <c r="T2380" t="str">
        <f>"19:14:30.945"</f>
        <v>19:14:30.945</v>
      </c>
      <c r="U2380" t="str">
        <f t="shared" si="112"/>
        <v>a1cdbe</v>
      </c>
      <c r="V2380">
        <v>0</v>
      </c>
      <c r="W2380">
        <v>0</v>
      </c>
      <c r="X2380">
        <v>1</v>
      </c>
      <c r="Y2380">
        <v>0</v>
      </c>
      <c r="Z2380">
        <v>0</v>
      </c>
      <c r="AB2380">
        <v>0</v>
      </c>
      <c r="AC2380">
        <v>9</v>
      </c>
      <c r="AD2380">
        <v>3</v>
      </c>
      <c r="AE2380">
        <v>0</v>
      </c>
      <c r="AF2380">
        <v>9</v>
      </c>
      <c r="AG2380" t="s">
        <v>158</v>
      </c>
      <c r="AH2380">
        <v>0</v>
      </c>
      <c r="AI2380">
        <v>3</v>
      </c>
      <c r="AJ2380">
        <v>1</v>
      </c>
      <c r="AK2380">
        <v>0</v>
      </c>
      <c r="AL2380" t="s">
        <v>4478</v>
      </c>
      <c r="AM2380">
        <v>46.902459</v>
      </c>
      <c r="AN2380" t="s">
        <v>4479</v>
      </c>
      <c r="AO2380">
        <v>-123.22671200000001</v>
      </c>
      <c r="AP2380">
        <v>100</v>
      </c>
      <c r="AQ2380">
        <v>2000</v>
      </c>
      <c r="AR2380" t="s">
        <v>118</v>
      </c>
      <c r="AS2380">
        <v>-68</v>
      </c>
      <c r="AT2380">
        <v>42</v>
      </c>
      <c r="AU2380">
        <v>-64</v>
      </c>
      <c r="BC2380">
        <v>1200</v>
      </c>
      <c r="BD2380">
        <v>1</v>
      </c>
      <c r="BE2380" t="str">
        <f t="shared" si="113"/>
        <v xml:space="preserve">N215T   </v>
      </c>
      <c r="BF2380">
        <v>1</v>
      </c>
      <c r="BH2380">
        <v>0</v>
      </c>
      <c r="BI2380">
        <v>0</v>
      </c>
      <c r="BJ2380">
        <v>0</v>
      </c>
      <c r="BK2380">
        <v>2400</v>
      </c>
      <c r="BL2380">
        <v>400</v>
      </c>
      <c r="BM2380" t="s">
        <v>119</v>
      </c>
      <c r="BN2380">
        <v>1</v>
      </c>
      <c r="BO2380">
        <v>1</v>
      </c>
      <c r="BP2380">
        <v>1</v>
      </c>
      <c r="BQ2380">
        <v>0</v>
      </c>
      <c r="BT2380">
        <v>0</v>
      </c>
      <c r="BU2380">
        <v>0</v>
      </c>
      <c r="BV2380">
        <v>0</v>
      </c>
      <c r="CC2380" t="str">
        <f>"19:14:31.742"</f>
        <v>19:14:31.742</v>
      </c>
      <c r="CD2380" t="str">
        <f>"743381976"</f>
        <v>743381976</v>
      </c>
      <c r="CQ2380">
        <v>0</v>
      </c>
      <c r="CR2380">
        <v>2</v>
      </c>
      <c r="CS2380">
        <v>0</v>
      </c>
      <c r="CT2380">
        <v>2</v>
      </c>
      <c r="CU2380">
        <v>0</v>
      </c>
      <c r="CV2380">
        <v>5</v>
      </c>
      <c r="CW2380" t="s">
        <v>120</v>
      </c>
      <c r="CX2380">
        <v>257</v>
      </c>
      <c r="CY2380">
        <v>1</v>
      </c>
      <c r="CZ2380" t="s">
        <v>615</v>
      </c>
      <c r="DA2380" t="s">
        <v>616</v>
      </c>
      <c r="DD2380">
        <v>12149301</v>
      </c>
      <c r="DE2380" t="s">
        <v>123</v>
      </c>
    </row>
    <row r="2381" spans="1:109" x14ac:dyDescent="0.3">
      <c r="A2381" t="str">
        <f>"19:14:33.164"</f>
        <v>19:14:33.164</v>
      </c>
      <c r="B2381" t="s">
        <v>110</v>
      </c>
      <c r="C2381" t="str">
        <f t="shared" si="111"/>
        <v>ffdfd3c0</v>
      </c>
      <c r="D2381" t="s">
        <v>111</v>
      </c>
      <c r="E2381">
        <v>18</v>
      </c>
      <c r="F2381">
        <v>1018</v>
      </c>
      <c r="G2381" t="s">
        <v>112</v>
      </c>
      <c r="J2381" t="s">
        <v>113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R2381" t="s">
        <v>114</v>
      </c>
      <c r="S2381" t="str">
        <f>"19:14:32.891"</f>
        <v>19:14:32.891</v>
      </c>
      <c r="T2381" t="str">
        <f>"19:14:32.492"</f>
        <v>19:14:32.492</v>
      </c>
      <c r="U2381" t="str">
        <f t="shared" si="112"/>
        <v>a1cdbe</v>
      </c>
      <c r="V2381">
        <v>0</v>
      </c>
      <c r="W2381">
        <v>0</v>
      </c>
      <c r="X2381">
        <v>1</v>
      </c>
      <c r="Y2381">
        <v>0</v>
      </c>
      <c r="Z2381">
        <v>0</v>
      </c>
      <c r="AB2381">
        <v>0</v>
      </c>
      <c r="AC2381">
        <v>9</v>
      </c>
      <c r="AD2381">
        <v>3</v>
      </c>
      <c r="AE2381">
        <v>0</v>
      </c>
      <c r="AF2381">
        <v>9</v>
      </c>
      <c r="AG2381" t="s">
        <v>158</v>
      </c>
      <c r="AH2381">
        <v>0</v>
      </c>
      <c r="AI2381">
        <v>3</v>
      </c>
      <c r="AJ2381">
        <v>1</v>
      </c>
      <c r="AK2381">
        <v>0</v>
      </c>
      <c r="AL2381" t="s">
        <v>4480</v>
      </c>
      <c r="AM2381">
        <v>46.902652000000003</v>
      </c>
      <c r="AN2381" t="s">
        <v>4481</v>
      </c>
      <c r="AO2381">
        <v>-123.227248</v>
      </c>
      <c r="AP2381">
        <v>100</v>
      </c>
      <c r="AQ2381">
        <v>2000</v>
      </c>
      <c r="AR2381" t="s">
        <v>118</v>
      </c>
      <c r="AS2381">
        <v>-69</v>
      </c>
      <c r="AT2381">
        <v>42</v>
      </c>
      <c r="AU2381">
        <v>64</v>
      </c>
      <c r="BC2381">
        <v>1200</v>
      </c>
      <c r="BD2381">
        <v>1</v>
      </c>
      <c r="BE2381" t="str">
        <f t="shared" si="113"/>
        <v xml:space="preserve">N215T   </v>
      </c>
      <c r="BF2381">
        <v>1</v>
      </c>
      <c r="BH2381">
        <v>0</v>
      </c>
      <c r="BI2381">
        <v>0</v>
      </c>
      <c r="BJ2381">
        <v>0</v>
      </c>
      <c r="BK2381">
        <v>2400</v>
      </c>
      <c r="BL2381">
        <v>400</v>
      </c>
      <c r="BM2381" t="s">
        <v>119</v>
      </c>
      <c r="BN2381">
        <v>1</v>
      </c>
      <c r="BO2381">
        <v>1</v>
      </c>
      <c r="BP2381">
        <v>1</v>
      </c>
      <c r="BQ2381">
        <v>0</v>
      </c>
      <c r="BT2381">
        <v>0</v>
      </c>
      <c r="BU2381">
        <v>0</v>
      </c>
      <c r="BV2381">
        <v>0</v>
      </c>
      <c r="CC2381" t="str">
        <f>"19:14:32.898"</f>
        <v>19:14:32.898</v>
      </c>
      <c r="CD2381" t="str">
        <f>"898268159"</f>
        <v>898268159</v>
      </c>
      <c r="CQ2381">
        <v>0</v>
      </c>
      <c r="CR2381">
        <v>2</v>
      </c>
      <c r="CS2381">
        <v>0</v>
      </c>
      <c r="CT2381">
        <v>2</v>
      </c>
      <c r="CU2381">
        <v>0</v>
      </c>
      <c r="CV2381">
        <v>6</v>
      </c>
      <c r="CW2381" t="s">
        <v>120</v>
      </c>
      <c r="CX2381">
        <v>257</v>
      </c>
      <c r="CY2381">
        <v>0</v>
      </c>
      <c r="CZ2381" t="s">
        <v>615</v>
      </c>
      <c r="DA2381" t="s">
        <v>616</v>
      </c>
      <c r="DD2381">
        <v>15875934</v>
      </c>
      <c r="DE2381" t="s">
        <v>123</v>
      </c>
    </row>
    <row r="2382" spans="1:109" x14ac:dyDescent="0.3">
      <c r="A2382" t="str">
        <f>"19:14:34.117"</f>
        <v>19:14:34.117</v>
      </c>
      <c r="B2382" t="s">
        <v>110</v>
      </c>
      <c r="C2382" t="str">
        <f t="shared" si="111"/>
        <v>ffdfd3c0</v>
      </c>
      <c r="D2382" t="s">
        <v>111</v>
      </c>
      <c r="E2382">
        <v>18</v>
      </c>
      <c r="F2382">
        <v>1018</v>
      </c>
      <c r="G2382" t="s">
        <v>112</v>
      </c>
      <c r="J2382" t="s">
        <v>113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R2382" t="s">
        <v>114</v>
      </c>
      <c r="S2382" t="str">
        <f>"19:14:33.883"</f>
        <v>19:14:33.883</v>
      </c>
      <c r="T2382" t="str">
        <f>"19:14:33.586"</f>
        <v>19:14:33.586</v>
      </c>
      <c r="U2382" t="str">
        <f t="shared" si="112"/>
        <v>a1cdbe</v>
      </c>
      <c r="V2382">
        <v>0</v>
      </c>
      <c r="W2382">
        <v>0</v>
      </c>
      <c r="X2382">
        <v>1</v>
      </c>
      <c r="Y2382">
        <v>0</v>
      </c>
      <c r="Z2382">
        <v>0</v>
      </c>
      <c r="AB2382">
        <v>0</v>
      </c>
      <c r="AC2382">
        <v>9</v>
      </c>
      <c r="AD2382">
        <v>3</v>
      </c>
      <c r="AE2382">
        <v>0</v>
      </c>
      <c r="AF2382">
        <v>9</v>
      </c>
      <c r="AG2382" t="s">
        <v>158</v>
      </c>
      <c r="AH2382">
        <v>0</v>
      </c>
      <c r="AI2382">
        <v>3</v>
      </c>
      <c r="AJ2382">
        <v>1</v>
      </c>
      <c r="AK2382">
        <v>0</v>
      </c>
      <c r="AL2382" t="s">
        <v>4482</v>
      </c>
      <c r="AM2382">
        <v>46.902866000000003</v>
      </c>
      <c r="AN2382" t="s">
        <v>4483</v>
      </c>
      <c r="AO2382">
        <v>-123.227656</v>
      </c>
      <c r="AP2382">
        <v>100</v>
      </c>
      <c r="AQ2382">
        <v>2000</v>
      </c>
      <c r="AR2382" t="s">
        <v>118</v>
      </c>
      <c r="AS2382">
        <v>-69</v>
      </c>
      <c r="AT2382">
        <v>41</v>
      </c>
      <c r="AU2382">
        <v>-64</v>
      </c>
      <c r="BC2382">
        <v>1200</v>
      </c>
      <c r="BD2382">
        <v>1</v>
      </c>
      <c r="BE2382" t="str">
        <f t="shared" si="113"/>
        <v xml:space="preserve">N215T   </v>
      </c>
      <c r="BF2382">
        <v>1</v>
      </c>
      <c r="BH2382">
        <v>0</v>
      </c>
      <c r="BI2382">
        <v>0</v>
      </c>
      <c r="BJ2382">
        <v>0</v>
      </c>
      <c r="BK2382">
        <v>2400</v>
      </c>
      <c r="BL2382">
        <v>400</v>
      </c>
      <c r="BM2382" t="s">
        <v>119</v>
      </c>
      <c r="BN2382">
        <v>1</v>
      </c>
      <c r="BO2382">
        <v>1</v>
      </c>
      <c r="BP2382">
        <v>1</v>
      </c>
      <c r="BQ2382">
        <v>0</v>
      </c>
      <c r="BT2382">
        <v>0</v>
      </c>
      <c r="BU2382">
        <v>0</v>
      </c>
      <c r="BV2382">
        <v>0</v>
      </c>
      <c r="CC2382" t="str">
        <f>"19:14:33.891"</f>
        <v>19:14:33.891</v>
      </c>
      <c r="CD2382" t="str">
        <f>"888170627"</f>
        <v>888170627</v>
      </c>
      <c r="CQ2382">
        <v>0</v>
      </c>
      <c r="CR2382">
        <v>2</v>
      </c>
      <c r="CS2382">
        <v>0</v>
      </c>
      <c r="CT2382">
        <v>2</v>
      </c>
      <c r="CU2382">
        <v>0</v>
      </c>
      <c r="CV2382">
        <v>6</v>
      </c>
      <c r="CW2382" t="s">
        <v>120</v>
      </c>
      <c r="CX2382">
        <v>257</v>
      </c>
      <c r="CY2382">
        <v>0</v>
      </c>
      <c r="CZ2382" t="s">
        <v>615</v>
      </c>
      <c r="DA2382" t="s">
        <v>616</v>
      </c>
      <c r="DD2382">
        <v>15876514</v>
      </c>
      <c r="DE2382" t="s">
        <v>123</v>
      </c>
    </row>
    <row r="2383" spans="1:109" x14ac:dyDescent="0.3">
      <c r="A2383" t="str">
        <f>"19:14:35.219"</f>
        <v>19:14:35.219</v>
      </c>
      <c r="B2383" t="s">
        <v>110</v>
      </c>
      <c r="C2383" t="str">
        <f t="shared" si="111"/>
        <v>ffdfd3c0</v>
      </c>
      <c r="D2383" t="s">
        <v>111</v>
      </c>
      <c r="E2383">
        <v>18</v>
      </c>
      <c r="F2383">
        <v>1018</v>
      </c>
      <c r="G2383" t="s">
        <v>112</v>
      </c>
      <c r="J2383" t="s">
        <v>113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R2383" t="s">
        <v>114</v>
      </c>
      <c r="S2383" t="str">
        <f>"19:14:34.992"</f>
        <v>19:14:34.992</v>
      </c>
      <c r="T2383" t="str">
        <f>"19:14:34.992"</f>
        <v>19:14:34.992</v>
      </c>
      <c r="U2383" t="str">
        <f t="shared" si="112"/>
        <v>a1cdbe</v>
      </c>
      <c r="V2383">
        <v>0</v>
      </c>
      <c r="W2383">
        <v>0</v>
      </c>
      <c r="X2383">
        <v>1</v>
      </c>
      <c r="Y2383">
        <v>0</v>
      </c>
      <c r="Z2383">
        <v>0</v>
      </c>
      <c r="AB2383">
        <v>0</v>
      </c>
      <c r="AC2383">
        <v>9</v>
      </c>
      <c r="AD2383">
        <v>3</v>
      </c>
      <c r="AE2383">
        <v>0</v>
      </c>
      <c r="AF2383">
        <v>9</v>
      </c>
      <c r="AG2383" t="s">
        <v>158</v>
      </c>
      <c r="AH2383">
        <v>0</v>
      </c>
      <c r="AI2383">
        <v>3</v>
      </c>
      <c r="AJ2383">
        <v>1</v>
      </c>
      <c r="AK2383">
        <v>0</v>
      </c>
      <c r="AL2383" t="s">
        <v>4484</v>
      </c>
      <c r="AM2383">
        <v>46.903058999999999</v>
      </c>
      <c r="AN2383" t="s">
        <v>4485</v>
      </c>
      <c r="AO2383">
        <v>-123.22821399999999</v>
      </c>
      <c r="AP2383">
        <v>100</v>
      </c>
      <c r="AQ2383">
        <v>2000</v>
      </c>
      <c r="AR2383" t="s">
        <v>118</v>
      </c>
      <c r="AS2383">
        <v>-68</v>
      </c>
      <c r="AT2383">
        <v>41</v>
      </c>
      <c r="AU2383">
        <v>64</v>
      </c>
      <c r="BC2383">
        <v>1200</v>
      </c>
      <c r="BD2383">
        <v>1</v>
      </c>
      <c r="BE2383" t="str">
        <f t="shared" si="113"/>
        <v xml:space="preserve">N215T   </v>
      </c>
      <c r="BF2383">
        <v>1</v>
      </c>
      <c r="BH2383">
        <v>0</v>
      </c>
      <c r="BI2383">
        <v>0</v>
      </c>
      <c r="BJ2383">
        <v>0</v>
      </c>
      <c r="BK2383">
        <v>2400</v>
      </c>
      <c r="BL2383">
        <v>400</v>
      </c>
      <c r="BM2383" t="s">
        <v>119</v>
      </c>
      <c r="BN2383">
        <v>1</v>
      </c>
      <c r="BO2383">
        <v>1</v>
      </c>
      <c r="BP2383">
        <v>1</v>
      </c>
      <c r="BQ2383">
        <v>0</v>
      </c>
      <c r="BT2383">
        <v>0</v>
      </c>
      <c r="BU2383">
        <v>0</v>
      </c>
      <c r="BV2383">
        <v>0</v>
      </c>
      <c r="CC2383" t="str">
        <f>"19:14:35.000"</f>
        <v>19:14:35.000</v>
      </c>
      <c r="CD2383" t="str">
        <f>"998061254"</f>
        <v>998061254</v>
      </c>
      <c r="CQ2383">
        <v>0</v>
      </c>
      <c r="CR2383">
        <v>2</v>
      </c>
      <c r="CS2383">
        <v>0</v>
      </c>
      <c r="CT2383">
        <v>2</v>
      </c>
      <c r="CU2383">
        <v>0</v>
      </c>
      <c r="CV2383">
        <v>5</v>
      </c>
      <c r="CW2383" t="s">
        <v>120</v>
      </c>
      <c r="CX2383">
        <v>257</v>
      </c>
      <c r="CY2383">
        <v>0</v>
      </c>
      <c r="CZ2383" t="s">
        <v>615</v>
      </c>
      <c r="DA2383" t="s">
        <v>616</v>
      </c>
      <c r="DD2383">
        <v>15877128</v>
      </c>
      <c r="DE2383" t="s">
        <v>123</v>
      </c>
    </row>
    <row r="2384" spans="1:109" x14ac:dyDescent="0.3">
      <c r="A2384" t="str">
        <f>"19:14:36.281"</f>
        <v>19:14:36.281</v>
      </c>
      <c r="B2384" t="s">
        <v>110</v>
      </c>
      <c r="C2384" t="str">
        <f t="shared" si="111"/>
        <v>ffdfd3c0</v>
      </c>
      <c r="D2384" t="s">
        <v>111</v>
      </c>
      <c r="E2384">
        <v>18</v>
      </c>
      <c r="F2384">
        <v>1018</v>
      </c>
      <c r="G2384" t="s">
        <v>112</v>
      </c>
      <c r="J2384" t="s">
        <v>113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R2384" t="s">
        <v>114</v>
      </c>
      <c r="S2384" t="str">
        <f>"19:14:36.016"</f>
        <v>19:14:36.016</v>
      </c>
      <c r="T2384" t="str">
        <f>"19:14:35.617"</f>
        <v>19:14:35.617</v>
      </c>
      <c r="U2384" t="str">
        <f t="shared" si="112"/>
        <v>a1cdbe</v>
      </c>
      <c r="V2384">
        <v>0</v>
      </c>
      <c r="W2384">
        <v>0</v>
      </c>
      <c r="X2384">
        <v>1</v>
      </c>
      <c r="Y2384">
        <v>0</v>
      </c>
      <c r="Z2384">
        <v>0</v>
      </c>
      <c r="AB2384">
        <v>0</v>
      </c>
      <c r="AC2384">
        <v>9</v>
      </c>
      <c r="AD2384">
        <v>3</v>
      </c>
      <c r="AE2384">
        <v>0</v>
      </c>
      <c r="AF2384">
        <v>9</v>
      </c>
      <c r="AG2384" t="s">
        <v>158</v>
      </c>
      <c r="AH2384">
        <v>0</v>
      </c>
      <c r="AI2384">
        <v>3</v>
      </c>
      <c r="AJ2384">
        <v>1</v>
      </c>
      <c r="AK2384">
        <v>0</v>
      </c>
      <c r="AL2384" t="s">
        <v>4486</v>
      </c>
      <c r="AM2384">
        <v>46.903295999999997</v>
      </c>
      <c r="AN2384" t="s">
        <v>4487</v>
      </c>
      <c r="AO2384">
        <v>-123.228707</v>
      </c>
      <c r="AP2384">
        <v>100</v>
      </c>
      <c r="AQ2384">
        <v>2000</v>
      </c>
      <c r="AR2384" t="s">
        <v>118</v>
      </c>
      <c r="AS2384">
        <v>-68</v>
      </c>
      <c r="AT2384">
        <v>42</v>
      </c>
      <c r="AU2384">
        <v>64</v>
      </c>
      <c r="BC2384">
        <v>1200</v>
      </c>
      <c r="BD2384">
        <v>1</v>
      </c>
      <c r="BE2384" t="str">
        <f t="shared" si="113"/>
        <v xml:space="preserve">N215T   </v>
      </c>
      <c r="BF2384">
        <v>1</v>
      </c>
      <c r="BH2384">
        <v>0</v>
      </c>
      <c r="BI2384">
        <v>0</v>
      </c>
      <c r="BJ2384">
        <v>0</v>
      </c>
      <c r="BK2384">
        <v>2400</v>
      </c>
      <c r="BL2384">
        <v>400</v>
      </c>
      <c r="BM2384" t="s">
        <v>119</v>
      </c>
      <c r="BN2384">
        <v>1</v>
      </c>
      <c r="BO2384">
        <v>1</v>
      </c>
      <c r="BP2384">
        <v>1</v>
      </c>
      <c r="BQ2384">
        <v>0</v>
      </c>
      <c r="BT2384">
        <v>0</v>
      </c>
      <c r="BU2384">
        <v>0</v>
      </c>
      <c r="BV2384">
        <v>0</v>
      </c>
      <c r="CC2384" t="str">
        <f>"19:14:36.016"</f>
        <v>19:14:36.016</v>
      </c>
      <c r="CD2384" t="str">
        <f>"017960753"</f>
        <v>017960753</v>
      </c>
      <c r="CQ2384">
        <v>0</v>
      </c>
      <c r="CR2384">
        <v>2</v>
      </c>
      <c r="CS2384">
        <v>0</v>
      </c>
      <c r="CT2384">
        <v>2</v>
      </c>
      <c r="CU2384">
        <v>0</v>
      </c>
      <c r="CV2384">
        <v>6</v>
      </c>
      <c r="CW2384" t="s">
        <v>120</v>
      </c>
      <c r="CX2384">
        <v>257</v>
      </c>
      <c r="CY2384">
        <v>0</v>
      </c>
      <c r="CZ2384" t="s">
        <v>615</v>
      </c>
      <c r="DA2384" t="s">
        <v>616</v>
      </c>
      <c r="DD2384">
        <v>15877706</v>
      </c>
      <c r="DE2384" t="s">
        <v>123</v>
      </c>
    </row>
    <row r="2385" spans="1:109" x14ac:dyDescent="0.3">
      <c r="A2385" t="str">
        <f>"19:14:37.133"</f>
        <v>19:14:37.133</v>
      </c>
      <c r="B2385" t="s">
        <v>110</v>
      </c>
      <c r="C2385" t="str">
        <f t="shared" si="111"/>
        <v>ffdfd3c0</v>
      </c>
      <c r="D2385" t="s">
        <v>111</v>
      </c>
      <c r="E2385">
        <v>18</v>
      </c>
      <c r="F2385">
        <v>1018</v>
      </c>
      <c r="G2385" t="s">
        <v>112</v>
      </c>
      <c r="J2385" t="s">
        <v>113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R2385" t="s">
        <v>114</v>
      </c>
      <c r="S2385" t="str">
        <f>"19:14:36.883"</f>
        <v>19:14:36.883</v>
      </c>
      <c r="T2385" t="str">
        <f>"19:14:36.680"</f>
        <v>19:14:36.680</v>
      </c>
      <c r="U2385" t="str">
        <f t="shared" si="112"/>
        <v>a1cdbe</v>
      </c>
      <c r="V2385">
        <v>0</v>
      </c>
      <c r="W2385">
        <v>0</v>
      </c>
      <c r="X2385">
        <v>1</v>
      </c>
      <c r="Y2385">
        <v>0</v>
      </c>
      <c r="Z2385">
        <v>0</v>
      </c>
      <c r="AB2385">
        <v>0</v>
      </c>
      <c r="AC2385">
        <v>9</v>
      </c>
      <c r="AD2385">
        <v>3</v>
      </c>
      <c r="AE2385">
        <v>0</v>
      </c>
      <c r="AF2385">
        <v>9</v>
      </c>
      <c r="AG2385" t="s">
        <v>158</v>
      </c>
      <c r="AH2385">
        <v>0</v>
      </c>
      <c r="AI2385">
        <v>3</v>
      </c>
      <c r="AJ2385">
        <v>1</v>
      </c>
      <c r="AK2385">
        <v>0</v>
      </c>
      <c r="AL2385" t="s">
        <v>4488</v>
      </c>
      <c r="AM2385">
        <v>46.903424000000001</v>
      </c>
      <c r="AN2385" t="s">
        <v>4489</v>
      </c>
      <c r="AO2385">
        <v>-123.229051</v>
      </c>
      <c r="AP2385">
        <v>100</v>
      </c>
      <c r="AQ2385">
        <v>2000</v>
      </c>
      <c r="AR2385" t="s">
        <v>118</v>
      </c>
      <c r="AS2385">
        <v>-67</v>
      </c>
      <c r="AT2385">
        <v>41</v>
      </c>
      <c r="AU2385">
        <v>192</v>
      </c>
      <c r="BC2385">
        <v>1200</v>
      </c>
      <c r="BD2385">
        <v>1</v>
      </c>
      <c r="BE2385" t="str">
        <f t="shared" si="113"/>
        <v xml:space="preserve">N215T   </v>
      </c>
      <c r="BF2385">
        <v>1</v>
      </c>
      <c r="BH2385">
        <v>0</v>
      </c>
      <c r="BI2385">
        <v>0</v>
      </c>
      <c r="BJ2385">
        <v>0</v>
      </c>
      <c r="BK2385">
        <v>2400</v>
      </c>
      <c r="BL2385">
        <v>400</v>
      </c>
      <c r="BM2385" t="s">
        <v>119</v>
      </c>
      <c r="BN2385">
        <v>1</v>
      </c>
      <c r="BO2385">
        <v>1</v>
      </c>
      <c r="BP2385">
        <v>1</v>
      </c>
      <c r="BQ2385">
        <v>0</v>
      </c>
      <c r="BT2385">
        <v>0</v>
      </c>
      <c r="BU2385">
        <v>0</v>
      </c>
      <c r="BV2385">
        <v>0</v>
      </c>
      <c r="CC2385" t="str">
        <f>"19:14:36.891"</f>
        <v>19:14:36.891</v>
      </c>
      <c r="CD2385" t="str">
        <f>"887875037"</f>
        <v>887875037</v>
      </c>
      <c r="CQ2385">
        <v>0</v>
      </c>
      <c r="CR2385">
        <v>2</v>
      </c>
      <c r="CS2385">
        <v>0</v>
      </c>
      <c r="CT2385">
        <v>2</v>
      </c>
      <c r="CU2385">
        <v>0</v>
      </c>
      <c r="CV2385">
        <v>6</v>
      </c>
      <c r="CW2385" t="s">
        <v>120</v>
      </c>
      <c r="CX2385">
        <v>257</v>
      </c>
      <c r="CY2385">
        <v>0</v>
      </c>
      <c r="CZ2385" t="s">
        <v>615</v>
      </c>
      <c r="DA2385" t="s">
        <v>616</v>
      </c>
      <c r="DD2385">
        <v>15878208</v>
      </c>
      <c r="DE2385" t="s">
        <v>123</v>
      </c>
    </row>
    <row r="2386" spans="1:109" x14ac:dyDescent="0.3">
      <c r="A2386" t="str">
        <f>"19:14:38.188"</f>
        <v>19:14:38.188</v>
      </c>
      <c r="B2386" t="s">
        <v>110</v>
      </c>
      <c r="C2386" t="str">
        <f t="shared" si="111"/>
        <v>ffdfd3c0</v>
      </c>
      <c r="D2386" t="s">
        <v>111</v>
      </c>
      <c r="E2386">
        <v>18</v>
      </c>
      <c r="F2386">
        <v>1018</v>
      </c>
      <c r="G2386" t="s">
        <v>112</v>
      </c>
      <c r="J2386" t="s">
        <v>113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R2386" t="s">
        <v>114</v>
      </c>
      <c r="S2386" t="str">
        <f>"19:14:37.961"</f>
        <v>19:14:37.961</v>
      </c>
      <c r="T2386" t="str">
        <f>"19:14:37.563"</f>
        <v>19:14:37.563</v>
      </c>
      <c r="U2386" t="str">
        <f t="shared" si="112"/>
        <v>a1cdbe</v>
      </c>
      <c r="V2386">
        <v>0</v>
      </c>
      <c r="W2386">
        <v>0</v>
      </c>
      <c r="X2386">
        <v>1</v>
      </c>
      <c r="Y2386">
        <v>0</v>
      </c>
      <c r="Z2386">
        <v>0</v>
      </c>
      <c r="AB2386">
        <v>0</v>
      </c>
      <c r="AC2386">
        <v>9</v>
      </c>
      <c r="AD2386">
        <v>3</v>
      </c>
      <c r="AE2386">
        <v>0</v>
      </c>
      <c r="AF2386">
        <v>9</v>
      </c>
      <c r="AG2386" t="s">
        <v>158</v>
      </c>
      <c r="AH2386">
        <v>0</v>
      </c>
      <c r="AI2386">
        <v>3</v>
      </c>
      <c r="AJ2386">
        <v>1</v>
      </c>
      <c r="AK2386">
        <v>0</v>
      </c>
      <c r="AL2386" t="s">
        <v>4490</v>
      </c>
      <c r="AM2386">
        <v>46.903660000000002</v>
      </c>
      <c r="AN2386" t="s">
        <v>4491</v>
      </c>
      <c r="AO2386">
        <v>-123.229523</v>
      </c>
      <c r="AP2386">
        <v>100</v>
      </c>
      <c r="AQ2386">
        <v>2000</v>
      </c>
      <c r="AR2386" t="s">
        <v>118</v>
      </c>
      <c r="AS2386">
        <v>-67</v>
      </c>
      <c r="AT2386">
        <v>40</v>
      </c>
      <c r="AU2386">
        <v>192</v>
      </c>
      <c r="BC2386">
        <v>1200</v>
      </c>
      <c r="BD2386">
        <v>1</v>
      </c>
      <c r="BE2386" t="str">
        <f t="shared" si="113"/>
        <v xml:space="preserve">N215T   </v>
      </c>
      <c r="BF2386">
        <v>1</v>
      </c>
      <c r="BH2386">
        <v>0</v>
      </c>
      <c r="BI2386">
        <v>0</v>
      </c>
      <c r="BJ2386">
        <v>0</v>
      </c>
      <c r="BK2386">
        <v>2400</v>
      </c>
      <c r="BL2386">
        <v>400</v>
      </c>
      <c r="BM2386" t="s">
        <v>119</v>
      </c>
      <c r="BN2386">
        <v>1</v>
      </c>
      <c r="BO2386">
        <v>1</v>
      </c>
      <c r="BP2386">
        <v>1</v>
      </c>
      <c r="BQ2386">
        <v>0</v>
      </c>
      <c r="BT2386">
        <v>0</v>
      </c>
      <c r="BU2386">
        <v>0</v>
      </c>
      <c r="BV2386">
        <v>0</v>
      </c>
      <c r="CC2386" t="str">
        <f>"19:14:37.969"</f>
        <v>19:14:37.969</v>
      </c>
      <c r="CD2386" t="str">
        <f>"967768640"</f>
        <v>967768640</v>
      </c>
      <c r="CQ2386">
        <v>0</v>
      </c>
      <c r="CR2386">
        <v>2</v>
      </c>
      <c r="CS2386">
        <v>0</v>
      </c>
      <c r="CT2386">
        <v>2</v>
      </c>
      <c r="CU2386">
        <v>0</v>
      </c>
      <c r="CV2386">
        <v>6</v>
      </c>
      <c r="CW2386" t="s">
        <v>120</v>
      </c>
      <c r="CX2386">
        <v>257</v>
      </c>
      <c r="CY2386">
        <v>0</v>
      </c>
      <c r="CZ2386" t="s">
        <v>615</v>
      </c>
      <c r="DA2386" t="s">
        <v>616</v>
      </c>
      <c r="DD2386">
        <v>15878860</v>
      </c>
      <c r="DE2386" t="s">
        <v>123</v>
      </c>
    </row>
    <row r="2387" spans="1:109" x14ac:dyDescent="0.3">
      <c r="A2387" t="str">
        <f>"19:14:39.195"</f>
        <v>19:14:39.195</v>
      </c>
      <c r="B2387" t="s">
        <v>110</v>
      </c>
      <c r="C2387" t="str">
        <f t="shared" si="111"/>
        <v>ffdfd3c0</v>
      </c>
      <c r="D2387" t="s">
        <v>111</v>
      </c>
      <c r="E2387">
        <v>18</v>
      </c>
      <c r="F2387">
        <v>1018</v>
      </c>
      <c r="G2387" t="s">
        <v>112</v>
      </c>
      <c r="J2387" t="s">
        <v>113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R2387" t="s">
        <v>114</v>
      </c>
      <c r="S2387" t="str">
        <f>"19:14:38.969"</f>
        <v>19:14:38.969</v>
      </c>
      <c r="T2387" t="str">
        <f>"19:14:38.969"</f>
        <v>19:14:38.969</v>
      </c>
      <c r="U2387" t="str">
        <f t="shared" si="112"/>
        <v>a1cdbe</v>
      </c>
      <c r="V2387">
        <v>0</v>
      </c>
      <c r="W2387">
        <v>0</v>
      </c>
      <c r="X2387">
        <v>1</v>
      </c>
      <c r="Y2387">
        <v>0</v>
      </c>
      <c r="Z2387">
        <v>0</v>
      </c>
      <c r="AB2387">
        <v>0</v>
      </c>
      <c r="AC2387">
        <v>9</v>
      </c>
      <c r="AD2387">
        <v>3</v>
      </c>
      <c r="AE2387">
        <v>0</v>
      </c>
      <c r="AF2387">
        <v>9</v>
      </c>
      <c r="AG2387" t="s">
        <v>158</v>
      </c>
      <c r="AH2387">
        <v>0</v>
      </c>
      <c r="AI2387">
        <v>3</v>
      </c>
      <c r="AJ2387">
        <v>1</v>
      </c>
      <c r="AK2387">
        <v>0</v>
      </c>
      <c r="AL2387" t="s">
        <v>4492</v>
      </c>
      <c r="AM2387">
        <v>46.903852999999998</v>
      </c>
      <c r="AN2387" t="s">
        <v>4493</v>
      </c>
      <c r="AO2387">
        <v>-123.229973</v>
      </c>
      <c r="AP2387">
        <v>100</v>
      </c>
      <c r="AQ2387">
        <v>2000</v>
      </c>
      <c r="AR2387" t="s">
        <v>118</v>
      </c>
      <c r="AS2387">
        <v>-66</v>
      </c>
      <c r="AT2387">
        <v>41</v>
      </c>
      <c r="AU2387">
        <v>384</v>
      </c>
      <c r="BC2387">
        <v>1200</v>
      </c>
      <c r="BD2387">
        <v>1</v>
      </c>
      <c r="BE2387" t="str">
        <f t="shared" si="113"/>
        <v xml:space="preserve">N215T   </v>
      </c>
      <c r="BF2387">
        <v>1</v>
      </c>
      <c r="BH2387">
        <v>0</v>
      </c>
      <c r="BI2387">
        <v>0</v>
      </c>
      <c r="BJ2387">
        <v>0</v>
      </c>
      <c r="BK2387">
        <v>2400</v>
      </c>
      <c r="BL2387">
        <v>400</v>
      </c>
      <c r="BM2387" t="s">
        <v>119</v>
      </c>
      <c r="BN2387">
        <v>1</v>
      </c>
      <c r="BO2387">
        <v>1</v>
      </c>
      <c r="BP2387">
        <v>1</v>
      </c>
      <c r="BQ2387">
        <v>0</v>
      </c>
      <c r="BT2387">
        <v>0</v>
      </c>
      <c r="BU2387">
        <v>0</v>
      </c>
      <c r="BV2387">
        <v>0</v>
      </c>
      <c r="CC2387" t="str">
        <f>"19:14:38.977"</f>
        <v>19:14:38.977</v>
      </c>
      <c r="CD2387" t="str">
        <f>"972669620"</f>
        <v>972669620</v>
      </c>
      <c r="CQ2387">
        <v>0</v>
      </c>
      <c r="CR2387">
        <v>2</v>
      </c>
      <c r="CS2387">
        <v>0</v>
      </c>
      <c r="CT2387">
        <v>2</v>
      </c>
      <c r="CU2387">
        <v>0</v>
      </c>
      <c r="CV2387">
        <v>5</v>
      </c>
      <c r="CW2387" t="s">
        <v>120</v>
      </c>
      <c r="CX2387">
        <v>257</v>
      </c>
      <c r="CY2387">
        <v>1</v>
      </c>
      <c r="CZ2387" t="s">
        <v>615</v>
      </c>
      <c r="DA2387" t="s">
        <v>616</v>
      </c>
      <c r="DD2387">
        <v>12154580</v>
      </c>
      <c r="DE2387" t="s">
        <v>123</v>
      </c>
    </row>
    <row r="2388" spans="1:109" x14ac:dyDescent="0.3">
      <c r="A2388" t="str">
        <f>"19:14:40.047"</f>
        <v>19:14:40.047</v>
      </c>
      <c r="B2388" t="s">
        <v>110</v>
      </c>
      <c r="C2388" t="str">
        <f t="shared" si="111"/>
        <v>ffdfd3c0</v>
      </c>
      <c r="D2388" t="s">
        <v>111</v>
      </c>
      <c r="E2388">
        <v>18</v>
      </c>
      <c r="F2388">
        <v>1018</v>
      </c>
      <c r="G2388" t="s">
        <v>112</v>
      </c>
      <c r="J2388" t="s">
        <v>113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R2388" t="s">
        <v>114</v>
      </c>
      <c r="S2388" t="str">
        <f>"19:14:39.836"</f>
        <v>19:14:39.836</v>
      </c>
      <c r="T2388" t="str">
        <f>"19:14:39.438"</f>
        <v>19:14:39.438</v>
      </c>
      <c r="U2388" t="str">
        <f t="shared" si="112"/>
        <v>a1cdbe</v>
      </c>
      <c r="V2388">
        <v>0</v>
      </c>
      <c r="W2388">
        <v>0</v>
      </c>
      <c r="X2388">
        <v>1</v>
      </c>
      <c r="Y2388">
        <v>0</v>
      </c>
      <c r="Z2388">
        <v>0</v>
      </c>
      <c r="AB2388">
        <v>0</v>
      </c>
      <c r="AC2388">
        <v>9</v>
      </c>
      <c r="AD2388">
        <v>3</v>
      </c>
      <c r="AE2388">
        <v>0</v>
      </c>
      <c r="AF2388">
        <v>9</v>
      </c>
      <c r="AG2388" t="s">
        <v>158</v>
      </c>
      <c r="AH2388">
        <v>0</v>
      </c>
      <c r="AI2388">
        <v>3</v>
      </c>
      <c r="AJ2388">
        <v>1</v>
      </c>
      <c r="AK2388">
        <v>0</v>
      </c>
      <c r="AL2388" t="s">
        <v>4494</v>
      </c>
      <c r="AM2388">
        <v>46.903981999999999</v>
      </c>
      <c r="AN2388" t="s">
        <v>4495</v>
      </c>
      <c r="AO2388">
        <v>-123.230402</v>
      </c>
      <c r="AP2388">
        <v>100</v>
      </c>
      <c r="AQ2388">
        <v>2000</v>
      </c>
      <c r="AR2388" t="s">
        <v>118</v>
      </c>
      <c r="AS2388">
        <v>-66</v>
      </c>
      <c r="AT2388">
        <v>41</v>
      </c>
      <c r="AU2388">
        <v>448</v>
      </c>
      <c r="BC2388">
        <v>1200</v>
      </c>
      <c r="BD2388">
        <v>1</v>
      </c>
      <c r="BE2388" t="str">
        <f t="shared" si="113"/>
        <v xml:space="preserve">N215T   </v>
      </c>
      <c r="BF2388">
        <v>1</v>
      </c>
      <c r="BH2388">
        <v>0</v>
      </c>
      <c r="BI2388">
        <v>0</v>
      </c>
      <c r="BJ2388">
        <v>0</v>
      </c>
      <c r="BK2388">
        <v>2400</v>
      </c>
      <c r="BL2388">
        <v>400</v>
      </c>
      <c r="BM2388" t="s">
        <v>119</v>
      </c>
      <c r="BN2388">
        <v>1</v>
      </c>
      <c r="BO2388">
        <v>1</v>
      </c>
      <c r="BP2388">
        <v>1</v>
      </c>
      <c r="BQ2388">
        <v>0</v>
      </c>
      <c r="BT2388">
        <v>0</v>
      </c>
      <c r="BU2388">
        <v>0</v>
      </c>
      <c r="BV2388">
        <v>0</v>
      </c>
      <c r="CC2388" t="str">
        <f>"19:14:39.844"</f>
        <v>19:14:39.844</v>
      </c>
      <c r="CD2388" t="str">
        <f>"842583902"</f>
        <v>842583902</v>
      </c>
      <c r="CQ2388">
        <v>0</v>
      </c>
      <c r="CR2388">
        <v>2</v>
      </c>
      <c r="CS2388">
        <v>0</v>
      </c>
      <c r="CT2388">
        <v>2</v>
      </c>
      <c r="CU2388">
        <v>0</v>
      </c>
      <c r="CV2388">
        <v>6</v>
      </c>
      <c r="CW2388" t="s">
        <v>120</v>
      </c>
      <c r="CX2388">
        <v>257</v>
      </c>
      <c r="CY2388">
        <v>0</v>
      </c>
      <c r="CZ2388" t="s">
        <v>615</v>
      </c>
      <c r="DA2388" t="s">
        <v>616</v>
      </c>
      <c r="DD2388">
        <v>15879866</v>
      </c>
      <c r="DE2388" t="s">
        <v>123</v>
      </c>
    </row>
    <row r="2389" spans="1:109" x14ac:dyDescent="0.3">
      <c r="A2389" t="str">
        <f>"19:14:41.156"</f>
        <v>19:14:41.156</v>
      </c>
      <c r="B2389" t="s">
        <v>110</v>
      </c>
      <c r="C2389" t="str">
        <f t="shared" si="111"/>
        <v>ffdfd3c0</v>
      </c>
      <c r="D2389" t="s">
        <v>111</v>
      </c>
      <c r="E2389">
        <v>18</v>
      </c>
      <c r="F2389">
        <v>1018</v>
      </c>
      <c r="G2389" t="s">
        <v>112</v>
      </c>
      <c r="J2389" t="s">
        <v>113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R2389" t="s">
        <v>114</v>
      </c>
      <c r="S2389" t="str">
        <f>"19:14:40.922"</f>
        <v>19:14:40.922</v>
      </c>
      <c r="T2389" t="str">
        <f>"19:14:40.922"</f>
        <v>19:14:40.922</v>
      </c>
      <c r="U2389" t="str">
        <f t="shared" si="112"/>
        <v>a1cdbe</v>
      </c>
      <c r="V2389">
        <v>0</v>
      </c>
      <c r="W2389">
        <v>0</v>
      </c>
      <c r="X2389">
        <v>1</v>
      </c>
      <c r="Y2389">
        <v>0</v>
      </c>
      <c r="Z2389">
        <v>0</v>
      </c>
      <c r="AB2389">
        <v>0</v>
      </c>
      <c r="AC2389">
        <v>9</v>
      </c>
      <c r="AD2389">
        <v>3</v>
      </c>
      <c r="AE2389">
        <v>0</v>
      </c>
      <c r="AF2389">
        <v>9</v>
      </c>
      <c r="AG2389" t="s">
        <v>158</v>
      </c>
      <c r="AH2389">
        <v>0</v>
      </c>
      <c r="AI2389">
        <v>3</v>
      </c>
      <c r="AJ2389">
        <v>1</v>
      </c>
      <c r="AK2389">
        <v>0</v>
      </c>
      <c r="AL2389" t="s">
        <v>4496</v>
      </c>
      <c r="AM2389">
        <v>46.904197000000003</v>
      </c>
      <c r="AN2389" t="s">
        <v>4497</v>
      </c>
      <c r="AO2389">
        <v>-123.230896</v>
      </c>
      <c r="AP2389">
        <v>100</v>
      </c>
      <c r="AQ2389">
        <v>2000</v>
      </c>
      <c r="AR2389" t="s">
        <v>118</v>
      </c>
      <c r="AS2389">
        <v>-65</v>
      </c>
      <c r="AT2389">
        <v>41</v>
      </c>
      <c r="AU2389">
        <v>448</v>
      </c>
      <c r="BC2389">
        <v>1200</v>
      </c>
      <c r="BD2389">
        <v>1</v>
      </c>
      <c r="BE2389" t="str">
        <f t="shared" si="113"/>
        <v xml:space="preserve">N215T   </v>
      </c>
      <c r="BF2389">
        <v>1</v>
      </c>
      <c r="BH2389">
        <v>0</v>
      </c>
      <c r="BI2389">
        <v>0</v>
      </c>
      <c r="BJ2389">
        <v>0</v>
      </c>
      <c r="BK2389">
        <v>2425</v>
      </c>
      <c r="BL2389">
        <v>425</v>
      </c>
      <c r="BM2389" t="s">
        <v>119</v>
      </c>
      <c r="BN2389">
        <v>1</v>
      </c>
      <c r="BO2389">
        <v>1</v>
      </c>
      <c r="BP2389">
        <v>1</v>
      </c>
      <c r="BQ2389">
        <v>0</v>
      </c>
      <c r="BT2389">
        <v>0</v>
      </c>
      <c r="BU2389">
        <v>0</v>
      </c>
      <c r="BV2389">
        <v>0</v>
      </c>
      <c r="CC2389" t="str">
        <f>"19:14:40.922"</f>
        <v>19:14:40.922</v>
      </c>
      <c r="CD2389" t="str">
        <f>"922477499"</f>
        <v>922477499</v>
      </c>
      <c r="CQ2389">
        <v>0</v>
      </c>
      <c r="CR2389">
        <v>2</v>
      </c>
      <c r="CS2389">
        <v>0</v>
      </c>
      <c r="CT2389">
        <v>2</v>
      </c>
      <c r="CU2389">
        <v>0</v>
      </c>
      <c r="CV2389">
        <v>6</v>
      </c>
      <c r="CW2389" t="s">
        <v>120</v>
      </c>
      <c r="CX2389">
        <v>257</v>
      </c>
      <c r="CY2389">
        <v>0</v>
      </c>
      <c r="CZ2389" t="s">
        <v>615</v>
      </c>
      <c r="DA2389" t="s">
        <v>616</v>
      </c>
      <c r="DD2389">
        <v>15880484</v>
      </c>
      <c r="DE2389" t="s">
        <v>123</v>
      </c>
    </row>
    <row r="2390" spans="1:109" x14ac:dyDescent="0.3">
      <c r="A2390" t="str">
        <f>"19:14:42.211"</f>
        <v>19:14:42.211</v>
      </c>
      <c r="B2390" t="s">
        <v>110</v>
      </c>
      <c r="C2390" t="str">
        <f t="shared" si="111"/>
        <v>ffdfd3c0</v>
      </c>
      <c r="D2390" t="s">
        <v>111</v>
      </c>
      <c r="E2390">
        <v>18</v>
      </c>
      <c r="F2390">
        <v>1018</v>
      </c>
      <c r="G2390" t="s">
        <v>112</v>
      </c>
      <c r="J2390" t="s">
        <v>113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R2390" t="s">
        <v>114</v>
      </c>
      <c r="S2390" t="str">
        <f>"19:14:41.922"</f>
        <v>19:14:41.922</v>
      </c>
      <c r="T2390" t="str">
        <f>"19:14:41.523"</f>
        <v>19:14:41.523</v>
      </c>
      <c r="U2390" t="str">
        <f t="shared" si="112"/>
        <v>a1cdbe</v>
      </c>
      <c r="V2390">
        <v>0</v>
      </c>
      <c r="W2390">
        <v>0</v>
      </c>
      <c r="X2390">
        <v>1</v>
      </c>
      <c r="Y2390">
        <v>0</v>
      </c>
      <c r="Z2390">
        <v>0</v>
      </c>
      <c r="AB2390">
        <v>0</v>
      </c>
      <c r="AC2390">
        <v>9</v>
      </c>
      <c r="AD2390">
        <v>3</v>
      </c>
      <c r="AE2390">
        <v>0</v>
      </c>
      <c r="AF2390">
        <v>9</v>
      </c>
      <c r="AG2390" t="s">
        <v>158</v>
      </c>
      <c r="AH2390">
        <v>0</v>
      </c>
      <c r="AI2390">
        <v>3</v>
      </c>
      <c r="AJ2390">
        <v>1</v>
      </c>
      <c r="AK2390">
        <v>0</v>
      </c>
      <c r="AL2390" t="s">
        <v>4498</v>
      </c>
      <c r="AM2390">
        <v>46.904411000000003</v>
      </c>
      <c r="AN2390" t="s">
        <v>4499</v>
      </c>
      <c r="AO2390">
        <v>-123.231325</v>
      </c>
      <c r="AP2390">
        <v>100</v>
      </c>
      <c r="AQ2390">
        <v>2000</v>
      </c>
      <c r="AR2390" t="s">
        <v>118</v>
      </c>
      <c r="AS2390">
        <v>-65</v>
      </c>
      <c r="AT2390">
        <v>41</v>
      </c>
      <c r="AU2390">
        <v>512</v>
      </c>
      <c r="BC2390">
        <v>1200</v>
      </c>
      <c r="BD2390">
        <v>1</v>
      </c>
      <c r="BE2390" t="str">
        <f t="shared" si="113"/>
        <v xml:space="preserve">N215T   </v>
      </c>
      <c r="BF2390">
        <v>1</v>
      </c>
      <c r="BH2390">
        <v>0</v>
      </c>
      <c r="BI2390">
        <v>0</v>
      </c>
      <c r="BJ2390">
        <v>0</v>
      </c>
      <c r="BK2390">
        <v>2425</v>
      </c>
      <c r="BL2390">
        <v>425</v>
      </c>
      <c r="BM2390" t="s">
        <v>119</v>
      </c>
      <c r="BN2390">
        <v>1</v>
      </c>
      <c r="BO2390">
        <v>1</v>
      </c>
      <c r="BP2390">
        <v>1</v>
      </c>
      <c r="BQ2390">
        <v>0</v>
      </c>
      <c r="BT2390">
        <v>0</v>
      </c>
      <c r="BU2390">
        <v>0</v>
      </c>
      <c r="BV2390">
        <v>0</v>
      </c>
      <c r="CC2390" t="str">
        <f>"19:14:41.930"</f>
        <v>19:14:41.930</v>
      </c>
      <c r="CD2390" t="str">
        <f>"927378489"</f>
        <v>927378489</v>
      </c>
      <c r="CQ2390">
        <v>0</v>
      </c>
      <c r="CR2390">
        <v>2</v>
      </c>
      <c r="CS2390">
        <v>0</v>
      </c>
      <c r="CT2390">
        <v>2</v>
      </c>
      <c r="CU2390">
        <v>0</v>
      </c>
      <c r="CV2390">
        <v>5</v>
      </c>
      <c r="CW2390" t="s">
        <v>120</v>
      </c>
      <c r="CX2390">
        <v>257</v>
      </c>
      <c r="CY2390">
        <v>0</v>
      </c>
      <c r="CZ2390" t="s">
        <v>615</v>
      </c>
      <c r="DA2390" t="s">
        <v>616</v>
      </c>
      <c r="DD2390">
        <v>15881055</v>
      </c>
      <c r="DE2390" t="s">
        <v>123</v>
      </c>
    </row>
    <row r="2391" spans="1:109" x14ac:dyDescent="0.3">
      <c r="A2391" t="str">
        <f>"19:14:43.266"</f>
        <v>19:14:43.266</v>
      </c>
      <c r="B2391" t="s">
        <v>110</v>
      </c>
      <c r="C2391" t="str">
        <f t="shared" si="111"/>
        <v>ffdfd3c0</v>
      </c>
      <c r="D2391" t="s">
        <v>111</v>
      </c>
      <c r="E2391">
        <v>18</v>
      </c>
      <c r="F2391">
        <v>1018</v>
      </c>
      <c r="G2391" t="s">
        <v>112</v>
      </c>
      <c r="J2391" t="s">
        <v>113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R2391" t="s">
        <v>114</v>
      </c>
      <c r="S2391" t="str">
        <f>"19:14:43.047"</f>
        <v>19:14:43.047</v>
      </c>
      <c r="T2391" t="str">
        <f>"19:14:42.547"</f>
        <v>19:14:42.547</v>
      </c>
      <c r="U2391" t="str">
        <f t="shared" si="112"/>
        <v>a1cdbe</v>
      </c>
      <c r="V2391">
        <v>0</v>
      </c>
      <c r="W2391">
        <v>0</v>
      </c>
      <c r="X2391">
        <v>1</v>
      </c>
      <c r="Y2391">
        <v>0</v>
      </c>
      <c r="Z2391">
        <v>0</v>
      </c>
      <c r="AB2391">
        <v>0</v>
      </c>
      <c r="AC2391">
        <v>9</v>
      </c>
      <c r="AD2391">
        <v>3</v>
      </c>
      <c r="AE2391">
        <v>0</v>
      </c>
      <c r="AF2391">
        <v>9</v>
      </c>
      <c r="AG2391" t="s">
        <v>158</v>
      </c>
      <c r="AH2391">
        <v>0</v>
      </c>
      <c r="AI2391">
        <v>3</v>
      </c>
      <c r="AJ2391">
        <v>1</v>
      </c>
      <c r="AK2391">
        <v>0</v>
      </c>
      <c r="AL2391" t="s">
        <v>4500</v>
      </c>
      <c r="AM2391">
        <v>46.904583000000002</v>
      </c>
      <c r="AN2391" t="s">
        <v>4501</v>
      </c>
      <c r="AO2391">
        <v>-123.23173300000001</v>
      </c>
      <c r="AP2391">
        <v>100</v>
      </c>
      <c r="AQ2391">
        <v>2100</v>
      </c>
      <c r="AR2391" t="s">
        <v>118</v>
      </c>
      <c r="AS2391">
        <v>-64</v>
      </c>
      <c r="AT2391">
        <v>42</v>
      </c>
      <c r="AU2391">
        <v>384</v>
      </c>
      <c r="BC2391">
        <v>1200</v>
      </c>
      <c r="BD2391">
        <v>1</v>
      </c>
      <c r="BE2391" t="str">
        <f t="shared" si="113"/>
        <v xml:space="preserve">N215T   </v>
      </c>
      <c r="BF2391">
        <v>1</v>
      </c>
      <c r="BH2391">
        <v>0</v>
      </c>
      <c r="BI2391">
        <v>0</v>
      </c>
      <c r="BJ2391">
        <v>0</v>
      </c>
      <c r="BK2391">
        <v>2425</v>
      </c>
      <c r="BL2391">
        <v>325</v>
      </c>
      <c r="BM2391" t="s">
        <v>119</v>
      </c>
      <c r="BN2391">
        <v>1</v>
      </c>
      <c r="BO2391">
        <v>1</v>
      </c>
      <c r="BP2391">
        <v>1</v>
      </c>
      <c r="BQ2391">
        <v>0</v>
      </c>
      <c r="BT2391">
        <v>0</v>
      </c>
      <c r="BU2391">
        <v>0</v>
      </c>
      <c r="BV2391">
        <v>0</v>
      </c>
      <c r="CC2391" t="str">
        <f>"19:14:43.055"</f>
        <v>19:14:43.055</v>
      </c>
      <c r="CD2391" t="str">
        <f>"052267661"</f>
        <v>052267661</v>
      </c>
      <c r="CQ2391">
        <v>0</v>
      </c>
      <c r="CR2391">
        <v>2</v>
      </c>
      <c r="CS2391">
        <v>0</v>
      </c>
      <c r="CT2391">
        <v>2</v>
      </c>
      <c r="CU2391">
        <v>0</v>
      </c>
      <c r="CV2391">
        <v>6</v>
      </c>
      <c r="CW2391" t="s">
        <v>120</v>
      </c>
      <c r="CX2391">
        <v>257</v>
      </c>
      <c r="CY2391">
        <v>0</v>
      </c>
      <c r="CZ2391" t="s">
        <v>615</v>
      </c>
      <c r="DA2391" t="s">
        <v>616</v>
      </c>
      <c r="DD2391">
        <v>15881708</v>
      </c>
      <c r="DE2391" t="s">
        <v>123</v>
      </c>
    </row>
    <row r="2392" spans="1:109" x14ac:dyDescent="0.3">
      <c r="A2392" t="str">
        <f>"19:14:44.320"</f>
        <v>19:14:44.320</v>
      </c>
      <c r="B2392" t="s">
        <v>110</v>
      </c>
      <c r="C2392" t="str">
        <f t="shared" si="111"/>
        <v>ffdfd3c0</v>
      </c>
      <c r="D2392" t="s">
        <v>111</v>
      </c>
      <c r="E2392">
        <v>18</v>
      </c>
      <c r="F2392">
        <v>1018</v>
      </c>
      <c r="G2392" t="s">
        <v>112</v>
      </c>
      <c r="J2392" t="s">
        <v>113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R2392" t="s">
        <v>114</v>
      </c>
      <c r="S2392" t="str">
        <f>"19:14:44.055"</f>
        <v>19:14:44.055</v>
      </c>
      <c r="T2392" t="str">
        <f>"19:14:43.656"</f>
        <v>19:14:43.656</v>
      </c>
      <c r="U2392" t="str">
        <f t="shared" si="112"/>
        <v>a1cdbe</v>
      </c>
      <c r="V2392">
        <v>0</v>
      </c>
      <c r="W2392">
        <v>0</v>
      </c>
      <c r="X2392">
        <v>1</v>
      </c>
      <c r="Y2392">
        <v>0</v>
      </c>
      <c r="Z2392">
        <v>0</v>
      </c>
      <c r="AB2392">
        <v>0</v>
      </c>
      <c r="AC2392">
        <v>9</v>
      </c>
      <c r="AD2392">
        <v>3</v>
      </c>
      <c r="AE2392">
        <v>0</v>
      </c>
      <c r="AF2392">
        <v>9</v>
      </c>
      <c r="AG2392" t="s">
        <v>158</v>
      </c>
      <c r="AH2392">
        <v>0</v>
      </c>
      <c r="AI2392">
        <v>3</v>
      </c>
      <c r="AJ2392">
        <v>1</v>
      </c>
      <c r="AK2392">
        <v>0</v>
      </c>
      <c r="AL2392" t="s">
        <v>4502</v>
      </c>
      <c r="AM2392">
        <v>46.904798</v>
      </c>
      <c r="AN2392" t="s">
        <v>4503</v>
      </c>
      <c r="AO2392">
        <v>-123.23220499999999</v>
      </c>
      <c r="AP2392">
        <v>100</v>
      </c>
      <c r="AQ2392">
        <v>2100</v>
      </c>
      <c r="AR2392" t="s">
        <v>118</v>
      </c>
      <c r="AS2392">
        <v>-64</v>
      </c>
      <c r="AT2392">
        <v>42</v>
      </c>
      <c r="AU2392">
        <v>192</v>
      </c>
      <c r="BC2392">
        <v>1200</v>
      </c>
      <c r="BD2392">
        <v>1</v>
      </c>
      <c r="BE2392" t="str">
        <f t="shared" si="113"/>
        <v xml:space="preserve">N215T   </v>
      </c>
      <c r="BF2392">
        <v>1</v>
      </c>
      <c r="BH2392">
        <v>0</v>
      </c>
      <c r="BI2392">
        <v>0</v>
      </c>
      <c r="BJ2392">
        <v>0</v>
      </c>
      <c r="BK2392">
        <v>2450</v>
      </c>
      <c r="BL2392">
        <v>350</v>
      </c>
      <c r="BM2392" t="s">
        <v>119</v>
      </c>
      <c r="BN2392">
        <v>1</v>
      </c>
      <c r="BO2392">
        <v>1</v>
      </c>
      <c r="BP2392">
        <v>1</v>
      </c>
      <c r="BQ2392">
        <v>0</v>
      </c>
      <c r="BT2392">
        <v>0</v>
      </c>
      <c r="BU2392">
        <v>0</v>
      </c>
      <c r="BV2392">
        <v>0</v>
      </c>
      <c r="CC2392" t="str">
        <f>"19:14:44.055"</f>
        <v>19:14:44.055</v>
      </c>
      <c r="CD2392" t="str">
        <f>"057168656"</f>
        <v>057168656</v>
      </c>
      <c r="CQ2392">
        <v>0</v>
      </c>
      <c r="CR2392">
        <v>2</v>
      </c>
      <c r="CS2392">
        <v>0</v>
      </c>
      <c r="CT2392">
        <v>2</v>
      </c>
      <c r="CU2392">
        <v>0</v>
      </c>
      <c r="CV2392">
        <v>5</v>
      </c>
      <c r="CW2392" t="s">
        <v>120</v>
      </c>
      <c r="CX2392">
        <v>257</v>
      </c>
      <c r="CY2392">
        <v>0</v>
      </c>
      <c r="CZ2392" t="s">
        <v>615</v>
      </c>
      <c r="DA2392" t="s">
        <v>616</v>
      </c>
      <c r="DD2392">
        <v>15882304</v>
      </c>
      <c r="DE2392" t="s">
        <v>123</v>
      </c>
    </row>
    <row r="2393" spans="1:109" x14ac:dyDescent="0.3">
      <c r="A2393" t="str">
        <f>"19:14:45.227"</f>
        <v>19:14:45.227</v>
      </c>
      <c r="B2393" t="s">
        <v>110</v>
      </c>
      <c r="C2393" t="str">
        <f t="shared" si="111"/>
        <v>ffdfd3c0</v>
      </c>
      <c r="D2393" t="s">
        <v>111</v>
      </c>
      <c r="E2393">
        <v>18</v>
      </c>
      <c r="F2393">
        <v>1018</v>
      </c>
      <c r="G2393" t="s">
        <v>112</v>
      </c>
      <c r="J2393" t="s">
        <v>113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R2393" t="s">
        <v>114</v>
      </c>
      <c r="S2393" t="str">
        <f>"19:14:45.000"</f>
        <v>19:14:45.000</v>
      </c>
      <c r="T2393" t="str">
        <f>"19:14:44.602"</f>
        <v>19:14:44.602</v>
      </c>
      <c r="U2393" t="str">
        <f t="shared" si="112"/>
        <v>a1cdbe</v>
      </c>
      <c r="V2393">
        <v>0</v>
      </c>
      <c r="W2393">
        <v>0</v>
      </c>
      <c r="X2393">
        <v>1</v>
      </c>
      <c r="Y2393">
        <v>0</v>
      </c>
      <c r="Z2393">
        <v>0</v>
      </c>
      <c r="AB2393">
        <v>0</v>
      </c>
      <c r="AC2393">
        <v>9</v>
      </c>
      <c r="AD2393">
        <v>3</v>
      </c>
      <c r="AE2393">
        <v>0</v>
      </c>
      <c r="AF2393">
        <v>9</v>
      </c>
      <c r="AG2393" t="s">
        <v>158</v>
      </c>
      <c r="AH2393">
        <v>0</v>
      </c>
      <c r="AI2393">
        <v>3</v>
      </c>
      <c r="AJ2393">
        <v>1</v>
      </c>
      <c r="AK2393">
        <v>0</v>
      </c>
      <c r="AL2393" t="s">
        <v>4504</v>
      </c>
      <c r="AM2393">
        <v>46.905011999999999</v>
      </c>
      <c r="AN2393" t="s">
        <v>4505</v>
      </c>
      <c r="AO2393">
        <v>-123.232591</v>
      </c>
      <c r="AP2393">
        <v>100</v>
      </c>
      <c r="AQ2393">
        <v>2100</v>
      </c>
      <c r="AR2393" t="s">
        <v>118</v>
      </c>
      <c r="AS2393">
        <v>-63</v>
      </c>
      <c r="AT2393">
        <v>43</v>
      </c>
      <c r="AU2393">
        <v>64</v>
      </c>
      <c r="BC2393">
        <v>1200</v>
      </c>
      <c r="BD2393">
        <v>1</v>
      </c>
      <c r="BE2393" t="str">
        <f t="shared" si="113"/>
        <v xml:space="preserve">N215T   </v>
      </c>
      <c r="BF2393">
        <v>1</v>
      </c>
      <c r="BH2393">
        <v>0</v>
      </c>
      <c r="BI2393">
        <v>0</v>
      </c>
      <c r="BJ2393">
        <v>0</v>
      </c>
      <c r="BK2393">
        <v>2450</v>
      </c>
      <c r="BL2393">
        <v>350</v>
      </c>
      <c r="BM2393" t="s">
        <v>119</v>
      </c>
      <c r="BN2393">
        <v>1</v>
      </c>
      <c r="BO2393">
        <v>1</v>
      </c>
      <c r="BP2393">
        <v>1</v>
      </c>
      <c r="BQ2393">
        <v>0</v>
      </c>
      <c r="BT2393">
        <v>0</v>
      </c>
      <c r="BU2393">
        <v>0</v>
      </c>
      <c r="BV2393">
        <v>0</v>
      </c>
      <c r="CC2393" t="str">
        <f>"19:14:45.000"</f>
        <v>19:14:45.000</v>
      </c>
      <c r="CD2393" t="str">
        <f>"002075547"</f>
        <v>002075547</v>
      </c>
      <c r="CQ2393">
        <v>0</v>
      </c>
      <c r="CR2393">
        <v>2</v>
      </c>
      <c r="CS2393">
        <v>0</v>
      </c>
      <c r="CT2393">
        <v>2</v>
      </c>
      <c r="CU2393">
        <v>0</v>
      </c>
      <c r="CV2393">
        <v>5</v>
      </c>
      <c r="CW2393" t="s">
        <v>120</v>
      </c>
      <c r="CX2393">
        <v>257</v>
      </c>
      <c r="CY2393">
        <v>0</v>
      </c>
      <c r="CZ2393" t="s">
        <v>615</v>
      </c>
      <c r="DA2393" t="s">
        <v>616</v>
      </c>
      <c r="DD2393">
        <v>15882804</v>
      </c>
      <c r="DE2393" t="s">
        <v>123</v>
      </c>
    </row>
    <row r="2394" spans="1:109" x14ac:dyDescent="0.3">
      <c r="A2394" t="str">
        <f>"19:14:46.031"</f>
        <v>19:14:46.031</v>
      </c>
      <c r="B2394" t="s">
        <v>110</v>
      </c>
      <c r="C2394" t="str">
        <f t="shared" si="111"/>
        <v>ffdfd3c0</v>
      </c>
      <c r="D2394" t="s">
        <v>111</v>
      </c>
      <c r="E2394">
        <v>18</v>
      </c>
      <c r="F2394">
        <v>1018</v>
      </c>
      <c r="G2394" t="s">
        <v>112</v>
      </c>
      <c r="J2394" t="s">
        <v>113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R2394" t="s">
        <v>114</v>
      </c>
      <c r="S2394" t="str">
        <f>"19:14:45.820"</f>
        <v>19:14:45.820</v>
      </c>
      <c r="T2394" t="str">
        <f>"19:14:45.523"</f>
        <v>19:14:45.523</v>
      </c>
      <c r="U2394" t="str">
        <f t="shared" si="112"/>
        <v>a1cdbe</v>
      </c>
      <c r="V2394">
        <v>0</v>
      </c>
      <c r="W2394">
        <v>0</v>
      </c>
      <c r="X2394">
        <v>1</v>
      </c>
      <c r="Y2394">
        <v>0</v>
      </c>
      <c r="Z2394">
        <v>0</v>
      </c>
      <c r="AB2394">
        <v>0</v>
      </c>
      <c r="AC2394">
        <v>9</v>
      </c>
      <c r="AD2394">
        <v>3</v>
      </c>
      <c r="AE2394">
        <v>0</v>
      </c>
      <c r="AF2394">
        <v>9</v>
      </c>
      <c r="AG2394" t="s">
        <v>158</v>
      </c>
      <c r="AH2394">
        <v>0</v>
      </c>
      <c r="AI2394">
        <v>3</v>
      </c>
      <c r="AJ2394">
        <v>1</v>
      </c>
      <c r="AK2394">
        <v>0</v>
      </c>
      <c r="AL2394" t="s">
        <v>4506</v>
      </c>
      <c r="AM2394">
        <v>46.905141</v>
      </c>
      <c r="AN2394" t="s">
        <v>4507</v>
      </c>
      <c r="AO2394">
        <v>-123.232934</v>
      </c>
      <c r="AP2394">
        <v>100</v>
      </c>
      <c r="AQ2394">
        <v>2100</v>
      </c>
      <c r="AR2394" t="s">
        <v>118</v>
      </c>
      <c r="AS2394">
        <v>-63</v>
      </c>
      <c r="AT2394">
        <v>43</v>
      </c>
      <c r="AU2394">
        <v>0</v>
      </c>
      <c r="BC2394">
        <v>1200</v>
      </c>
      <c r="BD2394">
        <v>1</v>
      </c>
      <c r="BE2394" t="str">
        <f t="shared" si="113"/>
        <v xml:space="preserve">N215T   </v>
      </c>
      <c r="BF2394">
        <v>1</v>
      </c>
      <c r="BH2394">
        <v>0</v>
      </c>
      <c r="BI2394">
        <v>0</v>
      </c>
      <c r="BJ2394">
        <v>0</v>
      </c>
      <c r="BK2394">
        <v>2450</v>
      </c>
      <c r="BL2394">
        <v>350</v>
      </c>
      <c r="BM2394" t="s">
        <v>119</v>
      </c>
      <c r="BN2394">
        <v>1</v>
      </c>
      <c r="BO2394">
        <v>1</v>
      </c>
      <c r="BP2394">
        <v>1</v>
      </c>
      <c r="BQ2394">
        <v>0</v>
      </c>
      <c r="BT2394">
        <v>0</v>
      </c>
      <c r="BU2394">
        <v>0</v>
      </c>
      <c r="BV2394">
        <v>0</v>
      </c>
      <c r="CC2394" t="str">
        <f>"19:14:45.828"</f>
        <v>19:14:45.828</v>
      </c>
      <c r="CD2394" t="str">
        <f>"826994271"</f>
        <v>826994271</v>
      </c>
      <c r="CQ2394">
        <v>0</v>
      </c>
      <c r="CR2394">
        <v>2</v>
      </c>
      <c r="CS2394">
        <v>0</v>
      </c>
      <c r="CT2394">
        <v>2</v>
      </c>
      <c r="CU2394">
        <v>0</v>
      </c>
      <c r="CV2394">
        <v>6</v>
      </c>
      <c r="CW2394" t="s">
        <v>120</v>
      </c>
      <c r="CX2394">
        <v>257</v>
      </c>
      <c r="CY2394">
        <v>0</v>
      </c>
      <c r="CZ2394" t="s">
        <v>615</v>
      </c>
      <c r="DA2394" t="s">
        <v>616</v>
      </c>
      <c r="DD2394">
        <v>15883280</v>
      </c>
      <c r="DE2394" t="s">
        <v>123</v>
      </c>
    </row>
    <row r="2395" spans="1:109" x14ac:dyDescent="0.3">
      <c r="A2395" t="str">
        <f>"19:14:47.188"</f>
        <v>19:14:47.188</v>
      </c>
      <c r="B2395" t="s">
        <v>110</v>
      </c>
      <c r="C2395" t="str">
        <f t="shared" si="111"/>
        <v>ffdfd3c0</v>
      </c>
      <c r="D2395" t="s">
        <v>111</v>
      </c>
      <c r="E2395">
        <v>18</v>
      </c>
      <c r="F2395">
        <v>1018</v>
      </c>
      <c r="G2395" t="s">
        <v>112</v>
      </c>
      <c r="J2395" t="s">
        <v>113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R2395" t="s">
        <v>114</v>
      </c>
      <c r="S2395" t="str">
        <f>"19:14:46.945"</f>
        <v>19:14:46.945</v>
      </c>
      <c r="T2395" t="str">
        <f>"19:14:46.742"</f>
        <v>19:14:46.742</v>
      </c>
      <c r="U2395" t="str">
        <f t="shared" si="112"/>
        <v>a1cdbe</v>
      </c>
      <c r="V2395">
        <v>0</v>
      </c>
      <c r="W2395">
        <v>0</v>
      </c>
      <c r="X2395">
        <v>1</v>
      </c>
      <c r="Y2395">
        <v>0</v>
      </c>
      <c r="Z2395">
        <v>0</v>
      </c>
      <c r="AB2395">
        <v>0</v>
      </c>
      <c r="AC2395">
        <v>9</v>
      </c>
      <c r="AD2395">
        <v>3</v>
      </c>
      <c r="AE2395">
        <v>0</v>
      </c>
      <c r="AF2395">
        <v>9</v>
      </c>
      <c r="AG2395" t="s">
        <v>158</v>
      </c>
      <c r="AH2395">
        <v>0</v>
      </c>
      <c r="AI2395">
        <v>3</v>
      </c>
      <c r="AJ2395">
        <v>1</v>
      </c>
      <c r="AK2395">
        <v>0</v>
      </c>
      <c r="AL2395" t="s">
        <v>4508</v>
      </c>
      <c r="AM2395">
        <v>46.905397999999998</v>
      </c>
      <c r="AN2395" t="s">
        <v>4509</v>
      </c>
      <c r="AO2395">
        <v>-123.233428</v>
      </c>
      <c r="AP2395">
        <v>100</v>
      </c>
      <c r="AQ2395">
        <v>2000</v>
      </c>
      <c r="AR2395" t="s">
        <v>118</v>
      </c>
      <c r="AS2395">
        <v>-63</v>
      </c>
      <c r="AT2395">
        <v>44</v>
      </c>
      <c r="AU2395">
        <v>-192</v>
      </c>
      <c r="BC2395">
        <v>1200</v>
      </c>
      <c r="BD2395">
        <v>1</v>
      </c>
      <c r="BE2395" t="str">
        <f t="shared" si="113"/>
        <v xml:space="preserve">N215T   </v>
      </c>
      <c r="BF2395">
        <v>1</v>
      </c>
      <c r="BH2395">
        <v>0</v>
      </c>
      <c r="BI2395">
        <v>0</v>
      </c>
      <c r="BJ2395">
        <v>0</v>
      </c>
      <c r="BK2395">
        <v>2450</v>
      </c>
      <c r="BL2395">
        <v>450</v>
      </c>
      <c r="BM2395" t="s">
        <v>119</v>
      </c>
      <c r="BN2395">
        <v>1</v>
      </c>
      <c r="BO2395">
        <v>1</v>
      </c>
      <c r="BP2395">
        <v>1</v>
      </c>
      <c r="BQ2395">
        <v>0</v>
      </c>
      <c r="BT2395">
        <v>0</v>
      </c>
      <c r="BU2395">
        <v>0</v>
      </c>
      <c r="BV2395">
        <v>0</v>
      </c>
      <c r="CC2395" t="str">
        <f>"19:14:46.953"</f>
        <v>19:14:46.953</v>
      </c>
      <c r="CD2395" t="str">
        <f>"951883437"</f>
        <v>951883437</v>
      </c>
      <c r="CQ2395">
        <v>0</v>
      </c>
      <c r="CR2395">
        <v>2</v>
      </c>
      <c r="CS2395">
        <v>0</v>
      </c>
      <c r="CT2395">
        <v>2</v>
      </c>
      <c r="CU2395">
        <v>0</v>
      </c>
      <c r="CV2395">
        <v>6</v>
      </c>
      <c r="CW2395" t="s">
        <v>120</v>
      </c>
      <c r="CX2395">
        <v>257</v>
      </c>
      <c r="CY2395">
        <v>0</v>
      </c>
      <c r="CZ2395" t="s">
        <v>615</v>
      </c>
      <c r="DA2395" t="s">
        <v>616</v>
      </c>
      <c r="DD2395">
        <v>15883944</v>
      </c>
      <c r="DE2395" t="s">
        <v>123</v>
      </c>
    </row>
    <row r="2396" spans="1:109" x14ac:dyDescent="0.3">
      <c r="A2396" t="str">
        <f>"19:14:48.141"</f>
        <v>19:14:48.141</v>
      </c>
      <c r="B2396" t="s">
        <v>110</v>
      </c>
      <c r="C2396" t="str">
        <f t="shared" si="111"/>
        <v>ffdfd3c0</v>
      </c>
      <c r="D2396" t="s">
        <v>111</v>
      </c>
      <c r="E2396">
        <v>18</v>
      </c>
      <c r="F2396">
        <v>1018</v>
      </c>
      <c r="G2396" t="s">
        <v>112</v>
      </c>
      <c r="J2396" t="s">
        <v>113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R2396" t="s">
        <v>114</v>
      </c>
      <c r="S2396" t="str">
        <f>"19:14:47.906"</f>
        <v>19:14:47.906</v>
      </c>
      <c r="T2396" t="str">
        <f>"19:14:47.805"</f>
        <v>19:14:47.805</v>
      </c>
      <c r="U2396" t="str">
        <f t="shared" si="112"/>
        <v>a1cdbe</v>
      </c>
      <c r="V2396">
        <v>0</v>
      </c>
      <c r="W2396">
        <v>0</v>
      </c>
      <c r="X2396">
        <v>1</v>
      </c>
      <c r="Y2396">
        <v>0</v>
      </c>
      <c r="Z2396">
        <v>0</v>
      </c>
      <c r="AB2396">
        <v>0</v>
      </c>
      <c r="AC2396">
        <v>9</v>
      </c>
      <c r="AD2396">
        <v>3</v>
      </c>
      <c r="AE2396">
        <v>0</v>
      </c>
      <c r="AF2396">
        <v>9</v>
      </c>
      <c r="AG2396" t="s">
        <v>158</v>
      </c>
      <c r="AH2396">
        <v>0</v>
      </c>
      <c r="AI2396">
        <v>3</v>
      </c>
      <c r="AJ2396">
        <v>1</v>
      </c>
      <c r="AK2396">
        <v>0</v>
      </c>
      <c r="AL2396" t="s">
        <v>4510</v>
      </c>
      <c r="AM2396">
        <v>46.905569999999997</v>
      </c>
      <c r="AN2396" t="s">
        <v>4511</v>
      </c>
      <c r="AO2396">
        <v>-123.233857</v>
      </c>
      <c r="AP2396">
        <v>100</v>
      </c>
      <c r="AQ2396">
        <v>2000</v>
      </c>
      <c r="AR2396" t="s">
        <v>118</v>
      </c>
      <c r="AS2396">
        <v>-63</v>
      </c>
      <c r="AT2396">
        <v>44</v>
      </c>
      <c r="AU2396">
        <v>-256</v>
      </c>
      <c r="BC2396">
        <v>1200</v>
      </c>
      <c r="BD2396">
        <v>1</v>
      </c>
      <c r="BE2396" t="str">
        <f t="shared" si="113"/>
        <v xml:space="preserve">N215T   </v>
      </c>
      <c r="BF2396">
        <v>1</v>
      </c>
      <c r="BH2396">
        <v>0</v>
      </c>
      <c r="BI2396">
        <v>0</v>
      </c>
      <c r="BJ2396">
        <v>0</v>
      </c>
      <c r="BK2396">
        <v>2425</v>
      </c>
      <c r="BL2396">
        <v>425</v>
      </c>
      <c r="BM2396" t="s">
        <v>119</v>
      </c>
      <c r="BN2396">
        <v>1</v>
      </c>
      <c r="BO2396">
        <v>1</v>
      </c>
      <c r="BP2396">
        <v>1</v>
      </c>
      <c r="BQ2396">
        <v>0</v>
      </c>
      <c r="BT2396">
        <v>0</v>
      </c>
      <c r="BU2396">
        <v>0</v>
      </c>
      <c r="BV2396">
        <v>0</v>
      </c>
      <c r="CC2396" t="str">
        <f>"19:14:47.914"</f>
        <v>19:14:47.914</v>
      </c>
      <c r="CD2396" t="str">
        <f>"911788853"</f>
        <v>911788853</v>
      </c>
      <c r="CQ2396">
        <v>0</v>
      </c>
      <c r="CR2396">
        <v>2</v>
      </c>
      <c r="CS2396">
        <v>0</v>
      </c>
      <c r="CT2396">
        <v>2</v>
      </c>
      <c r="CU2396">
        <v>0</v>
      </c>
      <c r="CV2396">
        <v>5</v>
      </c>
      <c r="CW2396" t="s">
        <v>120</v>
      </c>
      <c r="CX2396">
        <v>257</v>
      </c>
      <c r="CY2396">
        <v>1</v>
      </c>
      <c r="CZ2396" t="s">
        <v>615</v>
      </c>
      <c r="DA2396" t="s">
        <v>616</v>
      </c>
      <c r="DD2396">
        <v>12160976</v>
      </c>
      <c r="DE2396" t="s">
        <v>123</v>
      </c>
    </row>
    <row r="2397" spans="1:109" x14ac:dyDescent="0.3">
      <c r="A2397" t="str">
        <f>"19:14:49.195"</f>
        <v>19:14:49.195</v>
      </c>
      <c r="B2397" t="s">
        <v>110</v>
      </c>
      <c r="C2397" t="str">
        <f t="shared" si="111"/>
        <v>ffdfd3c0</v>
      </c>
      <c r="D2397" t="s">
        <v>111</v>
      </c>
      <c r="E2397">
        <v>18</v>
      </c>
      <c r="F2397">
        <v>1018</v>
      </c>
      <c r="G2397" t="s">
        <v>112</v>
      </c>
      <c r="J2397" t="s">
        <v>113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R2397" t="s">
        <v>114</v>
      </c>
      <c r="S2397" t="str">
        <f>"19:14:48.961"</f>
        <v>19:14:48.961</v>
      </c>
      <c r="T2397" t="str">
        <f>"19:14:48.758"</f>
        <v>19:14:48.758</v>
      </c>
      <c r="U2397" t="str">
        <f t="shared" si="112"/>
        <v>a1cdbe</v>
      </c>
      <c r="V2397">
        <v>0</v>
      </c>
      <c r="W2397">
        <v>0</v>
      </c>
      <c r="X2397">
        <v>1</v>
      </c>
      <c r="Y2397">
        <v>0</v>
      </c>
      <c r="Z2397">
        <v>0</v>
      </c>
      <c r="AB2397">
        <v>0</v>
      </c>
      <c r="AC2397">
        <v>9</v>
      </c>
      <c r="AD2397">
        <v>3</v>
      </c>
      <c r="AE2397">
        <v>0</v>
      </c>
      <c r="AF2397">
        <v>9</v>
      </c>
      <c r="AG2397" t="s">
        <v>158</v>
      </c>
      <c r="AH2397">
        <v>0</v>
      </c>
      <c r="AI2397">
        <v>3</v>
      </c>
      <c r="AJ2397">
        <v>1</v>
      </c>
      <c r="AK2397">
        <v>0</v>
      </c>
      <c r="AL2397" t="s">
        <v>4512</v>
      </c>
      <c r="AM2397">
        <v>46.905805999999998</v>
      </c>
      <c r="AN2397" t="s">
        <v>4513</v>
      </c>
      <c r="AO2397">
        <v>-123.234286</v>
      </c>
      <c r="AP2397">
        <v>100</v>
      </c>
      <c r="AQ2397">
        <v>2000</v>
      </c>
      <c r="AR2397" t="s">
        <v>118</v>
      </c>
      <c r="AS2397">
        <v>-64</v>
      </c>
      <c r="AT2397">
        <v>44</v>
      </c>
      <c r="AU2397">
        <v>-256</v>
      </c>
      <c r="BC2397">
        <v>1200</v>
      </c>
      <c r="BD2397">
        <v>1</v>
      </c>
      <c r="BE2397" t="str">
        <f t="shared" si="113"/>
        <v xml:space="preserve">N215T   </v>
      </c>
      <c r="BF2397">
        <v>1</v>
      </c>
      <c r="BH2397">
        <v>0</v>
      </c>
      <c r="BI2397">
        <v>0</v>
      </c>
      <c r="BJ2397">
        <v>0</v>
      </c>
      <c r="BK2397">
        <v>2425</v>
      </c>
      <c r="BL2397">
        <v>425</v>
      </c>
      <c r="BM2397" t="s">
        <v>119</v>
      </c>
      <c r="BN2397">
        <v>1</v>
      </c>
      <c r="BO2397">
        <v>1</v>
      </c>
      <c r="BP2397">
        <v>1</v>
      </c>
      <c r="BQ2397">
        <v>0</v>
      </c>
      <c r="BT2397">
        <v>0</v>
      </c>
      <c r="BU2397">
        <v>0</v>
      </c>
      <c r="BV2397">
        <v>0</v>
      </c>
      <c r="CC2397" t="str">
        <f>"19:14:48.961"</f>
        <v>19:14:48.961</v>
      </c>
      <c r="CD2397" t="str">
        <f>"961685422"</f>
        <v>961685422</v>
      </c>
      <c r="CQ2397">
        <v>0</v>
      </c>
      <c r="CR2397">
        <v>2</v>
      </c>
      <c r="CS2397">
        <v>0</v>
      </c>
      <c r="CT2397">
        <v>2</v>
      </c>
      <c r="CU2397">
        <v>0</v>
      </c>
      <c r="CV2397">
        <v>5</v>
      </c>
      <c r="CW2397" t="s">
        <v>120</v>
      </c>
      <c r="CX2397">
        <v>257</v>
      </c>
      <c r="CY2397">
        <v>1</v>
      </c>
      <c r="CZ2397" t="s">
        <v>615</v>
      </c>
      <c r="DA2397" t="s">
        <v>616</v>
      </c>
      <c r="DD2397">
        <v>12161742</v>
      </c>
      <c r="DE2397" t="s">
        <v>123</v>
      </c>
    </row>
    <row r="2398" spans="1:109" x14ac:dyDescent="0.3">
      <c r="A2398" t="str">
        <f>"19:14:50.352"</f>
        <v>19:14:50.352</v>
      </c>
      <c r="B2398" t="s">
        <v>110</v>
      </c>
      <c r="C2398" t="str">
        <f t="shared" si="111"/>
        <v>ffdfd3c0</v>
      </c>
      <c r="D2398" t="s">
        <v>111</v>
      </c>
      <c r="E2398">
        <v>18</v>
      </c>
      <c r="F2398">
        <v>1018</v>
      </c>
      <c r="G2398" t="s">
        <v>112</v>
      </c>
      <c r="J2398" t="s">
        <v>113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R2398" t="s">
        <v>114</v>
      </c>
      <c r="S2398" t="str">
        <f>"19:14:50.086"</f>
        <v>19:14:50.086</v>
      </c>
      <c r="T2398" t="str">
        <f>"19:14:49.586"</f>
        <v>19:14:49.586</v>
      </c>
      <c r="U2398" t="str">
        <f t="shared" si="112"/>
        <v>a1cdbe</v>
      </c>
      <c r="V2398">
        <v>0</v>
      </c>
      <c r="W2398">
        <v>0</v>
      </c>
      <c r="X2398">
        <v>1</v>
      </c>
      <c r="Y2398">
        <v>0</v>
      </c>
      <c r="Z2398">
        <v>0</v>
      </c>
      <c r="AB2398">
        <v>0</v>
      </c>
      <c r="AC2398">
        <v>9</v>
      </c>
      <c r="AD2398">
        <v>3</v>
      </c>
      <c r="AE2398">
        <v>0</v>
      </c>
      <c r="AF2398">
        <v>9</v>
      </c>
      <c r="AG2398" t="s">
        <v>158</v>
      </c>
      <c r="AH2398">
        <v>0</v>
      </c>
      <c r="AI2398">
        <v>3</v>
      </c>
      <c r="AJ2398">
        <v>1</v>
      </c>
      <c r="AK2398">
        <v>0</v>
      </c>
      <c r="AL2398" t="s">
        <v>4514</v>
      </c>
      <c r="AM2398">
        <v>46.906041999999999</v>
      </c>
      <c r="AN2398" t="s">
        <v>4515</v>
      </c>
      <c r="AO2398">
        <v>-123.234801</v>
      </c>
      <c r="AP2398">
        <v>100</v>
      </c>
      <c r="AQ2398">
        <v>2000</v>
      </c>
      <c r="AR2398" t="s">
        <v>118</v>
      </c>
      <c r="AS2398">
        <v>-66</v>
      </c>
      <c r="AT2398">
        <v>43</v>
      </c>
      <c r="AU2398">
        <v>-384</v>
      </c>
      <c r="BC2398">
        <v>1200</v>
      </c>
      <c r="BD2398">
        <v>1</v>
      </c>
      <c r="BE2398" t="str">
        <f t="shared" si="113"/>
        <v xml:space="preserve">N215T   </v>
      </c>
      <c r="BF2398">
        <v>1</v>
      </c>
      <c r="BH2398">
        <v>0</v>
      </c>
      <c r="BI2398">
        <v>0</v>
      </c>
      <c r="BJ2398">
        <v>0</v>
      </c>
      <c r="BK2398">
        <v>2425</v>
      </c>
      <c r="BL2398">
        <v>425</v>
      </c>
      <c r="BM2398" t="s">
        <v>119</v>
      </c>
      <c r="BN2398">
        <v>1</v>
      </c>
      <c r="BO2398">
        <v>1</v>
      </c>
      <c r="BP2398">
        <v>1</v>
      </c>
      <c r="BQ2398">
        <v>0</v>
      </c>
      <c r="BT2398">
        <v>0</v>
      </c>
      <c r="BU2398">
        <v>0</v>
      </c>
      <c r="BV2398">
        <v>0</v>
      </c>
      <c r="CC2398" t="str">
        <f>"19:14:50.086"</f>
        <v>19:14:50.086</v>
      </c>
      <c r="CD2398" t="str">
        <f>"086574586"</f>
        <v>086574586</v>
      </c>
      <c r="CQ2398">
        <v>0</v>
      </c>
      <c r="CR2398">
        <v>2</v>
      </c>
      <c r="CS2398">
        <v>0</v>
      </c>
      <c r="CT2398">
        <v>2</v>
      </c>
      <c r="CU2398">
        <v>0</v>
      </c>
      <c r="CV2398">
        <v>5</v>
      </c>
      <c r="CW2398" t="s">
        <v>120</v>
      </c>
      <c r="CX2398">
        <v>257</v>
      </c>
      <c r="CY2398">
        <v>0</v>
      </c>
      <c r="CZ2398" t="s">
        <v>615</v>
      </c>
      <c r="DA2398" t="s">
        <v>616</v>
      </c>
      <c r="DD2398">
        <v>15885693</v>
      </c>
      <c r="DE2398" t="s">
        <v>123</v>
      </c>
    </row>
    <row r="2399" spans="1:109" x14ac:dyDescent="0.3">
      <c r="A2399" t="str">
        <f>"19:14:51.414"</f>
        <v>19:14:51.414</v>
      </c>
      <c r="B2399" t="s">
        <v>110</v>
      </c>
      <c r="C2399" t="str">
        <f t="shared" si="111"/>
        <v>ffdfd3c0</v>
      </c>
      <c r="D2399" t="s">
        <v>111</v>
      </c>
      <c r="E2399">
        <v>18</v>
      </c>
      <c r="F2399">
        <v>1018</v>
      </c>
      <c r="G2399" t="s">
        <v>112</v>
      </c>
      <c r="J2399" t="s">
        <v>113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R2399" t="s">
        <v>114</v>
      </c>
      <c r="S2399" t="str">
        <f>"19:14:51.164"</f>
        <v>19:14:51.164</v>
      </c>
      <c r="T2399" t="str">
        <f>"19:14:51.164"</f>
        <v>19:14:51.164</v>
      </c>
      <c r="U2399" t="str">
        <f t="shared" si="112"/>
        <v>a1cdbe</v>
      </c>
      <c r="V2399">
        <v>0</v>
      </c>
      <c r="W2399">
        <v>0</v>
      </c>
      <c r="X2399">
        <v>1</v>
      </c>
      <c r="Y2399">
        <v>0</v>
      </c>
      <c r="Z2399">
        <v>0</v>
      </c>
      <c r="AB2399">
        <v>0</v>
      </c>
      <c r="AC2399">
        <v>9</v>
      </c>
      <c r="AD2399">
        <v>3</v>
      </c>
      <c r="AE2399">
        <v>0</v>
      </c>
      <c r="AF2399">
        <v>9</v>
      </c>
      <c r="AG2399" t="s">
        <v>158</v>
      </c>
      <c r="AH2399">
        <v>0</v>
      </c>
      <c r="AI2399">
        <v>3</v>
      </c>
      <c r="AJ2399">
        <v>1</v>
      </c>
      <c r="AK2399">
        <v>0</v>
      </c>
      <c r="AL2399" t="s">
        <v>4516</v>
      </c>
      <c r="AM2399">
        <v>46.906213999999999</v>
      </c>
      <c r="AN2399" t="s">
        <v>4517</v>
      </c>
      <c r="AO2399">
        <v>-123.23529499999999</v>
      </c>
      <c r="AP2399">
        <v>100</v>
      </c>
      <c r="AQ2399">
        <v>2000</v>
      </c>
      <c r="AR2399" t="s">
        <v>118</v>
      </c>
      <c r="AS2399">
        <v>-68</v>
      </c>
      <c r="AT2399">
        <v>41</v>
      </c>
      <c r="AU2399">
        <v>-512</v>
      </c>
      <c r="BC2399">
        <v>1200</v>
      </c>
      <c r="BD2399">
        <v>1</v>
      </c>
      <c r="BE2399" t="str">
        <f t="shared" si="113"/>
        <v xml:space="preserve">N215T   </v>
      </c>
      <c r="BF2399">
        <v>1</v>
      </c>
      <c r="BH2399">
        <v>0</v>
      </c>
      <c r="BI2399">
        <v>0</v>
      </c>
      <c r="BJ2399">
        <v>0</v>
      </c>
      <c r="BK2399">
        <v>2425</v>
      </c>
      <c r="BL2399">
        <v>425</v>
      </c>
      <c r="BM2399" t="s">
        <v>119</v>
      </c>
      <c r="BN2399">
        <v>1</v>
      </c>
      <c r="BO2399">
        <v>1</v>
      </c>
      <c r="BP2399">
        <v>1</v>
      </c>
      <c r="BQ2399">
        <v>0</v>
      </c>
      <c r="BT2399">
        <v>0</v>
      </c>
      <c r="BU2399">
        <v>0</v>
      </c>
      <c r="BV2399">
        <v>0</v>
      </c>
      <c r="CC2399" t="str">
        <f>"19:14:51.164"</f>
        <v>19:14:51.164</v>
      </c>
      <c r="CD2399" t="str">
        <f>"166468178"</f>
        <v>166468178</v>
      </c>
      <c r="CQ2399">
        <v>0</v>
      </c>
      <c r="CR2399">
        <v>2</v>
      </c>
      <c r="CS2399">
        <v>0</v>
      </c>
      <c r="CT2399">
        <v>2</v>
      </c>
      <c r="CU2399">
        <v>0</v>
      </c>
      <c r="CV2399">
        <v>6</v>
      </c>
      <c r="CW2399" t="s">
        <v>120</v>
      </c>
      <c r="CX2399">
        <v>257</v>
      </c>
      <c r="CY2399">
        <v>0</v>
      </c>
      <c r="CZ2399" t="s">
        <v>615</v>
      </c>
      <c r="DA2399" t="s">
        <v>616</v>
      </c>
      <c r="DD2399">
        <v>15886308</v>
      </c>
      <c r="DE2399" t="s">
        <v>123</v>
      </c>
    </row>
    <row r="2400" spans="1:109" x14ac:dyDescent="0.3">
      <c r="A2400" t="str">
        <f>"19:14:52.266"</f>
        <v>19:14:52.266</v>
      </c>
      <c r="B2400" t="s">
        <v>110</v>
      </c>
      <c r="C2400" t="str">
        <f t="shared" si="111"/>
        <v>ffdfd3c0</v>
      </c>
      <c r="D2400" t="s">
        <v>111</v>
      </c>
      <c r="E2400">
        <v>18</v>
      </c>
      <c r="F2400">
        <v>1018</v>
      </c>
      <c r="G2400" t="s">
        <v>112</v>
      </c>
      <c r="J2400" t="s">
        <v>113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R2400" t="s">
        <v>114</v>
      </c>
      <c r="S2400" t="str">
        <f>"19:14:52.047"</f>
        <v>19:14:52.047</v>
      </c>
      <c r="T2400" t="str">
        <f>"19:14:52.047"</f>
        <v>19:14:52.047</v>
      </c>
      <c r="U2400" t="str">
        <f t="shared" si="112"/>
        <v>a1cdbe</v>
      </c>
      <c r="V2400">
        <v>0</v>
      </c>
      <c r="W2400">
        <v>0</v>
      </c>
      <c r="X2400">
        <v>1</v>
      </c>
      <c r="Y2400">
        <v>0</v>
      </c>
      <c r="Z2400">
        <v>0</v>
      </c>
      <c r="AB2400">
        <v>0</v>
      </c>
      <c r="AC2400">
        <v>9</v>
      </c>
      <c r="AD2400">
        <v>3</v>
      </c>
      <c r="AE2400">
        <v>0</v>
      </c>
      <c r="AF2400">
        <v>9</v>
      </c>
      <c r="AG2400" t="s">
        <v>158</v>
      </c>
      <c r="AH2400">
        <v>0</v>
      </c>
      <c r="AI2400">
        <v>3</v>
      </c>
      <c r="AJ2400">
        <v>1</v>
      </c>
      <c r="AK2400">
        <v>0</v>
      </c>
      <c r="AL2400" t="s">
        <v>4518</v>
      </c>
      <c r="AM2400">
        <v>46.906407000000002</v>
      </c>
      <c r="AN2400" t="s">
        <v>4519</v>
      </c>
      <c r="AO2400">
        <v>-123.235703</v>
      </c>
      <c r="AP2400">
        <v>100</v>
      </c>
      <c r="AQ2400">
        <v>2000</v>
      </c>
      <c r="AR2400" t="s">
        <v>118</v>
      </c>
      <c r="AS2400">
        <v>-70</v>
      </c>
      <c r="AT2400">
        <v>40</v>
      </c>
      <c r="AU2400">
        <v>-512</v>
      </c>
      <c r="BC2400">
        <v>1200</v>
      </c>
      <c r="BD2400">
        <v>1</v>
      </c>
      <c r="BE2400" t="str">
        <f t="shared" si="113"/>
        <v xml:space="preserve">N215T   </v>
      </c>
      <c r="BF2400">
        <v>1</v>
      </c>
      <c r="BH2400">
        <v>0</v>
      </c>
      <c r="BI2400">
        <v>0</v>
      </c>
      <c r="BJ2400">
        <v>0</v>
      </c>
      <c r="BK2400">
        <v>2400</v>
      </c>
      <c r="BL2400">
        <v>400</v>
      </c>
      <c r="BM2400" t="s">
        <v>119</v>
      </c>
      <c r="BN2400">
        <v>1</v>
      </c>
      <c r="BO2400">
        <v>1</v>
      </c>
      <c r="BP2400">
        <v>1</v>
      </c>
      <c r="BQ2400">
        <v>0</v>
      </c>
      <c r="BT2400">
        <v>0</v>
      </c>
      <c r="BU2400">
        <v>0</v>
      </c>
      <c r="BV2400">
        <v>0</v>
      </c>
      <c r="CC2400" t="str">
        <f>"19:14:52.055"</f>
        <v>19:14:52.055</v>
      </c>
      <c r="CD2400" t="str">
        <f>"051380985"</f>
        <v>051380985</v>
      </c>
      <c r="CQ2400">
        <v>0</v>
      </c>
      <c r="CR2400">
        <v>2</v>
      </c>
      <c r="CS2400">
        <v>0</v>
      </c>
      <c r="CT2400">
        <v>2</v>
      </c>
      <c r="CU2400">
        <v>0</v>
      </c>
      <c r="CV2400">
        <v>6</v>
      </c>
      <c r="CW2400" t="s">
        <v>120</v>
      </c>
      <c r="CX2400">
        <v>257</v>
      </c>
      <c r="CY2400">
        <v>0</v>
      </c>
      <c r="CZ2400" t="s">
        <v>615</v>
      </c>
      <c r="DA2400" t="s">
        <v>616</v>
      </c>
      <c r="DD2400">
        <v>15886807</v>
      </c>
      <c r="DE2400" t="s">
        <v>123</v>
      </c>
    </row>
    <row r="2401" spans="1:109" x14ac:dyDescent="0.3">
      <c r="A2401" t="str">
        <f>"19:14:53.219"</f>
        <v>19:14:53.219</v>
      </c>
      <c r="B2401" t="s">
        <v>110</v>
      </c>
      <c r="C2401" t="str">
        <f t="shared" si="111"/>
        <v>ffdfd3c0</v>
      </c>
      <c r="D2401" t="s">
        <v>111</v>
      </c>
      <c r="E2401">
        <v>18</v>
      </c>
      <c r="F2401">
        <v>1018</v>
      </c>
      <c r="G2401" t="s">
        <v>112</v>
      </c>
      <c r="J2401" t="s">
        <v>113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R2401" t="s">
        <v>114</v>
      </c>
      <c r="S2401" t="str">
        <f>"19:14:53.023"</f>
        <v>19:14:53.023</v>
      </c>
      <c r="T2401" t="str">
        <f>"19:14:52.523"</f>
        <v>19:14:52.523</v>
      </c>
      <c r="U2401" t="str">
        <f t="shared" si="112"/>
        <v>a1cdbe</v>
      </c>
      <c r="V2401">
        <v>0</v>
      </c>
      <c r="W2401">
        <v>0</v>
      </c>
      <c r="X2401">
        <v>1</v>
      </c>
      <c r="Y2401">
        <v>0</v>
      </c>
      <c r="Z2401">
        <v>0</v>
      </c>
      <c r="AB2401">
        <v>0</v>
      </c>
      <c r="AC2401">
        <v>9</v>
      </c>
      <c r="AD2401">
        <v>3</v>
      </c>
      <c r="AE2401">
        <v>0</v>
      </c>
      <c r="AF2401">
        <v>9</v>
      </c>
      <c r="AG2401" t="s">
        <v>158</v>
      </c>
      <c r="AH2401">
        <v>0</v>
      </c>
      <c r="AI2401">
        <v>3</v>
      </c>
      <c r="AJ2401">
        <v>1</v>
      </c>
      <c r="AK2401">
        <v>0</v>
      </c>
      <c r="AL2401" t="s">
        <v>4520</v>
      </c>
      <c r="AM2401">
        <v>46.906556999999999</v>
      </c>
      <c r="AN2401" t="s">
        <v>4521</v>
      </c>
      <c r="AO2401">
        <v>-123.236175</v>
      </c>
      <c r="AP2401">
        <v>100</v>
      </c>
      <c r="AQ2401">
        <v>2000</v>
      </c>
      <c r="AR2401" t="s">
        <v>118</v>
      </c>
      <c r="AS2401">
        <v>-71</v>
      </c>
      <c r="AT2401">
        <v>39</v>
      </c>
      <c r="AU2401">
        <v>-576</v>
      </c>
      <c r="BC2401">
        <v>1200</v>
      </c>
      <c r="BD2401">
        <v>1</v>
      </c>
      <c r="BE2401" t="str">
        <f t="shared" si="113"/>
        <v xml:space="preserve">N215T   </v>
      </c>
      <c r="BF2401">
        <v>1</v>
      </c>
      <c r="BH2401">
        <v>0</v>
      </c>
      <c r="BI2401">
        <v>0</v>
      </c>
      <c r="BJ2401">
        <v>0</v>
      </c>
      <c r="BK2401">
        <v>2400</v>
      </c>
      <c r="BL2401">
        <v>400</v>
      </c>
      <c r="BM2401" t="s">
        <v>119</v>
      </c>
      <c r="BN2401">
        <v>1</v>
      </c>
      <c r="BO2401">
        <v>1</v>
      </c>
      <c r="BP2401">
        <v>1</v>
      </c>
      <c r="BQ2401">
        <v>0</v>
      </c>
      <c r="BT2401">
        <v>0</v>
      </c>
      <c r="BU2401">
        <v>0</v>
      </c>
      <c r="BV2401">
        <v>0</v>
      </c>
      <c r="CC2401" t="str">
        <f>"19:14:53.023"</f>
        <v>19:14:53.023</v>
      </c>
      <c r="CD2401" t="str">
        <f>"026284913"</f>
        <v>026284913</v>
      </c>
      <c r="CQ2401">
        <v>0</v>
      </c>
      <c r="CR2401">
        <v>2</v>
      </c>
      <c r="CS2401">
        <v>0</v>
      </c>
      <c r="CT2401">
        <v>2</v>
      </c>
      <c r="CU2401">
        <v>0</v>
      </c>
      <c r="CV2401">
        <v>6</v>
      </c>
      <c r="CW2401" t="s">
        <v>120</v>
      </c>
      <c r="CX2401">
        <v>257</v>
      </c>
      <c r="CY2401">
        <v>0</v>
      </c>
      <c r="CZ2401" t="s">
        <v>615</v>
      </c>
      <c r="DA2401" t="s">
        <v>616</v>
      </c>
      <c r="DD2401">
        <v>15887311</v>
      </c>
      <c r="DE2401" t="s">
        <v>123</v>
      </c>
    </row>
    <row r="2402" spans="1:109" x14ac:dyDescent="0.3">
      <c r="A2402" t="str">
        <f>"19:14:54.375"</f>
        <v>19:14:54.375</v>
      </c>
      <c r="B2402" t="s">
        <v>110</v>
      </c>
      <c r="C2402" t="str">
        <f t="shared" si="111"/>
        <v>ffdfd3c0</v>
      </c>
      <c r="D2402" t="s">
        <v>111</v>
      </c>
      <c r="E2402">
        <v>18</v>
      </c>
      <c r="F2402">
        <v>1018</v>
      </c>
      <c r="G2402" t="s">
        <v>112</v>
      </c>
      <c r="J2402" t="s">
        <v>113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R2402" t="s">
        <v>114</v>
      </c>
      <c r="S2402" t="str">
        <f>"19:14:54.133"</f>
        <v>19:14:54.133</v>
      </c>
      <c r="T2402" t="str">
        <f>"19:14:53.930"</f>
        <v>19:14:53.930</v>
      </c>
      <c r="U2402" t="str">
        <f t="shared" si="112"/>
        <v>a1cdbe</v>
      </c>
      <c r="V2402">
        <v>0</v>
      </c>
      <c r="W2402">
        <v>0</v>
      </c>
      <c r="X2402">
        <v>1</v>
      </c>
      <c r="Y2402">
        <v>0</v>
      </c>
      <c r="Z2402">
        <v>0</v>
      </c>
      <c r="AB2402">
        <v>0</v>
      </c>
      <c r="AC2402">
        <v>9</v>
      </c>
      <c r="AD2402">
        <v>3</v>
      </c>
      <c r="AE2402">
        <v>0</v>
      </c>
      <c r="AF2402">
        <v>9</v>
      </c>
      <c r="AG2402" t="s">
        <v>158</v>
      </c>
      <c r="AH2402">
        <v>0</v>
      </c>
      <c r="AI2402">
        <v>3</v>
      </c>
      <c r="AJ2402">
        <v>1</v>
      </c>
      <c r="AK2402">
        <v>0</v>
      </c>
      <c r="AL2402" t="s">
        <v>4522</v>
      </c>
      <c r="AM2402">
        <v>46.906771999999997</v>
      </c>
      <c r="AN2402" t="s">
        <v>4523</v>
      </c>
      <c r="AO2402">
        <v>-123.236732</v>
      </c>
      <c r="AP2402">
        <v>100</v>
      </c>
      <c r="AQ2402">
        <v>2000</v>
      </c>
      <c r="AR2402" t="s">
        <v>118</v>
      </c>
      <c r="AS2402">
        <v>-74</v>
      </c>
      <c r="AT2402">
        <v>37</v>
      </c>
      <c r="AU2402">
        <v>-320</v>
      </c>
      <c r="BC2402">
        <v>1200</v>
      </c>
      <c r="BD2402">
        <v>1</v>
      </c>
      <c r="BE2402" t="str">
        <f t="shared" si="113"/>
        <v xml:space="preserve">N215T   </v>
      </c>
      <c r="BF2402">
        <v>1</v>
      </c>
      <c r="BH2402">
        <v>0</v>
      </c>
      <c r="BI2402">
        <v>0</v>
      </c>
      <c r="BJ2402">
        <v>0</v>
      </c>
      <c r="BK2402">
        <v>2400</v>
      </c>
      <c r="BL2402">
        <v>400</v>
      </c>
      <c r="BM2402" t="s">
        <v>119</v>
      </c>
      <c r="BN2402">
        <v>1</v>
      </c>
      <c r="BO2402">
        <v>1</v>
      </c>
      <c r="BP2402">
        <v>1</v>
      </c>
      <c r="BQ2402">
        <v>0</v>
      </c>
      <c r="BT2402">
        <v>0</v>
      </c>
      <c r="BU2402">
        <v>0</v>
      </c>
      <c r="BV2402">
        <v>0</v>
      </c>
      <c r="CC2402" t="str">
        <f>"19:14:54.133"</f>
        <v>19:14:54.133</v>
      </c>
      <c r="CD2402" t="str">
        <f>"136175548"</f>
        <v>136175548</v>
      </c>
      <c r="CQ2402">
        <v>0</v>
      </c>
      <c r="CR2402">
        <v>2</v>
      </c>
      <c r="CS2402">
        <v>0</v>
      </c>
      <c r="CT2402">
        <v>2</v>
      </c>
      <c r="CU2402">
        <v>0</v>
      </c>
      <c r="CV2402">
        <v>6</v>
      </c>
      <c r="CW2402" t="s">
        <v>120</v>
      </c>
      <c r="CX2402">
        <v>257</v>
      </c>
      <c r="CY2402">
        <v>0</v>
      </c>
      <c r="CZ2402" t="s">
        <v>615</v>
      </c>
      <c r="DA2402" t="s">
        <v>616</v>
      </c>
      <c r="DD2402">
        <v>15887913</v>
      </c>
      <c r="DE2402" t="s">
        <v>123</v>
      </c>
    </row>
    <row r="2403" spans="1:109" x14ac:dyDescent="0.3">
      <c r="A2403" t="str">
        <f>"19:14:55.430"</f>
        <v>19:14:55.430</v>
      </c>
      <c r="B2403" t="s">
        <v>110</v>
      </c>
      <c r="C2403" t="str">
        <f t="shared" si="111"/>
        <v>ffdfd3c0</v>
      </c>
      <c r="D2403" t="s">
        <v>111</v>
      </c>
      <c r="E2403">
        <v>18</v>
      </c>
      <c r="F2403">
        <v>1018</v>
      </c>
      <c r="G2403" t="s">
        <v>112</v>
      </c>
      <c r="J2403" t="s">
        <v>113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R2403" t="s">
        <v>114</v>
      </c>
      <c r="S2403" t="str">
        <f>"19:14:55.195"</f>
        <v>19:14:55.195</v>
      </c>
      <c r="T2403" t="str">
        <f>"19:14:54.992"</f>
        <v>19:14:54.992</v>
      </c>
      <c r="U2403" t="str">
        <f t="shared" si="112"/>
        <v>a1cdbe</v>
      </c>
      <c r="V2403">
        <v>0</v>
      </c>
      <c r="W2403">
        <v>0</v>
      </c>
      <c r="X2403">
        <v>1</v>
      </c>
      <c r="Y2403">
        <v>0</v>
      </c>
      <c r="Z2403">
        <v>0</v>
      </c>
      <c r="AB2403">
        <v>0</v>
      </c>
      <c r="AC2403">
        <v>9</v>
      </c>
      <c r="AD2403">
        <v>3</v>
      </c>
      <c r="AE2403">
        <v>0</v>
      </c>
      <c r="AF2403">
        <v>9</v>
      </c>
      <c r="AG2403" t="s">
        <v>158</v>
      </c>
      <c r="AH2403">
        <v>0</v>
      </c>
      <c r="AI2403">
        <v>3</v>
      </c>
      <c r="AJ2403">
        <v>1</v>
      </c>
      <c r="AK2403">
        <v>0</v>
      </c>
      <c r="AL2403" t="s">
        <v>4524</v>
      </c>
      <c r="AM2403">
        <v>46.906942999999998</v>
      </c>
      <c r="AN2403" t="s">
        <v>4525</v>
      </c>
      <c r="AO2403">
        <v>-123.23729</v>
      </c>
      <c r="AP2403">
        <v>100</v>
      </c>
      <c r="AQ2403">
        <v>2000</v>
      </c>
      <c r="AR2403" t="s">
        <v>118</v>
      </c>
      <c r="AS2403">
        <v>-75</v>
      </c>
      <c r="AT2403">
        <v>37</v>
      </c>
      <c r="AU2403">
        <v>-128</v>
      </c>
      <c r="BC2403">
        <v>1200</v>
      </c>
      <c r="BD2403">
        <v>1</v>
      </c>
      <c r="BE2403" t="str">
        <f t="shared" si="113"/>
        <v xml:space="preserve">N215T   </v>
      </c>
      <c r="BF2403">
        <v>1</v>
      </c>
      <c r="BH2403">
        <v>0</v>
      </c>
      <c r="BI2403">
        <v>0</v>
      </c>
      <c r="BJ2403">
        <v>0</v>
      </c>
      <c r="BK2403">
        <v>2375</v>
      </c>
      <c r="BL2403">
        <v>375</v>
      </c>
      <c r="BM2403" t="s">
        <v>119</v>
      </c>
      <c r="BN2403">
        <v>1</v>
      </c>
      <c r="BO2403">
        <v>1</v>
      </c>
      <c r="BP2403">
        <v>1</v>
      </c>
      <c r="BQ2403">
        <v>0</v>
      </c>
      <c r="BT2403">
        <v>0</v>
      </c>
      <c r="BU2403">
        <v>0</v>
      </c>
      <c r="BV2403">
        <v>0</v>
      </c>
      <c r="CC2403" t="str">
        <f>"19:14:55.203"</f>
        <v>19:14:55.203</v>
      </c>
      <c r="CD2403" t="str">
        <f>"201070594"</f>
        <v>201070594</v>
      </c>
      <c r="CQ2403">
        <v>0</v>
      </c>
      <c r="CR2403">
        <v>2</v>
      </c>
      <c r="CS2403">
        <v>0</v>
      </c>
      <c r="CT2403">
        <v>2</v>
      </c>
      <c r="CU2403">
        <v>0</v>
      </c>
      <c r="CV2403">
        <v>6</v>
      </c>
      <c r="CW2403" t="s">
        <v>120</v>
      </c>
      <c r="CX2403">
        <v>257</v>
      </c>
      <c r="CY2403">
        <v>0</v>
      </c>
      <c r="CZ2403" t="s">
        <v>615</v>
      </c>
      <c r="DA2403" t="s">
        <v>616</v>
      </c>
      <c r="DD2403">
        <v>15888463</v>
      </c>
      <c r="DE2403" t="s">
        <v>123</v>
      </c>
    </row>
    <row r="2404" spans="1:109" x14ac:dyDescent="0.3">
      <c r="A2404" t="str">
        <f>"19:14:56.539"</f>
        <v>19:14:56.539</v>
      </c>
      <c r="B2404" t="s">
        <v>110</v>
      </c>
      <c r="C2404" t="str">
        <f t="shared" si="111"/>
        <v>ffdfd3c0</v>
      </c>
      <c r="D2404" t="s">
        <v>111</v>
      </c>
      <c r="E2404">
        <v>18</v>
      </c>
      <c r="F2404">
        <v>1018</v>
      </c>
      <c r="G2404" t="s">
        <v>112</v>
      </c>
      <c r="J2404" t="s">
        <v>113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R2404" t="s">
        <v>114</v>
      </c>
      <c r="S2404" t="str">
        <f>"19:14:56.289"</f>
        <v>19:14:56.289</v>
      </c>
      <c r="T2404" t="str">
        <f>"19:14:56.086"</f>
        <v>19:14:56.086</v>
      </c>
      <c r="U2404" t="str">
        <f t="shared" si="112"/>
        <v>a1cdbe</v>
      </c>
      <c r="V2404">
        <v>0</v>
      </c>
      <c r="W2404">
        <v>0</v>
      </c>
      <c r="X2404">
        <v>1</v>
      </c>
      <c r="Y2404">
        <v>0</v>
      </c>
      <c r="Z2404">
        <v>0</v>
      </c>
      <c r="AB2404">
        <v>0</v>
      </c>
      <c r="AC2404">
        <v>9</v>
      </c>
      <c r="AD2404">
        <v>3</v>
      </c>
      <c r="AE2404">
        <v>0</v>
      </c>
      <c r="AF2404">
        <v>9</v>
      </c>
      <c r="AG2404" t="s">
        <v>158</v>
      </c>
      <c r="AH2404">
        <v>0</v>
      </c>
      <c r="AI2404">
        <v>3</v>
      </c>
      <c r="AJ2404">
        <v>1</v>
      </c>
      <c r="AK2404">
        <v>0</v>
      </c>
      <c r="AL2404" t="s">
        <v>4526</v>
      </c>
      <c r="AM2404">
        <v>46.907114999999997</v>
      </c>
      <c r="AN2404" t="s">
        <v>4527</v>
      </c>
      <c r="AO2404">
        <v>-123.23780499999999</v>
      </c>
      <c r="AP2404">
        <v>100</v>
      </c>
      <c r="AQ2404">
        <v>2000</v>
      </c>
      <c r="AR2404" t="s">
        <v>118</v>
      </c>
      <c r="AS2404">
        <v>-74</v>
      </c>
      <c r="AT2404">
        <v>37</v>
      </c>
      <c r="AU2404">
        <v>-64</v>
      </c>
      <c r="BC2404">
        <v>1200</v>
      </c>
      <c r="BD2404">
        <v>1</v>
      </c>
      <c r="BE2404" t="str">
        <f t="shared" si="113"/>
        <v xml:space="preserve">N215T   </v>
      </c>
      <c r="BF2404">
        <v>1</v>
      </c>
      <c r="BH2404">
        <v>0</v>
      </c>
      <c r="BI2404">
        <v>0</v>
      </c>
      <c r="BJ2404">
        <v>0</v>
      </c>
      <c r="BK2404">
        <v>2375</v>
      </c>
      <c r="BL2404">
        <v>375</v>
      </c>
      <c r="BM2404" t="s">
        <v>119</v>
      </c>
      <c r="BN2404">
        <v>1</v>
      </c>
      <c r="BO2404">
        <v>1</v>
      </c>
      <c r="BP2404">
        <v>1</v>
      </c>
      <c r="BQ2404">
        <v>0</v>
      </c>
      <c r="BT2404">
        <v>0</v>
      </c>
      <c r="BU2404">
        <v>0</v>
      </c>
      <c r="BV2404">
        <v>0</v>
      </c>
      <c r="CC2404" t="str">
        <f>"19:14:56.297"</f>
        <v>19:14:56.297</v>
      </c>
      <c r="CD2404" t="str">
        <f>"295962701"</f>
        <v>295962701</v>
      </c>
      <c r="CQ2404">
        <v>0</v>
      </c>
      <c r="CR2404">
        <v>2</v>
      </c>
      <c r="CS2404">
        <v>0</v>
      </c>
      <c r="CT2404">
        <v>2</v>
      </c>
      <c r="CU2404">
        <v>0</v>
      </c>
      <c r="CV2404">
        <v>6</v>
      </c>
      <c r="CW2404" t="s">
        <v>120</v>
      </c>
      <c r="CX2404">
        <v>257</v>
      </c>
      <c r="CY2404">
        <v>0</v>
      </c>
      <c r="CZ2404" t="s">
        <v>615</v>
      </c>
      <c r="DA2404" t="s">
        <v>616</v>
      </c>
      <c r="DD2404">
        <v>15889122</v>
      </c>
      <c r="DE2404" t="s">
        <v>123</v>
      </c>
    </row>
    <row r="2405" spans="1:109" x14ac:dyDescent="0.3">
      <c r="A2405" t="str">
        <f>"19:14:57.391"</f>
        <v>19:14:57.391</v>
      </c>
      <c r="B2405" t="s">
        <v>110</v>
      </c>
      <c r="C2405" t="str">
        <f t="shared" si="111"/>
        <v>ffdfd3c0</v>
      </c>
      <c r="D2405" t="s">
        <v>111</v>
      </c>
      <c r="E2405">
        <v>18</v>
      </c>
      <c r="F2405">
        <v>1018</v>
      </c>
      <c r="G2405" t="s">
        <v>112</v>
      </c>
      <c r="J2405" t="s">
        <v>113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R2405" t="s">
        <v>114</v>
      </c>
      <c r="S2405" t="str">
        <f>"19:14:57.117"</f>
        <v>19:14:57.117</v>
      </c>
      <c r="T2405" t="str">
        <f>"19:14:56.617"</f>
        <v>19:14:56.617</v>
      </c>
      <c r="U2405" t="str">
        <f t="shared" si="112"/>
        <v>a1cdbe</v>
      </c>
      <c r="V2405">
        <v>0</v>
      </c>
      <c r="W2405">
        <v>0</v>
      </c>
      <c r="X2405">
        <v>1</v>
      </c>
      <c r="Y2405">
        <v>0</v>
      </c>
      <c r="Z2405">
        <v>0</v>
      </c>
      <c r="AB2405">
        <v>0</v>
      </c>
      <c r="AC2405">
        <v>9</v>
      </c>
      <c r="AD2405">
        <v>3</v>
      </c>
      <c r="AE2405">
        <v>0</v>
      </c>
      <c r="AF2405">
        <v>9</v>
      </c>
      <c r="AG2405" t="s">
        <v>158</v>
      </c>
      <c r="AH2405">
        <v>0</v>
      </c>
      <c r="AI2405">
        <v>3</v>
      </c>
      <c r="AJ2405">
        <v>1</v>
      </c>
      <c r="AK2405">
        <v>0</v>
      </c>
      <c r="AL2405" t="s">
        <v>4528</v>
      </c>
      <c r="AM2405">
        <v>46.907243999999999</v>
      </c>
      <c r="AN2405" t="s">
        <v>4529</v>
      </c>
      <c r="AO2405">
        <v>-123.238213</v>
      </c>
      <c r="AP2405">
        <v>100</v>
      </c>
      <c r="AQ2405">
        <v>2000</v>
      </c>
      <c r="AR2405" t="s">
        <v>118</v>
      </c>
      <c r="AS2405">
        <v>-74</v>
      </c>
      <c r="AT2405">
        <v>37</v>
      </c>
      <c r="AU2405">
        <v>-64</v>
      </c>
      <c r="BC2405">
        <v>1200</v>
      </c>
      <c r="BD2405">
        <v>1</v>
      </c>
      <c r="BE2405" t="str">
        <f t="shared" si="113"/>
        <v xml:space="preserve">N215T   </v>
      </c>
      <c r="BF2405">
        <v>1</v>
      </c>
      <c r="BH2405">
        <v>0</v>
      </c>
      <c r="BI2405">
        <v>0</v>
      </c>
      <c r="BJ2405">
        <v>0</v>
      </c>
      <c r="BK2405">
        <v>2375</v>
      </c>
      <c r="BL2405">
        <v>375</v>
      </c>
      <c r="BM2405" t="s">
        <v>119</v>
      </c>
      <c r="BN2405">
        <v>1</v>
      </c>
      <c r="BO2405">
        <v>1</v>
      </c>
      <c r="BP2405">
        <v>1</v>
      </c>
      <c r="BQ2405">
        <v>0</v>
      </c>
      <c r="BT2405">
        <v>0</v>
      </c>
      <c r="BU2405">
        <v>0</v>
      </c>
      <c r="BV2405">
        <v>0</v>
      </c>
      <c r="CC2405" t="str">
        <f>"19:14:57.117"</f>
        <v>19:14:57.117</v>
      </c>
      <c r="CD2405" t="str">
        <f>"120881410"</f>
        <v>120881410</v>
      </c>
      <c r="CQ2405">
        <v>0</v>
      </c>
      <c r="CR2405">
        <v>2</v>
      </c>
      <c r="CS2405">
        <v>0</v>
      </c>
      <c r="CT2405">
        <v>2</v>
      </c>
      <c r="CU2405">
        <v>0</v>
      </c>
      <c r="CV2405">
        <v>6</v>
      </c>
      <c r="CW2405" t="s">
        <v>120</v>
      </c>
      <c r="CX2405">
        <v>257</v>
      </c>
      <c r="CY2405">
        <v>0</v>
      </c>
      <c r="CZ2405" t="s">
        <v>615</v>
      </c>
      <c r="DA2405" t="s">
        <v>616</v>
      </c>
      <c r="DD2405">
        <v>15889553</v>
      </c>
      <c r="DE2405" t="s">
        <v>123</v>
      </c>
    </row>
    <row r="2406" spans="1:109" x14ac:dyDescent="0.3">
      <c r="A2406" t="str">
        <f>"19:14:58.352"</f>
        <v>19:14:58.352</v>
      </c>
      <c r="B2406" t="s">
        <v>110</v>
      </c>
      <c r="C2406" t="str">
        <f t="shared" si="111"/>
        <v>ffdfd3c0</v>
      </c>
      <c r="D2406" t="s">
        <v>111</v>
      </c>
      <c r="E2406">
        <v>18</v>
      </c>
      <c r="F2406">
        <v>1018</v>
      </c>
      <c r="G2406" t="s">
        <v>112</v>
      </c>
      <c r="J2406" t="s">
        <v>113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R2406" t="s">
        <v>114</v>
      </c>
      <c r="S2406" t="str">
        <f>"19:14:58.125"</f>
        <v>19:14:58.125</v>
      </c>
      <c r="T2406" t="str">
        <f>"19:14:58.125"</f>
        <v>19:14:58.125</v>
      </c>
      <c r="U2406" t="str">
        <f t="shared" si="112"/>
        <v>a1cdbe</v>
      </c>
      <c r="V2406">
        <v>0</v>
      </c>
      <c r="W2406">
        <v>0</v>
      </c>
      <c r="X2406">
        <v>1</v>
      </c>
      <c r="Y2406">
        <v>0</v>
      </c>
      <c r="Z2406">
        <v>0</v>
      </c>
      <c r="AB2406">
        <v>0</v>
      </c>
      <c r="AC2406">
        <v>9</v>
      </c>
      <c r="AD2406">
        <v>3</v>
      </c>
      <c r="AE2406">
        <v>0</v>
      </c>
      <c r="AF2406">
        <v>9</v>
      </c>
      <c r="AG2406" t="s">
        <v>158</v>
      </c>
      <c r="AH2406">
        <v>0</v>
      </c>
      <c r="AI2406">
        <v>3</v>
      </c>
      <c r="AJ2406">
        <v>1</v>
      </c>
      <c r="AK2406">
        <v>0</v>
      </c>
      <c r="AL2406" t="s">
        <v>4530</v>
      </c>
      <c r="AM2406">
        <v>46.907457999999998</v>
      </c>
      <c r="AN2406" t="s">
        <v>4531</v>
      </c>
      <c r="AO2406">
        <v>-123.23872799999999</v>
      </c>
      <c r="AP2406">
        <v>100</v>
      </c>
      <c r="AQ2406">
        <v>2000</v>
      </c>
      <c r="AR2406" t="s">
        <v>118</v>
      </c>
      <c r="AS2406">
        <v>-74</v>
      </c>
      <c r="AT2406">
        <v>37</v>
      </c>
      <c r="AU2406">
        <v>64</v>
      </c>
      <c r="BC2406">
        <v>1200</v>
      </c>
      <c r="BD2406">
        <v>1</v>
      </c>
      <c r="BE2406" t="str">
        <f t="shared" si="113"/>
        <v xml:space="preserve">N215T   </v>
      </c>
      <c r="BF2406">
        <v>1</v>
      </c>
      <c r="BH2406">
        <v>0</v>
      </c>
      <c r="BI2406">
        <v>0</v>
      </c>
      <c r="BJ2406">
        <v>0</v>
      </c>
      <c r="BK2406">
        <v>2375</v>
      </c>
      <c r="BL2406">
        <v>375</v>
      </c>
      <c r="BM2406" t="s">
        <v>119</v>
      </c>
      <c r="BN2406">
        <v>1</v>
      </c>
      <c r="BO2406">
        <v>1</v>
      </c>
      <c r="BP2406">
        <v>1</v>
      </c>
      <c r="BQ2406">
        <v>0</v>
      </c>
      <c r="BT2406">
        <v>0</v>
      </c>
      <c r="BU2406">
        <v>0</v>
      </c>
      <c r="BV2406">
        <v>0</v>
      </c>
      <c r="CC2406" t="str">
        <f>"19:14:58.125"</f>
        <v>19:14:58.125</v>
      </c>
      <c r="CD2406" t="str">
        <f>"125782384"</f>
        <v>125782384</v>
      </c>
      <c r="CQ2406">
        <v>0</v>
      </c>
      <c r="CR2406">
        <v>2</v>
      </c>
      <c r="CS2406">
        <v>0</v>
      </c>
      <c r="CT2406">
        <v>2</v>
      </c>
      <c r="CU2406">
        <v>0</v>
      </c>
      <c r="CV2406">
        <v>6</v>
      </c>
      <c r="CW2406" t="s">
        <v>120</v>
      </c>
      <c r="CX2406">
        <v>257</v>
      </c>
      <c r="CY2406">
        <v>0</v>
      </c>
      <c r="CZ2406" t="s">
        <v>615</v>
      </c>
      <c r="DA2406" t="s">
        <v>616</v>
      </c>
      <c r="DD2406">
        <v>15890082</v>
      </c>
      <c r="DE2406" t="s">
        <v>123</v>
      </c>
    </row>
    <row r="2407" spans="1:109" x14ac:dyDescent="0.3">
      <c r="A2407" t="str">
        <f>"19:14:59.305"</f>
        <v>19:14:59.305</v>
      </c>
      <c r="B2407" t="s">
        <v>110</v>
      </c>
      <c r="C2407" t="str">
        <f t="shared" si="111"/>
        <v>ffdfd3c0</v>
      </c>
      <c r="D2407" t="s">
        <v>111</v>
      </c>
      <c r="E2407">
        <v>18</v>
      </c>
      <c r="F2407">
        <v>1018</v>
      </c>
      <c r="G2407" t="s">
        <v>112</v>
      </c>
      <c r="J2407" t="s">
        <v>113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R2407" t="s">
        <v>114</v>
      </c>
      <c r="S2407" t="str">
        <f>"19:14:59.078"</f>
        <v>19:14:59.078</v>
      </c>
      <c r="T2407" t="str">
        <f>"19:14:59.078"</f>
        <v>19:14:59.078</v>
      </c>
      <c r="U2407" t="str">
        <f t="shared" si="112"/>
        <v>a1cdbe</v>
      </c>
      <c r="V2407">
        <v>0</v>
      </c>
      <c r="W2407">
        <v>0</v>
      </c>
      <c r="X2407">
        <v>1</v>
      </c>
      <c r="Y2407">
        <v>0</v>
      </c>
      <c r="Z2407">
        <v>0</v>
      </c>
      <c r="AB2407">
        <v>0</v>
      </c>
      <c r="AC2407">
        <v>9</v>
      </c>
      <c r="AD2407">
        <v>3</v>
      </c>
      <c r="AE2407">
        <v>0</v>
      </c>
      <c r="AF2407">
        <v>9</v>
      </c>
      <c r="AG2407" t="s">
        <v>158</v>
      </c>
      <c r="AH2407">
        <v>0</v>
      </c>
      <c r="AI2407">
        <v>3</v>
      </c>
      <c r="AJ2407">
        <v>1</v>
      </c>
      <c r="AK2407">
        <v>0</v>
      </c>
      <c r="AL2407" t="s">
        <v>4532</v>
      </c>
      <c r="AM2407">
        <v>46.907609000000001</v>
      </c>
      <c r="AN2407" t="s">
        <v>4533</v>
      </c>
      <c r="AO2407">
        <v>-123.2392</v>
      </c>
      <c r="AP2407">
        <v>100</v>
      </c>
      <c r="AQ2407">
        <v>2000</v>
      </c>
      <c r="AR2407" t="s">
        <v>118</v>
      </c>
      <c r="AS2407">
        <v>-74</v>
      </c>
      <c r="AT2407">
        <v>37</v>
      </c>
      <c r="AU2407">
        <v>128</v>
      </c>
      <c r="BC2407">
        <v>1200</v>
      </c>
      <c r="BD2407">
        <v>1</v>
      </c>
      <c r="BE2407" t="str">
        <f t="shared" si="113"/>
        <v xml:space="preserve">N215T   </v>
      </c>
      <c r="BF2407">
        <v>1</v>
      </c>
      <c r="BH2407">
        <v>0</v>
      </c>
      <c r="BI2407">
        <v>0</v>
      </c>
      <c r="BJ2407">
        <v>0</v>
      </c>
      <c r="BK2407">
        <v>2375</v>
      </c>
      <c r="BL2407">
        <v>375</v>
      </c>
      <c r="BM2407" t="s">
        <v>119</v>
      </c>
      <c r="BN2407">
        <v>1</v>
      </c>
      <c r="BO2407">
        <v>1</v>
      </c>
      <c r="BP2407">
        <v>1</v>
      </c>
      <c r="BQ2407">
        <v>0</v>
      </c>
      <c r="BT2407">
        <v>0</v>
      </c>
      <c r="BU2407">
        <v>0</v>
      </c>
      <c r="BV2407">
        <v>0</v>
      </c>
      <c r="CC2407" t="str">
        <f>"19:14:59.086"</f>
        <v>19:14:59.086</v>
      </c>
      <c r="CD2407" t="str">
        <f>"085704143"</f>
        <v>085704143</v>
      </c>
      <c r="CQ2407">
        <v>0</v>
      </c>
      <c r="CR2407">
        <v>2</v>
      </c>
      <c r="CS2407">
        <v>0</v>
      </c>
      <c r="CT2407">
        <v>2</v>
      </c>
      <c r="CU2407">
        <v>0</v>
      </c>
      <c r="CV2407">
        <v>5</v>
      </c>
      <c r="CW2407" t="s">
        <v>120</v>
      </c>
      <c r="CX2407">
        <v>261</v>
      </c>
      <c r="CY2407">
        <v>2</v>
      </c>
      <c r="CZ2407" t="s">
        <v>121</v>
      </c>
      <c r="DA2407" t="s">
        <v>122</v>
      </c>
      <c r="DD2407">
        <v>15733007</v>
      </c>
      <c r="DE2407" t="s">
        <v>123</v>
      </c>
    </row>
    <row r="2408" spans="1:109" x14ac:dyDescent="0.3">
      <c r="A2408" t="str">
        <f>"19:15:00.359"</f>
        <v>19:15:00.359</v>
      </c>
      <c r="B2408" t="s">
        <v>110</v>
      </c>
      <c r="C2408" t="str">
        <f t="shared" si="111"/>
        <v>ffdfd3c0</v>
      </c>
      <c r="D2408" t="s">
        <v>111</v>
      </c>
      <c r="E2408">
        <v>18</v>
      </c>
      <c r="F2408">
        <v>1018</v>
      </c>
      <c r="G2408" t="s">
        <v>112</v>
      </c>
      <c r="J2408" t="s">
        <v>113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R2408" t="s">
        <v>114</v>
      </c>
      <c r="S2408" t="str">
        <f>"19:15:00.117"</f>
        <v>19:15:00.117</v>
      </c>
      <c r="T2408" t="str">
        <f>"19:15:00.016"</f>
        <v>19:15:00.016</v>
      </c>
      <c r="U2408" t="str">
        <f t="shared" si="112"/>
        <v>a1cdbe</v>
      </c>
      <c r="V2408">
        <v>0</v>
      </c>
      <c r="W2408">
        <v>0</v>
      </c>
      <c r="X2408">
        <v>1</v>
      </c>
      <c r="Y2408">
        <v>0</v>
      </c>
      <c r="Z2408">
        <v>0</v>
      </c>
      <c r="AB2408">
        <v>0</v>
      </c>
      <c r="AC2408">
        <v>9</v>
      </c>
      <c r="AD2408">
        <v>3</v>
      </c>
      <c r="AE2408">
        <v>0</v>
      </c>
      <c r="AF2408">
        <v>9</v>
      </c>
      <c r="AG2408" t="s">
        <v>158</v>
      </c>
      <c r="AH2408">
        <v>0</v>
      </c>
      <c r="AI2408">
        <v>3</v>
      </c>
      <c r="AJ2408">
        <v>1</v>
      </c>
      <c r="AK2408">
        <v>0</v>
      </c>
      <c r="AL2408" t="s">
        <v>4534</v>
      </c>
      <c r="AM2408">
        <v>46.907780000000002</v>
      </c>
      <c r="AN2408" t="s">
        <v>4535</v>
      </c>
      <c r="AO2408">
        <v>-123.23975799999999</v>
      </c>
      <c r="AP2408">
        <v>100</v>
      </c>
      <c r="AQ2408">
        <v>2000</v>
      </c>
      <c r="AR2408" t="s">
        <v>118</v>
      </c>
      <c r="AS2408">
        <v>-74</v>
      </c>
      <c r="AT2408">
        <v>37</v>
      </c>
      <c r="AU2408">
        <v>128</v>
      </c>
      <c r="BC2408">
        <v>1200</v>
      </c>
      <c r="BD2408">
        <v>1</v>
      </c>
      <c r="BE2408" t="str">
        <f t="shared" si="113"/>
        <v xml:space="preserve">N215T   </v>
      </c>
      <c r="BF2408">
        <v>1</v>
      </c>
      <c r="BH2408">
        <v>0</v>
      </c>
      <c r="BI2408">
        <v>0</v>
      </c>
      <c r="BJ2408">
        <v>0</v>
      </c>
      <c r="BK2408">
        <v>2375</v>
      </c>
      <c r="BL2408">
        <v>375</v>
      </c>
      <c r="BM2408" t="s">
        <v>119</v>
      </c>
      <c r="BN2408">
        <v>1</v>
      </c>
      <c r="BO2408">
        <v>1</v>
      </c>
      <c r="BP2408">
        <v>1</v>
      </c>
      <c r="BQ2408">
        <v>0</v>
      </c>
      <c r="BT2408">
        <v>0</v>
      </c>
      <c r="BU2408">
        <v>0</v>
      </c>
      <c r="BV2408">
        <v>0</v>
      </c>
      <c r="CC2408" t="str">
        <f>"19:15:00.117"</f>
        <v>19:15:00.117</v>
      </c>
      <c r="CD2408" t="str">
        <f>"120602188"</f>
        <v>120602188</v>
      </c>
      <c r="CQ2408">
        <v>0</v>
      </c>
      <c r="CR2408">
        <v>2</v>
      </c>
      <c r="CS2408">
        <v>0</v>
      </c>
      <c r="CT2408">
        <v>2</v>
      </c>
      <c r="CU2408">
        <v>0</v>
      </c>
      <c r="CV2408">
        <v>5</v>
      </c>
      <c r="CW2408" t="s">
        <v>120</v>
      </c>
      <c r="CX2408">
        <v>261</v>
      </c>
      <c r="CY2408">
        <v>2</v>
      </c>
      <c r="CZ2408" t="s">
        <v>121</v>
      </c>
      <c r="DA2408" t="s">
        <v>122</v>
      </c>
      <c r="DD2408">
        <v>15733686</v>
      </c>
      <c r="DE2408" t="s">
        <v>123</v>
      </c>
    </row>
    <row r="2409" spans="1:109" x14ac:dyDescent="0.3">
      <c r="A2409" t="str">
        <f>"19:15:01.266"</f>
        <v>19:15:01.266</v>
      </c>
      <c r="B2409" t="s">
        <v>110</v>
      </c>
      <c r="C2409" t="str">
        <f t="shared" si="111"/>
        <v>ffdfd3c0</v>
      </c>
      <c r="D2409" t="s">
        <v>111</v>
      </c>
      <c r="E2409">
        <v>18</v>
      </c>
      <c r="F2409">
        <v>1018</v>
      </c>
      <c r="G2409" t="s">
        <v>112</v>
      </c>
      <c r="J2409" t="s">
        <v>113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R2409" t="s">
        <v>114</v>
      </c>
      <c r="S2409" t="str">
        <f>"19:15:01.063"</f>
        <v>19:15:01.063</v>
      </c>
      <c r="T2409" t="str">
        <f>"19:15:00.563"</f>
        <v>19:15:00.563</v>
      </c>
      <c r="U2409" t="str">
        <f t="shared" si="112"/>
        <v>a1cdbe</v>
      </c>
      <c r="V2409">
        <v>0</v>
      </c>
      <c r="W2409">
        <v>0</v>
      </c>
      <c r="X2409">
        <v>1</v>
      </c>
      <c r="Y2409">
        <v>0</v>
      </c>
      <c r="Z2409">
        <v>0</v>
      </c>
      <c r="AB2409">
        <v>0</v>
      </c>
      <c r="AC2409">
        <v>9</v>
      </c>
      <c r="AD2409">
        <v>3</v>
      </c>
      <c r="AE2409">
        <v>0</v>
      </c>
      <c r="AF2409">
        <v>9</v>
      </c>
      <c r="AG2409" t="s">
        <v>158</v>
      </c>
      <c r="AH2409">
        <v>0</v>
      </c>
      <c r="AI2409">
        <v>3</v>
      </c>
      <c r="AJ2409">
        <v>1</v>
      </c>
      <c r="AK2409">
        <v>0</v>
      </c>
      <c r="AL2409" t="s">
        <v>4536</v>
      </c>
      <c r="AM2409">
        <v>46.907952000000002</v>
      </c>
      <c r="AN2409" t="s">
        <v>4537</v>
      </c>
      <c r="AO2409">
        <v>-123.24018700000001</v>
      </c>
      <c r="AP2409">
        <v>100</v>
      </c>
      <c r="AQ2409">
        <v>2000</v>
      </c>
      <c r="AR2409" t="s">
        <v>118</v>
      </c>
      <c r="AS2409">
        <v>-73</v>
      </c>
      <c r="AT2409">
        <v>37</v>
      </c>
      <c r="AU2409">
        <v>128</v>
      </c>
      <c r="BC2409">
        <v>1200</v>
      </c>
      <c r="BD2409">
        <v>1</v>
      </c>
      <c r="BE2409" t="str">
        <f t="shared" si="113"/>
        <v xml:space="preserve">N215T   </v>
      </c>
      <c r="BF2409">
        <v>1</v>
      </c>
      <c r="BH2409">
        <v>0</v>
      </c>
      <c r="BI2409">
        <v>0</v>
      </c>
      <c r="BJ2409">
        <v>0</v>
      </c>
      <c r="BK2409">
        <v>2400</v>
      </c>
      <c r="BL2409">
        <v>400</v>
      </c>
      <c r="BM2409" t="s">
        <v>119</v>
      </c>
      <c r="BN2409">
        <v>1</v>
      </c>
      <c r="BO2409">
        <v>1</v>
      </c>
      <c r="BP2409">
        <v>1</v>
      </c>
      <c r="BQ2409">
        <v>0</v>
      </c>
      <c r="BT2409">
        <v>0</v>
      </c>
      <c r="BU2409">
        <v>0</v>
      </c>
      <c r="BV2409">
        <v>0</v>
      </c>
      <c r="CC2409" t="str">
        <f>"19:15:01.063"</f>
        <v>19:15:01.063</v>
      </c>
      <c r="CD2409" t="str">
        <f>"065509110"</f>
        <v>065509110</v>
      </c>
      <c r="CQ2409">
        <v>0</v>
      </c>
      <c r="CR2409">
        <v>2</v>
      </c>
      <c r="CS2409">
        <v>0</v>
      </c>
      <c r="CT2409">
        <v>2</v>
      </c>
      <c r="CU2409">
        <v>0</v>
      </c>
      <c r="CV2409">
        <v>5</v>
      </c>
      <c r="CW2409" t="s">
        <v>120</v>
      </c>
      <c r="CX2409">
        <v>261</v>
      </c>
      <c r="CY2409">
        <v>2</v>
      </c>
      <c r="CZ2409" t="s">
        <v>121</v>
      </c>
      <c r="DA2409" t="s">
        <v>122</v>
      </c>
      <c r="DD2409">
        <v>15734301</v>
      </c>
      <c r="DE2409" t="s">
        <v>123</v>
      </c>
    </row>
    <row r="2410" spans="1:109" x14ac:dyDescent="0.3">
      <c r="A2410" t="str">
        <f>"19:15:02.219"</f>
        <v>19:15:02.219</v>
      </c>
      <c r="B2410" t="s">
        <v>110</v>
      </c>
      <c r="C2410" t="str">
        <f t="shared" si="111"/>
        <v>ffdfd3c0</v>
      </c>
      <c r="D2410" t="s">
        <v>111</v>
      </c>
      <c r="E2410">
        <v>18</v>
      </c>
      <c r="F2410">
        <v>1018</v>
      </c>
      <c r="G2410" t="s">
        <v>112</v>
      </c>
      <c r="J2410" t="s">
        <v>113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R2410" t="s">
        <v>114</v>
      </c>
      <c r="S2410" t="str">
        <f>"19:15:02.008"</f>
        <v>19:15:02.008</v>
      </c>
      <c r="T2410" t="str">
        <f>"19:15:01.609"</f>
        <v>19:15:01.609</v>
      </c>
      <c r="U2410" t="str">
        <f t="shared" si="112"/>
        <v>a1cdbe</v>
      </c>
      <c r="V2410">
        <v>0</v>
      </c>
      <c r="W2410">
        <v>0</v>
      </c>
      <c r="X2410">
        <v>1</v>
      </c>
      <c r="Y2410">
        <v>0</v>
      </c>
      <c r="Z2410">
        <v>0</v>
      </c>
      <c r="AB2410">
        <v>0</v>
      </c>
      <c r="AC2410">
        <v>9</v>
      </c>
      <c r="AD2410">
        <v>3</v>
      </c>
      <c r="AE2410">
        <v>0</v>
      </c>
      <c r="AF2410">
        <v>9</v>
      </c>
      <c r="AG2410" t="s">
        <v>158</v>
      </c>
      <c r="AH2410">
        <v>0</v>
      </c>
      <c r="AI2410">
        <v>3</v>
      </c>
      <c r="AJ2410">
        <v>1</v>
      </c>
      <c r="AK2410">
        <v>0</v>
      </c>
      <c r="AL2410" t="s">
        <v>4538</v>
      </c>
      <c r="AM2410">
        <v>46.908144999999998</v>
      </c>
      <c r="AN2410" t="s">
        <v>4539</v>
      </c>
      <c r="AO2410">
        <v>-123.240638</v>
      </c>
      <c r="AP2410">
        <v>100</v>
      </c>
      <c r="AQ2410">
        <v>2000</v>
      </c>
      <c r="AR2410" t="s">
        <v>118</v>
      </c>
      <c r="AS2410">
        <v>-73</v>
      </c>
      <c r="AT2410">
        <v>38</v>
      </c>
      <c r="AU2410">
        <v>128</v>
      </c>
      <c r="BC2410">
        <v>1200</v>
      </c>
      <c r="BD2410">
        <v>1</v>
      </c>
      <c r="BE2410" t="str">
        <f t="shared" si="113"/>
        <v xml:space="preserve">N215T   </v>
      </c>
      <c r="BF2410">
        <v>1</v>
      </c>
      <c r="BH2410">
        <v>0</v>
      </c>
      <c r="BI2410">
        <v>0</v>
      </c>
      <c r="BJ2410">
        <v>0</v>
      </c>
      <c r="BK2410">
        <v>2400</v>
      </c>
      <c r="BL2410">
        <v>400</v>
      </c>
      <c r="BM2410" t="s">
        <v>119</v>
      </c>
      <c r="BN2410">
        <v>1</v>
      </c>
      <c r="BO2410">
        <v>1</v>
      </c>
      <c r="BP2410">
        <v>1</v>
      </c>
      <c r="BQ2410">
        <v>0</v>
      </c>
      <c r="BT2410">
        <v>0</v>
      </c>
      <c r="BU2410">
        <v>0</v>
      </c>
      <c r="BV2410">
        <v>0</v>
      </c>
      <c r="CC2410" t="str">
        <f>"19:15:02.008"</f>
        <v>19:15:02.008</v>
      </c>
      <c r="CD2410" t="str">
        <f>"010399576"</f>
        <v>010399576</v>
      </c>
      <c r="CQ2410">
        <v>0</v>
      </c>
      <c r="CR2410">
        <v>2</v>
      </c>
      <c r="CS2410">
        <v>0</v>
      </c>
      <c r="CT2410">
        <v>2</v>
      </c>
      <c r="CU2410">
        <v>0</v>
      </c>
      <c r="CV2410">
        <v>5</v>
      </c>
      <c r="CW2410" t="s">
        <v>120</v>
      </c>
      <c r="CX2410">
        <v>257</v>
      </c>
      <c r="CY2410">
        <v>0</v>
      </c>
      <c r="CZ2410" t="s">
        <v>615</v>
      </c>
      <c r="DA2410" t="s">
        <v>616</v>
      </c>
      <c r="DD2410">
        <v>15892248</v>
      </c>
      <c r="DE2410" t="s">
        <v>123</v>
      </c>
    </row>
    <row r="2411" spans="1:109" x14ac:dyDescent="0.3">
      <c r="A2411" t="str">
        <f>"19:15:03.281"</f>
        <v>19:15:03.281</v>
      </c>
      <c r="B2411" t="s">
        <v>110</v>
      </c>
      <c r="C2411" t="str">
        <f t="shared" si="111"/>
        <v>ffdfd3c0</v>
      </c>
      <c r="D2411" t="s">
        <v>111</v>
      </c>
      <c r="E2411">
        <v>18</v>
      </c>
      <c r="F2411">
        <v>1018</v>
      </c>
      <c r="G2411" t="s">
        <v>112</v>
      </c>
      <c r="J2411" t="s">
        <v>113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R2411" t="s">
        <v>114</v>
      </c>
      <c r="S2411" t="str">
        <f>"19:15:03.023"</f>
        <v>19:15:03.023</v>
      </c>
      <c r="T2411" t="str">
        <f>"19:15:02.625"</f>
        <v>19:15:02.625</v>
      </c>
      <c r="U2411" t="str">
        <f t="shared" si="112"/>
        <v>a1cdbe</v>
      </c>
      <c r="V2411">
        <v>0</v>
      </c>
      <c r="W2411">
        <v>0</v>
      </c>
      <c r="X2411">
        <v>1</v>
      </c>
      <c r="Y2411">
        <v>0</v>
      </c>
      <c r="Z2411">
        <v>0</v>
      </c>
      <c r="AB2411">
        <v>0</v>
      </c>
      <c r="AC2411">
        <v>9</v>
      </c>
      <c r="AD2411">
        <v>3</v>
      </c>
      <c r="AE2411">
        <v>0</v>
      </c>
      <c r="AF2411">
        <v>9</v>
      </c>
      <c r="AG2411" t="s">
        <v>158</v>
      </c>
      <c r="AH2411">
        <v>0</v>
      </c>
      <c r="AI2411">
        <v>3</v>
      </c>
      <c r="AJ2411">
        <v>1</v>
      </c>
      <c r="AK2411">
        <v>0</v>
      </c>
      <c r="AL2411" t="s">
        <v>4540</v>
      </c>
      <c r="AM2411">
        <v>46.908316999999997</v>
      </c>
      <c r="AN2411" t="s">
        <v>4541</v>
      </c>
      <c r="AO2411">
        <v>-123.241174</v>
      </c>
      <c r="AP2411">
        <v>100</v>
      </c>
      <c r="AQ2411">
        <v>2000</v>
      </c>
      <c r="AR2411" t="s">
        <v>118</v>
      </c>
      <c r="AS2411">
        <v>-71</v>
      </c>
      <c r="AT2411">
        <v>40</v>
      </c>
      <c r="AU2411">
        <v>128</v>
      </c>
      <c r="BC2411">
        <v>1200</v>
      </c>
      <c r="BD2411">
        <v>1</v>
      </c>
      <c r="BE2411" t="str">
        <f t="shared" si="113"/>
        <v xml:space="preserve">N215T   </v>
      </c>
      <c r="BF2411">
        <v>1</v>
      </c>
      <c r="BH2411">
        <v>0</v>
      </c>
      <c r="BI2411">
        <v>0</v>
      </c>
      <c r="BJ2411">
        <v>0</v>
      </c>
      <c r="BK2411">
        <v>2400</v>
      </c>
      <c r="BL2411">
        <v>400</v>
      </c>
      <c r="BM2411" t="s">
        <v>119</v>
      </c>
      <c r="BN2411">
        <v>1</v>
      </c>
      <c r="BO2411">
        <v>1</v>
      </c>
      <c r="BP2411">
        <v>1</v>
      </c>
      <c r="BQ2411">
        <v>0</v>
      </c>
      <c r="BT2411">
        <v>0</v>
      </c>
      <c r="BU2411">
        <v>0</v>
      </c>
      <c r="BV2411">
        <v>0</v>
      </c>
      <c r="CC2411" t="str">
        <f>"19:15:03.031"</f>
        <v>19:15:03.031</v>
      </c>
      <c r="CD2411" t="str">
        <f>"030315561"</f>
        <v>030315561</v>
      </c>
      <c r="CQ2411">
        <v>0</v>
      </c>
      <c r="CR2411">
        <v>2</v>
      </c>
      <c r="CS2411">
        <v>0</v>
      </c>
      <c r="CT2411">
        <v>2</v>
      </c>
      <c r="CU2411">
        <v>0</v>
      </c>
      <c r="CV2411">
        <v>6</v>
      </c>
      <c r="CW2411" t="s">
        <v>120</v>
      </c>
      <c r="CX2411">
        <v>261</v>
      </c>
      <c r="CY2411">
        <v>2</v>
      </c>
      <c r="CZ2411" t="s">
        <v>121</v>
      </c>
      <c r="DA2411" t="s">
        <v>122</v>
      </c>
      <c r="DD2411">
        <v>15735579</v>
      </c>
      <c r="DE2411" t="s">
        <v>123</v>
      </c>
    </row>
    <row r="2412" spans="1:109" x14ac:dyDescent="0.3">
      <c r="A2412" t="str">
        <f>"19:15:04.383"</f>
        <v>19:15:04.383</v>
      </c>
      <c r="B2412" t="s">
        <v>110</v>
      </c>
      <c r="C2412" t="str">
        <f t="shared" si="111"/>
        <v>ffdfd3c0</v>
      </c>
      <c r="D2412" t="s">
        <v>111</v>
      </c>
      <c r="E2412">
        <v>18</v>
      </c>
      <c r="F2412">
        <v>1018</v>
      </c>
      <c r="G2412" t="s">
        <v>112</v>
      </c>
      <c r="J2412" t="s">
        <v>113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R2412" t="s">
        <v>114</v>
      </c>
      <c r="S2412" t="str">
        <f>"19:15:04.148"</f>
        <v>19:15:04.148</v>
      </c>
      <c r="T2412" t="str">
        <f>"19:15:03.750"</f>
        <v>19:15:03.750</v>
      </c>
      <c r="U2412" t="str">
        <f t="shared" si="112"/>
        <v>a1cdbe</v>
      </c>
      <c r="V2412">
        <v>0</v>
      </c>
      <c r="W2412">
        <v>0</v>
      </c>
      <c r="X2412">
        <v>1</v>
      </c>
      <c r="Y2412">
        <v>0</v>
      </c>
      <c r="Z2412">
        <v>0</v>
      </c>
      <c r="AB2412">
        <v>0</v>
      </c>
      <c r="AC2412">
        <v>9</v>
      </c>
      <c r="AD2412">
        <v>3</v>
      </c>
      <c r="AE2412">
        <v>0</v>
      </c>
      <c r="AF2412">
        <v>9</v>
      </c>
      <c r="AG2412" t="s">
        <v>158</v>
      </c>
      <c r="AH2412">
        <v>0</v>
      </c>
      <c r="AI2412">
        <v>3</v>
      </c>
      <c r="AJ2412">
        <v>1</v>
      </c>
      <c r="AK2412">
        <v>0</v>
      </c>
      <c r="AL2412" t="s">
        <v>4542</v>
      </c>
      <c r="AM2412">
        <v>46.90851</v>
      </c>
      <c r="AN2412" t="s">
        <v>4543</v>
      </c>
      <c r="AO2412">
        <v>-123.241668</v>
      </c>
      <c r="AP2412">
        <v>100</v>
      </c>
      <c r="AQ2412">
        <v>2000</v>
      </c>
      <c r="AR2412" t="s">
        <v>118</v>
      </c>
      <c r="AS2412">
        <v>-71</v>
      </c>
      <c r="AT2412">
        <v>41</v>
      </c>
      <c r="AU2412">
        <v>128</v>
      </c>
      <c r="BC2412">
        <v>1200</v>
      </c>
      <c r="BD2412">
        <v>1</v>
      </c>
      <c r="BE2412" t="str">
        <f t="shared" si="113"/>
        <v xml:space="preserve">N215T   </v>
      </c>
      <c r="BF2412">
        <v>1</v>
      </c>
      <c r="BH2412">
        <v>0</v>
      </c>
      <c r="BI2412">
        <v>0</v>
      </c>
      <c r="BJ2412">
        <v>0</v>
      </c>
      <c r="BK2412">
        <v>2400</v>
      </c>
      <c r="BL2412">
        <v>400</v>
      </c>
      <c r="BM2412" t="s">
        <v>119</v>
      </c>
      <c r="BN2412">
        <v>1</v>
      </c>
      <c r="BO2412">
        <v>1</v>
      </c>
      <c r="BP2412">
        <v>1</v>
      </c>
      <c r="BQ2412">
        <v>0</v>
      </c>
      <c r="BT2412">
        <v>0</v>
      </c>
      <c r="BU2412">
        <v>0</v>
      </c>
      <c r="BV2412">
        <v>0</v>
      </c>
      <c r="CC2412" t="str">
        <f>"19:15:04.156"</f>
        <v>19:15:04.156</v>
      </c>
      <c r="CD2412" t="str">
        <f>"155188226"</f>
        <v>155188226</v>
      </c>
      <c r="CQ2412">
        <v>0</v>
      </c>
      <c r="CR2412">
        <v>2</v>
      </c>
      <c r="CS2412">
        <v>0</v>
      </c>
      <c r="CT2412">
        <v>2</v>
      </c>
      <c r="CU2412">
        <v>0</v>
      </c>
      <c r="CV2412">
        <v>5</v>
      </c>
      <c r="CW2412" t="s">
        <v>120</v>
      </c>
      <c r="CX2412">
        <v>257</v>
      </c>
      <c r="CY2412">
        <v>0</v>
      </c>
      <c r="CZ2412" t="s">
        <v>615</v>
      </c>
      <c r="DA2412" t="s">
        <v>616</v>
      </c>
      <c r="DD2412">
        <v>15893386</v>
      </c>
      <c r="DE2412" t="s">
        <v>123</v>
      </c>
    </row>
    <row r="2413" spans="1:109" x14ac:dyDescent="0.3">
      <c r="A2413" t="str">
        <f>"19:15:05.391"</f>
        <v>19:15:05.391</v>
      </c>
      <c r="B2413" t="s">
        <v>110</v>
      </c>
      <c r="C2413" t="str">
        <f t="shared" si="111"/>
        <v>ffdfd3c0</v>
      </c>
      <c r="D2413" t="s">
        <v>111</v>
      </c>
      <c r="E2413">
        <v>18</v>
      </c>
      <c r="F2413">
        <v>1018</v>
      </c>
      <c r="G2413" t="s">
        <v>112</v>
      </c>
      <c r="J2413" t="s">
        <v>113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R2413" t="s">
        <v>114</v>
      </c>
      <c r="S2413" t="str">
        <f>"19:15:05.172"</f>
        <v>19:15:05.172</v>
      </c>
      <c r="T2413" t="str">
        <f>"19:15:05.070"</f>
        <v>19:15:05.070</v>
      </c>
      <c r="U2413" t="str">
        <f t="shared" si="112"/>
        <v>a1cdbe</v>
      </c>
      <c r="V2413">
        <v>0</v>
      </c>
      <c r="W2413">
        <v>0</v>
      </c>
      <c r="X2413">
        <v>1</v>
      </c>
      <c r="Y2413">
        <v>0</v>
      </c>
      <c r="Z2413">
        <v>0</v>
      </c>
      <c r="AB2413">
        <v>0</v>
      </c>
      <c r="AC2413">
        <v>9</v>
      </c>
      <c r="AD2413">
        <v>3</v>
      </c>
      <c r="AE2413">
        <v>0</v>
      </c>
      <c r="AF2413">
        <v>9</v>
      </c>
      <c r="AG2413" t="s">
        <v>158</v>
      </c>
      <c r="AH2413">
        <v>0</v>
      </c>
      <c r="AI2413">
        <v>3</v>
      </c>
      <c r="AJ2413">
        <v>1</v>
      </c>
      <c r="AK2413">
        <v>0</v>
      </c>
      <c r="AL2413" t="s">
        <v>4544</v>
      </c>
      <c r="AM2413">
        <v>46.908681000000001</v>
      </c>
      <c r="AN2413" t="s">
        <v>4545</v>
      </c>
      <c r="AO2413">
        <v>-123.242161</v>
      </c>
      <c r="AP2413">
        <v>100</v>
      </c>
      <c r="AQ2413">
        <v>2000</v>
      </c>
      <c r="AR2413" t="s">
        <v>118</v>
      </c>
      <c r="AS2413">
        <v>-69</v>
      </c>
      <c r="AT2413">
        <v>42</v>
      </c>
      <c r="AU2413">
        <v>0</v>
      </c>
      <c r="BC2413">
        <v>1200</v>
      </c>
      <c r="BD2413">
        <v>1</v>
      </c>
      <c r="BE2413" t="str">
        <f t="shared" si="113"/>
        <v xml:space="preserve">N215T   </v>
      </c>
      <c r="BF2413">
        <v>1</v>
      </c>
      <c r="BH2413">
        <v>0</v>
      </c>
      <c r="BI2413">
        <v>0</v>
      </c>
      <c r="BJ2413">
        <v>0</v>
      </c>
      <c r="BK2413">
        <v>2400</v>
      </c>
      <c r="BL2413">
        <v>400</v>
      </c>
      <c r="BM2413" t="s">
        <v>119</v>
      </c>
      <c r="BN2413">
        <v>1</v>
      </c>
      <c r="BO2413">
        <v>1</v>
      </c>
      <c r="BP2413">
        <v>1</v>
      </c>
      <c r="BQ2413">
        <v>0</v>
      </c>
      <c r="BT2413">
        <v>0</v>
      </c>
      <c r="BU2413">
        <v>0</v>
      </c>
      <c r="BV2413">
        <v>0</v>
      </c>
      <c r="CC2413" t="str">
        <f>"19:15:05.172"</f>
        <v>19:15:05.172</v>
      </c>
      <c r="CD2413" t="str">
        <f>"175104236"</f>
        <v>175104236</v>
      </c>
      <c r="CQ2413">
        <v>0</v>
      </c>
      <c r="CR2413">
        <v>2</v>
      </c>
      <c r="CS2413">
        <v>0</v>
      </c>
      <c r="CT2413">
        <v>2</v>
      </c>
      <c r="CU2413">
        <v>0</v>
      </c>
      <c r="CV2413">
        <v>5</v>
      </c>
      <c r="CW2413" t="s">
        <v>120</v>
      </c>
      <c r="CX2413">
        <v>261</v>
      </c>
      <c r="CY2413">
        <v>2</v>
      </c>
      <c r="CZ2413" t="s">
        <v>121</v>
      </c>
      <c r="DA2413" t="s">
        <v>122</v>
      </c>
      <c r="DD2413">
        <v>15736996</v>
      </c>
      <c r="DE2413" t="s">
        <v>123</v>
      </c>
    </row>
    <row r="2414" spans="1:109" x14ac:dyDescent="0.3">
      <c r="A2414" t="str">
        <f>"19:15:06.547"</f>
        <v>19:15:06.547</v>
      </c>
      <c r="B2414" t="s">
        <v>110</v>
      </c>
      <c r="C2414" t="str">
        <f t="shared" si="111"/>
        <v>ffdfd3c0</v>
      </c>
      <c r="D2414" t="s">
        <v>111</v>
      </c>
      <c r="E2414">
        <v>18</v>
      </c>
      <c r="F2414">
        <v>1018</v>
      </c>
      <c r="G2414" t="s">
        <v>112</v>
      </c>
      <c r="J2414" t="s">
        <v>113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R2414" t="s">
        <v>114</v>
      </c>
      <c r="S2414" t="str">
        <f>"19:15:06.344"</f>
        <v>19:15:06.344</v>
      </c>
      <c r="T2414" t="str">
        <f>"19:15:06.047"</f>
        <v>19:15:06.047</v>
      </c>
      <c r="U2414" t="str">
        <f t="shared" si="112"/>
        <v>a1cdbe</v>
      </c>
      <c r="V2414">
        <v>0</v>
      </c>
      <c r="W2414">
        <v>0</v>
      </c>
      <c r="X2414">
        <v>1</v>
      </c>
      <c r="Y2414">
        <v>0</v>
      </c>
      <c r="Z2414">
        <v>0</v>
      </c>
      <c r="AB2414">
        <v>0</v>
      </c>
      <c r="AC2414">
        <v>9</v>
      </c>
      <c r="AD2414">
        <v>3</v>
      </c>
      <c r="AE2414">
        <v>0</v>
      </c>
      <c r="AF2414">
        <v>9</v>
      </c>
      <c r="AG2414" t="s">
        <v>158</v>
      </c>
      <c r="AH2414">
        <v>0</v>
      </c>
      <c r="AI2414">
        <v>3</v>
      </c>
      <c r="AJ2414">
        <v>1</v>
      </c>
      <c r="AK2414">
        <v>0</v>
      </c>
      <c r="AL2414" t="s">
        <v>4546</v>
      </c>
      <c r="AM2414">
        <v>46.908917000000002</v>
      </c>
      <c r="AN2414" t="s">
        <v>4547</v>
      </c>
      <c r="AO2414">
        <v>-123.24271899999999</v>
      </c>
      <c r="AP2414">
        <v>100</v>
      </c>
      <c r="AQ2414">
        <v>2000</v>
      </c>
      <c r="AR2414" t="s">
        <v>118</v>
      </c>
      <c r="AS2414">
        <v>-68</v>
      </c>
      <c r="AT2414">
        <v>43</v>
      </c>
      <c r="AU2414">
        <v>128</v>
      </c>
      <c r="BC2414">
        <v>1200</v>
      </c>
      <c r="BD2414">
        <v>1</v>
      </c>
      <c r="BE2414" t="str">
        <f t="shared" si="113"/>
        <v xml:space="preserve">N215T   </v>
      </c>
      <c r="BF2414">
        <v>1</v>
      </c>
      <c r="BH2414">
        <v>0</v>
      </c>
      <c r="BI2414">
        <v>0</v>
      </c>
      <c r="BJ2414">
        <v>0</v>
      </c>
      <c r="BK2414">
        <v>2400</v>
      </c>
      <c r="BL2414">
        <v>400</v>
      </c>
      <c r="BM2414" t="s">
        <v>119</v>
      </c>
      <c r="BN2414">
        <v>1</v>
      </c>
      <c r="BO2414">
        <v>1</v>
      </c>
      <c r="BP2414">
        <v>1</v>
      </c>
      <c r="BQ2414">
        <v>0</v>
      </c>
      <c r="BT2414">
        <v>0</v>
      </c>
      <c r="BU2414">
        <v>0</v>
      </c>
      <c r="BV2414">
        <v>0</v>
      </c>
      <c r="CC2414" t="str">
        <f>"19:15:06.344"</f>
        <v>19:15:06.344</v>
      </c>
      <c r="CD2414" t="str">
        <f>"344988961"</f>
        <v>344988961</v>
      </c>
      <c r="CQ2414">
        <v>0</v>
      </c>
      <c r="CR2414">
        <v>2</v>
      </c>
      <c r="CS2414">
        <v>0</v>
      </c>
      <c r="CT2414">
        <v>2</v>
      </c>
      <c r="CU2414">
        <v>0</v>
      </c>
      <c r="CV2414">
        <v>6</v>
      </c>
      <c r="CW2414" t="s">
        <v>120</v>
      </c>
      <c r="CX2414">
        <v>261</v>
      </c>
      <c r="CY2414">
        <v>2</v>
      </c>
      <c r="CZ2414" t="s">
        <v>121</v>
      </c>
      <c r="DA2414" t="s">
        <v>122</v>
      </c>
      <c r="DD2414">
        <v>15737783</v>
      </c>
      <c r="DE2414" t="s">
        <v>123</v>
      </c>
    </row>
    <row r="2415" spans="1:109" x14ac:dyDescent="0.3">
      <c r="A2415" t="str">
        <f>"19:15:07.555"</f>
        <v>19:15:07.555</v>
      </c>
      <c r="B2415" t="s">
        <v>110</v>
      </c>
      <c r="C2415" t="str">
        <f t="shared" si="111"/>
        <v>ffdfd3c0</v>
      </c>
      <c r="D2415" t="s">
        <v>111</v>
      </c>
      <c r="E2415">
        <v>18</v>
      </c>
      <c r="F2415">
        <v>1018</v>
      </c>
      <c r="G2415" t="s">
        <v>112</v>
      </c>
      <c r="J2415" t="s">
        <v>113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R2415" t="s">
        <v>114</v>
      </c>
      <c r="S2415" t="str">
        <f>"19:15:07.289"</f>
        <v>19:15:07.289</v>
      </c>
      <c r="T2415" t="str">
        <f>"19:15:07.086"</f>
        <v>19:15:07.086</v>
      </c>
      <c r="U2415" t="str">
        <f t="shared" si="112"/>
        <v>a1cdbe</v>
      </c>
      <c r="V2415">
        <v>0</v>
      </c>
      <c r="W2415">
        <v>0</v>
      </c>
      <c r="X2415">
        <v>1</v>
      </c>
      <c r="Y2415">
        <v>0</v>
      </c>
      <c r="Z2415">
        <v>0</v>
      </c>
      <c r="AB2415">
        <v>0</v>
      </c>
      <c r="AC2415">
        <v>9</v>
      </c>
      <c r="AD2415">
        <v>3</v>
      </c>
      <c r="AE2415">
        <v>0</v>
      </c>
      <c r="AF2415">
        <v>9</v>
      </c>
      <c r="AG2415" t="s">
        <v>158</v>
      </c>
      <c r="AH2415">
        <v>0</v>
      </c>
      <c r="AI2415">
        <v>3</v>
      </c>
      <c r="AJ2415">
        <v>1</v>
      </c>
      <c r="AK2415">
        <v>0</v>
      </c>
      <c r="AL2415" t="s">
        <v>4548</v>
      </c>
      <c r="AM2415">
        <v>46.909153000000003</v>
      </c>
      <c r="AN2415" t="s">
        <v>4549</v>
      </c>
      <c r="AO2415">
        <v>-123.243127</v>
      </c>
      <c r="AP2415">
        <v>100</v>
      </c>
      <c r="AQ2415">
        <v>2000</v>
      </c>
      <c r="AR2415" t="s">
        <v>118</v>
      </c>
      <c r="AS2415">
        <v>-66</v>
      </c>
      <c r="AT2415">
        <v>44</v>
      </c>
      <c r="AU2415">
        <v>192</v>
      </c>
      <c r="BC2415">
        <v>1200</v>
      </c>
      <c r="BD2415">
        <v>1</v>
      </c>
      <c r="BE2415" t="str">
        <f t="shared" si="113"/>
        <v xml:space="preserve">N215T   </v>
      </c>
      <c r="BF2415">
        <v>1</v>
      </c>
      <c r="BH2415">
        <v>0</v>
      </c>
      <c r="BI2415">
        <v>0</v>
      </c>
      <c r="BJ2415">
        <v>0</v>
      </c>
      <c r="BK2415">
        <v>2400</v>
      </c>
      <c r="BL2415">
        <v>400</v>
      </c>
      <c r="BM2415" t="s">
        <v>119</v>
      </c>
      <c r="BN2415">
        <v>1</v>
      </c>
      <c r="BO2415">
        <v>1</v>
      </c>
      <c r="BP2415">
        <v>1</v>
      </c>
      <c r="BQ2415">
        <v>0</v>
      </c>
      <c r="BT2415">
        <v>0</v>
      </c>
      <c r="BU2415">
        <v>0</v>
      </c>
      <c r="BV2415">
        <v>0</v>
      </c>
      <c r="CC2415" t="str">
        <f>"19:15:07.289"</f>
        <v>19:15:07.289</v>
      </c>
      <c r="CD2415" t="str">
        <f>"289895855"</f>
        <v>289895855</v>
      </c>
      <c r="CQ2415">
        <v>0</v>
      </c>
      <c r="CR2415">
        <v>2</v>
      </c>
      <c r="CS2415">
        <v>0</v>
      </c>
      <c r="CT2415">
        <v>2</v>
      </c>
      <c r="CU2415">
        <v>0</v>
      </c>
      <c r="CV2415">
        <v>6</v>
      </c>
      <c r="CW2415" t="s">
        <v>120</v>
      </c>
      <c r="CX2415">
        <v>261</v>
      </c>
      <c r="CY2415">
        <v>2</v>
      </c>
      <c r="CZ2415" t="s">
        <v>121</v>
      </c>
      <c r="DA2415" t="s">
        <v>122</v>
      </c>
      <c r="DD2415">
        <v>15738378</v>
      </c>
      <c r="DE2415" t="s">
        <v>123</v>
      </c>
    </row>
    <row r="2416" spans="1:109" x14ac:dyDescent="0.3">
      <c r="A2416" t="str">
        <f>"19:15:08.555"</f>
        <v>19:15:08.555</v>
      </c>
      <c r="B2416" t="s">
        <v>110</v>
      </c>
      <c r="C2416" t="str">
        <f t="shared" si="111"/>
        <v>ffdfd3c0</v>
      </c>
      <c r="D2416" t="s">
        <v>111</v>
      </c>
      <c r="E2416">
        <v>18</v>
      </c>
      <c r="F2416">
        <v>1018</v>
      </c>
      <c r="G2416" t="s">
        <v>112</v>
      </c>
      <c r="J2416" t="s">
        <v>113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R2416" t="s">
        <v>114</v>
      </c>
      <c r="S2416" t="str">
        <f>"19:15:08.305"</f>
        <v>19:15:08.305</v>
      </c>
      <c r="T2416" t="str">
        <f>"19:15:08.203"</f>
        <v>19:15:08.203</v>
      </c>
      <c r="U2416" t="str">
        <f t="shared" si="112"/>
        <v>a1cdbe</v>
      </c>
      <c r="V2416">
        <v>0</v>
      </c>
      <c r="W2416">
        <v>0</v>
      </c>
      <c r="X2416">
        <v>1</v>
      </c>
      <c r="Y2416">
        <v>0</v>
      </c>
      <c r="Z2416">
        <v>0</v>
      </c>
      <c r="AB2416">
        <v>0</v>
      </c>
      <c r="AC2416">
        <v>9</v>
      </c>
      <c r="AD2416">
        <v>3</v>
      </c>
      <c r="AE2416">
        <v>0</v>
      </c>
      <c r="AF2416">
        <v>9</v>
      </c>
      <c r="AG2416" t="s">
        <v>158</v>
      </c>
      <c r="AH2416">
        <v>0</v>
      </c>
      <c r="AI2416">
        <v>3</v>
      </c>
      <c r="AJ2416">
        <v>1</v>
      </c>
      <c r="AK2416">
        <v>0</v>
      </c>
      <c r="AL2416" t="s">
        <v>4550</v>
      </c>
      <c r="AM2416">
        <v>46.909346999999997</v>
      </c>
      <c r="AN2416" t="s">
        <v>4551</v>
      </c>
      <c r="AO2416">
        <v>-123.243577</v>
      </c>
      <c r="AP2416">
        <v>100</v>
      </c>
      <c r="AQ2416">
        <v>2000</v>
      </c>
      <c r="AR2416" t="s">
        <v>118</v>
      </c>
      <c r="AS2416">
        <v>-65</v>
      </c>
      <c r="AT2416">
        <v>45</v>
      </c>
      <c r="AU2416">
        <v>0</v>
      </c>
      <c r="BC2416">
        <v>1200</v>
      </c>
      <c r="BD2416">
        <v>1</v>
      </c>
      <c r="BE2416" t="str">
        <f t="shared" si="113"/>
        <v xml:space="preserve">N215T   </v>
      </c>
      <c r="BF2416">
        <v>1</v>
      </c>
      <c r="BH2416">
        <v>0</v>
      </c>
      <c r="BI2416">
        <v>0</v>
      </c>
      <c r="BJ2416">
        <v>0</v>
      </c>
      <c r="BK2416">
        <v>2400</v>
      </c>
      <c r="BL2416">
        <v>400</v>
      </c>
      <c r="BM2416" t="s">
        <v>119</v>
      </c>
      <c r="BN2416">
        <v>1</v>
      </c>
      <c r="BO2416">
        <v>1</v>
      </c>
      <c r="BP2416">
        <v>1</v>
      </c>
      <c r="BQ2416">
        <v>0</v>
      </c>
      <c r="BT2416">
        <v>0</v>
      </c>
      <c r="BU2416">
        <v>0</v>
      </c>
      <c r="BV2416">
        <v>0</v>
      </c>
      <c r="CC2416" t="str">
        <f>"19:15:08.313"</f>
        <v>19:15:08.313</v>
      </c>
      <c r="CD2416" t="str">
        <f>"309795374"</f>
        <v>309795374</v>
      </c>
      <c r="CQ2416">
        <v>0</v>
      </c>
      <c r="CR2416">
        <v>2</v>
      </c>
      <c r="CS2416">
        <v>0</v>
      </c>
      <c r="CT2416">
        <v>2</v>
      </c>
      <c r="CU2416">
        <v>0</v>
      </c>
      <c r="CV2416">
        <v>6</v>
      </c>
      <c r="CW2416" t="s">
        <v>120</v>
      </c>
      <c r="CX2416">
        <v>261</v>
      </c>
      <c r="CY2416">
        <v>2</v>
      </c>
      <c r="CZ2416" t="s">
        <v>121</v>
      </c>
      <c r="DA2416" t="s">
        <v>122</v>
      </c>
      <c r="DD2416">
        <v>15739075</v>
      </c>
      <c r="DE2416" t="s">
        <v>123</v>
      </c>
    </row>
    <row r="2417" spans="1:109" x14ac:dyDescent="0.3">
      <c r="A2417" t="str">
        <f>"19:15:09.516"</f>
        <v>19:15:09.516</v>
      </c>
      <c r="B2417" t="s">
        <v>110</v>
      </c>
      <c r="C2417" t="str">
        <f t="shared" si="111"/>
        <v>ffdfd3c0</v>
      </c>
      <c r="D2417" t="s">
        <v>111</v>
      </c>
      <c r="E2417">
        <v>18</v>
      </c>
      <c r="F2417">
        <v>1018</v>
      </c>
      <c r="G2417" t="s">
        <v>112</v>
      </c>
      <c r="J2417" t="s">
        <v>113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R2417" t="s">
        <v>114</v>
      </c>
      <c r="S2417" t="str">
        <f>"19:15:09.281"</f>
        <v>19:15:09.281</v>
      </c>
      <c r="T2417" t="str">
        <f>"19:15:09.180"</f>
        <v>19:15:09.180</v>
      </c>
      <c r="U2417" t="str">
        <f t="shared" si="112"/>
        <v>a1cdbe</v>
      </c>
      <c r="V2417">
        <v>0</v>
      </c>
      <c r="W2417">
        <v>0</v>
      </c>
      <c r="X2417">
        <v>1</v>
      </c>
      <c r="Y2417">
        <v>0</v>
      </c>
      <c r="Z2417">
        <v>0</v>
      </c>
      <c r="AB2417">
        <v>0</v>
      </c>
      <c r="AC2417">
        <v>9</v>
      </c>
      <c r="AD2417">
        <v>3</v>
      </c>
      <c r="AE2417">
        <v>0</v>
      </c>
      <c r="AF2417">
        <v>9</v>
      </c>
      <c r="AG2417" t="s">
        <v>158</v>
      </c>
      <c r="AH2417">
        <v>0</v>
      </c>
      <c r="AI2417">
        <v>3</v>
      </c>
      <c r="AJ2417">
        <v>1</v>
      </c>
      <c r="AK2417">
        <v>0</v>
      </c>
      <c r="AL2417" t="s">
        <v>4552</v>
      </c>
      <c r="AM2417">
        <v>46.909560999999997</v>
      </c>
      <c r="AN2417" t="s">
        <v>4553</v>
      </c>
      <c r="AO2417">
        <v>-123.244007</v>
      </c>
      <c r="AP2417">
        <v>100</v>
      </c>
      <c r="AQ2417">
        <v>2000</v>
      </c>
      <c r="AR2417" t="s">
        <v>118</v>
      </c>
      <c r="AS2417">
        <v>-64</v>
      </c>
      <c r="AT2417">
        <v>45</v>
      </c>
      <c r="AU2417">
        <v>0</v>
      </c>
      <c r="BC2417">
        <v>1200</v>
      </c>
      <c r="BD2417">
        <v>1</v>
      </c>
      <c r="BE2417" t="str">
        <f t="shared" si="113"/>
        <v xml:space="preserve">N215T   </v>
      </c>
      <c r="BF2417">
        <v>1</v>
      </c>
      <c r="BH2417">
        <v>0</v>
      </c>
      <c r="BI2417">
        <v>0</v>
      </c>
      <c r="BJ2417">
        <v>0</v>
      </c>
      <c r="BK2417">
        <v>2400</v>
      </c>
      <c r="BL2417">
        <v>400</v>
      </c>
      <c r="BM2417" t="s">
        <v>119</v>
      </c>
      <c r="BN2417">
        <v>1</v>
      </c>
      <c r="BO2417">
        <v>1</v>
      </c>
      <c r="BP2417">
        <v>1</v>
      </c>
      <c r="BQ2417">
        <v>0</v>
      </c>
      <c r="BT2417">
        <v>0</v>
      </c>
      <c r="BU2417">
        <v>0</v>
      </c>
      <c r="BV2417">
        <v>0</v>
      </c>
      <c r="CC2417" t="str">
        <f>"19:15:09.281"</f>
        <v>19:15:09.281</v>
      </c>
      <c r="CD2417" t="str">
        <f>"284699317"</f>
        <v>284699317</v>
      </c>
      <c r="CQ2417">
        <v>0</v>
      </c>
      <c r="CR2417">
        <v>2</v>
      </c>
      <c r="CS2417">
        <v>0</v>
      </c>
      <c r="CT2417">
        <v>2</v>
      </c>
      <c r="CU2417">
        <v>0</v>
      </c>
      <c r="CV2417">
        <v>6</v>
      </c>
      <c r="CW2417" t="s">
        <v>120</v>
      </c>
      <c r="CX2417">
        <v>261</v>
      </c>
      <c r="CY2417">
        <v>2</v>
      </c>
      <c r="CZ2417" t="s">
        <v>121</v>
      </c>
      <c r="DA2417" t="s">
        <v>122</v>
      </c>
      <c r="DD2417">
        <v>15739707</v>
      </c>
      <c r="DE2417" t="s">
        <v>123</v>
      </c>
    </row>
    <row r="2418" spans="1:109" x14ac:dyDescent="0.3">
      <c r="A2418" t="str">
        <f>"19:15:10.523"</f>
        <v>19:15:10.523</v>
      </c>
      <c r="B2418" t="s">
        <v>110</v>
      </c>
      <c r="C2418" t="str">
        <f t="shared" si="111"/>
        <v>ffdfd3c0</v>
      </c>
      <c r="D2418" t="s">
        <v>111</v>
      </c>
      <c r="E2418">
        <v>18</v>
      </c>
      <c r="F2418">
        <v>1018</v>
      </c>
      <c r="G2418" t="s">
        <v>112</v>
      </c>
      <c r="J2418" t="s">
        <v>113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R2418" t="s">
        <v>114</v>
      </c>
      <c r="S2418" t="str">
        <f>"19:15:10.273"</f>
        <v>19:15:10.273</v>
      </c>
      <c r="T2418" t="str">
        <f>"19:15:10.070"</f>
        <v>19:15:10.070</v>
      </c>
      <c r="U2418" t="str">
        <f t="shared" si="112"/>
        <v>a1cdbe</v>
      </c>
      <c r="V2418">
        <v>0</v>
      </c>
      <c r="W2418">
        <v>0</v>
      </c>
      <c r="X2418">
        <v>1</v>
      </c>
      <c r="Y2418">
        <v>0</v>
      </c>
      <c r="Z2418">
        <v>0</v>
      </c>
      <c r="AB2418">
        <v>0</v>
      </c>
      <c r="AC2418">
        <v>9</v>
      </c>
      <c r="AD2418">
        <v>3</v>
      </c>
      <c r="AE2418">
        <v>0</v>
      </c>
      <c r="AF2418">
        <v>9</v>
      </c>
      <c r="AG2418" t="s">
        <v>158</v>
      </c>
      <c r="AH2418">
        <v>0</v>
      </c>
      <c r="AI2418">
        <v>3</v>
      </c>
      <c r="AJ2418">
        <v>1</v>
      </c>
      <c r="AK2418">
        <v>0</v>
      </c>
      <c r="AL2418" t="s">
        <v>4554</v>
      </c>
      <c r="AM2418">
        <v>46.909754</v>
      </c>
      <c r="AN2418" t="s">
        <v>4555</v>
      </c>
      <c r="AO2418">
        <v>-123.24441400000001</v>
      </c>
      <c r="AP2418">
        <v>100</v>
      </c>
      <c r="AQ2418">
        <v>2000</v>
      </c>
      <c r="AR2418" t="s">
        <v>118</v>
      </c>
      <c r="AS2418">
        <v>-64</v>
      </c>
      <c r="AT2418">
        <v>45</v>
      </c>
      <c r="AU2418">
        <v>0</v>
      </c>
      <c r="BC2418">
        <v>1200</v>
      </c>
      <c r="BD2418">
        <v>1</v>
      </c>
      <c r="BE2418" t="str">
        <f t="shared" si="113"/>
        <v xml:space="preserve">N215T   </v>
      </c>
      <c r="BF2418">
        <v>1</v>
      </c>
      <c r="BH2418">
        <v>0</v>
      </c>
      <c r="BI2418">
        <v>0</v>
      </c>
      <c r="BJ2418">
        <v>0</v>
      </c>
      <c r="BK2418">
        <v>2400</v>
      </c>
      <c r="BL2418">
        <v>400</v>
      </c>
      <c r="BM2418" t="s">
        <v>119</v>
      </c>
      <c r="BN2418">
        <v>1</v>
      </c>
      <c r="BO2418">
        <v>1</v>
      </c>
      <c r="BP2418">
        <v>1</v>
      </c>
      <c r="BQ2418">
        <v>0</v>
      </c>
      <c r="BT2418">
        <v>0</v>
      </c>
      <c r="BU2418">
        <v>0</v>
      </c>
      <c r="BV2418">
        <v>0</v>
      </c>
      <c r="CC2418" t="str">
        <f>"19:15:10.273"</f>
        <v>19:15:10.273</v>
      </c>
      <c r="CD2418" t="str">
        <f>"274601786"</f>
        <v>274601786</v>
      </c>
      <c r="CQ2418">
        <v>0</v>
      </c>
      <c r="CR2418">
        <v>2</v>
      </c>
      <c r="CS2418">
        <v>0</v>
      </c>
      <c r="CT2418">
        <v>2</v>
      </c>
      <c r="CU2418">
        <v>0</v>
      </c>
      <c r="CV2418">
        <v>7</v>
      </c>
      <c r="CW2418" t="s">
        <v>120</v>
      </c>
      <c r="CX2418">
        <v>261</v>
      </c>
      <c r="CY2418">
        <v>2</v>
      </c>
      <c r="CZ2418" t="s">
        <v>121</v>
      </c>
      <c r="DA2418" t="s">
        <v>122</v>
      </c>
      <c r="DD2418">
        <v>15740369</v>
      </c>
      <c r="DE2418" t="s">
        <v>123</v>
      </c>
    </row>
    <row r="2419" spans="1:109" x14ac:dyDescent="0.3">
      <c r="A2419" t="str">
        <f>"19:15:11.422"</f>
        <v>19:15:11.422</v>
      </c>
      <c r="B2419" t="s">
        <v>110</v>
      </c>
      <c r="C2419" t="str">
        <f t="shared" si="111"/>
        <v>ffdfd3c0</v>
      </c>
      <c r="D2419" t="s">
        <v>111</v>
      </c>
      <c r="E2419">
        <v>18</v>
      </c>
      <c r="F2419">
        <v>1018</v>
      </c>
      <c r="G2419" t="s">
        <v>112</v>
      </c>
      <c r="J2419" t="s">
        <v>113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R2419" t="s">
        <v>114</v>
      </c>
      <c r="S2419" t="str">
        <f>"19:15:11.188"</f>
        <v>19:15:11.188</v>
      </c>
      <c r="T2419" t="str">
        <f>"19:15:10.688"</f>
        <v>19:15:10.688</v>
      </c>
      <c r="U2419" t="str">
        <f t="shared" si="112"/>
        <v>a1cdbe</v>
      </c>
      <c r="V2419">
        <v>0</v>
      </c>
      <c r="W2419">
        <v>0</v>
      </c>
      <c r="X2419">
        <v>1</v>
      </c>
      <c r="Y2419">
        <v>0</v>
      </c>
      <c r="Z2419">
        <v>0</v>
      </c>
      <c r="AB2419">
        <v>0</v>
      </c>
      <c r="AC2419">
        <v>9</v>
      </c>
      <c r="AD2419">
        <v>3</v>
      </c>
      <c r="AE2419">
        <v>0</v>
      </c>
      <c r="AF2419">
        <v>9</v>
      </c>
      <c r="AG2419" t="s">
        <v>158</v>
      </c>
      <c r="AH2419">
        <v>0</v>
      </c>
      <c r="AI2419">
        <v>3</v>
      </c>
      <c r="AJ2419">
        <v>1</v>
      </c>
      <c r="AK2419">
        <v>0</v>
      </c>
      <c r="AL2419" t="s">
        <v>4556</v>
      </c>
      <c r="AM2419">
        <v>46.909925999999999</v>
      </c>
      <c r="AN2419" t="s">
        <v>4557</v>
      </c>
      <c r="AO2419">
        <v>-123.244843</v>
      </c>
      <c r="AP2419">
        <v>100</v>
      </c>
      <c r="AQ2419">
        <v>2000</v>
      </c>
      <c r="AR2419" t="s">
        <v>118</v>
      </c>
      <c r="AS2419">
        <v>-64</v>
      </c>
      <c r="AT2419">
        <v>45</v>
      </c>
      <c r="AU2419">
        <v>0</v>
      </c>
      <c r="BC2419">
        <v>1200</v>
      </c>
      <c r="BD2419">
        <v>1</v>
      </c>
      <c r="BE2419" t="str">
        <f t="shared" si="113"/>
        <v xml:space="preserve">N215T   </v>
      </c>
      <c r="BF2419">
        <v>1</v>
      </c>
      <c r="BH2419">
        <v>0</v>
      </c>
      <c r="BI2419">
        <v>0</v>
      </c>
      <c r="BJ2419">
        <v>0</v>
      </c>
      <c r="BK2419">
        <v>2400</v>
      </c>
      <c r="BL2419">
        <v>400</v>
      </c>
      <c r="BM2419" t="s">
        <v>119</v>
      </c>
      <c r="BN2419">
        <v>1</v>
      </c>
      <c r="BO2419">
        <v>1</v>
      </c>
      <c r="BP2419">
        <v>1</v>
      </c>
      <c r="BQ2419">
        <v>0</v>
      </c>
      <c r="BT2419">
        <v>0</v>
      </c>
      <c r="BU2419">
        <v>0</v>
      </c>
      <c r="BV2419">
        <v>0</v>
      </c>
      <c r="CC2419" t="str">
        <f>"19:15:11.188"</f>
        <v>19:15:11.188</v>
      </c>
      <c r="CD2419" t="str">
        <f>"189511637"</f>
        <v>189511637</v>
      </c>
      <c r="CQ2419">
        <v>0</v>
      </c>
      <c r="CR2419">
        <v>2</v>
      </c>
      <c r="CS2419">
        <v>0</v>
      </c>
      <c r="CT2419">
        <v>2</v>
      </c>
      <c r="CU2419">
        <v>0</v>
      </c>
      <c r="CV2419">
        <v>7</v>
      </c>
      <c r="CW2419" t="s">
        <v>120</v>
      </c>
      <c r="CX2419">
        <v>261</v>
      </c>
      <c r="CY2419">
        <v>2</v>
      </c>
      <c r="CZ2419" t="s">
        <v>121</v>
      </c>
      <c r="DA2419" t="s">
        <v>122</v>
      </c>
      <c r="DD2419">
        <v>15741004</v>
      </c>
      <c r="DE2419" t="s">
        <v>123</v>
      </c>
    </row>
    <row r="2420" spans="1:109" x14ac:dyDescent="0.3">
      <c r="A2420" t="str">
        <f>"19:15:12.430"</f>
        <v>19:15:12.430</v>
      </c>
      <c r="B2420" t="s">
        <v>110</v>
      </c>
      <c r="C2420" t="str">
        <f t="shared" si="111"/>
        <v>ffdfd3c0</v>
      </c>
      <c r="D2420" t="s">
        <v>111</v>
      </c>
      <c r="E2420">
        <v>18</v>
      </c>
      <c r="F2420">
        <v>1018</v>
      </c>
      <c r="G2420" t="s">
        <v>112</v>
      </c>
      <c r="J2420" t="s">
        <v>113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R2420" t="s">
        <v>114</v>
      </c>
      <c r="S2420" t="str">
        <f>"19:15:12.188"</f>
        <v>19:15:12.188</v>
      </c>
      <c r="T2420" t="str">
        <f>"19:15:12.086"</f>
        <v>19:15:12.086</v>
      </c>
      <c r="U2420" t="str">
        <f t="shared" si="112"/>
        <v>a1cdbe</v>
      </c>
      <c r="V2420">
        <v>0</v>
      </c>
      <c r="W2420">
        <v>0</v>
      </c>
      <c r="X2420">
        <v>1</v>
      </c>
      <c r="Y2420">
        <v>0</v>
      </c>
      <c r="Z2420">
        <v>0</v>
      </c>
      <c r="AB2420">
        <v>0</v>
      </c>
      <c r="AC2420">
        <v>9</v>
      </c>
      <c r="AD2420">
        <v>3</v>
      </c>
      <c r="AE2420">
        <v>0</v>
      </c>
      <c r="AF2420">
        <v>9</v>
      </c>
      <c r="AG2420" t="s">
        <v>158</v>
      </c>
      <c r="AH2420">
        <v>0</v>
      </c>
      <c r="AI2420">
        <v>3</v>
      </c>
      <c r="AJ2420">
        <v>1</v>
      </c>
      <c r="AK2420">
        <v>0</v>
      </c>
      <c r="AL2420" t="s">
        <v>4558</v>
      </c>
      <c r="AM2420">
        <v>46.910141000000003</v>
      </c>
      <c r="AN2420" t="s">
        <v>4559</v>
      </c>
      <c r="AO2420">
        <v>-123.245273</v>
      </c>
      <c r="AP2420">
        <v>100</v>
      </c>
      <c r="AQ2420">
        <v>2000</v>
      </c>
      <c r="AR2420" t="s">
        <v>118</v>
      </c>
      <c r="AS2420">
        <v>-64</v>
      </c>
      <c r="AT2420">
        <v>44</v>
      </c>
      <c r="AU2420">
        <v>0</v>
      </c>
      <c r="BC2420">
        <v>1200</v>
      </c>
      <c r="BD2420">
        <v>1</v>
      </c>
      <c r="BE2420" t="str">
        <f t="shared" si="113"/>
        <v xml:space="preserve">N215T   </v>
      </c>
      <c r="BF2420">
        <v>1</v>
      </c>
      <c r="BH2420">
        <v>0</v>
      </c>
      <c r="BI2420">
        <v>0</v>
      </c>
      <c r="BJ2420">
        <v>0</v>
      </c>
      <c r="BK2420">
        <v>2400</v>
      </c>
      <c r="BL2420">
        <v>400</v>
      </c>
      <c r="BM2420" t="s">
        <v>119</v>
      </c>
      <c r="BN2420">
        <v>1</v>
      </c>
      <c r="BO2420">
        <v>1</v>
      </c>
      <c r="BP2420">
        <v>1</v>
      </c>
      <c r="BQ2420">
        <v>0</v>
      </c>
      <c r="BT2420">
        <v>0</v>
      </c>
      <c r="BU2420">
        <v>0</v>
      </c>
      <c r="BV2420">
        <v>0</v>
      </c>
      <c r="CC2420" t="str">
        <f>"19:15:12.195"</f>
        <v>19:15:12.195</v>
      </c>
      <c r="CD2420" t="str">
        <f>"194412624"</f>
        <v>194412624</v>
      </c>
      <c r="CQ2420">
        <v>0</v>
      </c>
      <c r="CR2420">
        <v>2</v>
      </c>
      <c r="CS2420">
        <v>0</v>
      </c>
      <c r="CT2420">
        <v>2</v>
      </c>
      <c r="CU2420">
        <v>0</v>
      </c>
      <c r="CV2420">
        <v>7</v>
      </c>
      <c r="CW2420" t="s">
        <v>120</v>
      </c>
      <c r="CX2420">
        <v>261</v>
      </c>
      <c r="CY2420">
        <v>2</v>
      </c>
      <c r="CZ2420" t="s">
        <v>121</v>
      </c>
      <c r="DA2420" t="s">
        <v>122</v>
      </c>
      <c r="DD2420">
        <v>15741652</v>
      </c>
      <c r="DE2420" t="s">
        <v>123</v>
      </c>
    </row>
    <row r="2421" spans="1:109" x14ac:dyDescent="0.3">
      <c r="A2421" t="str">
        <f>"19:15:13.336"</f>
        <v>19:15:13.336</v>
      </c>
      <c r="B2421" t="s">
        <v>110</v>
      </c>
      <c r="C2421" t="str">
        <f t="shared" si="111"/>
        <v>ffdfd3c0</v>
      </c>
      <c r="D2421" t="s">
        <v>111</v>
      </c>
      <c r="E2421">
        <v>18</v>
      </c>
      <c r="F2421">
        <v>1018</v>
      </c>
      <c r="G2421" t="s">
        <v>112</v>
      </c>
      <c r="J2421" t="s">
        <v>113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R2421" t="s">
        <v>114</v>
      </c>
      <c r="S2421" t="str">
        <f>"19:15:13.117"</f>
        <v>19:15:13.117</v>
      </c>
      <c r="T2421" t="str">
        <f>"19:15:13.117"</f>
        <v>19:15:13.117</v>
      </c>
      <c r="U2421" t="str">
        <f t="shared" si="112"/>
        <v>a1cdbe</v>
      </c>
      <c r="V2421">
        <v>0</v>
      </c>
      <c r="W2421">
        <v>0</v>
      </c>
      <c r="X2421">
        <v>1</v>
      </c>
      <c r="Y2421">
        <v>0</v>
      </c>
      <c r="Z2421">
        <v>0</v>
      </c>
      <c r="AB2421">
        <v>0</v>
      </c>
      <c r="AC2421">
        <v>9</v>
      </c>
      <c r="AD2421">
        <v>3</v>
      </c>
      <c r="AE2421">
        <v>0</v>
      </c>
      <c r="AF2421">
        <v>9</v>
      </c>
      <c r="AG2421" t="s">
        <v>158</v>
      </c>
      <c r="AH2421">
        <v>0</v>
      </c>
      <c r="AI2421">
        <v>3</v>
      </c>
      <c r="AJ2421">
        <v>1</v>
      </c>
      <c r="AK2421">
        <v>0</v>
      </c>
      <c r="AL2421" t="s">
        <v>4560</v>
      </c>
      <c r="AM2421">
        <v>46.910311999999998</v>
      </c>
      <c r="AN2421" t="s">
        <v>4561</v>
      </c>
      <c r="AO2421">
        <v>-123.24567999999999</v>
      </c>
      <c r="AP2421">
        <v>100</v>
      </c>
      <c r="AQ2421">
        <v>2000</v>
      </c>
      <c r="AR2421" t="s">
        <v>118</v>
      </c>
      <c r="AS2421">
        <v>-65</v>
      </c>
      <c r="AT2421">
        <v>43</v>
      </c>
      <c r="AU2421">
        <v>128</v>
      </c>
      <c r="BC2421">
        <v>1200</v>
      </c>
      <c r="BD2421">
        <v>1</v>
      </c>
      <c r="BE2421" t="str">
        <f t="shared" si="113"/>
        <v xml:space="preserve">N215T   </v>
      </c>
      <c r="BF2421">
        <v>1</v>
      </c>
      <c r="BH2421">
        <v>0</v>
      </c>
      <c r="BI2421">
        <v>0</v>
      </c>
      <c r="BJ2421">
        <v>0</v>
      </c>
      <c r="BK2421">
        <v>2400</v>
      </c>
      <c r="BL2421">
        <v>400</v>
      </c>
      <c r="BM2421" t="s">
        <v>119</v>
      </c>
      <c r="BN2421">
        <v>1</v>
      </c>
      <c r="BO2421">
        <v>1</v>
      </c>
      <c r="BP2421">
        <v>1</v>
      </c>
      <c r="BQ2421">
        <v>0</v>
      </c>
      <c r="BT2421">
        <v>0</v>
      </c>
      <c r="BU2421">
        <v>0</v>
      </c>
      <c r="BV2421">
        <v>0</v>
      </c>
      <c r="CC2421" t="str">
        <f>"19:15:13.125"</f>
        <v>19:15:13.125</v>
      </c>
      <c r="CD2421" t="str">
        <f>"124321007"</f>
        <v>124321007</v>
      </c>
      <c r="CQ2421">
        <v>0</v>
      </c>
      <c r="CR2421">
        <v>2</v>
      </c>
      <c r="CS2421">
        <v>0</v>
      </c>
      <c r="CT2421">
        <v>2</v>
      </c>
      <c r="CU2421">
        <v>0</v>
      </c>
      <c r="CV2421">
        <v>7</v>
      </c>
      <c r="CW2421" t="s">
        <v>120</v>
      </c>
      <c r="CX2421">
        <v>261</v>
      </c>
      <c r="CY2421">
        <v>2</v>
      </c>
      <c r="CZ2421" t="s">
        <v>121</v>
      </c>
      <c r="DA2421" t="s">
        <v>122</v>
      </c>
      <c r="DD2421">
        <v>15742231</v>
      </c>
      <c r="DE2421" t="s">
        <v>123</v>
      </c>
    </row>
    <row r="2422" spans="1:109" x14ac:dyDescent="0.3">
      <c r="A2422" t="str">
        <f>"19:15:14.391"</f>
        <v>19:15:14.391</v>
      </c>
      <c r="B2422" t="s">
        <v>110</v>
      </c>
      <c r="C2422" t="str">
        <f t="shared" si="111"/>
        <v>ffdfd3c0</v>
      </c>
      <c r="D2422" t="s">
        <v>111</v>
      </c>
      <c r="E2422">
        <v>18</v>
      </c>
      <c r="F2422">
        <v>1018</v>
      </c>
      <c r="G2422" t="s">
        <v>112</v>
      </c>
      <c r="J2422" t="s">
        <v>113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R2422" t="s">
        <v>114</v>
      </c>
      <c r="S2422" t="str">
        <f>"19:15:14.156"</f>
        <v>19:15:14.156</v>
      </c>
      <c r="T2422" t="str">
        <f>"19:15:14.055"</f>
        <v>19:15:14.055</v>
      </c>
      <c r="U2422" t="str">
        <f t="shared" si="112"/>
        <v>a1cdbe</v>
      </c>
      <c r="V2422">
        <v>0</v>
      </c>
      <c r="W2422">
        <v>0</v>
      </c>
      <c r="X2422">
        <v>1</v>
      </c>
      <c r="Y2422">
        <v>0</v>
      </c>
      <c r="Z2422">
        <v>0</v>
      </c>
      <c r="AB2422">
        <v>0</v>
      </c>
      <c r="AC2422">
        <v>9</v>
      </c>
      <c r="AD2422">
        <v>3</v>
      </c>
      <c r="AE2422">
        <v>0</v>
      </c>
      <c r="AF2422">
        <v>9</v>
      </c>
      <c r="AG2422" t="s">
        <v>158</v>
      </c>
      <c r="AH2422">
        <v>0</v>
      </c>
      <c r="AI2422">
        <v>3</v>
      </c>
      <c r="AJ2422">
        <v>1</v>
      </c>
      <c r="AK2422">
        <v>0</v>
      </c>
      <c r="AL2422" t="s">
        <v>4562</v>
      </c>
      <c r="AM2422">
        <v>46.910547999999999</v>
      </c>
      <c r="AN2422" t="s">
        <v>4563</v>
      </c>
      <c r="AO2422">
        <v>-123.246109</v>
      </c>
      <c r="AP2422">
        <v>100</v>
      </c>
      <c r="AQ2422">
        <v>2000</v>
      </c>
      <c r="AR2422" t="s">
        <v>118</v>
      </c>
      <c r="AS2422">
        <v>-65</v>
      </c>
      <c r="AT2422">
        <v>43</v>
      </c>
      <c r="AU2422">
        <v>64</v>
      </c>
      <c r="BC2422">
        <v>1200</v>
      </c>
      <c r="BD2422">
        <v>1</v>
      </c>
      <c r="BE2422" t="str">
        <f t="shared" si="113"/>
        <v xml:space="preserve">N215T   </v>
      </c>
      <c r="BF2422">
        <v>1</v>
      </c>
      <c r="BH2422">
        <v>0</v>
      </c>
      <c r="BI2422">
        <v>0</v>
      </c>
      <c r="BJ2422">
        <v>0</v>
      </c>
      <c r="BK2422">
        <v>2400</v>
      </c>
      <c r="BL2422">
        <v>400</v>
      </c>
      <c r="BM2422" t="s">
        <v>119</v>
      </c>
      <c r="BN2422">
        <v>1</v>
      </c>
      <c r="BO2422">
        <v>1</v>
      </c>
      <c r="BP2422">
        <v>1</v>
      </c>
      <c r="BQ2422">
        <v>0</v>
      </c>
      <c r="BT2422">
        <v>0</v>
      </c>
      <c r="BU2422">
        <v>0</v>
      </c>
      <c r="BV2422">
        <v>0</v>
      </c>
      <c r="CC2422" t="str">
        <f>"19:15:14.156"</f>
        <v>19:15:14.156</v>
      </c>
      <c r="CD2422" t="str">
        <f>"159219036"</f>
        <v>159219036</v>
      </c>
      <c r="CQ2422">
        <v>0</v>
      </c>
      <c r="CR2422">
        <v>2</v>
      </c>
      <c r="CS2422">
        <v>0</v>
      </c>
      <c r="CT2422">
        <v>2</v>
      </c>
      <c r="CU2422">
        <v>0</v>
      </c>
      <c r="CV2422">
        <v>7</v>
      </c>
      <c r="CW2422" t="s">
        <v>120</v>
      </c>
      <c r="CX2422">
        <v>261</v>
      </c>
      <c r="CY2422">
        <v>2</v>
      </c>
      <c r="CZ2422" t="s">
        <v>121</v>
      </c>
      <c r="DA2422" t="s">
        <v>122</v>
      </c>
      <c r="DD2422">
        <v>15742917</v>
      </c>
      <c r="DE2422" t="s">
        <v>123</v>
      </c>
    </row>
    <row r="2423" spans="1:109" x14ac:dyDescent="0.3">
      <c r="A2423" t="str">
        <f>"19:15:15.445"</f>
        <v>19:15:15.445</v>
      </c>
      <c r="B2423" t="s">
        <v>110</v>
      </c>
      <c r="C2423" t="str">
        <f t="shared" si="111"/>
        <v>ffdfd3c0</v>
      </c>
      <c r="D2423" t="s">
        <v>111</v>
      </c>
      <c r="E2423">
        <v>18</v>
      </c>
      <c r="F2423">
        <v>1018</v>
      </c>
      <c r="G2423" t="s">
        <v>112</v>
      </c>
      <c r="J2423" t="s">
        <v>113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R2423" t="s">
        <v>114</v>
      </c>
      <c r="S2423" t="str">
        <f>"19:15:15.203"</f>
        <v>19:15:15.203</v>
      </c>
      <c r="T2423" t="str">
        <f>"19:15:15.102"</f>
        <v>19:15:15.102</v>
      </c>
      <c r="U2423" t="str">
        <f t="shared" si="112"/>
        <v>a1cdbe</v>
      </c>
      <c r="V2423">
        <v>0</v>
      </c>
      <c r="W2423">
        <v>0</v>
      </c>
      <c r="X2423">
        <v>1</v>
      </c>
      <c r="Y2423">
        <v>0</v>
      </c>
      <c r="Z2423">
        <v>0</v>
      </c>
      <c r="AB2423">
        <v>0</v>
      </c>
      <c r="AC2423">
        <v>9</v>
      </c>
      <c r="AD2423">
        <v>3</v>
      </c>
      <c r="AE2423">
        <v>0</v>
      </c>
      <c r="AF2423">
        <v>9</v>
      </c>
      <c r="AG2423" t="s">
        <v>158</v>
      </c>
      <c r="AH2423">
        <v>0</v>
      </c>
      <c r="AI2423">
        <v>3</v>
      </c>
      <c r="AJ2423">
        <v>1</v>
      </c>
      <c r="AK2423">
        <v>0</v>
      </c>
      <c r="AL2423" t="s">
        <v>1336</v>
      </c>
      <c r="AM2423">
        <v>46.910741000000002</v>
      </c>
      <c r="AN2423" t="s">
        <v>4564</v>
      </c>
      <c r="AO2423">
        <v>-123.24656</v>
      </c>
      <c r="AP2423">
        <v>100</v>
      </c>
      <c r="AQ2423">
        <v>2000</v>
      </c>
      <c r="AR2423" t="s">
        <v>118</v>
      </c>
      <c r="AS2423">
        <v>-65</v>
      </c>
      <c r="AT2423">
        <v>43</v>
      </c>
      <c r="AU2423">
        <v>-128</v>
      </c>
      <c r="BC2423">
        <v>1200</v>
      </c>
      <c r="BD2423">
        <v>1</v>
      </c>
      <c r="BE2423" t="str">
        <f t="shared" si="113"/>
        <v xml:space="preserve">N215T   </v>
      </c>
      <c r="BF2423">
        <v>1</v>
      </c>
      <c r="BH2423">
        <v>0</v>
      </c>
      <c r="BI2423">
        <v>0</v>
      </c>
      <c r="BJ2423">
        <v>0</v>
      </c>
      <c r="BK2423">
        <v>2425</v>
      </c>
      <c r="BL2423">
        <v>425</v>
      </c>
      <c r="BM2423" t="s">
        <v>119</v>
      </c>
      <c r="BN2423">
        <v>1</v>
      </c>
      <c r="BO2423">
        <v>1</v>
      </c>
      <c r="BP2423">
        <v>1</v>
      </c>
      <c r="BQ2423">
        <v>0</v>
      </c>
      <c r="BT2423">
        <v>0</v>
      </c>
      <c r="BU2423">
        <v>0</v>
      </c>
      <c r="BV2423">
        <v>0</v>
      </c>
      <c r="CC2423" t="str">
        <f>"19:15:15.211"</f>
        <v>19:15:15.211</v>
      </c>
      <c r="CD2423" t="str">
        <f>"209115598"</f>
        <v>209115598</v>
      </c>
      <c r="CQ2423">
        <v>0</v>
      </c>
      <c r="CR2423">
        <v>2</v>
      </c>
      <c r="CS2423">
        <v>0</v>
      </c>
      <c r="CT2423">
        <v>2</v>
      </c>
      <c r="CU2423">
        <v>0</v>
      </c>
      <c r="CV2423">
        <v>6</v>
      </c>
      <c r="CW2423" t="s">
        <v>120</v>
      </c>
      <c r="CX2423">
        <v>261</v>
      </c>
      <c r="CY2423">
        <v>2</v>
      </c>
      <c r="CZ2423" t="s">
        <v>121</v>
      </c>
      <c r="DA2423" t="s">
        <v>122</v>
      </c>
      <c r="DD2423">
        <v>15743609</v>
      </c>
      <c r="DE2423" t="s">
        <v>123</v>
      </c>
    </row>
    <row r="2424" spans="1:109" x14ac:dyDescent="0.3">
      <c r="A2424" t="str">
        <f>"19:15:16.555"</f>
        <v>19:15:16.555</v>
      </c>
      <c r="B2424" t="s">
        <v>110</v>
      </c>
      <c r="C2424" t="str">
        <f t="shared" si="111"/>
        <v>ffdfd3c0</v>
      </c>
      <c r="D2424" t="s">
        <v>111</v>
      </c>
      <c r="E2424">
        <v>18</v>
      </c>
      <c r="F2424">
        <v>1018</v>
      </c>
      <c r="G2424" t="s">
        <v>112</v>
      </c>
      <c r="J2424" t="s">
        <v>113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R2424" t="s">
        <v>114</v>
      </c>
      <c r="S2424" t="str">
        <f>"19:15:16.313"</f>
        <v>19:15:16.313</v>
      </c>
      <c r="T2424" t="str">
        <f>"19:15:16.211"</f>
        <v>19:15:16.211</v>
      </c>
      <c r="U2424" t="str">
        <f t="shared" si="112"/>
        <v>a1cdbe</v>
      </c>
      <c r="V2424">
        <v>0</v>
      </c>
      <c r="W2424">
        <v>0</v>
      </c>
      <c r="X2424">
        <v>1</v>
      </c>
      <c r="Y2424">
        <v>0</v>
      </c>
      <c r="Z2424">
        <v>0</v>
      </c>
      <c r="AB2424">
        <v>0</v>
      </c>
      <c r="AC2424">
        <v>9</v>
      </c>
      <c r="AD2424">
        <v>3</v>
      </c>
      <c r="AE2424">
        <v>0</v>
      </c>
      <c r="AF2424">
        <v>9</v>
      </c>
      <c r="AG2424" t="s">
        <v>158</v>
      </c>
      <c r="AH2424">
        <v>0</v>
      </c>
      <c r="AI2424">
        <v>3</v>
      </c>
      <c r="AJ2424">
        <v>1</v>
      </c>
      <c r="AK2424">
        <v>0</v>
      </c>
      <c r="AL2424" t="s">
        <v>4565</v>
      </c>
      <c r="AM2424">
        <v>46.910977000000003</v>
      </c>
      <c r="AN2424" t="s">
        <v>4566</v>
      </c>
      <c r="AO2424">
        <v>-123.247032</v>
      </c>
      <c r="AP2424">
        <v>100</v>
      </c>
      <c r="AQ2424">
        <v>2000</v>
      </c>
      <c r="AR2424" t="s">
        <v>118</v>
      </c>
      <c r="AS2424">
        <v>-64</v>
      </c>
      <c r="AT2424">
        <v>44</v>
      </c>
      <c r="AU2424">
        <v>0</v>
      </c>
      <c r="BC2424">
        <v>1200</v>
      </c>
      <c r="BD2424">
        <v>1</v>
      </c>
      <c r="BE2424" t="str">
        <f t="shared" si="113"/>
        <v xml:space="preserve">N215T   </v>
      </c>
      <c r="BF2424">
        <v>1</v>
      </c>
      <c r="BH2424">
        <v>0</v>
      </c>
      <c r="BI2424">
        <v>0</v>
      </c>
      <c r="BJ2424">
        <v>0</v>
      </c>
      <c r="BK2424">
        <v>2400</v>
      </c>
      <c r="BL2424">
        <v>400</v>
      </c>
      <c r="BM2424" t="s">
        <v>119</v>
      </c>
      <c r="BN2424">
        <v>1</v>
      </c>
      <c r="BO2424">
        <v>1</v>
      </c>
      <c r="BP2424">
        <v>1</v>
      </c>
      <c r="BQ2424">
        <v>0</v>
      </c>
      <c r="BT2424">
        <v>0</v>
      </c>
      <c r="BU2424">
        <v>0</v>
      </c>
      <c r="BV2424">
        <v>0</v>
      </c>
      <c r="CC2424" t="str">
        <f>"19:15:16.320"</f>
        <v>19:15:16.320</v>
      </c>
      <c r="CD2424" t="str">
        <f>"319006231"</f>
        <v>319006231</v>
      </c>
      <c r="CQ2424">
        <v>0</v>
      </c>
      <c r="CR2424">
        <v>2</v>
      </c>
      <c r="CS2424">
        <v>0</v>
      </c>
      <c r="CT2424">
        <v>2</v>
      </c>
      <c r="CU2424">
        <v>0</v>
      </c>
      <c r="CV2424">
        <v>7</v>
      </c>
      <c r="CW2424" t="s">
        <v>120</v>
      </c>
      <c r="CX2424">
        <v>261</v>
      </c>
      <c r="CY2424">
        <v>2</v>
      </c>
      <c r="CZ2424" t="s">
        <v>121</v>
      </c>
      <c r="DA2424" t="s">
        <v>122</v>
      </c>
      <c r="DD2424">
        <v>15744326</v>
      </c>
      <c r="DE2424" t="s">
        <v>123</v>
      </c>
    </row>
    <row r="2425" spans="1:109" x14ac:dyDescent="0.3">
      <c r="A2425" t="str">
        <f>"19:15:17.461"</f>
        <v>19:15:17.461</v>
      </c>
      <c r="B2425" t="s">
        <v>110</v>
      </c>
      <c r="C2425" t="str">
        <f t="shared" si="111"/>
        <v>ffdfd3c0</v>
      </c>
      <c r="D2425" t="s">
        <v>111</v>
      </c>
      <c r="E2425">
        <v>18</v>
      </c>
      <c r="F2425">
        <v>1018</v>
      </c>
      <c r="G2425" t="s">
        <v>112</v>
      </c>
      <c r="J2425" t="s">
        <v>113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R2425" t="s">
        <v>114</v>
      </c>
      <c r="S2425" t="str">
        <f>"19:15:17.242"</f>
        <v>19:15:17.242</v>
      </c>
      <c r="T2425" t="str">
        <f>"19:15:17.242"</f>
        <v>19:15:17.242</v>
      </c>
      <c r="U2425" t="str">
        <f t="shared" si="112"/>
        <v>a1cdbe</v>
      </c>
      <c r="V2425">
        <v>0</v>
      </c>
      <c r="W2425">
        <v>0</v>
      </c>
      <c r="X2425">
        <v>1</v>
      </c>
      <c r="Y2425">
        <v>0</v>
      </c>
      <c r="Z2425">
        <v>0</v>
      </c>
      <c r="AB2425">
        <v>0</v>
      </c>
      <c r="AC2425">
        <v>9</v>
      </c>
      <c r="AD2425">
        <v>3</v>
      </c>
      <c r="AE2425">
        <v>0</v>
      </c>
      <c r="AF2425">
        <v>9</v>
      </c>
      <c r="AG2425" t="s">
        <v>158</v>
      </c>
      <c r="AH2425">
        <v>0</v>
      </c>
      <c r="AI2425">
        <v>3</v>
      </c>
      <c r="AJ2425">
        <v>1</v>
      </c>
      <c r="AK2425">
        <v>0</v>
      </c>
      <c r="AL2425" t="s">
        <v>4567</v>
      </c>
      <c r="AM2425">
        <v>46.911169999999998</v>
      </c>
      <c r="AN2425" t="s">
        <v>4568</v>
      </c>
      <c r="AO2425">
        <v>-123.24744</v>
      </c>
      <c r="AP2425">
        <v>100</v>
      </c>
      <c r="AQ2425">
        <v>2000</v>
      </c>
      <c r="AR2425" t="s">
        <v>118</v>
      </c>
      <c r="AS2425">
        <v>-64</v>
      </c>
      <c r="AT2425">
        <v>44</v>
      </c>
      <c r="AU2425">
        <v>-192</v>
      </c>
      <c r="BC2425">
        <v>1200</v>
      </c>
      <c r="BD2425">
        <v>1</v>
      </c>
      <c r="BE2425" t="str">
        <f t="shared" si="113"/>
        <v xml:space="preserve">N215T   </v>
      </c>
      <c r="BF2425">
        <v>1</v>
      </c>
      <c r="BH2425">
        <v>0</v>
      </c>
      <c r="BI2425">
        <v>0</v>
      </c>
      <c r="BJ2425">
        <v>0</v>
      </c>
      <c r="BK2425">
        <v>2400</v>
      </c>
      <c r="BL2425">
        <v>400</v>
      </c>
      <c r="BM2425" t="s">
        <v>119</v>
      </c>
      <c r="BN2425">
        <v>1</v>
      </c>
      <c r="BO2425">
        <v>1</v>
      </c>
      <c r="BP2425">
        <v>1</v>
      </c>
      <c r="BQ2425">
        <v>0</v>
      </c>
      <c r="BT2425">
        <v>0</v>
      </c>
      <c r="BU2425">
        <v>0</v>
      </c>
      <c r="BV2425">
        <v>0</v>
      </c>
      <c r="CC2425" t="str">
        <f>"19:15:17.250"</f>
        <v>19:15:17.250</v>
      </c>
      <c r="CD2425" t="str">
        <f>"248914618"</f>
        <v>248914618</v>
      </c>
      <c r="CQ2425">
        <v>0</v>
      </c>
      <c r="CR2425">
        <v>2</v>
      </c>
      <c r="CS2425">
        <v>0</v>
      </c>
      <c r="CT2425">
        <v>2</v>
      </c>
      <c r="CU2425">
        <v>0</v>
      </c>
      <c r="CV2425">
        <v>7</v>
      </c>
      <c r="CW2425" t="s">
        <v>120</v>
      </c>
      <c r="CX2425">
        <v>261</v>
      </c>
      <c r="CY2425">
        <v>2</v>
      </c>
      <c r="CZ2425" t="s">
        <v>121</v>
      </c>
      <c r="DA2425" t="s">
        <v>122</v>
      </c>
      <c r="DD2425">
        <v>15744923</v>
      </c>
      <c r="DE2425" t="s">
        <v>123</v>
      </c>
    </row>
    <row r="2426" spans="1:109" x14ac:dyDescent="0.3">
      <c r="A2426" t="str">
        <f>"19:15:18.461"</f>
        <v>19:15:18.461</v>
      </c>
      <c r="B2426" t="s">
        <v>110</v>
      </c>
      <c r="C2426" t="str">
        <f t="shared" si="111"/>
        <v>ffdfd3c0</v>
      </c>
      <c r="D2426" t="s">
        <v>111</v>
      </c>
      <c r="E2426">
        <v>18</v>
      </c>
      <c r="F2426">
        <v>1018</v>
      </c>
      <c r="G2426" t="s">
        <v>112</v>
      </c>
      <c r="J2426" t="s">
        <v>113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R2426" t="s">
        <v>114</v>
      </c>
      <c r="S2426" t="str">
        <f>"19:15:18.219"</f>
        <v>19:15:18.219</v>
      </c>
      <c r="T2426" t="str">
        <f>"19:15:17.719"</f>
        <v>19:15:17.719</v>
      </c>
      <c r="U2426" t="str">
        <f t="shared" si="112"/>
        <v>a1cdbe</v>
      </c>
      <c r="V2426">
        <v>0</v>
      </c>
      <c r="W2426">
        <v>0</v>
      </c>
      <c r="X2426">
        <v>1</v>
      </c>
      <c r="Y2426">
        <v>0</v>
      </c>
      <c r="Z2426">
        <v>0</v>
      </c>
      <c r="AB2426">
        <v>0</v>
      </c>
      <c r="AC2426">
        <v>9</v>
      </c>
      <c r="AD2426">
        <v>3</v>
      </c>
      <c r="AE2426">
        <v>0</v>
      </c>
      <c r="AF2426">
        <v>9</v>
      </c>
      <c r="AG2426" t="s">
        <v>158</v>
      </c>
      <c r="AH2426">
        <v>0</v>
      </c>
      <c r="AI2426">
        <v>3</v>
      </c>
      <c r="AJ2426">
        <v>1</v>
      </c>
      <c r="AK2426">
        <v>0</v>
      </c>
      <c r="AL2426" t="s">
        <v>4569</v>
      </c>
      <c r="AM2426">
        <v>46.911341999999998</v>
      </c>
      <c r="AN2426" t="s">
        <v>4570</v>
      </c>
      <c r="AO2426">
        <v>-123.24786899999999</v>
      </c>
      <c r="AP2426">
        <v>100</v>
      </c>
      <c r="AQ2426">
        <v>2000</v>
      </c>
      <c r="AR2426" t="s">
        <v>118</v>
      </c>
      <c r="AS2426">
        <v>-64</v>
      </c>
      <c r="AT2426">
        <v>44</v>
      </c>
      <c r="AU2426">
        <v>-128</v>
      </c>
      <c r="BC2426">
        <v>1200</v>
      </c>
      <c r="BD2426">
        <v>1</v>
      </c>
      <c r="BE2426" t="str">
        <f t="shared" si="113"/>
        <v xml:space="preserve">N215T   </v>
      </c>
      <c r="BF2426">
        <v>1</v>
      </c>
      <c r="BH2426">
        <v>0</v>
      </c>
      <c r="BI2426">
        <v>0</v>
      </c>
      <c r="BJ2426">
        <v>0</v>
      </c>
      <c r="BK2426">
        <v>2400</v>
      </c>
      <c r="BL2426">
        <v>400</v>
      </c>
      <c r="BM2426" t="s">
        <v>119</v>
      </c>
      <c r="BN2426">
        <v>1</v>
      </c>
      <c r="BO2426">
        <v>1</v>
      </c>
      <c r="BP2426">
        <v>1</v>
      </c>
      <c r="BQ2426">
        <v>0</v>
      </c>
      <c r="BT2426">
        <v>0</v>
      </c>
      <c r="BU2426">
        <v>0</v>
      </c>
      <c r="BV2426">
        <v>0</v>
      </c>
      <c r="CC2426" t="str">
        <f>"19:15:18.227"</f>
        <v>19:15:18.227</v>
      </c>
      <c r="CD2426" t="str">
        <f>"223818560"</f>
        <v>223818560</v>
      </c>
      <c r="CQ2426">
        <v>0</v>
      </c>
      <c r="CR2426">
        <v>2</v>
      </c>
      <c r="CS2426">
        <v>0</v>
      </c>
      <c r="CT2426">
        <v>2</v>
      </c>
      <c r="CU2426">
        <v>0</v>
      </c>
      <c r="CV2426">
        <v>7</v>
      </c>
      <c r="CW2426" t="s">
        <v>120</v>
      </c>
      <c r="CX2426">
        <v>261</v>
      </c>
      <c r="CY2426">
        <v>2</v>
      </c>
      <c r="CZ2426" t="s">
        <v>121</v>
      </c>
      <c r="DA2426" t="s">
        <v>122</v>
      </c>
      <c r="DD2426">
        <v>15745522</v>
      </c>
      <c r="DE2426" t="s">
        <v>123</v>
      </c>
    </row>
    <row r="2427" spans="1:109" x14ac:dyDescent="0.3">
      <c r="A2427" t="str">
        <f>"19:15:19.367"</f>
        <v>19:15:19.367</v>
      </c>
      <c r="B2427" t="s">
        <v>110</v>
      </c>
      <c r="C2427" t="str">
        <f t="shared" si="111"/>
        <v>ffdfd3c0</v>
      </c>
      <c r="D2427" t="s">
        <v>111</v>
      </c>
      <c r="E2427">
        <v>18</v>
      </c>
      <c r="F2427">
        <v>1018</v>
      </c>
      <c r="G2427" t="s">
        <v>112</v>
      </c>
      <c r="J2427" t="s">
        <v>113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R2427" t="s">
        <v>114</v>
      </c>
      <c r="S2427" t="str">
        <f>"19:15:19.133"</f>
        <v>19:15:19.133</v>
      </c>
      <c r="T2427" t="str">
        <f>"19:15:18.836"</f>
        <v>19:15:18.836</v>
      </c>
      <c r="U2427" t="str">
        <f t="shared" si="112"/>
        <v>a1cdbe</v>
      </c>
      <c r="V2427">
        <v>0</v>
      </c>
      <c r="W2427">
        <v>0</v>
      </c>
      <c r="X2427">
        <v>1</v>
      </c>
      <c r="Y2427">
        <v>0</v>
      </c>
      <c r="Z2427">
        <v>0</v>
      </c>
      <c r="AB2427">
        <v>0</v>
      </c>
      <c r="AC2427">
        <v>9</v>
      </c>
      <c r="AD2427">
        <v>3</v>
      </c>
      <c r="AE2427">
        <v>0</v>
      </c>
      <c r="AF2427">
        <v>9</v>
      </c>
      <c r="AG2427" t="s">
        <v>158</v>
      </c>
      <c r="AH2427">
        <v>0</v>
      </c>
      <c r="AI2427">
        <v>3</v>
      </c>
      <c r="AJ2427">
        <v>1</v>
      </c>
      <c r="AK2427">
        <v>0</v>
      </c>
      <c r="AL2427" t="s">
        <v>4571</v>
      </c>
      <c r="AM2427">
        <v>46.911535000000001</v>
      </c>
      <c r="AN2427" t="s">
        <v>4572</v>
      </c>
      <c r="AO2427">
        <v>-123.248212</v>
      </c>
      <c r="AP2427">
        <v>100</v>
      </c>
      <c r="AQ2427">
        <v>2000</v>
      </c>
      <c r="AR2427" t="s">
        <v>118</v>
      </c>
      <c r="AS2427">
        <v>-64</v>
      </c>
      <c r="AT2427">
        <v>45</v>
      </c>
      <c r="AU2427">
        <v>-256</v>
      </c>
      <c r="BC2427">
        <v>1200</v>
      </c>
      <c r="BD2427">
        <v>1</v>
      </c>
      <c r="BE2427" t="str">
        <f t="shared" si="113"/>
        <v xml:space="preserve">N215T   </v>
      </c>
      <c r="BF2427">
        <v>1</v>
      </c>
      <c r="BH2427">
        <v>0</v>
      </c>
      <c r="BI2427">
        <v>0</v>
      </c>
      <c r="BJ2427">
        <v>0</v>
      </c>
      <c r="BK2427">
        <v>2400</v>
      </c>
      <c r="BL2427">
        <v>400</v>
      </c>
      <c r="BM2427" t="s">
        <v>119</v>
      </c>
      <c r="BN2427">
        <v>1</v>
      </c>
      <c r="BO2427">
        <v>1</v>
      </c>
      <c r="BP2427">
        <v>1</v>
      </c>
      <c r="BQ2427">
        <v>0</v>
      </c>
      <c r="BT2427">
        <v>0</v>
      </c>
      <c r="BU2427">
        <v>0</v>
      </c>
      <c r="BV2427">
        <v>0</v>
      </c>
      <c r="CC2427" t="str">
        <f>"19:15:19.141"</f>
        <v>19:15:19.141</v>
      </c>
      <c r="CD2427" t="str">
        <f>"138728414"</f>
        <v>138728414</v>
      </c>
      <c r="CQ2427">
        <v>0</v>
      </c>
      <c r="CR2427">
        <v>2</v>
      </c>
      <c r="CS2427">
        <v>0</v>
      </c>
      <c r="CT2427">
        <v>2</v>
      </c>
      <c r="CU2427">
        <v>0</v>
      </c>
      <c r="CV2427">
        <v>7</v>
      </c>
      <c r="CW2427" t="s">
        <v>120</v>
      </c>
      <c r="CX2427">
        <v>261</v>
      </c>
      <c r="CY2427">
        <v>2</v>
      </c>
      <c r="CZ2427" t="s">
        <v>121</v>
      </c>
      <c r="DA2427" t="s">
        <v>122</v>
      </c>
      <c r="DD2427">
        <v>15746159</v>
      </c>
      <c r="DE2427" t="s">
        <v>123</v>
      </c>
    </row>
    <row r="2428" spans="1:109" x14ac:dyDescent="0.3">
      <c r="A2428" t="str">
        <f>"19:15:20.328"</f>
        <v>19:15:20.328</v>
      </c>
      <c r="B2428" t="s">
        <v>110</v>
      </c>
      <c r="C2428" t="str">
        <f t="shared" si="111"/>
        <v>ffdfd3c0</v>
      </c>
      <c r="D2428" t="s">
        <v>111</v>
      </c>
      <c r="E2428">
        <v>18</v>
      </c>
      <c r="F2428">
        <v>1018</v>
      </c>
      <c r="G2428" t="s">
        <v>112</v>
      </c>
      <c r="J2428" t="s">
        <v>113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R2428" t="s">
        <v>114</v>
      </c>
      <c r="S2428" t="str">
        <f>"19:15:20.125"</f>
        <v>19:15:20.125</v>
      </c>
      <c r="T2428" t="str">
        <f>"19:15:19.828"</f>
        <v>19:15:19.828</v>
      </c>
      <c r="U2428" t="str">
        <f t="shared" si="112"/>
        <v>a1cdbe</v>
      </c>
      <c r="V2428">
        <v>0</v>
      </c>
      <c r="W2428">
        <v>0</v>
      </c>
      <c r="X2428">
        <v>1</v>
      </c>
      <c r="Y2428">
        <v>0</v>
      </c>
      <c r="Z2428">
        <v>0</v>
      </c>
      <c r="AB2428">
        <v>0</v>
      </c>
      <c r="AC2428">
        <v>9</v>
      </c>
      <c r="AD2428">
        <v>3</v>
      </c>
      <c r="AE2428">
        <v>0</v>
      </c>
      <c r="AF2428">
        <v>9</v>
      </c>
      <c r="AG2428" t="s">
        <v>158</v>
      </c>
      <c r="AH2428">
        <v>0</v>
      </c>
      <c r="AI2428">
        <v>3</v>
      </c>
      <c r="AJ2428">
        <v>1</v>
      </c>
      <c r="AK2428">
        <v>0</v>
      </c>
      <c r="AL2428" t="s">
        <v>4573</v>
      </c>
      <c r="AM2428">
        <v>46.911749999999998</v>
      </c>
      <c r="AN2428" t="s">
        <v>4574</v>
      </c>
      <c r="AO2428">
        <v>-123.248684</v>
      </c>
      <c r="AP2428">
        <v>100</v>
      </c>
      <c r="AQ2428">
        <v>2000</v>
      </c>
      <c r="AR2428" t="s">
        <v>118</v>
      </c>
      <c r="AS2428">
        <v>-64</v>
      </c>
      <c r="AT2428">
        <v>45</v>
      </c>
      <c r="AU2428">
        <v>-256</v>
      </c>
      <c r="BC2428">
        <v>1200</v>
      </c>
      <c r="BD2428">
        <v>1</v>
      </c>
      <c r="BE2428" t="str">
        <f t="shared" si="113"/>
        <v xml:space="preserve">N215T   </v>
      </c>
      <c r="BF2428">
        <v>1</v>
      </c>
      <c r="BH2428">
        <v>0</v>
      </c>
      <c r="BI2428">
        <v>0</v>
      </c>
      <c r="BJ2428">
        <v>0</v>
      </c>
      <c r="BK2428">
        <v>2400</v>
      </c>
      <c r="BL2428">
        <v>400</v>
      </c>
      <c r="BM2428" t="s">
        <v>119</v>
      </c>
      <c r="BN2428">
        <v>1</v>
      </c>
      <c r="BO2428">
        <v>1</v>
      </c>
      <c r="BP2428">
        <v>1</v>
      </c>
      <c r="BQ2428">
        <v>0</v>
      </c>
      <c r="BT2428">
        <v>0</v>
      </c>
      <c r="BU2428">
        <v>0</v>
      </c>
      <c r="BV2428">
        <v>0</v>
      </c>
      <c r="CC2428" t="str">
        <f>"19:15:20.125"</f>
        <v>19:15:20.125</v>
      </c>
      <c r="CD2428" t="str">
        <f>"128630883"</f>
        <v>128630883</v>
      </c>
      <c r="CQ2428">
        <v>0</v>
      </c>
      <c r="CR2428">
        <v>2</v>
      </c>
      <c r="CS2428">
        <v>0</v>
      </c>
      <c r="CT2428">
        <v>2</v>
      </c>
      <c r="CU2428">
        <v>0</v>
      </c>
      <c r="CV2428">
        <v>7</v>
      </c>
      <c r="CW2428" t="s">
        <v>120</v>
      </c>
      <c r="CX2428">
        <v>261</v>
      </c>
      <c r="CY2428">
        <v>2</v>
      </c>
      <c r="CZ2428" t="s">
        <v>121</v>
      </c>
      <c r="DA2428" t="s">
        <v>122</v>
      </c>
      <c r="DD2428">
        <v>15746858</v>
      </c>
      <c r="DE2428" t="s">
        <v>123</v>
      </c>
    </row>
    <row r="2429" spans="1:109" x14ac:dyDescent="0.3">
      <c r="A2429" t="str">
        <f>"19:15:21.477"</f>
        <v>19:15:21.477</v>
      </c>
      <c r="B2429" t="s">
        <v>110</v>
      </c>
      <c r="C2429" t="str">
        <f t="shared" si="111"/>
        <v>ffdfd3c0</v>
      </c>
      <c r="D2429" t="s">
        <v>111</v>
      </c>
      <c r="E2429">
        <v>18</v>
      </c>
      <c r="F2429">
        <v>1018</v>
      </c>
      <c r="G2429" t="s">
        <v>112</v>
      </c>
      <c r="J2429" t="s">
        <v>113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R2429" t="s">
        <v>114</v>
      </c>
      <c r="S2429" t="str">
        <f>"19:15:21.250"</f>
        <v>19:15:21.250</v>
      </c>
      <c r="T2429" t="str">
        <f>"19:15:21.250"</f>
        <v>19:15:21.250</v>
      </c>
      <c r="U2429" t="str">
        <f t="shared" si="112"/>
        <v>a1cdbe</v>
      </c>
      <c r="V2429">
        <v>0</v>
      </c>
      <c r="W2429">
        <v>0</v>
      </c>
      <c r="X2429">
        <v>1</v>
      </c>
      <c r="Y2429">
        <v>0</v>
      </c>
      <c r="Z2429">
        <v>0</v>
      </c>
      <c r="AB2429">
        <v>0</v>
      </c>
      <c r="AC2429">
        <v>9</v>
      </c>
      <c r="AD2429">
        <v>3</v>
      </c>
      <c r="AE2429">
        <v>0</v>
      </c>
      <c r="AF2429">
        <v>9</v>
      </c>
      <c r="AG2429" t="s">
        <v>158</v>
      </c>
      <c r="AH2429">
        <v>0</v>
      </c>
      <c r="AI2429">
        <v>3</v>
      </c>
      <c r="AJ2429">
        <v>1</v>
      </c>
      <c r="AK2429">
        <v>0</v>
      </c>
      <c r="AL2429" t="s">
        <v>4575</v>
      </c>
      <c r="AM2429">
        <v>46.911985999999999</v>
      </c>
      <c r="AN2429" t="s">
        <v>4576</v>
      </c>
      <c r="AO2429">
        <v>-123.249156</v>
      </c>
      <c r="AP2429">
        <v>100</v>
      </c>
      <c r="AQ2429">
        <v>2000</v>
      </c>
      <c r="AR2429" t="s">
        <v>118</v>
      </c>
      <c r="AS2429">
        <v>-64</v>
      </c>
      <c r="AT2429">
        <v>45</v>
      </c>
      <c r="AU2429">
        <v>-256</v>
      </c>
      <c r="BC2429">
        <v>1200</v>
      </c>
      <c r="BD2429">
        <v>1</v>
      </c>
      <c r="BE2429" t="str">
        <f t="shared" si="113"/>
        <v xml:space="preserve">N215T   </v>
      </c>
      <c r="BF2429">
        <v>1</v>
      </c>
      <c r="BH2429">
        <v>0</v>
      </c>
      <c r="BI2429">
        <v>0</v>
      </c>
      <c r="BJ2429">
        <v>0</v>
      </c>
      <c r="BK2429">
        <v>2400</v>
      </c>
      <c r="BL2429">
        <v>400</v>
      </c>
      <c r="BM2429" t="s">
        <v>119</v>
      </c>
      <c r="BN2429">
        <v>1</v>
      </c>
      <c r="BO2429">
        <v>1</v>
      </c>
      <c r="BP2429">
        <v>1</v>
      </c>
      <c r="BQ2429">
        <v>0</v>
      </c>
      <c r="BT2429">
        <v>0</v>
      </c>
      <c r="BU2429">
        <v>0</v>
      </c>
      <c r="BV2429">
        <v>0</v>
      </c>
      <c r="CC2429" t="str">
        <f>"19:15:21.250"</f>
        <v>19:15:21.250</v>
      </c>
      <c r="CD2429" t="str">
        <f>"253520049"</f>
        <v>253520049</v>
      </c>
      <c r="CQ2429">
        <v>0</v>
      </c>
      <c r="CR2429">
        <v>2</v>
      </c>
      <c r="CS2429">
        <v>0</v>
      </c>
      <c r="CT2429">
        <v>2</v>
      </c>
      <c r="CU2429">
        <v>0</v>
      </c>
      <c r="CV2429">
        <v>7</v>
      </c>
      <c r="CW2429" t="s">
        <v>120</v>
      </c>
      <c r="CX2429">
        <v>261</v>
      </c>
      <c r="CY2429">
        <v>2</v>
      </c>
      <c r="CZ2429" t="s">
        <v>121</v>
      </c>
      <c r="DA2429" t="s">
        <v>122</v>
      </c>
      <c r="DD2429">
        <v>15747611</v>
      </c>
      <c r="DE2429" t="s">
        <v>123</v>
      </c>
    </row>
    <row r="2430" spans="1:109" x14ac:dyDescent="0.3">
      <c r="A2430" t="str">
        <f>"19:15:22.281"</f>
        <v>19:15:22.281</v>
      </c>
      <c r="B2430" t="s">
        <v>110</v>
      </c>
      <c r="C2430" t="str">
        <f t="shared" si="111"/>
        <v>ffdfd3c0</v>
      </c>
      <c r="D2430" t="s">
        <v>111</v>
      </c>
      <c r="E2430">
        <v>18</v>
      </c>
      <c r="F2430">
        <v>1018</v>
      </c>
      <c r="G2430" t="s">
        <v>112</v>
      </c>
      <c r="J2430" t="s">
        <v>113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R2430" t="s">
        <v>114</v>
      </c>
      <c r="S2430" t="str">
        <f>"19:15:22.078"</f>
        <v>19:15:22.078</v>
      </c>
      <c r="T2430" t="str">
        <f>"19:15:21.680"</f>
        <v>19:15:21.680</v>
      </c>
      <c r="U2430" t="str">
        <f t="shared" si="112"/>
        <v>a1cdbe</v>
      </c>
      <c r="V2430">
        <v>0</v>
      </c>
      <c r="W2430">
        <v>0</v>
      </c>
      <c r="X2430">
        <v>1</v>
      </c>
      <c r="Y2430">
        <v>0</v>
      </c>
      <c r="Z2430">
        <v>0</v>
      </c>
      <c r="AB2430">
        <v>0</v>
      </c>
      <c r="AC2430">
        <v>9</v>
      </c>
      <c r="AD2430">
        <v>3</v>
      </c>
      <c r="AE2430">
        <v>0</v>
      </c>
      <c r="AF2430">
        <v>9</v>
      </c>
      <c r="AG2430" t="s">
        <v>158</v>
      </c>
      <c r="AH2430">
        <v>0</v>
      </c>
      <c r="AI2430">
        <v>3</v>
      </c>
      <c r="AJ2430">
        <v>1</v>
      </c>
      <c r="AK2430">
        <v>0</v>
      </c>
      <c r="AL2430" t="s">
        <v>1326</v>
      </c>
      <c r="AM2430">
        <v>46.912179000000002</v>
      </c>
      <c r="AN2430" t="s">
        <v>4577</v>
      </c>
      <c r="AO2430">
        <v>-123.2495</v>
      </c>
      <c r="AP2430">
        <v>100</v>
      </c>
      <c r="AQ2430">
        <v>2000</v>
      </c>
      <c r="AR2430" t="s">
        <v>118</v>
      </c>
      <c r="AS2430">
        <v>-63</v>
      </c>
      <c r="AT2430">
        <v>45</v>
      </c>
      <c r="AU2430">
        <v>-256</v>
      </c>
      <c r="BC2430">
        <v>1200</v>
      </c>
      <c r="BD2430">
        <v>1</v>
      </c>
      <c r="BE2430" t="str">
        <f t="shared" si="113"/>
        <v xml:space="preserve">N215T   </v>
      </c>
      <c r="BF2430">
        <v>1</v>
      </c>
      <c r="BH2430">
        <v>0</v>
      </c>
      <c r="BI2430">
        <v>0</v>
      </c>
      <c r="BJ2430">
        <v>0</v>
      </c>
      <c r="BK2430">
        <v>2375</v>
      </c>
      <c r="BL2430">
        <v>375</v>
      </c>
      <c r="BM2430" t="s">
        <v>119</v>
      </c>
      <c r="BN2430">
        <v>1</v>
      </c>
      <c r="BO2430">
        <v>1</v>
      </c>
      <c r="BP2430">
        <v>1</v>
      </c>
      <c r="BQ2430">
        <v>0</v>
      </c>
      <c r="BT2430">
        <v>0</v>
      </c>
      <c r="BU2430">
        <v>0</v>
      </c>
      <c r="BV2430">
        <v>0</v>
      </c>
      <c r="CC2430" t="str">
        <f>"19:15:22.078"</f>
        <v>19:15:22.078</v>
      </c>
      <c r="CD2430" t="str">
        <f>"078438767"</f>
        <v>078438767</v>
      </c>
      <c r="CQ2430">
        <v>0</v>
      </c>
      <c r="CR2430">
        <v>2</v>
      </c>
      <c r="CS2430">
        <v>0</v>
      </c>
      <c r="CT2430">
        <v>2</v>
      </c>
      <c r="CU2430">
        <v>0</v>
      </c>
      <c r="CV2430">
        <v>7</v>
      </c>
      <c r="CW2430" t="s">
        <v>120</v>
      </c>
      <c r="CX2430">
        <v>261</v>
      </c>
      <c r="CY2430">
        <v>2</v>
      </c>
      <c r="CZ2430" t="s">
        <v>121</v>
      </c>
      <c r="DA2430" t="s">
        <v>122</v>
      </c>
      <c r="DD2430">
        <v>15748158</v>
      </c>
      <c r="DE2430" t="s">
        <v>123</v>
      </c>
    </row>
    <row r="2431" spans="1:109" x14ac:dyDescent="0.3">
      <c r="A2431" t="str">
        <f>"19:15:23.297"</f>
        <v>19:15:23.297</v>
      </c>
      <c r="B2431" t="s">
        <v>110</v>
      </c>
      <c r="C2431" t="str">
        <f t="shared" si="111"/>
        <v>ffdfd3c0</v>
      </c>
      <c r="D2431" t="s">
        <v>111</v>
      </c>
      <c r="E2431">
        <v>18</v>
      </c>
      <c r="F2431">
        <v>1018</v>
      </c>
      <c r="G2431" t="s">
        <v>112</v>
      </c>
      <c r="J2431" t="s">
        <v>113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R2431" t="s">
        <v>114</v>
      </c>
      <c r="S2431" t="str">
        <f>"19:15:23.031"</f>
        <v>19:15:23.031</v>
      </c>
      <c r="T2431" t="str">
        <f>"19:15:22.633"</f>
        <v>19:15:22.633</v>
      </c>
      <c r="U2431" t="str">
        <f t="shared" si="112"/>
        <v>a1cdbe</v>
      </c>
      <c r="V2431">
        <v>0</v>
      </c>
      <c r="W2431">
        <v>0</v>
      </c>
      <c r="X2431">
        <v>1</v>
      </c>
      <c r="Y2431">
        <v>0</v>
      </c>
      <c r="Z2431">
        <v>0</v>
      </c>
      <c r="AB2431">
        <v>0</v>
      </c>
      <c r="AC2431">
        <v>9</v>
      </c>
      <c r="AD2431">
        <v>3</v>
      </c>
      <c r="AE2431">
        <v>0</v>
      </c>
      <c r="AF2431">
        <v>9</v>
      </c>
      <c r="AG2431" t="s">
        <v>158</v>
      </c>
      <c r="AH2431">
        <v>0</v>
      </c>
      <c r="AI2431">
        <v>3</v>
      </c>
      <c r="AJ2431">
        <v>1</v>
      </c>
      <c r="AK2431">
        <v>0</v>
      </c>
      <c r="AL2431" t="s">
        <v>4578</v>
      </c>
      <c r="AM2431">
        <v>46.912371999999998</v>
      </c>
      <c r="AN2431" t="s">
        <v>4579</v>
      </c>
      <c r="AO2431">
        <v>-123.24990699999999</v>
      </c>
      <c r="AP2431">
        <v>100</v>
      </c>
      <c r="AQ2431">
        <v>2000</v>
      </c>
      <c r="AR2431" t="s">
        <v>118</v>
      </c>
      <c r="AS2431">
        <v>-64</v>
      </c>
      <c r="AT2431">
        <v>45</v>
      </c>
      <c r="AU2431">
        <v>-256</v>
      </c>
      <c r="BC2431">
        <v>1200</v>
      </c>
      <c r="BD2431">
        <v>1</v>
      </c>
      <c r="BE2431" t="str">
        <f t="shared" si="113"/>
        <v xml:space="preserve">N215T   </v>
      </c>
      <c r="BF2431">
        <v>1</v>
      </c>
      <c r="BH2431">
        <v>0</v>
      </c>
      <c r="BI2431">
        <v>0</v>
      </c>
      <c r="BJ2431">
        <v>0</v>
      </c>
      <c r="BK2431">
        <v>2375</v>
      </c>
      <c r="BL2431">
        <v>375</v>
      </c>
      <c r="BM2431" t="s">
        <v>119</v>
      </c>
      <c r="BN2431">
        <v>1</v>
      </c>
      <c r="BO2431">
        <v>1</v>
      </c>
      <c r="BP2431">
        <v>1</v>
      </c>
      <c r="BQ2431">
        <v>0</v>
      </c>
      <c r="BT2431">
        <v>0</v>
      </c>
      <c r="BU2431">
        <v>0</v>
      </c>
      <c r="BV2431">
        <v>0</v>
      </c>
      <c r="CC2431" t="str">
        <f>"19:15:23.039"</f>
        <v>19:15:23.039</v>
      </c>
      <c r="CD2431" t="str">
        <f>"038344184"</f>
        <v>038344184</v>
      </c>
      <c r="CQ2431">
        <v>0</v>
      </c>
      <c r="CR2431">
        <v>2</v>
      </c>
      <c r="CS2431">
        <v>0</v>
      </c>
      <c r="CT2431">
        <v>2</v>
      </c>
      <c r="CU2431">
        <v>0</v>
      </c>
      <c r="CV2431">
        <v>7</v>
      </c>
      <c r="CW2431" t="s">
        <v>120</v>
      </c>
      <c r="CX2431">
        <v>261</v>
      </c>
      <c r="CY2431">
        <v>2</v>
      </c>
      <c r="CZ2431" t="s">
        <v>121</v>
      </c>
      <c r="DA2431" t="s">
        <v>122</v>
      </c>
      <c r="DD2431">
        <v>15748810</v>
      </c>
      <c r="DE2431" t="s">
        <v>123</v>
      </c>
    </row>
    <row r="2432" spans="1:109" x14ac:dyDescent="0.3">
      <c r="A2432" t="str">
        <f>"19:15:24.148"</f>
        <v>19:15:24.148</v>
      </c>
      <c r="B2432" t="s">
        <v>110</v>
      </c>
      <c r="C2432" t="str">
        <f t="shared" si="111"/>
        <v>ffdfd3c0</v>
      </c>
      <c r="D2432" t="s">
        <v>111</v>
      </c>
      <c r="E2432">
        <v>18</v>
      </c>
      <c r="F2432">
        <v>1018</v>
      </c>
      <c r="G2432" t="s">
        <v>112</v>
      </c>
      <c r="J2432" t="s">
        <v>113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R2432" t="s">
        <v>114</v>
      </c>
      <c r="S2432" t="str">
        <f>"19:15:23.633"</f>
        <v>19:15:23.633</v>
      </c>
      <c r="T2432" t="str">
        <f>"19:15:23.133"</f>
        <v>19:15:23.133</v>
      </c>
      <c r="U2432" t="str">
        <f t="shared" si="112"/>
        <v>a1cdbe</v>
      </c>
      <c r="V2432">
        <v>0</v>
      </c>
      <c r="W2432">
        <v>0</v>
      </c>
      <c r="X2432">
        <v>1</v>
      </c>
      <c r="Y2432">
        <v>0</v>
      </c>
      <c r="Z2432">
        <v>0</v>
      </c>
      <c r="AB2432">
        <v>0</v>
      </c>
      <c r="AC2432">
        <v>9</v>
      </c>
      <c r="AD2432">
        <v>3</v>
      </c>
      <c r="AE2432">
        <v>0</v>
      </c>
      <c r="AF2432">
        <v>9</v>
      </c>
      <c r="AG2432" t="s">
        <v>158</v>
      </c>
      <c r="AH2432">
        <v>0</v>
      </c>
      <c r="AI2432">
        <v>3</v>
      </c>
      <c r="AJ2432">
        <v>1</v>
      </c>
      <c r="AK2432">
        <v>0</v>
      </c>
      <c r="AL2432" t="s">
        <v>1324</v>
      </c>
      <c r="AM2432">
        <v>46.912500999999999</v>
      </c>
      <c r="AN2432" t="s">
        <v>4580</v>
      </c>
      <c r="AO2432">
        <v>-123.250186</v>
      </c>
      <c r="AP2432">
        <v>100</v>
      </c>
      <c r="AQ2432">
        <v>2000</v>
      </c>
      <c r="AR2432" t="s">
        <v>118</v>
      </c>
      <c r="AS2432">
        <v>-64</v>
      </c>
      <c r="AT2432">
        <v>45</v>
      </c>
      <c r="AU2432">
        <v>-256</v>
      </c>
      <c r="BC2432">
        <v>1200</v>
      </c>
      <c r="BD2432">
        <v>1</v>
      </c>
      <c r="BE2432" t="str">
        <f t="shared" si="113"/>
        <v xml:space="preserve">N215T   </v>
      </c>
      <c r="BF2432">
        <v>1</v>
      </c>
      <c r="BH2432">
        <v>0</v>
      </c>
      <c r="BI2432">
        <v>0</v>
      </c>
      <c r="BJ2432">
        <v>0</v>
      </c>
      <c r="BK2432">
        <v>2375</v>
      </c>
      <c r="BL2432">
        <v>375</v>
      </c>
      <c r="BM2432" t="s">
        <v>119</v>
      </c>
      <c r="BN2432">
        <v>1</v>
      </c>
      <c r="BO2432">
        <v>1</v>
      </c>
      <c r="BP2432">
        <v>1</v>
      </c>
      <c r="BQ2432">
        <v>0</v>
      </c>
      <c r="BT2432">
        <v>0</v>
      </c>
      <c r="BU2432">
        <v>0</v>
      </c>
      <c r="BV2432">
        <v>0</v>
      </c>
      <c r="CC2432" t="str">
        <f>"19:15:23.641"</f>
        <v>19:15:23.641</v>
      </c>
      <c r="CD2432" t="str">
        <f>"638479375"</f>
        <v>638479375</v>
      </c>
      <c r="CQ2432">
        <v>0</v>
      </c>
      <c r="CR2432">
        <v>2</v>
      </c>
      <c r="CS2432">
        <v>0</v>
      </c>
      <c r="CT2432">
        <v>2</v>
      </c>
      <c r="CU2432">
        <v>0</v>
      </c>
      <c r="CV2432">
        <v>1</v>
      </c>
      <c r="CW2432" t="s">
        <v>120</v>
      </c>
      <c r="CX2432">
        <v>259</v>
      </c>
      <c r="CY2432">
        <v>2</v>
      </c>
      <c r="CZ2432" t="s">
        <v>197</v>
      </c>
      <c r="DA2432" t="s">
        <v>198</v>
      </c>
      <c r="DD2432">
        <v>13223965</v>
      </c>
      <c r="DE2432" t="s">
        <v>123</v>
      </c>
    </row>
    <row r="2433" spans="1:109" x14ac:dyDescent="0.3">
      <c r="A2433" t="str">
        <f>"19:15:24.898"</f>
        <v>19:15:24.898</v>
      </c>
      <c r="B2433" t="s">
        <v>110</v>
      </c>
      <c r="C2433" t="str">
        <f t="shared" si="111"/>
        <v>ffdfd3c0</v>
      </c>
      <c r="D2433" t="s">
        <v>111</v>
      </c>
      <c r="E2433">
        <v>18</v>
      </c>
      <c r="F2433">
        <v>1018</v>
      </c>
      <c r="G2433" t="s">
        <v>112</v>
      </c>
      <c r="J2433" t="s">
        <v>113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R2433" t="s">
        <v>114</v>
      </c>
      <c r="S2433" t="str">
        <f>"19:15:24.672"</f>
        <v>19:15:24.672</v>
      </c>
      <c r="T2433" t="str">
        <f>"19:15:24.172"</f>
        <v>19:15:24.172</v>
      </c>
      <c r="U2433" t="str">
        <f t="shared" si="112"/>
        <v>a1cdbe</v>
      </c>
      <c r="V2433">
        <v>0</v>
      </c>
      <c r="W2433">
        <v>0</v>
      </c>
      <c r="X2433">
        <v>1</v>
      </c>
      <c r="Y2433">
        <v>0</v>
      </c>
      <c r="Z2433">
        <v>0</v>
      </c>
      <c r="AB2433">
        <v>0</v>
      </c>
      <c r="AC2433">
        <v>9</v>
      </c>
      <c r="AD2433">
        <v>3</v>
      </c>
      <c r="AE2433">
        <v>0</v>
      </c>
      <c r="AF2433">
        <v>9</v>
      </c>
      <c r="AG2433" t="s">
        <v>158</v>
      </c>
      <c r="AH2433">
        <v>0</v>
      </c>
      <c r="AI2433">
        <v>3</v>
      </c>
      <c r="AJ2433">
        <v>1</v>
      </c>
      <c r="AK2433">
        <v>0</v>
      </c>
      <c r="AL2433" t="s">
        <v>4581</v>
      </c>
      <c r="AM2433">
        <v>46.912694000000002</v>
      </c>
      <c r="AN2433" t="s">
        <v>4582</v>
      </c>
      <c r="AO2433">
        <v>-123.25061599999999</v>
      </c>
      <c r="AP2433">
        <v>100</v>
      </c>
      <c r="AQ2433">
        <v>2000</v>
      </c>
      <c r="AR2433" t="s">
        <v>118</v>
      </c>
      <c r="AS2433">
        <v>-64</v>
      </c>
      <c r="AT2433">
        <v>45</v>
      </c>
      <c r="AU2433">
        <v>-192</v>
      </c>
      <c r="BC2433">
        <v>1200</v>
      </c>
      <c r="BD2433">
        <v>1</v>
      </c>
      <c r="BE2433" t="str">
        <f t="shared" si="113"/>
        <v xml:space="preserve">N215T   </v>
      </c>
      <c r="BF2433">
        <v>1</v>
      </c>
      <c r="BH2433">
        <v>0</v>
      </c>
      <c r="BI2433">
        <v>0</v>
      </c>
      <c r="BJ2433">
        <v>0</v>
      </c>
      <c r="BK2433">
        <v>2375</v>
      </c>
      <c r="BL2433">
        <v>375</v>
      </c>
      <c r="BM2433" t="s">
        <v>119</v>
      </c>
      <c r="BN2433">
        <v>1</v>
      </c>
      <c r="BO2433">
        <v>1</v>
      </c>
      <c r="BP2433">
        <v>1</v>
      </c>
      <c r="BQ2433">
        <v>0</v>
      </c>
      <c r="BT2433">
        <v>0</v>
      </c>
      <c r="BU2433">
        <v>0</v>
      </c>
      <c r="BV2433">
        <v>0</v>
      </c>
      <c r="CC2433" t="str">
        <f>"19:15:24.672"</f>
        <v>19:15:24.672</v>
      </c>
      <c r="CD2433" t="str">
        <f>"673183110"</f>
        <v>673183110</v>
      </c>
      <c r="CQ2433">
        <v>0</v>
      </c>
      <c r="CR2433">
        <v>2</v>
      </c>
      <c r="CS2433">
        <v>0</v>
      </c>
      <c r="CT2433">
        <v>2</v>
      </c>
      <c r="CU2433">
        <v>0</v>
      </c>
      <c r="CV2433">
        <v>7</v>
      </c>
      <c r="CW2433" t="s">
        <v>120</v>
      </c>
      <c r="CX2433">
        <v>261</v>
      </c>
      <c r="CY2433">
        <v>2</v>
      </c>
      <c r="CZ2433" t="s">
        <v>121</v>
      </c>
      <c r="DA2433" t="s">
        <v>122</v>
      </c>
      <c r="DD2433">
        <v>15749973</v>
      </c>
      <c r="DE2433" t="s">
        <v>123</v>
      </c>
    </row>
    <row r="2434" spans="1:109" x14ac:dyDescent="0.3">
      <c r="A2434" t="str">
        <f>"19:15:25.953"</f>
        <v>19:15:25.953</v>
      </c>
      <c r="B2434" t="s">
        <v>110</v>
      </c>
      <c r="C2434" t="str">
        <f t="shared" ref="C2434:C2497" si="114">"ffdfd3c0"</f>
        <v>ffdfd3c0</v>
      </c>
      <c r="D2434" t="s">
        <v>111</v>
      </c>
      <c r="E2434">
        <v>18</v>
      </c>
      <c r="F2434">
        <v>1018</v>
      </c>
      <c r="G2434" t="s">
        <v>112</v>
      </c>
      <c r="J2434" t="s">
        <v>113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R2434" t="s">
        <v>114</v>
      </c>
      <c r="S2434" t="str">
        <f>"19:15:25.719"</f>
        <v>19:15:25.719</v>
      </c>
      <c r="T2434" t="str">
        <f>"19:15:25.719"</f>
        <v>19:15:25.719</v>
      </c>
      <c r="U2434" t="str">
        <f t="shared" ref="U2434:U2497" si="115">"a1cdbe"</f>
        <v>a1cdbe</v>
      </c>
      <c r="V2434">
        <v>0</v>
      </c>
      <c r="W2434">
        <v>0</v>
      </c>
      <c r="X2434">
        <v>1</v>
      </c>
      <c r="Y2434">
        <v>0</v>
      </c>
      <c r="Z2434">
        <v>0</v>
      </c>
      <c r="AB2434">
        <v>0</v>
      </c>
      <c r="AC2434">
        <v>9</v>
      </c>
      <c r="AD2434">
        <v>3</v>
      </c>
      <c r="AE2434">
        <v>0</v>
      </c>
      <c r="AF2434">
        <v>9</v>
      </c>
      <c r="AG2434" t="s">
        <v>158</v>
      </c>
      <c r="AH2434">
        <v>0</v>
      </c>
      <c r="AI2434">
        <v>3</v>
      </c>
      <c r="AJ2434">
        <v>1</v>
      </c>
      <c r="AK2434">
        <v>0</v>
      </c>
      <c r="AL2434" t="s">
        <v>4583</v>
      </c>
      <c r="AM2434">
        <v>46.912908999999999</v>
      </c>
      <c r="AN2434" t="s">
        <v>4584</v>
      </c>
      <c r="AO2434">
        <v>-123.251088</v>
      </c>
      <c r="AP2434">
        <v>100</v>
      </c>
      <c r="AQ2434">
        <v>2000</v>
      </c>
      <c r="AR2434" t="s">
        <v>118</v>
      </c>
      <c r="AS2434">
        <v>-63</v>
      </c>
      <c r="AT2434">
        <v>44</v>
      </c>
      <c r="AU2434">
        <v>-256</v>
      </c>
      <c r="BC2434">
        <v>1200</v>
      </c>
      <c r="BD2434">
        <v>1</v>
      </c>
      <c r="BE2434" t="str">
        <f t="shared" ref="BE2434:BE2497" si="116">"N215T   "</f>
        <v xml:space="preserve">N215T   </v>
      </c>
      <c r="BF2434">
        <v>1</v>
      </c>
      <c r="BH2434">
        <v>0</v>
      </c>
      <c r="BI2434">
        <v>0</v>
      </c>
      <c r="BJ2434">
        <v>0</v>
      </c>
      <c r="BK2434">
        <v>2375</v>
      </c>
      <c r="BL2434">
        <v>375</v>
      </c>
      <c r="BM2434" t="s">
        <v>119</v>
      </c>
      <c r="BN2434">
        <v>1</v>
      </c>
      <c r="BO2434">
        <v>1</v>
      </c>
      <c r="BP2434">
        <v>1</v>
      </c>
      <c r="BQ2434">
        <v>0</v>
      </c>
      <c r="BT2434">
        <v>0</v>
      </c>
      <c r="BU2434">
        <v>0</v>
      </c>
      <c r="BV2434">
        <v>0</v>
      </c>
      <c r="CC2434" t="str">
        <f>"19:15:25.727"</f>
        <v>19:15:25.727</v>
      </c>
      <c r="CD2434" t="str">
        <f>"723079657"</f>
        <v>723079657</v>
      </c>
      <c r="CQ2434">
        <v>0</v>
      </c>
      <c r="CR2434">
        <v>2</v>
      </c>
      <c r="CS2434">
        <v>0</v>
      </c>
      <c r="CT2434">
        <v>2</v>
      </c>
      <c r="CU2434">
        <v>0</v>
      </c>
      <c r="CV2434">
        <v>6</v>
      </c>
      <c r="CW2434" t="s">
        <v>120</v>
      </c>
      <c r="CX2434">
        <v>261</v>
      </c>
      <c r="CY2434">
        <v>2</v>
      </c>
      <c r="CZ2434" t="s">
        <v>121</v>
      </c>
      <c r="DA2434" t="s">
        <v>122</v>
      </c>
      <c r="DD2434">
        <v>15750642</v>
      </c>
      <c r="DE2434" t="s">
        <v>123</v>
      </c>
    </row>
    <row r="2435" spans="1:109" x14ac:dyDescent="0.3">
      <c r="A2435" t="str">
        <f>"19:15:26.805"</f>
        <v>19:15:26.805</v>
      </c>
      <c r="B2435" t="s">
        <v>110</v>
      </c>
      <c r="C2435" t="str">
        <f t="shared" si="114"/>
        <v>ffdfd3c0</v>
      </c>
      <c r="D2435" t="s">
        <v>111</v>
      </c>
      <c r="E2435">
        <v>18</v>
      </c>
      <c r="F2435">
        <v>1018</v>
      </c>
      <c r="G2435" t="s">
        <v>112</v>
      </c>
      <c r="J2435" t="s">
        <v>113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R2435" t="s">
        <v>114</v>
      </c>
      <c r="S2435" t="str">
        <f>"19:15:26.570"</f>
        <v>19:15:26.570</v>
      </c>
      <c r="T2435" t="str">
        <f>"19:15:26.273"</f>
        <v>19:15:26.273</v>
      </c>
      <c r="U2435" t="str">
        <f t="shared" si="115"/>
        <v>a1cdbe</v>
      </c>
      <c r="V2435">
        <v>0</v>
      </c>
      <c r="W2435">
        <v>0</v>
      </c>
      <c r="X2435">
        <v>1</v>
      </c>
      <c r="Y2435">
        <v>0</v>
      </c>
      <c r="Z2435">
        <v>0</v>
      </c>
      <c r="AB2435">
        <v>0</v>
      </c>
      <c r="AC2435">
        <v>9</v>
      </c>
      <c r="AD2435">
        <v>3</v>
      </c>
      <c r="AE2435">
        <v>0</v>
      </c>
      <c r="AF2435">
        <v>9</v>
      </c>
      <c r="AG2435" t="s">
        <v>158</v>
      </c>
      <c r="AH2435">
        <v>0</v>
      </c>
      <c r="AI2435">
        <v>3</v>
      </c>
      <c r="AJ2435">
        <v>1</v>
      </c>
      <c r="AK2435">
        <v>0</v>
      </c>
      <c r="AL2435" t="s">
        <v>4585</v>
      </c>
      <c r="AM2435">
        <v>46.913102000000002</v>
      </c>
      <c r="AN2435" t="s">
        <v>4586</v>
      </c>
      <c r="AO2435">
        <v>-123.251452</v>
      </c>
      <c r="AP2435">
        <v>100</v>
      </c>
      <c r="AQ2435">
        <v>2000</v>
      </c>
      <c r="AR2435" t="s">
        <v>118</v>
      </c>
      <c r="AS2435">
        <v>-63</v>
      </c>
      <c r="AT2435">
        <v>44</v>
      </c>
      <c r="AU2435">
        <v>-256</v>
      </c>
      <c r="BC2435">
        <v>1200</v>
      </c>
      <c r="BD2435">
        <v>1</v>
      </c>
      <c r="BE2435" t="str">
        <f t="shared" si="116"/>
        <v xml:space="preserve">N215T   </v>
      </c>
      <c r="BF2435">
        <v>1</v>
      </c>
      <c r="BH2435">
        <v>0</v>
      </c>
      <c r="BI2435">
        <v>0</v>
      </c>
      <c r="BJ2435">
        <v>0</v>
      </c>
      <c r="BK2435">
        <v>2375</v>
      </c>
      <c r="BL2435">
        <v>375</v>
      </c>
      <c r="BM2435" t="s">
        <v>119</v>
      </c>
      <c r="BN2435">
        <v>1</v>
      </c>
      <c r="BO2435">
        <v>1</v>
      </c>
      <c r="BP2435">
        <v>1</v>
      </c>
      <c r="BQ2435">
        <v>0</v>
      </c>
      <c r="BT2435">
        <v>0</v>
      </c>
      <c r="BU2435">
        <v>0</v>
      </c>
      <c r="BV2435">
        <v>0</v>
      </c>
      <c r="CC2435" t="str">
        <f>"19:15:26.578"</f>
        <v>19:15:26.578</v>
      </c>
      <c r="CD2435" t="str">
        <f>"577979026"</f>
        <v>577979026</v>
      </c>
      <c r="CQ2435">
        <v>0</v>
      </c>
      <c r="CR2435">
        <v>2</v>
      </c>
      <c r="CS2435">
        <v>0</v>
      </c>
      <c r="CT2435">
        <v>2</v>
      </c>
      <c r="CU2435">
        <v>0</v>
      </c>
      <c r="CV2435">
        <v>6</v>
      </c>
      <c r="CW2435" t="s">
        <v>120</v>
      </c>
      <c r="CX2435">
        <v>257</v>
      </c>
      <c r="CY2435">
        <v>0</v>
      </c>
      <c r="CZ2435" t="s">
        <v>615</v>
      </c>
      <c r="DA2435" t="s">
        <v>616</v>
      </c>
      <c r="DD2435">
        <v>15905652</v>
      </c>
      <c r="DE2435" t="s">
        <v>123</v>
      </c>
    </row>
    <row r="2436" spans="1:109" x14ac:dyDescent="0.3">
      <c r="A2436" t="str">
        <f>"19:15:27.961"</f>
        <v>19:15:27.961</v>
      </c>
      <c r="B2436" t="s">
        <v>110</v>
      </c>
      <c r="C2436" t="str">
        <f t="shared" si="114"/>
        <v>ffdfd3c0</v>
      </c>
      <c r="D2436" t="s">
        <v>111</v>
      </c>
      <c r="E2436">
        <v>18</v>
      </c>
      <c r="F2436">
        <v>1018</v>
      </c>
      <c r="G2436" t="s">
        <v>112</v>
      </c>
      <c r="J2436" t="s">
        <v>113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R2436" t="s">
        <v>114</v>
      </c>
      <c r="S2436" t="str">
        <f>"19:15:27.695"</f>
        <v>19:15:27.695</v>
      </c>
      <c r="T2436" t="str">
        <f>"19:15:27.297"</f>
        <v>19:15:27.297</v>
      </c>
      <c r="U2436" t="str">
        <f t="shared" si="115"/>
        <v>a1cdbe</v>
      </c>
      <c r="V2436">
        <v>0</v>
      </c>
      <c r="W2436">
        <v>0</v>
      </c>
      <c r="X2436">
        <v>1</v>
      </c>
      <c r="Y2436">
        <v>0</v>
      </c>
      <c r="Z2436">
        <v>0</v>
      </c>
      <c r="AB2436">
        <v>0</v>
      </c>
      <c r="AC2436">
        <v>9</v>
      </c>
      <c r="AD2436">
        <v>3</v>
      </c>
      <c r="AE2436">
        <v>0</v>
      </c>
      <c r="AF2436">
        <v>9</v>
      </c>
      <c r="AG2436" t="s">
        <v>158</v>
      </c>
      <c r="AH2436">
        <v>0</v>
      </c>
      <c r="AI2436">
        <v>3</v>
      </c>
      <c r="AJ2436">
        <v>1</v>
      </c>
      <c r="AK2436">
        <v>0</v>
      </c>
      <c r="AL2436" t="s">
        <v>4587</v>
      </c>
      <c r="AM2436">
        <v>46.913316000000002</v>
      </c>
      <c r="AN2436" t="s">
        <v>4588</v>
      </c>
      <c r="AO2436">
        <v>-123.251903</v>
      </c>
      <c r="AP2436">
        <v>100</v>
      </c>
      <c r="AQ2436">
        <v>2000</v>
      </c>
      <c r="AR2436" t="s">
        <v>118</v>
      </c>
      <c r="AS2436">
        <v>-62</v>
      </c>
      <c r="AT2436">
        <v>43</v>
      </c>
      <c r="AU2436">
        <v>-192</v>
      </c>
      <c r="BC2436">
        <v>1200</v>
      </c>
      <c r="BD2436">
        <v>1</v>
      </c>
      <c r="BE2436" t="str">
        <f t="shared" si="116"/>
        <v xml:space="preserve">N215T   </v>
      </c>
      <c r="BF2436">
        <v>1</v>
      </c>
      <c r="BH2436">
        <v>0</v>
      </c>
      <c r="BI2436">
        <v>0</v>
      </c>
      <c r="BJ2436">
        <v>0</v>
      </c>
      <c r="BK2436">
        <v>2375</v>
      </c>
      <c r="BL2436">
        <v>375</v>
      </c>
      <c r="BM2436" t="s">
        <v>119</v>
      </c>
      <c r="BN2436">
        <v>1</v>
      </c>
      <c r="BO2436">
        <v>1</v>
      </c>
      <c r="BP2436">
        <v>1</v>
      </c>
      <c r="BQ2436">
        <v>0</v>
      </c>
      <c r="BT2436">
        <v>0</v>
      </c>
      <c r="BU2436">
        <v>0</v>
      </c>
      <c r="BV2436">
        <v>0</v>
      </c>
      <c r="CC2436" t="str">
        <f>"19:15:27.703"</f>
        <v>19:15:27.703</v>
      </c>
      <c r="CD2436" t="str">
        <f>"702884591"</f>
        <v>702884591</v>
      </c>
      <c r="CQ2436">
        <v>0</v>
      </c>
      <c r="CR2436">
        <v>2</v>
      </c>
      <c r="CS2436">
        <v>0</v>
      </c>
      <c r="CT2436">
        <v>2</v>
      </c>
      <c r="CU2436">
        <v>0</v>
      </c>
      <c r="CV2436">
        <v>6</v>
      </c>
      <c r="CW2436" t="s">
        <v>120</v>
      </c>
      <c r="CX2436">
        <v>261</v>
      </c>
      <c r="CY2436">
        <v>2</v>
      </c>
      <c r="CZ2436" t="s">
        <v>121</v>
      </c>
      <c r="DA2436" t="s">
        <v>122</v>
      </c>
      <c r="DD2436">
        <v>15751997</v>
      </c>
      <c r="DE2436" t="s">
        <v>123</v>
      </c>
    </row>
    <row r="2437" spans="1:109" x14ac:dyDescent="0.3">
      <c r="A2437" t="str">
        <f>"19:15:28.867"</f>
        <v>19:15:28.867</v>
      </c>
      <c r="B2437" t="s">
        <v>110</v>
      </c>
      <c r="C2437" t="str">
        <f t="shared" si="114"/>
        <v>ffdfd3c0</v>
      </c>
      <c r="D2437" t="s">
        <v>111</v>
      </c>
      <c r="E2437">
        <v>18</v>
      </c>
      <c r="F2437">
        <v>1018</v>
      </c>
      <c r="G2437" t="s">
        <v>112</v>
      </c>
      <c r="J2437" t="s">
        <v>113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R2437" t="s">
        <v>114</v>
      </c>
      <c r="S2437" t="str">
        <f>"19:15:28.625"</f>
        <v>19:15:28.625</v>
      </c>
      <c r="T2437" t="str">
        <f>"19:15:28.625"</f>
        <v>19:15:28.625</v>
      </c>
      <c r="U2437" t="str">
        <f t="shared" si="115"/>
        <v>a1cdbe</v>
      </c>
      <c r="V2437">
        <v>0</v>
      </c>
      <c r="W2437">
        <v>0</v>
      </c>
      <c r="X2437">
        <v>1</v>
      </c>
      <c r="Y2437">
        <v>0</v>
      </c>
      <c r="Z2437">
        <v>0</v>
      </c>
      <c r="AB2437">
        <v>0</v>
      </c>
      <c r="AC2437">
        <v>9</v>
      </c>
      <c r="AD2437">
        <v>3</v>
      </c>
      <c r="AE2437">
        <v>0</v>
      </c>
      <c r="AF2437">
        <v>9</v>
      </c>
      <c r="AG2437" t="s">
        <v>158</v>
      </c>
      <c r="AH2437">
        <v>0</v>
      </c>
      <c r="AI2437">
        <v>3</v>
      </c>
      <c r="AJ2437">
        <v>1</v>
      </c>
      <c r="AK2437">
        <v>0</v>
      </c>
      <c r="AL2437" t="s">
        <v>4589</v>
      </c>
      <c r="AM2437">
        <v>46.913488000000001</v>
      </c>
      <c r="AN2437" t="s">
        <v>4590</v>
      </c>
      <c r="AO2437">
        <v>-123.25231100000001</v>
      </c>
      <c r="AP2437">
        <v>100</v>
      </c>
      <c r="AQ2437">
        <v>2000</v>
      </c>
      <c r="AR2437" t="s">
        <v>118</v>
      </c>
      <c r="AS2437">
        <v>-61</v>
      </c>
      <c r="AT2437">
        <v>43</v>
      </c>
      <c r="AU2437">
        <v>128</v>
      </c>
      <c r="BC2437">
        <v>1200</v>
      </c>
      <c r="BD2437">
        <v>1</v>
      </c>
      <c r="BE2437" t="str">
        <f t="shared" si="116"/>
        <v xml:space="preserve">N215T   </v>
      </c>
      <c r="BF2437">
        <v>1</v>
      </c>
      <c r="BH2437">
        <v>0</v>
      </c>
      <c r="BI2437">
        <v>0</v>
      </c>
      <c r="BJ2437">
        <v>0</v>
      </c>
      <c r="BK2437">
        <v>2375</v>
      </c>
      <c r="BL2437">
        <v>375</v>
      </c>
      <c r="BM2437" t="s">
        <v>119</v>
      </c>
      <c r="BN2437">
        <v>1</v>
      </c>
      <c r="BO2437">
        <v>1</v>
      </c>
      <c r="BP2437">
        <v>1</v>
      </c>
      <c r="BQ2437">
        <v>0</v>
      </c>
      <c r="BT2437">
        <v>0</v>
      </c>
      <c r="BU2437">
        <v>0</v>
      </c>
      <c r="BV2437">
        <v>0</v>
      </c>
      <c r="CC2437" t="str">
        <f>"19:15:28.633"</f>
        <v>19:15:28.633</v>
      </c>
      <c r="CD2437" t="str">
        <f>"632792972"</f>
        <v>632792972</v>
      </c>
      <c r="CQ2437">
        <v>0</v>
      </c>
      <c r="CR2437">
        <v>2</v>
      </c>
      <c r="CS2437">
        <v>0</v>
      </c>
      <c r="CT2437">
        <v>2</v>
      </c>
      <c r="CU2437">
        <v>0</v>
      </c>
      <c r="CV2437">
        <v>7</v>
      </c>
      <c r="CW2437" t="s">
        <v>120</v>
      </c>
      <c r="CX2437">
        <v>261</v>
      </c>
      <c r="CY2437">
        <v>2</v>
      </c>
      <c r="CZ2437" t="s">
        <v>121</v>
      </c>
      <c r="DA2437" t="s">
        <v>122</v>
      </c>
      <c r="DD2437">
        <v>15752665</v>
      </c>
      <c r="DE2437" t="s">
        <v>123</v>
      </c>
    </row>
    <row r="2438" spans="1:109" x14ac:dyDescent="0.3">
      <c r="A2438" t="str">
        <f>"19:15:29.875"</f>
        <v>19:15:29.875</v>
      </c>
      <c r="B2438" t="s">
        <v>110</v>
      </c>
      <c r="C2438" t="str">
        <f t="shared" si="114"/>
        <v>ffdfd3c0</v>
      </c>
      <c r="D2438" t="s">
        <v>111</v>
      </c>
      <c r="E2438">
        <v>18</v>
      </c>
      <c r="F2438">
        <v>1018</v>
      </c>
      <c r="G2438" t="s">
        <v>112</v>
      </c>
      <c r="J2438" t="s">
        <v>113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R2438" t="s">
        <v>114</v>
      </c>
      <c r="S2438" t="str">
        <f>"19:15:29.602"</f>
        <v>19:15:29.602</v>
      </c>
      <c r="T2438" t="str">
        <f>"19:15:29.602"</f>
        <v>19:15:29.602</v>
      </c>
      <c r="U2438" t="str">
        <f t="shared" si="115"/>
        <v>a1cdbe</v>
      </c>
      <c r="V2438">
        <v>0</v>
      </c>
      <c r="W2438">
        <v>0</v>
      </c>
      <c r="X2438">
        <v>1</v>
      </c>
      <c r="Y2438">
        <v>0</v>
      </c>
      <c r="Z2438">
        <v>0</v>
      </c>
      <c r="AB2438">
        <v>0</v>
      </c>
      <c r="AC2438">
        <v>9</v>
      </c>
      <c r="AD2438">
        <v>3</v>
      </c>
      <c r="AE2438">
        <v>0</v>
      </c>
      <c r="AF2438">
        <v>9</v>
      </c>
      <c r="AG2438" t="s">
        <v>158</v>
      </c>
      <c r="AH2438">
        <v>0</v>
      </c>
      <c r="AI2438">
        <v>3</v>
      </c>
      <c r="AJ2438">
        <v>1</v>
      </c>
      <c r="AK2438">
        <v>0</v>
      </c>
      <c r="AL2438" t="s">
        <v>4591</v>
      </c>
      <c r="AM2438">
        <v>46.913680999999997</v>
      </c>
      <c r="AN2438" t="s">
        <v>4592</v>
      </c>
      <c r="AO2438">
        <v>-123.25274</v>
      </c>
      <c r="AP2438">
        <v>100</v>
      </c>
      <c r="AQ2438">
        <v>2000</v>
      </c>
      <c r="AR2438" t="s">
        <v>118</v>
      </c>
      <c r="AS2438">
        <v>-62</v>
      </c>
      <c r="AT2438">
        <v>41</v>
      </c>
      <c r="AU2438">
        <v>128</v>
      </c>
      <c r="BC2438">
        <v>1200</v>
      </c>
      <c r="BD2438">
        <v>1</v>
      </c>
      <c r="BE2438" t="str">
        <f t="shared" si="116"/>
        <v xml:space="preserve">N215T   </v>
      </c>
      <c r="BF2438">
        <v>1</v>
      </c>
      <c r="BH2438">
        <v>0</v>
      </c>
      <c r="BI2438">
        <v>0</v>
      </c>
      <c r="BJ2438">
        <v>0</v>
      </c>
      <c r="BK2438">
        <v>2375</v>
      </c>
      <c r="BL2438">
        <v>375</v>
      </c>
      <c r="BM2438" t="s">
        <v>119</v>
      </c>
      <c r="BN2438">
        <v>1</v>
      </c>
      <c r="BO2438">
        <v>1</v>
      </c>
      <c r="BP2438">
        <v>1</v>
      </c>
      <c r="BQ2438">
        <v>0</v>
      </c>
      <c r="BT2438">
        <v>0</v>
      </c>
      <c r="BU2438">
        <v>0</v>
      </c>
      <c r="BV2438">
        <v>0</v>
      </c>
      <c r="CC2438" t="str">
        <f>"19:15:29.609"</f>
        <v>19:15:29.609</v>
      </c>
      <c r="CD2438" t="str">
        <f>"607680545"</f>
        <v>607680545</v>
      </c>
      <c r="CQ2438">
        <v>0</v>
      </c>
      <c r="CR2438">
        <v>2</v>
      </c>
      <c r="CS2438">
        <v>0</v>
      </c>
      <c r="CT2438">
        <v>2</v>
      </c>
      <c r="CU2438">
        <v>0</v>
      </c>
      <c r="CV2438">
        <v>6</v>
      </c>
      <c r="CW2438" t="s">
        <v>120</v>
      </c>
      <c r="CX2438">
        <v>257</v>
      </c>
      <c r="CY2438">
        <v>0</v>
      </c>
      <c r="CZ2438" t="s">
        <v>615</v>
      </c>
      <c r="DA2438" t="s">
        <v>616</v>
      </c>
      <c r="DD2438">
        <v>15907288</v>
      </c>
      <c r="DE2438" t="s">
        <v>123</v>
      </c>
    </row>
    <row r="2439" spans="1:109" x14ac:dyDescent="0.3">
      <c r="A2439" t="str">
        <f>"19:15:30.828"</f>
        <v>19:15:30.828</v>
      </c>
      <c r="B2439" t="s">
        <v>110</v>
      </c>
      <c r="C2439" t="str">
        <f t="shared" si="114"/>
        <v>ffdfd3c0</v>
      </c>
      <c r="D2439" t="s">
        <v>111</v>
      </c>
      <c r="E2439">
        <v>18</v>
      </c>
      <c r="F2439">
        <v>1018</v>
      </c>
      <c r="G2439" t="s">
        <v>112</v>
      </c>
      <c r="J2439" t="s">
        <v>113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R2439" t="s">
        <v>114</v>
      </c>
      <c r="S2439" t="str">
        <f>"19:15:30.609"</f>
        <v>19:15:30.609</v>
      </c>
      <c r="T2439" t="str">
        <f>"19:15:30.211"</f>
        <v>19:15:30.211</v>
      </c>
      <c r="U2439" t="str">
        <f t="shared" si="115"/>
        <v>a1cdbe</v>
      </c>
      <c r="V2439">
        <v>0</v>
      </c>
      <c r="W2439">
        <v>0</v>
      </c>
      <c r="X2439">
        <v>1</v>
      </c>
      <c r="Y2439">
        <v>0</v>
      </c>
      <c r="Z2439">
        <v>0</v>
      </c>
      <c r="AB2439">
        <v>0</v>
      </c>
      <c r="AC2439">
        <v>9</v>
      </c>
      <c r="AD2439">
        <v>3</v>
      </c>
      <c r="AE2439">
        <v>0</v>
      </c>
      <c r="AF2439">
        <v>9</v>
      </c>
      <c r="AG2439" t="s">
        <v>158</v>
      </c>
      <c r="AH2439">
        <v>0</v>
      </c>
      <c r="AI2439">
        <v>3</v>
      </c>
      <c r="AJ2439">
        <v>1</v>
      </c>
      <c r="AK2439">
        <v>0</v>
      </c>
      <c r="AL2439" t="s">
        <v>4593</v>
      </c>
      <c r="AM2439">
        <v>46.913896000000001</v>
      </c>
      <c r="AN2439" t="s">
        <v>4594</v>
      </c>
      <c r="AO2439">
        <v>-123.253148</v>
      </c>
      <c r="AP2439">
        <v>100</v>
      </c>
      <c r="AQ2439">
        <v>2000</v>
      </c>
      <c r="AR2439" t="s">
        <v>118</v>
      </c>
      <c r="AS2439">
        <v>-62</v>
      </c>
      <c r="AT2439">
        <v>41</v>
      </c>
      <c r="AU2439">
        <v>-64</v>
      </c>
      <c r="BC2439">
        <v>1200</v>
      </c>
      <c r="BD2439">
        <v>1</v>
      </c>
      <c r="BE2439" t="str">
        <f t="shared" si="116"/>
        <v xml:space="preserve">N215T   </v>
      </c>
      <c r="BF2439">
        <v>1</v>
      </c>
      <c r="BH2439">
        <v>0</v>
      </c>
      <c r="BI2439">
        <v>0</v>
      </c>
      <c r="BJ2439">
        <v>0</v>
      </c>
      <c r="BK2439">
        <v>2375</v>
      </c>
      <c r="BL2439">
        <v>375</v>
      </c>
      <c r="BM2439" t="s">
        <v>119</v>
      </c>
      <c r="BN2439">
        <v>1</v>
      </c>
      <c r="BO2439">
        <v>1</v>
      </c>
      <c r="BP2439">
        <v>1</v>
      </c>
      <c r="BQ2439">
        <v>0</v>
      </c>
      <c r="BT2439">
        <v>0</v>
      </c>
      <c r="BU2439">
        <v>0</v>
      </c>
      <c r="BV2439">
        <v>0</v>
      </c>
      <c r="CC2439" t="str">
        <f>"19:15:30.609"</f>
        <v>19:15:30.609</v>
      </c>
      <c r="CD2439" t="str">
        <f>"612597905"</f>
        <v>612597905</v>
      </c>
      <c r="CQ2439">
        <v>0</v>
      </c>
      <c r="CR2439">
        <v>2</v>
      </c>
      <c r="CS2439">
        <v>0</v>
      </c>
      <c r="CT2439">
        <v>2</v>
      </c>
      <c r="CU2439">
        <v>0</v>
      </c>
      <c r="CV2439">
        <v>7</v>
      </c>
      <c r="CW2439" t="s">
        <v>120</v>
      </c>
      <c r="CX2439">
        <v>261</v>
      </c>
      <c r="CY2439">
        <v>2</v>
      </c>
      <c r="CZ2439" t="s">
        <v>121</v>
      </c>
      <c r="DA2439" t="s">
        <v>122</v>
      </c>
      <c r="DD2439">
        <v>15754009</v>
      </c>
      <c r="DE2439" t="s">
        <v>123</v>
      </c>
    </row>
    <row r="2440" spans="1:109" x14ac:dyDescent="0.3">
      <c r="A2440" t="str">
        <f>"19:15:31.984"</f>
        <v>19:15:31.984</v>
      </c>
      <c r="B2440" t="s">
        <v>110</v>
      </c>
      <c r="C2440" t="str">
        <f t="shared" si="114"/>
        <v>ffdfd3c0</v>
      </c>
      <c r="D2440" t="s">
        <v>111</v>
      </c>
      <c r="E2440">
        <v>18</v>
      </c>
      <c r="F2440">
        <v>1018</v>
      </c>
      <c r="G2440" t="s">
        <v>112</v>
      </c>
      <c r="J2440" t="s">
        <v>113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R2440" t="s">
        <v>114</v>
      </c>
      <c r="S2440" t="str">
        <f>"19:15:31.766"</f>
        <v>19:15:31.766</v>
      </c>
      <c r="T2440" t="str">
        <f>"19:15:31.766"</f>
        <v>19:15:31.766</v>
      </c>
      <c r="U2440" t="str">
        <f t="shared" si="115"/>
        <v>a1cdbe</v>
      </c>
      <c r="V2440">
        <v>0</v>
      </c>
      <c r="W2440">
        <v>0</v>
      </c>
      <c r="X2440">
        <v>1</v>
      </c>
      <c r="Y2440">
        <v>0</v>
      </c>
      <c r="Z2440">
        <v>0</v>
      </c>
      <c r="AB2440">
        <v>0</v>
      </c>
      <c r="AC2440">
        <v>9</v>
      </c>
      <c r="AD2440">
        <v>3</v>
      </c>
      <c r="AE2440">
        <v>0</v>
      </c>
      <c r="AF2440">
        <v>9</v>
      </c>
      <c r="AG2440" t="s">
        <v>158</v>
      </c>
      <c r="AH2440">
        <v>0</v>
      </c>
      <c r="AI2440">
        <v>3</v>
      </c>
      <c r="AJ2440">
        <v>1</v>
      </c>
      <c r="AK2440">
        <v>0</v>
      </c>
      <c r="AL2440" t="s">
        <v>1316</v>
      </c>
      <c r="AM2440">
        <v>46.914088999999997</v>
      </c>
      <c r="AN2440" t="s">
        <v>4595</v>
      </c>
      <c r="AO2440">
        <v>-123.253641</v>
      </c>
      <c r="AP2440">
        <v>100</v>
      </c>
      <c r="AQ2440">
        <v>2000</v>
      </c>
      <c r="AR2440" t="s">
        <v>118</v>
      </c>
      <c r="AS2440">
        <v>-62</v>
      </c>
      <c r="AT2440">
        <v>41</v>
      </c>
      <c r="AU2440">
        <v>64</v>
      </c>
      <c r="BC2440">
        <v>1200</v>
      </c>
      <c r="BD2440">
        <v>1</v>
      </c>
      <c r="BE2440" t="str">
        <f t="shared" si="116"/>
        <v xml:space="preserve">N215T   </v>
      </c>
      <c r="BF2440">
        <v>1</v>
      </c>
      <c r="BH2440">
        <v>0</v>
      </c>
      <c r="BI2440">
        <v>0</v>
      </c>
      <c r="BJ2440">
        <v>0</v>
      </c>
      <c r="BK2440">
        <v>2375</v>
      </c>
      <c r="BL2440">
        <v>375</v>
      </c>
      <c r="BM2440" t="s">
        <v>119</v>
      </c>
      <c r="BN2440">
        <v>1</v>
      </c>
      <c r="BO2440">
        <v>1</v>
      </c>
      <c r="BP2440">
        <v>1</v>
      </c>
      <c r="BQ2440">
        <v>0</v>
      </c>
      <c r="BT2440">
        <v>0</v>
      </c>
      <c r="BU2440">
        <v>0</v>
      </c>
      <c r="BV2440">
        <v>0</v>
      </c>
      <c r="CC2440" t="str">
        <f>"19:15:31.766"</f>
        <v>19:15:31.766</v>
      </c>
      <c r="CD2440" t="str">
        <f>"767484111"</f>
        <v>767484111</v>
      </c>
      <c r="CQ2440">
        <v>0</v>
      </c>
      <c r="CR2440">
        <v>2</v>
      </c>
      <c r="CS2440">
        <v>0</v>
      </c>
      <c r="CT2440">
        <v>2</v>
      </c>
      <c r="CU2440">
        <v>0</v>
      </c>
      <c r="CV2440">
        <v>6</v>
      </c>
      <c r="CW2440" t="s">
        <v>120</v>
      </c>
      <c r="CX2440">
        <v>261</v>
      </c>
      <c r="CY2440">
        <v>2</v>
      </c>
      <c r="CZ2440" t="s">
        <v>121</v>
      </c>
      <c r="DA2440" t="s">
        <v>122</v>
      </c>
      <c r="DD2440">
        <v>15754837</v>
      </c>
      <c r="DE2440" t="s">
        <v>123</v>
      </c>
    </row>
    <row r="2441" spans="1:109" x14ac:dyDescent="0.3">
      <c r="A2441" t="str">
        <f>"19:15:33.047"</f>
        <v>19:15:33.047</v>
      </c>
      <c r="B2441" t="s">
        <v>110</v>
      </c>
      <c r="C2441" t="str">
        <f t="shared" si="114"/>
        <v>ffdfd3c0</v>
      </c>
      <c r="D2441" t="s">
        <v>111</v>
      </c>
      <c r="E2441">
        <v>18</v>
      </c>
      <c r="F2441">
        <v>1018</v>
      </c>
      <c r="G2441" t="s">
        <v>112</v>
      </c>
      <c r="J2441" t="s">
        <v>113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R2441" t="s">
        <v>114</v>
      </c>
      <c r="S2441" t="str">
        <f>"19:15:32.813"</f>
        <v>19:15:32.813</v>
      </c>
      <c r="T2441" t="str">
        <f>"19:15:32.711"</f>
        <v>19:15:32.711</v>
      </c>
      <c r="U2441" t="str">
        <f t="shared" si="115"/>
        <v>a1cdbe</v>
      </c>
      <c r="V2441">
        <v>0</v>
      </c>
      <c r="W2441">
        <v>0</v>
      </c>
      <c r="X2441">
        <v>1</v>
      </c>
      <c r="Y2441">
        <v>0</v>
      </c>
      <c r="Z2441">
        <v>0</v>
      </c>
      <c r="AB2441">
        <v>0</v>
      </c>
      <c r="AC2441">
        <v>9</v>
      </c>
      <c r="AD2441">
        <v>3</v>
      </c>
      <c r="AE2441">
        <v>0</v>
      </c>
      <c r="AF2441">
        <v>9</v>
      </c>
      <c r="AG2441" t="s">
        <v>158</v>
      </c>
      <c r="AH2441">
        <v>0</v>
      </c>
      <c r="AI2441">
        <v>3</v>
      </c>
      <c r="AJ2441">
        <v>1</v>
      </c>
      <c r="AK2441">
        <v>0</v>
      </c>
      <c r="AL2441" t="s">
        <v>4596</v>
      </c>
      <c r="AM2441">
        <v>46.914282</v>
      </c>
      <c r="AN2441" t="s">
        <v>4597</v>
      </c>
      <c r="AO2441">
        <v>-123.25402699999999</v>
      </c>
      <c r="AP2441">
        <v>100</v>
      </c>
      <c r="AQ2441">
        <v>2000</v>
      </c>
      <c r="AR2441" t="s">
        <v>118</v>
      </c>
      <c r="AS2441">
        <v>-61</v>
      </c>
      <c r="AT2441">
        <v>41</v>
      </c>
      <c r="AU2441">
        <v>0</v>
      </c>
      <c r="BC2441">
        <v>1200</v>
      </c>
      <c r="BD2441">
        <v>1</v>
      </c>
      <c r="BE2441" t="str">
        <f t="shared" si="116"/>
        <v xml:space="preserve">N215T   </v>
      </c>
      <c r="BF2441">
        <v>1</v>
      </c>
      <c r="BH2441">
        <v>0</v>
      </c>
      <c r="BI2441">
        <v>0</v>
      </c>
      <c r="BJ2441">
        <v>0</v>
      </c>
      <c r="BK2441">
        <v>2375</v>
      </c>
      <c r="BL2441">
        <v>375</v>
      </c>
      <c r="BM2441" t="s">
        <v>119</v>
      </c>
      <c r="BN2441">
        <v>1</v>
      </c>
      <c r="BO2441">
        <v>1</v>
      </c>
      <c r="BP2441">
        <v>1</v>
      </c>
      <c r="BQ2441">
        <v>0</v>
      </c>
      <c r="BT2441">
        <v>0</v>
      </c>
      <c r="BU2441">
        <v>0</v>
      </c>
      <c r="BV2441">
        <v>0</v>
      </c>
      <c r="CC2441" t="str">
        <f>"19:15:32.820"</f>
        <v>19:15:32.820</v>
      </c>
      <c r="CD2441" t="str">
        <f>"817380668"</f>
        <v>817380668</v>
      </c>
      <c r="CQ2441">
        <v>0</v>
      </c>
      <c r="CR2441">
        <v>2</v>
      </c>
      <c r="CS2441">
        <v>0</v>
      </c>
      <c r="CT2441">
        <v>2</v>
      </c>
      <c r="CU2441">
        <v>0</v>
      </c>
      <c r="CV2441">
        <v>6</v>
      </c>
      <c r="CW2441" t="s">
        <v>120</v>
      </c>
      <c r="CX2441">
        <v>261</v>
      </c>
      <c r="CY2441">
        <v>2</v>
      </c>
      <c r="CZ2441" t="s">
        <v>121</v>
      </c>
      <c r="DA2441" t="s">
        <v>122</v>
      </c>
      <c r="DD2441">
        <v>15755554</v>
      </c>
      <c r="DE2441" t="s">
        <v>123</v>
      </c>
    </row>
    <row r="2442" spans="1:109" x14ac:dyDescent="0.3">
      <c r="A2442" t="str">
        <f>"19:15:33.945"</f>
        <v>19:15:33.945</v>
      </c>
      <c r="B2442" t="s">
        <v>110</v>
      </c>
      <c r="C2442" t="str">
        <f t="shared" si="114"/>
        <v>ffdfd3c0</v>
      </c>
      <c r="D2442" t="s">
        <v>111</v>
      </c>
      <c r="E2442">
        <v>18</v>
      </c>
      <c r="F2442">
        <v>1018</v>
      </c>
      <c r="G2442" t="s">
        <v>112</v>
      </c>
      <c r="J2442" t="s">
        <v>113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R2442" t="s">
        <v>114</v>
      </c>
      <c r="S2442" t="str">
        <f>"19:15:33.695"</f>
        <v>19:15:33.695</v>
      </c>
      <c r="T2442" t="str">
        <f>"19:15:33.297"</f>
        <v>19:15:33.297</v>
      </c>
      <c r="U2442" t="str">
        <f t="shared" si="115"/>
        <v>a1cdbe</v>
      </c>
      <c r="V2442">
        <v>0</v>
      </c>
      <c r="W2442">
        <v>0</v>
      </c>
      <c r="X2442">
        <v>1</v>
      </c>
      <c r="Y2442">
        <v>0</v>
      </c>
      <c r="Z2442">
        <v>0</v>
      </c>
      <c r="AB2442">
        <v>0</v>
      </c>
      <c r="AC2442">
        <v>9</v>
      </c>
      <c r="AD2442">
        <v>3</v>
      </c>
      <c r="AE2442">
        <v>0</v>
      </c>
      <c r="AF2442">
        <v>9</v>
      </c>
      <c r="AG2442" t="s">
        <v>158</v>
      </c>
      <c r="AH2442">
        <v>0</v>
      </c>
      <c r="AI2442">
        <v>3</v>
      </c>
      <c r="AJ2442">
        <v>1</v>
      </c>
      <c r="AK2442">
        <v>0</v>
      </c>
      <c r="AL2442" t="s">
        <v>4598</v>
      </c>
      <c r="AM2442">
        <v>46.914453999999999</v>
      </c>
      <c r="AN2442" t="s">
        <v>4599</v>
      </c>
      <c r="AO2442">
        <v>-123.25437100000001</v>
      </c>
      <c r="AP2442">
        <v>100</v>
      </c>
      <c r="AQ2442">
        <v>2000</v>
      </c>
      <c r="AR2442" t="s">
        <v>118</v>
      </c>
      <c r="AS2442">
        <v>-61</v>
      </c>
      <c r="AT2442">
        <v>42</v>
      </c>
      <c r="AU2442">
        <v>0</v>
      </c>
      <c r="BC2442">
        <v>1200</v>
      </c>
      <c r="BD2442">
        <v>1</v>
      </c>
      <c r="BE2442" t="str">
        <f t="shared" si="116"/>
        <v xml:space="preserve">N215T   </v>
      </c>
      <c r="BF2442">
        <v>1</v>
      </c>
      <c r="BH2442">
        <v>0</v>
      </c>
      <c r="BI2442">
        <v>0</v>
      </c>
      <c r="BJ2442">
        <v>0</v>
      </c>
      <c r="BK2442">
        <v>2375</v>
      </c>
      <c r="BL2442">
        <v>375</v>
      </c>
      <c r="BM2442" t="s">
        <v>119</v>
      </c>
      <c r="BN2442">
        <v>1</v>
      </c>
      <c r="BO2442">
        <v>1</v>
      </c>
      <c r="BP2442">
        <v>1</v>
      </c>
      <c r="BQ2442">
        <v>0</v>
      </c>
      <c r="BT2442">
        <v>0</v>
      </c>
      <c r="BU2442">
        <v>0</v>
      </c>
      <c r="BV2442">
        <v>0</v>
      </c>
      <c r="CC2442" t="str">
        <f>"19:15:33.703"</f>
        <v>19:15:33.703</v>
      </c>
      <c r="CD2442" t="str">
        <f>"702277110"</f>
        <v>702277110</v>
      </c>
      <c r="CQ2442">
        <v>0</v>
      </c>
      <c r="CR2442">
        <v>2</v>
      </c>
      <c r="CS2442">
        <v>0</v>
      </c>
      <c r="CT2442">
        <v>2</v>
      </c>
      <c r="CU2442">
        <v>0</v>
      </c>
      <c r="CV2442">
        <v>6</v>
      </c>
      <c r="CW2442" t="s">
        <v>120</v>
      </c>
      <c r="CX2442">
        <v>257</v>
      </c>
      <c r="CY2442">
        <v>0</v>
      </c>
      <c r="CZ2442" t="s">
        <v>615</v>
      </c>
      <c r="DA2442" t="s">
        <v>616</v>
      </c>
      <c r="DD2442">
        <v>15909550</v>
      </c>
      <c r="DE2442" t="s">
        <v>123</v>
      </c>
    </row>
    <row r="2443" spans="1:109" x14ac:dyDescent="0.3">
      <c r="A2443" t="str">
        <f>"19:15:34.852"</f>
        <v>19:15:34.852</v>
      </c>
      <c r="B2443" t="s">
        <v>110</v>
      </c>
      <c r="C2443" t="str">
        <f t="shared" si="114"/>
        <v>ffdfd3c0</v>
      </c>
      <c r="D2443" t="s">
        <v>111</v>
      </c>
      <c r="E2443">
        <v>18</v>
      </c>
      <c r="F2443">
        <v>1018</v>
      </c>
      <c r="G2443" t="s">
        <v>112</v>
      </c>
      <c r="J2443" t="s">
        <v>113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R2443" t="s">
        <v>114</v>
      </c>
      <c r="S2443" t="str">
        <f>"19:15:34.625"</f>
        <v>19:15:34.625</v>
      </c>
      <c r="T2443" t="str">
        <f>"19:15:34.328"</f>
        <v>19:15:34.328</v>
      </c>
      <c r="U2443" t="str">
        <f t="shared" si="115"/>
        <v>a1cdbe</v>
      </c>
      <c r="V2443">
        <v>0</v>
      </c>
      <c r="W2443">
        <v>0</v>
      </c>
      <c r="X2443">
        <v>1</v>
      </c>
      <c r="Y2443">
        <v>0</v>
      </c>
      <c r="Z2443">
        <v>0</v>
      </c>
      <c r="AB2443">
        <v>0</v>
      </c>
      <c r="AC2443">
        <v>9</v>
      </c>
      <c r="AD2443">
        <v>3</v>
      </c>
      <c r="AE2443">
        <v>0</v>
      </c>
      <c r="AF2443">
        <v>9</v>
      </c>
      <c r="AG2443" t="s">
        <v>158</v>
      </c>
      <c r="AH2443">
        <v>0</v>
      </c>
      <c r="AI2443">
        <v>3</v>
      </c>
      <c r="AJ2443">
        <v>1</v>
      </c>
      <c r="AK2443">
        <v>0</v>
      </c>
      <c r="AL2443" t="s">
        <v>4600</v>
      </c>
      <c r="AM2443">
        <v>46.914647000000002</v>
      </c>
      <c r="AN2443" t="s">
        <v>4601</v>
      </c>
      <c r="AO2443">
        <v>-123.254778</v>
      </c>
      <c r="AP2443">
        <v>100</v>
      </c>
      <c r="AQ2443">
        <v>2000</v>
      </c>
      <c r="AR2443" t="s">
        <v>118</v>
      </c>
      <c r="AS2443">
        <v>-61</v>
      </c>
      <c r="AT2443">
        <v>42</v>
      </c>
      <c r="AU2443">
        <v>0</v>
      </c>
      <c r="BC2443">
        <v>1200</v>
      </c>
      <c r="BD2443">
        <v>1</v>
      </c>
      <c r="BE2443" t="str">
        <f t="shared" si="116"/>
        <v xml:space="preserve">N215T   </v>
      </c>
      <c r="BF2443">
        <v>1</v>
      </c>
      <c r="BH2443">
        <v>0</v>
      </c>
      <c r="BI2443">
        <v>0</v>
      </c>
      <c r="BJ2443">
        <v>0</v>
      </c>
      <c r="BK2443">
        <v>2375</v>
      </c>
      <c r="BL2443">
        <v>375</v>
      </c>
      <c r="BM2443" t="s">
        <v>119</v>
      </c>
      <c r="BN2443">
        <v>1</v>
      </c>
      <c r="BO2443">
        <v>1</v>
      </c>
      <c r="BP2443">
        <v>1</v>
      </c>
      <c r="BQ2443">
        <v>0</v>
      </c>
      <c r="BT2443">
        <v>0</v>
      </c>
      <c r="BU2443">
        <v>0</v>
      </c>
      <c r="BV2443">
        <v>0</v>
      </c>
      <c r="CC2443" t="str">
        <f>"19:15:34.633"</f>
        <v>19:15:34.633</v>
      </c>
      <c r="CD2443" t="str">
        <f>"632185491"</f>
        <v>632185491</v>
      </c>
      <c r="CQ2443">
        <v>0</v>
      </c>
      <c r="CR2443">
        <v>2</v>
      </c>
      <c r="CS2443">
        <v>0</v>
      </c>
      <c r="CT2443">
        <v>2</v>
      </c>
      <c r="CU2443">
        <v>0</v>
      </c>
      <c r="CV2443">
        <v>6</v>
      </c>
      <c r="CW2443" t="s">
        <v>120</v>
      </c>
      <c r="CX2443">
        <v>257</v>
      </c>
      <c r="CY2443">
        <v>0</v>
      </c>
      <c r="CZ2443" t="s">
        <v>615</v>
      </c>
      <c r="DA2443" t="s">
        <v>616</v>
      </c>
      <c r="DD2443">
        <v>15910020</v>
      </c>
      <c r="DE2443" t="s">
        <v>123</v>
      </c>
    </row>
    <row r="2444" spans="1:109" x14ac:dyDescent="0.3">
      <c r="A2444" t="str">
        <f>"19:15:35.906"</f>
        <v>19:15:35.906</v>
      </c>
      <c r="B2444" t="s">
        <v>110</v>
      </c>
      <c r="C2444" t="str">
        <f t="shared" si="114"/>
        <v>ffdfd3c0</v>
      </c>
      <c r="D2444" t="s">
        <v>111</v>
      </c>
      <c r="E2444">
        <v>18</v>
      </c>
      <c r="F2444">
        <v>1018</v>
      </c>
      <c r="G2444" t="s">
        <v>112</v>
      </c>
      <c r="J2444" t="s">
        <v>113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R2444" t="s">
        <v>114</v>
      </c>
      <c r="S2444" t="str">
        <f>"19:15:35.664"</f>
        <v>19:15:35.664</v>
      </c>
      <c r="T2444" t="str">
        <f>"19:15:35.461"</f>
        <v>19:15:35.461</v>
      </c>
      <c r="U2444" t="str">
        <f t="shared" si="115"/>
        <v>a1cdbe</v>
      </c>
      <c r="V2444">
        <v>0</v>
      </c>
      <c r="W2444">
        <v>0</v>
      </c>
      <c r="X2444">
        <v>1</v>
      </c>
      <c r="Y2444">
        <v>0</v>
      </c>
      <c r="Z2444">
        <v>0</v>
      </c>
      <c r="AB2444">
        <v>0</v>
      </c>
      <c r="AC2444">
        <v>9</v>
      </c>
      <c r="AD2444">
        <v>3</v>
      </c>
      <c r="AE2444">
        <v>0</v>
      </c>
      <c r="AF2444">
        <v>9</v>
      </c>
      <c r="AG2444" t="s">
        <v>158</v>
      </c>
      <c r="AH2444">
        <v>0</v>
      </c>
      <c r="AI2444">
        <v>3</v>
      </c>
      <c r="AJ2444">
        <v>1</v>
      </c>
      <c r="AK2444">
        <v>0</v>
      </c>
      <c r="AL2444" t="s">
        <v>4602</v>
      </c>
      <c r="AM2444">
        <v>46.914861000000002</v>
      </c>
      <c r="AN2444" t="s">
        <v>4603</v>
      </c>
      <c r="AO2444">
        <v>-123.255208</v>
      </c>
      <c r="AP2444">
        <v>100</v>
      </c>
      <c r="AQ2444">
        <v>2000</v>
      </c>
      <c r="AR2444" t="s">
        <v>118</v>
      </c>
      <c r="AS2444">
        <v>-60</v>
      </c>
      <c r="AT2444">
        <v>43</v>
      </c>
      <c r="AU2444">
        <v>64</v>
      </c>
      <c r="BC2444">
        <v>1200</v>
      </c>
      <c r="BD2444">
        <v>1</v>
      </c>
      <c r="BE2444" t="str">
        <f t="shared" si="116"/>
        <v xml:space="preserve">N215T   </v>
      </c>
      <c r="BF2444">
        <v>1</v>
      </c>
      <c r="BH2444">
        <v>0</v>
      </c>
      <c r="BI2444">
        <v>0</v>
      </c>
      <c r="BJ2444">
        <v>0</v>
      </c>
      <c r="BK2444">
        <v>2375</v>
      </c>
      <c r="BL2444">
        <v>375</v>
      </c>
      <c r="BM2444" t="s">
        <v>119</v>
      </c>
      <c r="BN2444">
        <v>1</v>
      </c>
      <c r="BO2444">
        <v>1</v>
      </c>
      <c r="BP2444">
        <v>1</v>
      </c>
      <c r="BQ2444">
        <v>0</v>
      </c>
      <c r="BT2444">
        <v>0</v>
      </c>
      <c r="BU2444">
        <v>0</v>
      </c>
      <c r="BV2444">
        <v>0</v>
      </c>
      <c r="CC2444" t="str">
        <f>"19:15:35.664"</f>
        <v>19:15:35.664</v>
      </c>
      <c r="CD2444" t="str">
        <f>"667083518"</f>
        <v>667083518</v>
      </c>
      <c r="CQ2444">
        <v>0</v>
      </c>
      <c r="CR2444">
        <v>2</v>
      </c>
      <c r="CS2444">
        <v>0</v>
      </c>
      <c r="CT2444">
        <v>2</v>
      </c>
      <c r="CU2444">
        <v>0</v>
      </c>
      <c r="CV2444">
        <v>5</v>
      </c>
      <c r="CW2444" t="s">
        <v>120</v>
      </c>
      <c r="CX2444">
        <v>257</v>
      </c>
      <c r="CY2444">
        <v>1</v>
      </c>
      <c r="CZ2444" t="s">
        <v>615</v>
      </c>
      <c r="DA2444" t="s">
        <v>616</v>
      </c>
      <c r="DD2444">
        <v>12194856</v>
      </c>
      <c r="DE2444" t="s">
        <v>123</v>
      </c>
    </row>
    <row r="2445" spans="1:109" x14ac:dyDescent="0.3">
      <c r="A2445" t="str">
        <f>"19:15:36.961"</f>
        <v>19:15:36.961</v>
      </c>
      <c r="B2445" t="s">
        <v>110</v>
      </c>
      <c r="C2445" t="str">
        <f t="shared" si="114"/>
        <v>ffdfd3c0</v>
      </c>
      <c r="D2445" t="s">
        <v>111</v>
      </c>
      <c r="E2445">
        <v>18</v>
      </c>
      <c r="F2445">
        <v>1018</v>
      </c>
      <c r="G2445" t="s">
        <v>112</v>
      </c>
      <c r="J2445" t="s">
        <v>113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R2445" t="s">
        <v>114</v>
      </c>
      <c r="S2445" t="str">
        <f>"19:15:36.727"</f>
        <v>19:15:36.727</v>
      </c>
      <c r="T2445" t="str">
        <f>"19:15:36.523"</f>
        <v>19:15:36.523</v>
      </c>
      <c r="U2445" t="str">
        <f t="shared" si="115"/>
        <v>a1cdbe</v>
      </c>
      <c r="V2445">
        <v>0</v>
      </c>
      <c r="W2445">
        <v>0</v>
      </c>
      <c r="X2445">
        <v>1</v>
      </c>
      <c r="Y2445">
        <v>0</v>
      </c>
      <c r="Z2445">
        <v>0</v>
      </c>
      <c r="AB2445">
        <v>0</v>
      </c>
      <c r="AC2445">
        <v>9</v>
      </c>
      <c r="AD2445">
        <v>3</v>
      </c>
      <c r="AE2445">
        <v>0</v>
      </c>
      <c r="AF2445">
        <v>9</v>
      </c>
      <c r="AG2445" t="s">
        <v>158</v>
      </c>
      <c r="AH2445">
        <v>0</v>
      </c>
      <c r="AI2445">
        <v>3</v>
      </c>
      <c r="AJ2445">
        <v>1</v>
      </c>
      <c r="AK2445">
        <v>0</v>
      </c>
      <c r="AL2445" t="s">
        <v>4604</v>
      </c>
      <c r="AM2445">
        <v>46.915075999999999</v>
      </c>
      <c r="AN2445" t="s">
        <v>4605</v>
      </c>
      <c r="AO2445">
        <v>-123.25561500000001</v>
      </c>
      <c r="AP2445">
        <v>100</v>
      </c>
      <c r="AQ2445">
        <v>2000</v>
      </c>
      <c r="AR2445" t="s">
        <v>118</v>
      </c>
      <c r="AS2445">
        <v>-60</v>
      </c>
      <c r="AT2445">
        <v>46</v>
      </c>
      <c r="AU2445">
        <v>320</v>
      </c>
      <c r="BC2445">
        <v>1200</v>
      </c>
      <c r="BD2445">
        <v>1</v>
      </c>
      <c r="BE2445" t="str">
        <f t="shared" si="116"/>
        <v xml:space="preserve">N215T   </v>
      </c>
      <c r="BF2445">
        <v>1</v>
      </c>
      <c r="BH2445">
        <v>0</v>
      </c>
      <c r="BI2445">
        <v>0</v>
      </c>
      <c r="BJ2445">
        <v>0</v>
      </c>
      <c r="BK2445">
        <v>2375</v>
      </c>
      <c r="BL2445">
        <v>375</v>
      </c>
      <c r="BM2445" t="s">
        <v>119</v>
      </c>
      <c r="BN2445">
        <v>1</v>
      </c>
      <c r="BO2445">
        <v>1</v>
      </c>
      <c r="BP2445">
        <v>1</v>
      </c>
      <c r="BQ2445">
        <v>0</v>
      </c>
      <c r="BT2445">
        <v>0</v>
      </c>
      <c r="BU2445">
        <v>0</v>
      </c>
      <c r="BV2445">
        <v>0</v>
      </c>
      <c r="CC2445" t="str">
        <f>"19:15:36.734"</f>
        <v>19:15:36.734</v>
      </c>
      <c r="CD2445" t="str">
        <f>"731978633"</f>
        <v>731978633</v>
      </c>
      <c r="CQ2445">
        <v>0</v>
      </c>
      <c r="CR2445">
        <v>2</v>
      </c>
      <c r="CS2445">
        <v>0</v>
      </c>
      <c r="CT2445">
        <v>2</v>
      </c>
      <c r="CU2445">
        <v>0</v>
      </c>
      <c r="CV2445">
        <v>5</v>
      </c>
      <c r="CW2445" t="s">
        <v>120</v>
      </c>
      <c r="CX2445">
        <v>257</v>
      </c>
      <c r="CY2445">
        <v>0</v>
      </c>
      <c r="CZ2445" t="s">
        <v>615</v>
      </c>
      <c r="DA2445" t="s">
        <v>616</v>
      </c>
      <c r="DD2445">
        <v>15911151</v>
      </c>
      <c r="DE2445" t="s">
        <v>123</v>
      </c>
    </row>
    <row r="2446" spans="1:109" x14ac:dyDescent="0.3">
      <c r="A2446" t="str">
        <f>"19:15:38.070"</f>
        <v>19:15:38.070</v>
      </c>
      <c r="B2446" t="s">
        <v>110</v>
      </c>
      <c r="C2446" t="str">
        <f t="shared" si="114"/>
        <v>ffdfd3c0</v>
      </c>
      <c r="D2446" t="s">
        <v>111</v>
      </c>
      <c r="E2446">
        <v>18</v>
      </c>
      <c r="F2446">
        <v>1018</v>
      </c>
      <c r="G2446" t="s">
        <v>112</v>
      </c>
      <c r="J2446" t="s">
        <v>113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R2446" t="s">
        <v>114</v>
      </c>
      <c r="S2446" t="str">
        <f>"19:15:37.852"</f>
        <v>19:15:37.852</v>
      </c>
      <c r="T2446" t="str">
        <f>"19:15:37.852"</f>
        <v>19:15:37.852</v>
      </c>
      <c r="U2446" t="str">
        <f t="shared" si="115"/>
        <v>a1cdbe</v>
      </c>
      <c r="V2446">
        <v>0</v>
      </c>
      <c r="W2446">
        <v>0</v>
      </c>
      <c r="X2446">
        <v>1</v>
      </c>
      <c r="Y2446">
        <v>0</v>
      </c>
      <c r="Z2446">
        <v>0</v>
      </c>
      <c r="AB2446">
        <v>0</v>
      </c>
      <c r="AC2446">
        <v>9</v>
      </c>
      <c r="AD2446">
        <v>3</v>
      </c>
      <c r="AE2446">
        <v>0</v>
      </c>
      <c r="AF2446">
        <v>9</v>
      </c>
      <c r="AG2446" t="s">
        <v>158</v>
      </c>
      <c r="AH2446">
        <v>0</v>
      </c>
      <c r="AI2446">
        <v>3</v>
      </c>
      <c r="AJ2446">
        <v>1</v>
      </c>
      <c r="AK2446">
        <v>0</v>
      </c>
      <c r="AL2446" t="s">
        <v>4606</v>
      </c>
      <c r="AM2446">
        <v>46.915354999999998</v>
      </c>
      <c r="AN2446" t="s">
        <v>4607</v>
      </c>
      <c r="AO2446">
        <v>-123.256109</v>
      </c>
      <c r="AP2446">
        <v>100</v>
      </c>
      <c r="AQ2446">
        <v>2000</v>
      </c>
      <c r="AR2446" t="s">
        <v>118</v>
      </c>
      <c r="AS2446">
        <v>-60</v>
      </c>
      <c r="AT2446">
        <v>47</v>
      </c>
      <c r="AU2446">
        <v>192</v>
      </c>
      <c r="BC2446">
        <v>1200</v>
      </c>
      <c r="BD2446">
        <v>1</v>
      </c>
      <c r="BE2446" t="str">
        <f t="shared" si="116"/>
        <v xml:space="preserve">N215T   </v>
      </c>
      <c r="BF2446">
        <v>1</v>
      </c>
      <c r="BH2446">
        <v>0</v>
      </c>
      <c r="BI2446">
        <v>0</v>
      </c>
      <c r="BJ2446">
        <v>0</v>
      </c>
      <c r="BK2446">
        <v>2375</v>
      </c>
      <c r="BL2446">
        <v>375</v>
      </c>
      <c r="BM2446" t="s">
        <v>119</v>
      </c>
      <c r="BN2446">
        <v>1</v>
      </c>
      <c r="BO2446">
        <v>1</v>
      </c>
      <c r="BP2446">
        <v>1</v>
      </c>
      <c r="BQ2446">
        <v>0</v>
      </c>
      <c r="BT2446">
        <v>0</v>
      </c>
      <c r="BU2446">
        <v>0</v>
      </c>
      <c r="BV2446">
        <v>0</v>
      </c>
      <c r="CC2446" t="str">
        <f>"19:15:37.859"</f>
        <v>19:15:37.859</v>
      </c>
      <c r="CD2446" t="str">
        <f>"856867798"</f>
        <v>856867798</v>
      </c>
      <c r="CQ2446">
        <v>0</v>
      </c>
      <c r="CR2446">
        <v>2</v>
      </c>
      <c r="CS2446">
        <v>0</v>
      </c>
      <c r="CT2446">
        <v>2</v>
      </c>
      <c r="CU2446">
        <v>0</v>
      </c>
      <c r="CV2446">
        <v>5</v>
      </c>
      <c r="CW2446" t="s">
        <v>120</v>
      </c>
      <c r="CX2446">
        <v>257</v>
      </c>
      <c r="CY2446">
        <v>0</v>
      </c>
      <c r="CZ2446" t="s">
        <v>615</v>
      </c>
      <c r="DA2446" t="s">
        <v>616</v>
      </c>
      <c r="DD2446">
        <v>15911839</v>
      </c>
      <c r="DE2446" t="s">
        <v>123</v>
      </c>
    </row>
    <row r="2447" spans="1:109" x14ac:dyDescent="0.3">
      <c r="A2447" t="str">
        <f>"19:15:38.977"</f>
        <v>19:15:38.977</v>
      </c>
      <c r="B2447" t="s">
        <v>110</v>
      </c>
      <c r="C2447" t="str">
        <f t="shared" si="114"/>
        <v>ffdfd3c0</v>
      </c>
      <c r="D2447" t="s">
        <v>111</v>
      </c>
      <c r="E2447">
        <v>18</v>
      </c>
      <c r="F2447">
        <v>1018</v>
      </c>
      <c r="G2447" t="s">
        <v>112</v>
      </c>
      <c r="J2447" t="s">
        <v>113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R2447" t="s">
        <v>114</v>
      </c>
      <c r="S2447" t="str">
        <f>"19:15:38.727"</f>
        <v>19:15:38.727</v>
      </c>
      <c r="T2447" t="str">
        <f>"19:15:38.328"</f>
        <v>19:15:38.328</v>
      </c>
      <c r="U2447" t="str">
        <f t="shared" si="115"/>
        <v>a1cdbe</v>
      </c>
      <c r="V2447">
        <v>0</v>
      </c>
      <c r="W2447">
        <v>0</v>
      </c>
      <c r="X2447">
        <v>1</v>
      </c>
      <c r="Y2447">
        <v>0</v>
      </c>
      <c r="Z2447">
        <v>0</v>
      </c>
      <c r="AB2447">
        <v>0</v>
      </c>
      <c r="AC2447">
        <v>9</v>
      </c>
      <c r="AD2447">
        <v>3</v>
      </c>
      <c r="AE2447">
        <v>0</v>
      </c>
      <c r="AF2447">
        <v>9</v>
      </c>
      <c r="AG2447" t="s">
        <v>158</v>
      </c>
      <c r="AH2447">
        <v>0</v>
      </c>
      <c r="AI2447">
        <v>3</v>
      </c>
      <c r="AJ2447">
        <v>1</v>
      </c>
      <c r="AK2447">
        <v>0</v>
      </c>
      <c r="AL2447" t="s">
        <v>4608</v>
      </c>
      <c r="AM2447">
        <v>46.915526</v>
      </c>
      <c r="AN2447" t="s">
        <v>4609</v>
      </c>
      <c r="AO2447">
        <v>-123.256452</v>
      </c>
      <c r="AP2447">
        <v>100</v>
      </c>
      <c r="AQ2447">
        <v>2000</v>
      </c>
      <c r="AR2447" t="s">
        <v>118</v>
      </c>
      <c r="AS2447">
        <v>-60</v>
      </c>
      <c r="AT2447">
        <v>49</v>
      </c>
      <c r="AU2447">
        <v>256</v>
      </c>
      <c r="BC2447">
        <v>1200</v>
      </c>
      <c r="BD2447">
        <v>1</v>
      </c>
      <c r="BE2447" t="str">
        <f t="shared" si="116"/>
        <v xml:space="preserve">N215T   </v>
      </c>
      <c r="BF2447">
        <v>1</v>
      </c>
      <c r="BH2447">
        <v>0</v>
      </c>
      <c r="BI2447">
        <v>0</v>
      </c>
      <c r="BJ2447">
        <v>0</v>
      </c>
      <c r="BK2447">
        <v>2375</v>
      </c>
      <c r="BL2447">
        <v>375</v>
      </c>
      <c r="BM2447" t="s">
        <v>119</v>
      </c>
      <c r="BN2447">
        <v>1</v>
      </c>
      <c r="BO2447">
        <v>1</v>
      </c>
      <c r="BP2447">
        <v>1</v>
      </c>
      <c r="BQ2447">
        <v>0</v>
      </c>
      <c r="BT2447">
        <v>0</v>
      </c>
      <c r="BU2447">
        <v>0</v>
      </c>
      <c r="BV2447">
        <v>0</v>
      </c>
      <c r="CC2447" t="str">
        <f>"19:15:38.727"</f>
        <v>19:15:38.727</v>
      </c>
      <c r="CD2447" t="str">
        <f>"726782104"</f>
        <v>726782104</v>
      </c>
      <c r="CQ2447">
        <v>0</v>
      </c>
      <c r="CR2447">
        <v>2</v>
      </c>
      <c r="CS2447">
        <v>0</v>
      </c>
      <c r="CT2447">
        <v>2</v>
      </c>
      <c r="CU2447">
        <v>0</v>
      </c>
      <c r="CV2447">
        <v>5</v>
      </c>
      <c r="CW2447" t="s">
        <v>120</v>
      </c>
      <c r="CX2447">
        <v>257</v>
      </c>
      <c r="CY2447">
        <v>0</v>
      </c>
      <c r="CZ2447" t="s">
        <v>615</v>
      </c>
      <c r="DA2447" t="s">
        <v>616</v>
      </c>
      <c r="DD2447">
        <v>15912332</v>
      </c>
      <c r="DE2447" t="s">
        <v>123</v>
      </c>
    </row>
    <row r="2448" spans="1:109" x14ac:dyDescent="0.3">
      <c r="A2448" t="str">
        <f>"19:15:39.984"</f>
        <v>19:15:39.984</v>
      </c>
      <c r="B2448" t="s">
        <v>110</v>
      </c>
      <c r="C2448" t="str">
        <f t="shared" si="114"/>
        <v>ffdfd3c0</v>
      </c>
      <c r="D2448" t="s">
        <v>111</v>
      </c>
      <c r="E2448">
        <v>18</v>
      </c>
      <c r="F2448">
        <v>1018</v>
      </c>
      <c r="G2448" t="s">
        <v>112</v>
      </c>
      <c r="J2448" t="s">
        <v>113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R2448" t="s">
        <v>114</v>
      </c>
      <c r="S2448" t="str">
        <f>"19:15:39.758"</f>
        <v>19:15:39.758</v>
      </c>
      <c r="T2448" t="str">
        <f>"19:15:39.359"</f>
        <v>19:15:39.359</v>
      </c>
      <c r="U2448" t="str">
        <f t="shared" si="115"/>
        <v>a1cdbe</v>
      </c>
      <c r="V2448">
        <v>0</v>
      </c>
      <c r="W2448">
        <v>0</v>
      </c>
      <c r="X2448">
        <v>1</v>
      </c>
      <c r="Y2448">
        <v>0</v>
      </c>
      <c r="Z2448">
        <v>0</v>
      </c>
      <c r="AB2448">
        <v>0</v>
      </c>
      <c r="AC2448">
        <v>9</v>
      </c>
      <c r="AD2448">
        <v>3</v>
      </c>
      <c r="AE2448">
        <v>0</v>
      </c>
      <c r="AF2448">
        <v>9</v>
      </c>
      <c r="AG2448" t="s">
        <v>158</v>
      </c>
      <c r="AH2448">
        <v>0</v>
      </c>
      <c r="AI2448">
        <v>3</v>
      </c>
      <c r="AJ2448">
        <v>1</v>
      </c>
      <c r="AK2448">
        <v>0</v>
      </c>
      <c r="AL2448" t="s">
        <v>4610</v>
      </c>
      <c r="AM2448">
        <v>46.915762000000001</v>
      </c>
      <c r="AN2448" t="s">
        <v>4611</v>
      </c>
      <c r="AO2448">
        <v>-123.25688100000001</v>
      </c>
      <c r="AP2448">
        <v>100</v>
      </c>
      <c r="AQ2448">
        <v>2000</v>
      </c>
      <c r="AR2448" t="s">
        <v>118</v>
      </c>
      <c r="AS2448">
        <v>-59</v>
      </c>
      <c r="AT2448">
        <v>50</v>
      </c>
      <c r="AU2448">
        <v>192</v>
      </c>
      <c r="BC2448">
        <v>1200</v>
      </c>
      <c r="BD2448">
        <v>1</v>
      </c>
      <c r="BE2448" t="str">
        <f t="shared" si="116"/>
        <v xml:space="preserve">N215T   </v>
      </c>
      <c r="BF2448">
        <v>1</v>
      </c>
      <c r="BH2448">
        <v>0</v>
      </c>
      <c r="BI2448">
        <v>0</v>
      </c>
      <c r="BJ2448">
        <v>0</v>
      </c>
      <c r="BK2448">
        <v>2375</v>
      </c>
      <c r="BL2448">
        <v>375</v>
      </c>
      <c r="BM2448" t="s">
        <v>119</v>
      </c>
      <c r="BN2448">
        <v>1</v>
      </c>
      <c r="BO2448">
        <v>1</v>
      </c>
      <c r="BP2448">
        <v>1</v>
      </c>
      <c r="BQ2448">
        <v>0</v>
      </c>
      <c r="BT2448">
        <v>0</v>
      </c>
      <c r="BU2448">
        <v>0</v>
      </c>
      <c r="BV2448">
        <v>0</v>
      </c>
      <c r="CC2448" t="str">
        <f>"19:15:39.758"</f>
        <v>19:15:39.758</v>
      </c>
      <c r="CD2448" t="str">
        <f>"761680146"</f>
        <v>761680146</v>
      </c>
      <c r="CQ2448">
        <v>0</v>
      </c>
      <c r="CR2448">
        <v>2</v>
      </c>
      <c r="CS2448">
        <v>0</v>
      </c>
      <c r="CT2448">
        <v>2</v>
      </c>
      <c r="CU2448">
        <v>0</v>
      </c>
      <c r="CV2448">
        <v>5</v>
      </c>
      <c r="CW2448" t="s">
        <v>120</v>
      </c>
      <c r="CX2448">
        <v>257</v>
      </c>
      <c r="CY2448">
        <v>0</v>
      </c>
      <c r="CZ2448" t="s">
        <v>615</v>
      </c>
      <c r="DA2448" t="s">
        <v>616</v>
      </c>
      <c r="DD2448">
        <v>15912850</v>
      </c>
      <c r="DE2448" t="s">
        <v>123</v>
      </c>
    </row>
    <row r="2449" spans="1:109" x14ac:dyDescent="0.3">
      <c r="A2449" t="str">
        <f>"19:15:40.938"</f>
        <v>19:15:40.938</v>
      </c>
      <c r="B2449" t="s">
        <v>110</v>
      </c>
      <c r="C2449" t="str">
        <f t="shared" si="114"/>
        <v>ffdfd3c0</v>
      </c>
      <c r="D2449" t="s">
        <v>111</v>
      </c>
      <c r="E2449">
        <v>18</v>
      </c>
      <c r="F2449">
        <v>1018</v>
      </c>
      <c r="G2449" t="s">
        <v>112</v>
      </c>
      <c r="J2449" t="s">
        <v>113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R2449" t="s">
        <v>114</v>
      </c>
      <c r="S2449" t="str">
        <f>"19:15:40.672"</f>
        <v>19:15:40.672</v>
      </c>
      <c r="T2449" t="str">
        <f>"19:15:40.469"</f>
        <v>19:15:40.469</v>
      </c>
      <c r="U2449" t="str">
        <f t="shared" si="115"/>
        <v>a1cdbe</v>
      </c>
      <c r="V2449">
        <v>0</v>
      </c>
      <c r="W2449">
        <v>0</v>
      </c>
      <c r="X2449">
        <v>1</v>
      </c>
      <c r="Y2449">
        <v>0</v>
      </c>
      <c r="Z2449">
        <v>0</v>
      </c>
      <c r="AB2449">
        <v>0</v>
      </c>
      <c r="AC2449">
        <v>9</v>
      </c>
      <c r="AD2449">
        <v>3</v>
      </c>
      <c r="AE2449">
        <v>0</v>
      </c>
      <c r="AF2449">
        <v>9</v>
      </c>
      <c r="AG2449" t="s">
        <v>158</v>
      </c>
      <c r="AH2449">
        <v>0</v>
      </c>
      <c r="AI2449">
        <v>3</v>
      </c>
      <c r="AJ2449">
        <v>1</v>
      </c>
      <c r="AK2449">
        <v>0</v>
      </c>
      <c r="AL2449" t="s">
        <v>4612</v>
      </c>
      <c r="AM2449">
        <v>46.915956000000001</v>
      </c>
      <c r="AN2449" t="s">
        <v>4613</v>
      </c>
      <c r="AO2449">
        <v>-123.25722500000001</v>
      </c>
      <c r="AP2449">
        <v>100</v>
      </c>
      <c r="AQ2449">
        <v>2000</v>
      </c>
      <c r="AR2449" t="s">
        <v>118</v>
      </c>
      <c r="AS2449">
        <v>-59</v>
      </c>
      <c r="AT2449">
        <v>50</v>
      </c>
      <c r="AU2449">
        <v>256</v>
      </c>
      <c r="BC2449">
        <v>1200</v>
      </c>
      <c r="BD2449">
        <v>1</v>
      </c>
      <c r="BE2449" t="str">
        <f t="shared" si="116"/>
        <v xml:space="preserve">N215T   </v>
      </c>
      <c r="BF2449">
        <v>1</v>
      </c>
      <c r="BH2449">
        <v>0</v>
      </c>
      <c r="BI2449">
        <v>0</v>
      </c>
      <c r="BJ2449">
        <v>0</v>
      </c>
      <c r="BK2449">
        <v>2375</v>
      </c>
      <c r="BL2449">
        <v>375</v>
      </c>
      <c r="BM2449" t="s">
        <v>119</v>
      </c>
      <c r="BN2449">
        <v>1</v>
      </c>
      <c r="BO2449">
        <v>1</v>
      </c>
      <c r="BP2449">
        <v>1</v>
      </c>
      <c r="BQ2449">
        <v>0</v>
      </c>
      <c r="BT2449">
        <v>0</v>
      </c>
      <c r="BU2449">
        <v>0</v>
      </c>
      <c r="BV2449">
        <v>0</v>
      </c>
      <c r="CC2449" t="str">
        <f>"19:15:40.680"</f>
        <v>19:15:40.680</v>
      </c>
      <c r="CD2449" t="str">
        <f>"676590023"</f>
        <v>676590023</v>
      </c>
      <c r="CQ2449">
        <v>0</v>
      </c>
      <c r="CR2449">
        <v>2</v>
      </c>
      <c r="CS2449">
        <v>0</v>
      </c>
      <c r="CT2449">
        <v>2</v>
      </c>
      <c r="CU2449">
        <v>0</v>
      </c>
      <c r="CV2449">
        <v>6</v>
      </c>
      <c r="CW2449" t="s">
        <v>120</v>
      </c>
      <c r="CX2449">
        <v>257</v>
      </c>
      <c r="CY2449">
        <v>0</v>
      </c>
      <c r="CZ2449" t="s">
        <v>615</v>
      </c>
      <c r="DA2449" t="s">
        <v>616</v>
      </c>
      <c r="DD2449">
        <v>15913324</v>
      </c>
      <c r="DE2449" t="s">
        <v>123</v>
      </c>
    </row>
    <row r="2450" spans="1:109" x14ac:dyDescent="0.3">
      <c r="A2450" t="str">
        <f>"19:15:41.938"</f>
        <v>19:15:41.938</v>
      </c>
      <c r="B2450" t="s">
        <v>110</v>
      </c>
      <c r="C2450" t="str">
        <f t="shared" si="114"/>
        <v>ffdfd3c0</v>
      </c>
      <c r="D2450" t="s">
        <v>111</v>
      </c>
      <c r="E2450">
        <v>18</v>
      </c>
      <c r="F2450">
        <v>1018</v>
      </c>
      <c r="G2450" t="s">
        <v>112</v>
      </c>
      <c r="J2450" t="s">
        <v>113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R2450" t="s">
        <v>114</v>
      </c>
      <c r="S2450" t="str">
        <f>"19:15:41.734"</f>
        <v>19:15:41.734</v>
      </c>
      <c r="T2450" t="str">
        <f>"19:15:41.633"</f>
        <v>19:15:41.633</v>
      </c>
      <c r="U2450" t="str">
        <f t="shared" si="115"/>
        <v>a1cdbe</v>
      </c>
      <c r="V2450">
        <v>0</v>
      </c>
      <c r="W2450">
        <v>0</v>
      </c>
      <c r="X2450">
        <v>1</v>
      </c>
      <c r="Y2450">
        <v>0</v>
      </c>
      <c r="Z2450">
        <v>0</v>
      </c>
      <c r="AB2450">
        <v>0</v>
      </c>
      <c r="AC2450">
        <v>9</v>
      </c>
      <c r="AD2450">
        <v>3</v>
      </c>
      <c r="AE2450">
        <v>0</v>
      </c>
      <c r="AF2450">
        <v>9</v>
      </c>
      <c r="AG2450" t="s">
        <v>158</v>
      </c>
      <c r="AH2450">
        <v>0</v>
      </c>
      <c r="AI2450">
        <v>3</v>
      </c>
      <c r="AJ2450">
        <v>1</v>
      </c>
      <c r="AK2450">
        <v>0</v>
      </c>
      <c r="AL2450" t="s">
        <v>4614</v>
      </c>
      <c r="AM2450">
        <v>46.916192000000002</v>
      </c>
      <c r="AN2450" t="s">
        <v>4615</v>
      </c>
      <c r="AO2450">
        <v>-123.257611</v>
      </c>
      <c r="AP2450">
        <v>100</v>
      </c>
      <c r="AQ2450">
        <v>2000</v>
      </c>
      <c r="AR2450" t="s">
        <v>118</v>
      </c>
      <c r="AS2450">
        <v>-58</v>
      </c>
      <c r="AT2450">
        <v>50</v>
      </c>
      <c r="AU2450">
        <v>256</v>
      </c>
      <c r="BC2450">
        <v>1200</v>
      </c>
      <c r="BD2450">
        <v>1</v>
      </c>
      <c r="BE2450" t="str">
        <f t="shared" si="116"/>
        <v xml:space="preserve">N215T   </v>
      </c>
      <c r="BF2450">
        <v>1</v>
      </c>
      <c r="BH2450">
        <v>0</v>
      </c>
      <c r="BI2450">
        <v>0</v>
      </c>
      <c r="BJ2450">
        <v>0</v>
      </c>
      <c r="BK2450">
        <v>2400</v>
      </c>
      <c r="BL2450">
        <v>400</v>
      </c>
      <c r="BM2450" t="s">
        <v>119</v>
      </c>
      <c r="BN2450">
        <v>1</v>
      </c>
      <c r="BO2450">
        <v>1</v>
      </c>
      <c r="BP2450">
        <v>1</v>
      </c>
      <c r="BQ2450">
        <v>0</v>
      </c>
      <c r="BT2450">
        <v>0</v>
      </c>
      <c r="BU2450">
        <v>0</v>
      </c>
      <c r="BV2450">
        <v>0</v>
      </c>
      <c r="CC2450" t="str">
        <f>"19:15:41.742"</f>
        <v>19:15:41.742</v>
      </c>
      <c r="CD2450" t="str">
        <f>"741485118"</f>
        <v>741485118</v>
      </c>
      <c r="CQ2450">
        <v>0</v>
      </c>
      <c r="CR2450">
        <v>2</v>
      </c>
      <c r="CS2450">
        <v>0</v>
      </c>
      <c r="CT2450">
        <v>2</v>
      </c>
      <c r="CU2450">
        <v>0</v>
      </c>
      <c r="CV2450">
        <v>5</v>
      </c>
      <c r="CW2450" t="s">
        <v>120</v>
      </c>
      <c r="CX2450">
        <v>257</v>
      </c>
      <c r="CY2450">
        <v>0</v>
      </c>
      <c r="CZ2450" t="s">
        <v>615</v>
      </c>
      <c r="DA2450" t="s">
        <v>616</v>
      </c>
      <c r="DD2450">
        <v>15913893</v>
      </c>
      <c r="DE2450" t="s">
        <v>123</v>
      </c>
    </row>
    <row r="2451" spans="1:109" x14ac:dyDescent="0.3">
      <c r="A2451" t="str">
        <f>"19:15:42.992"</f>
        <v>19:15:42.992</v>
      </c>
      <c r="B2451" t="s">
        <v>110</v>
      </c>
      <c r="C2451" t="str">
        <f t="shared" si="114"/>
        <v>ffdfd3c0</v>
      </c>
      <c r="D2451" t="s">
        <v>111</v>
      </c>
      <c r="E2451">
        <v>18</v>
      </c>
      <c r="F2451">
        <v>1018</v>
      </c>
      <c r="G2451" t="s">
        <v>112</v>
      </c>
      <c r="J2451" t="s">
        <v>113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R2451" t="s">
        <v>114</v>
      </c>
      <c r="S2451" t="str">
        <f>"19:15:42.742"</f>
        <v>19:15:42.742</v>
      </c>
      <c r="T2451" t="str">
        <f>"19:15:42.742"</f>
        <v>19:15:42.742</v>
      </c>
      <c r="U2451" t="str">
        <f t="shared" si="115"/>
        <v>a1cdbe</v>
      </c>
      <c r="V2451">
        <v>0</v>
      </c>
      <c r="W2451">
        <v>0</v>
      </c>
      <c r="X2451">
        <v>1</v>
      </c>
      <c r="Y2451">
        <v>0</v>
      </c>
      <c r="Z2451">
        <v>0</v>
      </c>
      <c r="AB2451">
        <v>0</v>
      </c>
      <c r="AC2451">
        <v>9</v>
      </c>
      <c r="AD2451">
        <v>3</v>
      </c>
      <c r="AE2451">
        <v>0</v>
      </c>
      <c r="AF2451">
        <v>9</v>
      </c>
      <c r="AG2451" t="s">
        <v>158</v>
      </c>
      <c r="AH2451">
        <v>0</v>
      </c>
      <c r="AI2451">
        <v>3</v>
      </c>
      <c r="AJ2451">
        <v>1</v>
      </c>
      <c r="AK2451">
        <v>0</v>
      </c>
      <c r="AL2451" t="s">
        <v>4616</v>
      </c>
      <c r="AM2451">
        <v>46.916428000000003</v>
      </c>
      <c r="AN2451" t="s">
        <v>4617</v>
      </c>
      <c r="AO2451">
        <v>-123.25801800000001</v>
      </c>
      <c r="AP2451">
        <v>100</v>
      </c>
      <c r="AQ2451">
        <v>2000</v>
      </c>
      <c r="AR2451" t="s">
        <v>118</v>
      </c>
      <c r="AS2451">
        <v>-58</v>
      </c>
      <c r="AT2451">
        <v>49</v>
      </c>
      <c r="AU2451">
        <v>128</v>
      </c>
      <c r="BC2451">
        <v>1200</v>
      </c>
      <c r="BD2451">
        <v>1</v>
      </c>
      <c r="BE2451" t="str">
        <f t="shared" si="116"/>
        <v xml:space="preserve">N215T   </v>
      </c>
      <c r="BF2451">
        <v>1</v>
      </c>
      <c r="BH2451">
        <v>0</v>
      </c>
      <c r="BI2451">
        <v>0</v>
      </c>
      <c r="BJ2451">
        <v>0</v>
      </c>
      <c r="BK2451">
        <v>2400</v>
      </c>
      <c r="BL2451">
        <v>400</v>
      </c>
      <c r="BM2451" t="s">
        <v>119</v>
      </c>
      <c r="BN2451">
        <v>1</v>
      </c>
      <c r="BO2451">
        <v>1</v>
      </c>
      <c r="BP2451">
        <v>1</v>
      </c>
      <c r="BQ2451">
        <v>0</v>
      </c>
      <c r="BT2451">
        <v>0</v>
      </c>
      <c r="BU2451">
        <v>0</v>
      </c>
      <c r="BV2451">
        <v>0</v>
      </c>
      <c r="CC2451" t="str">
        <f>"19:15:42.750"</f>
        <v>19:15:42.750</v>
      </c>
      <c r="CD2451" t="str">
        <f>"746386118"</f>
        <v>746386118</v>
      </c>
      <c r="CQ2451">
        <v>0</v>
      </c>
      <c r="CR2451">
        <v>2</v>
      </c>
      <c r="CS2451">
        <v>0</v>
      </c>
      <c r="CT2451">
        <v>2</v>
      </c>
      <c r="CU2451">
        <v>0</v>
      </c>
      <c r="CV2451">
        <v>6</v>
      </c>
      <c r="CW2451" t="s">
        <v>120</v>
      </c>
      <c r="CX2451">
        <v>257</v>
      </c>
      <c r="CY2451">
        <v>0</v>
      </c>
      <c r="CZ2451" t="s">
        <v>615</v>
      </c>
      <c r="DA2451" t="s">
        <v>616</v>
      </c>
      <c r="DD2451">
        <v>15914414</v>
      </c>
      <c r="DE2451" t="s">
        <v>123</v>
      </c>
    </row>
    <row r="2452" spans="1:109" x14ac:dyDescent="0.3">
      <c r="A2452" t="str">
        <f>"19:15:44.055"</f>
        <v>19:15:44.055</v>
      </c>
      <c r="B2452" t="s">
        <v>110</v>
      </c>
      <c r="C2452" t="str">
        <f t="shared" si="114"/>
        <v>ffdfd3c0</v>
      </c>
      <c r="D2452" t="s">
        <v>111</v>
      </c>
      <c r="E2452">
        <v>18</v>
      </c>
      <c r="F2452">
        <v>1018</v>
      </c>
      <c r="G2452" t="s">
        <v>112</v>
      </c>
      <c r="J2452" t="s">
        <v>113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R2452" t="s">
        <v>114</v>
      </c>
      <c r="S2452" t="str">
        <f>"19:15:43.805"</f>
        <v>19:15:43.805</v>
      </c>
      <c r="T2452" t="str">
        <f>"19:15:43.602"</f>
        <v>19:15:43.602</v>
      </c>
      <c r="U2452" t="str">
        <f t="shared" si="115"/>
        <v>a1cdbe</v>
      </c>
      <c r="V2452">
        <v>0</v>
      </c>
      <c r="W2452">
        <v>0</v>
      </c>
      <c r="X2452">
        <v>1</v>
      </c>
      <c r="Y2452">
        <v>0</v>
      </c>
      <c r="Z2452">
        <v>0</v>
      </c>
      <c r="AB2452">
        <v>0</v>
      </c>
      <c r="AC2452">
        <v>9</v>
      </c>
      <c r="AD2452">
        <v>3</v>
      </c>
      <c r="AE2452">
        <v>0</v>
      </c>
      <c r="AF2452">
        <v>9</v>
      </c>
      <c r="AG2452" t="s">
        <v>158</v>
      </c>
      <c r="AH2452">
        <v>0</v>
      </c>
      <c r="AI2452">
        <v>3</v>
      </c>
      <c r="AJ2452">
        <v>1</v>
      </c>
      <c r="AK2452">
        <v>0</v>
      </c>
      <c r="AL2452" t="s">
        <v>4618</v>
      </c>
      <c r="AM2452">
        <v>46.916685000000001</v>
      </c>
      <c r="AN2452" t="s">
        <v>4619</v>
      </c>
      <c r="AO2452">
        <v>-123.258426</v>
      </c>
      <c r="AP2452">
        <v>100</v>
      </c>
      <c r="AQ2452">
        <v>2000</v>
      </c>
      <c r="AR2452" t="s">
        <v>118</v>
      </c>
      <c r="AS2452">
        <v>-58</v>
      </c>
      <c r="AT2452">
        <v>48</v>
      </c>
      <c r="AU2452">
        <v>128</v>
      </c>
      <c r="BC2452">
        <v>1200</v>
      </c>
      <c r="BD2452">
        <v>1</v>
      </c>
      <c r="BE2452" t="str">
        <f t="shared" si="116"/>
        <v xml:space="preserve">N215T   </v>
      </c>
      <c r="BF2452">
        <v>1</v>
      </c>
      <c r="BH2452">
        <v>0</v>
      </c>
      <c r="BI2452">
        <v>0</v>
      </c>
      <c r="BJ2452">
        <v>0</v>
      </c>
      <c r="BK2452">
        <v>2400</v>
      </c>
      <c r="BL2452">
        <v>400</v>
      </c>
      <c r="BM2452" t="s">
        <v>119</v>
      </c>
      <c r="BN2452">
        <v>1</v>
      </c>
      <c r="BO2452">
        <v>1</v>
      </c>
      <c r="BP2452">
        <v>1</v>
      </c>
      <c r="BQ2452">
        <v>0</v>
      </c>
      <c r="BT2452">
        <v>0</v>
      </c>
      <c r="BU2452">
        <v>0</v>
      </c>
      <c r="BV2452">
        <v>0</v>
      </c>
      <c r="CC2452" t="str">
        <f>"19:15:43.813"</f>
        <v>19:15:43.813</v>
      </c>
      <c r="CD2452" t="str">
        <f>"811281206"</f>
        <v>811281206</v>
      </c>
      <c r="CQ2452">
        <v>0</v>
      </c>
      <c r="CR2452">
        <v>2</v>
      </c>
      <c r="CS2452">
        <v>0</v>
      </c>
      <c r="CT2452">
        <v>2</v>
      </c>
      <c r="CU2452">
        <v>0</v>
      </c>
      <c r="CV2452">
        <v>6</v>
      </c>
      <c r="CW2452" t="s">
        <v>120</v>
      </c>
      <c r="CX2452">
        <v>257</v>
      </c>
      <c r="CY2452">
        <v>0</v>
      </c>
      <c r="CZ2452" t="s">
        <v>615</v>
      </c>
      <c r="DA2452" t="s">
        <v>616</v>
      </c>
      <c r="DD2452">
        <v>15914986</v>
      </c>
      <c r="DE2452" t="s">
        <v>123</v>
      </c>
    </row>
    <row r="2453" spans="1:109" x14ac:dyDescent="0.3">
      <c r="A2453" t="str">
        <f>"19:15:45.055"</f>
        <v>19:15:45.055</v>
      </c>
      <c r="B2453" t="s">
        <v>110</v>
      </c>
      <c r="C2453" t="str">
        <f t="shared" si="114"/>
        <v>ffdfd3c0</v>
      </c>
      <c r="D2453" t="s">
        <v>111</v>
      </c>
      <c r="E2453">
        <v>18</v>
      </c>
      <c r="F2453">
        <v>1018</v>
      </c>
      <c r="G2453" t="s">
        <v>112</v>
      </c>
      <c r="J2453" t="s">
        <v>113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R2453" t="s">
        <v>114</v>
      </c>
      <c r="S2453" t="str">
        <f>"19:15:44.844"</f>
        <v>19:15:44.844</v>
      </c>
      <c r="T2453" t="str">
        <f>"19:15:44.445"</f>
        <v>19:15:44.445</v>
      </c>
      <c r="U2453" t="str">
        <f t="shared" si="115"/>
        <v>a1cdbe</v>
      </c>
      <c r="V2453">
        <v>0</v>
      </c>
      <c r="W2453">
        <v>0</v>
      </c>
      <c r="X2453">
        <v>1</v>
      </c>
      <c r="Y2453">
        <v>0</v>
      </c>
      <c r="Z2453">
        <v>0</v>
      </c>
      <c r="AB2453">
        <v>0</v>
      </c>
      <c r="AC2453">
        <v>9</v>
      </c>
      <c r="AD2453">
        <v>3</v>
      </c>
      <c r="AE2453">
        <v>0</v>
      </c>
      <c r="AF2453">
        <v>9</v>
      </c>
      <c r="AG2453" t="s">
        <v>158</v>
      </c>
      <c r="AH2453">
        <v>0</v>
      </c>
      <c r="AI2453">
        <v>3</v>
      </c>
      <c r="AJ2453">
        <v>1</v>
      </c>
      <c r="AK2453">
        <v>0</v>
      </c>
      <c r="AL2453" t="s">
        <v>4620</v>
      </c>
      <c r="AM2453">
        <v>46.916921000000002</v>
      </c>
      <c r="AN2453" t="s">
        <v>4621</v>
      </c>
      <c r="AO2453">
        <v>-123.25883399999999</v>
      </c>
      <c r="AP2453">
        <v>100</v>
      </c>
      <c r="AQ2453">
        <v>2000</v>
      </c>
      <c r="AR2453" t="s">
        <v>118</v>
      </c>
      <c r="AS2453">
        <v>-58</v>
      </c>
      <c r="AT2453">
        <v>47</v>
      </c>
      <c r="AU2453">
        <v>0</v>
      </c>
      <c r="BC2453">
        <v>1200</v>
      </c>
      <c r="BD2453">
        <v>1</v>
      </c>
      <c r="BE2453" t="str">
        <f t="shared" si="116"/>
        <v xml:space="preserve">N215T   </v>
      </c>
      <c r="BF2453">
        <v>1</v>
      </c>
      <c r="BH2453">
        <v>0</v>
      </c>
      <c r="BI2453">
        <v>0</v>
      </c>
      <c r="BJ2453">
        <v>0</v>
      </c>
      <c r="BK2453">
        <v>2400</v>
      </c>
      <c r="BL2453">
        <v>400</v>
      </c>
      <c r="BM2453" t="s">
        <v>119</v>
      </c>
      <c r="BN2453">
        <v>1</v>
      </c>
      <c r="BO2453">
        <v>1</v>
      </c>
      <c r="BP2453">
        <v>1</v>
      </c>
      <c r="BQ2453">
        <v>0</v>
      </c>
      <c r="BT2453">
        <v>0</v>
      </c>
      <c r="BU2453">
        <v>0</v>
      </c>
      <c r="BV2453">
        <v>0</v>
      </c>
      <c r="CC2453" t="str">
        <f>"19:15:44.844"</f>
        <v>19:15:44.844</v>
      </c>
      <c r="CD2453" t="str">
        <f>"846195373"</f>
        <v>846195373</v>
      </c>
      <c r="CQ2453">
        <v>0</v>
      </c>
      <c r="CR2453">
        <v>2</v>
      </c>
      <c r="CS2453">
        <v>0</v>
      </c>
      <c r="CT2453">
        <v>2</v>
      </c>
      <c r="CU2453">
        <v>0</v>
      </c>
      <c r="CV2453">
        <v>5</v>
      </c>
      <c r="CW2453" t="s">
        <v>120</v>
      </c>
      <c r="CX2453">
        <v>261</v>
      </c>
      <c r="CY2453">
        <v>2</v>
      </c>
      <c r="CZ2453" t="s">
        <v>121</v>
      </c>
      <c r="DA2453" t="s">
        <v>122</v>
      </c>
      <c r="DD2453">
        <v>15763831</v>
      </c>
      <c r="DE2453" t="s">
        <v>123</v>
      </c>
    </row>
    <row r="2454" spans="1:109" x14ac:dyDescent="0.3">
      <c r="A2454" t="str">
        <f>"19:15:46.016"</f>
        <v>19:15:46.016</v>
      </c>
      <c r="B2454" t="s">
        <v>110</v>
      </c>
      <c r="C2454" t="str">
        <f t="shared" si="114"/>
        <v>ffdfd3c0</v>
      </c>
      <c r="D2454" t="s">
        <v>111</v>
      </c>
      <c r="E2454">
        <v>18</v>
      </c>
      <c r="F2454">
        <v>1018</v>
      </c>
      <c r="G2454" t="s">
        <v>112</v>
      </c>
      <c r="J2454" t="s">
        <v>113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R2454" t="s">
        <v>114</v>
      </c>
      <c r="S2454" t="str">
        <f>"19:15:45.789"</f>
        <v>19:15:45.789</v>
      </c>
      <c r="T2454" t="str">
        <f>"19:15:45.391"</f>
        <v>19:15:45.391</v>
      </c>
      <c r="U2454" t="str">
        <f t="shared" si="115"/>
        <v>a1cdbe</v>
      </c>
      <c r="V2454">
        <v>0</v>
      </c>
      <c r="W2454">
        <v>0</v>
      </c>
      <c r="X2454">
        <v>1</v>
      </c>
      <c r="Y2454">
        <v>0</v>
      </c>
      <c r="Z2454">
        <v>0</v>
      </c>
      <c r="AB2454">
        <v>0</v>
      </c>
      <c r="AC2454">
        <v>9</v>
      </c>
      <c r="AD2454">
        <v>3</v>
      </c>
      <c r="AE2454">
        <v>0</v>
      </c>
      <c r="AF2454">
        <v>9</v>
      </c>
      <c r="AG2454" t="s">
        <v>158</v>
      </c>
      <c r="AH2454">
        <v>0</v>
      </c>
      <c r="AI2454">
        <v>3</v>
      </c>
      <c r="AJ2454">
        <v>1</v>
      </c>
      <c r="AK2454">
        <v>0</v>
      </c>
      <c r="AL2454" t="s">
        <v>1297</v>
      </c>
      <c r="AM2454">
        <v>46.917113999999998</v>
      </c>
      <c r="AN2454" t="s">
        <v>4622</v>
      </c>
      <c r="AO2454">
        <v>-123.259199</v>
      </c>
      <c r="AP2454">
        <v>100</v>
      </c>
      <c r="AQ2454">
        <v>2000</v>
      </c>
      <c r="AR2454" t="s">
        <v>118</v>
      </c>
      <c r="AS2454">
        <v>-58</v>
      </c>
      <c r="AT2454">
        <v>47</v>
      </c>
      <c r="AU2454">
        <v>-128</v>
      </c>
      <c r="BC2454">
        <v>1200</v>
      </c>
      <c r="BD2454">
        <v>1</v>
      </c>
      <c r="BE2454" t="str">
        <f t="shared" si="116"/>
        <v xml:space="preserve">N215T   </v>
      </c>
      <c r="BF2454">
        <v>1</v>
      </c>
      <c r="BH2454">
        <v>0</v>
      </c>
      <c r="BI2454">
        <v>0</v>
      </c>
      <c r="BJ2454">
        <v>0</v>
      </c>
      <c r="BK2454">
        <v>2400</v>
      </c>
      <c r="BL2454">
        <v>400</v>
      </c>
      <c r="BM2454" t="s">
        <v>119</v>
      </c>
      <c r="BN2454">
        <v>1</v>
      </c>
      <c r="BO2454">
        <v>1</v>
      </c>
      <c r="BP2454">
        <v>1</v>
      </c>
      <c r="BQ2454">
        <v>0</v>
      </c>
      <c r="BT2454">
        <v>0</v>
      </c>
      <c r="BU2454">
        <v>0</v>
      </c>
      <c r="BV2454">
        <v>0</v>
      </c>
      <c r="CC2454" t="str">
        <f>"19:15:45.789"</f>
        <v>19:15:45.789</v>
      </c>
      <c r="CD2454" t="str">
        <f>"791086176"</f>
        <v>791086176</v>
      </c>
      <c r="CQ2454">
        <v>0</v>
      </c>
      <c r="CR2454">
        <v>2</v>
      </c>
      <c r="CS2454">
        <v>0</v>
      </c>
      <c r="CT2454">
        <v>2</v>
      </c>
      <c r="CU2454">
        <v>0</v>
      </c>
      <c r="CV2454">
        <v>6</v>
      </c>
      <c r="CW2454" t="s">
        <v>120</v>
      </c>
      <c r="CX2454">
        <v>257</v>
      </c>
      <c r="CY2454">
        <v>0</v>
      </c>
      <c r="CZ2454" t="s">
        <v>615</v>
      </c>
      <c r="DA2454" t="s">
        <v>616</v>
      </c>
      <c r="DD2454">
        <v>15915974</v>
      </c>
      <c r="DE2454" t="s">
        <v>123</v>
      </c>
    </row>
    <row r="2455" spans="1:109" x14ac:dyDescent="0.3">
      <c r="A2455" t="str">
        <f>"19:15:46.969"</f>
        <v>19:15:46.969</v>
      </c>
      <c r="B2455" t="s">
        <v>110</v>
      </c>
      <c r="C2455" t="str">
        <f t="shared" si="114"/>
        <v>ffdfd3c0</v>
      </c>
      <c r="D2455" t="s">
        <v>111</v>
      </c>
      <c r="E2455">
        <v>18</v>
      </c>
      <c r="F2455">
        <v>1018</v>
      </c>
      <c r="G2455" t="s">
        <v>112</v>
      </c>
      <c r="J2455" t="s">
        <v>113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R2455" t="s">
        <v>114</v>
      </c>
      <c r="S2455" t="str">
        <f>"19:15:46.766"</f>
        <v>19:15:46.766</v>
      </c>
      <c r="T2455" t="str">
        <f>"19:15:46.367"</f>
        <v>19:15:46.367</v>
      </c>
      <c r="U2455" t="str">
        <f t="shared" si="115"/>
        <v>a1cdbe</v>
      </c>
      <c r="V2455">
        <v>0</v>
      </c>
      <c r="W2455">
        <v>0</v>
      </c>
      <c r="X2455">
        <v>1</v>
      </c>
      <c r="Y2455">
        <v>0</v>
      </c>
      <c r="Z2455">
        <v>0</v>
      </c>
      <c r="AB2455">
        <v>0</v>
      </c>
      <c r="AC2455">
        <v>9</v>
      </c>
      <c r="AD2455">
        <v>3</v>
      </c>
      <c r="AE2455">
        <v>0</v>
      </c>
      <c r="AF2455">
        <v>9</v>
      </c>
      <c r="AG2455" t="s">
        <v>158</v>
      </c>
      <c r="AH2455">
        <v>0</v>
      </c>
      <c r="AI2455">
        <v>3</v>
      </c>
      <c r="AJ2455">
        <v>1</v>
      </c>
      <c r="AK2455">
        <v>0</v>
      </c>
      <c r="AL2455" t="s">
        <v>4623</v>
      </c>
      <c r="AM2455">
        <v>46.917349999999999</v>
      </c>
      <c r="AN2455" t="s">
        <v>4624</v>
      </c>
      <c r="AO2455">
        <v>-123.25960600000001</v>
      </c>
      <c r="AP2455">
        <v>100</v>
      </c>
      <c r="AQ2455">
        <v>2000</v>
      </c>
      <c r="AR2455" t="s">
        <v>118</v>
      </c>
      <c r="AS2455">
        <v>-58</v>
      </c>
      <c r="AT2455">
        <v>47</v>
      </c>
      <c r="AU2455">
        <v>64</v>
      </c>
      <c r="BC2455">
        <v>1200</v>
      </c>
      <c r="BD2455">
        <v>1</v>
      </c>
      <c r="BE2455" t="str">
        <f t="shared" si="116"/>
        <v xml:space="preserve">N215T   </v>
      </c>
      <c r="BF2455">
        <v>1</v>
      </c>
      <c r="BH2455">
        <v>0</v>
      </c>
      <c r="BI2455">
        <v>0</v>
      </c>
      <c r="BJ2455">
        <v>0</v>
      </c>
      <c r="BK2455">
        <v>2400</v>
      </c>
      <c r="BL2455">
        <v>400</v>
      </c>
      <c r="BM2455" t="s">
        <v>119</v>
      </c>
      <c r="BN2455">
        <v>1</v>
      </c>
      <c r="BO2455">
        <v>1</v>
      </c>
      <c r="BP2455">
        <v>1</v>
      </c>
      <c r="BQ2455">
        <v>0</v>
      </c>
      <c r="BT2455">
        <v>0</v>
      </c>
      <c r="BU2455">
        <v>0</v>
      </c>
      <c r="BV2455">
        <v>0</v>
      </c>
      <c r="CC2455" t="str">
        <f>"19:15:46.766"</f>
        <v>19:15:46.766</v>
      </c>
      <c r="CD2455" t="str">
        <f>"766006204"</f>
        <v>766006204</v>
      </c>
      <c r="CQ2455">
        <v>0</v>
      </c>
      <c r="CR2455">
        <v>2</v>
      </c>
      <c r="CS2455">
        <v>0</v>
      </c>
      <c r="CT2455">
        <v>2</v>
      </c>
      <c r="CU2455">
        <v>0</v>
      </c>
      <c r="CV2455">
        <v>5</v>
      </c>
      <c r="CW2455" t="s">
        <v>120</v>
      </c>
      <c r="CX2455">
        <v>261</v>
      </c>
      <c r="CY2455">
        <v>2</v>
      </c>
      <c r="CZ2455" t="s">
        <v>121</v>
      </c>
      <c r="DA2455" t="s">
        <v>122</v>
      </c>
      <c r="DD2455">
        <v>15765113</v>
      </c>
      <c r="DE2455" t="s">
        <v>123</v>
      </c>
    </row>
    <row r="2456" spans="1:109" x14ac:dyDescent="0.3">
      <c r="A2456" t="str">
        <f>"19:15:47.922"</f>
        <v>19:15:47.922</v>
      </c>
      <c r="B2456" t="s">
        <v>110</v>
      </c>
      <c r="C2456" t="str">
        <f t="shared" si="114"/>
        <v>ffdfd3c0</v>
      </c>
      <c r="D2456" t="s">
        <v>111</v>
      </c>
      <c r="E2456">
        <v>18</v>
      </c>
      <c r="F2456">
        <v>1018</v>
      </c>
      <c r="G2456" t="s">
        <v>112</v>
      </c>
      <c r="J2456" t="s">
        <v>113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R2456" t="s">
        <v>114</v>
      </c>
      <c r="S2456" t="str">
        <f>"19:15:47.719"</f>
        <v>19:15:47.719</v>
      </c>
      <c r="T2456" t="str">
        <f>"19:15:47.320"</f>
        <v>19:15:47.320</v>
      </c>
      <c r="U2456" t="str">
        <f t="shared" si="115"/>
        <v>a1cdbe</v>
      </c>
      <c r="V2456">
        <v>0</v>
      </c>
      <c r="W2456">
        <v>0</v>
      </c>
      <c r="X2456">
        <v>1</v>
      </c>
      <c r="Y2456">
        <v>0</v>
      </c>
      <c r="Z2456">
        <v>0</v>
      </c>
      <c r="AB2456">
        <v>0</v>
      </c>
      <c r="AC2456">
        <v>9</v>
      </c>
      <c r="AD2456">
        <v>3</v>
      </c>
      <c r="AE2456">
        <v>0</v>
      </c>
      <c r="AF2456">
        <v>9</v>
      </c>
      <c r="AG2456" t="s">
        <v>158</v>
      </c>
      <c r="AH2456">
        <v>0</v>
      </c>
      <c r="AI2456">
        <v>3</v>
      </c>
      <c r="AJ2456">
        <v>1</v>
      </c>
      <c r="AK2456">
        <v>0</v>
      </c>
      <c r="AL2456" t="s">
        <v>4625</v>
      </c>
      <c r="AM2456">
        <v>46.917521999999998</v>
      </c>
      <c r="AN2456" t="s">
        <v>4626</v>
      </c>
      <c r="AO2456">
        <v>-123.260014</v>
      </c>
      <c r="AP2456">
        <v>100</v>
      </c>
      <c r="AQ2456">
        <v>2000</v>
      </c>
      <c r="AR2456" t="s">
        <v>118</v>
      </c>
      <c r="AS2456">
        <v>-57</v>
      </c>
      <c r="AT2456">
        <v>48</v>
      </c>
      <c r="AU2456">
        <v>0</v>
      </c>
      <c r="BC2456">
        <v>1200</v>
      </c>
      <c r="BD2456">
        <v>1</v>
      </c>
      <c r="BE2456" t="str">
        <f t="shared" si="116"/>
        <v xml:space="preserve">N215T   </v>
      </c>
      <c r="BF2456">
        <v>1</v>
      </c>
      <c r="BH2456">
        <v>0</v>
      </c>
      <c r="BI2456">
        <v>0</v>
      </c>
      <c r="BJ2456">
        <v>0</v>
      </c>
      <c r="BK2456">
        <v>2400</v>
      </c>
      <c r="BL2456">
        <v>400</v>
      </c>
      <c r="BM2456" t="s">
        <v>119</v>
      </c>
      <c r="BN2456">
        <v>1</v>
      </c>
      <c r="BO2456">
        <v>1</v>
      </c>
      <c r="BP2456">
        <v>1</v>
      </c>
      <c r="BQ2456">
        <v>0</v>
      </c>
      <c r="BT2456">
        <v>0</v>
      </c>
      <c r="BU2456">
        <v>0</v>
      </c>
      <c r="BV2456">
        <v>0</v>
      </c>
      <c r="CC2456" t="str">
        <f>"19:15:47.727"</f>
        <v>19:15:47.727</v>
      </c>
      <c r="CD2456" t="str">
        <f>"725895570"</f>
        <v>725895570</v>
      </c>
      <c r="CQ2456">
        <v>0</v>
      </c>
      <c r="CR2456">
        <v>2</v>
      </c>
      <c r="CS2456">
        <v>0</v>
      </c>
      <c r="CT2456">
        <v>2</v>
      </c>
      <c r="CU2456">
        <v>0</v>
      </c>
      <c r="CV2456">
        <v>5</v>
      </c>
      <c r="CW2456" t="s">
        <v>120</v>
      </c>
      <c r="CX2456">
        <v>257</v>
      </c>
      <c r="CY2456">
        <v>1</v>
      </c>
      <c r="CZ2456" t="s">
        <v>615</v>
      </c>
      <c r="DA2456" t="s">
        <v>616</v>
      </c>
      <c r="DD2456">
        <v>12203434</v>
      </c>
      <c r="DE2456" t="s">
        <v>123</v>
      </c>
    </row>
    <row r="2457" spans="1:109" x14ac:dyDescent="0.3">
      <c r="A2457" t="str">
        <f>"19:15:48.930"</f>
        <v>19:15:48.930</v>
      </c>
      <c r="B2457" t="s">
        <v>110</v>
      </c>
      <c r="C2457" t="str">
        <f t="shared" si="114"/>
        <v>ffdfd3c0</v>
      </c>
      <c r="D2457" t="s">
        <v>111</v>
      </c>
      <c r="E2457">
        <v>18</v>
      </c>
      <c r="F2457">
        <v>1018</v>
      </c>
      <c r="G2457" t="s">
        <v>112</v>
      </c>
      <c r="J2457" t="s">
        <v>113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R2457" t="s">
        <v>114</v>
      </c>
      <c r="S2457" t="str">
        <f>"19:15:48.680"</f>
        <v>19:15:48.680</v>
      </c>
      <c r="T2457" t="str">
        <f>"19:15:48.477"</f>
        <v>19:15:48.477</v>
      </c>
      <c r="U2457" t="str">
        <f t="shared" si="115"/>
        <v>a1cdbe</v>
      </c>
      <c r="V2457">
        <v>0</v>
      </c>
      <c r="W2457">
        <v>0</v>
      </c>
      <c r="X2457">
        <v>1</v>
      </c>
      <c r="Y2457">
        <v>0</v>
      </c>
      <c r="Z2457">
        <v>0</v>
      </c>
      <c r="AB2457">
        <v>0</v>
      </c>
      <c r="AC2457">
        <v>9</v>
      </c>
      <c r="AD2457">
        <v>3</v>
      </c>
      <c r="AE2457">
        <v>0</v>
      </c>
      <c r="AF2457">
        <v>9</v>
      </c>
      <c r="AG2457" t="s">
        <v>158</v>
      </c>
      <c r="AH2457">
        <v>0</v>
      </c>
      <c r="AI2457">
        <v>3</v>
      </c>
      <c r="AJ2457">
        <v>1</v>
      </c>
      <c r="AK2457">
        <v>0</v>
      </c>
      <c r="AL2457" t="s">
        <v>4627</v>
      </c>
      <c r="AM2457">
        <v>46.917757999999999</v>
      </c>
      <c r="AN2457" t="s">
        <v>4628</v>
      </c>
      <c r="AO2457">
        <v>-123.260336</v>
      </c>
      <c r="AP2457">
        <v>100</v>
      </c>
      <c r="AQ2457">
        <v>2000</v>
      </c>
      <c r="AR2457" t="s">
        <v>118</v>
      </c>
      <c r="AS2457">
        <v>-58</v>
      </c>
      <c r="AT2457">
        <v>48</v>
      </c>
      <c r="AU2457">
        <v>-128</v>
      </c>
      <c r="BC2457">
        <v>1200</v>
      </c>
      <c r="BD2457">
        <v>1</v>
      </c>
      <c r="BE2457" t="str">
        <f t="shared" si="116"/>
        <v xml:space="preserve">N215T   </v>
      </c>
      <c r="BF2457">
        <v>1</v>
      </c>
      <c r="BH2457">
        <v>0</v>
      </c>
      <c r="BI2457">
        <v>0</v>
      </c>
      <c r="BJ2457">
        <v>0</v>
      </c>
      <c r="BK2457">
        <v>2400</v>
      </c>
      <c r="BL2457">
        <v>400</v>
      </c>
      <c r="BM2457" t="s">
        <v>119</v>
      </c>
      <c r="BN2457">
        <v>1</v>
      </c>
      <c r="BO2457">
        <v>1</v>
      </c>
      <c r="BP2457">
        <v>1</v>
      </c>
      <c r="BQ2457">
        <v>0</v>
      </c>
      <c r="BT2457">
        <v>0</v>
      </c>
      <c r="BU2457">
        <v>0</v>
      </c>
      <c r="BV2457">
        <v>0</v>
      </c>
      <c r="CC2457" t="str">
        <f>"19:15:48.688"</f>
        <v>19:15:48.688</v>
      </c>
      <c r="CD2457" t="str">
        <f>"685801010"</f>
        <v>685801010</v>
      </c>
      <c r="CQ2457">
        <v>0</v>
      </c>
      <c r="CR2457">
        <v>2</v>
      </c>
      <c r="CS2457">
        <v>0</v>
      </c>
      <c r="CT2457">
        <v>2</v>
      </c>
      <c r="CU2457">
        <v>0</v>
      </c>
      <c r="CV2457">
        <v>6</v>
      </c>
      <c r="CW2457" t="s">
        <v>120</v>
      </c>
      <c r="CX2457">
        <v>257</v>
      </c>
      <c r="CY2457">
        <v>0</v>
      </c>
      <c r="CZ2457" t="s">
        <v>615</v>
      </c>
      <c r="DA2457" t="s">
        <v>616</v>
      </c>
      <c r="DD2457">
        <v>15917559</v>
      </c>
      <c r="DE2457" t="s">
        <v>123</v>
      </c>
    </row>
    <row r="2458" spans="1:109" x14ac:dyDescent="0.3">
      <c r="A2458" t="str">
        <f>"19:15:50.094"</f>
        <v>19:15:50.094</v>
      </c>
      <c r="B2458" t="s">
        <v>110</v>
      </c>
      <c r="C2458" t="str">
        <f t="shared" si="114"/>
        <v>ffdfd3c0</v>
      </c>
      <c r="D2458" t="s">
        <v>111</v>
      </c>
      <c r="E2458">
        <v>18</v>
      </c>
      <c r="F2458">
        <v>1018</v>
      </c>
      <c r="G2458" t="s">
        <v>112</v>
      </c>
      <c r="J2458" t="s">
        <v>113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R2458" t="s">
        <v>114</v>
      </c>
      <c r="S2458" t="str">
        <f>"19:15:49.805"</f>
        <v>19:15:49.805</v>
      </c>
      <c r="T2458" t="str">
        <f>"19:15:49.406"</f>
        <v>19:15:49.406</v>
      </c>
      <c r="U2458" t="str">
        <f t="shared" si="115"/>
        <v>a1cdbe</v>
      </c>
      <c r="V2458">
        <v>0</v>
      </c>
      <c r="W2458">
        <v>0</v>
      </c>
      <c r="X2458">
        <v>1</v>
      </c>
      <c r="Y2458">
        <v>0</v>
      </c>
      <c r="Z2458">
        <v>0</v>
      </c>
      <c r="AB2458">
        <v>0</v>
      </c>
      <c r="AC2458">
        <v>9</v>
      </c>
      <c r="AD2458">
        <v>3</v>
      </c>
      <c r="AE2458">
        <v>0</v>
      </c>
      <c r="AF2458">
        <v>9</v>
      </c>
      <c r="AG2458" t="s">
        <v>158</v>
      </c>
      <c r="AH2458">
        <v>0</v>
      </c>
      <c r="AI2458">
        <v>3</v>
      </c>
      <c r="AJ2458">
        <v>1</v>
      </c>
      <c r="AK2458">
        <v>0</v>
      </c>
      <c r="AL2458" t="s">
        <v>1291</v>
      </c>
      <c r="AM2458">
        <v>46.917994</v>
      </c>
      <c r="AN2458" t="s">
        <v>4629</v>
      </c>
      <c r="AO2458">
        <v>-123.26076500000001</v>
      </c>
      <c r="AP2458">
        <v>100</v>
      </c>
      <c r="AQ2458">
        <v>2000</v>
      </c>
      <c r="AR2458" t="s">
        <v>118</v>
      </c>
      <c r="AS2458">
        <v>-57</v>
      </c>
      <c r="AT2458">
        <v>48</v>
      </c>
      <c r="AU2458">
        <v>-320</v>
      </c>
      <c r="BC2458">
        <v>1200</v>
      </c>
      <c r="BD2458">
        <v>1</v>
      </c>
      <c r="BE2458" t="str">
        <f t="shared" si="116"/>
        <v xml:space="preserve">N215T   </v>
      </c>
      <c r="BF2458">
        <v>1</v>
      </c>
      <c r="BH2458">
        <v>0</v>
      </c>
      <c r="BI2458">
        <v>0</v>
      </c>
      <c r="BJ2458">
        <v>0</v>
      </c>
      <c r="BK2458">
        <v>2400</v>
      </c>
      <c r="BL2458">
        <v>400</v>
      </c>
      <c r="BM2458" t="s">
        <v>119</v>
      </c>
      <c r="BN2458">
        <v>1</v>
      </c>
      <c r="BO2458">
        <v>1</v>
      </c>
      <c r="BP2458">
        <v>1</v>
      </c>
      <c r="BQ2458">
        <v>0</v>
      </c>
      <c r="BT2458">
        <v>0</v>
      </c>
      <c r="BU2458">
        <v>0</v>
      </c>
      <c r="BV2458">
        <v>0</v>
      </c>
      <c r="CC2458" t="str">
        <f>"19:15:49.813"</f>
        <v>19:15:49.813</v>
      </c>
      <c r="CD2458" t="str">
        <f>"810690195"</f>
        <v>810690195</v>
      </c>
      <c r="CQ2458">
        <v>0</v>
      </c>
      <c r="CR2458">
        <v>2</v>
      </c>
      <c r="CS2458">
        <v>0</v>
      </c>
      <c r="CT2458">
        <v>2</v>
      </c>
      <c r="CU2458">
        <v>0</v>
      </c>
      <c r="CV2458">
        <v>6</v>
      </c>
      <c r="CW2458" t="s">
        <v>120</v>
      </c>
      <c r="CX2458">
        <v>257</v>
      </c>
      <c r="CY2458">
        <v>0</v>
      </c>
      <c r="CZ2458" t="s">
        <v>615</v>
      </c>
      <c r="DA2458" t="s">
        <v>616</v>
      </c>
      <c r="DD2458">
        <v>15918118</v>
      </c>
      <c r="DE2458" t="s">
        <v>123</v>
      </c>
    </row>
    <row r="2459" spans="1:109" x14ac:dyDescent="0.3">
      <c r="A2459" t="str">
        <f>"19:15:50.891"</f>
        <v>19:15:50.891</v>
      </c>
      <c r="B2459" t="s">
        <v>110</v>
      </c>
      <c r="C2459" t="str">
        <f t="shared" si="114"/>
        <v>ffdfd3c0</v>
      </c>
      <c r="D2459" t="s">
        <v>111</v>
      </c>
      <c r="E2459">
        <v>18</v>
      </c>
      <c r="F2459">
        <v>1018</v>
      </c>
      <c r="G2459" t="s">
        <v>112</v>
      </c>
      <c r="J2459" t="s">
        <v>113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R2459" t="s">
        <v>114</v>
      </c>
      <c r="S2459" t="str">
        <f>"19:15:50.664"</f>
        <v>19:15:50.664</v>
      </c>
      <c r="T2459" t="str">
        <f>"19:15:50.461"</f>
        <v>19:15:50.461</v>
      </c>
      <c r="U2459" t="str">
        <f t="shared" si="115"/>
        <v>a1cdbe</v>
      </c>
      <c r="V2459">
        <v>0</v>
      </c>
      <c r="W2459">
        <v>0</v>
      </c>
      <c r="X2459">
        <v>1</v>
      </c>
      <c r="Y2459">
        <v>0</v>
      </c>
      <c r="Z2459">
        <v>0</v>
      </c>
      <c r="AB2459">
        <v>0</v>
      </c>
      <c r="AC2459">
        <v>9</v>
      </c>
      <c r="AD2459">
        <v>3</v>
      </c>
      <c r="AE2459">
        <v>0</v>
      </c>
      <c r="AF2459">
        <v>9</v>
      </c>
      <c r="AG2459" t="s">
        <v>158</v>
      </c>
      <c r="AH2459">
        <v>0</v>
      </c>
      <c r="AI2459">
        <v>3</v>
      </c>
      <c r="AJ2459">
        <v>1</v>
      </c>
      <c r="AK2459">
        <v>0</v>
      </c>
      <c r="AL2459" t="s">
        <v>4630</v>
      </c>
      <c r="AM2459">
        <v>46.918187000000003</v>
      </c>
      <c r="AN2459" t="s">
        <v>4631</v>
      </c>
      <c r="AO2459">
        <v>-123.26110799999999</v>
      </c>
      <c r="AP2459">
        <v>100</v>
      </c>
      <c r="AQ2459">
        <v>2000</v>
      </c>
      <c r="AR2459" t="s">
        <v>118</v>
      </c>
      <c r="AS2459">
        <v>-57</v>
      </c>
      <c r="AT2459">
        <v>48</v>
      </c>
      <c r="AU2459">
        <v>-384</v>
      </c>
      <c r="BC2459">
        <v>1200</v>
      </c>
      <c r="BD2459">
        <v>1</v>
      </c>
      <c r="BE2459" t="str">
        <f t="shared" si="116"/>
        <v xml:space="preserve">N215T   </v>
      </c>
      <c r="BF2459">
        <v>1</v>
      </c>
      <c r="BH2459">
        <v>0</v>
      </c>
      <c r="BI2459">
        <v>0</v>
      </c>
      <c r="BJ2459">
        <v>0</v>
      </c>
      <c r="BK2459">
        <v>2400</v>
      </c>
      <c r="BL2459">
        <v>400</v>
      </c>
      <c r="BM2459" t="s">
        <v>119</v>
      </c>
      <c r="BN2459">
        <v>1</v>
      </c>
      <c r="BO2459">
        <v>1</v>
      </c>
      <c r="BP2459">
        <v>1</v>
      </c>
      <c r="BQ2459">
        <v>0</v>
      </c>
      <c r="BT2459">
        <v>0</v>
      </c>
      <c r="BU2459">
        <v>0</v>
      </c>
      <c r="BV2459">
        <v>0</v>
      </c>
      <c r="CC2459" t="str">
        <f>"19:15:50.664"</f>
        <v>19:15:50.664</v>
      </c>
      <c r="CD2459" t="str">
        <f>"665605968"</f>
        <v>665605968</v>
      </c>
      <c r="CQ2459">
        <v>0</v>
      </c>
      <c r="CR2459">
        <v>2</v>
      </c>
      <c r="CS2459">
        <v>0</v>
      </c>
      <c r="CT2459">
        <v>2</v>
      </c>
      <c r="CU2459">
        <v>0</v>
      </c>
      <c r="CV2459">
        <v>5</v>
      </c>
      <c r="CW2459" t="s">
        <v>120</v>
      </c>
      <c r="CX2459">
        <v>257</v>
      </c>
      <c r="CY2459">
        <v>0</v>
      </c>
      <c r="CZ2459" t="s">
        <v>615</v>
      </c>
      <c r="DA2459" t="s">
        <v>616</v>
      </c>
      <c r="DD2459">
        <v>15918572</v>
      </c>
      <c r="DE2459" t="s">
        <v>123</v>
      </c>
    </row>
    <row r="2460" spans="1:109" x14ac:dyDescent="0.3">
      <c r="A2460" t="str">
        <f>"19:15:51.945"</f>
        <v>19:15:51.945</v>
      </c>
      <c r="B2460" t="s">
        <v>110</v>
      </c>
      <c r="C2460" t="str">
        <f t="shared" si="114"/>
        <v>ffdfd3c0</v>
      </c>
      <c r="D2460" t="s">
        <v>111</v>
      </c>
      <c r="E2460">
        <v>18</v>
      </c>
      <c r="F2460">
        <v>1018</v>
      </c>
      <c r="G2460" t="s">
        <v>112</v>
      </c>
      <c r="J2460" t="s">
        <v>113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R2460" t="s">
        <v>114</v>
      </c>
      <c r="S2460" t="str">
        <f>"19:15:51.711"</f>
        <v>19:15:51.711</v>
      </c>
      <c r="T2460" t="str">
        <f>"19:15:51.313"</f>
        <v>19:15:51.313</v>
      </c>
      <c r="U2460" t="str">
        <f t="shared" si="115"/>
        <v>a1cdbe</v>
      </c>
      <c r="V2460">
        <v>0</v>
      </c>
      <c r="W2460">
        <v>0</v>
      </c>
      <c r="X2460">
        <v>1</v>
      </c>
      <c r="Y2460">
        <v>0</v>
      </c>
      <c r="Z2460">
        <v>0</v>
      </c>
      <c r="AB2460">
        <v>0</v>
      </c>
      <c r="AC2460">
        <v>9</v>
      </c>
      <c r="AD2460">
        <v>3</v>
      </c>
      <c r="AE2460">
        <v>0</v>
      </c>
      <c r="AF2460">
        <v>9</v>
      </c>
      <c r="AG2460" t="s">
        <v>158</v>
      </c>
      <c r="AH2460">
        <v>0</v>
      </c>
      <c r="AI2460">
        <v>3</v>
      </c>
      <c r="AJ2460">
        <v>1</v>
      </c>
      <c r="AK2460">
        <v>0</v>
      </c>
      <c r="AL2460" t="s">
        <v>4632</v>
      </c>
      <c r="AM2460">
        <v>46.918444999999998</v>
      </c>
      <c r="AN2460" t="s">
        <v>4633</v>
      </c>
      <c r="AO2460">
        <v>-123.261516</v>
      </c>
      <c r="AP2460">
        <v>100</v>
      </c>
      <c r="AQ2460">
        <v>2000</v>
      </c>
      <c r="AR2460" t="s">
        <v>118</v>
      </c>
      <c r="AS2460">
        <v>-58</v>
      </c>
      <c r="AT2460">
        <v>48</v>
      </c>
      <c r="AU2460">
        <v>-256</v>
      </c>
      <c r="BC2460">
        <v>1200</v>
      </c>
      <c r="BD2460">
        <v>1</v>
      </c>
      <c r="BE2460" t="str">
        <f t="shared" si="116"/>
        <v xml:space="preserve">N215T   </v>
      </c>
      <c r="BF2460">
        <v>1</v>
      </c>
      <c r="BH2460">
        <v>0</v>
      </c>
      <c r="BI2460">
        <v>0</v>
      </c>
      <c r="BJ2460">
        <v>0</v>
      </c>
      <c r="BK2460">
        <v>2375</v>
      </c>
      <c r="BL2460">
        <v>375</v>
      </c>
      <c r="BM2460" t="s">
        <v>119</v>
      </c>
      <c r="BN2460">
        <v>1</v>
      </c>
      <c r="BO2460">
        <v>1</v>
      </c>
      <c r="BP2460">
        <v>1</v>
      </c>
      <c r="BQ2460">
        <v>0</v>
      </c>
      <c r="BT2460">
        <v>0</v>
      </c>
      <c r="BU2460">
        <v>0</v>
      </c>
      <c r="BV2460">
        <v>0</v>
      </c>
      <c r="CC2460" t="str">
        <f>"19:15:51.719"</f>
        <v>19:15:51.719</v>
      </c>
      <c r="CD2460" t="str">
        <f>"715502543"</f>
        <v>715502543</v>
      </c>
      <c r="CQ2460">
        <v>0</v>
      </c>
      <c r="CR2460">
        <v>2</v>
      </c>
      <c r="CS2460">
        <v>0</v>
      </c>
      <c r="CT2460">
        <v>2</v>
      </c>
      <c r="CU2460">
        <v>0</v>
      </c>
      <c r="CV2460">
        <v>5</v>
      </c>
      <c r="CW2460" t="s">
        <v>120</v>
      </c>
      <c r="CX2460">
        <v>257</v>
      </c>
      <c r="CY2460">
        <v>0</v>
      </c>
      <c r="CZ2460" t="s">
        <v>615</v>
      </c>
      <c r="DA2460" t="s">
        <v>616</v>
      </c>
      <c r="DD2460">
        <v>15919178</v>
      </c>
      <c r="DE2460" t="s">
        <v>123</v>
      </c>
    </row>
    <row r="2461" spans="1:109" x14ac:dyDescent="0.3">
      <c r="A2461" t="str">
        <f>"19:15:53.102"</f>
        <v>19:15:53.102</v>
      </c>
      <c r="B2461" t="s">
        <v>110</v>
      </c>
      <c r="C2461" t="str">
        <f t="shared" si="114"/>
        <v>ffdfd3c0</v>
      </c>
      <c r="D2461" t="s">
        <v>111</v>
      </c>
      <c r="E2461">
        <v>18</v>
      </c>
      <c r="F2461">
        <v>1018</v>
      </c>
      <c r="G2461" t="s">
        <v>112</v>
      </c>
      <c r="J2461" t="s">
        <v>113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R2461" t="s">
        <v>114</v>
      </c>
      <c r="S2461" t="str">
        <f>"19:15:52.836"</f>
        <v>19:15:52.836</v>
      </c>
      <c r="T2461" t="str">
        <f>"19:15:52.336"</f>
        <v>19:15:52.336</v>
      </c>
      <c r="U2461" t="str">
        <f t="shared" si="115"/>
        <v>a1cdbe</v>
      </c>
      <c r="V2461">
        <v>0</v>
      </c>
      <c r="W2461">
        <v>0</v>
      </c>
      <c r="X2461">
        <v>1</v>
      </c>
      <c r="Y2461">
        <v>0</v>
      </c>
      <c r="Z2461">
        <v>0</v>
      </c>
      <c r="AB2461">
        <v>0</v>
      </c>
      <c r="AC2461">
        <v>9</v>
      </c>
      <c r="AD2461">
        <v>3</v>
      </c>
      <c r="AE2461">
        <v>0</v>
      </c>
      <c r="AF2461">
        <v>9</v>
      </c>
      <c r="AG2461" t="s">
        <v>158</v>
      </c>
      <c r="AH2461">
        <v>0</v>
      </c>
      <c r="AI2461">
        <v>3</v>
      </c>
      <c r="AJ2461">
        <v>1</v>
      </c>
      <c r="AK2461">
        <v>0</v>
      </c>
      <c r="AL2461" t="s">
        <v>4634</v>
      </c>
      <c r="AM2461">
        <v>46.918680999999999</v>
      </c>
      <c r="AN2461" t="s">
        <v>4635</v>
      </c>
      <c r="AO2461">
        <v>-123.26201</v>
      </c>
      <c r="AP2461">
        <v>100</v>
      </c>
      <c r="AQ2461">
        <v>2000</v>
      </c>
      <c r="AR2461" t="s">
        <v>118</v>
      </c>
      <c r="AS2461">
        <v>-59</v>
      </c>
      <c r="AT2461">
        <v>47</v>
      </c>
      <c r="AU2461">
        <v>-256</v>
      </c>
      <c r="BC2461">
        <v>1200</v>
      </c>
      <c r="BD2461">
        <v>1</v>
      </c>
      <c r="BE2461" t="str">
        <f t="shared" si="116"/>
        <v xml:space="preserve">N215T   </v>
      </c>
      <c r="BF2461">
        <v>1</v>
      </c>
      <c r="BH2461">
        <v>0</v>
      </c>
      <c r="BI2461">
        <v>0</v>
      </c>
      <c r="BJ2461">
        <v>0</v>
      </c>
      <c r="BK2461">
        <v>2375</v>
      </c>
      <c r="BL2461">
        <v>375</v>
      </c>
      <c r="BM2461" t="s">
        <v>119</v>
      </c>
      <c r="BN2461">
        <v>1</v>
      </c>
      <c r="BO2461">
        <v>1</v>
      </c>
      <c r="BP2461">
        <v>1</v>
      </c>
      <c r="BQ2461">
        <v>0</v>
      </c>
      <c r="BT2461">
        <v>0</v>
      </c>
      <c r="BU2461">
        <v>0</v>
      </c>
      <c r="BV2461">
        <v>0</v>
      </c>
      <c r="CC2461" t="str">
        <f>"19:15:52.844"</f>
        <v>19:15:52.844</v>
      </c>
      <c r="CD2461" t="str">
        <f>"840407622"</f>
        <v>840407622</v>
      </c>
      <c r="CQ2461">
        <v>0</v>
      </c>
      <c r="CR2461">
        <v>2</v>
      </c>
      <c r="CS2461">
        <v>0</v>
      </c>
      <c r="CT2461">
        <v>2</v>
      </c>
      <c r="CU2461">
        <v>0</v>
      </c>
      <c r="CV2461">
        <v>5</v>
      </c>
      <c r="CW2461" t="s">
        <v>120</v>
      </c>
      <c r="CX2461">
        <v>261</v>
      </c>
      <c r="CY2461">
        <v>2</v>
      </c>
      <c r="CZ2461" t="s">
        <v>121</v>
      </c>
      <c r="DA2461" t="s">
        <v>122</v>
      </c>
      <c r="DD2461">
        <v>15769390</v>
      </c>
      <c r="DE2461" t="s">
        <v>123</v>
      </c>
    </row>
    <row r="2462" spans="1:109" x14ac:dyDescent="0.3">
      <c r="A2462" t="str">
        <f>"19:15:54.156"</f>
        <v>19:15:54.156</v>
      </c>
      <c r="B2462" t="s">
        <v>110</v>
      </c>
      <c r="C2462" t="str">
        <f t="shared" si="114"/>
        <v>ffdfd3c0</v>
      </c>
      <c r="D2462" t="s">
        <v>111</v>
      </c>
      <c r="E2462">
        <v>18</v>
      </c>
      <c r="F2462">
        <v>1018</v>
      </c>
      <c r="G2462" t="s">
        <v>112</v>
      </c>
      <c r="J2462" t="s">
        <v>113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R2462" t="s">
        <v>114</v>
      </c>
      <c r="S2462" t="str">
        <f>"19:15:53.930"</f>
        <v>19:15:53.930</v>
      </c>
      <c r="T2462" t="str">
        <f>"19:15:53.430"</f>
        <v>19:15:53.430</v>
      </c>
      <c r="U2462" t="str">
        <f t="shared" si="115"/>
        <v>a1cdbe</v>
      </c>
      <c r="V2462">
        <v>0</v>
      </c>
      <c r="W2462">
        <v>0</v>
      </c>
      <c r="X2462">
        <v>1</v>
      </c>
      <c r="Y2462">
        <v>0</v>
      </c>
      <c r="Z2462">
        <v>0</v>
      </c>
      <c r="AB2462">
        <v>0</v>
      </c>
      <c r="AC2462">
        <v>9</v>
      </c>
      <c r="AD2462">
        <v>3</v>
      </c>
      <c r="AE2462">
        <v>0</v>
      </c>
      <c r="AF2462">
        <v>9</v>
      </c>
      <c r="AG2462" t="s">
        <v>158</v>
      </c>
      <c r="AH2462">
        <v>0</v>
      </c>
      <c r="AI2462">
        <v>3</v>
      </c>
      <c r="AJ2462">
        <v>1</v>
      </c>
      <c r="AK2462">
        <v>0</v>
      </c>
      <c r="AL2462" t="s">
        <v>1287</v>
      </c>
      <c r="AM2462">
        <v>46.918874000000002</v>
      </c>
      <c r="AN2462" t="s">
        <v>4636</v>
      </c>
      <c r="AO2462">
        <v>-123.262439</v>
      </c>
      <c r="AP2462">
        <v>100</v>
      </c>
      <c r="AQ2462">
        <v>2000</v>
      </c>
      <c r="AR2462" t="s">
        <v>118</v>
      </c>
      <c r="AS2462">
        <v>-60</v>
      </c>
      <c r="AT2462">
        <v>47</v>
      </c>
      <c r="AU2462">
        <v>-192</v>
      </c>
      <c r="BC2462">
        <v>1200</v>
      </c>
      <c r="BD2462">
        <v>1</v>
      </c>
      <c r="BE2462" t="str">
        <f t="shared" si="116"/>
        <v xml:space="preserve">N215T   </v>
      </c>
      <c r="BF2462">
        <v>1</v>
      </c>
      <c r="BH2462">
        <v>0</v>
      </c>
      <c r="BI2462">
        <v>0</v>
      </c>
      <c r="BJ2462">
        <v>0</v>
      </c>
      <c r="BK2462">
        <v>2375</v>
      </c>
      <c r="BL2462">
        <v>375</v>
      </c>
      <c r="BM2462" t="s">
        <v>119</v>
      </c>
      <c r="BN2462">
        <v>1</v>
      </c>
      <c r="BO2462">
        <v>1</v>
      </c>
      <c r="BP2462">
        <v>1</v>
      </c>
      <c r="BQ2462">
        <v>0</v>
      </c>
      <c r="BT2462">
        <v>0</v>
      </c>
      <c r="BU2462">
        <v>0</v>
      </c>
      <c r="BV2462">
        <v>0</v>
      </c>
      <c r="CC2462" t="str">
        <f>"19:15:53.938"</f>
        <v>19:15:53.938</v>
      </c>
      <c r="CD2462" t="str">
        <f>"935283872"</f>
        <v>935283872</v>
      </c>
      <c r="CQ2462">
        <v>0</v>
      </c>
      <c r="CR2462">
        <v>2</v>
      </c>
      <c r="CS2462">
        <v>0</v>
      </c>
      <c r="CT2462">
        <v>2</v>
      </c>
      <c r="CU2462">
        <v>0</v>
      </c>
      <c r="CV2462">
        <v>5</v>
      </c>
      <c r="CW2462" t="s">
        <v>120</v>
      </c>
      <c r="CX2462">
        <v>257</v>
      </c>
      <c r="CY2462">
        <v>1</v>
      </c>
      <c r="CZ2462" t="s">
        <v>615</v>
      </c>
      <c r="DA2462" t="s">
        <v>616</v>
      </c>
      <c r="DD2462">
        <v>12207744</v>
      </c>
      <c r="DE2462" t="s">
        <v>123</v>
      </c>
    </row>
    <row r="2463" spans="1:109" x14ac:dyDescent="0.3">
      <c r="A2463" t="str">
        <f>"19:15:55.109"</f>
        <v>19:15:55.109</v>
      </c>
      <c r="B2463" t="s">
        <v>110</v>
      </c>
      <c r="C2463" t="str">
        <f t="shared" si="114"/>
        <v>ffdfd3c0</v>
      </c>
      <c r="D2463" t="s">
        <v>111</v>
      </c>
      <c r="E2463">
        <v>18</v>
      </c>
      <c r="F2463">
        <v>1018</v>
      </c>
      <c r="G2463" t="s">
        <v>112</v>
      </c>
      <c r="J2463" t="s">
        <v>113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R2463" t="s">
        <v>114</v>
      </c>
      <c r="S2463" t="str">
        <f>"19:15:54.875"</f>
        <v>19:15:54.875</v>
      </c>
      <c r="T2463" t="str">
        <f>"19:15:54.477"</f>
        <v>19:15:54.477</v>
      </c>
      <c r="U2463" t="str">
        <f t="shared" si="115"/>
        <v>a1cdbe</v>
      </c>
      <c r="V2463">
        <v>0</v>
      </c>
      <c r="W2463">
        <v>0</v>
      </c>
      <c r="X2463">
        <v>1</v>
      </c>
      <c r="Y2463">
        <v>0</v>
      </c>
      <c r="Z2463">
        <v>0</v>
      </c>
      <c r="AB2463">
        <v>0</v>
      </c>
      <c r="AC2463">
        <v>9</v>
      </c>
      <c r="AD2463">
        <v>3</v>
      </c>
      <c r="AE2463">
        <v>0</v>
      </c>
      <c r="AF2463">
        <v>9</v>
      </c>
      <c r="AG2463" t="s">
        <v>158</v>
      </c>
      <c r="AH2463">
        <v>0</v>
      </c>
      <c r="AI2463">
        <v>3</v>
      </c>
      <c r="AJ2463">
        <v>1</v>
      </c>
      <c r="AK2463">
        <v>0</v>
      </c>
      <c r="AL2463" t="s">
        <v>4637</v>
      </c>
      <c r="AM2463">
        <v>46.919088000000002</v>
      </c>
      <c r="AN2463" t="s">
        <v>4638</v>
      </c>
      <c r="AO2463">
        <v>-123.26282500000001</v>
      </c>
      <c r="AP2463">
        <v>100</v>
      </c>
      <c r="AQ2463">
        <v>2000</v>
      </c>
      <c r="AR2463" t="s">
        <v>118</v>
      </c>
      <c r="AS2463">
        <v>-61</v>
      </c>
      <c r="AT2463">
        <v>45</v>
      </c>
      <c r="AU2463">
        <v>-320</v>
      </c>
      <c r="BC2463">
        <v>1200</v>
      </c>
      <c r="BD2463">
        <v>1</v>
      </c>
      <c r="BE2463" t="str">
        <f t="shared" si="116"/>
        <v xml:space="preserve">N215T   </v>
      </c>
      <c r="BF2463">
        <v>1</v>
      </c>
      <c r="BH2463">
        <v>0</v>
      </c>
      <c r="BI2463">
        <v>0</v>
      </c>
      <c r="BJ2463">
        <v>0</v>
      </c>
      <c r="BK2463">
        <v>2375</v>
      </c>
      <c r="BL2463">
        <v>375</v>
      </c>
      <c r="BM2463" t="s">
        <v>119</v>
      </c>
      <c r="BN2463">
        <v>1</v>
      </c>
      <c r="BO2463">
        <v>1</v>
      </c>
      <c r="BP2463">
        <v>1</v>
      </c>
      <c r="BQ2463">
        <v>0</v>
      </c>
      <c r="BT2463">
        <v>0</v>
      </c>
      <c r="BU2463">
        <v>0</v>
      </c>
      <c r="BV2463">
        <v>0</v>
      </c>
      <c r="CC2463" t="str">
        <f>"19:15:54.883"</f>
        <v>19:15:54.883</v>
      </c>
      <c r="CD2463" t="str">
        <f>"880206644"</f>
        <v>880206644</v>
      </c>
      <c r="CQ2463">
        <v>0</v>
      </c>
      <c r="CR2463">
        <v>2</v>
      </c>
      <c r="CS2463">
        <v>0</v>
      </c>
      <c r="CT2463">
        <v>2</v>
      </c>
      <c r="CU2463">
        <v>0</v>
      </c>
      <c r="CV2463">
        <v>5</v>
      </c>
      <c r="CW2463" t="s">
        <v>120</v>
      </c>
      <c r="CX2463">
        <v>261</v>
      </c>
      <c r="CY2463">
        <v>2</v>
      </c>
      <c r="CZ2463" t="s">
        <v>121</v>
      </c>
      <c r="DA2463" t="s">
        <v>122</v>
      </c>
      <c r="DD2463">
        <v>15770750</v>
      </c>
      <c r="DE2463" t="s">
        <v>123</v>
      </c>
    </row>
    <row r="2464" spans="1:109" x14ac:dyDescent="0.3">
      <c r="A2464" t="str">
        <f>"19:15:56.266"</f>
        <v>19:15:56.266</v>
      </c>
      <c r="B2464" t="s">
        <v>110</v>
      </c>
      <c r="C2464" t="str">
        <f t="shared" si="114"/>
        <v>ffdfd3c0</v>
      </c>
      <c r="D2464" t="s">
        <v>111</v>
      </c>
      <c r="E2464">
        <v>18</v>
      </c>
      <c r="F2464">
        <v>1018</v>
      </c>
      <c r="G2464" t="s">
        <v>112</v>
      </c>
      <c r="J2464" t="s">
        <v>113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R2464" t="s">
        <v>114</v>
      </c>
      <c r="S2464" t="str">
        <f>"19:15:56.000"</f>
        <v>19:15:56.000</v>
      </c>
      <c r="T2464" t="str">
        <f>"19:15:56.000"</f>
        <v>19:15:56.000</v>
      </c>
      <c r="U2464" t="str">
        <f t="shared" si="115"/>
        <v>a1cdbe</v>
      </c>
      <c r="V2464">
        <v>0</v>
      </c>
      <c r="W2464">
        <v>0</v>
      </c>
      <c r="X2464">
        <v>1</v>
      </c>
      <c r="Y2464">
        <v>0</v>
      </c>
      <c r="Z2464">
        <v>0</v>
      </c>
      <c r="AB2464">
        <v>0</v>
      </c>
      <c r="AC2464">
        <v>9</v>
      </c>
      <c r="AD2464">
        <v>3</v>
      </c>
      <c r="AE2464">
        <v>0</v>
      </c>
      <c r="AF2464">
        <v>9</v>
      </c>
      <c r="AG2464" t="s">
        <v>158</v>
      </c>
      <c r="AH2464">
        <v>0</v>
      </c>
      <c r="AI2464">
        <v>3</v>
      </c>
      <c r="AJ2464">
        <v>1</v>
      </c>
      <c r="AK2464">
        <v>0</v>
      </c>
      <c r="AL2464" t="s">
        <v>4639</v>
      </c>
      <c r="AM2464">
        <v>46.919367000000001</v>
      </c>
      <c r="AN2464" t="s">
        <v>4640</v>
      </c>
      <c r="AO2464">
        <v>-123.26329699999999</v>
      </c>
      <c r="AP2464">
        <v>100</v>
      </c>
      <c r="AQ2464">
        <v>2000</v>
      </c>
      <c r="AR2464" t="s">
        <v>118</v>
      </c>
      <c r="AS2464">
        <v>-63</v>
      </c>
      <c r="AT2464">
        <v>45</v>
      </c>
      <c r="AU2464">
        <v>-384</v>
      </c>
      <c r="BC2464">
        <v>1200</v>
      </c>
      <c r="BD2464">
        <v>1</v>
      </c>
      <c r="BE2464" t="str">
        <f t="shared" si="116"/>
        <v xml:space="preserve">N215T   </v>
      </c>
      <c r="BF2464">
        <v>1</v>
      </c>
      <c r="BH2464">
        <v>0</v>
      </c>
      <c r="BI2464">
        <v>0</v>
      </c>
      <c r="BJ2464">
        <v>0</v>
      </c>
      <c r="BK2464">
        <v>2350</v>
      </c>
      <c r="BL2464">
        <v>350</v>
      </c>
      <c r="BM2464" t="s">
        <v>119</v>
      </c>
      <c r="BN2464">
        <v>1</v>
      </c>
      <c r="BO2464">
        <v>1</v>
      </c>
      <c r="BP2464">
        <v>1</v>
      </c>
      <c r="BQ2464">
        <v>0</v>
      </c>
      <c r="BT2464">
        <v>0</v>
      </c>
      <c r="BU2464">
        <v>0</v>
      </c>
      <c r="BV2464">
        <v>0</v>
      </c>
      <c r="CC2464" t="str">
        <f>"19:15:56.008"</f>
        <v>19:15:56.008</v>
      </c>
      <c r="CD2464" t="str">
        <f>"005079976"</f>
        <v>005079976</v>
      </c>
      <c r="CQ2464">
        <v>0</v>
      </c>
      <c r="CR2464">
        <v>2</v>
      </c>
      <c r="CS2464">
        <v>0</v>
      </c>
      <c r="CT2464">
        <v>2</v>
      </c>
      <c r="CU2464">
        <v>0</v>
      </c>
      <c r="CV2464">
        <v>5</v>
      </c>
      <c r="CW2464" t="s">
        <v>120</v>
      </c>
      <c r="CX2464">
        <v>257</v>
      </c>
      <c r="CY2464">
        <v>1</v>
      </c>
      <c r="CZ2464" t="s">
        <v>615</v>
      </c>
      <c r="DA2464" t="s">
        <v>616</v>
      </c>
      <c r="DD2464">
        <v>12209214</v>
      </c>
      <c r="DE2464" t="s">
        <v>123</v>
      </c>
    </row>
    <row r="2465" spans="1:109" x14ac:dyDescent="0.3">
      <c r="A2465" t="str">
        <f>"19:15:57.125"</f>
        <v>19:15:57.125</v>
      </c>
      <c r="B2465" t="s">
        <v>110</v>
      </c>
      <c r="C2465" t="str">
        <f t="shared" si="114"/>
        <v>ffdfd3c0</v>
      </c>
      <c r="D2465" t="s">
        <v>111</v>
      </c>
      <c r="E2465">
        <v>18</v>
      </c>
      <c r="F2465">
        <v>1018</v>
      </c>
      <c r="G2465" t="s">
        <v>112</v>
      </c>
      <c r="J2465" t="s">
        <v>113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R2465" t="s">
        <v>114</v>
      </c>
      <c r="S2465" t="str">
        <f>"19:15:56.883"</f>
        <v>19:15:56.883</v>
      </c>
      <c r="T2465" t="str">
        <f>"19:15:56.484"</f>
        <v>19:15:56.484</v>
      </c>
      <c r="U2465" t="str">
        <f t="shared" si="115"/>
        <v>a1cdbe</v>
      </c>
      <c r="V2465">
        <v>0</v>
      </c>
      <c r="W2465">
        <v>0</v>
      </c>
      <c r="X2465">
        <v>1</v>
      </c>
      <c r="Y2465">
        <v>0</v>
      </c>
      <c r="Z2465">
        <v>0</v>
      </c>
      <c r="AB2465">
        <v>0</v>
      </c>
      <c r="AC2465">
        <v>9</v>
      </c>
      <c r="AD2465">
        <v>3</v>
      </c>
      <c r="AE2465">
        <v>0</v>
      </c>
      <c r="AF2465">
        <v>9</v>
      </c>
      <c r="AG2465" t="s">
        <v>158</v>
      </c>
      <c r="AH2465">
        <v>0</v>
      </c>
      <c r="AI2465">
        <v>3</v>
      </c>
      <c r="AJ2465">
        <v>1</v>
      </c>
      <c r="AK2465">
        <v>0</v>
      </c>
      <c r="AL2465" t="s">
        <v>1283</v>
      </c>
      <c r="AM2465">
        <v>46.919539</v>
      </c>
      <c r="AN2465" t="s">
        <v>4641</v>
      </c>
      <c r="AO2465">
        <v>-123.26364</v>
      </c>
      <c r="AP2465">
        <v>100</v>
      </c>
      <c r="AQ2465">
        <v>2000</v>
      </c>
      <c r="AR2465" t="s">
        <v>118</v>
      </c>
      <c r="AS2465">
        <v>-63</v>
      </c>
      <c r="AT2465">
        <v>45</v>
      </c>
      <c r="AU2465">
        <v>-384</v>
      </c>
      <c r="BC2465">
        <v>1200</v>
      </c>
      <c r="BD2465">
        <v>1</v>
      </c>
      <c r="BE2465" t="str">
        <f t="shared" si="116"/>
        <v xml:space="preserve">N215T   </v>
      </c>
      <c r="BF2465">
        <v>1</v>
      </c>
      <c r="BH2465">
        <v>0</v>
      </c>
      <c r="BI2465">
        <v>0</v>
      </c>
      <c r="BJ2465">
        <v>0</v>
      </c>
      <c r="BK2465">
        <v>2350</v>
      </c>
      <c r="BL2465">
        <v>350</v>
      </c>
      <c r="BM2465" t="s">
        <v>119</v>
      </c>
      <c r="BN2465">
        <v>1</v>
      </c>
      <c r="BO2465">
        <v>1</v>
      </c>
      <c r="BP2465">
        <v>1</v>
      </c>
      <c r="BQ2465">
        <v>0</v>
      </c>
      <c r="BT2465">
        <v>0</v>
      </c>
      <c r="BU2465">
        <v>0</v>
      </c>
      <c r="BV2465">
        <v>0</v>
      </c>
      <c r="CC2465" t="str">
        <f>"19:15:56.891"</f>
        <v>19:15:56.891</v>
      </c>
      <c r="CD2465" t="str">
        <f>"890008621"</f>
        <v>890008621</v>
      </c>
      <c r="CQ2465">
        <v>0</v>
      </c>
      <c r="CR2465">
        <v>2</v>
      </c>
      <c r="CS2465">
        <v>0</v>
      </c>
      <c r="CT2465">
        <v>2</v>
      </c>
      <c r="CU2465">
        <v>0</v>
      </c>
      <c r="CV2465">
        <v>5</v>
      </c>
      <c r="CW2465" t="s">
        <v>120</v>
      </c>
      <c r="CX2465">
        <v>261</v>
      </c>
      <c r="CY2465">
        <v>2</v>
      </c>
      <c r="CZ2465" t="s">
        <v>121</v>
      </c>
      <c r="DA2465" t="s">
        <v>122</v>
      </c>
      <c r="DD2465">
        <v>15772211</v>
      </c>
      <c r="DE2465" t="s">
        <v>123</v>
      </c>
    </row>
    <row r="2466" spans="1:109" x14ac:dyDescent="0.3">
      <c r="A2466" t="str">
        <f>"19:15:58.078"</f>
        <v>19:15:58.078</v>
      </c>
      <c r="B2466" t="s">
        <v>110</v>
      </c>
      <c r="C2466" t="str">
        <f t="shared" si="114"/>
        <v>ffdfd3c0</v>
      </c>
      <c r="D2466" t="s">
        <v>111</v>
      </c>
      <c r="E2466">
        <v>18</v>
      </c>
      <c r="F2466">
        <v>1018</v>
      </c>
      <c r="G2466" t="s">
        <v>112</v>
      </c>
      <c r="J2466" t="s">
        <v>113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R2466" t="s">
        <v>114</v>
      </c>
      <c r="S2466" t="str">
        <f>"19:15:57.813"</f>
        <v>19:15:57.813</v>
      </c>
      <c r="T2466" t="str">
        <f>"19:15:57.516"</f>
        <v>19:15:57.516</v>
      </c>
      <c r="U2466" t="str">
        <f t="shared" si="115"/>
        <v>a1cdbe</v>
      </c>
      <c r="V2466">
        <v>0</v>
      </c>
      <c r="W2466">
        <v>0</v>
      </c>
      <c r="X2466">
        <v>1</v>
      </c>
      <c r="Y2466">
        <v>0</v>
      </c>
      <c r="Z2466">
        <v>0</v>
      </c>
      <c r="AB2466">
        <v>0</v>
      </c>
      <c r="AC2466">
        <v>9</v>
      </c>
      <c r="AD2466">
        <v>3</v>
      </c>
      <c r="AE2466">
        <v>0</v>
      </c>
      <c r="AF2466">
        <v>9</v>
      </c>
      <c r="AG2466" t="s">
        <v>158</v>
      </c>
      <c r="AH2466">
        <v>0</v>
      </c>
      <c r="AI2466">
        <v>3</v>
      </c>
      <c r="AJ2466">
        <v>1</v>
      </c>
      <c r="AK2466">
        <v>0</v>
      </c>
      <c r="AL2466" t="s">
        <v>4642</v>
      </c>
      <c r="AM2466">
        <v>46.919711</v>
      </c>
      <c r="AN2466" t="s">
        <v>4643</v>
      </c>
      <c r="AO2466">
        <v>-123.26407</v>
      </c>
      <c r="AP2466">
        <v>100</v>
      </c>
      <c r="AQ2466">
        <v>2000</v>
      </c>
      <c r="AR2466" t="s">
        <v>118</v>
      </c>
      <c r="AS2466">
        <v>-64</v>
      </c>
      <c r="AT2466">
        <v>45</v>
      </c>
      <c r="AU2466">
        <v>-384</v>
      </c>
      <c r="BC2466">
        <v>1200</v>
      </c>
      <c r="BD2466">
        <v>1</v>
      </c>
      <c r="BE2466" t="str">
        <f t="shared" si="116"/>
        <v xml:space="preserve">N215T   </v>
      </c>
      <c r="BF2466">
        <v>1</v>
      </c>
      <c r="BH2466">
        <v>0</v>
      </c>
      <c r="BI2466">
        <v>0</v>
      </c>
      <c r="BJ2466">
        <v>0</v>
      </c>
      <c r="BK2466">
        <v>2350</v>
      </c>
      <c r="BL2466">
        <v>350</v>
      </c>
      <c r="BM2466" t="s">
        <v>119</v>
      </c>
      <c r="BN2466">
        <v>1</v>
      </c>
      <c r="BO2466">
        <v>1</v>
      </c>
      <c r="BP2466">
        <v>1</v>
      </c>
      <c r="BQ2466">
        <v>0</v>
      </c>
      <c r="BT2466">
        <v>0</v>
      </c>
      <c r="BU2466">
        <v>0</v>
      </c>
      <c r="BV2466">
        <v>0</v>
      </c>
      <c r="CC2466" t="str">
        <f>"19:15:57.820"</f>
        <v>19:15:57.820</v>
      </c>
      <c r="CD2466" t="str">
        <f>"819901155"</f>
        <v>819901155</v>
      </c>
      <c r="CQ2466">
        <v>0</v>
      </c>
      <c r="CR2466">
        <v>2</v>
      </c>
      <c r="CS2466">
        <v>0</v>
      </c>
      <c r="CT2466">
        <v>2</v>
      </c>
      <c r="CU2466">
        <v>0</v>
      </c>
      <c r="CV2466">
        <v>5</v>
      </c>
      <c r="CW2466" t="s">
        <v>120</v>
      </c>
      <c r="CX2466">
        <v>257</v>
      </c>
      <c r="CY2466">
        <v>1</v>
      </c>
      <c r="CZ2466" t="s">
        <v>615</v>
      </c>
      <c r="DA2466" t="s">
        <v>616</v>
      </c>
      <c r="DD2466">
        <v>12210464</v>
      </c>
      <c r="DE2466" t="s">
        <v>123</v>
      </c>
    </row>
    <row r="2467" spans="1:109" x14ac:dyDescent="0.3">
      <c r="A2467" t="str">
        <f>"19:15:59.133"</f>
        <v>19:15:59.133</v>
      </c>
      <c r="B2467" t="s">
        <v>110</v>
      </c>
      <c r="C2467" t="str">
        <f t="shared" si="114"/>
        <v>ffdfd3c0</v>
      </c>
      <c r="D2467" t="s">
        <v>111</v>
      </c>
      <c r="E2467">
        <v>18</v>
      </c>
      <c r="F2467">
        <v>1018</v>
      </c>
      <c r="G2467" t="s">
        <v>112</v>
      </c>
      <c r="J2467" t="s">
        <v>113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R2467" t="s">
        <v>114</v>
      </c>
      <c r="S2467" t="str">
        <f>"19:15:58.930"</f>
        <v>19:15:58.930</v>
      </c>
      <c r="T2467" t="str">
        <f>"19:15:58.430"</f>
        <v>19:15:58.430</v>
      </c>
      <c r="U2467" t="str">
        <f t="shared" si="115"/>
        <v>a1cdbe</v>
      </c>
      <c r="V2467">
        <v>0</v>
      </c>
      <c r="W2467">
        <v>0</v>
      </c>
      <c r="X2467">
        <v>1</v>
      </c>
      <c r="Y2467">
        <v>0</v>
      </c>
      <c r="Z2467">
        <v>0</v>
      </c>
      <c r="AB2467">
        <v>0</v>
      </c>
      <c r="AC2467">
        <v>9</v>
      </c>
      <c r="AD2467">
        <v>3</v>
      </c>
      <c r="AE2467">
        <v>0</v>
      </c>
      <c r="AF2467">
        <v>9</v>
      </c>
      <c r="AG2467" t="s">
        <v>158</v>
      </c>
      <c r="AH2467">
        <v>0</v>
      </c>
      <c r="AI2467">
        <v>3</v>
      </c>
      <c r="AJ2467">
        <v>1</v>
      </c>
      <c r="AK2467">
        <v>0</v>
      </c>
      <c r="AL2467" t="s">
        <v>4644</v>
      </c>
      <c r="AM2467">
        <v>46.919947000000001</v>
      </c>
      <c r="AN2467" t="s">
        <v>4645</v>
      </c>
      <c r="AO2467">
        <v>-123.26454200000001</v>
      </c>
      <c r="AP2467">
        <v>100</v>
      </c>
      <c r="AQ2467">
        <v>2000</v>
      </c>
      <c r="AR2467" t="s">
        <v>118</v>
      </c>
      <c r="AS2467">
        <v>-64</v>
      </c>
      <c r="AT2467">
        <v>45</v>
      </c>
      <c r="AU2467">
        <v>-320</v>
      </c>
      <c r="BC2467">
        <v>1200</v>
      </c>
      <c r="BD2467">
        <v>1</v>
      </c>
      <c r="BE2467" t="str">
        <f t="shared" si="116"/>
        <v xml:space="preserve">N215T   </v>
      </c>
      <c r="BF2467">
        <v>1</v>
      </c>
      <c r="BH2467">
        <v>0</v>
      </c>
      <c r="BI2467">
        <v>0</v>
      </c>
      <c r="BJ2467">
        <v>0</v>
      </c>
      <c r="BK2467">
        <v>2350</v>
      </c>
      <c r="BL2467">
        <v>350</v>
      </c>
      <c r="BM2467" t="s">
        <v>119</v>
      </c>
      <c r="BN2467">
        <v>1</v>
      </c>
      <c r="BO2467">
        <v>1</v>
      </c>
      <c r="BP2467">
        <v>1</v>
      </c>
      <c r="BQ2467">
        <v>0</v>
      </c>
      <c r="BT2467">
        <v>0</v>
      </c>
      <c r="BU2467">
        <v>0</v>
      </c>
      <c r="BV2467">
        <v>0</v>
      </c>
      <c r="CC2467" t="str">
        <f>"19:15:58.930"</f>
        <v>19:15:58.930</v>
      </c>
      <c r="CD2467" t="str">
        <f>"929807645"</f>
        <v>929807645</v>
      </c>
      <c r="CQ2467">
        <v>0</v>
      </c>
      <c r="CR2467">
        <v>2</v>
      </c>
      <c r="CS2467">
        <v>0</v>
      </c>
      <c r="CT2467">
        <v>2</v>
      </c>
      <c r="CU2467">
        <v>0</v>
      </c>
      <c r="CV2467">
        <v>5</v>
      </c>
      <c r="CW2467" t="s">
        <v>120</v>
      </c>
      <c r="CX2467">
        <v>261</v>
      </c>
      <c r="CY2467">
        <v>2</v>
      </c>
      <c r="CZ2467" t="s">
        <v>121</v>
      </c>
      <c r="DA2467" t="s">
        <v>122</v>
      </c>
      <c r="DD2467">
        <v>15773568</v>
      </c>
      <c r="DE2467" t="s">
        <v>123</v>
      </c>
    </row>
    <row r="2468" spans="1:109" x14ac:dyDescent="0.3">
      <c r="A2468" t="str">
        <f>"19:16:00.188"</f>
        <v>19:16:00.188</v>
      </c>
      <c r="B2468" t="s">
        <v>110</v>
      </c>
      <c r="C2468" t="str">
        <f t="shared" si="114"/>
        <v>ffdfd3c0</v>
      </c>
      <c r="D2468" t="s">
        <v>111</v>
      </c>
      <c r="E2468">
        <v>18</v>
      </c>
      <c r="F2468">
        <v>1018</v>
      </c>
      <c r="G2468" t="s">
        <v>112</v>
      </c>
      <c r="J2468" t="s">
        <v>113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R2468" t="s">
        <v>114</v>
      </c>
      <c r="S2468" t="str">
        <f>"19:15:59.945"</f>
        <v>19:15:59.945</v>
      </c>
      <c r="T2468" t="str">
        <f>"19:15:59.945"</f>
        <v>19:15:59.945</v>
      </c>
      <c r="U2468" t="str">
        <f t="shared" si="115"/>
        <v>a1cdbe</v>
      </c>
      <c r="V2468">
        <v>0</v>
      </c>
      <c r="W2468">
        <v>0</v>
      </c>
      <c r="X2468">
        <v>1</v>
      </c>
      <c r="Y2468">
        <v>0</v>
      </c>
      <c r="Z2468">
        <v>0</v>
      </c>
      <c r="AB2468">
        <v>0</v>
      </c>
      <c r="AC2468">
        <v>9</v>
      </c>
      <c r="AD2468">
        <v>3</v>
      </c>
      <c r="AE2468">
        <v>0</v>
      </c>
      <c r="AF2468">
        <v>9</v>
      </c>
      <c r="AG2468" t="s">
        <v>158</v>
      </c>
      <c r="AH2468">
        <v>0</v>
      </c>
      <c r="AI2468">
        <v>3</v>
      </c>
      <c r="AJ2468">
        <v>1</v>
      </c>
      <c r="AK2468">
        <v>0</v>
      </c>
      <c r="AL2468" t="s">
        <v>1279</v>
      </c>
      <c r="AM2468">
        <v>46.920183000000002</v>
      </c>
      <c r="AN2468" t="s">
        <v>4646</v>
      </c>
      <c r="AO2468">
        <v>-123.26501399999999</v>
      </c>
      <c r="AP2468">
        <v>100</v>
      </c>
      <c r="AQ2468">
        <v>2000</v>
      </c>
      <c r="AR2468" t="s">
        <v>118</v>
      </c>
      <c r="AS2468">
        <v>-64</v>
      </c>
      <c r="AT2468">
        <v>46</v>
      </c>
      <c r="AU2468">
        <v>-256</v>
      </c>
      <c r="BC2468">
        <v>1200</v>
      </c>
      <c r="BD2468">
        <v>1</v>
      </c>
      <c r="BE2468" t="str">
        <f t="shared" si="116"/>
        <v xml:space="preserve">N215T   </v>
      </c>
      <c r="BF2468">
        <v>1</v>
      </c>
      <c r="BH2468">
        <v>0</v>
      </c>
      <c r="BI2468">
        <v>0</v>
      </c>
      <c r="BJ2468">
        <v>0</v>
      </c>
      <c r="BK2468">
        <v>2325</v>
      </c>
      <c r="BL2468">
        <v>325</v>
      </c>
      <c r="BM2468" t="s">
        <v>119</v>
      </c>
      <c r="BN2468">
        <v>1</v>
      </c>
      <c r="BO2468">
        <v>1</v>
      </c>
      <c r="BP2468">
        <v>1</v>
      </c>
      <c r="BQ2468">
        <v>0</v>
      </c>
      <c r="BT2468">
        <v>0</v>
      </c>
      <c r="BU2468">
        <v>0</v>
      </c>
      <c r="BV2468">
        <v>0</v>
      </c>
      <c r="CC2468" t="str">
        <f>"19:15:59.953"</f>
        <v>19:15:59.953</v>
      </c>
      <c r="CD2468" t="str">
        <f>"949691320"</f>
        <v>949691320</v>
      </c>
      <c r="CQ2468">
        <v>0</v>
      </c>
      <c r="CR2468">
        <v>2</v>
      </c>
      <c r="CS2468">
        <v>0</v>
      </c>
      <c r="CT2468">
        <v>2</v>
      </c>
      <c r="CU2468">
        <v>0</v>
      </c>
      <c r="CV2468">
        <v>6</v>
      </c>
      <c r="CW2468" t="s">
        <v>120</v>
      </c>
      <c r="CX2468">
        <v>257</v>
      </c>
      <c r="CY2468">
        <v>0</v>
      </c>
      <c r="CZ2468" t="s">
        <v>615</v>
      </c>
      <c r="DA2468" t="s">
        <v>616</v>
      </c>
      <c r="DD2468">
        <v>15923516</v>
      </c>
      <c r="DE2468" t="s">
        <v>123</v>
      </c>
    </row>
    <row r="2469" spans="1:109" x14ac:dyDescent="0.3">
      <c r="A2469" t="str">
        <f>"19:16:01.242"</f>
        <v>19:16:01.242</v>
      </c>
      <c r="B2469" t="s">
        <v>110</v>
      </c>
      <c r="C2469" t="str">
        <f t="shared" si="114"/>
        <v>ffdfd3c0</v>
      </c>
      <c r="D2469" t="s">
        <v>111</v>
      </c>
      <c r="E2469">
        <v>18</v>
      </c>
      <c r="F2469">
        <v>1018</v>
      </c>
      <c r="G2469" t="s">
        <v>112</v>
      </c>
      <c r="J2469" t="s">
        <v>113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R2469" t="s">
        <v>114</v>
      </c>
      <c r="S2469" t="str">
        <f>"19:16:00.992"</f>
        <v>19:16:00.992</v>
      </c>
      <c r="T2469" t="str">
        <f>"19:16:00.891"</f>
        <v>19:16:00.891</v>
      </c>
      <c r="U2469" t="str">
        <f t="shared" si="115"/>
        <v>a1cdbe</v>
      </c>
      <c r="V2469">
        <v>0</v>
      </c>
      <c r="W2469">
        <v>0</v>
      </c>
      <c r="X2469">
        <v>1</v>
      </c>
      <c r="Y2469">
        <v>0</v>
      </c>
      <c r="Z2469">
        <v>0</v>
      </c>
      <c r="AB2469">
        <v>0</v>
      </c>
      <c r="AC2469">
        <v>9</v>
      </c>
      <c r="AD2469">
        <v>3</v>
      </c>
      <c r="AE2469">
        <v>0</v>
      </c>
      <c r="AF2469">
        <v>9</v>
      </c>
      <c r="AG2469" t="s">
        <v>158</v>
      </c>
      <c r="AH2469">
        <v>0</v>
      </c>
      <c r="AI2469">
        <v>3</v>
      </c>
      <c r="AJ2469">
        <v>1</v>
      </c>
      <c r="AK2469">
        <v>0</v>
      </c>
      <c r="AL2469" t="s">
        <v>4647</v>
      </c>
      <c r="AM2469">
        <v>46.920375999999997</v>
      </c>
      <c r="AN2469" t="s">
        <v>4648</v>
      </c>
      <c r="AO2469">
        <v>-123.26546399999999</v>
      </c>
      <c r="AP2469">
        <v>100</v>
      </c>
      <c r="AQ2469">
        <v>2000</v>
      </c>
      <c r="AR2469" t="s">
        <v>118</v>
      </c>
      <c r="AS2469">
        <v>-64</v>
      </c>
      <c r="AT2469">
        <v>46</v>
      </c>
      <c r="AU2469">
        <v>-256</v>
      </c>
      <c r="BC2469">
        <v>1200</v>
      </c>
      <c r="BD2469">
        <v>1</v>
      </c>
      <c r="BE2469" t="str">
        <f t="shared" si="116"/>
        <v xml:space="preserve">N215T   </v>
      </c>
      <c r="BF2469">
        <v>1</v>
      </c>
      <c r="BH2469">
        <v>0</v>
      </c>
      <c r="BI2469">
        <v>0</v>
      </c>
      <c r="BJ2469">
        <v>0</v>
      </c>
      <c r="BK2469">
        <v>2325</v>
      </c>
      <c r="BL2469">
        <v>325</v>
      </c>
      <c r="BM2469" t="s">
        <v>119</v>
      </c>
      <c r="BN2469">
        <v>1</v>
      </c>
      <c r="BO2469">
        <v>1</v>
      </c>
      <c r="BP2469">
        <v>1</v>
      </c>
      <c r="BQ2469">
        <v>0</v>
      </c>
      <c r="BT2469">
        <v>0</v>
      </c>
      <c r="BU2469">
        <v>0</v>
      </c>
      <c r="BV2469">
        <v>0</v>
      </c>
      <c r="CC2469" t="str">
        <f>"19:16:01.000"</f>
        <v>19:16:01.000</v>
      </c>
      <c r="CD2469" t="str">
        <f>"999587886"</f>
        <v>999587886</v>
      </c>
      <c r="CQ2469">
        <v>0</v>
      </c>
      <c r="CR2469">
        <v>2</v>
      </c>
      <c r="CS2469">
        <v>0</v>
      </c>
      <c r="CT2469">
        <v>2</v>
      </c>
      <c r="CU2469">
        <v>0</v>
      </c>
      <c r="CV2469">
        <v>6</v>
      </c>
      <c r="CW2469" t="s">
        <v>120</v>
      </c>
      <c r="CX2469">
        <v>257</v>
      </c>
      <c r="CY2469">
        <v>0</v>
      </c>
      <c r="CZ2469" t="s">
        <v>615</v>
      </c>
      <c r="DA2469" t="s">
        <v>616</v>
      </c>
      <c r="DD2469">
        <v>15924135</v>
      </c>
      <c r="DE2469" t="s">
        <v>123</v>
      </c>
    </row>
    <row r="2470" spans="1:109" x14ac:dyDescent="0.3">
      <c r="A2470" t="str">
        <f>"19:16:02.148"</f>
        <v>19:16:02.148</v>
      </c>
      <c r="B2470" t="s">
        <v>110</v>
      </c>
      <c r="C2470" t="str">
        <f t="shared" si="114"/>
        <v>ffdfd3c0</v>
      </c>
      <c r="D2470" t="s">
        <v>111</v>
      </c>
      <c r="E2470">
        <v>18</v>
      </c>
      <c r="F2470">
        <v>1018</v>
      </c>
      <c r="G2470" t="s">
        <v>112</v>
      </c>
      <c r="J2470" t="s">
        <v>113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R2470" t="s">
        <v>114</v>
      </c>
      <c r="S2470" t="str">
        <f>"19:16:01.922"</f>
        <v>19:16:01.922</v>
      </c>
      <c r="T2470" t="str">
        <f>"19:16:01.922"</f>
        <v>19:16:01.922</v>
      </c>
      <c r="U2470" t="str">
        <f t="shared" si="115"/>
        <v>a1cdbe</v>
      </c>
      <c r="V2470">
        <v>0</v>
      </c>
      <c r="W2470">
        <v>0</v>
      </c>
      <c r="X2470">
        <v>1</v>
      </c>
      <c r="Y2470">
        <v>0</v>
      </c>
      <c r="Z2470">
        <v>0</v>
      </c>
      <c r="AB2470">
        <v>0</v>
      </c>
      <c r="AC2470">
        <v>9</v>
      </c>
      <c r="AD2470">
        <v>3</v>
      </c>
      <c r="AE2470">
        <v>0</v>
      </c>
      <c r="AF2470">
        <v>9</v>
      </c>
      <c r="AG2470" t="s">
        <v>158</v>
      </c>
      <c r="AH2470">
        <v>0</v>
      </c>
      <c r="AI2470">
        <v>3</v>
      </c>
      <c r="AJ2470">
        <v>1</v>
      </c>
      <c r="AK2470">
        <v>0</v>
      </c>
      <c r="AL2470" t="s">
        <v>4649</v>
      </c>
      <c r="AM2470">
        <v>46.920569</v>
      </c>
      <c r="AN2470" t="s">
        <v>4650</v>
      </c>
      <c r="AO2470">
        <v>-123.26589300000001</v>
      </c>
      <c r="AP2470">
        <v>100</v>
      </c>
      <c r="AQ2470">
        <v>1900</v>
      </c>
      <c r="AR2470" t="s">
        <v>118</v>
      </c>
      <c r="AS2470">
        <v>-64</v>
      </c>
      <c r="AT2470">
        <v>46</v>
      </c>
      <c r="AU2470">
        <v>-192</v>
      </c>
      <c r="BC2470">
        <v>1200</v>
      </c>
      <c r="BD2470">
        <v>1</v>
      </c>
      <c r="BE2470" t="str">
        <f t="shared" si="116"/>
        <v xml:space="preserve">N215T   </v>
      </c>
      <c r="BF2470">
        <v>1</v>
      </c>
      <c r="BH2470">
        <v>0</v>
      </c>
      <c r="BI2470">
        <v>0</v>
      </c>
      <c r="BJ2470">
        <v>0</v>
      </c>
      <c r="BK2470">
        <v>2325</v>
      </c>
      <c r="BL2470">
        <v>425</v>
      </c>
      <c r="BM2470" t="s">
        <v>119</v>
      </c>
      <c r="BN2470">
        <v>1</v>
      </c>
      <c r="BO2470">
        <v>1</v>
      </c>
      <c r="BP2470">
        <v>1</v>
      </c>
      <c r="BQ2470">
        <v>0</v>
      </c>
      <c r="BT2470">
        <v>0</v>
      </c>
      <c r="BU2470">
        <v>0</v>
      </c>
      <c r="BV2470">
        <v>0</v>
      </c>
      <c r="CC2470" t="str">
        <f>"19:16:01.930"</f>
        <v>19:16:01.930</v>
      </c>
      <c r="CD2470" t="str">
        <f>"929512049"</f>
        <v>929512049</v>
      </c>
      <c r="CQ2470">
        <v>0</v>
      </c>
      <c r="CR2470">
        <v>2</v>
      </c>
      <c r="CS2470">
        <v>0</v>
      </c>
      <c r="CT2470">
        <v>2</v>
      </c>
      <c r="CU2470">
        <v>0</v>
      </c>
      <c r="CV2470">
        <v>5</v>
      </c>
      <c r="CW2470" t="s">
        <v>120</v>
      </c>
      <c r="CX2470">
        <v>261</v>
      </c>
      <c r="CY2470">
        <v>2</v>
      </c>
      <c r="CZ2470" t="s">
        <v>121</v>
      </c>
      <c r="DA2470" t="s">
        <v>122</v>
      </c>
      <c r="DD2470">
        <v>15775680</v>
      </c>
      <c r="DE2470" t="s">
        <v>123</v>
      </c>
    </row>
    <row r="2471" spans="1:109" x14ac:dyDescent="0.3">
      <c r="A2471" t="str">
        <f>"19:16:03.305"</f>
        <v>19:16:03.305</v>
      </c>
      <c r="B2471" t="s">
        <v>110</v>
      </c>
      <c r="C2471" t="str">
        <f t="shared" si="114"/>
        <v>ffdfd3c0</v>
      </c>
      <c r="D2471" t="s">
        <v>111</v>
      </c>
      <c r="E2471">
        <v>18</v>
      </c>
      <c r="F2471">
        <v>1018</v>
      </c>
      <c r="G2471" t="s">
        <v>112</v>
      </c>
      <c r="J2471" t="s">
        <v>113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R2471" t="s">
        <v>114</v>
      </c>
      <c r="S2471" t="str">
        <f>"19:16:03.078"</f>
        <v>19:16:03.078</v>
      </c>
      <c r="T2471" t="str">
        <f>"19:16:02.977"</f>
        <v>19:16:02.977</v>
      </c>
      <c r="U2471" t="str">
        <f t="shared" si="115"/>
        <v>a1cdbe</v>
      </c>
      <c r="V2471">
        <v>0</v>
      </c>
      <c r="W2471">
        <v>0</v>
      </c>
      <c r="X2471">
        <v>1</v>
      </c>
      <c r="Y2471">
        <v>0</v>
      </c>
      <c r="Z2471">
        <v>0</v>
      </c>
      <c r="AB2471">
        <v>0</v>
      </c>
      <c r="AC2471">
        <v>9</v>
      </c>
      <c r="AD2471">
        <v>3</v>
      </c>
      <c r="AE2471">
        <v>0</v>
      </c>
      <c r="AF2471">
        <v>9</v>
      </c>
      <c r="AG2471" t="s">
        <v>158</v>
      </c>
      <c r="AH2471">
        <v>0</v>
      </c>
      <c r="AI2471">
        <v>3</v>
      </c>
      <c r="AJ2471">
        <v>1</v>
      </c>
      <c r="AK2471">
        <v>0</v>
      </c>
      <c r="AL2471" t="s">
        <v>4651</v>
      </c>
      <c r="AM2471">
        <v>46.920847999999999</v>
      </c>
      <c r="AN2471" t="s">
        <v>4652</v>
      </c>
      <c r="AO2471">
        <v>-123.266323</v>
      </c>
      <c r="AP2471">
        <v>100</v>
      </c>
      <c r="AQ2471">
        <v>1900</v>
      </c>
      <c r="AR2471" t="s">
        <v>118</v>
      </c>
      <c r="AS2471">
        <v>-64</v>
      </c>
      <c r="AT2471">
        <v>46</v>
      </c>
      <c r="AU2471">
        <v>-128</v>
      </c>
      <c r="BC2471">
        <v>1200</v>
      </c>
      <c r="BD2471">
        <v>1</v>
      </c>
      <c r="BE2471" t="str">
        <f t="shared" si="116"/>
        <v xml:space="preserve">N215T   </v>
      </c>
      <c r="BF2471">
        <v>1</v>
      </c>
      <c r="BH2471">
        <v>0</v>
      </c>
      <c r="BI2471">
        <v>0</v>
      </c>
      <c r="BJ2471">
        <v>0</v>
      </c>
      <c r="BK2471">
        <v>2425</v>
      </c>
      <c r="BL2471">
        <v>525</v>
      </c>
      <c r="BM2471" t="s">
        <v>119</v>
      </c>
      <c r="BN2471">
        <v>1</v>
      </c>
      <c r="BO2471">
        <v>1</v>
      </c>
      <c r="BP2471">
        <v>1</v>
      </c>
      <c r="BQ2471">
        <v>0</v>
      </c>
      <c r="BT2471">
        <v>0</v>
      </c>
      <c r="BU2471">
        <v>0</v>
      </c>
      <c r="BV2471">
        <v>0</v>
      </c>
      <c r="CC2471" t="str">
        <f>"19:16:03.086"</f>
        <v>19:16:03.086</v>
      </c>
      <c r="CD2471" t="str">
        <f>"084382502"</f>
        <v>084382502</v>
      </c>
      <c r="CQ2471">
        <v>0</v>
      </c>
      <c r="CR2471">
        <v>2</v>
      </c>
      <c r="CS2471">
        <v>0</v>
      </c>
      <c r="CT2471">
        <v>2</v>
      </c>
      <c r="CU2471">
        <v>0</v>
      </c>
      <c r="CV2471">
        <v>6</v>
      </c>
      <c r="CW2471" t="s">
        <v>120</v>
      </c>
      <c r="CX2471">
        <v>257</v>
      </c>
      <c r="CY2471">
        <v>0</v>
      </c>
      <c r="CZ2471" t="s">
        <v>615</v>
      </c>
      <c r="DA2471" t="s">
        <v>616</v>
      </c>
      <c r="DD2471">
        <v>15925219</v>
      </c>
      <c r="DE2471" t="s">
        <v>123</v>
      </c>
    </row>
    <row r="2472" spans="1:109" x14ac:dyDescent="0.3">
      <c r="A2472" t="str">
        <f>"19:16:04.219"</f>
        <v>19:16:04.219</v>
      </c>
      <c r="B2472" t="s">
        <v>110</v>
      </c>
      <c r="C2472" t="str">
        <f t="shared" si="114"/>
        <v>ffdfd3c0</v>
      </c>
      <c r="D2472" t="s">
        <v>111</v>
      </c>
      <c r="E2472">
        <v>18</v>
      </c>
      <c r="F2472">
        <v>1018</v>
      </c>
      <c r="G2472" t="s">
        <v>112</v>
      </c>
      <c r="J2472" t="s">
        <v>113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R2472" t="s">
        <v>114</v>
      </c>
      <c r="S2472" t="str">
        <f>"19:16:03.992"</f>
        <v>19:16:03.992</v>
      </c>
      <c r="T2472" t="str">
        <f>"19:16:03.992"</f>
        <v>19:16:03.992</v>
      </c>
      <c r="U2472" t="str">
        <f t="shared" si="115"/>
        <v>a1cdbe</v>
      </c>
      <c r="V2472">
        <v>0</v>
      </c>
      <c r="W2472">
        <v>0</v>
      </c>
      <c r="X2472">
        <v>1</v>
      </c>
      <c r="Y2472">
        <v>0</v>
      </c>
      <c r="Z2472">
        <v>0</v>
      </c>
      <c r="AB2472">
        <v>0</v>
      </c>
      <c r="AC2472">
        <v>9</v>
      </c>
      <c r="AD2472">
        <v>3</v>
      </c>
      <c r="AE2472">
        <v>0</v>
      </c>
      <c r="AF2472">
        <v>9</v>
      </c>
      <c r="AG2472" t="s">
        <v>158</v>
      </c>
      <c r="AH2472">
        <v>0</v>
      </c>
      <c r="AI2472">
        <v>3</v>
      </c>
      <c r="AJ2472">
        <v>1</v>
      </c>
      <c r="AK2472">
        <v>0</v>
      </c>
      <c r="AL2472" t="s">
        <v>4653</v>
      </c>
      <c r="AM2472">
        <v>46.921041000000002</v>
      </c>
      <c r="AN2472" t="s">
        <v>4654</v>
      </c>
      <c r="AO2472">
        <v>-123.26673</v>
      </c>
      <c r="AP2472">
        <v>100</v>
      </c>
      <c r="AQ2472">
        <v>1900</v>
      </c>
      <c r="AR2472" t="s">
        <v>118</v>
      </c>
      <c r="AS2472">
        <v>-63</v>
      </c>
      <c r="AT2472">
        <v>46</v>
      </c>
      <c r="AU2472">
        <v>-192</v>
      </c>
      <c r="BC2472">
        <v>1200</v>
      </c>
      <c r="BD2472">
        <v>1</v>
      </c>
      <c r="BE2472" t="str">
        <f t="shared" si="116"/>
        <v xml:space="preserve">N215T   </v>
      </c>
      <c r="BF2472">
        <v>1</v>
      </c>
      <c r="BH2472">
        <v>0</v>
      </c>
      <c r="BI2472">
        <v>0</v>
      </c>
      <c r="BJ2472">
        <v>0</v>
      </c>
      <c r="BK2472">
        <v>2325</v>
      </c>
      <c r="BL2472">
        <v>425</v>
      </c>
      <c r="BM2472" t="s">
        <v>119</v>
      </c>
      <c r="BN2472">
        <v>1</v>
      </c>
      <c r="BO2472">
        <v>1</v>
      </c>
      <c r="BP2472">
        <v>1</v>
      </c>
      <c r="BQ2472">
        <v>0</v>
      </c>
      <c r="BT2472">
        <v>0</v>
      </c>
      <c r="BU2472">
        <v>0</v>
      </c>
      <c r="BV2472">
        <v>0</v>
      </c>
      <c r="CC2472" t="str">
        <f>"19:16:04.000"</f>
        <v>19:16:04.000</v>
      </c>
      <c r="CD2472" t="str">
        <f>"999292361"</f>
        <v>999292361</v>
      </c>
      <c r="CQ2472">
        <v>0</v>
      </c>
      <c r="CR2472">
        <v>2</v>
      </c>
      <c r="CS2472">
        <v>0</v>
      </c>
      <c r="CT2472">
        <v>2</v>
      </c>
      <c r="CU2472">
        <v>0</v>
      </c>
      <c r="CV2472">
        <v>6</v>
      </c>
      <c r="CW2472" t="s">
        <v>120</v>
      </c>
      <c r="CX2472">
        <v>257</v>
      </c>
      <c r="CY2472">
        <v>0</v>
      </c>
      <c r="CZ2472" t="s">
        <v>615</v>
      </c>
      <c r="DA2472" t="s">
        <v>616</v>
      </c>
      <c r="DD2472">
        <v>15925664</v>
      </c>
      <c r="DE2472" t="s">
        <v>123</v>
      </c>
    </row>
    <row r="2473" spans="1:109" x14ac:dyDescent="0.3">
      <c r="A2473" t="str">
        <f>"19:16:05.219"</f>
        <v>19:16:05.219</v>
      </c>
      <c r="B2473" t="s">
        <v>110</v>
      </c>
      <c r="C2473" t="str">
        <f t="shared" si="114"/>
        <v>ffdfd3c0</v>
      </c>
      <c r="D2473" t="s">
        <v>111</v>
      </c>
      <c r="E2473">
        <v>18</v>
      </c>
      <c r="F2473">
        <v>1018</v>
      </c>
      <c r="G2473" t="s">
        <v>112</v>
      </c>
      <c r="J2473" t="s">
        <v>113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R2473" t="s">
        <v>114</v>
      </c>
      <c r="S2473" t="str">
        <f>"19:16:04.969"</f>
        <v>19:16:04.969</v>
      </c>
      <c r="T2473" t="str">
        <f>"19:16:04.570"</f>
        <v>19:16:04.570</v>
      </c>
      <c r="U2473" t="str">
        <f t="shared" si="115"/>
        <v>a1cdbe</v>
      </c>
      <c r="V2473">
        <v>0</v>
      </c>
      <c r="W2473">
        <v>0</v>
      </c>
      <c r="X2473">
        <v>1</v>
      </c>
      <c r="Y2473">
        <v>0</v>
      </c>
      <c r="Z2473">
        <v>0</v>
      </c>
      <c r="AB2473">
        <v>0</v>
      </c>
      <c r="AC2473">
        <v>9</v>
      </c>
      <c r="AD2473">
        <v>3</v>
      </c>
      <c r="AE2473">
        <v>0</v>
      </c>
      <c r="AF2473">
        <v>9</v>
      </c>
      <c r="AG2473" t="s">
        <v>158</v>
      </c>
      <c r="AH2473">
        <v>0</v>
      </c>
      <c r="AI2473">
        <v>3</v>
      </c>
      <c r="AJ2473">
        <v>1</v>
      </c>
      <c r="AK2473">
        <v>0</v>
      </c>
      <c r="AL2473" t="s">
        <v>4655</v>
      </c>
      <c r="AM2473">
        <v>46.921213000000002</v>
      </c>
      <c r="AN2473" t="s">
        <v>4656</v>
      </c>
      <c r="AO2473">
        <v>-123.26715900000001</v>
      </c>
      <c r="AP2473">
        <v>100</v>
      </c>
      <c r="AQ2473">
        <v>1900</v>
      </c>
      <c r="AR2473" t="s">
        <v>118</v>
      </c>
      <c r="AS2473">
        <v>-63</v>
      </c>
      <c r="AT2473">
        <v>46</v>
      </c>
      <c r="AU2473">
        <v>-192</v>
      </c>
      <c r="BC2473">
        <v>1200</v>
      </c>
      <c r="BD2473">
        <v>1</v>
      </c>
      <c r="BE2473" t="str">
        <f t="shared" si="116"/>
        <v xml:space="preserve">N215T   </v>
      </c>
      <c r="BF2473">
        <v>1</v>
      </c>
      <c r="BH2473">
        <v>0</v>
      </c>
      <c r="BI2473">
        <v>0</v>
      </c>
      <c r="BJ2473">
        <v>0</v>
      </c>
      <c r="BK2473">
        <v>2325</v>
      </c>
      <c r="BL2473">
        <v>425</v>
      </c>
      <c r="BM2473" t="s">
        <v>119</v>
      </c>
      <c r="BN2473">
        <v>1</v>
      </c>
      <c r="BO2473">
        <v>1</v>
      </c>
      <c r="BP2473">
        <v>1</v>
      </c>
      <c r="BQ2473">
        <v>0</v>
      </c>
      <c r="BT2473">
        <v>0</v>
      </c>
      <c r="BU2473">
        <v>0</v>
      </c>
      <c r="BV2473">
        <v>0</v>
      </c>
      <c r="CC2473" t="str">
        <f>"19:16:04.977"</f>
        <v>19:16:04.977</v>
      </c>
      <c r="CD2473" t="str">
        <f>"974196312"</f>
        <v>974196312</v>
      </c>
      <c r="CQ2473">
        <v>0</v>
      </c>
      <c r="CR2473">
        <v>2</v>
      </c>
      <c r="CS2473">
        <v>0</v>
      </c>
      <c r="CT2473">
        <v>2</v>
      </c>
      <c r="CU2473">
        <v>0</v>
      </c>
      <c r="CV2473">
        <v>6</v>
      </c>
      <c r="CW2473" t="s">
        <v>120</v>
      </c>
      <c r="CX2473">
        <v>257</v>
      </c>
      <c r="CY2473">
        <v>0</v>
      </c>
      <c r="CZ2473" t="s">
        <v>615</v>
      </c>
      <c r="DA2473" t="s">
        <v>616</v>
      </c>
      <c r="DD2473">
        <v>15926174</v>
      </c>
      <c r="DE2473" t="s">
        <v>123</v>
      </c>
    </row>
    <row r="2474" spans="1:109" x14ac:dyDescent="0.3">
      <c r="A2474" t="str">
        <f>"19:16:06.125"</f>
        <v>19:16:06.125</v>
      </c>
      <c r="B2474" t="s">
        <v>110</v>
      </c>
      <c r="C2474" t="str">
        <f t="shared" si="114"/>
        <v>ffdfd3c0</v>
      </c>
      <c r="D2474" t="s">
        <v>111</v>
      </c>
      <c r="E2474">
        <v>18</v>
      </c>
      <c r="F2474">
        <v>1018</v>
      </c>
      <c r="G2474" t="s">
        <v>112</v>
      </c>
      <c r="J2474" t="s">
        <v>113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R2474" t="s">
        <v>114</v>
      </c>
      <c r="S2474" t="str">
        <f>"19:16:05.852"</f>
        <v>19:16:05.852</v>
      </c>
      <c r="T2474" t="str">
        <f>"19:16:05.555"</f>
        <v>19:16:05.555</v>
      </c>
      <c r="U2474" t="str">
        <f t="shared" si="115"/>
        <v>a1cdbe</v>
      </c>
      <c r="V2474">
        <v>0</v>
      </c>
      <c r="W2474">
        <v>0</v>
      </c>
      <c r="X2474">
        <v>1</v>
      </c>
      <c r="Y2474">
        <v>0</v>
      </c>
      <c r="Z2474">
        <v>0</v>
      </c>
      <c r="AB2474">
        <v>0</v>
      </c>
      <c r="AC2474">
        <v>9</v>
      </c>
      <c r="AD2474">
        <v>3</v>
      </c>
      <c r="AE2474">
        <v>0</v>
      </c>
      <c r="AF2474">
        <v>9</v>
      </c>
      <c r="AG2474" t="s">
        <v>158</v>
      </c>
      <c r="AH2474">
        <v>0</v>
      </c>
      <c r="AI2474">
        <v>3</v>
      </c>
      <c r="AJ2474">
        <v>1</v>
      </c>
      <c r="AK2474">
        <v>0</v>
      </c>
      <c r="AL2474" t="s">
        <v>1271</v>
      </c>
      <c r="AM2474">
        <v>46.921449000000003</v>
      </c>
      <c r="AN2474" t="s">
        <v>4657</v>
      </c>
      <c r="AO2474">
        <v>-123.26752399999999</v>
      </c>
      <c r="AP2474">
        <v>100</v>
      </c>
      <c r="AQ2474">
        <v>1900</v>
      </c>
      <c r="AR2474" t="s">
        <v>118</v>
      </c>
      <c r="AS2474">
        <v>-63</v>
      </c>
      <c r="AT2474">
        <v>46</v>
      </c>
      <c r="AU2474">
        <v>-128</v>
      </c>
      <c r="BC2474">
        <v>1200</v>
      </c>
      <c r="BD2474">
        <v>1</v>
      </c>
      <c r="BE2474" t="str">
        <f t="shared" si="116"/>
        <v xml:space="preserve">N215T   </v>
      </c>
      <c r="BF2474">
        <v>1</v>
      </c>
      <c r="BH2474">
        <v>0</v>
      </c>
      <c r="BI2474">
        <v>0</v>
      </c>
      <c r="BJ2474">
        <v>0</v>
      </c>
      <c r="BK2474">
        <v>2325</v>
      </c>
      <c r="BL2474">
        <v>425</v>
      </c>
      <c r="BM2474" t="s">
        <v>119</v>
      </c>
      <c r="BN2474">
        <v>1</v>
      </c>
      <c r="BO2474">
        <v>1</v>
      </c>
      <c r="BP2474">
        <v>1</v>
      </c>
      <c r="BQ2474">
        <v>0</v>
      </c>
      <c r="BT2474">
        <v>0</v>
      </c>
      <c r="BU2474">
        <v>0</v>
      </c>
      <c r="BV2474">
        <v>0</v>
      </c>
      <c r="CC2474" t="str">
        <f>"19:16:05.859"</f>
        <v>19:16:05.859</v>
      </c>
      <c r="CD2474" t="str">
        <f>"859109131"</f>
        <v>859109131</v>
      </c>
      <c r="CQ2474">
        <v>0</v>
      </c>
      <c r="CR2474">
        <v>2</v>
      </c>
      <c r="CS2474">
        <v>0</v>
      </c>
      <c r="CT2474">
        <v>2</v>
      </c>
      <c r="CU2474">
        <v>0</v>
      </c>
      <c r="CV2474">
        <v>6</v>
      </c>
      <c r="CW2474" t="s">
        <v>120</v>
      </c>
      <c r="CX2474">
        <v>257</v>
      </c>
      <c r="CY2474">
        <v>0</v>
      </c>
      <c r="CZ2474" t="s">
        <v>615</v>
      </c>
      <c r="DA2474" t="s">
        <v>616</v>
      </c>
      <c r="DD2474">
        <v>15926668</v>
      </c>
      <c r="DE2474" t="s">
        <v>123</v>
      </c>
    </row>
    <row r="2475" spans="1:109" x14ac:dyDescent="0.3">
      <c r="A2475" t="str">
        <f>"19:16:07.125"</f>
        <v>19:16:07.125</v>
      </c>
      <c r="B2475" t="s">
        <v>110</v>
      </c>
      <c r="C2475" t="str">
        <f t="shared" si="114"/>
        <v>ffdfd3c0</v>
      </c>
      <c r="D2475" t="s">
        <v>111</v>
      </c>
      <c r="E2475">
        <v>18</v>
      </c>
      <c r="F2475">
        <v>1018</v>
      </c>
      <c r="G2475" t="s">
        <v>112</v>
      </c>
      <c r="J2475" t="s">
        <v>113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R2475" t="s">
        <v>114</v>
      </c>
      <c r="S2475" t="str">
        <f>"19:16:06.922"</f>
        <v>19:16:06.922</v>
      </c>
      <c r="T2475" t="str">
        <f>"19:16:06.523"</f>
        <v>19:16:06.523</v>
      </c>
      <c r="U2475" t="str">
        <f t="shared" si="115"/>
        <v>a1cdbe</v>
      </c>
      <c r="V2475">
        <v>0</v>
      </c>
      <c r="W2475">
        <v>0</v>
      </c>
      <c r="X2475">
        <v>1</v>
      </c>
      <c r="Y2475">
        <v>0</v>
      </c>
      <c r="Z2475">
        <v>0</v>
      </c>
      <c r="AB2475">
        <v>0</v>
      </c>
      <c r="AC2475">
        <v>9</v>
      </c>
      <c r="AD2475">
        <v>3</v>
      </c>
      <c r="AE2475">
        <v>0</v>
      </c>
      <c r="AF2475">
        <v>9</v>
      </c>
      <c r="AG2475" t="s">
        <v>158</v>
      </c>
      <c r="AH2475">
        <v>0</v>
      </c>
      <c r="AI2475">
        <v>3</v>
      </c>
      <c r="AJ2475">
        <v>1</v>
      </c>
      <c r="AK2475">
        <v>0</v>
      </c>
      <c r="AL2475" t="s">
        <v>4658</v>
      </c>
      <c r="AM2475">
        <v>46.921641999999999</v>
      </c>
      <c r="AN2475" t="s">
        <v>4659</v>
      </c>
      <c r="AO2475">
        <v>-123.26797500000001</v>
      </c>
      <c r="AP2475">
        <v>100</v>
      </c>
      <c r="AQ2475">
        <v>1900</v>
      </c>
      <c r="AR2475" t="s">
        <v>118</v>
      </c>
      <c r="AS2475">
        <v>-63</v>
      </c>
      <c r="AT2475">
        <v>46</v>
      </c>
      <c r="AU2475">
        <v>-128</v>
      </c>
      <c r="BC2475">
        <v>1200</v>
      </c>
      <c r="BD2475">
        <v>1</v>
      </c>
      <c r="BE2475" t="str">
        <f t="shared" si="116"/>
        <v xml:space="preserve">N215T   </v>
      </c>
      <c r="BF2475">
        <v>1</v>
      </c>
      <c r="BH2475">
        <v>0</v>
      </c>
      <c r="BI2475">
        <v>0</v>
      </c>
      <c r="BJ2475">
        <v>0</v>
      </c>
      <c r="BK2475">
        <v>2325</v>
      </c>
      <c r="BL2475">
        <v>425</v>
      </c>
      <c r="BM2475" t="s">
        <v>119</v>
      </c>
      <c r="BN2475">
        <v>1</v>
      </c>
      <c r="BO2475">
        <v>1</v>
      </c>
      <c r="BP2475">
        <v>1</v>
      </c>
      <c r="BQ2475">
        <v>0</v>
      </c>
      <c r="BT2475">
        <v>0</v>
      </c>
      <c r="BU2475">
        <v>0</v>
      </c>
      <c r="BV2475">
        <v>0</v>
      </c>
      <c r="CC2475" t="str">
        <f>"19:16:06.922"</f>
        <v>19:16:06.922</v>
      </c>
      <c r="CD2475" t="str">
        <f>"924004226"</f>
        <v>924004226</v>
      </c>
      <c r="CQ2475">
        <v>0</v>
      </c>
      <c r="CR2475">
        <v>2</v>
      </c>
      <c r="CS2475">
        <v>0</v>
      </c>
      <c r="CT2475">
        <v>2</v>
      </c>
      <c r="CU2475">
        <v>0</v>
      </c>
      <c r="CV2475">
        <v>6</v>
      </c>
      <c r="CW2475" t="s">
        <v>120</v>
      </c>
      <c r="CX2475">
        <v>257</v>
      </c>
      <c r="CY2475">
        <v>0</v>
      </c>
      <c r="CZ2475" t="s">
        <v>615</v>
      </c>
      <c r="DA2475" t="s">
        <v>616</v>
      </c>
      <c r="DD2475">
        <v>15927228</v>
      </c>
      <c r="DE2475" t="s">
        <v>123</v>
      </c>
    </row>
    <row r="2476" spans="1:109" x14ac:dyDescent="0.3">
      <c r="A2476" t="str">
        <f>"19:16:08.281"</f>
        <v>19:16:08.281</v>
      </c>
      <c r="B2476" t="s">
        <v>110</v>
      </c>
      <c r="C2476" t="str">
        <f t="shared" si="114"/>
        <v>ffdfd3c0</v>
      </c>
      <c r="D2476" t="s">
        <v>111</v>
      </c>
      <c r="E2476">
        <v>18</v>
      </c>
      <c r="F2476">
        <v>1018</v>
      </c>
      <c r="G2476" t="s">
        <v>112</v>
      </c>
      <c r="J2476" t="s">
        <v>113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R2476" t="s">
        <v>114</v>
      </c>
      <c r="S2476" t="str">
        <f>"19:16:08.047"</f>
        <v>19:16:08.047</v>
      </c>
      <c r="T2476" t="str">
        <f>"19:16:07.945"</f>
        <v>19:16:07.945</v>
      </c>
      <c r="U2476" t="str">
        <f t="shared" si="115"/>
        <v>a1cdbe</v>
      </c>
      <c r="V2476">
        <v>0</v>
      </c>
      <c r="W2476">
        <v>0</v>
      </c>
      <c r="X2476">
        <v>1</v>
      </c>
      <c r="Y2476">
        <v>0</v>
      </c>
      <c r="Z2476">
        <v>0</v>
      </c>
      <c r="AB2476">
        <v>0</v>
      </c>
      <c r="AC2476">
        <v>9</v>
      </c>
      <c r="AD2476">
        <v>3</v>
      </c>
      <c r="AE2476">
        <v>0</v>
      </c>
      <c r="AF2476">
        <v>9</v>
      </c>
      <c r="AG2476" t="s">
        <v>158</v>
      </c>
      <c r="AH2476">
        <v>0</v>
      </c>
      <c r="AI2476">
        <v>3</v>
      </c>
      <c r="AJ2476">
        <v>1</v>
      </c>
      <c r="AK2476">
        <v>0</v>
      </c>
      <c r="AL2476" t="s">
        <v>4660</v>
      </c>
      <c r="AM2476">
        <v>46.921878</v>
      </c>
      <c r="AN2476" t="s">
        <v>4661</v>
      </c>
      <c r="AO2476">
        <v>-123.26853300000001</v>
      </c>
      <c r="AP2476">
        <v>100</v>
      </c>
      <c r="AQ2476">
        <v>1900</v>
      </c>
      <c r="AR2476" t="s">
        <v>118</v>
      </c>
      <c r="AS2476">
        <v>-63</v>
      </c>
      <c r="AT2476">
        <v>47</v>
      </c>
      <c r="AU2476">
        <v>0</v>
      </c>
      <c r="BC2476">
        <v>1200</v>
      </c>
      <c r="BD2476">
        <v>1</v>
      </c>
      <c r="BE2476" t="str">
        <f t="shared" si="116"/>
        <v xml:space="preserve">N215T   </v>
      </c>
      <c r="BF2476">
        <v>1</v>
      </c>
      <c r="BH2476">
        <v>0</v>
      </c>
      <c r="BI2476">
        <v>0</v>
      </c>
      <c r="BJ2476">
        <v>0</v>
      </c>
      <c r="BK2476">
        <v>2325</v>
      </c>
      <c r="BL2476">
        <v>425</v>
      </c>
      <c r="BM2476" t="s">
        <v>119</v>
      </c>
      <c r="BN2476">
        <v>1</v>
      </c>
      <c r="BO2476">
        <v>1</v>
      </c>
      <c r="BP2476">
        <v>1</v>
      </c>
      <c r="BQ2476">
        <v>0</v>
      </c>
      <c r="BT2476">
        <v>0</v>
      </c>
      <c r="BU2476">
        <v>0</v>
      </c>
      <c r="BV2476">
        <v>0</v>
      </c>
      <c r="CC2476" t="str">
        <f>"19:16:08.047"</f>
        <v>19:16:08.047</v>
      </c>
      <c r="CD2476" t="str">
        <f>"048893418"</f>
        <v>048893418</v>
      </c>
      <c r="CQ2476">
        <v>0</v>
      </c>
      <c r="CR2476">
        <v>2</v>
      </c>
      <c r="CS2476">
        <v>0</v>
      </c>
      <c r="CT2476">
        <v>2</v>
      </c>
      <c r="CU2476">
        <v>0</v>
      </c>
      <c r="CV2476">
        <v>6</v>
      </c>
      <c r="CW2476" t="s">
        <v>120</v>
      </c>
      <c r="CX2476">
        <v>257</v>
      </c>
      <c r="CY2476">
        <v>1</v>
      </c>
      <c r="CZ2476" t="s">
        <v>615</v>
      </c>
      <c r="DA2476" t="s">
        <v>616</v>
      </c>
      <c r="DD2476">
        <v>12217648</v>
      </c>
      <c r="DE2476" t="s">
        <v>123</v>
      </c>
    </row>
    <row r="2477" spans="1:109" x14ac:dyDescent="0.3">
      <c r="A2477" t="str">
        <f>"19:16:09.242"</f>
        <v>19:16:09.242</v>
      </c>
      <c r="B2477" t="s">
        <v>110</v>
      </c>
      <c r="C2477" t="str">
        <f t="shared" si="114"/>
        <v>ffdfd3c0</v>
      </c>
      <c r="D2477" t="s">
        <v>111</v>
      </c>
      <c r="E2477">
        <v>18</v>
      </c>
      <c r="F2477">
        <v>1018</v>
      </c>
      <c r="G2477" t="s">
        <v>112</v>
      </c>
      <c r="J2477" t="s">
        <v>113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R2477" t="s">
        <v>114</v>
      </c>
      <c r="S2477" t="str">
        <f>"19:16:08.977"</f>
        <v>19:16:08.977</v>
      </c>
      <c r="T2477" t="str">
        <f>"19:16:08.977"</f>
        <v>19:16:08.977</v>
      </c>
      <c r="U2477" t="str">
        <f t="shared" si="115"/>
        <v>a1cdbe</v>
      </c>
      <c r="V2477">
        <v>0</v>
      </c>
      <c r="W2477">
        <v>0</v>
      </c>
      <c r="X2477">
        <v>1</v>
      </c>
      <c r="Y2477">
        <v>0</v>
      </c>
      <c r="Z2477">
        <v>0</v>
      </c>
      <c r="AB2477">
        <v>0</v>
      </c>
      <c r="AC2477">
        <v>9</v>
      </c>
      <c r="AD2477">
        <v>3</v>
      </c>
      <c r="AE2477">
        <v>0</v>
      </c>
      <c r="AF2477">
        <v>9</v>
      </c>
      <c r="AG2477" t="s">
        <v>158</v>
      </c>
      <c r="AH2477">
        <v>0</v>
      </c>
      <c r="AI2477">
        <v>3</v>
      </c>
      <c r="AJ2477">
        <v>1</v>
      </c>
      <c r="AK2477">
        <v>0</v>
      </c>
      <c r="AL2477" t="s">
        <v>4662</v>
      </c>
      <c r="AM2477">
        <v>46.922091999999999</v>
      </c>
      <c r="AN2477" t="s">
        <v>4663</v>
      </c>
      <c r="AO2477">
        <v>-123.268855</v>
      </c>
      <c r="AP2477">
        <v>100</v>
      </c>
      <c r="AQ2477">
        <v>1900</v>
      </c>
      <c r="AR2477" t="s">
        <v>118</v>
      </c>
      <c r="AS2477">
        <v>-63</v>
      </c>
      <c r="AT2477">
        <v>47</v>
      </c>
      <c r="AU2477">
        <v>-64</v>
      </c>
      <c r="BC2477">
        <v>1200</v>
      </c>
      <c r="BD2477">
        <v>1</v>
      </c>
      <c r="BE2477" t="str">
        <f t="shared" si="116"/>
        <v xml:space="preserve">N215T   </v>
      </c>
      <c r="BF2477">
        <v>1</v>
      </c>
      <c r="BH2477">
        <v>0</v>
      </c>
      <c r="BI2477">
        <v>0</v>
      </c>
      <c r="BJ2477">
        <v>0</v>
      </c>
      <c r="BK2477">
        <v>2325</v>
      </c>
      <c r="BL2477">
        <v>425</v>
      </c>
      <c r="BM2477" t="s">
        <v>119</v>
      </c>
      <c r="BN2477">
        <v>1</v>
      </c>
      <c r="BO2477">
        <v>1</v>
      </c>
      <c r="BP2477">
        <v>1</v>
      </c>
      <c r="BQ2477">
        <v>0</v>
      </c>
      <c r="BT2477">
        <v>0</v>
      </c>
      <c r="BU2477">
        <v>0</v>
      </c>
      <c r="BV2477">
        <v>0</v>
      </c>
      <c r="CC2477" t="str">
        <f>"19:16:08.977"</f>
        <v>19:16:08.977</v>
      </c>
      <c r="CD2477" t="str">
        <f>"978801789"</f>
        <v>978801789</v>
      </c>
      <c r="CQ2477">
        <v>0</v>
      </c>
      <c r="CR2477">
        <v>2</v>
      </c>
      <c r="CS2477">
        <v>0</v>
      </c>
      <c r="CT2477">
        <v>2</v>
      </c>
      <c r="CU2477">
        <v>0</v>
      </c>
      <c r="CV2477">
        <v>6</v>
      </c>
      <c r="CW2477" t="s">
        <v>120</v>
      </c>
      <c r="CX2477">
        <v>257</v>
      </c>
      <c r="CY2477">
        <v>0</v>
      </c>
      <c r="CZ2477" t="s">
        <v>615</v>
      </c>
      <c r="DA2477" t="s">
        <v>616</v>
      </c>
      <c r="DD2477">
        <v>15928372</v>
      </c>
      <c r="DE2477" t="s">
        <v>123</v>
      </c>
    </row>
    <row r="2478" spans="1:109" x14ac:dyDescent="0.3">
      <c r="A2478" t="str">
        <f>"19:16:10.297"</f>
        <v>19:16:10.297</v>
      </c>
      <c r="B2478" t="s">
        <v>110</v>
      </c>
      <c r="C2478" t="str">
        <f t="shared" si="114"/>
        <v>ffdfd3c0</v>
      </c>
      <c r="D2478" t="s">
        <v>111</v>
      </c>
      <c r="E2478">
        <v>18</v>
      </c>
      <c r="F2478">
        <v>1018</v>
      </c>
      <c r="G2478" t="s">
        <v>112</v>
      </c>
      <c r="J2478" t="s">
        <v>113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R2478" t="s">
        <v>114</v>
      </c>
      <c r="S2478" t="str">
        <f>"19:16:10.039"</f>
        <v>19:16:10.039</v>
      </c>
      <c r="T2478" t="str">
        <f>"19:16:09.836"</f>
        <v>19:16:09.836</v>
      </c>
      <c r="U2478" t="str">
        <f t="shared" si="115"/>
        <v>a1cdbe</v>
      </c>
      <c r="V2478">
        <v>0</v>
      </c>
      <c r="W2478">
        <v>0</v>
      </c>
      <c r="X2478">
        <v>1</v>
      </c>
      <c r="Y2478">
        <v>0</v>
      </c>
      <c r="Z2478">
        <v>0</v>
      </c>
      <c r="AB2478">
        <v>0</v>
      </c>
      <c r="AC2478">
        <v>9</v>
      </c>
      <c r="AD2478">
        <v>3</v>
      </c>
      <c r="AE2478">
        <v>0</v>
      </c>
      <c r="AF2478">
        <v>9</v>
      </c>
      <c r="AG2478" t="s">
        <v>158</v>
      </c>
      <c r="AH2478">
        <v>0</v>
      </c>
      <c r="AI2478">
        <v>3</v>
      </c>
      <c r="AJ2478">
        <v>1</v>
      </c>
      <c r="AK2478">
        <v>0</v>
      </c>
      <c r="AL2478" t="s">
        <v>4664</v>
      </c>
      <c r="AM2478">
        <v>46.922328</v>
      </c>
      <c r="AN2478" t="s">
        <v>4665</v>
      </c>
      <c r="AO2478">
        <v>-123.26934799999999</v>
      </c>
      <c r="AP2478">
        <v>100</v>
      </c>
      <c r="AQ2478">
        <v>1900</v>
      </c>
      <c r="AR2478" t="s">
        <v>118</v>
      </c>
      <c r="AS2478">
        <v>-63</v>
      </c>
      <c r="AT2478">
        <v>47</v>
      </c>
      <c r="AU2478">
        <v>-64</v>
      </c>
      <c r="BC2478">
        <v>1200</v>
      </c>
      <c r="BD2478">
        <v>1</v>
      </c>
      <c r="BE2478" t="str">
        <f t="shared" si="116"/>
        <v xml:space="preserve">N215T   </v>
      </c>
      <c r="BF2478">
        <v>1</v>
      </c>
      <c r="BH2478">
        <v>0</v>
      </c>
      <c r="BI2478">
        <v>0</v>
      </c>
      <c r="BJ2478">
        <v>0</v>
      </c>
      <c r="BK2478">
        <v>2325</v>
      </c>
      <c r="BL2478">
        <v>425</v>
      </c>
      <c r="BM2478" t="s">
        <v>119</v>
      </c>
      <c r="BN2478">
        <v>1</v>
      </c>
      <c r="BO2478">
        <v>1</v>
      </c>
      <c r="BP2478">
        <v>1</v>
      </c>
      <c r="BQ2478">
        <v>0</v>
      </c>
      <c r="BT2478">
        <v>0</v>
      </c>
      <c r="BU2478">
        <v>0</v>
      </c>
      <c r="BV2478">
        <v>0</v>
      </c>
      <c r="CC2478" t="str">
        <f>"19:16:10.047"</f>
        <v>19:16:10.047</v>
      </c>
      <c r="CD2478" t="str">
        <f>"043696894"</f>
        <v>043696894</v>
      </c>
      <c r="CQ2478">
        <v>0</v>
      </c>
      <c r="CR2478">
        <v>2</v>
      </c>
      <c r="CS2478">
        <v>0</v>
      </c>
      <c r="CT2478">
        <v>2</v>
      </c>
      <c r="CU2478">
        <v>0</v>
      </c>
      <c r="CV2478">
        <v>6</v>
      </c>
      <c r="CW2478" t="s">
        <v>120</v>
      </c>
      <c r="CX2478">
        <v>257</v>
      </c>
      <c r="CY2478">
        <v>1</v>
      </c>
      <c r="CZ2478" t="s">
        <v>615</v>
      </c>
      <c r="DA2478" t="s">
        <v>616</v>
      </c>
      <c r="DD2478">
        <v>12219079</v>
      </c>
      <c r="DE2478" t="s">
        <v>123</v>
      </c>
    </row>
    <row r="2479" spans="1:109" x14ac:dyDescent="0.3">
      <c r="A2479" t="str">
        <f>"19:16:11.203"</f>
        <v>19:16:11.203</v>
      </c>
      <c r="B2479" t="s">
        <v>110</v>
      </c>
      <c r="C2479" t="str">
        <f t="shared" si="114"/>
        <v>ffdfd3c0</v>
      </c>
      <c r="D2479" t="s">
        <v>111</v>
      </c>
      <c r="E2479">
        <v>18</v>
      </c>
      <c r="F2479">
        <v>1018</v>
      </c>
      <c r="G2479" t="s">
        <v>112</v>
      </c>
      <c r="J2479" t="s">
        <v>113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R2479" t="s">
        <v>114</v>
      </c>
      <c r="S2479" t="str">
        <f>"19:16:11.000"</f>
        <v>19:16:11.000</v>
      </c>
      <c r="T2479" t="str">
        <f>"19:16:10.797"</f>
        <v>19:16:10.797</v>
      </c>
      <c r="U2479" t="str">
        <f t="shared" si="115"/>
        <v>a1cdbe</v>
      </c>
      <c r="V2479">
        <v>0</v>
      </c>
      <c r="W2479">
        <v>0</v>
      </c>
      <c r="X2479">
        <v>1</v>
      </c>
      <c r="Y2479">
        <v>0</v>
      </c>
      <c r="Z2479">
        <v>0</v>
      </c>
      <c r="AB2479">
        <v>0</v>
      </c>
      <c r="AC2479">
        <v>9</v>
      </c>
      <c r="AD2479">
        <v>3</v>
      </c>
      <c r="AE2479">
        <v>0</v>
      </c>
      <c r="AF2479">
        <v>9</v>
      </c>
      <c r="AG2479" t="s">
        <v>158</v>
      </c>
      <c r="AH2479">
        <v>0</v>
      </c>
      <c r="AI2479">
        <v>3</v>
      </c>
      <c r="AJ2479">
        <v>1</v>
      </c>
      <c r="AK2479">
        <v>0</v>
      </c>
      <c r="AL2479" t="s">
        <v>4666</v>
      </c>
      <c r="AM2479">
        <v>46.922522000000001</v>
      </c>
      <c r="AN2479" t="s">
        <v>4667</v>
      </c>
      <c r="AO2479">
        <v>-123.26969099999999</v>
      </c>
      <c r="AP2479">
        <v>100</v>
      </c>
      <c r="AQ2479">
        <v>1900</v>
      </c>
      <c r="AR2479" t="s">
        <v>118</v>
      </c>
      <c r="AS2479">
        <v>-62</v>
      </c>
      <c r="AT2479">
        <v>47</v>
      </c>
      <c r="AU2479">
        <v>0</v>
      </c>
      <c r="BC2479">
        <v>1200</v>
      </c>
      <c r="BD2479">
        <v>1</v>
      </c>
      <c r="BE2479" t="str">
        <f t="shared" si="116"/>
        <v xml:space="preserve">N215T   </v>
      </c>
      <c r="BF2479">
        <v>1</v>
      </c>
      <c r="BH2479">
        <v>0</v>
      </c>
      <c r="BI2479">
        <v>0</v>
      </c>
      <c r="BJ2479">
        <v>0</v>
      </c>
      <c r="BK2479">
        <v>2325</v>
      </c>
      <c r="BL2479">
        <v>425</v>
      </c>
      <c r="BM2479" t="s">
        <v>119</v>
      </c>
      <c r="BN2479">
        <v>1</v>
      </c>
      <c r="BO2479">
        <v>1</v>
      </c>
      <c r="BP2479">
        <v>1</v>
      </c>
      <c r="BQ2479">
        <v>0</v>
      </c>
      <c r="BT2479">
        <v>0</v>
      </c>
      <c r="BU2479">
        <v>0</v>
      </c>
      <c r="BV2479">
        <v>0</v>
      </c>
      <c r="CC2479" t="str">
        <f>"19:16:11.000"</f>
        <v>19:16:11.000</v>
      </c>
      <c r="CD2479" t="str">
        <f>"003602325"</f>
        <v>003602325</v>
      </c>
      <c r="CQ2479">
        <v>0</v>
      </c>
      <c r="CR2479">
        <v>2</v>
      </c>
      <c r="CS2479">
        <v>0</v>
      </c>
      <c r="CT2479">
        <v>2</v>
      </c>
      <c r="CU2479">
        <v>0</v>
      </c>
      <c r="CV2479">
        <v>6</v>
      </c>
      <c r="CW2479" t="s">
        <v>120</v>
      </c>
      <c r="CX2479">
        <v>257</v>
      </c>
      <c r="CY2479">
        <v>1</v>
      </c>
      <c r="CZ2479" t="s">
        <v>615</v>
      </c>
      <c r="DA2479" t="s">
        <v>616</v>
      </c>
      <c r="DD2479">
        <v>12219768</v>
      </c>
      <c r="DE2479" t="s">
        <v>123</v>
      </c>
    </row>
    <row r="2480" spans="1:109" x14ac:dyDescent="0.3">
      <c r="A2480" t="str">
        <f>"19:16:12.203"</f>
        <v>19:16:12.203</v>
      </c>
      <c r="B2480" t="s">
        <v>110</v>
      </c>
      <c r="C2480" t="str">
        <f t="shared" si="114"/>
        <v>ffdfd3c0</v>
      </c>
      <c r="D2480" t="s">
        <v>111</v>
      </c>
      <c r="E2480">
        <v>18</v>
      </c>
      <c r="F2480">
        <v>1018</v>
      </c>
      <c r="G2480" t="s">
        <v>112</v>
      </c>
      <c r="J2480" t="s">
        <v>113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R2480" t="s">
        <v>114</v>
      </c>
      <c r="S2480" t="str">
        <f>"19:16:11.992"</f>
        <v>19:16:11.992</v>
      </c>
      <c r="T2480" t="str">
        <f>"19:16:11.789"</f>
        <v>19:16:11.789</v>
      </c>
      <c r="U2480" t="str">
        <f t="shared" si="115"/>
        <v>a1cdbe</v>
      </c>
      <c r="V2480">
        <v>0</v>
      </c>
      <c r="W2480">
        <v>0</v>
      </c>
      <c r="X2480">
        <v>1</v>
      </c>
      <c r="Y2480">
        <v>0</v>
      </c>
      <c r="Z2480">
        <v>0</v>
      </c>
      <c r="AB2480">
        <v>0</v>
      </c>
      <c r="AC2480">
        <v>9</v>
      </c>
      <c r="AD2480">
        <v>3</v>
      </c>
      <c r="AE2480">
        <v>0</v>
      </c>
      <c r="AF2480">
        <v>9</v>
      </c>
      <c r="AG2480" t="s">
        <v>158</v>
      </c>
      <c r="AH2480">
        <v>0</v>
      </c>
      <c r="AI2480">
        <v>3</v>
      </c>
      <c r="AJ2480">
        <v>1</v>
      </c>
      <c r="AK2480">
        <v>0</v>
      </c>
      <c r="AL2480" t="s">
        <v>4668</v>
      </c>
      <c r="AM2480">
        <v>46.922736</v>
      </c>
      <c r="AN2480" t="s">
        <v>4669</v>
      </c>
      <c r="AO2480">
        <v>-123.27016399999999</v>
      </c>
      <c r="AP2480">
        <v>100</v>
      </c>
      <c r="AQ2480">
        <v>1900</v>
      </c>
      <c r="AR2480" t="s">
        <v>118</v>
      </c>
      <c r="AS2480">
        <v>-63</v>
      </c>
      <c r="AT2480">
        <v>46</v>
      </c>
      <c r="AU2480">
        <v>0</v>
      </c>
      <c r="BC2480">
        <v>1200</v>
      </c>
      <c r="BD2480">
        <v>1</v>
      </c>
      <c r="BE2480" t="str">
        <f t="shared" si="116"/>
        <v xml:space="preserve">N215T   </v>
      </c>
      <c r="BF2480">
        <v>1</v>
      </c>
      <c r="BH2480">
        <v>0</v>
      </c>
      <c r="BI2480">
        <v>0</v>
      </c>
      <c r="BJ2480">
        <v>0</v>
      </c>
      <c r="BK2480">
        <v>2325</v>
      </c>
      <c r="BL2480">
        <v>425</v>
      </c>
      <c r="BM2480" t="s">
        <v>119</v>
      </c>
      <c r="BN2480">
        <v>1</v>
      </c>
      <c r="BO2480">
        <v>1</v>
      </c>
      <c r="BP2480">
        <v>1</v>
      </c>
      <c r="BQ2480">
        <v>0</v>
      </c>
      <c r="BT2480">
        <v>0</v>
      </c>
      <c r="BU2480">
        <v>0</v>
      </c>
      <c r="BV2480">
        <v>0</v>
      </c>
      <c r="CC2480" t="str">
        <f>"19:16:11.992"</f>
        <v>19:16:11.992</v>
      </c>
      <c r="CD2480" t="str">
        <f>"993504805"</f>
        <v>993504805</v>
      </c>
      <c r="CQ2480">
        <v>0</v>
      </c>
      <c r="CR2480">
        <v>2</v>
      </c>
      <c r="CS2480">
        <v>0</v>
      </c>
      <c r="CT2480">
        <v>2</v>
      </c>
      <c r="CU2480">
        <v>0</v>
      </c>
      <c r="CV2480">
        <v>6</v>
      </c>
      <c r="CW2480" t="s">
        <v>120</v>
      </c>
      <c r="CX2480">
        <v>257</v>
      </c>
      <c r="CY2480">
        <v>1</v>
      </c>
      <c r="CZ2480" t="s">
        <v>615</v>
      </c>
      <c r="DA2480" t="s">
        <v>616</v>
      </c>
      <c r="DD2480">
        <v>12220487</v>
      </c>
      <c r="DE2480" t="s">
        <v>123</v>
      </c>
    </row>
    <row r="2481" spans="1:109" x14ac:dyDescent="0.3">
      <c r="A2481" t="str">
        <f>"19:16:13.211"</f>
        <v>19:16:13.211</v>
      </c>
      <c r="B2481" t="s">
        <v>110</v>
      </c>
      <c r="C2481" t="str">
        <f t="shared" si="114"/>
        <v>ffdfd3c0</v>
      </c>
      <c r="D2481" t="s">
        <v>111</v>
      </c>
      <c r="E2481">
        <v>18</v>
      </c>
      <c r="F2481">
        <v>1018</v>
      </c>
      <c r="G2481" t="s">
        <v>112</v>
      </c>
      <c r="J2481" t="s">
        <v>113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R2481" t="s">
        <v>114</v>
      </c>
      <c r="S2481" t="str">
        <f>"19:16:12.961"</f>
        <v>19:16:12.961</v>
      </c>
      <c r="T2481" t="str">
        <f>"19:16:12.961"</f>
        <v>19:16:12.961</v>
      </c>
      <c r="U2481" t="str">
        <f t="shared" si="115"/>
        <v>a1cdbe</v>
      </c>
      <c r="V2481">
        <v>0</v>
      </c>
      <c r="W2481">
        <v>0</v>
      </c>
      <c r="X2481">
        <v>1</v>
      </c>
      <c r="Y2481">
        <v>0</v>
      </c>
      <c r="Z2481">
        <v>0</v>
      </c>
      <c r="AB2481">
        <v>0</v>
      </c>
      <c r="AC2481">
        <v>9</v>
      </c>
      <c r="AD2481">
        <v>3</v>
      </c>
      <c r="AE2481">
        <v>0</v>
      </c>
      <c r="AF2481">
        <v>9</v>
      </c>
      <c r="AG2481" t="s">
        <v>158</v>
      </c>
      <c r="AH2481">
        <v>0</v>
      </c>
      <c r="AI2481">
        <v>3</v>
      </c>
      <c r="AJ2481">
        <v>1</v>
      </c>
      <c r="AK2481">
        <v>0</v>
      </c>
      <c r="AL2481" t="s">
        <v>1261</v>
      </c>
      <c r="AM2481">
        <v>46.922929000000003</v>
      </c>
      <c r="AN2481" t="s">
        <v>4670</v>
      </c>
      <c r="AO2481">
        <v>-123.27055</v>
      </c>
      <c r="AP2481">
        <v>100</v>
      </c>
      <c r="AQ2481">
        <v>1900</v>
      </c>
      <c r="AR2481" t="s">
        <v>118</v>
      </c>
      <c r="AS2481">
        <v>-63</v>
      </c>
      <c r="AT2481">
        <v>45</v>
      </c>
      <c r="AU2481">
        <v>-64</v>
      </c>
      <c r="BC2481">
        <v>1200</v>
      </c>
      <c r="BD2481">
        <v>1</v>
      </c>
      <c r="BE2481" t="str">
        <f t="shared" si="116"/>
        <v xml:space="preserve">N215T   </v>
      </c>
      <c r="BF2481">
        <v>1</v>
      </c>
      <c r="BH2481">
        <v>0</v>
      </c>
      <c r="BI2481">
        <v>0</v>
      </c>
      <c r="BJ2481">
        <v>0</v>
      </c>
      <c r="BK2481">
        <v>2325</v>
      </c>
      <c r="BL2481">
        <v>425</v>
      </c>
      <c r="BM2481" t="s">
        <v>119</v>
      </c>
      <c r="BN2481">
        <v>1</v>
      </c>
      <c r="BO2481">
        <v>1</v>
      </c>
      <c r="BP2481">
        <v>1</v>
      </c>
      <c r="BQ2481">
        <v>0</v>
      </c>
      <c r="BT2481">
        <v>0</v>
      </c>
      <c r="BU2481">
        <v>0</v>
      </c>
      <c r="BV2481">
        <v>0</v>
      </c>
      <c r="CC2481" t="str">
        <f>"19:16:12.969"</f>
        <v>19:16:12.969</v>
      </c>
      <c r="CD2481" t="str">
        <f>"968408745"</f>
        <v>968408745</v>
      </c>
      <c r="CQ2481">
        <v>0</v>
      </c>
      <c r="CR2481">
        <v>2</v>
      </c>
      <c r="CS2481">
        <v>0</v>
      </c>
      <c r="CT2481">
        <v>2</v>
      </c>
      <c r="CU2481">
        <v>0</v>
      </c>
      <c r="CV2481">
        <v>6</v>
      </c>
      <c r="CW2481" t="s">
        <v>120</v>
      </c>
      <c r="CX2481">
        <v>257</v>
      </c>
      <c r="CY2481">
        <v>0</v>
      </c>
      <c r="CZ2481" t="s">
        <v>615</v>
      </c>
      <c r="DA2481" t="s">
        <v>616</v>
      </c>
      <c r="DD2481">
        <v>15930564</v>
      </c>
      <c r="DE2481" t="s">
        <v>123</v>
      </c>
    </row>
    <row r="2482" spans="1:109" x14ac:dyDescent="0.3">
      <c r="A2482" t="str">
        <f>"19:16:14.164"</f>
        <v>19:16:14.164</v>
      </c>
      <c r="B2482" t="s">
        <v>110</v>
      </c>
      <c r="C2482" t="str">
        <f t="shared" si="114"/>
        <v>ffdfd3c0</v>
      </c>
      <c r="D2482" t="s">
        <v>111</v>
      </c>
      <c r="E2482">
        <v>18</v>
      </c>
      <c r="F2482">
        <v>1018</v>
      </c>
      <c r="G2482" t="s">
        <v>112</v>
      </c>
      <c r="J2482" t="s">
        <v>113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R2482" t="s">
        <v>114</v>
      </c>
      <c r="S2482" t="str">
        <f>"19:16:13.938"</f>
        <v>19:16:13.938</v>
      </c>
      <c r="T2482" t="str">
        <f>"19:16:13.938"</f>
        <v>19:16:13.938</v>
      </c>
      <c r="U2482" t="str">
        <f t="shared" si="115"/>
        <v>a1cdbe</v>
      </c>
      <c r="V2482">
        <v>0</v>
      </c>
      <c r="W2482">
        <v>0</v>
      </c>
      <c r="X2482">
        <v>1</v>
      </c>
      <c r="Y2482">
        <v>0</v>
      </c>
      <c r="Z2482">
        <v>0</v>
      </c>
      <c r="AB2482">
        <v>0</v>
      </c>
      <c r="AC2482">
        <v>9</v>
      </c>
      <c r="AD2482">
        <v>3</v>
      </c>
      <c r="AE2482">
        <v>0</v>
      </c>
      <c r="AF2482">
        <v>9</v>
      </c>
      <c r="AG2482" t="s">
        <v>158</v>
      </c>
      <c r="AH2482">
        <v>0</v>
      </c>
      <c r="AI2482">
        <v>3</v>
      </c>
      <c r="AJ2482">
        <v>1</v>
      </c>
      <c r="AK2482">
        <v>0</v>
      </c>
      <c r="AL2482" t="s">
        <v>4671</v>
      </c>
      <c r="AM2482">
        <v>46.923164999999997</v>
      </c>
      <c r="AN2482" t="s">
        <v>4672</v>
      </c>
      <c r="AO2482">
        <v>-123.270957</v>
      </c>
      <c r="AP2482">
        <v>100</v>
      </c>
      <c r="AQ2482">
        <v>1900</v>
      </c>
      <c r="AR2482" t="s">
        <v>118</v>
      </c>
      <c r="AS2482">
        <v>-63</v>
      </c>
      <c r="AT2482">
        <v>44</v>
      </c>
      <c r="AU2482">
        <v>-64</v>
      </c>
      <c r="BC2482">
        <v>1200</v>
      </c>
      <c r="BD2482">
        <v>1</v>
      </c>
      <c r="BE2482" t="str">
        <f t="shared" si="116"/>
        <v xml:space="preserve">N215T   </v>
      </c>
      <c r="BF2482">
        <v>1</v>
      </c>
      <c r="BH2482">
        <v>0</v>
      </c>
      <c r="BI2482">
        <v>0</v>
      </c>
      <c r="BJ2482">
        <v>0</v>
      </c>
      <c r="BK2482">
        <v>2325</v>
      </c>
      <c r="BL2482">
        <v>425</v>
      </c>
      <c r="BM2482" t="s">
        <v>119</v>
      </c>
      <c r="BN2482">
        <v>1</v>
      </c>
      <c r="BO2482">
        <v>1</v>
      </c>
      <c r="BP2482">
        <v>1</v>
      </c>
      <c r="BQ2482">
        <v>0</v>
      </c>
      <c r="BT2482">
        <v>0</v>
      </c>
      <c r="BU2482">
        <v>0</v>
      </c>
      <c r="BV2482">
        <v>0</v>
      </c>
      <c r="CC2482" t="str">
        <f>"19:16:13.945"</f>
        <v>19:16:13.945</v>
      </c>
      <c r="CD2482" t="str">
        <f>"943312713"</f>
        <v>943312713</v>
      </c>
      <c r="CQ2482">
        <v>0</v>
      </c>
      <c r="CR2482">
        <v>2</v>
      </c>
      <c r="CS2482">
        <v>0</v>
      </c>
      <c r="CT2482">
        <v>2</v>
      </c>
      <c r="CU2482">
        <v>0</v>
      </c>
      <c r="CV2482">
        <v>6</v>
      </c>
      <c r="CW2482" t="s">
        <v>120</v>
      </c>
      <c r="CX2482">
        <v>257</v>
      </c>
      <c r="CY2482">
        <v>1</v>
      </c>
      <c r="CZ2482" t="s">
        <v>615</v>
      </c>
      <c r="DA2482" t="s">
        <v>616</v>
      </c>
      <c r="DD2482">
        <v>12221850</v>
      </c>
      <c r="DE2482" t="s">
        <v>123</v>
      </c>
    </row>
    <row r="2483" spans="1:109" x14ac:dyDescent="0.3">
      <c r="A2483" t="str">
        <f>"19:16:15.117"</f>
        <v>19:16:15.117</v>
      </c>
      <c r="B2483" t="s">
        <v>110</v>
      </c>
      <c r="C2483" t="str">
        <f t="shared" si="114"/>
        <v>ffdfd3c0</v>
      </c>
      <c r="D2483" t="s">
        <v>111</v>
      </c>
      <c r="E2483">
        <v>18</v>
      </c>
      <c r="F2483">
        <v>1018</v>
      </c>
      <c r="G2483" t="s">
        <v>112</v>
      </c>
      <c r="J2483" t="s">
        <v>113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R2483" t="s">
        <v>114</v>
      </c>
      <c r="S2483" t="str">
        <f>"19:16:14.898"</f>
        <v>19:16:14.898</v>
      </c>
      <c r="T2483" t="str">
        <f>"19:16:14.500"</f>
        <v>19:16:14.500</v>
      </c>
      <c r="U2483" t="str">
        <f t="shared" si="115"/>
        <v>a1cdbe</v>
      </c>
      <c r="V2483">
        <v>0</v>
      </c>
      <c r="W2483">
        <v>0</v>
      </c>
      <c r="X2483">
        <v>1</v>
      </c>
      <c r="Y2483">
        <v>0</v>
      </c>
      <c r="Z2483">
        <v>0</v>
      </c>
      <c r="AB2483">
        <v>0</v>
      </c>
      <c r="AC2483">
        <v>9</v>
      </c>
      <c r="AD2483">
        <v>3</v>
      </c>
      <c r="AE2483">
        <v>0</v>
      </c>
      <c r="AF2483">
        <v>9</v>
      </c>
      <c r="AG2483" t="s">
        <v>158</v>
      </c>
      <c r="AH2483">
        <v>0</v>
      </c>
      <c r="AI2483">
        <v>3</v>
      </c>
      <c r="AJ2483">
        <v>1</v>
      </c>
      <c r="AK2483">
        <v>0</v>
      </c>
      <c r="AL2483" t="s">
        <v>4673</v>
      </c>
      <c r="AM2483">
        <v>46.923336999999997</v>
      </c>
      <c r="AN2483" t="s">
        <v>4674</v>
      </c>
      <c r="AO2483">
        <v>-123.27140799999999</v>
      </c>
      <c r="AP2483">
        <v>100</v>
      </c>
      <c r="AQ2483">
        <v>1900</v>
      </c>
      <c r="AR2483" t="s">
        <v>118</v>
      </c>
      <c r="AS2483">
        <v>-64</v>
      </c>
      <c r="AT2483">
        <v>44</v>
      </c>
      <c r="AU2483">
        <v>-64</v>
      </c>
      <c r="BC2483">
        <v>1200</v>
      </c>
      <c r="BD2483">
        <v>1</v>
      </c>
      <c r="BE2483" t="str">
        <f t="shared" si="116"/>
        <v xml:space="preserve">N215T   </v>
      </c>
      <c r="BF2483">
        <v>1</v>
      </c>
      <c r="BH2483">
        <v>0</v>
      </c>
      <c r="BI2483">
        <v>0</v>
      </c>
      <c r="BJ2483">
        <v>0</v>
      </c>
      <c r="BK2483">
        <v>2325</v>
      </c>
      <c r="BL2483">
        <v>425</v>
      </c>
      <c r="BM2483" t="s">
        <v>119</v>
      </c>
      <c r="BN2483">
        <v>1</v>
      </c>
      <c r="BO2483">
        <v>1</v>
      </c>
      <c r="BP2483">
        <v>1</v>
      </c>
      <c r="BQ2483">
        <v>0</v>
      </c>
      <c r="BT2483">
        <v>0</v>
      </c>
      <c r="BU2483">
        <v>0</v>
      </c>
      <c r="BV2483">
        <v>0</v>
      </c>
      <c r="CC2483" t="str">
        <f>"19:16:14.906"</f>
        <v>19:16:14.906</v>
      </c>
      <c r="CD2483" t="str">
        <f>"903233757"</f>
        <v>903233757</v>
      </c>
      <c r="CQ2483">
        <v>0</v>
      </c>
      <c r="CR2483">
        <v>2</v>
      </c>
      <c r="CS2483">
        <v>0</v>
      </c>
      <c r="CT2483">
        <v>2</v>
      </c>
      <c r="CU2483">
        <v>0</v>
      </c>
      <c r="CV2483">
        <v>6</v>
      </c>
      <c r="CW2483" t="s">
        <v>120</v>
      </c>
      <c r="CX2483">
        <v>261</v>
      </c>
      <c r="CY2483">
        <v>2</v>
      </c>
      <c r="CZ2483" t="s">
        <v>121</v>
      </c>
      <c r="DA2483" t="s">
        <v>122</v>
      </c>
      <c r="DD2483">
        <v>15784708</v>
      </c>
      <c r="DE2483" t="s">
        <v>123</v>
      </c>
    </row>
    <row r="2484" spans="1:109" x14ac:dyDescent="0.3">
      <c r="A2484" t="str">
        <f>"19:16:16.180"</f>
        <v>19:16:16.180</v>
      </c>
      <c r="B2484" t="s">
        <v>110</v>
      </c>
      <c r="C2484" t="str">
        <f t="shared" si="114"/>
        <v>ffdfd3c0</v>
      </c>
      <c r="D2484" t="s">
        <v>111</v>
      </c>
      <c r="E2484">
        <v>18</v>
      </c>
      <c r="F2484">
        <v>1018</v>
      </c>
      <c r="G2484" t="s">
        <v>112</v>
      </c>
      <c r="J2484" t="s">
        <v>113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R2484" t="s">
        <v>114</v>
      </c>
      <c r="S2484" t="str">
        <f>"19:16:15.961"</f>
        <v>19:16:15.961</v>
      </c>
      <c r="T2484" t="str">
        <f>"19:16:15.961"</f>
        <v>19:16:15.961</v>
      </c>
      <c r="U2484" t="str">
        <f t="shared" si="115"/>
        <v>a1cdbe</v>
      </c>
      <c r="V2484">
        <v>0</v>
      </c>
      <c r="W2484">
        <v>0</v>
      </c>
      <c r="X2484">
        <v>1</v>
      </c>
      <c r="Y2484">
        <v>0</v>
      </c>
      <c r="Z2484">
        <v>0</v>
      </c>
      <c r="AB2484">
        <v>0</v>
      </c>
      <c r="AC2484">
        <v>9</v>
      </c>
      <c r="AD2484">
        <v>3</v>
      </c>
      <c r="AE2484">
        <v>0</v>
      </c>
      <c r="AF2484">
        <v>9</v>
      </c>
      <c r="AG2484" t="s">
        <v>158</v>
      </c>
      <c r="AH2484">
        <v>0</v>
      </c>
      <c r="AI2484">
        <v>3</v>
      </c>
      <c r="AJ2484">
        <v>1</v>
      </c>
      <c r="AK2484">
        <v>0</v>
      </c>
      <c r="AL2484" t="s">
        <v>4675</v>
      </c>
      <c r="AM2484">
        <v>46.923572999999998</v>
      </c>
      <c r="AN2484" t="s">
        <v>4676</v>
      </c>
      <c r="AO2484">
        <v>-123.271816</v>
      </c>
      <c r="AP2484">
        <v>100</v>
      </c>
      <c r="AQ2484">
        <v>1900</v>
      </c>
      <c r="AR2484" t="s">
        <v>118</v>
      </c>
      <c r="AS2484">
        <v>-64</v>
      </c>
      <c r="AT2484">
        <v>44</v>
      </c>
      <c r="AU2484">
        <v>0</v>
      </c>
      <c r="BC2484">
        <v>1200</v>
      </c>
      <c r="BD2484">
        <v>1</v>
      </c>
      <c r="BE2484" t="str">
        <f t="shared" si="116"/>
        <v xml:space="preserve">N215T   </v>
      </c>
      <c r="BF2484">
        <v>1</v>
      </c>
      <c r="BH2484">
        <v>0</v>
      </c>
      <c r="BI2484">
        <v>0</v>
      </c>
      <c r="BJ2484">
        <v>0</v>
      </c>
      <c r="BK2484">
        <v>2325</v>
      </c>
      <c r="BL2484">
        <v>425</v>
      </c>
      <c r="BM2484" t="s">
        <v>119</v>
      </c>
      <c r="BN2484">
        <v>1</v>
      </c>
      <c r="BO2484">
        <v>1</v>
      </c>
      <c r="BP2484">
        <v>1</v>
      </c>
      <c r="BQ2484">
        <v>0</v>
      </c>
      <c r="BT2484">
        <v>0</v>
      </c>
      <c r="BU2484">
        <v>0</v>
      </c>
      <c r="BV2484">
        <v>0</v>
      </c>
      <c r="CC2484" t="str">
        <f>"19:16:15.969"</f>
        <v>19:16:15.969</v>
      </c>
      <c r="CD2484" t="str">
        <f>"968128847"</f>
        <v>968128847</v>
      </c>
      <c r="CQ2484">
        <v>0</v>
      </c>
      <c r="CR2484">
        <v>2</v>
      </c>
      <c r="CS2484">
        <v>0</v>
      </c>
      <c r="CT2484">
        <v>2</v>
      </c>
      <c r="CU2484">
        <v>0</v>
      </c>
      <c r="CV2484">
        <v>6</v>
      </c>
      <c r="CW2484" t="s">
        <v>120</v>
      </c>
      <c r="CX2484">
        <v>261</v>
      </c>
      <c r="CY2484">
        <v>2</v>
      </c>
      <c r="CZ2484" t="s">
        <v>121</v>
      </c>
      <c r="DA2484" t="s">
        <v>122</v>
      </c>
      <c r="DD2484">
        <v>15785454</v>
      </c>
      <c r="DE2484" t="s">
        <v>123</v>
      </c>
    </row>
    <row r="2485" spans="1:109" x14ac:dyDescent="0.3">
      <c r="A2485" t="str">
        <f>"19:16:17.234"</f>
        <v>19:16:17.234</v>
      </c>
      <c r="B2485" t="s">
        <v>110</v>
      </c>
      <c r="C2485" t="str">
        <f t="shared" si="114"/>
        <v>ffdfd3c0</v>
      </c>
      <c r="D2485" t="s">
        <v>111</v>
      </c>
      <c r="E2485">
        <v>18</v>
      </c>
      <c r="F2485">
        <v>1018</v>
      </c>
      <c r="G2485" t="s">
        <v>112</v>
      </c>
      <c r="J2485" t="s">
        <v>113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R2485" t="s">
        <v>114</v>
      </c>
      <c r="S2485" t="str">
        <f>"19:16:17.000"</f>
        <v>19:16:17.000</v>
      </c>
      <c r="T2485" t="str">
        <f>"19:16:17.000"</f>
        <v>19:16:17.000</v>
      </c>
      <c r="U2485" t="str">
        <f t="shared" si="115"/>
        <v>a1cdbe</v>
      </c>
      <c r="V2485">
        <v>0</v>
      </c>
      <c r="W2485">
        <v>0</v>
      </c>
      <c r="X2485">
        <v>1</v>
      </c>
      <c r="Y2485">
        <v>0</v>
      </c>
      <c r="Z2485">
        <v>0</v>
      </c>
      <c r="AB2485">
        <v>0</v>
      </c>
      <c r="AC2485">
        <v>9</v>
      </c>
      <c r="AD2485">
        <v>3</v>
      </c>
      <c r="AE2485">
        <v>0</v>
      </c>
      <c r="AF2485">
        <v>9</v>
      </c>
      <c r="AG2485" t="s">
        <v>158</v>
      </c>
      <c r="AH2485">
        <v>0</v>
      </c>
      <c r="AI2485">
        <v>3</v>
      </c>
      <c r="AJ2485">
        <v>1</v>
      </c>
      <c r="AK2485">
        <v>0</v>
      </c>
      <c r="AL2485" t="s">
        <v>4677</v>
      </c>
      <c r="AM2485">
        <v>46.923766000000001</v>
      </c>
      <c r="AN2485" t="s">
        <v>4678</v>
      </c>
      <c r="AO2485">
        <v>-123.27230900000001</v>
      </c>
      <c r="AP2485">
        <v>100</v>
      </c>
      <c r="AQ2485">
        <v>1900</v>
      </c>
      <c r="AR2485" t="s">
        <v>118</v>
      </c>
      <c r="AS2485">
        <v>-64</v>
      </c>
      <c r="AT2485">
        <v>44</v>
      </c>
      <c r="AU2485">
        <v>0</v>
      </c>
      <c r="BC2485">
        <v>1200</v>
      </c>
      <c r="BD2485">
        <v>1</v>
      </c>
      <c r="BE2485" t="str">
        <f t="shared" si="116"/>
        <v xml:space="preserve">N215T   </v>
      </c>
      <c r="BF2485">
        <v>1</v>
      </c>
      <c r="BH2485">
        <v>0</v>
      </c>
      <c r="BI2485">
        <v>0</v>
      </c>
      <c r="BJ2485">
        <v>0</v>
      </c>
      <c r="BK2485">
        <v>2300</v>
      </c>
      <c r="BL2485">
        <v>400</v>
      </c>
      <c r="BM2485" t="s">
        <v>119</v>
      </c>
      <c r="BN2485">
        <v>1</v>
      </c>
      <c r="BO2485">
        <v>1</v>
      </c>
      <c r="BP2485">
        <v>1</v>
      </c>
      <c r="BQ2485">
        <v>0</v>
      </c>
      <c r="BT2485">
        <v>0</v>
      </c>
      <c r="BU2485">
        <v>0</v>
      </c>
      <c r="BV2485">
        <v>0</v>
      </c>
      <c r="CC2485" t="str">
        <f>"19:16:17.000"</f>
        <v>19:16:17.000</v>
      </c>
      <c r="CD2485" t="str">
        <f>"003026886"</f>
        <v>003026886</v>
      </c>
      <c r="CQ2485">
        <v>0</v>
      </c>
      <c r="CR2485">
        <v>2</v>
      </c>
      <c r="CS2485">
        <v>0</v>
      </c>
      <c r="CT2485">
        <v>2</v>
      </c>
      <c r="CU2485">
        <v>0</v>
      </c>
      <c r="CV2485">
        <v>6</v>
      </c>
      <c r="CW2485" t="s">
        <v>120</v>
      </c>
      <c r="CX2485">
        <v>261</v>
      </c>
      <c r="CY2485">
        <v>3</v>
      </c>
      <c r="CZ2485" t="s">
        <v>121</v>
      </c>
      <c r="DA2485" t="s">
        <v>122</v>
      </c>
      <c r="DD2485">
        <v>3787476</v>
      </c>
      <c r="DE2485" t="s">
        <v>123</v>
      </c>
    </row>
    <row r="2486" spans="1:109" x14ac:dyDescent="0.3">
      <c r="A2486" t="str">
        <f>"19:16:18.289"</f>
        <v>19:16:18.289</v>
      </c>
      <c r="B2486" t="s">
        <v>110</v>
      </c>
      <c r="C2486" t="str">
        <f t="shared" si="114"/>
        <v>ffdfd3c0</v>
      </c>
      <c r="D2486" t="s">
        <v>111</v>
      </c>
      <c r="E2486">
        <v>18</v>
      </c>
      <c r="F2486">
        <v>1018</v>
      </c>
      <c r="G2486" t="s">
        <v>112</v>
      </c>
      <c r="J2486" t="s">
        <v>113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R2486" t="s">
        <v>114</v>
      </c>
      <c r="S2486" t="str">
        <f>"19:16:18.047"</f>
        <v>19:16:18.047</v>
      </c>
      <c r="T2486" t="str">
        <f>"19:16:18.047"</f>
        <v>19:16:18.047</v>
      </c>
      <c r="U2486" t="str">
        <f t="shared" si="115"/>
        <v>a1cdbe</v>
      </c>
      <c r="V2486">
        <v>0</v>
      </c>
      <c r="W2486">
        <v>0</v>
      </c>
      <c r="X2486">
        <v>1</v>
      </c>
      <c r="Y2486">
        <v>0</v>
      </c>
      <c r="Z2486">
        <v>0</v>
      </c>
      <c r="AB2486">
        <v>0</v>
      </c>
      <c r="AC2486">
        <v>9</v>
      </c>
      <c r="AD2486">
        <v>3</v>
      </c>
      <c r="AE2486">
        <v>0</v>
      </c>
      <c r="AF2486">
        <v>9</v>
      </c>
      <c r="AG2486" t="s">
        <v>158</v>
      </c>
      <c r="AH2486">
        <v>0</v>
      </c>
      <c r="AI2486">
        <v>3</v>
      </c>
      <c r="AJ2486">
        <v>1</v>
      </c>
      <c r="AK2486">
        <v>0</v>
      </c>
      <c r="AL2486" t="s">
        <v>4679</v>
      </c>
      <c r="AM2486">
        <v>46.923980999999998</v>
      </c>
      <c r="AN2486" t="s">
        <v>4680</v>
      </c>
      <c r="AO2486">
        <v>-123.272717</v>
      </c>
      <c r="AP2486">
        <v>100</v>
      </c>
      <c r="AQ2486">
        <v>1900</v>
      </c>
      <c r="AR2486" t="s">
        <v>118</v>
      </c>
      <c r="AS2486">
        <v>-63</v>
      </c>
      <c r="AT2486">
        <v>44</v>
      </c>
      <c r="AU2486">
        <v>64</v>
      </c>
      <c r="BC2486">
        <v>1200</v>
      </c>
      <c r="BD2486">
        <v>1</v>
      </c>
      <c r="BE2486" t="str">
        <f t="shared" si="116"/>
        <v xml:space="preserve">N215T   </v>
      </c>
      <c r="BF2486">
        <v>1</v>
      </c>
      <c r="BH2486">
        <v>0</v>
      </c>
      <c r="BI2486">
        <v>0</v>
      </c>
      <c r="BJ2486">
        <v>0</v>
      </c>
      <c r="BK2486">
        <v>2325</v>
      </c>
      <c r="BL2486">
        <v>425</v>
      </c>
      <c r="BM2486" t="s">
        <v>119</v>
      </c>
      <c r="BN2486">
        <v>1</v>
      </c>
      <c r="BO2486">
        <v>1</v>
      </c>
      <c r="BP2486">
        <v>1</v>
      </c>
      <c r="BQ2486">
        <v>0</v>
      </c>
      <c r="BT2486">
        <v>0</v>
      </c>
      <c r="BU2486">
        <v>0</v>
      </c>
      <c r="BV2486">
        <v>0</v>
      </c>
      <c r="CC2486" t="str">
        <f>"19:16:18.055"</f>
        <v>19:16:18.055</v>
      </c>
      <c r="CD2486" t="str">
        <f>"052923447"</f>
        <v>052923447</v>
      </c>
      <c r="CQ2486">
        <v>0</v>
      </c>
      <c r="CR2486">
        <v>2</v>
      </c>
      <c r="CS2486">
        <v>0</v>
      </c>
      <c r="CT2486">
        <v>2</v>
      </c>
      <c r="CU2486">
        <v>0</v>
      </c>
      <c r="CV2486">
        <v>7</v>
      </c>
      <c r="CW2486" t="s">
        <v>120</v>
      </c>
      <c r="CX2486">
        <v>261</v>
      </c>
      <c r="CY2486">
        <v>2</v>
      </c>
      <c r="CZ2486" t="s">
        <v>121</v>
      </c>
      <c r="DA2486" t="s">
        <v>122</v>
      </c>
      <c r="DD2486">
        <v>15786810</v>
      </c>
      <c r="DE2486" t="s">
        <v>123</v>
      </c>
    </row>
    <row r="2487" spans="1:109" x14ac:dyDescent="0.3">
      <c r="A2487" t="str">
        <f>"19:16:19.344"</f>
        <v>19:16:19.344</v>
      </c>
      <c r="B2487" t="s">
        <v>110</v>
      </c>
      <c r="C2487" t="str">
        <f t="shared" si="114"/>
        <v>ffdfd3c0</v>
      </c>
      <c r="D2487" t="s">
        <v>111</v>
      </c>
      <c r="E2487">
        <v>18</v>
      </c>
      <c r="F2487">
        <v>1018</v>
      </c>
      <c r="G2487" t="s">
        <v>112</v>
      </c>
      <c r="J2487" t="s">
        <v>113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R2487" t="s">
        <v>114</v>
      </c>
      <c r="S2487" t="str">
        <f>"19:16:19.102"</f>
        <v>19:16:19.102</v>
      </c>
      <c r="T2487" t="str">
        <f>"19:16:19.102"</f>
        <v>19:16:19.102</v>
      </c>
      <c r="U2487" t="str">
        <f t="shared" si="115"/>
        <v>a1cdbe</v>
      </c>
      <c r="V2487">
        <v>0</v>
      </c>
      <c r="W2487">
        <v>0</v>
      </c>
      <c r="X2487">
        <v>1</v>
      </c>
      <c r="Y2487">
        <v>0</v>
      </c>
      <c r="Z2487">
        <v>0</v>
      </c>
      <c r="AB2487">
        <v>0</v>
      </c>
      <c r="AC2487">
        <v>9</v>
      </c>
      <c r="AD2487">
        <v>3</v>
      </c>
      <c r="AE2487">
        <v>0</v>
      </c>
      <c r="AF2487">
        <v>9</v>
      </c>
      <c r="AG2487" t="s">
        <v>158</v>
      </c>
      <c r="AH2487">
        <v>0</v>
      </c>
      <c r="AI2487">
        <v>3</v>
      </c>
      <c r="AJ2487">
        <v>1</v>
      </c>
      <c r="AK2487">
        <v>0</v>
      </c>
      <c r="AL2487" t="s">
        <v>4681</v>
      </c>
      <c r="AM2487">
        <v>46.924194999999997</v>
      </c>
      <c r="AN2487" t="s">
        <v>4682</v>
      </c>
      <c r="AO2487">
        <v>-123.273146</v>
      </c>
      <c r="AP2487">
        <v>100</v>
      </c>
      <c r="AQ2487">
        <v>1900</v>
      </c>
      <c r="AR2487" t="s">
        <v>118</v>
      </c>
      <c r="AS2487">
        <v>-63</v>
      </c>
      <c r="AT2487">
        <v>44</v>
      </c>
      <c r="AU2487">
        <v>64</v>
      </c>
      <c r="BC2487">
        <v>1200</v>
      </c>
      <c r="BD2487">
        <v>1</v>
      </c>
      <c r="BE2487" t="str">
        <f t="shared" si="116"/>
        <v xml:space="preserve">N215T   </v>
      </c>
      <c r="BF2487">
        <v>1</v>
      </c>
      <c r="BH2487">
        <v>0</v>
      </c>
      <c r="BI2487">
        <v>0</v>
      </c>
      <c r="BJ2487">
        <v>0</v>
      </c>
      <c r="BK2487">
        <v>2325</v>
      </c>
      <c r="BL2487">
        <v>425</v>
      </c>
      <c r="BM2487" t="s">
        <v>119</v>
      </c>
      <c r="BN2487">
        <v>1</v>
      </c>
      <c r="BO2487">
        <v>1</v>
      </c>
      <c r="BP2487">
        <v>1</v>
      </c>
      <c r="BQ2487">
        <v>0</v>
      </c>
      <c r="BT2487">
        <v>0</v>
      </c>
      <c r="BU2487">
        <v>0</v>
      </c>
      <c r="BV2487">
        <v>0</v>
      </c>
      <c r="CC2487" t="str">
        <f>"19:16:19.102"</f>
        <v>19:16:19.102</v>
      </c>
      <c r="CD2487" t="str">
        <f>"102820003"</f>
        <v>102820003</v>
      </c>
      <c r="CQ2487">
        <v>0</v>
      </c>
      <c r="CR2487">
        <v>2</v>
      </c>
      <c r="CS2487">
        <v>0</v>
      </c>
      <c r="CT2487">
        <v>2</v>
      </c>
      <c r="CU2487">
        <v>0</v>
      </c>
      <c r="CV2487">
        <v>6</v>
      </c>
      <c r="CW2487" t="s">
        <v>120</v>
      </c>
      <c r="CX2487">
        <v>261</v>
      </c>
      <c r="CY2487">
        <v>2</v>
      </c>
      <c r="CZ2487" t="s">
        <v>121</v>
      </c>
      <c r="DA2487" t="s">
        <v>122</v>
      </c>
      <c r="DD2487">
        <v>15787574</v>
      </c>
      <c r="DE2487" t="s">
        <v>123</v>
      </c>
    </row>
    <row r="2488" spans="1:109" x14ac:dyDescent="0.3">
      <c r="A2488" t="str">
        <f>"19:16:20.352"</f>
        <v>19:16:20.352</v>
      </c>
      <c r="B2488" t="s">
        <v>110</v>
      </c>
      <c r="C2488" t="str">
        <f t="shared" si="114"/>
        <v>ffdfd3c0</v>
      </c>
      <c r="D2488" t="s">
        <v>111</v>
      </c>
      <c r="E2488">
        <v>18</v>
      </c>
      <c r="F2488">
        <v>1018</v>
      </c>
      <c r="G2488" t="s">
        <v>112</v>
      </c>
      <c r="J2488" t="s">
        <v>113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R2488" t="s">
        <v>114</v>
      </c>
      <c r="S2488" t="str">
        <f>"19:16:20.102"</f>
        <v>19:16:20.102</v>
      </c>
      <c r="T2488" t="str">
        <f>"19:16:19.898"</f>
        <v>19:16:19.898</v>
      </c>
      <c r="U2488" t="str">
        <f t="shared" si="115"/>
        <v>a1cdbe</v>
      </c>
      <c r="V2488">
        <v>0</v>
      </c>
      <c r="W2488">
        <v>0</v>
      </c>
      <c r="X2488">
        <v>1</v>
      </c>
      <c r="Y2488">
        <v>0</v>
      </c>
      <c r="Z2488">
        <v>0</v>
      </c>
      <c r="AB2488">
        <v>0</v>
      </c>
      <c r="AC2488">
        <v>9</v>
      </c>
      <c r="AD2488">
        <v>3</v>
      </c>
      <c r="AE2488">
        <v>0</v>
      </c>
      <c r="AF2488">
        <v>9</v>
      </c>
      <c r="AG2488" t="s">
        <v>158</v>
      </c>
      <c r="AH2488">
        <v>0</v>
      </c>
      <c r="AI2488">
        <v>3</v>
      </c>
      <c r="AJ2488">
        <v>1</v>
      </c>
      <c r="AK2488">
        <v>0</v>
      </c>
      <c r="AL2488" t="s">
        <v>4683</v>
      </c>
      <c r="AM2488">
        <v>46.924388</v>
      </c>
      <c r="AN2488" t="s">
        <v>4684</v>
      </c>
      <c r="AO2488">
        <v>-123.273597</v>
      </c>
      <c r="AP2488">
        <v>100</v>
      </c>
      <c r="AQ2488">
        <v>1900</v>
      </c>
      <c r="AR2488" t="s">
        <v>118</v>
      </c>
      <c r="AS2488">
        <v>-63</v>
      </c>
      <c r="AT2488">
        <v>44</v>
      </c>
      <c r="AU2488">
        <v>128</v>
      </c>
      <c r="BC2488">
        <v>1200</v>
      </c>
      <c r="BD2488">
        <v>1</v>
      </c>
      <c r="BE2488" t="str">
        <f t="shared" si="116"/>
        <v xml:space="preserve">N215T   </v>
      </c>
      <c r="BF2488">
        <v>1</v>
      </c>
      <c r="BH2488">
        <v>0</v>
      </c>
      <c r="BI2488">
        <v>0</v>
      </c>
      <c r="BJ2488">
        <v>0</v>
      </c>
      <c r="BK2488">
        <v>2325</v>
      </c>
      <c r="BL2488">
        <v>425</v>
      </c>
      <c r="BM2488" t="s">
        <v>119</v>
      </c>
      <c r="BN2488">
        <v>1</v>
      </c>
      <c r="BO2488">
        <v>1</v>
      </c>
      <c r="BP2488">
        <v>1</v>
      </c>
      <c r="BQ2488">
        <v>0</v>
      </c>
      <c r="BT2488">
        <v>0</v>
      </c>
      <c r="BU2488">
        <v>0</v>
      </c>
      <c r="BV2488">
        <v>0</v>
      </c>
      <c r="CC2488" t="str">
        <f>"19:16:20.109"</f>
        <v>19:16:20.109</v>
      </c>
      <c r="CD2488" t="str">
        <f>"107720993"</f>
        <v>107720993</v>
      </c>
      <c r="CQ2488">
        <v>0</v>
      </c>
      <c r="CR2488">
        <v>2</v>
      </c>
      <c r="CS2488">
        <v>0</v>
      </c>
      <c r="CT2488">
        <v>2</v>
      </c>
      <c r="CU2488">
        <v>0</v>
      </c>
      <c r="CV2488">
        <v>6</v>
      </c>
      <c r="CW2488" t="s">
        <v>120</v>
      </c>
      <c r="CX2488">
        <v>261</v>
      </c>
      <c r="CY2488">
        <v>2</v>
      </c>
      <c r="CZ2488" t="s">
        <v>121</v>
      </c>
      <c r="DA2488" t="s">
        <v>122</v>
      </c>
      <c r="DD2488">
        <v>15788269</v>
      </c>
      <c r="DE2488" t="s">
        <v>123</v>
      </c>
    </row>
    <row r="2489" spans="1:109" x14ac:dyDescent="0.3">
      <c r="A2489" t="str">
        <f>"19:16:21.203"</f>
        <v>19:16:21.203</v>
      </c>
      <c r="B2489" t="s">
        <v>110</v>
      </c>
      <c r="C2489" t="str">
        <f t="shared" si="114"/>
        <v>ffdfd3c0</v>
      </c>
      <c r="D2489" t="s">
        <v>111</v>
      </c>
      <c r="E2489">
        <v>18</v>
      </c>
      <c r="F2489">
        <v>1018</v>
      </c>
      <c r="G2489" t="s">
        <v>112</v>
      </c>
      <c r="J2489" t="s">
        <v>113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R2489" t="s">
        <v>114</v>
      </c>
      <c r="S2489" t="str">
        <f>"19:16:20.961"</f>
        <v>19:16:20.961</v>
      </c>
      <c r="T2489" t="str">
        <f>"19:16:20.461"</f>
        <v>19:16:20.461</v>
      </c>
      <c r="U2489" t="str">
        <f t="shared" si="115"/>
        <v>a1cdbe</v>
      </c>
      <c r="V2489">
        <v>0</v>
      </c>
      <c r="W2489">
        <v>0</v>
      </c>
      <c r="X2489">
        <v>1</v>
      </c>
      <c r="Y2489">
        <v>0</v>
      </c>
      <c r="Z2489">
        <v>0</v>
      </c>
      <c r="AB2489">
        <v>0</v>
      </c>
      <c r="AC2489">
        <v>9</v>
      </c>
      <c r="AD2489">
        <v>3</v>
      </c>
      <c r="AE2489">
        <v>0</v>
      </c>
      <c r="AF2489">
        <v>9</v>
      </c>
      <c r="AG2489" t="s">
        <v>158</v>
      </c>
      <c r="AH2489">
        <v>0</v>
      </c>
      <c r="AI2489">
        <v>3</v>
      </c>
      <c r="AJ2489">
        <v>1</v>
      </c>
      <c r="AK2489">
        <v>0</v>
      </c>
      <c r="AL2489" t="s">
        <v>4685</v>
      </c>
      <c r="AM2489">
        <v>46.924582000000001</v>
      </c>
      <c r="AN2489" t="s">
        <v>4686</v>
      </c>
      <c r="AO2489">
        <v>-123.27394</v>
      </c>
      <c r="AP2489">
        <v>100</v>
      </c>
      <c r="AQ2489">
        <v>1900</v>
      </c>
      <c r="AR2489" t="s">
        <v>118</v>
      </c>
      <c r="AS2489">
        <v>-63</v>
      </c>
      <c r="AT2489">
        <v>44</v>
      </c>
      <c r="AU2489">
        <v>128</v>
      </c>
      <c r="BC2489">
        <v>1200</v>
      </c>
      <c r="BD2489">
        <v>1</v>
      </c>
      <c r="BE2489" t="str">
        <f t="shared" si="116"/>
        <v xml:space="preserve">N215T   </v>
      </c>
      <c r="BF2489">
        <v>1</v>
      </c>
      <c r="BH2489">
        <v>0</v>
      </c>
      <c r="BI2489">
        <v>0</v>
      </c>
      <c r="BJ2489">
        <v>0</v>
      </c>
      <c r="BK2489">
        <v>2325</v>
      </c>
      <c r="BL2489">
        <v>425</v>
      </c>
      <c r="BM2489" t="s">
        <v>119</v>
      </c>
      <c r="BN2489">
        <v>1</v>
      </c>
      <c r="BO2489">
        <v>1</v>
      </c>
      <c r="BP2489">
        <v>1</v>
      </c>
      <c r="BQ2489">
        <v>0</v>
      </c>
      <c r="BT2489">
        <v>0</v>
      </c>
      <c r="BU2489">
        <v>0</v>
      </c>
      <c r="BV2489">
        <v>0</v>
      </c>
      <c r="CC2489" t="str">
        <f>"19:16:20.961"</f>
        <v>19:16:20.961</v>
      </c>
      <c r="CD2489" t="str">
        <f>"962636763"</f>
        <v>962636763</v>
      </c>
      <c r="CQ2489">
        <v>0</v>
      </c>
      <c r="CR2489">
        <v>2</v>
      </c>
      <c r="CS2489">
        <v>0</v>
      </c>
      <c r="CT2489">
        <v>2</v>
      </c>
      <c r="CU2489">
        <v>0</v>
      </c>
      <c r="CV2489">
        <v>6</v>
      </c>
      <c r="CW2489" t="s">
        <v>120</v>
      </c>
      <c r="CX2489">
        <v>261</v>
      </c>
      <c r="CY2489">
        <v>2</v>
      </c>
      <c r="CZ2489" t="s">
        <v>121</v>
      </c>
      <c r="DA2489" t="s">
        <v>122</v>
      </c>
      <c r="DD2489">
        <v>15788848</v>
      </c>
      <c r="DE2489" t="s">
        <v>123</v>
      </c>
    </row>
    <row r="2490" spans="1:109" x14ac:dyDescent="0.3">
      <c r="A2490" t="str">
        <f>"19:16:22.164"</f>
        <v>19:16:22.164</v>
      </c>
      <c r="B2490" t="s">
        <v>110</v>
      </c>
      <c r="C2490" t="str">
        <f t="shared" si="114"/>
        <v>ffdfd3c0</v>
      </c>
      <c r="D2490" t="s">
        <v>111</v>
      </c>
      <c r="E2490">
        <v>18</v>
      </c>
      <c r="F2490">
        <v>1018</v>
      </c>
      <c r="G2490" t="s">
        <v>112</v>
      </c>
      <c r="J2490" t="s">
        <v>113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R2490" t="s">
        <v>114</v>
      </c>
      <c r="S2490" t="str">
        <f>"19:16:21.938"</f>
        <v>19:16:21.938</v>
      </c>
      <c r="T2490" t="str">
        <f>"19:16:21.539"</f>
        <v>19:16:21.539</v>
      </c>
      <c r="U2490" t="str">
        <f t="shared" si="115"/>
        <v>a1cdbe</v>
      </c>
      <c r="V2490">
        <v>0</v>
      </c>
      <c r="W2490">
        <v>0</v>
      </c>
      <c r="X2490">
        <v>1</v>
      </c>
      <c r="Y2490">
        <v>0</v>
      </c>
      <c r="Z2490">
        <v>0</v>
      </c>
      <c r="AB2490">
        <v>0</v>
      </c>
      <c r="AC2490">
        <v>9</v>
      </c>
      <c r="AD2490">
        <v>3</v>
      </c>
      <c r="AE2490">
        <v>0</v>
      </c>
      <c r="AF2490">
        <v>9</v>
      </c>
      <c r="AG2490" t="s">
        <v>158</v>
      </c>
      <c r="AH2490">
        <v>0</v>
      </c>
      <c r="AI2490">
        <v>3</v>
      </c>
      <c r="AJ2490">
        <v>1</v>
      </c>
      <c r="AK2490">
        <v>0</v>
      </c>
      <c r="AL2490" t="s">
        <v>4687</v>
      </c>
      <c r="AM2490">
        <v>46.924796000000001</v>
      </c>
      <c r="AN2490" t="s">
        <v>4688</v>
      </c>
      <c r="AO2490">
        <v>-123.274348</v>
      </c>
      <c r="AP2490">
        <v>100</v>
      </c>
      <c r="AQ2490">
        <v>1900</v>
      </c>
      <c r="AR2490" t="s">
        <v>118</v>
      </c>
      <c r="AS2490">
        <v>-62</v>
      </c>
      <c r="AT2490">
        <v>44</v>
      </c>
      <c r="AU2490">
        <v>128</v>
      </c>
      <c r="BC2490">
        <v>1200</v>
      </c>
      <c r="BD2490">
        <v>1</v>
      </c>
      <c r="BE2490" t="str">
        <f t="shared" si="116"/>
        <v xml:space="preserve">N215T   </v>
      </c>
      <c r="BF2490">
        <v>1</v>
      </c>
      <c r="BH2490">
        <v>0</v>
      </c>
      <c r="BI2490">
        <v>0</v>
      </c>
      <c r="BJ2490">
        <v>0</v>
      </c>
      <c r="BK2490">
        <v>2325</v>
      </c>
      <c r="BL2490">
        <v>425</v>
      </c>
      <c r="BM2490" t="s">
        <v>119</v>
      </c>
      <c r="BN2490">
        <v>1</v>
      </c>
      <c r="BO2490">
        <v>1</v>
      </c>
      <c r="BP2490">
        <v>1</v>
      </c>
      <c r="BQ2490">
        <v>0</v>
      </c>
      <c r="BT2490">
        <v>0</v>
      </c>
      <c r="BU2490">
        <v>0</v>
      </c>
      <c r="BV2490">
        <v>0</v>
      </c>
      <c r="CC2490" t="str">
        <f>"19:16:21.938"</f>
        <v>19:16:21.938</v>
      </c>
      <c r="CD2490" t="str">
        <f>"937540717"</f>
        <v>937540717</v>
      </c>
      <c r="CQ2490">
        <v>0</v>
      </c>
      <c r="CR2490">
        <v>2</v>
      </c>
      <c r="CS2490">
        <v>0</v>
      </c>
      <c r="CT2490">
        <v>2</v>
      </c>
      <c r="CU2490">
        <v>0</v>
      </c>
      <c r="CV2490">
        <v>7</v>
      </c>
      <c r="CW2490" t="s">
        <v>120</v>
      </c>
      <c r="CX2490">
        <v>261</v>
      </c>
      <c r="CY2490">
        <v>2</v>
      </c>
      <c r="CZ2490" t="s">
        <v>121</v>
      </c>
      <c r="DA2490" t="s">
        <v>122</v>
      </c>
      <c r="DD2490">
        <v>15789463</v>
      </c>
      <c r="DE2490" t="s">
        <v>123</v>
      </c>
    </row>
    <row r="2491" spans="1:109" x14ac:dyDescent="0.3">
      <c r="A2491" t="str">
        <f>"19:16:23.117"</f>
        <v>19:16:23.117</v>
      </c>
      <c r="B2491" t="s">
        <v>110</v>
      </c>
      <c r="C2491" t="str">
        <f t="shared" si="114"/>
        <v>ffdfd3c0</v>
      </c>
      <c r="D2491" t="s">
        <v>111</v>
      </c>
      <c r="E2491">
        <v>18</v>
      </c>
      <c r="F2491">
        <v>1018</v>
      </c>
      <c r="G2491" t="s">
        <v>112</v>
      </c>
      <c r="J2491" t="s">
        <v>113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R2491" t="s">
        <v>114</v>
      </c>
      <c r="S2491" t="str">
        <f>"19:16:22.867"</f>
        <v>19:16:22.867</v>
      </c>
      <c r="T2491" t="str">
        <f>"19:16:22.867"</f>
        <v>19:16:22.867</v>
      </c>
      <c r="U2491" t="str">
        <f t="shared" si="115"/>
        <v>a1cdbe</v>
      </c>
      <c r="V2491">
        <v>0</v>
      </c>
      <c r="W2491">
        <v>0</v>
      </c>
      <c r="X2491">
        <v>1</v>
      </c>
      <c r="Y2491">
        <v>0</v>
      </c>
      <c r="Z2491">
        <v>0</v>
      </c>
      <c r="AB2491">
        <v>0</v>
      </c>
      <c r="AC2491">
        <v>9</v>
      </c>
      <c r="AD2491">
        <v>3</v>
      </c>
      <c r="AE2491">
        <v>0</v>
      </c>
      <c r="AF2491">
        <v>9</v>
      </c>
      <c r="AG2491" t="s">
        <v>158</v>
      </c>
      <c r="AH2491">
        <v>0</v>
      </c>
      <c r="AI2491">
        <v>3</v>
      </c>
      <c r="AJ2491">
        <v>1</v>
      </c>
      <c r="AK2491">
        <v>0</v>
      </c>
      <c r="AL2491" t="s">
        <v>4689</v>
      </c>
      <c r="AM2491">
        <v>46.924988999999997</v>
      </c>
      <c r="AN2491" t="s">
        <v>4690</v>
      </c>
      <c r="AO2491">
        <v>-123.274777</v>
      </c>
      <c r="AP2491">
        <v>100</v>
      </c>
      <c r="AQ2491">
        <v>1900</v>
      </c>
      <c r="AR2491" t="s">
        <v>118</v>
      </c>
      <c r="AS2491">
        <v>-62</v>
      </c>
      <c r="AT2491">
        <v>43</v>
      </c>
      <c r="AU2491">
        <v>128</v>
      </c>
      <c r="BC2491">
        <v>1200</v>
      </c>
      <c r="BD2491">
        <v>1</v>
      </c>
      <c r="BE2491" t="str">
        <f t="shared" si="116"/>
        <v xml:space="preserve">N215T   </v>
      </c>
      <c r="BF2491">
        <v>1</v>
      </c>
      <c r="BH2491">
        <v>0</v>
      </c>
      <c r="BI2491">
        <v>0</v>
      </c>
      <c r="BJ2491">
        <v>0</v>
      </c>
      <c r="BK2491">
        <v>2325</v>
      </c>
      <c r="BL2491">
        <v>425</v>
      </c>
      <c r="BM2491" t="s">
        <v>119</v>
      </c>
      <c r="BN2491">
        <v>1</v>
      </c>
      <c r="BO2491">
        <v>1</v>
      </c>
      <c r="BP2491">
        <v>1</v>
      </c>
      <c r="BQ2491">
        <v>0</v>
      </c>
      <c r="BT2491">
        <v>0</v>
      </c>
      <c r="BU2491">
        <v>0</v>
      </c>
      <c r="BV2491">
        <v>0</v>
      </c>
      <c r="CC2491" t="str">
        <f>"19:16:22.867"</f>
        <v>19:16:22.867</v>
      </c>
      <c r="CD2491" t="str">
        <f>"867449098"</f>
        <v>867449098</v>
      </c>
      <c r="CQ2491">
        <v>0</v>
      </c>
      <c r="CR2491">
        <v>2</v>
      </c>
      <c r="CS2491">
        <v>0</v>
      </c>
      <c r="CT2491">
        <v>2</v>
      </c>
      <c r="CU2491">
        <v>0</v>
      </c>
      <c r="CV2491">
        <v>7</v>
      </c>
      <c r="CW2491" t="s">
        <v>120</v>
      </c>
      <c r="CX2491">
        <v>261</v>
      </c>
      <c r="CY2491">
        <v>2</v>
      </c>
      <c r="CZ2491" t="s">
        <v>121</v>
      </c>
      <c r="DA2491" t="s">
        <v>122</v>
      </c>
      <c r="DD2491">
        <v>15790087</v>
      </c>
      <c r="DE2491" t="s">
        <v>123</v>
      </c>
    </row>
    <row r="2492" spans="1:109" x14ac:dyDescent="0.3">
      <c r="A2492" t="str">
        <f>"19:16:24.070"</f>
        <v>19:16:24.070</v>
      </c>
      <c r="B2492" t="s">
        <v>110</v>
      </c>
      <c r="C2492" t="str">
        <f t="shared" si="114"/>
        <v>ffdfd3c0</v>
      </c>
      <c r="D2492" t="s">
        <v>111</v>
      </c>
      <c r="E2492">
        <v>18</v>
      </c>
      <c r="F2492">
        <v>1018</v>
      </c>
      <c r="G2492" t="s">
        <v>112</v>
      </c>
      <c r="J2492" t="s">
        <v>113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R2492" t="s">
        <v>114</v>
      </c>
      <c r="S2492" t="str">
        <f>"19:16:23.852"</f>
        <v>19:16:23.852</v>
      </c>
      <c r="T2492" t="str">
        <f>"19:16:23.852"</f>
        <v>19:16:23.852</v>
      </c>
      <c r="U2492" t="str">
        <f t="shared" si="115"/>
        <v>a1cdbe</v>
      </c>
      <c r="V2492">
        <v>0</v>
      </c>
      <c r="W2492">
        <v>0</v>
      </c>
      <c r="X2492">
        <v>1</v>
      </c>
      <c r="Y2492">
        <v>0</v>
      </c>
      <c r="Z2492">
        <v>0</v>
      </c>
      <c r="AB2492">
        <v>0</v>
      </c>
      <c r="AC2492">
        <v>9</v>
      </c>
      <c r="AD2492">
        <v>3</v>
      </c>
      <c r="AE2492">
        <v>0</v>
      </c>
      <c r="AF2492">
        <v>9</v>
      </c>
      <c r="AG2492" t="s">
        <v>158</v>
      </c>
      <c r="AH2492">
        <v>0</v>
      </c>
      <c r="AI2492">
        <v>3</v>
      </c>
      <c r="AJ2492">
        <v>1</v>
      </c>
      <c r="AK2492">
        <v>0</v>
      </c>
      <c r="AL2492" t="s">
        <v>1247</v>
      </c>
      <c r="AM2492">
        <v>46.925161000000003</v>
      </c>
      <c r="AN2492" t="s">
        <v>4691</v>
      </c>
      <c r="AO2492">
        <v>-123.27518499999999</v>
      </c>
      <c r="AP2492">
        <v>100</v>
      </c>
      <c r="AQ2492">
        <v>1900</v>
      </c>
      <c r="AR2492" t="s">
        <v>118</v>
      </c>
      <c r="AS2492">
        <v>-62</v>
      </c>
      <c r="AT2492">
        <v>43</v>
      </c>
      <c r="AU2492">
        <v>128</v>
      </c>
      <c r="BC2492">
        <v>1200</v>
      </c>
      <c r="BD2492">
        <v>1</v>
      </c>
      <c r="BE2492" t="str">
        <f t="shared" si="116"/>
        <v xml:space="preserve">N215T   </v>
      </c>
      <c r="BF2492">
        <v>1</v>
      </c>
      <c r="BH2492">
        <v>0</v>
      </c>
      <c r="BI2492">
        <v>0</v>
      </c>
      <c r="BJ2492">
        <v>0</v>
      </c>
      <c r="BK2492">
        <v>2325</v>
      </c>
      <c r="BL2492">
        <v>425</v>
      </c>
      <c r="BM2492" t="s">
        <v>119</v>
      </c>
      <c r="BN2492">
        <v>1</v>
      </c>
      <c r="BO2492">
        <v>1</v>
      </c>
      <c r="BP2492">
        <v>1</v>
      </c>
      <c r="BQ2492">
        <v>0</v>
      </c>
      <c r="BT2492">
        <v>0</v>
      </c>
      <c r="BU2492">
        <v>0</v>
      </c>
      <c r="BV2492">
        <v>0</v>
      </c>
      <c r="CC2492" t="str">
        <f>"19:16:23.859"</f>
        <v>19:16:23.859</v>
      </c>
      <c r="CD2492" t="str">
        <f>"857351564"</f>
        <v>857351564</v>
      </c>
      <c r="CQ2492">
        <v>0</v>
      </c>
      <c r="CR2492">
        <v>2</v>
      </c>
      <c r="CS2492">
        <v>0</v>
      </c>
      <c r="CT2492">
        <v>2</v>
      </c>
      <c r="CU2492">
        <v>0</v>
      </c>
      <c r="CV2492">
        <v>7</v>
      </c>
      <c r="CW2492" t="s">
        <v>120</v>
      </c>
      <c r="CX2492">
        <v>261</v>
      </c>
      <c r="CY2492">
        <v>2</v>
      </c>
      <c r="CZ2492" t="s">
        <v>121</v>
      </c>
      <c r="DA2492" t="s">
        <v>122</v>
      </c>
      <c r="DD2492">
        <v>15790821</v>
      </c>
      <c r="DE2492" t="s">
        <v>123</v>
      </c>
    </row>
    <row r="2493" spans="1:109" x14ac:dyDescent="0.3">
      <c r="A2493" t="str">
        <f>"19:16:25.180"</f>
        <v>19:16:25.180</v>
      </c>
      <c r="B2493" t="s">
        <v>110</v>
      </c>
      <c r="C2493" t="str">
        <f t="shared" si="114"/>
        <v>ffdfd3c0</v>
      </c>
      <c r="D2493" t="s">
        <v>111</v>
      </c>
      <c r="E2493">
        <v>18</v>
      </c>
      <c r="F2493">
        <v>1018</v>
      </c>
      <c r="G2493" t="s">
        <v>112</v>
      </c>
      <c r="J2493" t="s">
        <v>113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R2493" t="s">
        <v>114</v>
      </c>
      <c r="S2493" t="str">
        <f>"19:16:24.922"</f>
        <v>19:16:24.922</v>
      </c>
      <c r="T2493" t="str">
        <f>"19:16:24.523"</f>
        <v>19:16:24.523</v>
      </c>
      <c r="U2493" t="str">
        <f t="shared" si="115"/>
        <v>a1cdbe</v>
      </c>
      <c r="V2493">
        <v>0</v>
      </c>
      <c r="W2493">
        <v>0</v>
      </c>
      <c r="X2493">
        <v>1</v>
      </c>
      <c r="Y2493">
        <v>0</v>
      </c>
      <c r="Z2493">
        <v>0</v>
      </c>
      <c r="AB2493">
        <v>0</v>
      </c>
      <c r="AC2493">
        <v>9</v>
      </c>
      <c r="AD2493">
        <v>3</v>
      </c>
      <c r="AE2493">
        <v>0</v>
      </c>
      <c r="AF2493">
        <v>9</v>
      </c>
      <c r="AG2493" t="s">
        <v>158</v>
      </c>
      <c r="AH2493">
        <v>0</v>
      </c>
      <c r="AI2493">
        <v>3</v>
      </c>
      <c r="AJ2493">
        <v>1</v>
      </c>
      <c r="AK2493">
        <v>0</v>
      </c>
      <c r="AL2493" t="s">
        <v>4692</v>
      </c>
      <c r="AM2493">
        <v>46.925396999999997</v>
      </c>
      <c r="AN2493" t="s">
        <v>4693</v>
      </c>
      <c r="AO2493">
        <v>-123.275657</v>
      </c>
      <c r="AP2493">
        <v>100</v>
      </c>
      <c r="AQ2493">
        <v>1900</v>
      </c>
      <c r="AR2493" t="s">
        <v>118</v>
      </c>
      <c r="AS2493">
        <v>-62</v>
      </c>
      <c r="AT2493">
        <v>43</v>
      </c>
      <c r="AU2493">
        <v>64</v>
      </c>
      <c r="BC2493">
        <v>1200</v>
      </c>
      <c r="BD2493">
        <v>1</v>
      </c>
      <c r="BE2493" t="str">
        <f t="shared" si="116"/>
        <v xml:space="preserve">N215T   </v>
      </c>
      <c r="BF2493">
        <v>1</v>
      </c>
      <c r="BH2493">
        <v>0</v>
      </c>
      <c r="BI2493">
        <v>0</v>
      </c>
      <c r="BJ2493">
        <v>0</v>
      </c>
      <c r="BK2493">
        <v>2325</v>
      </c>
      <c r="BL2493">
        <v>425</v>
      </c>
      <c r="BM2493" t="s">
        <v>119</v>
      </c>
      <c r="BN2493">
        <v>1</v>
      </c>
      <c r="BO2493">
        <v>1</v>
      </c>
      <c r="BP2493">
        <v>1</v>
      </c>
      <c r="BQ2493">
        <v>0</v>
      </c>
      <c r="BT2493">
        <v>0</v>
      </c>
      <c r="BU2493">
        <v>0</v>
      </c>
      <c r="BV2493">
        <v>0</v>
      </c>
      <c r="CC2493" t="str">
        <f>"19:16:24.922"</f>
        <v>19:16:24.922</v>
      </c>
      <c r="CD2493" t="str">
        <f>"922246649"</f>
        <v>922246649</v>
      </c>
      <c r="CQ2493">
        <v>0</v>
      </c>
      <c r="CR2493">
        <v>2</v>
      </c>
      <c r="CS2493">
        <v>0</v>
      </c>
      <c r="CT2493">
        <v>2</v>
      </c>
      <c r="CU2493">
        <v>0</v>
      </c>
      <c r="CV2493">
        <v>7</v>
      </c>
      <c r="CW2493" t="s">
        <v>120</v>
      </c>
      <c r="CX2493">
        <v>261</v>
      </c>
      <c r="CY2493">
        <v>2</v>
      </c>
      <c r="CZ2493" t="s">
        <v>121</v>
      </c>
      <c r="DA2493" t="s">
        <v>122</v>
      </c>
      <c r="DD2493">
        <v>15791584</v>
      </c>
      <c r="DE2493" t="s">
        <v>123</v>
      </c>
    </row>
    <row r="2494" spans="1:109" x14ac:dyDescent="0.3">
      <c r="A2494" t="str">
        <f>"19:16:26.281"</f>
        <v>19:16:26.281</v>
      </c>
      <c r="B2494" t="s">
        <v>110</v>
      </c>
      <c r="C2494" t="str">
        <f t="shared" si="114"/>
        <v>ffdfd3c0</v>
      </c>
      <c r="D2494" t="s">
        <v>111</v>
      </c>
      <c r="E2494">
        <v>18</v>
      </c>
      <c r="F2494">
        <v>1018</v>
      </c>
      <c r="G2494" t="s">
        <v>112</v>
      </c>
      <c r="J2494" t="s">
        <v>113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R2494" t="s">
        <v>114</v>
      </c>
      <c r="S2494" t="str">
        <f>"19:16:26.016"</f>
        <v>19:16:26.016</v>
      </c>
      <c r="T2494" t="str">
        <f>"19:16:26.016"</f>
        <v>19:16:26.016</v>
      </c>
      <c r="U2494" t="str">
        <f t="shared" si="115"/>
        <v>a1cdbe</v>
      </c>
      <c r="V2494">
        <v>0</v>
      </c>
      <c r="W2494">
        <v>0</v>
      </c>
      <c r="X2494">
        <v>1</v>
      </c>
      <c r="Y2494">
        <v>0</v>
      </c>
      <c r="Z2494">
        <v>0</v>
      </c>
      <c r="AB2494">
        <v>0</v>
      </c>
      <c r="AC2494">
        <v>9</v>
      </c>
      <c r="AD2494">
        <v>3</v>
      </c>
      <c r="AE2494">
        <v>0</v>
      </c>
      <c r="AF2494">
        <v>9</v>
      </c>
      <c r="AG2494" t="s">
        <v>158</v>
      </c>
      <c r="AH2494">
        <v>0</v>
      </c>
      <c r="AI2494">
        <v>3</v>
      </c>
      <c r="AJ2494">
        <v>1</v>
      </c>
      <c r="AK2494">
        <v>0</v>
      </c>
      <c r="AL2494" t="s">
        <v>4694</v>
      </c>
      <c r="AM2494">
        <v>46.92559</v>
      </c>
      <c r="AN2494" t="s">
        <v>4695</v>
      </c>
      <c r="AO2494">
        <v>-123.27608600000001</v>
      </c>
      <c r="AP2494">
        <v>100</v>
      </c>
      <c r="AQ2494">
        <v>1900</v>
      </c>
      <c r="AR2494" t="s">
        <v>118</v>
      </c>
      <c r="AS2494">
        <v>-63</v>
      </c>
      <c r="AT2494">
        <v>42</v>
      </c>
      <c r="AU2494">
        <v>64</v>
      </c>
      <c r="BC2494">
        <v>1200</v>
      </c>
      <c r="BD2494">
        <v>1</v>
      </c>
      <c r="BE2494" t="str">
        <f t="shared" si="116"/>
        <v xml:space="preserve">N215T   </v>
      </c>
      <c r="BF2494">
        <v>1</v>
      </c>
      <c r="BH2494">
        <v>0</v>
      </c>
      <c r="BI2494">
        <v>0</v>
      </c>
      <c r="BJ2494">
        <v>0</v>
      </c>
      <c r="BK2494">
        <v>2325</v>
      </c>
      <c r="BL2494">
        <v>425</v>
      </c>
      <c r="BM2494" t="s">
        <v>119</v>
      </c>
      <c r="BN2494">
        <v>1</v>
      </c>
      <c r="BO2494">
        <v>1</v>
      </c>
      <c r="BP2494">
        <v>1</v>
      </c>
      <c r="BQ2494">
        <v>0</v>
      </c>
      <c r="BT2494">
        <v>0</v>
      </c>
      <c r="BU2494">
        <v>0</v>
      </c>
      <c r="BV2494">
        <v>0</v>
      </c>
      <c r="CC2494" t="str">
        <f>"19:16:26.016"</f>
        <v>19:16:26.016</v>
      </c>
      <c r="CD2494" t="str">
        <f>"017138783"</f>
        <v>017138783</v>
      </c>
      <c r="CQ2494">
        <v>0</v>
      </c>
      <c r="CR2494">
        <v>2</v>
      </c>
      <c r="CS2494">
        <v>0</v>
      </c>
      <c r="CT2494">
        <v>2</v>
      </c>
      <c r="CU2494">
        <v>0</v>
      </c>
      <c r="CV2494">
        <v>7</v>
      </c>
      <c r="CW2494" t="s">
        <v>120</v>
      </c>
      <c r="CX2494">
        <v>261</v>
      </c>
      <c r="CY2494">
        <v>2</v>
      </c>
      <c r="CZ2494" t="s">
        <v>121</v>
      </c>
      <c r="DA2494" t="s">
        <v>122</v>
      </c>
      <c r="DD2494">
        <v>15792312</v>
      </c>
      <c r="DE2494" t="s">
        <v>123</v>
      </c>
    </row>
    <row r="2495" spans="1:109" x14ac:dyDescent="0.3">
      <c r="A2495" t="str">
        <f>"19:16:27.289"</f>
        <v>19:16:27.289</v>
      </c>
      <c r="B2495" t="s">
        <v>110</v>
      </c>
      <c r="C2495" t="str">
        <f t="shared" si="114"/>
        <v>ffdfd3c0</v>
      </c>
      <c r="D2495" t="s">
        <v>111</v>
      </c>
      <c r="E2495">
        <v>18</v>
      </c>
      <c r="F2495">
        <v>1018</v>
      </c>
      <c r="G2495" t="s">
        <v>112</v>
      </c>
      <c r="J2495" t="s">
        <v>113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R2495" t="s">
        <v>114</v>
      </c>
      <c r="S2495" t="str">
        <f>"19:16:27.016"</f>
        <v>19:16:27.016</v>
      </c>
      <c r="T2495" t="str">
        <f>"19:16:27.016"</f>
        <v>19:16:27.016</v>
      </c>
      <c r="U2495" t="str">
        <f t="shared" si="115"/>
        <v>a1cdbe</v>
      </c>
      <c r="V2495">
        <v>0</v>
      </c>
      <c r="W2495">
        <v>0</v>
      </c>
      <c r="X2495">
        <v>1</v>
      </c>
      <c r="Y2495">
        <v>0</v>
      </c>
      <c r="Z2495">
        <v>0</v>
      </c>
      <c r="AB2495">
        <v>0</v>
      </c>
      <c r="AC2495">
        <v>9</v>
      </c>
      <c r="AD2495">
        <v>3</v>
      </c>
      <c r="AE2495">
        <v>0</v>
      </c>
      <c r="AF2495">
        <v>9</v>
      </c>
      <c r="AG2495" t="s">
        <v>158</v>
      </c>
      <c r="AH2495">
        <v>0</v>
      </c>
      <c r="AI2495">
        <v>3</v>
      </c>
      <c r="AJ2495">
        <v>1</v>
      </c>
      <c r="AK2495">
        <v>0</v>
      </c>
      <c r="AL2495" t="s">
        <v>4696</v>
      </c>
      <c r="AM2495">
        <v>46.925783000000003</v>
      </c>
      <c r="AN2495" t="s">
        <v>4697</v>
      </c>
      <c r="AO2495">
        <v>-123.27653599999999</v>
      </c>
      <c r="AP2495">
        <v>100</v>
      </c>
      <c r="AQ2495">
        <v>1900</v>
      </c>
      <c r="AR2495" t="s">
        <v>118</v>
      </c>
      <c r="AS2495">
        <v>-63</v>
      </c>
      <c r="AT2495">
        <v>42</v>
      </c>
      <c r="AU2495">
        <v>64</v>
      </c>
      <c r="BC2495">
        <v>1200</v>
      </c>
      <c r="BD2495">
        <v>1</v>
      </c>
      <c r="BE2495" t="str">
        <f t="shared" si="116"/>
        <v xml:space="preserve">N215T   </v>
      </c>
      <c r="BF2495">
        <v>1</v>
      </c>
      <c r="BH2495">
        <v>0</v>
      </c>
      <c r="BI2495">
        <v>0</v>
      </c>
      <c r="BJ2495">
        <v>0</v>
      </c>
      <c r="BK2495">
        <v>2325</v>
      </c>
      <c r="BL2495">
        <v>425</v>
      </c>
      <c r="BM2495" t="s">
        <v>119</v>
      </c>
      <c r="BN2495">
        <v>1</v>
      </c>
      <c r="BO2495">
        <v>1</v>
      </c>
      <c r="BP2495">
        <v>1</v>
      </c>
      <c r="BQ2495">
        <v>0</v>
      </c>
      <c r="BT2495">
        <v>0</v>
      </c>
      <c r="BU2495">
        <v>0</v>
      </c>
      <c r="BV2495">
        <v>0</v>
      </c>
      <c r="CC2495" t="str">
        <f>"19:16:27.023"</f>
        <v>19:16:27.023</v>
      </c>
      <c r="CD2495" t="str">
        <f>"022039781"</f>
        <v>022039781</v>
      </c>
      <c r="CQ2495">
        <v>0</v>
      </c>
      <c r="CR2495">
        <v>2</v>
      </c>
      <c r="CS2495">
        <v>0</v>
      </c>
      <c r="CT2495">
        <v>2</v>
      </c>
      <c r="CU2495">
        <v>0</v>
      </c>
      <c r="CV2495">
        <v>7</v>
      </c>
      <c r="CW2495" t="s">
        <v>120</v>
      </c>
      <c r="CX2495">
        <v>261</v>
      </c>
      <c r="CY2495">
        <v>2</v>
      </c>
      <c r="CZ2495" t="s">
        <v>121</v>
      </c>
      <c r="DA2495" t="s">
        <v>122</v>
      </c>
      <c r="DD2495">
        <v>15792952</v>
      </c>
      <c r="DE2495" t="s">
        <v>123</v>
      </c>
    </row>
    <row r="2496" spans="1:109" x14ac:dyDescent="0.3">
      <c r="A2496" t="str">
        <f>"19:16:28.289"</f>
        <v>19:16:28.289</v>
      </c>
      <c r="B2496" t="s">
        <v>110</v>
      </c>
      <c r="C2496" t="str">
        <f t="shared" si="114"/>
        <v>ffdfd3c0</v>
      </c>
      <c r="D2496" t="s">
        <v>111</v>
      </c>
      <c r="E2496">
        <v>18</v>
      </c>
      <c r="F2496">
        <v>1018</v>
      </c>
      <c r="G2496" t="s">
        <v>112</v>
      </c>
      <c r="J2496" t="s">
        <v>113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R2496" t="s">
        <v>114</v>
      </c>
      <c r="S2496" t="str">
        <f>"19:16:28.102"</f>
        <v>19:16:28.102</v>
      </c>
      <c r="T2496" t="str">
        <f>"19:16:28.000"</f>
        <v>19:16:28.000</v>
      </c>
      <c r="U2496" t="str">
        <f t="shared" si="115"/>
        <v>a1cdbe</v>
      </c>
      <c r="V2496">
        <v>0</v>
      </c>
      <c r="W2496">
        <v>0</v>
      </c>
      <c r="X2496">
        <v>1</v>
      </c>
      <c r="Y2496">
        <v>0</v>
      </c>
      <c r="Z2496">
        <v>0</v>
      </c>
      <c r="AB2496">
        <v>0</v>
      </c>
      <c r="AC2496">
        <v>9</v>
      </c>
      <c r="AD2496">
        <v>3</v>
      </c>
      <c r="AE2496">
        <v>0</v>
      </c>
      <c r="AF2496">
        <v>9</v>
      </c>
      <c r="AG2496" t="s">
        <v>158</v>
      </c>
      <c r="AH2496">
        <v>0</v>
      </c>
      <c r="AI2496">
        <v>3</v>
      </c>
      <c r="AJ2496">
        <v>1</v>
      </c>
      <c r="AK2496">
        <v>0</v>
      </c>
      <c r="AL2496" t="s">
        <v>4698</v>
      </c>
      <c r="AM2496">
        <v>46.925998</v>
      </c>
      <c r="AN2496" t="s">
        <v>4699</v>
      </c>
      <c r="AO2496">
        <v>-123.276966</v>
      </c>
      <c r="AP2496">
        <v>100</v>
      </c>
      <c r="AQ2496">
        <v>1900</v>
      </c>
      <c r="AR2496" t="s">
        <v>118</v>
      </c>
      <c r="AS2496">
        <v>-63</v>
      </c>
      <c r="AT2496">
        <v>41</v>
      </c>
      <c r="AU2496">
        <v>64</v>
      </c>
      <c r="BC2496">
        <v>1200</v>
      </c>
      <c r="BD2496">
        <v>1</v>
      </c>
      <c r="BE2496" t="str">
        <f t="shared" si="116"/>
        <v xml:space="preserve">N215T   </v>
      </c>
      <c r="BF2496">
        <v>1</v>
      </c>
      <c r="BH2496">
        <v>0</v>
      </c>
      <c r="BI2496">
        <v>0</v>
      </c>
      <c r="BJ2496">
        <v>0</v>
      </c>
      <c r="BK2496">
        <v>2325</v>
      </c>
      <c r="BL2496">
        <v>425</v>
      </c>
      <c r="BM2496" t="s">
        <v>119</v>
      </c>
      <c r="BN2496">
        <v>1</v>
      </c>
      <c r="BO2496">
        <v>1</v>
      </c>
      <c r="BP2496">
        <v>1</v>
      </c>
      <c r="BQ2496">
        <v>0</v>
      </c>
      <c r="BT2496">
        <v>0</v>
      </c>
      <c r="BU2496">
        <v>0</v>
      </c>
      <c r="BV2496">
        <v>0</v>
      </c>
      <c r="CC2496" t="str">
        <f>"19:16:28.102"</f>
        <v>19:16:28.102</v>
      </c>
      <c r="CD2496" t="str">
        <f>"101933388"</f>
        <v>101933388</v>
      </c>
      <c r="CQ2496">
        <v>0</v>
      </c>
      <c r="CR2496">
        <v>2</v>
      </c>
      <c r="CS2496">
        <v>0</v>
      </c>
      <c r="CT2496">
        <v>2</v>
      </c>
      <c r="CU2496">
        <v>0</v>
      </c>
      <c r="CV2496">
        <v>7</v>
      </c>
      <c r="CW2496" t="s">
        <v>120</v>
      </c>
      <c r="CX2496">
        <v>261</v>
      </c>
      <c r="CY2496">
        <v>2</v>
      </c>
      <c r="CZ2496" t="s">
        <v>121</v>
      </c>
      <c r="DA2496" t="s">
        <v>122</v>
      </c>
      <c r="DD2496">
        <v>15793689</v>
      </c>
      <c r="DE2496" t="s">
        <v>123</v>
      </c>
    </row>
    <row r="2497" spans="1:109" x14ac:dyDescent="0.3">
      <c r="A2497" t="str">
        <f>"19:16:29.297"</f>
        <v>19:16:29.297</v>
      </c>
      <c r="B2497" t="s">
        <v>110</v>
      </c>
      <c r="C2497" t="str">
        <f t="shared" si="114"/>
        <v>ffdfd3c0</v>
      </c>
      <c r="D2497" t="s">
        <v>111</v>
      </c>
      <c r="E2497">
        <v>18</v>
      </c>
      <c r="F2497">
        <v>1018</v>
      </c>
      <c r="G2497" t="s">
        <v>112</v>
      </c>
      <c r="J2497" t="s">
        <v>113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R2497" t="s">
        <v>114</v>
      </c>
      <c r="S2497" t="str">
        <f>"19:16:29.055"</f>
        <v>19:16:29.055</v>
      </c>
      <c r="T2497" t="str">
        <f>"19:16:28.656"</f>
        <v>19:16:28.656</v>
      </c>
      <c r="U2497" t="str">
        <f t="shared" si="115"/>
        <v>a1cdbe</v>
      </c>
      <c r="V2497">
        <v>0</v>
      </c>
      <c r="W2497">
        <v>0</v>
      </c>
      <c r="X2497">
        <v>1</v>
      </c>
      <c r="Y2497">
        <v>0</v>
      </c>
      <c r="Z2497">
        <v>0</v>
      </c>
      <c r="AB2497">
        <v>0</v>
      </c>
      <c r="AC2497">
        <v>9</v>
      </c>
      <c r="AD2497">
        <v>3</v>
      </c>
      <c r="AE2497">
        <v>0</v>
      </c>
      <c r="AF2497">
        <v>9</v>
      </c>
      <c r="AG2497" t="s">
        <v>158</v>
      </c>
      <c r="AH2497">
        <v>0</v>
      </c>
      <c r="AI2497">
        <v>3</v>
      </c>
      <c r="AJ2497">
        <v>1</v>
      </c>
      <c r="AK2497">
        <v>0</v>
      </c>
      <c r="AL2497" t="s">
        <v>4700</v>
      </c>
      <c r="AM2497">
        <v>46.926147999999998</v>
      </c>
      <c r="AN2497" t="s">
        <v>4701</v>
      </c>
      <c r="AO2497">
        <v>-123.277373</v>
      </c>
      <c r="AP2497">
        <v>100</v>
      </c>
      <c r="AQ2497">
        <v>1900</v>
      </c>
      <c r="AR2497" t="s">
        <v>118</v>
      </c>
      <c r="AS2497">
        <v>-63</v>
      </c>
      <c r="AT2497">
        <v>41</v>
      </c>
      <c r="AU2497">
        <v>128</v>
      </c>
      <c r="BC2497">
        <v>1200</v>
      </c>
      <c r="BD2497">
        <v>1</v>
      </c>
      <c r="BE2497" t="str">
        <f t="shared" si="116"/>
        <v xml:space="preserve">N215T   </v>
      </c>
      <c r="BF2497">
        <v>1</v>
      </c>
      <c r="BH2497">
        <v>0</v>
      </c>
      <c r="BI2497">
        <v>0</v>
      </c>
      <c r="BJ2497">
        <v>0</v>
      </c>
      <c r="BK2497">
        <v>2325</v>
      </c>
      <c r="BL2497">
        <v>425</v>
      </c>
      <c r="BM2497" t="s">
        <v>119</v>
      </c>
      <c r="BN2497">
        <v>1</v>
      </c>
      <c r="BO2497">
        <v>1</v>
      </c>
      <c r="BP2497">
        <v>1</v>
      </c>
      <c r="BQ2497">
        <v>0</v>
      </c>
      <c r="BT2497">
        <v>0</v>
      </c>
      <c r="BU2497">
        <v>0</v>
      </c>
      <c r="BV2497">
        <v>0</v>
      </c>
      <c r="CC2497" t="str">
        <f>"19:16:29.063"</f>
        <v>19:16:29.063</v>
      </c>
      <c r="CD2497" t="str">
        <f>"061838822"</f>
        <v>061838822</v>
      </c>
      <c r="CQ2497">
        <v>0</v>
      </c>
      <c r="CR2497">
        <v>2</v>
      </c>
      <c r="CS2497">
        <v>0</v>
      </c>
      <c r="CT2497">
        <v>2</v>
      </c>
      <c r="CU2497">
        <v>0</v>
      </c>
      <c r="CV2497">
        <v>7</v>
      </c>
      <c r="CW2497" t="s">
        <v>120</v>
      </c>
      <c r="CX2497">
        <v>261</v>
      </c>
      <c r="CY2497">
        <v>2</v>
      </c>
      <c r="CZ2497" t="s">
        <v>121</v>
      </c>
      <c r="DA2497" t="s">
        <v>122</v>
      </c>
      <c r="DD2497">
        <v>15794363</v>
      </c>
      <c r="DE2497" t="s">
        <v>123</v>
      </c>
    </row>
    <row r="2498" spans="1:109" x14ac:dyDescent="0.3">
      <c r="A2498" t="str">
        <f>"19:16:30.148"</f>
        <v>19:16:30.148</v>
      </c>
      <c r="B2498" t="s">
        <v>110</v>
      </c>
      <c r="C2498" t="str">
        <f t="shared" ref="C2498:C2561" si="117">"ffdfd3c0"</f>
        <v>ffdfd3c0</v>
      </c>
      <c r="D2498" t="s">
        <v>111</v>
      </c>
      <c r="E2498">
        <v>18</v>
      </c>
      <c r="F2498">
        <v>1018</v>
      </c>
      <c r="G2498" t="s">
        <v>112</v>
      </c>
      <c r="J2498" t="s">
        <v>113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R2498" t="s">
        <v>114</v>
      </c>
      <c r="S2498" t="str">
        <f>"19:16:29.883"</f>
        <v>19:16:29.883</v>
      </c>
      <c r="T2498" t="str">
        <f>"19:16:29.781"</f>
        <v>19:16:29.781</v>
      </c>
      <c r="U2498" t="str">
        <f t="shared" ref="U2498:U2561" si="118">"a1cdbe"</f>
        <v>a1cdbe</v>
      </c>
      <c r="V2498">
        <v>0</v>
      </c>
      <c r="W2498">
        <v>0</v>
      </c>
      <c r="X2498">
        <v>1</v>
      </c>
      <c r="Y2498">
        <v>0</v>
      </c>
      <c r="Z2498">
        <v>0</v>
      </c>
      <c r="AB2498">
        <v>0</v>
      </c>
      <c r="AC2498">
        <v>9</v>
      </c>
      <c r="AD2498">
        <v>3</v>
      </c>
      <c r="AE2498">
        <v>0</v>
      </c>
      <c r="AF2498">
        <v>9</v>
      </c>
      <c r="AG2498" t="s">
        <v>158</v>
      </c>
      <c r="AH2498">
        <v>0</v>
      </c>
      <c r="AI2498">
        <v>3</v>
      </c>
      <c r="AJ2498">
        <v>1</v>
      </c>
      <c r="AK2498">
        <v>0</v>
      </c>
      <c r="AL2498" t="s">
        <v>4702</v>
      </c>
      <c r="AM2498">
        <v>46.926341000000001</v>
      </c>
      <c r="AN2498" t="s">
        <v>4703</v>
      </c>
      <c r="AO2498">
        <v>-123.277738</v>
      </c>
      <c r="AP2498">
        <v>100</v>
      </c>
      <c r="AQ2498">
        <v>1900</v>
      </c>
      <c r="AR2498" t="s">
        <v>118</v>
      </c>
      <c r="AS2498">
        <v>-63</v>
      </c>
      <c r="AT2498">
        <v>41</v>
      </c>
      <c r="AU2498">
        <v>128</v>
      </c>
      <c r="BC2498">
        <v>1200</v>
      </c>
      <c r="BD2498">
        <v>1</v>
      </c>
      <c r="BE2498" t="str">
        <f t="shared" ref="BE2498:BE2561" si="119">"N215T   "</f>
        <v xml:space="preserve">N215T   </v>
      </c>
      <c r="BF2498">
        <v>1</v>
      </c>
      <c r="BH2498">
        <v>0</v>
      </c>
      <c r="BI2498">
        <v>0</v>
      </c>
      <c r="BJ2498">
        <v>0</v>
      </c>
      <c r="BK2498">
        <v>2325</v>
      </c>
      <c r="BL2498">
        <v>425</v>
      </c>
      <c r="BM2498" t="s">
        <v>119</v>
      </c>
      <c r="BN2498">
        <v>1</v>
      </c>
      <c r="BO2498">
        <v>1</v>
      </c>
      <c r="BP2498">
        <v>1</v>
      </c>
      <c r="BQ2498">
        <v>0</v>
      </c>
      <c r="BT2498">
        <v>0</v>
      </c>
      <c r="BU2498">
        <v>0</v>
      </c>
      <c r="BV2498">
        <v>0</v>
      </c>
      <c r="CC2498" t="str">
        <f>"19:16:29.891"</f>
        <v>19:16:29.891</v>
      </c>
      <c r="CD2498" t="str">
        <f>"886757549"</f>
        <v>886757549</v>
      </c>
      <c r="CQ2498">
        <v>0</v>
      </c>
      <c r="CR2498">
        <v>2</v>
      </c>
      <c r="CS2498">
        <v>0</v>
      </c>
      <c r="CT2498">
        <v>2</v>
      </c>
      <c r="CU2498">
        <v>0</v>
      </c>
      <c r="CV2498">
        <v>7</v>
      </c>
      <c r="CW2498" t="s">
        <v>120</v>
      </c>
      <c r="CX2498">
        <v>261</v>
      </c>
      <c r="CY2498">
        <v>2</v>
      </c>
      <c r="CZ2498" t="s">
        <v>121</v>
      </c>
      <c r="DA2498" t="s">
        <v>122</v>
      </c>
      <c r="DD2498">
        <v>15794924</v>
      </c>
      <c r="DE2498" t="s">
        <v>123</v>
      </c>
    </row>
    <row r="2499" spans="1:109" x14ac:dyDescent="0.3">
      <c r="A2499" t="str">
        <f>"19:16:31.156"</f>
        <v>19:16:31.156</v>
      </c>
      <c r="B2499" t="s">
        <v>110</v>
      </c>
      <c r="C2499" t="str">
        <f t="shared" si="117"/>
        <v>ffdfd3c0</v>
      </c>
      <c r="D2499" t="s">
        <v>111</v>
      </c>
      <c r="E2499">
        <v>18</v>
      </c>
      <c r="F2499">
        <v>1018</v>
      </c>
      <c r="G2499" t="s">
        <v>112</v>
      </c>
      <c r="J2499" t="s">
        <v>113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R2499" t="s">
        <v>114</v>
      </c>
      <c r="S2499" t="str">
        <f>"19:16:30.930"</f>
        <v>19:16:30.930</v>
      </c>
      <c r="T2499" t="str">
        <f>"19:16:30.531"</f>
        <v>19:16:30.531</v>
      </c>
      <c r="U2499" t="str">
        <f t="shared" si="118"/>
        <v>a1cdbe</v>
      </c>
      <c r="V2499">
        <v>0</v>
      </c>
      <c r="W2499">
        <v>0</v>
      </c>
      <c r="X2499">
        <v>1</v>
      </c>
      <c r="Y2499">
        <v>0</v>
      </c>
      <c r="Z2499">
        <v>0</v>
      </c>
      <c r="AB2499">
        <v>0</v>
      </c>
      <c r="AC2499">
        <v>9</v>
      </c>
      <c r="AD2499">
        <v>3</v>
      </c>
      <c r="AE2499">
        <v>0</v>
      </c>
      <c r="AF2499">
        <v>9</v>
      </c>
      <c r="AG2499" t="s">
        <v>158</v>
      </c>
      <c r="AH2499">
        <v>0</v>
      </c>
      <c r="AI2499">
        <v>3</v>
      </c>
      <c r="AJ2499">
        <v>1</v>
      </c>
      <c r="AK2499">
        <v>0</v>
      </c>
      <c r="AL2499" t="s">
        <v>4704</v>
      </c>
      <c r="AM2499">
        <v>46.926533999999997</v>
      </c>
      <c r="AN2499" t="s">
        <v>4705</v>
      </c>
      <c r="AO2499">
        <v>-123.27821</v>
      </c>
      <c r="AP2499">
        <v>100</v>
      </c>
      <c r="AQ2499">
        <v>2000</v>
      </c>
      <c r="AR2499" t="s">
        <v>118</v>
      </c>
      <c r="AS2499">
        <v>-63</v>
      </c>
      <c r="AT2499">
        <v>40</v>
      </c>
      <c r="AU2499">
        <v>128</v>
      </c>
      <c r="BC2499">
        <v>1200</v>
      </c>
      <c r="BD2499">
        <v>1</v>
      </c>
      <c r="BE2499" t="str">
        <f t="shared" si="119"/>
        <v xml:space="preserve">N215T   </v>
      </c>
      <c r="BF2499">
        <v>1</v>
      </c>
      <c r="BH2499">
        <v>0</v>
      </c>
      <c r="BI2499">
        <v>0</v>
      </c>
      <c r="BJ2499">
        <v>0</v>
      </c>
      <c r="BK2499">
        <v>2325</v>
      </c>
      <c r="BL2499">
        <v>325</v>
      </c>
      <c r="BM2499" t="s">
        <v>119</v>
      </c>
      <c r="BN2499">
        <v>1</v>
      </c>
      <c r="BO2499">
        <v>1</v>
      </c>
      <c r="BP2499">
        <v>1</v>
      </c>
      <c r="BQ2499">
        <v>0</v>
      </c>
      <c r="BT2499">
        <v>0</v>
      </c>
      <c r="BU2499">
        <v>0</v>
      </c>
      <c r="BV2499">
        <v>0</v>
      </c>
      <c r="CC2499" t="str">
        <f>"19:16:30.938"</f>
        <v>19:16:30.938</v>
      </c>
      <c r="CD2499" t="str">
        <f>"936654110"</f>
        <v>936654110</v>
      </c>
      <c r="CQ2499">
        <v>0</v>
      </c>
      <c r="CR2499">
        <v>2</v>
      </c>
      <c r="CS2499">
        <v>0</v>
      </c>
      <c r="CT2499">
        <v>2</v>
      </c>
      <c r="CU2499">
        <v>0</v>
      </c>
      <c r="CV2499">
        <v>6</v>
      </c>
      <c r="CW2499" t="s">
        <v>120</v>
      </c>
      <c r="CX2499">
        <v>261</v>
      </c>
      <c r="CY2499">
        <v>2</v>
      </c>
      <c r="CZ2499" t="s">
        <v>121</v>
      </c>
      <c r="DA2499" t="s">
        <v>122</v>
      </c>
      <c r="DD2499">
        <v>15795620</v>
      </c>
      <c r="DE2499" t="s">
        <v>123</v>
      </c>
    </row>
    <row r="2500" spans="1:109" x14ac:dyDescent="0.3">
      <c r="A2500" t="str">
        <f>"19:16:32.211"</f>
        <v>19:16:32.211</v>
      </c>
      <c r="B2500" t="s">
        <v>110</v>
      </c>
      <c r="C2500" t="str">
        <f t="shared" si="117"/>
        <v>ffdfd3c0</v>
      </c>
      <c r="D2500" t="s">
        <v>111</v>
      </c>
      <c r="E2500">
        <v>18</v>
      </c>
      <c r="F2500">
        <v>1018</v>
      </c>
      <c r="G2500" t="s">
        <v>112</v>
      </c>
      <c r="J2500" t="s">
        <v>113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R2500" t="s">
        <v>114</v>
      </c>
      <c r="S2500" t="str">
        <f>"19:16:31.984"</f>
        <v>19:16:31.984</v>
      </c>
      <c r="T2500" t="str">
        <f>"19:16:31.586"</f>
        <v>19:16:31.586</v>
      </c>
      <c r="U2500" t="str">
        <f t="shared" si="118"/>
        <v>a1cdbe</v>
      </c>
      <c r="V2500">
        <v>0</v>
      </c>
      <c r="W2500">
        <v>0</v>
      </c>
      <c r="X2500">
        <v>1</v>
      </c>
      <c r="Y2500">
        <v>0</v>
      </c>
      <c r="Z2500">
        <v>0</v>
      </c>
      <c r="AB2500">
        <v>0</v>
      </c>
      <c r="AC2500">
        <v>9</v>
      </c>
      <c r="AD2500">
        <v>3</v>
      </c>
      <c r="AE2500">
        <v>0</v>
      </c>
      <c r="AF2500">
        <v>9</v>
      </c>
      <c r="AG2500" t="s">
        <v>158</v>
      </c>
      <c r="AH2500">
        <v>0</v>
      </c>
      <c r="AI2500">
        <v>3</v>
      </c>
      <c r="AJ2500">
        <v>1</v>
      </c>
      <c r="AK2500">
        <v>0</v>
      </c>
      <c r="AL2500" t="s">
        <v>4706</v>
      </c>
      <c r="AM2500">
        <v>46.926727</v>
      </c>
      <c r="AN2500" t="s">
        <v>4707</v>
      </c>
      <c r="AO2500">
        <v>-123.278682</v>
      </c>
      <c r="AP2500">
        <v>100</v>
      </c>
      <c r="AQ2500">
        <v>2000</v>
      </c>
      <c r="AR2500" t="s">
        <v>118</v>
      </c>
      <c r="AS2500">
        <v>-63</v>
      </c>
      <c r="AT2500">
        <v>40</v>
      </c>
      <c r="AU2500">
        <v>64</v>
      </c>
      <c r="BC2500">
        <v>1200</v>
      </c>
      <c r="BD2500">
        <v>1</v>
      </c>
      <c r="BE2500" t="str">
        <f t="shared" si="119"/>
        <v xml:space="preserve">N215T   </v>
      </c>
      <c r="BF2500">
        <v>1</v>
      </c>
      <c r="BH2500">
        <v>0</v>
      </c>
      <c r="BI2500">
        <v>0</v>
      </c>
      <c r="BJ2500">
        <v>0</v>
      </c>
      <c r="BK2500">
        <v>2350</v>
      </c>
      <c r="BL2500">
        <v>350</v>
      </c>
      <c r="BM2500" t="s">
        <v>119</v>
      </c>
      <c r="BN2500">
        <v>1</v>
      </c>
      <c r="BO2500">
        <v>1</v>
      </c>
      <c r="BP2500">
        <v>1</v>
      </c>
      <c r="BQ2500">
        <v>0</v>
      </c>
      <c r="BT2500">
        <v>0</v>
      </c>
      <c r="BU2500">
        <v>0</v>
      </c>
      <c r="BV2500">
        <v>0</v>
      </c>
      <c r="CC2500" t="str">
        <f>"19:16:31.984"</f>
        <v>19:16:31.984</v>
      </c>
      <c r="CD2500" t="str">
        <f>"986550668"</f>
        <v>986550668</v>
      </c>
      <c r="CQ2500">
        <v>0</v>
      </c>
      <c r="CR2500">
        <v>2</v>
      </c>
      <c r="CS2500">
        <v>0</v>
      </c>
      <c r="CT2500">
        <v>2</v>
      </c>
      <c r="CU2500">
        <v>0</v>
      </c>
      <c r="CV2500">
        <v>7</v>
      </c>
      <c r="CW2500" t="s">
        <v>120</v>
      </c>
      <c r="CX2500">
        <v>261</v>
      </c>
      <c r="CY2500">
        <v>2</v>
      </c>
      <c r="CZ2500" t="s">
        <v>121</v>
      </c>
      <c r="DA2500" t="s">
        <v>122</v>
      </c>
      <c r="DD2500">
        <v>15796327</v>
      </c>
      <c r="DE2500" t="s">
        <v>123</v>
      </c>
    </row>
    <row r="2501" spans="1:109" x14ac:dyDescent="0.3">
      <c r="A2501" t="str">
        <f>"19:16:33.266"</f>
        <v>19:16:33.266</v>
      </c>
      <c r="B2501" t="s">
        <v>110</v>
      </c>
      <c r="C2501" t="str">
        <f t="shared" si="117"/>
        <v>ffdfd3c0</v>
      </c>
      <c r="D2501" t="s">
        <v>111</v>
      </c>
      <c r="E2501">
        <v>18</v>
      </c>
      <c r="F2501">
        <v>1018</v>
      </c>
      <c r="G2501" t="s">
        <v>112</v>
      </c>
      <c r="J2501" t="s">
        <v>113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R2501" t="s">
        <v>114</v>
      </c>
      <c r="S2501" t="str">
        <f>"19:16:33.063"</f>
        <v>19:16:33.063</v>
      </c>
      <c r="T2501" t="str">
        <f>"19:16:33.063"</f>
        <v>19:16:33.063</v>
      </c>
      <c r="U2501" t="str">
        <f t="shared" si="118"/>
        <v>a1cdbe</v>
      </c>
      <c r="V2501">
        <v>0</v>
      </c>
      <c r="W2501">
        <v>0</v>
      </c>
      <c r="X2501">
        <v>1</v>
      </c>
      <c r="Y2501">
        <v>0</v>
      </c>
      <c r="Z2501">
        <v>0</v>
      </c>
      <c r="AB2501">
        <v>0</v>
      </c>
      <c r="AC2501">
        <v>9</v>
      </c>
      <c r="AD2501">
        <v>3</v>
      </c>
      <c r="AE2501">
        <v>0</v>
      </c>
      <c r="AF2501">
        <v>9</v>
      </c>
      <c r="AG2501" t="s">
        <v>158</v>
      </c>
      <c r="AH2501">
        <v>0</v>
      </c>
      <c r="AI2501">
        <v>3</v>
      </c>
      <c r="AJ2501">
        <v>1</v>
      </c>
      <c r="AK2501">
        <v>0</v>
      </c>
      <c r="AL2501" t="s">
        <v>4708</v>
      </c>
      <c r="AM2501">
        <v>46.926898999999999</v>
      </c>
      <c r="AN2501" t="s">
        <v>4709</v>
      </c>
      <c r="AO2501">
        <v>-123.279068</v>
      </c>
      <c r="AP2501">
        <v>100</v>
      </c>
      <c r="AQ2501">
        <v>2000</v>
      </c>
      <c r="AR2501" t="s">
        <v>118</v>
      </c>
      <c r="AS2501">
        <v>-62</v>
      </c>
      <c r="AT2501">
        <v>40</v>
      </c>
      <c r="AU2501">
        <v>128</v>
      </c>
      <c r="BC2501">
        <v>1200</v>
      </c>
      <c r="BD2501">
        <v>1</v>
      </c>
      <c r="BE2501" t="str">
        <f t="shared" si="119"/>
        <v xml:space="preserve">N215T   </v>
      </c>
      <c r="BF2501">
        <v>1</v>
      </c>
      <c r="BH2501">
        <v>0</v>
      </c>
      <c r="BI2501">
        <v>0</v>
      </c>
      <c r="BJ2501">
        <v>0</v>
      </c>
      <c r="BK2501">
        <v>2325</v>
      </c>
      <c r="BL2501">
        <v>325</v>
      </c>
      <c r="BM2501" t="s">
        <v>119</v>
      </c>
      <c r="BN2501">
        <v>1</v>
      </c>
      <c r="BO2501">
        <v>1</v>
      </c>
      <c r="BP2501">
        <v>1</v>
      </c>
      <c r="BQ2501">
        <v>0</v>
      </c>
      <c r="BT2501">
        <v>0</v>
      </c>
      <c r="BU2501">
        <v>0</v>
      </c>
      <c r="BV2501">
        <v>0</v>
      </c>
      <c r="CC2501" t="str">
        <f>"19:16:33.070"</f>
        <v>19:16:33.070</v>
      </c>
      <c r="CD2501" t="str">
        <f>"066444285"</f>
        <v>066444285</v>
      </c>
      <c r="CQ2501">
        <v>0</v>
      </c>
      <c r="CR2501">
        <v>2</v>
      </c>
      <c r="CS2501">
        <v>0</v>
      </c>
      <c r="CT2501">
        <v>2</v>
      </c>
      <c r="CU2501">
        <v>0</v>
      </c>
      <c r="CV2501">
        <v>7</v>
      </c>
      <c r="CW2501" t="s">
        <v>120</v>
      </c>
      <c r="CX2501">
        <v>261</v>
      </c>
      <c r="CY2501">
        <v>2</v>
      </c>
      <c r="CZ2501" t="s">
        <v>121</v>
      </c>
      <c r="DA2501" t="s">
        <v>122</v>
      </c>
      <c r="DD2501">
        <v>15797139</v>
      </c>
      <c r="DE2501" t="s">
        <v>123</v>
      </c>
    </row>
    <row r="2502" spans="1:109" x14ac:dyDescent="0.3">
      <c r="A2502" t="str">
        <f>"19:16:34.320"</f>
        <v>19:16:34.320</v>
      </c>
      <c r="B2502" t="s">
        <v>110</v>
      </c>
      <c r="C2502" t="str">
        <f t="shared" si="117"/>
        <v>ffdfd3c0</v>
      </c>
      <c r="D2502" t="s">
        <v>111</v>
      </c>
      <c r="E2502">
        <v>18</v>
      </c>
      <c r="F2502">
        <v>1018</v>
      </c>
      <c r="G2502" t="s">
        <v>112</v>
      </c>
      <c r="J2502" t="s">
        <v>113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R2502" t="s">
        <v>114</v>
      </c>
      <c r="S2502" t="str">
        <f>"19:16:34.109"</f>
        <v>19:16:34.109</v>
      </c>
      <c r="T2502" t="str">
        <f>"19:16:33.609"</f>
        <v>19:16:33.609</v>
      </c>
      <c r="U2502" t="str">
        <f t="shared" si="118"/>
        <v>a1cdbe</v>
      </c>
      <c r="V2502">
        <v>0</v>
      </c>
      <c r="W2502">
        <v>0</v>
      </c>
      <c r="X2502">
        <v>1</v>
      </c>
      <c r="Y2502">
        <v>0</v>
      </c>
      <c r="Z2502">
        <v>0</v>
      </c>
      <c r="AB2502">
        <v>0</v>
      </c>
      <c r="AC2502">
        <v>9</v>
      </c>
      <c r="AD2502">
        <v>3</v>
      </c>
      <c r="AE2502">
        <v>0</v>
      </c>
      <c r="AF2502">
        <v>9</v>
      </c>
      <c r="AG2502" t="s">
        <v>158</v>
      </c>
      <c r="AH2502">
        <v>0</v>
      </c>
      <c r="AI2502">
        <v>3</v>
      </c>
      <c r="AJ2502">
        <v>1</v>
      </c>
      <c r="AK2502">
        <v>0</v>
      </c>
      <c r="AL2502" t="s">
        <v>4710</v>
      </c>
      <c r="AM2502">
        <v>46.927092000000002</v>
      </c>
      <c r="AN2502" t="s">
        <v>4711</v>
      </c>
      <c r="AO2502">
        <v>-123.27951899999999</v>
      </c>
      <c r="AP2502">
        <v>100</v>
      </c>
      <c r="AQ2502">
        <v>2000</v>
      </c>
      <c r="AR2502" t="s">
        <v>118</v>
      </c>
      <c r="AS2502">
        <v>-62</v>
      </c>
      <c r="AT2502">
        <v>40</v>
      </c>
      <c r="AU2502">
        <v>64</v>
      </c>
      <c r="BC2502">
        <v>1200</v>
      </c>
      <c r="BD2502">
        <v>1</v>
      </c>
      <c r="BE2502" t="str">
        <f t="shared" si="119"/>
        <v xml:space="preserve">N215T   </v>
      </c>
      <c r="BF2502">
        <v>1</v>
      </c>
      <c r="BH2502">
        <v>0</v>
      </c>
      <c r="BI2502">
        <v>0</v>
      </c>
      <c r="BJ2502">
        <v>0</v>
      </c>
      <c r="BK2502">
        <v>2325</v>
      </c>
      <c r="BL2502">
        <v>325</v>
      </c>
      <c r="BM2502" t="s">
        <v>119</v>
      </c>
      <c r="BN2502">
        <v>1</v>
      </c>
      <c r="BO2502">
        <v>1</v>
      </c>
      <c r="BP2502">
        <v>1</v>
      </c>
      <c r="BQ2502">
        <v>0</v>
      </c>
      <c r="BT2502">
        <v>0</v>
      </c>
      <c r="BU2502">
        <v>0</v>
      </c>
      <c r="BV2502">
        <v>0</v>
      </c>
      <c r="CC2502" t="str">
        <f>"19:16:34.117"</f>
        <v>19:16:34.117</v>
      </c>
      <c r="CD2502" t="str">
        <f>"116340843"</f>
        <v>116340843</v>
      </c>
      <c r="CQ2502">
        <v>0</v>
      </c>
      <c r="CR2502">
        <v>2</v>
      </c>
      <c r="CS2502">
        <v>0</v>
      </c>
      <c r="CT2502">
        <v>2</v>
      </c>
      <c r="CU2502">
        <v>0</v>
      </c>
      <c r="CV2502">
        <v>7</v>
      </c>
      <c r="CW2502" t="s">
        <v>120</v>
      </c>
      <c r="CX2502">
        <v>261</v>
      </c>
      <c r="CY2502">
        <v>2</v>
      </c>
      <c r="CZ2502" t="s">
        <v>121</v>
      </c>
      <c r="DA2502" t="s">
        <v>122</v>
      </c>
      <c r="DD2502">
        <v>15797897</v>
      </c>
      <c r="DE2502" t="s">
        <v>123</v>
      </c>
    </row>
    <row r="2503" spans="1:109" x14ac:dyDescent="0.3">
      <c r="A2503" t="str">
        <f>"19:16:35.430"</f>
        <v>19:16:35.430</v>
      </c>
      <c r="B2503" t="s">
        <v>110</v>
      </c>
      <c r="C2503" t="str">
        <f t="shared" si="117"/>
        <v>ffdfd3c0</v>
      </c>
      <c r="D2503" t="s">
        <v>111</v>
      </c>
      <c r="E2503">
        <v>18</v>
      </c>
      <c r="F2503">
        <v>1018</v>
      </c>
      <c r="G2503" t="s">
        <v>112</v>
      </c>
      <c r="J2503" t="s">
        <v>113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R2503" t="s">
        <v>114</v>
      </c>
      <c r="S2503" t="str">
        <f>"19:16:35.164"</f>
        <v>19:16:35.164</v>
      </c>
      <c r="T2503" t="str">
        <f>"19:16:34.664"</f>
        <v>19:16:34.664</v>
      </c>
      <c r="U2503" t="str">
        <f t="shared" si="118"/>
        <v>a1cdbe</v>
      </c>
      <c r="V2503">
        <v>0</v>
      </c>
      <c r="W2503">
        <v>0</v>
      </c>
      <c r="X2503">
        <v>1</v>
      </c>
      <c r="Y2503">
        <v>0</v>
      </c>
      <c r="Z2503">
        <v>0</v>
      </c>
      <c r="AB2503">
        <v>0</v>
      </c>
      <c r="AC2503">
        <v>9</v>
      </c>
      <c r="AD2503">
        <v>3</v>
      </c>
      <c r="AE2503">
        <v>0</v>
      </c>
      <c r="AF2503">
        <v>9</v>
      </c>
      <c r="AG2503" t="s">
        <v>158</v>
      </c>
      <c r="AH2503">
        <v>0</v>
      </c>
      <c r="AI2503">
        <v>3</v>
      </c>
      <c r="AJ2503">
        <v>1</v>
      </c>
      <c r="AK2503">
        <v>0</v>
      </c>
      <c r="AL2503" t="s">
        <v>4712</v>
      </c>
      <c r="AM2503">
        <v>46.927328000000003</v>
      </c>
      <c r="AN2503" t="s">
        <v>4713</v>
      </c>
      <c r="AO2503">
        <v>-123.279991</v>
      </c>
      <c r="AP2503">
        <v>100</v>
      </c>
      <c r="AQ2503">
        <v>2000</v>
      </c>
      <c r="AR2503" t="s">
        <v>118</v>
      </c>
      <c r="AS2503">
        <v>-62</v>
      </c>
      <c r="AT2503">
        <v>40</v>
      </c>
      <c r="AU2503">
        <v>64</v>
      </c>
      <c r="BC2503">
        <v>1200</v>
      </c>
      <c r="BD2503">
        <v>1</v>
      </c>
      <c r="BE2503" t="str">
        <f t="shared" si="119"/>
        <v xml:space="preserve">N215T   </v>
      </c>
      <c r="BF2503">
        <v>1</v>
      </c>
      <c r="BH2503">
        <v>0</v>
      </c>
      <c r="BI2503">
        <v>0</v>
      </c>
      <c r="BJ2503">
        <v>0</v>
      </c>
      <c r="BK2503">
        <v>2350</v>
      </c>
      <c r="BL2503">
        <v>350</v>
      </c>
      <c r="BM2503" t="s">
        <v>119</v>
      </c>
      <c r="BN2503">
        <v>1</v>
      </c>
      <c r="BO2503">
        <v>1</v>
      </c>
      <c r="BP2503">
        <v>1</v>
      </c>
      <c r="BQ2503">
        <v>0</v>
      </c>
      <c r="BT2503">
        <v>0</v>
      </c>
      <c r="BU2503">
        <v>0</v>
      </c>
      <c r="BV2503">
        <v>0</v>
      </c>
      <c r="CC2503" t="str">
        <f>"19:16:35.164"</f>
        <v>19:16:35.164</v>
      </c>
      <c r="CD2503" t="str">
        <f>"166237415"</f>
        <v>166237415</v>
      </c>
      <c r="CQ2503">
        <v>0</v>
      </c>
      <c r="CR2503">
        <v>2</v>
      </c>
      <c r="CS2503">
        <v>0</v>
      </c>
      <c r="CT2503">
        <v>2</v>
      </c>
      <c r="CU2503">
        <v>0</v>
      </c>
      <c r="CV2503">
        <v>7</v>
      </c>
      <c r="CW2503" t="s">
        <v>120</v>
      </c>
      <c r="CX2503">
        <v>261</v>
      </c>
      <c r="CY2503">
        <v>2</v>
      </c>
      <c r="CZ2503" t="s">
        <v>121</v>
      </c>
      <c r="DA2503" t="s">
        <v>122</v>
      </c>
      <c r="DD2503">
        <v>15798615</v>
      </c>
      <c r="DE2503" t="s">
        <v>123</v>
      </c>
    </row>
    <row r="2504" spans="1:109" x14ac:dyDescent="0.3">
      <c r="A2504" t="str">
        <f>"19:16:36.281"</f>
        <v>19:16:36.281</v>
      </c>
      <c r="B2504" t="s">
        <v>110</v>
      </c>
      <c r="C2504" t="str">
        <f t="shared" si="117"/>
        <v>ffdfd3c0</v>
      </c>
      <c r="D2504" t="s">
        <v>111</v>
      </c>
      <c r="E2504">
        <v>18</v>
      </c>
      <c r="F2504">
        <v>1018</v>
      </c>
      <c r="G2504" t="s">
        <v>112</v>
      </c>
      <c r="J2504" t="s">
        <v>113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R2504" t="s">
        <v>114</v>
      </c>
      <c r="S2504" t="str">
        <f>"19:16:36.031"</f>
        <v>19:16:36.031</v>
      </c>
      <c r="T2504" t="str">
        <f>"19:16:35.633"</f>
        <v>19:16:35.633</v>
      </c>
      <c r="U2504" t="str">
        <f t="shared" si="118"/>
        <v>a1cdbe</v>
      </c>
      <c r="V2504">
        <v>0</v>
      </c>
      <c r="W2504">
        <v>0</v>
      </c>
      <c r="X2504">
        <v>1</v>
      </c>
      <c r="Y2504">
        <v>0</v>
      </c>
      <c r="Z2504">
        <v>0</v>
      </c>
      <c r="AB2504">
        <v>0</v>
      </c>
      <c r="AC2504">
        <v>9</v>
      </c>
      <c r="AD2504">
        <v>3</v>
      </c>
      <c r="AE2504">
        <v>0</v>
      </c>
      <c r="AF2504">
        <v>9</v>
      </c>
      <c r="AG2504" t="s">
        <v>158</v>
      </c>
      <c r="AH2504">
        <v>0</v>
      </c>
      <c r="AI2504">
        <v>3</v>
      </c>
      <c r="AJ2504">
        <v>1</v>
      </c>
      <c r="AK2504">
        <v>0</v>
      </c>
      <c r="AL2504" t="s">
        <v>4714</v>
      </c>
      <c r="AM2504">
        <v>46.927456999999997</v>
      </c>
      <c r="AN2504" t="s">
        <v>4715</v>
      </c>
      <c r="AO2504">
        <v>-123.280334</v>
      </c>
      <c r="AP2504">
        <v>100</v>
      </c>
      <c r="AQ2504">
        <v>2000</v>
      </c>
      <c r="AR2504" t="s">
        <v>118</v>
      </c>
      <c r="AS2504">
        <v>-61</v>
      </c>
      <c r="AT2504">
        <v>41</v>
      </c>
      <c r="AU2504">
        <v>0</v>
      </c>
      <c r="BC2504">
        <v>1200</v>
      </c>
      <c r="BD2504">
        <v>1</v>
      </c>
      <c r="BE2504" t="str">
        <f t="shared" si="119"/>
        <v xml:space="preserve">N215T   </v>
      </c>
      <c r="BF2504">
        <v>1</v>
      </c>
      <c r="BH2504">
        <v>0</v>
      </c>
      <c r="BI2504">
        <v>0</v>
      </c>
      <c r="BJ2504">
        <v>0</v>
      </c>
      <c r="BK2504">
        <v>2350</v>
      </c>
      <c r="BL2504">
        <v>350</v>
      </c>
      <c r="BM2504" t="s">
        <v>119</v>
      </c>
      <c r="BN2504">
        <v>1</v>
      </c>
      <c r="BO2504">
        <v>1</v>
      </c>
      <c r="BP2504">
        <v>1</v>
      </c>
      <c r="BQ2504">
        <v>0</v>
      </c>
      <c r="BT2504">
        <v>0</v>
      </c>
      <c r="BU2504">
        <v>0</v>
      </c>
      <c r="BV2504">
        <v>0</v>
      </c>
      <c r="CC2504" t="str">
        <f>"19:16:36.039"</f>
        <v>19:16:36.039</v>
      </c>
      <c r="CD2504" t="str">
        <f>"036136111"</f>
        <v>036136111</v>
      </c>
      <c r="CQ2504">
        <v>0</v>
      </c>
      <c r="CR2504">
        <v>2</v>
      </c>
      <c r="CS2504">
        <v>0</v>
      </c>
      <c r="CT2504">
        <v>2</v>
      </c>
      <c r="CU2504">
        <v>0</v>
      </c>
      <c r="CV2504">
        <v>5</v>
      </c>
      <c r="CW2504" t="s">
        <v>120</v>
      </c>
      <c r="CX2504">
        <v>257</v>
      </c>
      <c r="CY2504">
        <v>1</v>
      </c>
      <c r="CZ2504" t="s">
        <v>615</v>
      </c>
      <c r="DA2504" t="s">
        <v>616</v>
      </c>
      <c r="DD2504">
        <v>12237298</v>
      </c>
      <c r="DE2504" t="s">
        <v>123</v>
      </c>
    </row>
    <row r="2505" spans="1:109" x14ac:dyDescent="0.3">
      <c r="A2505" t="str">
        <f>"19:16:37.289"</f>
        <v>19:16:37.289</v>
      </c>
      <c r="B2505" t="s">
        <v>110</v>
      </c>
      <c r="C2505" t="str">
        <f t="shared" si="117"/>
        <v>ffdfd3c0</v>
      </c>
      <c r="D2505" t="s">
        <v>111</v>
      </c>
      <c r="E2505">
        <v>18</v>
      </c>
      <c r="F2505">
        <v>1018</v>
      </c>
      <c r="G2505" t="s">
        <v>112</v>
      </c>
      <c r="J2505" t="s">
        <v>113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R2505" t="s">
        <v>114</v>
      </c>
      <c r="S2505" t="str">
        <f>"19:16:37.070"</f>
        <v>19:16:37.070</v>
      </c>
      <c r="T2505" t="str">
        <f>"19:16:36.773"</f>
        <v>19:16:36.773</v>
      </c>
      <c r="U2505" t="str">
        <f t="shared" si="118"/>
        <v>a1cdbe</v>
      </c>
      <c r="V2505">
        <v>0</v>
      </c>
      <c r="W2505">
        <v>0</v>
      </c>
      <c r="X2505">
        <v>1</v>
      </c>
      <c r="Y2505">
        <v>0</v>
      </c>
      <c r="Z2505">
        <v>0</v>
      </c>
      <c r="AB2505">
        <v>0</v>
      </c>
      <c r="AC2505">
        <v>9</v>
      </c>
      <c r="AD2505">
        <v>3</v>
      </c>
      <c r="AE2505">
        <v>0</v>
      </c>
      <c r="AF2505">
        <v>9</v>
      </c>
      <c r="AG2505" t="s">
        <v>158</v>
      </c>
      <c r="AH2505">
        <v>0</v>
      </c>
      <c r="AI2505">
        <v>3</v>
      </c>
      <c r="AJ2505">
        <v>1</v>
      </c>
      <c r="AK2505">
        <v>0</v>
      </c>
      <c r="AL2505" t="s">
        <v>4716</v>
      </c>
      <c r="AM2505">
        <v>46.927670999999997</v>
      </c>
      <c r="AN2505" t="s">
        <v>4717</v>
      </c>
      <c r="AO2505">
        <v>-123.280764</v>
      </c>
      <c r="AP2505">
        <v>100</v>
      </c>
      <c r="AQ2505">
        <v>2000</v>
      </c>
      <c r="AR2505" t="s">
        <v>118</v>
      </c>
      <c r="AS2505">
        <v>-61</v>
      </c>
      <c r="AT2505">
        <v>41</v>
      </c>
      <c r="AU2505">
        <v>0</v>
      </c>
      <c r="BC2505">
        <v>1200</v>
      </c>
      <c r="BD2505">
        <v>1</v>
      </c>
      <c r="BE2505" t="str">
        <f t="shared" si="119"/>
        <v xml:space="preserve">N215T   </v>
      </c>
      <c r="BF2505">
        <v>1</v>
      </c>
      <c r="BH2505">
        <v>0</v>
      </c>
      <c r="BI2505">
        <v>0</v>
      </c>
      <c r="BJ2505">
        <v>0</v>
      </c>
      <c r="BK2505">
        <v>2350</v>
      </c>
      <c r="BL2505">
        <v>350</v>
      </c>
      <c r="BM2505" t="s">
        <v>119</v>
      </c>
      <c r="BN2505">
        <v>1</v>
      </c>
      <c r="BO2505">
        <v>1</v>
      </c>
      <c r="BP2505">
        <v>1</v>
      </c>
      <c r="BQ2505">
        <v>0</v>
      </c>
      <c r="BT2505">
        <v>0</v>
      </c>
      <c r="BU2505">
        <v>0</v>
      </c>
      <c r="BV2505">
        <v>0</v>
      </c>
      <c r="CC2505" t="str">
        <f>"19:16:37.070"</f>
        <v>19:16:37.070</v>
      </c>
      <c r="CD2505" t="str">
        <f>"071049744"</f>
        <v>071049744</v>
      </c>
      <c r="CQ2505">
        <v>0</v>
      </c>
      <c r="CR2505">
        <v>2</v>
      </c>
      <c r="CS2505">
        <v>0</v>
      </c>
      <c r="CT2505">
        <v>2</v>
      </c>
      <c r="CU2505">
        <v>0</v>
      </c>
      <c r="CV2505">
        <v>7</v>
      </c>
      <c r="CW2505" t="s">
        <v>120</v>
      </c>
      <c r="CX2505">
        <v>261</v>
      </c>
      <c r="CY2505">
        <v>2</v>
      </c>
      <c r="CZ2505" t="s">
        <v>121</v>
      </c>
      <c r="DA2505" t="s">
        <v>122</v>
      </c>
      <c r="DD2505">
        <v>15799893</v>
      </c>
      <c r="DE2505" t="s">
        <v>123</v>
      </c>
    </row>
    <row r="2506" spans="1:109" x14ac:dyDescent="0.3">
      <c r="A2506" t="str">
        <f>"19:16:38.195"</f>
        <v>19:16:38.195</v>
      </c>
      <c r="B2506" t="s">
        <v>110</v>
      </c>
      <c r="C2506" t="str">
        <f t="shared" si="117"/>
        <v>ffdfd3c0</v>
      </c>
      <c r="D2506" t="s">
        <v>111</v>
      </c>
      <c r="E2506">
        <v>18</v>
      </c>
      <c r="F2506">
        <v>1018</v>
      </c>
      <c r="G2506" t="s">
        <v>112</v>
      </c>
      <c r="J2506" t="s">
        <v>113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R2506" t="s">
        <v>114</v>
      </c>
      <c r="S2506" t="str">
        <f>"19:16:37.984"</f>
        <v>19:16:37.984</v>
      </c>
      <c r="T2506" t="str">
        <f>"19:16:37.688"</f>
        <v>19:16:37.688</v>
      </c>
      <c r="U2506" t="str">
        <f t="shared" si="118"/>
        <v>a1cdbe</v>
      </c>
      <c r="V2506">
        <v>0</v>
      </c>
      <c r="W2506">
        <v>0</v>
      </c>
      <c r="X2506">
        <v>1</v>
      </c>
      <c r="Y2506">
        <v>0</v>
      </c>
      <c r="Z2506">
        <v>0</v>
      </c>
      <c r="AB2506">
        <v>0</v>
      </c>
      <c r="AC2506">
        <v>9</v>
      </c>
      <c r="AD2506">
        <v>3</v>
      </c>
      <c r="AE2506">
        <v>0</v>
      </c>
      <c r="AF2506">
        <v>9</v>
      </c>
      <c r="AG2506" t="s">
        <v>158</v>
      </c>
      <c r="AH2506">
        <v>0</v>
      </c>
      <c r="AI2506">
        <v>3</v>
      </c>
      <c r="AJ2506">
        <v>1</v>
      </c>
      <c r="AK2506">
        <v>0</v>
      </c>
      <c r="AL2506" t="s">
        <v>4718</v>
      </c>
      <c r="AM2506">
        <v>46.927821999999999</v>
      </c>
      <c r="AN2506" t="s">
        <v>4719</v>
      </c>
      <c r="AO2506">
        <v>-123.28115</v>
      </c>
      <c r="AP2506">
        <v>100</v>
      </c>
      <c r="AQ2506">
        <v>2000</v>
      </c>
      <c r="AR2506" t="s">
        <v>118</v>
      </c>
      <c r="AS2506">
        <v>-61</v>
      </c>
      <c r="AT2506">
        <v>41</v>
      </c>
      <c r="AU2506">
        <v>0</v>
      </c>
      <c r="BC2506">
        <v>1200</v>
      </c>
      <c r="BD2506">
        <v>1</v>
      </c>
      <c r="BE2506" t="str">
        <f t="shared" si="119"/>
        <v xml:space="preserve">N215T   </v>
      </c>
      <c r="BF2506">
        <v>1</v>
      </c>
      <c r="BH2506">
        <v>0</v>
      </c>
      <c r="BI2506">
        <v>0</v>
      </c>
      <c r="BJ2506">
        <v>0</v>
      </c>
      <c r="BK2506">
        <v>2350</v>
      </c>
      <c r="BL2506">
        <v>350</v>
      </c>
      <c r="BM2506" t="s">
        <v>119</v>
      </c>
      <c r="BN2506">
        <v>1</v>
      </c>
      <c r="BO2506">
        <v>1</v>
      </c>
      <c r="BP2506">
        <v>1</v>
      </c>
      <c r="BQ2506">
        <v>0</v>
      </c>
      <c r="BT2506">
        <v>0</v>
      </c>
      <c r="BU2506">
        <v>0</v>
      </c>
      <c r="BV2506">
        <v>0</v>
      </c>
      <c r="CC2506" t="str">
        <f>"19:16:37.984"</f>
        <v>19:16:37.984</v>
      </c>
      <c r="CD2506" t="str">
        <f>"985959608"</f>
        <v>985959608</v>
      </c>
      <c r="CQ2506">
        <v>0</v>
      </c>
      <c r="CR2506">
        <v>2</v>
      </c>
      <c r="CS2506">
        <v>0</v>
      </c>
      <c r="CT2506">
        <v>2</v>
      </c>
      <c r="CU2506">
        <v>0</v>
      </c>
      <c r="CV2506">
        <v>6</v>
      </c>
      <c r="CW2506" t="s">
        <v>120</v>
      </c>
      <c r="CX2506">
        <v>261</v>
      </c>
      <c r="CY2506">
        <v>2</v>
      </c>
      <c r="CZ2506" t="s">
        <v>121</v>
      </c>
      <c r="DA2506" t="s">
        <v>122</v>
      </c>
      <c r="DD2506">
        <v>15800511</v>
      </c>
      <c r="DE2506" t="s">
        <v>123</v>
      </c>
    </row>
    <row r="2507" spans="1:109" x14ac:dyDescent="0.3">
      <c r="A2507" t="str">
        <f>"19:16:39.203"</f>
        <v>19:16:39.203</v>
      </c>
      <c r="B2507" t="s">
        <v>110</v>
      </c>
      <c r="C2507" t="str">
        <f t="shared" si="117"/>
        <v>ffdfd3c0</v>
      </c>
      <c r="D2507" t="s">
        <v>111</v>
      </c>
      <c r="E2507">
        <v>18</v>
      </c>
      <c r="F2507">
        <v>1018</v>
      </c>
      <c r="G2507" t="s">
        <v>112</v>
      </c>
      <c r="J2507" t="s">
        <v>113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R2507" t="s">
        <v>114</v>
      </c>
      <c r="S2507" t="str">
        <f>"19:16:38.945"</f>
        <v>19:16:38.945</v>
      </c>
      <c r="T2507" t="str">
        <f>"19:16:38.742"</f>
        <v>19:16:38.742</v>
      </c>
      <c r="U2507" t="str">
        <f t="shared" si="118"/>
        <v>a1cdbe</v>
      </c>
      <c r="V2507">
        <v>0</v>
      </c>
      <c r="W2507">
        <v>0</v>
      </c>
      <c r="X2507">
        <v>1</v>
      </c>
      <c r="Y2507">
        <v>0</v>
      </c>
      <c r="Z2507">
        <v>0</v>
      </c>
      <c r="AB2507">
        <v>0</v>
      </c>
      <c r="AC2507">
        <v>9</v>
      </c>
      <c r="AD2507">
        <v>3</v>
      </c>
      <c r="AE2507">
        <v>0</v>
      </c>
      <c r="AF2507">
        <v>9</v>
      </c>
      <c r="AG2507" t="s">
        <v>158</v>
      </c>
      <c r="AH2507">
        <v>0</v>
      </c>
      <c r="AI2507">
        <v>3</v>
      </c>
      <c r="AJ2507">
        <v>1</v>
      </c>
      <c r="AK2507">
        <v>0</v>
      </c>
      <c r="AL2507" t="s">
        <v>4720</v>
      </c>
      <c r="AM2507">
        <v>46.928015000000002</v>
      </c>
      <c r="AN2507" t="s">
        <v>4721</v>
      </c>
      <c r="AO2507">
        <v>-123.281493</v>
      </c>
      <c r="AP2507">
        <v>100</v>
      </c>
      <c r="AQ2507">
        <v>2000</v>
      </c>
      <c r="AR2507" t="s">
        <v>118</v>
      </c>
      <c r="AS2507">
        <v>-61</v>
      </c>
      <c r="AT2507">
        <v>41</v>
      </c>
      <c r="AU2507">
        <v>0</v>
      </c>
      <c r="BC2507">
        <v>1200</v>
      </c>
      <c r="BD2507">
        <v>1</v>
      </c>
      <c r="BE2507" t="str">
        <f t="shared" si="119"/>
        <v xml:space="preserve">N215T   </v>
      </c>
      <c r="BF2507">
        <v>1</v>
      </c>
      <c r="BH2507">
        <v>0</v>
      </c>
      <c r="BI2507">
        <v>0</v>
      </c>
      <c r="BJ2507">
        <v>0</v>
      </c>
      <c r="BK2507">
        <v>2350</v>
      </c>
      <c r="BL2507">
        <v>350</v>
      </c>
      <c r="BM2507" t="s">
        <v>119</v>
      </c>
      <c r="BN2507">
        <v>1</v>
      </c>
      <c r="BO2507">
        <v>1</v>
      </c>
      <c r="BP2507">
        <v>1</v>
      </c>
      <c r="BQ2507">
        <v>0</v>
      </c>
      <c r="BT2507">
        <v>0</v>
      </c>
      <c r="BU2507">
        <v>0</v>
      </c>
      <c r="BV2507">
        <v>0</v>
      </c>
      <c r="CC2507" t="str">
        <f>"19:16:38.945"</f>
        <v>19:16:38.945</v>
      </c>
      <c r="CD2507" t="str">
        <f>"945865031"</f>
        <v>945865031</v>
      </c>
      <c r="CQ2507">
        <v>0</v>
      </c>
      <c r="CR2507">
        <v>2</v>
      </c>
      <c r="CS2507">
        <v>0</v>
      </c>
      <c r="CT2507">
        <v>2</v>
      </c>
      <c r="CU2507">
        <v>0</v>
      </c>
      <c r="CV2507">
        <v>6</v>
      </c>
      <c r="CW2507" t="s">
        <v>120</v>
      </c>
      <c r="CX2507">
        <v>261</v>
      </c>
      <c r="CY2507">
        <v>2</v>
      </c>
      <c r="CZ2507" t="s">
        <v>121</v>
      </c>
      <c r="DA2507" t="s">
        <v>122</v>
      </c>
      <c r="DD2507">
        <v>15801203</v>
      </c>
      <c r="DE2507" t="s">
        <v>123</v>
      </c>
    </row>
    <row r="2508" spans="1:109" x14ac:dyDescent="0.3">
      <c r="A2508" t="str">
        <f>"19:16:40.258"</f>
        <v>19:16:40.258</v>
      </c>
      <c r="B2508" t="s">
        <v>110</v>
      </c>
      <c r="C2508" t="str">
        <f t="shared" si="117"/>
        <v>ffdfd3c0</v>
      </c>
      <c r="D2508" t="s">
        <v>111</v>
      </c>
      <c r="E2508">
        <v>18</v>
      </c>
      <c r="F2508">
        <v>1018</v>
      </c>
      <c r="G2508" t="s">
        <v>112</v>
      </c>
      <c r="J2508" t="s">
        <v>113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R2508" t="s">
        <v>114</v>
      </c>
      <c r="S2508" t="str">
        <f>"19:16:40.055"</f>
        <v>19:16:40.055</v>
      </c>
      <c r="T2508" t="str">
        <f>"19:16:39.852"</f>
        <v>19:16:39.852</v>
      </c>
      <c r="U2508" t="str">
        <f t="shared" si="118"/>
        <v>a1cdbe</v>
      </c>
      <c r="V2508">
        <v>0</v>
      </c>
      <c r="W2508">
        <v>0</v>
      </c>
      <c r="X2508">
        <v>1</v>
      </c>
      <c r="Y2508">
        <v>0</v>
      </c>
      <c r="Z2508">
        <v>0</v>
      </c>
      <c r="AB2508">
        <v>0</v>
      </c>
      <c r="AC2508">
        <v>9</v>
      </c>
      <c r="AD2508">
        <v>3</v>
      </c>
      <c r="AE2508">
        <v>0</v>
      </c>
      <c r="AF2508">
        <v>9</v>
      </c>
      <c r="AG2508" t="s">
        <v>158</v>
      </c>
      <c r="AH2508">
        <v>0</v>
      </c>
      <c r="AI2508">
        <v>3</v>
      </c>
      <c r="AJ2508">
        <v>1</v>
      </c>
      <c r="AK2508">
        <v>0</v>
      </c>
      <c r="AL2508" t="s">
        <v>4722</v>
      </c>
      <c r="AM2508">
        <v>46.928229000000002</v>
      </c>
      <c r="AN2508" t="s">
        <v>4723</v>
      </c>
      <c r="AO2508">
        <v>-123.281987</v>
      </c>
      <c r="AP2508">
        <v>100</v>
      </c>
      <c r="AQ2508">
        <v>2000</v>
      </c>
      <c r="AR2508" t="s">
        <v>118</v>
      </c>
      <c r="AS2508">
        <v>-61</v>
      </c>
      <c r="AT2508">
        <v>41</v>
      </c>
      <c r="AU2508">
        <v>0</v>
      </c>
      <c r="BC2508">
        <v>1200</v>
      </c>
      <c r="BD2508">
        <v>1</v>
      </c>
      <c r="BE2508" t="str">
        <f t="shared" si="119"/>
        <v xml:space="preserve">N215T   </v>
      </c>
      <c r="BF2508">
        <v>1</v>
      </c>
      <c r="BH2508">
        <v>0</v>
      </c>
      <c r="BI2508">
        <v>0</v>
      </c>
      <c r="BJ2508">
        <v>0</v>
      </c>
      <c r="BK2508">
        <v>2350</v>
      </c>
      <c r="BL2508">
        <v>350</v>
      </c>
      <c r="BM2508" t="s">
        <v>119</v>
      </c>
      <c r="BN2508">
        <v>1</v>
      </c>
      <c r="BO2508">
        <v>1</v>
      </c>
      <c r="BP2508">
        <v>1</v>
      </c>
      <c r="BQ2508">
        <v>0</v>
      </c>
      <c r="BT2508">
        <v>0</v>
      </c>
      <c r="BU2508">
        <v>0</v>
      </c>
      <c r="BV2508">
        <v>0</v>
      </c>
      <c r="CC2508" t="str">
        <f>"19:16:40.055"</f>
        <v>19:16:40.055</v>
      </c>
      <c r="CD2508" t="str">
        <f>"055755689"</f>
        <v>055755689</v>
      </c>
      <c r="CQ2508">
        <v>0</v>
      </c>
      <c r="CR2508">
        <v>2</v>
      </c>
      <c r="CS2508">
        <v>0</v>
      </c>
      <c r="CT2508">
        <v>2</v>
      </c>
      <c r="CU2508">
        <v>0</v>
      </c>
      <c r="CV2508">
        <v>7</v>
      </c>
      <c r="CW2508" t="s">
        <v>120</v>
      </c>
      <c r="CX2508">
        <v>261</v>
      </c>
      <c r="CY2508">
        <v>2</v>
      </c>
      <c r="CZ2508" t="s">
        <v>121</v>
      </c>
      <c r="DA2508" t="s">
        <v>122</v>
      </c>
      <c r="DD2508">
        <v>15801973</v>
      </c>
      <c r="DE2508" t="s">
        <v>123</v>
      </c>
    </row>
    <row r="2509" spans="1:109" x14ac:dyDescent="0.3">
      <c r="A2509" t="str">
        <f>"19:16:41.359"</f>
        <v>19:16:41.359</v>
      </c>
      <c r="B2509" t="s">
        <v>110</v>
      </c>
      <c r="C2509" t="str">
        <f t="shared" si="117"/>
        <v>ffdfd3c0</v>
      </c>
      <c r="D2509" t="s">
        <v>111</v>
      </c>
      <c r="E2509">
        <v>18</v>
      </c>
      <c r="F2509">
        <v>1018</v>
      </c>
      <c r="G2509" t="s">
        <v>112</v>
      </c>
      <c r="J2509" t="s">
        <v>113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R2509" t="s">
        <v>114</v>
      </c>
      <c r="S2509" t="str">
        <f>"19:16:41.117"</f>
        <v>19:16:41.117</v>
      </c>
      <c r="T2509" t="str">
        <f>"19:16:40.820"</f>
        <v>19:16:40.820</v>
      </c>
      <c r="U2509" t="str">
        <f t="shared" si="118"/>
        <v>a1cdbe</v>
      </c>
      <c r="V2509">
        <v>0</v>
      </c>
      <c r="W2509">
        <v>0</v>
      </c>
      <c r="X2509">
        <v>1</v>
      </c>
      <c r="Y2509">
        <v>0</v>
      </c>
      <c r="Z2509">
        <v>0</v>
      </c>
      <c r="AB2509">
        <v>0</v>
      </c>
      <c r="AC2509">
        <v>9</v>
      </c>
      <c r="AD2509">
        <v>3</v>
      </c>
      <c r="AE2509">
        <v>0</v>
      </c>
      <c r="AF2509">
        <v>9</v>
      </c>
      <c r="AG2509" t="s">
        <v>158</v>
      </c>
      <c r="AH2509">
        <v>0</v>
      </c>
      <c r="AI2509">
        <v>3</v>
      </c>
      <c r="AJ2509">
        <v>1</v>
      </c>
      <c r="AK2509">
        <v>0</v>
      </c>
      <c r="AL2509" t="s">
        <v>4724</v>
      </c>
      <c r="AM2509">
        <v>46.928421999999998</v>
      </c>
      <c r="AN2509" t="s">
        <v>4725</v>
      </c>
      <c r="AO2509">
        <v>-123.282437</v>
      </c>
      <c r="AP2509">
        <v>100</v>
      </c>
      <c r="AQ2509">
        <v>2000</v>
      </c>
      <c r="AR2509" t="s">
        <v>118</v>
      </c>
      <c r="AS2509">
        <v>-61</v>
      </c>
      <c r="AT2509">
        <v>41</v>
      </c>
      <c r="AU2509">
        <v>0</v>
      </c>
      <c r="BC2509">
        <v>1200</v>
      </c>
      <c r="BD2509">
        <v>1</v>
      </c>
      <c r="BE2509" t="str">
        <f t="shared" si="119"/>
        <v xml:space="preserve">N215T   </v>
      </c>
      <c r="BF2509">
        <v>1</v>
      </c>
      <c r="BH2509">
        <v>0</v>
      </c>
      <c r="BI2509">
        <v>0</v>
      </c>
      <c r="BJ2509">
        <v>0</v>
      </c>
      <c r="BK2509">
        <v>2350</v>
      </c>
      <c r="BL2509">
        <v>350</v>
      </c>
      <c r="BM2509" t="s">
        <v>119</v>
      </c>
      <c r="BN2509">
        <v>1</v>
      </c>
      <c r="BO2509">
        <v>1</v>
      </c>
      <c r="BP2509">
        <v>1</v>
      </c>
      <c r="BQ2509">
        <v>0</v>
      </c>
      <c r="BT2509">
        <v>0</v>
      </c>
      <c r="BU2509">
        <v>0</v>
      </c>
      <c r="BV2509">
        <v>0</v>
      </c>
      <c r="CC2509" t="str">
        <f>"19:16:41.117"</f>
        <v>19:16:41.117</v>
      </c>
      <c r="CD2509" t="str">
        <f>"120650769"</f>
        <v>120650769</v>
      </c>
      <c r="CQ2509">
        <v>0</v>
      </c>
      <c r="CR2509">
        <v>2</v>
      </c>
      <c r="CS2509">
        <v>0</v>
      </c>
      <c r="CT2509">
        <v>2</v>
      </c>
      <c r="CU2509">
        <v>0</v>
      </c>
      <c r="CV2509">
        <v>7</v>
      </c>
      <c r="CW2509" t="s">
        <v>120</v>
      </c>
      <c r="CX2509">
        <v>261</v>
      </c>
      <c r="CY2509">
        <v>2</v>
      </c>
      <c r="CZ2509" t="s">
        <v>121</v>
      </c>
      <c r="DA2509" t="s">
        <v>122</v>
      </c>
      <c r="DD2509">
        <v>15802738</v>
      </c>
      <c r="DE2509" t="s">
        <v>123</v>
      </c>
    </row>
    <row r="2510" spans="1:109" x14ac:dyDescent="0.3">
      <c r="A2510" t="str">
        <f>"19:16:42.422"</f>
        <v>19:16:42.422</v>
      </c>
      <c r="B2510" t="s">
        <v>110</v>
      </c>
      <c r="C2510" t="str">
        <f t="shared" si="117"/>
        <v>ffdfd3c0</v>
      </c>
      <c r="D2510" t="s">
        <v>111</v>
      </c>
      <c r="E2510">
        <v>18</v>
      </c>
      <c r="F2510">
        <v>1018</v>
      </c>
      <c r="G2510" t="s">
        <v>112</v>
      </c>
      <c r="J2510" t="s">
        <v>113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R2510" t="s">
        <v>114</v>
      </c>
      <c r="S2510" t="str">
        <f>"19:16:42.211"</f>
        <v>19:16:42.211</v>
      </c>
      <c r="T2510" t="str">
        <f>"19:16:42.211"</f>
        <v>19:16:42.211</v>
      </c>
      <c r="U2510" t="str">
        <f t="shared" si="118"/>
        <v>a1cdbe</v>
      </c>
      <c r="V2510">
        <v>0</v>
      </c>
      <c r="W2510">
        <v>0</v>
      </c>
      <c r="X2510">
        <v>1</v>
      </c>
      <c r="Y2510">
        <v>0</v>
      </c>
      <c r="Z2510">
        <v>0</v>
      </c>
      <c r="AB2510">
        <v>0</v>
      </c>
      <c r="AC2510">
        <v>9</v>
      </c>
      <c r="AD2510">
        <v>3</v>
      </c>
      <c r="AE2510">
        <v>0</v>
      </c>
      <c r="AF2510">
        <v>9</v>
      </c>
      <c r="AG2510" t="s">
        <v>158</v>
      </c>
      <c r="AH2510">
        <v>0</v>
      </c>
      <c r="AI2510">
        <v>3</v>
      </c>
      <c r="AJ2510">
        <v>1</v>
      </c>
      <c r="AK2510">
        <v>0</v>
      </c>
      <c r="AL2510" t="s">
        <v>4726</v>
      </c>
      <c r="AM2510">
        <v>46.928657999999999</v>
      </c>
      <c r="AN2510" t="s">
        <v>4727</v>
      </c>
      <c r="AO2510">
        <v>-123.282866</v>
      </c>
      <c r="AP2510">
        <v>100</v>
      </c>
      <c r="AQ2510">
        <v>2000</v>
      </c>
      <c r="AR2510" t="s">
        <v>118</v>
      </c>
      <c r="AS2510">
        <v>-60</v>
      </c>
      <c r="AT2510">
        <v>41</v>
      </c>
      <c r="AU2510">
        <v>-64</v>
      </c>
      <c r="BC2510">
        <v>1200</v>
      </c>
      <c r="BD2510">
        <v>1</v>
      </c>
      <c r="BE2510" t="str">
        <f t="shared" si="119"/>
        <v xml:space="preserve">N215T   </v>
      </c>
      <c r="BF2510">
        <v>1</v>
      </c>
      <c r="BH2510">
        <v>0</v>
      </c>
      <c r="BI2510">
        <v>0</v>
      </c>
      <c r="BJ2510">
        <v>0</v>
      </c>
      <c r="BK2510">
        <v>2325</v>
      </c>
      <c r="BL2510">
        <v>325</v>
      </c>
      <c r="BM2510" t="s">
        <v>119</v>
      </c>
      <c r="BN2510">
        <v>1</v>
      </c>
      <c r="BO2510">
        <v>1</v>
      </c>
      <c r="BP2510">
        <v>1</v>
      </c>
      <c r="BQ2510">
        <v>0</v>
      </c>
      <c r="BT2510">
        <v>0</v>
      </c>
      <c r="BU2510">
        <v>0</v>
      </c>
      <c r="BV2510">
        <v>0</v>
      </c>
      <c r="CC2510" t="str">
        <f>"19:16:42.219"</f>
        <v>19:16:42.219</v>
      </c>
      <c r="CD2510" t="str">
        <f>"215542891"</f>
        <v>215542891</v>
      </c>
      <c r="CQ2510">
        <v>0</v>
      </c>
      <c r="CR2510">
        <v>2</v>
      </c>
      <c r="CS2510">
        <v>0</v>
      </c>
      <c r="CT2510">
        <v>2</v>
      </c>
      <c r="CU2510">
        <v>0</v>
      </c>
      <c r="CV2510">
        <v>7</v>
      </c>
      <c r="CW2510" t="s">
        <v>120</v>
      </c>
      <c r="CX2510">
        <v>261</v>
      </c>
      <c r="CY2510">
        <v>2</v>
      </c>
      <c r="CZ2510" t="s">
        <v>121</v>
      </c>
      <c r="DA2510" t="s">
        <v>122</v>
      </c>
      <c r="DD2510">
        <v>15803587</v>
      </c>
      <c r="DE2510" t="s">
        <v>123</v>
      </c>
    </row>
    <row r="2511" spans="1:109" x14ac:dyDescent="0.3">
      <c r="A2511" t="str">
        <f>"19:16:43.320"</f>
        <v>19:16:43.320</v>
      </c>
      <c r="B2511" t="s">
        <v>110</v>
      </c>
      <c r="C2511" t="str">
        <f t="shared" si="117"/>
        <v>ffdfd3c0</v>
      </c>
      <c r="D2511" t="s">
        <v>111</v>
      </c>
      <c r="E2511">
        <v>18</v>
      </c>
      <c r="F2511">
        <v>1018</v>
      </c>
      <c r="G2511" t="s">
        <v>112</v>
      </c>
      <c r="J2511" t="s">
        <v>113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R2511" t="s">
        <v>114</v>
      </c>
      <c r="S2511" t="str">
        <f>"19:16:43.109"</f>
        <v>19:16:43.109</v>
      </c>
      <c r="T2511" t="str">
        <f>"19:16:42.711"</f>
        <v>19:16:42.711</v>
      </c>
      <c r="U2511" t="str">
        <f t="shared" si="118"/>
        <v>a1cdbe</v>
      </c>
      <c r="V2511">
        <v>0</v>
      </c>
      <c r="W2511">
        <v>0</v>
      </c>
      <c r="X2511">
        <v>1</v>
      </c>
      <c r="Y2511">
        <v>0</v>
      </c>
      <c r="Z2511">
        <v>0</v>
      </c>
      <c r="AB2511">
        <v>0</v>
      </c>
      <c r="AC2511">
        <v>9</v>
      </c>
      <c r="AD2511">
        <v>3</v>
      </c>
      <c r="AE2511">
        <v>0</v>
      </c>
      <c r="AF2511">
        <v>9</v>
      </c>
      <c r="AG2511" t="s">
        <v>158</v>
      </c>
      <c r="AH2511">
        <v>0</v>
      </c>
      <c r="AI2511">
        <v>3</v>
      </c>
      <c r="AJ2511">
        <v>1</v>
      </c>
      <c r="AK2511">
        <v>0</v>
      </c>
      <c r="AL2511" t="s">
        <v>4728</v>
      </c>
      <c r="AM2511">
        <v>46.928809000000001</v>
      </c>
      <c r="AN2511" t="s">
        <v>4729</v>
      </c>
      <c r="AO2511">
        <v>-123.283231</v>
      </c>
      <c r="AP2511">
        <v>100</v>
      </c>
      <c r="AQ2511">
        <v>2000</v>
      </c>
      <c r="AR2511" t="s">
        <v>118</v>
      </c>
      <c r="AS2511">
        <v>-61</v>
      </c>
      <c r="AT2511">
        <v>41</v>
      </c>
      <c r="AU2511">
        <v>-64</v>
      </c>
      <c r="BC2511">
        <v>1200</v>
      </c>
      <c r="BD2511">
        <v>1</v>
      </c>
      <c r="BE2511" t="str">
        <f t="shared" si="119"/>
        <v xml:space="preserve">N215T   </v>
      </c>
      <c r="BF2511">
        <v>1</v>
      </c>
      <c r="BH2511">
        <v>0</v>
      </c>
      <c r="BI2511">
        <v>0</v>
      </c>
      <c r="BJ2511">
        <v>0</v>
      </c>
      <c r="BK2511">
        <v>2325</v>
      </c>
      <c r="BL2511">
        <v>325</v>
      </c>
      <c r="BM2511" t="s">
        <v>119</v>
      </c>
      <c r="BN2511">
        <v>1</v>
      </c>
      <c r="BO2511">
        <v>1</v>
      </c>
      <c r="BP2511">
        <v>1</v>
      </c>
      <c r="BQ2511">
        <v>0</v>
      </c>
      <c r="BT2511">
        <v>0</v>
      </c>
      <c r="BU2511">
        <v>0</v>
      </c>
      <c r="BV2511">
        <v>0</v>
      </c>
      <c r="CC2511" t="str">
        <f>"19:16:43.117"</f>
        <v>19:16:43.117</v>
      </c>
      <c r="CD2511" t="str">
        <f>"115454238"</f>
        <v>115454238</v>
      </c>
      <c r="CQ2511">
        <v>0</v>
      </c>
      <c r="CR2511">
        <v>2</v>
      </c>
      <c r="CS2511">
        <v>0</v>
      </c>
      <c r="CT2511">
        <v>2</v>
      </c>
      <c r="CU2511">
        <v>0</v>
      </c>
      <c r="CV2511">
        <v>7</v>
      </c>
      <c r="CW2511" t="s">
        <v>120</v>
      </c>
      <c r="CX2511">
        <v>261</v>
      </c>
      <c r="CY2511">
        <v>2</v>
      </c>
      <c r="CZ2511" t="s">
        <v>121</v>
      </c>
      <c r="DA2511" t="s">
        <v>122</v>
      </c>
      <c r="DD2511">
        <v>15804257</v>
      </c>
      <c r="DE2511" t="s">
        <v>123</v>
      </c>
    </row>
    <row r="2512" spans="1:109" x14ac:dyDescent="0.3">
      <c r="A2512" t="str">
        <f>"19:16:44.383"</f>
        <v>19:16:44.383</v>
      </c>
      <c r="B2512" t="s">
        <v>110</v>
      </c>
      <c r="C2512" t="str">
        <f t="shared" si="117"/>
        <v>ffdfd3c0</v>
      </c>
      <c r="D2512" t="s">
        <v>111</v>
      </c>
      <c r="E2512">
        <v>18</v>
      </c>
      <c r="F2512">
        <v>1018</v>
      </c>
      <c r="G2512" t="s">
        <v>112</v>
      </c>
      <c r="J2512" t="s">
        <v>113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R2512" t="s">
        <v>114</v>
      </c>
      <c r="S2512" t="str">
        <f>"19:16:44.164"</f>
        <v>19:16:44.164</v>
      </c>
      <c r="T2512" t="str">
        <f>"19:16:43.766"</f>
        <v>19:16:43.766</v>
      </c>
      <c r="U2512" t="str">
        <f t="shared" si="118"/>
        <v>a1cdbe</v>
      </c>
      <c r="V2512">
        <v>0</v>
      </c>
      <c r="W2512">
        <v>0</v>
      </c>
      <c r="X2512">
        <v>1</v>
      </c>
      <c r="Y2512">
        <v>0</v>
      </c>
      <c r="Z2512">
        <v>0</v>
      </c>
      <c r="AB2512">
        <v>0</v>
      </c>
      <c r="AC2512">
        <v>9</v>
      </c>
      <c r="AD2512">
        <v>3</v>
      </c>
      <c r="AE2512">
        <v>0</v>
      </c>
      <c r="AF2512">
        <v>9</v>
      </c>
      <c r="AG2512" t="s">
        <v>158</v>
      </c>
      <c r="AH2512">
        <v>0</v>
      </c>
      <c r="AI2512">
        <v>3</v>
      </c>
      <c r="AJ2512">
        <v>1</v>
      </c>
      <c r="AK2512">
        <v>0</v>
      </c>
      <c r="AL2512" t="s">
        <v>4730</v>
      </c>
      <c r="AM2512">
        <v>46.929023000000001</v>
      </c>
      <c r="AN2512" t="s">
        <v>4731</v>
      </c>
      <c r="AO2512">
        <v>-123.28363899999999</v>
      </c>
      <c r="AP2512">
        <v>100</v>
      </c>
      <c r="AQ2512">
        <v>1900</v>
      </c>
      <c r="AR2512" t="s">
        <v>118</v>
      </c>
      <c r="AS2512">
        <v>-61</v>
      </c>
      <c r="AT2512">
        <v>41</v>
      </c>
      <c r="AU2512">
        <v>-64</v>
      </c>
      <c r="BC2512">
        <v>1200</v>
      </c>
      <c r="BD2512">
        <v>1</v>
      </c>
      <c r="BE2512" t="str">
        <f t="shared" si="119"/>
        <v xml:space="preserve">N215T   </v>
      </c>
      <c r="BF2512">
        <v>1</v>
      </c>
      <c r="BH2512">
        <v>0</v>
      </c>
      <c r="BI2512">
        <v>0</v>
      </c>
      <c r="BJ2512">
        <v>0</v>
      </c>
      <c r="BK2512">
        <v>2325</v>
      </c>
      <c r="BL2512">
        <v>425</v>
      </c>
      <c r="BM2512" t="s">
        <v>119</v>
      </c>
      <c r="BN2512">
        <v>1</v>
      </c>
      <c r="BO2512">
        <v>1</v>
      </c>
      <c r="BP2512">
        <v>1</v>
      </c>
      <c r="BQ2512">
        <v>0</v>
      </c>
      <c r="BT2512">
        <v>0</v>
      </c>
      <c r="BU2512">
        <v>0</v>
      </c>
      <c r="BV2512">
        <v>0</v>
      </c>
      <c r="CC2512" t="str">
        <f>"19:16:44.164"</f>
        <v>19:16:44.164</v>
      </c>
      <c r="CD2512" t="str">
        <f>"165350797"</f>
        <v>165350797</v>
      </c>
      <c r="CQ2512">
        <v>0</v>
      </c>
      <c r="CR2512">
        <v>2</v>
      </c>
      <c r="CS2512">
        <v>0</v>
      </c>
      <c r="CT2512">
        <v>2</v>
      </c>
      <c r="CU2512">
        <v>0</v>
      </c>
      <c r="CV2512">
        <v>7</v>
      </c>
      <c r="CW2512" t="s">
        <v>120</v>
      </c>
      <c r="CX2512">
        <v>261</v>
      </c>
      <c r="CY2512">
        <v>2</v>
      </c>
      <c r="CZ2512" t="s">
        <v>121</v>
      </c>
      <c r="DA2512" t="s">
        <v>122</v>
      </c>
      <c r="DD2512">
        <v>15805035</v>
      </c>
      <c r="DE2512" t="s">
        <v>123</v>
      </c>
    </row>
    <row r="2513" spans="1:109" x14ac:dyDescent="0.3">
      <c r="A2513" t="str">
        <f>"19:16:45.289"</f>
        <v>19:16:45.289</v>
      </c>
      <c r="B2513" t="s">
        <v>110</v>
      </c>
      <c r="C2513" t="str">
        <f t="shared" si="117"/>
        <v>ffdfd3c0</v>
      </c>
      <c r="D2513" t="s">
        <v>111</v>
      </c>
      <c r="E2513">
        <v>18</v>
      </c>
      <c r="F2513">
        <v>1018</v>
      </c>
      <c r="G2513" t="s">
        <v>112</v>
      </c>
      <c r="J2513" t="s">
        <v>113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R2513" t="s">
        <v>114</v>
      </c>
      <c r="S2513" t="str">
        <f>"19:16:45.063"</f>
        <v>19:16:45.063</v>
      </c>
      <c r="T2513" t="str">
        <f>"19:16:44.766"</f>
        <v>19:16:44.766</v>
      </c>
      <c r="U2513" t="str">
        <f t="shared" si="118"/>
        <v>a1cdbe</v>
      </c>
      <c r="V2513">
        <v>0</v>
      </c>
      <c r="W2513">
        <v>0</v>
      </c>
      <c r="X2513">
        <v>1</v>
      </c>
      <c r="Y2513">
        <v>0</v>
      </c>
      <c r="Z2513">
        <v>0</v>
      </c>
      <c r="AB2513">
        <v>0</v>
      </c>
      <c r="AC2513">
        <v>9</v>
      </c>
      <c r="AD2513">
        <v>3</v>
      </c>
      <c r="AE2513">
        <v>0</v>
      </c>
      <c r="AF2513">
        <v>9</v>
      </c>
      <c r="AG2513" t="s">
        <v>158</v>
      </c>
      <c r="AH2513">
        <v>0</v>
      </c>
      <c r="AI2513">
        <v>3</v>
      </c>
      <c r="AJ2513">
        <v>1</v>
      </c>
      <c r="AK2513">
        <v>0</v>
      </c>
      <c r="AL2513" t="s">
        <v>1225</v>
      </c>
      <c r="AM2513">
        <v>46.929172999999999</v>
      </c>
      <c r="AN2513" t="s">
        <v>4732</v>
      </c>
      <c r="AO2513">
        <v>-123.284068</v>
      </c>
      <c r="AP2513">
        <v>100</v>
      </c>
      <c r="AQ2513">
        <v>1900</v>
      </c>
      <c r="AR2513" t="s">
        <v>118</v>
      </c>
      <c r="AS2513">
        <v>-61</v>
      </c>
      <c r="AT2513">
        <v>41</v>
      </c>
      <c r="AU2513">
        <v>-64</v>
      </c>
      <c r="BC2513">
        <v>1200</v>
      </c>
      <c r="BD2513">
        <v>1</v>
      </c>
      <c r="BE2513" t="str">
        <f t="shared" si="119"/>
        <v xml:space="preserve">N215T   </v>
      </c>
      <c r="BF2513">
        <v>1</v>
      </c>
      <c r="BH2513">
        <v>0</v>
      </c>
      <c r="BI2513">
        <v>0</v>
      </c>
      <c r="BJ2513">
        <v>0</v>
      </c>
      <c r="BK2513">
        <v>2325</v>
      </c>
      <c r="BL2513">
        <v>425</v>
      </c>
      <c r="BM2513" t="s">
        <v>119</v>
      </c>
      <c r="BN2513">
        <v>1</v>
      </c>
      <c r="BO2513">
        <v>1</v>
      </c>
      <c r="BP2513">
        <v>1</v>
      </c>
      <c r="BQ2513">
        <v>0</v>
      </c>
      <c r="BT2513">
        <v>0</v>
      </c>
      <c r="BU2513">
        <v>0</v>
      </c>
      <c r="BV2513">
        <v>0</v>
      </c>
      <c r="CC2513" t="str">
        <f>"19:16:45.063"</f>
        <v>19:16:45.063</v>
      </c>
      <c r="CD2513" t="str">
        <f>"065262112"</f>
        <v>065262112</v>
      </c>
      <c r="CQ2513">
        <v>0</v>
      </c>
      <c r="CR2513">
        <v>2</v>
      </c>
      <c r="CS2513">
        <v>0</v>
      </c>
      <c r="CT2513">
        <v>2</v>
      </c>
      <c r="CU2513">
        <v>0</v>
      </c>
      <c r="CV2513">
        <v>6</v>
      </c>
      <c r="CW2513" t="s">
        <v>120</v>
      </c>
      <c r="CX2513">
        <v>261</v>
      </c>
      <c r="CY2513">
        <v>3</v>
      </c>
      <c r="CZ2513" t="s">
        <v>121</v>
      </c>
      <c r="DA2513" t="s">
        <v>122</v>
      </c>
      <c r="DD2513">
        <v>3794394</v>
      </c>
      <c r="DE2513" t="s">
        <v>123</v>
      </c>
    </row>
    <row r="2514" spans="1:109" x14ac:dyDescent="0.3">
      <c r="A2514" t="str">
        <f>"19:16:46.344"</f>
        <v>19:16:46.344</v>
      </c>
      <c r="B2514" t="s">
        <v>110</v>
      </c>
      <c r="C2514" t="str">
        <f t="shared" si="117"/>
        <v>ffdfd3c0</v>
      </c>
      <c r="D2514" t="s">
        <v>111</v>
      </c>
      <c r="E2514">
        <v>18</v>
      </c>
      <c r="F2514">
        <v>1018</v>
      </c>
      <c r="G2514" t="s">
        <v>112</v>
      </c>
      <c r="J2514" t="s">
        <v>113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R2514" t="s">
        <v>114</v>
      </c>
      <c r="S2514" t="str">
        <f>"19:16:46.109"</f>
        <v>19:16:46.109</v>
      </c>
      <c r="T2514" t="str">
        <f>"19:16:46.109"</f>
        <v>19:16:46.109</v>
      </c>
      <c r="U2514" t="str">
        <f t="shared" si="118"/>
        <v>a1cdbe</v>
      </c>
      <c r="V2514">
        <v>0</v>
      </c>
      <c r="W2514">
        <v>0</v>
      </c>
      <c r="X2514">
        <v>1</v>
      </c>
      <c r="Y2514">
        <v>0</v>
      </c>
      <c r="Z2514">
        <v>0</v>
      </c>
      <c r="AB2514">
        <v>0</v>
      </c>
      <c r="AC2514">
        <v>9</v>
      </c>
      <c r="AD2514">
        <v>3</v>
      </c>
      <c r="AE2514">
        <v>0</v>
      </c>
      <c r="AF2514">
        <v>9</v>
      </c>
      <c r="AG2514" t="s">
        <v>158</v>
      </c>
      <c r="AH2514">
        <v>0</v>
      </c>
      <c r="AI2514">
        <v>3</v>
      </c>
      <c r="AJ2514">
        <v>1</v>
      </c>
      <c r="AK2514">
        <v>0</v>
      </c>
      <c r="AL2514" t="s">
        <v>4733</v>
      </c>
      <c r="AM2514">
        <v>46.929388000000003</v>
      </c>
      <c r="AN2514" t="s">
        <v>4734</v>
      </c>
      <c r="AO2514">
        <v>-123.284454</v>
      </c>
      <c r="AP2514">
        <v>100</v>
      </c>
      <c r="AQ2514">
        <v>1900</v>
      </c>
      <c r="AR2514" t="s">
        <v>118</v>
      </c>
      <c r="AS2514">
        <v>-61</v>
      </c>
      <c r="AT2514">
        <v>41</v>
      </c>
      <c r="AU2514">
        <v>-64</v>
      </c>
      <c r="BC2514">
        <v>1200</v>
      </c>
      <c r="BD2514">
        <v>1</v>
      </c>
      <c r="BE2514" t="str">
        <f t="shared" si="119"/>
        <v xml:space="preserve">N215T   </v>
      </c>
      <c r="BF2514">
        <v>1</v>
      </c>
      <c r="BH2514">
        <v>0</v>
      </c>
      <c r="BI2514">
        <v>0</v>
      </c>
      <c r="BJ2514">
        <v>0</v>
      </c>
      <c r="BK2514">
        <v>2325</v>
      </c>
      <c r="BL2514">
        <v>425</v>
      </c>
      <c r="BM2514" t="s">
        <v>119</v>
      </c>
      <c r="BN2514">
        <v>1</v>
      </c>
      <c r="BO2514">
        <v>1</v>
      </c>
      <c r="BP2514">
        <v>1</v>
      </c>
      <c r="BQ2514">
        <v>0</v>
      </c>
      <c r="BT2514">
        <v>0</v>
      </c>
      <c r="BU2514">
        <v>0</v>
      </c>
      <c r="BV2514">
        <v>0</v>
      </c>
      <c r="CC2514" t="str">
        <f>"19:16:46.117"</f>
        <v>19:16:46.117</v>
      </c>
      <c r="CD2514" t="str">
        <f>"115158691"</f>
        <v>115158691</v>
      </c>
      <c r="CQ2514">
        <v>0</v>
      </c>
      <c r="CR2514">
        <v>2</v>
      </c>
      <c r="CS2514">
        <v>0</v>
      </c>
      <c r="CT2514">
        <v>2</v>
      </c>
      <c r="CU2514">
        <v>0</v>
      </c>
      <c r="CV2514">
        <v>7</v>
      </c>
      <c r="CW2514" t="s">
        <v>120</v>
      </c>
      <c r="CX2514">
        <v>261</v>
      </c>
      <c r="CY2514">
        <v>2</v>
      </c>
      <c r="CZ2514" t="s">
        <v>121</v>
      </c>
      <c r="DA2514" t="s">
        <v>122</v>
      </c>
      <c r="DD2514">
        <v>15806431</v>
      </c>
      <c r="DE2514" t="s">
        <v>123</v>
      </c>
    </row>
    <row r="2515" spans="1:109" x14ac:dyDescent="0.3">
      <c r="A2515" t="str">
        <f>"19:16:47.344"</f>
        <v>19:16:47.344</v>
      </c>
      <c r="B2515" t="s">
        <v>110</v>
      </c>
      <c r="C2515" t="str">
        <f t="shared" si="117"/>
        <v>ffdfd3c0</v>
      </c>
      <c r="D2515" t="s">
        <v>111</v>
      </c>
      <c r="E2515">
        <v>18</v>
      </c>
      <c r="F2515">
        <v>1018</v>
      </c>
      <c r="G2515" t="s">
        <v>112</v>
      </c>
      <c r="J2515" t="s">
        <v>113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R2515" t="s">
        <v>114</v>
      </c>
      <c r="S2515" t="str">
        <f>"19:16:47.070"</f>
        <v>19:16:47.070</v>
      </c>
      <c r="T2515" t="str">
        <f>"19:16:46.672"</f>
        <v>19:16:46.672</v>
      </c>
      <c r="U2515" t="str">
        <f t="shared" si="118"/>
        <v>a1cdbe</v>
      </c>
      <c r="V2515">
        <v>0</v>
      </c>
      <c r="W2515">
        <v>0</v>
      </c>
      <c r="X2515">
        <v>1</v>
      </c>
      <c r="Y2515">
        <v>0</v>
      </c>
      <c r="Z2515">
        <v>0</v>
      </c>
      <c r="AB2515">
        <v>0</v>
      </c>
      <c r="AC2515">
        <v>9</v>
      </c>
      <c r="AD2515">
        <v>3</v>
      </c>
      <c r="AE2515">
        <v>0</v>
      </c>
      <c r="AF2515">
        <v>9</v>
      </c>
      <c r="AG2515" t="s">
        <v>158</v>
      </c>
      <c r="AH2515">
        <v>0</v>
      </c>
      <c r="AI2515">
        <v>3</v>
      </c>
      <c r="AJ2515">
        <v>1</v>
      </c>
      <c r="AK2515">
        <v>0</v>
      </c>
      <c r="AL2515" t="s">
        <v>4735</v>
      </c>
      <c r="AM2515">
        <v>46.929538000000001</v>
      </c>
      <c r="AN2515" t="s">
        <v>4736</v>
      </c>
      <c r="AO2515">
        <v>-123.284841</v>
      </c>
      <c r="AP2515">
        <v>100</v>
      </c>
      <c r="AQ2515">
        <v>1900</v>
      </c>
      <c r="AR2515" t="s">
        <v>118</v>
      </c>
      <c r="AS2515">
        <v>-61</v>
      </c>
      <c r="AT2515">
        <v>41</v>
      </c>
      <c r="AU2515">
        <v>-64</v>
      </c>
      <c r="BC2515">
        <v>1200</v>
      </c>
      <c r="BD2515">
        <v>1</v>
      </c>
      <c r="BE2515" t="str">
        <f t="shared" si="119"/>
        <v xml:space="preserve">N215T   </v>
      </c>
      <c r="BF2515">
        <v>1</v>
      </c>
      <c r="BH2515">
        <v>0</v>
      </c>
      <c r="BI2515">
        <v>0</v>
      </c>
      <c r="BJ2515">
        <v>0</v>
      </c>
      <c r="BK2515">
        <v>2325</v>
      </c>
      <c r="BL2515">
        <v>425</v>
      </c>
      <c r="BM2515" t="s">
        <v>119</v>
      </c>
      <c r="BN2515">
        <v>1</v>
      </c>
      <c r="BO2515">
        <v>1</v>
      </c>
      <c r="BP2515">
        <v>1</v>
      </c>
      <c r="BQ2515">
        <v>0</v>
      </c>
      <c r="BT2515">
        <v>0</v>
      </c>
      <c r="BU2515">
        <v>0</v>
      </c>
      <c r="BV2515">
        <v>0</v>
      </c>
      <c r="CC2515" t="str">
        <f>"19:16:47.078"</f>
        <v>19:16:47.078</v>
      </c>
      <c r="CD2515" t="str">
        <f>"075064131"</f>
        <v>075064131</v>
      </c>
      <c r="CQ2515">
        <v>0</v>
      </c>
      <c r="CR2515">
        <v>2</v>
      </c>
      <c r="CS2515">
        <v>0</v>
      </c>
      <c r="CT2515">
        <v>2</v>
      </c>
      <c r="CU2515">
        <v>0</v>
      </c>
      <c r="CV2515">
        <v>7</v>
      </c>
      <c r="CW2515" t="s">
        <v>120</v>
      </c>
      <c r="CX2515">
        <v>261</v>
      </c>
      <c r="CY2515">
        <v>2</v>
      </c>
      <c r="CZ2515" t="s">
        <v>121</v>
      </c>
      <c r="DA2515" t="s">
        <v>122</v>
      </c>
      <c r="DD2515">
        <v>15807140</v>
      </c>
      <c r="DE2515" t="s">
        <v>123</v>
      </c>
    </row>
    <row r="2516" spans="1:109" x14ac:dyDescent="0.3">
      <c r="A2516" t="str">
        <f>"19:16:48.352"</f>
        <v>19:16:48.352</v>
      </c>
      <c r="B2516" t="s">
        <v>110</v>
      </c>
      <c r="C2516" t="str">
        <f t="shared" si="117"/>
        <v>ffdfd3c0</v>
      </c>
      <c r="D2516" t="s">
        <v>111</v>
      </c>
      <c r="E2516">
        <v>18</v>
      </c>
      <c r="F2516">
        <v>1018</v>
      </c>
      <c r="G2516" t="s">
        <v>112</v>
      </c>
      <c r="J2516" t="s">
        <v>113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R2516" t="s">
        <v>114</v>
      </c>
      <c r="S2516" t="str">
        <f>"19:16:48.148"</f>
        <v>19:16:48.148</v>
      </c>
      <c r="T2516" t="str">
        <f>"19:16:47.750"</f>
        <v>19:16:47.750</v>
      </c>
      <c r="U2516" t="str">
        <f t="shared" si="118"/>
        <v>a1cdbe</v>
      </c>
      <c r="V2516">
        <v>0</v>
      </c>
      <c r="W2516">
        <v>0</v>
      </c>
      <c r="X2516">
        <v>1</v>
      </c>
      <c r="Y2516">
        <v>0</v>
      </c>
      <c r="Z2516">
        <v>0</v>
      </c>
      <c r="AB2516">
        <v>0</v>
      </c>
      <c r="AC2516">
        <v>9</v>
      </c>
      <c r="AD2516">
        <v>3</v>
      </c>
      <c r="AE2516">
        <v>0</v>
      </c>
      <c r="AF2516">
        <v>9</v>
      </c>
      <c r="AG2516" t="s">
        <v>158</v>
      </c>
      <c r="AH2516">
        <v>0</v>
      </c>
      <c r="AI2516">
        <v>3</v>
      </c>
      <c r="AJ2516">
        <v>1</v>
      </c>
      <c r="AK2516">
        <v>0</v>
      </c>
      <c r="AL2516" t="s">
        <v>4737</v>
      </c>
      <c r="AM2516">
        <v>46.929774000000002</v>
      </c>
      <c r="AN2516" t="s">
        <v>4738</v>
      </c>
      <c r="AO2516">
        <v>-123.28533400000001</v>
      </c>
      <c r="AP2516">
        <v>100</v>
      </c>
      <c r="AQ2516">
        <v>1900</v>
      </c>
      <c r="AR2516" t="s">
        <v>118</v>
      </c>
      <c r="AS2516">
        <v>-62</v>
      </c>
      <c r="AT2516">
        <v>41</v>
      </c>
      <c r="AU2516">
        <v>-64</v>
      </c>
      <c r="BC2516">
        <v>1200</v>
      </c>
      <c r="BD2516">
        <v>1</v>
      </c>
      <c r="BE2516" t="str">
        <f t="shared" si="119"/>
        <v xml:space="preserve">N215T   </v>
      </c>
      <c r="BF2516">
        <v>1</v>
      </c>
      <c r="BH2516">
        <v>0</v>
      </c>
      <c r="BI2516">
        <v>0</v>
      </c>
      <c r="BJ2516">
        <v>0</v>
      </c>
      <c r="BK2516">
        <v>2325</v>
      </c>
      <c r="BL2516">
        <v>425</v>
      </c>
      <c r="BM2516" t="s">
        <v>119</v>
      </c>
      <c r="BN2516">
        <v>1</v>
      </c>
      <c r="BO2516">
        <v>1</v>
      </c>
      <c r="BP2516">
        <v>1</v>
      </c>
      <c r="BQ2516">
        <v>0</v>
      </c>
      <c r="BT2516">
        <v>0</v>
      </c>
      <c r="BU2516">
        <v>0</v>
      </c>
      <c r="BV2516">
        <v>0</v>
      </c>
      <c r="CC2516" t="str">
        <f>"19:16:48.156"</f>
        <v>19:16:48.156</v>
      </c>
      <c r="CD2516" t="str">
        <f>"154957728"</f>
        <v>154957728</v>
      </c>
      <c r="CQ2516">
        <v>0</v>
      </c>
      <c r="CR2516">
        <v>2</v>
      </c>
      <c r="CS2516">
        <v>0</v>
      </c>
      <c r="CT2516">
        <v>2</v>
      </c>
      <c r="CU2516">
        <v>0</v>
      </c>
      <c r="CV2516">
        <v>6</v>
      </c>
      <c r="CW2516" t="s">
        <v>120</v>
      </c>
      <c r="CX2516">
        <v>261</v>
      </c>
      <c r="CY2516">
        <v>2</v>
      </c>
      <c r="CZ2516" t="s">
        <v>121</v>
      </c>
      <c r="DA2516" t="s">
        <v>122</v>
      </c>
      <c r="DD2516">
        <v>15807922</v>
      </c>
      <c r="DE2516" t="s">
        <v>123</v>
      </c>
    </row>
    <row r="2517" spans="1:109" x14ac:dyDescent="0.3">
      <c r="A2517" t="str">
        <f>"19:16:49.461"</f>
        <v>19:16:49.461</v>
      </c>
      <c r="B2517" t="s">
        <v>110</v>
      </c>
      <c r="C2517" t="str">
        <f t="shared" si="117"/>
        <v>ffdfd3c0</v>
      </c>
      <c r="D2517" t="s">
        <v>111</v>
      </c>
      <c r="E2517">
        <v>18</v>
      </c>
      <c r="F2517">
        <v>1018</v>
      </c>
      <c r="G2517" t="s">
        <v>112</v>
      </c>
      <c r="J2517" t="s">
        <v>113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R2517" t="s">
        <v>114</v>
      </c>
      <c r="S2517" t="str">
        <f>"19:16:49.234"</f>
        <v>19:16:49.234</v>
      </c>
      <c r="T2517" t="str">
        <f>"19:16:49.133"</f>
        <v>19:16:49.133</v>
      </c>
      <c r="U2517" t="str">
        <f t="shared" si="118"/>
        <v>a1cdbe</v>
      </c>
      <c r="V2517">
        <v>0</v>
      </c>
      <c r="W2517">
        <v>0</v>
      </c>
      <c r="X2517">
        <v>1</v>
      </c>
      <c r="Y2517">
        <v>0</v>
      </c>
      <c r="Z2517">
        <v>0</v>
      </c>
      <c r="AB2517">
        <v>0</v>
      </c>
      <c r="AC2517">
        <v>9</v>
      </c>
      <c r="AD2517">
        <v>3</v>
      </c>
      <c r="AE2517">
        <v>0</v>
      </c>
      <c r="AF2517">
        <v>9</v>
      </c>
      <c r="AG2517" t="s">
        <v>158</v>
      </c>
      <c r="AH2517">
        <v>0</v>
      </c>
      <c r="AI2517">
        <v>3</v>
      </c>
      <c r="AJ2517">
        <v>1</v>
      </c>
      <c r="AK2517">
        <v>0</v>
      </c>
      <c r="AL2517" t="s">
        <v>4739</v>
      </c>
      <c r="AM2517">
        <v>46.929966999999998</v>
      </c>
      <c r="AN2517" t="s">
        <v>4740</v>
      </c>
      <c r="AO2517">
        <v>-123.285763</v>
      </c>
      <c r="AP2517">
        <v>100</v>
      </c>
      <c r="AQ2517">
        <v>1900</v>
      </c>
      <c r="AR2517" t="s">
        <v>118</v>
      </c>
      <c r="AS2517">
        <v>-62</v>
      </c>
      <c r="AT2517">
        <v>41</v>
      </c>
      <c r="AU2517">
        <v>0</v>
      </c>
      <c r="BC2517">
        <v>1200</v>
      </c>
      <c r="BD2517">
        <v>1</v>
      </c>
      <c r="BE2517" t="str">
        <f t="shared" si="119"/>
        <v xml:space="preserve">N215T   </v>
      </c>
      <c r="BF2517">
        <v>1</v>
      </c>
      <c r="BH2517">
        <v>0</v>
      </c>
      <c r="BI2517">
        <v>0</v>
      </c>
      <c r="BJ2517">
        <v>0</v>
      </c>
      <c r="BK2517">
        <v>2325</v>
      </c>
      <c r="BL2517">
        <v>425</v>
      </c>
      <c r="BM2517" t="s">
        <v>119</v>
      </c>
      <c r="BN2517">
        <v>1</v>
      </c>
      <c r="BO2517">
        <v>1</v>
      </c>
      <c r="BP2517">
        <v>1</v>
      </c>
      <c r="BQ2517">
        <v>0</v>
      </c>
      <c r="BT2517">
        <v>0</v>
      </c>
      <c r="BU2517">
        <v>0</v>
      </c>
      <c r="BV2517">
        <v>0</v>
      </c>
      <c r="CC2517" t="str">
        <f>"19:16:49.234"</f>
        <v>19:16:49.234</v>
      </c>
      <c r="CD2517" t="str">
        <f>"234851344"</f>
        <v>234851344</v>
      </c>
      <c r="CQ2517">
        <v>0</v>
      </c>
      <c r="CR2517">
        <v>2</v>
      </c>
      <c r="CS2517">
        <v>0</v>
      </c>
      <c r="CT2517">
        <v>2</v>
      </c>
      <c r="CU2517">
        <v>0</v>
      </c>
      <c r="CV2517">
        <v>6</v>
      </c>
      <c r="CW2517" t="s">
        <v>120</v>
      </c>
      <c r="CX2517">
        <v>261</v>
      </c>
      <c r="CY2517">
        <v>2</v>
      </c>
      <c r="CZ2517" t="s">
        <v>121</v>
      </c>
      <c r="DA2517" t="s">
        <v>122</v>
      </c>
      <c r="DD2517">
        <v>15808705</v>
      </c>
      <c r="DE2517" t="s">
        <v>123</v>
      </c>
    </row>
    <row r="2518" spans="1:109" x14ac:dyDescent="0.3">
      <c r="A2518" t="str">
        <f>"19:16:50.359"</f>
        <v>19:16:50.359</v>
      </c>
      <c r="B2518" t="s">
        <v>110</v>
      </c>
      <c r="C2518" t="str">
        <f t="shared" si="117"/>
        <v>ffdfd3c0</v>
      </c>
      <c r="D2518" t="s">
        <v>111</v>
      </c>
      <c r="E2518">
        <v>18</v>
      </c>
      <c r="F2518">
        <v>1018</v>
      </c>
      <c r="G2518" t="s">
        <v>112</v>
      </c>
      <c r="J2518" t="s">
        <v>113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R2518" t="s">
        <v>114</v>
      </c>
      <c r="S2518" t="str">
        <f>"19:16:50.102"</f>
        <v>19:16:50.102</v>
      </c>
      <c r="T2518" t="str">
        <f>"19:16:49.703"</f>
        <v>19:16:49.703</v>
      </c>
      <c r="U2518" t="str">
        <f t="shared" si="118"/>
        <v>a1cdbe</v>
      </c>
      <c r="V2518">
        <v>0</v>
      </c>
      <c r="W2518">
        <v>0</v>
      </c>
      <c r="X2518">
        <v>1</v>
      </c>
      <c r="Y2518">
        <v>0</v>
      </c>
      <c r="Z2518">
        <v>0</v>
      </c>
      <c r="AB2518">
        <v>0</v>
      </c>
      <c r="AC2518">
        <v>9</v>
      </c>
      <c r="AD2518">
        <v>3</v>
      </c>
      <c r="AE2518">
        <v>0</v>
      </c>
      <c r="AF2518">
        <v>9</v>
      </c>
      <c r="AG2518" t="s">
        <v>158</v>
      </c>
      <c r="AH2518">
        <v>0</v>
      </c>
      <c r="AI2518">
        <v>3</v>
      </c>
      <c r="AJ2518">
        <v>1</v>
      </c>
      <c r="AK2518">
        <v>0</v>
      </c>
      <c r="AL2518" t="s">
        <v>4741</v>
      </c>
      <c r="AM2518">
        <v>46.930160999999998</v>
      </c>
      <c r="AN2518" t="s">
        <v>4742</v>
      </c>
      <c r="AO2518">
        <v>-123.286171</v>
      </c>
      <c r="AP2518">
        <v>100</v>
      </c>
      <c r="AQ2518">
        <v>1900</v>
      </c>
      <c r="AR2518" t="s">
        <v>118</v>
      </c>
      <c r="AS2518">
        <v>-62</v>
      </c>
      <c r="AT2518">
        <v>41</v>
      </c>
      <c r="AU2518">
        <v>0</v>
      </c>
      <c r="BC2518">
        <v>1200</v>
      </c>
      <c r="BD2518">
        <v>1</v>
      </c>
      <c r="BE2518" t="str">
        <f t="shared" si="119"/>
        <v xml:space="preserve">N215T   </v>
      </c>
      <c r="BF2518">
        <v>1</v>
      </c>
      <c r="BH2518">
        <v>0</v>
      </c>
      <c r="BI2518">
        <v>0</v>
      </c>
      <c r="BJ2518">
        <v>0</v>
      </c>
      <c r="BK2518">
        <v>2325</v>
      </c>
      <c r="BL2518">
        <v>425</v>
      </c>
      <c r="BM2518" t="s">
        <v>119</v>
      </c>
      <c r="BN2518">
        <v>1</v>
      </c>
      <c r="BO2518">
        <v>1</v>
      </c>
      <c r="BP2518">
        <v>1</v>
      </c>
      <c r="BQ2518">
        <v>0</v>
      </c>
      <c r="BT2518">
        <v>0</v>
      </c>
      <c r="BU2518">
        <v>0</v>
      </c>
      <c r="BV2518">
        <v>0</v>
      </c>
      <c r="CC2518" t="str">
        <f>"19:16:50.102"</f>
        <v>19:16:50.102</v>
      </c>
      <c r="CD2518" t="str">
        <f>"104765633"</f>
        <v>104765633</v>
      </c>
      <c r="CQ2518">
        <v>0</v>
      </c>
      <c r="CR2518">
        <v>2</v>
      </c>
      <c r="CS2518">
        <v>0</v>
      </c>
      <c r="CT2518">
        <v>2</v>
      </c>
      <c r="CU2518">
        <v>0</v>
      </c>
      <c r="CV2518">
        <v>6</v>
      </c>
      <c r="CW2518" t="s">
        <v>120</v>
      </c>
      <c r="CX2518">
        <v>261</v>
      </c>
      <c r="CY2518">
        <v>2</v>
      </c>
      <c r="CZ2518" t="s">
        <v>121</v>
      </c>
      <c r="DA2518" t="s">
        <v>122</v>
      </c>
      <c r="DD2518">
        <v>15809297</v>
      </c>
      <c r="DE2518" t="s">
        <v>123</v>
      </c>
    </row>
    <row r="2519" spans="1:109" x14ac:dyDescent="0.3">
      <c r="A2519" t="str">
        <f>"19:16:51.422"</f>
        <v>19:16:51.422</v>
      </c>
      <c r="B2519" t="s">
        <v>110</v>
      </c>
      <c r="C2519" t="str">
        <f t="shared" si="117"/>
        <v>ffdfd3c0</v>
      </c>
      <c r="D2519" t="s">
        <v>111</v>
      </c>
      <c r="E2519">
        <v>18</v>
      </c>
      <c r="F2519">
        <v>1018</v>
      </c>
      <c r="G2519" t="s">
        <v>112</v>
      </c>
      <c r="J2519" t="s">
        <v>113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R2519" t="s">
        <v>114</v>
      </c>
      <c r="S2519" t="str">
        <f>"19:16:51.211"</f>
        <v>19:16:51.211</v>
      </c>
      <c r="T2519" t="str">
        <f>"19:16:51.211"</f>
        <v>19:16:51.211</v>
      </c>
      <c r="U2519" t="str">
        <f t="shared" si="118"/>
        <v>a1cdbe</v>
      </c>
      <c r="V2519">
        <v>0</v>
      </c>
      <c r="W2519">
        <v>0</v>
      </c>
      <c r="X2519">
        <v>1</v>
      </c>
      <c r="Y2519">
        <v>0</v>
      </c>
      <c r="Z2519">
        <v>0</v>
      </c>
      <c r="AB2519">
        <v>0</v>
      </c>
      <c r="AC2519">
        <v>9</v>
      </c>
      <c r="AD2519">
        <v>3</v>
      </c>
      <c r="AE2519">
        <v>0</v>
      </c>
      <c r="AF2519">
        <v>9</v>
      </c>
      <c r="AG2519" t="s">
        <v>158</v>
      </c>
      <c r="AH2519">
        <v>0</v>
      </c>
      <c r="AI2519">
        <v>3</v>
      </c>
      <c r="AJ2519">
        <v>1</v>
      </c>
      <c r="AK2519">
        <v>0</v>
      </c>
      <c r="AL2519" t="s">
        <v>4743</v>
      </c>
      <c r="AM2519">
        <v>46.930354000000001</v>
      </c>
      <c r="AN2519" t="s">
        <v>4744</v>
      </c>
      <c r="AO2519">
        <v>-123.286579</v>
      </c>
      <c r="AP2519">
        <v>100</v>
      </c>
      <c r="AQ2519">
        <v>1900</v>
      </c>
      <c r="AR2519" t="s">
        <v>118</v>
      </c>
      <c r="AS2519">
        <v>-62</v>
      </c>
      <c r="AT2519">
        <v>41</v>
      </c>
      <c r="AU2519">
        <v>0</v>
      </c>
      <c r="BC2519">
        <v>1200</v>
      </c>
      <c r="BD2519">
        <v>1</v>
      </c>
      <c r="BE2519" t="str">
        <f t="shared" si="119"/>
        <v xml:space="preserve">N215T   </v>
      </c>
      <c r="BF2519">
        <v>1</v>
      </c>
      <c r="BH2519">
        <v>0</v>
      </c>
      <c r="BI2519">
        <v>0</v>
      </c>
      <c r="BJ2519">
        <v>0</v>
      </c>
      <c r="BK2519">
        <v>2325</v>
      </c>
      <c r="BL2519">
        <v>425</v>
      </c>
      <c r="BM2519" t="s">
        <v>119</v>
      </c>
      <c r="BN2519">
        <v>1</v>
      </c>
      <c r="BO2519">
        <v>1</v>
      </c>
      <c r="BP2519">
        <v>1</v>
      </c>
      <c r="BQ2519">
        <v>0</v>
      </c>
      <c r="BT2519">
        <v>0</v>
      </c>
      <c r="BU2519">
        <v>0</v>
      </c>
      <c r="BV2519">
        <v>0</v>
      </c>
      <c r="CC2519" t="str">
        <f>"19:16:51.211"</f>
        <v>19:16:51.211</v>
      </c>
      <c r="CD2519" t="str">
        <f>"214656291"</f>
        <v>214656291</v>
      </c>
      <c r="CQ2519">
        <v>0</v>
      </c>
      <c r="CR2519">
        <v>2</v>
      </c>
      <c r="CS2519">
        <v>0</v>
      </c>
      <c r="CT2519">
        <v>2</v>
      </c>
      <c r="CU2519">
        <v>0</v>
      </c>
      <c r="CV2519">
        <v>6</v>
      </c>
      <c r="CW2519" t="s">
        <v>120</v>
      </c>
      <c r="CX2519">
        <v>261</v>
      </c>
      <c r="CY2519">
        <v>2</v>
      </c>
      <c r="CZ2519" t="s">
        <v>121</v>
      </c>
      <c r="DA2519" t="s">
        <v>122</v>
      </c>
      <c r="DD2519">
        <v>15810056</v>
      </c>
      <c r="DE2519" t="s">
        <v>123</v>
      </c>
    </row>
    <row r="2520" spans="1:109" x14ac:dyDescent="0.3">
      <c r="A2520" t="str">
        <f>"19:16:52.375"</f>
        <v>19:16:52.375</v>
      </c>
      <c r="B2520" t="s">
        <v>110</v>
      </c>
      <c r="C2520" t="str">
        <f t="shared" si="117"/>
        <v>ffdfd3c0</v>
      </c>
      <c r="D2520" t="s">
        <v>111</v>
      </c>
      <c r="E2520">
        <v>18</v>
      </c>
      <c r="F2520">
        <v>1018</v>
      </c>
      <c r="G2520" t="s">
        <v>112</v>
      </c>
      <c r="J2520" t="s">
        <v>113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R2520" t="s">
        <v>114</v>
      </c>
      <c r="S2520" t="str">
        <f>"19:16:52.094"</f>
        <v>19:16:52.094</v>
      </c>
      <c r="T2520" t="str">
        <f>"19:16:51.594"</f>
        <v>19:16:51.594</v>
      </c>
      <c r="U2520" t="str">
        <f t="shared" si="118"/>
        <v>a1cdbe</v>
      </c>
      <c r="V2520">
        <v>0</v>
      </c>
      <c r="W2520">
        <v>0</v>
      </c>
      <c r="X2520">
        <v>1</v>
      </c>
      <c r="Y2520">
        <v>0</v>
      </c>
      <c r="Z2520">
        <v>0</v>
      </c>
      <c r="AB2520">
        <v>0</v>
      </c>
      <c r="AC2520">
        <v>9</v>
      </c>
      <c r="AD2520">
        <v>3</v>
      </c>
      <c r="AE2520">
        <v>0</v>
      </c>
      <c r="AF2520">
        <v>9</v>
      </c>
      <c r="AG2520" t="s">
        <v>158</v>
      </c>
      <c r="AH2520">
        <v>0</v>
      </c>
      <c r="AI2520">
        <v>3</v>
      </c>
      <c r="AJ2520">
        <v>1</v>
      </c>
      <c r="AK2520">
        <v>0</v>
      </c>
      <c r="AL2520" t="s">
        <v>4745</v>
      </c>
      <c r="AM2520">
        <v>46.930525000000003</v>
      </c>
      <c r="AN2520" t="s">
        <v>4746</v>
      </c>
      <c r="AO2520">
        <v>-123.286986</v>
      </c>
      <c r="AP2520">
        <v>100</v>
      </c>
      <c r="AQ2520">
        <v>1900</v>
      </c>
      <c r="AR2520" t="s">
        <v>118</v>
      </c>
      <c r="AS2520">
        <v>-62</v>
      </c>
      <c r="AT2520">
        <v>40</v>
      </c>
      <c r="AU2520">
        <v>0</v>
      </c>
      <c r="BC2520">
        <v>1200</v>
      </c>
      <c r="BD2520">
        <v>1</v>
      </c>
      <c r="BE2520" t="str">
        <f t="shared" si="119"/>
        <v xml:space="preserve">N215T   </v>
      </c>
      <c r="BF2520">
        <v>1</v>
      </c>
      <c r="BH2520">
        <v>0</v>
      </c>
      <c r="BI2520">
        <v>0</v>
      </c>
      <c r="BJ2520">
        <v>0</v>
      </c>
      <c r="BK2520">
        <v>2325</v>
      </c>
      <c r="BL2520">
        <v>425</v>
      </c>
      <c r="BM2520" t="s">
        <v>119</v>
      </c>
      <c r="BN2520">
        <v>1</v>
      </c>
      <c r="BO2520">
        <v>1</v>
      </c>
      <c r="BP2520">
        <v>1</v>
      </c>
      <c r="BQ2520">
        <v>0</v>
      </c>
      <c r="BT2520">
        <v>0</v>
      </c>
      <c r="BU2520">
        <v>0</v>
      </c>
      <c r="BV2520">
        <v>0</v>
      </c>
      <c r="CC2520" t="str">
        <f>"19:16:52.102"</f>
        <v>19:16:52.102</v>
      </c>
      <c r="CD2520" t="str">
        <f>"099569110"</f>
        <v>099569110</v>
      </c>
      <c r="CQ2520">
        <v>0</v>
      </c>
      <c r="CR2520">
        <v>2</v>
      </c>
      <c r="CS2520">
        <v>0</v>
      </c>
      <c r="CT2520">
        <v>2</v>
      </c>
      <c r="CU2520">
        <v>0</v>
      </c>
      <c r="CV2520">
        <v>7</v>
      </c>
      <c r="CW2520" t="s">
        <v>120</v>
      </c>
      <c r="CX2520">
        <v>261</v>
      </c>
      <c r="CY2520">
        <v>2</v>
      </c>
      <c r="CZ2520" t="s">
        <v>121</v>
      </c>
      <c r="DA2520" t="s">
        <v>122</v>
      </c>
      <c r="DD2520">
        <v>15810693</v>
      </c>
      <c r="DE2520" t="s">
        <v>123</v>
      </c>
    </row>
    <row r="2521" spans="1:109" x14ac:dyDescent="0.3">
      <c r="A2521" t="str">
        <f>"19:16:53.281"</f>
        <v>19:16:53.281</v>
      </c>
      <c r="B2521" t="s">
        <v>110</v>
      </c>
      <c r="C2521" t="str">
        <f t="shared" si="117"/>
        <v>ffdfd3c0</v>
      </c>
      <c r="D2521" t="s">
        <v>111</v>
      </c>
      <c r="E2521">
        <v>18</v>
      </c>
      <c r="F2521">
        <v>1018</v>
      </c>
      <c r="G2521" t="s">
        <v>112</v>
      </c>
      <c r="J2521" t="s">
        <v>113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R2521" t="s">
        <v>114</v>
      </c>
      <c r="S2521" t="str">
        <f>"19:16:53.070"</f>
        <v>19:16:53.070</v>
      </c>
      <c r="T2521" t="str">
        <f>"19:16:52.672"</f>
        <v>19:16:52.672</v>
      </c>
      <c r="U2521" t="str">
        <f t="shared" si="118"/>
        <v>a1cdbe</v>
      </c>
      <c r="V2521">
        <v>0</v>
      </c>
      <c r="W2521">
        <v>0</v>
      </c>
      <c r="X2521">
        <v>1</v>
      </c>
      <c r="Y2521">
        <v>0</v>
      </c>
      <c r="Z2521">
        <v>0</v>
      </c>
      <c r="AB2521">
        <v>0</v>
      </c>
      <c r="AC2521">
        <v>9</v>
      </c>
      <c r="AD2521">
        <v>3</v>
      </c>
      <c r="AE2521">
        <v>0</v>
      </c>
      <c r="AF2521">
        <v>9</v>
      </c>
      <c r="AG2521" t="s">
        <v>158</v>
      </c>
      <c r="AH2521">
        <v>0</v>
      </c>
      <c r="AI2521">
        <v>3</v>
      </c>
      <c r="AJ2521">
        <v>1</v>
      </c>
      <c r="AK2521">
        <v>0</v>
      </c>
      <c r="AL2521" t="s">
        <v>4747</v>
      </c>
      <c r="AM2521">
        <v>46.930697000000002</v>
      </c>
      <c r="AN2521" t="s">
        <v>4748</v>
      </c>
      <c r="AO2521">
        <v>-123.287373</v>
      </c>
      <c r="AP2521">
        <v>100</v>
      </c>
      <c r="AQ2521">
        <v>1900</v>
      </c>
      <c r="AR2521" t="s">
        <v>118</v>
      </c>
      <c r="AS2521">
        <v>-62</v>
      </c>
      <c r="AT2521">
        <v>40</v>
      </c>
      <c r="AU2521">
        <v>0</v>
      </c>
      <c r="BC2521">
        <v>1200</v>
      </c>
      <c r="BD2521">
        <v>1</v>
      </c>
      <c r="BE2521" t="str">
        <f t="shared" si="119"/>
        <v xml:space="preserve">N215T   </v>
      </c>
      <c r="BF2521">
        <v>1</v>
      </c>
      <c r="BH2521">
        <v>0</v>
      </c>
      <c r="BI2521">
        <v>0</v>
      </c>
      <c r="BJ2521">
        <v>0</v>
      </c>
      <c r="BK2521">
        <v>2325</v>
      </c>
      <c r="BL2521">
        <v>425</v>
      </c>
      <c r="BM2521" t="s">
        <v>119</v>
      </c>
      <c r="BN2521">
        <v>1</v>
      </c>
      <c r="BO2521">
        <v>1</v>
      </c>
      <c r="BP2521">
        <v>1</v>
      </c>
      <c r="BQ2521">
        <v>0</v>
      </c>
      <c r="BT2521">
        <v>0</v>
      </c>
      <c r="BU2521">
        <v>0</v>
      </c>
      <c r="BV2521">
        <v>0</v>
      </c>
      <c r="CC2521" t="str">
        <f>"19:16:53.078"</f>
        <v>19:16:53.078</v>
      </c>
      <c r="CD2521" t="str">
        <f>"074457503"</f>
        <v>074457503</v>
      </c>
      <c r="CQ2521">
        <v>0</v>
      </c>
      <c r="CR2521">
        <v>2</v>
      </c>
      <c r="CS2521">
        <v>0</v>
      </c>
      <c r="CT2521">
        <v>2</v>
      </c>
      <c r="CU2521">
        <v>0</v>
      </c>
      <c r="CV2521">
        <v>5</v>
      </c>
      <c r="CW2521" t="s">
        <v>120</v>
      </c>
      <c r="CX2521">
        <v>257</v>
      </c>
      <c r="CY2521">
        <v>0</v>
      </c>
      <c r="CZ2521" t="s">
        <v>615</v>
      </c>
      <c r="DA2521" t="s">
        <v>616</v>
      </c>
      <c r="DD2521">
        <v>15952552</v>
      </c>
      <c r="DE2521" t="s">
        <v>123</v>
      </c>
    </row>
    <row r="2522" spans="1:109" x14ac:dyDescent="0.3">
      <c r="A2522" t="str">
        <f>"19:16:54.383"</f>
        <v>19:16:54.383</v>
      </c>
      <c r="B2522" t="s">
        <v>110</v>
      </c>
      <c r="C2522" t="str">
        <f t="shared" si="117"/>
        <v>ffdfd3c0</v>
      </c>
      <c r="D2522" t="s">
        <v>111</v>
      </c>
      <c r="E2522">
        <v>18</v>
      </c>
      <c r="F2522">
        <v>1018</v>
      </c>
      <c r="G2522" t="s">
        <v>112</v>
      </c>
      <c r="J2522" t="s">
        <v>113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R2522" t="s">
        <v>114</v>
      </c>
      <c r="S2522" t="str">
        <f>"19:16:54.148"</f>
        <v>19:16:54.148</v>
      </c>
      <c r="T2522" t="str">
        <f>"19:16:53.852"</f>
        <v>19:16:53.852</v>
      </c>
      <c r="U2522" t="str">
        <f t="shared" si="118"/>
        <v>a1cdbe</v>
      </c>
      <c r="V2522">
        <v>0</v>
      </c>
      <c r="W2522">
        <v>0</v>
      </c>
      <c r="X2522">
        <v>1</v>
      </c>
      <c r="Y2522">
        <v>0</v>
      </c>
      <c r="Z2522">
        <v>0</v>
      </c>
      <c r="AB2522">
        <v>0</v>
      </c>
      <c r="AC2522">
        <v>9</v>
      </c>
      <c r="AD2522">
        <v>3</v>
      </c>
      <c r="AE2522">
        <v>0</v>
      </c>
      <c r="AF2522">
        <v>9</v>
      </c>
      <c r="AG2522" t="s">
        <v>158</v>
      </c>
      <c r="AH2522">
        <v>0</v>
      </c>
      <c r="AI2522">
        <v>3</v>
      </c>
      <c r="AJ2522">
        <v>1</v>
      </c>
      <c r="AK2522">
        <v>0</v>
      </c>
      <c r="AL2522" t="s">
        <v>1215</v>
      </c>
      <c r="AM2522">
        <v>46.930889999999998</v>
      </c>
      <c r="AN2522" t="s">
        <v>4749</v>
      </c>
      <c r="AO2522">
        <v>-123.28786599999999</v>
      </c>
      <c r="AP2522">
        <v>100</v>
      </c>
      <c r="AQ2522">
        <v>1900</v>
      </c>
      <c r="AR2522" t="s">
        <v>118</v>
      </c>
      <c r="AS2522">
        <v>-62</v>
      </c>
      <c r="AT2522">
        <v>40</v>
      </c>
      <c r="AU2522">
        <v>64</v>
      </c>
      <c r="BC2522">
        <v>1200</v>
      </c>
      <c r="BD2522">
        <v>1</v>
      </c>
      <c r="BE2522" t="str">
        <f t="shared" si="119"/>
        <v xml:space="preserve">N215T   </v>
      </c>
      <c r="BF2522">
        <v>1</v>
      </c>
      <c r="BH2522">
        <v>0</v>
      </c>
      <c r="BI2522">
        <v>0</v>
      </c>
      <c r="BJ2522">
        <v>0</v>
      </c>
      <c r="BK2522">
        <v>2325</v>
      </c>
      <c r="BL2522">
        <v>425</v>
      </c>
      <c r="BM2522" t="s">
        <v>119</v>
      </c>
      <c r="BN2522">
        <v>1</v>
      </c>
      <c r="BO2522">
        <v>1</v>
      </c>
      <c r="BP2522">
        <v>1</v>
      </c>
      <c r="BQ2522">
        <v>0</v>
      </c>
      <c r="BT2522">
        <v>0</v>
      </c>
      <c r="BU2522">
        <v>0</v>
      </c>
      <c r="BV2522">
        <v>0</v>
      </c>
      <c r="CC2522" t="str">
        <f>"19:16:54.156"</f>
        <v>19:16:54.156</v>
      </c>
      <c r="CD2522" t="str">
        <f>"154366678"</f>
        <v>154366678</v>
      </c>
      <c r="CQ2522">
        <v>0</v>
      </c>
      <c r="CR2522">
        <v>2</v>
      </c>
      <c r="CS2522">
        <v>0</v>
      </c>
      <c r="CT2522">
        <v>2</v>
      </c>
      <c r="CU2522">
        <v>0</v>
      </c>
      <c r="CV2522">
        <v>7</v>
      </c>
      <c r="CW2522" t="s">
        <v>120</v>
      </c>
      <c r="CX2522">
        <v>261</v>
      </c>
      <c r="CY2522">
        <v>2</v>
      </c>
      <c r="CZ2522" t="s">
        <v>121</v>
      </c>
      <c r="DA2522" t="s">
        <v>122</v>
      </c>
      <c r="DD2522">
        <v>15812105</v>
      </c>
      <c r="DE2522" t="s">
        <v>123</v>
      </c>
    </row>
    <row r="2523" spans="1:109" x14ac:dyDescent="0.3">
      <c r="A2523" t="str">
        <f>"19:16:55.539"</f>
        <v>19:16:55.539</v>
      </c>
      <c r="B2523" t="s">
        <v>110</v>
      </c>
      <c r="C2523" t="str">
        <f t="shared" si="117"/>
        <v>ffdfd3c0</v>
      </c>
      <c r="D2523" t="s">
        <v>111</v>
      </c>
      <c r="E2523">
        <v>18</v>
      </c>
      <c r="F2523">
        <v>1018</v>
      </c>
      <c r="G2523" t="s">
        <v>112</v>
      </c>
      <c r="J2523" t="s">
        <v>113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R2523" t="s">
        <v>114</v>
      </c>
      <c r="S2523" t="str">
        <f>"19:16:55.273"</f>
        <v>19:16:55.273</v>
      </c>
      <c r="T2523" t="str">
        <f>"19:16:54.875"</f>
        <v>19:16:54.875</v>
      </c>
      <c r="U2523" t="str">
        <f t="shared" si="118"/>
        <v>a1cdbe</v>
      </c>
      <c r="V2523">
        <v>0</v>
      </c>
      <c r="W2523">
        <v>0</v>
      </c>
      <c r="X2523">
        <v>1</v>
      </c>
      <c r="Y2523">
        <v>0</v>
      </c>
      <c r="Z2523">
        <v>0</v>
      </c>
      <c r="AB2523">
        <v>0</v>
      </c>
      <c r="AC2523">
        <v>9</v>
      </c>
      <c r="AD2523">
        <v>3</v>
      </c>
      <c r="AE2523">
        <v>0</v>
      </c>
      <c r="AF2523">
        <v>9</v>
      </c>
      <c r="AG2523" t="s">
        <v>158</v>
      </c>
      <c r="AH2523">
        <v>0</v>
      </c>
      <c r="AI2523">
        <v>3</v>
      </c>
      <c r="AJ2523">
        <v>1</v>
      </c>
      <c r="AK2523">
        <v>0</v>
      </c>
      <c r="AL2523" t="s">
        <v>4750</v>
      </c>
      <c r="AM2523">
        <v>46.931125999999999</v>
      </c>
      <c r="AN2523" t="s">
        <v>4751</v>
      </c>
      <c r="AO2523">
        <v>-123.28829500000001</v>
      </c>
      <c r="AP2523">
        <v>100</v>
      </c>
      <c r="AQ2523">
        <v>1900</v>
      </c>
      <c r="AR2523" t="s">
        <v>118</v>
      </c>
      <c r="AS2523">
        <v>-62</v>
      </c>
      <c r="AT2523">
        <v>40</v>
      </c>
      <c r="AU2523">
        <v>64</v>
      </c>
      <c r="BC2523">
        <v>1200</v>
      </c>
      <c r="BD2523">
        <v>1</v>
      </c>
      <c r="BE2523" t="str">
        <f t="shared" si="119"/>
        <v xml:space="preserve">N215T   </v>
      </c>
      <c r="BF2523">
        <v>1</v>
      </c>
      <c r="BH2523">
        <v>0</v>
      </c>
      <c r="BI2523">
        <v>0</v>
      </c>
      <c r="BJ2523">
        <v>0</v>
      </c>
      <c r="BK2523">
        <v>2325</v>
      </c>
      <c r="BL2523">
        <v>425</v>
      </c>
      <c r="BM2523" t="s">
        <v>119</v>
      </c>
      <c r="BN2523">
        <v>1</v>
      </c>
      <c r="BO2523">
        <v>1</v>
      </c>
      <c r="BP2523">
        <v>1</v>
      </c>
      <c r="BQ2523">
        <v>0</v>
      </c>
      <c r="BT2523">
        <v>0</v>
      </c>
      <c r="BU2523">
        <v>0</v>
      </c>
      <c r="BV2523">
        <v>0</v>
      </c>
      <c r="CC2523" t="str">
        <f>"19:16:55.281"</f>
        <v>19:16:55.281</v>
      </c>
      <c r="CD2523" t="str">
        <f>"279255848"</f>
        <v>279255848</v>
      </c>
      <c r="CQ2523">
        <v>0</v>
      </c>
      <c r="CR2523">
        <v>2</v>
      </c>
      <c r="CS2523">
        <v>0</v>
      </c>
      <c r="CT2523">
        <v>2</v>
      </c>
      <c r="CU2523">
        <v>0</v>
      </c>
      <c r="CV2523">
        <v>6</v>
      </c>
      <c r="CW2523" t="s">
        <v>120</v>
      </c>
      <c r="CX2523">
        <v>261</v>
      </c>
      <c r="CY2523">
        <v>2</v>
      </c>
      <c r="CZ2523" t="s">
        <v>121</v>
      </c>
      <c r="DA2523" t="s">
        <v>122</v>
      </c>
      <c r="DD2523">
        <v>15812885</v>
      </c>
      <c r="DE2523" t="s">
        <v>123</v>
      </c>
    </row>
    <row r="2524" spans="1:109" x14ac:dyDescent="0.3">
      <c r="A2524" t="str">
        <f>"19:16:56.398"</f>
        <v>19:16:56.398</v>
      </c>
      <c r="B2524" t="s">
        <v>110</v>
      </c>
      <c r="C2524" t="str">
        <f t="shared" si="117"/>
        <v>ffdfd3c0</v>
      </c>
      <c r="D2524" t="s">
        <v>111</v>
      </c>
      <c r="E2524">
        <v>18</v>
      </c>
      <c r="F2524">
        <v>1018</v>
      </c>
      <c r="G2524" t="s">
        <v>112</v>
      </c>
      <c r="J2524" t="s">
        <v>113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R2524" t="s">
        <v>114</v>
      </c>
      <c r="S2524" t="str">
        <f>"19:16:56.133"</f>
        <v>19:16:56.133</v>
      </c>
      <c r="T2524" t="str">
        <f>"19:16:55.836"</f>
        <v>19:16:55.836</v>
      </c>
      <c r="U2524" t="str">
        <f t="shared" si="118"/>
        <v>a1cdbe</v>
      </c>
      <c r="V2524">
        <v>0</v>
      </c>
      <c r="W2524">
        <v>0</v>
      </c>
      <c r="X2524">
        <v>1</v>
      </c>
      <c r="Y2524">
        <v>0</v>
      </c>
      <c r="Z2524">
        <v>0</v>
      </c>
      <c r="AB2524">
        <v>0</v>
      </c>
      <c r="AC2524">
        <v>9</v>
      </c>
      <c r="AD2524">
        <v>3</v>
      </c>
      <c r="AE2524">
        <v>0</v>
      </c>
      <c r="AF2524">
        <v>9</v>
      </c>
      <c r="AG2524" t="s">
        <v>158</v>
      </c>
      <c r="AH2524">
        <v>0</v>
      </c>
      <c r="AI2524">
        <v>3</v>
      </c>
      <c r="AJ2524">
        <v>1</v>
      </c>
      <c r="AK2524">
        <v>0</v>
      </c>
      <c r="AL2524" t="s">
        <v>1213</v>
      </c>
      <c r="AM2524">
        <v>46.931255</v>
      </c>
      <c r="AN2524" t="s">
        <v>4752</v>
      </c>
      <c r="AO2524">
        <v>-123.288639</v>
      </c>
      <c r="AP2524">
        <v>100</v>
      </c>
      <c r="AQ2524">
        <v>1900</v>
      </c>
      <c r="AR2524" t="s">
        <v>118</v>
      </c>
      <c r="AS2524">
        <v>-62</v>
      </c>
      <c r="AT2524">
        <v>40</v>
      </c>
      <c r="AU2524">
        <v>0</v>
      </c>
      <c r="BC2524">
        <v>1200</v>
      </c>
      <c r="BD2524">
        <v>1</v>
      </c>
      <c r="BE2524" t="str">
        <f t="shared" si="119"/>
        <v xml:space="preserve">N215T   </v>
      </c>
      <c r="BF2524">
        <v>1</v>
      </c>
      <c r="BH2524">
        <v>0</v>
      </c>
      <c r="BI2524">
        <v>0</v>
      </c>
      <c r="BJ2524">
        <v>0</v>
      </c>
      <c r="BK2524">
        <v>2325</v>
      </c>
      <c r="BL2524">
        <v>425</v>
      </c>
      <c r="BM2524" t="s">
        <v>119</v>
      </c>
      <c r="BN2524">
        <v>1</v>
      </c>
      <c r="BO2524">
        <v>1</v>
      </c>
      <c r="BP2524">
        <v>1</v>
      </c>
      <c r="BQ2524">
        <v>0</v>
      </c>
      <c r="BT2524">
        <v>0</v>
      </c>
      <c r="BU2524">
        <v>0</v>
      </c>
      <c r="BV2524">
        <v>0</v>
      </c>
      <c r="CC2524" t="str">
        <f>"19:16:56.133"</f>
        <v>19:16:56.133</v>
      </c>
      <c r="CD2524" t="str">
        <f>"134171628"</f>
        <v>134171628</v>
      </c>
      <c r="CQ2524">
        <v>0</v>
      </c>
      <c r="CR2524">
        <v>2</v>
      </c>
      <c r="CS2524">
        <v>0</v>
      </c>
      <c r="CT2524">
        <v>2</v>
      </c>
      <c r="CU2524">
        <v>0</v>
      </c>
      <c r="CV2524">
        <v>6</v>
      </c>
      <c r="CW2524" t="s">
        <v>120</v>
      </c>
      <c r="CX2524">
        <v>261</v>
      </c>
      <c r="CY2524">
        <v>2</v>
      </c>
      <c r="CZ2524" t="s">
        <v>121</v>
      </c>
      <c r="DA2524" t="s">
        <v>122</v>
      </c>
      <c r="DD2524">
        <v>15813578</v>
      </c>
      <c r="DE2524" t="s">
        <v>123</v>
      </c>
    </row>
    <row r="2525" spans="1:109" x14ac:dyDescent="0.3">
      <c r="A2525" t="str">
        <f>"19:16:57.500"</f>
        <v>19:16:57.500</v>
      </c>
      <c r="B2525" t="s">
        <v>110</v>
      </c>
      <c r="C2525" t="str">
        <f t="shared" si="117"/>
        <v>ffdfd3c0</v>
      </c>
      <c r="D2525" t="s">
        <v>111</v>
      </c>
      <c r="E2525">
        <v>18</v>
      </c>
      <c r="F2525">
        <v>1018</v>
      </c>
      <c r="G2525" t="s">
        <v>112</v>
      </c>
      <c r="J2525" t="s">
        <v>113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R2525" t="s">
        <v>114</v>
      </c>
      <c r="S2525" t="str">
        <f>"19:16:57.258"</f>
        <v>19:16:57.258</v>
      </c>
      <c r="T2525" t="str">
        <f>"19:16:57.258"</f>
        <v>19:16:57.258</v>
      </c>
      <c r="U2525" t="str">
        <f t="shared" si="118"/>
        <v>a1cdbe</v>
      </c>
      <c r="V2525">
        <v>0</v>
      </c>
      <c r="W2525">
        <v>0</v>
      </c>
      <c r="X2525">
        <v>1</v>
      </c>
      <c r="Y2525">
        <v>0</v>
      </c>
      <c r="Z2525">
        <v>0</v>
      </c>
      <c r="AB2525">
        <v>0</v>
      </c>
      <c r="AC2525">
        <v>9</v>
      </c>
      <c r="AD2525">
        <v>3</v>
      </c>
      <c r="AE2525">
        <v>0</v>
      </c>
      <c r="AF2525">
        <v>9</v>
      </c>
      <c r="AG2525" t="s">
        <v>158</v>
      </c>
      <c r="AH2525">
        <v>0</v>
      </c>
      <c r="AI2525">
        <v>3</v>
      </c>
      <c r="AJ2525">
        <v>1</v>
      </c>
      <c r="AK2525">
        <v>0</v>
      </c>
      <c r="AL2525" t="s">
        <v>4753</v>
      </c>
      <c r="AM2525">
        <v>46.931491000000001</v>
      </c>
      <c r="AN2525" t="s">
        <v>4754</v>
      </c>
      <c r="AO2525">
        <v>-123.289132</v>
      </c>
      <c r="AP2525">
        <v>100</v>
      </c>
      <c r="AQ2525">
        <v>1900</v>
      </c>
      <c r="AR2525" t="s">
        <v>118</v>
      </c>
      <c r="AS2525">
        <v>-62</v>
      </c>
      <c r="AT2525">
        <v>41</v>
      </c>
      <c r="AU2525">
        <v>0</v>
      </c>
      <c r="BC2525">
        <v>1200</v>
      </c>
      <c r="BD2525">
        <v>1</v>
      </c>
      <c r="BE2525" t="str">
        <f t="shared" si="119"/>
        <v xml:space="preserve">N215T   </v>
      </c>
      <c r="BF2525">
        <v>1</v>
      </c>
      <c r="BH2525">
        <v>0</v>
      </c>
      <c r="BI2525">
        <v>0</v>
      </c>
      <c r="BJ2525">
        <v>0</v>
      </c>
      <c r="BK2525">
        <v>2325</v>
      </c>
      <c r="BL2525">
        <v>425</v>
      </c>
      <c r="BM2525" t="s">
        <v>119</v>
      </c>
      <c r="BN2525">
        <v>1</v>
      </c>
      <c r="BO2525">
        <v>1</v>
      </c>
      <c r="BP2525">
        <v>1</v>
      </c>
      <c r="BQ2525">
        <v>0</v>
      </c>
      <c r="BT2525">
        <v>0</v>
      </c>
      <c r="BU2525">
        <v>0</v>
      </c>
      <c r="BV2525">
        <v>0</v>
      </c>
      <c r="CC2525" t="str">
        <f>"19:16:57.258"</f>
        <v>19:16:57.258</v>
      </c>
      <c r="CD2525" t="str">
        <f>"259045245"</f>
        <v>259045245</v>
      </c>
      <c r="CQ2525">
        <v>0</v>
      </c>
      <c r="CR2525">
        <v>2</v>
      </c>
      <c r="CS2525">
        <v>0</v>
      </c>
      <c r="CT2525">
        <v>2</v>
      </c>
      <c r="CU2525">
        <v>0</v>
      </c>
      <c r="CV2525">
        <v>5</v>
      </c>
      <c r="CW2525" t="s">
        <v>120</v>
      </c>
      <c r="CX2525">
        <v>257</v>
      </c>
      <c r="CY2525">
        <v>0</v>
      </c>
      <c r="CZ2525" t="s">
        <v>615</v>
      </c>
      <c r="DA2525" t="s">
        <v>616</v>
      </c>
      <c r="DD2525">
        <v>15954782</v>
      </c>
      <c r="DE2525" t="s">
        <v>123</v>
      </c>
    </row>
    <row r="2526" spans="1:109" x14ac:dyDescent="0.3">
      <c r="A2526" t="str">
        <f>"19:16:58.609"</f>
        <v>19:16:58.609</v>
      </c>
      <c r="B2526" t="s">
        <v>110</v>
      </c>
      <c r="C2526" t="str">
        <f t="shared" si="117"/>
        <v>ffdfd3c0</v>
      </c>
      <c r="D2526" t="s">
        <v>111</v>
      </c>
      <c r="E2526">
        <v>18</v>
      </c>
      <c r="F2526">
        <v>1018</v>
      </c>
      <c r="G2526" t="s">
        <v>112</v>
      </c>
      <c r="J2526" t="s">
        <v>113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R2526" t="s">
        <v>114</v>
      </c>
      <c r="S2526" t="str">
        <f>"19:16:58.336"</f>
        <v>19:16:58.336</v>
      </c>
      <c r="T2526" t="str">
        <f>"19:16:58.133"</f>
        <v>19:16:58.133</v>
      </c>
      <c r="U2526" t="str">
        <f t="shared" si="118"/>
        <v>a1cdbe</v>
      </c>
      <c r="V2526">
        <v>0</v>
      </c>
      <c r="W2526">
        <v>0</v>
      </c>
      <c r="X2526">
        <v>1</v>
      </c>
      <c r="Y2526">
        <v>0</v>
      </c>
      <c r="Z2526">
        <v>0</v>
      </c>
      <c r="AB2526">
        <v>0</v>
      </c>
      <c r="AC2526">
        <v>9</v>
      </c>
      <c r="AD2526">
        <v>3</v>
      </c>
      <c r="AE2526">
        <v>0</v>
      </c>
      <c r="AF2526">
        <v>9</v>
      </c>
      <c r="AG2526" t="s">
        <v>158</v>
      </c>
      <c r="AH2526">
        <v>0</v>
      </c>
      <c r="AI2526">
        <v>3</v>
      </c>
      <c r="AJ2526">
        <v>1</v>
      </c>
      <c r="AK2526">
        <v>0</v>
      </c>
      <c r="AL2526" t="s">
        <v>4755</v>
      </c>
      <c r="AM2526">
        <v>46.931683999999997</v>
      </c>
      <c r="AN2526" t="s">
        <v>4756</v>
      </c>
      <c r="AO2526">
        <v>-123.28956100000001</v>
      </c>
      <c r="AP2526">
        <v>100</v>
      </c>
      <c r="AQ2526">
        <v>1900</v>
      </c>
      <c r="AR2526" t="s">
        <v>118</v>
      </c>
      <c r="AS2526">
        <v>-62</v>
      </c>
      <c r="AT2526">
        <v>41</v>
      </c>
      <c r="AU2526">
        <v>-64</v>
      </c>
      <c r="BC2526">
        <v>1200</v>
      </c>
      <c r="BD2526">
        <v>1</v>
      </c>
      <c r="BE2526" t="str">
        <f t="shared" si="119"/>
        <v xml:space="preserve">N215T   </v>
      </c>
      <c r="BF2526">
        <v>1</v>
      </c>
      <c r="BH2526">
        <v>0</v>
      </c>
      <c r="BI2526">
        <v>0</v>
      </c>
      <c r="BJ2526">
        <v>0</v>
      </c>
      <c r="BK2526">
        <v>2325</v>
      </c>
      <c r="BL2526">
        <v>425</v>
      </c>
      <c r="BM2526" t="s">
        <v>119</v>
      </c>
      <c r="BN2526">
        <v>1</v>
      </c>
      <c r="BO2526">
        <v>1</v>
      </c>
      <c r="BP2526">
        <v>1</v>
      </c>
      <c r="BQ2526">
        <v>0</v>
      </c>
      <c r="BT2526">
        <v>0</v>
      </c>
      <c r="BU2526">
        <v>0</v>
      </c>
      <c r="BV2526">
        <v>0</v>
      </c>
      <c r="CC2526" t="str">
        <f>"19:16:58.336"</f>
        <v>19:16:58.336</v>
      </c>
      <c r="CD2526" t="str">
        <f>"338954417"</f>
        <v>338954417</v>
      </c>
      <c r="CQ2526">
        <v>0</v>
      </c>
      <c r="CR2526">
        <v>2</v>
      </c>
      <c r="CS2526">
        <v>0</v>
      </c>
      <c r="CT2526">
        <v>2</v>
      </c>
      <c r="CU2526">
        <v>0</v>
      </c>
      <c r="CV2526">
        <v>6</v>
      </c>
      <c r="CW2526" t="s">
        <v>120</v>
      </c>
      <c r="CX2526">
        <v>261</v>
      </c>
      <c r="CY2526">
        <v>3</v>
      </c>
      <c r="CZ2526" t="s">
        <v>121</v>
      </c>
      <c r="DA2526" t="s">
        <v>122</v>
      </c>
      <c r="DD2526">
        <v>3797574</v>
      </c>
      <c r="DE2526" t="s">
        <v>123</v>
      </c>
    </row>
    <row r="2527" spans="1:109" x14ac:dyDescent="0.3">
      <c r="A2527" t="str">
        <f>"19:16:59.711"</f>
        <v>19:16:59.711</v>
      </c>
      <c r="B2527" t="s">
        <v>110</v>
      </c>
      <c r="C2527" t="str">
        <f t="shared" si="117"/>
        <v>ffdfd3c0</v>
      </c>
      <c r="D2527" t="s">
        <v>111</v>
      </c>
      <c r="E2527">
        <v>18</v>
      </c>
      <c r="F2527">
        <v>1018</v>
      </c>
      <c r="G2527" t="s">
        <v>112</v>
      </c>
      <c r="J2527" t="s">
        <v>113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R2527" t="s">
        <v>114</v>
      </c>
      <c r="S2527" t="str">
        <f>"19:16:59.461"</f>
        <v>19:16:59.461</v>
      </c>
      <c r="T2527" t="str">
        <f>"19:16:59.164"</f>
        <v>19:16:59.164</v>
      </c>
      <c r="U2527" t="str">
        <f t="shared" si="118"/>
        <v>a1cdbe</v>
      </c>
      <c r="V2527">
        <v>0</v>
      </c>
      <c r="W2527">
        <v>0</v>
      </c>
      <c r="X2527">
        <v>1</v>
      </c>
      <c r="Y2527">
        <v>0</v>
      </c>
      <c r="Z2527">
        <v>0</v>
      </c>
      <c r="AB2527">
        <v>0</v>
      </c>
      <c r="AC2527">
        <v>9</v>
      </c>
      <c r="AD2527">
        <v>3</v>
      </c>
      <c r="AE2527">
        <v>0</v>
      </c>
      <c r="AF2527">
        <v>9</v>
      </c>
      <c r="AG2527" t="s">
        <v>158</v>
      </c>
      <c r="AH2527">
        <v>0</v>
      </c>
      <c r="AI2527">
        <v>3</v>
      </c>
      <c r="AJ2527">
        <v>1</v>
      </c>
      <c r="AK2527">
        <v>0</v>
      </c>
      <c r="AL2527" t="s">
        <v>1209</v>
      </c>
      <c r="AM2527">
        <v>46.931877</v>
      </c>
      <c r="AN2527" t="s">
        <v>4757</v>
      </c>
      <c r="AO2527">
        <v>-123.290055</v>
      </c>
      <c r="AP2527">
        <v>100</v>
      </c>
      <c r="AQ2527">
        <v>1900</v>
      </c>
      <c r="AR2527" t="s">
        <v>118</v>
      </c>
      <c r="AS2527">
        <v>-62</v>
      </c>
      <c r="AT2527">
        <v>41</v>
      </c>
      <c r="AU2527">
        <v>-128</v>
      </c>
      <c r="BC2527">
        <v>1200</v>
      </c>
      <c r="BD2527">
        <v>1</v>
      </c>
      <c r="BE2527" t="str">
        <f t="shared" si="119"/>
        <v xml:space="preserve">N215T   </v>
      </c>
      <c r="BF2527">
        <v>1</v>
      </c>
      <c r="BH2527">
        <v>0</v>
      </c>
      <c r="BI2527">
        <v>0</v>
      </c>
      <c r="BJ2527">
        <v>0</v>
      </c>
      <c r="BK2527">
        <v>2325</v>
      </c>
      <c r="BL2527">
        <v>425</v>
      </c>
      <c r="BM2527" t="s">
        <v>119</v>
      </c>
      <c r="BN2527">
        <v>1</v>
      </c>
      <c r="BO2527">
        <v>1</v>
      </c>
      <c r="BP2527">
        <v>1</v>
      </c>
      <c r="BQ2527">
        <v>0</v>
      </c>
      <c r="BT2527">
        <v>0</v>
      </c>
      <c r="BU2527">
        <v>0</v>
      </c>
      <c r="BV2527">
        <v>0</v>
      </c>
      <c r="CC2527" t="str">
        <f>"19:16:59.461"</f>
        <v>19:16:59.461</v>
      </c>
      <c r="CD2527" t="str">
        <f>"463843596"</f>
        <v>463843596</v>
      </c>
      <c r="CQ2527">
        <v>0</v>
      </c>
      <c r="CR2527">
        <v>2</v>
      </c>
      <c r="CS2527">
        <v>0</v>
      </c>
      <c r="CT2527">
        <v>2</v>
      </c>
      <c r="CU2527">
        <v>0</v>
      </c>
      <c r="CV2527">
        <v>6</v>
      </c>
      <c r="CW2527" t="s">
        <v>120</v>
      </c>
      <c r="CX2527">
        <v>261</v>
      </c>
      <c r="CY2527">
        <v>3</v>
      </c>
      <c r="CZ2527" t="s">
        <v>121</v>
      </c>
      <c r="DA2527" t="s">
        <v>122</v>
      </c>
      <c r="DD2527">
        <v>3797846</v>
      </c>
      <c r="DE2527" t="s">
        <v>123</v>
      </c>
    </row>
    <row r="2528" spans="1:109" x14ac:dyDescent="0.3">
      <c r="A2528" t="str">
        <f>"19:17:00.773"</f>
        <v>19:17:00.773</v>
      </c>
      <c r="B2528" t="s">
        <v>110</v>
      </c>
      <c r="C2528" t="str">
        <f t="shared" si="117"/>
        <v>ffdfd3c0</v>
      </c>
      <c r="D2528" t="s">
        <v>111</v>
      </c>
      <c r="E2528">
        <v>18</v>
      </c>
      <c r="F2528">
        <v>1018</v>
      </c>
      <c r="G2528" t="s">
        <v>112</v>
      </c>
      <c r="J2528" t="s">
        <v>113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R2528" t="s">
        <v>114</v>
      </c>
      <c r="S2528" t="str">
        <f>"19:17:00.539"</f>
        <v>19:17:00.539</v>
      </c>
      <c r="T2528" t="str">
        <f>"19:17:00.336"</f>
        <v>19:17:00.336</v>
      </c>
      <c r="U2528" t="str">
        <f t="shared" si="118"/>
        <v>a1cdbe</v>
      </c>
      <c r="V2528">
        <v>0</v>
      </c>
      <c r="W2528">
        <v>0</v>
      </c>
      <c r="X2528">
        <v>1</v>
      </c>
      <c r="Y2528">
        <v>0</v>
      </c>
      <c r="Z2528">
        <v>0</v>
      </c>
      <c r="AB2528">
        <v>0</v>
      </c>
      <c r="AC2528">
        <v>9</v>
      </c>
      <c r="AD2528">
        <v>3</v>
      </c>
      <c r="AE2528">
        <v>0</v>
      </c>
      <c r="AF2528">
        <v>9</v>
      </c>
      <c r="AG2528" t="s">
        <v>158</v>
      </c>
      <c r="AH2528">
        <v>0</v>
      </c>
      <c r="AI2528">
        <v>3</v>
      </c>
      <c r="AJ2528">
        <v>1</v>
      </c>
      <c r="AK2528">
        <v>0</v>
      </c>
      <c r="AL2528" t="s">
        <v>4758</v>
      </c>
      <c r="AM2528">
        <v>46.932113000000001</v>
      </c>
      <c r="AN2528" t="s">
        <v>4759</v>
      </c>
      <c r="AO2528">
        <v>-123.29048400000001</v>
      </c>
      <c r="AP2528">
        <v>100</v>
      </c>
      <c r="AQ2528">
        <v>1900</v>
      </c>
      <c r="AR2528" t="s">
        <v>118</v>
      </c>
      <c r="AS2528">
        <v>-62</v>
      </c>
      <c r="AT2528">
        <v>41</v>
      </c>
      <c r="AU2528">
        <v>-128</v>
      </c>
      <c r="BC2528">
        <v>1200</v>
      </c>
      <c r="BD2528">
        <v>1</v>
      </c>
      <c r="BE2528" t="str">
        <f t="shared" si="119"/>
        <v xml:space="preserve">N215T   </v>
      </c>
      <c r="BF2528">
        <v>1</v>
      </c>
      <c r="BH2528">
        <v>0</v>
      </c>
      <c r="BI2528">
        <v>0</v>
      </c>
      <c r="BJ2528">
        <v>0</v>
      </c>
      <c r="BK2528">
        <v>2325</v>
      </c>
      <c r="BL2528">
        <v>425</v>
      </c>
      <c r="BM2528" t="s">
        <v>119</v>
      </c>
      <c r="BN2528">
        <v>1</v>
      </c>
      <c r="BO2528">
        <v>1</v>
      </c>
      <c r="BP2528">
        <v>1</v>
      </c>
      <c r="BQ2528">
        <v>0</v>
      </c>
      <c r="BT2528">
        <v>0</v>
      </c>
      <c r="BU2528">
        <v>0</v>
      </c>
      <c r="BV2528">
        <v>0</v>
      </c>
      <c r="CC2528" t="str">
        <f>"19:17:00.547"</f>
        <v>19:17:00.547</v>
      </c>
      <c r="CD2528" t="str">
        <f>"543737192"</f>
        <v>543737192</v>
      </c>
      <c r="CQ2528">
        <v>0</v>
      </c>
      <c r="CR2528">
        <v>2</v>
      </c>
      <c r="CS2528">
        <v>0</v>
      </c>
      <c r="CT2528">
        <v>2</v>
      </c>
      <c r="CU2528">
        <v>0</v>
      </c>
      <c r="CV2528">
        <v>6</v>
      </c>
      <c r="CW2528" t="s">
        <v>120</v>
      </c>
      <c r="CX2528">
        <v>261</v>
      </c>
      <c r="CY2528">
        <v>3</v>
      </c>
      <c r="CZ2528" t="s">
        <v>121</v>
      </c>
      <c r="DA2528" t="s">
        <v>122</v>
      </c>
      <c r="DD2528">
        <v>3798100</v>
      </c>
      <c r="DE2528" t="s">
        <v>123</v>
      </c>
    </row>
    <row r="2529" spans="1:109" x14ac:dyDescent="0.3">
      <c r="A2529" t="str">
        <f>"19:17:01.734"</f>
        <v>19:17:01.734</v>
      </c>
      <c r="B2529" t="s">
        <v>110</v>
      </c>
      <c r="C2529" t="str">
        <f t="shared" si="117"/>
        <v>ffdfd3c0</v>
      </c>
      <c r="D2529" t="s">
        <v>111</v>
      </c>
      <c r="E2529">
        <v>18</v>
      </c>
      <c r="F2529">
        <v>1018</v>
      </c>
      <c r="G2529" t="s">
        <v>112</v>
      </c>
      <c r="J2529" t="s">
        <v>113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R2529" t="s">
        <v>114</v>
      </c>
      <c r="S2529" t="str">
        <f>"19:17:01.453"</f>
        <v>19:17:01.453</v>
      </c>
      <c r="T2529" t="str">
        <f>"19:17:01.250"</f>
        <v>19:17:01.250</v>
      </c>
      <c r="U2529" t="str">
        <f t="shared" si="118"/>
        <v>a1cdbe</v>
      </c>
      <c r="V2529">
        <v>0</v>
      </c>
      <c r="W2529">
        <v>0</v>
      </c>
      <c r="X2529">
        <v>1</v>
      </c>
      <c r="Y2529">
        <v>0</v>
      </c>
      <c r="Z2529">
        <v>0</v>
      </c>
      <c r="AB2529">
        <v>0</v>
      </c>
      <c r="AC2529">
        <v>9</v>
      </c>
      <c r="AD2529">
        <v>3</v>
      </c>
      <c r="AE2529">
        <v>0</v>
      </c>
      <c r="AF2529">
        <v>9</v>
      </c>
      <c r="AG2529" t="s">
        <v>158</v>
      </c>
      <c r="AH2529">
        <v>0</v>
      </c>
      <c r="AI2529">
        <v>3</v>
      </c>
      <c r="AJ2529">
        <v>1</v>
      </c>
      <c r="AK2529">
        <v>0</v>
      </c>
      <c r="AL2529" t="s">
        <v>4760</v>
      </c>
      <c r="AM2529">
        <v>46.932285</v>
      </c>
      <c r="AN2529" t="s">
        <v>4761</v>
      </c>
      <c r="AO2529">
        <v>-123.290892</v>
      </c>
      <c r="AP2529">
        <v>100</v>
      </c>
      <c r="AQ2529">
        <v>1900</v>
      </c>
      <c r="AR2529" t="s">
        <v>118</v>
      </c>
      <c r="AS2529">
        <v>-62</v>
      </c>
      <c r="AT2529">
        <v>41</v>
      </c>
      <c r="AU2529">
        <v>-192</v>
      </c>
      <c r="BC2529">
        <v>1200</v>
      </c>
      <c r="BD2529">
        <v>1</v>
      </c>
      <c r="BE2529" t="str">
        <f t="shared" si="119"/>
        <v xml:space="preserve">N215T   </v>
      </c>
      <c r="BF2529">
        <v>1</v>
      </c>
      <c r="BH2529">
        <v>0</v>
      </c>
      <c r="BI2529">
        <v>0</v>
      </c>
      <c r="BJ2529">
        <v>0</v>
      </c>
      <c r="BK2529">
        <v>2325</v>
      </c>
      <c r="BL2529">
        <v>425</v>
      </c>
      <c r="BM2529" t="s">
        <v>119</v>
      </c>
      <c r="BN2529">
        <v>1</v>
      </c>
      <c r="BO2529">
        <v>1</v>
      </c>
      <c r="BP2529">
        <v>1</v>
      </c>
      <c r="BQ2529">
        <v>0</v>
      </c>
      <c r="BT2529">
        <v>0</v>
      </c>
      <c r="BU2529">
        <v>0</v>
      </c>
      <c r="BV2529">
        <v>0</v>
      </c>
      <c r="CC2529" t="str">
        <f>"19:17:01.461"</f>
        <v>19:17:01.461</v>
      </c>
      <c r="CD2529" t="str">
        <f>"458647046"</f>
        <v>458647046</v>
      </c>
      <c r="CQ2529">
        <v>0</v>
      </c>
      <c r="CR2529">
        <v>2</v>
      </c>
      <c r="CS2529">
        <v>0</v>
      </c>
      <c r="CT2529">
        <v>2</v>
      </c>
      <c r="CU2529">
        <v>0</v>
      </c>
      <c r="CV2529">
        <v>7</v>
      </c>
      <c r="CW2529" t="s">
        <v>120</v>
      </c>
      <c r="CX2529">
        <v>261</v>
      </c>
      <c r="CY2529">
        <v>2</v>
      </c>
      <c r="CZ2529" t="s">
        <v>121</v>
      </c>
      <c r="DA2529" t="s">
        <v>122</v>
      </c>
      <c r="DD2529">
        <v>15817536</v>
      </c>
      <c r="DE2529" t="s">
        <v>123</v>
      </c>
    </row>
    <row r="2530" spans="1:109" x14ac:dyDescent="0.3">
      <c r="A2530" t="str">
        <f>"19:17:02.531"</f>
        <v>19:17:02.531</v>
      </c>
      <c r="B2530" t="s">
        <v>110</v>
      </c>
      <c r="C2530" t="str">
        <f t="shared" si="117"/>
        <v>ffdfd3c0</v>
      </c>
      <c r="D2530" t="s">
        <v>111</v>
      </c>
      <c r="E2530">
        <v>18</v>
      </c>
      <c r="F2530">
        <v>1018</v>
      </c>
      <c r="G2530" t="s">
        <v>112</v>
      </c>
      <c r="J2530" t="s">
        <v>113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R2530" t="s">
        <v>114</v>
      </c>
      <c r="S2530" t="str">
        <f>"19:17:02.328"</f>
        <v>19:17:02.328</v>
      </c>
      <c r="T2530" t="str">
        <f>"19:17:02.227"</f>
        <v>19:17:02.227</v>
      </c>
      <c r="U2530" t="str">
        <f t="shared" si="118"/>
        <v>a1cdbe</v>
      </c>
      <c r="V2530">
        <v>0</v>
      </c>
      <c r="W2530">
        <v>0</v>
      </c>
      <c r="X2530">
        <v>1</v>
      </c>
      <c r="Y2530">
        <v>0</v>
      </c>
      <c r="Z2530">
        <v>0</v>
      </c>
      <c r="AB2530">
        <v>0</v>
      </c>
      <c r="AC2530">
        <v>9</v>
      </c>
      <c r="AD2530">
        <v>3</v>
      </c>
      <c r="AE2530">
        <v>0</v>
      </c>
      <c r="AF2530">
        <v>9</v>
      </c>
      <c r="AG2530" t="s">
        <v>158</v>
      </c>
      <c r="AH2530">
        <v>0</v>
      </c>
      <c r="AI2530">
        <v>3</v>
      </c>
      <c r="AJ2530">
        <v>1</v>
      </c>
      <c r="AK2530">
        <v>0</v>
      </c>
      <c r="AL2530" t="s">
        <v>4762</v>
      </c>
      <c r="AM2530">
        <v>46.932434999999998</v>
      </c>
      <c r="AN2530" t="s">
        <v>4763</v>
      </c>
      <c r="AO2530">
        <v>-123.291256</v>
      </c>
      <c r="AP2530">
        <v>100</v>
      </c>
      <c r="AQ2530">
        <v>1900</v>
      </c>
      <c r="AR2530" t="s">
        <v>118</v>
      </c>
      <c r="AS2530">
        <v>-63</v>
      </c>
      <c r="AT2530">
        <v>41</v>
      </c>
      <c r="AU2530">
        <v>-192</v>
      </c>
      <c r="BC2530">
        <v>1200</v>
      </c>
      <c r="BD2530">
        <v>1</v>
      </c>
      <c r="BE2530" t="str">
        <f t="shared" si="119"/>
        <v xml:space="preserve">N215T   </v>
      </c>
      <c r="BF2530">
        <v>1</v>
      </c>
      <c r="BH2530">
        <v>0</v>
      </c>
      <c r="BI2530">
        <v>0</v>
      </c>
      <c r="BJ2530">
        <v>0</v>
      </c>
      <c r="BK2530">
        <v>2325</v>
      </c>
      <c r="BL2530">
        <v>425</v>
      </c>
      <c r="BM2530" t="s">
        <v>119</v>
      </c>
      <c r="BN2530">
        <v>1</v>
      </c>
      <c r="BO2530">
        <v>1</v>
      </c>
      <c r="BP2530">
        <v>1</v>
      </c>
      <c r="BQ2530">
        <v>0</v>
      </c>
      <c r="BT2530">
        <v>0</v>
      </c>
      <c r="BU2530">
        <v>0</v>
      </c>
      <c r="BV2530">
        <v>0</v>
      </c>
      <c r="CC2530" t="str">
        <f>"19:17:02.328"</f>
        <v>19:17:02.328</v>
      </c>
      <c r="CD2530" t="str">
        <f>"328561358"</f>
        <v>328561358</v>
      </c>
      <c r="CQ2530">
        <v>0</v>
      </c>
      <c r="CR2530">
        <v>2</v>
      </c>
      <c r="CS2530">
        <v>0</v>
      </c>
      <c r="CT2530">
        <v>2</v>
      </c>
      <c r="CU2530">
        <v>0</v>
      </c>
      <c r="CV2530">
        <v>6</v>
      </c>
      <c r="CW2530" t="s">
        <v>120</v>
      </c>
      <c r="CX2530">
        <v>261</v>
      </c>
      <c r="CY2530">
        <v>3</v>
      </c>
      <c r="CZ2530" t="s">
        <v>121</v>
      </c>
      <c r="DA2530" t="s">
        <v>122</v>
      </c>
      <c r="DD2530">
        <v>3798534</v>
      </c>
      <c r="DE2530" t="s">
        <v>123</v>
      </c>
    </row>
    <row r="2531" spans="1:109" x14ac:dyDescent="0.3">
      <c r="A2531" t="str">
        <f>"19:17:03.531"</f>
        <v>19:17:03.531</v>
      </c>
      <c r="B2531" t="s">
        <v>110</v>
      </c>
      <c r="C2531" t="str">
        <f t="shared" si="117"/>
        <v>ffdfd3c0</v>
      </c>
      <c r="D2531" t="s">
        <v>111</v>
      </c>
      <c r="E2531">
        <v>18</v>
      </c>
      <c r="F2531">
        <v>1018</v>
      </c>
      <c r="G2531" t="s">
        <v>112</v>
      </c>
      <c r="J2531" t="s">
        <v>113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R2531" t="s">
        <v>114</v>
      </c>
      <c r="S2531" t="str">
        <f>"19:17:03.297"</f>
        <v>19:17:03.297</v>
      </c>
      <c r="T2531" t="str">
        <f>"19:17:03.195"</f>
        <v>19:17:03.195</v>
      </c>
      <c r="U2531" t="str">
        <f t="shared" si="118"/>
        <v>a1cdbe</v>
      </c>
      <c r="V2531">
        <v>0</v>
      </c>
      <c r="W2531">
        <v>0</v>
      </c>
      <c r="X2531">
        <v>1</v>
      </c>
      <c r="Y2531">
        <v>0</v>
      </c>
      <c r="Z2531">
        <v>0</v>
      </c>
      <c r="AB2531">
        <v>0</v>
      </c>
      <c r="AC2531">
        <v>9</v>
      </c>
      <c r="AD2531">
        <v>3</v>
      </c>
      <c r="AE2531">
        <v>0</v>
      </c>
      <c r="AF2531">
        <v>9</v>
      </c>
      <c r="AG2531" t="s">
        <v>158</v>
      </c>
      <c r="AH2531">
        <v>0</v>
      </c>
      <c r="AI2531">
        <v>3</v>
      </c>
      <c r="AJ2531">
        <v>1</v>
      </c>
      <c r="AK2531">
        <v>0</v>
      </c>
      <c r="AL2531" t="s">
        <v>4764</v>
      </c>
      <c r="AM2531">
        <v>46.932628000000001</v>
      </c>
      <c r="AN2531" t="s">
        <v>4765</v>
      </c>
      <c r="AO2531">
        <v>-123.291664</v>
      </c>
      <c r="AP2531">
        <v>100</v>
      </c>
      <c r="AQ2531">
        <v>1900</v>
      </c>
      <c r="AR2531" t="s">
        <v>118</v>
      </c>
      <c r="AS2531">
        <v>-63</v>
      </c>
      <c r="AT2531">
        <v>41</v>
      </c>
      <c r="AU2531">
        <v>-192</v>
      </c>
      <c r="BC2531">
        <v>1200</v>
      </c>
      <c r="BD2531">
        <v>1</v>
      </c>
      <c r="BE2531" t="str">
        <f t="shared" si="119"/>
        <v xml:space="preserve">N215T   </v>
      </c>
      <c r="BF2531">
        <v>1</v>
      </c>
      <c r="BH2531">
        <v>0</v>
      </c>
      <c r="BI2531">
        <v>0</v>
      </c>
      <c r="BJ2531">
        <v>0</v>
      </c>
      <c r="BK2531">
        <v>2325</v>
      </c>
      <c r="BL2531">
        <v>425</v>
      </c>
      <c r="BM2531" t="s">
        <v>119</v>
      </c>
      <c r="BN2531">
        <v>1</v>
      </c>
      <c r="BO2531">
        <v>1</v>
      </c>
      <c r="BP2531">
        <v>1</v>
      </c>
      <c r="BQ2531">
        <v>0</v>
      </c>
      <c r="BT2531">
        <v>0</v>
      </c>
      <c r="BU2531">
        <v>0</v>
      </c>
      <c r="BV2531">
        <v>0</v>
      </c>
      <c r="CC2531" t="str">
        <f>"19:17:03.305"</f>
        <v>19:17:03.305</v>
      </c>
      <c r="CD2531" t="str">
        <f>"303465297"</f>
        <v>303465297</v>
      </c>
      <c r="CQ2531">
        <v>0</v>
      </c>
      <c r="CR2531">
        <v>2</v>
      </c>
      <c r="CS2531">
        <v>0</v>
      </c>
      <c r="CT2531">
        <v>2</v>
      </c>
      <c r="CU2531">
        <v>0</v>
      </c>
      <c r="CV2531">
        <v>7</v>
      </c>
      <c r="CW2531" t="s">
        <v>120</v>
      </c>
      <c r="CX2531">
        <v>261</v>
      </c>
      <c r="CY2531">
        <v>2</v>
      </c>
      <c r="CZ2531" t="s">
        <v>121</v>
      </c>
      <c r="DA2531" t="s">
        <v>122</v>
      </c>
      <c r="DD2531">
        <v>15818833</v>
      </c>
      <c r="DE2531" t="s">
        <v>123</v>
      </c>
    </row>
    <row r="2532" spans="1:109" x14ac:dyDescent="0.3">
      <c r="A2532" t="str">
        <f>"19:17:04.391"</f>
        <v>19:17:04.391</v>
      </c>
      <c r="B2532" t="s">
        <v>110</v>
      </c>
      <c r="C2532" t="str">
        <f t="shared" si="117"/>
        <v>ffdfd3c0</v>
      </c>
      <c r="D2532" t="s">
        <v>111</v>
      </c>
      <c r="E2532">
        <v>18</v>
      </c>
      <c r="F2532">
        <v>1018</v>
      </c>
      <c r="G2532" t="s">
        <v>112</v>
      </c>
      <c r="J2532" t="s">
        <v>113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R2532" t="s">
        <v>114</v>
      </c>
      <c r="S2532" t="str">
        <f>"19:17:04.156"</f>
        <v>19:17:04.156</v>
      </c>
      <c r="T2532" t="str">
        <f>"19:17:03.758"</f>
        <v>19:17:03.758</v>
      </c>
      <c r="U2532" t="str">
        <f t="shared" si="118"/>
        <v>a1cdbe</v>
      </c>
      <c r="V2532">
        <v>0</v>
      </c>
      <c r="W2532">
        <v>0</v>
      </c>
      <c r="X2532">
        <v>1</v>
      </c>
      <c r="Y2532">
        <v>0</v>
      </c>
      <c r="Z2532">
        <v>0</v>
      </c>
      <c r="AB2532">
        <v>0</v>
      </c>
      <c r="AC2532">
        <v>9</v>
      </c>
      <c r="AD2532">
        <v>3</v>
      </c>
      <c r="AE2532">
        <v>0</v>
      </c>
      <c r="AF2532">
        <v>9</v>
      </c>
      <c r="AG2532" t="s">
        <v>158</v>
      </c>
      <c r="AH2532">
        <v>0</v>
      </c>
      <c r="AI2532">
        <v>3</v>
      </c>
      <c r="AJ2532">
        <v>1</v>
      </c>
      <c r="AK2532">
        <v>0</v>
      </c>
      <c r="AL2532" t="s">
        <v>4766</v>
      </c>
      <c r="AM2532">
        <v>46.9328</v>
      </c>
      <c r="AN2532" t="s">
        <v>4767</v>
      </c>
      <c r="AO2532">
        <v>-123.292029</v>
      </c>
      <c r="AP2532">
        <v>100</v>
      </c>
      <c r="AQ2532">
        <v>1900</v>
      </c>
      <c r="AR2532" t="s">
        <v>118</v>
      </c>
      <c r="AS2532">
        <v>-63</v>
      </c>
      <c r="AT2532">
        <v>41</v>
      </c>
      <c r="AU2532">
        <v>-192</v>
      </c>
      <c r="BC2532">
        <v>1200</v>
      </c>
      <c r="BD2532">
        <v>1</v>
      </c>
      <c r="BE2532" t="str">
        <f t="shared" si="119"/>
        <v xml:space="preserve">N215T   </v>
      </c>
      <c r="BF2532">
        <v>1</v>
      </c>
      <c r="BH2532">
        <v>0</v>
      </c>
      <c r="BI2532">
        <v>0</v>
      </c>
      <c r="BJ2532">
        <v>0</v>
      </c>
      <c r="BK2532">
        <v>2325</v>
      </c>
      <c r="BL2532">
        <v>425</v>
      </c>
      <c r="BM2532" t="s">
        <v>119</v>
      </c>
      <c r="BN2532">
        <v>1</v>
      </c>
      <c r="BO2532">
        <v>1</v>
      </c>
      <c r="BP2532">
        <v>1</v>
      </c>
      <c r="BQ2532">
        <v>0</v>
      </c>
      <c r="BT2532">
        <v>0</v>
      </c>
      <c r="BU2532">
        <v>0</v>
      </c>
      <c r="BV2532">
        <v>0</v>
      </c>
      <c r="CC2532" t="str">
        <f>"19:17:04.156"</f>
        <v>19:17:04.156</v>
      </c>
      <c r="CD2532" t="str">
        <f>"158381072"</f>
        <v>158381072</v>
      </c>
      <c r="CQ2532">
        <v>0</v>
      </c>
      <c r="CR2532">
        <v>2</v>
      </c>
      <c r="CS2532">
        <v>0</v>
      </c>
      <c r="CT2532">
        <v>2</v>
      </c>
      <c r="CU2532">
        <v>0</v>
      </c>
      <c r="CV2532">
        <v>7</v>
      </c>
      <c r="CW2532" t="s">
        <v>120</v>
      </c>
      <c r="CX2532">
        <v>261</v>
      </c>
      <c r="CY2532">
        <v>2</v>
      </c>
      <c r="CZ2532" t="s">
        <v>121</v>
      </c>
      <c r="DA2532" t="s">
        <v>122</v>
      </c>
      <c r="DD2532">
        <v>15819442</v>
      </c>
      <c r="DE2532" t="s">
        <v>123</v>
      </c>
    </row>
    <row r="2533" spans="1:109" x14ac:dyDescent="0.3">
      <c r="A2533" t="str">
        <f>"19:17:05.398"</f>
        <v>19:17:05.398</v>
      </c>
      <c r="B2533" t="s">
        <v>110</v>
      </c>
      <c r="C2533" t="str">
        <f t="shared" si="117"/>
        <v>ffdfd3c0</v>
      </c>
      <c r="D2533" t="s">
        <v>111</v>
      </c>
      <c r="E2533">
        <v>18</v>
      </c>
      <c r="F2533">
        <v>1018</v>
      </c>
      <c r="G2533" t="s">
        <v>112</v>
      </c>
      <c r="J2533" t="s">
        <v>113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R2533" t="s">
        <v>114</v>
      </c>
      <c r="S2533" t="str">
        <f>"19:17:05.133"</f>
        <v>19:17:05.133</v>
      </c>
      <c r="T2533" t="str">
        <f>"19:17:04.633"</f>
        <v>19:17:04.633</v>
      </c>
      <c r="U2533" t="str">
        <f t="shared" si="118"/>
        <v>a1cdbe</v>
      </c>
      <c r="V2533">
        <v>0</v>
      </c>
      <c r="W2533">
        <v>0</v>
      </c>
      <c r="X2533">
        <v>1</v>
      </c>
      <c r="Y2533">
        <v>0</v>
      </c>
      <c r="Z2533">
        <v>0</v>
      </c>
      <c r="AB2533">
        <v>0</v>
      </c>
      <c r="AC2533">
        <v>9</v>
      </c>
      <c r="AD2533">
        <v>3</v>
      </c>
      <c r="AE2533">
        <v>0</v>
      </c>
      <c r="AF2533">
        <v>9</v>
      </c>
      <c r="AG2533" t="s">
        <v>158</v>
      </c>
      <c r="AH2533">
        <v>0</v>
      </c>
      <c r="AI2533">
        <v>3</v>
      </c>
      <c r="AJ2533">
        <v>1</v>
      </c>
      <c r="AK2533">
        <v>0</v>
      </c>
      <c r="AL2533" t="s">
        <v>1203</v>
      </c>
      <c r="AM2533">
        <v>46.932949999999998</v>
      </c>
      <c r="AN2533" t="s">
        <v>4768</v>
      </c>
      <c r="AO2533">
        <v>-123.292458</v>
      </c>
      <c r="AP2533">
        <v>100</v>
      </c>
      <c r="AQ2533">
        <v>1900</v>
      </c>
      <c r="AR2533" t="s">
        <v>118</v>
      </c>
      <c r="AS2533">
        <v>-63</v>
      </c>
      <c r="AT2533">
        <v>41</v>
      </c>
      <c r="AU2533">
        <v>-192</v>
      </c>
      <c r="BC2533">
        <v>1200</v>
      </c>
      <c r="BD2533">
        <v>1</v>
      </c>
      <c r="BE2533" t="str">
        <f t="shared" si="119"/>
        <v xml:space="preserve">N215T   </v>
      </c>
      <c r="BF2533">
        <v>1</v>
      </c>
      <c r="BH2533">
        <v>0</v>
      </c>
      <c r="BI2533">
        <v>0</v>
      </c>
      <c r="BJ2533">
        <v>0</v>
      </c>
      <c r="BK2533">
        <v>2325</v>
      </c>
      <c r="BL2533">
        <v>425</v>
      </c>
      <c r="BM2533" t="s">
        <v>119</v>
      </c>
      <c r="BN2533">
        <v>1</v>
      </c>
      <c r="BO2533">
        <v>1</v>
      </c>
      <c r="BP2533">
        <v>1</v>
      </c>
      <c r="BQ2533">
        <v>0</v>
      </c>
      <c r="BT2533">
        <v>0</v>
      </c>
      <c r="BU2533">
        <v>0</v>
      </c>
      <c r="BV2533">
        <v>0</v>
      </c>
      <c r="CC2533" t="str">
        <f>"19:17:05.133"</f>
        <v>19:17:05.133</v>
      </c>
      <c r="CD2533" t="str">
        <f>"133285023"</f>
        <v>133285023</v>
      </c>
      <c r="CQ2533">
        <v>0</v>
      </c>
      <c r="CR2533">
        <v>2</v>
      </c>
      <c r="CS2533">
        <v>0</v>
      </c>
      <c r="CT2533">
        <v>2</v>
      </c>
      <c r="CU2533">
        <v>0</v>
      </c>
      <c r="CV2533">
        <v>7</v>
      </c>
      <c r="CW2533" t="s">
        <v>120</v>
      </c>
      <c r="CX2533">
        <v>261</v>
      </c>
      <c r="CY2533">
        <v>2</v>
      </c>
      <c r="CZ2533" t="s">
        <v>121</v>
      </c>
      <c r="DA2533" t="s">
        <v>122</v>
      </c>
      <c r="DD2533">
        <v>15820133</v>
      </c>
      <c r="DE2533" t="s">
        <v>123</v>
      </c>
    </row>
    <row r="2534" spans="1:109" x14ac:dyDescent="0.3">
      <c r="A2534" t="str">
        <f>"19:17:06.453"</f>
        <v>19:17:06.453</v>
      </c>
      <c r="B2534" t="s">
        <v>110</v>
      </c>
      <c r="C2534" t="str">
        <f t="shared" si="117"/>
        <v>ffdfd3c0</v>
      </c>
      <c r="D2534" t="s">
        <v>111</v>
      </c>
      <c r="E2534">
        <v>18</v>
      </c>
      <c r="F2534">
        <v>1018</v>
      </c>
      <c r="G2534" t="s">
        <v>112</v>
      </c>
      <c r="J2534" t="s">
        <v>113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R2534" t="s">
        <v>114</v>
      </c>
      <c r="S2534" t="str">
        <f>"19:17:06.211"</f>
        <v>19:17:06.211</v>
      </c>
      <c r="T2534" t="str">
        <f>"19:17:05.711"</f>
        <v>19:17:05.711</v>
      </c>
      <c r="U2534" t="str">
        <f t="shared" si="118"/>
        <v>a1cdbe</v>
      </c>
      <c r="V2534">
        <v>0</v>
      </c>
      <c r="W2534">
        <v>0</v>
      </c>
      <c r="X2534">
        <v>1</v>
      </c>
      <c r="Y2534">
        <v>0</v>
      </c>
      <c r="Z2534">
        <v>0</v>
      </c>
      <c r="AB2534">
        <v>0</v>
      </c>
      <c r="AC2534">
        <v>9</v>
      </c>
      <c r="AD2534">
        <v>3</v>
      </c>
      <c r="AE2534">
        <v>0</v>
      </c>
      <c r="AF2534">
        <v>9</v>
      </c>
      <c r="AG2534" t="s">
        <v>158</v>
      </c>
      <c r="AH2534">
        <v>0</v>
      </c>
      <c r="AI2534">
        <v>3</v>
      </c>
      <c r="AJ2534">
        <v>1</v>
      </c>
      <c r="AK2534">
        <v>0</v>
      </c>
      <c r="AL2534" t="s">
        <v>4769</v>
      </c>
      <c r="AM2534">
        <v>46.933165000000002</v>
      </c>
      <c r="AN2534" t="s">
        <v>4770</v>
      </c>
      <c r="AO2534">
        <v>-123.292866</v>
      </c>
      <c r="AP2534">
        <v>100</v>
      </c>
      <c r="AQ2534">
        <v>1900</v>
      </c>
      <c r="AR2534" t="s">
        <v>118</v>
      </c>
      <c r="AS2534">
        <v>-63</v>
      </c>
      <c r="AT2534">
        <v>41</v>
      </c>
      <c r="AU2534">
        <v>-192</v>
      </c>
      <c r="BC2534">
        <v>1200</v>
      </c>
      <c r="BD2534">
        <v>1</v>
      </c>
      <c r="BE2534" t="str">
        <f t="shared" si="119"/>
        <v xml:space="preserve">N215T   </v>
      </c>
      <c r="BF2534">
        <v>1</v>
      </c>
      <c r="BH2534">
        <v>0</v>
      </c>
      <c r="BI2534">
        <v>0</v>
      </c>
      <c r="BJ2534">
        <v>0</v>
      </c>
      <c r="BK2534">
        <v>2325</v>
      </c>
      <c r="BL2534">
        <v>425</v>
      </c>
      <c r="BM2534" t="s">
        <v>119</v>
      </c>
      <c r="BN2534">
        <v>1</v>
      </c>
      <c r="BO2534">
        <v>1</v>
      </c>
      <c r="BP2534">
        <v>1</v>
      </c>
      <c r="BQ2534">
        <v>0</v>
      </c>
      <c r="BT2534">
        <v>0</v>
      </c>
      <c r="BU2534">
        <v>0</v>
      </c>
      <c r="BV2534">
        <v>0</v>
      </c>
      <c r="CC2534" t="str">
        <f>"19:17:06.211"</f>
        <v>19:17:06.211</v>
      </c>
      <c r="CD2534" t="str">
        <f>"213178633"</f>
        <v>213178633</v>
      </c>
      <c r="CQ2534">
        <v>0</v>
      </c>
      <c r="CR2534">
        <v>2</v>
      </c>
      <c r="CS2534">
        <v>0</v>
      </c>
      <c r="CT2534">
        <v>2</v>
      </c>
      <c r="CU2534">
        <v>0</v>
      </c>
      <c r="CV2534">
        <v>7</v>
      </c>
      <c r="CW2534" t="s">
        <v>120</v>
      </c>
      <c r="CX2534">
        <v>261</v>
      </c>
      <c r="CY2534">
        <v>2</v>
      </c>
      <c r="CZ2534" t="s">
        <v>121</v>
      </c>
      <c r="DA2534" t="s">
        <v>122</v>
      </c>
      <c r="DD2534">
        <v>15821004</v>
      </c>
      <c r="DE2534" t="s">
        <v>123</v>
      </c>
    </row>
    <row r="2535" spans="1:109" x14ac:dyDescent="0.3">
      <c r="A2535" t="str">
        <f>"19:17:07.461"</f>
        <v>19:17:07.461</v>
      </c>
      <c r="B2535" t="s">
        <v>110</v>
      </c>
      <c r="C2535" t="str">
        <f t="shared" si="117"/>
        <v>ffdfd3c0</v>
      </c>
      <c r="D2535" t="s">
        <v>111</v>
      </c>
      <c r="E2535">
        <v>18</v>
      </c>
      <c r="F2535">
        <v>1018</v>
      </c>
      <c r="G2535" t="s">
        <v>112</v>
      </c>
      <c r="J2535" t="s">
        <v>113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R2535" t="s">
        <v>114</v>
      </c>
      <c r="S2535" t="str">
        <f>"19:17:07.211"</f>
        <v>19:17:07.211</v>
      </c>
      <c r="T2535" t="str">
        <f>"19:17:06.813"</f>
        <v>19:17:06.813</v>
      </c>
      <c r="U2535" t="str">
        <f t="shared" si="118"/>
        <v>a1cdbe</v>
      </c>
      <c r="V2535">
        <v>0</v>
      </c>
      <c r="W2535">
        <v>0</v>
      </c>
      <c r="X2535">
        <v>1</v>
      </c>
      <c r="Y2535">
        <v>0</v>
      </c>
      <c r="Z2535">
        <v>0</v>
      </c>
      <c r="AB2535">
        <v>0</v>
      </c>
      <c r="AC2535">
        <v>9</v>
      </c>
      <c r="AD2535">
        <v>3</v>
      </c>
      <c r="AE2535">
        <v>0</v>
      </c>
      <c r="AF2535">
        <v>9</v>
      </c>
      <c r="AG2535" t="s">
        <v>158</v>
      </c>
      <c r="AH2535">
        <v>0</v>
      </c>
      <c r="AI2535">
        <v>3</v>
      </c>
      <c r="AJ2535">
        <v>1</v>
      </c>
      <c r="AK2535">
        <v>0</v>
      </c>
      <c r="AL2535" t="s">
        <v>4771</v>
      </c>
      <c r="AM2535">
        <v>46.933357999999998</v>
      </c>
      <c r="AN2535" t="s">
        <v>4772</v>
      </c>
      <c r="AO2535">
        <v>-123.293316</v>
      </c>
      <c r="AP2535">
        <v>100</v>
      </c>
      <c r="AQ2535">
        <v>1900</v>
      </c>
      <c r="AR2535" t="s">
        <v>118</v>
      </c>
      <c r="AS2535">
        <v>-64</v>
      </c>
      <c r="AT2535">
        <v>41</v>
      </c>
      <c r="AU2535">
        <v>-128</v>
      </c>
      <c r="BC2535">
        <v>1200</v>
      </c>
      <c r="BD2535">
        <v>1</v>
      </c>
      <c r="BE2535" t="str">
        <f t="shared" si="119"/>
        <v xml:space="preserve">N215T   </v>
      </c>
      <c r="BF2535">
        <v>1</v>
      </c>
      <c r="BH2535">
        <v>0</v>
      </c>
      <c r="BI2535">
        <v>0</v>
      </c>
      <c r="BJ2535">
        <v>0</v>
      </c>
      <c r="BK2535">
        <v>2300</v>
      </c>
      <c r="BL2535">
        <v>400</v>
      </c>
      <c r="BM2535" t="s">
        <v>119</v>
      </c>
      <c r="BN2535">
        <v>1</v>
      </c>
      <c r="BO2535">
        <v>1</v>
      </c>
      <c r="BP2535">
        <v>1</v>
      </c>
      <c r="BQ2535">
        <v>0</v>
      </c>
      <c r="BT2535">
        <v>0</v>
      </c>
      <c r="BU2535">
        <v>0</v>
      </c>
      <c r="BV2535">
        <v>0</v>
      </c>
      <c r="CC2535" t="str">
        <f>"19:17:07.219"</f>
        <v>19:17:07.219</v>
      </c>
      <c r="CD2535" t="str">
        <f>"218079628"</f>
        <v>218079628</v>
      </c>
      <c r="CQ2535">
        <v>0</v>
      </c>
      <c r="CR2535">
        <v>2</v>
      </c>
      <c r="CS2535">
        <v>0</v>
      </c>
      <c r="CT2535">
        <v>2</v>
      </c>
      <c r="CU2535">
        <v>0</v>
      </c>
      <c r="CV2535">
        <v>7</v>
      </c>
      <c r="CW2535" t="s">
        <v>120</v>
      </c>
      <c r="CX2535">
        <v>261</v>
      </c>
      <c r="CY2535">
        <v>2</v>
      </c>
      <c r="CZ2535" t="s">
        <v>121</v>
      </c>
      <c r="DA2535" t="s">
        <v>122</v>
      </c>
      <c r="DD2535">
        <v>15821767</v>
      </c>
      <c r="DE2535" t="s">
        <v>123</v>
      </c>
    </row>
    <row r="2536" spans="1:109" x14ac:dyDescent="0.3">
      <c r="A2536" t="str">
        <f>"19:17:08.563"</f>
        <v>19:17:08.563</v>
      </c>
      <c r="B2536" t="s">
        <v>110</v>
      </c>
      <c r="C2536" t="str">
        <f t="shared" si="117"/>
        <v>ffdfd3c0</v>
      </c>
      <c r="D2536" t="s">
        <v>111</v>
      </c>
      <c r="E2536">
        <v>18</v>
      </c>
      <c r="F2536">
        <v>1018</v>
      </c>
      <c r="G2536" t="s">
        <v>112</v>
      </c>
      <c r="J2536" t="s">
        <v>113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R2536" t="s">
        <v>114</v>
      </c>
      <c r="S2536" t="str">
        <f>"19:17:08.336"</f>
        <v>19:17:08.336</v>
      </c>
      <c r="T2536" t="str">
        <f>"19:17:08.234"</f>
        <v>19:17:08.234</v>
      </c>
      <c r="U2536" t="str">
        <f t="shared" si="118"/>
        <v>a1cdbe</v>
      </c>
      <c r="V2536">
        <v>0</v>
      </c>
      <c r="W2536">
        <v>0</v>
      </c>
      <c r="X2536">
        <v>1</v>
      </c>
      <c r="Y2536">
        <v>0</v>
      </c>
      <c r="Z2536">
        <v>0</v>
      </c>
      <c r="AB2536">
        <v>0</v>
      </c>
      <c r="AC2536">
        <v>9</v>
      </c>
      <c r="AD2536">
        <v>3</v>
      </c>
      <c r="AE2536">
        <v>0</v>
      </c>
      <c r="AF2536">
        <v>9</v>
      </c>
      <c r="AG2536" t="s">
        <v>158</v>
      </c>
      <c r="AH2536">
        <v>0</v>
      </c>
      <c r="AI2536">
        <v>3</v>
      </c>
      <c r="AJ2536">
        <v>1</v>
      </c>
      <c r="AK2536">
        <v>0</v>
      </c>
      <c r="AL2536" t="s">
        <v>4773</v>
      </c>
      <c r="AM2536">
        <v>46.933551000000001</v>
      </c>
      <c r="AN2536" t="s">
        <v>4774</v>
      </c>
      <c r="AO2536">
        <v>-123.29378800000001</v>
      </c>
      <c r="AP2536">
        <v>100</v>
      </c>
      <c r="AQ2536">
        <v>1900</v>
      </c>
      <c r="AR2536" t="s">
        <v>118</v>
      </c>
      <c r="AS2536">
        <v>-64</v>
      </c>
      <c r="AT2536">
        <v>41</v>
      </c>
      <c r="AU2536">
        <v>-128</v>
      </c>
      <c r="BC2536">
        <v>1200</v>
      </c>
      <c r="BD2536">
        <v>1</v>
      </c>
      <c r="BE2536" t="str">
        <f t="shared" si="119"/>
        <v xml:space="preserve">N215T   </v>
      </c>
      <c r="BF2536">
        <v>1</v>
      </c>
      <c r="BH2536">
        <v>0</v>
      </c>
      <c r="BI2536">
        <v>0</v>
      </c>
      <c r="BJ2536">
        <v>0</v>
      </c>
      <c r="BK2536">
        <v>2300</v>
      </c>
      <c r="BL2536">
        <v>400</v>
      </c>
      <c r="BM2536" t="s">
        <v>119</v>
      </c>
      <c r="BN2536">
        <v>1</v>
      </c>
      <c r="BO2536">
        <v>1</v>
      </c>
      <c r="BP2536">
        <v>1</v>
      </c>
      <c r="BQ2536">
        <v>0</v>
      </c>
      <c r="BT2536">
        <v>0</v>
      </c>
      <c r="BU2536">
        <v>0</v>
      </c>
      <c r="BV2536">
        <v>0</v>
      </c>
      <c r="CC2536" t="str">
        <f>"19:17:08.344"</f>
        <v>19:17:08.344</v>
      </c>
      <c r="CD2536" t="str">
        <f>"342968797"</f>
        <v>342968797</v>
      </c>
      <c r="CQ2536">
        <v>0</v>
      </c>
      <c r="CR2536">
        <v>2</v>
      </c>
      <c r="CS2536">
        <v>0</v>
      </c>
      <c r="CT2536">
        <v>2</v>
      </c>
      <c r="CU2536">
        <v>0</v>
      </c>
      <c r="CV2536">
        <v>6</v>
      </c>
      <c r="CW2536" t="s">
        <v>120</v>
      </c>
      <c r="CX2536">
        <v>261</v>
      </c>
      <c r="CY2536">
        <v>2</v>
      </c>
      <c r="CZ2536" t="s">
        <v>121</v>
      </c>
      <c r="DA2536" t="s">
        <v>122</v>
      </c>
      <c r="DD2536">
        <v>15822600</v>
      </c>
      <c r="DE2536" t="s">
        <v>123</v>
      </c>
    </row>
    <row r="2537" spans="1:109" x14ac:dyDescent="0.3">
      <c r="A2537" t="str">
        <f>"19:17:09.523"</f>
        <v>19:17:09.523</v>
      </c>
      <c r="B2537" t="s">
        <v>110</v>
      </c>
      <c r="C2537" t="str">
        <f t="shared" si="117"/>
        <v>ffdfd3c0</v>
      </c>
      <c r="D2537" t="s">
        <v>111</v>
      </c>
      <c r="E2537">
        <v>18</v>
      </c>
      <c r="F2537">
        <v>1018</v>
      </c>
      <c r="G2537" t="s">
        <v>112</v>
      </c>
      <c r="J2537" t="s">
        <v>113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R2537" t="s">
        <v>114</v>
      </c>
      <c r="S2537" t="str">
        <f>"19:17:09.313"</f>
        <v>19:17:09.313</v>
      </c>
      <c r="T2537" t="str">
        <f>"19:17:09.313"</f>
        <v>19:17:09.313</v>
      </c>
      <c r="U2537" t="str">
        <f t="shared" si="118"/>
        <v>a1cdbe</v>
      </c>
      <c r="V2537">
        <v>0</v>
      </c>
      <c r="W2537">
        <v>0</v>
      </c>
      <c r="X2537">
        <v>1</v>
      </c>
      <c r="Y2537">
        <v>0</v>
      </c>
      <c r="Z2537">
        <v>0</v>
      </c>
      <c r="AB2537">
        <v>0</v>
      </c>
      <c r="AC2537">
        <v>9</v>
      </c>
      <c r="AD2537">
        <v>3</v>
      </c>
      <c r="AE2537">
        <v>0</v>
      </c>
      <c r="AF2537">
        <v>9</v>
      </c>
      <c r="AG2537" t="s">
        <v>158</v>
      </c>
      <c r="AH2537">
        <v>0</v>
      </c>
      <c r="AI2537">
        <v>3</v>
      </c>
      <c r="AJ2537">
        <v>1</v>
      </c>
      <c r="AK2537">
        <v>0</v>
      </c>
      <c r="AL2537" t="s">
        <v>4775</v>
      </c>
      <c r="AM2537">
        <v>46.933787000000002</v>
      </c>
      <c r="AN2537" t="s">
        <v>4776</v>
      </c>
      <c r="AO2537">
        <v>-123.294282</v>
      </c>
      <c r="AP2537">
        <v>100</v>
      </c>
      <c r="AQ2537">
        <v>1900</v>
      </c>
      <c r="AR2537" t="s">
        <v>118</v>
      </c>
      <c r="AS2537">
        <v>-64</v>
      </c>
      <c r="AT2537">
        <v>41</v>
      </c>
      <c r="AU2537">
        <v>-64</v>
      </c>
      <c r="BC2537">
        <v>1200</v>
      </c>
      <c r="BD2537">
        <v>1</v>
      </c>
      <c r="BE2537" t="str">
        <f t="shared" si="119"/>
        <v xml:space="preserve">N215T   </v>
      </c>
      <c r="BF2537">
        <v>1</v>
      </c>
      <c r="BH2537">
        <v>0</v>
      </c>
      <c r="BI2537">
        <v>0</v>
      </c>
      <c r="BJ2537">
        <v>0</v>
      </c>
      <c r="BK2537">
        <v>2300</v>
      </c>
      <c r="BL2537">
        <v>400</v>
      </c>
      <c r="BM2537" t="s">
        <v>119</v>
      </c>
      <c r="BN2537">
        <v>1</v>
      </c>
      <c r="BO2537">
        <v>1</v>
      </c>
      <c r="BP2537">
        <v>1</v>
      </c>
      <c r="BQ2537">
        <v>0</v>
      </c>
      <c r="BT2537">
        <v>0</v>
      </c>
      <c r="BU2537">
        <v>0</v>
      </c>
      <c r="BV2537">
        <v>0</v>
      </c>
      <c r="CC2537" t="str">
        <f>"19:17:09.320"</f>
        <v>19:17:09.320</v>
      </c>
      <c r="CD2537" t="str">
        <f>"317872751"</f>
        <v>317872751</v>
      </c>
      <c r="CQ2537">
        <v>0</v>
      </c>
      <c r="CR2537">
        <v>2</v>
      </c>
      <c r="CS2537">
        <v>0</v>
      </c>
      <c r="CT2537">
        <v>2</v>
      </c>
      <c r="CU2537">
        <v>0</v>
      </c>
      <c r="CV2537">
        <v>6</v>
      </c>
      <c r="CW2537" t="s">
        <v>120</v>
      </c>
      <c r="CX2537">
        <v>261</v>
      </c>
      <c r="CY2537">
        <v>2</v>
      </c>
      <c r="CZ2537" t="s">
        <v>121</v>
      </c>
      <c r="DA2537" t="s">
        <v>122</v>
      </c>
      <c r="DD2537">
        <v>15823296</v>
      </c>
      <c r="DE2537" t="s">
        <v>123</v>
      </c>
    </row>
    <row r="2538" spans="1:109" x14ac:dyDescent="0.3">
      <c r="A2538" t="str">
        <f>"19:17:10.422"</f>
        <v>19:17:10.422</v>
      </c>
      <c r="B2538" t="s">
        <v>110</v>
      </c>
      <c r="C2538" t="str">
        <f t="shared" si="117"/>
        <v>ffdfd3c0</v>
      </c>
      <c r="D2538" t="s">
        <v>111</v>
      </c>
      <c r="E2538">
        <v>18</v>
      </c>
      <c r="F2538">
        <v>1018</v>
      </c>
      <c r="G2538" t="s">
        <v>112</v>
      </c>
      <c r="J2538" t="s">
        <v>113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R2538" t="s">
        <v>114</v>
      </c>
      <c r="S2538" t="str">
        <f>"19:17:10.211"</f>
        <v>19:17:10.211</v>
      </c>
      <c r="T2538" t="str">
        <f>"19:17:09.813"</f>
        <v>19:17:09.813</v>
      </c>
      <c r="U2538" t="str">
        <f t="shared" si="118"/>
        <v>a1cdbe</v>
      </c>
      <c r="V2538">
        <v>0</v>
      </c>
      <c r="W2538">
        <v>0</v>
      </c>
      <c r="X2538">
        <v>1</v>
      </c>
      <c r="Y2538">
        <v>0</v>
      </c>
      <c r="Z2538">
        <v>0</v>
      </c>
      <c r="AB2538">
        <v>0</v>
      </c>
      <c r="AC2538">
        <v>9</v>
      </c>
      <c r="AD2538">
        <v>3</v>
      </c>
      <c r="AE2538">
        <v>0</v>
      </c>
      <c r="AF2538">
        <v>9</v>
      </c>
      <c r="AG2538" t="s">
        <v>158</v>
      </c>
      <c r="AH2538">
        <v>0</v>
      </c>
      <c r="AI2538">
        <v>3</v>
      </c>
      <c r="AJ2538">
        <v>1</v>
      </c>
      <c r="AK2538">
        <v>0</v>
      </c>
      <c r="AL2538" t="s">
        <v>4777</v>
      </c>
      <c r="AM2538">
        <v>46.933916000000004</v>
      </c>
      <c r="AN2538" t="s">
        <v>4778</v>
      </c>
      <c r="AO2538">
        <v>-123.294625</v>
      </c>
      <c r="AP2538">
        <v>100</v>
      </c>
      <c r="AQ2538">
        <v>1900</v>
      </c>
      <c r="AR2538" t="s">
        <v>118</v>
      </c>
      <c r="AS2538">
        <v>-64</v>
      </c>
      <c r="AT2538">
        <v>40</v>
      </c>
      <c r="AU2538">
        <v>0</v>
      </c>
      <c r="BC2538">
        <v>1200</v>
      </c>
      <c r="BD2538">
        <v>1</v>
      </c>
      <c r="BE2538" t="str">
        <f t="shared" si="119"/>
        <v xml:space="preserve">N215T   </v>
      </c>
      <c r="BF2538">
        <v>1</v>
      </c>
      <c r="BH2538">
        <v>0</v>
      </c>
      <c r="BI2538">
        <v>0</v>
      </c>
      <c r="BJ2538">
        <v>0</v>
      </c>
      <c r="BK2538">
        <v>2300</v>
      </c>
      <c r="BL2538">
        <v>400</v>
      </c>
      <c r="BM2538" t="s">
        <v>119</v>
      </c>
      <c r="BN2538">
        <v>1</v>
      </c>
      <c r="BO2538">
        <v>1</v>
      </c>
      <c r="BP2538">
        <v>1</v>
      </c>
      <c r="BQ2538">
        <v>0</v>
      </c>
      <c r="BT2538">
        <v>0</v>
      </c>
      <c r="BU2538">
        <v>0</v>
      </c>
      <c r="BV2538">
        <v>0</v>
      </c>
      <c r="CC2538" t="str">
        <f>"19:17:10.219"</f>
        <v>19:17:10.219</v>
      </c>
      <c r="CD2538" t="str">
        <f>"217768521"</f>
        <v>217768521</v>
      </c>
      <c r="CQ2538">
        <v>0</v>
      </c>
      <c r="CR2538">
        <v>2</v>
      </c>
      <c r="CS2538">
        <v>0</v>
      </c>
      <c r="CT2538">
        <v>2</v>
      </c>
      <c r="CU2538">
        <v>0</v>
      </c>
      <c r="CV2538">
        <v>6</v>
      </c>
      <c r="CW2538" t="s">
        <v>120</v>
      </c>
      <c r="CX2538">
        <v>257</v>
      </c>
      <c r="CY2538">
        <v>0</v>
      </c>
      <c r="CZ2538" t="s">
        <v>615</v>
      </c>
      <c r="DA2538" t="s">
        <v>616</v>
      </c>
      <c r="DD2538">
        <v>15961687</v>
      </c>
      <c r="DE2538" t="s">
        <v>123</v>
      </c>
    </row>
    <row r="2539" spans="1:109" x14ac:dyDescent="0.3">
      <c r="A2539" t="str">
        <f>"19:17:11.578"</f>
        <v>19:17:11.578</v>
      </c>
      <c r="B2539" t="s">
        <v>110</v>
      </c>
      <c r="C2539" t="str">
        <f t="shared" si="117"/>
        <v>ffdfd3c0</v>
      </c>
      <c r="D2539" t="s">
        <v>111</v>
      </c>
      <c r="E2539">
        <v>18</v>
      </c>
      <c r="F2539">
        <v>1018</v>
      </c>
      <c r="G2539" t="s">
        <v>112</v>
      </c>
      <c r="J2539" t="s">
        <v>113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R2539" t="s">
        <v>114</v>
      </c>
      <c r="S2539" t="str">
        <f>"19:17:11.336"</f>
        <v>19:17:11.336</v>
      </c>
      <c r="T2539" t="str">
        <f>"19:17:11.234"</f>
        <v>19:17:11.234</v>
      </c>
      <c r="U2539" t="str">
        <f t="shared" si="118"/>
        <v>a1cdbe</v>
      </c>
      <c r="V2539">
        <v>0</v>
      </c>
      <c r="W2539">
        <v>0</v>
      </c>
      <c r="X2539">
        <v>1</v>
      </c>
      <c r="Y2539">
        <v>0</v>
      </c>
      <c r="Z2539">
        <v>0</v>
      </c>
      <c r="AB2539">
        <v>0</v>
      </c>
      <c r="AC2539">
        <v>9</v>
      </c>
      <c r="AD2539">
        <v>3</v>
      </c>
      <c r="AE2539">
        <v>0</v>
      </c>
      <c r="AF2539">
        <v>9</v>
      </c>
      <c r="AG2539" t="s">
        <v>158</v>
      </c>
      <c r="AH2539">
        <v>0</v>
      </c>
      <c r="AI2539">
        <v>3</v>
      </c>
      <c r="AJ2539">
        <v>1</v>
      </c>
      <c r="AK2539">
        <v>0</v>
      </c>
      <c r="AL2539" t="s">
        <v>4779</v>
      </c>
      <c r="AM2539">
        <v>46.934151999999997</v>
      </c>
      <c r="AN2539" t="s">
        <v>4780</v>
      </c>
      <c r="AO2539">
        <v>-123.295097</v>
      </c>
      <c r="AP2539">
        <v>100</v>
      </c>
      <c r="AQ2539">
        <v>1900</v>
      </c>
      <c r="AR2539" t="s">
        <v>118</v>
      </c>
      <c r="AS2539">
        <v>-64</v>
      </c>
      <c r="AT2539">
        <v>40</v>
      </c>
      <c r="AU2539">
        <v>0</v>
      </c>
      <c r="BC2539">
        <v>1200</v>
      </c>
      <c r="BD2539">
        <v>1</v>
      </c>
      <c r="BE2539" t="str">
        <f t="shared" si="119"/>
        <v xml:space="preserve">N215T   </v>
      </c>
      <c r="BF2539">
        <v>1</v>
      </c>
      <c r="BH2539">
        <v>0</v>
      </c>
      <c r="BI2539">
        <v>0</v>
      </c>
      <c r="BJ2539">
        <v>0</v>
      </c>
      <c r="BK2539">
        <v>2300</v>
      </c>
      <c r="BL2539">
        <v>400</v>
      </c>
      <c r="BM2539" t="s">
        <v>119</v>
      </c>
      <c r="BN2539">
        <v>1</v>
      </c>
      <c r="BO2539">
        <v>1</v>
      </c>
      <c r="BP2539">
        <v>1</v>
      </c>
      <c r="BQ2539">
        <v>0</v>
      </c>
      <c r="BT2539">
        <v>0</v>
      </c>
      <c r="BU2539">
        <v>0</v>
      </c>
      <c r="BV2539">
        <v>0</v>
      </c>
      <c r="CC2539" t="str">
        <f>"19:17:11.344"</f>
        <v>19:17:11.344</v>
      </c>
      <c r="CD2539" t="str">
        <f>"342657701"</f>
        <v>342657701</v>
      </c>
      <c r="CQ2539">
        <v>0</v>
      </c>
      <c r="CR2539">
        <v>2</v>
      </c>
      <c r="CS2539">
        <v>0</v>
      </c>
      <c r="CT2539">
        <v>2</v>
      </c>
      <c r="CU2539">
        <v>0</v>
      </c>
      <c r="CV2539">
        <v>6</v>
      </c>
      <c r="CW2539" t="s">
        <v>120</v>
      </c>
      <c r="CX2539">
        <v>257</v>
      </c>
      <c r="CY2539">
        <v>1</v>
      </c>
      <c r="CZ2539" t="s">
        <v>615</v>
      </c>
      <c r="DA2539" t="s">
        <v>616</v>
      </c>
      <c r="DD2539">
        <v>12261353</v>
      </c>
      <c r="DE2539" t="s">
        <v>123</v>
      </c>
    </row>
    <row r="2540" spans="1:109" x14ac:dyDescent="0.3">
      <c r="A2540" t="str">
        <f>"19:17:12.484"</f>
        <v>19:17:12.484</v>
      </c>
      <c r="B2540" t="s">
        <v>110</v>
      </c>
      <c r="C2540" t="str">
        <f t="shared" si="117"/>
        <v>ffdfd3c0</v>
      </c>
      <c r="D2540" t="s">
        <v>111</v>
      </c>
      <c r="E2540">
        <v>18</v>
      </c>
      <c r="F2540">
        <v>1018</v>
      </c>
      <c r="G2540" t="s">
        <v>112</v>
      </c>
      <c r="J2540" t="s">
        <v>113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R2540" t="s">
        <v>114</v>
      </c>
      <c r="S2540" t="str">
        <f>"19:17:12.242"</f>
        <v>19:17:12.242</v>
      </c>
      <c r="T2540" t="str">
        <f>"19:17:12.242"</f>
        <v>19:17:12.242</v>
      </c>
      <c r="U2540" t="str">
        <f t="shared" si="118"/>
        <v>a1cdbe</v>
      </c>
      <c r="V2540">
        <v>0</v>
      </c>
      <c r="W2540">
        <v>0</v>
      </c>
      <c r="X2540">
        <v>1</v>
      </c>
      <c r="Y2540">
        <v>0</v>
      </c>
      <c r="Z2540">
        <v>0</v>
      </c>
      <c r="AB2540">
        <v>0</v>
      </c>
      <c r="AC2540">
        <v>9</v>
      </c>
      <c r="AD2540">
        <v>3</v>
      </c>
      <c r="AE2540">
        <v>0</v>
      </c>
      <c r="AF2540">
        <v>9</v>
      </c>
      <c r="AG2540" t="s">
        <v>158</v>
      </c>
      <c r="AH2540">
        <v>0</v>
      </c>
      <c r="AI2540">
        <v>3</v>
      </c>
      <c r="AJ2540">
        <v>1</v>
      </c>
      <c r="AK2540">
        <v>0</v>
      </c>
      <c r="AL2540" t="s">
        <v>4781</v>
      </c>
      <c r="AM2540">
        <v>46.934302000000002</v>
      </c>
      <c r="AN2540" t="s">
        <v>4782</v>
      </c>
      <c r="AO2540">
        <v>-123.295548</v>
      </c>
      <c r="AP2540">
        <v>100</v>
      </c>
      <c r="AQ2540">
        <v>1900</v>
      </c>
      <c r="AR2540" t="s">
        <v>118</v>
      </c>
      <c r="AS2540">
        <v>-64</v>
      </c>
      <c r="AT2540">
        <v>40</v>
      </c>
      <c r="AU2540">
        <v>0</v>
      </c>
      <c r="BC2540">
        <v>1200</v>
      </c>
      <c r="BD2540">
        <v>1</v>
      </c>
      <c r="BE2540" t="str">
        <f t="shared" si="119"/>
        <v xml:space="preserve">N215T   </v>
      </c>
      <c r="BF2540">
        <v>1</v>
      </c>
      <c r="BH2540">
        <v>0</v>
      </c>
      <c r="BI2540">
        <v>0</v>
      </c>
      <c r="BJ2540">
        <v>0</v>
      </c>
      <c r="BK2540">
        <v>2300</v>
      </c>
      <c r="BL2540">
        <v>400</v>
      </c>
      <c r="BM2540" t="s">
        <v>119</v>
      </c>
      <c r="BN2540">
        <v>1</v>
      </c>
      <c r="BO2540">
        <v>1</v>
      </c>
      <c r="BP2540">
        <v>1</v>
      </c>
      <c r="BQ2540">
        <v>0</v>
      </c>
      <c r="BT2540">
        <v>0</v>
      </c>
      <c r="BU2540">
        <v>0</v>
      </c>
      <c r="BV2540">
        <v>0</v>
      </c>
      <c r="CC2540" t="str">
        <f>"19:17:12.242"</f>
        <v>19:17:12.242</v>
      </c>
      <c r="CD2540" t="str">
        <f>"242584619"</f>
        <v>242584619</v>
      </c>
      <c r="CQ2540">
        <v>0</v>
      </c>
      <c r="CR2540">
        <v>2</v>
      </c>
      <c r="CS2540">
        <v>0</v>
      </c>
      <c r="CT2540">
        <v>2</v>
      </c>
      <c r="CU2540">
        <v>0</v>
      </c>
      <c r="CV2540">
        <v>6</v>
      </c>
      <c r="CW2540" t="s">
        <v>120</v>
      </c>
      <c r="CX2540">
        <v>261</v>
      </c>
      <c r="CY2540">
        <v>2</v>
      </c>
      <c r="CZ2540" t="s">
        <v>121</v>
      </c>
      <c r="DA2540" t="s">
        <v>122</v>
      </c>
      <c r="DD2540">
        <v>15825449</v>
      </c>
      <c r="DE2540" t="s">
        <v>123</v>
      </c>
    </row>
    <row r="2541" spans="1:109" x14ac:dyDescent="0.3">
      <c r="A2541" t="str">
        <f>"19:17:13.492"</f>
        <v>19:17:13.492</v>
      </c>
      <c r="B2541" t="s">
        <v>110</v>
      </c>
      <c r="C2541" t="str">
        <f t="shared" si="117"/>
        <v>ffdfd3c0</v>
      </c>
      <c r="D2541" t="s">
        <v>111</v>
      </c>
      <c r="E2541">
        <v>18</v>
      </c>
      <c r="F2541">
        <v>1018</v>
      </c>
      <c r="G2541" t="s">
        <v>112</v>
      </c>
      <c r="J2541" t="s">
        <v>113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R2541" t="s">
        <v>114</v>
      </c>
      <c r="S2541" t="str">
        <f>"19:17:13.242"</f>
        <v>19:17:13.242</v>
      </c>
      <c r="T2541" t="str">
        <f>"19:17:13.242"</f>
        <v>19:17:13.242</v>
      </c>
      <c r="U2541" t="str">
        <f t="shared" si="118"/>
        <v>a1cdbe</v>
      </c>
      <c r="V2541">
        <v>0</v>
      </c>
      <c r="W2541">
        <v>0</v>
      </c>
      <c r="X2541">
        <v>1</v>
      </c>
      <c r="Y2541">
        <v>0</v>
      </c>
      <c r="Z2541">
        <v>0</v>
      </c>
      <c r="AB2541">
        <v>0</v>
      </c>
      <c r="AC2541">
        <v>9</v>
      </c>
      <c r="AD2541">
        <v>3</v>
      </c>
      <c r="AE2541">
        <v>0</v>
      </c>
      <c r="AF2541">
        <v>9</v>
      </c>
      <c r="AG2541" t="s">
        <v>158</v>
      </c>
      <c r="AH2541">
        <v>0</v>
      </c>
      <c r="AI2541">
        <v>3</v>
      </c>
      <c r="AJ2541">
        <v>1</v>
      </c>
      <c r="AK2541">
        <v>0</v>
      </c>
      <c r="AL2541" t="s">
        <v>4783</v>
      </c>
      <c r="AM2541">
        <v>46.934516000000002</v>
      </c>
      <c r="AN2541" t="s">
        <v>4784</v>
      </c>
      <c r="AO2541">
        <v>-123.29599899999999</v>
      </c>
      <c r="AP2541">
        <v>100</v>
      </c>
      <c r="AQ2541">
        <v>1900</v>
      </c>
      <c r="AR2541" t="s">
        <v>118</v>
      </c>
      <c r="AS2541">
        <v>-64</v>
      </c>
      <c r="AT2541">
        <v>40</v>
      </c>
      <c r="AU2541">
        <v>64</v>
      </c>
      <c r="BC2541">
        <v>1200</v>
      </c>
      <c r="BD2541">
        <v>1</v>
      </c>
      <c r="BE2541" t="str">
        <f t="shared" si="119"/>
        <v xml:space="preserve">N215T   </v>
      </c>
      <c r="BF2541">
        <v>1</v>
      </c>
      <c r="BH2541">
        <v>0</v>
      </c>
      <c r="BI2541">
        <v>0</v>
      </c>
      <c r="BJ2541">
        <v>0</v>
      </c>
      <c r="BK2541">
        <v>2300</v>
      </c>
      <c r="BL2541">
        <v>400</v>
      </c>
      <c r="BM2541" t="s">
        <v>119</v>
      </c>
      <c r="BN2541">
        <v>1</v>
      </c>
      <c r="BO2541">
        <v>1</v>
      </c>
      <c r="BP2541">
        <v>1</v>
      </c>
      <c r="BQ2541">
        <v>0</v>
      </c>
      <c r="BT2541">
        <v>0</v>
      </c>
      <c r="BU2541">
        <v>0</v>
      </c>
      <c r="BV2541">
        <v>0</v>
      </c>
      <c r="CC2541" t="str">
        <f>"19:17:13.250"</f>
        <v>19:17:13.250</v>
      </c>
      <c r="CD2541" t="str">
        <f>"247470023"</f>
        <v>247470023</v>
      </c>
      <c r="CQ2541">
        <v>0</v>
      </c>
      <c r="CR2541">
        <v>2</v>
      </c>
      <c r="CS2541">
        <v>0</v>
      </c>
      <c r="CT2541">
        <v>2</v>
      </c>
      <c r="CU2541">
        <v>0</v>
      </c>
      <c r="CV2541">
        <v>6</v>
      </c>
      <c r="CW2541" t="s">
        <v>120</v>
      </c>
      <c r="CX2541">
        <v>257</v>
      </c>
      <c r="CY2541">
        <v>0</v>
      </c>
      <c r="CZ2541" t="s">
        <v>615</v>
      </c>
      <c r="DA2541" t="s">
        <v>616</v>
      </c>
      <c r="DD2541">
        <v>15963322</v>
      </c>
      <c r="DE2541" t="s">
        <v>123</v>
      </c>
    </row>
    <row r="2542" spans="1:109" x14ac:dyDescent="0.3">
      <c r="A2542" t="str">
        <f>"19:17:14.594"</f>
        <v>19:17:14.594</v>
      </c>
      <c r="B2542" t="s">
        <v>110</v>
      </c>
      <c r="C2542" t="str">
        <f t="shared" si="117"/>
        <v>ffdfd3c0</v>
      </c>
      <c r="D2542" t="s">
        <v>111</v>
      </c>
      <c r="E2542">
        <v>18</v>
      </c>
      <c r="F2542">
        <v>1018</v>
      </c>
      <c r="G2542" t="s">
        <v>112</v>
      </c>
      <c r="J2542" t="s">
        <v>113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R2542" t="s">
        <v>114</v>
      </c>
      <c r="S2542" t="str">
        <f>"19:17:14.336"</f>
        <v>19:17:14.336</v>
      </c>
      <c r="T2542" t="str">
        <f>"19:17:14.336"</f>
        <v>19:17:14.336</v>
      </c>
      <c r="U2542" t="str">
        <f t="shared" si="118"/>
        <v>a1cdbe</v>
      </c>
      <c r="V2542">
        <v>0</v>
      </c>
      <c r="W2542">
        <v>0</v>
      </c>
      <c r="X2542">
        <v>1</v>
      </c>
      <c r="Y2542">
        <v>0</v>
      </c>
      <c r="Z2542">
        <v>0</v>
      </c>
      <c r="AB2542">
        <v>0</v>
      </c>
      <c r="AC2542">
        <v>9</v>
      </c>
      <c r="AD2542">
        <v>3</v>
      </c>
      <c r="AE2542">
        <v>0</v>
      </c>
      <c r="AF2542">
        <v>9</v>
      </c>
      <c r="AG2542" t="s">
        <v>158</v>
      </c>
      <c r="AH2542">
        <v>0</v>
      </c>
      <c r="AI2542">
        <v>3</v>
      </c>
      <c r="AJ2542">
        <v>1</v>
      </c>
      <c r="AK2542">
        <v>0</v>
      </c>
      <c r="AL2542" t="s">
        <v>4785</v>
      </c>
      <c r="AM2542">
        <v>46.934688000000001</v>
      </c>
      <c r="AN2542" t="s">
        <v>4786</v>
      </c>
      <c r="AO2542">
        <v>-123.296406</v>
      </c>
      <c r="AP2542">
        <v>100</v>
      </c>
      <c r="AQ2542">
        <v>1900</v>
      </c>
      <c r="AR2542" t="s">
        <v>118</v>
      </c>
      <c r="AS2542">
        <v>-64</v>
      </c>
      <c r="AT2542">
        <v>40</v>
      </c>
      <c r="AU2542">
        <v>64</v>
      </c>
      <c r="BC2542">
        <v>1200</v>
      </c>
      <c r="BD2542">
        <v>1</v>
      </c>
      <c r="BE2542" t="str">
        <f t="shared" si="119"/>
        <v xml:space="preserve">N215T   </v>
      </c>
      <c r="BF2542">
        <v>1</v>
      </c>
      <c r="BH2542">
        <v>0</v>
      </c>
      <c r="BI2542">
        <v>0</v>
      </c>
      <c r="BJ2542">
        <v>0</v>
      </c>
      <c r="BK2542">
        <v>2300</v>
      </c>
      <c r="BL2542">
        <v>400</v>
      </c>
      <c r="BM2542" t="s">
        <v>119</v>
      </c>
      <c r="BN2542">
        <v>1</v>
      </c>
      <c r="BO2542">
        <v>1</v>
      </c>
      <c r="BP2542">
        <v>1</v>
      </c>
      <c r="BQ2542">
        <v>0</v>
      </c>
      <c r="BT2542">
        <v>0</v>
      </c>
      <c r="BU2542">
        <v>0</v>
      </c>
      <c r="BV2542">
        <v>0</v>
      </c>
      <c r="CC2542" t="str">
        <f>"19:17:14.344"</f>
        <v>19:17:14.344</v>
      </c>
      <c r="CD2542" t="str">
        <f>"342362159"</f>
        <v>342362159</v>
      </c>
      <c r="CQ2542">
        <v>0</v>
      </c>
      <c r="CR2542">
        <v>2</v>
      </c>
      <c r="CS2542">
        <v>0</v>
      </c>
      <c r="CT2542">
        <v>2</v>
      </c>
      <c r="CU2542">
        <v>0</v>
      </c>
      <c r="CV2542">
        <v>6</v>
      </c>
      <c r="CW2542" t="s">
        <v>120</v>
      </c>
      <c r="CX2542">
        <v>257</v>
      </c>
      <c r="CY2542">
        <v>0</v>
      </c>
      <c r="CZ2542" t="s">
        <v>615</v>
      </c>
      <c r="DA2542" t="s">
        <v>616</v>
      </c>
      <c r="DD2542">
        <v>15963934</v>
      </c>
      <c r="DE2542" t="s">
        <v>123</v>
      </c>
    </row>
    <row r="2543" spans="1:109" x14ac:dyDescent="0.3">
      <c r="A2543" t="str">
        <f>"19:17:15.500"</f>
        <v>19:17:15.500</v>
      </c>
      <c r="B2543" t="s">
        <v>110</v>
      </c>
      <c r="C2543" t="str">
        <f t="shared" si="117"/>
        <v>ffdfd3c0</v>
      </c>
      <c r="D2543" t="s">
        <v>111</v>
      </c>
      <c r="E2543">
        <v>18</v>
      </c>
      <c r="F2543">
        <v>1018</v>
      </c>
      <c r="G2543" t="s">
        <v>112</v>
      </c>
      <c r="J2543" t="s">
        <v>113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R2543" t="s">
        <v>114</v>
      </c>
      <c r="S2543" t="str">
        <f>"19:17:15.242"</f>
        <v>19:17:15.242</v>
      </c>
      <c r="T2543" t="str">
        <f>"19:17:15.242"</f>
        <v>19:17:15.242</v>
      </c>
      <c r="U2543" t="str">
        <f t="shared" si="118"/>
        <v>a1cdbe</v>
      </c>
      <c r="V2543">
        <v>0</v>
      </c>
      <c r="W2543">
        <v>0</v>
      </c>
      <c r="X2543">
        <v>1</v>
      </c>
      <c r="Y2543">
        <v>0</v>
      </c>
      <c r="Z2543">
        <v>0</v>
      </c>
      <c r="AB2543">
        <v>0</v>
      </c>
      <c r="AC2543">
        <v>9</v>
      </c>
      <c r="AD2543">
        <v>3</v>
      </c>
      <c r="AE2543">
        <v>0</v>
      </c>
      <c r="AF2543">
        <v>9</v>
      </c>
      <c r="AG2543" t="s">
        <v>158</v>
      </c>
      <c r="AH2543">
        <v>0</v>
      </c>
      <c r="AI2543">
        <v>3</v>
      </c>
      <c r="AJ2543">
        <v>1</v>
      </c>
      <c r="AK2543">
        <v>0</v>
      </c>
      <c r="AL2543" t="s">
        <v>4787</v>
      </c>
      <c r="AM2543">
        <v>46.934880999999997</v>
      </c>
      <c r="AN2543" t="s">
        <v>4788</v>
      </c>
      <c r="AO2543">
        <v>-123.296814</v>
      </c>
      <c r="AP2543">
        <v>100</v>
      </c>
      <c r="AQ2543">
        <v>1900</v>
      </c>
      <c r="AR2543" t="s">
        <v>118</v>
      </c>
      <c r="AS2543">
        <v>-64</v>
      </c>
      <c r="AT2543">
        <v>39</v>
      </c>
      <c r="AU2543">
        <v>64</v>
      </c>
      <c r="BC2543">
        <v>1200</v>
      </c>
      <c r="BD2543">
        <v>1</v>
      </c>
      <c r="BE2543" t="str">
        <f t="shared" si="119"/>
        <v xml:space="preserve">N215T   </v>
      </c>
      <c r="BF2543">
        <v>1</v>
      </c>
      <c r="BH2543">
        <v>0</v>
      </c>
      <c r="BI2543">
        <v>0</v>
      </c>
      <c r="BJ2543">
        <v>0</v>
      </c>
      <c r="BK2543">
        <v>2300</v>
      </c>
      <c r="BL2543">
        <v>400</v>
      </c>
      <c r="BM2543" t="s">
        <v>119</v>
      </c>
      <c r="BN2543">
        <v>1</v>
      </c>
      <c r="BO2543">
        <v>1</v>
      </c>
      <c r="BP2543">
        <v>1</v>
      </c>
      <c r="BQ2543">
        <v>0</v>
      </c>
      <c r="BT2543">
        <v>0</v>
      </c>
      <c r="BU2543">
        <v>0</v>
      </c>
      <c r="BV2543">
        <v>0</v>
      </c>
      <c r="CC2543" t="str">
        <f>"19:17:15.242"</f>
        <v>19:17:15.242</v>
      </c>
      <c r="CD2543" t="str">
        <f>"242273500"</f>
        <v>242273500</v>
      </c>
      <c r="CQ2543">
        <v>0</v>
      </c>
      <c r="CR2543">
        <v>2</v>
      </c>
      <c r="CS2543">
        <v>0</v>
      </c>
      <c r="CT2543">
        <v>2</v>
      </c>
      <c r="CU2543">
        <v>0</v>
      </c>
      <c r="CV2543">
        <v>6</v>
      </c>
      <c r="CW2543" t="s">
        <v>120</v>
      </c>
      <c r="CX2543">
        <v>257</v>
      </c>
      <c r="CY2543">
        <v>1</v>
      </c>
      <c r="CZ2543" t="s">
        <v>615</v>
      </c>
      <c r="DA2543" t="s">
        <v>616</v>
      </c>
      <c r="DD2543">
        <v>12263955</v>
      </c>
      <c r="DE2543" t="s">
        <v>123</v>
      </c>
    </row>
    <row r="2544" spans="1:109" x14ac:dyDescent="0.3">
      <c r="A2544" t="str">
        <f>"19:17:16.508"</f>
        <v>19:17:16.508</v>
      </c>
      <c r="B2544" t="s">
        <v>110</v>
      </c>
      <c r="C2544" t="str">
        <f t="shared" si="117"/>
        <v>ffdfd3c0</v>
      </c>
      <c r="D2544" t="s">
        <v>111</v>
      </c>
      <c r="E2544">
        <v>18</v>
      </c>
      <c r="F2544">
        <v>1018</v>
      </c>
      <c r="G2544" t="s">
        <v>112</v>
      </c>
      <c r="J2544" t="s">
        <v>113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R2544" t="s">
        <v>114</v>
      </c>
      <c r="S2544" t="str">
        <f>"19:17:16.273"</f>
        <v>19:17:16.273</v>
      </c>
      <c r="T2544" t="str">
        <f>"19:17:16.273"</f>
        <v>19:17:16.273</v>
      </c>
      <c r="U2544" t="str">
        <f t="shared" si="118"/>
        <v>a1cdbe</v>
      </c>
      <c r="V2544">
        <v>0</v>
      </c>
      <c r="W2544">
        <v>0</v>
      </c>
      <c r="X2544">
        <v>1</v>
      </c>
      <c r="Y2544">
        <v>0</v>
      </c>
      <c r="Z2544">
        <v>0</v>
      </c>
      <c r="AB2544">
        <v>0</v>
      </c>
      <c r="AC2544">
        <v>9</v>
      </c>
      <c r="AD2544">
        <v>3</v>
      </c>
      <c r="AE2544">
        <v>0</v>
      </c>
      <c r="AF2544">
        <v>9</v>
      </c>
      <c r="AG2544" t="s">
        <v>158</v>
      </c>
      <c r="AH2544">
        <v>0</v>
      </c>
      <c r="AI2544">
        <v>3</v>
      </c>
      <c r="AJ2544">
        <v>1</v>
      </c>
      <c r="AK2544">
        <v>0</v>
      </c>
      <c r="AL2544" t="s">
        <v>4789</v>
      </c>
      <c r="AM2544">
        <v>46.935031000000002</v>
      </c>
      <c r="AN2544" t="s">
        <v>4790</v>
      </c>
      <c r="AO2544">
        <v>-123.29724299999999</v>
      </c>
      <c r="AP2544">
        <v>100</v>
      </c>
      <c r="AQ2544">
        <v>1900</v>
      </c>
      <c r="AR2544" t="s">
        <v>118</v>
      </c>
      <c r="AS2544">
        <v>-63</v>
      </c>
      <c r="AT2544">
        <v>39</v>
      </c>
      <c r="AU2544">
        <v>64</v>
      </c>
      <c r="BC2544">
        <v>1200</v>
      </c>
      <c r="BD2544">
        <v>1</v>
      </c>
      <c r="BE2544" t="str">
        <f t="shared" si="119"/>
        <v xml:space="preserve">N215T   </v>
      </c>
      <c r="BF2544">
        <v>1</v>
      </c>
      <c r="BH2544">
        <v>0</v>
      </c>
      <c r="BI2544">
        <v>0</v>
      </c>
      <c r="BJ2544">
        <v>0</v>
      </c>
      <c r="BK2544">
        <v>2300</v>
      </c>
      <c r="BL2544">
        <v>400</v>
      </c>
      <c r="BM2544" t="s">
        <v>119</v>
      </c>
      <c r="BN2544">
        <v>1</v>
      </c>
      <c r="BO2544">
        <v>1</v>
      </c>
      <c r="BP2544">
        <v>1</v>
      </c>
      <c r="BQ2544">
        <v>0</v>
      </c>
      <c r="BT2544">
        <v>0</v>
      </c>
      <c r="BU2544">
        <v>0</v>
      </c>
      <c r="BV2544">
        <v>0</v>
      </c>
      <c r="CC2544" t="str">
        <f>"19:17:16.273"</f>
        <v>19:17:16.273</v>
      </c>
      <c r="CD2544" t="str">
        <f>"277187140"</f>
        <v>277187140</v>
      </c>
      <c r="CQ2544">
        <v>0</v>
      </c>
      <c r="CR2544">
        <v>2</v>
      </c>
      <c r="CS2544">
        <v>0</v>
      </c>
      <c r="CT2544">
        <v>2</v>
      </c>
      <c r="CU2544">
        <v>0</v>
      </c>
      <c r="CV2544">
        <v>6</v>
      </c>
      <c r="CW2544" t="s">
        <v>120</v>
      </c>
      <c r="CX2544">
        <v>261</v>
      </c>
      <c r="CY2544">
        <v>2</v>
      </c>
      <c r="CZ2544" t="s">
        <v>121</v>
      </c>
      <c r="DA2544" t="s">
        <v>122</v>
      </c>
      <c r="DD2544">
        <v>15828340</v>
      </c>
      <c r="DE2544" t="s">
        <v>123</v>
      </c>
    </row>
    <row r="2545" spans="1:109" x14ac:dyDescent="0.3">
      <c r="A2545" t="str">
        <f>"19:17:17.508"</f>
        <v>19:17:17.508</v>
      </c>
      <c r="B2545" t="s">
        <v>110</v>
      </c>
      <c r="C2545" t="str">
        <f t="shared" si="117"/>
        <v>ffdfd3c0</v>
      </c>
      <c r="D2545" t="s">
        <v>111</v>
      </c>
      <c r="E2545">
        <v>18</v>
      </c>
      <c r="F2545">
        <v>1018</v>
      </c>
      <c r="G2545" t="s">
        <v>112</v>
      </c>
      <c r="J2545" t="s">
        <v>113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R2545" t="s">
        <v>114</v>
      </c>
      <c r="S2545" t="str">
        <f>"19:17:17.281"</f>
        <v>19:17:17.281</v>
      </c>
      <c r="T2545" t="str">
        <f>"19:17:17.281"</f>
        <v>19:17:17.281</v>
      </c>
      <c r="U2545" t="str">
        <f t="shared" si="118"/>
        <v>a1cdbe</v>
      </c>
      <c r="V2545">
        <v>0</v>
      </c>
      <c r="W2545">
        <v>0</v>
      </c>
      <c r="X2545">
        <v>1</v>
      </c>
      <c r="Y2545">
        <v>0</v>
      </c>
      <c r="Z2545">
        <v>0</v>
      </c>
      <c r="AB2545">
        <v>0</v>
      </c>
      <c r="AC2545">
        <v>9</v>
      </c>
      <c r="AD2545">
        <v>3</v>
      </c>
      <c r="AE2545">
        <v>0</v>
      </c>
      <c r="AF2545">
        <v>9</v>
      </c>
      <c r="AG2545" t="s">
        <v>158</v>
      </c>
      <c r="AH2545">
        <v>0</v>
      </c>
      <c r="AI2545">
        <v>3</v>
      </c>
      <c r="AJ2545">
        <v>1</v>
      </c>
      <c r="AK2545">
        <v>0</v>
      </c>
      <c r="AL2545" t="s">
        <v>4791</v>
      </c>
      <c r="AM2545">
        <v>46.935245999999999</v>
      </c>
      <c r="AN2545" t="s">
        <v>4792</v>
      </c>
      <c r="AO2545">
        <v>-123.297629</v>
      </c>
      <c r="AP2545">
        <v>100</v>
      </c>
      <c r="AQ2545">
        <v>1900</v>
      </c>
      <c r="AR2545" t="s">
        <v>118</v>
      </c>
      <c r="AS2545">
        <v>-63</v>
      </c>
      <c r="AT2545">
        <v>39</v>
      </c>
      <c r="AU2545">
        <v>64</v>
      </c>
      <c r="BC2545">
        <v>1200</v>
      </c>
      <c r="BD2545">
        <v>1</v>
      </c>
      <c r="BE2545" t="str">
        <f t="shared" si="119"/>
        <v xml:space="preserve">N215T   </v>
      </c>
      <c r="BF2545">
        <v>1</v>
      </c>
      <c r="BH2545">
        <v>0</v>
      </c>
      <c r="BI2545">
        <v>0</v>
      </c>
      <c r="BJ2545">
        <v>0</v>
      </c>
      <c r="BK2545">
        <v>2300</v>
      </c>
      <c r="BL2545">
        <v>400</v>
      </c>
      <c r="BM2545" t="s">
        <v>119</v>
      </c>
      <c r="BN2545">
        <v>1</v>
      </c>
      <c r="BO2545">
        <v>1</v>
      </c>
      <c r="BP2545">
        <v>1</v>
      </c>
      <c r="BQ2545">
        <v>0</v>
      </c>
      <c r="BT2545">
        <v>0</v>
      </c>
      <c r="BU2545">
        <v>0</v>
      </c>
      <c r="BV2545">
        <v>0</v>
      </c>
      <c r="CC2545" t="str">
        <f>"19:17:17.281"</f>
        <v>19:17:17.281</v>
      </c>
      <c r="CD2545" t="str">
        <f>"282088145"</f>
        <v>282088145</v>
      </c>
      <c r="CQ2545">
        <v>0</v>
      </c>
      <c r="CR2545">
        <v>2</v>
      </c>
      <c r="CS2545">
        <v>0</v>
      </c>
      <c r="CT2545">
        <v>2</v>
      </c>
      <c r="CU2545">
        <v>0</v>
      </c>
      <c r="CV2545">
        <v>6</v>
      </c>
      <c r="CW2545" t="s">
        <v>120</v>
      </c>
      <c r="CX2545">
        <v>261</v>
      </c>
      <c r="CY2545">
        <v>2</v>
      </c>
      <c r="CZ2545" t="s">
        <v>121</v>
      </c>
      <c r="DA2545" t="s">
        <v>122</v>
      </c>
      <c r="DD2545">
        <v>15829026</v>
      </c>
      <c r="DE2545" t="s">
        <v>123</v>
      </c>
    </row>
    <row r="2546" spans="1:109" x14ac:dyDescent="0.3">
      <c r="A2546" t="str">
        <f>"19:17:18.516"</f>
        <v>19:17:18.516</v>
      </c>
      <c r="B2546" t="s">
        <v>110</v>
      </c>
      <c r="C2546" t="str">
        <f t="shared" si="117"/>
        <v>ffdfd3c0</v>
      </c>
      <c r="D2546" t="s">
        <v>111</v>
      </c>
      <c r="E2546">
        <v>18</v>
      </c>
      <c r="F2546">
        <v>1018</v>
      </c>
      <c r="G2546" t="s">
        <v>112</v>
      </c>
      <c r="J2546" t="s">
        <v>113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R2546" t="s">
        <v>114</v>
      </c>
      <c r="S2546" t="str">
        <f>"19:17:18.266"</f>
        <v>19:17:18.266</v>
      </c>
      <c r="T2546" t="str">
        <f>"19:17:17.867"</f>
        <v>19:17:17.867</v>
      </c>
      <c r="U2546" t="str">
        <f t="shared" si="118"/>
        <v>a1cdbe</v>
      </c>
      <c r="V2546">
        <v>0</v>
      </c>
      <c r="W2546">
        <v>0</v>
      </c>
      <c r="X2546">
        <v>1</v>
      </c>
      <c r="Y2546">
        <v>0</v>
      </c>
      <c r="Z2546">
        <v>0</v>
      </c>
      <c r="AB2546">
        <v>0</v>
      </c>
      <c r="AC2546">
        <v>9</v>
      </c>
      <c r="AD2546">
        <v>3</v>
      </c>
      <c r="AE2546">
        <v>0</v>
      </c>
      <c r="AF2546">
        <v>9</v>
      </c>
      <c r="AG2546" t="s">
        <v>158</v>
      </c>
      <c r="AH2546">
        <v>0</v>
      </c>
      <c r="AI2546">
        <v>3</v>
      </c>
      <c r="AJ2546">
        <v>1</v>
      </c>
      <c r="AK2546">
        <v>0</v>
      </c>
      <c r="AL2546" t="s">
        <v>4793</v>
      </c>
      <c r="AM2546">
        <v>46.935417999999999</v>
      </c>
      <c r="AN2546" t="s">
        <v>4794</v>
      </c>
      <c r="AO2546">
        <v>-123.29808</v>
      </c>
      <c r="AP2546">
        <v>100</v>
      </c>
      <c r="AQ2546">
        <v>1900</v>
      </c>
      <c r="AR2546" t="s">
        <v>118</v>
      </c>
      <c r="AS2546">
        <v>-63</v>
      </c>
      <c r="AT2546">
        <v>39</v>
      </c>
      <c r="AU2546">
        <v>64</v>
      </c>
      <c r="BC2546">
        <v>1200</v>
      </c>
      <c r="BD2546">
        <v>1</v>
      </c>
      <c r="BE2546" t="str">
        <f t="shared" si="119"/>
        <v xml:space="preserve">N215T   </v>
      </c>
      <c r="BF2546">
        <v>1</v>
      </c>
      <c r="BH2546">
        <v>0</v>
      </c>
      <c r="BI2546">
        <v>0</v>
      </c>
      <c r="BJ2546">
        <v>0</v>
      </c>
      <c r="BK2546">
        <v>2300</v>
      </c>
      <c r="BL2546">
        <v>400</v>
      </c>
      <c r="BM2546" t="s">
        <v>119</v>
      </c>
      <c r="BN2546">
        <v>1</v>
      </c>
      <c r="BO2546">
        <v>1</v>
      </c>
      <c r="BP2546">
        <v>1</v>
      </c>
      <c r="BQ2546">
        <v>0</v>
      </c>
      <c r="BT2546">
        <v>0</v>
      </c>
      <c r="BU2546">
        <v>0</v>
      </c>
      <c r="BV2546">
        <v>0</v>
      </c>
      <c r="CC2546" t="str">
        <f>"19:17:18.273"</f>
        <v>19:17:18.273</v>
      </c>
      <c r="CD2546" t="str">
        <f>"271990651"</f>
        <v>271990651</v>
      </c>
      <c r="CQ2546">
        <v>0</v>
      </c>
      <c r="CR2546">
        <v>2</v>
      </c>
      <c r="CS2546">
        <v>0</v>
      </c>
      <c r="CT2546">
        <v>2</v>
      </c>
      <c r="CU2546">
        <v>0</v>
      </c>
      <c r="CV2546">
        <v>6</v>
      </c>
      <c r="CW2546" t="s">
        <v>120</v>
      </c>
      <c r="CX2546">
        <v>261</v>
      </c>
      <c r="CY2546">
        <v>3</v>
      </c>
      <c r="CZ2546" t="s">
        <v>121</v>
      </c>
      <c r="DA2546" t="s">
        <v>122</v>
      </c>
      <c r="DD2546">
        <v>3802281</v>
      </c>
      <c r="DE2546" t="s">
        <v>123</v>
      </c>
    </row>
    <row r="2547" spans="1:109" x14ac:dyDescent="0.3">
      <c r="A2547" t="str">
        <f>"19:17:19.523"</f>
        <v>19:17:19.523</v>
      </c>
      <c r="B2547" t="s">
        <v>110</v>
      </c>
      <c r="C2547" t="str">
        <f t="shared" si="117"/>
        <v>ffdfd3c0</v>
      </c>
      <c r="D2547" t="s">
        <v>111</v>
      </c>
      <c r="E2547">
        <v>18</v>
      </c>
      <c r="F2547">
        <v>1018</v>
      </c>
      <c r="G2547" t="s">
        <v>112</v>
      </c>
      <c r="J2547" t="s">
        <v>113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R2547" t="s">
        <v>114</v>
      </c>
      <c r="S2547" t="str">
        <f>"19:17:19.289"</f>
        <v>19:17:19.289</v>
      </c>
      <c r="T2547" t="str">
        <f>"19:17:18.789"</f>
        <v>19:17:18.789</v>
      </c>
      <c r="U2547" t="str">
        <f t="shared" si="118"/>
        <v>a1cdbe</v>
      </c>
      <c r="V2547">
        <v>0</v>
      </c>
      <c r="W2547">
        <v>0</v>
      </c>
      <c r="X2547">
        <v>1</v>
      </c>
      <c r="Y2547">
        <v>0</v>
      </c>
      <c r="Z2547">
        <v>0</v>
      </c>
      <c r="AB2547">
        <v>0</v>
      </c>
      <c r="AC2547">
        <v>9</v>
      </c>
      <c r="AD2547">
        <v>3</v>
      </c>
      <c r="AE2547">
        <v>0</v>
      </c>
      <c r="AF2547">
        <v>9</v>
      </c>
      <c r="AG2547" t="s">
        <v>158</v>
      </c>
      <c r="AH2547">
        <v>0</v>
      </c>
      <c r="AI2547">
        <v>3</v>
      </c>
      <c r="AJ2547">
        <v>1</v>
      </c>
      <c r="AK2547">
        <v>0</v>
      </c>
      <c r="AL2547" t="s">
        <v>4795</v>
      </c>
      <c r="AM2547">
        <v>46.935568000000004</v>
      </c>
      <c r="AN2547" t="s">
        <v>4796</v>
      </c>
      <c r="AO2547">
        <v>-123.298531</v>
      </c>
      <c r="AP2547">
        <v>100</v>
      </c>
      <c r="AQ2547">
        <v>1900</v>
      </c>
      <c r="AR2547" t="s">
        <v>118</v>
      </c>
      <c r="AS2547">
        <v>-63</v>
      </c>
      <c r="AT2547">
        <v>39</v>
      </c>
      <c r="AU2547">
        <v>0</v>
      </c>
      <c r="BC2547">
        <v>1200</v>
      </c>
      <c r="BD2547">
        <v>1</v>
      </c>
      <c r="BE2547" t="str">
        <f t="shared" si="119"/>
        <v xml:space="preserve">N215T   </v>
      </c>
      <c r="BF2547">
        <v>1</v>
      </c>
      <c r="BH2547">
        <v>0</v>
      </c>
      <c r="BI2547">
        <v>0</v>
      </c>
      <c r="BJ2547">
        <v>0</v>
      </c>
      <c r="BK2547">
        <v>2300</v>
      </c>
      <c r="BL2547">
        <v>400</v>
      </c>
      <c r="BM2547" t="s">
        <v>119</v>
      </c>
      <c r="BN2547">
        <v>1</v>
      </c>
      <c r="BO2547">
        <v>1</v>
      </c>
      <c r="BP2547">
        <v>1</v>
      </c>
      <c r="BQ2547">
        <v>0</v>
      </c>
      <c r="BT2547">
        <v>0</v>
      </c>
      <c r="BU2547">
        <v>0</v>
      </c>
      <c r="BV2547">
        <v>0</v>
      </c>
      <c r="CC2547" t="str">
        <f>"19:17:19.289"</f>
        <v>19:17:19.289</v>
      </c>
      <c r="CD2547" t="str">
        <f>"291890149"</f>
        <v>291890149</v>
      </c>
      <c r="CQ2547">
        <v>0</v>
      </c>
      <c r="CR2547">
        <v>2</v>
      </c>
      <c r="CS2547">
        <v>0</v>
      </c>
      <c r="CT2547">
        <v>2</v>
      </c>
      <c r="CU2547">
        <v>0</v>
      </c>
      <c r="CV2547">
        <v>6</v>
      </c>
      <c r="CW2547" t="s">
        <v>120</v>
      </c>
      <c r="CX2547">
        <v>261</v>
      </c>
      <c r="CY2547">
        <v>2</v>
      </c>
      <c r="CZ2547" t="s">
        <v>121</v>
      </c>
      <c r="DA2547" t="s">
        <v>122</v>
      </c>
      <c r="DD2547">
        <v>15830461</v>
      </c>
      <c r="DE2547" t="s">
        <v>123</v>
      </c>
    </row>
    <row r="2548" spans="1:109" x14ac:dyDescent="0.3">
      <c r="A2548" t="str">
        <f>"19:17:20.430"</f>
        <v>19:17:20.430</v>
      </c>
      <c r="B2548" t="s">
        <v>110</v>
      </c>
      <c r="C2548" t="str">
        <f t="shared" si="117"/>
        <v>ffdfd3c0</v>
      </c>
      <c r="D2548" t="s">
        <v>111</v>
      </c>
      <c r="E2548">
        <v>18</v>
      </c>
      <c r="F2548">
        <v>1018</v>
      </c>
      <c r="G2548" t="s">
        <v>112</v>
      </c>
      <c r="J2548" t="s">
        <v>113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R2548" t="s">
        <v>114</v>
      </c>
      <c r="S2548" t="str">
        <f>"19:17:20.188"</f>
        <v>19:17:20.188</v>
      </c>
      <c r="T2548" t="str">
        <f>"19:17:19.891"</f>
        <v>19:17:19.891</v>
      </c>
      <c r="U2548" t="str">
        <f t="shared" si="118"/>
        <v>a1cdbe</v>
      </c>
      <c r="V2548">
        <v>0</v>
      </c>
      <c r="W2548">
        <v>0</v>
      </c>
      <c r="X2548">
        <v>1</v>
      </c>
      <c r="Y2548">
        <v>0</v>
      </c>
      <c r="Z2548">
        <v>0</v>
      </c>
      <c r="AB2548">
        <v>0</v>
      </c>
      <c r="AC2548">
        <v>9</v>
      </c>
      <c r="AD2548">
        <v>3</v>
      </c>
      <c r="AE2548">
        <v>0</v>
      </c>
      <c r="AF2548">
        <v>9</v>
      </c>
      <c r="AG2548" t="s">
        <v>158</v>
      </c>
      <c r="AH2548">
        <v>0</v>
      </c>
      <c r="AI2548">
        <v>3</v>
      </c>
      <c r="AJ2548">
        <v>1</v>
      </c>
      <c r="AK2548">
        <v>0</v>
      </c>
      <c r="AL2548" t="s">
        <v>4797</v>
      </c>
      <c r="AM2548">
        <v>46.935740000000003</v>
      </c>
      <c r="AN2548" t="s">
        <v>4798</v>
      </c>
      <c r="AO2548">
        <v>-123.298917</v>
      </c>
      <c r="AP2548">
        <v>100</v>
      </c>
      <c r="AQ2548">
        <v>1900</v>
      </c>
      <c r="AR2548" t="s">
        <v>118</v>
      </c>
      <c r="AS2548">
        <v>-63</v>
      </c>
      <c r="AT2548">
        <v>38</v>
      </c>
      <c r="AU2548">
        <v>0</v>
      </c>
      <c r="BC2548">
        <v>1200</v>
      </c>
      <c r="BD2548">
        <v>1</v>
      </c>
      <c r="BE2548" t="str">
        <f t="shared" si="119"/>
        <v xml:space="preserve">N215T   </v>
      </c>
      <c r="BF2548">
        <v>1</v>
      </c>
      <c r="BH2548">
        <v>0</v>
      </c>
      <c r="BI2548">
        <v>0</v>
      </c>
      <c r="BJ2548">
        <v>0</v>
      </c>
      <c r="BK2548">
        <v>2300</v>
      </c>
      <c r="BL2548">
        <v>400</v>
      </c>
      <c r="BM2548" t="s">
        <v>119</v>
      </c>
      <c r="BN2548">
        <v>1</v>
      </c>
      <c r="BO2548">
        <v>1</v>
      </c>
      <c r="BP2548">
        <v>1</v>
      </c>
      <c r="BQ2548">
        <v>0</v>
      </c>
      <c r="BT2548">
        <v>0</v>
      </c>
      <c r="BU2548">
        <v>0</v>
      </c>
      <c r="BV2548">
        <v>0</v>
      </c>
      <c r="CC2548" t="str">
        <f>"19:17:20.195"</f>
        <v>19:17:20.195</v>
      </c>
      <c r="CD2548" t="str">
        <f>"191801506"</f>
        <v>191801506</v>
      </c>
      <c r="CQ2548">
        <v>0</v>
      </c>
      <c r="CR2548">
        <v>2</v>
      </c>
      <c r="CS2548">
        <v>0</v>
      </c>
      <c r="CT2548">
        <v>2</v>
      </c>
      <c r="CU2548">
        <v>0</v>
      </c>
      <c r="CV2548">
        <v>6</v>
      </c>
      <c r="CW2548" t="s">
        <v>120</v>
      </c>
      <c r="CX2548">
        <v>261</v>
      </c>
      <c r="CY2548">
        <v>2</v>
      </c>
      <c r="CZ2548" t="s">
        <v>121</v>
      </c>
      <c r="DA2548" t="s">
        <v>122</v>
      </c>
      <c r="DD2548">
        <v>15831133</v>
      </c>
      <c r="DE2548" t="s">
        <v>123</v>
      </c>
    </row>
    <row r="2549" spans="1:109" x14ac:dyDescent="0.3">
      <c r="A2549" t="str">
        <f>"19:17:21.484"</f>
        <v>19:17:21.484</v>
      </c>
      <c r="B2549" t="s">
        <v>110</v>
      </c>
      <c r="C2549" t="str">
        <f t="shared" si="117"/>
        <v>ffdfd3c0</v>
      </c>
      <c r="D2549" t="s">
        <v>111</v>
      </c>
      <c r="E2549">
        <v>18</v>
      </c>
      <c r="F2549">
        <v>1018</v>
      </c>
      <c r="G2549" t="s">
        <v>112</v>
      </c>
      <c r="J2549" t="s">
        <v>113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R2549" t="s">
        <v>114</v>
      </c>
      <c r="S2549" t="str">
        <f>"19:17:21.250"</f>
        <v>19:17:21.250</v>
      </c>
      <c r="T2549" t="str">
        <f>"19:17:20.852"</f>
        <v>19:17:20.852</v>
      </c>
      <c r="U2549" t="str">
        <f t="shared" si="118"/>
        <v>a1cdbe</v>
      </c>
      <c r="V2549">
        <v>0</v>
      </c>
      <c r="W2549">
        <v>0</v>
      </c>
      <c r="X2549">
        <v>1</v>
      </c>
      <c r="Y2549">
        <v>0</v>
      </c>
      <c r="Z2549">
        <v>0</v>
      </c>
      <c r="AB2549">
        <v>0</v>
      </c>
      <c r="AC2549">
        <v>9</v>
      </c>
      <c r="AD2549">
        <v>3</v>
      </c>
      <c r="AE2549">
        <v>0</v>
      </c>
      <c r="AF2549">
        <v>9</v>
      </c>
      <c r="AG2549" t="s">
        <v>158</v>
      </c>
      <c r="AH2549">
        <v>0</v>
      </c>
      <c r="AI2549">
        <v>3</v>
      </c>
      <c r="AJ2549">
        <v>1</v>
      </c>
      <c r="AK2549">
        <v>0</v>
      </c>
      <c r="AL2549" t="s">
        <v>4799</v>
      </c>
      <c r="AM2549">
        <v>46.935932999999999</v>
      </c>
      <c r="AN2549" t="s">
        <v>4800</v>
      </c>
      <c r="AO2549">
        <v>-123.299432</v>
      </c>
      <c r="AP2549">
        <v>100</v>
      </c>
      <c r="AQ2549">
        <v>1900</v>
      </c>
      <c r="AR2549" t="s">
        <v>118</v>
      </c>
      <c r="AS2549">
        <v>-63</v>
      </c>
      <c r="AT2549">
        <v>38</v>
      </c>
      <c r="AU2549">
        <v>64</v>
      </c>
      <c r="BC2549">
        <v>1200</v>
      </c>
      <c r="BD2549">
        <v>1</v>
      </c>
      <c r="BE2549" t="str">
        <f t="shared" si="119"/>
        <v xml:space="preserve">N215T   </v>
      </c>
      <c r="BF2549">
        <v>1</v>
      </c>
      <c r="BH2549">
        <v>0</v>
      </c>
      <c r="BI2549">
        <v>0</v>
      </c>
      <c r="BJ2549">
        <v>0</v>
      </c>
      <c r="BK2549">
        <v>2300</v>
      </c>
      <c r="BL2549">
        <v>400</v>
      </c>
      <c r="BM2549" t="s">
        <v>119</v>
      </c>
      <c r="BN2549">
        <v>1</v>
      </c>
      <c r="BO2549">
        <v>1</v>
      </c>
      <c r="BP2549">
        <v>1</v>
      </c>
      <c r="BQ2549">
        <v>0</v>
      </c>
      <c r="BT2549">
        <v>0</v>
      </c>
      <c r="BU2549">
        <v>0</v>
      </c>
      <c r="BV2549">
        <v>0</v>
      </c>
      <c r="CC2549" t="str">
        <f>"19:17:21.258"</f>
        <v>19:17:21.258</v>
      </c>
      <c r="CD2549" t="str">
        <f>"256696597"</f>
        <v>256696597</v>
      </c>
      <c r="CQ2549">
        <v>0</v>
      </c>
      <c r="CR2549">
        <v>2</v>
      </c>
      <c r="CS2549">
        <v>0</v>
      </c>
      <c r="CT2549">
        <v>2</v>
      </c>
      <c r="CU2549">
        <v>0</v>
      </c>
      <c r="CV2549">
        <v>7</v>
      </c>
      <c r="CW2549" t="s">
        <v>120</v>
      </c>
      <c r="CX2549">
        <v>261</v>
      </c>
      <c r="CY2549">
        <v>2</v>
      </c>
      <c r="CZ2549" t="s">
        <v>121</v>
      </c>
      <c r="DA2549" t="s">
        <v>122</v>
      </c>
      <c r="DD2549">
        <v>15831885</v>
      </c>
      <c r="DE2549" t="s">
        <v>123</v>
      </c>
    </row>
    <row r="2550" spans="1:109" x14ac:dyDescent="0.3">
      <c r="A2550" t="str">
        <f>"19:17:22.539"</f>
        <v>19:17:22.539</v>
      </c>
      <c r="B2550" t="s">
        <v>110</v>
      </c>
      <c r="C2550" t="str">
        <f t="shared" si="117"/>
        <v>ffdfd3c0</v>
      </c>
      <c r="D2550" t="s">
        <v>111</v>
      </c>
      <c r="E2550">
        <v>18</v>
      </c>
      <c r="F2550">
        <v>1018</v>
      </c>
      <c r="G2550" t="s">
        <v>112</v>
      </c>
      <c r="J2550" t="s">
        <v>113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R2550" t="s">
        <v>114</v>
      </c>
      <c r="S2550" t="str">
        <f>"19:17:22.320"</f>
        <v>19:17:22.320</v>
      </c>
      <c r="T2550" t="str">
        <f>"19:17:21.922"</f>
        <v>19:17:21.922</v>
      </c>
      <c r="U2550" t="str">
        <f t="shared" si="118"/>
        <v>a1cdbe</v>
      </c>
      <c r="V2550">
        <v>0</v>
      </c>
      <c r="W2550">
        <v>0</v>
      </c>
      <c r="X2550">
        <v>1</v>
      </c>
      <c r="Y2550">
        <v>0</v>
      </c>
      <c r="Z2550">
        <v>0</v>
      </c>
      <c r="AB2550">
        <v>0</v>
      </c>
      <c r="AC2550">
        <v>9</v>
      </c>
      <c r="AD2550">
        <v>3</v>
      </c>
      <c r="AE2550">
        <v>0</v>
      </c>
      <c r="AF2550">
        <v>9</v>
      </c>
      <c r="AG2550" t="s">
        <v>158</v>
      </c>
      <c r="AH2550">
        <v>0</v>
      </c>
      <c r="AI2550">
        <v>3</v>
      </c>
      <c r="AJ2550">
        <v>1</v>
      </c>
      <c r="AK2550">
        <v>0</v>
      </c>
      <c r="AL2550" t="s">
        <v>4801</v>
      </c>
      <c r="AM2550">
        <v>46.936104</v>
      </c>
      <c r="AN2550" t="s">
        <v>4802</v>
      </c>
      <c r="AO2550">
        <v>-123.29983900000001</v>
      </c>
      <c r="AP2550">
        <v>100</v>
      </c>
      <c r="AQ2550">
        <v>1900</v>
      </c>
      <c r="AR2550" t="s">
        <v>118</v>
      </c>
      <c r="AS2550">
        <v>-63</v>
      </c>
      <c r="AT2550">
        <v>38</v>
      </c>
      <c r="AU2550">
        <v>0</v>
      </c>
      <c r="BC2550">
        <v>1200</v>
      </c>
      <c r="BD2550">
        <v>1</v>
      </c>
      <c r="BE2550" t="str">
        <f t="shared" si="119"/>
        <v xml:space="preserve">N215T   </v>
      </c>
      <c r="BF2550">
        <v>1</v>
      </c>
      <c r="BH2550">
        <v>0</v>
      </c>
      <c r="BI2550">
        <v>0</v>
      </c>
      <c r="BJ2550">
        <v>0</v>
      </c>
      <c r="BK2550">
        <v>2300</v>
      </c>
      <c r="BL2550">
        <v>400</v>
      </c>
      <c r="BM2550" t="s">
        <v>119</v>
      </c>
      <c r="BN2550">
        <v>1</v>
      </c>
      <c r="BO2550">
        <v>1</v>
      </c>
      <c r="BP2550">
        <v>1</v>
      </c>
      <c r="BQ2550">
        <v>0</v>
      </c>
      <c r="BT2550">
        <v>0</v>
      </c>
      <c r="BU2550">
        <v>0</v>
      </c>
      <c r="BV2550">
        <v>0</v>
      </c>
      <c r="CC2550" t="str">
        <f>"19:17:22.320"</f>
        <v>19:17:22.320</v>
      </c>
      <c r="CD2550" t="str">
        <f>"321591690"</f>
        <v>321591690</v>
      </c>
      <c r="CQ2550">
        <v>0</v>
      </c>
      <c r="CR2550">
        <v>2</v>
      </c>
      <c r="CS2550">
        <v>0</v>
      </c>
      <c r="CT2550">
        <v>2</v>
      </c>
      <c r="CU2550">
        <v>0</v>
      </c>
      <c r="CV2550">
        <v>7</v>
      </c>
      <c r="CW2550" t="s">
        <v>120</v>
      </c>
      <c r="CX2550">
        <v>261</v>
      </c>
      <c r="CY2550">
        <v>2</v>
      </c>
      <c r="CZ2550" t="s">
        <v>121</v>
      </c>
      <c r="DA2550" t="s">
        <v>122</v>
      </c>
      <c r="DD2550">
        <v>15832600</v>
      </c>
      <c r="DE2550" t="s">
        <v>123</v>
      </c>
    </row>
    <row r="2551" spans="1:109" x14ac:dyDescent="0.3">
      <c r="A2551" t="str">
        <f>"19:17:23.594"</f>
        <v>19:17:23.594</v>
      </c>
      <c r="B2551" t="s">
        <v>110</v>
      </c>
      <c r="C2551" t="str">
        <f t="shared" si="117"/>
        <v>ffdfd3c0</v>
      </c>
      <c r="D2551" t="s">
        <v>111</v>
      </c>
      <c r="E2551">
        <v>18</v>
      </c>
      <c r="F2551">
        <v>1018</v>
      </c>
      <c r="G2551" t="s">
        <v>112</v>
      </c>
      <c r="J2551" t="s">
        <v>113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R2551" t="s">
        <v>114</v>
      </c>
      <c r="S2551" t="str">
        <f>"19:17:23.336"</f>
        <v>19:17:23.336</v>
      </c>
      <c r="T2551" t="str">
        <f>"19:17:22.938"</f>
        <v>19:17:22.938</v>
      </c>
      <c r="U2551" t="str">
        <f t="shared" si="118"/>
        <v>a1cdbe</v>
      </c>
      <c r="V2551">
        <v>0</v>
      </c>
      <c r="W2551">
        <v>0</v>
      </c>
      <c r="X2551">
        <v>1</v>
      </c>
      <c r="Y2551">
        <v>0</v>
      </c>
      <c r="Z2551">
        <v>0</v>
      </c>
      <c r="AB2551">
        <v>0</v>
      </c>
      <c r="AC2551">
        <v>9</v>
      </c>
      <c r="AD2551">
        <v>3</v>
      </c>
      <c r="AE2551">
        <v>0</v>
      </c>
      <c r="AF2551">
        <v>9</v>
      </c>
      <c r="AG2551" t="s">
        <v>158</v>
      </c>
      <c r="AH2551">
        <v>0</v>
      </c>
      <c r="AI2551">
        <v>3</v>
      </c>
      <c r="AJ2551">
        <v>1</v>
      </c>
      <c r="AK2551">
        <v>0</v>
      </c>
      <c r="AL2551" t="s">
        <v>4803</v>
      </c>
      <c r="AM2551">
        <v>46.936297000000003</v>
      </c>
      <c r="AN2551" t="s">
        <v>4804</v>
      </c>
      <c r="AO2551">
        <v>-123.300247</v>
      </c>
      <c r="AP2551">
        <v>100</v>
      </c>
      <c r="AQ2551">
        <v>1900</v>
      </c>
      <c r="AR2551" t="s">
        <v>118</v>
      </c>
      <c r="AS2551">
        <v>-64</v>
      </c>
      <c r="AT2551">
        <v>38</v>
      </c>
      <c r="AU2551">
        <v>64</v>
      </c>
      <c r="BC2551">
        <v>1200</v>
      </c>
      <c r="BD2551">
        <v>1</v>
      </c>
      <c r="BE2551" t="str">
        <f t="shared" si="119"/>
        <v xml:space="preserve">N215T   </v>
      </c>
      <c r="BF2551">
        <v>1</v>
      </c>
      <c r="BH2551">
        <v>0</v>
      </c>
      <c r="BI2551">
        <v>0</v>
      </c>
      <c r="BJ2551">
        <v>0</v>
      </c>
      <c r="BK2551">
        <v>2300</v>
      </c>
      <c r="BL2551">
        <v>400</v>
      </c>
      <c r="BM2551" t="s">
        <v>119</v>
      </c>
      <c r="BN2551">
        <v>1</v>
      </c>
      <c r="BO2551">
        <v>1</v>
      </c>
      <c r="BP2551">
        <v>1</v>
      </c>
      <c r="BQ2551">
        <v>0</v>
      </c>
      <c r="BT2551">
        <v>0</v>
      </c>
      <c r="BU2551">
        <v>0</v>
      </c>
      <c r="BV2551">
        <v>0</v>
      </c>
      <c r="CC2551" t="str">
        <f>"19:17:23.344"</f>
        <v>19:17:23.344</v>
      </c>
      <c r="CD2551" t="str">
        <f>"341491196"</f>
        <v>341491196</v>
      </c>
      <c r="CQ2551">
        <v>0</v>
      </c>
      <c r="CR2551">
        <v>2</v>
      </c>
      <c r="CS2551">
        <v>0</v>
      </c>
      <c r="CT2551">
        <v>2</v>
      </c>
      <c r="CU2551">
        <v>0</v>
      </c>
      <c r="CV2551">
        <v>7</v>
      </c>
      <c r="CW2551" t="s">
        <v>120</v>
      </c>
      <c r="CX2551">
        <v>261</v>
      </c>
      <c r="CY2551">
        <v>2</v>
      </c>
      <c r="CZ2551" t="s">
        <v>121</v>
      </c>
      <c r="DA2551" t="s">
        <v>122</v>
      </c>
      <c r="DD2551">
        <v>15833282</v>
      </c>
      <c r="DE2551" t="s">
        <v>123</v>
      </c>
    </row>
    <row r="2552" spans="1:109" x14ac:dyDescent="0.3">
      <c r="A2552" t="str">
        <f>"19:17:24.602"</f>
        <v>19:17:24.602</v>
      </c>
      <c r="B2552" t="s">
        <v>110</v>
      </c>
      <c r="C2552" t="str">
        <f t="shared" si="117"/>
        <v>ffdfd3c0</v>
      </c>
      <c r="D2552" t="s">
        <v>111</v>
      </c>
      <c r="E2552">
        <v>18</v>
      </c>
      <c r="F2552">
        <v>1018</v>
      </c>
      <c r="G2552" t="s">
        <v>112</v>
      </c>
      <c r="J2552" t="s">
        <v>113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R2552" t="s">
        <v>114</v>
      </c>
      <c r="S2552" t="str">
        <f>"19:17:24.391"</f>
        <v>19:17:24.391</v>
      </c>
      <c r="T2552" t="str">
        <f>"19:17:24.391"</f>
        <v>19:17:24.391</v>
      </c>
      <c r="U2552" t="str">
        <f t="shared" si="118"/>
        <v>a1cdbe</v>
      </c>
      <c r="V2552">
        <v>0</v>
      </c>
      <c r="W2552">
        <v>0</v>
      </c>
      <c r="X2552">
        <v>1</v>
      </c>
      <c r="Y2552">
        <v>0</v>
      </c>
      <c r="Z2552">
        <v>0</v>
      </c>
      <c r="AB2552">
        <v>0</v>
      </c>
      <c r="AC2552">
        <v>9</v>
      </c>
      <c r="AD2552">
        <v>3</v>
      </c>
      <c r="AE2552">
        <v>0</v>
      </c>
      <c r="AF2552">
        <v>9</v>
      </c>
      <c r="AG2552" t="s">
        <v>158</v>
      </c>
      <c r="AH2552">
        <v>0</v>
      </c>
      <c r="AI2552">
        <v>3</v>
      </c>
      <c r="AJ2552">
        <v>1</v>
      </c>
      <c r="AK2552">
        <v>0</v>
      </c>
      <c r="AL2552" t="s">
        <v>4805</v>
      </c>
      <c r="AM2552">
        <v>46.936469000000002</v>
      </c>
      <c r="AN2552" t="s">
        <v>4806</v>
      </c>
      <c r="AO2552">
        <v>-123.300719</v>
      </c>
      <c r="AP2552">
        <v>100</v>
      </c>
      <c r="AQ2552">
        <v>1900</v>
      </c>
      <c r="AR2552" t="s">
        <v>118</v>
      </c>
      <c r="AS2552">
        <v>-63</v>
      </c>
      <c r="AT2552">
        <v>38</v>
      </c>
      <c r="AU2552">
        <v>64</v>
      </c>
      <c r="BC2552">
        <v>1200</v>
      </c>
      <c r="BD2552">
        <v>1</v>
      </c>
      <c r="BE2552" t="str">
        <f t="shared" si="119"/>
        <v xml:space="preserve">N215T   </v>
      </c>
      <c r="BF2552">
        <v>1</v>
      </c>
      <c r="BH2552">
        <v>0</v>
      </c>
      <c r="BI2552">
        <v>0</v>
      </c>
      <c r="BJ2552">
        <v>0</v>
      </c>
      <c r="BK2552">
        <v>2300</v>
      </c>
      <c r="BL2552">
        <v>400</v>
      </c>
      <c r="BM2552" t="s">
        <v>119</v>
      </c>
      <c r="BN2552">
        <v>1</v>
      </c>
      <c r="BO2552">
        <v>1</v>
      </c>
      <c r="BP2552">
        <v>1</v>
      </c>
      <c r="BQ2552">
        <v>0</v>
      </c>
      <c r="BT2552">
        <v>0</v>
      </c>
      <c r="BU2552">
        <v>0</v>
      </c>
      <c r="BV2552">
        <v>0</v>
      </c>
      <c r="CC2552" t="str">
        <f>"19:17:24.391"</f>
        <v>19:17:24.391</v>
      </c>
      <c r="CD2552" t="str">
        <f>"391387790"</f>
        <v>391387790</v>
      </c>
      <c r="CQ2552">
        <v>0</v>
      </c>
      <c r="CR2552">
        <v>2</v>
      </c>
      <c r="CS2552">
        <v>0</v>
      </c>
      <c r="CT2552">
        <v>2</v>
      </c>
      <c r="CU2552">
        <v>0</v>
      </c>
      <c r="CV2552">
        <v>6</v>
      </c>
      <c r="CW2552" t="s">
        <v>120</v>
      </c>
      <c r="CX2552">
        <v>261</v>
      </c>
      <c r="CY2552">
        <v>2</v>
      </c>
      <c r="CZ2552" t="s">
        <v>121</v>
      </c>
      <c r="DA2552" t="s">
        <v>122</v>
      </c>
      <c r="DD2552">
        <v>15834063</v>
      </c>
      <c r="DE2552" t="s">
        <v>123</v>
      </c>
    </row>
    <row r="2553" spans="1:109" x14ac:dyDescent="0.3">
      <c r="A2553" t="str">
        <f>"19:17:25.609"</f>
        <v>19:17:25.609</v>
      </c>
      <c r="B2553" t="s">
        <v>110</v>
      </c>
      <c r="C2553" t="str">
        <f t="shared" si="117"/>
        <v>ffdfd3c0</v>
      </c>
      <c r="D2553" t="s">
        <v>111</v>
      </c>
      <c r="E2553">
        <v>18</v>
      </c>
      <c r="F2553">
        <v>1018</v>
      </c>
      <c r="G2553" t="s">
        <v>112</v>
      </c>
      <c r="J2553" t="s">
        <v>113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R2553" t="s">
        <v>114</v>
      </c>
      <c r="S2553" t="str">
        <f>"19:17:25.336"</f>
        <v>19:17:25.336</v>
      </c>
      <c r="T2553" t="str">
        <f>"19:17:24.938"</f>
        <v>19:17:24.938</v>
      </c>
      <c r="U2553" t="str">
        <f t="shared" si="118"/>
        <v>a1cdbe</v>
      </c>
      <c r="V2553">
        <v>0</v>
      </c>
      <c r="W2553">
        <v>0</v>
      </c>
      <c r="X2553">
        <v>1</v>
      </c>
      <c r="Y2553">
        <v>0</v>
      </c>
      <c r="Z2553">
        <v>0</v>
      </c>
      <c r="AB2553">
        <v>0</v>
      </c>
      <c r="AC2553">
        <v>9</v>
      </c>
      <c r="AD2553">
        <v>3</v>
      </c>
      <c r="AE2553">
        <v>0</v>
      </c>
      <c r="AF2553">
        <v>9</v>
      </c>
      <c r="AG2553" t="s">
        <v>158</v>
      </c>
      <c r="AH2553">
        <v>0</v>
      </c>
      <c r="AI2553">
        <v>3</v>
      </c>
      <c r="AJ2553">
        <v>1</v>
      </c>
      <c r="AK2553">
        <v>0</v>
      </c>
      <c r="AL2553" t="s">
        <v>4807</v>
      </c>
      <c r="AM2553">
        <v>46.936619</v>
      </c>
      <c r="AN2553" t="s">
        <v>4808</v>
      </c>
      <c r="AO2553">
        <v>-123.301148</v>
      </c>
      <c r="AP2553">
        <v>100</v>
      </c>
      <c r="AQ2553">
        <v>1900</v>
      </c>
      <c r="AR2553" t="s">
        <v>118</v>
      </c>
      <c r="AS2553">
        <v>-63</v>
      </c>
      <c r="AT2553">
        <v>37</v>
      </c>
      <c r="AU2553">
        <v>0</v>
      </c>
      <c r="BC2553">
        <v>1200</v>
      </c>
      <c r="BD2553">
        <v>1</v>
      </c>
      <c r="BE2553" t="str">
        <f t="shared" si="119"/>
        <v xml:space="preserve">N215T   </v>
      </c>
      <c r="BF2553">
        <v>1</v>
      </c>
      <c r="BH2553">
        <v>0</v>
      </c>
      <c r="BI2553">
        <v>0</v>
      </c>
      <c r="BJ2553">
        <v>0</v>
      </c>
      <c r="BK2553">
        <v>2300</v>
      </c>
      <c r="BL2553">
        <v>400</v>
      </c>
      <c r="BM2553" t="s">
        <v>119</v>
      </c>
      <c r="BN2553">
        <v>1</v>
      </c>
      <c r="BO2553">
        <v>1</v>
      </c>
      <c r="BP2553">
        <v>1</v>
      </c>
      <c r="BQ2553">
        <v>0</v>
      </c>
      <c r="BT2553">
        <v>0</v>
      </c>
      <c r="BU2553">
        <v>0</v>
      </c>
      <c r="BV2553">
        <v>0</v>
      </c>
      <c r="CC2553" t="str">
        <f>"19:17:25.336"</f>
        <v>19:17:25.336</v>
      </c>
      <c r="CD2553" t="str">
        <f>"336294698"</f>
        <v>336294698</v>
      </c>
      <c r="CQ2553">
        <v>0</v>
      </c>
      <c r="CR2553">
        <v>2</v>
      </c>
      <c r="CS2553">
        <v>0</v>
      </c>
      <c r="CT2553">
        <v>2</v>
      </c>
      <c r="CU2553">
        <v>0</v>
      </c>
      <c r="CV2553">
        <v>6</v>
      </c>
      <c r="CW2553" t="s">
        <v>120</v>
      </c>
      <c r="CX2553">
        <v>261</v>
      </c>
      <c r="CY2553">
        <v>2</v>
      </c>
      <c r="CZ2553" t="s">
        <v>121</v>
      </c>
      <c r="DA2553" t="s">
        <v>122</v>
      </c>
      <c r="DD2553">
        <v>15834701</v>
      </c>
      <c r="DE2553" t="s">
        <v>123</v>
      </c>
    </row>
    <row r="2554" spans="1:109" x14ac:dyDescent="0.3">
      <c r="A2554" t="str">
        <f>"19:17:26.461"</f>
        <v>19:17:26.461</v>
      </c>
      <c r="B2554" t="s">
        <v>110</v>
      </c>
      <c r="C2554" t="str">
        <f t="shared" si="117"/>
        <v>ffdfd3c0</v>
      </c>
      <c r="D2554" t="s">
        <v>111</v>
      </c>
      <c r="E2554">
        <v>18</v>
      </c>
      <c r="F2554">
        <v>1018</v>
      </c>
      <c r="G2554" t="s">
        <v>112</v>
      </c>
      <c r="J2554" t="s">
        <v>113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R2554" t="s">
        <v>114</v>
      </c>
      <c r="S2554" t="str">
        <f>"19:17:26.203"</f>
        <v>19:17:26.203</v>
      </c>
      <c r="T2554" t="str">
        <f>"19:17:26.000"</f>
        <v>19:17:26.000</v>
      </c>
      <c r="U2554" t="str">
        <f t="shared" si="118"/>
        <v>a1cdbe</v>
      </c>
      <c r="V2554">
        <v>0</v>
      </c>
      <c r="W2554">
        <v>0</v>
      </c>
      <c r="X2554">
        <v>1</v>
      </c>
      <c r="Y2554">
        <v>0</v>
      </c>
      <c r="Z2554">
        <v>0</v>
      </c>
      <c r="AB2554">
        <v>0</v>
      </c>
      <c r="AC2554">
        <v>9</v>
      </c>
      <c r="AD2554">
        <v>3</v>
      </c>
      <c r="AE2554">
        <v>0</v>
      </c>
      <c r="AF2554">
        <v>9</v>
      </c>
      <c r="AG2554" t="s">
        <v>158</v>
      </c>
      <c r="AH2554">
        <v>0</v>
      </c>
      <c r="AI2554">
        <v>3</v>
      </c>
      <c r="AJ2554">
        <v>1</v>
      </c>
      <c r="AK2554">
        <v>0</v>
      </c>
      <c r="AL2554" t="s">
        <v>4809</v>
      </c>
      <c r="AM2554">
        <v>46.936812000000003</v>
      </c>
      <c r="AN2554" t="s">
        <v>4810</v>
      </c>
      <c r="AO2554">
        <v>-123.30146999999999</v>
      </c>
      <c r="AP2554">
        <v>100</v>
      </c>
      <c r="AQ2554">
        <v>1900</v>
      </c>
      <c r="AR2554" t="s">
        <v>118</v>
      </c>
      <c r="AS2554">
        <v>-63</v>
      </c>
      <c r="AT2554">
        <v>38</v>
      </c>
      <c r="AU2554">
        <v>0</v>
      </c>
      <c r="BC2554">
        <v>1200</v>
      </c>
      <c r="BD2554">
        <v>1</v>
      </c>
      <c r="BE2554" t="str">
        <f t="shared" si="119"/>
        <v xml:space="preserve">N215T   </v>
      </c>
      <c r="BF2554">
        <v>1</v>
      </c>
      <c r="BH2554">
        <v>0</v>
      </c>
      <c r="BI2554">
        <v>0</v>
      </c>
      <c r="BJ2554">
        <v>0</v>
      </c>
      <c r="BK2554">
        <v>2300</v>
      </c>
      <c r="BL2554">
        <v>400</v>
      </c>
      <c r="BM2554" t="s">
        <v>119</v>
      </c>
      <c r="BN2554">
        <v>1</v>
      </c>
      <c r="BO2554">
        <v>1</v>
      </c>
      <c r="BP2554">
        <v>1</v>
      </c>
      <c r="BQ2554">
        <v>0</v>
      </c>
      <c r="BT2554">
        <v>0</v>
      </c>
      <c r="BU2554">
        <v>0</v>
      </c>
      <c r="BV2554">
        <v>0</v>
      </c>
      <c r="CC2554" t="str">
        <f>"19:17:26.203"</f>
        <v>19:17:26.203</v>
      </c>
      <c r="CD2554" t="str">
        <f>"206209000"</f>
        <v>206209000</v>
      </c>
      <c r="CQ2554">
        <v>0</v>
      </c>
      <c r="CR2554">
        <v>2</v>
      </c>
      <c r="CS2554">
        <v>0</v>
      </c>
      <c r="CT2554">
        <v>2</v>
      </c>
      <c r="CU2554">
        <v>0</v>
      </c>
      <c r="CV2554">
        <v>6</v>
      </c>
      <c r="CW2554" t="s">
        <v>120</v>
      </c>
      <c r="CX2554">
        <v>261</v>
      </c>
      <c r="CY2554">
        <v>2</v>
      </c>
      <c r="CZ2554" t="s">
        <v>121</v>
      </c>
      <c r="DA2554" t="s">
        <v>122</v>
      </c>
      <c r="DD2554">
        <v>15835324</v>
      </c>
      <c r="DE2554" t="s">
        <v>123</v>
      </c>
    </row>
    <row r="2555" spans="1:109" x14ac:dyDescent="0.3">
      <c r="A2555" t="str">
        <f>"19:17:27.563"</f>
        <v>19:17:27.563</v>
      </c>
      <c r="B2555" t="s">
        <v>110</v>
      </c>
      <c r="C2555" t="str">
        <f t="shared" si="117"/>
        <v>ffdfd3c0</v>
      </c>
      <c r="D2555" t="s">
        <v>111</v>
      </c>
      <c r="E2555">
        <v>18</v>
      </c>
      <c r="F2555">
        <v>1018</v>
      </c>
      <c r="G2555" t="s">
        <v>112</v>
      </c>
      <c r="J2555" t="s">
        <v>113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R2555" t="s">
        <v>114</v>
      </c>
      <c r="S2555" t="str">
        <f>"19:17:27.328"</f>
        <v>19:17:27.328</v>
      </c>
      <c r="T2555" t="str">
        <f>"19:17:26.930"</f>
        <v>19:17:26.930</v>
      </c>
      <c r="U2555" t="str">
        <f t="shared" si="118"/>
        <v>a1cdbe</v>
      </c>
      <c r="V2555">
        <v>0</v>
      </c>
      <c r="W2555">
        <v>0</v>
      </c>
      <c r="X2555">
        <v>1</v>
      </c>
      <c r="Y2555">
        <v>0</v>
      </c>
      <c r="Z2555">
        <v>0</v>
      </c>
      <c r="AB2555">
        <v>0</v>
      </c>
      <c r="AC2555">
        <v>9</v>
      </c>
      <c r="AD2555">
        <v>3</v>
      </c>
      <c r="AE2555">
        <v>0</v>
      </c>
      <c r="AF2555">
        <v>9</v>
      </c>
      <c r="AG2555" t="s">
        <v>158</v>
      </c>
      <c r="AH2555">
        <v>0</v>
      </c>
      <c r="AI2555">
        <v>3</v>
      </c>
      <c r="AJ2555">
        <v>1</v>
      </c>
      <c r="AK2555">
        <v>0</v>
      </c>
      <c r="AL2555" t="s">
        <v>1181</v>
      </c>
      <c r="AM2555">
        <v>46.936984000000002</v>
      </c>
      <c r="AN2555" t="s">
        <v>4811</v>
      </c>
      <c r="AO2555">
        <v>-123.301964</v>
      </c>
      <c r="AP2555">
        <v>100</v>
      </c>
      <c r="AQ2555">
        <v>1900</v>
      </c>
      <c r="AR2555" t="s">
        <v>118</v>
      </c>
      <c r="AS2555">
        <v>-63</v>
      </c>
      <c r="AT2555">
        <v>38</v>
      </c>
      <c r="AU2555">
        <v>-64</v>
      </c>
      <c r="BC2555">
        <v>1200</v>
      </c>
      <c r="BD2555">
        <v>1</v>
      </c>
      <c r="BE2555" t="str">
        <f t="shared" si="119"/>
        <v xml:space="preserve">N215T   </v>
      </c>
      <c r="BF2555">
        <v>1</v>
      </c>
      <c r="BH2555">
        <v>0</v>
      </c>
      <c r="BI2555">
        <v>0</v>
      </c>
      <c r="BJ2555">
        <v>0</v>
      </c>
      <c r="BK2555">
        <v>2300</v>
      </c>
      <c r="BL2555">
        <v>400</v>
      </c>
      <c r="BM2555" t="s">
        <v>119</v>
      </c>
      <c r="BN2555">
        <v>1</v>
      </c>
      <c r="BO2555">
        <v>1</v>
      </c>
      <c r="BP2555">
        <v>1</v>
      </c>
      <c r="BQ2555">
        <v>0</v>
      </c>
      <c r="BT2555">
        <v>0</v>
      </c>
      <c r="BU2555">
        <v>0</v>
      </c>
      <c r="BV2555">
        <v>0</v>
      </c>
      <c r="CC2555" t="str">
        <f>"19:17:27.328"</f>
        <v>19:17:27.328</v>
      </c>
      <c r="CD2555" t="str">
        <f>"331098179"</f>
        <v>331098179</v>
      </c>
      <c r="CQ2555">
        <v>0</v>
      </c>
      <c r="CR2555">
        <v>2</v>
      </c>
      <c r="CS2555">
        <v>0</v>
      </c>
      <c r="CT2555">
        <v>2</v>
      </c>
      <c r="CU2555">
        <v>0</v>
      </c>
      <c r="CV2555">
        <v>7</v>
      </c>
      <c r="CW2555" t="s">
        <v>120</v>
      </c>
      <c r="CX2555">
        <v>261</v>
      </c>
      <c r="CY2555">
        <v>2</v>
      </c>
      <c r="CZ2555" t="s">
        <v>121</v>
      </c>
      <c r="DA2555" t="s">
        <v>122</v>
      </c>
      <c r="DD2555">
        <v>15836078</v>
      </c>
      <c r="DE2555" t="s">
        <v>123</v>
      </c>
    </row>
    <row r="2556" spans="1:109" x14ac:dyDescent="0.3">
      <c r="A2556" t="str">
        <f>"19:17:28.625"</f>
        <v>19:17:28.625</v>
      </c>
      <c r="B2556" t="s">
        <v>110</v>
      </c>
      <c r="C2556" t="str">
        <f t="shared" si="117"/>
        <v>ffdfd3c0</v>
      </c>
      <c r="D2556" t="s">
        <v>111</v>
      </c>
      <c r="E2556">
        <v>18</v>
      </c>
      <c r="F2556">
        <v>1018</v>
      </c>
      <c r="G2556" t="s">
        <v>112</v>
      </c>
      <c r="J2556" t="s">
        <v>113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R2556" t="s">
        <v>114</v>
      </c>
      <c r="S2556" t="str">
        <f>"19:17:28.406"</f>
        <v>19:17:28.406</v>
      </c>
      <c r="T2556" t="str">
        <f>"19:17:28.406"</f>
        <v>19:17:28.406</v>
      </c>
      <c r="U2556" t="str">
        <f t="shared" si="118"/>
        <v>a1cdbe</v>
      </c>
      <c r="V2556">
        <v>0</v>
      </c>
      <c r="W2556">
        <v>0</v>
      </c>
      <c r="X2556">
        <v>1</v>
      </c>
      <c r="Y2556">
        <v>0</v>
      </c>
      <c r="Z2556">
        <v>0</v>
      </c>
      <c r="AB2556">
        <v>0</v>
      </c>
      <c r="AC2556">
        <v>9</v>
      </c>
      <c r="AD2556">
        <v>3</v>
      </c>
      <c r="AE2556">
        <v>0</v>
      </c>
      <c r="AF2556">
        <v>9</v>
      </c>
      <c r="AG2556" t="s">
        <v>158</v>
      </c>
      <c r="AH2556">
        <v>0</v>
      </c>
      <c r="AI2556">
        <v>3</v>
      </c>
      <c r="AJ2556">
        <v>1</v>
      </c>
      <c r="AK2556">
        <v>0</v>
      </c>
      <c r="AL2556" t="s">
        <v>4812</v>
      </c>
      <c r="AM2556">
        <v>46.937156000000002</v>
      </c>
      <c r="AN2556" t="s">
        <v>4813</v>
      </c>
      <c r="AO2556">
        <v>-123.302436</v>
      </c>
      <c r="AP2556">
        <v>100</v>
      </c>
      <c r="AQ2556">
        <v>1900</v>
      </c>
      <c r="AR2556" t="s">
        <v>118</v>
      </c>
      <c r="AS2556">
        <v>-63</v>
      </c>
      <c r="AT2556">
        <v>39</v>
      </c>
      <c r="AU2556">
        <v>0</v>
      </c>
      <c r="BC2556">
        <v>1200</v>
      </c>
      <c r="BD2556">
        <v>1</v>
      </c>
      <c r="BE2556" t="str">
        <f t="shared" si="119"/>
        <v xml:space="preserve">N215T   </v>
      </c>
      <c r="BF2556">
        <v>1</v>
      </c>
      <c r="BH2556">
        <v>0</v>
      </c>
      <c r="BI2556">
        <v>0</v>
      </c>
      <c r="BJ2556">
        <v>0</v>
      </c>
      <c r="BK2556">
        <v>2300</v>
      </c>
      <c r="BL2556">
        <v>400</v>
      </c>
      <c r="BM2556" t="s">
        <v>119</v>
      </c>
      <c r="BN2556">
        <v>1</v>
      </c>
      <c r="BO2556">
        <v>1</v>
      </c>
      <c r="BP2556">
        <v>1</v>
      </c>
      <c r="BQ2556">
        <v>0</v>
      </c>
      <c r="BT2556">
        <v>0</v>
      </c>
      <c r="BU2556">
        <v>0</v>
      </c>
      <c r="BV2556">
        <v>0</v>
      </c>
      <c r="CC2556" t="str">
        <f>"19:17:28.414"</f>
        <v>19:17:28.414</v>
      </c>
      <c r="CD2556" t="str">
        <f>"410991799"</f>
        <v>410991799</v>
      </c>
      <c r="CQ2556">
        <v>0</v>
      </c>
      <c r="CR2556">
        <v>2</v>
      </c>
      <c r="CS2556">
        <v>0</v>
      </c>
      <c r="CT2556">
        <v>2</v>
      </c>
      <c r="CU2556">
        <v>0</v>
      </c>
      <c r="CV2556">
        <v>6</v>
      </c>
      <c r="CW2556" t="s">
        <v>120</v>
      </c>
      <c r="CX2556">
        <v>261</v>
      </c>
      <c r="CY2556">
        <v>2</v>
      </c>
      <c r="CZ2556" t="s">
        <v>121</v>
      </c>
      <c r="DA2556" t="s">
        <v>122</v>
      </c>
      <c r="DD2556">
        <v>15836873</v>
      </c>
      <c r="DE2556" t="s">
        <v>123</v>
      </c>
    </row>
    <row r="2557" spans="1:109" x14ac:dyDescent="0.3">
      <c r="A2557" t="str">
        <f>"19:17:29.477"</f>
        <v>19:17:29.477</v>
      </c>
      <c r="B2557" t="s">
        <v>110</v>
      </c>
      <c r="C2557" t="str">
        <f t="shared" si="117"/>
        <v>ffdfd3c0</v>
      </c>
      <c r="D2557" t="s">
        <v>111</v>
      </c>
      <c r="E2557">
        <v>18</v>
      </c>
      <c r="F2557">
        <v>1018</v>
      </c>
      <c r="G2557" t="s">
        <v>112</v>
      </c>
      <c r="J2557" t="s">
        <v>113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R2557" t="s">
        <v>114</v>
      </c>
      <c r="S2557" t="str">
        <f>"19:17:29.250"</f>
        <v>19:17:29.250</v>
      </c>
      <c r="T2557" t="str">
        <f>"19:17:28.852"</f>
        <v>19:17:28.852</v>
      </c>
      <c r="U2557" t="str">
        <f t="shared" si="118"/>
        <v>a1cdbe</v>
      </c>
      <c r="V2557">
        <v>0</v>
      </c>
      <c r="W2557">
        <v>0</v>
      </c>
      <c r="X2557">
        <v>1</v>
      </c>
      <c r="Y2557">
        <v>0</v>
      </c>
      <c r="Z2557">
        <v>0</v>
      </c>
      <c r="AB2557">
        <v>0</v>
      </c>
      <c r="AC2557">
        <v>9</v>
      </c>
      <c r="AD2557">
        <v>3</v>
      </c>
      <c r="AE2557">
        <v>0</v>
      </c>
      <c r="AF2557">
        <v>9</v>
      </c>
      <c r="AG2557" t="s">
        <v>158</v>
      </c>
      <c r="AH2557">
        <v>0</v>
      </c>
      <c r="AI2557">
        <v>3</v>
      </c>
      <c r="AJ2557">
        <v>1</v>
      </c>
      <c r="AK2557">
        <v>0</v>
      </c>
      <c r="AL2557" t="s">
        <v>4814</v>
      </c>
      <c r="AM2557">
        <v>46.937306</v>
      </c>
      <c r="AN2557" t="s">
        <v>4815</v>
      </c>
      <c r="AO2557">
        <v>-123.302779</v>
      </c>
      <c r="AP2557">
        <v>100</v>
      </c>
      <c r="AQ2557">
        <v>1900</v>
      </c>
      <c r="AR2557" t="s">
        <v>118</v>
      </c>
      <c r="AS2557">
        <v>-63</v>
      </c>
      <c r="AT2557">
        <v>39</v>
      </c>
      <c r="AU2557">
        <v>0</v>
      </c>
      <c r="BC2557">
        <v>1200</v>
      </c>
      <c r="BD2557">
        <v>1</v>
      </c>
      <c r="BE2557" t="str">
        <f t="shared" si="119"/>
        <v xml:space="preserve">N215T   </v>
      </c>
      <c r="BF2557">
        <v>1</v>
      </c>
      <c r="BH2557">
        <v>0</v>
      </c>
      <c r="BI2557">
        <v>0</v>
      </c>
      <c r="BJ2557">
        <v>0</v>
      </c>
      <c r="BK2557">
        <v>2300</v>
      </c>
      <c r="BL2557">
        <v>400</v>
      </c>
      <c r="BM2557" t="s">
        <v>119</v>
      </c>
      <c r="BN2557">
        <v>1</v>
      </c>
      <c r="BO2557">
        <v>1</v>
      </c>
      <c r="BP2557">
        <v>1</v>
      </c>
      <c r="BQ2557">
        <v>0</v>
      </c>
      <c r="BT2557">
        <v>0</v>
      </c>
      <c r="BU2557">
        <v>0</v>
      </c>
      <c r="BV2557">
        <v>0</v>
      </c>
      <c r="CC2557" t="str">
        <f>"19:17:29.250"</f>
        <v>19:17:29.250</v>
      </c>
      <c r="CD2557" t="str">
        <f>"250909064"</f>
        <v>250909064</v>
      </c>
      <c r="CQ2557">
        <v>0</v>
      </c>
      <c r="CR2557">
        <v>2</v>
      </c>
      <c r="CS2557">
        <v>0</v>
      </c>
      <c r="CT2557">
        <v>2</v>
      </c>
      <c r="CU2557">
        <v>0</v>
      </c>
      <c r="CV2557">
        <v>6</v>
      </c>
      <c r="CW2557" t="s">
        <v>120</v>
      </c>
      <c r="CX2557">
        <v>261</v>
      </c>
      <c r="CY2557">
        <v>2</v>
      </c>
      <c r="CZ2557" t="s">
        <v>121</v>
      </c>
      <c r="DA2557" t="s">
        <v>122</v>
      </c>
      <c r="DD2557">
        <v>15837487</v>
      </c>
      <c r="DE2557" t="s">
        <v>123</v>
      </c>
    </row>
    <row r="2558" spans="1:109" x14ac:dyDescent="0.3">
      <c r="A2558" t="str">
        <f>"19:17:30.484"</f>
        <v>19:17:30.484</v>
      </c>
      <c r="B2558" t="s">
        <v>110</v>
      </c>
      <c r="C2558" t="str">
        <f t="shared" si="117"/>
        <v>ffdfd3c0</v>
      </c>
      <c r="D2558" t="s">
        <v>111</v>
      </c>
      <c r="E2558">
        <v>18</v>
      </c>
      <c r="F2558">
        <v>1018</v>
      </c>
      <c r="G2558" t="s">
        <v>112</v>
      </c>
      <c r="J2558" t="s">
        <v>113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R2558" t="s">
        <v>114</v>
      </c>
      <c r="S2558" t="str">
        <f>"19:17:30.234"</f>
        <v>19:17:30.234</v>
      </c>
      <c r="T2558" t="str">
        <f>"19:17:29.836"</f>
        <v>19:17:29.836</v>
      </c>
      <c r="U2558" t="str">
        <f t="shared" si="118"/>
        <v>a1cdbe</v>
      </c>
      <c r="V2558">
        <v>0</v>
      </c>
      <c r="W2558">
        <v>0</v>
      </c>
      <c r="X2558">
        <v>1</v>
      </c>
      <c r="Y2558">
        <v>0</v>
      </c>
      <c r="Z2558">
        <v>0</v>
      </c>
      <c r="AB2558">
        <v>0</v>
      </c>
      <c r="AC2558">
        <v>9</v>
      </c>
      <c r="AD2558">
        <v>3</v>
      </c>
      <c r="AE2558">
        <v>0</v>
      </c>
      <c r="AF2558">
        <v>9</v>
      </c>
      <c r="AG2558" t="s">
        <v>158</v>
      </c>
      <c r="AH2558">
        <v>0</v>
      </c>
      <c r="AI2558">
        <v>3</v>
      </c>
      <c r="AJ2558">
        <v>1</v>
      </c>
      <c r="AK2558">
        <v>0</v>
      </c>
      <c r="AL2558" t="s">
        <v>4816</v>
      </c>
      <c r="AM2558">
        <v>46.937499000000003</v>
      </c>
      <c r="AN2558" t="s">
        <v>4817</v>
      </c>
      <c r="AO2558">
        <v>-123.30323</v>
      </c>
      <c r="AP2558">
        <v>100</v>
      </c>
      <c r="AQ2558">
        <v>1900</v>
      </c>
      <c r="AR2558" t="s">
        <v>118</v>
      </c>
      <c r="AS2558">
        <v>-62</v>
      </c>
      <c r="AT2558">
        <v>40</v>
      </c>
      <c r="AU2558">
        <v>0</v>
      </c>
      <c r="BC2558">
        <v>1200</v>
      </c>
      <c r="BD2558">
        <v>1</v>
      </c>
      <c r="BE2558" t="str">
        <f t="shared" si="119"/>
        <v xml:space="preserve">N215T   </v>
      </c>
      <c r="BF2558">
        <v>1</v>
      </c>
      <c r="BH2558">
        <v>0</v>
      </c>
      <c r="BI2558">
        <v>0</v>
      </c>
      <c r="BJ2558">
        <v>0</v>
      </c>
      <c r="BK2558">
        <v>2300</v>
      </c>
      <c r="BL2558">
        <v>400</v>
      </c>
      <c r="BM2558" t="s">
        <v>119</v>
      </c>
      <c r="BN2558">
        <v>1</v>
      </c>
      <c r="BO2558">
        <v>1</v>
      </c>
      <c r="BP2558">
        <v>1</v>
      </c>
      <c r="BQ2558">
        <v>0</v>
      </c>
      <c r="BT2558">
        <v>0</v>
      </c>
      <c r="BU2558">
        <v>0</v>
      </c>
      <c r="BV2558">
        <v>0</v>
      </c>
      <c r="CC2558" t="str">
        <f>"19:17:30.242"</f>
        <v>19:17:30.242</v>
      </c>
      <c r="CD2558" t="str">
        <f>"240811527"</f>
        <v>240811527</v>
      </c>
      <c r="CQ2558">
        <v>0</v>
      </c>
      <c r="CR2558">
        <v>2</v>
      </c>
      <c r="CS2558">
        <v>0</v>
      </c>
      <c r="CT2558">
        <v>2</v>
      </c>
      <c r="CU2558">
        <v>0</v>
      </c>
      <c r="CV2558">
        <v>6</v>
      </c>
      <c r="CW2558" t="s">
        <v>120</v>
      </c>
      <c r="CX2558">
        <v>261</v>
      </c>
      <c r="CY2558">
        <v>2</v>
      </c>
      <c r="CZ2558" t="s">
        <v>121</v>
      </c>
      <c r="DA2558" t="s">
        <v>122</v>
      </c>
      <c r="DD2558">
        <v>15838181</v>
      </c>
      <c r="DE2558" t="s">
        <v>123</v>
      </c>
    </row>
    <row r="2559" spans="1:109" x14ac:dyDescent="0.3">
      <c r="A2559" t="str">
        <f>"19:17:31.586"</f>
        <v>19:17:31.586</v>
      </c>
      <c r="B2559" t="s">
        <v>110</v>
      </c>
      <c r="C2559" t="str">
        <f t="shared" si="117"/>
        <v>ffdfd3c0</v>
      </c>
      <c r="D2559" t="s">
        <v>111</v>
      </c>
      <c r="E2559">
        <v>18</v>
      </c>
      <c r="F2559">
        <v>1018</v>
      </c>
      <c r="G2559" t="s">
        <v>112</v>
      </c>
      <c r="J2559" t="s">
        <v>113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R2559" t="s">
        <v>114</v>
      </c>
      <c r="S2559" t="str">
        <f>"19:17:31.359"</f>
        <v>19:17:31.359</v>
      </c>
      <c r="T2559" t="str">
        <f>"19:17:31.359"</f>
        <v>19:17:31.359</v>
      </c>
      <c r="U2559" t="str">
        <f t="shared" si="118"/>
        <v>a1cdbe</v>
      </c>
      <c r="V2559">
        <v>0</v>
      </c>
      <c r="W2559">
        <v>0</v>
      </c>
      <c r="X2559">
        <v>1</v>
      </c>
      <c r="Y2559">
        <v>0</v>
      </c>
      <c r="Z2559">
        <v>0</v>
      </c>
      <c r="AB2559">
        <v>0</v>
      </c>
      <c r="AC2559">
        <v>9</v>
      </c>
      <c r="AD2559">
        <v>3</v>
      </c>
      <c r="AE2559">
        <v>0</v>
      </c>
      <c r="AF2559">
        <v>9</v>
      </c>
      <c r="AG2559" t="s">
        <v>158</v>
      </c>
      <c r="AH2559">
        <v>0</v>
      </c>
      <c r="AI2559">
        <v>3</v>
      </c>
      <c r="AJ2559">
        <v>1</v>
      </c>
      <c r="AK2559">
        <v>0</v>
      </c>
      <c r="AL2559" t="s">
        <v>4818</v>
      </c>
      <c r="AM2559">
        <v>46.937735000000004</v>
      </c>
      <c r="AN2559" t="s">
        <v>4819</v>
      </c>
      <c r="AO2559">
        <v>-123.30363800000001</v>
      </c>
      <c r="AP2559">
        <v>100</v>
      </c>
      <c r="AQ2559">
        <v>1900</v>
      </c>
      <c r="AR2559" t="s">
        <v>118</v>
      </c>
      <c r="AS2559">
        <v>-62</v>
      </c>
      <c r="AT2559">
        <v>40</v>
      </c>
      <c r="AU2559">
        <v>64</v>
      </c>
      <c r="BC2559">
        <v>1200</v>
      </c>
      <c r="BD2559">
        <v>1</v>
      </c>
      <c r="BE2559" t="str">
        <f t="shared" si="119"/>
        <v xml:space="preserve">N215T   </v>
      </c>
      <c r="BF2559">
        <v>1</v>
      </c>
      <c r="BH2559">
        <v>0</v>
      </c>
      <c r="BI2559">
        <v>0</v>
      </c>
      <c r="BJ2559">
        <v>0</v>
      </c>
      <c r="BK2559">
        <v>2300</v>
      </c>
      <c r="BL2559">
        <v>400</v>
      </c>
      <c r="BM2559" t="s">
        <v>119</v>
      </c>
      <c r="BN2559">
        <v>1</v>
      </c>
      <c r="BO2559">
        <v>1</v>
      </c>
      <c r="BP2559">
        <v>1</v>
      </c>
      <c r="BQ2559">
        <v>0</v>
      </c>
      <c r="BT2559">
        <v>0</v>
      </c>
      <c r="BU2559">
        <v>0</v>
      </c>
      <c r="BV2559">
        <v>0</v>
      </c>
      <c r="CC2559" t="str">
        <f>"19:17:31.367"</f>
        <v>19:17:31.367</v>
      </c>
      <c r="CD2559" t="str">
        <f>"365700718"</f>
        <v>365700718</v>
      </c>
      <c r="CQ2559">
        <v>0</v>
      </c>
      <c r="CR2559">
        <v>2</v>
      </c>
      <c r="CS2559">
        <v>0</v>
      </c>
      <c r="CT2559">
        <v>2</v>
      </c>
      <c r="CU2559">
        <v>0</v>
      </c>
      <c r="CV2559">
        <v>6</v>
      </c>
      <c r="CW2559" t="s">
        <v>120</v>
      </c>
      <c r="CX2559">
        <v>261</v>
      </c>
      <c r="CY2559">
        <v>2</v>
      </c>
      <c r="CZ2559" t="s">
        <v>121</v>
      </c>
      <c r="DA2559" t="s">
        <v>122</v>
      </c>
      <c r="DD2559">
        <v>15838964</v>
      </c>
      <c r="DE2559" t="s">
        <v>123</v>
      </c>
    </row>
    <row r="2560" spans="1:109" x14ac:dyDescent="0.3">
      <c r="A2560" t="str">
        <f>"19:17:32.594"</f>
        <v>19:17:32.594</v>
      </c>
      <c r="B2560" t="s">
        <v>110</v>
      </c>
      <c r="C2560" t="str">
        <f t="shared" si="117"/>
        <v>ffdfd3c0</v>
      </c>
      <c r="D2560" t="s">
        <v>111</v>
      </c>
      <c r="E2560">
        <v>18</v>
      </c>
      <c r="F2560">
        <v>1018</v>
      </c>
      <c r="G2560" t="s">
        <v>112</v>
      </c>
      <c r="J2560" t="s">
        <v>113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R2560" t="s">
        <v>114</v>
      </c>
      <c r="S2560" t="str">
        <f>"19:17:32.383"</f>
        <v>19:17:32.383</v>
      </c>
      <c r="T2560" t="str">
        <f>"19:17:32.383"</f>
        <v>19:17:32.383</v>
      </c>
      <c r="U2560" t="str">
        <f t="shared" si="118"/>
        <v>a1cdbe</v>
      </c>
      <c r="V2560">
        <v>0</v>
      </c>
      <c r="W2560">
        <v>0</v>
      </c>
      <c r="X2560">
        <v>1</v>
      </c>
      <c r="Y2560">
        <v>0</v>
      </c>
      <c r="Z2560">
        <v>0</v>
      </c>
      <c r="AB2560">
        <v>0</v>
      </c>
      <c r="AC2560">
        <v>9</v>
      </c>
      <c r="AD2560">
        <v>3</v>
      </c>
      <c r="AE2560">
        <v>0</v>
      </c>
      <c r="AF2560">
        <v>9</v>
      </c>
      <c r="AG2560" t="s">
        <v>158</v>
      </c>
      <c r="AH2560">
        <v>0</v>
      </c>
      <c r="AI2560">
        <v>3</v>
      </c>
      <c r="AJ2560">
        <v>1</v>
      </c>
      <c r="AK2560">
        <v>0</v>
      </c>
      <c r="AL2560" t="s">
        <v>4820</v>
      </c>
      <c r="AM2560">
        <v>46.937907000000003</v>
      </c>
      <c r="AN2560" t="s">
        <v>4821</v>
      </c>
      <c r="AO2560">
        <v>-123.30408799999999</v>
      </c>
      <c r="AP2560">
        <v>100</v>
      </c>
      <c r="AQ2560">
        <v>1900</v>
      </c>
      <c r="AR2560" t="s">
        <v>118</v>
      </c>
      <c r="AS2560">
        <v>-62</v>
      </c>
      <c r="AT2560">
        <v>40</v>
      </c>
      <c r="AU2560">
        <v>64</v>
      </c>
      <c r="BC2560">
        <v>1200</v>
      </c>
      <c r="BD2560">
        <v>1</v>
      </c>
      <c r="BE2560" t="str">
        <f t="shared" si="119"/>
        <v xml:space="preserve">N215T   </v>
      </c>
      <c r="BF2560">
        <v>1</v>
      </c>
      <c r="BH2560">
        <v>0</v>
      </c>
      <c r="BI2560">
        <v>0</v>
      </c>
      <c r="BJ2560">
        <v>0</v>
      </c>
      <c r="BK2560">
        <v>2300</v>
      </c>
      <c r="BL2560">
        <v>400</v>
      </c>
      <c r="BM2560" t="s">
        <v>119</v>
      </c>
      <c r="BN2560">
        <v>1</v>
      </c>
      <c r="BO2560">
        <v>1</v>
      </c>
      <c r="BP2560">
        <v>1</v>
      </c>
      <c r="BQ2560">
        <v>0</v>
      </c>
      <c r="BT2560">
        <v>0</v>
      </c>
      <c r="BU2560">
        <v>0</v>
      </c>
      <c r="BV2560">
        <v>0</v>
      </c>
      <c r="CC2560" t="str">
        <f>"19:17:32.383"</f>
        <v>19:17:32.383</v>
      </c>
      <c r="CD2560" t="str">
        <f>"385600237"</f>
        <v>385600237</v>
      </c>
      <c r="CQ2560">
        <v>0</v>
      </c>
      <c r="CR2560">
        <v>2</v>
      </c>
      <c r="CS2560">
        <v>0</v>
      </c>
      <c r="CT2560">
        <v>2</v>
      </c>
      <c r="CU2560">
        <v>0</v>
      </c>
      <c r="CV2560">
        <v>6</v>
      </c>
      <c r="CW2560" t="s">
        <v>120</v>
      </c>
      <c r="CX2560">
        <v>261</v>
      </c>
      <c r="CY2560">
        <v>2</v>
      </c>
      <c r="CZ2560" t="s">
        <v>121</v>
      </c>
      <c r="DA2560" t="s">
        <v>122</v>
      </c>
      <c r="DD2560">
        <v>15839717</v>
      </c>
      <c r="DE2560" t="s">
        <v>123</v>
      </c>
    </row>
    <row r="2561" spans="1:109" x14ac:dyDescent="0.3">
      <c r="A2561" t="str">
        <f>"19:17:33.602"</f>
        <v>19:17:33.602</v>
      </c>
      <c r="B2561" t="s">
        <v>110</v>
      </c>
      <c r="C2561" t="str">
        <f t="shared" si="117"/>
        <v>ffdfd3c0</v>
      </c>
      <c r="D2561" t="s">
        <v>111</v>
      </c>
      <c r="E2561">
        <v>18</v>
      </c>
      <c r="F2561">
        <v>1018</v>
      </c>
      <c r="G2561" t="s">
        <v>112</v>
      </c>
      <c r="J2561" t="s">
        <v>113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R2561" t="s">
        <v>114</v>
      </c>
      <c r="S2561" t="str">
        <f>"19:17:33.383"</f>
        <v>19:17:33.383</v>
      </c>
      <c r="T2561" t="str">
        <f>"19:17:32.984"</f>
        <v>19:17:32.984</v>
      </c>
      <c r="U2561" t="str">
        <f t="shared" si="118"/>
        <v>a1cdbe</v>
      </c>
      <c r="V2561">
        <v>0</v>
      </c>
      <c r="W2561">
        <v>0</v>
      </c>
      <c r="X2561">
        <v>1</v>
      </c>
      <c r="Y2561">
        <v>0</v>
      </c>
      <c r="Z2561">
        <v>0</v>
      </c>
      <c r="AB2561">
        <v>0</v>
      </c>
      <c r="AC2561">
        <v>9</v>
      </c>
      <c r="AD2561">
        <v>3</v>
      </c>
      <c r="AE2561">
        <v>0</v>
      </c>
      <c r="AF2561">
        <v>9</v>
      </c>
      <c r="AG2561" t="s">
        <v>158</v>
      </c>
      <c r="AH2561">
        <v>0</v>
      </c>
      <c r="AI2561">
        <v>3</v>
      </c>
      <c r="AJ2561">
        <v>1</v>
      </c>
      <c r="AK2561">
        <v>0</v>
      </c>
      <c r="AL2561" t="s">
        <v>4822</v>
      </c>
      <c r="AM2561">
        <v>46.938099999999999</v>
      </c>
      <c r="AN2561" t="s">
        <v>4823</v>
      </c>
      <c r="AO2561">
        <v>-123.30456</v>
      </c>
      <c r="AP2561">
        <v>100</v>
      </c>
      <c r="AQ2561">
        <v>1900</v>
      </c>
      <c r="AR2561" t="s">
        <v>118</v>
      </c>
      <c r="AS2561">
        <v>-62</v>
      </c>
      <c r="AT2561">
        <v>40</v>
      </c>
      <c r="AU2561">
        <v>64</v>
      </c>
      <c r="BC2561">
        <v>1200</v>
      </c>
      <c r="BD2561">
        <v>1</v>
      </c>
      <c r="BE2561" t="str">
        <f t="shared" si="119"/>
        <v xml:space="preserve">N215T   </v>
      </c>
      <c r="BF2561">
        <v>1</v>
      </c>
      <c r="BH2561">
        <v>0</v>
      </c>
      <c r="BI2561">
        <v>0</v>
      </c>
      <c r="BJ2561">
        <v>0</v>
      </c>
      <c r="BK2561">
        <v>2300</v>
      </c>
      <c r="BL2561">
        <v>400</v>
      </c>
      <c r="BM2561" t="s">
        <v>119</v>
      </c>
      <c r="BN2561">
        <v>1</v>
      </c>
      <c r="BO2561">
        <v>1</v>
      </c>
      <c r="BP2561">
        <v>1</v>
      </c>
      <c r="BQ2561">
        <v>0</v>
      </c>
      <c r="BT2561">
        <v>0</v>
      </c>
      <c r="BU2561">
        <v>0</v>
      </c>
      <c r="BV2561">
        <v>0</v>
      </c>
      <c r="CC2561" t="str">
        <f>"19:17:33.391"</f>
        <v>19:17:33.391</v>
      </c>
      <c r="CD2561" t="str">
        <f>"390485493"</f>
        <v>390485493</v>
      </c>
      <c r="CQ2561">
        <v>0</v>
      </c>
      <c r="CR2561">
        <v>2</v>
      </c>
      <c r="CS2561">
        <v>0</v>
      </c>
      <c r="CT2561">
        <v>2</v>
      </c>
      <c r="CU2561">
        <v>0</v>
      </c>
      <c r="CV2561">
        <v>6</v>
      </c>
      <c r="CW2561" t="s">
        <v>120</v>
      </c>
      <c r="CX2561">
        <v>257</v>
      </c>
      <c r="CY2561">
        <v>0</v>
      </c>
      <c r="CZ2561" t="s">
        <v>615</v>
      </c>
      <c r="DA2561" t="s">
        <v>616</v>
      </c>
      <c r="DD2561">
        <v>15974212</v>
      </c>
      <c r="DE2561" t="s">
        <v>123</v>
      </c>
    </row>
    <row r="2562" spans="1:109" x14ac:dyDescent="0.3">
      <c r="A2562" t="str">
        <f>"19:17:34.555"</f>
        <v>19:17:34.555</v>
      </c>
      <c r="B2562" t="s">
        <v>110</v>
      </c>
      <c r="C2562" t="str">
        <f t="shared" ref="C2562:C2625" si="120">"ffdfd3c0"</f>
        <v>ffdfd3c0</v>
      </c>
      <c r="D2562" t="s">
        <v>111</v>
      </c>
      <c r="E2562">
        <v>18</v>
      </c>
      <c r="F2562">
        <v>1018</v>
      </c>
      <c r="G2562" t="s">
        <v>112</v>
      </c>
      <c r="J2562" t="s">
        <v>113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R2562" t="s">
        <v>114</v>
      </c>
      <c r="S2562" t="str">
        <f>"19:17:34.320"</f>
        <v>19:17:34.320</v>
      </c>
      <c r="T2562" t="str">
        <f>"19:17:34.117"</f>
        <v>19:17:34.117</v>
      </c>
      <c r="U2562" t="str">
        <f t="shared" ref="U2562:U2625" si="121">"a1cdbe"</f>
        <v>a1cdbe</v>
      </c>
      <c r="V2562">
        <v>0</v>
      </c>
      <c r="W2562">
        <v>0</v>
      </c>
      <c r="X2562">
        <v>1</v>
      </c>
      <c r="Y2562">
        <v>0</v>
      </c>
      <c r="Z2562">
        <v>0</v>
      </c>
      <c r="AB2562">
        <v>0</v>
      </c>
      <c r="AC2562">
        <v>9</v>
      </c>
      <c r="AD2562">
        <v>3</v>
      </c>
      <c r="AE2562">
        <v>0</v>
      </c>
      <c r="AF2562">
        <v>9</v>
      </c>
      <c r="AG2562" t="s">
        <v>158</v>
      </c>
      <c r="AH2562">
        <v>0</v>
      </c>
      <c r="AI2562">
        <v>3</v>
      </c>
      <c r="AJ2562">
        <v>1</v>
      </c>
      <c r="AK2562">
        <v>0</v>
      </c>
      <c r="AL2562" t="s">
        <v>4824</v>
      </c>
      <c r="AM2562">
        <v>46.938249999999996</v>
      </c>
      <c r="AN2562" t="s">
        <v>4825</v>
      </c>
      <c r="AO2562">
        <v>-123.30490399999999</v>
      </c>
      <c r="AP2562">
        <v>100</v>
      </c>
      <c r="AQ2562">
        <v>1900</v>
      </c>
      <c r="AR2562" t="s">
        <v>118</v>
      </c>
      <c r="AS2562">
        <v>-62</v>
      </c>
      <c r="AT2562">
        <v>39</v>
      </c>
      <c r="AU2562">
        <v>128</v>
      </c>
      <c r="BC2562">
        <v>1200</v>
      </c>
      <c r="BD2562">
        <v>1</v>
      </c>
      <c r="BE2562" t="str">
        <f t="shared" ref="BE2562:BE2625" si="122">"N215T   "</f>
        <v xml:space="preserve">N215T   </v>
      </c>
      <c r="BF2562">
        <v>1</v>
      </c>
      <c r="BH2562">
        <v>0</v>
      </c>
      <c r="BI2562">
        <v>0</v>
      </c>
      <c r="BJ2562">
        <v>0</v>
      </c>
      <c r="BK2562">
        <v>2325</v>
      </c>
      <c r="BL2562">
        <v>425</v>
      </c>
      <c r="BM2562" t="s">
        <v>119</v>
      </c>
      <c r="BN2562">
        <v>1</v>
      </c>
      <c r="BO2562">
        <v>1</v>
      </c>
      <c r="BP2562">
        <v>1</v>
      </c>
      <c r="BQ2562">
        <v>0</v>
      </c>
      <c r="BT2562">
        <v>0</v>
      </c>
      <c r="BU2562">
        <v>0</v>
      </c>
      <c r="BV2562">
        <v>0</v>
      </c>
      <c r="CC2562" t="str">
        <f>"19:17:34.320"</f>
        <v>19:17:34.320</v>
      </c>
      <c r="CD2562" t="str">
        <f>"320393877"</f>
        <v>320393877</v>
      </c>
      <c r="CQ2562">
        <v>0</v>
      </c>
      <c r="CR2562">
        <v>2</v>
      </c>
      <c r="CS2562">
        <v>0</v>
      </c>
      <c r="CT2562">
        <v>2</v>
      </c>
      <c r="CU2562">
        <v>0</v>
      </c>
      <c r="CV2562">
        <v>6</v>
      </c>
      <c r="CW2562" t="s">
        <v>120</v>
      </c>
      <c r="CX2562">
        <v>257</v>
      </c>
      <c r="CY2562">
        <v>0</v>
      </c>
      <c r="CZ2562" t="s">
        <v>615</v>
      </c>
      <c r="DA2562" t="s">
        <v>616</v>
      </c>
      <c r="DD2562">
        <v>15974724</v>
      </c>
      <c r="DE2562" t="s">
        <v>123</v>
      </c>
    </row>
    <row r="2563" spans="1:109" x14ac:dyDescent="0.3">
      <c r="A2563" t="str">
        <f>"19:17:35.461"</f>
        <v>19:17:35.461</v>
      </c>
      <c r="B2563" t="s">
        <v>110</v>
      </c>
      <c r="C2563" t="str">
        <f t="shared" si="120"/>
        <v>ffdfd3c0</v>
      </c>
      <c r="D2563" t="s">
        <v>111</v>
      </c>
      <c r="E2563">
        <v>18</v>
      </c>
      <c r="F2563">
        <v>1018</v>
      </c>
      <c r="G2563" t="s">
        <v>112</v>
      </c>
      <c r="J2563" t="s">
        <v>113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R2563" t="s">
        <v>114</v>
      </c>
      <c r="S2563" t="str">
        <f>"19:17:35.219"</f>
        <v>19:17:35.219</v>
      </c>
      <c r="T2563" t="str">
        <f>"19:17:34.922"</f>
        <v>19:17:34.922</v>
      </c>
      <c r="U2563" t="str">
        <f t="shared" si="121"/>
        <v>a1cdbe</v>
      </c>
      <c r="V2563">
        <v>0</v>
      </c>
      <c r="W2563">
        <v>0</v>
      </c>
      <c r="X2563">
        <v>1</v>
      </c>
      <c r="Y2563">
        <v>0</v>
      </c>
      <c r="Z2563">
        <v>0</v>
      </c>
      <c r="AB2563">
        <v>0</v>
      </c>
      <c r="AC2563">
        <v>9</v>
      </c>
      <c r="AD2563">
        <v>3</v>
      </c>
      <c r="AE2563">
        <v>0</v>
      </c>
      <c r="AF2563">
        <v>9</v>
      </c>
      <c r="AG2563" t="s">
        <v>158</v>
      </c>
      <c r="AH2563">
        <v>0</v>
      </c>
      <c r="AI2563">
        <v>3</v>
      </c>
      <c r="AJ2563">
        <v>1</v>
      </c>
      <c r="AK2563">
        <v>0</v>
      </c>
      <c r="AL2563" t="s">
        <v>4826</v>
      </c>
      <c r="AM2563">
        <v>46.938442999999999</v>
      </c>
      <c r="AN2563" t="s">
        <v>4827</v>
      </c>
      <c r="AO2563">
        <v>-123.305333</v>
      </c>
      <c r="AP2563">
        <v>100</v>
      </c>
      <c r="AQ2563">
        <v>1900</v>
      </c>
      <c r="AR2563" t="s">
        <v>118</v>
      </c>
      <c r="AS2563">
        <v>-62</v>
      </c>
      <c r="AT2563">
        <v>39</v>
      </c>
      <c r="AU2563">
        <v>128</v>
      </c>
      <c r="BC2563">
        <v>1200</v>
      </c>
      <c r="BD2563">
        <v>1</v>
      </c>
      <c r="BE2563" t="str">
        <f t="shared" si="122"/>
        <v xml:space="preserve">N215T   </v>
      </c>
      <c r="BF2563">
        <v>1</v>
      </c>
      <c r="BH2563">
        <v>0</v>
      </c>
      <c r="BI2563">
        <v>0</v>
      </c>
      <c r="BJ2563">
        <v>0</v>
      </c>
      <c r="BK2563">
        <v>2325</v>
      </c>
      <c r="BL2563">
        <v>425</v>
      </c>
      <c r="BM2563" t="s">
        <v>119</v>
      </c>
      <c r="BN2563">
        <v>1</v>
      </c>
      <c r="BO2563">
        <v>1</v>
      </c>
      <c r="BP2563">
        <v>1</v>
      </c>
      <c r="BQ2563">
        <v>0</v>
      </c>
      <c r="BT2563">
        <v>0</v>
      </c>
      <c r="BU2563">
        <v>0</v>
      </c>
      <c r="BV2563">
        <v>0</v>
      </c>
      <c r="CC2563" t="str">
        <f>"19:17:35.219"</f>
        <v>19:17:35.219</v>
      </c>
      <c r="CD2563" t="str">
        <f>"220320994"</f>
        <v>220320994</v>
      </c>
      <c r="CQ2563">
        <v>0</v>
      </c>
      <c r="CR2563">
        <v>2</v>
      </c>
      <c r="CS2563">
        <v>0</v>
      </c>
      <c r="CT2563">
        <v>2</v>
      </c>
      <c r="CU2563">
        <v>0</v>
      </c>
      <c r="CV2563">
        <v>6</v>
      </c>
      <c r="CW2563" t="s">
        <v>120</v>
      </c>
      <c r="CX2563">
        <v>261</v>
      </c>
      <c r="CY2563">
        <v>3</v>
      </c>
      <c r="CZ2563" t="s">
        <v>121</v>
      </c>
      <c r="DA2563" t="s">
        <v>122</v>
      </c>
      <c r="DD2563">
        <v>3806495</v>
      </c>
      <c r="DE2563" t="s">
        <v>123</v>
      </c>
    </row>
    <row r="2564" spans="1:109" x14ac:dyDescent="0.3">
      <c r="A2564" t="str">
        <f>"19:17:36.570"</f>
        <v>19:17:36.570</v>
      </c>
      <c r="B2564" t="s">
        <v>110</v>
      </c>
      <c r="C2564" t="str">
        <f t="shared" si="120"/>
        <v>ffdfd3c0</v>
      </c>
      <c r="D2564" t="s">
        <v>111</v>
      </c>
      <c r="E2564">
        <v>18</v>
      </c>
      <c r="F2564">
        <v>1018</v>
      </c>
      <c r="G2564" t="s">
        <v>112</v>
      </c>
      <c r="J2564" t="s">
        <v>113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R2564" t="s">
        <v>114</v>
      </c>
      <c r="S2564" t="str">
        <f>"19:17:36.281"</f>
        <v>19:17:36.281</v>
      </c>
      <c r="T2564" t="str">
        <f>"19:17:35.984"</f>
        <v>19:17:35.984</v>
      </c>
      <c r="U2564" t="str">
        <f t="shared" si="121"/>
        <v>a1cdbe</v>
      </c>
      <c r="V2564">
        <v>0</v>
      </c>
      <c r="W2564">
        <v>0</v>
      </c>
      <c r="X2564">
        <v>1</v>
      </c>
      <c r="Y2564">
        <v>0</v>
      </c>
      <c r="Z2564">
        <v>0</v>
      </c>
      <c r="AB2564">
        <v>0</v>
      </c>
      <c r="AC2564">
        <v>9</v>
      </c>
      <c r="AD2564">
        <v>3</v>
      </c>
      <c r="AE2564">
        <v>0</v>
      </c>
      <c r="AF2564">
        <v>9</v>
      </c>
      <c r="AG2564" t="s">
        <v>158</v>
      </c>
      <c r="AH2564">
        <v>0</v>
      </c>
      <c r="AI2564">
        <v>3</v>
      </c>
      <c r="AJ2564">
        <v>1</v>
      </c>
      <c r="AK2564">
        <v>0</v>
      </c>
      <c r="AL2564" t="s">
        <v>4828</v>
      </c>
      <c r="AM2564">
        <v>46.938614999999999</v>
      </c>
      <c r="AN2564" t="s">
        <v>4829</v>
      </c>
      <c r="AO2564">
        <v>-123.305762</v>
      </c>
      <c r="AP2564">
        <v>100</v>
      </c>
      <c r="AQ2564">
        <v>1900</v>
      </c>
      <c r="AR2564" t="s">
        <v>118</v>
      </c>
      <c r="AS2564">
        <v>-63</v>
      </c>
      <c r="AT2564">
        <v>39</v>
      </c>
      <c r="AU2564">
        <v>64</v>
      </c>
      <c r="BC2564">
        <v>1200</v>
      </c>
      <c r="BD2564">
        <v>1</v>
      </c>
      <c r="BE2564" t="str">
        <f t="shared" si="122"/>
        <v xml:space="preserve">N215T   </v>
      </c>
      <c r="BF2564">
        <v>1</v>
      </c>
      <c r="BH2564">
        <v>0</v>
      </c>
      <c r="BI2564">
        <v>0</v>
      </c>
      <c r="BJ2564">
        <v>0</v>
      </c>
      <c r="BK2564">
        <v>2325</v>
      </c>
      <c r="BL2564">
        <v>425</v>
      </c>
      <c r="BM2564" t="s">
        <v>119</v>
      </c>
      <c r="BN2564">
        <v>1</v>
      </c>
      <c r="BO2564">
        <v>1</v>
      </c>
      <c r="BP2564">
        <v>1</v>
      </c>
      <c r="BQ2564">
        <v>0</v>
      </c>
      <c r="BT2564">
        <v>0</v>
      </c>
      <c r="BU2564">
        <v>0</v>
      </c>
      <c r="BV2564">
        <v>0</v>
      </c>
      <c r="CC2564" t="str">
        <f>"19:17:36.289"</f>
        <v>19:17:36.289</v>
      </c>
      <c r="CD2564" t="str">
        <f>"285200309"</f>
        <v>285200309</v>
      </c>
      <c r="CQ2564">
        <v>0</v>
      </c>
      <c r="CR2564">
        <v>2</v>
      </c>
      <c r="CS2564">
        <v>0</v>
      </c>
      <c r="CT2564">
        <v>2</v>
      </c>
      <c r="CU2564">
        <v>0</v>
      </c>
      <c r="CV2564">
        <v>6</v>
      </c>
      <c r="CW2564" t="s">
        <v>120</v>
      </c>
      <c r="CX2564">
        <v>257</v>
      </c>
      <c r="CY2564">
        <v>0</v>
      </c>
      <c r="CZ2564" t="s">
        <v>615</v>
      </c>
      <c r="DA2564" t="s">
        <v>616</v>
      </c>
      <c r="DD2564">
        <v>15975778</v>
      </c>
      <c r="DE2564" t="s">
        <v>123</v>
      </c>
    </row>
    <row r="2565" spans="1:109" x14ac:dyDescent="0.3">
      <c r="A2565" t="str">
        <f>"19:17:37.477"</f>
        <v>19:17:37.477</v>
      </c>
      <c r="B2565" t="s">
        <v>110</v>
      </c>
      <c r="C2565" t="str">
        <f t="shared" si="120"/>
        <v>ffdfd3c0</v>
      </c>
      <c r="D2565" t="s">
        <v>111</v>
      </c>
      <c r="E2565">
        <v>18</v>
      </c>
      <c r="F2565">
        <v>1018</v>
      </c>
      <c r="G2565" t="s">
        <v>112</v>
      </c>
      <c r="J2565" t="s">
        <v>113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R2565" t="s">
        <v>114</v>
      </c>
      <c r="S2565" t="str">
        <f>"19:17:37.258"</f>
        <v>19:17:37.258</v>
      </c>
      <c r="T2565" t="str">
        <f>"19:17:36.961"</f>
        <v>19:17:36.961</v>
      </c>
      <c r="U2565" t="str">
        <f t="shared" si="121"/>
        <v>a1cdbe</v>
      </c>
      <c r="V2565">
        <v>0</v>
      </c>
      <c r="W2565">
        <v>0</v>
      </c>
      <c r="X2565">
        <v>1</v>
      </c>
      <c r="Y2565">
        <v>0</v>
      </c>
      <c r="Z2565">
        <v>0</v>
      </c>
      <c r="AB2565">
        <v>0</v>
      </c>
      <c r="AC2565">
        <v>9</v>
      </c>
      <c r="AD2565">
        <v>3</v>
      </c>
      <c r="AE2565">
        <v>0</v>
      </c>
      <c r="AF2565">
        <v>9</v>
      </c>
      <c r="AG2565" t="s">
        <v>158</v>
      </c>
      <c r="AH2565">
        <v>0</v>
      </c>
      <c r="AI2565">
        <v>3</v>
      </c>
      <c r="AJ2565">
        <v>1</v>
      </c>
      <c r="AK2565">
        <v>0</v>
      </c>
      <c r="AL2565" t="s">
        <v>4830</v>
      </c>
      <c r="AM2565">
        <v>46.938808000000002</v>
      </c>
      <c r="AN2565" t="s">
        <v>4831</v>
      </c>
      <c r="AO2565">
        <v>-123.30614799999999</v>
      </c>
      <c r="AP2565">
        <v>100</v>
      </c>
      <c r="AQ2565">
        <v>1900</v>
      </c>
      <c r="AR2565" t="s">
        <v>118</v>
      </c>
      <c r="AS2565">
        <v>-63</v>
      </c>
      <c r="AT2565">
        <v>38</v>
      </c>
      <c r="AU2565">
        <v>64</v>
      </c>
      <c r="BC2565">
        <v>1200</v>
      </c>
      <c r="BD2565">
        <v>1</v>
      </c>
      <c r="BE2565" t="str">
        <f t="shared" si="122"/>
        <v xml:space="preserve">N215T   </v>
      </c>
      <c r="BF2565">
        <v>1</v>
      </c>
      <c r="BH2565">
        <v>0</v>
      </c>
      <c r="BI2565">
        <v>0</v>
      </c>
      <c r="BJ2565">
        <v>0</v>
      </c>
      <c r="BK2565">
        <v>2325</v>
      </c>
      <c r="BL2565">
        <v>425</v>
      </c>
      <c r="BM2565" t="s">
        <v>119</v>
      </c>
      <c r="BN2565">
        <v>1</v>
      </c>
      <c r="BO2565">
        <v>1</v>
      </c>
      <c r="BP2565">
        <v>1</v>
      </c>
      <c r="BQ2565">
        <v>0</v>
      </c>
      <c r="BT2565">
        <v>0</v>
      </c>
      <c r="BU2565">
        <v>0</v>
      </c>
      <c r="BV2565">
        <v>0</v>
      </c>
      <c r="CC2565" t="str">
        <f>"19:17:37.258"</f>
        <v>19:17:37.258</v>
      </c>
      <c r="CD2565" t="str">
        <f>"260120028"</f>
        <v>260120028</v>
      </c>
      <c r="CQ2565">
        <v>0</v>
      </c>
      <c r="CR2565">
        <v>2</v>
      </c>
      <c r="CS2565">
        <v>0</v>
      </c>
      <c r="CT2565">
        <v>2</v>
      </c>
      <c r="CU2565">
        <v>0</v>
      </c>
      <c r="CV2565">
        <v>6</v>
      </c>
      <c r="CW2565" t="s">
        <v>120</v>
      </c>
      <c r="CX2565">
        <v>261</v>
      </c>
      <c r="CY2565">
        <v>2</v>
      </c>
      <c r="CZ2565" t="s">
        <v>121</v>
      </c>
      <c r="DA2565" t="s">
        <v>122</v>
      </c>
      <c r="DD2565">
        <v>15843168</v>
      </c>
      <c r="DE2565" t="s">
        <v>123</v>
      </c>
    </row>
    <row r="2566" spans="1:109" x14ac:dyDescent="0.3">
      <c r="A2566" t="str">
        <f>"19:17:38.578"</f>
        <v>19:17:38.578</v>
      </c>
      <c r="B2566" t="s">
        <v>110</v>
      </c>
      <c r="C2566" t="str">
        <f t="shared" si="120"/>
        <v>ffdfd3c0</v>
      </c>
      <c r="D2566" t="s">
        <v>111</v>
      </c>
      <c r="E2566">
        <v>18</v>
      </c>
      <c r="F2566">
        <v>1018</v>
      </c>
      <c r="G2566" t="s">
        <v>112</v>
      </c>
      <c r="J2566" t="s">
        <v>113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R2566" t="s">
        <v>114</v>
      </c>
      <c r="S2566" t="str">
        <f>"19:17:38.320"</f>
        <v>19:17:38.320</v>
      </c>
      <c r="T2566" t="str">
        <f>"19:17:37.922"</f>
        <v>19:17:37.922</v>
      </c>
      <c r="U2566" t="str">
        <f t="shared" si="121"/>
        <v>a1cdbe</v>
      </c>
      <c r="V2566">
        <v>0</v>
      </c>
      <c r="W2566">
        <v>0</v>
      </c>
      <c r="X2566">
        <v>1</v>
      </c>
      <c r="Y2566">
        <v>0</v>
      </c>
      <c r="Z2566">
        <v>0</v>
      </c>
      <c r="AB2566">
        <v>0</v>
      </c>
      <c r="AC2566">
        <v>9</v>
      </c>
      <c r="AD2566">
        <v>3</v>
      </c>
      <c r="AE2566">
        <v>0</v>
      </c>
      <c r="AF2566">
        <v>9</v>
      </c>
      <c r="AG2566" t="s">
        <v>158</v>
      </c>
      <c r="AH2566">
        <v>0</v>
      </c>
      <c r="AI2566">
        <v>3</v>
      </c>
      <c r="AJ2566">
        <v>1</v>
      </c>
      <c r="AK2566">
        <v>0</v>
      </c>
      <c r="AL2566" t="s">
        <v>4832</v>
      </c>
      <c r="AM2566">
        <v>46.939000999999998</v>
      </c>
      <c r="AN2566" t="s">
        <v>4833</v>
      </c>
      <c r="AO2566">
        <v>-123.30659900000001</v>
      </c>
      <c r="AP2566">
        <v>100</v>
      </c>
      <c r="AQ2566">
        <v>1900</v>
      </c>
      <c r="AR2566" t="s">
        <v>118</v>
      </c>
      <c r="AS2566">
        <v>-63</v>
      </c>
      <c r="AT2566">
        <v>38</v>
      </c>
      <c r="AU2566">
        <v>64</v>
      </c>
      <c r="BC2566">
        <v>1200</v>
      </c>
      <c r="BD2566">
        <v>1</v>
      </c>
      <c r="BE2566" t="str">
        <f t="shared" si="122"/>
        <v xml:space="preserve">N215T   </v>
      </c>
      <c r="BF2566">
        <v>1</v>
      </c>
      <c r="BH2566">
        <v>0</v>
      </c>
      <c r="BI2566">
        <v>0</v>
      </c>
      <c r="BJ2566">
        <v>0</v>
      </c>
      <c r="BK2566">
        <v>2325</v>
      </c>
      <c r="BL2566">
        <v>425</v>
      </c>
      <c r="BM2566" t="s">
        <v>119</v>
      </c>
      <c r="BN2566">
        <v>1</v>
      </c>
      <c r="BO2566">
        <v>1</v>
      </c>
      <c r="BP2566">
        <v>1</v>
      </c>
      <c r="BQ2566">
        <v>0</v>
      </c>
      <c r="BT2566">
        <v>0</v>
      </c>
      <c r="BU2566">
        <v>0</v>
      </c>
      <c r="BV2566">
        <v>0</v>
      </c>
      <c r="CC2566" t="str">
        <f>"19:17:38.328"</f>
        <v>19:17:38.328</v>
      </c>
      <c r="CD2566" t="str">
        <f>"325015123"</f>
        <v>325015123</v>
      </c>
      <c r="CQ2566">
        <v>0</v>
      </c>
      <c r="CR2566">
        <v>2</v>
      </c>
      <c r="CS2566">
        <v>0</v>
      </c>
      <c r="CT2566">
        <v>2</v>
      </c>
      <c r="CU2566">
        <v>0</v>
      </c>
      <c r="CV2566">
        <v>6</v>
      </c>
      <c r="CW2566" t="s">
        <v>120</v>
      </c>
      <c r="CX2566">
        <v>261</v>
      </c>
      <c r="CY2566">
        <v>2</v>
      </c>
      <c r="CZ2566" t="s">
        <v>121</v>
      </c>
      <c r="DA2566" t="s">
        <v>122</v>
      </c>
      <c r="DD2566">
        <v>15843931</v>
      </c>
      <c r="DE2566" t="s">
        <v>123</v>
      </c>
    </row>
    <row r="2567" spans="1:109" x14ac:dyDescent="0.3">
      <c r="A2567" t="str">
        <f>"19:17:39.641"</f>
        <v>19:17:39.641</v>
      </c>
      <c r="B2567" t="s">
        <v>110</v>
      </c>
      <c r="C2567" t="str">
        <f t="shared" si="120"/>
        <v>ffdfd3c0</v>
      </c>
      <c r="D2567" t="s">
        <v>111</v>
      </c>
      <c r="E2567">
        <v>18</v>
      </c>
      <c r="F2567">
        <v>1018</v>
      </c>
      <c r="G2567" t="s">
        <v>112</v>
      </c>
      <c r="J2567" t="s">
        <v>113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R2567" t="s">
        <v>114</v>
      </c>
      <c r="S2567" t="str">
        <f>"19:17:39.414"</f>
        <v>19:17:39.414</v>
      </c>
      <c r="T2567" t="str">
        <f>"19:17:39.414"</f>
        <v>19:17:39.414</v>
      </c>
      <c r="U2567" t="str">
        <f t="shared" si="121"/>
        <v>a1cdbe</v>
      </c>
      <c r="V2567">
        <v>0</v>
      </c>
      <c r="W2567">
        <v>0</v>
      </c>
      <c r="X2567">
        <v>1</v>
      </c>
      <c r="Y2567">
        <v>0</v>
      </c>
      <c r="Z2567">
        <v>0</v>
      </c>
      <c r="AB2567">
        <v>0</v>
      </c>
      <c r="AC2567">
        <v>9</v>
      </c>
      <c r="AD2567">
        <v>3</v>
      </c>
      <c r="AE2567">
        <v>0</v>
      </c>
      <c r="AF2567">
        <v>9</v>
      </c>
      <c r="AG2567" t="s">
        <v>158</v>
      </c>
      <c r="AH2567">
        <v>0</v>
      </c>
      <c r="AI2567">
        <v>3</v>
      </c>
      <c r="AJ2567">
        <v>1</v>
      </c>
      <c r="AK2567">
        <v>0</v>
      </c>
      <c r="AL2567" t="s">
        <v>4834</v>
      </c>
      <c r="AM2567">
        <v>46.939172999999997</v>
      </c>
      <c r="AN2567" t="s">
        <v>4835</v>
      </c>
      <c r="AO2567">
        <v>-123.307092</v>
      </c>
      <c r="AP2567">
        <v>100</v>
      </c>
      <c r="AQ2567">
        <v>1900</v>
      </c>
      <c r="AR2567" t="s">
        <v>118</v>
      </c>
      <c r="AS2567">
        <v>-63</v>
      </c>
      <c r="AT2567">
        <v>38</v>
      </c>
      <c r="AU2567">
        <v>64</v>
      </c>
      <c r="BC2567">
        <v>1200</v>
      </c>
      <c r="BD2567">
        <v>1</v>
      </c>
      <c r="BE2567" t="str">
        <f t="shared" si="122"/>
        <v xml:space="preserve">N215T   </v>
      </c>
      <c r="BF2567">
        <v>1</v>
      </c>
      <c r="BH2567">
        <v>0</v>
      </c>
      <c r="BI2567">
        <v>0</v>
      </c>
      <c r="BJ2567">
        <v>0</v>
      </c>
      <c r="BK2567">
        <v>2325</v>
      </c>
      <c r="BL2567">
        <v>425</v>
      </c>
      <c r="BM2567" t="s">
        <v>119</v>
      </c>
      <c r="BN2567">
        <v>1</v>
      </c>
      <c r="BO2567">
        <v>1</v>
      </c>
      <c r="BP2567">
        <v>1</v>
      </c>
      <c r="BQ2567">
        <v>0</v>
      </c>
      <c r="BT2567">
        <v>0</v>
      </c>
      <c r="BU2567">
        <v>0</v>
      </c>
      <c r="BV2567">
        <v>0</v>
      </c>
      <c r="CC2567" t="str">
        <f>"19:17:39.422"</f>
        <v>19:17:39.422</v>
      </c>
      <c r="CD2567" t="str">
        <f>"419907271"</f>
        <v>419907271</v>
      </c>
      <c r="CQ2567">
        <v>0</v>
      </c>
      <c r="CR2567">
        <v>2</v>
      </c>
      <c r="CS2567">
        <v>0</v>
      </c>
      <c r="CT2567">
        <v>2</v>
      </c>
      <c r="CU2567">
        <v>0</v>
      </c>
      <c r="CV2567">
        <v>6</v>
      </c>
      <c r="CW2567" t="s">
        <v>120</v>
      </c>
      <c r="CX2567">
        <v>261</v>
      </c>
      <c r="CY2567">
        <v>2</v>
      </c>
      <c r="CZ2567" t="s">
        <v>121</v>
      </c>
      <c r="DA2567" t="s">
        <v>122</v>
      </c>
      <c r="DD2567">
        <v>15844628</v>
      </c>
      <c r="DE2567" t="s">
        <v>123</v>
      </c>
    </row>
    <row r="2568" spans="1:109" x14ac:dyDescent="0.3">
      <c r="A2568" t="str">
        <f>"19:17:40.688"</f>
        <v>19:17:40.688</v>
      </c>
      <c r="B2568" t="s">
        <v>110</v>
      </c>
      <c r="C2568" t="str">
        <f t="shared" si="120"/>
        <v>ffdfd3c0</v>
      </c>
      <c r="D2568" t="s">
        <v>111</v>
      </c>
      <c r="E2568">
        <v>18</v>
      </c>
      <c r="F2568">
        <v>1018</v>
      </c>
      <c r="G2568" t="s">
        <v>112</v>
      </c>
      <c r="J2568" t="s">
        <v>113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R2568" t="s">
        <v>114</v>
      </c>
      <c r="S2568" t="str">
        <f>"19:17:40.469"</f>
        <v>19:17:40.469</v>
      </c>
      <c r="T2568" t="str">
        <f>"19:17:40.266"</f>
        <v>19:17:40.266</v>
      </c>
      <c r="U2568" t="str">
        <f t="shared" si="121"/>
        <v>a1cdbe</v>
      </c>
      <c r="V2568">
        <v>0</v>
      </c>
      <c r="W2568">
        <v>0</v>
      </c>
      <c r="X2568">
        <v>1</v>
      </c>
      <c r="Y2568">
        <v>0</v>
      </c>
      <c r="Z2568">
        <v>0</v>
      </c>
      <c r="AB2568">
        <v>0</v>
      </c>
      <c r="AC2568">
        <v>9</v>
      </c>
      <c r="AD2568">
        <v>3</v>
      </c>
      <c r="AE2568">
        <v>0</v>
      </c>
      <c r="AF2568">
        <v>9</v>
      </c>
      <c r="AG2568" t="s">
        <v>158</v>
      </c>
      <c r="AH2568">
        <v>0</v>
      </c>
      <c r="AI2568">
        <v>3</v>
      </c>
      <c r="AJ2568">
        <v>1</v>
      </c>
      <c r="AK2568">
        <v>0</v>
      </c>
      <c r="AL2568" t="s">
        <v>4836</v>
      </c>
      <c r="AM2568">
        <v>46.939366</v>
      </c>
      <c r="AN2568" t="s">
        <v>4837</v>
      </c>
      <c r="AO2568">
        <v>-123.30752099999999</v>
      </c>
      <c r="AP2568">
        <v>100</v>
      </c>
      <c r="AQ2568">
        <v>1900</v>
      </c>
      <c r="AR2568" t="s">
        <v>118</v>
      </c>
      <c r="AS2568">
        <v>-63</v>
      </c>
      <c r="AT2568">
        <v>38</v>
      </c>
      <c r="AU2568">
        <v>0</v>
      </c>
      <c r="BC2568">
        <v>1200</v>
      </c>
      <c r="BD2568">
        <v>1</v>
      </c>
      <c r="BE2568" t="str">
        <f t="shared" si="122"/>
        <v xml:space="preserve">N215T   </v>
      </c>
      <c r="BF2568">
        <v>1</v>
      </c>
      <c r="BH2568">
        <v>0</v>
      </c>
      <c r="BI2568">
        <v>0</v>
      </c>
      <c r="BJ2568">
        <v>0</v>
      </c>
      <c r="BK2568">
        <v>2325</v>
      </c>
      <c r="BL2568">
        <v>425</v>
      </c>
      <c r="BM2568" t="s">
        <v>119</v>
      </c>
      <c r="BN2568">
        <v>1</v>
      </c>
      <c r="BO2568">
        <v>1</v>
      </c>
      <c r="BP2568">
        <v>1</v>
      </c>
      <c r="BQ2568">
        <v>0</v>
      </c>
      <c r="BT2568">
        <v>0</v>
      </c>
      <c r="BU2568">
        <v>0</v>
      </c>
      <c r="BV2568">
        <v>0</v>
      </c>
      <c r="CC2568" t="str">
        <f>"19:17:40.469"</f>
        <v>19:17:40.469</v>
      </c>
      <c r="CD2568" t="str">
        <f>"469803844"</f>
        <v>469803844</v>
      </c>
      <c r="CQ2568">
        <v>0</v>
      </c>
      <c r="CR2568">
        <v>2</v>
      </c>
      <c r="CS2568">
        <v>0</v>
      </c>
      <c r="CT2568">
        <v>2</v>
      </c>
      <c r="CU2568">
        <v>0</v>
      </c>
      <c r="CV2568">
        <v>6</v>
      </c>
      <c r="CW2568" t="s">
        <v>120</v>
      </c>
      <c r="CX2568">
        <v>261</v>
      </c>
      <c r="CY2568">
        <v>2</v>
      </c>
      <c r="CZ2568" t="s">
        <v>121</v>
      </c>
      <c r="DA2568" t="s">
        <v>122</v>
      </c>
      <c r="DD2568">
        <v>15845311</v>
      </c>
      <c r="DE2568" t="s">
        <v>123</v>
      </c>
    </row>
    <row r="2569" spans="1:109" x14ac:dyDescent="0.3">
      <c r="A2569" t="str">
        <f>"19:17:41.695"</f>
        <v>19:17:41.695</v>
      </c>
      <c r="B2569" t="s">
        <v>110</v>
      </c>
      <c r="C2569" t="str">
        <f t="shared" si="120"/>
        <v>ffdfd3c0</v>
      </c>
      <c r="D2569" t="s">
        <v>111</v>
      </c>
      <c r="E2569">
        <v>18</v>
      </c>
      <c r="F2569">
        <v>1018</v>
      </c>
      <c r="G2569" t="s">
        <v>112</v>
      </c>
      <c r="J2569" t="s">
        <v>113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R2569" t="s">
        <v>114</v>
      </c>
      <c r="S2569" t="str">
        <f>"19:17:41.453"</f>
        <v>19:17:41.453</v>
      </c>
      <c r="T2569" t="str">
        <f>"19:17:41.453"</f>
        <v>19:17:41.453</v>
      </c>
      <c r="U2569" t="str">
        <f t="shared" si="121"/>
        <v>a1cdbe</v>
      </c>
      <c r="V2569">
        <v>0</v>
      </c>
      <c r="W2569">
        <v>0</v>
      </c>
      <c r="X2569">
        <v>1</v>
      </c>
      <c r="Y2569">
        <v>0</v>
      </c>
      <c r="Z2569">
        <v>0</v>
      </c>
      <c r="AB2569">
        <v>0</v>
      </c>
      <c r="AC2569">
        <v>9</v>
      </c>
      <c r="AD2569">
        <v>3</v>
      </c>
      <c r="AE2569">
        <v>0</v>
      </c>
      <c r="AF2569">
        <v>9</v>
      </c>
      <c r="AG2569" t="s">
        <v>158</v>
      </c>
      <c r="AH2569">
        <v>0</v>
      </c>
      <c r="AI2569">
        <v>3</v>
      </c>
      <c r="AJ2569">
        <v>1</v>
      </c>
      <c r="AK2569">
        <v>0</v>
      </c>
      <c r="AL2569" t="s">
        <v>4838</v>
      </c>
      <c r="AM2569">
        <v>46.939559000000003</v>
      </c>
      <c r="AN2569" t="s">
        <v>4839</v>
      </c>
      <c r="AO2569">
        <v>-123.30795000000001</v>
      </c>
      <c r="AP2569">
        <v>100</v>
      </c>
      <c r="AQ2569">
        <v>1900</v>
      </c>
      <c r="AR2569" t="s">
        <v>118</v>
      </c>
      <c r="AS2569">
        <v>-62</v>
      </c>
      <c r="AT2569">
        <v>39</v>
      </c>
      <c r="AU2569">
        <v>-64</v>
      </c>
      <c r="BC2569">
        <v>1200</v>
      </c>
      <c r="BD2569">
        <v>1</v>
      </c>
      <c r="BE2569" t="str">
        <f t="shared" si="122"/>
        <v xml:space="preserve">N215T   </v>
      </c>
      <c r="BF2569">
        <v>1</v>
      </c>
      <c r="BH2569">
        <v>0</v>
      </c>
      <c r="BI2569">
        <v>0</v>
      </c>
      <c r="BJ2569">
        <v>0</v>
      </c>
      <c r="BK2569">
        <v>2325</v>
      </c>
      <c r="BL2569">
        <v>425</v>
      </c>
      <c r="BM2569" t="s">
        <v>119</v>
      </c>
      <c r="BN2569">
        <v>1</v>
      </c>
      <c r="BO2569">
        <v>1</v>
      </c>
      <c r="BP2569">
        <v>1</v>
      </c>
      <c r="BQ2569">
        <v>0</v>
      </c>
      <c r="BT2569">
        <v>0</v>
      </c>
      <c r="BU2569">
        <v>0</v>
      </c>
      <c r="BV2569">
        <v>0</v>
      </c>
      <c r="CC2569" t="str">
        <f>"19:17:41.461"</f>
        <v>19:17:41.461</v>
      </c>
      <c r="CD2569" t="str">
        <f>"459706324"</f>
        <v>459706324</v>
      </c>
      <c r="CQ2569">
        <v>0</v>
      </c>
      <c r="CR2569">
        <v>2</v>
      </c>
      <c r="CS2569">
        <v>0</v>
      </c>
      <c r="CT2569">
        <v>2</v>
      </c>
      <c r="CU2569">
        <v>0</v>
      </c>
      <c r="CV2569">
        <v>6</v>
      </c>
      <c r="CW2569" t="s">
        <v>120</v>
      </c>
      <c r="CX2569">
        <v>261</v>
      </c>
      <c r="CY2569">
        <v>2</v>
      </c>
      <c r="CZ2569" t="s">
        <v>121</v>
      </c>
      <c r="DA2569" t="s">
        <v>122</v>
      </c>
      <c r="DD2569">
        <v>15845966</v>
      </c>
      <c r="DE2569" t="s">
        <v>123</v>
      </c>
    </row>
    <row r="2570" spans="1:109" x14ac:dyDescent="0.3">
      <c r="A2570" t="str">
        <f>"19:17:42.656"</f>
        <v>19:17:42.656</v>
      </c>
      <c r="B2570" t="s">
        <v>110</v>
      </c>
      <c r="C2570" t="str">
        <f t="shared" si="120"/>
        <v>ffdfd3c0</v>
      </c>
      <c r="D2570" t="s">
        <v>111</v>
      </c>
      <c r="E2570">
        <v>18</v>
      </c>
      <c r="F2570">
        <v>1018</v>
      </c>
      <c r="G2570" t="s">
        <v>112</v>
      </c>
      <c r="J2570" t="s">
        <v>113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R2570" t="s">
        <v>114</v>
      </c>
      <c r="S2570" t="str">
        <f>"19:17:42.398"</f>
        <v>19:17:42.398</v>
      </c>
      <c r="T2570" t="str">
        <f>"19:17:42.000"</f>
        <v>19:17:42.000</v>
      </c>
      <c r="U2570" t="str">
        <f t="shared" si="121"/>
        <v>a1cdbe</v>
      </c>
      <c r="V2570">
        <v>0</v>
      </c>
      <c r="W2570">
        <v>0</v>
      </c>
      <c r="X2570">
        <v>1</v>
      </c>
      <c r="Y2570">
        <v>0</v>
      </c>
      <c r="Z2570">
        <v>0</v>
      </c>
      <c r="AB2570">
        <v>0</v>
      </c>
      <c r="AC2570">
        <v>9</v>
      </c>
      <c r="AD2570">
        <v>3</v>
      </c>
      <c r="AE2570">
        <v>0</v>
      </c>
      <c r="AF2570">
        <v>9</v>
      </c>
      <c r="AG2570" t="s">
        <v>158</v>
      </c>
      <c r="AH2570">
        <v>0</v>
      </c>
      <c r="AI2570">
        <v>3</v>
      </c>
      <c r="AJ2570">
        <v>1</v>
      </c>
      <c r="AK2570">
        <v>0</v>
      </c>
      <c r="AL2570" t="s">
        <v>4840</v>
      </c>
      <c r="AM2570">
        <v>46.939687999999997</v>
      </c>
      <c r="AN2570" t="s">
        <v>4841</v>
      </c>
      <c r="AO2570">
        <v>-123.308358</v>
      </c>
      <c r="AP2570">
        <v>100</v>
      </c>
      <c r="AQ2570">
        <v>1900</v>
      </c>
      <c r="AR2570" t="s">
        <v>118</v>
      </c>
      <c r="AS2570">
        <v>-62</v>
      </c>
      <c r="AT2570">
        <v>40</v>
      </c>
      <c r="AU2570">
        <v>-64</v>
      </c>
      <c r="BC2570">
        <v>1200</v>
      </c>
      <c r="BD2570">
        <v>1</v>
      </c>
      <c r="BE2570" t="str">
        <f t="shared" si="122"/>
        <v xml:space="preserve">N215T   </v>
      </c>
      <c r="BF2570">
        <v>1</v>
      </c>
      <c r="BH2570">
        <v>0</v>
      </c>
      <c r="BI2570">
        <v>0</v>
      </c>
      <c r="BJ2570">
        <v>0</v>
      </c>
      <c r="BK2570">
        <v>2325</v>
      </c>
      <c r="BL2570">
        <v>425</v>
      </c>
      <c r="BM2570" t="s">
        <v>119</v>
      </c>
      <c r="BN2570">
        <v>1</v>
      </c>
      <c r="BO2570">
        <v>1</v>
      </c>
      <c r="BP2570">
        <v>1</v>
      </c>
      <c r="BQ2570">
        <v>0</v>
      </c>
      <c r="BT2570">
        <v>0</v>
      </c>
      <c r="BU2570">
        <v>0</v>
      </c>
      <c r="BV2570">
        <v>0</v>
      </c>
      <c r="CC2570" t="str">
        <f>"19:17:42.406"</f>
        <v>19:17:42.406</v>
      </c>
      <c r="CD2570" t="str">
        <f>"404613243"</f>
        <v>404613243</v>
      </c>
      <c r="CQ2570">
        <v>0</v>
      </c>
      <c r="CR2570">
        <v>2</v>
      </c>
      <c r="CS2570">
        <v>0</v>
      </c>
      <c r="CT2570">
        <v>2</v>
      </c>
      <c r="CU2570">
        <v>0</v>
      </c>
      <c r="CV2570">
        <v>6</v>
      </c>
      <c r="CW2570" t="s">
        <v>120</v>
      </c>
      <c r="CX2570">
        <v>261</v>
      </c>
      <c r="CY2570">
        <v>2</v>
      </c>
      <c r="CZ2570" t="s">
        <v>121</v>
      </c>
      <c r="DA2570" t="s">
        <v>122</v>
      </c>
      <c r="DD2570">
        <v>15846599</v>
      </c>
      <c r="DE2570" t="s">
        <v>123</v>
      </c>
    </row>
    <row r="2571" spans="1:109" x14ac:dyDescent="0.3">
      <c r="A2571" t="str">
        <f>"19:17:43.703"</f>
        <v>19:17:43.703</v>
      </c>
      <c r="B2571" t="s">
        <v>110</v>
      </c>
      <c r="C2571" t="str">
        <f t="shared" si="120"/>
        <v>ffdfd3c0</v>
      </c>
      <c r="D2571" t="s">
        <v>111</v>
      </c>
      <c r="E2571">
        <v>18</v>
      </c>
      <c r="F2571">
        <v>1018</v>
      </c>
      <c r="G2571" t="s">
        <v>112</v>
      </c>
      <c r="J2571" t="s">
        <v>113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R2571" t="s">
        <v>114</v>
      </c>
      <c r="S2571" t="str">
        <f>"19:17:43.438"</f>
        <v>19:17:43.438</v>
      </c>
      <c r="T2571" t="str">
        <f>"19:17:43.039"</f>
        <v>19:17:43.039</v>
      </c>
      <c r="U2571" t="str">
        <f t="shared" si="121"/>
        <v>a1cdbe</v>
      </c>
      <c r="V2571">
        <v>0</v>
      </c>
      <c r="W2571">
        <v>0</v>
      </c>
      <c r="X2571">
        <v>1</v>
      </c>
      <c r="Y2571">
        <v>0</v>
      </c>
      <c r="Z2571">
        <v>0</v>
      </c>
      <c r="AB2571">
        <v>0</v>
      </c>
      <c r="AC2571">
        <v>9</v>
      </c>
      <c r="AD2571">
        <v>3</v>
      </c>
      <c r="AE2571">
        <v>0</v>
      </c>
      <c r="AF2571">
        <v>9</v>
      </c>
      <c r="AG2571" t="s">
        <v>158</v>
      </c>
      <c r="AH2571">
        <v>0</v>
      </c>
      <c r="AI2571">
        <v>3</v>
      </c>
      <c r="AJ2571">
        <v>1</v>
      </c>
      <c r="AK2571">
        <v>0</v>
      </c>
      <c r="AL2571" t="s">
        <v>4842</v>
      </c>
      <c r="AM2571">
        <v>46.939881</v>
      </c>
      <c r="AN2571" t="s">
        <v>4843</v>
      </c>
      <c r="AO2571">
        <v>-123.308787</v>
      </c>
      <c r="AP2571">
        <v>100</v>
      </c>
      <c r="AQ2571">
        <v>1900</v>
      </c>
      <c r="AR2571" t="s">
        <v>118</v>
      </c>
      <c r="AS2571">
        <v>-62</v>
      </c>
      <c r="AT2571">
        <v>40</v>
      </c>
      <c r="AU2571">
        <v>-64</v>
      </c>
      <c r="BC2571">
        <v>1200</v>
      </c>
      <c r="BD2571">
        <v>1</v>
      </c>
      <c r="BE2571" t="str">
        <f t="shared" si="122"/>
        <v xml:space="preserve">N215T   </v>
      </c>
      <c r="BF2571">
        <v>1</v>
      </c>
      <c r="BH2571">
        <v>0</v>
      </c>
      <c r="BI2571">
        <v>0</v>
      </c>
      <c r="BJ2571">
        <v>0</v>
      </c>
      <c r="BK2571">
        <v>2325</v>
      </c>
      <c r="BL2571">
        <v>425</v>
      </c>
      <c r="BM2571" t="s">
        <v>119</v>
      </c>
      <c r="BN2571">
        <v>1</v>
      </c>
      <c r="BO2571">
        <v>1</v>
      </c>
      <c r="BP2571">
        <v>1</v>
      </c>
      <c r="BQ2571">
        <v>0</v>
      </c>
      <c r="BT2571">
        <v>0</v>
      </c>
      <c r="BU2571">
        <v>0</v>
      </c>
      <c r="BV2571">
        <v>0</v>
      </c>
      <c r="CC2571" t="str">
        <f>"19:17:43.438"</f>
        <v>19:17:43.438</v>
      </c>
      <c r="CD2571" t="str">
        <f>"439511283"</f>
        <v>439511283</v>
      </c>
      <c r="CQ2571">
        <v>0</v>
      </c>
      <c r="CR2571">
        <v>2</v>
      </c>
      <c r="CS2571">
        <v>0</v>
      </c>
      <c r="CT2571">
        <v>2</v>
      </c>
      <c r="CU2571">
        <v>0</v>
      </c>
      <c r="CV2571">
        <v>6</v>
      </c>
      <c r="CW2571" t="s">
        <v>120</v>
      </c>
      <c r="CX2571">
        <v>261</v>
      </c>
      <c r="CY2571">
        <v>2</v>
      </c>
      <c r="CZ2571" t="s">
        <v>121</v>
      </c>
      <c r="DA2571" t="s">
        <v>122</v>
      </c>
      <c r="DD2571">
        <v>15847319</v>
      </c>
      <c r="DE2571" t="s">
        <v>123</v>
      </c>
    </row>
    <row r="2572" spans="1:109" x14ac:dyDescent="0.3">
      <c r="A2572" t="str">
        <f>"19:17:44.656"</f>
        <v>19:17:44.656</v>
      </c>
      <c r="B2572" t="s">
        <v>110</v>
      </c>
      <c r="C2572" t="str">
        <f t="shared" si="120"/>
        <v>ffdfd3c0</v>
      </c>
      <c r="D2572" t="s">
        <v>111</v>
      </c>
      <c r="E2572">
        <v>18</v>
      </c>
      <c r="F2572">
        <v>1018</v>
      </c>
      <c r="G2572" t="s">
        <v>112</v>
      </c>
      <c r="J2572" t="s">
        <v>113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R2572" t="s">
        <v>114</v>
      </c>
      <c r="S2572" t="str">
        <f>"19:17:44.414"</f>
        <v>19:17:44.414</v>
      </c>
      <c r="T2572" t="str">
        <f>"19:17:44.117"</f>
        <v>19:17:44.117</v>
      </c>
      <c r="U2572" t="str">
        <f t="shared" si="121"/>
        <v>a1cdbe</v>
      </c>
      <c r="V2572">
        <v>0</v>
      </c>
      <c r="W2572">
        <v>0</v>
      </c>
      <c r="X2572">
        <v>1</v>
      </c>
      <c r="Y2572">
        <v>0</v>
      </c>
      <c r="Z2572">
        <v>0</v>
      </c>
      <c r="AB2572">
        <v>0</v>
      </c>
      <c r="AC2572">
        <v>9</v>
      </c>
      <c r="AD2572">
        <v>3</v>
      </c>
      <c r="AE2572">
        <v>0</v>
      </c>
      <c r="AF2572">
        <v>9</v>
      </c>
      <c r="AG2572" t="s">
        <v>158</v>
      </c>
      <c r="AH2572">
        <v>0</v>
      </c>
      <c r="AI2572">
        <v>3</v>
      </c>
      <c r="AJ2572">
        <v>1</v>
      </c>
      <c r="AK2572">
        <v>0</v>
      </c>
      <c r="AL2572" t="s">
        <v>4844</v>
      </c>
      <c r="AM2572">
        <v>46.940094999999999</v>
      </c>
      <c r="AN2572" t="s">
        <v>4845</v>
      </c>
      <c r="AO2572">
        <v>-123.309174</v>
      </c>
      <c r="AP2572">
        <v>100</v>
      </c>
      <c r="AQ2572">
        <v>1900</v>
      </c>
      <c r="AR2572" t="s">
        <v>118</v>
      </c>
      <c r="AS2572">
        <v>-62</v>
      </c>
      <c r="AT2572">
        <v>40</v>
      </c>
      <c r="AU2572">
        <v>-64</v>
      </c>
      <c r="BC2572">
        <v>1200</v>
      </c>
      <c r="BD2572">
        <v>1</v>
      </c>
      <c r="BE2572" t="str">
        <f t="shared" si="122"/>
        <v xml:space="preserve">N215T   </v>
      </c>
      <c r="BF2572">
        <v>1</v>
      </c>
      <c r="BH2572">
        <v>0</v>
      </c>
      <c r="BI2572">
        <v>0</v>
      </c>
      <c r="BJ2572">
        <v>0</v>
      </c>
      <c r="BK2572">
        <v>2325</v>
      </c>
      <c r="BL2572">
        <v>425</v>
      </c>
      <c r="BM2572" t="s">
        <v>119</v>
      </c>
      <c r="BN2572">
        <v>1</v>
      </c>
      <c r="BO2572">
        <v>1</v>
      </c>
      <c r="BP2572">
        <v>1</v>
      </c>
      <c r="BQ2572">
        <v>0</v>
      </c>
      <c r="BT2572">
        <v>0</v>
      </c>
      <c r="BU2572">
        <v>0</v>
      </c>
      <c r="BV2572">
        <v>0</v>
      </c>
      <c r="CC2572" t="str">
        <f>"19:17:44.414"</f>
        <v>19:17:44.414</v>
      </c>
      <c r="CD2572" t="str">
        <f>"414399419"</f>
        <v>414399419</v>
      </c>
      <c r="CQ2572">
        <v>0</v>
      </c>
      <c r="CR2572">
        <v>2</v>
      </c>
      <c r="CS2572">
        <v>0</v>
      </c>
      <c r="CT2572">
        <v>2</v>
      </c>
      <c r="CU2572">
        <v>0</v>
      </c>
      <c r="CV2572">
        <v>6</v>
      </c>
      <c r="CW2572" t="s">
        <v>120</v>
      </c>
      <c r="CX2572">
        <v>257</v>
      </c>
      <c r="CY2572">
        <v>0</v>
      </c>
      <c r="CZ2572" t="s">
        <v>615</v>
      </c>
      <c r="DA2572" t="s">
        <v>616</v>
      </c>
      <c r="DD2572">
        <v>15980069</v>
      </c>
      <c r="DE2572" t="s">
        <v>123</v>
      </c>
    </row>
    <row r="2573" spans="1:109" x14ac:dyDescent="0.3">
      <c r="A2573" t="str">
        <f>"19:17:45.664"</f>
        <v>19:17:45.664</v>
      </c>
      <c r="B2573" t="s">
        <v>110</v>
      </c>
      <c r="C2573" t="str">
        <f t="shared" si="120"/>
        <v>ffdfd3c0</v>
      </c>
      <c r="D2573" t="s">
        <v>111</v>
      </c>
      <c r="E2573">
        <v>18</v>
      </c>
      <c r="F2573">
        <v>1018</v>
      </c>
      <c r="G2573" t="s">
        <v>112</v>
      </c>
      <c r="J2573" t="s">
        <v>113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R2573" t="s">
        <v>114</v>
      </c>
      <c r="S2573" t="str">
        <f>"19:17:45.445"</f>
        <v>19:17:45.445</v>
      </c>
      <c r="T2573" t="str">
        <f>"19:17:45.344"</f>
        <v>19:17:45.344</v>
      </c>
      <c r="U2573" t="str">
        <f t="shared" si="121"/>
        <v>a1cdbe</v>
      </c>
      <c r="V2573">
        <v>0</v>
      </c>
      <c r="W2573">
        <v>0</v>
      </c>
      <c r="X2573">
        <v>1</v>
      </c>
      <c r="Y2573">
        <v>0</v>
      </c>
      <c r="Z2573">
        <v>0</v>
      </c>
      <c r="AB2573">
        <v>0</v>
      </c>
      <c r="AC2573">
        <v>9</v>
      </c>
      <c r="AD2573">
        <v>3</v>
      </c>
      <c r="AE2573">
        <v>0</v>
      </c>
      <c r="AF2573">
        <v>9</v>
      </c>
      <c r="AG2573" t="s">
        <v>158</v>
      </c>
      <c r="AH2573">
        <v>0</v>
      </c>
      <c r="AI2573">
        <v>3</v>
      </c>
      <c r="AJ2573">
        <v>1</v>
      </c>
      <c r="AK2573">
        <v>0</v>
      </c>
      <c r="AL2573" t="s">
        <v>4846</v>
      </c>
      <c r="AM2573">
        <v>46.940246000000002</v>
      </c>
      <c r="AN2573" t="s">
        <v>4847</v>
      </c>
      <c r="AO2573">
        <v>-123.309624</v>
      </c>
      <c r="AP2573">
        <v>100</v>
      </c>
      <c r="AQ2573">
        <v>1900</v>
      </c>
      <c r="AR2573" t="s">
        <v>118</v>
      </c>
      <c r="AS2573">
        <v>-63</v>
      </c>
      <c r="AT2573">
        <v>40</v>
      </c>
      <c r="AU2573">
        <v>-64</v>
      </c>
      <c r="BC2573">
        <v>1200</v>
      </c>
      <c r="BD2573">
        <v>1</v>
      </c>
      <c r="BE2573" t="str">
        <f t="shared" si="122"/>
        <v xml:space="preserve">N215T   </v>
      </c>
      <c r="BF2573">
        <v>1</v>
      </c>
      <c r="BH2573">
        <v>0</v>
      </c>
      <c r="BI2573">
        <v>0</v>
      </c>
      <c r="BJ2573">
        <v>0</v>
      </c>
      <c r="BK2573">
        <v>2325</v>
      </c>
      <c r="BL2573">
        <v>425</v>
      </c>
      <c r="BM2573" t="s">
        <v>119</v>
      </c>
      <c r="BN2573">
        <v>1</v>
      </c>
      <c r="BO2573">
        <v>1</v>
      </c>
      <c r="BP2573">
        <v>1</v>
      </c>
      <c r="BQ2573">
        <v>0</v>
      </c>
      <c r="BT2573">
        <v>0</v>
      </c>
      <c r="BU2573">
        <v>0</v>
      </c>
      <c r="BV2573">
        <v>0</v>
      </c>
      <c r="CC2573" t="str">
        <f>"19:17:45.453"</f>
        <v>19:17:45.453</v>
      </c>
      <c r="CD2573" t="str">
        <f>"449313288"</f>
        <v>449313288</v>
      </c>
      <c r="CQ2573">
        <v>0</v>
      </c>
      <c r="CR2573">
        <v>2</v>
      </c>
      <c r="CS2573">
        <v>0</v>
      </c>
      <c r="CT2573">
        <v>2</v>
      </c>
      <c r="CU2573">
        <v>0</v>
      </c>
      <c r="CV2573">
        <v>7</v>
      </c>
      <c r="CW2573" t="s">
        <v>120</v>
      </c>
      <c r="CX2573">
        <v>261</v>
      </c>
      <c r="CY2573">
        <v>2</v>
      </c>
      <c r="CZ2573" t="s">
        <v>121</v>
      </c>
      <c r="DA2573" t="s">
        <v>122</v>
      </c>
      <c r="DD2573">
        <v>15848674</v>
      </c>
      <c r="DE2573" t="s">
        <v>123</v>
      </c>
    </row>
    <row r="2574" spans="1:109" x14ac:dyDescent="0.3">
      <c r="A2574" t="str">
        <f>"19:17:46.672"</f>
        <v>19:17:46.672</v>
      </c>
      <c r="B2574" t="s">
        <v>110</v>
      </c>
      <c r="C2574" t="str">
        <f t="shared" si="120"/>
        <v>ffdfd3c0</v>
      </c>
      <c r="D2574" t="s">
        <v>111</v>
      </c>
      <c r="E2574">
        <v>18</v>
      </c>
      <c r="F2574">
        <v>1018</v>
      </c>
      <c r="G2574" t="s">
        <v>112</v>
      </c>
      <c r="J2574" t="s">
        <v>113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R2574" t="s">
        <v>114</v>
      </c>
      <c r="S2574" t="str">
        <f>"19:17:46.438"</f>
        <v>19:17:46.438</v>
      </c>
      <c r="T2574" t="str">
        <f>"19:17:46.438"</f>
        <v>19:17:46.438</v>
      </c>
      <c r="U2574" t="str">
        <f t="shared" si="121"/>
        <v>a1cdbe</v>
      </c>
      <c r="V2574">
        <v>0</v>
      </c>
      <c r="W2574">
        <v>0</v>
      </c>
      <c r="X2574">
        <v>1</v>
      </c>
      <c r="Y2574">
        <v>0</v>
      </c>
      <c r="Z2574">
        <v>0</v>
      </c>
      <c r="AB2574">
        <v>0</v>
      </c>
      <c r="AC2574">
        <v>9</v>
      </c>
      <c r="AD2574">
        <v>3</v>
      </c>
      <c r="AE2574">
        <v>0</v>
      </c>
      <c r="AF2574">
        <v>9</v>
      </c>
      <c r="AG2574" t="s">
        <v>158</v>
      </c>
      <c r="AH2574">
        <v>0</v>
      </c>
      <c r="AI2574">
        <v>3</v>
      </c>
      <c r="AJ2574">
        <v>1</v>
      </c>
      <c r="AK2574">
        <v>0</v>
      </c>
      <c r="AL2574" t="s">
        <v>4848</v>
      </c>
      <c r="AM2574">
        <v>46.940460000000002</v>
      </c>
      <c r="AN2574" t="s">
        <v>4849</v>
      </c>
      <c r="AO2574">
        <v>-123.310075</v>
      </c>
      <c r="AP2574">
        <v>100</v>
      </c>
      <c r="AQ2574">
        <v>1900</v>
      </c>
      <c r="AR2574" t="s">
        <v>118</v>
      </c>
      <c r="AS2574">
        <v>-63</v>
      </c>
      <c r="AT2574">
        <v>40</v>
      </c>
      <c r="AU2574">
        <v>0</v>
      </c>
      <c r="BC2574">
        <v>1200</v>
      </c>
      <c r="BD2574">
        <v>1</v>
      </c>
      <c r="BE2574" t="str">
        <f t="shared" si="122"/>
        <v xml:space="preserve">N215T   </v>
      </c>
      <c r="BF2574">
        <v>1</v>
      </c>
      <c r="BH2574">
        <v>0</v>
      </c>
      <c r="BI2574">
        <v>0</v>
      </c>
      <c r="BJ2574">
        <v>0</v>
      </c>
      <c r="BK2574">
        <v>2300</v>
      </c>
      <c r="BL2574">
        <v>400</v>
      </c>
      <c r="BM2574" t="s">
        <v>119</v>
      </c>
      <c r="BN2574">
        <v>1</v>
      </c>
      <c r="BO2574">
        <v>1</v>
      </c>
      <c r="BP2574">
        <v>1</v>
      </c>
      <c r="BQ2574">
        <v>0</v>
      </c>
      <c r="BT2574">
        <v>0</v>
      </c>
      <c r="BU2574">
        <v>0</v>
      </c>
      <c r="BV2574">
        <v>0</v>
      </c>
      <c r="CC2574" t="str">
        <f>"19:17:46.438"</f>
        <v>19:17:46.438</v>
      </c>
      <c r="CD2574" t="str">
        <f>"439215772"</f>
        <v>439215772</v>
      </c>
      <c r="CQ2574">
        <v>0</v>
      </c>
      <c r="CR2574">
        <v>2</v>
      </c>
      <c r="CS2574">
        <v>0</v>
      </c>
      <c r="CT2574">
        <v>2</v>
      </c>
      <c r="CU2574">
        <v>0</v>
      </c>
      <c r="CV2574">
        <v>7</v>
      </c>
      <c r="CW2574" t="s">
        <v>120</v>
      </c>
      <c r="CX2574">
        <v>261</v>
      </c>
      <c r="CY2574">
        <v>2</v>
      </c>
      <c r="CZ2574" t="s">
        <v>121</v>
      </c>
      <c r="DA2574" t="s">
        <v>122</v>
      </c>
      <c r="DD2574">
        <v>15849351</v>
      </c>
      <c r="DE2574" t="s">
        <v>123</v>
      </c>
    </row>
    <row r="2575" spans="1:109" x14ac:dyDescent="0.3">
      <c r="A2575" t="str">
        <f>"19:17:47.680"</f>
        <v>19:17:47.680</v>
      </c>
      <c r="B2575" t="s">
        <v>110</v>
      </c>
      <c r="C2575" t="str">
        <f t="shared" si="120"/>
        <v>ffdfd3c0</v>
      </c>
      <c r="D2575" t="s">
        <v>111</v>
      </c>
      <c r="E2575">
        <v>18</v>
      </c>
      <c r="F2575">
        <v>1018</v>
      </c>
      <c r="G2575" t="s">
        <v>112</v>
      </c>
      <c r="J2575" t="s">
        <v>113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R2575" t="s">
        <v>114</v>
      </c>
      <c r="S2575" t="str">
        <f>"19:17:47.422"</f>
        <v>19:17:47.422</v>
      </c>
      <c r="T2575" t="str">
        <f>"19:17:47.422"</f>
        <v>19:17:47.422</v>
      </c>
      <c r="U2575" t="str">
        <f t="shared" si="121"/>
        <v>a1cdbe</v>
      </c>
      <c r="V2575">
        <v>0</v>
      </c>
      <c r="W2575">
        <v>0</v>
      </c>
      <c r="X2575">
        <v>1</v>
      </c>
      <c r="Y2575">
        <v>0</v>
      </c>
      <c r="Z2575">
        <v>0</v>
      </c>
      <c r="AB2575">
        <v>0</v>
      </c>
      <c r="AC2575">
        <v>9</v>
      </c>
      <c r="AD2575">
        <v>3</v>
      </c>
      <c r="AE2575">
        <v>0</v>
      </c>
      <c r="AF2575">
        <v>9</v>
      </c>
      <c r="AG2575" t="s">
        <v>158</v>
      </c>
      <c r="AH2575">
        <v>0</v>
      </c>
      <c r="AI2575">
        <v>3</v>
      </c>
      <c r="AJ2575">
        <v>1</v>
      </c>
      <c r="AK2575">
        <v>0</v>
      </c>
      <c r="AL2575" t="s">
        <v>4850</v>
      </c>
      <c r="AM2575">
        <v>46.940632000000001</v>
      </c>
      <c r="AN2575" t="s">
        <v>4851</v>
      </c>
      <c r="AO2575">
        <v>-123.310483</v>
      </c>
      <c r="AP2575">
        <v>100</v>
      </c>
      <c r="AQ2575">
        <v>1900</v>
      </c>
      <c r="AR2575" t="s">
        <v>118</v>
      </c>
      <c r="AS2575">
        <v>-64</v>
      </c>
      <c r="AT2575">
        <v>39</v>
      </c>
      <c r="AU2575">
        <v>0</v>
      </c>
      <c r="BC2575">
        <v>1200</v>
      </c>
      <c r="BD2575">
        <v>1</v>
      </c>
      <c r="BE2575" t="str">
        <f t="shared" si="122"/>
        <v xml:space="preserve">N215T   </v>
      </c>
      <c r="BF2575">
        <v>1</v>
      </c>
      <c r="BH2575">
        <v>0</v>
      </c>
      <c r="BI2575">
        <v>0</v>
      </c>
      <c r="BJ2575">
        <v>0</v>
      </c>
      <c r="BK2575">
        <v>2300</v>
      </c>
      <c r="BL2575">
        <v>400</v>
      </c>
      <c r="BM2575" t="s">
        <v>119</v>
      </c>
      <c r="BN2575">
        <v>1</v>
      </c>
      <c r="BO2575">
        <v>1</v>
      </c>
      <c r="BP2575">
        <v>1</v>
      </c>
      <c r="BQ2575">
        <v>0</v>
      </c>
      <c r="BT2575">
        <v>0</v>
      </c>
      <c r="BU2575">
        <v>0</v>
      </c>
      <c r="BV2575">
        <v>0</v>
      </c>
      <c r="CC2575" t="str">
        <f>"19:17:47.430"</f>
        <v>19:17:47.430</v>
      </c>
      <c r="CD2575" t="str">
        <f>"429118243"</f>
        <v>429118243</v>
      </c>
      <c r="CQ2575">
        <v>0</v>
      </c>
      <c r="CR2575">
        <v>2</v>
      </c>
      <c r="CS2575">
        <v>0</v>
      </c>
      <c r="CT2575">
        <v>2</v>
      </c>
      <c r="CU2575">
        <v>0</v>
      </c>
      <c r="CV2575">
        <v>7</v>
      </c>
      <c r="CW2575" t="s">
        <v>120</v>
      </c>
      <c r="CX2575">
        <v>261</v>
      </c>
      <c r="CY2575">
        <v>2</v>
      </c>
      <c r="CZ2575" t="s">
        <v>121</v>
      </c>
      <c r="DA2575" t="s">
        <v>122</v>
      </c>
      <c r="DD2575">
        <v>15850097</v>
      </c>
      <c r="DE2575" t="s">
        <v>123</v>
      </c>
    </row>
    <row r="2576" spans="1:109" x14ac:dyDescent="0.3">
      <c r="A2576" t="str">
        <f>"19:17:48.578"</f>
        <v>19:17:48.578</v>
      </c>
      <c r="B2576" t="s">
        <v>110</v>
      </c>
      <c r="C2576" t="str">
        <f t="shared" si="120"/>
        <v>ffdfd3c0</v>
      </c>
      <c r="D2576" t="s">
        <v>111</v>
      </c>
      <c r="E2576">
        <v>18</v>
      </c>
      <c r="F2576">
        <v>1018</v>
      </c>
      <c r="G2576" t="s">
        <v>112</v>
      </c>
      <c r="J2576" t="s">
        <v>113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R2576" t="s">
        <v>114</v>
      </c>
      <c r="S2576" t="str">
        <f>"19:17:48.344"</f>
        <v>19:17:48.344</v>
      </c>
      <c r="T2576" t="str">
        <f>"19:17:48.344"</f>
        <v>19:17:48.344</v>
      </c>
      <c r="U2576" t="str">
        <f t="shared" si="121"/>
        <v>a1cdbe</v>
      </c>
      <c r="V2576">
        <v>0</v>
      </c>
      <c r="W2576">
        <v>0</v>
      </c>
      <c r="X2576">
        <v>1</v>
      </c>
      <c r="Y2576">
        <v>0</v>
      </c>
      <c r="Z2576">
        <v>0</v>
      </c>
      <c r="AB2576">
        <v>0</v>
      </c>
      <c r="AC2576">
        <v>9</v>
      </c>
      <c r="AD2576">
        <v>3</v>
      </c>
      <c r="AE2576">
        <v>0</v>
      </c>
      <c r="AF2576">
        <v>9</v>
      </c>
      <c r="AG2576" t="s">
        <v>158</v>
      </c>
      <c r="AH2576">
        <v>0</v>
      </c>
      <c r="AI2576">
        <v>3</v>
      </c>
      <c r="AJ2576">
        <v>1</v>
      </c>
      <c r="AK2576">
        <v>0</v>
      </c>
      <c r="AL2576" t="s">
        <v>4852</v>
      </c>
      <c r="AM2576">
        <v>46.940804</v>
      </c>
      <c r="AN2576" t="s">
        <v>4853</v>
      </c>
      <c r="AO2576">
        <v>-123.31089</v>
      </c>
      <c r="AP2576">
        <v>100</v>
      </c>
      <c r="AQ2576">
        <v>1900</v>
      </c>
      <c r="AR2576" t="s">
        <v>118</v>
      </c>
      <c r="AS2576">
        <v>-64</v>
      </c>
      <c r="AT2576">
        <v>39</v>
      </c>
      <c r="AU2576">
        <v>0</v>
      </c>
      <c r="BC2576">
        <v>1200</v>
      </c>
      <c r="BD2576">
        <v>1</v>
      </c>
      <c r="BE2576" t="str">
        <f t="shared" si="122"/>
        <v xml:space="preserve">N215T   </v>
      </c>
      <c r="BF2576">
        <v>1</v>
      </c>
      <c r="BH2576">
        <v>0</v>
      </c>
      <c r="BI2576">
        <v>0</v>
      </c>
      <c r="BJ2576">
        <v>0</v>
      </c>
      <c r="BK2576">
        <v>2325</v>
      </c>
      <c r="BL2576">
        <v>425</v>
      </c>
      <c r="BM2576" t="s">
        <v>119</v>
      </c>
      <c r="BN2576">
        <v>1</v>
      </c>
      <c r="BO2576">
        <v>1</v>
      </c>
      <c r="BP2576">
        <v>1</v>
      </c>
      <c r="BQ2576">
        <v>0</v>
      </c>
      <c r="BT2576">
        <v>0</v>
      </c>
      <c r="BU2576">
        <v>0</v>
      </c>
      <c r="BV2576">
        <v>0</v>
      </c>
      <c r="CC2576" t="str">
        <f>"19:17:48.344"</f>
        <v>19:17:48.344</v>
      </c>
      <c r="CD2576" t="str">
        <f>"344028119"</f>
        <v>344028119</v>
      </c>
      <c r="CQ2576">
        <v>0</v>
      </c>
      <c r="CR2576">
        <v>2</v>
      </c>
      <c r="CS2576">
        <v>0</v>
      </c>
      <c r="CT2576">
        <v>2</v>
      </c>
      <c r="CU2576">
        <v>0</v>
      </c>
      <c r="CV2576">
        <v>7</v>
      </c>
      <c r="CW2576" t="s">
        <v>120</v>
      </c>
      <c r="CX2576">
        <v>261</v>
      </c>
      <c r="CY2576">
        <v>2</v>
      </c>
      <c r="CZ2576" t="s">
        <v>121</v>
      </c>
      <c r="DA2576" t="s">
        <v>122</v>
      </c>
      <c r="DD2576">
        <v>15850743</v>
      </c>
      <c r="DE2576" t="s">
        <v>123</v>
      </c>
    </row>
    <row r="2577" spans="1:109" x14ac:dyDescent="0.3">
      <c r="A2577" t="str">
        <f>"19:17:49.688"</f>
        <v>19:17:49.688</v>
      </c>
      <c r="B2577" t="s">
        <v>110</v>
      </c>
      <c r="C2577" t="str">
        <f t="shared" si="120"/>
        <v>ffdfd3c0</v>
      </c>
      <c r="D2577" t="s">
        <v>111</v>
      </c>
      <c r="E2577">
        <v>18</v>
      </c>
      <c r="F2577">
        <v>1018</v>
      </c>
      <c r="G2577" t="s">
        <v>112</v>
      </c>
      <c r="J2577" t="s">
        <v>113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R2577" t="s">
        <v>114</v>
      </c>
      <c r="S2577" t="str">
        <f>"19:17:49.438"</f>
        <v>19:17:49.438</v>
      </c>
      <c r="T2577" t="str">
        <f>"19:17:49.438"</f>
        <v>19:17:49.438</v>
      </c>
      <c r="U2577" t="str">
        <f t="shared" si="121"/>
        <v>a1cdbe</v>
      </c>
      <c r="V2577">
        <v>0</v>
      </c>
      <c r="W2577">
        <v>0</v>
      </c>
      <c r="X2577">
        <v>1</v>
      </c>
      <c r="Y2577">
        <v>0</v>
      </c>
      <c r="Z2577">
        <v>0</v>
      </c>
      <c r="AB2577">
        <v>0</v>
      </c>
      <c r="AC2577">
        <v>9</v>
      </c>
      <c r="AD2577">
        <v>3</v>
      </c>
      <c r="AE2577">
        <v>0</v>
      </c>
      <c r="AF2577">
        <v>9</v>
      </c>
      <c r="AG2577" t="s">
        <v>158</v>
      </c>
      <c r="AH2577">
        <v>0</v>
      </c>
      <c r="AI2577">
        <v>3</v>
      </c>
      <c r="AJ2577">
        <v>1</v>
      </c>
      <c r="AK2577">
        <v>0</v>
      </c>
      <c r="AL2577" t="s">
        <v>1157</v>
      </c>
      <c r="AM2577">
        <v>46.940997000000003</v>
      </c>
      <c r="AN2577" t="s">
        <v>4854</v>
      </c>
      <c r="AO2577">
        <v>-123.311319</v>
      </c>
      <c r="AP2577">
        <v>100</v>
      </c>
      <c r="AQ2577">
        <v>1900</v>
      </c>
      <c r="AR2577" t="s">
        <v>118</v>
      </c>
      <c r="AS2577">
        <v>-64</v>
      </c>
      <c r="AT2577">
        <v>38</v>
      </c>
      <c r="AU2577">
        <v>64</v>
      </c>
      <c r="BC2577">
        <v>1200</v>
      </c>
      <c r="BD2577">
        <v>1</v>
      </c>
      <c r="BE2577" t="str">
        <f t="shared" si="122"/>
        <v xml:space="preserve">N215T   </v>
      </c>
      <c r="BF2577">
        <v>1</v>
      </c>
      <c r="BH2577">
        <v>0</v>
      </c>
      <c r="BI2577">
        <v>0</v>
      </c>
      <c r="BJ2577">
        <v>0</v>
      </c>
      <c r="BK2577">
        <v>2325</v>
      </c>
      <c r="BL2577">
        <v>425</v>
      </c>
      <c r="BM2577" t="s">
        <v>119</v>
      </c>
      <c r="BN2577">
        <v>1</v>
      </c>
      <c r="BO2577">
        <v>1</v>
      </c>
      <c r="BP2577">
        <v>1</v>
      </c>
      <c r="BQ2577">
        <v>0</v>
      </c>
      <c r="BT2577">
        <v>0</v>
      </c>
      <c r="BU2577">
        <v>0</v>
      </c>
      <c r="BV2577">
        <v>0</v>
      </c>
      <c r="CC2577" t="str">
        <f>"19:17:49.438"</f>
        <v>19:17:49.438</v>
      </c>
      <c r="CD2577" t="str">
        <f>"438920263"</f>
        <v>438920263</v>
      </c>
      <c r="CQ2577">
        <v>0</v>
      </c>
      <c r="CR2577">
        <v>2</v>
      </c>
      <c r="CS2577">
        <v>0</v>
      </c>
      <c r="CT2577">
        <v>2</v>
      </c>
      <c r="CU2577">
        <v>0</v>
      </c>
      <c r="CV2577">
        <v>6</v>
      </c>
      <c r="CW2577" t="s">
        <v>120</v>
      </c>
      <c r="CX2577">
        <v>261</v>
      </c>
      <c r="CY2577">
        <v>3</v>
      </c>
      <c r="CZ2577" t="s">
        <v>121</v>
      </c>
      <c r="DA2577" t="s">
        <v>122</v>
      </c>
      <c r="DD2577">
        <v>3810049</v>
      </c>
      <c r="DE2577" t="s">
        <v>123</v>
      </c>
    </row>
    <row r="2578" spans="1:109" x14ac:dyDescent="0.3">
      <c r="A2578" t="str">
        <f>"19:17:50.695"</f>
        <v>19:17:50.695</v>
      </c>
      <c r="B2578" t="s">
        <v>110</v>
      </c>
      <c r="C2578" t="str">
        <f t="shared" si="120"/>
        <v>ffdfd3c0</v>
      </c>
      <c r="D2578" t="s">
        <v>111</v>
      </c>
      <c r="E2578">
        <v>18</v>
      </c>
      <c r="F2578">
        <v>1018</v>
      </c>
      <c r="G2578" t="s">
        <v>112</v>
      </c>
      <c r="J2578" t="s">
        <v>113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R2578" t="s">
        <v>114</v>
      </c>
      <c r="S2578" t="str">
        <f>"19:17:50.453"</f>
        <v>19:17:50.453</v>
      </c>
      <c r="T2578" t="str">
        <f>"19:17:50.453"</f>
        <v>19:17:50.453</v>
      </c>
      <c r="U2578" t="str">
        <f t="shared" si="121"/>
        <v>a1cdbe</v>
      </c>
      <c r="V2578">
        <v>0</v>
      </c>
      <c r="W2578">
        <v>0</v>
      </c>
      <c r="X2578">
        <v>1</v>
      </c>
      <c r="Y2578">
        <v>0</v>
      </c>
      <c r="Z2578">
        <v>0</v>
      </c>
      <c r="AB2578">
        <v>0</v>
      </c>
      <c r="AC2578">
        <v>9</v>
      </c>
      <c r="AD2578">
        <v>3</v>
      </c>
      <c r="AE2578">
        <v>0</v>
      </c>
      <c r="AF2578">
        <v>9</v>
      </c>
      <c r="AG2578" t="s">
        <v>158</v>
      </c>
      <c r="AH2578">
        <v>0</v>
      </c>
      <c r="AI2578">
        <v>3</v>
      </c>
      <c r="AJ2578">
        <v>1</v>
      </c>
      <c r="AK2578">
        <v>0</v>
      </c>
      <c r="AL2578" t="s">
        <v>4855</v>
      </c>
      <c r="AM2578">
        <v>46.941189999999999</v>
      </c>
      <c r="AN2578" t="s">
        <v>4856</v>
      </c>
      <c r="AO2578">
        <v>-123.311791</v>
      </c>
      <c r="AP2578">
        <v>100</v>
      </c>
      <c r="AQ2578">
        <v>1900</v>
      </c>
      <c r="AR2578" t="s">
        <v>118</v>
      </c>
      <c r="AS2578">
        <v>-64</v>
      </c>
      <c r="AT2578">
        <v>38</v>
      </c>
      <c r="AU2578">
        <v>64</v>
      </c>
      <c r="BC2578">
        <v>1200</v>
      </c>
      <c r="BD2578">
        <v>1</v>
      </c>
      <c r="BE2578" t="str">
        <f t="shared" si="122"/>
        <v xml:space="preserve">N215T   </v>
      </c>
      <c r="BF2578">
        <v>1</v>
      </c>
      <c r="BH2578">
        <v>0</v>
      </c>
      <c r="BI2578">
        <v>0</v>
      </c>
      <c r="BJ2578">
        <v>0</v>
      </c>
      <c r="BK2578">
        <v>2325</v>
      </c>
      <c r="BL2578">
        <v>425</v>
      </c>
      <c r="BM2578" t="s">
        <v>119</v>
      </c>
      <c r="BN2578">
        <v>1</v>
      </c>
      <c r="BO2578">
        <v>1</v>
      </c>
      <c r="BP2578">
        <v>1</v>
      </c>
      <c r="BQ2578">
        <v>0</v>
      </c>
      <c r="BT2578">
        <v>0</v>
      </c>
      <c r="BU2578">
        <v>0</v>
      </c>
      <c r="BV2578">
        <v>0</v>
      </c>
      <c r="CC2578" t="str">
        <f>"19:17:50.461"</f>
        <v>19:17:50.461</v>
      </c>
      <c r="CD2578" t="str">
        <f>"458819778"</f>
        <v>458819778</v>
      </c>
      <c r="CQ2578">
        <v>0</v>
      </c>
      <c r="CR2578">
        <v>2</v>
      </c>
      <c r="CS2578">
        <v>0</v>
      </c>
      <c r="CT2578">
        <v>2</v>
      </c>
      <c r="CU2578">
        <v>0</v>
      </c>
      <c r="CV2578">
        <v>5</v>
      </c>
      <c r="CW2578" t="s">
        <v>120</v>
      </c>
      <c r="CX2578">
        <v>261</v>
      </c>
      <c r="CY2578">
        <v>3</v>
      </c>
      <c r="CZ2578" t="s">
        <v>121</v>
      </c>
      <c r="DA2578" t="s">
        <v>122</v>
      </c>
      <c r="DD2578">
        <v>3810304</v>
      </c>
      <c r="DE2578" t="s">
        <v>123</v>
      </c>
    </row>
    <row r="2579" spans="1:109" x14ac:dyDescent="0.3">
      <c r="A2579" t="str">
        <f>"19:17:51.805"</f>
        <v>19:17:51.805</v>
      </c>
      <c r="B2579" t="s">
        <v>110</v>
      </c>
      <c r="C2579" t="str">
        <f t="shared" si="120"/>
        <v>ffdfd3c0</v>
      </c>
      <c r="D2579" t="s">
        <v>111</v>
      </c>
      <c r="E2579">
        <v>18</v>
      </c>
      <c r="F2579">
        <v>1018</v>
      </c>
      <c r="G2579" t="s">
        <v>112</v>
      </c>
      <c r="J2579" t="s">
        <v>113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R2579" t="s">
        <v>114</v>
      </c>
      <c r="S2579" t="str">
        <f>"19:17:51.563"</f>
        <v>19:17:51.563</v>
      </c>
      <c r="T2579" t="str">
        <f>"19:17:51.461"</f>
        <v>19:17:51.461</v>
      </c>
      <c r="U2579" t="str">
        <f t="shared" si="121"/>
        <v>a1cdbe</v>
      </c>
      <c r="V2579">
        <v>0</v>
      </c>
      <c r="W2579">
        <v>0</v>
      </c>
      <c r="X2579">
        <v>1</v>
      </c>
      <c r="Y2579">
        <v>0</v>
      </c>
      <c r="Z2579">
        <v>0</v>
      </c>
      <c r="AB2579">
        <v>0</v>
      </c>
      <c r="AC2579">
        <v>9</v>
      </c>
      <c r="AD2579">
        <v>3</v>
      </c>
      <c r="AE2579">
        <v>0</v>
      </c>
      <c r="AF2579">
        <v>9</v>
      </c>
      <c r="AG2579" t="s">
        <v>158</v>
      </c>
      <c r="AH2579">
        <v>0</v>
      </c>
      <c r="AI2579">
        <v>3</v>
      </c>
      <c r="AJ2579">
        <v>1</v>
      </c>
      <c r="AK2579">
        <v>0</v>
      </c>
      <c r="AL2579" t="s">
        <v>4857</v>
      </c>
      <c r="AM2579">
        <v>46.941383000000002</v>
      </c>
      <c r="AN2579" t="s">
        <v>4858</v>
      </c>
      <c r="AO2579">
        <v>-123.312263</v>
      </c>
      <c r="AP2579">
        <v>100</v>
      </c>
      <c r="AQ2579">
        <v>1900</v>
      </c>
      <c r="AR2579" t="s">
        <v>118</v>
      </c>
      <c r="AS2579">
        <v>-63</v>
      </c>
      <c r="AT2579">
        <v>38</v>
      </c>
      <c r="AU2579">
        <v>128</v>
      </c>
      <c r="BC2579">
        <v>1200</v>
      </c>
      <c r="BD2579">
        <v>1</v>
      </c>
      <c r="BE2579" t="str">
        <f t="shared" si="122"/>
        <v xml:space="preserve">N215T   </v>
      </c>
      <c r="BF2579">
        <v>1</v>
      </c>
      <c r="BH2579">
        <v>0</v>
      </c>
      <c r="BI2579">
        <v>0</v>
      </c>
      <c r="BJ2579">
        <v>0</v>
      </c>
      <c r="BK2579">
        <v>2325</v>
      </c>
      <c r="BL2579">
        <v>425</v>
      </c>
      <c r="BM2579" t="s">
        <v>119</v>
      </c>
      <c r="BN2579">
        <v>1</v>
      </c>
      <c r="BO2579">
        <v>1</v>
      </c>
      <c r="BP2579">
        <v>1</v>
      </c>
      <c r="BQ2579">
        <v>0</v>
      </c>
      <c r="BT2579">
        <v>0</v>
      </c>
      <c r="BU2579">
        <v>0</v>
      </c>
      <c r="BV2579">
        <v>0</v>
      </c>
      <c r="CC2579" t="str">
        <f>"19:17:51.570"</f>
        <v>19:17:51.570</v>
      </c>
      <c r="CD2579" t="str">
        <f>"568710441"</f>
        <v>568710441</v>
      </c>
      <c r="CQ2579">
        <v>0</v>
      </c>
      <c r="CR2579">
        <v>2</v>
      </c>
      <c r="CS2579">
        <v>0</v>
      </c>
      <c r="CT2579">
        <v>2</v>
      </c>
      <c r="CU2579">
        <v>0</v>
      </c>
      <c r="CV2579">
        <v>6</v>
      </c>
      <c r="CW2579" t="s">
        <v>120</v>
      </c>
      <c r="CX2579">
        <v>261</v>
      </c>
      <c r="CY2579">
        <v>2</v>
      </c>
      <c r="CZ2579" t="s">
        <v>121</v>
      </c>
      <c r="DA2579" t="s">
        <v>122</v>
      </c>
      <c r="DD2579">
        <v>15852883</v>
      </c>
      <c r="DE2579" t="s">
        <v>123</v>
      </c>
    </row>
    <row r="2580" spans="1:109" x14ac:dyDescent="0.3">
      <c r="A2580" t="str">
        <f>"19:17:52.805"</f>
        <v>19:17:52.805</v>
      </c>
      <c r="B2580" t="s">
        <v>110</v>
      </c>
      <c r="C2580" t="str">
        <f t="shared" si="120"/>
        <v>ffdfd3c0</v>
      </c>
      <c r="D2580" t="s">
        <v>111</v>
      </c>
      <c r="E2580">
        <v>18</v>
      </c>
      <c r="F2580">
        <v>1018</v>
      </c>
      <c r="G2580" t="s">
        <v>112</v>
      </c>
      <c r="J2580" t="s">
        <v>113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R2580" t="s">
        <v>114</v>
      </c>
      <c r="S2580" t="str">
        <f>"19:17:52.555"</f>
        <v>19:17:52.555</v>
      </c>
      <c r="T2580" t="str">
        <f>"19:17:52.055"</f>
        <v>19:17:52.055</v>
      </c>
      <c r="U2580" t="str">
        <f t="shared" si="121"/>
        <v>a1cdbe</v>
      </c>
      <c r="V2580">
        <v>0</v>
      </c>
      <c r="W2580">
        <v>0</v>
      </c>
      <c r="X2580">
        <v>1</v>
      </c>
      <c r="Y2580">
        <v>0</v>
      </c>
      <c r="Z2580">
        <v>0</v>
      </c>
      <c r="AB2580">
        <v>0</v>
      </c>
      <c r="AC2580">
        <v>9</v>
      </c>
      <c r="AD2580">
        <v>3</v>
      </c>
      <c r="AE2580">
        <v>0</v>
      </c>
      <c r="AF2580">
        <v>9</v>
      </c>
      <c r="AG2580" t="s">
        <v>158</v>
      </c>
      <c r="AH2580">
        <v>0</v>
      </c>
      <c r="AI2580">
        <v>3</v>
      </c>
      <c r="AJ2580">
        <v>1</v>
      </c>
      <c r="AK2580">
        <v>0</v>
      </c>
      <c r="AL2580" t="s">
        <v>4859</v>
      </c>
      <c r="AM2580">
        <v>46.941555000000001</v>
      </c>
      <c r="AN2580" t="s">
        <v>4860</v>
      </c>
      <c r="AO2580">
        <v>-123.31267099999999</v>
      </c>
      <c r="AP2580">
        <v>100</v>
      </c>
      <c r="AQ2580">
        <v>1900</v>
      </c>
      <c r="AR2580" t="s">
        <v>118</v>
      </c>
      <c r="AS2580">
        <v>-63</v>
      </c>
      <c r="AT2580">
        <v>38</v>
      </c>
      <c r="AU2580">
        <v>128</v>
      </c>
      <c r="BC2580">
        <v>1200</v>
      </c>
      <c r="BD2580">
        <v>1</v>
      </c>
      <c r="BE2580" t="str">
        <f t="shared" si="122"/>
        <v xml:space="preserve">N215T   </v>
      </c>
      <c r="BF2580">
        <v>1</v>
      </c>
      <c r="BH2580">
        <v>0</v>
      </c>
      <c r="BI2580">
        <v>0</v>
      </c>
      <c r="BJ2580">
        <v>0</v>
      </c>
      <c r="BK2580">
        <v>2325</v>
      </c>
      <c r="BL2580">
        <v>425</v>
      </c>
      <c r="BM2580" t="s">
        <v>119</v>
      </c>
      <c r="BN2580">
        <v>1</v>
      </c>
      <c r="BO2580">
        <v>1</v>
      </c>
      <c r="BP2580">
        <v>1</v>
      </c>
      <c r="BQ2580">
        <v>0</v>
      </c>
      <c r="BT2580">
        <v>0</v>
      </c>
      <c r="BU2580">
        <v>0</v>
      </c>
      <c r="BV2580">
        <v>0</v>
      </c>
      <c r="CC2580" t="str">
        <f>"19:17:52.563"</f>
        <v>19:17:52.563</v>
      </c>
      <c r="CD2580" t="str">
        <f>"558612915"</f>
        <v>558612915</v>
      </c>
      <c r="CQ2580">
        <v>0</v>
      </c>
      <c r="CR2580">
        <v>2</v>
      </c>
      <c r="CS2580">
        <v>0</v>
      </c>
      <c r="CT2580">
        <v>2</v>
      </c>
      <c r="CU2580">
        <v>0</v>
      </c>
      <c r="CV2580">
        <v>6</v>
      </c>
      <c r="CW2580" t="s">
        <v>120</v>
      </c>
      <c r="CX2580">
        <v>261</v>
      </c>
      <c r="CY2580">
        <v>2</v>
      </c>
      <c r="CZ2580" t="s">
        <v>121</v>
      </c>
      <c r="DA2580" t="s">
        <v>122</v>
      </c>
      <c r="DD2580">
        <v>15853630</v>
      </c>
      <c r="DE2580" t="s">
        <v>123</v>
      </c>
    </row>
    <row r="2581" spans="1:109" x14ac:dyDescent="0.3">
      <c r="A2581" t="str">
        <f>"19:17:53.766"</f>
        <v>19:17:53.766</v>
      </c>
      <c r="B2581" t="s">
        <v>110</v>
      </c>
      <c r="C2581" t="str">
        <f t="shared" si="120"/>
        <v>ffdfd3c0</v>
      </c>
      <c r="D2581" t="s">
        <v>111</v>
      </c>
      <c r="E2581">
        <v>18</v>
      </c>
      <c r="F2581">
        <v>1018</v>
      </c>
      <c r="G2581" t="s">
        <v>112</v>
      </c>
      <c r="J2581" t="s">
        <v>113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R2581" t="s">
        <v>114</v>
      </c>
      <c r="S2581" t="str">
        <f>"19:17:53.516"</f>
        <v>19:17:53.516</v>
      </c>
      <c r="T2581" t="str">
        <f>"19:17:53.016"</f>
        <v>19:17:53.016</v>
      </c>
      <c r="U2581" t="str">
        <f t="shared" si="121"/>
        <v>a1cdbe</v>
      </c>
      <c r="V2581">
        <v>0</v>
      </c>
      <c r="W2581">
        <v>0</v>
      </c>
      <c r="X2581">
        <v>1</v>
      </c>
      <c r="Y2581">
        <v>0</v>
      </c>
      <c r="Z2581">
        <v>0</v>
      </c>
      <c r="AB2581">
        <v>0</v>
      </c>
      <c r="AC2581">
        <v>9</v>
      </c>
      <c r="AD2581">
        <v>3</v>
      </c>
      <c r="AE2581">
        <v>0</v>
      </c>
      <c r="AF2581">
        <v>9</v>
      </c>
      <c r="AG2581" t="s">
        <v>158</v>
      </c>
      <c r="AH2581">
        <v>0</v>
      </c>
      <c r="AI2581">
        <v>3</v>
      </c>
      <c r="AJ2581">
        <v>1</v>
      </c>
      <c r="AK2581">
        <v>0</v>
      </c>
      <c r="AL2581" t="s">
        <v>4861</v>
      </c>
      <c r="AM2581">
        <v>46.941747999999997</v>
      </c>
      <c r="AN2581" t="s">
        <v>4862</v>
      </c>
      <c r="AO2581">
        <v>-123.313079</v>
      </c>
      <c r="AP2581">
        <v>100</v>
      </c>
      <c r="AQ2581">
        <v>1900</v>
      </c>
      <c r="AR2581" t="s">
        <v>118</v>
      </c>
      <c r="AS2581">
        <v>-62</v>
      </c>
      <c r="AT2581">
        <v>39</v>
      </c>
      <c r="AU2581">
        <v>128</v>
      </c>
      <c r="BC2581">
        <v>1200</v>
      </c>
      <c r="BD2581">
        <v>1</v>
      </c>
      <c r="BE2581" t="str">
        <f t="shared" si="122"/>
        <v xml:space="preserve">N215T   </v>
      </c>
      <c r="BF2581">
        <v>1</v>
      </c>
      <c r="BH2581">
        <v>0</v>
      </c>
      <c r="BI2581">
        <v>0</v>
      </c>
      <c r="BJ2581">
        <v>0</v>
      </c>
      <c r="BK2581">
        <v>2325</v>
      </c>
      <c r="BL2581">
        <v>425</v>
      </c>
      <c r="BM2581" t="s">
        <v>119</v>
      </c>
      <c r="BN2581">
        <v>1</v>
      </c>
      <c r="BO2581">
        <v>1</v>
      </c>
      <c r="BP2581">
        <v>1</v>
      </c>
      <c r="BQ2581">
        <v>0</v>
      </c>
      <c r="BT2581">
        <v>0</v>
      </c>
      <c r="BU2581">
        <v>0</v>
      </c>
      <c r="BV2581">
        <v>0</v>
      </c>
      <c r="CC2581" t="str">
        <f>"19:17:53.516"</f>
        <v>19:17:53.516</v>
      </c>
      <c r="CD2581" t="str">
        <f>"518518363"</f>
        <v>518518363</v>
      </c>
      <c r="CQ2581">
        <v>0</v>
      </c>
      <c r="CR2581">
        <v>2</v>
      </c>
      <c r="CS2581">
        <v>0</v>
      </c>
      <c r="CT2581">
        <v>2</v>
      </c>
      <c r="CU2581">
        <v>0</v>
      </c>
      <c r="CV2581">
        <v>6</v>
      </c>
      <c r="CW2581" t="s">
        <v>120</v>
      </c>
      <c r="CX2581">
        <v>261</v>
      </c>
      <c r="CY2581">
        <v>3</v>
      </c>
      <c r="CZ2581" t="s">
        <v>121</v>
      </c>
      <c r="DA2581" t="s">
        <v>122</v>
      </c>
      <c r="DD2581">
        <v>3811041</v>
      </c>
      <c r="DE2581" t="s">
        <v>123</v>
      </c>
    </row>
    <row r="2582" spans="1:109" x14ac:dyDescent="0.3">
      <c r="A2582" t="str">
        <f>"19:17:54.664"</f>
        <v>19:17:54.664</v>
      </c>
      <c r="B2582" t="s">
        <v>110</v>
      </c>
      <c r="C2582" t="str">
        <f t="shared" si="120"/>
        <v>ffdfd3c0</v>
      </c>
      <c r="D2582" t="s">
        <v>111</v>
      </c>
      <c r="E2582">
        <v>18</v>
      </c>
      <c r="F2582">
        <v>1018</v>
      </c>
      <c r="G2582" t="s">
        <v>112</v>
      </c>
      <c r="J2582" t="s">
        <v>113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R2582" t="s">
        <v>114</v>
      </c>
      <c r="S2582" t="str">
        <f>"19:17:54.430"</f>
        <v>19:17:54.430</v>
      </c>
      <c r="T2582" t="str">
        <f>"19:17:54.031"</f>
        <v>19:17:54.031</v>
      </c>
      <c r="U2582" t="str">
        <f t="shared" si="121"/>
        <v>a1cdbe</v>
      </c>
      <c r="V2582">
        <v>0</v>
      </c>
      <c r="W2582">
        <v>0</v>
      </c>
      <c r="X2582">
        <v>1</v>
      </c>
      <c r="Y2582">
        <v>0</v>
      </c>
      <c r="Z2582">
        <v>0</v>
      </c>
      <c r="AB2582">
        <v>0</v>
      </c>
      <c r="AC2582">
        <v>9</v>
      </c>
      <c r="AD2582">
        <v>3</v>
      </c>
      <c r="AE2582">
        <v>0</v>
      </c>
      <c r="AF2582">
        <v>9</v>
      </c>
      <c r="AG2582" t="s">
        <v>158</v>
      </c>
      <c r="AH2582">
        <v>0</v>
      </c>
      <c r="AI2582">
        <v>3</v>
      </c>
      <c r="AJ2582">
        <v>1</v>
      </c>
      <c r="AK2582">
        <v>0</v>
      </c>
      <c r="AL2582" t="s">
        <v>4863</v>
      </c>
      <c r="AM2582">
        <v>46.941876000000001</v>
      </c>
      <c r="AN2582" t="s">
        <v>4864</v>
      </c>
      <c r="AO2582">
        <v>-123.313422</v>
      </c>
      <c r="AP2582">
        <v>100</v>
      </c>
      <c r="AQ2582">
        <v>1900</v>
      </c>
      <c r="AR2582" t="s">
        <v>118</v>
      </c>
      <c r="AS2582">
        <v>-61</v>
      </c>
      <c r="AT2582">
        <v>40</v>
      </c>
      <c r="AU2582">
        <v>64</v>
      </c>
      <c r="BC2582">
        <v>1200</v>
      </c>
      <c r="BD2582">
        <v>1</v>
      </c>
      <c r="BE2582" t="str">
        <f t="shared" si="122"/>
        <v xml:space="preserve">N215T   </v>
      </c>
      <c r="BF2582">
        <v>1</v>
      </c>
      <c r="BH2582">
        <v>0</v>
      </c>
      <c r="BI2582">
        <v>0</v>
      </c>
      <c r="BJ2582">
        <v>0</v>
      </c>
      <c r="BK2582">
        <v>2325</v>
      </c>
      <c r="BL2582">
        <v>425</v>
      </c>
      <c r="BM2582" t="s">
        <v>119</v>
      </c>
      <c r="BN2582">
        <v>1</v>
      </c>
      <c r="BO2582">
        <v>1</v>
      </c>
      <c r="BP2582">
        <v>1</v>
      </c>
      <c r="BQ2582">
        <v>0</v>
      </c>
      <c r="BT2582">
        <v>0</v>
      </c>
      <c r="BU2582">
        <v>0</v>
      </c>
      <c r="BV2582">
        <v>0</v>
      </c>
      <c r="CC2582" t="str">
        <f>"19:17:54.430"</f>
        <v>19:17:54.430</v>
      </c>
      <c r="CD2582" t="str">
        <f>"433428226"</f>
        <v>433428226</v>
      </c>
      <c r="CQ2582">
        <v>0</v>
      </c>
      <c r="CR2582">
        <v>2</v>
      </c>
      <c r="CS2582">
        <v>0</v>
      </c>
      <c r="CT2582">
        <v>2</v>
      </c>
      <c r="CU2582">
        <v>0</v>
      </c>
      <c r="CV2582">
        <v>6</v>
      </c>
      <c r="CW2582" t="s">
        <v>120</v>
      </c>
      <c r="CX2582">
        <v>261</v>
      </c>
      <c r="CY2582">
        <v>3</v>
      </c>
      <c r="CZ2582" t="s">
        <v>121</v>
      </c>
      <c r="DA2582" t="s">
        <v>122</v>
      </c>
      <c r="DD2582">
        <v>3811253</v>
      </c>
      <c r="DE2582" t="s">
        <v>123</v>
      </c>
    </row>
    <row r="2583" spans="1:109" x14ac:dyDescent="0.3">
      <c r="A2583" t="str">
        <f>"19:17:55.719"</f>
        <v>19:17:55.719</v>
      </c>
      <c r="B2583" t="s">
        <v>110</v>
      </c>
      <c r="C2583" t="str">
        <f t="shared" si="120"/>
        <v>ffdfd3c0</v>
      </c>
      <c r="D2583" t="s">
        <v>111</v>
      </c>
      <c r="E2583">
        <v>18</v>
      </c>
      <c r="F2583">
        <v>1018</v>
      </c>
      <c r="G2583" t="s">
        <v>112</v>
      </c>
      <c r="J2583" t="s">
        <v>113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R2583" t="s">
        <v>114</v>
      </c>
      <c r="S2583" t="str">
        <f>"19:17:55.453"</f>
        <v>19:17:55.453</v>
      </c>
      <c r="T2583" t="str">
        <f>"19:17:55.453"</f>
        <v>19:17:55.453</v>
      </c>
      <c r="U2583" t="str">
        <f t="shared" si="121"/>
        <v>a1cdbe</v>
      </c>
      <c r="V2583">
        <v>0</v>
      </c>
      <c r="W2583">
        <v>0</v>
      </c>
      <c r="X2583">
        <v>1</v>
      </c>
      <c r="Y2583">
        <v>0</v>
      </c>
      <c r="Z2583">
        <v>0</v>
      </c>
      <c r="AB2583">
        <v>0</v>
      </c>
      <c r="AC2583">
        <v>9</v>
      </c>
      <c r="AD2583">
        <v>3</v>
      </c>
      <c r="AE2583">
        <v>0</v>
      </c>
      <c r="AF2583">
        <v>9</v>
      </c>
      <c r="AG2583" t="s">
        <v>158</v>
      </c>
      <c r="AH2583">
        <v>0</v>
      </c>
      <c r="AI2583">
        <v>3</v>
      </c>
      <c r="AJ2583">
        <v>1</v>
      </c>
      <c r="AK2583">
        <v>0</v>
      </c>
      <c r="AL2583" t="s">
        <v>4865</v>
      </c>
      <c r="AM2583">
        <v>46.942070000000001</v>
      </c>
      <c r="AN2583" t="s">
        <v>4866</v>
      </c>
      <c r="AO2583">
        <v>-123.313851</v>
      </c>
      <c r="AP2583">
        <v>100</v>
      </c>
      <c r="AQ2583">
        <v>1900</v>
      </c>
      <c r="AR2583" t="s">
        <v>118</v>
      </c>
      <c r="AS2583">
        <v>-61</v>
      </c>
      <c r="AT2583">
        <v>41</v>
      </c>
      <c r="AU2583">
        <v>0</v>
      </c>
      <c r="BC2583">
        <v>1200</v>
      </c>
      <c r="BD2583">
        <v>1</v>
      </c>
      <c r="BE2583" t="str">
        <f t="shared" si="122"/>
        <v xml:space="preserve">N215T   </v>
      </c>
      <c r="BF2583">
        <v>1</v>
      </c>
      <c r="BH2583">
        <v>0</v>
      </c>
      <c r="BI2583">
        <v>0</v>
      </c>
      <c r="BJ2583">
        <v>0</v>
      </c>
      <c r="BK2583">
        <v>2325</v>
      </c>
      <c r="BL2583">
        <v>425</v>
      </c>
      <c r="BM2583" t="s">
        <v>119</v>
      </c>
      <c r="BN2583">
        <v>1</v>
      </c>
      <c r="BO2583">
        <v>1</v>
      </c>
      <c r="BP2583">
        <v>1</v>
      </c>
      <c r="BQ2583">
        <v>0</v>
      </c>
      <c r="BT2583">
        <v>0</v>
      </c>
      <c r="BU2583">
        <v>0</v>
      </c>
      <c r="BV2583">
        <v>0</v>
      </c>
      <c r="CC2583" t="str">
        <f>"19:17:55.453"</f>
        <v>19:17:55.453</v>
      </c>
      <c r="CD2583" t="str">
        <f>"453327746"</f>
        <v>453327746</v>
      </c>
      <c r="CQ2583">
        <v>0</v>
      </c>
      <c r="CR2583">
        <v>2</v>
      </c>
      <c r="CS2583">
        <v>0</v>
      </c>
      <c r="CT2583">
        <v>2</v>
      </c>
      <c r="CU2583">
        <v>0</v>
      </c>
      <c r="CV2583">
        <v>6</v>
      </c>
      <c r="CW2583" t="s">
        <v>120</v>
      </c>
      <c r="CX2583">
        <v>261</v>
      </c>
      <c r="CY2583">
        <v>2</v>
      </c>
      <c r="CZ2583" t="s">
        <v>121</v>
      </c>
      <c r="DA2583" t="s">
        <v>122</v>
      </c>
      <c r="DD2583">
        <v>15855689</v>
      </c>
      <c r="DE2583" t="s">
        <v>123</v>
      </c>
    </row>
    <row r="2584" spans="1:109" x14ac:dyDescent="0.3">
      <c r="A2584" t="str">
        <f>"19:17:56.578"</f>
        <v>19:17:56.578</v>
      </c>
      <c r="B2584" t="s">
        <v>110</v>
      </c>
      <c r="C2584" t="str">
        <f t="shared" si="120"/>
        <v>ffdfd3c0</v>
      </c>
      <c r="D2584" t="s">
        <v>111</v>
      </c>
      <c r="E2584">
        <v>18</v>
      </c>
      <c r="F2584">
        <v>1018</v>
      </c>
      <c r="G2584" t="s">
        <v>112</v>
      </c>
      <c r="J2584" t="s">
        <v>113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R2584" t="s">
        <v>114</v>
      </c>
      <c r="S2584" t="str">
        <f>"19:17:56.336"</f>
        <v>19:17:56.336</v>
      </c>
      <c r="T2584" t="str">
        <f>"19:17:56.039"</f>
        <v>19:17:56.039</v>
      </c>
      <c r="U2584" t="str">
        <f t="shared" si="121"/>
        <v>a1cdbe</v>
      </c>
      <c r="V2584">
        <v>0</v>
      </c>
      <c r="W2584">
        <v>0</v>
      </c>
      <c r="X2584">
        <v>1</v>
      </c>
      <c r="Y2584">
        <v>0</v>
      </c>
      <c r="Z2584">
        <v>0</v>
      </c>
      <c r="AB2584">
        <v>0</v>
      </c>
      <c r="AC2584">
        <v>9</v>
      </c>
      <c r="AD2584">
        <v>3</v>
      </c>
      <c r="AE2584">
        <v>0</v>
      </c>
      <c r="AF2584">
        <v>9</v>
      </c>
      <c r="AG2584" t="s">
        <v>158</v>
      </c>
      <c r="AH2584">
        <v>0</v>
      </c>
      <c r="AI2584">
        <v>3</v>
      </c>
      <c r="AJ2584">
        <v>1</v>
      </c>
      <c r="AK2584">
        <v>0</v>
      </c>
      <c r="AL2584" t="s">
        <v>4867</v>
      </c>
      <c r="AM2584">
        <v>46.942262999999997</v>
      </c>
      <c r="AN2584" t="s">
        <v>4868</v>
      </c>
      <c r="AO2584">
        <v>-123.314216</v>
      </c>
      <c r="AP2584">
        <v>100</v>
      </c>
      <c r="AQ2584">
        <v>1900</v>
      </c>
      <c r="AR2584" t="s">
        <v>118</v>
      </c>
      <c r="AS2584">
        <v>-60</v>
      </c>
      <c r="AT2584">
        <v>42</v>
      </c>
      <c r="AU2584">
        <v>0</v>
      </c>
      <c r="BC2584">
        <v>1200</v>
      </c>
      <c r="BD2584">
        <v>1</v>
      </c>
      <c r="BE2584" t="str">
        <f t="shared" si="122"/>
        <v xml:space="preserve">N215T   </v>
      </c>
      <c r="BF2584">
        <v>1</v>
      </c>
      <c r="BH2584">
        <v>0</v>
      </c>
      <c r="BI2584">
        <v>0</v>
      </c>
      <c r="BJ2584">
        <v>0</v>
      </c>
      <c r="BK2584">
        <v>2325</v>
      </c>
      <c r="BL2584">
        <v>425</v>
      </c>
      <c r="BM2584" t="s">
        <v>119</v>
      </c>
      <c r="BN2584">
        <v>1</v>
      </c>
      <c r="BO2584">
        <v>1</v>
      </c>
      <c r="BP2584">
        <v>1</v>
      </c>
      <c r="BQ2584">
        <v>0</v>
      </c>
      <c r="BT2584">
        <v>0</v>
      </c>
      <c r="BU2584">
        <v>0</v>
      </c>
      <c r="BV2584">
        <v>0</v>
      </c>
      <c r="CC2584" t="str">
        <f>"19:17:56.336"</f>
        <v>19:17:56.336</v>
      </c>
      <c r="CD2584" t="str">
        <f>"338240564"</f>
        <v>338240564</v>
      </c>
      <c r="CQ2584">
        <v>0</v>
      </c>
      <c r="CR2584">
        <v>2</v>
      </c>
      <c r="CS2584">
        <v>0</v>
      </c>
      <c r="CT2584">
        <v>2</v>
      </c>
      <c r="CU2584">
        <v>0</v>
      </c>
      <c r="CV2584">
        <v>6</v>
      </c>
      <c r="CW2584" t="s">
        <v>120</v>
      </c>
      <c r="CX2584">
        <v>261</v>
      </c>
      <c r="CY2584">
        <v>2</v>
      </c>
      <c r="CZ2584" t="s">
        <v>121</v>
      </c>
      <c r="DA2584" t="s">
        <v>122</v>
      </c>
      <c r="DD2584">
        <v>15856347</v>
      </c>
      <c r="DE2584" t="s">
        <v>123</v>
      </c>
    </row>
    <row r="2585" spans="1:109" x14ac:dyDescent="0.3">
      <c r="A2585" t="str">
        <f>"19:17:57.633"</f>
        <v>19:17:57.633</v>
      </c>
      <c r="B2585" t="s">
        <v>110</v>
      </c>
      <c r="C2585" t="str">
        <f t="shared" si="120"/>
        <v>ffdfd3c0</v>
      </c>
      <c r="D2585" t="s">
        <v>111</v>
      </c>
      <c r="E2585">
        <v>18</v>
      </c>
      <c r="F2585">
        <v>1018</v>
      </c>
      <c r="G2585" t="s">
        <v>112</v>
      </c>
      <c r="J2585" t="s">
        <v>113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R2585" t="s">
        <v>114</v>
      </c>
      <c r="S2585" t="str">
        <f>"19:17:57.414"</f>
        <v>19:17:57.414</v>
      </c>
      <c r="T2585" t="str">
        <f>"19:17:57.016"</f>
        <v>19:17:57.016</v>
      </c>
      <c r="U2585" t="str">
        <f t="shared" si="121"/>
        <v>a1cdbe</v>
      </c>
      <c r="V2585">
        <v>0</v>
      </c>
      <c r="W2585">
        <v>0</v>
      </c>
      <c r="X2585">
        <v>1</v>
      </c>
      <c r="Y2585">
        <v>0</v>
      </c>
      <c r="Z2585">
        <v>0</v>
      </c>
      <c r="AB2585">
        <v>0</v>
      </c>
      <c r="AC2585">
        <v>9</v>
      </c>
      <c r="AD2585">
        <v>3</v>
      </c>
      <c r="AE2585">
        <v>0</v>
      </c>
      <c r="AF2585">
        <v>9</v>
      </c>
      <c r="AG2585" t="s">
        <v>158</v>
      </c>
      <c r="AH2585">
        <v>0</v>
      </c>
      <c r="AI2585">
        <v>3</v>
      </c>
      <c r="AJ2585">
        <v>1</v>
      </c>
      <c r="AK2585">
        <v>0</v>
      </c>
      <c r="AL2585" t="s">
        <v>4869</v>
      </c>
      <c r="AM2585">
        <v>46.942433999999999</v>
      </c>
      <c r="AN2585" t="s">
        <v>4870</v>
      </c>
      <c r="AO2585">
        <v>-123.31462399999999</v>
      </c>
      <c r="AP2585">
        <v>100</v>
      </c>
      <c r="AQ2585">
        <v>1900</v>
      </c>
      <c r="AR2585" t="s">
        <v>118</v>
      </c>
      <c r="AS2585">
        <v>-60</v>
      </c>
      <c r="AT2585">
        <v>43</v>
      </c>
      <c r="AU2585">
        <v>-64</v>
      </c>
      <c r="BC2585">
        <v>1200</v>
      </c>
      <c r="BD2585">
        <v>1</v>
      </c>
      <c r="BE2585" t="str">
        <f t="shared" si="122"/>
        <v xml:space="preserve">N215T   </v>
      </c>
      <c r="BF2585">
        <v>1</v>
      </c>
      <c r="BH2585">
        <v>0</v>
      </c>
      <c r="BI2585">
        <v>0</v>
      </c>
      <c r="BJ2585">
        <v>0</v>
      </c>
      <c r="BK2585">
        <v>2325</v>
      </c>
      <c r="BL2585">
        <v>425</v>
      </c>
      <c r="BM2585" t="s">
        <v>119</v>
      </c>
      <c r="BN2585">
        <v>1</v>
      </c>
      <c r="BO2585">
        <v>1</v>
      </c>
      <c r="BP2585">
        <v>1</v>
      </c>
      <c r="BQ2585">
        <v>0</v>
      </c>
      <c r="BT2585">
        <v>0</v>
      </c>
      <c r="BU2585">
        <v>0</v>
      </c>
      <c r="BV2585">
        <v>0</v>
      </c>
      <c r="CC2585" t="str">
        <f>"19:17:57.422"</f>
        <v>19:17:57.422</v>
      </c>
      <c r="CD2585" t="str">
        <f>"418134162"</f>
        <v>418134162</v>
      </c>
      <c r="CQ2585">
        <v>0</v>
      </c>
      <c r="CR2585">
        <v>2</v>
      </c>
      <c r="CS2585">
        <v>0</v>
      </c>
      <c r="CT2585">
        <v>2</v>
      </c>
      <c r="CU2585">
        <v>0</v>
      </c>
      <c r="CV2585">
        <v>6</v>
      </c>
      <c r="CW2585" t="s">
        <v>120</v>
      </c>
      <c r="CX2585">
        <v>261</v>
      </c>
      <c r="CY2585">
        <v>2</v>
      </c>
      <c r="CZ2585" t="s">
        <v>121</v>
      </c>
      <c r="DA2585" t="s">
        <v>122</v>
      </c>
      <c r="DD2585">
        <v>15857122</v>
      </c>
      <c r="DE2585" t="s">
        <v>123</v>
      </c>
    </row>
    <row r="2586" spans="1:109" x14ac:dyDescent="0.3">
      <c r="A2586" t="str">
        <f>"19:17:58.641"</f>
        <v>19:17:58.641</v>
      </c>
      <c r="B2586" t="s">
        <v>110</v>
      </c>
      <c r="C2586" t="str">
        <f t="shared" si="120"/>
        <v>ffdfd3c0</v>
      </c>
      <c r="D2586" t="s">
        <v>111</v>
      </c>
      <c r="E2586">
        <v>18</v>
      </c>
      <c r="F2586">
        <v>1018</v>
      </c>
      <c r="G2586" t="s">
        <v>112</v>
      </c>
      <c r="J2586" t="s">
        <v>113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R2586" t="s">
        <v>114</v>
      </c>
      <c r="S2586" t="str">
        <f>"19:17:58.438"</f>
        <v>19:17:58.438</v>
      </c>
      <c r="T2586" t="str">
        <f>"19:17:58.438"</f>
        <v>19:17:58.438</v>
      </c>
      <c r="U2586" t="str">
        <f t="shared" si="121"/>
        <v>a1cdbe</v>
      </c>
      <c r="V2586">
        <v>0</v>
      </c>
      <c r="W2586">
        <v>0</v>
      </c>
      <c r="X2586">
        <v>1</v>
      </c>
      <c r="Y2586">
        <v>0</v>
      </c>
      <c r="Z2586">
        <v>0</v>
      </c>
      <c r="AB2586">
        <v>0</v>
      </c>
      <c r="AC2586">
        <v>9</v>
      </c>
      <c r="AD2586">
        <v>3</v>
      </c>
      <c r="AE2586">
        <v>0</v>
      </c>
      <c r="AF2586">
        <v>9</v>
      </c>
      <c r="AG2586" t="s">
        <v>158</v>
      </c>
      <c r="AH2586">
        <v>0</v>
      </c>
      <c r="AI2586">
        <v>3</v>
      </c>
      <c r="AJ2586">
        <v>1</v>
      </c>
      <c r="AK2586">
        <v>0</v>
      </c>
      <c r="AL2586" t="s">
        <v>1147</v>
      </c>
      <c r="AM2586">
        <v>46.942649000000003</v>
      </c>
      <c r="AN2586" t="s">
        <v>4871</v>
      </c>
      <c r="AO2586">
        <v>-123.315074</v>
      </c>
      <c r="AP2586">
        <v>100</v>
      </c>
      <c r="AQ2586">
        <v>1900</v>
      </c>
      <c r="AR2586" t="s">
        <v>118</v>
      </c>
      <c r="AS2586">
        <v>-59</v>
      </c>
      <c r="AT2586">
        <v>43</v>
      </c>
      <c r="AU2586">
        <v>-64</v>
      </c>
      <c r="BC2586">
        <v>1200</v>
      </c>
      <c r="BD2586">
        <v>1</v>
      </c>
      <c r="BE2586" t="str">
        <f t="shared" si="122"/>
        <v xml:space="preserve">N215T   </v>
      </c>
      <c r="BF2586">
        <v>1</v>
      </c>
      <c r="BH2586">
        <v>0</v>
      </c>
      <c r="BI2586">
        <v>0</v>
      </c>
      <c r="BJ2586">
        <v>0</v>
      </c>
      <c r="BK2586">
        <v>2325</v>
      </c>
      <c r="BL2586">
        <v>425</v>
      </c>
      <c r="BM2586" t="s">
        <v>119</v>
      </c>
      <c r="BN2586">
        <v>1</v>
      </c>
      <c r="BO2586">
        <v>1</v>
      </c>
      <c r="BP2586">
        <v>1</v>
      </c>
      <c r="BQ2586">
        <v>0</v>
      </c>
      <c r="BT2586">
        <v>0</v>
      </c>
      <c r="BU2586">
        <v>0</v>
      </c>
      <c r="BV2586">
        <v>0</v>
      </c>
      <c r="CC2586" t="str">
        <f>"19:17:58.438"</f>
        <v>19:17:58.438</v>
      </c>
      <c r="CD2586" t="str">
        <f>"438033679"</f>
        <v>438033679</v>
      </c>
      <c r="CQ2586">
        <v>0</v>
      </c>
      <c r="CR2586">
        <v>2</v>
      </c>
      <c r="CS2586">
        <v>0</v>
      </c>
      <c r="CT2586">
        <v>2</v>
      </c>
      <c r="CU2586">
        <v>0</v>
      </c>
      <c r="CV2586">
        <v>6</v>
      </c>
      <c r="CW2586" t="s">
        <v>120</v>
      </c>
      <c r="CX2586">
        <v>261</v>
      </c>
      <c r="CY2586">
        <v>2</v>
      </c>
      <c r="CZ2586" t="s">
        <v>121</v>
      </c>
      <c r="DA2586" t="s">
        <v>122</v>
      </c>
      <c r="DD2586">
        <v>15857800</v>
      </c>
      <c r="DE2586" t="s">
        <v>123</v>
      </c>
    </row>
    <row r="2587" spans="1:109" x14ac:dyDescent="0.3">
      <c r="A2587" t="str">
        <f>"19:17:59.641"</f>
        <v>19:17:59.641</v>
      </c>
      <c r="B2587" t="s">
        <v>110</v>
      </c>
      <c r="C2587" t="str">
        <f t="shared" si="120"/>
        <v>ffdfd3c0</v>
      </c>
      <c r="D2587" t="s">
        <v>111</v>
      </c>
      <c r="E2587">
        <v>18</v>
      </c>
      <c r="F2587">
        <v>1018</v>
      </c>
      <c r="G2587" t="s">
        <v>112</v>
      </c>
      <c r="J2587" t="s">
        <v>113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R2587" t="s">
        <v>114</v>
      </c>
      <c r="S2587" t="str">
        <f>"19:17:59.422"</f>
        <v>19:17:59.422</v>
      </c>
      <c r="T2587" t="str">
        <f>"19:17:59.023"</f>
        <v>19:17:59.023</v>
      </c>
      <c r="U2587" t="str">
        <f t="shared" si="121"/>
        <v>a1cdbe</v>
      </c>
      <c r="V2587">
        <v>0</v>
      </c>
      <c r="W2587">
        <v>0</v>
      </c>
      <c r="X2587">
        <v>1</v>
      </c>
      <c r="Y2587">
        <v>0</v>
      </c>
      <c r="Z2587">
        <v>0</v>
      </c>
      <c r="AB2587">
        <v>0</v>
      </c>
      <c r="AC2587">
        <v>9</v>
      </c>
      <c r="AD2587">
        <v>3</v>
      </c>
      <c r="AE2587">
        <v>0</v>
      </c>
      <c r="AF2587">
        <v>9</v>
      </c>
      <c r="AG2587" t="s">
        <v>158</v>
      </c>
      <c r="AH2587">
        <v>0</v>
      </c>
      <c r="AI2587">
        <v>3</v>
      </c>
      <c r="AJ2587">
        <v>1</v>
      </c>
      <c r="AK2587">
        <v>0</v>
      </c>
      <c r="AL2587" t="s">
        <v>4872</v>
      </c>
      <c r="AM2587">
        <v>46.942863000000003</v>
      </c>
      <c r="AN2587" t="s">
        <v>4873</v>
      </c>
      <c r="AO2587">
        <v>-123.315482</v>
      </c>
      <c r="AP2587">
        <v>100</v>
      </c>
      <c r="AQ2587">
        <v>1900</v>
      </c>
      <c r="AR2587" t="s">
        <v>118</v>
      </c>
      <c r="AS2587">
        <v>-59</v>
      </c>
      <c r="AT2587">
        <v>43</v>
      </c>
      <c r="AU2587">
        <v>-128</v>
      </c>
      <c r="BC2587">
        <v>1200</v>
      </c>
      <c r="BD2587">
        <v>1</v>
      </c>
      <c r="BE2587" t="str">
        <f t="shared" si="122"/>
        <v xml:space="preserve">N215T   </v>
      </c>
      <c r="BF2587">
        <v>1</v>
      </c>
      <c r="BH2587">
        <v>0</v>
      </c>
      <c r="BI2587">
        <v>0</v>
      </c>
      <c r="BJ2587">
        <v>0</v>
      </c>
      <c r="BK2587">
        <v>2325</v>
      </c>
      <c r="BL2587">
        <v>425</v>
      </c>
      <c r="BM2587" t="s">
        <v>119</v>
      </c>
      <c r="BN2587">
        <v>1</v>
      </c>
      <c r="BO2587">
        <v>1</v>
      </c>
      <c r="BP2587">
        <v>1</v>
      </c>
      <c r="BQ2587">
        <v>0</v>
      </c>
      <c r="BT2587">
        <v>0</v>
      </c>
      <c r="BU2587">
        <v>0</v>
      </c>
      <c r="BV2587">
        <v>0</v>
      </c>
      <c r="CC2587" t="str">
        <f>"19:17:59.430"</f>
        <v>19:17:59.430</v>
      </c>
      <c r="CD2587" t="str">
        <f>"427920315"</f>
        <v>427920315</v>
      </c>
      <c r="CQ2587">
        <v>0</v>
      </c>
      <c r="CR2587">
        <v>2</v>
      </c>
      <c r="CS2587">
        <v>0</v>
      </c>
      <c r="CT2587">
        <v>2</v>
      </c>
      <c r="CU2587">
        <v>0</v>
      </c>
      <c r="CV2587">
        <v>5</v>
      </c>
      <c r="CW2587" t="s">
        <v>120</v>
      </c>
      <c r="CX2587">
        <v>257</v>
      </c>
      <c r="CY2587">
        <v>0</v>
      </c>
      <c r="CZ2587" t="s">
        <v>615</v>
      </c>
      <c r="DA2587" t="s">
        <v>616</v>
      </c>
      <c r="DD2587">
        <v>15988328</v>
      </c>
      <c r="DE2587" t="s">
        <v>123</v>
      </c>
    </row>
    <row r="2588" spans="1:109" x14ac:dyDescent="0.3">
      <c r="A2588" t="str">
        <f>"19:18:00.695"</f>
        <v>19:18:00.695</v>
      </c>
      <c r="B2588" t="s">
        <v>110</v>
      </c>
      <c r="C2588" t="str">
        <f t="shared" si="120"/>
        <v>ffdfd3c0</v>
      </c>
      <c r="D2588" t="s">
        <v>111</v>
      </c>
      <c r="E2588">
        <v>18</v>
      </c>
      <c r="F2588">
        <v>1018</v>
      </c>
      <c r="G2588" t="s">
        <v>112</v>
      </c>
      <c r="J2588" t="s">
        <v>113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R2588" t="s">
        <v>114</v>
      </c>
      <c r="S2588" t="str">
        <f>"19:18:00.445"</f>
        <v>19:18:00.445</v>
      </c>
      <c r="T2588" t="str">
        <f>"19:18:00.445"</f>
        <v>19:18:00.445</v>
      </c>
      <c r="U2588" t="str">
        <f t="shared" si="121"/>
        <v>a1cdbe</v>
      </c>
      <c r="V2588">
        <v>0</v>
      </c>
      <c r="W2588">
        <v>0</v>
      </c>
      <c r="X2588">
        <v>1</v>
      </c>
      <c r="Y2588">
        <v>0</v>
      </c>
      <c r="Z2588">
        <v>0</v>
      </c>
      <c r="AB2588">
        <v>0</v>
      </c>
      <c r="AC2588">
        <v>9</v>
      </c>
      <c r="AD2588">
        <v>3</v>
      </c>
      <c r="AE2588">
        <v>0</v>
      </c>
      <c r="AF2588">
        <v>9</v>
      </c>
      <c r="AG2588" t="s">
        <v>158</v>
      </c>
      <c r="AH2588">
        <v>0</v>
      </c>
      <c r="AI2588">
        <v>3</v>
      </c>
      <c r="AJ2588">
        <v>1</v>
      </c>
      <c r="AK2588">
        <v>0</v>
      </c>
      <c r="AL2588" t="s">
        <v>4874</v>
      </c>
      <c r="AM2588">
        <v>46.943078</v>
      </c>
      <c r="AN2588" t="s">
        <v>4875</v>
      </c>
      <c r="AO2588">
        <v>-123.315911</v>
      </c>
      <c r="AP2588">
        <v>100</v>
      </c>
      <c r="AQ2588">
        <v>1900</v>
      </c>
      <c r="AR2588" t="s">
        <v>118</v>
      </c>
      <c r="AS2588">
        <v>-60</v>
      </c>
      <c r="AT2588">
        <v>44</v>
      </c>
      <c r="AU2588">
        <v>-128</v>
      </c>
      <c r="BC2588">
        <v>1200</v>
      </c>
      <c r="BD2588">
        <v>1</v>
      </c>
      <c r="BE2588" t="str">
        <f t="shared" si="122"/>
        <v xml:space="preserve">N215T   </v>
      </c>
      <c r="BF2588">
        <v>1</v>
      </c>
      <c r="BH2588">
        <v>0</v>
      </c>
      <c r="BI2588">
        <v>0</v>
      </c>
      <c r="BJ2588">
        <v>0</v>
      </c>
      <c r="BK2588">
        <v>2325</v>
      </c>
      <c r="BL2588">
        <v>425</v>
      </c>
      <c r="BM2588" t="s">
        <v>119</v>
      </c>
      <c r="BN2588">
        <v>1</v>
      </c>
      <c r="BO2588">
        <v>1</v>
      </c>
      <c r="BP2588">
        <v>1</v>
      </c>
      <c r="BQ2588">
        <v>0</v>
      </c>
      <c r="BT2588">
        <v>0</v>
      </c>
      <c r="BU2588">
        <v>0</v>
      </c>
      <c r="BV2588">
        <v>0</v>
      </c>
      <c r="CC2588" t="str">
        <f>"19:18:00.445"</f>
        <v>19:18:00.445</v>
      </c>
      <c r="CD2588" t="str">
        <f>"447835500"</f>
        <v>447835500</v>
      </c>
      <c r="CQ2588">
        <v>0</v>
      </c>
      <c r="CR2588">
        <v>2</v>
      </c>
      <c r="CS2588">
        <v>0</v>
      </c>
      <c r="CT2588">
        <v>2</v>
      </c>
      <c r="CU2588">
        <v>0</v>
      </c>
      <c r="CV2588">
        <v>6</v>
      </c>
      <c r="CW2588" t="s">
        <v>120</v>
      </c>
      <c r="CX2588">
        <v>261</v>
      </c>
      <c r="CY2588">
        <v>2</v>
      </c>
      <c r="CZ2588" t="s">
        <v>121</v>
      </c>
      <c r="DA2588" t="s">
        <v>122</v>
      </c>
      <c r="DD2588">
        <v>15859195</v>
      </c>
      <c r="DE2588" t="s">
        <v>123</v>
      </c>
    </row>
    <row r="2589" spans="1:109" x14ac:dyDescent="0.3">
      <c r="A2589" t="str">
        <f>"19:18:01.758"</f>
        <v>19:18:01.758</v>
      </c>
      <c r="B2589" t="s">
        <v>110</v>
      </c>
      <c r="C2589" t="str">
        <f t="shared" si="120"/>
        <v>ffdfd3c0</v>
      </c>
      <c r="D2589" t="s">
        <v>111</v>
      </c>
      <c r="E2589">
        <v>18</v>
      </c>
      <c r="F2589">
        <v>1018</v>
      </c>
      <c r="G2589" t="s">
        <v>112</v>
      </c>
      <c r="J2589" t="s">
        <v>113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R2589" t="s">
        <v>114</v>
      </c>
      <c r="S2589" t="str">
        <f>"19:18:01.523"</f>
        <v>19:18:01.523</v>
      </c>
      <c r="T2589" t="str">
        <f>"19:18:01.422"</f>
        <v>19:18:01.422</v>
      </c>
      <c r="U2589" t="str">
        <f t="shared" si="121"/>
        <v>a1cdbe</v>
      </c>
      <c r="V2589">
        <v>0</v>
      </c>
      <c r="W2589">
        <v>0</v>
      </c>
      <c r="X2589">
        <v>1</v>
      </c>
      <c r="Y2589">
        <v>0</v>
      </c>
      <c r="Z2589">
        <v>0</v>
      </c>
      <c r="AB2589">
        <v>0</v>
      </c>
      <c r="AC2589">
        <v>9</v>
      </c>
      <c r="AD2589">
        <v>3</v>
      </c>
      <c r="AE2589">
        <v>0</v>
      </c>
      <c r="AF2589">
        <v>9</v>
      </c>
      <c r="AG2589" t="s">
        <v>158</v>
      </c>
      <c r="AH2589">
        <v>0</v>
      </c>
      <c r="AI2589">
        <v>3</v>
      </c>
      <c r="AJ2589">
        <v>1</v>
      </c>
      <c r="AK2589">
        <v>0</v>
      </c>
      <c r="AL2589" t="s">
        <v>4876</v>
      </c>
      <c r="AM2589">
        <v>46.943271000000003</v>
      </c>
      <c r="AN2589" t="s">
        <v>4877</v>
      </c>
      <c r="AO2589">
        <v>-123.31631899999999</v>
      </c>
      <c r="AP2589">
        <v>100</v>
      </c>
      <c r="AQ2589">
        <v>1900</v>
      </c>
      <c r="AR2589" t="s">
        <v>118</v>
      </c>
      <c r="AS2589">
        <v>-60</v>
      </c>
      <c r="AT2589">
        <v>44</v>
      </c>
      <c r="AU2589">
        <v>-128</v>
      </c>
      <c r="BC2589">
        <v>1200</v>
      </c>
      <c r="BD2589">
        <v>1</v>
      </c>
      <c r="BE2589" t="str">
        <f t="shared" si="122"/>
        <v xml:space="preserve">N215T   </v>
      </c>
      <c r="BF2589">
        <v>1</v>
      </c>
      <c r="BH2589">
        <v>0</v>
      </c>
      <c r="BI2589">
        <v>0</v>
      </c>
      <c r="BJ2589">
        <v>0</v>
      </c>
      <c r="BK2589">
        <v>2325</v>
      </c>
      <c r="BL2589">
        <v>425</v>
      </c>
      <c r="BM2589" t="s">
        <v>119</v>
      </c>
      <c r="BN2589">
        <v>1</v>
      </c>
      <c r="BO2589">
        <v>1</v>
      </c>
      <c r="BP2589">
        <v>1</v>
      </c>
      <c r="BQ2589">
        <v>0</v>
      </c>
      <c r="BT2589">
        <v>0</v>
      </c>
      <c r="BU2589">
        <v>0</v>
      </c>
      <c r="BV2589">
        <v>0</v>
      </c>
      <c r="CC2589" t="str">
        <f>"19:18:01.531"</f>
        <v>19:18:01.531</v>
      </c>
      <c r="CD2589" t="str">
        <f>"527729258"</f>
        <v>527729258</v>
      </c>
      <c r="CQ2589">
        <v>0</v>
      </c>
      <c r="CR2589">
        <v>2</v>
      </c>
      <c r="CS2589">
        <v>0</v>
      </c>
      <c r="CT2589">
        <v>2</v>
      </c>
      <c r="CU2589">
        <v>0</v>
      </c>
      <c r="CV2589">
        <v>6</v>
      </c>
      <c r="CW2589" t="s">
        <v>120</v>
      </c>
      <c r="CX2589">
        <v>261</v>
      </c>
      <c r="CY2589">
        <v>2</v>
      </c>
      <c r="CZ2589" t="s">
        <v>121</v>
      </c>
      <c r="DA2589" t="s">
        <v>122</v>
      </c>
      <c r="DD2589">
        <v>15859972</v>
      </c>
      <c r="DE2589" t="s">
        <v>123</v>
      </c>
    </row>
    <row r="2590" spans="1:109" x14ac:dyDescent="0.3">
      <c r="A2590" t="str">
        <f>"19:18:02.711"</f>
        <v>19:18:02.711</v>
      </c>
      <c r="B2590" t="s">
        <v>110</v>
      </c>
      <c r="C2590" t="str">
        <f t="shared" si="120"/>
        <v>ffdfd3c0</v>
      </c>
      <c r="D2590" t="s">
        <v>111</v>
      </c>
      <c r="E2590">
        <v>18</v>
      </c>
      <c r="F2590">
        <v>1018</v>
      </c>
      <c r="G2590" t="s">
        <v>112</v>
      </c>
      <c r="J2590" t="s">
        <v>113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R2590" t="s">
        <v>114</v>
      </c>
      <c r="S2590" t="str">
        <f>"19:18:02.469"</f>
        <v>19:18:02.469</v>
      </c>
      <c r="T2590" t="str">
        <f>"19:18:02.367"</f>
        <v>19:18:02.367</v>
      </c>
      <c r="U2590" t="str">
        <f t="shared" si="121"/>
        <v>a1cdbe</v>
      </c>
      <c r="V2590">
        <v>0</v>
      </c>
      <c r="W2590">
        <v>0</v>
      </c>
      <c r="X2590">
        <v>1</v>
      </c>
      <c r="Y2590">
        <v>0</v>
      </c>
      <c r="Z2590">
        <v>0</v>
      </c>
      <c r="AB2590">
        <v>0</v>
      </c>
      <c r="AC2590">
        <v>9</v>
      </c>
      <c r="AD2590">
        <v>3</v>
      </c>
      <c r="AE2590">
        <v>0</v>
      </c>
      <c r="AF2590">
        <v>9</v>
      </c>
      <c r="AG2590" t="s">
        <v>158</v>
      </c>
      <c r="AH2590">
        <v>0</v>
      </c>
      <c r="AI2590">
        <v>3</v>
      </c>
      <c r="AJ2590">
        <v>1</v>
      </c>
      <c r="AK2590">
        <v>0</v>
      </c>
      <c r="AL2590" t="s">
        <v>4878</v>
      </c>
      <c r="AM2590">
        <v>46.943486</v>
      </c>
      <c r="AN2590" t="s">
        <v>4879</v>
      </c>
      <c r="AO2590">
        <v>-123.316727</v>
      </c>
      <c r="AP2590">
        <v>100</v>
      </c>
      <c r="AQ2590">
        <v>1900</v>
      </c>
      <c r="AR2590" t="s">
        <v>118</v>
      </c>
      <c r="AS2590">
        <v>-61</v>
      </c>
      <c r="AT2590">
        <v>43</v>
      </c>
      <c r="AU2590">
        <v>-128</v>
      </c>
      <c r="BC2590">
        <v>1200</v>
      </c>
      <c r="BD2590">
        <v>1</v>
      </c>
      <c r="BE2590" t="str">
        <f t="shared" si="122"/>
        <v xml:space="preserve">N215T   </v>
      </c>
      <c r="BF2590">
        <v>1</v>
      </c>
      <c r="BH2590">
        <v>0</v>
      </c>
      <c r="BI2590">
        <v>0</v>
      </c>
      <c r="BJ2590">
        <v>0</v>
      </c>
      <c r="BK2590">
        <v>2300</v>
      </c>
      <c r="BL2590">
        <v>400</v>
      </c>
      <c r="BM2590" t="s">
        <v>119</v>
      </c>
      <c r="BN2590">
        <v>1</v>
      </c>
      <c r="BO2590">
        <v>1</v>
      </c>
      <c r="BP2590">
        <v>1</v>
      </c>
      <c r="BQ2590">
        <v>0</v>
      </c>
      <c r="BT2590">
        <v>0</v>
      </c>
      <c r="BU2590">
        <v>0</v>
      </c>
      <c r="BV2590">
        <v>0</v>
      </c>
      <c r="CC2590" t="str">
        <f>"19:18:02.469"</f>
        <v>19:18:02.469</v>
      </c>
      <c r="CD2590" t="str">
        <f>"472620364"</f>
        <v>472620364</v>
      </c>
      <c r="CQ2590">
        <v>0</v>
      </c>
      <c r="CR2590">
        <v>2</v>
      </c>
      <c r="CS2590">
        <v>0</v>
      </c>
      <c r="CT2590">
        <v>2</v>
      </c>
      <c r="CU2590">
        <v>0</v>
      </c>
      <c r="CV2590">
        <v>6</v>
      </c>
      <c r="CW2590" t="s">
        <v>120</v>
      </c>
      <c r="CX2590">
        <v>257</v>
      </c>
      <c r="CY2590">
        <v>0</v>
      </c>
      <c r="CZ2590" t="s">
        <v>615</v>
      </c>
      <c r="DA2590" t="s">
        <v>616</v>
      </c>
      <c r="DD2590">
        <v>15990029</v>
      </c>
      <c r="DE2590" t="s">
        <v>123</v>
      </c>
    </row>
    <row r="2591" spans="1:109" x14ac:dyDescent="0.3">
      <c r="A2591" t="str">
        <f>"19:18:03.711"</f>
        <v>19:18:03.711</v>
      </c>
      <c r="B2591" t="s">
        <v>110</v>
      </c>
      <c r="C2591" t="str">
        <f t="shared" si="120"/>
        <v>ffdfd3c0</v>
      </c>
      <c r="D2591" t="s">
        <v>111</v>
      </c>
      <c r="E2591">
        <v>18</v>
      </c>
      <c r="F2591">
        <v>1018</v>
      </c>
      <c r="G2591" t="s">
        <v>112</v>
      </c>
      <c r="J2591" t="s">
        <v>113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R2591" t="s">
        <v>114</v>
      </c>
      <c r="S2591" t="str">
        <f>"19:18:03.500"</f>
        <v>19:18:03.500</v>
      </c>
      <c r="T2591" t="str">
        <f>"19:18:03.297"</f>
        <v>19:18:03.297</v>
      </c>
      <c r="U2591" t="str">
        <f t="shared" si="121"/>
        <v>a1cdbe</v>
      </c>
      <c r="V2591">
        <v>0</v>
      </c>
      <c r="W2591">
        <v>0</v>
      </c>
      <c r="X2591">
        <v>1</v>
      </c>
      <c r="Y2591">
        <v>0</v>
      </c>
      <c r="Z2591">
        <v>0</v>
      </c>
      <c r="AB2591">
        <v>0</v>
      </c>
      <c r="AC2591">
        <v>9</v>
      </c>
      <c r="AD2591">
        <v>3</v>
      </c>
      <c r="AE2591">
        <v>0</v>
      </c>
      <c r="AF2591">
        <v>9</v>
      </c>
      <c r="AG2591" t="s">
        <v>158</v>
      </c>
      <c r="AH2591">
        <v>0</v>
      </c>
      <c r="AI2591">
        <v>3</v>
      </c>
      <c r="AJ2591">
        <v>1</v>
      </c>
      <c r="AK2591">
        <v>0</v>
      </c>
      <c r="AL2591" t="s">
        <v>1141</v>
      </c>
      <c r="AM2591">
        <v>46.9437</v>
      </c>
      <c r="AN2591" t="s">
        <v>4880</v>
      </c>
      <c r="AO2591">
        <v>-123.317177</v>
      </c>
      <c r="AP2591">
        <v>100</v>
      </c>
      <c r="AQ2591">
        <v>1900</v>
      </c>
      <c r="AR2591" t="s">
        <v>118</v>
      </c>
      <c r="AS2591">
        <v>-61</v>
      </c>
      <c r="AT2591">
        <v>42</v>
      </c>
      <c r="AU2591">
        <v>-128</v>
      </c>
      <c r="BC2591">
        <v>1200</v>
      </c>
      <c r="BD2591">
        <v>1</v>
      </c>
      <c r="BE2591" t="str">
        <f t="shared" si="122"/>
        <v xml:space="preserve">N215T   </v>
      </c>
      <c r="BF2591">
        <v>1</v>
      </c>
      <c r="BH2591">
        <v>0</v>
      </c>
      <c r="BI2591">
        <v>0</v>
      </c>
      <c r="BJ2591">
        <v>0</v>
      </c>
      <c r="BK2591">
        <v>2325</v>
      </c>
      <c r="BL2591">
        <v>425</v>
      </c>
      <c r="BM2591" t="s">
        <v>119</v>
      </c>
      <c r="BN2591">
        <v>1</v>
      </c>
      <c r="BO2591">
        <v>1</v>
      </c>
      <c r="BP2591">
        <v>1</v>
      </c>
      <c r="BQ2591">
        <v>0</v>
      </c>
      <c r="BT2591">
        <v>0</v>
      </c>
      <c r="BU2591">
        <v>0</v>
      </c>
      <c r="BV2591">
        <v>0</v>
      </c>
      <c r="CC2591" t="str">
        <f>"19:18:03.508"</f>
        <v>19:18:03.508</v>
      </c>
      <c r="CD2591" t="str">
        <f>"507534210"</f>
        <v>507534210</v>
      </c>
      <c r="CQ2591">
        <v>0</v>
      </c>
      <c r="CR2591">
        <v>2</v>
      </c>
      <c r="CS2591">
        <v>0</v>
      </c>
      <c r="CT2591">
        <v>2</v>
      </c>
      <c r="CU2591">
        <v>0</v>
      </c>
      <c r="CV2591">
        <v>6</v>
      </c>
      <c r="CW2591" t="s">
        <v>120</v>
      </c>
      <c r="CX2591">
        <v>261</v>
      </c>
      <c r="CY2591">
        <v>2</v>
      </c>
      <c r="CZ2591" t="s">
        <v>121</v>
      </c>
      <c r="DA2591" t="s">
        <v>122</v>
      </c>
      <c r="DD2591">
        <v>15861303</v>
      </c>
      <c r="DE2591" t="s">
        <v>123</v>
      </c>
    </row>
    <row r="2592" spans="1:109" x14ac:dyDescent="0.3">
      <c r="A2592" t="str">
        <f>"19:18:04.617"</f>
        <v>19:18:04.617</v>
      </c>
      <c r="B2592" t="s">
        <v>110</v>
      </c>
      <c r="C2592" t="str">
        <f t="shared" si="120"/>
        <v>ffdfd3c0</v>
      </c>
      <c r="D2592" t="s">
        <v>111</v>
      </c>
      <c r="E2592">
        <v>18</v>
      </c>
      <c r="F2592">
        <v>1018</v>
      </c>
      <c r="G2592" t="s">
        <v>112</v>
      </c>
      <c r="J2592" t="s">
        <v>113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R2592" t="s">
        <v>114</v>
      </c>
      <c r="S2592" t="str">
        <f>"19:18:04.391"</f>
        <v>19:18:04.391</v>
      </c>
      <c r="T2592" t="str">
        <f>"19:18:03.891"</f>
        <v>19:18:03.891</v>
      </c>
      <c r="U2592" t="str">
        <f t="shared" si="121"/>
        <v>a1cdbe</v>
      </c>
      <c r="V2592">
        <v>0</v>
      </c>
      <c r="W2592">
        <v>0</v>
      </c>
      <c r="X2592">
        <v>1</v>
      </c>
      <c r="Y2592">
        <v>0</v>
      </c>
      <c r="Z2592">
        <v>0</v>
      </c>
      <c r="AB2592">
        <v>0</v>
      </c>
      <c r="AC2592">
        <v>9</v>
      </c>
      <c r="AD2592">
        <v>3</v>
      </c>
      <c r="AE2592">
        <v>0</v>
      </c>
      <c r="AF2592">
        <v>9</v>
      </c>
      <c r="AG2592" t="s">
        <v>158</v>
      </c>
      <c r="AH2592">
        <v>0</v>
      </c>
      <c r="AI2592">
        <v>3</v>
      </c>
      <c r="AJ2592">
        <v>1</v>
      </c>
      <c r="AK2592">
        <v>0</v>
      </c>
      <c r="AL2592" t="s">
        <v>4881</v>
      </c>
      <c r="AM2592">
        <v>46.943851000000002</v>
      </c>
      <c r="AN2592" t="s">
        <v>4882</v>
      </c>
      <c r="AO2592">
        <v>-123.31747799999999</v>
      </c>
      <c r="AP2592">
        <v>100</v>
      </c>
      <c r="AQ2592">
        <v>1900</v>
      </c>
      <c r="AR2592" t="s">
        <v>118</v>
      </c>
      <c r="AS2592">
        <v>-62</v>
      </c>
      <c r="AT2592">
        <v>42</v>
      </c>
      <c r="AU2592">
        <v>-64</v>
      </c>
      <c r="BC2592">
        <v>1200</v>
      </c>
      <c r="BD2592">
        <v>1</v>
      </c>
      <c r="BE2592" t="str">
        <f t="shared" si="122"/>
        <v xml:space="preserve">N215T   </v>
      </c>
      <c r="BF2592">
        <v>1</v>
      </c>
      <c r="BH2592">
        <v>0</v>
      </c>
      <c r="BI2592">
        <v>0</v>
      </c>
      <c r="BJ2592">
        <v>0</v>
      </c>
      <c r="BK2592">
        <v>2300</v>
      </c>
      <c r="BL2592">
        <v>400</v>
      </c>
      <c r="BM2592" t="s">
        <v>119</v>
      </c>
      <c r="BN2592">
        <v>1</v>
      </c>
      <c r="BO2592">
        <v>1</v>
      </c>
      <c r="BP2592">
        <v>1</v>
      </c>
      <c r="BQ2592">
        <v>0</v>
      </c>
      <c r="BT2592">
        <v>0</v>
      </c>
      <c r="BU2592">
        <v>0</v>
      </c>
      <c r="BV2592">
        <v>0</v>
      </c>
      <c r="CC2592" t="str">
        <f>"19:18:04.391"</f>
        <v>19:18:04.391</v>
      </c>
      <c r="CD2592" t="str">
        <f>"392431224"</f>
        <v>392431224</v>
      </c>
      <c r="CQ2592">
        <v>0</v>
      </c>
      <c r="CR2592">
        <v>2</v>
      </c>
      <c r="CS2592">
        <v>0</v>
      </c>
      <c r="CT2592">
        <v>2</v>
      </c>
      <c r="CU2592">
        <v>0</v>
      </c>
      <c r="CV2592">
        <v>5</v>
      </c>
      <c r="CW2592" t="s">
        <v>120</v>
      </c>
      <c r="CX2592">
        <v>257</v>
      </c>
      <c r="CY2592">
        <v>1</v>
      </c>
      <c r="CZ2592" t="s">
        <v>615</v>
      </c>
      <c r="DA2592" t="s">
        <v>616</v>
      </c>
      <c r="DD2592">
        <v>12297711</v>
      </c>
      <c r="DE2592" t="s">
        <v>123</v>
      </c>
    </row>
    <row r="2593" spans="1:109" x14ac:dyDescent="0.3">
      <c r="A2593" t="str">
        <f>"19:18:05.625"</f>
        <v>19:18:05.625</v>
      </c>
      <c r="B2593" t="s">
        <v>110</v>
      </c>
      <c r="C2593" t="str">
        <f t="shared" si="120"/>
        <v>ffdfd3c0</v>
      </c>
      <c r="D2593" t="s">
        <v>111</v>
      </c>
      <c r="E2593">
        <v>18</v>
      </c>
      <c r="F2593">
        <v>1018</v>
      </c>
      <c r="G2593" t="s">
        <v>112</v>
      </c>
      <c r="J2593" t="s">
        <v>113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R2593" t="s">
        <v>114</v>
      </c>
      <c r="S2593" t="str">
        <f>"19:18:05.391"</f>
        <v>19:18:05.391</v>
      </c>
      <c r="T2593" t="str">
        <f>"19:18:04.992"</f>
        <v>19:18:04.992</v>
      </c>
      <c r="U2593" t="str">
        <f t="shared" si="121"/>
        <v>a1cdbe</v>
      </c>
      <c r="V2593">
        <v>0</v>
      </c>
      <c r="W2593">
        <v>0</v>
      </c>
      <c r="X2593">
        <v>1</v>
      </c>
      <c r="Y2593">
        <v>0</v>
      </c>
      <c r="Z2593">
        <v>0</v>
      </c>
      <c r="AB2593">
        <v>0</v>
      </c>
      <c r="AC2593">
        <v>9</v>
      </c>
      <c r="AD2593">
        <v>3</v>
      </c>
      <c r="AE2593">
        <v>0</v>
      </c>
      <c r="AF2593">
        <v>9</v>
      </c>
      <c r="AG2593" t="s">
        <v>158</v>
      </c>
      <c r="AH2593">
        <v>0</v>
      </c>
      <c r="AI2593">
        <v>3</v>
      </c>
      <c r="AJ2593">
        <v>1</v>
      </c>
      <c r="AK2593">
        <v>0</v>
      </c>
      <c r="AL2593" t="s">
        <v>1139</v>
      </c>
      <c r="AM2593">
        <v>46.944021999999997</v>
      </c>
      <c r="AN2593" t="s">
        <v>4883</v>
      </c>
      <c r="AO2593">
        <v>-123.31795</v>
      </c>
      <c r="AP2593">
        <v>100</v>
      </c>
      <c r="AQ2593">
        <v>1900</v>
      </c>
      <c r="AR2593" t="s">
        <v>118</v>
      </c>
      <c r="AS2593">
        <v>-62</v>
      </c>
      <c r="AT2593">
        <v>41</v>
      </c>
      <c r="AU2593">
        <v>-64</v>
      </c>
      <c r="BC2593">
        <v>1200</v>
      </c>
      <c r="BD2593">
        <v>1</v>
      </c>
      <c r="BE2593" t="str">
        <f t="shared" si="122"/>
        <v xml:space="preserve">N215T   </v>
      </c>
      <c r="BF2593">
        <v>1</v>
      </c>
      <c r="BH2593">
        <v>0</v>
      </c>
      <c r="BI2593">
        <v>0</v>
      </c>
      <c r="BJ2593">
        <v>0</v>
      </c>
      <c r="BK2593">
        <v>2300</v>
      </c>
      <c r="BL2593">
        <v>400</v>
      </c>
      <c r="BM2593" t="s">
        <v>119</v>
      </c>
      <c r="BN2593">
        <v>1</v>
      </c>
      <c r="BO2593">
        <v>1</v>
      </c>
      <c r="BP2593">
        <v>1</v>
      </c>
      <c r="BQ2593">
        <v>0</v>
      </c>
      <c r="BT2593">
        <v>0</v>
      </c>
      <c r="BU2593">
        <v>0</v>
      </c>
      <c r="BV2593">
        <v>0</v>
      </c>
      <c r="CC2593" t="str">
        <f>"19:18:05.398"</f>
        <v>19:18:05.398</v>
      </c>
      <c r="CD2593" t="str">
        <f>"397348017"</f>
        <v>397348017</v>
      </c>
      <c r="CQ2593">
        <v>0</v>
      </c>
      <c r="CR2593">
        <v>2</v>
      </c>
      <c r="CS2593">
        <v>0</v>
      </c>
      <c r="CT2593">
        <v>2</v>
      </c>
      <c r="CU2593">
        <v>0</v>
      </c>
      <c r="CV2593">
        <v>6</v>
      </c>
      <c r="CW2593" t="s">
        <v>120</v>
      </c>
      <c r="CX2593">
        <v>261</v>
      </c>
      <c r="CY2593">
        <v>2</v>
      </c>
      <c r="CZ2593" t="s">
        <v>121</v>
      </c>
      <c r="DA2593" t="s">
        <v>122</v>
      </c>
      <c r="DD2593">
        <v>15862614</v>
      </c>
      <c r="DE2593" t="s">
        <v>123</v>
      </c>
    </row>
    <row r="2594" spans="1:109" x14ac:dyDescent="0.3">
      <c r="A2594" t="str">
        <f>"19:18:06.781"</f>
        <v>19:18:06.781</v>
      </c>
      <c r="B2594" t="s">
        <v>110</v>
      </c>
      <c r="C2594" t="str">
        <f t="shared" si="120"/>
        <v>ffdfd3c0</v>
      </c>
      <c r="D2594" t="s">
        <v>111</v>
      </c>
      <c r="E2594">
        <v>18</v>
      </c>
      <c r="F2594">
        <v>1018</v>
      </c>
      <c r="G2594" t="s">
        <v>112</v>
      </c>
      <c r="J2594" t="s">
        <v>113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R2594" t="s">
        <v>114</v>
      </c>
      <c r="S2594" t="str">
        <f>"19:18:06.531"</f>
        <v>19:18:06.531</v>
      </c>
      <c r="T2594" t="str">
        <f>"19:18:06.133"</f>
        <v>19:18:06.133</v>
      </c>
      <c r="U2594" t="str">
        <f t="shared" si="121"/>
        <v>a1cdbe</v>
      </c>
      <c r="V2594">
        <v>0</v>
      </c>
      <c r="W2594">
        <v>0</v>
      </c>
      <c r="X2594">
        <v>1</v>
      </c>
      <c r="Y2594">
        <v>0</v>
      </c>
      <c r="Z2594">
        <v>0</v>
      </c>
      <c r="AB2594">
        <v>0</v>
      </c>
      <c r="AC2594">
        <v>9</v>
      </c>
      <c r="AD2594">
        <v>3</v>
      </c>
      <c r="AE2594">
        <v>0</v>
      </c>
      <c r="AF2594">
        <v>9</v>
      </c>
      <c r="AG2594" t="s">
        <v>158</v>
      </c>
      <c r="AH2594">
        <v>0</v>
      </c>
      <c r="AI2594">
        <v>3</v>
      </c>
      <c r="AJ2594">
        <v>1</v>
      </c>
      <c r="AK2594">
        <v>0</v>
      </c>
      <c r="AL2594" t="s">
        <v>4884</v>
      </c>
      <c r="AM2594">
        <v>46.944257999999998</v>
      </c>
      <c r="AN2594" t="s">
        <v>4885</v>
      </c>
      <c r="AO2594">
        <v>-123.31837899999999</v>
      </c>
      <c r="AP2594">
        <v>100</v>
      </c>
      <c r="AQ2594">
        <v>1900</v>
      </c>
      <c r="AR2594" t="s">
        <v>118</v>
      </c>
      <c r="AS2594">
        <v>-63</v>
      </c>
      <c r="AT2594">
        <v>40</v>
      </c>
      <c r="AU2594">
        <v>-64</v>
      </c>
      <c r="BC2594">
        <v>1200</v>
      </c>
      <c r="BD2594">
        <v>1</v>
      </c>
      <c r="BE2594" t="str">
        <f t="shared" si="122"/>
        <v xml:space="preserve">N215T   </v>
      </c>
      <c r="BF2594">
        <v>1</v>
      </c>
      <c r="BH2594">
        <v>0</v>
      </c>
      <c r="BI2594">
        <v>0</v>
      </c>
      <c r="BJ2594">
        <v>0</v>
      </c>
      <c r="BK2594">
        <v>2300</v>
      </c>
      <c r="BL2594">
        <v>400</v>
      </c>
      <c r="BM2594" t="s">
        <v>119</v>
      </c>
      <c r="BN2594">
        <v>1</v>
      </c>
      <c r="BO2594">
        <v>1</v>
      </c>
      <c r="BP2594">
        <v>1</v>
      </c>
      <c r="BQ2594">
        <v>0</v>
      </c>
      <c r="BT2594">
        <v>0</v>
      </c>
      <c r="BU2594">
        <v>0</v>
      </c>
      <c r="BV2594">
        <v>0</v>
      </c>
      <c r="CC2594" t="str">
        <f>"19:18:06.539"</f>
        <v>19:18:06.539</v>
      </c>
      <c r="CD2594" t="str">
        <f>"537219913"</f>
        <v>537219913</v>
      </c>
      <c r="CQ2594">
        <v>0</v>
      </c>
      <c r="CR2594">
        <v>2</v>
      </c>
      <c r="CS2594">
        <v>0</v>
      </c>
      <c r="CT2594">
        <v>2</v>
      </c>
      <c r="CU2594">
        <v>0</v>
      </c>
      <c r="CV2594">
        <v>6</v>
      </c>
      <c r="CW2594" t="s">
        <v>120</v>
      </c>
      <c r="CX2594">
        <v>257</v>
      </c>
      <c r="CY2594">
        <v>0</v>
      </c>
      <c r="CZ2594" t="s">
        <v>615</v>
      </c>
      <c r="DA2594" t="s">
        <v>616</v>
      </c>
      <c r="DD2594">
        <v>15992141</v>
      </c>
      <c r="DE2594" t="s">
        <v>123</v>
      </c>
    </row>
    <row r="2595" spans="1:109" x14ac:dyDescent="0.3">
      <c r="A2595" t="str">
        <f>"19:18:07.789"</f>
        <v>19:18:07.789</v>
      </c>
      <c r="B2595" t="s">
        <v>110</v>
      </c>
      <c r="C2595" t="str">
        <f t="shared" si="120"/>
        <v>ffdfd3c0</v>
      </c>
      <c r="D2595" t="s">
        <v>111</v>
      </c>
      <c r="E2595">
        <v>18</v>
      </c>
      <c r="F2595">
        <v>1018</v>
      </c>
      <c r="G2595" t="s">
        <v>112</v>
      </c>
      <c r="J2595" t="s">
        <v>113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R2595" t="s">
        <v>114</v>
      </c>
      <c r="S2595" t="str">
        <f>"19:18:07.586"</f>
        <v>19:18:07.586</v>
      </c>
      <c r="T2595" t="str">
        <f>"19:18:07.086"</f>
        <v>19:18:07.086</v>
      </c>
      <c r="U2595" t="str">
        <f t="shared" si="121"/>
        <v>a1cdbe</v>
      </c>
      <c r="V2595">
        <v>0</v>
      </c>
      <c r="W2595">
        <v>0</v>
      </c>
      <c r="X2595">
        <v>1</v>
      </c>
      <c r="Y2595">
        <v>0</v>
      </c>
      <c r="Z2595">
        <v>0</v>
      </c>
      <c r="AB2595">
        <v>0</v>
      </c>
      <c r="AC2595">
        <v>9</v>
      </c>
      <c r="AD2595">
        <v>3</v>
      </c>
      <c r="AE2595">
        <v>0</v>
      </c>
      <c r="AF2595">
        <v>9</v>
      </c>
      <c r="AG2595" t="s">
        <v>158</v>
      </c>
      <c r="AH2595">
        <v>0</v>
      </c>
      <c r="AI2595">
        <v>3</v>
      </c>
      <c r="AJ2595">
        <v>1</v>
      </c>
      <c r="AK2595">
        <v>0</v>
      </c>
      <c r="AL2595" t="s">
        <v>4886</v>
      </c>
      <c r="AM2595">
        <v>46.944451000000001</v>
      </c>
      <c r="AN2595" t="s">
        <v>4887</v>
      </c>
      <c r="AO2595">
        <v>-123.318851</v>
      </c>
      <c r="AP2595">
        <v>100</v>
      </c>
      <c r="AQ2595">
        <v>1900</v>
      </c>
      <c r="AR2595" t="s">
        <v>118</v>
      </c>
      <c r="AS2595">
        <v>-63</v>
      </c>
      <c r="AT2595">
        <v>40</v>
      </c>
      <c r="AU2595">
        <v>-64</v>
      </c>
      <c r="BC2595">
        <v>1200</v>
      </c>
      <c r="BD2595">
        <v>1</v>
      </c>
      <c r="BE2595" t="str">
        <f t="shared" si="122"/>
        <v xml:space="preserve">N215T   </v>
      </c>
      <c r="BF2595">
        <v>1</v>
      </c>
      <c r="BH2595">
        <v>0</v>
      </c>
      <c r="BI2595">
        <v>0</v>
      </c>
      <c r="BJ2595">
        <v>0</v>
      </c>
      <c r="BK2595">
        <v>2300</v>
      </c>
      <c r="BL2595">
        <v>400</v>
      </c>
      <c r="BM2595" t="s">
        <v>119</v>
      </c>
      <c r="BN2595">
        <v>1</v>
      </c>
      <c r="BO2595">
        <v>1</v>
      </c>
      <c r="BP2595">
        <v>1</v>
      </c>
      <c r="BQ2595">
        <v>0</v>
      </c>
      <c r="BT2595">
        <v>0</v>
      </c>
      <c r="BU2595">
        <v>0</v>
      </c>
      <c r="BV2595">
        <v>0</v>
      </c>
      <c r="CC2595" t="str">
        <f>"19:18:07.586"</f>
        <v>19:18:07.586</v>
      </c>
      <c r="CD2595" t="str">
        <f>"587116470"</f>
        <v>587116470</v>
      </c>
      <c r="CQ2595">
        <v>0</v>
      </c>
      <c r="CR2595">
        <v>2</v>
      </c>
      <c r="CS2595">
        <v>0</v>
      </c>
      <c r="CT2595">
        <v>2</v>
      </c>
      <c r="CU2595">
        <v>0</v>
      </c>
      <c r="CV2595">
        <v>6</v>
      </c>
      <c r="CW2595" t="s">
        <v>120</v>
      </c>
      <c r="CX2595">
        <v>257</v>
      </c>
      <c r="CY2595">
        <v>0</v>
      </c>
      <c r="CZ2595" t="s">
        <v>615</v>
      </c>
      <c r="DA2595" t="s">
        <v>616</v>
      </c>
      <c r="DD2595">
        <v>15992679</v>
      </c>
      <c r="DE2595" t="s">
        <v>123</v>
      </c>
    </row>
    <row r="2596" spans="1:109" x14ac:dyDescent="0.3">
      <c r="A2596" t="str">
        <f>"19:18:08.789"</f>
        <v>19:18:08.789</v>
      </c>
      <c r="B2596" t="s">
        <v>110</v>
      </c>
      <c r="C2596" t="str">
        <f t="shared" si="120"/>
        <v>ffdfd3c0</v>
      </c>
      <c r="D2596" t="s">
        <v>111</v>
      </c>
      <c r="E2596">
        <v>18</v>
      </c>
      <c r="F2596">
        <v>1018</v>
      </c>
      <c r="G2596" t="s">
        <v>112</v>
      </c>
      <c r="J2596" t="s">
        <v>113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R2596" t="s">
        <v>114</v>
      </c>
      <c r="S2596" t="str">
        <f>"19:18:08.531"</f>
        <v>19:18:08.531</v>
      </c>
      <c r="T2596" t="str">
        <f>"19:18:08.133"</f>
        <v>19:18:08.133</v>
      </c>
      <c r="U2596" t="str">
        <f t="shared" si="121"/>
        <v>a1cdbe</v>
      </c>
      <c r="V2596">
        <v>0</v>
      </c>
      <c r="W2596">
        <v>0</v>
      </c>
      <c r="X2596">
        <v>1</v>
      </c>
      <c r="Y2596">
        <v>0</v>
      </c>
      <c r="Z2596">
        <v>0</v>
      </c>
      <c r="AB2596">
        <v>0</v>
      </c>
      <c r="AC2596">
        <v>9</v>
      </c>
      <c r="AD2596">
        <v>3</v>
      </c>
      <c r="AE2596">
        <v>0</v>
      </c>
      <c r="AF2596">
        <v>9</v>
      </c>
      <c r="AG2596" t="s">
        <v>158</v>
      </c>
      <c r="AH2596">
        <v>0</v>
      </c>
      <c r="AI2596">
        <v>3</v>
      </c>
      <c r="AJ2596">
        <v>1</v>
      </c>
      <c r="AK2596">
        <v>0</v>
      </c>
      <c r="AL2596" t="s">
        <v>4888</v>
      </c>
      <c r="AM2596">
        <v>46.944623</v>
      </c>
      <c r="AN2596" t="s">
        <v>4889</v>
      </c>
      <c r="AO2596">
        <v>-123.319259</v>
      </c>
      <c r="AP2596">
        <v>100</v>
      </c>
      <c r="AQ2596">
        <v>1900</v>
      </c>
      <c r="AR2596" t="s">
        <v>118</v>
      </c>
      <c r="AS2596">
        <v>-63</v>
      </c>
      <c r="AT2596">
        <v>40</v>
      </c>
      <c r="AU2596">
        <v>0</v>
      </c>
      <c r="BC2596">
        <v>1200</v>
      </c>
      <c r="BD2596">
        <v>1</v>
      </c>
      <c r="BE2596" t="str">
        <f t="shared" si="122"/>
        <v xml:space="preserve">N215T   </v>
      </c>
      <c r="BF2596">
        <v>1</v>
      </c>
      <c r="BH2596">
        <v>0</v>
      </c>
      <c r="BI2596">
        <v>0</v>
      </c>
      <c r="BJ2596">
        <v>0</v>
      </c>
      <c r="BK2596">
        <v>2300</v>
      </c>
      <c r="BL2596">
        <v>400</v>
      </c>
      <c r="BM2596" t="s">
        <v>119</v>
      </c>
      <c r="BN2596">
        <v>1</v>
      </c>
      <c r="BO2596">
        <v>1</v>
      </c>
      <c r="BP2596">
        <v>1</v>
      </c>
      <c r="BQ2596">
        <v>0</v>
      </c>
      <c r="BT2596">
        <v>0</v>
      </c>
      <c r="BU2596">
        <v>0</v>
      </c>
      <c r="BV2596">
        <v>0</v>
      </c>
      <c r="CC2596" t="str">
        <f>"19:18:08.531"</f>
        <v>19:18:08.531</v>
      </c>
      <c r="CD2596" t="str">
        <f>"532039222"</f>
        <v>532039222</v>
      </c>
      <c r="CQ2596">
        <v>0</v>
      </c>
      <c r="CR2596">
        <v>2</v>
      </c>
      <c r="CS2596">
        <v>0</v>
      </c>
      <c r="CT2596">
        <v>2</v>
      </c>
      <c r="CU2596">
        <v>0</v>
      </c>
      <c r="CV2596">
        <v>6</v>
      </c>
      <c r="CW2596" t="s">
        <v>120</v>
      </c>
      <c r="CX2596">
        <v>261</v>
      </c>
      <c r="CY2596">
        <v>3</v>
      </c>
      <c r="CZ2596" t="s">
        <v>121</v>
      </c>
      <c r="DA2596" t="s">
        <v>122</v>
      </c>
      <c r="DD2596">
        <v>3814650</v>
      </c>
      <c r="DE2596" t="s">
        <v>123</v>
      </c>
    </row>
    <row r="2597" spans="1:109" x14ac:dyDescent="0.3">
      <c r="A2597" t="str">
        <f>"19:18:09.648"</f>
        <v>19:18:09.648</v>
      </c>
      <c r="B2597" t="s">
        <v>110</v>
      </c>
      <c r="C2597" t="str">
        <f t="shared" si="120"/>
        <v>ffdfd3c0</v>
      </c>
      <c r="D2597" t="s">
        <v>111</v>
      </c>
      <c r="E2597">
        <v>18</v>
      </c>
      <c r="F2597">
        <v>1018</v>
      </c>
      <c r="G2597" t="s">
        <v>112</v>
      </c>
      <c r="J2597" t="s">
        <v>113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R2597" t="s">
        <v>114</v>
      </c>
      <c r="S2597" t="str">
        <f>"19:18:09.414"</f>
        <v>19:18:09.414</v>
      </c>
      <c r="T2597" t="str">
        <f>"19:18:09.016"</f>
        <v>19:18:09.016</v>
      </c>
      <c r="U2597" t="str">
        <f t="shared" si="121"/>
        <v>a1cdbe</v>
      </c>
      <c r="V2597">
        <v>0</v>
      </c>
      <c r="W2597">
        <v>0</v>
      </c>
      <c r="X2597">
        <v>1</v>
      </c>
      <c r="Y2597">
        <v>0</v>
      </c>
      <c r="Z2597">
        <v>0</v>
      </c>
      <c r="AB2597">
        <v>0</v>
      </c>
      <c r="AC2597">
        <v>9</v>
      </c>
      <c r="AD2597">
        <v>3</v>
      </c>
      <c r="AE2597">
        <v>0</v>
      </c>
      <c r="AF2597">
        <v>9</v>
      </c>
      <c r="AG2597" t="s">
        <v>158</v>
      </c>
      <c r="AH2597">
        <v>0</v>
      </c>
      <c r="AI2597">
        <v>3</v>
      </c>
      <c r="AJ2597">
        <v>1</v>
      </c>
      <c r="AK2597">
        <v>0</v>
      </c>
      <c r="AL2597" t="s">
        <v>1135</v>
      </c>
      <c r="AM2597">
        <v>46.944772999999998</v>
      </c>
      <c r="AN2597" t="s">
        <v>4890</v>
      </c>
      <c r="AO2597">
        <v>-123.31962300000001</v>
      </c>
      <c r="AP2597">
        <v>100</v>
      </c>
      <c r="AQ2597">
        <v>1900</v>
      </c>
      <c r="AR2597" t="s">
        <v>118</v>
      </c>
      <c r="AS2597">
        <v>-64</v>
      </c>
      <c r="AT2597">
        <v>39</v>
      </c>
      <c r="AU2597">
        <v>0</v>
      </c>
      <c r="BC2597">
        <v>1200</v>
      </c>
      <c r="BD2597">
        <v>1</v>
      </c>
      <c r="BE2597" t="str">
        <f t="shared" si="122"/>
        <v xml:space="preserve">N215T   </v>
      </c>
      <c r="BF2597">
        <v>1</v>
      </c>
      <c r="BH2597">
        <v>0</v>
      </c>
      <c r="BI2597">
        <v>0</v>
      </c>
      <c r="BJ2597">
        <v>0</v>
      </c>
      <c r="BK2597">
        <v>2300</v>
      </c>
      <c r="BL2597">
        <v>400</v>
      </c>
      <c r="BM2597" t="s">
        <v>119</v>
      </c>
      <c r="BN2597">
        <v>1</v>
      </c>
      <c r="BO2597">
        <v>1</v>
      </c>
      <c r="BP2597">
        <v>1</v>
      </c>
      <c r="BQ2597">
        <v>0</v>
      </c>
      <c r="BT2597">
        <v>0</v>
      </c>
      <c r="BU2597">
        <v>0</v>
      </c>
      <c r="BV2597">
        <v>0</v>
      </c>
      <c r="CC2597" t="str">
        <f>"19:18:09.414"</f>
        <v>19:18:09.414</v>
      </c>
      <c r="CD2597" t="str">
        <f>"416952034"</f>
        <v>416952034</v>
      </c>
      <c r="CQ2597">
        <v>0</v>
      </c>
      <c r="CR2597">
        <v>2</v>
      </c>
      <c r="CS2597">
        <v>0</v>
      </c>
      <c r="CT2597">
        <v>2</v>
      </c>
      <c r="CU2597">
        <v>0</v>
      </c>
      <c r="CV2597">
        <v>7</v>
      </c>
      <c r="CW2597" t="s">
        <v>120</v>
      </c>
      <c r="CX2597">
        <v>261</v>
      </c>
      <c r="CY2597">
        <v>2</v>
      </c>
      <c r="CZ2597" t="s">
        <v>121</v>
      </c>
      <c r="DA2597" t="s">
        <v>122</v>
      </c>
      <c r="DD2597">
        <v>15865415</v>
      </c>
      <c r="DE2597" t="s">
        <v>123</v>
      </c>
    </row>
    <row r="2598" spans="1:109" x14ac:dyDescent="0.3">
      <c r="A2598" t="str">
        <f>"19:18:10.750"</f>
        <v>19:18:10.750</v>
      </c>
      <c r="B2598" t="s">
        <v>110</v>
      </c>
      <c r="C2598" t="str">
        <f t="shared" si="120"/>
        <v>ffdfd3c0</v>
      </c>
      <c r="D2598" t="s">
        <v>111</v>
      </c>
      <c r="E2598">
        <v>18</v>
      </c>
      <c r="F2598">
        <v>1018</v>
      </c>
      <c r="G2598" t="s">
        <v>112</v>
      </c>
      <c r="J2598" t="s">
        <v>113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R2598" t="s">
        <v>114</v>
      </c>
      <c r="S2598" t="str">
        <f>"19:18:10.508"</f>
        <v>19:18:10.508</v>
      </c>
      <c r="T2598" t="str">
        <f>"19:18:10.008"</f>
        <v>19:18:10.008</v>
      </c>
      <c r="U2598" t="str">
        <f t="shared" si="121"/>
        <v>a1cdbe</v>
      </c>
      <c r="V2598">
        <v>0</v>
      </c>
      <c r="W2598">
        <v>0</v>
      </c>
      <c r="X2598">
        <v>1</v>
      </c>
      <c r="Y2598">
        <v>0</v>
      </c>
      <c r="Z2598">
        <v>0</v>
      </c>
      <c r="AB2598">
        <v>0</v>
      </c>
      <c r="AC2598">
        <v>9</v>
      </c>
      <c r="AD2598">
        <v>3</v>
      </c>
      <c r="AE2598">
        <v>0</v>
      </c>
      <c r="AF2598">
        <v>9</v>
      </c>
      <c r="AG2598" t="s">
        <v>158</v>
      </c>
      <c r="AH2598">
        <v>0</v>
      </c>
      <c r="AI2598">
        <v>3</v>
      </c>
      <c r="AJ2598">
        <v>1</v>
      </c>
      <c r="AK2598">
        <v>0</v>
      </c>
      <c r="AL2598" t="s">
        <v>4891</v>
      </c>
      <c r="AM2598">
        <v>46.944988000000002</v>
      </c>
      <c r="AN2598" t="s">
        <v>4892</v>
      </c>
      <c r="AO2598">
        <v>-123.32016</v>
      </c>
      <c r="AP2598">
        <v>100</v>
      </c>
      <c r="AQ2598">
        <v>1900</v>
      </c>
      <c r="AR2598" t="s">
        <v>118</v>
      </c>
      <c r="AS2598">
        <v>-64</v>
      </c>
      <c r="AT2598">
        <v>39</v>
      </c>
      <c r="AU2598">
        <v>0</v>
      </c>
      <c r="BC2598">
        <v>1200</v>
      </c>
      <c r="BD2598">
        <v>1</v>
      </c>
      <c r="BE2598" t="str">
        <f t="shared" si="122"/>
        <v xml:space="preserve">N215T   </v>
      </c>
      <c r="BF2598">
        <v>1</v>
      </c>
      <c r="BH2598">
        <v>0</v>
      </c>
      <c r="BI2598">
        <v>0</v>
      </c>
      <c r="BJ2598">
        <v>0</v>
      </c>
      <c r="BK2598">
        <v>2300</v>
      </c>
      <c r="BL2598">
        <v>400</v>
      </c>
      <c r="BM2598" t="s">
        <v>119</v>
      </c>
      <c r="BN2598">
        <v>1</v>
      </c>
      <c r="BO2598">
        <v>1</v>
      </c>
      <c r="BP2598">
        <v>1</v>
      </c>
      <c r="BQ2598">
        <v>0</v>
      </c>
      <c r="BT2598">
        <v>0</v>
      </c>
      <c r="BU2598">
        <v>0</v>
      </c>
      <c r="BV2598">
        <v>0</v>
      </c>
      <c r="CC2598" t="str">
        <f>"19:18:10.516"</f>
        <v>19:18:10.516</v>
      </c>
      <c r="CD2598" t="str">
        <f>"511844179"</f>
        <v>511844179</v>
      </c>
      <c r="CQ2598">
        <v>0</v>
      </c>
      <c r="CR2598">
        <v>2</v>
      </c>
      <c r="CS2598">
        <v>0</v>
      </c>
      <c r="CT2598">
        <v>2</v>
      </c>
      <c r="CU2598">
        <v>0</v>
      </c>
      <c r="CV2598">
        <v>7</v>
      </c>
      <c r="CW2598" t="s">
        <v>120</v>
      </c>
      <c r="CX2598">
        <v>261</v>
      </c>
      <c r="CY2598">
        <v>2</v>
      </c>
      <c r="CZ2598" t="s">
        <v>121</v>
      </c>
      <c r="DA2598" t="s">
        <v>122</v>
      </c>
      <c r="DD2598">
        <v>15866196</v>
      </c>
      <c r="DE2598" t="s">
        <v>123</v>
      </c>
    </row>
    <row r="2599" spans="1:109" x14ac:dyDescent="0.3">
      <c r="A2599" t="str">
        <f>"19:18:11.711"</f>
        <v>19:18:11.711</v>
      </c>
      <c r="B2599" t="s">
        <v>110</v>
      </c>
      <c r="C2599" t="str">
        <f t="shared" si="120"/>
        <v>ffdfd3c0</v>
      </c>
      <c r="D2599" t="s">
        <v>111</v>
      </c>
      <c r="E2599">
        <v>18</v>
      </c>
      <c r="F2599">
        <v>1018</v>
      </c>
      <c r="G2599" t="s">
        <v>112</v>
      </c>
      <c r="J2599" t="s">
        <v>113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R2599" t="s">
        <v>114</v>
      </c>
      <c r="S2599" t="str">
        <f>"19:18:11.516"</f>
        <v>19:18:11.516</v>
      </c>
      <c r="T2599" t="str">
        <f>"19:18:11.016"</f>
        <v>19:18:11.016</v>
      </c>
      <c r="U2599" t="str">
        <f t="shared" si="121"/>
        <v>a1cdbe</v>
      </c>
      <c r="V2599">
        <v>0</v>
      </c>
      <c r="W2599">
        <v>0</v>
      </c>
      <c r="X2599">
        <v>1</v>
      </c>
      <c r="Y2599">
        <v>0</v>
      </c>
      <c r="Z2599">
        <v>0</v>
      </c>
      <c r="AB2599">
        <v>0</v>
      </c>
      <c r="AC2599">
        <v>9</v>
      </c>
      <c r="AD2599">
        <v>3</v>
      </c>
      <c r="AE2599">
        <v>0</v>
      </c>
      <c r="AF2599">
        <v>9</v>
      </c>
      <c r="AG2599" t="s">
        <v>158</v>
      </c>
      <c r="AH2599">
        <v>0</v>
      </c>
      <c r="AI2599">
        <v>3</v>
      </c>
      <c r="AJ2599">
        <v>1</v>
      </c>
      <c r="AK2599">
        <v>0</v>
      </c>
      <c r="AL2599" t="s">
        <v>4893</v>
      </c>
      <c r="AM2599">
        <v>46.945138</v>
      </c>
      <c r="AN2599" t="s">
        <v>4894</v>
      </c>
      <c r="AO2599">
        <v>-123.32054599999999</v>
      </c>
      <c r="AP2599">
        <v>100</v>
      </c>
      <c r="AQ2599">
        <v>1900</v>
      </c>
      <c r="AR2599" t="s">
        <v>118</v>
      </c>
      <c r="AS2599">
        <v>-64</v>
      </c>
      <c r="AT2599">
        <v>38</v>
      </c>
      <c r="AU2599">
        <v>0</v>
      </c>
      <c r="BC2599">
        <v>1200</v>
      </c>
      <c r="BD2599">
        <v>1</v>
      </c>
      <c r="BE2599" t="str">
        <f t="shared" si="122"/>
        <v xml:space="preserve">N215T   </v>
      </c>
      <c r="BF2599">
        <v>1</v>
      </c>
      <c r="BH2599">
        <v>0</v>
      </c>
      <c r="BI2599">
        <v>0</v>
      </c>
      <c r="BJ2599">
        <v>0</v>
      </c>
      <c r="BK2599">
        <v>2300</v>
      </c>
      <c r="BL2599">
        <v>400</v>
      </c>
      <c r="BM2599" t="s">
        <v>119</v>
      </c>
      <c r="BN2599">
        <v>1</v>
      </c>
      <c r="BO2599">
        <v>1</v>
      </c>
      <c r="BP2599">
        <v>1</v>
      </c>
      <c r="BQ2599">
        <v>0</v>
      </c>
      <c r="BT2599">
        <v>0</v>
      </c>
      <c r="BU2599">
        <v>0</v>
      </c>
      <c r="BV2599">
        <v>0</v>
      </c>
      <c r="CC2599" t="str">
        <f>"19:18:11.516"</f>
        <v>19:18:11.516</v>
      </c>
      <c r="CD2599" t="str">
        <f>"516745183"</f>
        <v>516745183</v>
      </c>
      <c r="CQ2599">
        <v>0</v>
      </c>
      <c r="CR2599">
        <v>2</v>
      </c>
      <c r="CS2599">
        <v>0</v>
      </c>
      <c r="CT2599">
        <v>2</v>
      </c>
      <c r="CU2599">
        <v>0</v>
      </c>
      <c r="CV2599">
        <v>7</v>
      </c>
      <c r="CW2599" t="s">
        <v>120</v>
      </c>
      <c r="CX2599">
        <v>261</v>
      </c>
      <c r="CY2599">
        <v>2</v>
      </c>
      <c r="CZ2599" t="s">
        <v>121</v>
      </c>
      <c r="DA2599" t="s">
        <v>122</v>
      </c>
      <c r="DD2599">
        <v>15866898</v>
      </c>
      <c r="DE2599" t="s">
        <v>123</v>
      </c>
    </row>
    <row r="2600" spans="1:109" x14ac:dyDescent="0.3">
      <c r="A2600" t="str">
        <f>"19:18:12.766"</f>
        <v>19:18:12.766</v>
      </c>
      <c r="B2600" t="s">
        <v>110</v>
      </c>
      <c r="C2600" t="str">
        <f t="shared" si="120"/>
        <v>ffdfd3c0</v>
      </c>
      <c r="D2600" t="s">
        <v>111</v>
      </c>
      <c r="E2600">
        <v>18</v>
      </c>
      <c r="F2600">
        <v>1018</v>
      </c>
      <c r="G2600" t="s">
        <v>112</v>
      </c>
      <c r="J2600" t="s">
        <v>113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R2600" t="s">
        <v>114</v>
      </c>
      <c r="S2600" t="str">
        <f>"19:18:12.547"</f>
        <v>19:18:12.547</v>
      </c>
      <c r="T2600" t="str">
        <f>"19:18:12.547"</f>
        <v>19:18:12.547</v>
      </c>
      <c r="U2600" t="str">
        <f t="shared" si="121"/>
        <v>a1cdbe</v>
      </c>
      <c r="V2600">
        <v>0</v>
      </c>
      <c r="W2600">
        <v>0</v>
      </c>
      <c r="X2600">
        <v>1</v>
      </c>
      <c r="Y2600">
        <v>0</v>
      </c>
      <c r="Z2600">
        <v>0</v>
      </c>
      <c r="AB2600">
        <v>0</v>
      </c>
      <c r="AC2600">
        <v>9</v>
      </c>
      <c r="AD2600">
        <v>3</v>
      </c>
      <c r="AE2600">
        <v>0</v>
      </c>
      <c r="AF2600">
        <v>9</v>
      </c>
      <c r="AG2600" t="s">
        <v>158</v>
      </c>
      <c r="AH2600">
        <v>0</v>
      </c>
      <c r="AI2600">
        <v>3</v>
      </c>
      <c r="AJ2600">
        <v>1</v>
      </c>
      <c r="AK2600">
        <v>0</v>
      </c>
      <c r="AL2600" t="s">
        <v>4895</v>
      </c>
      <c r="AM2600">
        <v>46.945309999999999</v>
      </c>
      <c r="AN2600" t="s">
        <v>4896</v>
      </c>
      <c r="AO2600">
        <v>-123.320975</v>
      </c>
      <c r="AP2600">
        <v>100</v>
      </c>
      <c r="AQ2600">
        <v>1900</v>
      </c>
      <c r="AR2600" t="s">
        <v>118</v>
      </c>
      <c r="AS2600">
        <v>-64</v>
      </c>
      <c r="AT2600">
        <v>38</v>
      </c>
      <c r="AU2600">
        <v>0</v>
      </c>
      <c r="BC2600">
        <v>1200</v>
      </c>
      <c r="BD2600">
        <v>1</v>
      </c>
      <c r="BE2600" t="str">
        <f t="shared" si="122"/>
        <v xml:space="preserve">N215T   </v>
      </c>
      <c r="BF2600">
        <v>1</v>
      </c>
      <c r="BH2600">
        <v>0</v>
      </c>
      <c r="BI2600">
        <v>0</v>
      </c>
      <c r="BJ2600">
        <v>0</v>
      </c>
      <c r="BK2600">
        <v>2300</v>
      </c>
      <c r="BL2600">
        <v>400</v>
      </c>
      <c r="BM2600" t="s">
        <v>119</v>
      </c>
      <c r="BN2600">
        <v>1</v>
      </c>
      <c r="BO2600">
        <v>1</v>
      </c>
      <c r="BP2600">
        <v>1</v>
      </c>
      <c r="BQ2600">
        <v>0</v>
      </c>
      <c r="BT2600">
        <v>0</v>
      </c>
      <c r="BU2600">
        <v>0</v>
      </c>
      <c r="BV2600">
        <v>0</v>
      </c>
      <c r="CC2600" t="str">
        <f>"19:18:12.555"</f>
        <v>19:18:12.555</v>
      </c>
      <c r="CD2600" t="str">
        <f>"551643252"</f>
        <v>551643252</v>
      </c>
      <c r="CQ2600">
        <v>0</v>
      </c>
      <c r="CR2600">
        <v>2</v>
      </c>
      <c r="CS2600">
        <v>0</v>
      </c>
      <c r="CT2600">
        <v>2</v>
      </c>
      <c r="CU2600">
        <v>0</v>
      </c>
      <c r="CV2600">
        <v>6</v>
      </c>
      <c r="CW2600" t="s">
        <v>120</v>
      </c>
      <c r="CX2600">
        <v>261</v>
      </c>
      <c r="CY2600">
        <v>3</v>
      </c>
      <c r="CZ2600" t="s">
        <v>121</v>
      </c>
      <c r="DA2600" t="s">
        <v>122</v>
      </c>
      <c r="DD2600">
        <v>3815623</v>
      </c>
      <c r="DE2600" t="s">
        <v>123</v>
      </c>
    </row>
    <row r="2601" spans="1:109" x14ac:dyDescent="0.3">
      <c r="A2601" t="str">
        <f>"19:18:13.766"</f>
        <v>19:18:13.766</v>
      </c>
      <c r="B2601" t="s">
        <v>110</v>
      </c>
      <c r="C2601" t="str">
        <f t="shared" si="120"/>
        <v>ffdfd3c0</v>
      </c>
      <c r="D2601" t="s">
        <v>111</v>
      </c>
      <c r="E2601">
        <v>18</v>
      </c>
      <c r="F2601">
        <v>1018</v>
      </c>
      <c r="G2601" t="s">
        <v>112</v>
      </c>
      <c r="J2601" t="s">
        <v>113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R2601" t="s">
        <v>114</v>
      </c>
      <c r="S2601" t="str">
        <f>"19:18:13.508"</f>
        <v>19:18:13.508</v>
      </c>
      <c r="T2601" t="str">
        <f>"19:18:13.508"</f>
        <v>19:18:13.508</v>
      </c>
      <c r="U2601" t="str">
        <f t="shared" si="121"/>
        <v>a1cdbe</v>
      </c>
      <c r="V2601">
        <v>0</v>
      </c>
      <c r="W2601">
        <v>0</v>
      </c>
      <c r="X2601">
        <v>1</v>
      </c>
      <c r="Y2601">
        <v>0</v>
      </c>
      <c r="Z2601">
        <v>0</v>
      </c>
      <c r="AB2601">
        <v>0</v>
      </c>
      <c r="AC2601">
        <v>9</v>
      </c>
      <c r="AD2601">
        <v>3</v>
      </c>
      <c r="AE2601">
        <v>0</v>
      </c>
      <c r="AF2601">
        <v>9</v>
      </c>
      <c r="AG2601" t="s">
        <v>158</v>
      </c>
      <c r="AH2601">
        <v>0</v>
      </c>
      <c r="AI2601">
        <v>3</v>
      </c>
      <c r="AJ2601">
        <v>1</v>
      </c>
      <c r="AK2601">
        <v>0</v>
      </c>
      <c r="AL2601" t="s">
        <v>4897</v>
      </c>
      <c r="AM2601">
        <v>46.945503000000002</v>
      </c>
      <c r="AN2601" t="s">
        <v>4898</v>
      </c>
      <c r="AO2601">
        <v>-123.321383</v>
      </c>
      <c r="AP2601">
        <v>100</v>
      </c>
      <c r="AQ2601">
        <v>1900</v>
      </c>
      <c r="AR2601" t="s">
        <v>118</v>
      </c>
      <c r="AS2601">
        <v>-65</v>
      </c>
      <c r="AT2601">
        <v>37</v>
      </c>
      <c r="AU2601">
        <v>0</v>
      </c>
      <c r="BC2601">
        <v>1200</v>
      </c>
      <c r="BD2601">
        <v>1</v>
      </c>
      <c r="BE2601" t="str">
        <f t="shared" si="122"/>
        <v xml:space="preserve">N215T   </v>
      </c>
      <c r="BF2601">
        <v>1</v>
      </c>
      <c r="BH2601">
        <v>0</v>
      </c>
      <c r="BI2601">
        <v>0</v>
      </c>
      <c r="BJ2601">
        <v>0</v>
      </c>
      <c r="BK2601">
        <v>2300</v>
      </c>
      <c r="BL2601">
        <v>400</v>
      </c>
      <c r="BM2601" t="s">
        <v>119</v>
      </c>
      <c r="BN2601">
        <v>1</v>
      </c>
      <c r="BO2601">
        <v>1</v>
      </c>
      <c r="BP2601">
        <v>1</v>
      </c>
      <c r="BQ2601">
        <v>0</v>
      </c>
      <c r="BT2601">
        <v>0</v>
      </c>
      <c r="BU2601">
        <v>0</v>
      </c>
      <c r="BV2601">
        <v>0</v>
      </c>
      <c r="CC2601" t="str">
        <f>"19:18:13.508"</f>
        <v>19:18:13.508</v>
      </c>
      <c r="CD2601" t="str">
        <f>"511548668"</f>
        <v>511548668</v>
      </c>
      <c r="CQ2601">
        <v>0</v>
      </c>
      <c r="CR2601">
        <v>2</v>
      </c>
      <c r="CS2601">
        <v>0</v>
      </c>
      <c r="CT2601">
        <v>2</v>
      </c>
      <c r="CU2601">
        <v>0</v>
      </c>
      <c r="CV2601">
        <v>7</v>
      </c>
      <c r="CW2601" t="s">
        <v>120</v>
      </c>
      <c r="CX2601">
        <v>261</v>
      </c>
      <c r="CY2601">
        <v>2</v>
      </c>
      <c r="CZ2601" t="s">
        <v>121</v>
      </c>
      <c r="DA2601" t="s">
        <v>122</v>
      </c>
      <c r="DD2601">
        <v>15868304</v>
      </c>
      <c r="DE2601" t="s">
        <v>123</v>
      </c>
    </row>
    <row r="2602" spans="1:109" x14ac:dyDescent="0.3">
      <c r="A2602" t="str">
        <f>"19:18:14.828"</f>
        <v>19:18:14.828</v>
      </c>
      <c r="B2602" t="s">
        <v>110</v>
      </c>
      <c r="C2602" t="str">
        <f t="shared" si="120"/>
        <v>ffdfd3c0</v>
      </c>
      <c r="D2602" t="s">
        <v>111</v>
      </c>
      <c r="E2602">
        <v>18</v>
      </c>
      <c r="F2602">
        <v>1018</v>
      </c>
      <c r="G2602" t="s">
        <v>112</v>
      </c>
      <c r="J2602" t="s">
        <v>113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R2602" t="s">
        <v>114</v>
      </c>
      <c r="S2602" t="str">
        <f>"19:18:14.586"</f>
        <v>19:18:14.586</v>
      </c>
      <c r="T2602" t="str">
        <f>"19:18:14.586"</f>
        <v>19:18:14.586</v>
      </c>
      <c r="U2602" t="str">
        <f t="shared" si="121"/>
        <v>a1cdbe</v>
      </c>
      <c r="V2602">
        <v>0</v>
      </c>
      <c r="W2602">
        <v>0</v>
      </c>
      <c r="X2602">
        <v>1</v>
      </c>
      <c r="Y2602">
        <v>0</v>
      </c>
      <c r="Z2602">
        <v>0</v>
      </c>
      <c r="AB2602">
        <v>0</v>
      </c>
      <c r="AC2602">
        <v>9</v>
      </c>
      <c r="AD2602">
        <v>3</v>
      </c>
      <c r="AE2602">
        <v>0</v>
      </c>
      <c r="AF2602">
        <v>9</v>
      </c>
      <c r="AG2602" t="s">
        <v>158</v>
      </c>
      <c r="AH2602">
        <v>0</v>
      </c>
      <c r="AI2602">
        <v>3</v>
      </c>
      <c r="AJ2602">
        <v>1</v>
      </c>
      <c r="AK2602">
        <v>0</v>
      </c>
      <c r="AL2602" t="s">
        <v>4899</v>
      </c>
      <c r="AM2602">
        <v>46.945695999999998</v>
      </c>
      <c r="AN2602" t="s">
        <v>4900</v>
      </c>
      <c r="AO2602">
        <v>-123.321877</v>
      </c>
      <c r="AP2602">
        <v>100</v>
      </c>
      <c r="AQ2602">
        <v>1900</v>
      </c>
      <c r="AR2602" t="s">
        <v>118</v>
      </c>
      <c r="AS2602">
        <v>-65</v>
      </c>
      <c r="AT2602">
        <v>37</v>
      </c>
      <c r="AU2602">
        <v>64</v>
      </c>
      <c r="BC2602">
        <v>1200</v>
      </c>
      <c r="BD2602">
        <v>1</v>
      </c>
      <c r="BE2602" t="str">
        <f t="shared" si="122"/>
        <v xml:space="preserve">N215T   </v>
      </c>
      <c r="BF2602">
        <v>1</v>
      </c>
      <c r="BH2602">
        <v>0</v>
      </c>
      <c r="BI2602">
        <v>0</v>
      </c>
      <c r="BJ2602">
        <v>0</v>
      </c>
      <c r="BK2602">
        <v>2300</v>
      </c>
      <c r="BL2602">
        <v>400</v>
      </c>
      <c r="BM2602" t="s">
        <v>119</v>
      </c>
      <c r="BN2602">
        <v>1</v>
      </c>
      <c r="BO2602">
        <v>1</v>
      </c>
      <c r="BP2602">
        <v>1</v>
      </c>
      <c r="BQ2602">
        <v>0</v>
      </c>
      <c r="BT2602">
        <v>0</v>
      </c>
      <c r="BU2602">
        <v>0</v>
      </c>
      <c r="BV2602">
        <v>0</v>
      </c>
      <c r="CC2602" t="str">
        <f>"19:18:14.594"</f>
        <v>19:18:14.594</v>
      </c>
      <c r="CD2602" t="str">
        <f>"591442281"</f>
        <v>591442281</v>
      </c>
      <c r="CQ2602">
        <v>0</v>
      </c>
      <c r="CR2602">
        <v>2</v>
      </c>
      <c r="CS2602">
        <v>0</v>
      </c>
      <c r="CT2602">
        <v>2</v>
      </c>
      <c r="CU2602">
        <v>0</v>
      </c>
      <c r="CV2602">
        <v>7</v>
      </c>
      <c r="CW2602" t="s">
        <v>120</v>
      </c>
      <c r="CX2602">
        <v>261</v>
      </c>
      <c r="CY2602">
        <v>2</v>
      </c>
      <c r="CZ2602" t="s">
        <v>121</v>
      </c>
      <c r="DA2602" t="s">
        <v>122</v>
      </c>
      <c r="DD2602">
        <v>15869073</v>
      </c>
      <c r="DE2602" t="s">
        <v>123</v>
      </c>
    </row>
    <row r="2603" spans="1:109" x14ac:dyDescent="0.3">
      <c r="A2603" t="str">
        <f>"19:18:15.727"</f>
        <v>19:18:15.727</v>
      </c>
      <c r="B2603" t="s">
        <v>110</v>
      </c>
      <c r="C2603" t="str">
        <f t="shared" si="120"/>
        <v>ffdfd3c0</v>
      </c>
      <c r="D2603" t="s">
        <v>111</v>
      </c>
      <c r="E2603">
        <v>18</v>
      </c>
      <c r="F2603">
        <v>1018</v>
      </c>
      <c r="G2603" t="s">
        <v>112</v>
      </c>
      <c r="J2603" t="s">
        <v>113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R2603" t="s">
        <v>114</v>
      </c>
      <c r="S2603" t="str">
        <f>"19:18:15.500"</f>
        <v>19:18:15.500</v>
      </c>
      <c r="T2603" t="str">
        <f>"19:18:15.102"</f>
        <v>19:18:15.102</v>
      </c>
      <c r="U2603" t="str">
        <f t="shared" si="121"/>
        <v>a1cdbe</v>
      </c>
      <c r="V2603">
        <v>0</v>
      </c>
      <c r="W2603">
        <v>0</v>
      </c>
      <c r="X2603">
        <v>1</v>
      </c>
      <c r="Y2603">
        <v>0</v>
      </c>
      <c r="Z2603">
        <v>0</v>
      </c>
      <c r="AB2603">
        <v>0</v>
      </c>
      <c r="AC2603">
        <v>9</v>
      </c>
      <c r="AD2603">
        <v>3</v>
      </c>
      <c r="AE2603">
        <v>0</v>
      </c>
      <c r="AF2603">
        <v>9</v>
      </c>
      <c r="AG2603" t="s">
        <v>158</v>
      </c>
      <c r="AH2603">
        <v>0</v>
      </c>
      <c r="AI2603">
        <v>3</v>
      </c>
      <c r="AJ2603">
        <v>1</v>
      </c>
      <c r="AK2603">
        <v>0</v>
      </c>
      <c r="AL2603" t="s">
        <v>4901</v>
      </c>
      <c r="AM2603">
        <v>46.945846000000003</v>
      </c>
      <c r="AN2603" t="s">
        <v>4902</v>
      </c>
      <c r="AO2603">
        <v>-123.322306</v>
      </c>
      <c r="AP2603">
        <v>100</v>
      </c>
      <c r="AQ2603">
        <v>1900</v>
      </c>
      <c r="AR2603" t="s">
        <v>118</v>
      </c>
      <c r="AS2603">
        <v>-65</v>
      </c>
      <c r="AT2603">
        <v>37</v>
      </c>
      <c r="AU2603">
        <v>64</v>
      </c>
      <c r="BC2603">
        <v>1200</v>
      </c>
      <c r="BD2603">
        <v>1</v>
      </c>
      <c r="BE2603" t="str">
        <f t="shared" si="122"/>
        <v xml:space="preserve">N215T   </v>
      </c>
      <c r="BF2603">
        <v>1</v>
      </c>
      <c r="BH2603">
        <v>0</v>
      </c>
      <c r="BI2603">
        <v>0</v>
      </c>
      <c r="BJ2603">
        <v>0</v>
      </c>
      <c r="BK2603">
        <v>2300</v>
      </c>
      <c r="BL2603">
        <v>400</v>
      </c>
      <c r="BM2603" t="s">
        <v>119</v>
      </c>
      <c r="BN2603">
        <v>1</v>
      </c>
      <c r="BO2603">
        <v>1</v>
      </c>
      <c r="BP2603">
        <v>1</v>
      </c>
      <c r="BQ2603">
        <v>0</v>
      </c>
      <c r="BT2603">
        <v>0</v>
      </c>
      <c r="BU2603">
        <v>0</v>
      </c>
      <c r="BV2603">
        <v>0</v>
      </c>
      <c r="CC2603" t="str">
        <f>"19:18:15.508"</f>
        <v>19:18:15.508</v>
      </c>
      <c r="CD2603" t="str">
        <f>"506352162"</f>
        <v>506352162</v>
      </c>
      <c r="CQ2603">
        <v>0</v>
      </c>
      <c r="CR2603">
        <v>2</v>
      </c>
      <c r="CS2603">
        <v>0</v>
      </c>
      <c r="CT2603">
        <v>2</v>
      </c>
      <c r="CU2603">
        <v>0</v>
      </c>
      <c r="CV2603">
        <v>6</v>
      </c>
      <c r="CW2603" t="s">
        <v>120</v>
      </c>
      <c r="CX2603">
        <v>261</v>
      </c>
      <c r="CY2603">
        <v>3</v>
      </c>
      <c r="CZ2603" t="s">
        <v>121</v>
      </c>
      <c r="DA2603" t="s">
        <v>122</v>
      </c>
      <c r="DD2603">
        <v>3816329</v>
      </c>
      <c r="DE2603" t="s">
        <v>123</v>
      </c>
    </row>
    <row r="2604" spans="1:109" x14ac:dyDescent="0.3">
      <c r="A2604" t="str">
        <f>"19:18:16.688"</f>
        <v>19:18:16.688</v>
      </c>
      <c r="B2604" t="s">
        <v>110</v>
      </c>
      <c r="C2604" t="str">
        <f t="shared" si="120"/>
        <v>ffdfd3c0</v>
      </c>
      <c r="D2604" t="s">
        <v>111</v>
      </c>
      <c r="E2604">
        <v>18</v>
      </c>
      <c r="F2604">
        <v>1018</v>
      </c>
      <c r="G2604" t="s">
        <v>112</v>
      </c>
      <c r="J2604" t="s">
        <v>113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R2604" t="s">
        <v>114</v>
      </c>
      <c r="S2604" t="str">
        <f>"19:18:16.445"</f>
        <v>19:18:16.445</v>
      </c>
      <c r="T2604" t="str">
        <f>"19:18:16.047"</f>
        <v>19:18:16.047</v>
      </c>
      <c r="U2604" t="str">
        <f t="shared" si="121"/>
        <v>a1cdbe</v>
      </c>
      <c r="V2604">
        <v>0</v>
      </c>
      <c r="W2604">
        <v>0</v>
      </c>
      <c r="X2604">
        <v>1</v>
      </c>
      <c r="Y2604">
        <v>0</v>
      </c>
      <c r="Z2604">
        <v>0</v>
      </c>
      <c r="AB2604">
        <v>0</v>
      </c>
      <c r="AC2604">
        <v>9</v>
      </c>
      <c r="AD2604">
        <v>3</v>
      </c>
      <c r="AE2604">
        <v>0</v>
      </c>
      <c r="AF2604">
        <v>9</v>
      </c>
      <c r="AG2604" t="s">
        <v>158</v>
      </c>
      <c r="AH2604">
        <v>0</v>
      </c>
      <c r="AI2604">
        <v>3</v>
      </c>
      <c r="AJ2604">
        <v>1</v>
      </c>
      <c r="AK2604">
        <v>0</v>
      </c>
      <c r="AL2604" t="s">
        <v>4903</v>
      </c>
      <c r="AM2604">
        <v>46.945996000000001</v>
      </c>
      <c r="AN2604" t="s">
        <v>4904</v>
      </c>
      <c r="AO2604">
        <v>-123.322692</v>
      </c>
      <c r="AP2604">
        <v>100</v>
      </c>
      <c r="AQ2604">
        <v>1900</v>
      </c>
      <c r="AR2604" t="s">
        <v>118</v>
      </c>
      <c r="AS2604">
        <v>-65</v>
      </c>
      <c r="AT2604">
        <v>36</v>
      </c>
      <c r="AU2604">
        <v>64</v>
      </c>
      <c r="BC2604">
        <v>1200</v>
      </c>
      <c r="BD2604">
        <v>1</v>
      </c>
      <c r="BE2604" t="str">
        <f t="shared" si="122"/>
        <v xml:space="preserve">N215T   </v>
      </c>
      <c r="BF2604">
        <v>1</v>
      </c>
      <c r="BH2604">
        <v>0</v>
      </c>
      <c r="BI2604">
        <v>0</v>
      </c>
      <c r="BJ2604">
        <v>0</v>
      </c>
      <c r="BK2604">
        <v>2300</v>
      </c>
      <c r="BL2604">
        <v>400</v>
      </c>
      <c r="BM2604" t="s">
        <v>119</v>
      </c>
      <c r="BN2604">
        <v>1</v>
      </c>
      <c r="BO2604">
        <v>1</v>
      </c>
      <c r="BP2604">
        <v>1</v>
      </c>
      <c r="BQ2604">
        <v>0</v>
      </c>
      <c r="BT2604">
        <v>0</v>
      </c>
      <c r="BU2604">
        <v>0</v>
      </c>
      <c r="BV2604">
        <v>0</v>
      </c>
      <c r="CC2604" t="str">
        <f>"19:18:16.453"</f>
        <v>19:18:16.453</v>
      </c>
      <c r="CD2604" t="str">
        <f>"451259074"</f>
        <v>451259074</v>
      </c>
      <c r="CQ2604">
        <v>0</v>
      </c>
      <c r="CR2604">
        <v>2</v>
      </c>
      <c r="CS2604">
        <v>0</v>
      </c>
      <c r="CT2604">
        <v>2</v>
      </c>
      <c r="CU2604">
        <v>0</v>
      </c>
      <c r="CV2604">
        <v>7</v>
      </c>
      <c r="CW2604" t="s">
        <v>120</v>
      </c>
      <c r="CX2604">
        <v>261</v>
      </c>
      <c r="CY2604">
        <v>2</v>
      </c>
      <c r="CZ2604" t="s">
        <v>121</v>
      </c>
      <c r="DA2604" t="s">
        <v>122</v>
      </c>
      <c r="DD2604">
        <v>15870378</v>
      </c>
      <c r="DE2604" t="s">
        <v>123</v>
      </c>
    </row>
    <row r="2605" spans="1:109" x14ac:dyDescent="0.3">
      <c r="A2605" t="str">
        <f>"19:18:17.539"</f>
        <v>19:18:17.539</v>
      </c>
      <c r="B2605" t="s">
        <v>110</v>
      </c>
      <c r="C2605" t="str">
        <f t="shared" si="120"/>
        <v>ffdfd3c0</v>
      </c>
      <c r="D2605" t="s">
        <v>111</v>
      </c>
      <c r="E2605">
        <v>18</v>
      </c>
      <c r="F2605">
        <v>1018</v>
      </c>
      <c r="G2605" t="s">
        <v>112</v>
      </c>
      <c r="J2605" t="s">
        <v>113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R2605" t="s">
        <v>114</v>
      </c>
      <c r="S2605" t="str">
        <f>"19:18:17.289"</f>
        <v>19:18:17.289</v>
      </c>
      <c r="T2605" t="str">
        <f>"19:18:17.086"</f>
        <v>19:18:17.086</v>
      </c>
      <c r="U2605" t="str">
        <f t="shared" si="121"/>
        <v>a1cdbe</v>
      </c>
      <c r="V2605">
        <v>0</v>
      </c>
      <c r="W2605">
        <v>0</v>
      </c>
      <c r="X2605">
        <v>1</v>
      </c>
      <c r="Y2605">
        <v>0</v>
      </c>
      <c r="Z2605">
        <v>0</v>
      </c>
      <c r="AB2605">
        <v>0</v>
      </c>
      <c r="AC2605">
        <v>9</v>
      </c>
      <c r="AD2605">
        <v>3</v>
      </c>
      <c r="AE2605">
        <v>0</v>
      </c>
      <c r="AF2605">
        <v>9</v>
      </c>
      <c r="AG2605" t="s">
        <v>158</v>
      </c>
      <c r="AH2605">
        <v>0</v>
      </c>
      <c r="AI2605">
        <v>3</v>
      </c>
      <c r="AJ2605">
        <v>1</v>
      </c>
      <c r="AK2605">
        <v>0</v>
      </c>
      <c r="AL2605" t="s">
        <v>4905</v>
      </c>
      <c r="AM2605">
        <v>46.946145999999999</v>
      </c>
      <c r="AN2605" t="s">
        <v>4906</v>
      </c>
      <c r="AO2605">
        <v>-123.323035</v>
      </c>
      <c r="AP2605">
        <v>100</v>
      </c>
      <c r="AQ2605">
        <v>1900</v>
      </c>
      <c r="AR2605" t="s">
        <v>118</v>
      </c>
      <c r="AS2605">
        <v>-64</v>
      </c>
      <c r="AT2605">
        <v>36</v>
      </c>
      <c r="AU2605">
        <v>128</v>
      </c>
      <c r="BC2605">
        <v>1200</v>
      </c>
      <c r="BD2605">
        <v>1</v>
      </c>
      <c r="BE2605" t="str">
        <f t="shared" si="122"/>
        <v xml:space="preserve">N215T   </v>
      </c>
      <c r="BF2605">
        <v>1</v>
      </c>
      <c r="BH2605">
        <v>0</v>
      </c>
      <c r="BI2605">
        <v>0</v>
      </c>
      <c r="BJ2605">
        <v>0</v>
      </c>
      <c r="BK2605">
        <v>2300</v>
      </c>
      <c r="BL2605">
        <v>400</v>
      </c>
      <c r="BM2605" t="s">
        <v>119</v>
      </c>
      <c r="BN2605">
        <v>1</v>
      </c>
      <c r="BO2605">
        <v>1</v>
      </c>
      <c r="BP2605">
        <v>1</v>
      </c>
      <c r="BQ2605">
        <v>0</v>
      </c>
      <c r="BT2605">
        <v>0</v>
      </c>
      <c r="BU2605">
        <v>0</v>
      </c>
      <c r="BV2605">
        <v>0</v>
      </c>
      <c r="CC2605" t="str">
        <f>"19:18:17.289"</f>
        <v>19:18:17.289</v>
      </c>
      <c r="CD2605" t="str">
        <f>"291176339"</f>
        <v>291176339</v>
      </c>
      <c r="CQ2605">
        <v>0</v>
      </c>
      <c r="CR2605">
        <v>2</v>
      </c>
      <c r="CS2605">
        <v>0</v>
      </c>
      <c r="CT2605">
        <v>2</v>
      </c>
      <c r="CU2605">
        <v>0</v>
      </c>
      <c r="CV2605">
        <v>7</v>
      </c>
      <c r="CW2605" t="s">
        <v>120</v>
      </c>
      <c r="CX2605">
        <v>261</v>
      </c>
      <c r="CY2605">
        <v>2</v>
      </c>
      <c r="CZ2605" t="s">
        <v>121</v>
      </c>
      <c r="DA2605" t="s">
        <v>122</v>
      </c>
      <c r="DD2605">
        <v>15870942</v>
      </c>
      <c r="DE2605" t="s">
        <v>123</v>
      </c>
    </row>
    <row r="2606" spans="1:109" x14ac:dyDescent="0.3">
      <c r="A2606" t="str">
        <f>"19:18:18.492"</f>
        <v>19:18:18.492</v>
      </c>
      <c r="B2606" t="s">
        <v>110</v>
      </c>
      <c r="C2606" t="str">
        <f t="shared" si="120"/>
        <v>ffdfd3c0</v>
      </c>
      <c r="D2606" t="s">
        <v>111</v>
      </c>
      <c r="E2606">
        <v>18</v>
      </c>
      <c r="F2606">
        <v>1018</v>
      </c>
      <c r="G2606" t="s">
        <v>112</v>
      </c>
      <c r="J2606" t="s">
        <v>113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R2606" t="s">
        <v>114</v>
      </c>
      <c r="S2606" t="str">
        <f>"19:18:18.266"</f>
        <v>19:18:18.266</v>
      </c>
      <c r="T2606" t="str">
        <f>"19:18:18.063"</f>
        <v>19:18:18.063</v>
      </c>
      <c r="U2606" t="str">
        <f t="shared" si="121"/>
        <v>a1cdbe</v>
      </c>
      <c r="V2606">
        <v>0</v>
      </c>
      <c r="W2606">
        <v>0</v>
      </c>
      <c r="X2606">
        <v>1</v>
      </c>
      <c r="Y2606">
        <v>0</v>
      </c>
      <c r="Z2606">
        <v>0</v>
      </c>
      <c r="AB2606">
        <v>0</v>
      </c>
      <c r="AC2606">
        <v>9</v>
      </c>
      <c r="AD2606">
        <v>3</v>
      </c>
      <c r="AE2606">
        <v>0</v>
      </c>
      <c r="AF2606">
        <v>9</v>
      </c>
      <c r="AG2606" t="s">
        <v>158</v>
      </c>
      <c r="AH2606">
        <v>0</v>
      </c>
      <c r="AI2606">
        <v>3</v>
      </c>
      <c r="AJ2606">
        <v>1</v>
      </c>
      <c r="AK2606">
        <v>0</v>
      </c>
      <c r="AL2606" t="s">
        <v>4907</v>
      </c>
      <c r="AM2606">
        <v>46.946297000000001</v>
      </c>
      <c r="AN2606" t="s">
        <v>4908</v>
      </c>
      <c r="AO2606">
        <v>-123.32350700000001</v>
      </c>
      <c r="AP2606">
        <v>100</v>
      </c>
      <c r="AQ2606">
        <v>1900</v>
      </c>
      <c r="AR2606" t="s">
        <v>118</v>
      </c>
      <c r="AS2606">
        <v>-64</v>
      </c>
      <c r="AT2606">
        <v>36</v>
      </c>
      <c r="AU2606">
        <v>128</v>
      </c>
      <c r="BC2606">
        <v>1200</v>
      </c>
      <c r="BD2606">
        <v>1</v>
      </c>
      <c r="BE2606" t="str">
        <f t="shared" si="122"/>
        <v xml:space="preserve">N215T   </v>
      </c>
      <c r="BF2606">
        <v>1</v>
      </c>
      <c r="BH2606">
        <v>0</v>
      </c>
      <c r="BI2606">
        <v>0</v>
      </c>
      <c r="BJ2606">
        <v>0</v>
      </c>
      <c r="BK2606">
        <v>2325</v>
      </c>
      <c r="BL2606">
        <v>425</v>
      </c>
      <c r="BM2606" t="s">
        <v>119</v>
      </c>
      <c r="BN2606">
        <v>1</v>
      </c>
      <c r="BO2606">
        <v>1</v>
      </c>
      <c r="BP2606">
        <v>1</v>
      </c>
      <c r="BQ2606">
        <v>0</v>
      </c>
      <c r="BT2606">
        <v>0</v>
      </c>
      <c r="BU2606">
        <v>0</v>
      </c>
      <c r="BV2606">
        <v>0</v>
      </c>
      <c r="CC2606" t="str">
        <f>"19:18:18.266"</f>
        <v>19:18:18.266</v>
      </c>
      <c r="CD2606" t="str">
        <f>"266080297"</f>
        <v>266080297</v>
      </c>
      <c r="CQ2606">
        <v>0</v>
      </c>
      <c r="CR2606">
        <v>2</v>
      </c>
      <c r="CS2606">
        <v>0</v>
      </c>
      <c r="CT2606">
        <v>2</v>
      </c>
      <c r="CU2606">
        <v>0</v>
      </c>
      <c r="CV2606">
        <v>6</v>
      </c>
      <c r="CW2606" t="s">
        <v>120</v>
      </c>
      <c r="CX2606">
        <v>261</v>
      </c>
      <c r="CY2606">
        <v>3</v>
      </c>
      <c r="CZ2606" t="s">
        <v>121</v>
      </c>
      <c r="DA2606" t="s">
        <v>122</v>
      </c>
      <c r="DD2606">
        <v>3816986</v>
      </c>
      <c r="DE2606" t="s">
        <v>123</v>
      </c>
    </row>
    <row r="2607" spans="1:109" x14ac:dyDescent="0.3">
      <c r="A2607" t="str">
        <f>"19:18:19.602"</f>
        <v>19:18:19.602</v>
      </c>
      <c r="B2607" t="s">
        <v>110</v>
      </c>
      <c r="C2607" t="str">
        <f t="shared" si="120"/>
        <v>ffdfd3c0</v>
      </c>
      <c r="D2607" t="s">
        <v>111</v>
      </c>
      <c r="E2607">
        <v>18</v>
      </c>
      <c r="F2607">
        <v>1018</v>
      </c>
      <c r="G2607" t="s">
        <v>112</v>
      </c>
      <c r="J2607" t="s">
        <v>113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R2607" t="s">
        <v>114</v>
      </c>
      <c r="S2607" t="str">
        <f>"19:18:19.391"</f>
        <v>19:18:19.391</v>
      </c>
      <c r="T2607" t="str">
        <f>"19:18:19.094"</f>
        <v>19:18:19.094</v>
      </c>
      <c r="U2607" t="str">
        <f t="shared" si="121"/>
        <v>a1cdbe</v>
      </c>
      <c r="V2607">
        <v>0</v>
      </c>
      <c r="W2607">
        <v>0</v>
      </c>
      <c r="X2607">
        <v>1</v>
      </c>
      <c r="Y2607">
        <v>0</v>
      </c>
      <c r="Z2607">
        <v>0</v>
      </c>
      <c r="AB2607">
        <v>0</v>
      </c>
      <c r="AC2607">
        <v>9</v>
      </c>
      <c r="AD2607">
        <v>3</v>
      </c>
      <c r="AE2607">
        <v>0</v>
      </c>
      <c r="AF2607">
        <v>9</v>
      </c>
      <c r="AG2607" t="s">
        <v>158</v>
      </c>
      <c r="AH2607">
        <v>0</v>
      </c>
      <c r="AI2607">
        <v>3</v>
      </c>
      <c r="AJ2607">
        <v>1</v>
      </c>
      <c r="AK2607">
        <v>0</v>
      </c>
      <c r="AL2607" t="s">
        <v>4909</v>
      </c>
      <c r="AM2607">
        <v>46.946489999999997</v>
      </c>
      <c r="AN2607" t="s">
        <v>4910</v>
      </c>
      <c r="AO2607">
        <v>-123.324001</v>
      </c>
      <c r="AP2607">
        <v>100</v>
      </c>
      <c r="AQ2607">
        <v>1900</v>
      </c>
      <c r="AR2607" t="s">
        <v>118</v>
      </c>
      <c r="AS2607">
        <v>-64</v>
      </c>
      <c r="AT2607">
        <v>35</v>
      </c>
      <c r="AU2607">
        <v>128</v>
      </c>
      <c r="BC2607">
        <v>1200</v>
      </c>
      <c r="BD2607">
        <v>1</v>
      </c>
      <c r="BE2607" t="str">
        <f t="shared" si="122"/>
        <v xml:space="preserve">N215T   </v>
      </c>
      <c r="BF2607">
        <v>1</v>
      </c>
      <c r="BH2607">
        <v>0</v>
      </c>
      <c r="BI2607">
        <v>0</v>
      </c>
      <c r="BJ2607">
        <v>0</v>
      </c>
      <c r="BK2607">
        <v>2325</v>
      </c>
      <c r="BL2607">
        <v>425</v>
      </c>
      <c r="BM2607" t="s">
        <v>119</v>
      </c>
      <c r="BN2607">
        <v>1</v>
      </c>
      <c r="BO2607">
        <v>1</v>
      </c>
      <c r="BP2607">
        <v>1</v>
      </c>
      <c r="BQ2607">
        <v>0</v>
      </c>
      <c r="BT2607">
        <v>0</v>
      </c>
      <c r="BU2607">
        <v>0</v>
      </c>
      <c r="BV2607">
        <v>0</v>
      </c>
      <c r="CC2607" t="str">
        <f>"19:18:19.391"</f>
        <v>19:18:19.391</v>
      </c>
      <c r="CD2607" t="str">
        <f>"390969494"</f>
        <v>390969494</v>
      </c>
      <c r="CQ2607">
        <v>0</v>
      </c>
      <c r="CR2607">
        <v>2</v>
      </c>
      <c r="CS2607">
        <v>0</v>
      </c>
      <c r="CT2607">
        <v>2</v>
      </c>
      <c r="CU2607">
        <v>0</v>
      </c>
      <c r="CV2607">
        <v>6</v>
      </c>
      <c r="CW2607" t="s">
        <v>120</v>
      </c>
      <c r="CX2607">
        <v>261</v>
      </c>
      <c r="CY2607">
        <v>2</v>
      </c>
      <c r="CZ2607" t="s">
        <v>121</v>
      </c>
      <c r="DA2607" t="s">
        <v>122</v>
      </c>
      <c r="DD2607">
        <v>15872379</v>
      </c>
      <c r="DE2607" t="s">
        <v>123</v>
      </c>
    </row>
    <row r="2608" spans="1:109" x14ac:dyDescent="0.3">
      <c r="A2608" t="str">
        <f>"19:18:20.758"</f>
        <v>19:18:20.758</v>
      </c>
      <c r="B2608" t="s">
        <v>110</v>
      </c>
      <c r="C2608" t="str">
        <f t="shared" si="120"/>
        <v>ffdfd3c0</v>
      </c>
      <c r="D2608" t="s">
        <v>111</v>
      </c>
      <c r="E2608">
        <v>18</v>
      </c>
      <c r="F2608">
        <v>1018</v>
      </c>
      <c r="G2608" t="s">
        <v>112</v>
      </c>
      <c r="J2608" t="s">
        <v>113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R2608" t="s">
        <v>114</v>
      </c>
      <c r="S2608" t="str">
        <f>"19:18:20.516"</f>
        <v>19:18:20.516</v>
      </c>
      <c r="T2608" t="str">
        <f>"19:18:20.117"</f>
        <v>19:18:20.117</v>
      </c>
      <c r="U2608" t="str">
        <f t="shared" si="121"/>
        <v>a1cdbe</v>
      </c>
      <c r="V2608">
        <v>0</v>
      </c>
      <c r="W2608">
        <v>0</v>
      </c>
      <c r="X2608">
        <v>1</v>
      </c>
      <c r="Y2608">
        <v>0</v>
      </c>
      <c r="Z2608">
        <v>0</v>
      </c>
      <c r="AB2608">
        <v>0</v>
      </c>
      <c r="AC2608">
        <v>9</v>
      </c>
      <c r="AD2608">
        <v>3</v>
      </c>
      <c r="AE2608">
        <v>0</v>
      </c>
      <c r="AF2608">
        <v>9</v>
      </c>
      <c r="AG2608" t="s">
        <v>158</v>
      </c>
      <c r="AH2608">
        <v>0</v>
      </c>
      <c r="AI2608">
        <v>3</v>
      </c>
      <c r="AJ2608">
        <v>1</v>
      </c>
      <c r="AK2608">
        <v>0</v>
      </c>
      <c r="AL2608" t="s">
        <v>4911</v>
      </c>
      <c r="AM2608">
        <v>46.946683</v>
      </c>
      <c r="AN2608" t="s">
        <v>4912</v>
      </c>
      <c r="AO2608">
        <v>-123.324494</v>
      </c>
      <c r="AP2608">
        <v>100</v>
      </c>
      <c r="AQ2608">
        <v>1900</v>
      </c>
      <c r="AR2608" t="s">
        <v>118</v>
      </c>
      <c r="AS2608">
        <v>-64</v>
      </c>
      <c r="AT2608">
        <v>35</v>
      </c>
      <c r="AU2608">
        <v>128</v>
      </c>
      <c r="BC2608">
        <v>1200</v>
      </c>
      <c r="BD2608">
        <v>1</v>
      </c>
      <c r="BE2608" t="str">
        <f t="shared" si="122"/>
        <v xml:space="preserve">N215T   </v>
      </c>
      <c r="BF2608">
        <v>1</v>
      </c>
      <c r="BH2608">
        <v>0</v>
      </c>
      <c r="BI2608">
        <v>0</v>
      </c>
      <c r="BJ2608">
        <v>0</v>
      </c>
      <c r="BK2608">
        <v>2325</v>
      </c>
      <c r="BL2608">
        <v>425</v>
      </c>
      <c r="BM2608" t="s">
        <v>119</v>
      </c>
      <c r="BN2608">
        <v>1</v>
      </c>
      <c r="BO2608">
        <v>1</v>
      </c>
      <c r="BP2608">
        <v>1</v>
      </c>
      <c r="BQ2608">
        <v>0</v>
      </c>
      <c r="BT2608">
        <v>0</v>
      </c>
      <c r="BU2608">
        <v>0</v>
      </c>
      <c r="BV2608">
        <v>0</v>
      </c>
      <c r="CC2608" t="str">
        <f>"19:18:20.516"</f>
        <v>19:18:20.516</v>
      </c>
      <c r="CD2608" t="str">
        <f>"515858684"</f>
        <v>515858684</v>
      </c>
      <c r="CQ2608">
        <v>0</v>
      </c>
      <c r="CR2608">
        <v>2</v>
      </c>
      <c r="CS2608">
        <v>0</v>
      </c>
      <c r="CT2608">
        <v>2</v>
      </c>
      <c r="CU2608">
        <v>0</v>
      </c>
      <c r="CV2608">
        <v>6</v>
      </c>
      <c r="CW2608" t="s">
        <v>120</v>
      </c>
      <c r="CX2608">
        <v>261</v>
      </c>
      <c r="CY2608">
        <v>2</v>
      </c>
      <c r="CZ2608" t="s">
        <v>121</v>
      </c>
      <c r="DA2608" t="s">
        <v>122</v>
      </c>
      <c r="DD2608">
        <v>15873156</v>
      </c>
      <c r="DE2608" t="s">
        <v>123</v>
      </c>
    </row>
    <row r="2609" spans="1:109" x14ac:dyDescent="0.3">
      <c r="A2609" t="str">
        <f>"19:18:21.867"</f>
        <v>19:18:21.867</v>
      </c>
      <c r="B2609" t="s">
        <v>110</v>
      </c>
      <c r="C2609" t="str">
        <f t="shared" si="120"/>
        <v>ffdfd3c0</v>
      </c>
      <c r="D2609" t="s">
        <v>111</v>
      </c>
      <c r="E2609">
        <v>18</v>
      </c>
      <c r="F2609">
        <v>1018</v>
      </c>
      <c r="G2609" t="s">
        <v>112</v>
      </c>
      <c r="J2609" t="s">
        <v>113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R2609" t="s">
        <v>114</v>
      </c>
      <c r="S2609" t="str">
        <f>"19:18:21.641"</f>
        <v>19:18:21.641</v>
      </c>
      <c r="T2609" t="str">
        <f>"19:18:21.141"</f>
        <v>19:18:21.141</v>
      </c>
      <c r="U2609" t="str">
        <f t="shared" si="121"/>
        <v>a1cdbe</v>
      </c>
      <c r="V2609">
        <v>0</v>
      </c>
      <c r="W2609">
        <v>0</v>
      </c>
      <c r="X2609">
        <v>1</v>
      </c>
      <c r="Y2609">
        <v>0</v>
      </c>
      <c r="Z2609">
        <v>0</v>
      </c>
      <c r="AB2609">
        <v>0</v>
      </c>
      <c r="AC2609">
        <v>9</v>
      </c>
      <c r="AD2609">
        <v>3</v>
      </c>
      <c r="AE2609">
        <v>0</v>
      </c>
      <c r="AF2609">
        <v>9</v>
      </c>
      <c r="AG2609" t="s">
        <v>158</v>
      </c>
      <c r="AH2609">
        <v>0</v>
      </c>
      <c r="AI2609">
        <v>3</v>
      </c>
      <c r="AJ2609">
        <v>1</v>
      </c>
      <c r="AK2609">
        <v>0</v>
      </c>
      <c r="AL2609" t="s">
        <v>4913</v>
      </c>
      <c r="AM2609">
        <v>46.946876000000003</v>
      </c>
      <c r="AN2609" t="s">
        <v>4914</v>
      </c>
      <c r="AO2609">
        <v>-123.324966</v>
      </c>
      <c r="AP2609">
        <v>100</v>
      </c>
      <c r="AQ2609">
        <v>1900</v>
      </c>
      <c r="AR2609" t="s">
        <v>118</v>
      </c>
      <c r="AS2609">
        <v>-64</v>
      </c>
      <c r="AT2609">
        <v>34</v>
      </c>
      <c r="AU2609">
        <v>128</v>
      </c>
      <c r="BC2609">
        <v>1200</v>
      </c>
      <c r="BD2609">
        <v>1</v>
      </c>
      <c r="BE2609" t="str">
        <f t="shared" si="122"/>
        <v xml:space="preserve">N215T   </v>
      </c>
      <c r="BF2609">
        <v>1</v>
      </c>
      <c r="BH2609">
        <v>0</v>
      </c>
      <c r="BI2609">
        <v>0</v>
      </c>
      <c r="BJ2609">
        <v>0</v>
      </c>
      <c r="BK2609">
        <v>2325</v>
      </c>
      <c r="BL2609">
        <v>425</v>
      </c>
      <c r="BM2609" t="s">
        <v>119</v>
      </c>
      <c r="BN2609">
        <v>1</v>
      </c>
      <c r="BO2609">
        <v>1</v>
      </c>
      <c r="BP2609">
        <v>1</v>
      </c>
      <c r="BQ2609">
        <v>0</v>
      </c>
      <c r="BT2609">
        <v>0</v>
      </c>
      <c r="BU2609">
        <v>0</v>
      </c>
      <c r="BV2609">
        <v>0</v>
      </c>
      <c r="CC2609" t="str">
        <f>"19:18:21.641"</f>
        <v>19:18:21.641</v>
      </c>
      <c r="CD2609" t="str">
        <f>"640731837"</f>
        <v>640731837</v>
      </c>
      <c r="CQ2609">
        <v>0</v>
      </c>
      <c r="CR2609">
        <v>2</v>
      </c>
      <c r="CS2609">
        <v>0</v>
      </c>
      <c r="CT2609">
        <v>2</v>
      </c>
      <c r="CU2609">
        <v>0</v>
      </c>
      <c r="CV2609">
        <v>6</v>
      </c>
      <c r="CW2609" t="s">
        <v>120</v>
      </c>
      <c r="CX2609">
        <v>257</v>
      </c>
      <c r="CY2609">
        <v>0</v>
      </c>
      <c r="CZ2609" t="s">
        <v>615</v>
      </c>
      <c r="DA2609" t="s">
        <v>616</v>
      </c>
      <c r="DD2609">
        <v>16000039</v>
      </c>
      <c r="DE2609" t="s">
        <v>123</v>
      </c>
    </row>
    <row r="2610" spans="1:109" x14ac:dyDescent="0.3">
      <c r="A2610" t="str">
        <f>"19:18:22.875"</f>
        <v>19:18:22.875</v>
      </c>
      <c r="B2610" t="s">
        <v>110</v>
      </c>
      <c r="C2610" t="str">
        <f t="shared" si="120"/>
        <v>ffdfd3c0</v>
      </c>
      <c r="D2610" t="s">
        <v>111</v>
      </c>
      <c r="E2610">
        <v>18</v>
      </c>
      <c r="F2610">
        <v>1018</v>
      </c>
      <c r="G2610" t="s">
        <v>112</v>
      </c>
      <c r="J2610" t="s">
        <v>113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R2610" t="s">
        <v>114</v>
      </c>
      <c r="S2610" t="str">
        <f>"19:18:22.656"</f>
        <v>19:18:22.656</v>
      </c>
      <c r="T2610" t="str">
        <f>"19:18:22.258"</f>
        <v>19:18:22.258</v>
      </c>
      <c r="U2610" t="str">
        <f t="shared" si="121"/>
        <v>a1cdbe</v>
      </c>
      <c r="V2610">
        <v>0</v>
      </c>
      <c r="W2610">
        <v>0</v>
      </c>
      <c r="X2610">
        <v>1</v>
      </c>
      <c r="Y2610">
        <v>0</v>
      </c>
      <c r="Z2610">
        <v>0</v>
      </c>
      <c r="AB2610">
        <v>0</v>
      </c>
      <c r="AC2610">
        <v>9</v>
      </c>
      <c r="AD2610">
        <v>3</v>
      </c>
      <c r="AE2610">
        <v>0</v>
      </c>
      <c r="AF2610">
        <v>9</v>
      </c>
      <c r="AG2610" t="s">
        <v>158</v>
      </c>
      <c r="AH2610">
        <v>0</v>
      </c>
      <c r="AI2610">
        <v>3</v>
      </c>
      <c r="AJ2610">
        <v>1</v>
      </c>
      <c r="AK2610">
        <v>0</v>
      </c>
      <c r="AL2610" t="s">
        <v>4915</v>
      </c>
      <c r="AM2610">
        <v>46.947004999999997</v>
      </c>
      <c r="AN2610" t="s">
        <v>4916</v>
      </c>
      <c r="AO2610">
        <v>-123.325417</v>
      </c>
      <c r="AP2610">
        <v>100</v>
      </c>
      <c r="AQ2610">
        <v>1900</v>
      </c>
      <c r="AR2610" t="s">
        <v>118</v>
      </c>
      <c r="AS2610">
        <v>-65</v>
      </c>
      <c r="AT2610">
        <v>34</v>
      </c>
      <c r="AU2610">
        <v>64</v>
      </c>
      <c r="BC2610">
        <v>1200</v>
      </c>
      <c r="BD2610">
        <v>1</v>
      </c>
      <c r="BE2610" t="str">
        <f t="shared" si="122"/>
        <v xml:space="preserve">N215T   </v>
      </c>
      <c r="BF2610">
        <v>1</v>
      </c>
      <c r="BH2610">
        <v>0</v>
      </c>
      <c r="BI2610">
        <v>0</v>
      </c>
      <c r="BJ2610">
        <v>0</v>
      </c>
      <c r="BK2610">
        <v>2325</v>
      </c>
      <c r="BL2610">
        <v>425</v>
      </c>
      <c r="BM2610" t="s">
        <v>119</v>
      </c>
      <c r="BN2610">
        <v>1</v>
      </c>
      <c r="BO2610">
        <v>1</v>
      </c>
      <c r="BP2610">
        <v>1</v>
      </c>
      <c r="BQ2610">
        <v>0</v>
      </c>
      <c r="BT2610">
        <v>0</v>
      </c>
      <c r="BU2610">
        <v>0</v>
      </c>
      <c r="BV2610">
        <v>0</v>
      </c>
      <c r="CC2610" t="str">
        <f>"19:18:22.664"</f>
        <v>19:18:22.664</v>
      </c>
      <c r="CD2610" t="str">
        <f>"660647418"</f>
        <v>660647418</v>
      </c>
      <c r="CQ2610">
        <v>0</v>
      </c>
      <c r="CR2610">
        <v>2</v>
      </c>
      <c r="CS2610">
        <v>0</v>
      </c>
      <c r="CT2610">
        <v>2</v>
      </c>
      <c r="CU2610">
        <v>0</v>
      </c>
      <c r="CV2610">
        <v>6</v>
      </c>
      <c r="CW2610" t="s">
        <v>120</v>
      </c>
      <c r="CX2610">
        <v>261</v>
      </c>
      <c r="CY2610">
        <v>2</v>
      </c>
      <c r="CZ2610" t="s">
        <v>121</v>
      </c>
      <c r="DA2610" t="s">
        <v>122</v>
      </c>
      <c r="DD2610">
        <v>15874574</v>
      </c>
      <c r="DE2610" t="s">
        <v>123</v>
      </c>
    </row>
    <row r="2611" spans="1:109" x14ac:dyDescent="0.3">
      <c r="A2611" t="str">
        <f>"19:18:23.922"</f>
        <v>19:18:23.922</v>
      </c>
      <c r="B2611" t="s">
        <v>110</v>
      </c>
      <c r="C2611" t="str">
        <f t="shared" si="120"/>
        <v>ffdfd3c0</v>
      </c>
      <c r="D2611" t="s">
        <v>111</v>
      </c>
      <c r="E2611">
        <v>18</v>
      </c>
      <c r="F2611">
        <v>1018</v>
      </c>
      <c r="G2611" t="s">
        <v>112</v>
      </c>
      <c r="J2611" t="s">
        <v>113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R2611" t="s">
        <v>114</v>
      </c>
      <c r="S2611" t="str">
        <f>"19:18:23.703"</f>
        <v>19:18:23.703</v>
      </c>
      <c r="T2611" t="str">
        <f>"19:18:23.406"</f>
        <v>19:18:23.406</v>
      </c>
      <c r="U2611" t="str">
        <f t="shared" si="121"/>
        <v>a1cdbe</v>
      </c>
      <c r="V2611">
        <v>0</v>
      </c>
      <c r="W2611">
        <v>0</v>
      </c>
      <c r="X2611">
        <v>1</v>
      </c>
      <c r="Y2611">
        <v>0</v>
      </c>
      <c r="Z2611">
        <v>0</v>
      </c>
      <c r="AB2611">
        <v>0</v>
      </c>
      <c r="AC2611">
        <v>9</v>
      </c>
      <c r="AD2611">
        <v>3</v>
      </c>
      <c r="AE2611">
        <v>0</v>
      </c>
      <c r="AF2611">
        <v>9</v>
      </c>
      <c r="AG2611" t="s">
        <v>158</v>
      </c>
      <c r="AH2611">
        <v>0</v>
      </c>
      <c r="AI2611">
        <v>3</v>
      </c>
      <c r="AJ2611">
        <v>1</v>
      </c>
      <c r="AK2611">
        <v>0</v>
      </c>
      <c r="AL2611" t="s">
        <v>4917</v>
      </c>
      <c r="AM2611">
        <v>46.947133999999998</v>
      </c>
      <c r="AN2611" t="s">
        <v>4918</v>
      </c>
      <c r="AO2611">
        <v>-123.325868</v>
      </c>
      <c r="AP2611">
        <v>100</v>
      </c>
      <c r="AQ2611">
        <v>1900</v>
      </c>
      <c r="AR2611" t="s">
        <v>118</v>
      </c>
      <c r="AS2611">
        <v>-65</v>
      </c>
      <c r="AT2611">
        <v>33</v>
      </c>
      <c r="AU2611">
        <v>64</v>
      </c>
      <c r="BC2611">
        <v>1200</v>
      </c>
      <c r="BD2611">
        <v>1</v>
      </c>
      <c r="BE2611" t="str">
        <f t="shared" si="122"/>
        <v xml:space="preserve">N215T   </v>
      </c>
      <c r="BF2611">
        <v>1</v>
      </c>
      <c r="BH2611">
        <v>0</v>
      </c>
      <c r="BI2611">
        <v>0</v>
      </c>
      <c r="BJ2611">
        <v>0</v>
      </c>
      <c r="BK2611">
        <v>2325</v>
      </c>
      <c r="BL2611">
        <v>425</v>
      </c>
      <c r="BM2611" t="s">
        <v>119</v>
      </c>
      <c r="BN2611">
        <v>1</v>
      </c>
      <c r="BO2611">
        <v>1</v>
      </c>
      <c r="BP2611">
        <v>1</v>
      </c>
      <c r="BQ2611">
        <v>0</v>
      </c>
      <c r="BT2611">
        <v>0</v>
      </c>
      <c r="BU2611">
        <v>0</v>
      </c>
      <c r="BV2611">
        <v>0</v>
      </c>
      <c r="CC2611" t="str">
        <f>"19:18:23.711"</f>
        <v>19:18:23.711</v>
      </c>
      <c r="CD2611" t="str">
        <f>"710527902"</f>
        <v>710527902</v>
      </c>
      <c r="CQ2611">
        <v>0</v>
      </c>
      <c r="CR2611">
        <v>2</v>
      </c>
      <c r="CS2611">
        <v>0</v>
      </c>
      <c r="CT2611">
        <v>2</v>
      </c>
      <c r="CU2611">
        <v>0</v>
      </c>
      <c r="CV2611">
        <v>6</v>
      </c>
      <c r="CW2611" t="s">
        <v>120</v>
      </c>
      <c r="CX2611">
        <v>257</v>
      </c>
      <c r="CY2611">
        <v>0</v>
      </c>
      <c r="CZ2611" t="s">
        <v>615</v>
      </c>
      <c r="DA2611" t="s">
        <v>616</v>
      </c>
      <c r="DD2611">
        <v>16001092</v>
      </c>
      <c r="DE2611" t="s">
        <v>123</v>
      </c>
    </row>
    <row r="2612" spans="1:109" x14ac:dyDescent="0.3">
      <c r="A2612" t="str">
        <f>"19:18:24.977"</f>
        <v>19:18:24.977</v>
      </c>
      <c r="B2612" t="s">
        <v>110</v>
      </c>
      <c r="C2612" t="str">
        <f t="shared" si="120"/>
        <v>ffdfd3c0</v>
      </c>
      <c r="D2612" t="s">
        <v>111</v>
      </c>
      <c r="E2612">
        <v>18</v>
      </c>
      <c r="F2612">
        <v>1018</v>
      </c>
      <c r="G2612" t="s">
        <v>112</v>
      </c>
      <c r="J2612" t="s">
        <v>113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R2612" t="s">
        <v>114</v>
      </c>
      <c r="S2612" t="str">
        <f>"19:18:24.758"</f>
        <v>19:18:24.758</v>
      </c>
      <c r="T2612" t="str">
        <f>"19:18:24.359"</f>
        <v>19:18:24.359</v>
      </c>
      <c r="U2612" t="str">
        <f t="shared" si="121"/>
        <v>a1cdbe</v>
      </c>
      <c r="V2612">
        <v>0</v>
      </c>
      <c r="W2612">
        <v>0</v>
      </c>
      <c r="X2612">
        <v>1</v>
      </c>
      <c r="Y2612">
        <v>0</v>
      </c>
      <c r="Z2612">
        <v>0</v>
      </c>
      <c r="AB2612">
        <v>0</v>
      </c>
      <c r="AC2612">
        <v>9</v>
      </c>
      <c r="AD2612">
        <v>3</v>
      </c>
      <c r="AE2612">
        <v>0</v>
      </c>
      <c r="AF2612">
        <v>9</v>
      </c>
      <c r="AG2612" t="s">
        <v>158</v>
      </c>
      <c r="AH2612">
        <v>0</v>
      </c>
      <c r="AI2612">
        <v>3</v>
      </c>
      <c r="AJ2612">
        <v>1</v>
      </c>
      <c r="AK2612">
        <v>0</v>
      </c>
      <c r="AL2612" t="s">
        <v>4919</v>
      </c>
      <c r="AM2612">
        <v>46.947327000000001</v>
      </c>
      <c r="AN2612" t="s">
        <v>4920</v>
      </c>
      <c r="AO2612">
        <v>-123.32634</v>
      </c>
      <c r="AP2612">
        <v>100</v>
      </c>
      <c r="AQ2612">
        <v>1900</v>
      </c>
      <c r="AR2612" t="s">
        <v>118</v>
      </c>
      <c r="AS2612">
        <v>-65</v>
      </c>
      <c r="AT2612">
        <v>33</v>
      </c>
      <c r="AU2612">
        <v>0</v>
      </c>
      <c r="BC2612">
        <v>1200</v>
      </c>
      <c r="BD2612">
        <v>1</v>
      </c>
      <c r="BE2612" t="str">
        <f t="shared" si="122"/>
        <v xml:space="preserve">N215T   </v>
      </c>
      <c r="BF2612">
        <v>1</v>
      </c>
      <c r="BH2612">
        <v>0</v>
      </c>
      <c r="BI2612">
        <v>0</v>
      </c>
      <c r="BJ2612">
        <v>0</v>
      </c>
      <c r="BK2612">
        <v>2325</v>
      </c>
      <c r="BL2612">
        <v>425</v>
      </c>
      <c r="BM2612" t="s">
        <v>119</v>
      </c>
      <c r="BN2612">
        <v>1</v>
      </c>
      <c r="BO2612">
        <v>1</v>
      </c>
      <c r="BP2612">
        <v>1</v>
      </c>
      <c r="BQ2612">
        <v>0</v>
      </c>
      <c r="BT2612">
        <v>0</v>
      </c>
      <c r="BU2612">
        <v>0</v>
      </c>
      <c r="BV2612">
        <v>0</v>
      </c>
      <c r="CC2612" t="str">
        <f>"19:18:24.758"</f>
        <v>19:18:24.758</v>
      </c>
      <c r="CD2612" t="str">
        <f>"760440587"</f>
        <v>760440587</v>
      </c>
      <c r="CQ2612">
        <v>0</v>
      </c>
      <c r="CR2612">
        <v>2</v>
      </c>
      <c r="CS2612">
        <v>0</v>
      </c>
      <c r="CT2612">
        <v>2</v>
      </c>
      <c r="CU2612">
        <v>0</v>
      </c>
      <c r="CV2612">
        <v>7</v>
      </c>
      <c r="CW2612" t="s">
        <v>120</v>
      </c>
      <c r="CX2612">
        <v>261</v>
      </c>
      <c r="CY2612">
        <v>2</v>
      </c>
      <c r="CZ2612" t="s">
        <v>121</v>
      </c>
      <c r="DA2612" t="s">
        <v>122</v>
      </c>
      <c r="DD2612">
        <v>15876053</v>
      </c>
      <c r="DE2612" t="s">
        <v>123</v>
      </c>
    </row>
    <row r="2613" spans="1:109" x14ac:dyDescent="0.3">
      <c r="A2613" t="str">
        <f>"19:18:25.836"</f>
        <v>19:18:25.836</v>
      </c>
      <c r="B2613" t="s">
        <v>110</v>
      </c>
      <c r="C2613" t="str">
        <f t="shared" si="120"/>
        <v>ffdfd3c0</v>
      </c>
      <c r="D2613" t="s">
        <v>111</v>
      </c>
      <c r="E2613">
        <v>18</v>
      </c>
      <c r="F2613">
        <v>1018</v>
      </c>
      <c r="G2613" t="s">
        <v>112</v>
      </c>
      <c r="J2613" t="s">
        <v>113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R2613" t="s">
        <v>114</v>
      </c>
      <c r="S2613" t="str">
        <f>"19:18:25.594"</f>
        <v>19:18:25.594</v>
      </c>
      <c r="T2613" t="str">
        <f>"19:18:25.297"</f>
        <v>19:18:25.297</v>
      </c>
      <c r="U2613" t="str">
        <f t="shared" si="121"/>
        <v>a1cdbe</v>
      </c>
      <c r="V2613">
        <v>0</v>
      </c>
      <c r="W2613">
        <v>0</v>
      </c>
      <c r="X2613">
        <v>1</v>
      </c>
      <c r="Y2613">
        <v>0</v>
      </c>
      <c r="Z2613">
        <v>0</v>
      </c>
      <c r="AB2613">
        <v>0</v>
      </c>
      <c r="AC2613">
        <v>9</v>
      </c>
      <c r="AD2613">
        <v>3</v>
      </c>
      <c r="AE2613">
        <v>0</v>
      </c>
      <c r="AF2613">
        <v>9</v>
      </c>
      <c r="AG2613" t="s">
        <v>158</v>
      </c>
      <c r="AH2613">
        <v>0</v>
      </c>
      <c r="AI2613">
        <v>3</v>
      </c>
      <c r="AJ2613">
        <v>1</v>
      </c>
      <c r="AK2613">
        <v>0</v>
      </c>
      <c r="AL2613" t="s">
        <v>4921</v>
      </c>
      <c r="AM2613">
        <v>46.947454999999998</v>
      </c>
      <c r="AN2613" t="s">
        <v>4922</v>
      </c>
      <c r="AO2613">
        <v>-123.326747</v>
      </c>
      <c r="AP2613">
        <v>100</v>
      </c>
      <c r="AQ2613">
        <v>1900</v>
      </c>
      <c r="AR2613" t="s">
        <v>118</v>
      </c>
      <c r="AS2613">
        <v>-65</v>
      </c>
      <c r="AT2613">
        <v>32</v>
      </c>
      <c r="AU2613">
        <v>64</v>
      </c>
      <c r="BC2613">
        <v>1200</v>
      </c>
      <c r="BD2613">
        <v>1</v>
      </c>
      <c r="BE2613" t="str">
        <f t="shared" si="122"/>
        <v xml:space="preserve">N215T   </v>
      </c>
      <c r="BF2613">
        <v>1</v>
      </c>
      <c r="BH2613">
        <v>0</v>
      </c>
      <c r="BI2613">
        <v>0</v>
      </c>
      <c r="BJ2613">
        <v>0</v>
      </c>
      <c r="BK2613">
        <v>2325</v>
      </c>
      <c r="BL2613">
        <v>425</v>
      </c>
      <c r="BM2613" t="s">
        <v>119</v>
      </c>
      <c r="BN2613">
        <v>1</v>
      </c>
      <c r="BO2613">
        <v>1</v>
      </c>
      <c r="BP2613">
        <v>1</v>
      </c>
      <c r="BQ2613">
        <v>0</v>
      </c>
      <c r="BT2613">
        <v>0</v>
      </c>
      <c r="BU2613">
        <v>0</v>
      </c>
      <c r="BV2613">
        <v>0</v>
      </c>
      <c r="CC2613" t="str">
        <f>"19:18:25.602"</f>
        <v>19:18:25.602</v>
      </c>
      <c r="CD2613" t="str">
        <f>"600357847"</f>
        <v>600357847</v>
      </c>
      <c r="CQ2613">
        <v>0</v>
      </c>
      <c r="CR2613">
        <v>2</v>
      </c>
      <c r="CS2613">
        <v>0</v>
      </c>
      <c r="CT2613">
        <v>2</v>
      </c>
      <c r="CU2613">
        <v>0</v>
      </c>
      <c r="CV2613">
        <v>7</v>
      </c>
      <c r="CW2613" t="s">
        <v>120</v>
      </c>
      <c r="CX2613">
        <v>261</v>
      </c>
      <c r="CY2613">
        <v>2</v>
      </c>
      <c r="CZ2613" t="s">
        <v>121</v>
      </c>
      <c r="DA2613" t="s">
        <v>122</v>
      </c>
      <c r="DD2613">
        <v>15876616</v>
      </c>
      <c r="DE2613" t="s">
        <v>123</v>
      </c>
    </row>
    <row r="2614" spans="1:109" x14ac:dyDescent="0.3">
      <c r="A2614" t="str">
        <f>"19:18:26.844"</f>
        <v>19:18:26.844</v>
      </c>
      <c r="B2614" t="s">
        <v>110</v>
      </c>
      <c r="C2614" t="str">
        <f t="shared" si="120"/>
        <v>ffdfd3c0</v>
      </c>
      <c r="D2614" t="s">
        <v>111</v>
      </c>
      <c r="E2614">
        <v>18</v>
      </c>
      <c r="F2614">
        <v>1018</v>
      </c>
      <c r="G2614" t="s">
        <v>112</v>
      </c>
      <c r="J2614" t="s">
        <v>113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R2614" t="s">
        <v>114</v>
      </c>
      <c r="S2614" t="str">
        <f>"19:18:26.602"</f>
        <v>19:18:26.602</v>
      </c>
      <c r="T2614" t="str">
        <f>"19:18:26.602"</f>
        <v>19:18:26.602</v>
      </c>
      <c r="U2614" t="str">
        <f t="shared" si="121"/>
        <v>a1cdbe</v>
      </c>
      <c r="V2614">
        <v>0</v>
      </c>
      <c r="W2614">
        <v>0</v>
      </c>
      <c r="X2614">
        <v>1</v>
      </c>
      <c r="Y2614">
        <v>0</v>
      </c>
      <c r="Z2614">
        <v>0</v>
      </c>
      <c r="AB2614">
        <v>0</v>
      </c>
      <c r="AC2614">
        <v>9</v>
      </c>
      <c r="AD2614">
        <v>3</v>
      </c>
      <c r="AE2614">
        <v>0</v>
      </c>
      <c r="AF2614">
        <v>9</v>
      </c>
      <c r="AG2614" t="s">
        <v>158</v>
      </c>
      <c r="AH2614">
        <v>0</v>
      </c>
      <c r="AI2614">
        <v>3</v>
      </c>
      <c r="AJ2614">
        <v>1</v>
      </c>
      <c r="AK2614">
        <v>0</v>
      </c>
      <c r="AL2614" t="s">
        <v>4923</v>
      </c>
      <c r="AM2614">
        <v>46.947606</v>
      </c>
      <c r="AN2614" t="s">
        <v>4924</v>
      </c>
      <c r="AO2614">
        <v>-123.32717700000001</v>
      </c>
      <c r="AP2614">
        <v>100</v>
      </c>
      <c r="AQ2614">
        <v>1900</v>
      </c>
      <c r="AR2614" t="s">
        <v>118</v>
      </c>
      <c r="AS2614">
        <v>-65</v>
      </c>
      <c r="AT2614">
        <v>32</v>
      </c>
      <c r="AU2614">
        <v>64</v>
      </c>
      <c r="BC2614">
        <v>1200</v>
      </c>
      <c r="BD2614">
        <v>1</v>
      </c>
      <c r="BE2614" t="str">
        <f t="shared" si="122"/>
        <v xml:space="preserve">N215T   </v>
      </c>
      <c r="BF2614">
        <v>1</v>
      </c>
      <c r="BH2614">
        <v>0</v>
      </c>
      <c r="BI2614">
        <v>0</v>
      </c>
      <c r="BJ2614">
        <v>0</v>
      </c>
      <c r="BK2614">
        <v>2325</v>
      </c>
      <c r="BL2614">
        <v>425</v>
      </c>
      <c r="BM2614" t="s">
        <v>119</v>
      </c>
      <c r="BN2614">
        <v>1</v>
      </c>
      <c r="BO2614">
        <v>1</v>
      </c>
      <c r="BP2614">
        <v>1</v>
      </c>
      <c r="BQ2614">
        <v>0</v>
      </c>
      <c r="BT2614">
        <v>0</v>
      </c>
      <c r="BU2614">
        <v>0</v>
      </c>
      <c r="BV2614">
        <v>0</v>
      </c>
      <c r="CC2614" t="str">
        <f>"19:18:26.602"</f>
        <v>19:18:26.602</v>
      </c>
      <c r="CD2614" t="str">
        <f>"605258854"</f>
        <v>605258854</v>
      </c>
      <c r="CQ2614">
        <v>0</v>
      </c>
      <c r="CR2614">
        <v>2</v>
      </c>
      <c r="CS2614">
        <v>0</v>
      </c>
      <c r="CT2614">
        <v>2</v>
      </c>
      <c r="CU2614">
        <v>0</v>
      </c>
      <c r="CV2614">
        <v>7</v>
      </c>
      <c r="CW2614" t="s">
        <v>120</v>
      </c>
      <c r="CX2614">
        <v>261</v>
      </c>
      <c r="CY2614">
        <v>2</v>
      </c>
      <c r="CZ2614" t="s">
        <v>121</v>
      </c>
      <c r="DA2614" t="s">
        <v>122</v>
      </c>
      <c r="DD2614">
        <v>15877298</v>
      </c>
      <c r="DE2614" t="s">
        <v>123</v>
      </c>
    </row>
    <row r="2615" spans="1:109" x14ac:dyDescent="0.3">
      <c r="A2615" t="str">
        <f>"19:18:27.797"</f>
        <v>19:18:27.797</v>
      </c>
      <c r="B2615" t="s">
        <v>110</v>
      </c>
      <c r="C2615" t="str">
        <f t="shared" si="120"/>
        <v>ffdfd3c0</v>
      </c>
      <c r="D2615" t="s">
        <v>111</v>
      </c>
      <c r="E2615">
        <v>18</v>
      </c>
      <c r="F2615">
        <v>1018</v>
      </c>
      <c r="G2615" t="s">
        <v>112</v>
      </c>
      <c r="J2615" t="s">
        <v>113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R2615" t="s">
        <v>114</v>
      </c>
      <c r="S2615" t="str">
        <f>"19:18:27.594"</f>
        <v>19:18:27.594</v>
      </c>
      <c r="T2615" t="str">
        <f>"19:18:27.094"</f>
        <v>19:18:27.094</v>
      </c>
      <c r="U2615" t="str">
        <f t="shared" si="121"/>
        <v>a1cdbe</v>
      </c>
      <c r="V2615">
        <v>0</v>
      </c>
      <c r="W2615">
        <v>0</v>
      </c>
      <c r="X2615">
        <v>1</v>
      </c>
      <c r="Y2615">
        <v>0</v>
      </c>
      <c r="Z2615">
        <v>0</v>
      </c>
      <c r="AB2615">
        <v>0</v>
      </c>
      <c r="AC2615">
        <v>9</v>
      </c>
      <c r="AD2615">
        <v>3</v>
      </c>
      <c r="AE2615">
        <v>0</v>
      </c>
      <c r="AF2615">
        <v>9</v>
      </c>
      <c r="AG2615" t="s">
        <v>158</v>
      </c>
      <c r="AH2615">
        <v>0</v>
      </c>
      <c r="AI2615">
        <v>3</v>
      </c>
      <c r="AJ2615">
        <v>1</v>
      </c>
      <c r="AK2615">
        <v>0</v>
      </c>
      <c r="AL2615" t="s">
        <v>4925</v>
      </c>
      <c r="AM2615">
        <v>46.947733999999997</v>
      </c>
      <c r="AN2615" t="s">
        <v>4926</v>
      </c>
      <c r="AO2615">
        <v>-123.327584</v>
      </c>
      <c r="AP2615">
        <v>100</v>
      </c>
      <c r="AQ2615">
        <v>1900</v>
      </c>
      <c r="AR2615" t="s">
        <v>118</v>
      </c>
      <c r="AS2615">
        <v>-65</v>
      </c>
      <c r="AT2615">
        <v>32</v>
      </c>
      <c r="AU2615">
        <v>64</v>
      </c>
      <c r="BC2615">
        <v>1200</v>
      </c>
      <c r="BD2615">
        <v>1</v>
      </c>
      <c r="BE2615" t="str">
        <f t="shared" si="122"/>
        <v xml:space="preserve">N215T   </v>
      </c>
      <c r="BF2615">
        <v>1</v>
      </c>
      <c r="BH2615">
        <v>0</v>
      </c>
      <c r="BI2615">
        <v>0</v>
      </c>
      <c r="BJ2615">
        <v>0</v>
      </c>
      <c r="BK2615">
        <v>2325</v>
      </c>
      <c r="BL2615">
        <v>425</v>
      </c>
      <c r="BM2615" t="s">
        <v>119</v>
      </c>
      <c r="BN2615">
        <v>1</v>
      </c>
      <c r="BO2615">
        <v>1</v>
      </c>
      <c r="BP2615">
        <v>1</v>
      </c>
      <c r="BQ2615">
        <v>0</v>
      </c>
      <c r="BT2615">
        <v>0</v>
      </c>
      <c r="BU2615">
        <v>0</v>
      </c>
      <c r="BV2615">
        <v>0</v>
      </c>
      <c r="CC2615" t="str">
        <f>"19:18:27.594"</f>
        <v>19:18:27.594</v>
      </c>
      <c r="CD2615" t="str">
        <f>"595161349"</f>
        <v>595161349</v>
      </c>
      <c r="CQ2615">
        <v>0</v>
      </c>
      <c r="CR2615">
        <v>2</v>
      </c>
      <c r="CS2615">
        <v>0</v>
      </c>
      <c r="CT2615">
        <v>2</v>
      </c>
      <c r="CU2615">
        <v>0</v>
      </c>
      <c r="CV2615">
        <v>6</v>
      </c>
      <c r="CW2615" t="s">
        <v>120</v>
      </c>
      <c r="CX2615">
        <v>261</v>
      </c>
      <c r="CY2615">
        <v>3</v>
      </c>
      <c r="CZ2615" t="s">
        <v>121</v>
      </c>
      <c r="DA2615" t="s">
        <v>122</v>
      </c>
      <c r="DD2615">
        <v>3819371</v>
      </c>
      <c r="DE2615" t="s">
        <v>123</v>
      </c>
    </row>
    <row r="2616" spans="1:109" x14ac:dyDescent="0.3">
      <c r="A2616" t="str">
        <f>"19:18:29.000"</f>
        <v>19:18:29.000</v>
      </c>
      <c r="B2616" t="s">
        <v>110</v>
      </c>
      <c r="C2616" t="str">
        <f t="shared" si="120"/>
        <v>ffdfd3c0</v>
      </c>
      <c r="D2616" t="s">
        <v>111</v>
      </c>
      <c r="E2616">
        <v>18</v>
      </c>
      <c r="F2616">
        <v>1018</v>
      </c>
      <c r="G2616" t="s">
        <v>112</v>
      </c>
      <c r="J2616" t="s">
        <v>113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R2616" t="s">
        <v>114</v>
      </c>
      <c r="S2616" t="str">
        <f>"19:18:28.734"</f>
        <v>19:18:28.734</v>
      </c>
      <c r="T2616" t="str">
        <f>"19:18:28.633"</f>
        <v>19:18:28.633</v>
      </c>
      <c r="U2616" t="str">
        <f t="shared" si="121"/>
        <v>a1cdbe</v>
      </c>
      <c r="V2616">
        <v>0</v>
      </c>
      <c r="W2616">
        <v>0</v>
      </c>
      <c r="X2616">
        <v>1</v>
      </c>
      <c r="Y2616">
        <v>0</v>
      </c>
      <c r="Z2616">
        <v>0</v>
      </c>
      <c r="AB2616">
        <v>0</v>
      </c>
      <c r="AC2616">
        <v>9</v>
      </c>
      <c r="AD2616">
        <v>3</v>
      </c>
      <c r="AE2616">
        <v>0</v>
      </c>
      <c r="AF2616">
        <v>9</v>
      </c>
      <c r="AG2616" t="s">
        <v>158</v>
      </c>
      <c r="AH2616">
        <v>0</v>
      </c>
      <c r="AI2616">
        <v>3</v>
      </c>
      <c r="AJ2616">
        <v>1</v>
      </c>
      <c r="AK2616">
        <v>0</v>
      </c>
      <c r="AL2616" t="s">
        <v>4927</v>
      </c>
      <c r="AM2616">
        <v>46.947884999999999</v>
      </c>
      <c r="AN2616" t="s">
        <v>4928</v>
      </c>
      <c r="AO2616">
        <v>-123.328078</v>
      </c>
      <c r="AP2616">
        <v>100</v>
      </c>
      <c r="AQ2616">
        <v>1900</v>
      </c>
      <c r="AR2616" t="s">
        <v>118</v>
      </c>
      <c r="AS2616">
        <v>-65</v>
      </c>
      <c r="AT2616">
        <v>32</v>
      </c>
      <c r="AU2616">
        <v>64</v>
      </c>
      <c r="BC2616">
        <v>1200</v>
      </c>
      <c r="BD2616">
        <v>1</v>
      </c>
      <c r="BE2616" t="str">
        <f t="shared" si="122"/>
        <v xml:space="preserve">N215T   </v>
      </c>
      <c r="BF2616">
        <v>1</v>
      </c>
      <c r="BH2616">
        <v>0</v>
      </c>
      <c r="BI2616">
        <v>0</v>
      </c>
      <c r="BJ2616">
        <v>0</v>
      </c>
      <c r="BK2616">
        <v>2325</v>
      </c>
      <c r="BL2616">
        <v>425</v>
      </c>
      <c r="BM2616" t="s">
        <v>119</v>
      </c>
      <c r="BN2616">
        <v>1</v>
      </c>
      <c r="BO2616">
        <v>1</v>
      </c>
      <c r="BP2616">
        <v>1</v>
      </c>
      <c r="BQ2616">
        <v>0</v>
      </c>
      <c r="BT2616">
        <v>0</v>
      </c>
      <c r="BU2616">
        <v>0</v>
      </c>
      <c r="BV2616">
        <v>0</v>
      </c>
      <c r="CC2616" t="str">
        <f>"19:18:28.734"</f>
        <v>19:18:28.734</v>
      </c>
      <c r="CD2616" t="str">
        <f>"735032827"</f>
        <v>735032827</v>
      </c>
      <c r="CQ2616">
        <v>0</v>
      </c>
      <c r="CR2616">
        <v>2</v>
      </c>
      <c r="CS2616">
        <v>0</v>
      </c>
      <c r="CT2616">
        <v>2</v>
      </c>
      <c r="CU2616">
        <v>0</v>
      </c>
      <c r="CV2616">
        <v>6</v>
      </c>
      <c r="CW2616" t="s">
        <v>120</v>
      </c>
      <c r="CX2616">
        <v>257</v>
      </c>
      <c r="CY2616">
        <v>0</v>
      </c>
      <c r="CZ2616" t="s">
        <v>615</v>
      </c>
      <c r="DA2616" t="s">
        <v>616</v>
      </c>
      <c r="DD2616">
        <v>16003803</v>
      </c>
      <c r="DE2616" t="s">
        <v>123</v>
      </c>
    </row>
    <row r="2617" spans="1:109" x14ac:dyDescent="0.3">
      <c r="A2617" t="str">
        <f>"19:18:29.961"</f>
        <v>19:18:29.961</v>
      </c>
      <c r="B2617" t="s">
        <v>110</v>
      </c>
      <c r="C2617" t="str">
        <f t="shared" si="120"/>
        <v>ffdfd3c0</v>
      </c>
      <c r="D2617" t="s">
        <v>111</v>
      </c>
      <c r="E2617">
        <v>18</v>
      </c>
      <c r="F2617">
        <v>1018</v>
      </c>
      <c r="G2617" t="s">
        <v>112</v>
      </c>
      <c r="J2617" t="s">
        <v>113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R2617" t="s">
        <v>114</v>
      </c>
      <c r="S2617" t="str">
        <f>"19:18:29.703"</f>
        <v>19:18:29.703</v>
      </c>
      <c r="T2617" t="str">
        <f>"19:18:29.703"</f>
        <v>19:18:29.703</v>
      </c>
      <c r="U2617" t="str">
        <f t="shared" si="121"/>
        <v>a1cdbe</v>
      </c>
      <c r="V2617">
        <v>0</v>
      </c>
      <c r="W2617">
        <v>0</v>
      </c>
      <c r="X2617">
        <v>1</v>
      </c>
      <c r="Y2617">
        <v>0</v>
      </c>
      <c r="Z2617">
        <v>0</v>
      </c>
      <c r="AB2617">
        <v>0</v>
      </c>
      <c r="AC2617">
        <v>9</v>
      </c>
      <c r="AD2617">
        <v>3</v>
      </c>
      <c r="AE2617">
        <v>0</v>
      </c>
      <c r="AF2617">
        <v>9</v>
      </c>
      <c r="AG2617" t="s">
        <v>158</v>
      </c>
      <c r="AH2617">
        <v>0</v>
      </c>
      <c r="AI2617">
        <v>3</v>
      </c>
      <c r="AJ2617">
        <v>1</v>
      </c>
      <c r="AK2617">
        <v>0</v>
      </c>
      <c r="AL2617" t="s">
        <v>4929</v>
      </c>
      <c r="AM2617">
        <v>46.948056000000001</v>
      </c>
      <c r="AN2617" t="s">
        <v>4930</v>
      </c>
      <c r="AO2617">
        <v>-123.32852800000001</v>
      </c>
      <c r="AP2617">
        <v>100</v>
      </c>
      <c r="AQ2617">
        <v>1900</v>
      </c>
      <c r="AR2617" t="s">
        <v>118</v>
      </c>
      <c r="AS2617">
        <v>-65</v>
      </c>
      <c r="AT2617">
        <v>33</v>
      </c>
      <c r="AU2617">
        <v>0</v>
      </c>
      <c r="BC2617">
        <v>1200</v>
      </c>
      <c r="BD2617">
        <v>1</v>
      </c>
      <c r="BE2617" t="str">
        <f t="shared" si="122"/>
        <v xml:space="preserve">N215T   </v>
      </c>
      <c r="BF2617">
        <v>1</v>
      </c>
      <c r="BH2617">
        <v>0</v>
      </c>
      <c r="BI2617">
        <v>0</v>
      </c>
      <c r="BJ2617">
        <v>0</v>
      </c>
      <c r="BK2617">
        <v>2325</v>
      </c>
      <c r="BL2617">
        <v>425</v>
      </c>
      <c r="BM2617" t="s">
        <v>119</v>
      </c>
      <c r="BN2617">
        <v>1</v>
      </c>
      <c r="BO2617">
        <v>1</v>
      </c>
      <c r="BP2617">
        <v>1</v>
      </c>
      <c r="BQ2617">
        <v>0</v>
      </c>
      <c r="BT2617">
        <v>0</v>
      </c>
      <c r="BU2617">
        <v>0</v>
      </c>
      <c r="BV2617">
        <v>0</v>
      </c>
      <c r="CC2617" t="str">
        <f>"19:18:29.711"</f>
        <v>19:18:29.711</v>
      </c>
      <c r="CD2617" t="str">
        <f>"709953045"</f>
        <v>709953045</v>
      </c>
      <c r="CQ2617">
        <v>0</v>
      </c>
      <c r="CR2617">
        <v>2</v>
      </c>
      <c r="CS2617">
        <v>0</v>
      </c>
      <c r="CT2617">
        <v>2</v>
      </c>
      <c r="CU2617">
        <v>0</v>
      </c>
      <c r="CV2617">
        <v>7</v>
      </c>
      <c r="CW2617" t="s">
        <v>120</v>
      </c>
      <c r="CX2617">
        <v>261</v>
      </c>
      <c r="CY2617">
        <v>2</v>
      </c>
      <c r="CZ2617" t="s">
        <v>121</v>
      </c>
      <c r="DA2617" t="s">
        <v>122</v>
      </c>
      <c r="DD2617">
        <v>15879482</v>
      </c>
      <c r="DE2617" t="s">
        <v>123</v>
      </c>
    </row>
    <row r="2618" spans="1:109" x14ac:dyDescent="0.3">
      <c r="A2618" t="str">
        <f>"19:18:30.914"</f>
        <v>19:18:30.914</v>
      </c>
      <c r="B2618" t="s">
        <v>110</v>
      </c>
      <c r="C2618" t="str">
        <f t="shared" si="120"/>
        <v>ffdfd3c0</v>
      </c>
      <c r="D2618" t="s">
        <v>111</v>
      </c>
      <c r="E2618">
        <v>18</v>
      </c>
      <c r="F2618">
        <v>1018</v>
      </c>
      <c r="G2618" t="s">
        <v>112</v>
      </c>
      <c r="J2618" t="s">
        <v>113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R2618" t="s">
        <v>114</v>
      </c>
      <c r="S2618" t="str">
        <f>"19:18:30.664"</f>
        <v>19:18:30.664</v>
      </c>
      <c r="T2618" t="str">
        <f>"19:18:30.664"</f>
        <v>19:18:30.664</v>
      </c>
      <c r="U2618" t="str">
        <f t="shared" si="121"/>
        <v>a1cdbe</v>
      </c>
      <c r="V2618">
        <v>0</v>
      </c>
      <c r="W2618">
        <v>0</v>
      </c>
      <c r="X2618">
        <v>1</v>
      </c>
      <c r="Y2618">
        <v>0</v>
      </c>
      <c r="Z2618">
        <v>0</v>
      </c>
      <c r="AB2618">
        <v>0</v>
      </c>
      <c r="AC2618">
        <v>9</v>
      </c>
      <c r="AD2618">
        <v>3</v>
      </c>
      <c r="AE2618">
        <v>0</v>
      </c>
      <c r="AF2618">
        <v>9</v>
      </c>
      <c r="AG2618" t="s">
        <v>158</v>
      </c>
      <c r="AH2618">
        <v>0</v>
      </c>
      <c r="AI2618">
        <v>3</v>
      </c>
      <c r="AJ2618">
        <v>1</v>
      </c>
      <c r="AK2618">
        <v>0</v>
      </c>
      <c r="AL2618" t="s">
        <v>4931</v>
      </c>
      <c r="AM2618">
        <v>46.948205999999999</v>
      </c>
      <c r="AN2618" t="s">
        <v>4932</v>
      </c>
      <c r="AO2618">
        <v>-123.328936</v>
      </c>
      <c r="AP2618">
        <v>100</v>
      </c>
      <c r="AQ2618">
        <v>1900</v>
      </c>
      <c r="AR2618" t="s">
        <v>118</v>
      </c>
      <c r="AS2618">
        <v>-65</v>
      </c>
      <c r="AT2618">
        <v>33</v>
      </c>
      <c r="AU2618">
        <v>0</v>
      </c>
      <c r="BC2618">
        <v>1200</v>
      </c>
      <c r="BD2618">
        <v>1</v>
      </c>
      <c r="BE2618" t="str">
        <f t="shared" si="122"/>
        <v xml:space="preserve">N215T   </v>
      </c>
      <c r="BF2618">
        <v>1</v>
      </c>
      <c r="BH2618">
        <v>0</v>
      </c>
      <c r="BI2618">
        <v>0</v>
      </c>
      <c r="BJ2618">
        <v>0</v>
      </c>
      <c r="BK2618">
        <v>2325</v>
      </c>
      <c r="BL2618">
        <v>425</v>
      </c>
      <c r="BM2618" t="s">
        <v>119</v>
      </c>
      <c r="BN2618">
        <v>1</v>
      </c>
      <c r="BO2618">
        <v>1</v>
      </c>
      <c r="BP2618">
        <v>1</v>
      </c>
      <c r="BQ2618">
        <v>0</v>
      </c>
      <c r="BT2618">
        <v>0</v>
      </c>
      <c r="BU2618">
        <v>0</v>
      </c>
      <c r="BV2618">
        <v>0</v>
      </c>
      <c r="CC2618" t="str">
        <f>"19:18:30.672"</f>
        <v>19:18:30.672</v>
      </c>
      <c r="CD2618" t="str">
        <f>"669858486"</f>
        <v>669858486</v>
      </c>
      <c r="CQ2618">
        <v>0</v>
      </c>
      <c r="CR2618">
        <v>2</v>
      </c>
      <c r="CS2618">
        <v>0</v>
      </c>
      <c r="CT2618">
        <v>2</v>
      </c>
      <c r="CU2618">
        <v>0</v>
      </c>
      <c r="CV2618">
        <v>7</v>
      </c>
      <c r="CW2618" t="s">
        <v>120</v>
      </c>
      <c r="CX2618">
        <v>261</v>
      </c>
      <c r="CY2618">
        <v>2</v>
      </c>
      <c r="CZ2618" t="s">
        <v>121</v>
      </c>
      <c r="DA2618" t="s">
        <v>122</v>
      </c>
      <c r="DD2618">
        <v>15880139</v>
      </c>
      <c r="DE2618" t="s">
        <v>123</v>
      </c>
    </row>
    <row r="2619" spans="1:109" x14ac:dyDescent="0.3">
      <c r="A2619" t="str">
        <f>"19:18:31.820"</f>
        <v>19:18:31.820</v>
      </c>
      <c r="B2619" t="s">
        <v>110</v>
      </c>
      <c r="C2619" t="str">
        <f t="shared" si="120"/>
        <v>ffdfd3c0</v>
      </c>
      <c r="D2619" t="s">
        <v>111</v>
      </c>
      <c r="E2619">
        <v>18</v>
      </c>
      <c r="F2619">
        <v>1018</v>
      </c>
      <c r="G2619" t="s">
        <v>112</v>
      </c>
      <c r="J2619" t="s">
        <v>113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R2619" t="s">
        <v>114</v>
      </c>
      <c r="S2619" t="str">
        <f>"19:18:31.563"</f>
        <v>19:18:31.563</v>
      </c>
      <c r="T2619" t="str">
        <f>"19:18:31.563"</f>
        <v>19:18:31.563</v>
      </c>
      <c r="U2619" t="str">
        <f t="shared" si="121"/>
        <v>a1cdbe</v>
      </c>
      <c r="V2619">
        <v>0</v>
      </c>
      <c r="W2619">
        <v>0</v>
      </c>
      <c r="X2619">
        <v>1</v>
      </c>
      <c r="Y2619">
        <v>0</v>
      </c>
      <c r="Z2619">
        <v>0</v>
      </c>
      <c r="AB2619">
        <v>0</v>
      </c>
      <c r="AC2619">
        <v>9</v>
      </c>
      <c r="AD2619">
        <v>3</v>
      </c>
      <c r="AE2619">
        <v>0</v>
      </c>
      <c r="AF2619">
        <v>9</v>
      </c>
      <c r="AG2619" t="s">
        <v>158</v>
      </c>
      <c r="AH2619">
        <v>0</v>
      </c>
      <c r="AI2619">
        <v>3</v>
      </c>
      <c r="AJ2619">
        <v>1</v>
      </c>
      <c r="AK2619">
        <v>0</v>
      </c>
      <c r="AL2619" t="s">
        <v>4933</v>
      </c>
      <c r="AM2619">
        <v>46.948335</v>
      </c>
      <c r="AN2619" t="s">
        <v>4934</v>
      </c>
      <c r="AO2619">
        <v>-123.329301</v>
      </c>
      <c r="AP2619">
        <v>100</v>
      </c>
      <c r="AQ2619">
        <v>1900</v>
      </c>
      <c r="AR2619" t="s">
        <v>118</v>
      </c>
      <c r="AS2619">
        <v>-65</v>
      </c>
      <c r="AT2619">
        <v>34</v>
      </c>
      <c r="AU2619">
        <v>64</v>
      </c>
      <c r="BC2619">
        <v>1200</v>
      </c>
      <c r="BD2619">
        <v>1</v>
      </c>
      <c r="BE2619" t="str">
        <f t="shared" si="122"/>
        <v xml:space="preserve">N215T   </v>
      </c>
      <c r="BF2619">
        <v>1</v>
      </c>
      <c r="BH2619">
        <v>0</v>
      </c>
      <c r="BI2619">
        <v>0</v>
      </c>
      <c r="BJ2619">
        <v>0</v>
      </c>
      <c r="BK2619">
        <v>2325</v>
      </c>
      <c r="BL2619">
        <v>425</v>
      </c>
      <c r="BM2619" t="s">
        <v>119</v>
      </c>
      <c r="BN2619">
        <v>1</v>
      </c>
      <c r="BO2619">
        <v>1</v>
      </c>
      <c r="BP2619">
        <v>1</v>
      </c>
      <c r="BQ2619">
        <v>0</v>
      </c>
      <c r="BT2619">
        <v>0</v>
      </c>
      <c r="BU2619">
        <v>0</v>
      </c>
      <c r="BV2619">
        <v>0</v>
      </c>
      <c r="CC2619" t="str">
        <f>"19:18:31.570"</f>
        <v>19:18:31.570</v>
      </c>
      <c r="CD2619" t="str">
        <f>"569769845"</f>
        <v>569769845</v>
      </c>
      <c r="CQ2619">
        <v>0</v>
      </c>
      <c r="CR2619">
        <v>2</v>
      </c>
      <c r="CS2619">
        <v>0</v>
      </c>
      <c r="CT2619">
        <v>2</v>
      </c>
      <c r="CU2619">
        <v>0</v>
      </c>
      <c r="CV2619">
        <v>6</v>
      </c>
      <c r="CW2619" t="s">
        <v>120</v>
      </c>
      <c r="CX2619">
        <v>261</v>
      </c>
      <c r="CY2619">
        <v>2</v>
      </c>
      <c r="CZ2619" t="s">
        <v>121</v>
      </c>
      <c r="DA2619" t="s">
        <v>122</v>
      </c>
      <c r="DD2619">
        <v>15880744</v>
      </c>
      <c r="DE2619" t="s">
        <v>123</v>
      </c>
    </row>
    <row r="2620" spans="1:109" x14ac:dyDescent="0.3">
      <c r="A2620" t="str">
        <f>"19:18:32.922"</f>
        <v>19:18:32.922</v>
      </c>
      <c r="B2620" t="s">
        <v>110</v>
      </c>
      <c r="C2620" t="str">
        <f t="shared" si="120"/>
        <v>ffdfd3c0</v>
      </c>
      <c r="D2620" t="s">
        <v>111</v>
      </c>
      <c r="E2620">
        <v>18</v>
      </c>
      <c r="F2620">
        <v>1018</v>
      </c>
      <c r="G2620" t="s">
        <v>112</v>
      </c>
      <c r="J2620" t="s">
        <v>113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R2620" t="s">
        <v>114</v>
      </c>
      <c r="S2620" t="str">
        <f>"19:18:32.703"</f>
        <v>19:18:32.703</v>
      </c>
      <c r="T2620" t="str">
        <f>"19:18:32.602"</f>
        <v>19:18:32.602</v>
      </c>
      <c r="U2620" t="str">
        <f t="shared" si="121"/>
        <v>a1cdbe</v>
      </c>
      <c r="V2620">
        <v>0</v>
      </c>
      <c r="W2620">
        <v>0</v>
      </c>
      <c r="X2620">
        <v>1</v>
      </c>
      <c r="Y2620">
        <v>0</v>
      </c>
      <c r="Z2620">
        <v>0</v>
      </c>
      <c r="AB2620">
        <v>0</v>
      </c>
      <c r="AC2620">
        <v>9</v>
      </c>
      <c r="AD2620">
        <v>3</v>
      </c>
      <c r="AE2620">
        <v>0</v>
      </c>
      <c r="AF2620">
        <v>9</v>
      </c>
      <c r="AG2620" t="s">
        <v>158</v>
      </c>
      <c r="AH2620">
        <v>0</v>
      </c>
      <c r="AI2620">
        <v>3</v>
      </c>
      <c r="AJ2620">
        <v>1</v>
      </c>
      <c r="AK2620">
        <v>0</v>
      </c>
      <c r="AL2620" t="s">
        <v>4935</v>
      </c>
      <c r="AM2620">
        <v>46.948528000000003</v>
      </c>
      <c r="AN2620" t="s">
        <v>4936</v>
      </c>
      <c r="AO2620">
        <v>-123.329837</v>
      </c>
      <c r="AP2620">
        <v>100</v>
      </c>
      <c r="AQ2620">
        <v>1900</v>
      </c>
      <c r="AR2620" t="s">
        <v>118</v>
      </c>
      <c r="AS2620">
        <v>-64</v>
      </c>
      <c r="AT2620">
        <v>34</v>
      </c>
      <c r="AU2620">
        <v>0</v>
      </c>
      <c r="BC2620">
        <v>1200</v>
      </c>
      <c r="BD2620">
        <v>1</v>
      </c>
      <c r="BE2620" t="str">
        <f t="shared" si="122"/>
        <v xml:space="preserve">N215T   </v>
      </c>
      <c r="BF2620">
        <v>1</v>
      </c>
      <c r="BH2620">
        <v>0</v>
      </c>
      <c r="BI2620">
        <v>0</v>
      </c>
      <c r="BJ2620">
        <v>0</v>
      </c>
      <c r="BK2620">
        <v>2325</v>
      </c>
      <c r="BL2620">
        <v>425</v>
      </c>
      <c r="BM2620" t="s">
        <v>119</v>
      </c>
      <c r="BN2620">
        <v>1</v>
      </c>
      <c r="BO2620">
        <v>1</v>
      </c>
      <c r="BP2620">
        <v>1</v>
      </c>
      <c r="BQ2620">
        <v>0</v>
      </c>
      <c r="BT2620">
        <v>0</v>
      </c>
      <c r="BU2620">
        <v>0</v>
      </c>
      <c r="BV2620">
        <v>0</v>
      </c>
      <c r="CC2620" t="str">
        <f>"19:18:32.711"</f>
        <v>19:18:32.711</v>
      </c>
      <c r="CD2620" t="str">
        <f>"709657555"</f>
        <v>709657555</v>
      </c>
      <c r="CQ2620">
        <v>0</v>
      </c>
      <c r="CR2620">
        <v>2</v>
      </c>
      <c r="CS2620">
        <v>0</v>
      </c>
      <c r="CT2620">
        <v>2</v>
      </c>
      <c r="CU2620">
        <v>0</v>
      </c>
      <c r="CV2620">
        <v>6</v>
      </c>
      <c r="CW2620" t="s">
        <v>120</v>
      </c>
      <c r="CX2620">
        <v>261</v>
      </c>
      <c r="CY2620">
        <v>2</v>
      </c>
      <c r="CZ2620" t="s">
        <v>121</v>
      </c>
      <c r="DA2620" t="s">
        <v>122</v>
      </c>
      <c r="DD2620">
        <v>15881571</v>
      </c>
      <c r="DE2620" t="s">
        <v>123</v>
      </c>
    </row>
    <row r="2621" spans="1:109" x14ac:dyDescent="0.3">
      <c r="A2621" t="str">
        <f>"19:18:34.031"</f>
        <v>19:18:34.031</v>
      </c>
      <c r="B2621" t="s">
        <v>110</v>
      </c>
      <c r="C2621" t="str">
        <f t="shared" si="120"/>
        <v>ffdfd3c0</v>
      </c>
      <c r="D2621" t="s">
        <v>111</v>
      </c>
      <c r="E2621">
        <v>18</v>
      </c>
      <c r="F2621">
        <v>1018</v>
      </c>
      <c r="G2621" t="s">
        <v>112</v>
      </c>
      <c r="J2621" t="s">
        <v>113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R2621" t="s">
        <v>114</v>
      </c>
      <c r="S2621" t="str">
        <f>"19:18:33.789"</f>
        <v>19:18:33.789</v>
      </c>
      <c r="T2621" t="str">
        <f>"19:18:33.586"</f>
        <v>19:18:33.586</v>
      </c>
      <c r="U2621" t="str">
        <f t="shared" si="121"/>
        <v>a1cdbe</v>
      </c>
      <c r="V2621">
        <v>0</v>
      </c>
      <c r="W2621">
        <v>0</v>
      </c>
      <c r="X2621">
        <v>1</v>
      </c>
      <c r="Y2621">
        <v>0</v>
      </c>
      <c r="Z2621">
        <v>0</v>
      </c>
      <c r="AB2621">
        <v>0</v>
      </c>
      <c r="AC2621">
        <v>9</v>
      </c>
      <c r="AD2621">
        <v>3</v>
      </c>
      <c r="AE2621">
        <v>0</v>
      </c>
      <c r="AF2621">
        <v>9</v>
      </c>
      <c r="AG2621" t="s">
        <v>158</v>
      </c>
      <c r="AH2621">
        <v>0</v>
      </c>
      <c r="AI2621">
        <v>3</v>
      </c>
      <c r="AJ2621">
        <v>1</v>
      </c>
      <c r="AK2621">
        <v>0</v>
      </c>
      <c r="AL2621" t="s">
        <v>4937</v>
      </c>
      <c r="AM2621">
        <v>46.948678000000001</v>
      </c>
      <c r="AN2621" t="s">
        <v>4938</v>
      </c>
      <c r="AO2621">
        <v>-123.33026599999999</v>
      </c>
      <c r="AP2621">
        <v>100</v>
      </c>
      <c r="AQ2621">
        <v>1900</v>
      </c>
      <c r="AR2621" t="s">
        <v>118</v>
      </c>
      <c r="AS2621">
        <v>-64</v>
      </c>
      <c r="AT2621">
        <v>34</v>
      </c>
      <c r="AU2621">
        <v>0</v>
      </c>
      <c r="BC2621">
        <v>1200</v>
      </c>
      <c r="BD2621">
        <v>1</v>
      </c>
      <c r="BE2621" t="str">
        <f t="shared" si="122"/>
        <v xml:space="preserve">N215T   </v>
      </c>
      <c r="BF2621">
        <v>1</v>
      </c>
      <c r="BH2621">
        <v>0</v>
      </c>
      <c r="BI2621">
        <v>0</v>
      </c>
      <c r="BJ2621">
        <v>0</v>
      </c>
      <c r="BK2621">
        <v>2325</v>
      </c>
      <c r="BL2621">
        <v>425</v>
      </c>
      <c r="BM2621" t="s">
        <v>119</v>
      </c>
      <c r="BN2621">
        <v>1</v>
      </c>
      <c r="BO2621">
        <v>1</v>
      </c>
      <c r="BP2621">
        <v>1</v>
      </c>
      <c r="BQ2621">
        <v>0</v>
      </c>
      <c r="BT2621">
        <v>0</v>
      </c>
      <c r="BU2621">
        <v>0</v>
      </c>
      <c r="BV2621">
        <v>0</v>
      </c>
      <c r="CC2621" t="str">
        <f>"19:18:33.789"</f>
        <v>19:18:33.789</v>
      </c>
      <c r="CD2621" t="str">
        <f>"789551182"</f>
        <v>789551182</v>
      </c>
      <c r="CQ2621">
        <v>0</v>
      </c>
      <c r="CR2621">
        <v>2</v>
      </c>
      <c r="CS2621">
        <v>0</v>
      </c>
      <c r="CT2621">
        <v>2</v>
      </c>
      <c r="CU2621">
        <v>0</v>
      </c>
      <c r="CV2621">
        <v>6</v>
      </c>
      <c r="CW2621" t="s">
        <v>120</v>
      </c>
      <c r="CX2621">
        <v>261</v>
      </c>
      <c r="CY2621">
        <v>2</v>
      </c>
      <c r="CZ2621" t="s">
        <v>121</v>
      </c>
      <c r="DA2621" t="s">
        <v>122</v>
      </c>
      <c r="DD2621">
        <v>15882323</v>
      </c>
      <c r="DE2621" t="s">
        <v>123</v>
      </c>
    </row>
    <row r="2622" spans="1:109" x14ac:dyDescent="0.3">
      <c r="A2622" t="str">
        <f>"19:18:34.984"</f>
        <v>19:18:34.984</v>
      </c>
      <c r="B2622" t="s">
        <v>110</v>
      </c>
      <c r="C2622" t="str">
        <f t="shared" si="120"/>
        <v>ffdfd3c0</v>
      </c>
      <c r="D2622" t="s">
        <v>111</v>
      </c>
      <c r="E2622">
        <v>18</v>
      </c>
      <c r="F2622">
        <v>1018</v>
      </c>
      <c r="G2622" t="s">
        <v>112</v>
      </c>
      <c r="J2622" t="s">
        <v>113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R2622" t="s">
        <v>114</v>
      </c>
      <c r="S2622" t="str">
        <f>"19:18:34.758"</f>
        <v>19:18:34.758</v>
      </c>
      <c r="T2622" t="str">
        <f>"19:18:34.656"</f>
        <v>19:18:34.656</v>
      </c>
      <c r="U2622" t="str">
        <f t="shared" si="121"/>
        <v>a1cdbe</v>
      </c>
      <c r="V2622">
        <v>0</v>
      </c>
      <c r="W2622">
        <v>0</v>
      </c>
      <c r="X2622">
        <v>1</v>
      </c>
      <c r="Y2622">
        <v>0</v>
      </c>
      <c r="Z2622">
        <v>0</v>
      </c>
      <c r="AB2622">
        <v>0</v>
      </c>
      <c r="AC2622">
        <v>9</v>
      </c>
      <c r="AD2622">
        <v>3</v>
      </c>
      <c r="AE2622">
        <v>0</v>
      </c>
      <c r="AF2622">
        <v>9</v>
      </c>
      <c r="AG2622" t="s">
        <v>158</v>
      </c>
      <c r="AH2622">
        <v>0</v>
      </c>
      <c r="AI2622">
        <v>3</v>
      </c>
      <c r="AJ2622">
        <v>1</v>
      </c>
      <c r="AK2622">
        <v>0</v>
      </c>
      <c r="AL2622" t="s">
        <v>4939</v>
      </c>
      <c r="AM2622">
        <v>46.948829000000003</v>
      </c>
      <c r="AN2622" t="s">
        <v>4940</v>
      </c>
      <c r="AO2622">
        <v>-123.33073899999999</v>
      </c>
      <c r="AP2622">
        <v>100</v>
      </c>
      <c r="AQ2622">
        <v>1900</v>
      </c>
      <c r="AR2622" t="s">
        <v>118</v>
      </c>
      <c r="AS2622">
        <v>-64</v>
      </c>
      <c r="AT2622">
        <v>34</v>
      </c>
      <c r="AU2622">
        <v>0</v>
      </c>
      <c r="BC2622">
        <v>1200</v>
      </c>
      <c r="BD2622">
        <v>1</v>
      </c>
      <c r="BE2622" t="str">
        <f t="shared" si="122"/>
        <v xml:space="preserve">N215T   </v>
      </c>
      <c r="BF2622">
        <v>1</v>
      </c>
      <c r="BH2622">
        <v>0</v>
      </c>
      <c r="BI2622">
        <v>0</v>
      </c>
      <c r="BJ2622">
        <v>0</v>
      </c>
      <c r="BK2622">
        <v>2325</v>
      </c>
      <c r="BL2622">
        <v>425</v>
      </c>
      <c r="BM2622" t="s">
        <v>119</v>
      </c>
      <c r="BN2622">
        <v>1</v>
      </c>
      <c r="BO2622">
        <v>1</v>
      </c>
      <c r="BP2622">
        <v>1</v>
      </c>
      <c r="BQ2622">
        <v>0</v>
      </c>
      <c r="BT2622">
        <v>0</v>
      </c>
      <c r="BU2622">
        <v>0</v>
      </c>
      <c r="BV2622">
        <v>0</v>
      </c>
      <c r="CC2622" t="str">
        <f>"19:18:34.766"</f>
        <v>19:18:34.766</v>
      </c>
      <c r="CD2622" t="str">
        <f>"764438749"</f>
        <v>764438749</v>
      </c>
      <c r="CQ2622">
        <v>0</v>
      </c>
      <c r="CR2622">
        <v>2</v>
      </c>
      <c r="CS2622">
        <v>0</v>
      </c>
      <c r="CT2622">
        <v>2</v>
      </c>
      <c r="CU2622">
        <v>0</v>
      </c>
      <c r="CV2622">
        <v>6</v>
      </c>
      <c r="CW2622" t="s">
        <v>120</v>
      </c>
      <c r="CX2622">
        <v>257</v>
      </c>
      <c r="CY2622">
        <v>0</v>
      </c>
      <c r="CZ2622" t="s">
        <v>615</v>
      </c>
      <c r="DA2622" t="s">
        <v>616</v>
      </c>
      <c r="DD2622">
        <v>16007183</v>
      </c>
      <c r="DE2622" t="s">
        <v>123</v>
      </c>
    </row>
    <row r="2623" spans="1:109" x14ac:dyDescent="0.3">
      <c r="A2623" t="str">
        <f>"19:18:35.891"</f>
        <v>19:18:35.891</v>
      </c>
      <c r="B2623" t="s">
        <v>110</v>
      </c>
      <c r="C2623" t="str">
        <f t="shared" si="120"/>
        <v>ffdfd3c0</v>
      </c>
      <c r="D2623" t="s">
        <v>111</v>
      </c>
      <c r="E2623">
        <v>18</v>
      </c>
      <c r="F2623">
        <v>1018</v>
      </c>
      <c r="G2623" t="s">
        <v>112</v>
      </c>
      <c r="J2623" t="s">
        <v>113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R2623" t="s">
        <v>114</v>
      </c>
      <c r="S2623" t="str">
        <f>"19:18:35.672"</f>
        <v>19:18:35.672</v>
      </c>
      <c r="T2623" t="str">
        <f>"19:18:35.273"</f>
        <v>19:18:35.273</v>
      </c>
      <c r="U2623" t="str">
        <f t="shared" si="121"/>
        <v>a1cdbe</v>
      </c>
      <c r="V2623">
        <v>0</v>
      </c>
      <c r="W2623">
        <v>0</v>
      </c>
      <c r="X2623">
        <v>1</v>
      </c>
      <c r="Y2623">
        <v>0</v>
      </c>
      <c r="Z2623">
        <v>0</v>
      </c>
      <c r="AB2623">
        <v>0</v>
      </c>
      <c r="AC2623">
        <v>9</v>
      </c>
      <c r="AD2623">
        <v>3</v>
      </c>
      <c r="AE2623">
        <v>0</v>
      </c>
      <c r="AF2623">
        <v>9</v>
      </c>
      <c r="AG2623" t="s">
        <v>158</v>
      </c>
      <c r="AH2623">
        <v>0</v>
      </c>
      <c r="AI2623">
        <v>3</v>
      </c>
      <c r="AJ2623">
        <v>1</v>
      </c>
      <c r="AK2623">
        <v>0</v>
      </c>
      <c r="AL2623" t="s">
        <v>4941</v>
      </c>
      <c r="AM2623">
        <v>46.948979000000001</v>
      </c>
      <c r="AN2623" t="s">
        <v>4942</v>
      </c>
      <c r="AO2623">
        <v>-123.331146</v>
      </c>
      <c r="AP2623">
        <v>100</v>
      </c>
      <c r="AQ2623">
        <v>1900</v>
      </c>
      <c r="AR2623" t="s">
        <v>118</v>
      </c>
      <c r="AS2623">
        <v>-64</v>
      </c>
      <c r="AT2623">
        <v>34</v>
      </c>
      <c r="AU2623">
        <v>0</v>
      </c>
      <c r="BC2623">
        <v>1200</v>
      </c>
      <c r="BD2623">
        <v>1</v>
      </c>
      <c r="BE2623" t="str">
        <f t="shared" si="122"/>
        <v xml:space="preserve">N215T   </v>
      </c>
      <c r="BF2623">
        <v>1</v>
      </c>
      <c r="BH2623">
        <v>0</v>
      </c>
      <c r="BI2623">
        <v>0</v>
      </c>
      <c r="BJ2623">
        <v>0</v>
      </c>
      <c r="BK2623">
        <v>2325</v>
      </c>
      <c r="BL2623">
        <v>425</v>
      </c>
      <c r="BM2623" t="s">
        <v>119</v>
      </c>
      <c r="BN2623">
        <v>1</v>
      </c>
      <c r="BO2623">
        <v>1</v>
      </c>
      <c r="BP2623">
        <v>1</v>
      </c>
      <c r="BQ2623">
        <v>0</v>
      </c>
      <c r="BT2623">
        <v>0</v>
      </c>
      <c r="BU2623">
        <v>0</v>
      </c>
      <c r="BV2623">
        <v>0</v>
      </c>
      <c r="CC2623" t="str">
        <f>"19:18:35.680"</f>
        <v>19:18:35.680</v>
      </c>
      <c r="CD2623" t="str">
        <f>"679348605"</f>
        <v>679348605</v>
      </c>
      <c r="CQ2623">
        <v>0</v>
      </c>
      <c r="CR2623">
        <v>2</v>
      </c>
      <c r="CS2623">
        <v>0</v>
      </c>
      <c r="CT2623">
        <v>2</v>
      </c>
      <c r="CU2623">
        <v>0</v>
      </c>
      <c r="CV2623">
        <v>6</v>
      </c>
      <c r="CW2623" t="s">
        <v>120</v>
      </c>
      <c r="CX2623">
        <v>257</v>
      </c>
      <c r="CY2623">
        <v>0</v>
      </c>
      <c r="CZ2623" t="s">
        <v>615</v>
      </c>
      <c r="DA2623" t="s">
        <v>616</v>
      </c>
      <c r="DD2623">
        <v>16007727</v>
      </c>
      <c r="DE2623" t="s">
        <v>123</v>
      </c>
    </row>
    <row r="2624" spans="1:109" x14ac:dyDescent="0.3">
      <c r="A2624" t="str">
        <f>"19:18:36.695"</f>
        <v>19:18:36.695</v>
      </c>
      <c r="B2624" t="s">
        <v>110</v>
      </c>
      <c r="C2624" t="str">
        <f t="shared" si="120"/>
        <v>ffdfd3c0</v>
      </c>
      <c r="D2624" t="s">
        <v>111</v>
      </c>
      <c r="E2624">
        <v>18</v>
      </c>
      <c r="F2624">
        <v>1018</v>
      </c>
      <c r="G2624" t="s">
        <v>112</v>
      </c>
      <c r="J2624" t="s">
        <v>113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R2624" t="s">
        <v>114</v>
      </c>
      <c r="S2624" t="str">
        <f>"19:18:36.500"</f>
        <v>19:18:36.500</v>
      </c>
      <c r="T2624" t="str">
        <f>"19:18:36.203"</f>
        <v>19:18:36.203</v>
      </c>
      <c r="U2624" t="str">
        <f t="shared" si="121"/>
        <v>a1cdbe</v>
      </c>
      <c r="V2624">
        <v>0</v>
      </c>
      <c r="W2624">
        <v>0</v>
      </c>
      <c r="X2624">
        <v>1</v>
      </c>
      <c r="Y2624">
        <v>0</v>
      </c>
      <c r="Z2624">
        <v>0</v>
      </c>
      <c r="AB2624">
        <v>0</v>
      </c>
      <c r="AC2624">
        <v>9</v>
      </c>
      <c r="AD2624">
        <v>3</v>
      </c>
      <c r="AE2624">
        <v>0</v>
      </c>
      <c r="AF2624">
        <v>9</v>
      </c>
      <c r="AG2624" t="s">
        <v>158</v>
      </c>
      <c r="AH2624">
        <v>0</v>
      </c>
      <c r="AI2624">
        <v>3</v>
      </c>
      <c r="AJ2624">
        <v>1</v>
      </c>
      <c r="AK2624">
        <v>0</v>
      </c>
      <c r="AL2624" t="s">
        <v>4943</v>
      </c>
      <c r="AM2624">
        <v>46.949108000000003</v>
      </c>
      <c r="AN2624" t="s">
        <v>4944</v>
      </c>
      <c r="AO2624">
        <v>-123.33149</v>
      </c>
      <c r="AP2624">
        <v>100</v>
      </c>
      <c r="AQ2624">
        <v>1900</v>
      </c>
      <c r="AR2624" t="s">
        <v>118</v>
      </c>
      <c r="AS2624">
        <v>-65</v>
      </c>
      <c r="AT2624">
        <v>34</v>
      </c>
      <c r="AU2624">
        <v>0</v>
      </c>
      <c r="BC2624">
        <v>1200</v>
      </c>
      <c r="BD2624">
        <v>1</v>
      </c>
      <c r="BE2624" t="str">
        <f t="shared" si="122"/>
        <v xml:space="preserve">N215T   </v>
      </c>
      <c r="BF2624">
        <v>1</v>
      </c>
      <c r="BH2624">
        <v>0</v>
      </c>
      <c r="BI2624">
        <v>0</v>
      </c>
      <c r="BJ2624">
        <v>0</v>
      </c>
      <c r="BK2624">
        <v>2325</v>
      </c>
      <c r="BL2624">
        <v>425</v>
      </c>
      <c r="BM2624" t="s">
        <v>119</v>
      </c>
      <c r="BN2624">
        <v>1</v>
      </c>
      <c r="BO2624">
        <v>1</v>
      </c>
      <c r="BP2624">
        <v>1</v>
      </c>
      <c r="BQ2624">
        <v>0</v>
      </c>
      <c r="BT2624">
        <v>0</v>
      </c>
      <c r="BU2624">
        <v>0</v>
      </c>
      <c r="BV2624">
        <v>0</v>
      </c>
      <c r="CC2624" t="str">
        <f>"19:18:36.508"</f>
        <v>19:18:36.508</v>
      </c>
      <c r="CD2624" t="str">
        <f>"504283767"</f>
        <v>504283767</v>
      </c>
      <c r="CQ2624">
        <v>0</v>
      </c>
      <c r="CR2624">
        <v>2</v>
      </c>
      <c r="CS2624">
        <v>0</v>
      </c>
      <c r="CT2624">
        <v>2</v>
      </c>
      <c r="CU2624">
        <v>0</v>
      </c>
      <c r="CV2624">
        <v>6</v>
      </c>
      <c r="CW2624" t="s">
        <v>120</v>
      </c>
      <c r="CX2624">
        <v>261</v>
      </c>
      <c r="CY2624">
        <v>2</v>
      </c>
      <c r="CZ2624" t="s">
        <v>121</v>
      </c>
      <c r="DA2624" t="s">
        <v>122</v>
      </c>
      <c r="DD2624">
        <v>15884138</v>
      </c>
      <c r="DE2624" t="s">
        <v>123</v>
      </c>
    </row>
    <row r="2625" spans="1:109" x14ac:dyDescent="0.3">
      <c r="A2625" t="str">
        <f>"19:18:37.750"</f>
        <v>19:18:37.750</v>
      </c>
      <c r="B2625" t="s">
        <v>110</v>
      </c>
      <c r="C2625" t="str">
        <f t="shared" si="120"/>
        <v>ffdfd3c0</v>
      </c>
      <c r="D2625" t="s">
        <v>111</v>
      </c>
      <c r="E2625">
        <v>18</v>
      </c>
      <c r="F2625">
        <v>1018</v>
      </c>
      <c r="G2625" t="s">
        <v>112</v>
      </c>
      <c r="J2625" t="s">
        <v>113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R2625" t="s">
        <v>114</v>
      </c>
      <c r="S2625" t="str">
        <f>"19:18:37.539"</f>
        <v>19:18:37.539</v>
      </c>
      <c r="T2625" t="str">
        <f>"19:18:37.242"</f>
        <v>19:18:37.242</v>
      </c>
      <c r="U2625" t="str">
        <f t="shared" si="121"/>
        <v>a1cdbe</v>
      </c>
      <c r="V2625">
        <v>0</v>
      </c>
      <c r="W2625">
        <v>0</v>
      </c>
      <c r="X2625">
        <v>1</v>
      </c>
      <c r="Y2625">
        <v>0</v>
      </c>
      <c r="Z2625">
        <v>0</v>
      </c>
      <c r="AB2625">
        <v>0</v>
      </c>
      <c r="AC2625">
        <v>9</v>
      </c>
      <c r="AD2625">
        <v>3</v>
      </c>
      <c r="AE2625">
        <v>0</v>
      </c>
      <c r="AF2625">
        <v>9</v>
      </c>
      <c r="AG2625" t="s">
        <v>158</v>
      </c>
      <c r="AH2625">
        <v>0</v>
      </c>
      <c r="AI2625">
        <v>3</v>
      </c>
      <c r="AJ2625">
        <v>1</v>
      </c>
      <c r="AK2625">
        <v>0</v>
      </c>
      <c r="AL2625" t="s">
        <v>4945</v>
      </c>
      <c r="AM2625">
        <v>46.949278999999997</v>
      </c>
      <c r="AN2625" t="s">
        <v>4946</v>
      </c>
      <c r="AO2625">
        <v>-123.33187599999999</v>
      </c>
      <c r="AP2625">
        <v>100</v>
      </c>
      <c r="AQ2625">
        <v>1900</v>
      </c>
      <c r="AR2625" t="s">
        <v>118</v>
      </c>
      <c r="AS2625">
        <v>-65</v>
      </c>
      <c r="AT2625">
        <v>34</v>
      </c>
      <c r="AU2625">
        <v>-64</v>
      </c>
      <c r="BC2625">
        <v>1200</v>
      </c>
      <c r="BD2625">
        <v>1</v>
      </c>
      <c r="BE2625" t="str">
        <f t="shared" si="122"/>
        <v xml:space="preserve">N215T   </v>
      </c>
      <c r="BF2625">
        <v>1</v>
      </c>
      <c r="BH2625">
        <v>0</v>
      </c>
      <c r="BI2625">
        <v>0</v>
      </c>
      <c r="BJ2625">
        <v>0</v>
      </c>
      <c r="BK2625">
        <v>2325</v>
      </c>
      <c r="BL2625">
        <v>425</v>
      </c>
      <c r="BM2625" t="s">
        <v>119</v>
      </c>
      <c r="BN2625">
        <v>1</v>
      </c>
      <c r="BO2625">
        <v>1</v>
      </c>
      <c r="BP2625">
        <v>1</v>
      </c>
      <c r="BQ2625">
        <v>0</v>
      </c>
      <c r="BT2625">
        <v>0</v>
      </c>
      <c r="BU2625">
        <v>0</v>
      </c>
      <c r="BV2625">
        <v>0</v>
      </c>
      <c r="CC2625" t="str">
        <f>"19:18:37.539"</f>
        <v>19:18:37.539</v>
      </c>
      <c r="CD2625" t="str">
        <f>"539165361"</f>
        <v>539165361</v>
      </c>
      <c r="CQ2625">
        <v>0</v>
      </c>
      <c r="CR2625">
        <v>2</v>
      </c>
      <c r="CS2625">
        <v>0</v>
      </c>
      <c r="CT2625">
        <v>2</v>
      </c>
      <c r="CU2625">
        <v>0</v>
      </c>
      <c r="CV2625">
        <v>6</v>
      </c>
      <c r="CW2625" t="s">
        <v>120</v>
      </c>
      <c r="CX2625">
        <v>257</v>
      </c>
      <c r="CY2625">
        <v>0</v>
      </c>
      <c r="CZ2625" t="s">
        <v>615</v>
      </c>
      <c r="DA2625" t="s">
        <v>616</v>
      </c>
      <c r="DD2625">
        <v>16008782</v>
      </c>
      <c r="DE2625" t="s">
        <v>123</v>
      </c>
    </row>
    <row r="2626" spans="1:109" x14ac:dyDescent="0.3">
      <c r="A2626" t="str">
        <f>"19:18:38.805"</f>
        <v>19:18:38.805</v>
      </c>
      <c r="B2626" t="s">
        <v>110</v>
      </c>
      <c r="C2626" t="str">
        <f t="shared" ref="C2626:C2689" si="123">"ffdfd3c0"</f>
        <v>ffdfd3c0</v>
      </c>
      <c r="D2626" t="s">
        <v>111</v>
      </c>
      <c r="E2626">
        <v>18</v>
      </c>
      <c r="F2626">
        <v>1018</v>
      </c>
      <c r="G2626" t="s">
        <v>112</v>
      </c>
      <c r="J2626" t="s">
        <v>113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R2626" t="s">
        <v>114</v>
      </c>
      <c r="S2626" t="str">
        <f>"19:18:38.586"</f>
        <v>19:18:38.586</v>
      </c>
      <c r="T2626" t="str">
        <f>"19:18:38.188"</f>
        <v>19:18:38.188</v>
      </c>
      <c r="U2626" t="str">
        <f t="shared" ref="U2626:U2689" si="124">"a1cdbe"</f>
        <v>a1cdbe</v>
      </c>
      <c r="V2626">
        <v>0</v>
      </c>
      <c r="W2626">
        <v>0</v>
      </c>
      <c r="X2626">
        <v>1</v>
      </c>
      <c r="Y2626">
        <v>0</v>
      </c>
      <c r="Z2626">
        <v>0</v>
      </c>
      <c r="AB2626">
        <v>0</v>
      </c>
      <c r="AC2626">
        <v>9</v>
      </c>
      <c r="AD2626">
        <v>3</v>
      </c>
      <c r="AE2626">
        <v>0</v>
      </c>
      <c r="AF2626">
        <v>9</v>
      </c>
      <c r="AG2626" t="s">
        <v>158</v>
      </c>
      <c r="AH2626">
        <v>0</v>
      </c>
      <c r="AI2626">
        <v>3</v>
      </c>
      <c r="AJ2626">
        <v>1</v>
      </c>
      <c r="AK2626">
        <v>0</v>
      </c>
      <c r="AL2626" t="s">
        <v>4947</v>
      </c>
      <c r="AM2626">
        <v>46.949472</v>
      </c>
      <c r="AN2626" t="s">
        <v>4948</v>
      </c>
      <c r="AO2626">
        <v>-123.332369</v>
      </c>
      <c r="AP2626">
        <v>100</v>
      </c>
      <c r="AQ2626">
        <v>1900</v>
      </c>
      <c r="AR2626" t="s">
        <v>118</v>
      </c>
      <c r="AS2626">
        <v>-65</v>
      </c>
      <c r="AT2626">
        <v>34</v>
      </c>
      <c r="AU2626">
        <v>-64</v>
      </c>
      <c r="BC2626">
        <v>1200</v>
      </c>
      <c r="BD2626">
        <v>1</v>
      </c>
      <c r="BE2626" t="str">
        <f t="shared" ref="BE2626:BE2689" si="125">"N215T   "</f>
        <v xml:space="preserve">N215T   </v>
      </c>
      <c r="BF2626">
        <v>1</v>
      </c>
      <c r="BH2626">
        <v>0</v>
      </c>
      <c r="BI2626">
        <v>0</v>
      </c>
      <c r="BJ2626">
        <v>0</v>
      </c>
      <c r="BK2626">
        <v>2325</v>
      </c>
      <c r="BL2626">
        <v>425</v>
      </c>
      <c r="BM2626" t="s">
        <v>119</v>
      </c>
      <c r="BN2626">
        <v>1</v>
      </c>
      <c r="BO2626">
        <v>1</v>
      </c>
      <c r="BP2626">
        <v>1</v>
      </c>
      <c r="BQ2626">
        <v>0</v>
      </c>
      <c r="BT2626">
        <v>0</v>
      </c>
      <c r="BU2626">
        <v>0</v>
      </c>
      <c r="BV2626">
        <v>0</v>
      </c>
      <c r="CC2626" t="str">
        <f>"19:18:38.586"</f>
        <v>19:18:38.586</v>
      </c>
      <c r="CD2626" t="str">
        <f>"589078412"</f>
        <v>589078412</v>
      </c>
      <c r="CQ2626">
        <v>0</v>
      </c>
      <c r="CR2626">
        <v>2</v>
      </c>
      <c r="CS2626">
        <v>0</v>
      </c>
      <c r="CT2626">
        <v>2</v>
      </c>
      <c r="CU2626">
        <v>0</v>
      </c>
      <c r="CV2626">
        <v>7</v>
      </c>
      <c r="CW2626" t="s">
        <v>120</v>
      </c>
      <c r="CX2626">
        <v>261</v>
      </c>
      <c r="CY2626">
        <v>2</v>
      </c>
      <c r="CZ2626" t="s">
        <v>121</v>
      </c>
      <c r="DA2626" t="s">
        <v>122</v>
      </c>
      <c r="DD2626">
        <v>15885538</v>
      </c>
      <c r="DE2626" t="s">
        <v>123</v>
      </c>
    </row>
    <row r="2627" spans="1:109" x14ac:dyDescent="0.3">
      <c r="A2627" t="str">
        <f>"19:18:39.914"</f>
        <v>19:18:39.914</v>
      </c>
      <c r="B2627" t="s">
        <v>110</v>
      </c>
      <c r="C2627" t="str">
        <f t="shared" si="123"/>
        <v>ffdfd3c0</v>
      </c>
      <c r="D2627" t="s">
        <v>111</v>
      </c>
      <c r="E2627">
        <v>18</v>
      </c>
      <c r="F2627">
        <v>1018</v>
      </c>
      <c r="G2627" t="s">
        <v>112</v>
      </c>
      <c r="J2627" t="s">
        <v>113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R2627" t="s">
        <v>114</v>
      </c>
      <c r="S2627" t="str">
        <f>"19:18:39.664"</f>
        <v>19:18:39.664</v>
      </c>
      <c r="T2627" t="str">
        <f>"19:18:39.664"</f>
        <v>19:18:39.664</v>
      </c>
      <c r="U2627" t="str">
        <f t="shared" si="124"/>
        <v>a1cdbe</v>
      </c>
      <c r="V2627">
        <v>0</v>
      </c>
      <c r="W2627">
        <v>0</v>
      </c>
      <c r="X2627">
        <v>1</v>
      </c>
      <c r="Y2627">
        <v>0</v>
      </c>
      <c r="Z2627">
        <v>0</v>
      </c>
      <c r="AB2627">
        <v>0</v>
      </c>
      <c r="AC2627">
        <v>9</v>
      </c>
      <c r="AD2627">
        <v>3</v>
      </c>
      <c r="AE2627">
        <v>0</v>
      </c>
      <c r="AF2627">
        <v>9</v>
      </c>
      <c r="AG2627" t="s">
        <v>158</v>
      </c>
      <c r="AH2627">
        <v>0</v>
      </c>
      <c r="AI2627">
        <v>3</v>
      </c>
      <c r="AJ2627">
        <v>1</v>
      </c>
      <c r="AK2627">
        <v>0</v>
      </c>
      <c r="AL2627" t="s">
        <v>4949</v>
      </c>
      <c r="AM2627">
        <v>46.949623000000003</v>
      </c>
      <c r="AN2627" t="s">
        <v>4950</v>
      </c>
      <c r="AO2627">
        <v>-123.332863</v>
      </c>
      <c r="AP2627">
        <v>100</v>
      </c>
      <c r="AQ2627">
        <v>1900</v>
      </c>
      <c r="AR2627" t="s">
        <v>118</v>
      </c>
      <c r="AS2627">
        <v>-66</v>
      </c>
      <c r="AT2627">
        <v>34</v>
      </c>
      <c r="AU2627">
        <v>-64</v>
      </c>
      <c r="BC2627">
        <v>1200</v>
      </c>
      <c r="BD2627">
        <v>1</v>
      </c>
      <c r="BE2627" t="str">
        <f t="shared" si="125"/>
        <v xml:space="preserve">N215T   </v>
      </c>
      <c r="BF2627">
        <v>1</v>
      </c>
      <c r="BH2627">
        <v>0</v>
      </c>
      <c r="BI2627">
        <v>0</v>
      </c>
      <c r="BJ2627">
        <v>0</v>
      </c>
      <c r="BK2627">
        <v>2325</v>
      </c>
      <c r="BL2627">
        <v>425</v>
      </c>
      <c r="BM2627" t="s">
        <v>119</v>
      </c>
      <c r="BN2627">
        <v>1</v>
      </c>
      <c r="BO2627">
        <v>1</v>
      </c>
      <c r="BP2627">
        <v>1</v>
      </c>
      <c r="BQ2627">
        <v>0</v>
      </c>
      <c r="BT2627">
        <v>0</v>
      </c>
      <c r="BU2627">
        <v>0</v>
      </c>
      <c r="BV2627">
        <v>0</v>
      </c>
      <c r="CC2627" t="str">
        <f>"19:18:39.672"</f>
        <v>19:18:39.672</v>
      </c>
      <c r="CD2627" t="str">
        <f>"668972037"</f>
        <v>668972037</v>
      </c>
      <c r="CQ2627">
        <v>0</v>
      </c>
      <c r="CR2627">
        <v>2</v>
      </c>
      <c r="CS2627">
        <v>0</v>
      </c>
      <c r="CT2627">
        <v>2</v>
      </c>
      <c r="CU2627">
        <v>0</v>
      </c>
      <c r="CV2627">
        <v>7</v>
      </c>
      <c r="CW2627" t="s">
        <v>120</v>
      </c>
      <c r="CX2627">
        <v>261</v>
      </c>
      <c r="CY2627">
        <v>2</v>
      </c>
      <c r="CZ2627" t="s">
        <v>121</v>
      </c>
      <c r="DA2627" t="s">
        <v>122</v>
      </c>
      <c r="DD2627">
        <v>15886297</v>
      </c>
      <c r="DE2627" t="s">
        <v>123</v>
      </c>
    </row>
    <row r="2628" spans="1:109" x14ac:dyDescent="0.3">
      <c r="A2628" t="str">
        <f>"19:18:40.969"</f>
        <v>19:18:40.969</v>
      </c>
      <c r="B2628" t="s">
        <v>110</v>
      </c>
      <c r="C2628" t="str">
        <f t="shared" si="123"/>
        <v>ffdfd3c0</v>
      </c>
      <c r="D2628" t="s">
        <v>111</v>
      </c>
      <c r="E2628">
        <v>18</v>
      </c>
      <c r="F2628">
        <v>1018</v>
      </c>
      <c r="G2628" t="s">
        <v>112</v>
      </c>
      <c r="J2628" t="s">
        <v>113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R2628" t="s">
        <v>114</v>
      </c>
      <c r="S2628" t="str">
        <f>"19:18:40.719"</f>
        <v>19:18:40.719</v>
      </c>
      <c r="T2628" t="str">
        <f>"19:18:40.719"</f>
        <v>19:18:40.719</v>
      </c>
      <c r="U2628" t="str">
        <f t="shared" si="124"/>
        <v>a1cdbe</v>
      </c>
      <c r="V2628">
        <v>0</v>
      </c>
      <c r="W2628">
        <v>0</v>
      </c>
      <c r="X2628">
        <v>1</v>
      </c>
      <c r="Y2628">
        <v>0</v>
      </c>
      <c r="Z2628">
        <v>0</v>
      </c>
      <c r="AB2628">
        <v>0</v>
      </c>
      <c r="AC2628">
        <v>9</v>
      </c>
      <c r="AD2628">
        <v>3</v>
      </c>
      <c r="AE2628">
        <v>0</v>
      </c>
      <c r="AF2628">
        <v>9</v>
      </c>
      <c r="AG2628" t="s">
        <v>158</v>
      </c>
      <c r="AH2628">
        <v>0</v>
      </c>
      <c r="AI2628">
        <v>3</v>
      </c>
      <c r="AJ2628">
        <v>1</v>
      </c>
      <c r="AK2628">
        <v>0</v>
      </c>
      <c r="AL2628" t="s">
        <v>4951</v>
      </c>
      <c r="AM2628">
        <v>46.949793999999997</v>
      </c>
      <c r="AN2628" t="s">
        <v>4952</v>
      </c>
      <c r="AO2628">
        <v>-123.33335599999999</v>
      </c>
      <c r="AP2628">
        <v>100</v>
      </c>
      <c r="AQ2628">
        <v>1900</v>
      </c>
      <c r="AR2628" t="s">
        <v>118</v>
      </c>
      <c r="AS2628">
        <v>-66</v>
      </c>
      <c r="AT2628">
        <v>34</v>
      </c>
      <c r="AU2628">
        <v>-64</v>
      </c>
      <c r="BC2628">
        <v>1200</v>
      </c>
      <c r="BD2628">
        <v>1</v>
      </c>
      <c r="BE2628" t="str">
        <f t="shared" si="125"/>
        <v xml:space="preserve">N215T   </v>
      </c>
      <c r="BF2628">
        <v>1</v>
      </c>
      <c r="BH2628">
        <v>0</v>
      </c>
      <c r="BI2628">
        <v>0</v>
      </c>
      <c r="BJ2628">
        <v>0</v>
      </c>
      <c r="BK2628">
        <v>2325</v>
      </c>
      <c r="BL2628">
        <v>425</v>
      </c>
      <c r="BM2628" t="s">
        <v>119</v>
      </c>
      <c r="BN2628">
        <v>1</v>
      </c>
      <c r="BO2628">
        <v>1</v>
      </c>
      <c r="BP2628">
        <v>1</v>
      </c>
      <c r="BQ2628">
        <v>0</v>
      </c>
      <c r="BT2628">
        <v>0</v>
      </c>
      <c r="BU2628">
        <v>0</v>
      </c>
      <c r="BV2628">
        <v>0</v>
      </c>
      <c r="CC2628" t="str">
        <f>"19:18:40.719"</f>
        <v>19:18:40.719</v>
      </c>
      <c r="CD2628" t="str">
        <f>"718868616"</f>
        <v>718868616</v>
      </c>
      <c r="CQ2628">
        <v>0</v>
      </c>
      <c r="CR2628">
        <v>2</v>
      </c>
      <c r="CS2628">
        <v>0</v>
      </c>
      <c r="CT2628">
        <v>2</v>
      </c>
      <c r="CU2628">
        <v>0</v>
      </c>
      <c r="CV2628">
        <v>7</v>
      </c>
      <c r="CW2628" t="s">
        <v>120</v>
      </c>
      <c r="CX2628">
        <v>261</v>
      </c>
      <c r="CY2628">
        <v>2</v>
      </c>
      <c r="CZ2628" t="s">
        <v>121</v>
      </c>
      <c r="DA2628" t="s">
        <v>122</v>
      </c>
      <c r="DD2628">
        <v>15887044</v>
      </c>
      <c r="DE2628" t="s">
        <v>123</v>
      </c>
    </row>
    <row r="2629" spans="1:109" x14ac:dyDescent="0.3">
      <c r="A2629" t="str">
        <f>"19:18:41.875"</f>
        <v>19:18:41.875</v>
      </c>
      <c r="B2629" t="s">
        <v>110</v>
      </c>
      <c r="C2629" t="str">
        <f t="shared" si="123"/>
        <v>ffdfd3c0</v>
      </c>
      <c r="D2629" t="s">
        <v>111</v>
      </c>
      <c r="E2629">
        <v>18</v>
      </c>
      <c r="F2629">
        <v>1018</v>
      </c>
      <c r="G2629" t="s">
        <v>112</v>
      </c>
      <c r="J2629" t="s">
        <v>113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R2629" t="s">
        <v>114</v>
      </c>
      <c r="S2629" t="str">
        <f>"19:18:41.617"</f>
        <v>19:18:41.617</v>
      </c>
      <c r="T2629" t="str">
        <f>"19:18:41.219"</f>
        <v>19:18:41.219</v>
      </c>
      <c r="U2629" t="str">
        <f t="shared" si="124"/>
        <v>a1cdbe</v>
      </c>
      <c r="V2629">
        <v>0</v>
      </c>
      <c r="W2629">
        <v>0</v>
      </c>
      <c r="X2629">
        <v>1</v>
      </c>
      <c r="Y2629">
        <v>0</v>
      </c>
      <c r="Z2629">
        <v>0</v>
      </c>
      <c r="AB2629">
        <v>0</v>
      </c>
      <c r="AC2629">
        <v>9</v>
      </c>
      <c r="AD2629">
        <v>3</v>
      </c>
      <c r="AE2629">
        <v>0</v>
      </c>
      <c r="AF2629">
        <v>9</v>
      </c>
      <c r="AG2629" t="s">
        <v>158</v>
      </c>
      <c r="AH2629">
        <v>0</v>
      </c>
      <c r="AI2629">
        <v>3</v>
      </c>
      <c r="AJ2629">
        <v>1</v>
      </c>
      <c r="AK2629">
        <v>0</v>
      </c>
      <c r="AL2629" t="s">
        <v>4953</v>
      </c>
      <c r="AM2629">
        <v>46.949944000000002</v>
      </c>
      <c r="AN2629" t="s">
        <v>4954</v>
      </c>
      <c r="AO2629">
        <v>-123.333764</v>
      </c>
      <c r="AP2629">
        <v>100</v>
      </c>
      <c r="AQ2629">
        <v>1900</v>
      </c>
      <c r="AR2629" t="s">
        <v>118</v>
      </c>
      <c r="AS2629">
        <v>-66</v>
      </c>
      <c r="AT2629">
        <v>34</v>
      </c>
      <c r="AU2629">
        <v>-64</v>
      </c>
      <c r="BC2629">
        <v>1200</v>
      </c>
      <c r="BD2629">
        <v>1</v>
      </c>
      <c r="BE2629" t="str">
        <f t="shared" si="125"/>
        <v xml:space="preserve">N215T   </v>
      </c>
      <c r="BF2629">
        <v>1</v>
      </c>
      <c r="BH2629">
        <v>0</v>
      </c>
      <c r="BI2629">
        <v>0</v>
      </c>
      <c r="BJ2629">
        <v>0</v>
      </c>
      <c r="BK2629">
        <v>2325</v>
      </c>
      <c r="BL2629">
        <v>425</v>
      </c>
      <c r="BM2629" t="s">
        <v>119</v>
      </c>
      <c r="BN2629">
        <v>1</v>
      </c>
      <c r="BO2629">
        <v>1</v>
      </c>
      <c r="BP2629">
        <v>1</v>
      </c>
      <c r="BQ2629">
        <v>0</v>
      </c>
      <c r="BT2629">
        <v>0</v>
      </c>
      <c r="BU2629">
        <v>0</v>
      </c>
      <c r="BV2629">
        <v>0</v>
      </c>
      <c r="CC2629" t="str">
        <f>"19:18:41.617"</f>
        <v>19:18:41.617</v>
      </c>
      <c r="CD2629" t="str">
        <f>"618779969"</f>
        <v>618779969</v>
      </c>
      <c r="CQ2629">
        <v>0</v>
      </c>
      <c r="CR2629">
        <v>2</v>
      </c>
      <c r="CS2629">
        <v>0</v>
      </c>
      <c r="CT2629">
        <v>2</v>
      </c>
      <c r="CU2629">
        <v>0</v>
      </c>
      <c r="CV2629">
        <v>7</v>
      </c>
      <c r="CW2629" t="s">
        <v>120</v>
      </c>
      <c r="CX2629">
        <v>261</v>
      </c>
      <c r="CY2629">
        <v>2</v>
      </c>
      <c r="CZ2629" t="s">
        <v>121</v>
      </c>
      <c r="DA2629" t="s">
        <v>122</v>
      </c>
      <c r="DD2629">
        <v>15887660</v>
      </c>
      <c r="DE2629" t="s">
        <v>123</v>
      </c>
    </row>
    <row r="2630" spans="1:109" x14ac:dyDescent="0.3">
      <c r="A2630" t="str">
        <f>"19:18:42.883"</f>
        <v>19:18:42.883</v>
      </c>
      <c r="B2630" t="s">
        <v>110</v>
      </c>
      <c r="C2630" t="str">
        <f t="shared" si="123"/>
        <v>ffdfd3c0</v>
      </c>
      <c r="D2630" t="s">
        <v>111</v>
      </c>
      <c r="E2630">
        <v>18</v>
      </c>
      <c r="F2630">
        <v>1018</v>
      </c>
      <c r="G2630" t="s">
        <v>112</v>
      </c>
      <c r="J2630" t="s">
        <v>113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R2630" t="s">
        <v>114</v>
      </c>
      <c r="S2630" t="str">
        <f>"19:18:42.617"</f>
        <v>19:18:42.617</v>
      </c>
      <c r="T2630" t="str">
        <f>"19:18:42.219"</f>
        <v>19:18:42.219</v>
      </c>
      <c r="U2630" t="str">
        <f t="shared" si="124"/>
        <v>a1cdbe</v>
      </c>
      <c r="V2630">
        <v>0</v>
      </c>
      <c r="W2630">
        <v>0</v>
      </c>
      <c r="X2630">
        <v>1</v>
      </c>
      <c r="Y2630">
        <v>0</v>
      </c>
      <c r="Z2630">
        <v>0</v>
      </c>
      <c r="AB2630">
        <v>0</v>
      </c>
      <c r="AC2630">
        <v>9</v>
      </c>
      <c r="AD2630">
        <v>3</v>
      </c>
      <c r="AE2630">
        <v>0</v>
      </c>
      <c r="AF2630">
        <v>9</v>
      </c>
      <c r="AG2630" t="s">
        <v>158</v>
      </c>
      <c r="AH2630">
        <v>0</v>
      </c>
      <c r="AI2630">
        <v>3</v>
      </c>
      <c r="AJ2630">
        <v>1</v>
      </c>
      <c r="AK2630">
        <v>0</v>
      </c>
      <c r="AL2630" t="s">
        <v>4955</v>
      </c>
      <c r="AM2630">
        <v>46.950073000000003</v>
      </c>
      <c r="AN2630" t="s">
        <v>4956</v>
      </c>
      <c r="AO2630">
        <v>-123.334215</v>
      </c>
      <c r="AP2630">
        <v>100</v>
      </c>
      <c r="AQ2630">
        <v>1900</v>
      </c>
      <c r="AR2630" t="s">
        <v>118</v>
      </c>
      <c r="AS2630">
        <v>-66</v>
      </c>
      <c r="AT2630">
        <v>35</v>
      </c>
      <c r="AU2630">
        <v>-64</v>
      </c>
      <c r="BC2630">
        <v>1200</v>
      </c>
      <c r="BD2630">
        <v>1</v>
      </c>
      <c r="BE2630" t="str">
        <f t="shared" si="125"/>
        <v xml:space="preserve">N215T   </v>
      </c>
      <c r="BF2630">
        <v>1</v>
      </c>
      <c r="BH2630">
        <v>0</v>
      </c>
      <c r="BI2630">
        <v>0</v>
      </c>
      <c r="BJ2630">
        <v>0</v>
      </c>
      <c r="BK2630">
        <v>2325</v>
      </c>
      <c r="BL2630">
        <v>425</v>
      </c>
      <c r="BM2630" t="s">
        <v>119</v>
      </c>
      <c r="BN2630">
        <v>1</v>
      </c>
      <c r="BO2630">
        <v>1</v>
      </c>
      <c r="BP2630">
        <v>1</v>
      </c>
      <c r="BQ2630">
        <v>0</v>
      </c>
      <c r="BT2630">
        <v>0</v>
      </c>
      <c r="BU2630">
        <v>0</v>
      </c>
      <c r="BV2630">
        <v>0</v>
      </c>
      <c r="CC2630" t="str">
        <f>"19:18:42.625"</f>
        <v>19:18:42.625</v>
      </c>
      <c r="CD2630" t="str">
        <f>"623680986"</f>
        <v>623680986</v>
      </c>
      <c r="CQ2630">
        <v>0</v>
      </c>
      <c r="CR2630">
        <v>2</v>
      </c>
      <c r="CS2630">
        <v>0</v>
      </c>
      <c r="CT2630">
        <v>2</v>
      </c>
      <c r="CU2630">
        <v>0</v>
      </c>
      <c r="CV2630">
        <v>6</v>
      </c>
      <c r="CW2630" t="s">
        <v>120</v>
      </c>
      <c r="CX2630">
        <v>261</v>
      </c>
      <c r="CY2630">
        <v>2</v>
      </c>
      <c r="CZ2630" t="s">
        <v>121</v>
      </c>
      <c r="DA2630" t="s">
        <v>122</v>
      </c>
      <c r="DD2630">
        <v>15888394</v>
      </c>
      <c r="DE2630" t="s">
        <v>123</v>
      </c>
    </row>
    <row r="2631" spans="1:109" x14ac:dyDescent="0.3">
      <c r="A2631" t="str">
        <f>"19:18:43.781"</f>
        <v>19:18:43.781</v>
      </c>
      <c r="B2631" t="s">
        <v>110</v>
      </c>
      <c r="C2631" t="str">
        <f t="shared" si="123"/>
        <v>ffdfd3c0</v>
      </c>
      <c r="D2631" t="s">
        <v>111</v>
      </c>
      <c r="E2631">
        <v>18</v>
      </c>
      <c r="F2631">
        <v>1018</v>
      </c>
      <c r="G2631" t="s">
        <v>112</v>
      </c>
      <c r="J2631" t="s">
        <v>113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R2631" t="s">
        <v>114</v>
      </c>
      <c r="S2631" t="str">
        <f>"19:18:43.578"</f>
        <v>19:18:43.578</v>
      </c>
      <c r="T2631" t="str">
        <f>"19:18:43.281"</f>
        <v>19:18:43.281</v>
      </c>
      <c r="U2631" t="str">
        <f t="shared" si="124"/>
        <v>a1cdbe</v>
      </c>
      <c r="V2631">
        <v>0</v>
      </c>
      <c r="W2631">
        <v>0</v>
      </c>
      <c r="X2631">
        <v>1</v>
      </c>
      <c r="Y2631">
        <v>0</v>
      </c>
      <c r="Z2631">
        <v>0</v>
      </c>
      <c r="AB2631">
        <v>0</v>
      </c>
      <c r="AC2631">
        <v>9</v>
      </c>
      <c r="AD2631">
        <v>3</v>
      </c>
      <c r="AE2631">
        <v>0</v>
      </c>
      <c r="AF2631">
        <v>9</v>
      </c>
      <c r="AG2631" t="s">
        <v>158</v>
      </c>
      <c r="AH2631">
        <v>0</v>
      </c>
      <c r="AI2631">
        <v>3</v>
      </c>
      <c r="AJ2631">
        <v>1</v>
      </c>
      <c r="AK2631">
        <v>0</v>
      </c>
      <c r="AL2631" t="s">
        <v>4957</v>
      </c>
      <c r="AM2631">
        <v>46.950265999999999</v>
      </c>
      <c r="AN2631" t="s">
        <v>4958</v>
      </c>
      <c r="AO2631">
        <v>-123.33457900000001</v>
      </c>
      <c r="AP2631">
        <v>100</v>
      </c>
      <c r="AQ2631">
        <v>1900</v>
      </c>
      <c r="AR2631" t="s">
        <v>118</v>
      </c>
      <c r="AS2631">
        <v>-66</v>
      </c>
      <c r="AT2631">
        <v>35</v>
      </c>
      <c r="AU2631">
        <v>-64</v>
      </c>
      <c r="BC2631">
        <v>1200</v>
      </c>
      <c r="BD2631">
        <v>1</v>
      </c>
      <c r="BE2631" t="str">
        <f t="shared" si="125"/>
        <v xml:space="preserve">N215T   </v>
      </c>
      <c r="BF2631">
        <v>1</v>
      </c>
      <c r="BH2631">
        <v>0</v>
      </c>
      <c r="BI2631">
        <v>0</v>
      </c>
      <c r="BJ2631">
        <v>0</v>
      </c>
      <c r="BK2631">
        <v>2325</v>
      </c>
      <c r="BL2631">
        <v>425</v>
      </c>
      <c r="BM2631" t="s">
        <v>119</v>
      </c>
      <c r="BN2631">
        <v>1</v>
      </c>
      <c r="BO2631">
        <v>1</v>
      </c>
      <c r="BP2631">
        <v>1</v>
      </c>
      <c r="BQ2631">
        <v>0</v>
      </c>
      <c r="BT2631">
        <v>0</v>
      </c>
      <c r="BU2631">
        <v>0</v>
      </c>
      <c r="BV2631">
        <v>0</v>
      </c>
      <c r="CC2631" t="str">
        <f>"19:18:43.586"</f>
        <v>19:18:43.586</v>
      </c>
      <c r="CD2631" t="str">
        <f>"583569803"</f>
        <v>583569803</v>
      </c>
      <c r="CQ2631">
        <v>0</v>
      </c>
      <c r="CR2631">
        <v>2</v>
      </c>
      <c r="CS2631">
        <v>0</v>
      </c>
      <c r="CT2631">
        <v>2</v>
      </c>
      <c r="CU2631">
        <v>0</v>
      </c>
      <c r="CV2631">
        <v>6</v>
      </c>
      <c r="CW2631" t="s">
        <v>120</v>
      </c>
      <c r="CX2631">
        <v>257</v>
      </c>
      <c r="CY2631">
        <v>0</v>
      </c>
      <c r="CZ2631" t="s">
        <v>615</v>
      </c>
      <c r="DA2631" t="s">
        <v>616</v>
      </c>
      <c r="DD2631">
        <v>16012073</v>
      </c>
      <c r="DE2631" t="s">
        <v>123</v>
      </c>
    </row>
    <row r="2632" spans="1:109" x14ac:dyDescent="0.3">
      <c r="A2632" t="str">
        <f>"19:18:44.891"</f>
        <v>19:18:44.891</v>
      </c>
      <c r="B2632" t="s">
        <v>110</v>
      </c>
      <c r="C2632" t="str">
        <f t="shared" si="123"/>
        <v>ffdfd3c0</v>
      </c>
      <c r="D2632" t="s">
        <v>111</v>
      </c>
      <c r="E2632">
        <v>18</v>
      </c>
      <c r="F2632">
        <v>1018</v>
      </c>
      <c r="G2632" t="s">
        <v>112</v>
      </c>
      <c r="J2632" t="s">
        <v>113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R2632" t="s">
        <v>114</v>
      </c>
      <c r="S2632" t="str">
        <f>"19:18:44.672"</f>
        <v>19:18:44.672</v>
      </c>
      <c r="T2632" t="str">
        <f>"19:18:44.469"</f>
        <v>19:18:44.469</v>
      </c>
      <c r="U2632" t="str">
        <f t="shared" si="124"/>
        <v>a1cdbe</v>
      </c>
      <c r="V2632">
        <v>0</v>
      </c>
      <c r="W2632">
        <v>0</v>
      </c>
      <c r="X2632">
        <v>1</v>
      </c>
      <c r="Y2632">
        <v>0</v>
      </c>
      <c r="Z2632">
        <v>0</v>
      </c>
      <c r="AB2632">
        <v>0</v>
      </c>
      <c r="AC2632">
        <v>9</v>
      </c>
      <c r="AD2632">
        <v>3</v>
      </c>
      <c r="AE2632">
        <v>0</v>
      </c>
      <c r="AF2632">
        <v>9</v>
      </c>
      <c r="AG2632" t="s">
        <v>158</v>
      </c>
      <c r="AH2632">
        <v>0</v>
      </c>
      <c r="AI2632">
        <v>3</v>
      </c>
      <c r="AJ2632">
        <v>1</v>
      </c>
      <c r="AK2632">
        <v>0</v>
      </c>
      <c r="AL2632" t="s">
        <v>4959</v>
      </c>
      <c r="AM2632">
        <v>46.950395</v>
      </c>
      <c r="AN2632" t="s">
        <v>4960</v>
      </c>
      <c r="AO2632">
        <v>-123.335116</v>
      </c>
      <c r="AP2632">
        <v>100</v>
      </c>
      <c r="AQ2632">
        <v>1900</v>
      </c>
      <c r="AR2632" t="s">
        <v>118</v>
      </c>
      <c r="AS2632">
        <v>-66</v>
      </c>
      <c r="AT2632">
        <v>35</v>
      </c>
      <c r="AU2632">
        <v>-64</v>
      </c>
      <c r="BC2632">
        <v>1200</v>
      </c>
      <c r="BD2632">
        <v>1</v>
      </c>
      <c r="BE2632" t="str">
        <f t="shared" si="125"/>
        <v xml:space="preserve">N215T   </v>
      </c>
      <c r="BF2632">
        <v>1</v>
      </c>
      <c r="BH2632">
        <v>0</v>
      </c>
      <c r="BI2632">
        <v>0</v>
      </c>
      <c r="BJ2632">
        <v>0</v>
      </c>
      <c r="BK2632">
        <v>2325</v>
      </c>
      <c r="BL2632">
        <v>425</v>
      </c>
      <c r="BM2632" t="s">
        <v>119</v>
      </c>
      <c r="BN2632">
        <v>1</v>
      </c>
      <c r="BO2632">
        <v>1</v>
      </c>
      <c r="BP2632">
        <v>1</v>
      </c>
      <c r="BQ2632">
        <v>0</v>
      </c>
      <c r="BT2632">
        <v>0</v>
      </c>
      <c r="BU2632">
        <v>0</v>
      </c>
      <c r="BV2632">
        <v>0</v>
      </c>
      <c r="CC2632" t="str">
        <f>"19:18:44.680"</f>
        <v>19:18:44.680</v>
      </c>
      <c r="CD2632" t="str">
        <f>"678478573"</f>
        <v>678478573</v>
      </c>
      <c r="CQ2632">
        <v>0</v>
      </c>
      <c r="CR2632">
        <v>2</v>
      </c>
      <c r="CS2632">
        <v>0</v>
      </c>
      <c r="CT2632">
        <v>2</v>
      </c>
      <c r="CU2632">
        <v>0</v>
      </c>
      <c r="CV2632">
        <v>6</v>
      </c>
      <c r="CW2632" t="s">
        <v>120</v>
      </c>
      <c r="CX2632">
        <v>261</v>
      </c>
      <c r="CY2632">
        <v>2</v>
      </c>
      <c r="CZ2632" t="s">
        <v>121</v>
      </c>
      <c r="DA2632" t="s">
        <v>122</v>
      </c>
      <c r="DD2632">
        <v>15889845</v>
      </c>
      <c r="DE2632" t="s">
        <v>123</v>
      </c>
    </row>
    <row r="2633" spans="1:109" x14ac:dyDescent="0.3">
      <c r="A2633" t="str">
        <f>"19:18:45.844"</f>
        <v>19:18:45.844</v>
      </c>
      <c r="B2633" t="s">
        <v>110</v>
      </c>
      <c r="C2633" t="str">
        <f t="shared" si="123"/>
        <v>ffdfd3c0</v>
      </c>
      <c r="D2633" t="s">
        <v>111</v>
      </c>
      <c r="E2633">
        <v>18</v>
      </c>
      <c r="F2633">
        <v>1018</v>
      </c>
      <c r="G2633" t="s">
        <v>112</v>
      </c>
      <c r="J2633" t="s">
        <v>113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R2633" t="s">
        <v>114</v>
      </c>
      <c r="S2633" t="str">
        <f>"19:18:45.617"</f>
        <v>19:18:45.617</v>
      </c>
      <c r="T2633" t="str">
        <f>"19:18:45.414"</f>
        <v>19:18:45.414</v>
      </c>
      <c r="U2633" t="str">
        <f t="shared" si="124"/>
        <v>a1cdbe</v>
      </c>
      <c r="V2633">
        <v>0</v>
      </c>
      <c r="W2633">
        <v>0</v>
      </c>
      <c r="X2633">
        <v>1</v>
      </c>
      <c r="Y2633">
        <v>0</v>
      </c>
      <c r="Z2633">
        <v>0</v>
      </c>
      <c r="AB2633">
        <v>0</v>
      </c>
      <c r="AC2633">
        <v>9</v>
      </c>
      <c r="AD2633">
        <v>3</v>
      </c>
      <c r="AE2633">
        <v>0</v>
      </c>
      <c r="AF2633">
        <v>9</v>
      </c>
      <c r="AG2633" t="s">
        <v>158</v>
      </c>
      <c r="AH2633">
        <v>0</v>
      </c>
      <c r="AI2633">
        <v>3</v>
      </c>
      <c r="AJ2633">
        <v>1</v>
      </c>
      <c r="AK2633">
        <v>0</v>
      </c>
      <c r="AL2633" t="s">
        <v>4961</v>
      </c>
      <c r="AM2633">
        <v>46.950566999999999</v>
      </c>
      <c r="AN2633" t="s">
        <v>4962</v>
      </c>
      <c r="AO2633">
        <v>-123.335545</v>
      </c>
      <c r="AP2633">
        <v>100</v>
      </c>
      <c r="AQ2633">
        <v>1900</v>
      </c>
      <c r="AR2633" t="s">
        <v>118</v>
      </c>
      <c r="AS2633">
        <v>-66</v>
      </c>
      <c r="AT2633">
        <v>36</v>
      </c>
      <c r="AU2633">
        <v>-64</v>
      </c>
      <c r="BC2633">
        <v>1200</v>
      </c>
      <c r="BD2633">
        <v>1</v>
      </c>
      <c r="BE2633" t="str">
        <f t="shared" si="125"/>
        <v xml:space="preserve">N215T   </v>
      </c>
      <c r="BF2633">
        <v>1</v>
      </c>
      <c r="BH2633">
        <v>0</v>
      </c>
      <c r="BI2633">
        <v>0</v>
      </c>
      <c r="BJ2633">
        <v>0</v>
      </c>
      <c r="BK2633">
        <v>2300</v>
      </c>
      <c r="BL2633">
        <v>400</v>
      </c>
      <c r="BM2633" t="s">
        <v>119</v>
      </c>
      <c r="BN2633">
        <v>1</v>
      </c>
      <c r="BO2633">
        <v>1</v>
      </c>
      <c r="BP2633">
        <v>1</v>
      </c>
      <c r="BQ2633">
        <v>0</v>
      </c>
      <c r="BT2633">
        <v>0</v>
      </c>
      <c r="BU2633">
        <v>0</v>
      </c>
      <c r="BV2633">
        <v>0</v>
      </c>
      <c r="CC2633" t="str">
        <f>"19:18:45.625"</f>
        <v>19:18:45.625</v>
      </c>
      <c r="CD2633" t="str">
        <f>"623385496"</f>
        <v>623385496</v>
      </c>
      <c r="CQ2633">
        <v>0</v>
      </c>
      <c r="CR2633">
        <v>2</v>
      </c>
      <c r="CS2633">
        <v>0</v>
      </c>
      <c r="CT2633">
        <v>2</v>
      </c>
      <c r="CU2633">
        <v>0</v>
      </c>
      <c r="CV2633">
        <v>6</v>
      </c>
      <c r="CW2633" t="s">
        <v>120</v>
      </c>
      <c r="CX2633">
        <v>261</v>
      </c>
      <c r="CY2633">
        <v>3</v>
      </c>
      <c r="CZ2633" t="s">
        <v>121</v>
      </c>
      <c r="DA2633" t="s">
        <v>122</v>
      </c>
      <c r="DD2633">
        <v>3823906</v>
      </c>
      <c r="DE2633" t="s">
        <v>123</v>
      </c>
    </row>
    <row r="2634" spans="1:109" x14ac:dyDescent="0.3">
      <c r="A2634" t="str">
        <f>"19:18:46.797"</f>
        <v>19:18:46.797</v>
      </c>
      <c r="B2634" t="s">
        <v>110</v>
      </c>
      <c r="C2634" t="str">
        <f t="shared" si="123"/>
        <v>ffdfd3c0</v>
      </c>
      <c r="D2634" t="s">
        <v>111</v>
      </c>
      <c r="E2634">
        <v>18</v>
      </c>
      <c r="F2634">
        <v>1018</v>
      </c>
      <c r="G2634" t="s">
        <v>112</v>
      </c>
      <c r="J2634" t="s">
        <v>113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R2634" t="s">
        <v>114</v>
      </c>
      <c r="S2634" t="str">
        <f>"19:18:46.563"</f>
        <v>19:18:46.563</v>
      </c>
      <c r="T2634" t="str">
        <f>"19:18:46.266"</f>
        <v>19:18:46.266</v>
      </c>
      <c r="U2634" t="str">
        <f t="shared" si="124"/>
        <v>a1cdbe</v>
      </c>
      <c r="V2634">
        <v>0</v>
      </c>
      <c r="W2634">
        <v>0</v>
      </c>
      <c r="X2634">
        <v>1</v>
      </c>
      <c r="Y2634">
        <v>0</v>
      </c>
      <c r="Z2634">
        <v>0</v>
      </c>
      <c r="AB2634">
        <v>0</v>
      </c>
      <c r="AC2634">
        <v>9</v>
      </c>
      <c r="AD2634">
        <v>3</v>
      </c>
      <c r="AE2634">
        <v>0</v>
      </c>
      <c r="AF2634">
        <v>9</v>
      </c>
      <c r="AG2634" t="s">
        <v>158</v>
      </c>
      <c r="AH2634">
        <v>0</v>
      </c>
      <c r="AI2634">
        <v>3</v>
      </c>
      <c r="AJ2634">
        <v>1</v>
      </c>
      <c r="AK2634">
        <v>0</v>
      </c>
      <c r="AL2634" t="s">
        <v>4963</v>
      </c>
      <c r="AM2634">
        <v>46.950716999999997</v>
      </c>
      <c r="AN2634" t="s">
        <v>4964</v>
      </c>
      <c r="AO2634">
        <v>-123.33597399999999</v>
      </c>
      <c r="AP2634">
        <v>100</v>
      </c>
      <c r="AQ2634">
        <v>1900</v>
      </c>
      <c r="AR2634" t="s">
        <v>118</v>
      </c>
      <c r="AS2634">
        <v>-66</v>
      </c>
      <c r="AT2634">
        <v>36</v>
      </c>
      <c r="AU2634">
        <v>-64</v>
      </c>
      <c r="BC2634">
        <v>1200</v>
      </c>
      <c r="BD2634">
        <v>1</v>
      </c>
      <c r="BE2634" t="str">
        <f t="shared" si="125"/>
        <v xml:space="preserve">N215T   </v>
      </c>
      <c r="BF2634">
        <v>1</v>
      </c>
      <c r="BH2634">
        <v>0</v>
      </c>
      <c r="BI2634">
        <v>0</v>
      </c>
      <c r="BJ2634">
        <v>0</v>
      </c>
      <c r="BK2634">
        <v>2300</v>
      </c>
      <c r="BL2634">
        <v>400</v>
      </c>
      <c r="BM2634" t="s">
        <v>119</v>
      </c>
      <c r="BN2634">
        <v>1</v>
      </c>
      <c r="BO2634">
        <v>1</v>
      </c>
      <c r="BP2634">
        <v>1</v>
      </c>
      <c r="BQ2634">
        <v>0</v>
      </c>
      <c r="BT2634">
        <v>0</v>
      </c>
      <c r="BU2634">
        <v>0</v>
      </c>
      <c r="BV2634">
        <v>0</v>
      </c>
      <c r="CC2634" t="str">
        <f>"19:18:46.570"</f>
        <v>19:18:46.570</v>
      </c>
      <c r="CD2634" t="str">
        <f>"568275728"</f>
        <v>568275728</v>
      </c>
      <c r="CQ2634">
        <v>0</v>
      </c>
      <c r="CR2634">
        <v>2</v>
      </c>
      <c r="CS2634">
        <v>0</v>
      </c>
      <c r="CT2634">
        <v>2</v>
      </c>
      <c r="CU2634">
        <v>0</v>
      </c>
      <c r="CV2634">
        <v>6</v>
      </c>
      <c r="CW2634" t="s">
        <v>120</v>
      </c>
      <c r="CX2634">
        <v>257</v>
      </c>
      <c r="CY2634">
        <v>0</v>
      </c>
      <c r="CZ2634" t="s">
        <v>615</v>
      </c>
      <c r="DA2634" t="s">
        <v>616</v>
      </c>
      <c r="DD2634">
        <v>16013747</v>
      </c>
      <c r="DE2634" t="s">
        <v>123</v>
      </c>
    </row>
    <row r="2635" spans="1:109" x14ac:dyDescent="0.3">
      <c r="A2635" t="str">
        <f>"19:18:47.758"</f>
        <v>19:18:47.758</v>
      </c>
      <c r="B2635" t="s">
        <v>110</v>
      </c>
      <c r="C2635" t="str">
        <f t="shared" si="123"/>
        <v>ffdfd3c0</v>
      </c>
      <c r="D2635" t="s">
        <v>111</v>
      </c>
      <c r="E2635">
        <v>18</v>
      </c>
      <c r="F2635">
        <v>1018</v>
      </c>
      <c r="G2635" t="s">
        <v>112</v>
      </c>
      <c r="J2635" t="s">
        <v>113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R2635" t="s">
        <v>114</v>
      </c>
      <c r="S2635" t="str">
        <f>"19:18:47.539"</f>
        <v>19:18:47.539</v>
      </c>
      <c r="T2635" t="str">
        <f>"19:18:47.242"</f>
        <v>19:18:47.242</v>
      </c>
      <c r="U2635" t="str">
        <f t="shared" si="124"/>
        <v>a1cdbe</v>
      </c>
      <c r="V2635">
        <v>0</v>
      </c>
      <c r="W2635">
        <v>0</v>
      </c>
      <c r="X2635">
        <v>1</v>
      </c>
      <c r="Y2635">
        <v>0</v>
      </c>
      <c r="Z2635">
        <v>0</v>
      </c>
      <c r="AB2635">
        <v>0</v>
      </c>
      <c r="AC2635">
        <v>9</v>
      </c>
      <c r="AD2635">
        <v>3</v>
      </c>
      <c r="AE2635">
        <v>0</v>
      </c>
      <c r="AF2635">
        <v>9</v>
      </c>
      <c r="AG2635" t="s">
        <v>158</v>
      </c>
      <c r="AH2635">
        <v>0</v>
      </c>
      <c r="AI2635">
        <v>3</v>
      </c>
      <c r="AJ2635">
        <v>1</v>
      </c>
      <c r="AK2635">
        <v>0</v>
      </c>
      <c r="AL2635" t="s">
        <v>4965</v>
      </c>
      <c r="AM2635">
        <v>46.95091</v>
      </c>
      <c r="AN2635" t="s">
        <v>4966</v>
      </c>
      <c r="AO2635">
        <v>-123.336403</v>
      </c>
      <c r="AP2635">
        <v>100</v>
      </c>
      <c r="AQ2635">
        <v>1900</v>
      </c>
      <c r="AR2635" t="s">
        <v>118</v>
      </c>
      <c r="AS2635">
        <v>-66</v>
      </c>
      <c r="AT2635">
        <v>36</v>
      </c>
      <c r="AU2635">
        <v>-64</v>
      </c>
      <c r="BC2635">
        <v>1200</v>
      </c>
      <c r="BD2635">
        <v>1</v>
      </c>
      <c r="BE2635" t="str">
        <f t="shared" si="125"/>
        <v xml:space="preserve">N215T   </v>
      </c>
      <c r="BF2635">
        <v>1</v>
      </c>
      <c r="BH2635">
        <v>0</v>
      </c>
      <c r="BI2635">
        <v>0</v>
      </c>
      <c r="BJ2635">
        <v>0</v>
      </c>
      <c r="BK2635">
        <v>2325</v>
      </c>
      <c r="BL2635">
        <v>425</v>
      </c>
      <c r="BM2635" t="s">
        <v>119</v>
      </c>
      <c r="BN2635">
        <v>1</v>
      </c>
      <c r="BO2635">
        <v>1</v>
      </c>
      <c r="BP2635">
        <v>1</v>
      </c>
      <c r="BQ2635">
        <v>0</v>
      </c>
      <c r="BT2635">
        <v>0</v>
      </c>
      <c r="BU2635">
        <v>0</v>
      </c>
      <c r="BV2635">
        <v>0</v>
      </c>
      <c r="CC2635" t="str">
        <f>"19:18:47.547"</f>
        <v>19:18:47.547</v>
      </c>
      <c r="CD2635" t="str">
        <f>"543196388"</f>
        <v>543196388</v>
      </c>
      <c r="CQ2635">
        <v>0</v>
      </c>
      <c r="CR2635">
        <v>2</v>
      </c>
      <c r="CS2635">
        <v>0</v>
      </c>
      <c r="CT2635">
        <v>2</v>
      </c>
      <c r="CU2635">
        <v>0</v>
      </c>
      <c r="CV2635">
        <v>7</v>
      </c>
      <c r="CW2635" t="s">
        <v>120</v>
      </c>
      <c r="CX2635">
        <v>261</v>
      </c>
      <c r="CY2635">
        <v>2</v>
      </c>
      <c r="CZ2635" t="s">
        <v>121</v>
      </c>
      <c r="DA2635" t="s">
        <v>122</v>
      </c>
      <c r="DD2635">
        <v>15891820</v>
      </c>
      <c r="DE2635" t="s">
        <v>123</v>
      </c>
    </row>
    <row r="2636" spans="1:109" x14ac:dyDescent="0.3">
      <c r="A2636" t="str">
        <f>"19:18:48.859"</f>
        <v>19:18:48.859</v>
      </c>
      <c r="B2636" t="s">
        <v>110</v>
      </c>
      <c r="C2636" t="str">
        <f t="shared" si="123"/>
        <v>ffdfd3c0</v>
      </c>
      <c r="D2636" t="s">
        <v>111</v>
      </c>
      <c r="E2636">
        <v>18</v>
      </c>
      <c r="F2636">
        <v>1018</v>
      </c>
      <c r="G2636" t="s">
        <v>112</v>
      </c>
      <c r="J2636" t="s">
        <v>113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R2636" t="s">
        <v>114</v>
      </c>
      <c r="S2636" t="str">
        <f>"19:18:48.648"</f>
        <v>19:18:48.648</v>
      </c>
      <c r="T2636" t="str">
        <f>"19:18:48.250"</f>
        <v>19:18:48.250</v>
      </c>
      <c r="U2636" t="str">
        <f t="shared" si="124"/>
        <v>a1cdbe</v>
      </c>
      <c r="V2636">
        <v>0</v>
      </c>
      <c r="W2636">
        <v>0</v>
      </c>
      <c r="X2636">
        <v>1</v>
      </c>
      <c r="Y2636">
        <v>0</v>
      </c>
      <c r="Z2636">
        <v>0</v>
      </c>
      <c r="AB2636">
        <v>0</v>
      </c>
      <c r="AC2636">
        <v>9</v>
      </c>
      <c r="AD2636">
        <v>3</v>
      </c>
      <c r="AE2636">
        <v>0</v>
      </c>
      <c r="AF2636">
        <v>9</v>
      </c>
      <c r="AG2636" t="s">
        <v>158</v>
      </c>
      <c r="AH2636">
        <v>0</v>
      </c>
      <c r="AI2636">
        <v>3</v>
      </c>
      <c r="AJ2636">
        <v>1</v>
      </c>
      <c r="AK2636">
        <v>0</v>
      </c>
      <c r="AL2636" t="s">
        <v>4967</v>
      </c>
      <c r="AM2636">
        <v>46.951103000000003</v>
      </c>
      <c r="AN2636" t="s">
        <v>4968</v>
      </c>
      <c r="AO2636">
        <v>-123.33687500000001</v>
      </c>
      <c r="AP2636">
        <v>100</v>
      </c>
      <c r="AQ2636">
        <v>1900</v>
      </c>
      <c r="AR2636" t="s">
        <v>118</v>
      </c>
      <c r="AS2636">
        <v>-66</v>
      </c>
      <c r="AT2636">
        <v>36</v>
      </c>
      <c r="AU2636">
        <v>0</v>
      </c>
      <c r="BC2636">
        <v>1200</v>
      </c>
      <c r="BD2636">
        <v>1</v>
      </c>
      <c r="BE2636" t="str">
        <f t="shared" si="125"/>
        <v xml:space="preserve">N215T   </v>
      </c>
      <c r="BF2636">
        <v>1</v>
      </c>
      <c r="BH2636">
        <v>0</v>
      </c>
      <c r="BI2636">
        <v>0</v>
      </c>
      <c r="BJ2636">
        <v>0</v>
      </c>
      <c r="BK2636">
        <v>2325</v>
      </c>
      <c r="BL2636">
        <v>425</v>
      </c>
      <c r="BM2636" t="s">
        <v>119</v>
      </c>
      <c r="BN2636">
        <v>1</v>
      </c>
      <c r="BO2636">
        <v>1</v>
      </c>
      <c r="BP2636">
        <v>1</v>
      </c>
      <c r="BQ2636">
        <v>0</v>
      </c>
      <c r="BT2636">
        <v>0</v>
      </c>
      <c r="BU2636">
        <v>0</v>
      </c>
      <c r="BV2636">
        <v>0</v>
      </c>
      <c r="CC2636" t="str">
        <f>"19:18:48.656"</f>
        <v>19:18:48.656</v>
      </c>
      <c r="CD2636" t="str">
        <f>"653087060"</f>
        <v>653087060</v>
      </c>
      <c r="CQ2636">
        <v>0</v>
      </c>
      <c r="CR2636">
        <v>2</v>
      </c>
      <c r="CS2636">
        <v>0</v>
      </c>
      <c r="CT2636">
        <v>2</v>
      </c>
      <c r="CU2636">
        <v>0</v>
      </c>
      <c r="CV2636">
        <v>7</v>
      </c>
      <c r="CW2636" t="s">
        <v>120</v>
      </c>
      <c r="CX2636">
        <v>261</v>
      </c>
      <c r="CY2636">
        <v>2</v>
      </c>
      <c r="CZ2636" t="s">
        <v>121</v>
      </c>
      <c r="DA2636" t="s">
        <v>122</v>
      </c>
      <c r="DD2636">
        <v>15892553</v>
      </c>
      <c r="DE2636" t="s">
        <v>123</v>
      </c>
    </row>
    <row r="2637" spans="1:109" x14ac:dyDescent="0.3">
      <c r="A2637" t="str">
        <f>"19:18:49.969"</f>
        <v>19:18:49.969</v>
      </c>
      <c r="B2637" t="s">
        <v>110</v>
      </c>
      <c r="C2637" t="str">
        <f t="shared" si="123"/>
        <v>ffdfd3c0</v>
      </c>
      <c r="D2637" t="s">
        <v>111</v>
      </c>
      <c r="E2637">
        <v>18</v>
      </c>
      <c r="F2637">
        <v>1018</v>
      </c>
      <c r="G2637" t="s">
        <v>112</v>
      </c>
      <c r="J2637" t="s">
        <v>113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R2637" t="s">
        <v>114</v>
      </c>
      <c r="S2637" t="str">
        <f>"19:18:49.711"</f>
        <v>19:18:49.711</v>
      </c>
      <c r="T2637" t="str">
        <f>"19:18:49.711"</f>
        <v>19:18:49.711</v>
      </c>
      <c r="U2637" t="str">
        <f t="shared" si="124"/>
        <v>a1cdbe</v>
      </c>
      <c r="V2637">
        <v>0</v>
      </c>
      <c r="W2637">
        <v>0</v>
      </c>
      <c r="X2637">
        <v>1</v>
      </c>
      <c r="Y2637">
        <v>0</v>
      </c>
      <c r="Z2637">
        <v>0</v>
      </c>
      <c r="AB2637">
        <v>0</v>
      </c>
      <c r="AC2637">
        <v>9</v>
      </c>
      <c r="AD2637">
        <v>3</v>
      </c>
      <c r="AE2637">
        <v>0</v>
      </c>
      <c r="AF2637">
        <v>9</v>
      </c>
      <c r="AG2637" t="s">
        <v>158</v>
      </c>
      <c r="AH2637">
        <v>0</v>
      </c>
      <c r="AI2637">
        <v>3</v>
      </c>
      <c r="AJ2637">
        <v>1</v>
      </c>
      <c r="AK2637">
        <v>0</v>
      </c>
      <c r="AL2637" t="s">
        <v>4969</v>
      </c>
      <c r="AM2637">
        <v>46.951253000000001</v>
      </c>
      <c r="AN2637" t="s">
        <v>4970</v>
      </c>
      <c r="AO2637">
        <v>-123.33739</v>
      </c>
      <c r="AP2637">
        <v>100</v>
      </c>
      <c r="AQ2637">
        <v>1900</v>
      </c>
      <c r="AR2637" t="s">
        <v>118</v>
      </c>
      <c r="AS2637">
        <v>-66</v>
      </c>
      <c r="AT2637">
        <v>37</v>
      </c>
      <c r="AU2637">
        <v>0</v>
      </c>
      <c r="BC2637">
        <v>1200</v>
      </c>
      <c r="BD2637">
        <v>1</v>
      </c>
      <c r="BE2637" t="str">
        <f t="shared" si="125"/>
        <v xml:space="preserve">N215T   </v>
      </c>
      <c r="BF2637">
        <v>1</v>
      </c>
      <c r="BH2637">
        <v>0</v>
      </c>
      <c r="BI2637">
        <v>0</v>
      </c>
      <c r="BJ2637">
        <v>0</v>
      </c>
      <c r="BK2637">
        <v>2325</v>
      </c>
      <c r="BL2637">
        <v>425</v>
      </c>
      <c r="BM2637" t="s">
        <v>119</v>
      </c>
      <c r="BN2637">
        <v>1</v>
      </c>
      <c r="BO2637">
        <v>1</v>
      </c>
      <c r="BP2637">
        <v>1</v>
      </c>
      <c r="BQ2637">
        <v>0</v>
      </c>
      <c r="BT2637">
        <v>0</v>
      </c>
      <c r="BU2637">
        <v>0</v>
      </c>
      <c r="BV2637">
        <v>0</v>
      </c>
      <c r="CC2637" t="str">
        <f>"19:18:49.719"</f>
        <v>19:18:49.719</v>
      </c>
      <c r="CD2637" t="str">
        <f>"717982164"</f>
        <v>717982164</v>
      </c>
      <c r="CQ2637">
        <v>0</v>
      </c>
      <c r="CR2637">
        <v>2</v>
      </c>
      <c r="CS2637">
        <v>0</v>
      </c>
      <c r="CT2637">
        <v>2</v>
      </c>
      <c r="CU2637">
        <v>0</v>
      </c>
      <c r="CV2637">
        <v>7</v>
      </c>
      <c r="CW2637" t="s">
        <v>120</v>
      </c>
      <c r="CX2637">
        <v>261</v>
      </c>
      <c r="CY2637">
        <v>2</v>
      </c>
      <c r="CZ2637" t="s">
        <v>121</v>
      </c>
      <c r="DA2637" t="s">
        <v>122</v>
      </c>
      <c r="DD2637">
        <v>15893274</v>
      </c>
      <c r="DE2637" t="s">
        <v>123</v>
      </c>
    </row>
    <row r="2638" spans="1:109" x14ac:dyDescent="0.3">
      <c r="A2638" t="str">
        <f>"19:18:50.773"</f>
        <v>19:18:50.773</v>
      </c>
      <c r="B2638" t="s">
        <v>110</v>
      </c>
      <c r="C2638" t="str">
        <f t="shared" si="123"/>
        <v>ffdfd3c0</v>
      </c>
      <c r="D2638" t="s">
        <v>111</v>
      </c>
      <c r="E2638">
        <v>18</v>
      </c>
      <c r="F2638">
        <v>1018</v>
      </c>
      <c r="G2638" t="s">
        <v>112</v>
      </c>
      <c r="J2638" t="s">
        <v>113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R2638" t="s">
        <v>114</v>
      </c>
      <c r="S2638" t="str">
        <f>"19:18:50.539"</f>
        <v>19:18:50.539</v>
      </c>
      <c r="T2638" t="str">
        <f>"19:18:50.242"</f>
        <v>19:18:50.242</v>
      </c>
      <c r="U2638" t="str">
        <f t="shared" si="124"/>
        <v>a1cdbe</v>
      </c>
      <c r="V2638">
        <v>0</v>
      </c>
      <c r="W2638">
        <v>0</v>
      </c>
      <c r="X2638">
        <v>1</v>
      </c>
      <c r="Y2638">
        <v>0</v>
      </c>
      <c r="Z2638">
        <v>0</v>
      </c>
      <c r="AB2638">
        <v>0</v>
      </c>
      <c r="AC2638">
        <v>9</v>
      </c>
      <c r="AD2638">
        <v>3</v>
      </c>
      <c r="AE2638">
        <v>0</v>
      </c>
      <c r="AF2638">
        <v>9</v>
      </c>
      <c r="AG2638" t="s">
        <v>158</v>
      </c>
      <c r="AH2638">
        <v>0</v>
      </c>
      <c r="AI2638">
        <v>3</v>
      </c>
      <c r="AJ2638">
        <v>1</v>
      </c>
      <c r="AK2638">
        <v>0</v>
      </c>
      <c r="AL2638" t="s">
        <v>4971</v>
      </c>
      <c r="AM2638">
        <v>46.951403999999997</v>
      </c>
      <c r="AN2638" t="s">
        <v>4972</v>
      </c>
      <c r="AO2638">
        <v>-123.337734</v>
      </c>
      <c r="AP2638">
        <v>100</v>
      </c>
      <c r="AQ2638">
        <v>1900</v>
      </c>
      <c r="AR2638" t="s">
        <v>118</v>
      </c>
      <c r="AS2638">
        <v>-66</v>
      </c>
      <c r="AT2638">
        <v>36</v>
      </c>
      <c r="AU2638">
        <v>0</v>
      </c>
      <c r="BC2638">
        <v>1200</v>
      </c>
      <c r="BD2638">
        <v>1</v>
      </c>
      <c r="BE2638" t="str">
        <f t="shared" si="125"/>
        <v xml:space="preserve">N215T   </v>
      </c>
      <c r="BF2638">
        <v>1</v>
      </c>
      <c r="BH2638">
        <v>0</v>
      </c>
      <c r="BI2638">
        <v>0</v>
      </c>
      <c r="BJ2638">
        <v>0</v>
      </c>
      <c r="BK2638">
        <v>2300</v>
      </c>
      <c r="BL2638">
        <v>400</v>
      </c>
      <c r="BM2638" t="s">
        <v>119</v>
      </c>
      <c r="BN2638">
        <v>1</v>
      </c>
      <c r="BO2638">
        <v>1</v>
      </c>
      <c r="BP2638">
        <v>1</v>
      </c>
      <c r="BQ2638">
        <v>0</v>
      </c>
      <c r="BT2638">
        <v>0</v>
      </c>
      <c r="BU2638">
        <v>0</v>
      </c>
      <c r="BV2638">
        <v>0</v>
      </c>
      <c r="CC2638" t="str">
        <f>"19:18:50.539"</f>
        <v>19:18:50.539</v>
      </c>
      <c r="CD2638" t="str">
        <f>"542900904"</f>
        <v>542900904</v>
      </c>
      <c r="CQ2638">
        <v>0</v>
      </c>
      <c r="CR2638">
        <v>2</v>
      </c>
      <c r="CS2638">
        <v>0</v>
      </c>
      <c r="CT2638">
        <v>2</v>
      </c>
      <c r="CU2638">
        <v>0</v>
      </c>
      <c r="CV2638">
        <v>7</v>
      </c>
      <c r="CW2638" t="s">
        <v>120</v>
      </c>
      <c r="CX2638">
        <v>261</v>
      </c>
      <c r="CY2638">
        <v>2</v>
      </c>
      <c r="CZ2638" t="s">
        <v>121</v>
      </c>
      <c r="DA2638" t="s">
        <v>122</v>
      </c>
      <c r="DD2638">
        <v>15893841</v>
      </c>
      <c r="DE2638" t="s">
        <v>123</v>
      </c>
    </row>
    <row r="2639" spans="1:109" x14ac:dyDescent="0.3">
      <c r="A2639" t="str">
        <f>"19:18:51.672"</f>
        <v>19:18:51.672</v>
      </c>
      <c r="B2639" t="s">
        <v>110</v>
      </c>
      <c r="C2639" t="str">
        <f t="shared" si="123"/>
        <v>ffdfd3c0</v>
      </c>
      <c r="D2639" t="s">
        <v>111</v>
      </c>
      <c r="E2639">
        <v>18</v>
      </c>
      <c r="F2639">
        <v>1018</v>
      </c>
      <c r="G2639" t="s">
        <v>112</v>
      </c>
      <c r="J2639" t="s">
        <v>113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R2639" t="s">
        <v>114</v>
      </c>
      <c r="S2639" t="str">
        <f>"19:18:51.469"</f>
        <v>19:18:51.469</v>
      </c>
      <c r="T2639" t="str">
        <f>"19:18:51.172"</f>
        <v>19:18:51.172</v>
      </c>
      <c r="U2639" t="str">
        <f t="shared" si="124"/>
        <v>a1cdbe</v>
      </c>
      <c r="V2639">
        <v>0</v>
      </c>
      <c r="W2639">
        <v>0</v>
      </c>
      <c r="X2639">
        <v>1</v>
      </c>
      <c r="Y2639">
        <v>0</v>
      </c>
      <c r="Z2639">
        <v>0</v>
      </c>
      <c r="AB2639">
        <v>0</v>
      </c>
      <c r="AC2639">
        <v>9</v>
      </c>
      <c r="AD2639">
        <v>3</v>
      </c>
      <c r="AE2639">
        <v>0</v>
      </c>
      <c r="AF2639">
        <v>9</v>
      </c>
      <c r="AG2639" t="s">
        <v>158</v>
      </c>
      <c r="AH2639">
        <v>0</v>
      </c>
      <c r="AI2639">
        <v>3</v>
      </c>
      <c r="AJ2639">
        <v>1</v>
      </c>
      <c r="AK2639">
        <v>0</v>
      </c>
      <c r="AL2639" t="s">
        <v>4973</v>
      </c>
      <c r="AM2639">
        <v>46.951554000000002</v>
      </c>
      <c r="AN2639" t="s">
        <v>4974</v>
      </c>
      <c r="AO2639">
        <v>-123.33816299999999</v>
      </c>
      <c r="AP2639">
        <v>100</v>
      </c>
      <c r="AQ2639">
        <v>1900</v>
      </c>
      <c r="AR2639" t="s">
        <v>118</v>
      </c>
      <c r="AS2639">
        <v>-67</v>
      </c>
      <c r="AT2639">
        <v>37</v>
      </c>
      <c r="AU2639">
        <v>0</v>
      </c>
      <c r="BC2639">
        <v>1200</v>
      </c>
      <c r="BD2639">
        <v>1</v>
      </c>
      <c r="BE2639" t="str">
        <f t="shared" si="125"/>
        <v xml:space="preserve">N215T   </v>
      </c>
      <c r="BF2639">
        <v>1</v>
      </c>
      <c r="BH2639">
        <v>0</v>
      </c>
      <c r="BI2639">
        <v>0</v>
      </c>
      <c r="BJ2639">
        <v>0</v>
      </c>
      <c r="BK2639">
        <v>2300</v>
      </c>
      <c r="BL2639">
        <v>400</v>
      </c>
      <c r="BM2639" t="s">
        <v>119</v>
      </c>
      <c r="BN2639">
        <v>1</v>
      </c>
      <c r="BO2639">
        <v>1</v>
      </c>
      <c r="BP2639">
        <v>1</v>
      </c>
      <c r="BQ2639">
        <v>0</v>
      </c>
      <c r="BT2639">
        <v>0</v>
      </c>
      <c r="BU2639">
        <v>0</v>
      </c>
      <c r="BV2639">
        <v>0</v>
      </c>
      <c r="CC2639" t="str">
        <f>"19:18:51.477"</f>
        <v>19:18:51.477</v>
      </c>
      <c r="CD2639" t="str">
        <f>"472809303"</f>
        <v>472809303</v>
      </c>
      <c r="CQ2639">
        <v>0</v>
      </c>
      <c r="CR2639">
        <v>2</v>
      </c>
      <c r="CS2639">
        <v>0</v>
      </c>
      <c r="CT2639">
        <v>2</v>
      </c>
      <c r="CU2639">
        <v>0</v>
      </c>
      <c r="CV2639">
        <v>7</v>
      </c>
      <c r="CW2639" t="s">
        <v>120</v>
      </c>
      <c r="CX2639">
        <v>261</v>
      </c>
      <c r="CY2639">
        <v>2</v>
      </c>
      <c r="CZ2639" t="s">
        <v>121</v>
      </c>
      <c r="DA2639" t="s">
        <v>122</v>
      </c>
      <c r="DD2639">
        <v>15894504</v>
      </c>
      <c r="DE2639" t="s">
        <v>123</v>
      </c>
    </row>
    <row r="2640" spans="1:109" x14ac:dyDescent="0.3">
      <c r="A2640" t="str">
        <f>"19:18:52.680"</f>
        <v>19:18:52.680</v>
      </c>
      <c r="B2640" t="s">
        <v>110</v>
      </c>
      <c r="C2640" t="str">
        <f t="shared" si="123"/>
        <v>ffdfd3c0</v>
      </c>
      <c r="D2640" t="s">
        <v>111</v>
      </c>
      <c r="E2640">
        <v>18</v>
      </c>
      <c r="F2640">
        <v>1018</v>
      </c>
      <c r="G2640" t="s">
        <v>112</v>
      </c>
      <c r="J2640" t="s">
        <v>113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R2640" t="s">
        <v>114</v>
      </c>
      <c r="S2640" t="str">
        <f>"19:18:52.430"</f>
        <v>19:18:52.430</v>
      </c>
      <c r="T2640" t="str">
        <f>"19:18:52.227"</f>
        <v>19:18:52.227</v>
      </c>
      <c r="U2640" t="str">
        <f t="shared" si="124"/>
        <v>a1cdbe</v>
      </c>
      <c r="V2640">
        <v>0</v>
      </c>
      <c r="W2640">
        <v>0</v>
      </c>
      <c r="X2640">
        <v>1</v>
      </c>
      <c r="Y2640">
        <v>0</v>
      </c>
      <c r="Z2640">
        <v>0</v>
      </c>
      <c r="AB2640">
        <v>0</v>
      </c>
      <c r="AC2640">
        <v>9</v>
      </c>
      <c r="AD2640">
        <v>3</v>
      </c>
      <c r="AE2640">
        <v>0</v>
      </c>
      <c r="AF2640">
        <v>9</v>
      </c>
      <c r="AG2640" t="s">
        <v>158</v>
      </c>
      <c r="AH2640">
        <v>0</v>
      </c>
      <c r="AI2640">
        <v>3</v>
      </c>
      <c r="AJ2640">
        <v>1</v>
      </c>
      <c r="AK2640">
        <v>0</v>
      </c>
      <c r="AL2640" t="s">
        <v>4975</v>
      </c>
      <c r="AM2640">
        <v>46.951725000000003</v>
      </c>
      <c r="AN2640" t="s">
        <v>4976</v>
      </c>
      <c r="AO2640">
        <v>-123.338571</v>
      </c>
      <c r="AP2640">
        <v>100</v>
      </c>
      <c r="AQ2640">
        <v>1900</v>
      </c>
      <c r="AR2640" t="s">
        <v>118</v>
      </c>
      <c r="AS2640">
        <v>-67</v>
      </c>
      <c r="AT2640">
        <v>36</v>
      </c>
      <c r="AU2640">
        <v>0</v>
      </c>
      <c r="BC2640">
        <v>1200</v>
      </c>
      <c r="BD2640">
        <v>1</v>
      </c>
      <c r="BE2640" t="str">
        <f t="shared" si="125"/>
        <v xml:space="preserve">N215T   </v>
      </c>
      <c r="BF2640">
        <v>1</v>
      </c>
      <c r="BH2640">
        <v>0</v>
      </c>
      <c r="BI2640">
        <v>0</v>
      </c>
      <c r="BJ2640">
        <v>0</v>
      </c>
      <c r="BK2640">
        <v>2325</v>
      </c>
      <c r="BL2640">
        <v>425</v>
      </c>
      <c r="BM2640" t="s">
        <v>119</v>
      </c>
      <c r="BN2640">
        <v>1</v>
      </c>
      <c r="BO2640">
        <v>1</v>
      </c>
      <c r="BP2640">
        <v>1</v>
      </c>
      <c r="BQ2640">
        <v>0</v>
      </c>
      <c r="BT2640">
        <v>0</v>
      </c>
      <c r="BU2640">
        <v>0</v>
      </c>
      <c r="BV2640">
        <v>0</v>
      </c>
      <c r="CC2640" t="str">
        <f>"19:18:52.430"</f>
        <v>19:18:52.430</v>
      </c>
      <c r="CD2640" t="str">
        <f>"432714746"</f>
        <v>432714746</v>
      </c>
      <c r="CQ2640">
        <v>0</v>
      </c>
      <c r="CR2640">
        <v>2</v>
      </c>
      <c r="CS2640">
        <v>0</v>
      </c>
      <c r="CT2640">
        <v>2</v>
      </c>
      <c r="CU2640">
        <v>0</v>
      </c>
      <c r="CV2640">
        <v>7</v>
      </c>
      <c r="CW2640" t="s">
        <v>120</v>
      </c>
      <c r="CX2640">
        <v>261</v>
      </c>
      <c r="CY2640">
        <v>2</v>
      </c>
      <c r="CZ2640" t="s">
        <v>121</v>
      </c>
      <c r="DA2640" t="s">
        <v>122</v>
      </c>
      <c r="DD2640">
        <v>15895168</v>
      </c>
      <c r="DE2640" t="s">
        <v>123</v>
      </c>
    </row>
    <row r="2641" spans="1:109" x14ac:dyDescent="0.3">
      <c r="A2641" t="str">
        <f>"19:18:53.742"</f>
        <v>19:18:53.742</v>
      </c>
      <c r="B2641" t="s">
        <v>110</v>
      </c>
      <c r="C2641" t="str">
        <f t="shared" si="123"/>
        <v>ffdfd3c0</v>
      </c>
      <c r="D2641" t="s">
        <v>111</v>
      </c>
      <c r="E2641">
        <v>18</v>
      </c>
      <c r="F2641">
        <v>1018</v>
      </c>
      <c r="G2641" t="s">
        <v>112</v>
      </c>
      <c r="J2641" t="s">
        <v>113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R2641" t="s">
        <v>114</v>
      </c>
      <c r="S2641" t="str">
        <f>"19:18:53.492"</f>
        <v>19:18:53.492</v>
      </c>
      <c r="T2641" t="str">
        <f>"19:18:53.195"</f>
        <v>19:18:53.195</v>
      </c>
      <c r="U2641" t="str">
        <f t="shared" si="124"/>
        <v>a1cdbe</v>
      </c>
      <c r="V2641">
        <v>0</v>
      </c>
      <c r="W2641">
        <v>0</v>
      </c>
      <c r="X2641">
        <v>1</v>
      </c>
      <c r="Y2641">
        <v>0</v>
      </c>
      <c r="Z2641">
        <v>0</v>
      </c>
      <c r="AB2641">
        <v>0</v>
      </c>
      <c r="AC2641">
        <v>9</v>
      </c>
      <c r="AD2641">
        <v>3</v>
      </c>
      <c r="AE2641">
        <v>0</v>
      </c>
      <c r="AF2641">
        <v>9</v>
      </c>
      <c r="AG2641" t="s">
        <v>158</v>
      </c>
      <c r="AH2641">
        <v>0</v>
      </c>
      <c r="AI2641">
        <v>3</v>
      </c>
      <c r="AJ2641">
        <v>1</v>
      </c>
      <c r="AK2641">
        <v>0</v>
      </c>
      <c r="AL2641" t="s">
        <v>4977</v>
      </c>
      <c r="AM2641">
        <v>46.951897000000002</v>
      </c>
      <c r="AN2641" t="s">
        <v>4978</v>
      </c>
      <c r="AO2641">
        <v>-123.33906399999999</v>
      </c>
      <c r="AP2641">
        <v>100</v>
      </c>
      <c r="AQ2641">
        <v>1900</v>
      </c>
      <c r="AR2641" t="s">
        <v>118</v>
      </c>
      <c r="AS2641">
        <v>-67</v>
      </c>
      <c r="AT2641">
        <v>36</v>
      </c>
      <c r="AU2641">
        <v>0</v>
      </c>
      <c r="BC2641">
        <v>1200</v>
      </c>
      <c r="BD2641">
        <v>1</v>
      </c>
      <c r="BE2641" t="str">
        <f t="shared" si="125"/>
        <v xml:space="preserve">N215T   </v>
      </c>
      <c r="BF2641">
        <v>1</v>
      </c>
      <c r="BH2641">
        <v>0</v>
      </c>
      <c r="BI2641">
        <v>0</v>
      </c>
      <c r="BJ2641">
        <v>0</v>
      </c>
      <c r="BK2641">
        <v>2325</v>
      </c>
      <c r="BL2641">
        <v>425</v>
      </c>
      <c r="BM2641" t="s">
        <v>119</v>
      </c>
      <c r="BN2641">
        <v>1</v>
      </c>
      <c r="BO2641">
        <v>1</v>
      </c>
      <c r="BP2641">
        <v>1</v>
      </c>
      <c r="BQ2641">
        <v>0</v>
      </c>
      <c r="BT2641">
        <v>0</v>
      </c>
      <c r="BU2641">
        <v>0</v>
      </c>
      <c r="BV2641">
        <v>0</v>
      </c>
      <c r="CC2641" t="str">
        <f>"19:18:53.500"</f>
        <v>19:18:53.500</v>
      </c>
      <c r="CD2641" t="str">
        <f>"497609857"</f>
        <v>497609857</v>
      </c>
      <c r="CQ2641">
        <v>0</v>
      </c>
      <c r="CR2641">
        <v>2</v>
      </c>
      <c r="CS2641">
        <v>0</v>
      </c>
      <c r="CT2641">
        <v>2</v>
      </c>
      <c r="CU2641">
        <v>0</v>
      </c>
      <c r="CV2641">
        <v>7</v>
      </c>
      <c r="CW2641" t="s">
        <v>120</v>
      </c>
      <c r="CX2641">
        <v>261</v>
      </c>
      <c r="CY2641">
        <v>2</v>
      </c>
      <c r="CZ2641" t="s">
        <v>121</v>
      </c>
      <c r="DA2641" t="s">
        <v>122</v>
      </c>
      <c r="DD2641">
        <v>15895873</v>
      </c>
      <c r="DE2641" t="s">
        <v>123</v>
      </c>
    </row>
    <row r="2642" spans="1:109" x14ac:dyDescent="0.3">
      <c r="A2642" t="str">
        <f>"19:18:54.891"</f>
        <v>19:18:54.891</v>
      </c>
      <c r="B2642" t="s">
        <v>110</v>
      </c>
      <c r="C2642" t="str">
        <f t="shared" si="123"/>
        <v>ffdfd3c0</v>
      </c>
      <c r="D2642" t="s">
        <v>111</v>
      </c>
      <c r="E2642">
        <v>18</v>
      </c>
      <c r="F2642">
        <v>1018</v>
      </c>
      <c r="G2642" t="s">
        <v>112</v>
      </c>
      <c r="J2642" t="s">
        <v>113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R2642" t="s">
        <v>114</v>
      </c>
      <c r="S2642" t="str">
        <f>"19:18:54.633"</f>
        <v>19:18:54.633</v>
      </c>
      <c r="T2642" t="str">
        <f>"19:18:54.336"</f>
        <v>19:18:54.336</v>
      </c>
      <c r="U2642" t="str">
        <f t="shared" si="124"/>
        <v>a1cdbe</v>
      </c>
      <c r="V2642">
        <v>0</v>
      </c>
      <c r="W2642">
        <v>0</v>
      </c>
      <c r="X2642">
        <v>1</v>
      </c>
      <c r="Y2642">
        <v>0</v>
      </c>
      <c r="Z2642">
        <v>0</v>
      </c>
      <c r="AB2642">
        <v>0</v>
      </c>
      <c r="AC2642">
        <v>9</v>
      </c>
      <c r="AD2642">
        <v>3</v>
      </c>
      <c r="AE2642">
        <v>0</v>
      </c>
      <c r="AF2642">
        <v>9</v>
      </c>
      <c r="AG2642" t="s">
        <v>158</v>
      </c>
      <c r="AH2642">
        <v>0</v>
      </c>
      <c r="AI2642">
        <v>3</v>
      </c>
      <c r="AJ2642">
        <v>1</v>
      </c>
      <c r="AK2642">
        <v>0</v>
      </c>
      <c r="AL2642" t="s">
        <v>4979</v>
      </c>
      <c r="AM2642">
        <v>46.952069000000002</v>
      </c>
      <c r="AN2642" t="s">
        <v>4980</v>
      </c>
      <c r="AO2642">
        <v>-123.339558</v>
      </c>
      <c r="AP2642">
        <v>100</v>
      </c>
      <c r="AQ2642">
        <v>1900</v>
      </c>
      <c r="AR2642" t="s">
        <v>118</v>
      </c>
      <c r="AS2642">
        <v>-67</v>
      </c>
      <c r="AT2642">
        <v>36</v>
      </c>
      <c r="AU2642">
        <v>0</v>
      </c>
      <c r="BC2642">
        <v>1200</v>
      </c>
      <c r="BD2642">
        <v>1</v>
      </c>
      <c r="BE2642" t="str">
        <f t="shared" si="125"/>
        <v xml:space="preserve">N215T   </v>
      </c>
      <c r="BF2642">
        <v>1</v>
      </c>
      <c r="BH2642">
        <v>0</v>
      </c>
      <c r="BI2642">
        <v>0</v>
      </c>
      <c r="BJ2642">
        <v>0</v>
      </c>
      <c r="BK2642">
        <v>2325</v>
      </c>
      <c r="BL2642">
        <v>425</v>
      </c>
      <c r="BM2642" t="s">
        <v>119</v>
      </c>
      <c r="BN2642">
        <v>1</v>
      </c>
      <c r="BO2642">
        <v>1</v>
      </c>
      <c r="BP2642">
        <v>1</v>
      </c>
      <c r="BQ2642">
        <v>0</v>
      </c>
      <c r="BT2642">
        <v>0</v>
      </c>
      <c r="BU2642">
        <v>0</v>
      </c>
      <c r="BV2642">
        <v>0</v>
      </c>
      <c r="CC2642" t="str">
        <f>"19:18:54.641"</f>
        <v>19:18:54.641</v>
      </c>
      <c r="CD2642" t="str">
        <f>"637497576"</f>
        <v>637497576</v>
      </c>
      <c r="CQ2642">
        <v>0</v>
      </c>
      <c r="CR2642">
        <v>2</v>
      </c>
      <c r="CS2642">
        <v>0</v>
      </c>
      <c r="CT2642">
        <v>2</v>
      </c>
      <c r="CU2642">
        <v>0</v>
      </c>
      <c r="CV2642">
        <v>7</v>
      </c>
      <c r="CW2642" t="s">
        <v>120</v>
      </c>
      <c r="CX2642">
        <v>261</v>
      </c>
      <c r="CY2642">
        <v>2</v>
      </c>
      <c r="CZ2642" t="s">
        <v>121</v>
      </c>
      <c r="DA2642" t="s">
        <v>122</v>
      </c>
      <c r="DD2642">
        <v>15896625</v>
      </c>
      <c r="DE2642" t="s">
        <v>123</v>
      </c>
    </row>
    <row r="2643" spans="1:109" x14ac:dyDescent="0.3">
      <c r="A2643" t="str">
        <f>"19:18:56.047"</f>
        <v>19:18:56.047</v>
      </c>
      <c r="B2643" t="s">
        <v>110</v>
      </c>
      <c r="C2643" t="str">
        <f t="shared" si="123"/>
        <v>ffdfd3c0</v>
      </c>
      <c r="D2643" t="s">
        <v>111</v>
      </c>
      <c r="E2643">
        <v>18</v>
      </c>
      <c r="F2643">
        <v>1018</v>
      </c>
      <c r="G2643" t="s">
        <v>112</v>
      </c>
      <c r="J2643" t="s">
        <v>113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R2643" t="s">
        <v>114</v>
      </c>
      <c r="S2643" t="str">
        <f>"19:18:55.805"</f>
        <v>19:18:55.805</v>
      </c>
      <c r="T2643" t="str">
        <f>"19:18:55.805"</f>
        <v>19:18:55.805</v>
      </c>
      <c r="U2643" t="str">
        <f t="shared" si="124"/>
        <v>a1cdbe</v>
      </c>
      <c r="V2643">
        <v>0</v>
      </c>
      <c r="W2643">
        <v>0</v>
      </c>
      <c r="X2643">
        <v>1</v>
      </c>
      <c r="Y2643">
        <v>0</v>
      </c>
      <c r="Z2643">
        <v>0</v>
      </c>
      <c r="AB2643">
        <v>0</v>
      </c>
      <c r="AC2643">
        <v>9</v>
      </c>
      <c r="AD2643">
        <v>3</v>
      </c>
      <c r="AE2643">
        <v>0</v>
      </c>
      <c r="AF2643">
        <v>9</v>
      </c>
      <c r="AG2643" t="s">
        <v>158</v>
      </c>
      <c r="AH2643">
        <v>0</v>
      </c>
      <c r="AI2643">
        <v>3</v>
      </c>
      <c r="AJ2643">
        <v>1</v>
      </c>
      <c r="AK2643">
        <v>0</v>
      </c>
      <c r="AL2643" t="s">
        <v>4981</v>
      </c>
      <c r="AM2643">
        <v>46.952305000000003</v>
      </c>
      <c r="AN2643" t="s">
        <v>4982</v>
      </c>
      <c r="AO2643">
        <v>-123.34011599999999</v>
      </c>
      <c r="AP2643">
        <v>100</v>
      </c>
      <c r="AQ2643">
        <v>1900</v>
      </c>
      <c r="AR2643" t="s">
        <v>118</v>
      </c>
      <c r="AS2643">
        <v>-67</v>
      </c>
      <c r="AT2643">
        <v>36</v>
      </c>
      <c r="AU2643">
        <v>0</v>
      </c>
      <c r="BC2643">
        <v>1200</v>
      </c>
      <c r="BD2643">
        <v>1</v>
      </c>
      <c r="BE2643" t="str">
        <f t="shared" si="125"/>
        <v xml:space="preserve">N215T   </v>
      </c>
      <c r="BF2643">
        <v>1</v>
      </c>
      <c r="BH2643">
        <v>0</v>
      </c>
      <c r="BI2643">
        <v>0</v>
      </c>
      <c r="BJ2643">
        <v>0</v>
      </c>
      <c r="BK2643">
        <v>2325</v>
      </c>
      <c r="BL2643">
        <v>425</v>
      </c>
      <c r="BM2643" t="s">
        <v>119</v>
      </c>
      <c r="BN2643">
        <v>1</v>
      </c>
      <c r="BO2643">
        <v>1</v>
      </c>
      <c r="BP2643">
        <v>1</v>
      </c>
      <c r="BQ2643">
        <v>0</v>
      </c>
      <c r="BT2643">
        <v>0</v>
      </c>
      <c r="BU2643">
        <v>0</v>
      </c>
      <c r="BV2643">
        <v>0</v>
      </c>
      <c r="CC2643" t="str">
        <f>"19:18:55.805"</f>
        <v>19:18:55.805</v>
      </c>
      <c r="CD2643" t="str">
        <f>"807382336"</f>
        <v>807382336</v>
      </c>
      <c r="CQ2643">
        <v>0</v>
      </c>
      <c r="CR2643">
        <v>2</v>
      </c>
      <c r="CS2643">
        <v>0</v>
      </c>
      <c r="CT2643">
        <v>2</v>
      </c>
      <c r="CU2643">
        <v>0</v>
      </c>
      <c r="CV2643">
        <v>7</v>
      </c>
      <c r="CW2643" t="s">
        <v>120</v>
      </c>
      <c r="CX2643">
        <v>261</v>
      </c>
      <c r="CY2643">
        <v>2</v>
      </c>
      <c r="CZ2643" t="s">
        <v>121</v>
      </c>
      <c r="DA2643" t="s">
        <v>122</v>
      </c>
      <c r="DD2643">
        <v>15897463</v>
      </c>
      <c r="DE2643" t="s">
        <v>123</v>
      </c>
    </row>
    <row r="2644" spans="1:109" x14ac:dyDescent="0.3">
      <c r="A2644" t="str">
        <f>"19:18:57.008"</f>
        <v>19:18:57.008</v>
      </c>
      <c r="B2644" t="s">
        <v>110</v>
      </c>
      <c r="C2644" t="str">
        <f t="shared" si="123"/>
        <v>ffdfd3c0</v>
      </c>
      <c r="D2644" t="s">
        <v>111</v>
      </c>
      <c r="E2644">
        <v>18</v>
      </c>
      <c r="F2644">
        <v>1018</v>
      </c>
      <c r="G2644" t="s">
        <v>112</v>
      </c>
      <c r="J2644" t="s">
        <v>113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R2644" t="s">
        <v>114</v>
      </c>
      <c r="S2644" t="str">
        <f>"19:18:56.781"</f>
        <v>19:18:56.781</v>
      </c>
      <c r="T2644" t="str">
        <f>"19:18:56.383"</f>
        <v>19:18:56.383</v>
      </c>
      <c r="U2644" t="str">
        <f t="shared" si="124"/>
        <v>a1cdbe</v>
      </c>
      <c r="V2644">
        <v>0</v>
      </c>
      <c r="W2644">
        <v>0</v>
      </c>
      <c r="X2644">
        <v>1</v>
      </c>
      <c r="Y2644">
        <v>0</v>
      </c>
      <c r="Z2644">
        <v>0</v>
      </c>
      <c r="AB2644">
        <v>0</v>
      </c>
      <c r="AC2644">
        <v>9</v>
      </c>
      <c r="AD2644">
        <v>3</v>
      </c>
      <c r="AE2644">
        <v>0</v>
      </c>
      <c r="AF2644">
        <v>9</v>
      </c>
      <c r="AG2644" t="s">
        <v>158</v>
      </c>
      <c r="AH2644">
        <v>0</v>
      </c>
      <c r="AI2644">
        <v>3</v>
      </c>
      <c r="AJ2644">
        <v>1</v>
      </c>
      <c r="AK2644">
        <v>0</v>
      </c>
      <c r="AL2644" t="s">
        <v>4983</v>
      </c>
      <c r="AM2644">
        <v>46.952455</v>
      </c>
      <c r="AN2644" t="s">
        <v>4984</v>
      </c>
      <c r="AO2644">
        <v>-123.34054500000001</v>
      </c>
      <c r="AP2644">
        <v>100</v>
      </c>
      <c r="AQ2644">
        <v>1900</v>
      </c>
      <c r="AR2644" t="s">
        <v>118</v>
      </c>
      <c r="AS2644">
        <v>-67</v>
      </c>
      <c r="AT2644">
        <v>36</v>
      </c>
      <c r="AU2644">
        <v>0</v>
      </c>
      <c r="BC2644">
        <v>1200</v>
      </c>
      <c r="BD2644">
        <v>1</v>
      </c>
      <c r="BE2644" t="str">
        <f t="shared" si="125"/>
        <v xml:space="preserve">N215T   </v>
      </c>
      <c r="BF2644">
        <v>1</v>
      </c>
      <c r="BH2644">
        <v>0</v>
      </c>
      <c r="BI2644">
        <v>0</v>
      </c>
      <c r="BJ2644">
        <v>0</v>
      </c>
      <c r="BK2644">
        <v>2325</v>
      </c>
      <c r="BL2644">
        <v>425</v>
      </c>
      <c r="BM2644" t="s">
        <v>119</v>
      </c>
      <c r="BN2644">
        <v>1</v>
      </c>
      <c r="BO2644">
        <v>1</v>
      </c>
      <c r="BP2644">
        <v>1</v>
      </c>
      <c r="BQ2644">
        <v>0</v>
      </c>
      <c r="BT2644">
        <v>0</v>
      </c>
      <c r="BU2644">
        <v>0</v>
      </c>
      <c r="BV2644">
        <v>0</v>
      </c>
      <c r="CC2644" t="str">
        <f>"19:18:56.781"</f>
        <v>19:18:56.781</v>
      </c>
      <c r="CD2644" t="str">
        <f>"782286307"</f>
        <v>782286307</v>
      </c>
      <c r="CQ2644">
        <v>0</v>
      </c>
      <c r="CR2644">
        <v>2</v>
      </c>
      <c r="CS2644">
        <v>0</v>
      </c>
      <c r="CT2644">
        <v>2</v>
      </c>
      <c r="CU2644">
        <v>0</v>
      </c>
      <c r="CV2644">
        <v>7</v>
      </c>
      <c r="CW2644" t="s">
        <v>120</v>
      </c>
      <c r="CX2644">
        <v>261</v>
      </c>
      <c r="CY2644">
        <v>2</v>
      </c>
      <c r="CZ2644" t="s">
        <v>121</v>
      </c>
      <c r="DA2644" t="s">
        <v>122</v>
      </c>
      <c r="DD2644">
        <v>15898171</v>
      </c>
      <c r="DE2644" t="s">
        <v>123</v>
      </c>
    </row>
    <row r="2645" spans="1:109" x14ac:dyDescent="0.3">
      <c r="A2645" t="str">
        <f>"19:18:58.164"</f>
        <v>19:18:58.164</v>
      </c>
      <c r="B2645" t="s">
        <v>110</v>
      </c>
      <c r="C2645" t="str">
        <f t="shared" si="123"/>
        <v>ffdfd3c0</v>
      </c>
      <c r="D2645" t="s">
        <v>111</v>
      </c>
      <c r="E2645">
        <v>18</v>
      </c>
      <c r="F2645">
        <v>1018</v>
      </c>
      <c r="G2645" t="s">
        <v>112</v>
      </c>
      <c r="J2645" t="s">
        <v>113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R2645" t="s">
        <v>114</v>
      </c>
      <c r="S2645" t="str">
        <f>"19:18:57.930"</f>
        <v>19:18:57.930</v>
      </c>
      <c r="T2645" t="str">
        <f>"19:18:57.828"</f>
        <v>19:18:57.828</v>
      </c>
      <c r="U2645" t="str">
        <f t="shared" si="124"/>
        <v>a1cdbe</v>
      </c>
      <c r="V2645">
        <v>0</v>
      </c>
      <c r="W2645">
        <v>0</v>
      </c>
      <c r="X2645">
        <v>1</v>
      </c>
      <c r="Y2645">
        <v>0</v>
      </c>
      <c r="Z2645">
        <v>0</v>
      </c>
      <c r="AB2645">
        <v>0</v>
      </c>
      <c r="AC2645">
        <v>9</v>
      </c>
      <c r="AD2645">
        <v>3</v>
      </c>
      <c r="AE2645">
        <v>0</v>
      </c>
      <c r="AF2645">
        <v>9</v>
      </c>
      <c r="AG2645" t="s">
        <v>158</v>
      </c>
      <c r="AH2645">
        <v>0</v>
      </c>
      <c r="AI2645">
        <v>3</v>
      </c>
      <c r="AJ2645">
        <v>1</v>
      </c>
      <c r="AK2645">
        <v>0</v>
      </c>
      <c r="AL2645" t="s">
        <v>4985</v>
      </c>
      <c r="AM2645">
        <v>46.952627</v>
      </c>
      <c r="AN2645" t="s">
        <v>4986</v>
      </c>
      <c r="AO2645">
        <v>-123.341038</v>
      </c>
      <c r="AP2645">
        <v>100</v>
      </c>
      <c r="AQ2645">
        <v>1900</v>
      </c>
      <c r="AR2645" t="s">
        <v>118</v>
      </c>
      <c r="AS2645">
        <v>-67</v>
      </c>
      <c r="AT2645">
        <v>36</v>
      </c>
      <c r="AU2645">
        <v>0</v>
      </c>
      <c r="BC2645">
        <v>1200</v>
      </c>
      <c r="BD2645">
        <v>1</v>
      </c>
      <c r="BE2645" t="str">
        <f t="shared" si="125"/>
        <v xml:space="preserve">N215T   </v>
      </c>
      <c r="BF2645">
        <v>1</v>
      </c>
      <c r="BH2645">
        <v>0</v>
      </c>
      <c r="BI2645">
        <v>0</v>
      </c>
      <c r="BJ2645">
        <v>0</v>
      </c>
      <c r="BK2645">
        <v>2325</v>
      </c>
      <c r="BL2645">
        <v>425</v>
      </c>
      <c r="BM2645" t="s">
        <v>119</v>
      </c>
      <c r="BN2645">
        <v>1</v>
      </c>
      <c r="BO2645">
        <v>1</v>
      </c>
      <c r="BP2645">
        <v>1</v>
      </c>
      <c r="BQ2645">
        <v>0</v>
      </c>
      <c r="BT2645">
        <v>0</v>
      </c>
      <c r="BU2645">
        <v>0</v>
      </c>
      <c r="BV2645">
        <v>0</v>
      </c>
      <c r="CC2645" t="str">
        <f>"19:18:57.938"</f>
        <v>19:18:57.938</v>
      </c>
      <c r="CD2645" t="str">
        <f>"937172547"</f>
        <v>937172547</v>
      </c>
      <c r="CQ2645">
        <v>0</v>
      </c>
      <c r="CR2645">
        <v>2</v>
      </c>
      <c r="CS2645">
        <v>0</v>
      </c>
      <c r="CT2645">
        <v>2</v>
      </c>
      <c r="CU2645">
        <v>0</v>
      </c>
      <c r="CV2645">
        <v>6</v>
      </c>
      <c r="CW2645" t="s">
        <v>120</v>
      </c>
      <c r="CX2645">
        <v>261</v>
      </c>
      <c r="CY2645">
        <v>3</v>
      </c>
      <c r="CZ2645" t="s">
        <v>121</v>
      </c>
      <c r="DA2645" t="s">
        <v>122</v>
      </c>
      <c r="DD2645">
        <v>3826935</v>
      </c>
      <c r="DE2645" t="s">
        <v>123</v>
      </c>
    </row>
    <row r="2646" spans="1:109" x14ac:dyDescent="0.3">
      <c r="A2646" t="str">
        <f>"19:18:59.219"</f>
        <v>19:18:59.219</v>
      </c>
      <c r="B2646" t="s">
        <v>110</v>
      </c>
      <c r="C2646" t="str">
        <f t="shared" si="123"/>
        <v>ffdfd3c0</v>
      </c>
      <c r="D2646" t="s">
        <v>111</v>
      </c>
      <c r="E2646">
        <v>18</v>
      </c>
      <c r="F2646">
        <v>1018</v>
      </c>
      <c r="G2646" t="s">
        <v>112</v>
      </c>
      <c r="J2646" t="s">
        <v>113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R2646" t="s">
        <v>114</v>
      </c>
      <c r="S2646" t="str">
        <f>"19:18:58.984"</f>
        <v>19:18:58.984</v>
      </c>
      <c r="T2646" t="str">
        <f>"19:18:58.781"</f>
        <v>19:18:58.781</v>
      </c>
      <c r="U2646" t="str">
        <f t="shared" si="124"/>
        <v>a1cdbe</v>
      </c>
      <c r="V2646">
        <v>0</v>
      </c>
      <c r="W2646">
        <v>0</v>
      </c>
      <c r="X2646">
        <v>1</v>
      </c>
      <c r="Y2646">
        <v>0</v>
      </c>
      <c r="Z2646">
        <v>0</v>
      </c>
      <c r="AB2646">
        <v>0</v>
      </c>
      <c r="AC2646">
        <v>9</v>
      </c>
      <c r="AD2646">
        <v>3</v>
      </c>
      <c r="AE2646">
        <v>0</v>
      </c>
      <c r="AF2646">
        <v>9</v>
      </c>
      <c r="AG2646" t="s">
        <v>158</v>
      </c>
      <c r="AH2646">
        <v>0</v>
      </c>
      <c r="AI2646">
        <v>3</v>
      </c>
      <c r="AJ2646">
        <v>1</v>
      </c>
      <c r="AK2646">
        <v>0</v>
      </c>
      <c r="AL2646" t="s">
        <v>4987</v>
      </c>
      <c r="AM2646">
        <v>46.952820000000003</v>
      </c>
      <c r="AN2646" t="s">
        <v>4988</v>
      </c>
      <c r="AO2646">
        <v>-123.341532</v>
      </c>
      <c r="AP2646">
        <v>100</v>
      </c>
      <c r="AQ2646">
        <v>1900</v>
      </c>
      <c r="AR2646" t="s">
        <v>118</v>
      </c>
      <c r="AS2646">
        <v>-68</v>
      </c>
      <c r="AT2646">
        <v>36</v>
      </c>
      <c r="AU2646">
        <v>0</v>
      </c>
      <c r="BC2646">
        <v>1200</v>
      </c>
      <c r="BD2646">
        <v>1</v>
      </c>
      <c r="BE2646" t="str">
        <f t="shared" si="125"/>
        <v xml:space="preserve">N215T   </v>
      </c>
      <c r="BF2646">
        <v>1</v>
      </c>
      <c r="BH2646">
        <v>0</v>
      </c>
      <c r="BI2646">
        <v>0</v>
      </c>
      <c r="BJ2646">
        <v>0</v>
      </c>
      <c r="BK2646">
        <v>2325</v>
      </c>
      <c r="BL2646">
        <v>425</v>
      </c>
      <c r="BM2646" t="s">
        <v>119</v>
      </c>
      <c r="BN2646">
        <v>1</v>
      </c>
      <c r="BO2646">
        <v>1</v>
      </c>
      <c r="BP2646">
        <v>1</v>
      </c>
      <c r="BQ2646">
        <v>0</v>
      </c>
      <c r="BT2646">
        <v>0</v>
      </c>
      <c r="BU2646">
        <v>0</v>
      </c>
      <c r="BV2646">
        <v>0</v>
      </c>
      <c r="CC2646" t="str">
        <f>"19:18:58.984"</f>
        <v>19:18:58.984</v>
      </c>
      <c r="CD2646" t="str">
        <f>"987069125"</f>
        <v>987069125</v>
      </c>
      <c r="CQ2646">
        <v>0</v>
      </c>
      <c r="CR2646">
        <v>2</v>
      </c>
      <c r="CS2646">
        <v>0</v>
      </c>
      <c r="CT2646">
        <v>2</v>
      </c>
      <c r="CU2646">
        <v>0</v>
      </c>
      <c r="CV2646">
        <v>7</v>
      </c>
      <c r="CW2646" t="s">
        <v>120</v>
      </c>
      <c r="CX2646">
        <v>261</v>
      </c>
      <c r="CY2646">
        <v>2</v>
      </c>
      <c r="CZ2646" t="s">
        <v>121</v>
      </c>
      <c r="DA2646" t="s">
        <v>122</v>
      </c>
      <c r="DD2646">
        <v>15899576</v>
      </c>
      <c r="DE2646" t="s">
        <v>123</v>
      </c>
    </row>
    <row r="2647" spans="1:109" x14ac:dyDescent="0.3">
      <c r="A2647" t="str">
        <f>"19:19:00.172"</f>
        <v>19:19:00.172</v>
      </c>
      <c r="B2647" t="s">
        <v>110</v>
      </c>
      <c r="C2647" t="str">
        <f t="shared" si="123"/>
        <v>ffdfd3c0</v>
      </c>
      <c r="D2647" t="s">
        <v>111</v>
      </c>
      <c r="E2647">
        <v>18</v>
      </c>
      <c r="F2647">
        <v>1018</v>
      </c>
      <c r="G2647" t="s">
        <v>112</v>
      </c>
      <c r="J2647" t="s">
        <v>113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R2647" t="s">
        <v>114</v>
      </c>
      <c r="S2647" t="str">
        <f>"19:18:59.914"</f>
        <v>19:18:59.914</v>
      </c>
      <c r="T2647" t="str">
        <f>"19:18:59.813"</f>
        <v>19:18:59.813</v>
      </c>
      <c r="U2647" t="str">
        <f t="shared" si="124"/>
        <v>a1cdbe</v>
      </c>
      <c r="V2647">
        <v>0</v>
      </c>
      <c r="W2647">
        <v>0</v>
      </c>
      <c r="X2647">
        <v>1</v>
      </c>
      <c r="Y2647">
        <v>0</v>
      </c>
      <c r="Z2647">
        <v>0</v>
      </c>
      <c r="AB2647">
        <v>0</v>
      </c>
      <c r="AC2647">
        <v>9</v>
      </c>
      <c r="AD2647">
        <v>3</v>
      </c>
      <c r="AE2647">
        <v>0</v>
      </c>
      <c r="AF2647">
        <v>9</v>
      </c>
      <c r="AG2647" t="s">
        <v>158</v>
      </c>
      <c r="AH2647">
        <v>0</v>
      </c>
      <c r="AI2647">
        <v>3</v>
      </c>
      <c r="AJ2647">
        <v>1</v>
      </c>
      <c r="AK2647">
        <v>0</v>
      </c>
      <c r="AL2647" t="s">
        <v>4989</v>
      </c>
      <c r="AM2647">
        <v>46.952970000000001</v>
      </c>
      <c r="AN2647" t="s">
        <v>4990</v>
      </c>
      <c r="AO2647">
        <v>-123.341961</v>
      </c>
      <c r="AP2647">
        <v>100</v>
      </c>
      <c r="AQ2647">
        <v>1900</v>
      </c>
      <c r="AR2647" t="s">
        <v>118</v>
      </c>
      <c r="AS2647">
        <v>-68</v>
      </c>
      <c r="AT2647">
        <v>36</v>
      </c>
      <c r="AU2647">
        <v>0</v>
      </c>
      <c r="BC2647">
        <v>1200</v>
      </c>
      <c r="BD2647">
        <v>1</v>
      </c>
      <c r="BE2647" t="str">
        <f t="shared" si="125"/>
        <v xml:space="preserve">N215T   </v>
      </c>
      <c r="BF2647">
        <v>1</v>
      </c>
      <c r="BH2647">
        <v>0</v>
      </c>
      <c r="BI2647">
        <v>0</v>
      </c>
      <c r="BJ2647">
        <v>0</v>
      </c>
      <c r="BK2647">
        <v>2325</v>
      </c>
      <c r="BL2647">
        <v>425</v>
      </c>
      <c r="BM2647" t="s">
        <v>119</v>
      </c>
      <c r="BN2647">
        <v>1</v>
      </c>
      <c r="BO2647">
        <v>1</v>
      </c>
      <c r="BP2647">
        <v>1</v>
      </c>
      <c r="BQ2647">
        <v>0</v>
      </c>
      <c r="BT2647">
        <v>0</v>
      </c>
      <c r="BU2647">
        <v>0</v>
      </c>
      <c r="BV2647">
        <v>0</v>
      </c>
      <c r="CC2647" t="str">
        <f>"19:18:59.914"</f>
        <v>19:18:59.914</v>
      </c>
      <c r="CD2647" t="str">
        <f>"916977526"</f>
        <v>916977526</v>
      </c>
      <c r="CQ2647">
        <v>0</v>
      </c>
      <c r="CR2647">
        <v>2</v>
      </c>
      <c r="CS2647">
        <v>0</v>
      </c>
      <c r="CT2647">
        <v>2</v>
      </c>
      <c r="CU2647">
        <v>0</v>
      </c>
      <c r="CV2647">
        <v>7</v>
      </c>
      <c r="CW2647" t="s">
        <v>120</v>
      </c>
      <c r="CX2647">
        <v>261</v>
      </c>
      <c r="CY2647">
        <v>2</v>
      </c>
      <c r="CZ2647" t="s">
        <v>121</v>
      </c>
      <c r="DA2647" t="s">
        <v>122</v>
      </c>
      <c r="DD2647">
        <v>15900263</v>
      </c>
      <c r="DE2647" t="s">
        <v>123</v>
      </c>
    </row>
    <row r="2648" spans="1:109" x14ac:dyDescent="0.3">
      <c r="A2648" t="str">
        <f>"19:19:01.125"</f>
        <v>19:19:01.125</v>
      </c>
      <c r="B2648" t="s">
        <v>110</v>
      </c>
      <c r="C2648" t="str">
        <f t="shared" si="123"/>
        <v>ffdfd3c0</v>
      </c>
      <c r="D2648" t="s">
        <v>111</v>
      </c>
      <c r="E2648">
        <v>18</v>
      </c>
      <c r="F2648">
        <v>1018</v>
      </c>
      <c r="G2648" t="s">
        <v>112</v>
      </c>
      <c r="J2648" t="s">
        <v>113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R2648" t="s">
        <v>114</v>
      </c>
      <c r="S2648" t="str">
        <f>"19:19:00.922"</f>
        <v>19:19:00.922</v>
      </c>
      <c r="T2648" t="str">
        <f>"19:19:00.719"</f>
        <v>19:19:00.719</v>
      </c>
      <c r="U2648" t="str">
        <f t="shared" si="124"/>
        <v>a1cdbe</v>
      </c>
      <c r="V2648">
        <v>0</v>
      </c>
      <c r="W2648">
        <v>0</v>
      </c>
      <c r="X2648">
        <v>1</v>
      </c>
      <c r="Y2648">
        <v>0</v>
      </c>
      <c r="Z2648">
        <v>0</v>
      </c>
      <c r="AB2648">
        <v>0</v>
      </c>
      <c r="AC2648">
        <v>9</v>
      </c>
      <c r="AD2648">
        <v>3</v>
      </c>
      <c r="AE2648">
        <v>0</v>
      </c>
      <c r="AF2648">
        <v>9</v>
      </c>
      <c r="AG2648" t="s">
        <v>158</v>
      </c>
      <c r="AH2648">
        <v>0</v>
      </c>
      <c r="AI2648">
        <v>3</v>
      </c>
      <c r="AJ2648">
        <v>1</v>
      </c>
      <c r="AK2648">
        <v>0</v>
      </c>
      <c r="AL2648" t="s">
        <v>4991</v>
      </c>
      <c r="AM2648">
        <v>46.953142</v>
      </c>
      <c r="AN2648" t="s">
        <v>4992</v>
      </c>
      <c r="AO2648">
        <v>-123.342412</v>
      </c>
      <c r="AP2648">
        <v>100</v>
      </c>
      <c r="AQ2648">
        <v>1900</v>
      </c>
      <c r="AR2648" t="s">
        <v>118</v>
      </c>
      <c r="AS2648">
        <v>-68</v>
      </c>
      <c r="AT2648">
        <v>36</v>
      </c>
      <c r="AU2648">
        <v>0</v>
      </c>
      <c r="BC2648">
        <v>1200</v>
      </c>
      <c r="BD2648">
        <v>1</v>
      </c>
      <c r="BE2648" t="str">
        <f t="shared" si="125"/>
        <v xml:space="preserve">N215T   </v>
      </c>
      <c r="BF2648">
        <v>1</v>
      </c>
      <c r="BH2648">
        <v>0</v>
      </c>
      <c r="BI2648">
        <v>0</v>
      </c>
      <c r="BJ2648">
        <v>0</v>
      </c>
      <c r="BK2648">
        <v>2325</v>
      </c>
      <c r="BL2648">
        <v>425</v>
      </c>
      <c r="BM2648" t="s">
        <v>119</v>
      </c>
      <c r="BN2648">
        <v>1</v>
      </c>
      <c r="BO2648">
        <v>1</v>
      </c>
      <c r="BP2648">
        <v>1</v>
      </c>
      <c r="BQ2648">
        <v>0</v>
      </c>
      <c r="BT2648">
        <v>0</v>
      </c>
      <c r="BU2648">
        <v>0</v>
      </c>
      <c r="BV2648">
        <v>0</v>
      </c>
      <c r="CC2648" t="str">
        <f>"19:19:00.922"</f>
        <v>19:19:00.922</v>
      </c>
      <c r="CD2648" t="str">
        <f>"921878542"</f>
        <v>921878542</v>
      </c>
      <c r="CQ2648">
        <v>0</v>
      </c>
      <c r="CR2648">
        <v>2</v>
      </c>
      <c r="CS2648">
        <v>0</v>
      </c>
      <c r="CT2648">
        <v>2</v>
      </c>
      <c r="CU2648">
        <v>0</v>
      </c>
      <c r="CV2648">
        <v>7</v>
      </c>
      <c r="CW2648" t="s">
        <v>120</v>
      </c>
      <c r="CX2648">
        <v>261</v>
      </c>
      <c r="CY2648">
        <v>2</v>
      </c>
      <c r="CZ2648" t="s">
        <v>121</v>
      </c>
      <c r="DA2648" t="s">
        <v>122</v>
      </c>
      <c r="DD2648">
        <v>15900961</v>
      </c>
      <c r="DE2648" t="s">
        <v>123</v>
      </c>
    </row>
    <row r="2649" spans="1:109" x14ac:dyDescent="0.3">
      <c r="A2649" t="str">
        <f>"19:19:02.180"</f>
        <v>19:19:02.180</v>
      </c>
      <c r="B2649" t="s">
        <v>110</v>
      </c>
      <c r="C2649" t="str">
        <f t="shared" si="123"/>
        <v>ffdfd3c0</v>
      </c>
      <c r="D2649" t="s">
        <v>111</v>
      </c>
      <c r="E2649">
        <v>18</v>
      </c>
      <c r="F2649">
        <v>1018</v>
      </c>
      <c r="G2649" t="s">
        <v>112</v>
      </c>
      <c r="J2649" t="s">
        <v>113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R2649" t="s">
        <v>114</v>
      </c>
      <c r="S2649" t="str">
        <f>"19:19:01.953"</f>
        <v>19:19:01.953</v>
      </c>
      <c r="T2649" t="str">
        <f>"19:19:01.852"</f>
        <v>19:19:01.852</v>
      </c>
      <c r="U2649" t="str">
        <f t="shared" si="124"/>
        <v>a1cdbe</v>
      </c>
      <c r="V2649">
        <v>0</v>
      </c>
      <c r="W2649">
        <v>0</v>
      </c>
      <c r="X2649">
        <v>1</v>
      </c>
      <c r="Y2649">
        <v>0</v>
      </c>
      <c r="Z2649">
        <v>0</v>
      </c>
      <c r="AB2649">
        <v>0</v>
      </c>
      <c r="AC2649">
        <v>9</v>
      </c>
      <c r="AD2649">
        <v>3</v>
      </c>
      <c r="AE2649">
        <v>0</v>
      </c>
      <c r="AF2649">
        <v>9</v>
      </c>
      <c r="AG2649" t="s">
        <v>158</v>
      </c>
      <c r="AH2649">
        <v>0</v>
      </c>
      <c r="AI2649">
        <v>3</v>
      </c>
      <c r="AJ2649">
        <v>1</v>
      </c>
      <c r="AK2649">
        <v>0</v>
      </c>
      <c r="AL2649" t="s">
        <v>4993</v>
      </c>
      <c r="AM2649">
        <v>46.953313000000001</v>
      </c>
      <c r="AN2649" t="s">
        <v>4994</v>
      </c>
      <c r="AO2649">
        <v>-123.34294800000001</v>
      </c>
      <c r="AP2649">
        <v>100</v>
      </c>
      <c r="AQ2649">
        <v>1900</v>
      </c>
      <c r="AR2649" t="s">
        <v>118</v>
      </c>
      <c r="AS2649">
        <v>-68</v>
      </c>
      <c r="AT2649">
        <v>36</v>
      </c>
      <c r="AU2649">
        <v>0</v>
      </c>
      <c r="BC2649">
        <v>1200</v>
      </c>
      <c r="BD2649">
        <v>1</v>
      </c>
      <c r="BE2649" t="str">
        <f t="shared" si="125"/>
        <v xml:space="preserve">N215T   </v>
      </c>
      <c r="BF2649">
        <v>1</v>
      </c>
      <c r="BH2649">
        <v>0</v>
      </c>
      <c r="BI2649">
        <v>0</v>
      </c>
      <c r="BJ2649">
        <v>0</v>
      </c>
      <c r="BK2649">
        <v>2325</v>
      </c>
      <c r="BL2649">
        <v>425</v>
      </c>
      <c r="BM2649" t="s">
        <v>119</v>
      </c>
      <c r="BN2649">
        <v>1</v>
      </c>
      <c r="BO2649">
        <v>1</v>
      </c>
      <c r="BP2649">
        <v>1</v>
      </c>
      <c r="BQ2649">
        <v>0</v>
      </c>
      <c r="BT2649">
        <v>0</v>
      </c>
      <c r="BU2649">
        <v>0</v>
      </c>
      <c r="BV2649">
        <v>0</v>
      </c>
      <c r="CC2649" t="str">
        <f>"19:19:01.953"</f>
        <v>19:19:01.953</v>
      </c>
      <c r="CD2649" t="str">
        <f>"956776602"</f>
        <v>956776602</v>
      </c>
      <c r="CQ2649">
        <v>0</v>
      </c>
      <c r="CR2649">
        <v>2</v>
      </c>
      <c r="CS2649">
        <v>0</v>
      </c>
      <c r="CT2649">
        <v>2</v>
      </c>
      <c r="CU2649">
        <v>0</v>
      </c>
      <c r="CV2649">
        <v>7</v>
      </c>
      <c r="CW2649" t="s">
        <v>120</v>
      </c>
      <c r="CX2649">
        <v>261</v>
      </c>
      <c r="CY2649">
        <v>2</v>
      </c>
      <c r="CZ2649" t="s">
        <v>121</v>
      </c>
      <c r="DA2649" t="s">
        <v>122</v>
      </c>
      <c r="DD2649">
        <v>15901663</v>
      </c>
      <c r="DE2649" t="s">
        <v>123</v>
      </c>
    </row>
    <row r="2650" spans="1:109" x14ac:dyDescent="0.3">
      <c r="A2650" t="str">
        <f>"19:19:03.141"</f>
        <v>19:19:03.141</v>
      </c>
      <c r="B2650" t="s">
        <v>110</v>
      </c>
      <c r="C2650" t="str">
        <f t="shared" si="123"/>
        <v>ffdfd3c0</v>
      </c>
      <c r="D2650" t="s">
        <v>111</v>
      </c>
      <c r="E2650">
        <v>18</v>
      </c>
      <c r="F2650">
        <v>1018</v>
      </c>
      <c r="G2650" t="s">
        <v>112</v>
      </c>
      <c r="J2650" t="s">
        <v>113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R2650" t="s">
        <v>114</v>
      </c>
      <c r="S2650" t="str">
        <f>"19:19:02.898"</f>
        <v>19:19:02.898</v>
      </c>
      <c r="T2650" t="str">
        <f>"19:19:02.398"</f>
        <v>19:19:02.398</v>
      </c>
      <c r="U2650" t="str">
        <f t="shared" si="124"/>
        <v>a1cdbe</v>
      </c>
      <c r="V2650">
        <v>0</v>
      </c>
      <c r="W2650">
        <v>0</v>
      </c>
      <c r="X2650">
        <v>1</v>
      </c>
      <c r="Y2650">
        <v>0</v>
      </c>
      <c r="Z2650">
        <v>0</v>
      </c>
      <c r="AB2650">
        <v>0</v>
      </c>
      <c r="AC2650">
        <v>9</v>
      </c>
      <c r="AD2650">
        <v>3</v>
      </c>
      <c r="AE2650">
        <v>0</v>
      </c>
      <c r="AF2650">
        <v>9</v>
      </c>
      <c r="AG2650" t="s">
        <v>158</v>
      </c>
      <c r="AH2650">
        <v>0</v>
      </c>
      <c r="AI2650">
        <v>3</v>
      </c>
      <c r="AJ2650">
        <v>1</v>
      </c>
      <c r="AK2650">
        <v>0</v>
      </c>
      <c r="AL2650" t="s">
        <v>4995</v>
      </c>
      <c r="AM2650">
        <v>46.953463999999997</v>
      </c>
      <c r="AN2650" t="s">
        <v>4996</v>
      </c>
      <c r="AO2650">
        <v>-123.343377</v>
      </c>
      <c r="AP2650">
        <v>100</v>
      </c>
      <c r="AQ2650">
        <v>1900</v>
      </c>
      <c r="AR2650" t="s">
        <v>118</v>
      </c>
      <c r="AS2650">
        <v>-68</v>
      </c>
      <c r="AT2650">
        <v>36</v>
      </c>
      <c r="AU2650">
        <v>0</v>
      </c>
      <c r="BC2650">
        <v>1200</v>
      </c>
      <c r="BD2650">
        <v>1</v>
      </c>
      <c r="BE2650" t="str">
        <f t="shared" si="125"/>
        <v xml:space="preserve">N215T   </v>
      </c>
      <c r="BF2650">
        <v>1</v>
      </c>
      <c r="BH2650">
        <v>0</v>
      </c>
      <c r="BI2650">
        <v>0</v>
      </c>
      <c r="BJ2650">
        <v>0</v>
      </c>
      <c r="BK2650">
        <v>2325</v>
      </c>
      <c r="BL2650">
        <v>425</v>
      </c>
      <c r="BM2650" t="s">
        <v>119</v>
      </c>
      <c r="BN2650">
        <v>1</v>
      </c>
      <c r="BO2650">
        <v>1</v>
      </c>
      <c r="BP2650">
        <v>1</v>
      </c>
      <c r="BQ2650">
        <v>0</v>
      </c>
      <c r="BT2650">
        <v>0</v>
      </c>
      <c r="BU2650">
        <v>0</v>
      </c>
      <c r="BV2650">
        <v>0</v>
      </c>
      <c r="CC2650" t="str">
        <f>"19:19:02.898"</f>
        <v>19:19:02.898</v>
      </c>
      <c r="CD2650" t="str">
        <f>"901683534"</f>
        <v>901683534</v>
      </c>
      <c r="CQ2650">
        <v>0</v>
      </c>
      <c r="CR2650">
        <v>2</v>
      </c>
      <c r="CS2650">
        <v>0</v>
      </c>
      <c r="CT2650">
        <v>2</v>
      </c>
      <c r="CU2650">
        <v>0</v>
      </c>
      <c r="CV2650">
        <v>6</v>
      </c>
      <c r="CW2650" t="s">
        <v>120</v>
      </c>
      <c r="CX2650">
        <v>261</v>
      </c>
      <c r="CY2650">
        <v>3</v>
      </c>
      <c r="CZ2650" t="s">
        <v>121</v>
      </c>
      <c r="DA2650" t="s">
        <v>122</v>
      </c>
      <c r="DD2650">
        <v>3828148</v>
      </c>
      <c r="DE2650" t="s">
        <v>123</v>
      </c>
    </row>
    <row r="2651" spans="1:109" x14ac:dyDescent="0.3">
      <c r="A2651" t="str">
        <f>"19:19:04.039"</f>
        <v>19:19:04.039</v>
      </c>
      <c r="B2651" t="s">
        <v>110</v>
      </c>
      <c r="C2651" t="str">
        <f t="shared" si="123"/>
        <v>ffdfd3c0</v>
      </c>
      <c r="D2651" t="s">
        <v>111</v>
      </c>
      <c r="E2651">
        <v>18</v>
      </c>
      <c r="F2651">
        <v>1018</v>
      </c>
      <c r="G2651" t="s">
        <v>112</v>
      </c>
      <c r="J2651" t="s">
        <v>113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R2651" t="s">
        <v>114</v>
      </c>
      <c r="S2651" t="str">
        <f>"19:19:03.844"</f>
        <v>19:19:03.844</v>
      </c>
      <c r="T2651" t="str">
        <f>"19:19:03.344"</f>
        <v>19:19:03.344</v>
      </c>
      <c r="U2651" t="str">
        <f t="shared" si="124"/>
        <v>a1cdbe</v>
      </c>
      <c r="V2651">
        <v>0</v>
      </c>
      <c r="W2651">
        <v>0</v>
      </c>
      <c r="X2651">
        <v>1</v>
      </c>
      <c r="Y2651">
        <v>0</v>
      </c>
      <c r="Z2651">
        <v>0</v>
      </c>
      <c r="AB2651">
        <v>0</v>
      </c>
      <c r="AC2651">
        <v>9</v>
      </c>
      <c r="AD2651">
        <v>3</v>
      </c>
      <c r="AE2651">
        <v>0</v>
      </c>
      <c r="AF2651">
        <v>9</v>
      </c>
      <c r="AG2651" t="s">
        <v>158</v>
      </c>
      <c r="AH2651">
        <v>0</v>
      </c>
      <c r="AI2651">
        <v>3</v>
      </c>
      <c r="AJ2651">
        <v>1</v>
      </c>
      <c r="AK2651">
        <v>0</v>
      </c>
      <c r="AL2651" t="s">
        <v>4997</v>
      </c>
      <c r="AM2651">
        <v>46.953614000000002</v>
      </c>
      <c r="AN2651" t="s">
        <v>4998</v>
      </c>
      <c r="AO2651">
        <v>-123.343785</v>
      </c>
      <c r="AP2651">
        <v>100</v>
      </c>
      <c r="AQ2651">
        <v>1900</v>
      </c>
      <c r="AR2651" t="s">
        <v>118</v>
      </c>
      <c r="AS2651">
        <v>-68</v>
      </c>
      <c r="AT2651">
        <v>36</v>
      </c>
      <c r="AU2651">
        <v>0</v>
      </c>
      <c r="BC2651">
        <v>1200</v>
      </c>
      <c r="BD2651">
        <v>1</v>
      </c>
      <c r="BE2651" t="str">
        <f t="shared" si="125"/>
        <v xml:space="preserve">N215T   </v>
      </c>
      <c r="BF2651">
        <v>1</v>
      </c>
      <c r="BH2651">
        <v>0</v>
      </c>
      <c r="BI2651">
        <v>0</v>
      </c>
      <c r="BJ2651">
        <v>0</v>
      </c>
      <c r="BK2651">
        <v>2325</v>
      </c>
      <c r="BL2651">
        <v>425</v>
      </c>
      <c r="BM2651" t="s">
        <v>119</v>
      </c>
      <c r="BN2651">
        <v>1</v>
      </c>
      <c r="BO2651">
        <v>1</v>
      </c>
      <c r="BP2651">
        <v>1</v>
      </c>
      <c r="BQ2651">
        <v>0</v>
      </c>
      <c r="BT2651">
        <v>0</v>
      </c>
      <c r="BU2651">
        <v>0</v>
      </c>
      <c r="BV2651">
        <v>0</v>
      </c>
      <c r="CC2651" t="str">
        <f>"19:19:03.844"</f>
        <v>19:19:03.844</v>
      </c>
      <c r="CD2651" t="str">
        <f>"846590456"</f>
        <v>846590456</v>
      </c>
      <c r="CQ2651">
        <v>0</v>
      </c>
      <c r="CR2651">
        <v>2</v>
      </c>
      <c r="CS2651">
        <v>0</v>
      </c>
      <c r="CT2651">
        <v>2</v>
      </c>
      <c r="CU2651">
        <v>0</v>
      </c>
      <c r="CV2651">
        <v>7</v>
      </c>
      <c r="CW2651" t="s">
        <v>120</v>
      </c>
      <c r="CX2651">
        <v>261</v>
      </c>
      <c r="CY2651">
        <v>2</v>
      </c>
      <c r="CZ2651" t="s">
        <v>121</v>
      </c>
      <c r="DA2651" t="s">
        <v>122</v>
      </c>
      <c r="DD2651">
        <v>15902882</v>
      </c>
      <c r="DE2651" t="s">
        <v>123</v>
      </c>
    </row>
    <row r="2652" spans="1:109" x14ac:dyDescent="0.3">
      <c r="A2652" t="str">
        <f>"19:19:05.000"</f>
        <v>19:19:05.000</v>
      </c>
      <c r="B2652" t="s">
        <v>110</v>
      </c>
      <c r="C2652" t="str">
        <f t="shared" si="123"/>
        <v>ffdfd3c0</v>
      </c>
      <c r="D2652" t="s">
        <v>111</v>
      </c>
      <c r="E2652">
        <v>18</v>
      </c>
      <c r="F2652">
        <v>1018</v>
      </c>
      <c r="G2652" t="s">
        <v>112</v>
      </c>
      <c r="J2652" t="s">
        <v>113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R2652" t="s">
        <v>114</v>
      </c>
      <c r="S2652" t="str">
        <f>"19:19:04.805"</f>
        <v>19:19:04.805</v>
      </c>
      <c r="T2652" t="str">
        <f>"19:19:04.805"</f>
        <v>19:19:04.805</v>
      </c>
      <c r="U2652" t="str">
        <f t="shared" si="124"/>
        <v>a1cdbe</v>
      </c>
      <c r="V2652">
        <v>0</v>
      </c>
      <c r="W2652">
        <v>0</v>
      </c>
      <c r="X2652">
        <v>1</v>
      </c>
      <c r="Y2652">
        <v>0</v>
      </c>
      <c r="Z2652">
        <v>0</v>
      </c>
      <c r="AB2652">
        <v>0</v>
      </c>
      <c r="AC2652">
        <v>9</v>
      </c>
      <c r="AD2652">
        <v>3</v>
      </c>
      <c r="AE2652">
        <v>0</v>
      </c>
      <c r="AF2652">
        <v>9</v>
      </c>
      <c r="AG2652" t="s">
        <v>158</v>
      </c>
      <c r="AH2652">
        <v>0</v>
      </c>
      <c r="AI2652">
        <v>3</v>
      </c>
      <c r="AJ2652">
        <v>1</v>
      </c>
      <c r="AK2652">
        <v>0</v>
      </c>
      <c r="AL2652" t="s">
        <v>4999</v>
      </c>
      <c r="AM2652">
        <v>46.953785000000003</v>
      </c>
      <c r="AN2652" t="s">
        <v>5000</v>
      </c>
      <c r="AO2652">
        <v>-123.344193</v>
      </c>
      <c r="AP2652">
        <v>100</v>
      </c>
      <c r="AQ2652">
        <v>1900</v>
      </c>
      <c r="AR2652" t="s">
        <v>118</v>
      </c>
      <c r="AS2652">
        <v>-68</v>
      </c>
      <c r="AT2652">
        <v>36</v>
      </c>
      <c r="AU2652">
        <v>0</v>
      </c>
      <c r="BC2652">
        <v>1200</v>
      </c>
      <c r="BD2652">
        <v>1</v>
      </c>
      <c r="BE2652" t="str">
        <f t="shared" si="125"/>
        <v xml:space="preserve">N215T   </v>
      </c>
      <c r="BF2652">
        <v>1</v>
      </c>
      <c r="BH2652">
        <v>0</v>
      </c>
      <c r="BI2652">
        <v>0</v>
      </c>
      <c r="BJ2652">
        <v>0</v>
      </c>
      <c r="BK2652">
        <v>2300</v>
      </c>
      <c r="BL2652">
        <v>400</v>
      </c>
      <c r="BM2652" t="s">
        <v>119</v>
      </c>
      <c r="BN2652">
        <v>1</v>
      </c>
      <c r="BO2652">
        <v>1</v>
      </c>
      <c r="BP2652">
        <v>1</v>
      </c>
      <c r="BQ2652">
        <v>0</v>
      </c>
      <c r="BT2652">
        <v>0</v>
      </c>
      <c r="BU2652">
        <v>0</v>
      </c>
      <c r="BV2652">
        <v>0</v>
      </c>
      <c r="CC2652" t="str">
        <f>"19:19:04.805"</f>
        <v>19:19:04.805</v>
      </c>
      <c r="CD2652" t="str">
        <f>"806495905"</f>
        <v>806495905</v>
      </c>
      <c r="CQ2652">
        <v>0</v>
      </c>
      <c r="CR2652">
        <v>2</v>
      </c>
      <c r="CS2652">
        <v>0</v>
      </c>
      <c r="CT2652">
        <v>2</v>
      </c>
      <c r="CU2652">
        <v>0</v>
      </c>
      <c r="CV2652">
        <v>7</v>
      </c>
      <c r="CW2652" t="s">
        <v>120</v>
      </c>
      <c r="CX2652">
        <v>261</v>
      </c>
      <c r="CY2652">
        <v>2</v>
      </c>
      <c r="CZ2652" t="s">
        <v>121</v>
      </c>
      <c r="DA2652" t="s">
        <v>122</v>
      </c>
      <c r="DD2652">
        <v>15903550</v>
      </c>
      <c r="DE2652" t="s">
        <v>123</v>
      </c>
    </row>
    <row r="2653" spans="1:109" x14ac:dyDescent="0.3">
      <c r="A2653" t="str">
        <f>"19:19:06.203"</f>
        <v>19:19:06.203</v>
      </c>
      <c r="B2653" t="s">
        <v>110</v>
      </c>
      <c r="C2653" t="str">
        <f t="shared" si="123"/>
        <v>ffdfd3c0</v>
      </c>
      <c r="D2653" t="s">
        <v>111</v>
      </c>
      <c r="E2653">
        <v>18</v>
      </c>
      <c r="F2653">
        <v>1018</v>
      </c>
      <c r="G2653" t="s">
        <v>112</v>
      </c>
      <c r="J2653" t="s">
        <v>113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R2653" t="s">
        <v>114</v>
      </c>
      <c r="S2653" t="str">
        <f>"19:19:05.961"</f>
        <v>19:19:05.961</v>
      </c>
      <c r="T2653" t="str">
        <f>"19:19:05.758"</f>
        <v>19:19:05.758</v>
      </c>
      <c r="U2653" t="str">
        <f t="shared" si="124"/>
        <v>a1cdbe</v>
      </c>
      <c r="V2653">
        <v>0</v>
      </c>
      <c r="W2653">
        <v>0</v>
      </c>
      <c r="X2653">
        <v>1</v>
      </c>
      <c r="Y2653">
        <v>0</v>
      </c>
      <c r="Z2653">
        <v>0</v>
      </c>
      <c r="AB2653">
        <v>0</v>
      </c>
      <c r="AC2653">
        <v>9</v>
      </c>
      <c r="AD2653">
        <v>3</v>
      </c>
      <c r="AE2653">
        <v>0</v>
      </c>
      <c r="AF2653">
        <v>9</v>
      </c>
      <c r="AG2653" t="s">
        <v>158</v>
      </c>
      <c r="AH2653">
        <v>0</v>
      </c>
      <c r="AI2653">
        <v>3</v>
      </c>
      <c r="AJ2653">
        <v>1</v>
      </c>
      <c r="AK2653">
        <v>0</v>
      </c>
      <c r="AL2653" t="s">
        <v>5001</v>
      </c>
      <c r="AM2653">
        <v>46.953957000000003</v>
      </c>
      <c r="AN2653" t="s">
        <v>5002</v>
      </c>
      <c r="AO2653">
        <v>-123.34475</v>
      </c>
      <c r="AP2653">
        <v>100</v>
      </c>
      <c r="AQ2653">
        <v>1900</v>
      </c>
      <c r="AR2653" t="s">
        <v>118</v>
      </c>
      <c r="AS2653">
        <v>-67</v>
      </c>
      <c r="AT2653">
        <v>37</v>
      </c>
      <c r="AU2653">
        <v>64</v>
      </c>
      <c r="BC2653">
        <v>1200</v>
      </c>
      <c r="BD2653">
        <v>1</v>
      </c>
      <c r="BE2653" t="str">
        <f t="shared" si="125"/>
        <v xml:space="preserve">N215T   </v>
      </c>
      <c r="BF2653">
        <v>1</v>
      </c>
      <c r="BH2653">
        <v>0</v>
      </c>
      <c r="BI2653">
        <v>0</v>
      </c>
      <c r="BJ2653">
        <v>0</v>
      </c>
      <c r="BK2653">
        <v>2300</v>
      </c>
      <c r="BL2653">
        <v>400</v>
      </c>
      <c r="BM2653" t="s">
        <v>119</v>
      </c>
      <c r="BN2653">
        <v>1</v>
      </c>
      <c r="BO2653">
        <v>1</v>
      </c>
      <c r="BP2653">
        <v>1</v>
      </c>
      <c r="BQ2653">
        <v>0</v>
      </c>
      <c r="BT2653">
        <v>0</v>
      </c>
      <c r="BU2653">
        <v>0</v>
      </c>
      <c r="BV2653">
        <v>0</v>
      </c>
      <c r="CC2653" t="str">
        <f>"19:19:05.961"</f>
        <v>19:19:05.961</v>
      </c>
      <c r="CD2653" t="str">
        <f>"961382143"</f>
        <v>961382143</v>
      </c>
      <c r="CQ2653">
        <v>0</v>
      </c>
      <c r="CR2653">
        <v>2</v>
      </c>
      <c r="CS2653">
        <v>0</v>
      </c>
      <c r="CT2653">
        <v>2</v>
      </c>
      <c r="CU2653">
        <v>0</v>
      </c>
      <c r="CV2653">
        <v>7</v>
      </c>
      <c r="CW2653" t="s">
        <v>120</v>
      </c>
      <c r="CX2653">
        <v>261</v>
      </c>
      <c r="CY2653">
        <v>2</v>
      </c>
      <c r="CZ2653" t="s">
        <v>121</v>
      </c>
      <c r="DA2653" t="s">
        <v>122</v>
      </c>
      <c r="DD2653">
        <v>15904377</v>
      </c>
      <c r="DE2653" t="s">
        <v>123</v>
      </c>
    </row>
    <row r="2654" spans="1:109" x14ac:dyDescent="0.3">
      <c r="A2654" t="str">
        <f>"19:19:07.055"</f>
        <v>19:19:07.055</v>
      </c>
      <c r="B2654" t="s">
        <v>110</v>
      </c>
      <c r="C2654" t="str">
        <f t="shared" si="123"/>
        <v>ffdfd3c0</v>
      </c>
      <c r="D2654" t="s">
        <v>111</v>
      </c>
      <c r="E2654">
        <v>18</v>
      </c>
      <c r="F2654">
        <v>1018</v>
      </c>
      <c r="G2654" t="s">
        <v>112</v>
      </c>
      <c r="J2654" t="s">
        <v>113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R2654" t="s">
        <v>114</v>
      </c>
      <c r="S2654" t="str">
        <f>"19:19:06.844"</f>
        <v>19:19:06.844</v>
      </c>
      <c r="T2654" t="str">
        <f>"19:19:06.742"</f>
        <v>19:19:06.742</v>
      </c>
      <c r="U2654" t="str">
        <f t="shared" si="124"/>
        <v>a1cdbe</v>
      </c>
      <c r="V2654">
        <v>0</v>
      </c>
      <c r="W2654">
        <v>0</v>
      </c>
      <c r="X2654">
        <v>1</v>
      </c>
      <c r="Y2654">
        <v>0</v>
      </c>
      <c r="Z2654">
        <v>0</v>
      </c>
      <c r="AB2654">
        <v>0</v>
      </c>
      <c r="AC2654">
        <v>9</v>
      </c>
      <c r="AD2654">
        <v>3</v>
      </c>
      <c r="AE2654">
        <v>0</v>
      </c>
      <c r="AF2654">
        <v>9</v>
      </c>
      <c r="AG2654" t="s">
        <v>158</v>
      </c>
      <c r="AH2654">
        <v>0</v>
      </c>
      <c r="AI2654">
        <v>3</v>
      </c>
      <c r="AJ2654">
        <v>1</v>
      </c>
      <c r="AK2654">
        <v>0</v>
      </c>
      <c r="AL2654" t="s">
        <v>5003</v>
      </c>
      <c r="AM2654">
        <v>46.954149999999998</v>
      </c>
      <c r="AN2654" t="s">
        <v>5004</v>
      </c>
      <c r="AO2654">
        <v>-123.345158</v>
      </c>
      <c r="AP2654">
        <v>100</v>
      </c>
      <c r="AQ2654">
        <v>1900</v>
      </c>
      <c r="AR2654" t="s">
        <v>118</v>
      </c>
      <c r="AS2654">
        <v>-67</v>
      </c>
      <c r="AT2654">
        <v>37</v>
      </c>
      <c r="AU2654">
        <v>64</v>
      </c>
      <c r="BC2654">
        <v>1200</v>
      </c>
      <c r="BD2654">
        <v>1</v>
      </c>
      <c r="BE2654" t="str">
        <f t="shared" si="125"/>
        <v xml:space="preserve">N215T   </v>
      </c>
      <c r="BF2654">
        <v>1</v>
      </c>
      <c r="BH2654">
        <v>0</v>
      </c>
      <c r="BI2654">
        <v>0</v>
      </c>
      <c r="BJ2654">
        <v>0</v>
      </c>
      <c r="BK2654">
        <v>2300</v>
      </c>
      <c r="BL2654">
        <v>400</v>
      </c>
      <c r="BM2654" t="s">
        <v>119</v>
      </c>
      <c r="BN2654">
        <v>1</v>
      </c>
      <c r="BO2654">
        <v>1</v>
      </c>
      <c r="BP2654">
        <v>1</v>
      </c>
      <c r="BQ2654">
        <v>0</v>
      </c>
      <c r="BT2654">
        <v>0</v>
      </c>
      <c r="BU2654">
        <v>0</v>
      </c>
      <c r="BV2654">
        <v>0</v>
      </c>
      <c r="CC2654" t="str">
        <f>"19:19:06.844"</f>
        <v>19:19:06.844</v>
      </c>
      <c r="CD2654" t="str">
        <f>"846277831"</f>
        <v>846277831</v>
      </c>
      <c r="CQ2654">
        <v>0</v>
      </c>
      <c r="CR2654">
        <v>2</v>
      </c>
      <c r="CS2654">
        <v>0</v>
      </c>
      <c r="CT2654">
        <v>2</v>
      </c>
      <c r="CU2654">
        <v>0</v>
      </c>
      <c r="CV2654">
        <v>6</v>
      </c>
      <c r="CW2654" t="s">
        <v>120</v>
      </c>
      <c r="CX2654">
        <v>257</v>
      </c>
      <c r="CY2654">
        <v>0</v>
      </c>
      <c r="CZ2654" t="s">
        <v>615</v>
      </c>
      <c r="DA2654" t="s">
        <v>616</v>
      </c>
      <c r="DD2654">
        <v>16025199</v>
      </c>
      <c r="DE2654" t="s">
        <v>123</v>
      </c>
    </row>
    <row r="2655" spans="1:109" x14ac:dyDescent="0.3">
      <c r="A2655" t="str">
        <f>"19:19:08.063"</f>
        <v>19:19:08.063</v>
      </c>
      <c r="B2655" t="s">
        <v>110</v>
      </c>
      <c r="C2655" t="str">
        <f t="shared" si="123"/>
        <v>ffdfd3c0</v>
      </c>
      <c r="D2655" t="s">
        <v>111</v>
      </c>
      <c r="E2655">
        <v>18</v>
      </c>
      <c r="F2655">
        <v>1018</v>
      </c>
      <c r="G2655" t="s">
        <v>112</v>
      </c>
      <c r="J2655" t="s">
        <v>113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R2655" t="s">
        <v>114</v>
      </c>
      <c r="S2655" t="str">
        <f>"19:19:07.844"</f>
        <v>19:19:07.844</v>
      </c>
      <c r="T2655" t="str">
        <f>"19:19:07.641"</f>
        <v>19:19:07.641</v>
      </c>
      <c r="U2655" t="str">
        <f t="shared" si="124"/>
        <v>a1cdbe</v>
      </c>
      <c r="V2655">
        <v>0</v>
      </c>
      <c r="W2655">
        <v>0</v>
      </c>
      <c r="X2655">
        <v>1</v>
      </c>
      <c r="Y2655">
        <v>0</v>
      </c>
      <c r="Z2655">
        <v>0</v>
      </c>
      <c r="AB2655">
        <v>0</v>
      </c>
      <c r="AC2655">
        <v>9</v>
      </c>
      <c r="AD2655">
        <v>3</v>
      </c>
      <c r="AE2655">
        <v>0</v>
      </c>
      <c r="AF2655">
        <v>9</v>
      </c>
      <c r="AG2655" t="s">
        <v>158</v>
      </c>
      <c r="AH2655">
        <v>0</v>
      </c>
      <c r="AI2655">
        <v>3</v>
      </c>
      <c r="AJ2655">
        <v>1</v>
      </c>
      <c r="AK2655">
        <v>0</v>
      </c>
      <c r="AL2655" t="s">
        <v>5005</v>
      </c>
      <c r="AM2655">
        <v>46.954300000000003</v>
      </c>
      <c r="AN2655" t="s">
        <v>5006</v>
      </c>
      <c r="AO2655">
        <v>-123.345609</v>
      </c>
      <c r="AP2655">
        <v>100</v>
      </c>
      <c r="AQ2655">
        <v>1900</v>
      </c>
      <c r="AR2655" t="s">
        <v>118</v>
      </c>
      <c r="AS2655">
        <v>-67</v>
      </c>
      <c r="AT2655">
        <v>37</v>
      </c>
      <c r="AU2655">
        <v>64</v>
      </c>
      <c r="BC2655">
        <v>1200</v>
      </c>
      <c r="BD2655">
        <v>1</v>
      </c>
      <c r="BE2655" t="str">
        <f t="shared" si="125"/>
        <v xml:space="preserve">N215T   </v>
      </c>
      <c r="BF2655">
        <v>1</v>
      </c>
      <c r="BH2655">
        <v>0</v>
      </c>
      <c r="BI2655">
        <v>0</v>
      </c>
      <c r="BJ2655">
        <v>0</v>
      </c>
      <c r="BK2655">
        <v>2300</v>
      </c>
      <c r="BL2655">
        <v>400</v>
      </c>
      <c r="BM2655" t="s">
        <v>119</v>
      </c>
      <c r="BN2655">
        <v>1</v>
      </c>
      <c r="BO2655">
        <v>1</v>
      </c>
      <c r="BP2655">
        <v>1</v>
      </c>
      <c r="BQ2655">
        <v>0</v>
      </c>
      <c r="BT2655">
        <v>0</v>
      </c>
      <c r="BU2655">
        <v>0</v>
      </c>
      <c r="BV2655">
        <v>0</v>
      </c>
      <c r="CC2655" t="str">
        <f>"19:19:07.852"</f>
        <v>19:19:07.852</v>
      </c>
      <c r="CD2655" t="str">
        <f>"851195994"</f>
        <v>851195994</v>
      </c>
      <c r="CQ2655">
        <v>0</v>
      </c>
      <c r="CR2655">
        <v>2</v>
      </c>
      <c r="CS2655">
        <v>0</v>
      </c>
      <c r="CT2655">
        <v>2</v>
      </c>
      <c r="CU2655">
        <v>0</v>
      </c>
      <c r="CV2655">
        <v>7</v>
      </c>
      <c r="CW2655" t="s">
        <v>120</v>
      </c>
      <c r="CX2655">
        <v>261</v>
      </c>
      <c r="CY2655">
        <v>2</v>
      </c>
      <c r="CZ2655" t="s">
        <v>121</v>
      </c>
      <c r="DA2655" t="s">
        <v>122</v>
      </c>
      <c r="DD2655">
        <v>15905610</v>
      </c>
      <c r="DE2655" t="s">
        <v>123</v>
      </c>
    </row>
    <row r="2656" spans="1:109" x14ac:dyDescent="0.3">
      <c r="A2656" t="str">
        <f>"19:19:09.023"</f>
        <v>19:19:09.023</v>
      </c>
      <c r="B2656" t="s">
        <v>110</v>
      </c>
      <c r="C2656" t="str">
        <f t="shared" si="123"/>
        <v>ffdfd3c0</v>
      </c>
      <c r="D2656" t="s">
        <v>111</v>
      </c>
      <c r="E2656">
        <v>18</v>
      </c>
      <c r="F2656">
        <v>1018</v>
      </c>
      <c r="G2656" t="s">
        <v>112</v>
      </c>
      <c r="J2656" t="s">
        <v>113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R2656" t="s">
        <v>114</v>
      </c>
      <c r="S2656" t="str">
        <f>"19:19:08.750"</f>
        <v>19:19:08.750</v>
      </c>
      <c r="T2656" t="str">
        <f>"19:19:08.750"</f>
        <v>19:19:08.750</v>
      </c>
      <c r="U2656" t="str">
        <f t="shared" si="124"/>
        <v>a1cdbe</v>
      </c>
      <c r="V2656">
        <v>0</v>
      </c>
      <c r="W2656">
        <v>0</v>
      </c>
      <c r="X2656">
        <v>1</v>
      </c>
      <c r="Y2656">
        <v>0</v>
      </c>
      <c r="Z2656">
        <v>0</v>
      </c>
      <c r="AB2656">
        <v>0</v>
      </c>
      <c r="AC2656">
        <v>9</v>
      </c>
      <c r="AD2656">
        <v>3</v>
      </c>
      <c r="AE2656">
        <v>0</v>
      </c>
      <c r="AF2656">
        <v>9</v>
      </c>
      <c r="AG2656" t="s">
        <v>158</v>
      </c>
      <c r="AH2656">
        <v>0</v>
      </c>
      <c r="AI2656">
        <v>3</v>
      </c>
      <c r="AJ2656">
        <v>1</v>
      </c>
      <c r="AK2656">
        <v>0</v>
      </c>
      <c r="AL2656" t="s">
        <v>1081</v>
      </c>
      <c r="AM2656">
        <v>46.954472000000003</v>
      </c>
      <c r="AN2656" t="s">
        <v>5007</v>
      </c>
      <c r="AO2656">
        <v>-123.345973</v>
      </c>
      <c r="AP2656">
        <v>100</v>
      </c>
      <c r="AQ2656">
        <v>1900</v>
      </c>
      <c r="AR2656" t="s">
        <v>118</v>
      </c>
      <c r="AS2656">
        <v>-67</v>
      </c>
      <c r="AT2656">
        <v>37</v>
      </c>
      <c r="AU2656">
        <v>64</v>
      </c>
      <c r="BC2656">
        <v>1200</v>
      </c>
      <c r="BD2656">
        <v>1</v>
      </c>
      <c r="BE2656" t="str">
        <f t="shared" si="125"/>
        <v xml:space="preserve">N215T   </v>
      </c>
      <c r="BF2656">
        <v>1</v>
      </c>
      <c r="BH2656">
        <v>0</v>
      </c>
      <c r="BI2656">
        <v>0</v>
      </c>
      <c r="BJ2656">
        <v>0</v>
      </c>
      <c r="BK2656">
        <v>2300</v>
      </c>
      <c r="BL2656">
        <v>400</v>
      </c>
      <c r="BM2656" t="s">
        <v>119</v>
      </c>
      <c r="BN2656">
        <v>1</v>
      </c>
      <c r="BO2656">
        <v>1</v>
      </c>
      <c r="BP2656">
        <v>1</v>
      </c>
      <c r="BQ2656">
        <v>0</v>
      </c>
      <c r="BT2656">
        <v>0</v>
      </c>
      <c r="BU2656">
        <v>0</v>
      </c>
      <c r="BV2656">
        <v>0</v>
      </c>
      <c r="CC2656" t="str">
        <f>"19:19:08.750"</f>
        <v>19:19:08.750</v>
      </c>
      <c r="CD2656" t="str">
        <f>"751107354"</f>
        <v>751107354</v>
      </c>
      <c r="CQ2656">
        <v>0</v>
      </c>
      <c r="CR2656">
        <v>2</v>
      </c>
      <c r="CS2656">
        <v>0</v>
      </c>
      <c r="CT2656">
        <v>2</v>
      </c>
      <c r="CU2656">
        <v>0</v>
      </c>
      <c r="CV2656">
        <v>7</v>
      </c>
      <c r="CW2656" t="s">
        <v>120</v>
      </c>
      <c r="CX2656">
        <v>261</v>
      </c>
      <c r="CY2656">
        <v>2</v>
      </c>
      <c r="CZ2656" t="s">
        <v>121</v>
      </c>
      <c r="DA2656" t="s">
        <v>122</v>
      </c>
      <c r="DD2656">
        <v>15906231</v>
      </c>
      <c r="DE2656" t="s">
        <v>123</v>
      </c>
    </row>
    <row r="2657" spans="1:109" x14ac:dyDescent="0.3">
      <c r="A2657" t="str">
        <f>"19:19:10.023"</f>
        <v>19:19:10.023</v>
      </c>
      <c r="B2657" t="s">
        <v>110</v>
      </c>
      <c r="C2657" t="str">
        <f t="shared" si="123"/>
        <v>ffdfd3c0</v>
      </c>
      <c r="D2657" t="s">
        <v>111</v>
      </c>
      <c r="E2657">
        <v>18</v>
      </c>
      <c r="F2657">
        <v>1018</v>
      </c>
      <c r="G2657" t="s">
        <v>112</v>
      </c>
      <c r="J2657" t="s">
        <v>113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R2657" t="s">
        <v>114</v>
      </c>
      <c r="S2657" t="str">
        <f>"19:19:09.781"</f>
        <v>19:19:09.781</v>
      </c>
      <c r="T2657" t="str">
        <f>"19:19:09.781"</f>
        <v>19:19:09.781</v>
      </c>
      <c r="U2657" t="str">
        <f t="shared" si="124"/>
        <v>a1cdbe</v>
      </c>
      <c r="V2657">
        <v>0</v>
      </c>
      <c r="W2657">
        <v>0</v>
      </c>
      <c r="X2657">
        <v>1</v>
      </c>
      <c r="Y2657">
        <v>0</v>
      </c>
      <c r="Z2657">
        <v>0</v>
      </c>
      <c r="AB2657">
        <v>0</v>
      </c>
      <c r="AC2657">
        <v>9</v>
      </c>
      <c r="AD2657">
        <v>3</v>
      </c>
      <c r="AE2657">
        <v>0</v>
      </c>
      <c r="AF2657">
        <v>9</v>
      </c>
      <c r="AG2657" t="s">
        <v>158</v>
      </c>
      <c r="AH2657">
        <v>0</v>
      </c>
      <c r="AI2657">
        <v>3</v>
      </c>
      <c r="AJ2657">
        <v>1</v>
      </c>
      <c r="AK2657">
        <v>0</v>
      </c>
      <c r="AL2657" t="s">
        <v>5008</v>
      </c>
      <c r="AM2657">
        <v>46.954644000000002</v>
      </c>
      <c r="AN2657" t="s">
        <v>5009</v>
      </c>
      <c r="AO2657">
        <v>-123.346467</v>
      </c>
      <c r="AP2657">
        <v>100</v>
      </c>
      <c r="AQ2657">
        <v>1900</v>
      </c>
      <c r="AR2657" t="s">
        <v>118</v>
      </c>
      <c r="AS2657">
        <v>-67</v>
      </c>
      <c r="AT2657">
        <v>37</v>
      </c>
      <c r="AU2657">
        <v>64</v>
      </c>
      <c r="BC2657">
        <v>1200</v>
      </c>
      <c r="BD2657">
        <v>1</v>
      </c>
      <c r="BE2657" t="str">
        <f t="shared" si="125"/>
        <v xml:space="preserve">N215T   </v>
      </c>
      <c r="BF2657">
        <v>1</v>
      </c>
      <c r="BH2657">
        <v>0</v>
      </c>
      <c r="BI2657">
        <v>0</v>
      </c>
      <c r="BJ2657">
        <v>0</v>
      </c>
      <c r="BK2657">
        <v>2300</v>
      </c>
      <c r="BL2657">
        <v>400</v>
      </c>
      <c r="BM2657" t="s">
        <v>119</v>
      </c>
      <c r="BN2657">
        <v>1</v>
      </c>
      <c r="BO2657">
        <v>1</v>
      </c>
      <c r="BP2657">
        <v>1</v>
      </c>
      <c r="BQ2657">
        <v>0</v>
      </c>
      <c r="BT2657">
        <v>0</v>
      </c>
      <c r="BU2657">
        <v>0</v>
      </c>
      <c r="BV2657">
        <v>0</v>
      </c>
      <c r="CC2657" t="str">
        <f>"19:19:09.789"</f>
        <v>19:19:09.789</v>
      </c>
      <c r="CD2657" t="str">
        <f>"786005414"</f>
        <v>786005414</v>
      </c>
      <c r="CQ2657">
        <v>0</v>
      </c>
      <c r="CR2657">
        <v>2</v>
      </c>
      <c r="CS2657">
        <v>0</v>
      </c>
      <c r="CT2657">
        <v>2</v>
      </c>
      <c r="CU2657">
        <v>0</v>
      </c>
      <c r="CV2657">
        <v>6</v>
      </c>
      <c r="CW2657" t="s">
        <v>120</v>
      </c>
      <c r="CX2657">
        <v>261</v>
      </c>
      <c r="CY2657">
        <v>3</v>
      </c>
      <c r="CZ2657" t="s">
        <v>121</v>
      </c>
      <c r="DA2657" t="s">
        <v>122</v>
      </c>
      <c r="DD2657">
        <v>3829905</v>
      </c>
      <c r="DE2657" t="s">
        <v>123</v>
      </c>
    </row>
    <row r="2658" spans="1:109" x14ac:dyDescent="0.3">
      <c r="A2658" t="str">
        <f>"19:19:11.133"</f>
        <v>19:19:11.133</v>
      </c>
      <c r="B2658" t="s">
        <v>110</v>
      </c>
      <c r="C2658" t="str">
        <f t="shared" si="123"/>
        <v>ffdfd3c0</v>
      </c>
      <c r="D2658" t="s">
        <v>111</v>
      </c>
      <c r="E2658">
        <v>18</v>
      </c>
      <c r="F2658">
        <v>1018</v>
      </c>
      <c r="G2658" t="s">
        <v>112</v>
      </c>
      <c r="J2658" t="s">
        <v>113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R2658" t="s">
        <v>114</v>
      </c>
      <c r="S2658" t="str">
        <f>"19:19:10.891"</f>
        <v>19:19:10.891</v>
      </c>
      <c r="T2658" t="str">
        <f>"19:19:10.789"</f>
        <v>19:19:10.789</v>
      </c>
      <c r="U2658" t="str">
        <f t="shared" si="124"/>
        <v>a1cdbe</v>
      </c>
      <c r="V2658">
        <v>0</v>
      </c>
      <c r="W2658">
        <v>0</v>
      </c>
      <c r="X2658">
        <v>1</v>
      </c>
      <c r="Y2658">
        <v>0</v>
      </c>
      <c r="Z2658">
        <v>0</v>
      </c>
      <c r="AB2658">
        <v>0</v>
      </c>
      <c r="AC2658">
        <v>9</v>
      </c>
      <c r="AD2658">
        <v>3</v>
      </c>
      <c r="AE2658">
        <v>0</v>
      </c>
      <c r="AF2658">
        <v>9</v>
      </c>
      <c r="AG2658" t="s">
        <v>158</v>
      </c>
      <c r="AH2658">
        <v>0</v>
      </c>
      <c r="AI2658">
        <v>3</v>
      </c>
      <c r="AJ2658">
        <v>1</v>
      </c>
      <c r="AK2658">
        <v>0</v>
      </c>
      <c r="AL2658" t="s">
        <v>5010</v>
      </c>
      <c r="AM2658">
        <v>46.954836999999998</v>
      </c>
      <c r="AN2658" t="s">
        <v>5011</v>
      </c>
      <c r="AO2658">
        <v>-123.347003</v>
      </c>
      <c r="AP2658">
        <v>100</v>
      </c>
      <c r="AQ2658">
        <v>1900</v>
      </c>
      <c r="AR2658" t="s">
        <v>118</v>
      </c>
      <c r="AS2658">
        <v>-66</v>
      </c>
      <c r="AT2658">
        <v>37</v>
      </c>
      <c r="AU2658">
        <v>128</v>
      </c>
      <c r="BC2658">
        <v>1200</v>
      </c>
      <c r="BD2658">
        <v>1</v>
      </c>
      <c r="BE2658" t="str">
        <f t="shared" si="125"/>
        <v xml:space="preserve">N215T   </v>
      </c>
      <c r="BF2658">
        <v>1</v>
      </c>
      <c r="BH2658">
        <v>0</v>
      </c>
      <c r="BI2658">
        <v>0</v>
      </c>
      <c r="BJ2658">
        <v>0</v>
      </c>
      <c r="BK2658">
        <v>2325</v>
      </c>
      <c r="BL2658">
        <v>425</v>
      </c>
      <c r="BM2658" t="s">
        <v>119</v>
      </c>
      <c r="BN2658">
        <v>1</v>
      </c>
      <c r="BO2658">
        <v>1</v>
      </c>
      <c r="BP2658">
        <v>1</v>
      </c>
      <c r="BQ2658">
        <v>0</v>
      </c>
      <c r="BT2658">
        <v>0</v>
      </c>
      <c r="BU2658">
        <v>0</v>
      </c>
      <c r="BV2658">
        <v>0</v>
      </c>
      <c r="CC2658" t="str">
        <f>"19:19:10.898"</f>
        <v>19:19:10.898</v>
      </c>
      <c r="CD2658" t="str">
        <f>"895896088"</f>
        <v>895896088</v>
      </c>
      <c r="CQ2658">
        <v>0</v>
      </c>
      <c r="CR2658">
        <v>2</v>
      </c>
      <c r="CS2658">
        <v>0</v>
      </c>
      <c r="CT2658">
        <v>2</v>
      </c>
      <c r="CU2658">
        <v>0</v>
      </c>
      <c r="CV2658">
        <v>6</v>
      </c>
      <c r="CW2658" t="s">
        <v>120</v>
      </c>
      <c r="CX2658">
        <v>261</v>
      </c>
      <c r="CY2658">
        <v>2</v>
      </c>
      <c r="CZ2658" t="s">
        <v>121</v>
      </c>
      <c r="DA2658" t="s">
        <v>122</v>
      </c>
      <c r="DD2658">
        <v>15907658</v>
      </c>
      <c r="DE2658" t="s">
        <v>123</v>
      </c>
    </row>
    <row r="2659" spans="1:109" x14ac:dyDescent="0.3">
      <c r="A2659" t="str">
        <f>"19:19:12.141"</f>
        <v>19:19:12.141</v>
      </c>
      <c r="B2659" t="s">
        <v>110</v>
      </c>
      <c r="C2659" t="str">
        <f t="shared" si="123"/>
        <v>ffdfd3c0</v>
      </c>
      <c r="D2659" t="s">
        <v>111</v>
      </c>
      <c r="E2659">
        <v>18</v>
      </c>
      <c r="F2659">
        <v>1018</v>
      </c>
      <c r="G2659" t="s">
        <v>112</v>
      </c>
      <c r="J2659" t="s">
        <v>113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R2659" t="s">
        <v>114</v>
      </c>
      <c r="S2659" t="str">
        <f>"19:19:11.883"</f>
        <v>19:19:11.883</v>
      </c>
      <c r="T2659" t="str">
        <f>"19:19:11.883"</f>
        <v>19:19:11.883</v>
      </c>
      <c r="U2659" t="str">
        <f t="shared" si="124"/>
        <v>a1cdbe</v>
      </c>
      <c r="V2659">
        <v>0</v>
      </c>
      <c r="W2659">
        <v>0</v>
      </c>
      <c r="X2659">
        <v>1</v>
      </c>
      <c r="Y2659">
        <v>0</v>
      </c>
      <c r="Z2659">
        <v>0</v>
      </c>
      <c r="AB2659">
        <v>0</v>
      </c>
      <c r="AC2659">
        <v>9</v>
      </c>
      <c r="AD2659">
        <v>3</v>
      </c>
      <c r="AE2659">
        <v>0</v>
      </c>
      <c r="AF2659">
        <v>9</v>
      </c>
      <c r="AG2659" t="s">
        <v>158</v>
      </c>
      <c r="AH2659">
        <v>0</v>
      </c>
      <c r="AI2659">
        <v>3</v>
      </c>
      <c r="AJ2659">
        <v>1</v>
      </c>
      <c r="AK2659">
        <v>0</v>
      </c>
      <c r="AL2659" t="s">
        <v>5012</v>
      </c>
      <c r="AM2659">
        <v>46.955008999999997</v>
      </c>
      <c r="AN2659" t="s">
        <v>5013</v>
      </c>
      <c r="AO2659">
        <v>-123.347454</v>
      </c>
      <c r="AP2659">
        <v>100</v>
      </c>
      <c r="AQ2659">
        <v>1900</v>
      </c>
      <c r="AR2659" t="s">
        <v>118</v>
      </c>
      <c r="AS2659">
        <v>-66</v>
      </c>
      <c r="AT2659">
        <v>37</v>
      </c>
      <c r="AU2659">
        <v>128</v>
      </c>
      <c r="BC2659">
        <v>1200</v>
      </c>
      <c r="BD2659">
        <v>1</v>
      </c>
      <c r="BE2659" t="str">
        <f t="shared" si="125"/>
        <v xml:space="preserve">N215T   </v>
      </c>
      <c r="BF2659">
        <v>1</v>
      </c>
      <c r="BH2659">
        <v>0</v>
      </c>
      <c r="BI2659">
        <v>0</v>
      </c>
      <c r="BJ2659">
        <v>0</v>
      </c>
      <c r="BK2659">
        <v>2325</v>
      </c>
      <c r="BL2659">
        <v>425</v>
      </c>
      <c r="BM2659" t="s">
        <v>119</v>
      </c>
      <c r="BN2659">
        <v>1</v>
      </c>
      <c r="BO2659">
        <v>1</v>
      </c>
      <c r="BP2659">
        <v>1</v>
      </c>
      <c r="BQ2659">
        <v>0</v>
      </c>
      <c r="BT2659">
        <v>0</v>
      </c>
      <c r="BU2659">
        <v>0</v>
      </c>
      <c r="BV2659">
        <v>0</v>
      </c>
      <c r="CC2659" t="str">
        <f>"19:19:11.883"</f>
        <v>19:19:11.883</v>
      </c>
      <c r="CD2659" t="str">
        <f>"885781334"</f>
        <v>885781334</v>
      </c>
      <c r="CQ2659">
        <v>0</v>
      </c>
      <c r="CR2659">
        <v>2</v>
      </c>
      <c r="CS2659">
        <v>0</v>
      </c>
      <c r="CT2659">
        <v>2</v>
      </c>
      <c r="CU2659">
        <v>0</v>
      </c>
      <c r="CV2659">
        <v>6</v>
      </c>
      <c r="CW2659" t="s">
        <v>120</v>
      </c>
      <c r="CX2659">
        <v>257</v>
      </c>
      <c r="CY2659">
        <v>0</v>
      </c>
      <c r="CZ2659" t="s">
        <v>615</v>
      </c>
      <c r="DA2659" t="s">
        <v>616</v>
      </c>
      <c r="DD2659">
        <v>16028004</v>
      </c>
      <c r="DE2659" t="s">
        <v>123</v>
      </c>
    </row>
    <row r="2660" spans="1:109" x14ac:dyDescent="0.3">
      <c r="A2660" t="str">
        <f>"19:19:13.242"</f>
        <v>19:19:13.242</v>
      </c>
      <c r="B2660" t="s">
        <v>110</v>
      </c>
      <c r="C2660" t="str">
        <f t="shared" si="123"/>
        <v>ffdfd3c0</v>
      </c>
      <c r="D2660" t="s">
        <v>111</v>
      </c>
      <c r="E2660">
        <v>18</v>
      </c>
      <c r="F2660">
        <v>1018</v>
      </c>
      <c r="G2660" t="s">
        <v>112</v>
      </c>
      <c r="J2660" t="s">
        <v>113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R2660" t="s">
        <v>114</v>
      </c>
      <c r="S2660" t="str">
        <f>"19:19:13.008"</f>
        <v>19:19:13.008</v>
      </c>
      <c r="T2660" t="str">
        <f>"19:19:12.805"</f>
        <v>19:19:12.805</v>
      </c>
      <c r="U2660" t="str">
        <f t="shared" si="124"/>
        <v>a1cdbe</v>
      </c>
      <c r="V2660">
        <v>0</v>
      </c>
      <c r="W2660">
        <v>0</v>
      </c>
      <c r="X2660">
        <v>1</v>
      </c>
      <c r="Y2660">
        <v>0</v>
      </c>
      <c r="Z2660">
        <v>0</v>
      </c>
      <c r="AB2660">
        <v>0</v>
      </c>
      <c r="AC2660">
        <v>9</v>
      </c>
      <c r="AD2660">
        <v>3</v>
      </c>
      <c r="AE2660">
        <v>0</v>
      </c>
      <c r="AF2660">
        <v>9</v>
      </c>
      <c r="AG2660" t="s">
        <v>158</v>
      </c>
      <c r="AH2660">
        <v>0</v>
      </c>
      <c r="AI2660">
        <v>3</v>
      </c>
      <c r="AJ2660">
        <v>1</v>
      </c>
      <c r="AK2660">
        <v>0</v>
      </c>
      <c r="AL2660" t="s">
        <v>5014</v>
      </c>
      <c r="AM2660">
        <v>46.955202</v>
      </c>
      <c r="AN2660" t="s">
        <v>5015</v>
      </c>
      <c r="AO2660">
        <v>-123.347948</v>
      </c>
      <c r="AP2660">
        <v>100</v>
      </c>
      <c r="AQ2660">
        <v>1900</v>
      </c>
      <c r="AR2660" t="s">
        <v>118</v>
      </c>
      <c r="AS2660">
        <v>-66</v>
      </c>
      <c r="AT2660">
        <v>37</v>
      </c>
      <c r="AU2660">
        <v>128</v>
      </c>
      <c r="BC2660">
        <v>1200</v>
      </c>
      <c r="BD2660">
        <v>1</v>
      </c>
      <c r="BE2660" t="str">
        <f t="shared" si="125"/>
        <v xml:space="preserve">N215T   </v>
      </c>
      <c r="BF2660">
        <v>1</v>
      </c>
      <c r="BH2660">
        <v>0</v>
      </c>
      <c r="BI2660">
        <v>0</v>
      </c>
      <c r="BJ2660">
        <v>0</v>
      </c>
      <c r="BK2660">
        <v>2325</v>
      </c>
      <c r="BL2660">
        <v>425</v>
      </c>
      <c r="BM2660" t="s">
        <v>119</v>
      </c>
      <c r="BN2660">
        <v>1</v>
      </c>
      <c r="BO2660">
        <v>1</v>
      </c>
      <c r="BP2660">
        <v>1</v>
      </c>
      <c r="BQ2660">
        <v>0</v>
      </c>
      <c r="BT2660">
        <v>0</v>
      </c>
      <c r="BU2660">
        <v>0</v>
      </c>
      <c r="BV2660">
        <v>0</v>
      </c>
      <c r="CC2660" t="str">
        <f>"19:19:13.008"</f>
        <v>19:19:13.008</v>
      </c>
      <c r="CD2660" t="str">
        <f>"010687783"</f>
        <v>010687783</v>
      </c>
      <c r="CQ2660">
        <v>0</v>
      </c>
      <c r="CR2660">
        <v>2</v>
      </c>
      <c r="CS2660">
        <v>0</v>
      </c>
      <c r="CT2660">
        <v>2</v>
      </c>
      <c r="CU2660">
        <v>0</v>
      </c>
      <c r="CV2660">
        <v>6</v>
      </c>
      <c r="CW2660" t="s">
        <v>120</v>
      </c>
      <c r="CX2660">
        <v>261</v>
      </c>
      <c r="CY2660">
        <v>3</v>
      </c>
      <c r="CZ2660" t="s">
        <v>121</v>
      </c>
      <c r="DA2660" t="s">
        <v>122</v>
      </c>
      <c r="DD2660">
        <v>3830763</v>
      </c>
      <c r="DE2660" t="s">
        <v>123</v>
      </c>
    </row>
    <row r="2661" spans="1:109" x14ac:dyDescent="0.3">
      <c r="A2661" t="str">
        <f>"19:19:14.297"</f>
        <v>19:19:14.297</v>
      </c>
      <c r="B2661" t="s">
        <v>110</v>
      </c>
      <c r="C2661" t="str">
        <f t="shared" si="123"/>
        <v>ffdfd3c0</v>
      </c>
      <c r="D2661" t="s">
        <v>111</v>
      </c>
      <c r="E2661">
        <v>18</v>
      </c>
      <c r="F2661">
        <v>1018</v>
      </c>
      <c r="G2661" t="s">
        <v>112</v>
      </c>
      <c r="J2661" t="s">
        <v>113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R2661" t="s">
        <v>114</v>
      </c>
      <c r="S2661" t="str">
        <f>"19:19:14.102"</f>
        <v>19:19:14.102</v>
      </c>
      <c r="T2661" t="str">
        <f>"19:19:13.703"</f>
        <v>19:19:13.703</v>
      </c>
      <c r="U2661" t="str">
        <f t="shared" si="124"/>
        <v>a1cdbe</v>
      </c>
      <c r="V2661">
        <v>0</v>
      </c>
      <c r="W2661">
        <v>0</v>
      </c>
      <c r="X2661">
        <v>1</v>
      </c>
      <c r="Y2661">
        <v>0</v>
      </c>
      <c r="Z2661">
        <v>0</v>
      </c>
      <c r="AB2661">
        <v>0</v>
      </c>
      <c r="AC2661">
        <v>9</v>
      </c>
      <c r="AD2661">
        <v>3</v>
      </c>
      <c r="AE2661">
        <v>0</v>
      </c>
      <c r="AF2661">
        <v>9</v>
      </c>
      <c r="AG2661" t="s">
        <v>158</v>
      </c>
      <c r="AH2661">
        <v>0</v>
      </c>
      <c r="AI2661">
        <v>3</v>
      </c>
      <c r="AJ2661">
        <v>1</v>
      </c>
      <c r="AK2661">
        <v>0</v>
      </c>
      <c r="AL2661" t="s">
        <v>5016</v>
      </c>
      <c r="AM2661">
        <v>46.955373000000002</v>
      </c>
      <c r="AN2661" t="s">
        <v>5017</v>
      </c>
      <c r="AO2661">
        <v>-123.34844099999999</v>
      </c>
      <c r="AP2661">
        <v>100</v>
      </c>
      <c r="AQ2661">
        <v>1900</v>
      </c>
      <c r="AR2661" t="s">
        <v>118</v>
      </c>
      <c r="AS2661">
        <v>-66</v>
      </c>
      <c r="AT2661">
        <v>37</v>
      </c>
      <c r="AU2661">
        <v>128</v>
      </c>
      <c r="BC2661">
        <v>1200</v>
      </c>
      <c r="BD2661">
        <v>1</v>
      </c>
      <c r="BE2661" t="str">
        <f t="shared" si="125"/>
        <v xml:space="preserve">N215T   </v>
      </c>
      <c r="BF2661">
        <v>1</v>
      </c>
      <c r="BH2661">
        <v>0</v>
      </c>
      <c r="BI2661">
        <v>0</v>
      </c>
      <c r="BJ2661">
        <v>0</v>
      </c>
      <c r="BK2661">
        <v>2325</v>
      </c>
      <c r="BL2661">
        <v>425</v>
      </c>
      <c r="BM2661" t="s">
        <v>119</v>
      </c>
      <c r="BN2661">
        <v>1</v>
      </c>
      <c r="BO2661">
        <v>1</v>
      </c>
      <c r="BP2661">
        <v>1</v>
      </c>
      <c r="BQ2661">
        <v>0</v>
      </c>
      <c r="BT2661">
        <v>0</v>
      </c>
      <c r="BU2661">
        <v>0</v>
      </c>
      <c r="BV2661">
        <v>0</v>
      </c>
      <c r="CC2661" t="str">
        <f>"19:19:14.109"</f>
        <v>19:19:14.109</v>
      </c>
      <c r="CD2661" t="str">
        <f>"105562645"</f>
        <v>105562645</v>
      </c>
      <c r="CQ2661">
        <v>0</v>
      </c>
      <c r="CR2661">
        <v>2</v>
      </c>
      <c r="CS2661">
        <v>0</v>
      </c>
      <c r="CT2661">
        <v>2</v>
      </c>
      <c r="CU2661">
        <v>0</v>
      </c>
      <c r="CV2661">
        <v>6</v>
      </c>
      <c r="CW2661" t="s">
        <v>120</v>
      </c>
      <c r="CX2661">
        <v>257</v>
      </c>
      <c r="CY2661">
        <v>0</v>
      </c>
      <c r="CZ2661" t="s">
        <v>615</v>
      </c>
      <c r="DA2661" t="s">
        <v>616</v>
      </c>
      <c r="DD2661">
        <v>16029219</v>
      </c>
      <c r="DE2661" t="s">
        <v>123</v>
      </c>
    </row>
    <row r="2662" spans="1:109" x14ac:dyDescent="0.3">
      <c r="A2662" t="str">
        <f>"19:19:15.250"</f>
        <v>19:19:15.250</v>
      </c>
      <c r="B2662" t="s">
        <v>110</v>
      </c>
      <c r="C2662" t="str">
        <f t="shared" si="123"/>
        <v>ffdfd3c0</v>
      </c>
      <c r="D2662" t="s">
        <v>111</v>
      </c>
      <c r="E2662">
        <v>18</v>
      </c>
      <c r="F2662">
        <v>1018</v>
      </c>
      <c r="G2662" t="s">
        <v>112</v>
      </c>
      <c r="J2662" t="s">
        <v>113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R2662" t="s">
        <v>114</v>
      </c>
      <c r="S2662" t="str">
        <f>"19:19:15.016"</f>
        <v>19:19:15.016</v>
      </c>
      <c r="T2662" t="str">
        <f>"19:19:14.719"</f>
        <v>19:19:14.719</v>
      </c>
      <c r="U2662" t="str">
        <f t="shared" si="124"/>
        <v>a1cdbe</v>
      </c>
      <c r="V2662">
        <v>0</v>
      </c>
      <c r="W2662">
        <v>0</v>
      </c>
      <c r="X2662">
        <v>1</v>
      </c>
      <c r="Y2662">
        <v>0</v>
      </c>
      <c r="Z2662">
        <v>0</v>
      </c>
      <c r="AB2662">
        <v>0</v>
      </c>
      <c r="AC2662">
        <v>9</v>
      </c>
      <c r="AD2662">
        <v>3</v>
      </c>
      <c r="AE2662">
        <v>0</v>
      </c>
      <c r="AF2662">
        <v>9</v>
      </c>
      <c r="AG2662" t="s">
        <v>158</v>
      </c>
      <c r="AH2662">
        <v>0</v>
      </c>
      <c r="AI2662">
        <v>3</v>
      </c>
      <c r="AJ2662">
        <v>1</v>
      </c>
      <c r="AK2662">
        <v>0</v>
      </c>
      <c r="AL2662" t="s">
        <v>5018</v>
      </c>
      <c r="AM2662">
        <v>46.955522999999999</v>
      </c>
      <c r="AN2662" t="s">
        <v>5019</v>
      </c>
      <c r="AO2662">
        <v>-123.34878399999999</v>
      </c>
      <c r="AP2662">
        <v>100</v>
      </c>
      <c r="AQ2662">
        <v>1900</v>
      </c>
      <c r="AR2662" t="s">
        <v>118</v>
      </c>
      <c r="AS2662">
        <v>-66</v>
      </c>
      <c r="AT2662">
        <v>37</v>
      </c>
      <c r="AU2662">
        <v>128</v>
      </c>
      <c r="BC2662">
        <v>1200</v>
      </c>
      <c r="BD2662">
        <v>1</v>
      </c>
      <c r="BE2662" t="str">
        <f t="shared" si="125"/>
        <v xml:space="preserve">N215T   </v>
      </c>
      <c r="BF2662">
        <v>1</v>
      </c>
      <c r="BH2662">
        <v>0</v>
      </c>
      <c r="BI2662">
        <v>0</v>
      </c>
      <c r="BJ2662">
        <v>0</v>
      </c>
      <c r="BK2662">
        <v>2325</v>
      </c>
      <c r="BL2662">
        <v>425</v>
      </c>
      <c r="BM2662" t="s">
        <v>119</v>
      </c>
      <c r="BN2662">
        <v>1</v>
      </c>
      <c r="BO2662">
        <v>1</v>
      </c>
      <c r="BP2662">
        <v>1</v>
      </c>
      <c r="BQ2662">
        <v>0</v>
      </c>
      <c r="BT2662">
        <v>0</v>
      </c>
      <c r="BU2662">
        <v>0</v>
      </c>
      <c r="BV2662">
        <v>0</v>
      </c>
      <c r="CC2662" t="str">
        <f>"19:19:15.023"</f>
        <v>19:19:15.023</v>
      </c>
      <c r="CD2662" t="str">
        <f>"020489794"</f>
        <v>020489794</v>
      </c>
      <c r="CQ2662">
        <v>0</v>
      </c>
      <c r="CR2662">
        <v>2</v>
      </c>
      <c r="CS2662">
        <v>0</v>
      </c>
      <c r="CT2662">
        <v>2</v>
      </c>
      <c r="CU2662">
        <v>0</v>
      </c>
      <c r="CV2662">
        <v>7</v>
      </c>
      <c r="CW2662" t="s">
        <v>120</v>
      </c>
      <c r="CX2662">
        <v>261</v>
      </c>
      <c r="CY2662">
        <v>2</v>
      </c>
      <c r="CZ2662" t="s">
        <v>121</v>
      </c>
      <c r="DA2662" t="s">
        <v>122</v>
      </c>
      <c r="DD2662">
        <v>15910435</v>
      </c>
      <c r="DE2662" t="s">
        <v>123</v>
      </c>
    </row>
    <row r="2663" spans="1:109" x14ac:dyDescent="0.3">
      <c r="A2663" t="str">
        <f>"19:19:16.313"</f>
        <v>19:19:16.313</v>
      </c>
      <c r="B2663" t="s">
        <v>110</v>
      </c>
      <c r="C2663" t="str">
        <f t="shared" si="123"/>
        <v>ffdfd3c0</v>
      </c>
      <c r="D2663" t="s">
        <v>111</v>
      </c>
      <c r="E2663">
        <v>18</v>
      </c>
      <c r="F2663">
        <v>1018</v>
      </c>
      <c r="G2663" t="s">
        <v>112</v>
      </c>
      <c r="J2663" t="s">
        <v>113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R2663" t="s">
        <v>114</v>
      </c>
      <c r="S2663" t="str">
        <f>"19:19:16.070"</f>
        <v>19:19:16.070</v>
      </c>
      <c r="T2663" t="str">
        <f>"19:19:15.867"</f>
        <v>19:19:15.867</v>
      </c>
      <c r="U2663" t="str">
        <f t="shared" si="124"/>
        <v>a1cdbe</v>
      </c>
      <c r="V2663">
        <v>0</v>
      </c>
      <c r="W2663">
        <v>0</v>
      </c>
      <c r="X2663">
        <v>1</v>
      </c>
      <c r="Y2663">
        <v>0</v>
      </c>
      <c r="Z2663">
        <v>0</v>
      </c>
      <c r="AB2663">
        <v>0</v>
      </c>
      <c r="AC2663">
        <v>9</v>
      </c>
      <c r="AD2663">
        <v>3</v>
      </c>
      <c r="AE2663">
        <v>0</v>
      </c>
      <c r="AF2663">
        <v>9</v>
      </c>
      <c r="AG2663" t="s">
        <v>158</v>
      </c>
      <c r="AH2663">
        <v>0</v>
      </c>
      <c r="AI2663">
        <v>3</v>
      </c>
      <c r="AJ2663">
        <v>1</v>
      </c>
      <c r="AK2663">
        <v>0</v>
      </c>
      <c r="AL2663" t="s">
        <v>5020</v>
      </c>
      <c r="AM2663">
        <v>46.955694999999999</v>
      </c>
      <c r="AN2663" t="s">
        <v>5021</v>
      </c>
      <c r="AO2663">
        <v>-123.349278</v>
      </c>
      <c r="AP2663">
        <v>100</v>
      </c>
      <c r="AQ2663">
        <v>1900</v>
      </c>
      <c r="AR2663" t="s">
        <v>118</v>
      </c>
      <c r="AS2663">
        <v>-66</v>
      </c>
      <c r="AT2663">
        <v>37</v>
      </c>
      <c r="AU2663">
        <v>128</v>
      </c>
      <c r="BC2663">
        <v>1200</v>
      </c>
      <c r="BD2663">
        <v>1</v>
      </c>
      <c r="BE2663" t="str">
        <f t="shared" si="125"/>
        <v xml:space="preserve">N215T   </v>
      </c>
      <c r="BF2663">
        <v>1</v>
      </c>
      <c r="BH2663">
        <v>0</v>
      </c>
      <c r="BI2663">
        <v>0</v>
      </c>
      <c r="BJ2663">
        <v>0</v>
      </c>
      <c r="BK2663">
        <v>2325</v>
      </c>
      <c r="BL2663">
        <v>425</v>
      </c>
      <c r="BM2663" t="s">
        <v>119</v>
      </c>
      <c r="BN2663">
        <v>1</v>
      </c>
      <c r="BO2663">
        <v>1</v>
      </c>
      <c r="BP2663">
        <v>1</v>
      </c>
      <c r="BQ2663">
        <v>0</v>
      </c>
      <c r="BT2663">
        <v>0</v>
      </c>
      <c r="BU2663">
        <v>0</v>
      </c>
      <c r="BV2663">
        <v>0</v>
      </c>
      <c r="CC2663" t="str">
        <f>"19:19:16.070"</f>
        <v>19:19:16.070</v>
      </c>
      <c r="CD2663" t="str">
        <f>"070386379"</f>
        <v>070386379</v>
      </c>
      <c r="CQ2663">
        <v>0</v>
      </c>
      <c r="CR2663">
        <v>2</v>
      </c>
      <c r="CS2663">
        <v>0</v>
      </c>
      <c r="CT2663">
        <v>2</v>
      </c>
      <c r="CU2663">
        <v>0</v>
      </c>
      <c r="CV2663">
        <v>7</v>
      </c>
      <c r="CW2663" t="s">
        <v>120</v>
      </c>
      <c r="CX2663">
        <v>261</v>
      </c>
      <c r="CY2663">
        <v>2</v>
      </c>
      <c r="CZ2663" t="s">
        <v>121</v>
      </c>
      <c r="DA2663" t="s">
        <v>122</v>
      </c>
      <c r="DD2663">
        <v>15911154</v>
      </c>
      <c r="DE2663" t="s">
        <v>123</v>
      </c>
    </row>
    <row r="2664" spans="1:109" x14ac:dyDescent="0.3">
      <c r="A2664" t="str">
        <f>"19:19:17.164"</f>
        <v>19:19:17.164</v>
      </c>
      <c r="B2664" t="s">
        <v>110</v>
      </c>
      <c r="C2664" t="str">
        <f t="shared" si="123"/>
        <v>ffdfd3c0</v>
      </c>
      <c r="D2664" t="s">
        <v>111</v>
      </c>
      <c r="E2664">
        <v>18</v>
      </c>
      <c r="F2664">
        <v>1018</v>
      </c>
      <c r="G2664" t="s">
        <v>112</v>
      </c>
      <c r="J2664" t="s">
        <v>113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R2664" t="s">
        <v>114</v>
      </c>
      <c r="S2664" t="str">
        <f>"19:19:16.953"</f>
        <v>19:19:16.953</v>
      </c>
      <c r="T2664" t="str">
        <f>"19:19:16.953"</f>
        <v>19:19:16.953</v>
      </c>
      <c r="U2664" t="str">
        <f t="shared" si="124"/>
        <v>a1cdbe</v>
      </c>
      <c r="V2664">
        <v>0</v>
      </c>
      <c r="W2664">
        <v>0</v>
      </c>
      <c r="X2664">
        <v>1</v>
      </c>
      <c r="Y2664">
        <v>0</v>
      </c>
      <c r="Z2664">
        <v>0</v>
      </c>
      <c r="AB2664">
        <v>0</v>
      </c>
      <c r="AC2664">
        <v>9</v>
      </c>
      <c r="AD2664">
        <v>3</v>
      </c>
      <c r="AE2664">
        <v>0</v>
      </c>
      <c r="AF2664">
        <v>9</v>
      </c>
      <c r="AG2664" t="s">
        <v>158</v>
      </c>
      <c r="AH2664">
        <v>0</v>
      </c>
      <c r="AI2664">
        <v>3</v>
      </c>
      <c r="AJ2664">
        <v>1</v>
      </c>
      <c r="AK2664">
        <v>0</v>
      </c>
      <c r="AL2664" t="s">
        <v>5022</v>
      </c>
      <c r="AM2664">
        <v>46.955844999999997</v>
      </c>
      <c r="AN2664" t="s">
        <v>5023</v>
      </c>
      <c r="AO2664">
        <v>-123.349643</v>
      </c>
      <c r="AP2664">
        <v>100</v>
      </c>
      <c r="AQ2664">
        <v>1900</v>
      </c>
      <c r="AR2664" t="s">
        <v>118</v>
      </c>
      <c r="AS2664">
        <v>-66</v>
      </c>
      <c r="AT2664">
        <v>36</v>
      </c>
      <c r="AU2664">
        <v>64</v>
      </c>
      <c r="BC2664">
        <v>1200</v>
      </c>
      <c r="BD2664">
        <v>1</v>
      </c>
      <c r="BE2664" t="str">
        <f t="shared" si="125"/>
        <v xml:space="preserve">N215T   </v>
      </c>
      <c r="BF2664">
        <v>1</v>
      </c>
      <c r="BH2664">
        <v>0</v>
      </c>
      <c r="BI2664">
        <v>0</v>
      </c>
      <c r="BJ2664">
        <v>0</v>
      </c>
      <c r="BK2664">
        <v>2325</v>
      </c>
      <c r="BL2664">
        <v>425</v>
      </c>
      <c r="BM2664" t="s">
        <v>119</v>
      </c>
      <c r="BN2664">
        <v>1</v>
      </c>
      <c r="BO2664">
        <v>1</v>
      </c>
      <c r="BP2664">
        <v>1</v>
      </c>
      <c r="BQ2664">
        <v>0</v>
      </c>
      <c r="BT2664">
        <v>0</v>
      </c>
      <c r="BU2664">
        <v>0</v>
      </c>
      <c r="BV2664">
        <v>0</v>
      </c>
      <c r="CC2664" t="str">
        <f>"19:19:16.953"</f>
        <v>19:19:16.953</v>
      </c>
      <c r="CD2664" t="str">
        <f>"955299208"</f>
        <v>955299208</v>
      </c>
      <c r="CQ2664">
        <v>0</v>
      </c>
      <c r="CR2664">
        <v>2</v>
      </c>
      <c r="CS2664">
        <v>0</v>
      </c>
      <c r="CT2664">
        <v>2</v>
      </c>
      <c r="CU2664">
        <v>0</v>
      </c>
      <c r="CV2664">
        <v>6</v>
      </c>
      <c r="CW2664" t="s">
        <v>120</v>
      </c>
      <c r="CX2664">
        <v>261</v>
      </c>
      <c r="CY2664">
        <v>2</v>
      </c>
      <c r="CZ2664" t="s">
        <v>121</v>
      </c>
      <c r="DA2664" t="s">
        <v>122</v>
      </c>
      <c r="DD2664">
        <v>15911685</v>
      </c>
      <c r="DE2664" t="s">
        <v>123</v>
      </c>
    </row>
    <row r="2665" spans="1:109" x14ac:dyDescent="0.3">
      <c r="A2665" t="str">
        <f>"19:19:18.016"</f>
        <v>19:19:18.016</v>
      </c>
      <c r="B2665" t="s">
        <v>110</v>
      </c>
      <c r="C2665" t="str">
        <f t="shared" si="123"/>
        <v>ffdfd3c0</v>
      </c>
      <c r="D2665" t="s">
        <v>111</v>
      </c>
      <c r="E2665">
        <v>18</v>
      </c>
      <c r="F2665">
        <v>1018</v>
      </c>
      <c r="G2665" t="s">
        <v>112</v>
      </c>
      <c r="J2665" t="s">
        <v>113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R2665" t="s">
        <v>114</v>
      </c>
      <c r="S2665" t="str">
        <f>"19:19:17.789"</f>
        <v>19:19:17.789</v>
      </c>
      <c r="T2665" t="str">
        <f>"19:19:17.391"</f>
        <v>19:19:17.391</v>
      </c>
      <c r="U2665" t="str">
        <f t="shared" si="124"/>
        <v>a1cdbe</v>
      </c>
      <c r="V2665">
        <v>0</v>
      </c>
      <c r="W2665">
        <v>0</v>
      </c>
      <c r="X2665">
        <v>1</v>
      </c>
      <c r="Y2665">
        <v>0</v>
      </c>
      <c r="Z2665">
        <v>0</v>
      </c>
      <c r="AB2665">
        <v>0</v>
      </c>
      <c r="AC2665">
        <v>9</v>
      </c>
      <c r="AD2665">
        <v>3</v>
      </c>
      <c r="AE2665">
        <v>0</v>
      </c>
      <c r="AF2665">
        <v>9</v>
      </c>
      <c r="AG2665" t="s">
        <v>158</v>
      </c>
      <c r="AH2665">
        <v>0</v>
      </c>
      <c r="AI2665">
        <v>3</v>
      </c>
      <c r="AJ2665">
        <v>1</v>
      </c>
      <c r="AK2665">
        <v>0</v>
      </c>
      <c r="AL2665" t="s">
        <v>5024</v>
      </c>
      <c r="AM2665">
        <v>46.955995999999999</v>
      </c>
      <c r="AN2665" t="s">
        <v>5025</v>
      </c>
      <c r="AO2665">
        <v>-123.35005</v>
      </c>
      <c r="AP2665">
        <v>100</v>
      </c>
      <c r="AQ2665">
        <v>1900</v>
      </c>
      <c r="AR2665" t="s">
        <v>118</v>
      </c>
      <c r="AS2665">
        <v>-66</v>
      </c>
      <c r="AT2665">
        <v>36</v>
      </c>
      <c r="AU2665">
        <v>64</v>
      </c>
      <c r="BC2665">
        <v>1200</v>
      </c>
      <c r="BD2665">
        <v>1</v>
      </c>
      <c r="BE2665" t="str">
        <f t="shared" si="125"/>
        <v xml:space="preserve">N215T   </v>
      </c>
      <c r="BF2665">
        <v>1</v>
      </c>
      <c r="BH2665">
        <v>0</v>
      </c>
      <c r="BI2665">
        <v>0</v>
      </c>
      <c r="BJ2665">
        <v>0</v>
      </c>
      <c r="BK2665">
        <v>2325</v>
      </c>
      <c r="BL2665">
        <v>425</v>
      </c>
      <c r="BM2665" t="s">
        <v>119</v>
      </c>
      <c r="BN2665">
        <v>1</v>
      </c>
      <c r="BO2665">
        <v>1</v>
      </c>
      <c r="BP2665">
        <v>1</v>
      </c>
      <c r="BQ2665">
        <v>0</v>
      </c>
      <c r="BT2665">
        <v>0</v>
      </c>
      <c r="BU2665">
        <v>0</v>
      </c>
      <c r="BV2665">
        <v>0</v>
      </c>
      <c r="CC2665" t="str">
        <f>"19:19:17.797"</f>
        <v>19:19:17.797</v>
      </c>
      <c r="CD2665" t="str">
        <f>"795199117"</f>
        <v>795199117</v>
      </c>
      <c r="CQ2665">
        <v>0</v>
      </c>
      <c r="CR2665">
        <v>2</v>
      </c>
      <c r="CS2665">
        <v>0</v>
      </c>
      <c r="CT2665">
        <v>2</v>
      </c>
      <c r="CU2665">
        <v>0</v>
      </c>
      <c r="CV2665">
        <v>6</v>
      </c>
      <c r="CW2665" t="s">
        <v>120</v>
      </c>
      <c r="CX2665">
        <v>257</v>
      </c>
      <c r="CY2665">
        <v>0</v>
      </c>
      <c r="CZ2665" t="s">
        <v>615</v>
      </c>
      <c r="DA2665" t="s">
        <v>616</v>
      </c>
      <c r="DD2665">
        <v>16031244</v>
      </c>
      <c r="DE2665" t="s">
        <v>123</v>
      </c>
    </row>
    <row r="2666" spans="1:109" x14ac:dyDescent="0.3">
      <c r="A2666" t="str">
        <f>"19:19:19.023"</f>
        <v>19:19:19.023</v>
      </c>
      <c r="B2666" t="s">
        <v>110</v>
      </c>
      <c r="C2666" t="str">
        <f t="shared" si="123"/>
        <v>ffdfd3c0</v>
      </c>
      <c r="D2666" t="s">
        <v>111</v>
      </c>
      <c r="E2666">
        <v>18</v>
      </c>
      <c r="F2666">
        <v>1018</v>
      </c>
      <c r="G2666" t="s">
        <v>112</v>
      </c>
      <c r="J2666" t="s">
        <v>113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R2666" t="s">
        <v>114</v>
      </c>
      <c r="S2666" t="str">
        <f>"19:19:18.797"</f>
        <v>19:19:18.797</v>
      </c>
      <c r="T2666" t="str">
        <f>"19:19:18.594"</f>
        <v>19:19:18.594</v>
      </c>
      <c r="U2666" t="str">
        <f t="shared" si="124"/>
        <v>a1cdbe</v>
      </c>
      <c r="V2666">
        <v>0</v>
      </c>
      <c r="W2666">
        <v>0</v>
      </c>
      <c r="X2666">
        <v>1</v>
      </c>
      <c r="Y2666">
        <v>0</v>
      </c>
      <c r="Z2666">
        <v>0</v>
      </c>
      <c r="AB2666">
        <v>0</v>
      </c>
      <c r="AC2666">
        <v>9</v>
      </c>
      <c r="AD2666">
        <v>3</v>
      </c>
      <c r="AE2666">
        <v>0</v>
      </c>
      <c r="AF2666">
        <v>9</v>
      </c>
      <c r="AG2666" t="s">
        <v>158</v>
      </c>
      <c r="AH2666">
        <v>0</v>
      </c>
      <c r="AI2666">
        <v>3</v>
      </c>
      <c r="AJ2666">
        <v>1</v>
      </c>
      <c r="AK2666">
        <v>0</v>
      </c>
      <c r="AL2666" t="s">
        <v>5026</v>
      </c>
      <c r="AM2666">
        <v>46.956167000000001</v>
      </c>
      <c r="AN2666" t="s">
        <v>5027</v>
      </c>
      <c r="AO2666">
        <v>-123.35050099999999</v>
      </c>
      <c r="AP2666">
        <v>100</v>
      </c>
      <c r="AQ2666">
        <v>1900</v>
      </c>
      <c r="AR2666" t="s">
        <v>118</v>
      </c>
      <c r="AS2666">
        <v>-66</v>
      </c>
      <c r="AT2666">
        <v>36</v>
      </c>
      <c r="AU2666">
        <v>64</v>
      </c>
      <c r="BC2666">
        <v>1200</v>
      </c>
      <c r="BD2666">
        <v>1</v>
      </c>
      <c r="BE2666" t="str">
        <f t="shared" si="125"/>
        <v xml:space="preserve">N215T   </v>
      </c>
      <c r="BF2666">
        <v>1</v>
      </c>
      <c r="BH2666">
        <v>0</v>
      </c>
      <c r="BI2666">
        <v>0</v>
      </c>
      <c r="BJ2666">
        <v>0</v>
      </c>
      <c r="BK2666">
        <v>2325</v>
      </c>
      <c r="BL2666">
        <v>425</v>
      </c>
      <c r="BM2666" t="s">
        <v>119</v>
      </c>
      <c r="BN2666">
        <v>1</v>
      </c>
      <c r="BO2666">
        <v>1</v>
      </c>
      <c r="BP2666">
        <v>1</v>
      </c>
      <c r="BQ2666">
        <v>0</v>
      </c>
      <c r="BT2666">
        <v>0</v>
      </c>
      <c r="BU2666">
        <v>0</v>
      </c>
      <c r="BV2666">
        <v>0</v>
      </c>
      <c r="CC2666" t="str">
        <f>"19:19:18.797"</f>
        <v>19:19:18.797</v>
      </c>
      <c r="CD2666" t="str">
        <f>"800100111"</f>
        <v>800100111</v>
      </c>
      <c r="CQ2666">
        <v>0</v>
      </c>
      <c r="CR2666">
        <v>2</v>
      </c>
      <c r="CS2666">
        <v>0</v>
      </c>
      <c r="CT2666">
        <v>2</v>
      </c>
      <c r="CU2666">
        <v>0</v>
      </c>
      <c r="CV2666">
        <v>6</v>
      </c>
      <c r="CW2666" t="s">
        <v>120</v>
      </c>
      <c r="CX2666">
        <v>257</v>
      </c>
      <c r="CY2666">
        <v>0</v>
      </c>
      <c r="CZ2666" t="s">
        <v>615</v>
      </c>
      <c r="DA2666" t="s">
        <v>616</v>
      </c>
      <c r="DD2666">
        <v>16031821</v>
      </c>
      <c r="DE2666" t="s">
        <v>123</v>
      </c>
    </row>
    <row r="2667" spans="1:109" x14ac:dyDescent="0.3">
      <c r="A2667" t="str">
        <f>"19:19:20.031"</f>
        <v>19:19:20.031</v>
      </c>
      <c r="B2667" t="s">
        <v>110</v>
      </c>
      <c r="C2667" t="str">
        <f t="shared" si="123"/>
        <v>ffdfd3c0</v>
      </c>
      <c r="D2667" t="s">
        <v>111</v>
      </c>
      <c r="E2667">
        <v>18</v>
      </c>
      <c r="F2667">
        <v>1018</v>
      </c>
      <c r="G2667" t="s">
        <v>112</v>
      </c>
      <c r="J2667" t="s">
        <v>113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R2667" t="s">
        <v>114</v>
      </c>
      <c r="S2667" t="str">
        <f>"19:19:19.789"</f>
        <v>19:19:19.789</v>
      </c>
      <c r="T2667" t="str">
        <f>"19:19:19.586"</f>
        <v>19:19:19.586</v>
      </c>
      <c r="U2667" t="str">
        <f t="shared" si="124"/>
        <v>a1cdbe</v>
      </c>
      <c r="V2667">
        <v>0</v>
      </c>
      <c r="W2667">
        <v>0</v>
      </c>
      <c r="X2667">
        <v>1</v>
      </c>
      <c r="Y2667">
        <v>0</v>
      </c>
      <c r="Z2667">
        <v>0</v>
      </c>
      <c r="AB2667">
        <v>0</v>
      </c>
      <c r="AC2667">
        <v>9</v>
      </c>
      <c r="AD2667">
        <v>3</v>
      </c>
      <c r="AE2667">
        <v>0</v>
      </c>
      <c r="AF2667">
        <v>9</v>
      </c>
      <c r="AG2667" t="s">
        <v>158</v>
      </c>
      <c r="AH2667">
        <v>0</v>
      </c>
      <c r="AI2667">
        <v>3</v>
      </c>
      <c r="AJ2667">
        <v>1</v>
      </c>
      <c r="AK2667">
        <v>0</v>
      </c>
      <c r="AL2667" t="s">
        <v>5028</v>
      </c>
      <c r="AM2667">
        <v>46.956316999999999</v>
      </c>
      <c r="AN2667" t="s">
        <v>5029</v>
      </c>
      <c r="AO2667">
        <v>-123.350973</v>
      </c>
      <c r="AP2667">
        <v>100</v>
      </c>
      <c r="AQ2667">
        <v>1900</v>
      </c>
      <c r="AR2667" t="s">
        <v>118</v>
      </c>
      <c r="AS2667">
        <v>-66</v>
      </c>
      <c r="AT2667">
        <v>36</v>
      </c>
      <c r="AU2667">
        <v>64</v>
      </c>
      <c r="BC2667">
        <v>1200</v>
      </c>
      <c r="BD2667">
        <v>1</v>
      </c>
      <c r="BE2667" t="str">
        <f t="shared" si="125"/>
        <v xml:space="preserve">N215T   </v>
      </c>
      <c r="BF2667">
        <v>1</v>
      </c>
      <c r="BH2667">
        <v>0</v>
      </c>
      <c r="BI2667">
        <v>0</v>
      </c>
      <c r="BJ2667">
        <v>0</v>
      </c>
      <c r="BK2667">
        <v>2325</v>
      </c>
      <c r="BL2667">
        <v>425</v>
      </c>
      <c r="BM2667" t="s">
        <v>119</v>
      </c>
      <c r="BN2667">
        <v>1</v>
      </c>
      <c r="BO2667">
        <v>1</v>
      </c>
      <c r="BP2667">
        <v>1</v>
      </c>
      <c r="BQ2667">
        <v>0</v>
      </c>
      <c r="BT2667">
        <v>0</v>
      </c>
      <c r="BU2667">
        <v>0</v>
      </c>
      <c r="BV2667">
        <v>0</v>
      </c>
      <c r="CC2667" t="str">
        <f>"19:19:19.789"</f>
        <v>19:19:19.789</v>
      </c>
      <c r="CD2667" t="str">
        <f>"790019980"</f>
        <v>790019980</v>
      </c>
      <c r="CQ2667">
        <v>0</v>
      </c>
      <c r="CR2667">
        <v>2</v>
      </c>
      <c r="CS2667">
        <v>0</v>
      </c>
      <c r="CT2667">
        <v>2</v>
      </c>
      <c r="CU2667">
        <v>0</v>
      </c>
      <c r="CV2667">
        <v>7</v>
      </c>
      <c r="CW2667" t="s">
        <v>120</v>
      </c>
      <c r="CX2667">
        <v>261</v>
      </c>
      <c r="CY2667">
        <v>2</v>
      </c>
      <c r="CZ2667" t="s">
        <v>121</v>
      </c>
      <c r="DA2667" t="s">
        <v>122</v>
      </c>
      <c r="DD2667">
        <v>15913614</v>
      </c>
      <c r="DE2667" t="s">
        <v>123</v>
      </c>
    </row>
    <row r="2668" spans="1:109" x14ac:dyDescent="0.3">
      <c r="A2668" t="str">
        <f>"19:19:21.031"</f>
        <v>19:19:21.031</v>
      </c>
      <c r="B2668" t="s">
        <v>110</v>
      </c>
      <c r="C2668" t="str">
        <f t="shared" si="123"/>
        <v>ffdfd3c0</v>
      </c>
      <c r="D2668" t="s">
        <v>111</v>
      </c>
      <c r="E2668">
        <v>18</v>
      </c>
      <c r="F2668">
        <v>1018</v>
      </c>
      <c r="G2668" t="s">
        <v>112</v>
      </c>
      <c r="J2668" t="s">
        <v>113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R2668" t="s">
        <v>114</v>
      </c>
      <c r="S2668" t="str">
        <f>"19:19:20.820"</f>
        <v>19:19:20.820</v>
      </c>
      <c r="T2668" t="str">
        <f>"19:19:20.617"</f>
        <v>19:19:20.617</v>
      </c>
      <c r="U2668" t="str">
        <f t="shared" si="124"/>
        <v>a1cdbe</v>
      </c>
      <c r="V2668">
        <v>0</v>
      </c>
      <c r="W2668">
        <v>0</v>
      </c>
      <c r="X2668">
        <v>1</v>
      </c>
      <c r="Y2668">
        <v>0</v>
      </c>
      <c r="Z2668">
        <v>0</v>
      </c>
      <c r="AB2668">
        <v>0</v>
      </c>
      <c r="AC2668">
        <v>9</v>
      </c>
      <c r="AD2668">
        <v>3</v>
      </c>
      <c r="AE2668">
        <v>0</v>
      </c>
      <c r="AF2668">
        <v>9</v>
      </c>
      <c r="AG2668" t="s">
        <v>158</v>
      </c>
      <c r="AH2668">
        <v>0</v>
      </c>
      <c r="AI2668">
        <v>3</v>
      </c>
      <c r="AJ2668">
        <v>1</v>
      </c>
      <c r="AK2668">
        <v>0</v>
      </c>
      <c r="AL2668" t="s">
        <v>5030</v>
      </c>
      <c r="AM2668">
        <v>46.956488999999998</v>
      </c>
      <c r="AN2668" t="s">
        <v>5031</v>
      </c>
      <c r="AO2668">
        <v>-123.35140199999999</v>
      </c>
      <c r="AP2668">
        <v>100</v>
      </c>
      <c r="AQ2668">
        <v>1900</v>
      </c>
      <c r="AR2668" t="s">
        <v>118</v>
      </c>
      <c r="AS2668">
        <v>-66</v>
      </c>
      <c r="AT2668">
        <v>36</v>
      </c>
      <c r="AU2668">
        <v>0</v>
      </c>
      <c r="BC2668">
        <v>1200</v>
      </c>
      <c r="BD2668">
        <v>1</v>
      </c>
      <c r="BE2668" t="str">
        <f t="shared" si="125"/>
        <v xml:space="preserve">N215T   </v>
      </c>
      <c r="BF2668">
        <v>1</v>
      </c>
      <c r="BH2668">
        <v>0</v>
      </c>
      <c r="BI2668">
        <v>0</v>
      </c>
      <c r="BJ2668">
        <v>0</v>
      </c>
      <c r="BK2668">
        <v>2325</v>
      </c>
      <c r="BL2668">
        <v>425</v>
      </c>
      <c r="BM2668" t="s">
        <v>119</v>
      </c>
      <c r="BN2668">
        <v>1</v>
      </c>
      <c r="BO2668">
        <v>1</v>
      </c>
      <c r="BP2668">
        <v>1</v>
      </c>
      <c r="BQ2668">
        <v>0</v>
      </c>
      <c r="BT2668">
        <v>0</v>
      </c>
      <c r="BU2668">
        <v>0</v>
      </c>
      <c r="BV2668">
        <v>0</v>
      </c>
      <c r="CC2668" t="str">
        <f>"19:19:20.828"</f>
        <v>19:19:20.828</v>
      </c>
      <c r="CD2668" t="str">
        <f>"824918047"</f>
        <v>824918047</v>
      </c>
      <c r="CQ2668">
        <v>0</v>
      </c>
      <c r="CR2668">
        <v>2</v>
      </c>
      <c r="CS2668">
        <v>0</v>
      </c>
      <c r="CT2668">
        <v>2</v>
      </c>
      <c r="CU2668">
        <v>0</v>
      </c>
      <c r="CV2668">
        <v>6</v>
      </c>
      <c r="CW2668" t="s">
        <v>120</v>
      </c>
      <c r="CX2668">
        <v>261</v>
      </c>
      <c r="CY2668">
        <v>3</v>
      </c>
      <c r="CZ2668" t="s">
        <v>121</v>
      </c>
      <c r="DA2668" t="s">
        <v>122</v>
      </c>
      <c r="DD2668">
        <v>3832837</v>
      </c>
      <c r="DE2668" t="s">
        <v>123</v>
      </c>
    </row>
    <row r="2669" spans="1:109" x14ac:dyDescent="0.3">
      <c r="A2669" t="str">
        <f>"19:19:21.938"</f>
        <v>19:19:21.938</v>
      </c>
      <c r="B2669" t="s">
        <v>110</v>
      </c>
      <c r="C2669" t="str">
        <f t="shared" si="123"/>
        <v>ffdfd3c0</v>
      </c>
      <c r="D2669" t="s">
        <v>111</v>
      </c>
      <c r="E2669">
        <v>18</v>
      </c>
      <c r="F2669">
        <v>1018</v>
      </c>
      <c r="G2669" t="s">
        <v>112</v>
      </c>
      <c r="J2669" t="s">
        <v>113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R2669" t="s">
        <v>114</v>
      </c>
      <c r="S2669" t="str">
        <f>"19:19:21.719"</f>
        <v>19:19:21.719</v>
      </c>
      <c r="T2669" t="str">
        <f>"19:19:21.422"</f>
        <v>19:19:21.422</v>
      </c>
      <c r="U2669" t="str">
        <f t="shared" si="124"/>
        <v>a1cdbe</v>
      </c>
      <c r="V2669">
        <v>0</v>
      </c>
      <c r="W2669">
        <v>0</v>
      </c>
      <c r="X2669">
        <v>1</v>
      </c>
      <c r="Y2669">
        <v>0</v>
      </c>
      <c r="Z2669">
        <v>0</v>
      </c>
      <c r="AB2669">
        <v>0</v>
      </c>
      <c r="AC2669">
        <v>9</v>
      </c>
      <c r="AD2669">
        <v>3</v>
      </c>
      <c r="AE2669">
        <v>0</v>
      </c>
      <c r="AF2669">
        <v>9</v>
      </c>
      <c r="AG2669" t="s">
        <v>158</v>
      </c>
      <c r="AH2669">
        <v>0</v>
      </c>
      <c r="AI2669">
        <v>3</v>
      </c>
      <c r="AJ2669">
        <v>1</v>
      </c>
      <c r="AK2669">
        <v>0</v>
      </c>
      <c r="AL2669" t="s">
        <v>5032</v>
      </c>
      <c r="AM2669">
        <v>46.956660999999997</v>
      </c>
      <c r="AN2669" t="s">
        <v>5033</v>
      </c>
      <c r="AO2669">
        <v>-123.35181</v>
      </c>
      <c r="AP2669">
        <v>100</v>
      </c>
      <c r="AQ2669">
        <v>1900</v>
      </c>
      <c r="AR2669" t="s">
        <v>118</v>
      </c>
      <c r="AS2669">
        <v>-67</v>
      </c>
      <c r="AT2669">
        <v>36</v>
      </c>
      <c r="AU2669">
        <v>0</v>
      </c>
      <c r="BC2669">
        <v>1200</v>
      </c>
      <c r="BD2669">
        <v>1</v>
      </c>
      <c r="BE2669" t="str">
        <f t="shared" si="125"/>
        <v xml:space="preserve">N215T   </v>
      </c>
      <c r="BF2669">
        <v>1</v>
      </c>
      <c r="BH2669">
        <v>0</v>
      </c>
      <c r="BI2669">
        <v>0</v>
      </c>
      <c r="BJ2669">
        <v>0</v>
      </c>
      <c r="BK2669">
        <v>2325</v>
      </c>
      <c r="BL2669">
        <v>425</v>
      </c>
      <c r="BM2669" t="s">
        <v>119</v>
      </c>
      <c r="BN2669">
        <v>1</v>
      </c>
      <c r="BO2669">
        <v>1</v>
      </c>
      <c r="BP2669">
        <v>1</v>
      </c>
      <c r="BQ2669">
        <v>0</v>
      </c>
      <c r="BT2669">
        <v>0</v>
      </c>
      <c r="BU2669">
        <v>0</v>
      </c>
      <c r="BV2669">
        <v>0</v>
      </c>
      <c r="CC2669" t="str">
        <f>"19:19:21.727"</f>
        <v>19:19:21.727</v>
      </c>
      <c r="CD2669" t="str">
        <f>"724829408"</f>
        <v>724829408</v>
      </c>
      <c r="CQ2669">
        <v>0</v>
      </c>
      <c r="CR2669">
        <v>2</v>
      </c>
      <c r="CS2669">
        <v>0</v>
      </c>
      <c r="CT2669">
        <v>2</v>
      </c>
      <c r="CU2669">
        <v>0</v>
      </c>
      <c r="CV2669">
        <v>7</v>
      </c>
      <c r="CW2669" t="s">
        <v>120</v>
      </c>
      <c r="CX2669">
        <v>261</v>
      </c>
      <c r="CY2669">
        <v>2</v>
      </c>
      <c r="CZ2669" t="s">
        <v>121</v>
      </c>
      <c r="DA2669" t="s">
        <v>122</v>
      </c>
      <c r="DD2669">
        <v>15914946</v>
      </c>
      <c r="DE2669" t="s">
        <v>123</v>
      </c>
    </row>
    <row r="2670" spans="1:109" x14ac:dyDescent="0.3">
      <c r="A2670" t="str">
        <f>"19:19:22.945"</f>
        <v>19:19:22.945</v>
      </c>
      <c r="B2670" t="s">
        <v>110</v>
      </c>
      <c r="C2670" t="str">
        <f t="shared" si="123"/>
        <v>ffdfd3c0</v>
      </c>
      <c r="D2670" t="s">
        <v>111</v>
      </c>
      <c r="E2670">
        <v>18</v>
      </c>
      <c r="F2670">
        <v>1018</v>
      </c>
      <c r="G2670" t="s">
        <v>112</v>
      </c>
      <c r="J2670" t="s">
        <v>113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R2670" t="s">
        <v>114</v>
      </c>
      <c r="S2670" t="str">
        <f>"19:19:22.711"</f>
        <v>19:19:22.711</v>
      </c>
      <c r="T2670" t="str">
        <f>"19:19:22.508"</f>
        <v>19:19:22.508</v>
      </c>
      <c r="U2670" t="str">
        <f t="shared" si="124"/>
        <v>a1cdbe</v>
      </c>
      <c r="V2670">
        <v>0</v>
      </c>
      <c r="W2670">
        <v>0</v>
      </c>
      <c r="X2670">
        <v>1</v>
      </c>
      <c r="Y2670">
        <v>0</v>
      </c>
      <c r="Z2670">
        <v>0</v>
      </c>
      <c r="AB2670">
        <v>0</v>
      </c>
      <c r="AC2670">
        <v>9</v>
      </c>
      <c r="AD2670">
        <v>3</v>
      </c>
      <c r="AE2670">
        <v>0</v>
      </c>
      <c r="AF2670">
        <v>9</v>
      </c>
      <c r="AG2670" t="s">
        <v>158</v>
      </c>
      <c r="AH2670">
        <v>0</v>
      </c>
      <c r="AI2670">
        <v>3</v>
      </c>
      <c r="AJ2670">
        <v>1</v>
      </c>
      <c r="AK2670">
        <v>0</v>
      </c>
      <c r="AL2670" t="s">
        <v>5034</v>
      </c>
      <c r="AM2670">
        <v>46.956831999999999</v>
      </c>
      <c r="AN2670" t="s">
        <v>5035</v>
      </c>
      <c r="AO2670">
        <v>-123.352239</v>
      </c>
      <c r="AP2670">
        <v>100</v>
      </c>
      <c r="AQ2670">
        <v>1900</v>
      </c>
      <c r="AR2670" t="s">
        <v>118</v>
      </c>
      <c r="AS2670">
        <v>-67</v>
      </c>
      <c r="AT2670">
        <v>36</v>
      </c>
      <c r="AU2670">
        <v>0</v>
      </c>
      <c r="BC2670">
        <v>1200</v>
      </c>
      <c r="BD2670">
        <v>1</v>
      </c>
      <c r="BE2670" t="str">
        <f t="shared" si="125"/>
        <v xml:space="preserve">N215T   </v>
      </c>
      <c r="BF2670">
        <v>1</v>
      </c>
      <c r="BH2670">
        <v>0</v>
      </c>
      <c r="BI2670">
        <v>0</v>
      </c>
      <c r="BJ2670">
        <v>0</v>
      </c>
      <c r="BK2670">
        <v>2325</v>
      </c>
      <c r="BL2670">
        <v>425</v>
      </c>
      <c r="BM2670" t="s">
        <v>119</v>
      </c>
      <c r="BN2670">
        <v>1</v>
      </c>
      <c r="BO2670">
        <v>1</v>
      </c>
      <c r="BP2670">
        <v>1</v>
      </c>
      <c r="BQ2670">
        <v>0</v>
      </c>
      <c r="BT2670">
        <v>0</v>
      </c>
      <c r="BU2670">
        <v>0</v>
      </c>
      <c r="BV2670">
        <v>0</v>
      </c>
      <c r="CC2670" t="str">
        <f>"19:19:22.711"</f>
        <v>19:19:22.711</v>
      </c>
      <c r="CD2670" t="str">
        <f>"714714435"</f>
        <v>714714435</v>
      </c>
      <c r="CQ2670">
        <v>0</v>
      </c>
      <c r="CR2670">
        <v>2</v>
      </c>
      <c r="CS2670">
        <v>0</v>
      </c>
      <c r="CT2670">
        <v>2</v>
      </c>
      <c r="CU2670">
        <v>0</v>
      </c>
      <c r="CV2670">
        <v>6</v>
      </c>
      <c r="CW2670" t="s">
        <v>120</v>
      </c>
      <c r="CX2670">
        <v>257</v>
      </c>
      <c r="CY2670">
        <v>0</v>
      </c>
      <c r="CZ2670" t="s">
        <v>615</v>
      </c>
      <c r="DA2670" t="s">
        <v>616</v>
      </c>
      <c r="DD2670">
        <v>16033943</v>
      </c>
      <c r="DE2670" t="s">
        <v>123</v>
      </c>
    </row>
    <row r="2671" spans="1:109" x14ac:dyDescent="0.3">
      <c r="A2671" t="str">
        <f>"19:19:24.055"</f>
        <v>19:19:24.055</v>
      </c>
      <c r="B2671" t="s">
        <v>110</v>
      </c>
      <c r="C2671" t="str">
        <f t="shared" si="123"/>
        <v>ffdfd3c0</v>
      </c>
      <c r="D2671" t="s">
        <v>111</v>
      </c>
      <c r="E2671">
        <v>18</v>
      </c>
      <c r="F2671">
        <v>1018</v>
      </c>
      <c r="G2671" t="s">
        <v>112</v>
      </c>
      <c r="J2671" t="s">
        <v>113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R2671" t="s">
        <v>114</v>
      </c>
      <c r="S2671" t="str">
        <f>"19:19:23.852"</f>
        <v>19:19:23.852</v>
      </c>
      <c r="T2671" t="str">
        <f>"19:19:23.555"</f>
        <v>19:19:23.555</v>
      </c>
      <c r="U2671" t="str">
        <f t="shared" si="124"/>
        <v>a1cdbe</v>
      </c>
      <c r="V2671">
        <v>0</v>
      </c>
      <c r="W2671">
        <v>0</v>
      </c>
      <c r="X2671">
        <v>1</v>
      </c>
      <c r="Y2671">
        <v>0</v>
      </c>
      <c r="Z2671">
        <v>0</v>
      </c>
      <c r="AB2671">
        <v>0</v>
      </c>
      <c r="AC2671">
        <v>9</v>
      </c>
      <c r="AD2671">
        <v>3</v>
      </c>
      <c r="AE2671">
        <v>0</v>
      </c>
      <c r="AF2671">
        <v>9</v>
      </c>
      <c r="AG2671" t="s">
        <v>158</v>
      </c>
      <c r="AH2671">
        <v>0</v>
      </c>
      <c r="AI2671">
        <v>3</v>
      </c>
      <c r="AJ2671">
        <v>1</v>
      </c>
      <c r="AK2671">
        <v>0</v>
      </c>
      <c r="AL2671" t="s">
        <v>5036</v>
      </c>
      <c r="AM2671">
        <v>46.957003999999998</v>
      </c>
      <c r="AN2671" t="s">
        <v>5037</v>
      </c>
      <c r="AO2671">
        <v>-123.352797</v>
      </c>
      <c r="AP2671">
        <v>100</v>
      </c>
      <c r="AQ2671">
        <v>1900</v>
      </c>
      <c r="AR2671" t="s">
        <v>118</v>
      </c>
      <c r="AS2671">
        <v>-68</v>
      </c>
      <c r="AT2671">
        <v>35</v>
      </c>
      <c r="AU2671">
        <v>0</v>
      </c>
      <c r="BC2671">
        <v>1200</v>
      </c>
      <c r="BD2671">
        <v>1</v>
      </c>
      <c r="BE2671" t="str">
        <f t="shared" si="125"/>
        <v xml:space="preserve">N215T   </v>
      </c>
      <c r="BF2671">
        <v>1</v>
      </c>
      <c r="BH2671">
        <v>0</v>
      </c>
      <c r="BI2671">
        <v>0</v>
      </c>
      <c r="BJ2671">
        <v>0</v>
      </c>
      <c r="BK2671">
        <v>2325</v>
      </c>
      <c r="BL2671">
        <v>425</v>
      </c>
      <c r="BM2671" t="s">
        <v>119</v>
      </c>
      <c r="BN2671">
        <v>1</v>
      </c>
      <c r="BO2671">
        <v>1</v>
      </c>
      <c r="BP2671">
        <v>1</v>
      </c>
      <c r="BQ2671">
        <v>0</v>
      </c>
      <c r="BT2671">
        <v>0</v>
      </c>
      <c r="BU2671">
        <v>0</v>
      </c>
      <c r="BV2671">
        <v>0</v>
      </c>
      <c r="CC2671" t="str">
        <f>"19:19:23.852"</f>
        <v>19:19:23.852</v>
      </c>
      <c r="CD2671" t="str">
        <f>"854619618"</f>
        <v>854619618</v>
      </c>
      <c r="CQ2671">
        <v>0</v>
      </c>
      <c r="CR2671">
        <v>2</v>
      </c>
      <c r="CS2671">
        <v>0</v>
      </c>
      <c r="CT2671">
        <v>2</v>
      </c>
      <c r="CU2671">
        <v>0</v>
      </c>
      <c r="CV2671">
        <v>7</v>
      </c>
      <c r="CW2671" t="s">
        <v>120</v>
      </c>
      <c r="CX2671">
        <v>261</v>
      </c>
      <c r="CY2671">
        <v>2</v>
      </c>
      <c r="CZ2671" t="s">
        <v>121</v>
      </c>
      <c r="DA2671" t="s">
        <v>122</v>
      </c>
      <c r="DD2671">
        <v>15916404</v>
      </c>
      <c r="DE2671" t="s">
        <v>123</v>
      </c>
    </row>
    <row r="2672" spans="1:109" x14ac:dyDescent="0.3">
      <c r="A2672" t="str">
        <f>"19:19:25.203"</f>
        <v>19:19:25.203</v>
      </c>
      <c r="B2672" t="s">
        <v>110</v>
      </c>
      <c r="C2672" t="str">
        <f t="shared" si="123"/>
        <v>ffdfd3c0</v>
      </c>
      <c r="D2672" t="s">
        <v>111</v>
      </c>
      <c r="E2672">
        <v>18</v>
      </c>
      <c r="F2672">
        <v>1018</v>
      </c>
      <c r="G2672" t="s">
        <v>112</v>
      </c>
      <c r="J2672" t="s">
        <v>113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R2672" t="s">
        <v>114</v>
      </c>
      <c r="S2672" t="str">
        <f>"19:19:24.977"</f>
        <v>19:19:24.977</v>
      </c>
      <c r="T2672" t="str">
        <f>"19:19:24.977"</f>
        <v>19:19:24.977</v>
      </c>
      <c r="U2672" t="str">
        <f t="shared" si="124"/>
        <v>a1cdbe</v>
      </c>
      <c r="V2672">
        <v>0</v>
      </c>
      <c r="W2672">
        <v>0</v>
      </c>
      <c r="X2672">
        <v>1</v>
      </c>
      <c r="Y2672">
        <v>0</v>
      </c>
      <c r="Z2672">
        <v>0</v>
      </c>
      <c r="AB2672">
        <v>0</v>
      </c>
      <c r="AC2672">
        <v>9</v>
      </c>
      <c r="AD2672">
        <v>3</v>
      </c>
      <c r="AE2672">
        <v>0</v>
      </c>
      <c r="AF2672">
        <v>9</v>
      </c>
      <c r="AG2672" t="s">
        <v>158</v>
      </c>
      <c r="AH2672">
        <v>0</v>
      </c>
      <c r="AI2672">
        <v>3</v>
      </c>
      <c r="AJ2672">
        <v>1</v>
      </c>
      <c r="AK2672">
        <v>0</v>
      </c>
      <c r="AL2672" t="s">
        <v>5038</v>
      </c>
      <c r="AM2672">
        <v>46.957197000000001</v>
      </c>
      <c r="AN2672" t="s">
        <v>5039</v>
      </c>
      <c r="AO2672">
        <v>-123.353291</v>
      </c>
      <c r="AP2672">
        <v>100</v>
      </c>
      <c r="AQ2672">
        <v>1900</v>
      </c>
      <c r="AR2672" t="s">
        <v>118</v>
      </c>
      <c r="AS2672">
        <v>-68</v>
      </c>
      <c r="AT2672">
        <v>35</v>
      </c>
      <c r="AU2672">
        <v>-64</v>
      </c>
      <c r="BC2672">
        <v>1200</v>
      </c>
      <c r="BD2672">
        <v>1</v>
      </c>
      <c r="BE2672" t="str">
        <f t="shared" si="125"/>
        <v xml:space="preserve">N215T   </v>
      </c>
      <c r="BF2672">
        <v>1</v>
      </c>
      <c r="BH2672">
        <v>0</v>
      </c>
      <c r="BI2672">
        <v>0</v>
      </c>
      <c r="BJ2672">
        <v>0</v>
      </c>
      <c r="BK2672">
        <v>2325</v>
      </c>
      <c r="BL2672">
        <v>425</v>
      </c>
      <c r="BM2672" t="s">
        <v>119</v>
      </c>
      <c r="BN2672">
        <v>1</v>
      </c>
      <c r="BO2672">
        <v>1</v>
      </c>
      <c r="BP2672">
        <v>1</v>
      </c>
      <c r="BQ2672">
        <v>0</v>
      </c>
      <c r="BT2672">
        <v>0</v>
      </c>
      <c r="BU2672">
        <v>0</v>
      </c>
      <c r="BV2672">
        <v>0</v>
      </c>
      <c r="CC2672" t="str">
        <f>"19:19:24.977"</f>
        <v>19:19:24.977</v>
      </c>
      <c r="CD2672" t="str">
        <f>"979508818"</f>
        <v>979508818</v>
      </c>
      <c r="CQ2672">
        <v>0</v>
      </c>
      <c r="CR2672">
        <v>2</v>
      </c>
      <c r="CS2672">
        <v>0</v>
      </c>
      <c r="CT2672">
        <v>2</v>
      </c>
      <c r="CU2672">
        <v>0</v>
      </c>
      <c r="CV2672">
        <v>7</v>
      </c>
      <c r="CW2672" t="s">
        <v>120</v>
      </c>
      <c r="CX2672">
        <v>261</v>
      </c>
      <c r="CY2672">
        <v>2</v>
      </c>
      <c r="CZ2672" t="s">
        <v>121</v>
      </c>
      <c r="DA2672" t="s">
        <v>122</v>
      </c>
      <c r="DD2672">
        <v>15917126</v>
      </c>
      <c r="DE2672" t="s">
        <v>123</v>
      </c>
    </row>
    <row r="2673" spans="1:109" x14ac:dyDescent="0.3">
      <c r="A2673" t="str">
        <f>"19:19:26.266"</f>
        <v>19:19:26.266</v>
      </c>
      <c r="B2673" t="s">
        <v>110</v>
      </c>
      <c r="C2673" t="str">
        <f t="shared" si="123"/>
        <v>ffdfd3c0</v>
      </c>
      <c r="D2673" t="s">
        <v>111</v>
      </c>
      <c r="E2673">
        <v>18</v>
      </c>
      <c r="F2673">
        <v>1018</v>
      </c>
      <c r="G2673" t="s">
        <v>112</v>
      </c>
      <c r="J2673" t="s">
        <v>113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R2673" t="s">
        <v>114</v>
      </c>
      <c r="S2673" t="str">
        <f>"19:19:26.039"</f>
        <v>19:19:26.039</v>
      </c>
      <c r="T2673" t="str">
        <f>"19:19:25.938"</f>
        <v>19:19:25.938</v>
      </c>
      <c r="U2673" t="str">
        <f t="shared" si="124"/>
        <v>a1cdbe</v>
      </c>
      <c r="V2673">
        <v>0</v>
      </c>
      <c r="W2673">
        <v>0</v>
      </c>
      <c r="X2673">
        <v>1</v>
      </c>
      <c r="Y2673">
        <v>0</v>
      </c>
      <c r="Z2673">
        <v>0</v>
      </c>
      <c r="AB2673">
        <v>0</v>
      </c>
      <c r="AC2673">
        <v>9</v>
      </c>
      <c r="AD2673">
        <v>3</v>
      </c>
      <c r="AE2673">
        <v>0</v>
      </c>
      <c r="AF2673">
        <v>9</v>
      </c>
      <c r="AG2673" t="s">
        <v>158</v>
      </c>
      <c r="AH2673">
        <v>0</v>
      </c>
      <c r="AI2673">
        <v>3</v>
      </c>
      <c r="AJ2673">
        <v>1</v>
      </c>
      <c r="AK2673">
        <v>0</v>
      </c>
      <c r="AL2673" t="s">
        <v>5040</v>
      </c>
      <c r="AM2673">
        <v>46.957346999999999</v>
      </c>
      <c r="AN2673" t="s">
        <v>5041</v>
      </c>
      <c r="AO2673">
        <v>-123.35380600000001</v>
      </c>
      <c r="AP2673">
        <v>100</v>
      </c>
      <c r="AQ2673">
        <v>1900</v>
      </c>
      <c r="AR2673" t="s">
        <v>118</v>
      </c>
      <c r="AS2673">
        <v>-68</v>
      </c>
      <c r="AT2673">
        <v>35</v>
      </c>
      <c r="AU2673">
        <v>-64</v>
      </c>
      <c r="BC2673">
        <v>1200</v>
      </c>
      <c r="BD2673">
        <v>1</v>
      </c>
      <c r="BE2673" t="str">
        <f t="shared" si="125"/>
        <v xml:space="preserve">N215T   </v>
      </c>
      <c r="BF2673">
        <v>1</v>
      </c>
      <c r="BH2673">
        <v>0</v>
      </c>
      <c r="BI2673">
        <v>0</v>
      </c>
      <c r="BJ2673">
        <v>0</v>
      </c>
      <c r="BK2673">
        <v>2325</v>
      </c>
      <c r="BL2673">
        <v>425</v>
      </c>
      <c r="BM2673" t="s">
        <v>119</v>
      </c>
      <c r="BN2673">
        <v>1</v>
      </c>
      <c r="BO2673">
        <v>1</v>
      </c>
      <c r="BP2673">
        <v>1</v>
      </c>
      <c r="BQ2673">
        <v>0</v>
      </c>
      <c r="BT2673">
        <v>0</v>
      </c>
      <c r="BU2673">
        <v>0</v>
      </c>
      <c r="BV2673">
        <v>0</v>
      </c>
      <c r="CC2673" t="str">
        <f>"19:19:26.047"</f>
        <v>19:19:26.047</v>
      </c>
      <c r="CD2673" t="str">
        <f>"044403922"</f>
        <v>044403922</v>
      </c>
      <c r="CQ2673">
        <v>0</v>
      </c>
      <c r="CR2673">
        <v>2</v>
      </c>
      <c r="CS2673">
        <v>0</v>
      </c>
      <c r="CT2673">
        <v>2</v>
      </c>
      <c r="CU2673">
        <v>0</v>
      </c>
      <c r="CV2673">
        <v>7</v>
      </c>
      <c r="CW2673" t="s">
        <v>120</v>
      </c>
      <c r="CX2673">
        <v>261</v>
      </c>
      <c r="CY2673">
        <v>2</v>
      </c>
      <c r="CZ2673" t="s">
        <v>121</v>
      </c>
      <c r="DA2673" t="s">
        <v>122</v>
      </c>
      <c r="DD2673">
        <v>15917834</v>
      </c>
      <c r="DE2673" t="s">
        <v>123</v>
      </c>
    </row>
    <row r="2674" spans="1:109" x14ac:dyDescent="0.3">
      <c r="A2674" t="str">
        <f>"19:19:27.367"</f>
        <v>19:19:27.367</v>
      </c>
      <c r="B2674" t="s">
        <v>110</v>
      </c>
      <c r="C2674" t="str">
        <f t="shared" si="123"/>
        <v>ffdfd3c0</v>
      </c>
      <c r="D2674" t="s">
        <v>111</v>
      </c>
      <c r="E2674">
        <v>18</v>
      </c>
      <c r="F2674">
        <v>1018</v>
      </c>
      <c r="G2674" t="s">
        <v>112</v>
      </c>
      <c r="J2674" t="s">
        <v>113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R2674" t="s">
        <v>114</v>
      </c>
      <c r="S2674" t="str">
        <f>"19:19:27.102"</f>
        <v>19:19:27.102</v>
      </c>
      <c r="T2674" t="str">
        <f>"19:19:26.805"</f>
        <v>19:19:26.805</v>
      </c>
      <c r="U2674" t="str">
        <f t="shared" si="124"/>
        <v>a1cdbe</v>
      </c>
      <c r="V2674">
        <v>0</v>
      </c>
      <c r="W2674">
        <v>0</v>
      </c>
      <c r="X2674">
        <v>1</v>
      </c>
      <c r="Y2674">
        <v>0</v>
      </c>
      <c r="Z2674">
        <v>0</v>
      </c>
      <c r="AB2674">
        <v>0</v>
      </c>
      <c r="AC2674">
        <v>9</v>
      </c>
      <c r="AD2674">
        <v>3</v>
      </c>
      <c r="AE2674">
        <v>0</v>
      </c>
      <c r="AF2674">
        <v>9</v>
      </c>
      <c r="AG2674" t="s">
        <v>158</v>
      </c>
      <c r="AH2674">
        <v>0</v>
      </c>
      <c r="AI2674">
        <v>3</v>
      </c>
      <c r="AJ2674">
        <v>1</v>
      </c>
      <c r="AK2674">
        <v>0</v>
      </c>
      <c r="AL2674" t="s">
        <v>1063</v>
      </c>
      <c r="AM2674">
        <v>46.957518999999998</v>
      </c>
      <c r="AN2674" t="s">
        <v>5042</v>
      </c>
      <c r="AO2674">
        <v>-123.35427799999999</v>
      </c>
      <c r="AP2674">
        <v>100</v>
      </c>
      <c r="AQ2674">
        <v>1900</v>
      </c>
      <c r="AR2674" t="s">
        <v>118</v>
      </c>
      <c r="AS2674">
        <v>-68</v>
      </c>
      <c r="AT2674">
        <v>35</v>
      </c>
      <c r="AU2674">
        <v>-64</v>
      </c>
      <c r="BC2674">
        <v>1200</v>
      </c>
      <c r="BD2674">
        <v>1</v>
      </c>
      <c r="BE2674" t="str">
        <f t="shared" si="125"/>
        <v xml:space="preserve">N215T   </v>
      </c>
      <c r="BF2674">
        <v>1</v>
      </c>
      <c r="BH2674">
        <v>0</v>
      </c>
      <c r="BI2674">
        <v>0</v>
      </c>
      <c r="BJ2674">
        <v>0</v>
      </c>
      <c r="BK2674">
        <v>2325</v>
      </c>
      <c r="BL2674">
        <v>425</v>
      </c>
      <c r="BM2674" t="s">
        <v>119</v>
      </c>
      <c r="BN2674">
        <v>1</v>
      </c>
      <c r="BO2674">
        <v>1</v>
      </c>
      <c r="BP2674">
        <v>1</v>
      </c>
      <c r="BQ2674">
        <v>0</v>
      </c>
      <c r="BT2674">
        <v>0</v>
      </c>
      <c r="BU2674">
        <v>0</v>
      </c>
      <c r="BV2674">
        <v>0</v>
      </c>
      <c r="CC2674" t="str">
        <f>"19:19:27.109"</f>
        <v>19:19:27.109</v>
      </c>
      <c r="CD2674" t="str">
        <f>"109281452"</f>
        <v>109281452</v>
      </c>
      <c r="CQ2674">
        <v>0</v>
      </c>
      <c r="CR2674">
        <v>2</v>
      </c>
      <c r="CS2674">
        <v>0</v>
      </c>
      <c r="CT2674">
        <v>2</v>
      </c>
      <c r="CU2674">
        <v>0</v>
      </c>
      <c r="CV2674">
        <v>6</v>
      </c>
      <c r="CW2674" t="s">
        <v>120</v>
      </c>
      <c r="CX2674">
        <v>257</v>
      </c>
      <c r="CY2674">
        <v>0</v>
      </c>
      <c r="CZ2674" t="s">
        <v>615</v>
      </c>
      <c r="DA2674" t="s">
        <v>616</v>
      </c>
      <c r="DD2674">
        <v>16036413</v>
      </c>
      <c r="DE2674" t="s">
        <v>123</v>
      </c>
    </row>
    <row r="2675" spans="1:109" x14ac:dyDescent="0.3">
      <c r="A2675" t="str">
        <f>"19:19:28.430"</f>
        <v>19:19:28.430</v>
      </c>
      <c r="B2675" t="s">
        <v>110</v>
      </c>
      <c r="C2675" t="str">
        <f t="shared" si="123"/>
        <v>ffdfd3c0</v>
      </c>
      <c r="D2675" t="s">
        <v>111</v>
      </c>
      <c r="E2675">
        <v>18</v>
      </c>
      <c r="F2675">
        <v>1018</v>
      </c>
      <c r="G2675" t="s">
        <v>112</v>
      </c>
      <c r="J2675" t="s">
        <v>113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R2675" t="s">
        <v>114</v>
      </c>
      <c r="S2675" t="str">
        <f>"19:19:28.203"</f>
        <v>19:19:28.203</v>
      </c>
      <c r="T2675" t="str">
        <f>"19:19:27.805"</f>
        <v>19:19:27.805</v>
      </c>
      <c r="U2675" t="str">
        <f t="shared" si="124"/>
        <v>a1cdbe</v>
      </c>
      <c r="V2675">
        <v>0</v>
      </c>
      <c r="W2675">
        <v>0</v>
      </c>
      <c r="X2675">
        <v>1</v>
      </c>
      <c r="Y2675">
        <v>0</v>
      </c>
      <c r="Z2675">
        <v>0</v>
      </c>
      <c r="AB2675">
        <v>0</v>
      </c>
      <c r="AC2675">
        <v>9</v>
      </c>
      <c r="AD2675">
        <v>3</v>
      </c>
      <c r="AE2675">
        <v>0</v>
      </c>
      <c r="AF2675">
        <v>9</v>
      </c>
      <c r="AG2675" t="s">
        <v>158</v>
      </c>
      <c r="AH2675">
        <v>0</v>
      </c>
      <c r="AI2675">
        <v>3</v>
      </c>
      <c r="AJ2675">
        <v>1</v>
      </c>
      <c r="AK2675">
        <v>0</v>
      </c>
      <c r="AL2675" t="s">
        <v>5043</v>
      </c>
      <c r="AM2675">
        <v>46.957712000000001</v>
      </c>
      <c r="AN2675" t="s">
        <v>5044</v>
      </c>
      <c r="AO2675">
        <v>-123.354771</v>
      </c>
      <c r="AP2675">
        <v>100</v>
      </c>
      <c r="AQ2675">
        <v>1900</v>
      </c>
      <c r="AR2675" t="s">
        <v>118</v>
      </c>
      <c r="AS2675">
        <v>-68</v>
      </c>
      <c r="AT2675">
        <v>35</v>
      </c>
      <c r="AU2675">
        <v>0</v>
      </c>
      <c r="BC2675">
        <v>1200</v>
      </c>
      <c r="BD2675">
        <v>1</v>
      </c>
      <c r="BE2675" t="str">
        <f t="shared" si="125"/>
        <v xml:space="preserve">N215T   </v>
      </c>
      <c r="BF2675">
        <v>1</v>
      </c>
      <c r="BH2675">
        <v>0</v>
      </c>
      <c r="BI2675">
        <v>0</v>
      </c>
      <c r="BJ2675">
        <v>0</v>
      </c>
      <c r="BK2675">
        <v>2325</v>
      </c>
      <c r="BL2675">
        <v>425</v>
      </c>
      <c r="BM2675" t="s">
        <v>119</v>
      </c>
      <c r="BN2675">
        <v>1</v>
      </c>
      <c r="BO2675">
        <v>1</v>
      </c>
      <c r="BP2675">
        <v>1</v>
      </c>
      <c r="BQ2675">
        <v>0</v>
      </c>
      <c r="BT2675">
        <v>0</v>
      </c>
      <c r="BU2675">
        <v>0</v>
      </c>
      <c r="BV2675">
        <v>0</v>
      </c>
      <c r="CC2675" t="str">
        <f>"19:19:28.203"</f>
        <v>19:19:28.203</v>
      </c>
      <c r="CD2675" t="str">
        <f>"204191175"</f>
        <v>204191175</v>
      </c>
      <c r="CQ2675">
        <v>0</v>
      </c>
      <c r="CR2675">
        <v>2</v>
      </c>
      <c r="CS2675">
        <v>0</v>
      </c>
      <c r="CT2675">
        <v>2</v>
      </c>
      <c r="CU2675">
        <v>0</v>
      </c>
      <c r="CV2675">
        <v>6</v>
      </c>
      <c r="CW2675" t="s">
        <v>120</v>
      </c>
      <c r="CX2675">
        <v>261</v>
      </c>
      <c r="CY2675">
        <v>2</v>
      </c>
      <c r="CZ2675" t="s">
        <v>121</v>
      </c>
      <c r="DA2675" t="s">
        <v>122</v>
      </c>
      <c r="DD2675">
        <v>15919317</v>
      </c>
      <c r="DE2675" t="s">
        <v>123</v>
      </c>
    </row>
    <row r="2676" spans="1:109" x14ac:dyDescent="0.3">
      <c r="A2676" t="str">
        <f>"19:19:29.227"</f>
        <v>19:19:29.227</v>
      </c>
      <c r="B2676" t="s">
        <v>110</v>
      </c>
      <c r="C2676" t="str">
        <f t="shared" si="123"/>
        <v>ffdfd3c0</v>
      </c>
      <c r="D2676" t="s">
        <v>111</v>
      </c>
      <c r="E2676">
        <v>18</v>
      </c>
      <c r="F2676">
        <v>1018</v>
      </c>
      <c r="G2676" t="s">
        <v>112</v>
      </c>
      <c r="J2676" t="s">
        <v>113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R2676" t="s">
        <v>114</v>
      </c>
      <c r="S2676" t="str">
        <f>"19:19:29.023"</f>
        <v>19:19:29.023</v>
      </c>
      <c r="T2676" t="str">
        <f>"19:19:28.922"</f>
        <v>19:19:28.922</v>
      </c>
      <c r="U2676" t="str">
        <f t="shared" si="124"/>
        <v>a1cdbe</v>
      </c>
      <c r="V2676">
        <v>0</v>
      </c>
      <c r="W2676">
        <v>0</v>
      </c>
      <c r="X2676">
        <v>1</v>
      </c>
      <c r="Y2676">
        <v>0</v>
      </c>
      <c r="Z2676">
        <v>0</v>
      </c>
      <c r="AB2676">
        <v>0</v>
      </c>
      <c r="AC2676">
        <v>9</v>
      </c>
      <c r="AD2676">
        <v>3</v>
      </c>
      <c r="AE2676">
        <v>0</v>
      </c>
      <c r="AF2676">
        <v>9</v>
      </c>
      <c r="AG2676" t="s">
        <v>158</v>
      </c>
      <c r="AH2676">
        <v>0</v>
      </c>
      <c r="AI2676">
        <v>3</v>
      </c>
      <c r="AJ2676">
        <v>1</v>
      </c>
      <c r="AK2676">
        <v>0</v>
      </c>
      <c r="AL2676" t="s">
        <v>5045</v>
      </c>
      <c r="AM2676">
        <v>46.957841000000002</v>
      </c>
      <c r="AN2676" t="s">
        <v>5046</v>
      </c>
      <c r="AO2676">
        <v>-123.3552</v>
      </c>
      <c r="AP2676">
        <v>100</v>
      </c>
      <c r="AQ2676">
        <v>1900</v>
      </c>
      <c r="AR2676" t="s">
        <v>118</v>
      </c>
      <c r="AS2676">
        <v>-68</v>
      </c>
      <c r="AT2676">
        <v>36</v>
      </c>
      <c r="AU2676">
        <v>0</v>
      </c>
      <c r="BC2676">
        <v>1200</v>
      </c>
      <c r="BD2676">
        <v>1</v>
      </c>
      <c r="BE2676" t="str">
        <f t="shared" si="125"/>
        <v xml:space="preserve">N215T   </v>
      </c>
      <c r="BF2676">
        <v>1</v>
      </c>
      <c r="BH2676">
        <v>0</v>
      </c>
      <c r="BI2676">
        <v>0</v>
      </c>
      <c r="BJ2676">
        <v>0</v>
      </c>
      <c r="BK2676">
        <v>2325</v>
      </c>
      <c r="BL2676">
        <v>425</v>
      </c>
      <c r="BM2676" t="s">
        <v>119</v>
      </c>
      <c r="BN2676">
        <v>1</v>
      </c>
      <c r="BO2676">
        <v>1</v>
      </c>
      <c r="BP2676">
        <v>1</v>
      </c>
      <c r="BQ2676">
        <v>0</v>
      </c>
      <c r="BT2676">
        <v>0</v>
      </c>
      <c r="BU2676">
        <v>0</v>
      </c>
      <c r="BV2676">
        <v>0</v>
      </c>
      <c r="CC2676" t="str">
        <f>"19:19:29.031"</f>
        <v>19:19:29.031</v>
      </c>
      <c r="CD2676" t="str">
        <f>"029092290"</f>
        <v>029092290</v>
      </c>
      <c r="CQ2676">
        <v>0</v>
      </c>
      <c r="CR2676">
        <v>2</v>
      </c>
      <c r="CS2676">
        <v>0</v>
      </c>
      <c r="CT2676">
        <v>2</v>
      </c>
      <c r="CU2676">
        <v>0</v>
      </c>
      <c r="CV2676">
        <v>6</v>
      </c>
      <c r="CW2676" t="s">
        <v>120</v>
      </c>
      <c r="CX2676">
        <v>257</v>
      </c>
      <c r="CY2676">
        <v>0</v>
      </c>
      <c r="CZ2676" t="s">
        <v>615</v>
      </c>
      <c r="DA2676" t="s">
        <v>616</v>
      </c>
      <c r="DD2676">
        <v>16037496</v>
      </c>
      <c r="DE2676" t="s">
        <v>123</v>
      </c>
    </row>
    <row r="2677" spans="1:109" x14ac:dyDescent="0.3">
      <c r="A2677" t="str">
        <f>"19:19:30.188"</f>
        <v>19:19:30.188</v>
      </c>
      <c r="B2677" t="s">
        <v>110</v>
      </c>
      <c r="C2677" t="str">
        <f t="shared" si="123"/>
        <v>ffdfd3c0</v>
      </c>
      <c r="D2677" t="s">
        <v>111</v>
      </c>
      <c r="E2677">
        <v>18</v>
      </c>
      <c r="F2677">
        <v>1018</v>
      </c>
      <c r="G2677" t="s">
        <v>112</v>
      </c>
      <c r="J2677" t="s">
        <v>113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R2677" t="s">
        <v>114</v>
      </c>
      <c r="S2677" t="str">
        <f>"19:19:29.938"</f>
        <v>19:19:29.938</v>
      </c>
      <c r="T2677" t="str">
        <f>"19:19:29.836"</f>
        <v>19:19:29.836</v>
      </c>
      <c r="U2677" t="str">
        <f t="shared" si="124"/>
        <v>a1cdbe</v>
      </c>
      <c r="V2677">
        <v>0</v>
      </c>
      <c r="W2677">
        <v>0</v>
      </c>
      <c r="X2677">
        <v>1</v>
      </c>
      <c r="Y2677">
        <v>0</v>
      </c>
      <c r="Z2677">
        <v>0</v>
      </c>
      <c r="AB2677">
        <v>0</v>
      </c>
      <c r="AC2677">
        <v>9</v>
      </c>
      <c r="AD2677">
        <v>3</v>
      </c>
      <c r="AE2677">
        <v>0</v>
      </c>
      <c r="AF2677">
        <v>9</v>
      </c>
      <c r="AG2677" t="s">
        <v>158</v>
      </c>
      <c r="AH2677">
        <v>0</v>
      </c>
      <c r="AI2677">
        <v>3</v>
      </c>
      <c r="AJ2677">
        <v>1</v>
      </c>
      <c r="AK2677">
        <v>0</v>
      </c>
      <c r="AL2677" t="s">
        <v>5047</v>
      </c>
      <c r="AM2677">
        <v>46.957991</v>
      </c>
      <c r="AN2677" t="s">
        <v>5048</v>
      </c>
      <c r="AO2677">
        <v>-123.35562899999999</v>
      </c>
      <c r="AP2677">
        <v>100</v>
      </c>
      <c r="AQ2677">
        <v>1900</v>
      </c>
      <c r="AR2677" t="s">
        <v>118</v>
      </c>
      <c r="AS2677">
        <v>-68</v>
      </c>
      <c r="AT2677">
        <v>36</v>
      </c>
      <c r="AU2677">
        <v>0</v>
      </c>
      <c r="BC2677">
        <v>1200</v>
      </c>
      <c r="BD2677">
        <v>1</v>
      </c>
      <c r="BE2677" t="str">
        <f t="shared" si="125"/>
        <v xml:space="preserve">N215T   </v>
      </c>
      <c r="BF2677">
        <v>1</v>
      </c>
      <c r="BH2677">
        <v>0</v>
      </c>
      <c r="BI2677">
        <v>0</v>
      </c>
      <c r="BJ2677">
        <v>0</v>
      </c>
      <c r="BK2677">
        <v>2325</v>
      </c>
      <c r="BL2677">
        <v>425</v>
      </c>
      <c r="BM2677" t="s">
        <v>119</v>
      </c>
      <c r="BN2677">
        <v>1</v>
      </c>
      <c r="BO2677">
        <v>1</v>
      </c>
      <c r="BP2677">
        <v>1</v>
      </c>
      <c r="BQ2677">
        <v>0</v>
      </c>
      <c r="BT2677">
        <v>0</v>
      </c>
      <c r="BU2677">
        <v>0</v>
      </c>
      <c r="BV2677">
        <v>0</v>
      </c>
      <c r="CC2677" t="str">
        <f>"19:19:29.945"</f>
        <v>19:19:29.945</v>
      </c>
      <c r="CD2677" t="str">
        <f>"944019804"</f>
        <v>944019804</v>
      </c>
      <c r="CQ2677">
        <v>0</v>
      </c>
      <c r="CR2677">
        <v>2</v>
      </c>
      <c r="CS2677">
        <v>0</v>
      </c>
      <c r="CT2677">
        <v>2</v>
      </c>
      <c r="CU2677">
        <v>0</v>
      </c>
      <c r="CV2677">
        <v>6</v>
      </c>
      <c r="CW2677" t="s">
        <v>120</v>
      </c>
      <c r="CX2677">
        <v>261</v>
      </c>
      <c r="CY2677">
        <v>2</v>
      </c>
      <c r="CZ2677" t="s">
        <v>121</v>
      </c>
      <c r="DA2677" t="s">
        <v>122</v>
      </c>
      <c r="DD2677">
        <v>15920533</v>
      </c>
      <c r="DE2677" t="s">
        <v>123</v>
      </c>
    </row>
    <row r="2678" spans="1:109" x14ac:dyDescent="0.3">
      <c r="A2678" t="str">
        <f>"19:19:31.141"</f>
        <v>19:19:31.141</v>
      </c>
      <c r="B2678" t="s">
        <v>110</v>
      </c>
      <c r="C2678" t="str">
        <f t="shared" si="123"/>
        <v>ffdfd3c0</v>
      </c>
      <c r="D2678" t="s">
        <v>111</v>
      </c>
      <c r="E2678">
        <v>18</v>
      </c>
      <c r="F2678">
        <v>1018</v>
      </c>
      <c r="G2678" t="s">
        <v>112</v>
      </c>
      <c r="J2678" t="s">
        <v>113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R2678" t="s">
        <v>114</v>
      </c>
      <c r="S2678" t="str">
        <f>"19:19:30.883"</f>
        <v>19:19:30.883</v>
      </c>
      <c r="T2678" t="str">
        <f>"19:19:30.883"</f>
        <v>19:19:30.883</v>
      </c>
      <c r="U2678" t="str">
        <f t="shared" si="124"/>
        <v>a1cdbe</v>
      </c>
      <c r="V2678">
        <v>0</v>
      </c>
      <c r="W2678">
        <v>0</v>
      </c>
      <c r="X2678">
        <v>1</v>
      </c>
      <c r="Y2678">
        <v>0</v>
      </c>
      <c r="Z2678">
        <v>0</v>
      </c>
      <c r="AB2678">
        <v>0</v>
      </c>
      <c r="AC2678">
        <v>9</v>
      </c>
      <c r="AD2678">
        <v>3</v>
      </c>
      <c r="AE2678">
        <v>0</v>
      </c>
      <c r="AF2678">
        <v>9</v>
      </c>
      <c r="AG2678" t="s">
        <v>158</v>
      </c>
      <c r="AH2678">
        <v>0</v>
      </c>
      <c r="AI2678">
        <v>3</v>
      </c>
      <c r="AJ2678">
        <v>1</v>
      </c>
      <c r="AK2678">
        <v>0</v>
      </c>
      <c r="AL2678" t="s">
        <v>5049</v>
      </c>
      <c r="AM2678">
        <v>46.958184000000003</v>
      </c>
      <c r="AN2678" t="s">
        <v>5050</v>
      </c>
      <c r="AO2678">
        <v>-123.355994</v>
      </c>
      <c r="AP2678">
        <v>100</v>
      </c>
      <c r="AQ2678">
        <v>1900</v>
      </c>
      <c r="AR2678" t="s">
        <v>118</v>
      </c>
      <c r="AS2678">
        <v>-68</v>
      </c>
      <c r="AT2678">
        <v>36</v>
      </c>
      <c r="AU2678">
        <v>64</v>
      </c>
      <c r="BC2678">
        <v>1200</v>
      </c>
      <c r="BD2678">
        <v>1</v>
      </c>
      <c r="BE2678" t="str">
        <f t="shared" si="125"/>
        <v xml:space="preserve">N215T   </v>
      </c>
      <c r="BF2678">
        <v>1</v>
      </c>
      <c r="BH2678">
        <v>0</v>
      </c>
      <c r="BI2678">
        <v>0</v>
      </c>
      <c r="BJ2678">
        <v>0</v>
      </c>
      <c r="BK2678">
        <v>2325</v>
      </c>
      <c r="BL2678">
        <v>425</v>
      </c>
      <c r="BM2678" t="s">
        <v>119</v>
      </c>
      <c r="BN2678">
        <v>1</v>
      </c>
      <c r="BO2678">
        <v>1</v>
      </c>
      <c r="BP2678">
        <v>1</v>
      </c>
      <c r="BQ2678">
        <v>0</v>
      </c>
      <c r="BT2678">
        <v>0</v>
      </c>
      <c r="BU2678">
        <v>0</v>
      </c>
      <c r="BV2678">
        <v>0</v>
      </c>
      <c r="CC2678" t="str">
        <f>"19:19:30.891"</f>
        <v>19:19:30.891</v>
      </c>
      <c r="CD2678" t="str">
        <f>"888926728"</f>
        <v>888926728</v>
      </c>
      <c r="CQ2678">
        <v>0</v>
      </c>
      <c r="CR2678">
        <v>2</v>
      </c>
      <c r="CS2678">
        <v>0</v>
      </c>
      <c r="CT2678">
        <v>2</v>
      </c>
      <c r="CU2678">
        <v>0</v>
      </c>
      <c r="CV2678">
        <v>6</v>
      </c>
      <c r="CW2678" t="s">
        <v>120</v>
      </c>
      <c r="CX2678">
        <v>261</v>
      </c>
      <c r="CY2678">
        <v>3</v>
      </c>
      <c r="CZ2678" t="s">
        <v>121</v>
      </c>
      <c r="DA2678" t="s">
        <v>122</v>
      </c>
      <c r="DD2678">
        <v>3835423</v>
      </c>
      <c r="DE2678" t="s">
        <v>123</v>
      </c>
    </row>
    <row r="2679" spans="1:109" x14ac:dyDescent="0.3">
      <c r="A2679" t="str">
        <f>"19:19:32.094"</f>
        <v>19:19:32.094</v>
      </c>
      <c r="B2679" t="s">
        <v>110</v>
      </c>
      <c r="C2679" t="str">
        <f t="shared" si="123"/>
        <v>ffdfd3c0</v>
      </c>
      <c r="D2679" t="s">
        <v>111</v>
      </c>
      <c r="E2679">
        <v>18</v>
      </c>
      <c r="F2679">
        <v>1018</v>
      </c>
      <c r="G2679" t="s">
        <v>112</v>
      </c>
      <c r="J2679" t="s">
        <v>113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R2679" t="s">
        <v>114</v>
      </c>
      <c r="S2679" t="str">
        <f>"19:19:31.859"</f>
        <v>19:19:31.859</v>
      </c>
      <c r="T2679" t="str">
        <f>"19:19:31.461"</f>
        <v>19:19:31.461</v>
      </c>
      <c r="U2679" t="str">
        <f t="shared" si="124"/>
        <v>a1cdbe</v>
      </c>
      <c r="V2679">
        <v>0</v>
      </c>
      <c r="W2679">
        <v>0</v>
      </c>
      <c r="X2679">
        <v>1</v>
      </c>
      <c r="Y2679">
        <v>0</v>
      </c>
      <c r="Z2679">
        <v>0</v>
      </c>
      <c r="AB2679">
        <v>0</v>
      </c>
      <c r="AC2679">
        <v>9</v>
      </c>
      <c r="AD2679">
        <v>3</v>
      </c>
      <c r="AE2679">
        <v>0</v>
      </c>
      <c r="AF2679">
        <v>9</v>
      </c>
      <c r="AG2679" t="s">
        <v>158</v>
      </c>
      <c r="AH2679">
        <v>0</v>
      </c>
      <c r="AI2679">
        <v>3</v>
      </c>
      <c r="AJ2679">
        <v>1</v>
      </c>
      <c r="AK2679">
        <v>0</v>
      </c>
      <c r="AL2679" t="s">
        <v>5051</v>
      </c>
      <c r="AM2679">
        <v>46.958312999999997</v>
      </c>
      <c r="AN2679" t="s">
        <v>5052</v>
      </c>
      <c r="AO2679">
        <v>-123.356466</v>
      </c>
      <c r="AP2679">
        <v>100</v>
      </c>
      <c r="AQ2679">
        <v>1900</v>
      </c>
      <c r="AR2679" t="s">
        <v>118</v>
      </c>
      <c r="AS2679">
        <v>-68</v>
      </c>
      <c r="AT2679">
        <v>36</v>
      </c>
      <c r="AU2679">
        <v>64</v>
      </c>
      <c r="BC2679">
        <v>1200</v>
      </c>
      <c r="BD2679">
        <v>1</v>
      </c>
      <c r="BE2679" t="str">
        <f t="shared" si="125"/>
        <v xml:space="preserve">N215T   </v>
      </c>
      <c r="BF2679">
        <v>1</v>
      </c>
      <c r="BH2679">
        <v>0</v>
      </c>
      <c r="BI2679">
        <v>0</v>
      </c>
      <c r="BJ2679">
        <v>0</v>
      </c>
      <c r="BK2679">
        <v>2325</v>
      </c>
      <c r="BL2679">
        <v>425</v>
      </c>
      <c r="BM2679" t="s">
        <v>119</v>
      </c>
      <c r="BN2679">
        <v>1</v>
      </c>
      <c r="BO2679">
        <v>1</v>
      </c>
      <c r="BP2679">
        <v>1</v>
      </c>
      <c r="BQ2679">
        <v>0</v>
      </c>
      <c r="BT2679">
        <v>0</v>
      </c>
      <c r="BU2679">
        <v>0</v>
      </c>
      <c r="BV2679">
        <v>0</v>
      </c>
      <c r="CC2679" t="str">
        <f>"19:19:31.867"</f>
        <v>19:19:31.867</v>
      </c>
      <c r="CD2679" t="str">
        <f>"863830697"</f>
        <v>863830697</v>
      </c>
      <c r="CQ2679">
        <v>0</v>
      </c>
      <c r="CR2679">
        <v>2</v>
      </c>
      <c r="CS2679">
        <v>0</v>
      </c>
      <c r="CT2679">
        <v>2</v>
      </c>
      <c r="CU2679">
        <v>0</v>
      </c>
      <c r="CV2679">
        <v>7</v>
      </c>
      <c r="CW2679" t="s">
        <v>120</v>
      </c>
      <c r="CX2679">
        <v>261</v>
      </c>
      <c r="CY2679">
        <v>2</v>
      </c>
      <c r="CZ2679" t="s">
        <v>121</v>
      </c>
      <c r="DA2679" t="s">
        <v>122</v>
      </c>
      <c r="DD2679">
        <v>15921846</v>
      </c>
      <c r="DE2679" t="s">
        <v>123</v>
      </c>
    </row>
    <row r="2680" spans="1:109" x14ac:dyDescent="0.3">
      <c r="A2680" t="str">
        <f>"19:19:32.945"</f>
        <v>19:19:32.945</v>
      </c>
      <c r="B2680" t="s">
        <v>110</v>
      </c>
      <c r="C2680" t="str">
        <f t="shared" si="123"/>
        <v>ffdfd3c0</v>
      </c>
      <c r="D2680" t="s">
        <v>111</v>
      </c>
      <c r="E2680">
        <v>18</v>
      </c>
      <c r="F2680">
        <v>1018</v>
      </c>
      <c r="G2680" t="s">
        <v>112</v>
      </c>
      <c r="J2680" t="s">
        <v>113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R2680" t="s">
        <v>114</v>
      </c>
      <c r="S2680" t="str">
        <f>"19:19:32.711"</f>
        <v>19:19:32.711</v>
      </c>
      <c r="T2680" t="str">
        <f>"19:19:32.508"</f>
        <v>19:19:32.508</v>
      </c>
      <c r="U2680" t="str">
        <f t="shared" si="124"/>
        <v>a1cdbe</v>
      </c>
      <c r="V2680">
        <v>0</v>
      </c>
      <c r="W2680">
        <v>0</v>
      </c>
      <c r="X2680">
        <v>1</v>
      </c>
      <c r="Y2680">
        <v>0</v>
      </c>
      <c r="Z2680">
        <v>0</v>
      </c>
      <c r="AB2680">
        <v>0</v>
      </c>
      <c r="AC2680">
        <v>9</v>
      </c>
      <c r="AD2680">
        <v>3</v>
      </c>
      <c r="AE2680">
        <v>0</v>
      </c>
      <c r="AF2680">
        <v>9</v>
      </c>
      <c r="AG2680" t="s">
        <v>158</v>
      </c>
      <c r="AH2680">
        <v>0</v>
      </c>
      <c r="AI2680">
        <v>3</v>
      </c>
      <c r="AJ2680">
        <v>1</v>
      </c>
      <c r="AK2680">
        <v>0</v>
      </c>
      <c r="AL2680" t="s">
        <v>5053</v>
      </c>
      <c r="AM2680">
        <v>46.958463000000002</v>
      </c>
      <c r="AN2680" t="s">
        <v>5054</v>
      </c>
      <c r="AO2680">
        <v>-123.35689499999999</v>
      </c>
      <c r="AP2680">
        <v>100</v>
      </c>
      <c r="AQ2680">
        <v>1900</v>
      </c>
      <c r="AR2680" t="s">
        <v>118</v>
      </c>
      <c r="AS2680">
        <v>-68</v>
      </c>
      <c r="AT2680">
        <v>37</v>
      </c>
      <c r="AU2680">
        <v>64</v>
      </c>
      <c r="BC2680">
        <v>1200</v>
      </c>
      <c r="BD2680">
        <v>1</v>
      </c>
      <c r="BE2680" t="str">
        <f t="shared" si="125"/>
        <v xml:space="preserve">N215T   </v>
      </c>
      <c r="BF2680">
        <v>1</v>
      </c>
      <c r="BH2680">
        <v>0</v>
      </c>
      <c r="BI2680">
        <v>0</v>
      </c>
      <c r="BJ2680">
        <v>0</v>
      </c>
      <c r="BK2680">
        <v>2325</v>
      </c>
      <c r="BL2680">
        <v>425</v>
      </c>
      <c r="BM2680" t="s">
        <v>119</v>
      </c>
      <c r="BN2680">
        <v>1</v>
      </c>
      <c r="BO2680">
        <v>1</v>
      </c>
      <c r="BP2680">
        <v>1</v>
      </c>
      <c r="BQ2680">
        <v>0</v>
      </c>
      <c r="BT2680">
        <v>0</v>
      </c>
      <c r="BU2680">
        <v>0</v>
      </c>
      <c r="BV2680">
        <v>0</v>
      </c>
      <c r="CC2680" t="str">
        <f>"19:19:32.719"</f>
        <v>19:19:32.719</v>
      </c>
      <c r="CD2680" t="str">
        <f>"718746480"</f>
        <v>718746480</v>
      </c>
      <c r="CQ2680">
        <v>0</v>
      </c>
      <c r="CR2680">
        <v>2</v>
      </c>
      <c r="CS2680">
        <v>0</v>
      </c>
      <c r="CT2680">
        <v>2</v>
      </c>
      <c r="CU2680">
        <v>0</v>
      </c>
      <c r="CV2680">
        <v>7</v>
      </c>
      <c r="CW2680" t="s">
        <v>120</v>
      </c>
      <c r="CX2680">
        <v>261</v>
      </c>
      <c r="CY2680">
        <v>2</v>
      </c>
      <c r="CZ2680" t="s">
        <v>121</v>
      </c>
      <c r="DA2680" t="s">
        <v>122</v>
      </c>
      <c r="DD2680">
        <v>15922467</v>
      </c>
      <c r="DE2680" t="s">
        <v>123</v>
      </c>
    </row>
    <row r="2681" spans="1:109" x14ac:dyDescent="0.3">
      <c r="A2681" t="str">
        <f>"19:19:33.852"</f>
        <v>19:19:33.852</v>
      </c>
      <c r="B2681" t="s">
        <v>110</v>
      </c>
      <c r="C2681" t="str">
        <f t="shared" si="123"/>
        <v>ffdfd3c0</v>
      </c>
      <c r="D2681" t="s">
        <v>111</v>
      </c>
      <c r="E2681">
        <v>18</v>
      </c>
      <c r="F2681">
        <v>1018</v>
      </c>
      <c r="G2681" t="s">
        <v>112</v>
      </c>
      <c r="J2681" t="s">
        <v>113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R2681" t="s">
        <v>114</v>
      </c>
      <c r="S2681" t="str">
        <f>"19:19:33.648"</f>
        <v>19:19:33.648</v>
      </c>
      <c r="T2681" t="str">
        <f>"19:19:33.547"</f>
        <v>19:19:33.547</v>
      </c>
      <c r="U2681" t="str">
        <f t="shared" si="124"/>
        <v>a1cdbe</v>
      </c>
      <c r="V2681">
        <v>0</v>
      </c>
      <c r="W2681">
        <v>0</v>
      </c>
      <c r="X2681">
        <v>1</v>
      </c>
      <c r="Y2681">
        <v>0</v>
      </c>
      <c r="Z2681">
        <v>0</v>
      </c>
      <c r="AB2681">
        <v>0</v>
      </c>
      <c r="AC2681">
        <v>9</v>
      </c>
      <c r="AD2681">
        <v>3</v>
      </c>
      <c r="AE2681">
        <v>0</v>
      </c>
      <c r="AF2681">
        <v>9</v>
      </c>
      <c r="AG2681" t="s">
        <v>158</v>
      </c>
      <c r="AH2681">
        <v>0</v>
      </c>
      <c r="AI2681">
        <v>3</v>
      </c>
      <c r="AJ2681">
        <v>1</v>
      </c>
      <c r="AK2681">
        <v>0</v>
      </c>
      <c r="AL2681" t="s">
        <v>5055</v>
      </c>
      <c r="AM2681">
        <v>46.958635000000001</v>
      </c>
      <c r="AN2681" t="s">
        <v>5056</v>
      </c>
      <c r="AO2681">
        <v>-123.357303</v>
      </c>
      <c r="AP2681">
        <v>100</v>
      </c>
      <c r="AQ2681">
        <v>2000</v>
      </c>
      <c r="AR2681" t="s">
        <v>118</v>
      </c>
      <c r="AS2681">
        <v>-67</v>
      </c>
      <c r="AT2681">
        <v>37</v>
      </c>
      <c r="AU2681">
        <v>64</v>
      </c>
      <c r="BC2681">
        <v>1200</v>
      </c>
      <c r="BD2681">
        <v>1</v>
      </c>
      <c r="BE2681" t="str">
        <f t="shared" si="125"/>
        <v xml:space="preserve">N215T   </v>
      </c>
      <c r="BF2681">
        <v>1</v>
      </c>
      <c r="BH2681">
        <v>0</v>
      </c>
      <c r="BI2681">
        <v>0</v>
      </c>
      <c r="BJ2681">
        <v>0</v>
      </c>
      <c r="BK2681">
        <v>2225</v>
      </c>
      <c r="BL2681">
        <v>225</v>
      </c>
      <c r="BM2681" t="s">
        <v>119</v>
      </c>
      <c r="BN2681">
        <v>1</v>
      </c>
      <c r="BO2681">
        <v>1</v>
      </c>
      <c r="BP2681">
        <v>1</v>
      </c>
      <c r="BQ2681">
        <v>0</v>
      </c>
      <c r="BT2681">
        <v>0</v>
      </c>
      <c r="BU2681">
        <v>0</v>
      </c>
      <c r="BV2681">
        <v>0</v>
      </c>
      <c r="CC2681" t="str">
        <f>"19:19:33.648"</f>
        <v>19:19:33.648</v>
      </c>
      <c r="CD2681" t="str">
        <f>"648654883"</f>
        <v>648654883</v>
      </c>
      <c r="CQ2681">
        <v>0</v>
      </c>
      <c r="CR2681">
        <v>2</v>
      </c>
      <c r="CS2681">
        <v>0</v>
      </c>
      <c r="CT2681">
        <v>2</v>
      </c>
      <c r="CU2681">
        <v>0</v>
      </c>
      <c r="CV2681">
        <v>7</v>
      </c>
      <c r="CW2681" t="s">
        <v>120</v>
      </c>
      <c r="CX2681">
        <v>261</v>
      </c>
      <c r="CY2681">
        <v>2</v>
      </c>
      <c r="CZ2681" t="s">
        <v>121</v>
      </c>
      <c r="DA2681" t="s">
        <v>122</v>
      </c>
      <c r="DD2681">
        <v>15923123</v>
      </c>
      <c r="DE2681" t="s">
        <v>123</v>
      </c>
    </row>
    <row r="2682" spans="1:109" x14ac:dyDescent="0.3">
      <c r="A2682" t="str">
        <f>"19:19:34.961"</f>
        <v>19:19:34.961</v>
      </c>
      <c r="B2682" t="s">
        <v>110</v>
      </c>
      <c r="C2682" t="str">
        <f t="shared" si="123"/>
        <v>ffdfd3c0</v>
      </c>
      <c r="D2682" t="s">
        <v>111</v>
      </c>
      <c r="E2682">
        <v>18</v>
      </c>
      <c r="F2682">
        <v>1018</v>
      </c>
      <c r="G2682" t="s">
        <v>112</v>
      </c>
      <c r="J2682" t="s">
        <v>113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R2682" t="s">
        <v>114</v>
      </c>
      <c r="S2682" t="str">
        <f>"19:19:34.727"</f>
        <v>19:19:34.727</v>
      </c>
      <c r="T2682" t="str">
        <f>"19:19:34.727"</f>
        <v>19:19:34.727</v>
      </c>
      <c r="U2682" t="str">
        <f t="shared" si="124"/>
        <v>a1cdbe</v>
      </c>
      <c r="V2682">
        <v>0</v>
      </c>
      <c r="W2682">
        <v>0</v>
      </c>
      <c r="X2682">
        <v>1</v>
      </c>
      <c r="Y2682">
        <v>0</v>
      </c>
      <c r="Z2682">
        <v>0</v>
      </c>
      <c r="AB2682">
        <v>0</v>
      </c>
      <c r="AC2682">
        <v>9</v>
      </c>
      <c r="AD2682">
        <v>3</v>
      </c>
      <c r="AE2682">
        <v>0</v>
      </c>
      <c r="AF2682">
        <v>9</v>
      </c>
      <c r="AG2682" t="s">
        <v>158</v>
      </c>
      <c r="AH2682">
        <v>0</v>
      </c>
      <c r="AI2682">
        <v>3</v>
      </c>
      <c r="AJ2682">
        <v>1</v>
      </c>
      <c r="AK2682">
        <v>0</v>
      </c>
      <c r="AL2682" t="s">
        <v>1055</v>
      </c>
      <c r="AM2682">
        <v>46.958827999999997</v>
      </c>
      <c r="AN2682" t="s">
        <v>5057</v>
      </c>
      <c r="AO2682">
        <v>-123.35779700000001</v>
      </c>
      <c r="AP2682">
        <v>100</v>
      </c>
      <c r="AQ2682">
        <v>2000</v>
      </c>
      <c r="AR2682" t="s">
        <v>118</v>
      </c>
      <c r="AS2682">
        <v>-67</v>
      </c>
      <c r="AT2682">
        <v>37</v>
      </c>
      <c r="AU2682">
        <v>64</v>
      </c>
      <c r="BC2682">
        <v>1200</v>
      </c>
      <c r="BD2682">
        <v>1</v>
      </c>
      <c r="BE2682" t="str">
        <f t="shared" si="125"/>
        <v xml:space="preserve">N215T   </v>
      </c>
      <c r="BF2682">
        <v>1</v>
      </c>
      <c r="BH2682">
        <v>0</v>
      </c>
      <c r="BI2682">
        <v>0</v>
      </c>
      <c r="BJ2682">
        <v>0</v>
      </c>
      <c r="BK2682">
        <v>2325</v>
      </c>
      <c r="BL2682">
        <v>325</v>
      </c>
      <c r="BM2682" t="s">
        <v>119</v>
      </c>
      <c r="BN2682">
        <v>1</v>
      </c>
      <c r="BO2682">
        <v>1</v>
      </c>
      <c r="BP2682">
        <v>1</v>
      </c>
      <c r="BQ2682">
        <v>0</v>
      </c>
      <c r="BT2682">
        <v>0</v>
      </c>
      <c r="BU2682">
        <v>0</v>
      </c>
      <c r="BV2682">
        <v>0</v>
      </c>
      <c r="CC2682" t="str">
        <f>"19:19:34.727"</f>
        <v>19:19:34.727</v>
      </c>
      <c r="CD2682" t="str">
        <f>"728548515"</f>
        <v>728548515</v>
      </c>
      <c r="CQ2682">
        <v>0</v>
      </c>
      <c r="CR2682">
        <v>2</v>
      </c>
      <c r="CS2682">
        <v>0</v>
      </c>
      <c r="CT2682">
        <v>2</v>
      </c>
      <c r="CU2682">
        <v>0</v>
      </c>
      <c r="CV2682">
        <v>7</v>
      </c>
      <c r="CW2682" t="s">
        <v>120</v>
      </c>
      <c r="CX2682">
        <v>261</v>
      </c>
      <c r="CY2682">
        <v>2</v>
      </c>
      <c r="CZ2682" t="s">
        <v>121</v>
      </c>
      <c r="DA2682" t="s">
        <v>122</v>
      </c>
      <c r="DD2682">
        <v>15923880</v>
      </c>
      <c r="DE2682" t="s">
        <v>123</v>
      </c>
    </row>
    <row r="2683" spans="1:109" x14ac:dyDescent="0.3">
      <c r="A2683" t="str">
        <f>"19:19:35.969"</f>
        <v>19:19:35.969</v>
      </c>
      <c r="B2683" t="s">
        <v>110</v>
      </c>
      <c r="C2683" t="str">
        <f t="shared" si="123"/>
        <v>ffdfd3c0</v>
      </c>
      <c r="D2683" t="s">
        <v>111</v>
      </c>
      <c r="E2683">
        <v>18</v>
      </c>
      <c r="F2683">
        <v>1018</v>
      </c>
      <c r="G2683" t="s">
        <v>112</v>
      </c>
      <c r="J2683" t="s">
        <v>113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R2683" t="s">
        <v>114</v>
      </c>
      <c r="S2683" t="str">
        <f>"19:19:35.703"</f>
        <v>19:19:35.703</v>
      </c>
      <c r="T2683" t="str">
        <f>"19:19:35.203"</f>
        <v>19:19:35.203</v>
      </c>
      <c r="U2683" t="str">
        <f t="shared" si="124"/>
        <v>a1cdbe</v>
      </c>
      <c r="V2683">
        <v>0</v>
      </c>
      <c r="W2683">
        <v>0</v>
      </c>
      <c r="X2683">
        <v>1</v>
      </c>
      <c r="Y2683">
        <v>0</v>
      </c>
      <c r="Z2683">
        <v>0</v>
      </c>
      <c r="AB2683">
        <v>0</v>
      </c>
      <c r="AC2683">
        <v>9</v>
      </c>
      <c r="AD2683">
        <v>3</v>
      </c>
      <c r="AE2683">
        <v>0</v>
      </c>
      <c r="AF2683">
        <v>9</v>
      </c>
      <c r="AG2683" t="s">
        <v>158</v>
      </c>
      <c r="AH2683">
        <v>0</v>
      </c>
      <c r="AI2683">
        <v>3</v>
      </c>
      <c r="AJ2683">
        <v>1</v>
      </c>
      <c r="AK2683">
        <v>0</v>
      </c>
      <c r="AL2683" t="s">
        <v>5058</v>
      </c>
      <c r="AM2683">
        <v>46.959000000000003</v>
      </c>
      <c r="AN2683" t="s">
        <v>5059</v>
      </c>
      <c r="AO2683">
        <v>-123.358204</v>
      </c>
      <c r="AP2683">
        <v>100</v>
      </c>
      <c r="AQ2683">
        <v>2000</v>
      </c>
      <c r="AR2683" t="s">
        <v>118</v>
      </c>
      <c r="AS2683">
        <v>-67</v>
      </c>
      <c r="AT2683">
        <v>37</v>
      </c>
      <c r="AU2683">
        <v>64</v>
      </c>
      <c r="BC2683">
        <v>1200</v>
      </c>
      <c r="BD2683">
        <v>1</v>
      </c>
      <c r="BE2683" t="str">
        <f t="shared" si="125"/>
        <v xml:space="preserve">N215T   </v>
      </c>
      <c r="BF2683">
        <v>1</v>
      </c>
      <c r="BH2683">
        <v>0</v>
      </c>
      <c r="BI2683">
        <v>0</v>
      </c>
      <c r="BJ2683">
        <v>0</v>
      </c>
      <c r="BK2683">
        <v>2350</v>
      </c>
      <c r="BL2683">
        <v>350</v>
      </c>
      <c r="BM2683" t="s">
        <v>119</v>
      </c>
      <c r="BN2683">
        <v>1</v>
      </c>
      <c r="BO2683">
        <v>1</v>
      </c>
      <c r="BP2683">
        <v>1</v>
      </c>
      <c r="BQ2683">
        <v>0</v>
      </c>
      <c r="BT2683">
        <v>0</v>
      </c>
      <c r="BU2683">
        <v>0</v>
      </c>
      <c r="BV2683">
        <v>0</v>
      </c>
      <c r="CC2683" t="str">
        <f>"19:19:35.703"</f>
        <v>19:19:35.703</v>
      </c>
      <c r="CD2683" t="str">
        <f>"703452483"</f>
        <v>703452483</v>
      </c>
      <c r="CQ2683">
        <v>0</v>
      </c>
      <c r="CR2683">
        <v>2</v>
      </c>
      <c r="CS2683">
        <v>0</v>
      </c>
      <c r="CT2683">
        <v>2</v>
      </c>
      <c r="CU2683">
        <v>0</v>
      </c>
      <c r="CV2683">
        <v>6</v>
      </c>
      <c r="CW2683" t="s">
        <v>120</v>
      </c>
      <c r="CX2683">
        <v>261</v>
      </c>
      <c r="CY2683">
        <v>3</v>
      </c>
      <c r="CZ2683" t="s">
        <v>121</v>
      </c>
      <c r="DA2683" t="s">
        <v>122</v>
      </c>
      <c r="DD2683">
        <v>3836647</v>
      </c>
      <c r="DE2683" t="s">
        <v>123</v>
      </c>
    </row>
    <row r="2684" spans="1:109" x14ac:dyDescent="0.3">
      <c r="A2684" t="str">
        <f>"19:19:36.969"</f>
        <v>19:19:36.969</v>
      </c>
      <c r="B2684" t="s">
        <v>110</v>
      </c>
      <c r="C2684" t="str">
        <f t="shared" si="123"/>
        <v>ffdfd3c0</v>
      </c>
      <c r="D2684" t="s">
        <v>111</v>
      </c>
      <c r="E2684">
        <v>18</v>
      </c>
      <c r="F2684">
        <v>1018</v>
      </c>
      <c r="G2684" t="s">
        <v>112</v>
      </c>
      <c r="J2684" t="s">
        <v>113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R2684" t="s">
        <v>114</v>
      </c>
      <c r="S2684" t="str">
        <f>"19:19:36.734"</f>
        <v>19:19:36.734</v>
      </c>
      <c r="T2684" t="str">
        <f>"19:19:36.633"</f>
        <v>19:19:36.633</v>
      </c>
      <c r="U2684" t="str">
        <f t="shared" si="124"/>
        <v>a1cdbe</v>
      </c>
      <c r="V2684">
        <v>0</v>
      </c>
      <c r="W2684">
        <v>0</v>
      </c>
      <c r="X2684">
        <v>1</v>
      </c>
      <c r="Y2684">
        <v>0</v>
      </c>
      <c r="Z2684">
        <v>0</v>
      </c>
      <c r="AB2684">
        <v>0</v>
      </c>
      <c r="AC2684">
        <v>9</v>
      </c>
      <c r="AD2684">
        <v>3</v>
      </c>
      <c r="AE2684">
        <v>0</v>
      </c>
      <c r="AF2684">
        <v>9</v>
      </c>
      <c r="AG2684" t="s">
        <v>158</v>
      </c>
      <c r="AH2684">
        <v>0</v>
      </c>
      <c r="AI2684">
        <v>3</v>
      </c>
      <c r="AJ2684">
        <v>1</v>
      </c>
      <c r="AK2684">
        <v>0</v>
      </c>
      <c r="AL2684" t="s">
        <v>5060</v>
      </c>
      <c r="AM2684">
        <v>46.959150000000001</v>
      </c>
      <c r="AN2684" t="s">
        <v>5061</v>
      </c>
      <c r="AO2684">
        <v>-123.35871899999999</v>
      </c>
      <c r="AP2684">
        <v>100</v>
      </c>
      <c r="AQ2684">
        <v>2000</v>
      </c>
      <c r="AR2684" t="s">
        <v>118</v>
      </c>
      <c r="AS2684">
        <v>-66</v>
      </c>
      <c r="AT2684">
        <v>37</v>
      </c>
      <c r="AU2684">
        <v>128</v>
      </c>
      <c r="BC2684">
        <v>1200</v>
      </c>
      <c r="BD2684">
        <v>1</v>
      </c>
      <c r="BE2684" t="str">
        <f t="shared" si="125"/>
        <v xml:space="preserve">N215T   </v>
      </c>
      <c r="BF2684">
        <v>1</v>
      </c>
      <c r="BH2684">
        <v>0</v>
      </c>
      <c r="BI2684">
        <v>0</v>
      </c>
      <c r="BJ2684">
        <v>0</v>
      </c>
      <c r="BK2684">
        <v>2350</v>
      </c>
      <c r="BL2684">
        <v>350</v>
      </c>
      <c r="BM2684" t="s">
        <v>119</v>
      </c>
      <c r="BN2684">
        <v>1</v>
      </c>
      <c r="BO2684">
        <v>1</v>
      </c>
      <c r="BP2684">
        <v>1</v>
      </c>
      <c r="BQ2684">
        <v>0</v>
      </c>
      <c r="BT2684">
        <v>0</v>
      </c>
      <c r="BU2684">
        <v>0</v>
      </c>
      <c r="BV2684">
        <v>0</v>
      </c>
      <c r="CC2684" t="str">
        <f>"19:19:36.742"</f>
        <v>19:19:36.742</v>
      </c>
      <c r="CD2684" t="str">
        <f>"738332739"</f>
        <v>738332739</v>
      </c>
      <c r="CQ2684">
        <v>0</v>
      </c>
      <c r="CR2684">
        <v>2</v>
      </c>
      <c r="CS2684">
        <v>0</v>
      </c>
      <c r="CT2684">
        <v>2</v>
      </c>
      <c r="CU2684">
        <v>0</v>
      </c>
      <c r="CV2684">
        <v>6</v>
      </c>
      <c r="CW2684" t="s">
        <v>120</v>
      </c>
      <c r="CX2684">
        <v>257</v>
      </c>
      <c r="CY2684">
        <v>0</v>
      </c>
      <c r="CZ2684" t="s">
        <v>615</v>
      </c>
      <c r="DA2684" t="s">
        <v>616</v>
      </c>
      <c r="DD2684">
        <v>16041709</v>
      </c>
      <c r="DE2684" t="s">
        <v>123</v>
      </c>
    </row>
    <row r="2685" spans="1:109" x14ac:dyDescent="0.3">
      <c r="A2685" t="str">
        <f>"19:19:38.125"</f>
        <v>19:19:38.125</v>
      </c>
      <c r="B2685" t="s">
        <v>110</v>
      </c>
      <c r="C2685" t="str">
        <f t="shared" si="123"/>
        <v>ffdfd3c0</v>
      </c>
      <c r="D2685" t="s">
        <v>111</v>
      </c>
      <c r="E2685">
        <v>18</v>
      </c>
      <c r="F2685">
        <v>1018</v>
      </c>
      <c r="G2685" t="s">
        <v>112</v>
      </c>
      <c r="J2685" t="s">
        <v>113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R2685" t="s">
        <v>114</v>
      </c>
      <c r="S2685" t="str">
        <f>"19:19:37.891"</f>
        <v>19:19:37.891</v>
      </c>
      <c r="T2685" t="str">
        <f>"19:19:37.492"</f>
        <v>19:19:37.492</v>
      </c>
      <c r="U2685" t="str">
        <f t="shared" si="124"/>
        <v>a1cdbe</v>
      </c>
      <c r="V2685">
        <v>0</v>
      </c>
      <c r="W2685">
        <v>0</v>
      </c>
      <c r="X2685">
        <v>1</v>
      </c>
      <c r="Y2685">
        <v>0</v>
      </c>
      <c r="Z2685">
        <v>0</v>
      </c>
      <c r="AB2685">
        <v>0</v>
      </c>
      <c r="AC2685">
        <v>9</v>
      </c>
      <c r="AD2685">
        <v>3</v>
      </c>
      <c r="AE2685">
        <v>0</v>
      </c>
      <c r="AF2685">
        <v>9</v>
      </c>
      <c r="AG2685" t="s">
        <v>158</v>
      </c>
      <c r="AH2685">
        <v>0</v>
      </c>
      <c r="AI2685">
        <v>3</v>
      </c>
      <c r="AJ2685">
        <v>1</v>
      </c>
      <c r="AK2685">
        <v>0</v>
      </c>
      <c r="AL2685" t="s">
        <v>5062</v>
      </c>
      <c r="AM2685">
        <v>46.959342999999997</v>
      </c>
      <c r="AN2685" t="s">
        <v>5063</v>
      </c>
      <c r="AO2685">
        <v>-123.359213</v>
      </c>
      <c r="AP2685">
        <v>100</v>
      </c>
      <c r="AQ2685">
        <v>2000</v>
      </c>
      <c r="AR2685" t="s">
        <v>118</v>
      </c>
      <c r="AS2685">
        <v>-66</v>
      </c>
      <c r="AT2685">
        <v>37</v>
      </c>
      <c r="AU2685">
        <v>128</v>
      </c>
      <c r="BC2685">
        <v>1200</v>
      </c>
      <c r="BD2685">
        <v>1</v>
      </c>
      <c r="BE2685" t="str">
        <f t="shared" si="125"/>
        <v xml:space="preserve">N215T   </v>
      </c>
      <c r="BF2685">
        <v>1</v>
      </c>
      <c r="BH2685">
        <v>0</v>
      </c>
      <c r="BI2685">
        <v>0</v>
      </c>
      <c r="BJ2685">
        <v>0</v>
      </c>
      <c r="BK2685">
        <v>2350</v>
      </c>
      <c r="BL2685">
        <v>350</v>
      </c>
      <c r="BM2685" t="s">
        <v>119</v>
      </c>
      <c r="BN2685">
        <v>1</v>
      </c>
      <c r="BO2685">
        <v>1</v>
      </c>
      <c r="BP2685">
        <v>1</v>
      </c>
      <c r="BQ2685">
        <v>0</v>
      </c>
      <c r="BT2685">
        <v>0</v>
      </c>
      <c r="BU2685">
        <v>0</v>
      </c>
      <c r="BV2685">
        <v>0</v>
      </c>
      <c r="CC2685" t="str">
        <f>"19:19:37.891"</f>
        <v>19:19:37.891</v>
      </c>
      <c r="CD2685" t="str">
        <f>"893236771"</f>
        <v>893236771</v>
      </c>
      <c r="CQ2685">
        <v>0</v>
      </c>
      <c r="CR2685">
        <v>2</v>
      </c>
      <c r="CS2685">
        <v>0</v>
      </c>
      <c r="CT2685">
        <v>2</v>
      </c>
      <c r="CU2685">
        <v>0</v>
      </c>
      <c r="CV2685">
        <v>7</v>
      </c>
      <c r="CW2685" t="s">
        <v>120</v>
      </c>
      <c r="CX2685">
        <v>261</v>
      </c>
      <c r="CY2685">
        <v>2</v>
      </c>
      <c r="CZ2685" t="s">
        <v>121</v>
      </c>
      <c r="DA2685" t="s">
        <v>122</v>
      </c>
      <c r="DD2685">
        <v>15926052</v>
      </c>
      <c r="DE2685" t="s">
        <v>123</v>
      </c>
    </row>
    <row r="2686" spans="1:109" x14ac:dyDescent="0.3">
      <c r="A2686" t="str">
        <f>"19:19:39.133"</f>
        <v>19:19:39.133</v>
      </c>
      <c r="B2686" t="s">
        <v>110</v>
      </c>
      <c r="C2686" t="str">
        <f t="shared" si="123"/>
        <v>ffdfd3c0</v>
      </c>
      <c r="D2686" t="s">
        <v>111</v>
      </c>
      <c r="E2686">
        <v>18</v>
      </c>
      <c r="F2686">
        <v>1018</v>
      </c>
      <c r="G2686" t="s">
        <v>112</v>
      </c>
      <c r="J2686" t="s">
        <v>113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R2686" t="s">
        <v>114</v>
      </c>
      <c r="S2686" t="str">
        <f>"19:19:38.906"</f>
        <v>19:19:38.906</v>
      </c>
      <c r="T2686" t="str">
        <f>"19:19:38.906"</f>
        <v>19:19:38.906</v>
      </c>
      <c r="U2686" t="str">
        <f t="shared" si="124"/>
        <v>a1cdbe</v>
      </c>
      <c r="V2686">
        <v>0</v>
      </c>
      <c r="W2686">
        <v>0</v>
      </c>
      <c r="X2686">
        <v>1</v>
      </c>
      <c r="Y2686">
        <v>0</v>
      </c>
      <c r="Z2686">
        <v>0</v>
      </c>
      <c r="AB2686">
        <v>0</v>
      </c>
      <c r="AC2686">
        <v>9</v>
      </c>
      <c r="AD2686">
        <v>3</v>
      </c>
      <c r="AE2686">
        <v>0</v>
      </c>
      <c r="AF2686">
        <v>9</v>
      </c>
      <c r="AG2686" t="s">
        <v>158</v>
      </c>
      <c r="AH2686">
        <v>0</v>
      </c>
      <c r="AI2686">
        <v>3</v>
      </c>
      <c r="AJ2686">
        <v>1</v>
      </c>
      <c r="AK2686">
        <v>0</v>
      </c>
      <c r="AL2686" t="s">
        <v>5064</v>
      </c>
      <c r="AM2686">
        <v>46.959558000000001</v>
      </c>
      <c r="AN2686" t="s">
        <v>5065</v>
      </c>
      <c r="AO2686">
        <v>-123.35964199999999</v>
      </c>
      <c r="AP2686">
        <v>100</v>
      </c>
      <c r="AQ2686">
        <v>2000</v>
      </c>
      <c r="AR2686" t="s">
        <v>118</v>
      </c>
      <c r="AS2686">
        <v>-66</v>
      </c>
      <c r="AT2686">
        <v>37</v>
      </c>
      <c r="AU2686">
        <v>128</v>
      </c>
      <c r="BC2686">
        <v>1200</v>
      </c>
      <c r="BD2686">
        <v>1</v>
      </c>
      <c r="BE2686" t="str">
        <f t="shared" si="125"/>
        <v xml:space="preserve">N215T   </v>
      </c>
      <c r="BF2686">
        <v>1</v>
      </c>
      <c r="BH2686">
        <v>0</v>
      </c>
      <c r="BI2686">
        <v>0</v>
      </c>
      <c r="BJ2686">
        <v>0</v>
      </c>
      <c r="BK2686">
        <v>2350</v>
      </c>
      <c r="BL2686">
        <v>350</v>
      </c>
      <c r="BM2686" t="s">
        <v>119</v>
      </c>
      <c r="BN2686">
        <v>1</v>
      </c>
      <c r="BO2686">
        <v>1</v>
      </c>
      <c r="BP2686">
        <v>1</v>
      </c>
      <c r="BQ2686">
        <v>0</v>
      </c>
      <c r="BT2686">
        <v>0</v>
      </c>
      <c r="BU2686">
        <v>0</v>
      </c>
      <c r="BV2686">
        <v>0</v>
      </c>
      <c r="CC2686" t="str">
        <f>"19:19:38.914"</f>
        <v>19:19:38.914</v>
      </c>
      <c r="CD2686" t="str">
        <f>"913136304"</f>
        <v>913136304</v>
      </c>
      <c r="CQ2686">
        <v>0</v>
      </c>
      <c r="CR2686">
        <v>2</v>
      </c>
      <c r="CS2686">
        <v>0</v>
      </c>
      <c r="CT2686">
        <v>2</v>
      </c>
      <c r="CU2686">
        <v>0</v>
      </c>
      <c r="CV2686">
        <v>7</v>
      </c>
      <c r="CW2686" t="s">
        <v>120</v>
      </c>
      <c r="CX2686">
        <v>261</v>
      </c>
      <c r="CY2686">
        <v>2</v>
      </c>
      <c r="CZ2686" t="s">
        <v>121</v>
      </c>
      <c r="DA2686" t="s">
        <v>122</v>
      </c>
      <c r="DD2686">
        <v>15926774</v>
      </c>
      <c r="DE2686" t="s">
        <v>123</v>
      </c>
    </row>
    <row r="2687" spans="1:109" x14ac:dyDescent="0.3">
      <c r="A2687" t="str">
        <f>"19:19:40.094"</f>
        <v>19:19:40.094</v>
      </c>
      <c r="B2687" t="s">
        <v>110</v>
      </c>
      <c r="C2687" t="str">
        <f t="shared" si="123"/>
        <v>ffdfd3c0</v>
      </c>
      <c r="D2687" t="s">
        <v>111</v>
      </c>
      <c r="E2687">
        <v>18</v>
      </c>
      <c r="F2687">
        <v>1018</v>
      </c>
      <c r="G2687" t="s">
        <v>112</v>
      </c>
      <c r="J2687" t="s">
        <v>113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R2687" t="s">
        <v>114</v>
      </c>
      <c r="S2687" t="str">
        <f>"19:19:39.867"</f>
        <v>19:19:39.867</v>
      </c>
      <c r="T2687" t="str">
        <f>"19:19:39.469"</f>
        <v>19:19:39.469</v>
      </c>
      <c r="U2687" t="str">
        <f t="shared" si="124"/>
        <v>a1cdbe</v>
      </c>
      <c r="V2687">
        <v>0</v>
      </c>
      <c r="W2687">
        <v>0</v>
      </c>
      <c r="X2687">
        <v>1</v>
      </c>
      <c r="Y2687">
        <v>0</v>
      </c>
      <c r="Z2687">
        <v>0</v>
      </c>
      <c r="AB2687">
        <v>0</v>
      </c>
      <c r="AC2687">
        <v>9</v>
      </c>
      <c r="AD2687">
        <v>3</v>
      </c>
      <c r="AE2687">
        <v>0</v>
      </c>
      <c r="AF2687">
        <v>9</v>
      </c>
      <c r="AG2687" t="s">
        <v>158</v>
      </c>
      <c r="AH2687">
        <v>0</v>
      </c>
      <c r="AI2687">
        <v>3</v>
      </c>
      <c r="AJ2687">
        <v>1</v>
      </c>
      <c r="AK2687">
        <v>0</v>
      </c>
      <c r="AL2687" t="s">
        <v>5066</v>
      </c>
      <c r="AM2687">
        <v>46.959707999999999</v>
      </c>
      <c r="AN2687" t="s">
        <v>5067</v>
      </c>
      <c r="AO2687">
        <v>-123.36005</v>
      </c>
      <c r="AP2687">
        <v>100</v>
      </c>
      <c r="AQ2687">
        <v>2000</v>
      </c>
      <c r="AR2687" t="s">
        <v>118</v>
      </c>
      <c r="AS2687">
        <v>-66</v>
      </c>
      <c r="AT2687">
        <v>38</v>
      </c>
      <c r="AU2687">
        <v>128</v>
      </c>
      <c r="BC2687">
        <v>1200</v>
      </c>
      <c r="BD2687">
        <v>1</v>
      </c>
      <c r="BE2687" t="str">
        <f t="shared" si="125"/>
        <v xml:space="preserve">N215T   </v>
      </c>
      <c r="BF2687">
        <v>1</v>
      </c>
      <c r="BH2687">
        <v>0</v>
      </c>
      <c r="BI2687">
        <v>0</v>
      </c>
      <c r="BJ2687">
        <v>0</v>
      </c>
      <c r="BK2687">
        <v>2350</v>
      </c>
      <c r="BL2687">
        <v>350</v>
      </c>
      <c r="BM2687" t="s">
        <v>119</v>
      </c>
      <c r="BN2687">
        <v>1</v>
      </c>
      <c r="BO2687">
        <v>1</v>
      </c>
      <c r="BP2687">
        <v>1</v>
      </c>
      <c r="BQ2687">
        <v>0</v>
      </c>
      <c r="BT2687">
        <v>0</v>
      </c>
      <c r="BU2687">
        <v>0</v>
      </c>
      <c r="BV2687">
        <v>0</v>
      </c>
      <c r="CC2687" t="str">
        <f>"19:19:39.875"</f>
        <v>19:19:39.875</v>
      </c>
      <c r="CD2687" t="str">
        <f>"873041742"</f>
        <v>873041742</v>
      </c>
      <c r="CQ2687">
        <v>0</v>
      </c>
      <c r="CR2687">
        <v>2</v>
      </c>
      <c r="CS2687">
        <v>0</v>
      </c>
      <c r="CT2687">
        <v>2</v>
      </c>
      <c r="CU2687">
        <v>0</v>
      </c>
      <c r="CV2687">
        <v>7</v>
      </c>
      <c r="CW2687" t="s">
        <v>120</v>
      </c>
      <c r="CX2687">
        <v>261</v>
      </c>
      <c r="CY2687">
        <v>2</v>
      </c>
      <c r="CZ2687" t="s">
        <v>121</v>
      </c>
      <c r="DA2687" t="s">
        <v>122</v>
      </c>
      <c r="DD2687">
        <v>15927415</v>
      </c>
      <c r="DE2687" t="s">
        <v>123</v>
      </c>
    </row>
    <row r="2688" spans="1:109" x14ac:dyDescent="0.3">
      <c r="A2688" t="str">
        <f>"19:19:41.148"</f>
        <v>19:19:41.148</v>
      </c>
      <c r="B2688" t="s">
        <v>110</v>
      </c>
      <c r="C2688" t="str">
        <f t="shared" si="123"/>
        <v>ffdfd3c0</v>
      </c>
      <c r="D2688" t="s">
        <v>111</v>
      </c>
      <c r="E2688">
        <v>18</v>
      </c>
      <c r="F2688">
        <v>1018</v>
      </c>
      <c r="G2688" t="s">
        <v>112</v>
      </c>
      <c r="J2688" t="s">
        <v>113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R2688" t="s">
        <v>114</v>
      </c>
      <c r="S2688" t="str">
        <f>"19:19:40.906"</f>
        <v>19:19:40.906</v>
      </c>
      <c r="T2688" t="str">
        <f>"19:19:40.906"</f>
        <v>19:19:40.906</v>
      </c>
      <c r="U2688" t="str">
        <f t="shared" si="124"/>
        <v>a1cdbe</v>
      </c>
      <c r="V2688">
        <v>0</v>
      </c>
      <c r="W2688">
        <v>0</v>
      </c>
      <c r="X2688">
        <v>1</v>
      </c>
      <c r="Y2688">
        <v>0</v>
      </c>
      <c r="Z2688">
        <v>0</v>
      </c>
      <c r="AB2688">
        <v>0</v>
      </c>
      <c r="AC2688">
        <v>9</v>
      </c>
      <c r="AD2688">
        <v>3</v>
      </c>
      <c r="AE2688">
        <v>0</v>
      </c>
      <c r="AF2688">
        <v>9</v>
      </c>
      <c r="AG2688" t="s">
        <v>158</v>
      </c>
      <c r="AH2688">
        <v>0</v>
      </c>
      <c r="AI2688">
        <v>3</v>
      </c>
      <c r="AJ2688">
        <v>1</v>
      </c>
      <c r="AK2688">
        <v>0</v>
      </c>
      <c r="AL2688" t="s">
        <v>1049</v>
      </c>
      <c r="AM2688">
        <v>46.959879000000001</v>
      </c>
      <c r="AN2688" t="s">
        <v>5068</v>
      </c>
      <c r="AO2688">
        <v>-123.36054300000001</v>
      </c>
      <c r="AP2688">
        <v>100</v>
      </c>
      <c r="AQ2688">
        <v>2000</v>
      </c>
      <c r="AR2688" t="s">
        <v>118</v>
      </c>
      <c r="AS2688">
        <v>-66</v>
      </c>
      <c r="AT2688">
        <v>38</v>
      </c>
      <c r="AU2688">
        <v>64</v>
      </c>
      <c r="BC2688">
        <v>1200</v>
      </c>
      <c r="BD2688">
        <v>1</v>
      </c>
      <c r="BE2688" t="str">
        <f t="shared" si="125"/>
        <v xml:space="preserve">N215T   </v>
      </c>
      <c r="BF2688">
        <v>1</v>
      </c>
      <c r="BH2688">
        <v>0</v>
      </c>
      <c r="BI2688">
        <v>0</v>
      </c>
      <c r="BJ2688">
        <v>0</v>
      </c>
      <c r="BK2688">
        <v>2350</v>
      </c>
      <c r="BL2688">
        <v>350</v>
      </c>
      <c r="BM2688" t="s">
        <v>119</v>
      </c>
      <c r="BN2688">
        <v>1</v>
      </c>
      <c r="BO2688">
        <v>1</v>
      </c>
      <c r="BP2688">
        <v>1</v>
      </c>
      <c r="BQ2688">
        <v>0</v>
      </c>
      <c r="BT2688">
        <v>0</v>
      </c>
      <c r="BU2688">
        <v>0</v>
      </c>
      <c r="BV2688">
        <v>0</v>
      </c>
      <c r="CC2688" t="str">
        <f>"19:19:40.906"</f>
        <v>19:19:40.906</v>
      </c>
      <c r="CD2688" t="str">
        <f>"907939798"</f>
        <v>907939798</v>
      </c>
      <c r="CQ2688">
        <v>0</v>
      </c>
      <c r="CR2688">
        <v>2</v>
      </c>
      <c r="CS2688">
        <v>0</v>
      </c>
      <c r="CT2688">
        <v>2</v>
      </c>
      <c r="CU2688">
        <v>0</v>
      </c>
      <c r="CV2688">
        <v>7</v>
      </c>
      <c r="CW2688" t="s">
        <v>120</v>
      </c>
      <c r="CX2688">
        <v>261</v>
      </c>
      <c r="CY2688">
        <v>2</v>
      </c>
      <c r="CZ2688" t="s">
        <v>121</v>
      </c>
      <c r="DA2688" t="s">
        <v>122</v>
      </c>
      <c r="DD2688">
        <v>15928110</v>
      </c>
      <c r="DE2688" t="s">
        <v>123</v>
      </c>
    </row>
    <row r="2689" spans="1:109" x14ac:dyDescent="0.3">
      <c r="A2689" t="str">
        <f>"19:19:42.102"</f>
        <v>19:19:42.102</v>
      </c>
      <c r="B2689" t="s">
        <v>110</v>
      </c>
      <c r="C2689" t="str">
        <f t="shared" si="123"/>
        <v>ffdfd3c0</v>
      </c>
      <c r="D2689" t="s">
        <v>111</v>
      </c>
      <c r="E2689">
        <v>18</v>
      </c>
      <c r="F2689">
        <v>1018</v>
      </c>
      <c r="G2689" t="s">
        <v>112</v>
      </c>
      <c r="J2689" t="s">
        <v>113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R2689" t="s">
        <v>114</v>
      </c>
      <c r="S2689" t="str">
        <f>"19:19:41.867"</f>
        <v>19:19:41.867</v>
      </c>
      <c r="T2689" t="str">
        <f>"19:19:41.469"</f>
        <v>19:19:41.469</v>
      </c>
      <c r="U2689" t="str">
        <f t="shared" si="124"/>
        <v>a1cdbe</v>
      </c>
      <c r="V2689">
        <v>0</v>
      </c>
      <c r="W2689">
        <v>0</v>
      </c>
      <c r="X2689">
        <v>1</v>
      </c>
      <c r="Y2689">
        <v>0</v>
      </c>
      <c r="Z2689">
        <v>0</v>
      </c>
      <c r="AB2689">
        <v>0</v>
      </c>
      <c r="AC2689">
        <v>9</v>
      </c>
      <c r="AD2689">
        <v>3</v>
      </c>
      <c r="AE2689">
        <v>0</v>
      </c>
      <c r="AF2689">
        <v>9</v>
      </c>
      <c r="AG2689" t="s">
        <v>158</v>
      </c>
      <c r="AH2689">
        <v>0</v>
      </c>
      <c r="AI2689">
        <v>3</v>
      </c>
      <c r="AJ2689">
        <v>1</v>
      </c>
      <c r="AK2689">
        <v>0</v>
      </c>
      <c r="AL2689" t="s">
        <v>5069</v>
      </c>
      <c r="AM2689">
        <v>46.960030000000003</v>
      </c>
      <c r="AN2689" t="s">
        <v>5070</v>
      </c>
      <c r="AO2689">
        <v>-123.360972</v>
      </c>
      <c r="AP2689">
        <v>100</v>
      </c>
      <c r="AQ2689">
        <v>2000</v>
      </c>
      <c r="AR2689" t="s">
        <v>118</v>
      </c>
      <c r="AS2689">
        <v>-66</v>
      </c>
      <c r="AT2689">
        <v>38</v>
      </c>
      <c r="AU2689">
        <v>64</v>
      </c>
      <c r="BC2689">
        <v>1200</v>
      </c>
      <c r="BD2689">
        <v>1</v>
      </c>
      <c r="BE2689" t="str">
        <f t="shared" si="125"/>
        <v xml:space="preserve">N215T   </v>
      </c>
      <c r="BF2689">
        <v>1</v>
      </c>
      <c r="BH2689">
        <v>0</v>
      </c>
      <c r="BI2689">
        <v>0</v>
      </c>
      <c r="BJ2689">
        <v>0</v>
      </c>
      <c r="BK2689">
        <v>2350</v>
      </c>
      <c r="BL2689">
        <v>350</v>
      </c>
      <c r="BM2689" t="s">
        <v>119</v>
      </c>
      <c r="BN2689">
        <v>1</v>
      </c>
      <c r="BO2689">
        <v>1</v>
      </c>
      <c r="BP2689">
        <v>1</v>
      </c>
      <c r="BQ2689">
        <v>0</v>
      </c>
      <c r="BT2689">
        <v>0</v>
      </c>
      <c r="BU2689">
        <v>0</v>
      </c>
      <c r="BV2689">
        <v>0</v>
      </c>
      <c r="CC2689" t="str">
        <f>"19:19:41.867"</f>
        <v>19:19:41.867</v>
      </c>
      <c r="CD2689" t="str">
        <f>"867845239"</f>
        <v>867845239</v>
      </c>
      <c r="CQ2689">
        <v>0</v>
      </c>
      <c r="CR2689">
        <v>2</v>
      </c>
      <c r="CS2689">
        <v>0</v>
      </c>
      <c r="CT2689">
        <v>2</v>
      </c>
      <c r="CU2689">
        <v>0</v>
      </c>
      <c r="CV2689">
        <v>7</v>
      </c>
      <c r="CW2689" t="s">
        <v>120</v>
      </c>
      <c r="CX2689">
        <v>261</v>
      </c>
      <c r="CY2689">
        <v>2</v>
      </c>
      <c r="CZ2689" t="s">
        <v>121</v>
      </c>
      <c r="DA2689" t="s">
        <v>122</v>
      </c>
      <c r="DD2689">
        <v>15928814</v>
      </c>
      <c r="DE2689" t="s">
        <v>123</v>
      </c>
    </row>
    <row r="2690" spans="1:109" x14ac:dyDescent="0.3">
      <c r="A2690" t="str">
        <f>"19:19:43.164"</f>
        <v>19:19:43.164</v>
      </c>
      <c r="B2690" t="s">
        <v>110</v>
      </c>
      <c r="C2690" t="str">
        <f t="shared" ref="C2690:C2753" si="126">"ffdfd3c0"</f>
        <v>ffdfd3c0</v>
      </c>
      <c r="D2690" t="s">
        <v>111</v>
      </c>
      <c r="E2690">
        <v>18</v>
      </c>
      <c r="F2690">
        <v>1018</v>
      </c>
      <c r="G2690" t="s">
        <v>112</v>
      </c>
      <c r="J2690" t="s">
        <v>113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R2690" t="s">
        <v>114</v>
      </c>
      <c r="S2690" t="str">
        <f>"19:19:42.930"</f>
        <v>19:19:42.930</v>
      </c>
      <c r="T2690" t="str">
        <f>"19:19:42.531"</f>
        <v>19:19:42.531</v>
      </c>
      <c r="U2690" t="str">
        <f t="shared" ref="U2690:U2753" si="127">"a1cdbe"</f>
        <v>a1cdbe</v>
      </c>
      <c r="V2690">
        <v>0</v>
      </c>
      <c r="W2690">
        <v>0</v>
      </c>
      <c r="X2690">
        <v>1</v>
      </c>
      <c r="Y2690">
        <v>0</v>
      </c>
      <c r="Z2690">
        <v>0</v>
      </c>
      <c r="AB2690">
        <v>0</v>
      </c>
      <c r="AC2690">
        <v>9</v>
      </c>
      <c r="AD2690">
        <v>3</v>
      </c>
      <c r="AE2690">
        <v>0</v>
      </c>
      <c r="AF2690">
        <v>9</v>
      </c>
      <c r="AG2690" t="s">
        <v>158</v>
      </c>
      <c r="AH2690">
        <v>0</v>
      </c>
      <c r="AI2690">
        <v>3</v>
      </c>
      <c r="AJ2690">
        <v>1</v>
      </c>
      <c r="AK2690">
        <v>0</v>
      </c>
      <c r="AL2690" t="s">
        <v>5071</v>
      </c>
      <c r="AM2690">
        <v>46.960244000000003</v>
      </c>
      <c r="AN2690" t="s">
        <v>5072</v>
      </c>
      <c r="AO2690">
        <v>-123.361423</v>
      </c>
      <c r="AP2690">
        <v>100</v>
      </c>
      <c r="AQ2690">
        <v>2000</v>
      </c>
      <c r="AR2690" t="s">
        <v>118</v>
      </c>
      <c r="AS2690">
        <v>-65</v>
      </c>
      <c r="AT2690">
        <v>38</v>
      </c>
      <c r="AU2690">
        <v>64</v>
      </c>
      <c r="BC2690">
        <v>1200</v>
      </c>
      <c r="BD2690">
        <v>1</v>
      </c>
      <c r="BE2690" t="str">
        <f t="shared" ref="BE2690:BE2753" si="128">"N215T   "</f>
        <v xml:space="preserve">N215T   </v>
      </c>
      <c r="BF2690">
        <v>1</v>
      </c>
      <c r="BH2690">
        <v>0</v>
      </c>
      <c r="BI2690">
        <v>0</v>
      </c>
      <c r="BJ2690">
        <v>0</v>
      </c>
      <c r="BK2690">
        <v>2350</v>
      </c>
      <c r="BL2690">
        <v>350</v>
      </c>
      <c r="BM2690" t="s">
        <v>119</v>
      </c>
      <c r="BN2690">
        <v>1</v>
      </c>
      <c r="BO2690">
        <v>1</v>
      </c>
      <c r="BP2690">
        <v>1</v>
      </c>
      <c r="BQ2690">
        <v>0</v>
      </c>
      <c r="BT2690">
        <v>0</v>
      </c>
      <c r="BU2690">
        <v>0</v>
      </c>
      <c r="BV2690">
        <v>0</v>
      </c>
      <c r="CC2690" t="str">
        <f>"19:19:42.930"</f>
        <v>19:19:42.930</v>
      </c>
      <c r="CD2690" t="str">
        <f>"932740344"</f>
        <v>932740344</v>
      </c>
      <c r="CQ2690">
        <v>0</v>
      </c>
      <c r="CR2690">
        <v>2</v>
      </c>
      <c r="CS2690">
        <v>0</v>
      </c>
      <c r="CT2690">
        <v>2</v>
      </c>
      <c r="CU2690">
        <v>0</v>
      </c>
      <c r="CV2690">
        <v>7</v>
      </c>
      <c r="CW2690" t="s">
        <v>120</v>
      </c>
      <c r="CX2690">
        <v>261</v>
      </c>
      <c r="CY2690">
        <v>2</v>
      </c>
      <c r="CZ2690" t="s">
        <v>121</v>
      </c>
      <c r="DA2690" t="s">
        <v>122</v>
      </c>
      <c r="DD2690">
        <v>15929529</v>
      </c>
      <c r="DE2690" t="s">
        <v>123</v>
      </c>
    </row>
    <row r="2691" spans="1:109" x14ac:dyDescent="0.3">
      <c r="A2691" t="str">
        <f>"19:19:44.211"</f>
        <v>19:19:44.211</v>
      </c>
      <c r="B2691" t="s">
        <v>110</v>
      </c>
      <c r="C2691" t="str">
        <f t="shared" si="126"/>
        <v>ffdfd3c0</v>
      </c>
      <c r="D2691" t="s">
        <v>111</v>
      </c>
      <c r="E2691">
        <v>18</v>
      </c>
      <c r="F2691">
        <v>1018</v>
      </c>
      <c r="G2691" t="s">
        <v>112</v>
      </c>
      <c r="J2691" t="s">
        <v>113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R2691" t="s">
        <v>114</v>
      </c>
      <c r="S2691" t="str">
        <f>"19:19:43.961"</f>
        <v>19:19:43.961</v>
      </c>
      <c r="T2691" t="str">
        <f>"19:19:43.859"</f>
        <v>19:19:43.859</v>
      </c>
      <c r="U2691" t="str">
        <f t="shared" si="127"/>
        <v>a1cdbe</v>
      </c>
      <c r="V2691">
        <v>0</v>
      </c>
      <c r="W2691">
        <v>0</v>
      </c>
      <c r="X2691">
        <v>1</v>
      </c>
      <c r="Y2691">
        <v>0</v>
      </c>
      <c r="Z2691">
        <v>0</v>
      </c>
      <c r="AB2691">
        <v>0</v>
      </c>
      <c r="AC2691">
        <v>9</v>
      </c>
      <c r="AD2691">
        <v>3</v>
      </c>
      <c r="AE2691">
        <v>0</v>
      </c>
      <c r="AF2691">
        <v>9</v>
      </c>
      <c r="AG2691" t="s">
        <v>158</v>
      </c>
      <c r="AH2691">
        <v>0</v>
      </c>
      <c r="AI2691">
        <v>3</v>
      </c>
      <c r="AJ2691">
        <v>1</v>
      </c>
      <c r="AK2691">
        <v>0</v>
      </c>
      <c r="AL2691" t="s">
        <v>5073</v>
      </c>
      <c r="AM2691">
        <v>46.960416000000002</v>
      </c>
      <c r="AN2691" t="s">
        <v>5074</v>
      </c>
      <c r="AO2691">
        <v>-123.36191700000001</v>
      </c>
      <c r="AP2691">
        <v>100</v>
      </c>
      <c r="AQ2691">
        <v>2000</v>
      </c>
      <c r="AR2691" t="s">
        <v>118</v>
      </c>
      <c r="AS2691">
        <v>-65</v>
      </c>
      <c r="AT2691">
        <v>38</v>
      </c>
      <c r="AU2691">
        <v>64</v>
      </c>
      <c r="BC2691">
        <v>1200</v>
      </c>
      <c r="BD2691">
        <v>1</v>
      </c>
      <c r="BE2691" t="str">
        <f t="shared" si="128"/>
        <v xml:space="preserve">N215T   </v>
      </c>
      <c r="BF2691">
        <v>1</v>
      </c>
      <c r="BH2691">
        <v>0</v>
      </c>
      <c r="BI2691">
        <v>0</v>
      </c>
      <c r="BJ2691">
        <v>0</v>
      </c>
      <c r="BK2691">
        <v>2350</v>
      </c>
      <c r="BL2691">
        <v>350</v>
      </c>
      <c r="BM2691" t="s">
        <v>119</v>
      </c>
      <c r="BN2691">
        <v>1</v>
      </c>
      <c r="BO2691">
        <v>1</v>
      </c>
      <c r="BP2691">
        <v>1</v>
      </c>
      <c r="BQ2691">
        <v>0</v>
      </c>
      <c r="BT2691">
        <v>0</v>
      </c>
      <c r="BU2691">
        <v>0</v>
      </c>
      <c r="BV2691">
        <v>0</v>
      </c>
      <c r="CC2691" t="str">
        <f>"19:19:43.969"</f>
        <v>19:19:43.969</v>
      </c>
      <c r="CD2691" t="str">
        <f>"967638390"</f>
        <v>967638390</v>
      </c>
      <c r="CQ2691">
        <v>0</v>
      </c>
      <c r="CR2691">
        <v>2</v>
      </c>
      <c r="CS2691">
        <v>0</v>
      </c>
      <c r="CT2691">
        <v>2</v>
      </c>
      <c r="CU2691">
        <v>0</v>
      </c>
      <c r="CV2691">
        <v>7</v>
      </c>
      <c r="CW2691" t="s">
        <v>120</v>
      </c>
      <c r="CX2691">
        <v>261</v>
      </c>
      <c r="CY2691">
        <v>2</v>
      </c>
      <c r="CZ2691" t="s">
        <v>121</v>
      </c>
      <c r="DA2691" t="s">
        <v>122</v>
      </c>
      <c r="DD2691">
        <v>15930266</v>
      </c>
      <c r="DE2691" t="s">
        <v>123</v>
      </c>
    </row>
    <row r="2692" spans="1:109" x14ac:dyDescent="0.3">
      <c r="A2692" t="str">
        <f>"19:19:45.320"</f>
        <v>19:19:45.320</v>
      </c>
      <c r="B2692" t="s">
        <v>110</v>
      </c>
      <c r="C2692" t="str">
        <f t="shared" si="126"/>
        <v>ffdfd3c0</v>
      </c>
      <c r="D2692" t="s">
        <v>111</v>
      </c>
      <c r="E2692">
        <v>18</v>
      </c>
      <c r="F2692">
        <v>1018</v>
      </c>
      <c r="G2692" t="s">
        <v>112</v>
      </c>
      <c r="J2692" t="s">
        <v>113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R2692" t="s">
        <v>114</v>
      </c>
      <c r="S2692" t="str">
        <f>"19:19:45.063"</f>
        <v>19:19:45.063</v>
      </c>
      <c r="T2692" t="str">
        <f>"19:19:45.063"</f>
        <v>19:19:45.063</v>
      </c>
      <c r="U2692" t="str">
        <f t="shared" si="127"/>
        <v>a1cdbe</v>
      </c>
      <c r="V2692">
        <v>0</v>
      </c>
      <c r="W2692">
        <v>0</v>
      </c>
      <c r="X2692">
        <v>1</v>
      </c>
      <c r="Y2692">
        <v>0</v>
      </c>
      <c r="Z2692">
        <v>0</v>
      </c>
      <c r="AB2692">
        <v>0</v>
      </c>
      <c r="AC2692">
        <v>9</v>
      </c>
      <c r="AD2692">
        <v>3</v>
      </c>
      <c r="AE2692">
        <v>0</v>
      </c>
      <c r="AF2692">
        <v>9</v>
      </c>
      <c r="AG2692" t="s">
        <v>158</v>
      </c>
      <c r="AH2692">
        <v>0</v>
      </c>
      <c r="AI2692">
        <v>3</v>
      </c>
      <c r="AJ2692">
        <v>1</v>
      </c>
      <c r="AK2692">
        <v>0</v>
      </c>
      <c r="AL2692" t="s">
        <v>5075</v>
      </c>
      <c r="AM2692">
        <v>46.960588000000001</v>
      </c>
      <c r="AN2692" t="s">
        <v>5076</v>
      </c>
      <c r="AO2692">
        <v>-123.36238899999999</v>
      </c>
      <c r="AP2692">
        <v>100</v>
      </c>
      <c r="AQ2692">
        <v>2000</v>
      </c>
      <c r="AR2692" t="s">
        <v>118</v>
      </c>
      <c r="AS2692">
        <v>-65</v>
      </c>
      <c r="AT2692">
        <v>38</v>
      </c>
      <c r="AU2692">
        <v>0</v>
      </c>
      <c r="BC2692">
        <v>1200</v>
      </c>
      <c r="BD2692">
        <v>1</v>
      </c>
      <c r="BE2692" t="str">
        <f t="shared" si="128"/>
        <v xml:space="preserve">N215T   </v>
      </c>
      <c r="BF2692">
        <v>1</v>
      </c>
      <c r="BH2692">
        <v>0</v>
      </c>
      <c r="BI2692">
        <v>0</v>
      </c>
      <c r="BJ2692">
        <v>0</v>
      </c>
      <c r="BK2692">
        <v>2350</v>
      </c>
      <c r="BL2692">
        <v>350</v>
      </c>
      <c r="BM2692" t="s">
        <v>119</v>
      </c>
      <c r="BN2692">
        <v>1</v>
      </c>
      <c r="BO2692">
        <v>1</v>
      </c>
      <c r="BP2692">
        <v>1</v>
      </c>
      <c r="BQ2692">
        <v>0</v>
      </c>
      <c r="BT2692">
        <v>0</v>
      </c>
      <c r="BU2692">
        <v>0</v>
      </c>
      <c r="BV2692">
        <v>0</v>
      </c>
      <c r="CC2692" t="str">
        <f>"19:19:45.063"</f>
        <v>19:19:45.063</v>
      </c>
      <c r="CD2692" t="str">
        <f>"062530540"</f>
        <v>062530540</v>
      </c>
      <c r="CQ2692">
        <v>0</v>
      </c>
      <c r="CR2692">
        <v>2</v>
      </c>
      <c r="CS2692">
        <v>0</v>
      </c>
      <c r="CT2692">
        <v>2</v>
      </c>
      <c r="CU2692">
        <v>0</v>
      </c>
      <c r="CV2692">
        <v>7</v>
      </c>
      <c r="CW2692" t="s">
        <v>120</v>
      </c>
      <c r="CX2692">
        <v>261</v>
      </c>
      <c r="CY2692">
        <v>2</v>
      </c>
      <c r="CZ2692" t="s">
        <v>121</v>
      </c>
      <c r="DA2692" t="s">
        <v>122</v>
      </c>
      <c r="DD2692">
        <v>15931012</v>
      </c>
      <c r="DE2692" t="s">
        <v>123</v>
      </c>
    </row>
    <row r="2693" spans="1:109" x14ac:dyDescent="0.3">
      <c r="A2693" t="str">
        <f>"19:19:46.172"</f>
        <v>19:19:46.172</v>
      </c>
      <c r="B2693" t="s">
        <v>110</v>
      </c>
      <c r="C2693" t="str">
        <f t="shared" si="126"/>
        <v>ffdfd3c0</v>
      </c>
      <c r="D2693" t="s">
        <v>111</v>
      </c>
      <c r="E2693">
        <v>18</v>
      </c>
      <c r="F2693">
        <v>1018</v>
      </c>
      <c r="G2693" t="s">
        <v>112</v>
      </c>
      <c r="J2693" t="s">
        <v>113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R2693" t="s">
        <v>114</v>
      </c>
      <c r="S2693" t="str">
        <f>"19:19:45.961"</f>
        <v>19:19:45.961</v>
      </c>
      <c r="T2693" t="str">
        <f>"19:19:45.961"</f>
        <v>19:19:45.961</v>
      </c>
      <c r="U2693" t="str">
        <f t="shared" si="127"/>
        <v>a1cdbe</v>
      </c>
      <c r="V2693">
        <v>0</v>
      </c>
      <c r="W2693">
        <v>0</v>
      </c>
      <c r="X2693">
        <v>1</v>
      </c>
      <c r="Y2693">
        <v>0</v>
      </c>
      <c r="Z2693">
        <v>0</v>
      </c>
      <c r="AB2693">
        <v>0</v>
      </c>
      <c r="AC2693">
        <v>9</v>
      </c>
      <c r="AD2693">
        <v>3</v>
      </c>
      <c r="AE2693">
        <v>0</v>
      </c>
      <c r="AF2693">
        <v>9</v>
      </c>
      <c r="AG2693" t="s">
        <v>158</v>
      </c>
      <c r="AH2693">
        <v>0</v>
      </c>
      <c r="AI2693">
        <v>3</v>
      </c>
      <c r="AJ2693">
        <v>1</v>
      </c>
      <c r="AK2693">
        <v>0</v>
      </c>
      <c r="AL2693" t="s">
        <v>1043</v>
      </c>
      <c r="AM2693">
        <v>46.960780999999997</v>
      </c>
      <c r="AN2693" t="s">
        <v>5077</v>
      </c>
      <c r="AO2693">
        <v>-123.36273199999999</v>
      </c>
      <c r="AP2693">
        <v>100</v>
      </c>
      <c r="AQ2693">
        <v>2000</v>
      </c>
      <c r="AR2693" t="s">
        <v>118</v>
      </c>
      <c r="AS2693">
        <v>-65</v>
      </c>
      <c r="AT2693">
        <v>39</v>
      </c>
      <c r="AU2693">
        <v>0</v>
      </c>
      <c r="BC2693">
        <v>1200</v>
      </c>
      <c r="BD2693">
        <v>1</v>
      </c>
      <c r="BE2693" t="str">
        <f t="shared" si="128"/>
        <v xml:space="preserve">N215T   </v>
      </c>
      <c r="BF2693">
        <v>1</v>
      </c>
      <c r="BH2693">
        <v>0</v>
      </c>
      <c r="BI2693">
        <v>0</v>
      </c>
      <c r="BJ2693">
        <v>0</v>
      </c>
      <c r="BK2693">
        <v>2350</v>
      </c>
      <c r="BL2693">
        <v>350</v>
      </c>
      <c r="BM2693" t="s">
        <v>119</v>
      </c>
      <c r="BN2693">
        <v>1</v>
      </c>
      <c r="BO2693">
        <v>1</v>
      </c>
      <c r="BP2693">
        <v>1</v>
      </c>
      <c r="BQ2693">
        <v>0</v>
      </c>
      <c r="BT2693">
        <v>0</v>
      </c>
      <c r="BU2693">
        <v>0</v>
      </c>
      <c r="BV2693">
        <v>0</v>
      </c>
      <c r="CC2693" t="str">
        <f>"19:19:45.961"</f>
        <v>19:19:45.961</v>
      </c>
      <c r="CD2693" t="str">
        <f>"962441882"</f>
        <v>962441882</v>
      </c>
      <c r="CQ2693">
        <v>0</v>
      </c>
      <c r="CR2693">
        <v>2</v>
      </c>
      <c r="CS2693">
        <v>0</v>
      </c>
      <c r="CT2693">
        <v>2</v>
      </c>
      <c r="CU2693">
        <v>0</v>
      </c>
      <c r="CV2693">
        <v>7</v>
      </c>
      <c r="CW2693" t="s">
        <v>120</v>
      </c>
      <c r="CX2693">
        <v>261</v>
      </c>
      <c r="CY2693">
        <v>2</v>
      </c>
      <c r="CZ2693" t="s">
        <v>121</v>
      </c>
      <c r="DA2693" t="s">
        <v>122</v>
      </c>
      <c r="DD2693">
        <v>15931599</v>
      </c>
      <c r="DE2693" t="s">
        <v>123</v>
      </c>
    </row>
    <row r="2694" spans="1:109" x14ac:dyDescent="0.3">
      <c r="A2694" t="str">
        <f>"19:19:47.180"</f>
        <v>19:19:47.180</v>
      </c>
      <c r="B2694" t="s">
        <v>110</v>
      </c>
      <c r="C2694" t="str">
        <f t="shared" si="126"/>
        <v>ffdfd3c0</v>
      </c>
      <c r="D2694" t="s">
        <v>111</v>
      </c>
      <c r="E2694">
        <v>18</v>
      </c>
      <c r="F2694">
        <v>1018</v>
      </c>
      <c r="G2694" t="s">
        <v>112</v>
      </c>
      <c r="J2694" t="s">
        <v>113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R2694" t="s">
        <v>114</v>
      </c>
      <c r="S2694" t="str">
        <f>"19:19:46.945"</f>
        <v>19:19:46.945</v>
      </c>
      <c r="T2694" t="str">
        <f>"19:19:46.844"</f>
        <v>19:19:46.844</v>
      </c>
      <c r="U2694" t="str">
        <f t="shared" si="127"/>
        <v>a1cdbe</v>
      </c>
      <c r="V2694">
        <v>0</v>
      </c>
      <c r="W2694">
        <v>0</v>
      </c>
      <c r="X2694">
        <v>1</v>
      </c>
      <c r="Y2694">
        <v>0</v>
      </c>
      <c r="Z2694">
        <v>0</v>
      </c>
      <c r="AB2694">
        <v>0</v>
      </c>
      <c r="AC2694">
        <v>9</v>
      </c>
      <c r="AD2694">
        <v>3</v>
      </c>
      <c r="AE2694">
        <v>0</v>
      </c>
      <c r="AF2694">
        <v>9</v>
      </c>
      <c r="AG2694" t="s">
        <v>158</v>
      </c>
      <c r="AH2694">
        <v>0</v>
      </c>
      <c r="AI2694">
        <v>3</v>
      </c>
      <c r="AJ2694">
        <v>1</v>
      </c>
      <c r="AK2694">
        <v>0</v>
      </c>
      <c r="AL2694" t="s">
        <v>5078</v>
      </c>
      <c r="AM2694">
        <v>46.960909000000001</v>
      </c>
      <c r="AN2694" t="s">
        <v>5079</v>
      </c>
      <c r="AO2694">
        <v>-123.363225</v>
      </c>
      <c r="AP2694">
        <v>100</v>
      </c>
      <c r="AQ2694">
        <v>2000</v>
      </c>
      <c r="AR2694" t="s">
        <v>118</v>
      </c>
      <c r="AS2694">
        <v>-65</v>
      </c>
      <c r="AT2694">
        <v>39</v>
      </c>
      <c r="AU2694">
        <v>0</v>
      </c>
      <c r="BC2694">
        <v>1200</v>
      </c>
      <c r="BD2694">
        <v>1</v>
      </c>
      <c r="BE2694" t="str">
        <f t="shared" si="128"/>
        <v xml:space="preserve">N215T   </v>
      </c>
      <c r="BF2694">
        <v>1</v>
      </c>
      <c r="BH2694">
        <v>0</v>
      </c>
      <c r="BI2694">
        <v>0</v>
      </c>
      <c r="BJ2694">
        <v>0</v>
      </c>
      <c r="BK2694">
        <v>2350</v>
      </c>
      <c r="BL2694">
        <v>350</v>
      </c>
      <c r="BM2694" t="s">
        <v>119</v>
      </c>
      <c r="BN2694">
        <v>1</v>
      </c>
      <c r="BO2694">
        <v>1</v>
      </c>
      <c r="BP2694">
        <v>1</v>
      </c>
      <c r="BQ2694">
        <v>0</v>
      </c>
      <c r="BT2694">
        <v>0</v>
      </c>
      <c r="BU2694">
        <v>0</v>
      </c>
      <c r="BV2694">
        <v>0</v>
      </c>
      <c r="CC2694" t="str">
        <f>"19:19:46.953"</f>
        <v>19:19:46.953</v>
      </c>
      <c r="CD2694" t="str">
        <f>"952344379"</f>
        <v>952344379</v>
      </c>
      <c r="CQ2694">
        <v>0</v>
      </c>
      <c r="CR2694">
        <v>2</v>
      </c>
      <c r="CS2694">
        <v>0</v>
      </c>
      <c r="CT2694">
        <v>2</v>
      </c>
      <c r="CU2694">
        <v>0</v>
      </c>
      <c r="CV2694">
        <v>7</v>
      </c>
      <c r="CW2694" t="s">
        <v>120</v>
      </c>
      <c r="CX2694">
        <v>261</v>
      </c>
      <c r="CY2694">
        <v>2</v>
      </c>
      <c r="CZ2694" t="s">
        <v>121</v>
      </c>
      <c r="DA2694" t="s">
        <v>122</v>
      </c>
      <c r="DD2694">
        <v>15932279</v>
      </c>
      <c r="DE2694" t="s">
        <v>123</v>
      </c>
    </row>
    <row r="2695" spans="1:109" x14ac:dyDescent="0.3">
      <c r="A2695" t="str">
        <f>"19:19:48.180"</f>
        <v>19:19:48.180</v>
      </c>
      <c r="B2695" t="s">
        <v>110</v>
      </c>
      <c r="C2695" t="str">
        <f t="shared" si="126"/>
        <v>ffdfd3c0</v>
      </c>
      <c r="D2695" t="s">
        <v>111</v>
      </c>
      <c r="E2695">
        <v>18</v>
      </c>
      <c r="F2695">
        <v>1018</v>
      </c>
      <c r="G2695" t="s">
        <v>112</v>
      </c>
      <c r="J2695" t="s">
        <v>113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R2695" t="s">
        <v>114</v>
      </c>
      <c r="S2695" t="str">
        <f>"19:19:47.938"</f>
        <v>19:19:47.938</v>
      </c>
      <c r="T2695" t="str">
        <f>"19:19:47.938"</f>
        <v>19:19:47.938</v>
      </c>
      <c r="U2695" t="str">
        <f t="shared" si="127"/>
        <v>a1cdbe</v>
      </c>
      <c r="V2695">
        <v>0</v>
      </c>
      <c r="W2695">
        <v>0</v>
      </c>
      <c r="X2695">
        <v>1</v>
      </c>
      <c r="Y2695">
        <v>0</v>
      </c>
      <c r="Z2695">
        <v>0</v>
      </c>
      <c r="AB2695">
        <v>0</v>
      </c>
      <c r="AC2695">
        <v>9</v>
      </c>
      <c r="AD2695">
        <v>3</v>
      </c>
      <c r="AE2695">
        <v>0</v>
      </c>
      <c r="AF2695">
        <v>9</v>
      </c>
      <c r="AG2695" t="s">
        <v>158</v>
      </c>
      <c r="AH2695">
        <v>0</v>
      </c>
      <c r="AI2695">
        <v>3</v>
      </c>
      <c r="AJ2695">
        <v>1</v>
      </c>
      <c r="AK2695">
        <v>0</v>
      </c>
      <c r="AL2695" t="s">
        <v>1041</v>
      </c>
      <c r="AM2695">
        <v>46.961101999999997</v>
      </c>
      <c r="AN2695" t="s">
        <v>5080</v>
      </c>
      <c r="AO2695">
        <v>-123.363569</v>
      </c>
      <c r="AP2695">
        <v>100</v>
      </c>
      <c r="AQ2695">
        <v>2000</v>
      </c>
      <c r="AR2695" t="s">
        <v>118</v>
      </c>
      <c r="AS2695">
        <v>-65</v>
      </c>
      <c r="AT2695">
        <v>39</v>
      </c>
      <c r="AU2695">
        <v>64</v>
      </c>
      <c r="BC2695">
        <v>1200</v>
      </c>
      <c r="BD2695">
        <v>1</v>
      </c>
      <c r="BE2695" t="str">
        <f t="shared" si="128"/>
        <v xml:space="preserve">N215T   </v>
      </c>
      <c r="BF2695">
        <v>1</v>
      </c>
      <c r="BH2695">
        <v>0</v>
      </c>
      <c r="BI2695">
        <v>0</v>
      </c>
      <c r="BJ2695">
        <v>0</v>
      </c>
      <c r="BK2695">
        <v>2350</v>
      </c>
      <c r="BL2695">
        <v>350</v>
      </c>
      <c r="BM2695" t="s">
        <v>119</v>
      </c>
      <c r="BN2695">
        <v>1</v>
      </c>
      <c r="BO2695">
        <v>1</v>
      </c>
      <c r="BP2695">
        <v>1</v>
      </c>
      <c r="BQ2695">
        <v>0</v>
      </c>
      <c r="BT2695">
        <v>0</v>
      </c>
      <c r="BU2695">
        <v>0</v>
      </c>
      <c r="BV2695">
        <v>0</v>
      </c>
      <c r="CC2695" t="str">
        <f>"19:19:47.945"</f>
        <v>19:19:47.945</v>
      </c>
      <c r="CD2695" t="str">
        <f>"942246864"</f>
        <v>942246864</v>
      </c>
      <c r="CQ2695">
        <v>0</v>
      </c>
      <c r="CR2695">
        <v>2</v>
      </c>
      <c r="CS2695">
        <v>0</v>
      </c>
      <c r="CT2695">
        <v>2</v>
      </c>
      <c r="CU2695">
        <v>0</v>
      </c>
      <c r="CV2695">
        <v>7</v>
      </c>
      <c r="CW2695" t="s">
        <v>120</v>
      </c>
      <c r="CX2695">
        <v>261</v>
      </c>
      <c r="CY2695">
        <v>2</v>
      </c>
      <c r="CZ2695" t="s">
        <v>121</v>
      </c>
      <c r="DA2695" t="s">
        <v>122</v>
      </c>
      <c r="DD2695">
        <v>15932961</v>
      </c>
      <c r="DE2695" t="s">
        <v>123</v>
      </c>
    </row>
    <row r="2696" spans="1:109" x14ac:dyDescent="0.3">
      <c r="A2696" t="str">
        <f>"19:19:49.188"</f>
        <v>19:19:49.188</v>
      </c>
      <c r="B2696" t="s">
        <v>110</v>
      </c>
      <c r="C2696" t="str">
        <f t="shared" si="126"/>
        <v>ffdfd3c0</v>
      </c>
      <c r="D2696" t="s">
        <v>111</v>
      </c>
      <c r="E2696">
        <v>18</v>
      </c>
      <c r="F2696">
        <v>1018</v>
      </c>
      <c r="G2696" t="s">
        <v>112</v>
      </c>
      <c r="J2696" t="s">
        <v>113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R2696" t="s">
        <v>114</v>
      </c>
      <c r="S2696" t="str">
        <f>"19:19:48.977"</f>
        <v>19:19:48.977</v>
      </c>
      <c r="T2696" t="str">
        <f>"19:19:48.875"</f>
        <v>19:19:48.875</v>
      </c>
      <c r="U2696" t="str">
        <f t="shared" si="127"/>
        <v>a1cdbe</v>
      </c>
      <c r="V2696">
        <v>0</v>
      </c>
      <c r="W2696">
        <v>0</v>
      </c>
      <c r="X2696">
        <v>1</v>
      </c>
      <c r="Y2696">
        <v>0</v>
      </c>
      <c r="Z2696">
        <v>0</v>
      </c>
      <c r="AB2696">
        <v>0</v>
      </c>
      <c r="AC2696">
        <v>9</v>
      </c>
      <c r="AD2696">
        <v>3</v>
      </c>
      <c r="AE2696">
        <v>0</v>
      </c>
      <c r="AF2696">
        <v>9</v>
      </c>
      <c r="AG2696" t="s">
        <v>158</v>
      </c>
      <c r="AH2696">
        <v>0</v>
      </c>
      <c r="AI2696">
        <v>3</v>
      </c>
      <c r="AJ2696">
        <v>1</v>
      </c>
      <c r="AK2696">
        <v>0</v>
      </c>
      <c r="AL2696" t="s">
        <v>5081</v>
      </c>
      <c r="AM2696">
        <v>46.961295999999997</v>
      </c>
      <c r="AN2696" t="s">
        <v>5082</v>
      </c>
      <c r="AO2696">
        <v>-123.364062</v>
      </c>
      <c r="AP2696">
        <v>100</v>
      </c>
      <c r="AQ2696">
        <v>2000</v>
      </c>
      <c r="AR2696" t="s">
        <v>118</v>
      </c>
      <c r="AS2696">
        <v>-65</v>
      </c>
      <c r="AT2696">
        <v>39</v>
      </c>
      <c r="AU2696">
        <v>64</v>
      </c>
      <c r="BC2696">
        <v>1200</v>
      </c>
      <c r="BD2696">
        <v>1</v>
      </c>
      <c r="BE2696" t="str">
        <f t="shared" si="128"/>
        <v xml:space="preserve">N215T   </v>
      </c>
      <c r="BF2696">
        <v>1</v>
      </c>
      <c r="BH2696">
        <v>0</v>
      </c>
      <c r="BI2696">
        <v>0</v>
      </c>
      <c r="BJ2696">
        <v>0</v>
      </c>
      <c r="BK2696">
        <v>2350</v>
      </c>
      <c r="BL2696">
        <v>350</v>
      </c>
      <c r="BM2696" t="s">
        <v>119</v>
      </c>
      <c r="BN2696">
        <v>1</v>
      </c>
      <c r="BO2696">
        <v>1</v>
      </c>
      <c r="BP2696">
        <v>1</v>
      </c>
      <c r="BQ2696">
        <v>0</v>
      </c>
      <c r="BT2696">
        <v>0</v>
      </c>
      <c r="BU2696">
        <v>0</v>
      </c>
      <c r="BV2696">
        <v>0</v>
      </c>
      <c r="CC2696" t="str">
        <f>"19:19:48.977"</f>
        <v>19:19:48.977</v>
      </c>
      <c r="CD2696" t="str">
        <f>"977144909"</f>
        <v>977144909</v>
      </c>
      <c r="CQ2696">
        <v>0</v>
      </c>
      <c r="CR2696">
        <v>2</v>
      </c>
      <c r="CS2696">
        <v>0</v>
      </c>
      <c r="CT2696">
        <v>2</v>
      </c>
      <c r="CU2696">
        <v>0</v>
      </c>
      <c r="CV2696">
        <v>7</v>
      </c>
      <c r="CW2696" t="s">
        <v>120</v>
      </c>
      <c r="CX2696">
        <v>261</v>
      </c>
      <c r="CY2696">
        <v>2</v>
      </c>
      <c r="CZ2696" t="s">
        <v>121</v>
      </c>
      <c r="DA2696" t="s">
        <v>122</v>
      </c>
      <c r="DD2696">
        <v>15933653</v>
      </c>
      <c r="DE2696" t="s">
        <v>123</v>
      </c>
    </row>
    <row r="2697" spans="1:109" x14ac:dyDescent="0.3">
      <c r="A2697" t="str">
        <f>"19:19:50.297"</f>
        <v>19:19:50.297</v>
      </c>
      <c r="B2697" t="s">
        <v>110</v>
      </c>
      <c r="C2697" t="str">
        <f t="shared" si="126"/>
        <v>ffdfd3c0</v>
      </c>
      <c r="D2697" t="s">
        <v>111</v>
      </c>
      <c r="E2697">
        <v>18</v>
      </c>
      <c r="F2697">
        <v>1018</v>
      </c>
      <c r="G2697" t="s">
        <v>112</v>
      </c>
      <c r="J2697" t="s">
        <v>113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R2697" t="s">
        <v>114</v>
      </c>
      <c r="S2697" t="str">
        <f>"19:19:50.102"</f>
        <v>19:19:50.102</v>
      </c>
      <c r="T2697" t="str">
        <f>"19:19:50.000"</f>
        <v>19:19:50.000</v>
      </c>
      <c r="U2697" t="str">
        <f t="shared" si="127"/>
        <v>a1cdbe</v>
      </c>
      <c r="V2697">
        <v>0</v>
      </c>
      <c r="W2697">
        <v>0</v>
      </c>
      <c r="X2697">
        <v>1</v>
      </c>
      <c r="Y2697">
        <v>0</v>
      </c>
      <c r="Z2697">
        <v>0</v>
      </c>
      <c r="AB2697">
        <v>0</v>
      </c>
      <c r="AC2697">
        <v>9</v>
      </c>
      <c r="AD2697">
        <v>3</v>
      </c>
      <c r="AE2697">
        <v>0</v>
      </c>
      <c r="AF2697">
        <v>9</v>
      </c>
      <c r="AG2697" t="s">
        <v>158</v>
      </c>
      <c r="AH2697">
        <v>0</v>
      </c>
      <c r="AI2697">
        <v>3</v>
      </c>
      <c r="AJ2697">
        <v>1</v>
      </c>
      <c r="AK2697">
        <v>0</v>
      </c>
      <c r="AL2697" t="s">
        <v>5083</v>
      </c>
      <c r="AM2697">
        <v>46.961509999999997</v>
      </c>
      <c r="AN2697" t="s">
        <v>5084</v>
      </c>
      <c r="AO2697">
        <v>-123.364577</v>
      </c>
      <c r="AP2697">
        <v>100</v>
      </c>
      <c r="AQ2697">
        <v>2000</v>
      </c>
      <c r="AR2697" t="s">
        <v>118</v>
      </c>
      <c r="AS2697">
        <v>-65</v>
      </c>
      <c r="AT2697">
        <v>39</v>
      </c>
      <c r="AU2697">
        <v>64</v>
      </c>
      <c r="BC2697">
        <v>1200</v>
      </c>
      <c r="BD2697">
        <v>1</v>
      </c>
      <c r="BE2697" t="str">
        <f t="shared" si="128"/>
        <v xml:space="preserve">N215T   </v>
      </c>
      <c r="BF2697">
        <v>1</v>
      </c>
      <c r="BH2697">
        <v>0</v>
      </c>
      <c r="BI2697">
        <v>0</v>
      </c>
      <c r="BJ2697">
        <v>0</v>
      </c>
      <c r="BK2697">
        <v>2350</v>
      </c>
      <c r="BL2697">
        <v>350</v>
      </c>
      <c r="BM2697" t="s">
        <v>119</v>
      </c>
      <c r="BN2697">
        <v>1</v>
      </c>
      <c r="BO2697">
        <v>1</v>
      </c>
      <c r="BP2697">
        <v>1</v>
      </c>
      <c r="BQ2697">
        <v>0</v>
      </c>
      <c r="BT2697">
        <v>0</v>
      </c>
      <c r="BU2697">
        <v>0</v>
      </c>
      <c r="BV2697">
        <v>0</v>
      </c>
      <c r="CC2697" t="str">
        <f>"19:19:50.102"</f>
        <v>19:19:50.102</v>
      </c>
      <c r="CD2697" t="str">
        <f>"102034098"</f>
        <v>102034098</v>
      </c>
      <c r="CQ2697">
        <v>0</v>
      </c>
      <c r="CR2697">
        <v>2</v>
      </c>
      <c r="CS2697">
        <v>0</v>
      </c>
      <c r="CT2697">
        <v>2</v>
      </c>
      <c r="CU2697">
        <v>0</v>
      </c>
      <c r="CV2697">
        <v>7</v>
      </c>
      <c r="CW2697" t="s">
        <v>120</v>
      </c>
      <c r="CX2697">
        <v>261</v>
      </c>
      <c r="CY2697">
        <v>2</v>
      </c>
      <c r="CZ2697" t="s">
        <v>121</v>
      </c>
      <c r="DA2697" t="s">
        <v>122</v>
      </c>
      <c r="DD2697">
        <v>15934380</v>
      </c>
      <c r="DE2697" t="s">
        <v>123</v>
      </c>
    </row>
    <row r="2698" spans="1:109" x14ac:dyDescent="0.3">
      <c r="A2698" t="str">
        <f>"19:19:51.203"</f>
        <v>19:19:51.203</v>
      </c>
      <c r="B2698" t="s">
        <v>110</v>
      </c>
      <c r="C2698" t="str">
        <f t="shared" si="126"/>
        <v>ffdfd3c0</v>
      </c>
      <c r="D2698" t="s">
        <v>111</v>
      </c>
      <c r="E2698">
        <v>18</v>
      </c>
      <c r="F2698">
        <v>1018</v>
      </c>
      <c r="G2698" t="s">
        <v>112</v>
      </c>
      <c r="J2698" t="s">
        <v>113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R2698" t="s">
        <v>114</v>
      </c>
      <c r="S2698" t="str">
        <f>"19:19:51.000"</f>
        <v>19:19:51.000</v>
      </c>
      <c r="T2698" t="str">
        <f>"19:19:51.000"</f>
        <v>19:19:51.000</v>
      </c>
      <c r="U2698" t="str">
        <f t="shared" si="127"/>
        <v>a1cdbe</v>
      </c>
      <c r="V2698">
        <v>0</v>
      </c>
      <c r="W2698">
        <v>0</v>
      </c>
      <c r="X2698">
        <v>1</v>
      </c>
      <c r="Y2698">
        <v>0</v>
      </c>
      <c r="Z2698">
        <v>0</v>
      </c>
      <c r="AB2698">
        <v>0</v>
      </c>
      <c r="AC2698">
        <v>9</v>
      </c>
      <c r="AD2698">
        <v>3</v>
      </c>
      <c r="AE2698">
        <v>0</v>
      </c>
      <c r="AF2698">
        <v>9</v>
      </c>
      <c r="AG2698" t="s">
        <v>158</v>
      </c>
      <c r="AH2698">
        <v>0</v>
      </c>
      <c r="AI2698">
        <v>3</v>
      </c>
      <c r="AJ2698">
        <v>1</v>
      </c>
      <c r="AK2698">
        <v>0</v>
      </c>
      <c r="AL2698" t="s">
        <v>5085</v>
      </c>
      <c r="AM2698">
        <v>46.961660000000002</v>
      </c>
      <c r="AN2698" t="s">
        <v>5086</v>
      </c>
      <c r="AO2698">
        <v>-123.364985</v>
      </c>
      <c r="AP2698">
        <v>100</v>
      </c>
      <c r="AQ2698">
        <v>2000</v>
      </c>
      <c r="AR2698" t="s">
        <v>118</v>
      </c>
      <c r="AS2698">
        <v>-65</v>
      </c>
      <c r="AT2698">
        <v>39</v>
      </c>
      <c r="AU2698">
        <v>64</v>
      </c>
      <c r="BC2698">
        <v>1200</v>
      </c>
      <c r="BD2698">
        <v>1</v>
      </c>
      <c r="BE2698" t="str">
        <f t="shared" si="128"/>
        <v xml:space="preserve">N215T   </v>
      </c>
      <c r="BF2698">
        <v>1</v>
      </c>
      <c r="BH2698">
        <v>0</v>
      </c>
      <c r="BI2698">
        <v>0</v>
      </c>
      <c r="BJ2698">
        <v>0</v>
      </c>
      <c r="BK2698">
        <v>2350</v>
      </c>
      <c r="BL2698">
        <v>350</v>
      </c>
      <c r="BM2698" t="s">
        <v>119</v>
      </c>
      <c r="BN2698">
        <v>1</v>
      </c>
      <c r="BO2698">
        <v>1</v>
      </c>
      <c r="BP2698">
        <v>1</v>
      </c>
      <c r="BQ2698">
        <v>0</v>
      </c>
      <c r="BT2698">
        <v>0</v>
      </c>
      <c r="BU2698">
        <v>0</v>
      </c>
      <c r="BV2698">
        <v>0</v>
      </c>
      <c r="CC2698" t="str">
        <f>"19:19:51.000"</f>
        <v>19:19:51.000</v>
      </c>
      <c r="CD2698" t="str">
        <f>"001945442"</f>
        <v>001945442</v>
      </c>
      <c r="CQ2698">
        <v>0</v>
      </c>
      <c r="CR2698">
        <v>2</v>
      </c>
      <c r="CS2698">
        <v>0</v>
      </c>
      <c r="CT2698">
        <v>2</v>
      </c>
      <c r="CU2698">
        <v>0</v>
      </c>
      <c r="CV2698">
        <v>7</v>
      </c>
      <c r="CW2698" t="s">
        <v>120</v>
      </c>
      <c r="CX2698">
        <v>261</v>
      </c>
      <c r="CY2698">
        <v>2</v>
      </c>
      <c r="CZ2698" t="s">
        <v>121</v>
      </c>
      <c r="DA2698" t="s">
        <v>122</v>
      </c>
      <c r="DD2698">
        <v>15934975</v>
      </c>
      <c r="DE2698" t="s">
        <v>123</v>
      </c>
    </row>
    <row r="2699" spans="1:109" x14ac:dyDescent="0.3">
      <c r="A2699" t="str">
        <f>"19:19:52.203"</f>
        <v>19:19:52.203</v>
      </c>
      <c r="B2699" t="s">
        <v>110</v>
      </c>
      <c r="C2699" t="str">
        <f t="shared" si="126"/>
        <v>ffdfd3c0</v>
      </c>
      <c r="D2699" t="s">
        <v>111</v>
      </c>
      <c r="E2699">
        <v>18</v>
      </c>
      <c r="F2699">
        <v>1018</v>
      </c>
      <c r="G2699" t="s">
        <v>112</v>
      </c>
      <c r="J2699" t="s">
        <v>113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R2699" t="s">
        <v>114</v>
      </c>
      <c r="S2699" t="str">
        <f>"19:19:52.000"</f>
        <v>19:19:52.000</v>
      </c>
      <c r="T2699" t="str">
        <f>"19:19:52.000"</f>
        <v>19:19:52.000</v>
      </c>
      <c r="U2699" t="str">
        <f t="shared" si="127"/>
        <v>a1cdbe</v>
      </c>
      <c r="V2699">
        <v>0</v>
      </c>
      <c r="W2699">
        <v>0</v>
      </c>
      <c r="X2699">
        <v>1</v>
      </c>
      <c r="Y2699">
        <v>0</v>
      </c>
      <c r="Z2699">
        <v>0</v>
      </c>
      <c r="AB2699">
        <v>0</v>
      </c>
      <c r="AC2699">
        <v>9</v>
      </c>
      <c r="AD2699">
        <v>3</v>
      </c>
      <c r="AE2699">
        <v>0</v>
      </c>
      <c r="AF2699">
        <v>9</v>
      </c>
      <c r="AG2699" t="s">
        <v>158</v>
      </c>
      <c r="AH2699">
        <v>0</v>
      </c>
      <c r="AI2699">
        <v>3</v>
      </c>
      <c r="AJ2699">
        <v>1</v>
      </c>
      <c r="AK2699">
        <v>0</v>
      </c>
      <c r="AL2699" t="s">
        <v>5087</v>
      </c>
      <c r="AM2699">
        <v>46.961832000000001</v>
      </c>
      <c r="AN2699" t="s">
        <v>5088</v>
      </c>
      <c r="AO2699">
        <v>-123.365414</v>
      </c>
      <c r="AP2699">
        <v>100</v>
      </c>
      <c r="AQ2699">
        <v>2000</v>
      </c>
      <c r="AR2699" t="s">
        <v>118</v>
      </c>
      <c r="AS2699">
        <v>-65</v>
      </c>
      <c r="AT2699">
        <v>39</v>
      </c>
      <c r="AU2699">
        <v>64</v>
      </c>
      <c r="BC2699">
        <v>1200</v>
      </c>
      <c r="BD2699">
        <v>1</v>
      </c>
      <c r="BE2699" t="str">
        <f t="shared" si="128"/>
        <v xml:space="preserve">N215T   </v>
      </c>
      <c r="BF2699">
        <v>1</v>
      </c>
      <c r="BH2699">
        <v>0</v>
      </c>
      <c r="BI2699">
        <v>0</v>
      </c>
      <c r="BJ2699">
        <v>0</v>
      </c>
      <c r="BK2699">
        <v>2350</v>
      </c>
      <c r="BL2699">
        <v>350</v>
      </c>
      <c r="BM2699" t="s">
        <v>119</v>
      </c>
      <c r="BN2699">
        <v>1</v>
      </c>
      <c r="BO2699">
        <v>1</v>
      </c>
      <c r="BP2699">
        <v>1</v>
      </c>
      <c r="BQ2699">
        <v>0</v>
      </c>
      <c r="BT2699">
        <v>0</v>
      </c>
      <c r="BU2699">
        <v>0</v>
      </c>
      <c r="BV2699">
        <v>0</v>
      </c>
      <c r="CC2699" t="str">
        <f>"19:19:52.008"</f>
        <v>19:19:52.008</v>
      </c>
      <c r="CD2699" t="str">
        <f>"006846462"</f>
        <v>006846462</v>
      </c>
      <c r="CQ2699">
        <v>0</v>
      </c>
      <c r="CR2699">
        <v>2</v>
      </c>
      <c r="CS2699">
        <v>0</v>
      </c>
      <c r="CT2699">
        <v>2</v>
      </c>
      <c r="CU2699">
        <v>0</v>
      </c>
      <c r="CV2699">
        <v>7</v>
      </c>
      <c r="CW2699" t="s">
        <v>120</v>
      </c>
      <c r="CX2699">
        <v>261</v>
      </c>
      <c r="CY2699">
        <v>2</v>
      </c>
      <c r="CZ2699" t="s">
        <v>121</v>
      </c>
      <c r="DA2699" t="s">
        <v>122</v>
      </c>
      <c r="DD2699">
        <v>15935677</v>
      </c>
      <c r="DE2699" t="s">
        <v>123</v>
      </c>
    </row>
    <row r="2700" spans="1:109" x14ac:dyDescent="0.3">
      <c r="A2700" t="str">
        <f>"19:19:53.258"</f>
        <v>19:19:53.258</v>
      </c>
      <c r="B2700" t="s">
        <v>110</v>
      </c>
      <c r="C2700" t="str">
        <f t="shared" si="126"/>
        <v>ffdfd3c0</v>
      </c>
      <c r="D2700" t="s">
        <v>111</v>
      </c>
      <c r="E2700">
        <v>18</v>
      </c>
      <c r="F2700">
        <v>1018</v>
      </c>
      <c r="G2700" t="s">
        <v>112</v>
      </c>
      <c r="J2700" t="s">
        <v>113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R2700" t="s">
        <v>114</v>
      </c>
      <c r="S2700" t="str">
        <f>"19:19:53.039"</f>
        <v>19:19:53.039</v>
      </c>
      <c r="T2700" t="str">
        <f>"19:19:52.641"</f>
        <v>19:19:52.641</v>
      </c>
      <c r="U2700" t="str">
        <f t="shared" si="127"/>
        <v>a1cdbe</v>
      </c>
      <c r="V2700">
        <v>0</v>
      </c>
      <c r="W2700">
        <v>0</v>
      </c>
      <c r="X2700">
        <v>1</v>
      </c>
      <c r="Y2700">
        <v>0</v>
      </c>
      <c r="Z2700">
        <v>0</v>
      </c>
      <c r="AB2700">
        <v>0</v>
      </c>
      <c r="AC2700">
        <v>9</v>
      </c>
      <c r="AD2700">
        <v>3</v>
      </c>
      <c r="AE2700">
        <v>0</v>
      </c>
      <c r="AF2700">
        <v>9</v>
      </c>
      <c r="AG2700" t="s">
        <v>158</v>
      </c>
      <c r="AH2700">
        <v>0</v>
      </c>
      <c r="AI2700">
        <v>3</v>
      </c>
      <c r="AJ2700">
        <v>1</v>
      </c>
      <c r="AK2700">
        <v>0</v>
      </c>
      <c r="AL2700" t="s">
        <v>5089</v>
      </c>
      <c r="AM2700">
        <v>46.962046999999998</v>
      </c>
      <c r="AN2700" t="s">
        <v>5090</v>
      </c>
      <c r="AO2700">
        <v>-123.365908</v>
      </c>
      <c r="AP2700">
        <v>100</v>
      </c>
      <c r="AQ2700">
        <v>2000</v>
      </c>
      <c r="AR2700" t="s">
        <v>118</v>
      </c>
      <c r="AS2700">
        <v>-65</v>
      </c>
      <c r="AT2700">
        <v>39</v>
      </c>
      <c r="AU2700">
        <v>64</v>
      </c>
      <c r="BC2700">
        <v>1200</v>
      </c>
      <c r="BD2700">
        <v>1</v>
      </c>
      <c r="BE2700" t="str">
        <f t="shared" si="128"/>
        <v xml:space="preserve">N215T   </v>
      </c>
      <c r="BF2700">
        <v>1</v>
      </c>
      <c r="BH2700">
        <v>0</v>
      </c>
      <c r="BI2700">
        <v>0</v>
      </c>
      <c r="BJ2700">
        <v>0</v>
      </c>
      <c r="BK2700">
        <v>2350</v>
      </c>
      <c r="BL2700">
        <v>350</v>
      </c>
      <c r="BM2700" t="s">
        <v>119</v>
      </c>
      <c r="BN2700">
        <v>1</v>
      </c>
      <c r="BO2700">
        <v>1</v>
      </c>
      <c r="BP2700">
        <v>1</v>
      </c>
      <c r="BQ2700">
        <v>0</v>
      </c>
      <c r="BT2700">
        <v>0</v>
      </c>
      <c r="BU2700">
        <v>0</v>
      </c>
      <c r="BV2700">
        <v>0</v>
      </c>
      <c r="CC2700" t="str">
        <f>"19:19:53.039"</f>
        <v>19:19:53.039</v>
      </c>
      <c r="CD2700" t="str">
        <f>"041744510"</f>
        <v>041744510</v>
      </c>
      <c r="CQ2700">
        <v>0</v>
      </c>
      <c r="CR2700">
        <v>2</v>
      </c>
      <c r="CS2700">
        <v>0</v>
      </c>
      <c r="CT2700">
        <v>2</v>
      </c>
      <c r="CU2700">
        <v>0</v>
      </c>
      <c r="CV2700">
        <v>7</v>
      </c>
      <c r="CW2700" t="s">
        <v>120</v>
      </c>
      <c r="CX2700">
        <v>261</v>
      </c>
      <c r="CY2700">
        <v>2</v>
      </c>
      <c r="CZ2700" t="s">
        <v>121</v>
      </c>
      <c r="DA2700" t="s">
        <v>122</v>
      </c>
      <c r="DD2700">
        <v>15936307</v>
      </c>
      <c r="DE2700" t="s">
        <v>123</v>
      </c>
    </row>
    <row r="2701" spans="1:109" x14ac:dyDescent="0.3">
      <c r="A2701" t="str">
        <f>"19:19:54.164"</f>
        <v>19:19:54.164</v>
      </c>
      <c r="B2701" t="s">
        <v>110</v>
      </c>
      <c r="C2701" t="str">
        <f t="shared" si="126"/>
        <v>ffdfd3c0</v>
      </c>
      <c r="D2701" t="s">
        <v>111</v>
      </c>
      <c r="E2701">
        <v>18</v>
      </c>
      <c r="F2701">
        <v>1018</v>
      </c>
      <c r="G2701" t="s">
        <v>112</v>
      </c>
      <c r="J2701" t="s">
        <v>113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R2701" t="s">
        <v>114</v>
      </c>
      <c r="S2701" t="str">
        <f>"19:19:53.969"</f>
        <v>19:19:53.969</v>
      </c>
      <c r="T2701" t="str">
        <f>"19:19:53.766"</f>
        <v>19:19:53.766</v>
      </c>
      <c r="U2701" t="str">
        <f t="shared" si="127"/>
        <v>a1cdbe</v>
      </c>
      <c r="V2701">
        <v>0</v>
      </c>
      <c r="W2701">
        <v>0</v>
      </c>
      <c r="X2701">
        <v>1</v>
      </c>
      <c r="Y2701">
        <v>0</v>
      </c>
      <c r="Z2701">
        <v>0</v>
      </c>
      <c r="AB2701">
        <v>0</v>
      </c>
      <c r="AC2701">
        <v>9</v>
      </c>
      <c r="AD2701">
        <v>3</v>
      </c>
      <c r="AE2701">
        <v>0</v>
      </c>
      <c r="AF2701">
        <v>9</v>
      </c>
      <c r="AG2701" t="s">
        <v>158</v>
      </c>
      <c r="AH2701">
        <v>0</v>
      </c>
      <c r="AI2701">
        <v>3</v>
      </c>
      <c r="AJ2701">
        <v>1</v>
      </c>
      <c r="AK2701">
        <v>0</v>
      </c>
      <c r="AL2701" t="s">
        <v>5091</v>
      </c>
      <c r="AM2701">
        <v>46.962197000000003</v>
      </c>
      <c r="AN2701" t="s">
        <v>5092</v>
      </c>
      <c r="AO2701">
        <v>-123.366294</v>
      </c>
      <c r="AP2701">
        <v>100</v>
      </c>
      <c r="AQ2701">
        <v>2000</v>
      </c>
      <c r="AR2701" t="s">
        <v>118</v>
      </c>
      <c r="AS2701">
        <v>-65</v>
      </c>
      <c r="AT2701">
        <v>38</v>
      </c>
      <c r="AU2701">
        <v>64</v>
      </c>
      <c r="BC2701">
        <v>1200</v>
      </c>
      <c r="BD2701">
        <v>1</v>
      </c>
      <c r="BE2701" t="str">
        <f t="shared" si="128"/>
        <v xml:space="preserve">N215T   </v>
      </c>
      <c r="BF2701">
        <v>1</v>
      </c>
      <c r="BH2701">
        <v>0</v>
      </c>
      <c r="BI2701">
        <v>0</v>
      </c>
      <c r="BJ2701">
        <v>0</v>
      </c>
      <c r="BK2701">
        <v>2350</v>
      </c>
      <c r="BL2701">
        <v>350</v>
      </c>
      <c r="BM2701" t="s">
        <v>119</v>
      </c>
      <c r="BN2701">
        <v>1</v>
      </c>
      <c r="BO2701">
        <v>1</v>
      </c>
      <c r="BP2701">
        <v>1</v>
      </c>
      <c r="BQ2701">
        <v>0</v>
      </c>
      <c r="BT2701">
        <v>0</v>
      </c>
      <c r="BU2701">
        <v>0</v>
      </c>
      <c r="BV2701">
        <v>0</v>
      </c>
      <c r="CC2701" t="str">
        <f>"19:19:53.969"</f>
        <v>19:19:53.969</v>
      </c>
      <c r="CD2701" t="str">
        <f>"971652908"</f>
        <v>971652908</v>
      </c>
      <c r="CQ2701">
        <v>0</v>
      </c>
      <c r="CR2701">
        <v>2</v>
      </c>
      <c r="CS2701">
        <v>0</v>
      </c>
      <c r="CT2701">
        <v>2</v>
      </c>
      <c r="CU2701">
        <v>0</v>
      </c>
      <c r="CV2701">
        <v>7</v>
      </c>
      <c r="CW2701" t="s">
        <v>120</v>
      </c>
      <c r="CX2701">
        <v>261</v>
      </c>
      <c r="CY2701">
        <v>2</v>
      </c>
      <c r="CZ2701" t="s">
        <v>121</v>
      </c>
      <c r="DA2701" t="s">
        <v>122</v>
      </c>
      <c r="DD2701">
        <v>15936915</v>
      </c>
      <c r="DE2701" t="s">
        <v>123</v>
      </c>
    </row>
    <row r="2702" spans="1:109" x14ac:dyDescent="0.3">
      <c r="A2702" t="str">
        <f>"19:19:55.125"</f>
        <v>19:19:55.125</v>
      </c>
      <c r="B2702" t="s">
        <v>110</v>
      </c>
      <c r="C2702" t="str">
        <f t="shared" si="126"/>
        <v>ffdfd3c0</v>
      </c>
      <c r="D2702" t="s">
        <v>111</v>
      </c>
      <c r="E2702">
        <v>18</v>
      </c>
      <c r="F2702">
        <v>1018</v>
      </c>
      <c r="G2702" t="s">
        <v>112</v>
      </c>
      <c r="J2702" t="s">
        <v>113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R2702" t="s">
        <v>114</v>
      </c>
      <c r="S2702" t="str">
        <f>"19:19:54.883"</f>
        <v>19:19:54.883</v>
      </c>
      <c r="T2702" t="str">
        <f>"19:19:54.680"</f>
        <v>19:19:54.680</v>
      </c>
      <c r="U2702" t="str">
        <f t="shared" si="127"/>
        <v>a1cdbe</v>
      </c>
      <c r="V2702">
        <v>0</v>
      </c>
      <c r="W2702">
        <v>0</v>
      </c>
      <c r="X2702">
        <v>1</v>
      </c>
      <c r="Y2702">
        <v>0</v>
      </c>
      <c r="Z2702">
        <v>0</v>
      </c>
      <c r="AB2702">
        <v>0</v>
      </c>
      <c r="AC2702">
        <v>9</v>
      </c>
      <c r="AD2702">
        <v>3</v>
      </c>
      <c r="AE2702">
        <v>0</v>
      </c>
      <c r="AF2702">
        <v>9</v>
      </c>
      <c r="AG2702" t="s">
        <v>158</v>
      </c>
      <c r="AH2702">
        <v>0</v>
      </c>
      <c r="AI2702">
        <v>3</v>
      </c>
      <c r="AJ2702">
        <v>1</v>
      </c>
      <c r="AK2702">
        <v>0</v>
      </c>
      <c r="AL2702" t="s">
        <v>5093</v>
      </c>
      <c r="AM2702">
        <v>46.962389999999999</v>
      </c>
      <c r="AN2702" t="s">
        <v>5094</v>
      </c>
      <c r="AO2702">
        <v>-123.36672299999999</v>
      </c>
      <c r="AP2702">
        <v>100</v>
      </c>
      <c r="AQ2702">
        <v>2000</v>
      </c>
      <c r="AR2702" t="s">
        <v>118</v>
      </c>
      <c r="AS2702">
        <v>-65</v>
      </c>
      <c r="AT2702">
        <v>38</v>
      </c>
      <c r="AU2702">
        <v>64</v>
      </c>
      <c r="BC2702">
        <v>1200</v>
      </c>
      <c r="BD2702">
        <v>1</v>
      </c>
      <c r="BE2702" t="str">
        <f t="shared" si="128"/>
        <v xml:space="preserve">N215T   </v>
      </c>
      <c r="BF2702">
        <v>1</v>
      </c>
      <c r="BH2702">
        <v>0</v>
      </c>
      <c r="BI2702">
        <v>0</v>
      </c>
      <c r="BJ2702">
        <v>0</v>
      </c>
      <c r="BK2702">
        <v>2350</v>
      </c>
      <c r="BL2702">
        <v>350</v>
      </c>
      <c r="BM2702" t="s">
        <v>119</v>
      </c>
      <c r="BN2702">
        <v>1</v>
      </c>
      <c r="BO2702">
        <v>1</v>
      </c>
      <c r="BP2702">
        <v>1</v>
      </c>
      <c r="BQ2702">
        <v>0</v>
      </c>
      <c r="BT2702">
        <v>0</v>
      </c>
      <c r="BU2702">
        <v>0</v>
      </c>
      <c r="BV2702">
        <v>0</v>
      </c>
      <c r="CC2702" t="str">
        <f>"19:19:54.883"</f>
        <v>19:19:54.883</v>
      </c>
      <c r="CD2702" t="str">
        <f>"886562785"</f>
        <v>886562785</v>
      </c>
      <c r="CQ2702">
        <v>0</v>
      </c>
      <c r="CR2702">
        <v>2</v>
      </c>
      <c r="CS2702">
        <v>0</v>
      </c>
      <c r="CT2702">
        <v>2</v>
      </c>
      <c r="CU2702">
        <v>0</v>
      </c>
      <c r="CV2702">
        <v>7</v>
      </c>
      <c r="CW2702" t="s">
        <v>120</v>
      </c>
      <c r="CX2702">
        <v>261</v>
      </c>
      <c r="CY2702">
        <v>2</v>
      </c>
      <c r="CZ2702" t="s">
        <v>121</v>
      </c>
      <c r="DA2702" t="s">
        <v>122</v>
      </c>
      <c r="DD2702">
        <v>15937521</v>
      </c>
      <c r="DE2702" t="s">
        <v>123</v>
      </c>
    </row>
    <row r="2703" spans="1:109" x14ac:dyDescent="0.3">
      <c r="A2703" t="str">
        <f>"19:19:56.180"</f>
        <v>19:19:56.180</v>
      </c>
      <c r="B2703" t="s">
        <v>110</v>
      </c>
      <c r="C2703" t="str">
        <f t="shared" si="126"/>
        <v>ffdfd3c0</v>
      </c>
      <c r="D2703" t="s">
        <v>111</v>
      </c>
      <c r="E2703">
        <v>18</v>
      </c>
      <c r="F2703">
        <v>1018</v>
      </c>
      <c r="G2703" t="s">
        <v>112</v>
      </c>
      <c r="J2703" t="s">
        <v>113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R2703" t="s">
        <v>114</v>
      </c>
      <c r="S2703" t="str">
        <f>"19:19:55.906"</f>
        <v>19:19:55.906</v>
      </c>
      <c r="T2703" t="str">
        <f>"19:19:55.703"</f>
        <v>19:19:55.703</v>
      </c>
      <c r="U2703" t="str">
        <f t="shared" si="127"/>
        <v>a1cdbe</v>
      </c>
      <c r="V2703">
        <v>0</v>
      </c>
      <c r="W2703">
        <v>0</v>
      </c>
      <c r="X2703">
        <v>1</v>
      </c>
      <c r="Y2703">
        <v>0</v>
      </c>
      <c r="Z2703">
        <v>0</v>
      </c>
      <c r="AB2703">
        <v>0</v>
      </c>
      <c r="AC2703">
        <v>9</v>
      </c>
      <c r="AD2703">
        <v>3</v>
      </c>
      <c r="AE2703">
        <v>0</v>
      </c>
      <c r="AF2703">
        <v>9</v>
      </c>
      <c r="AG2703" t="s">
        <v>158</v>
      </c>
      <c r="AH2703">
        <v>0</v>
      </c>
      <c r="AI2703">
        <v>3</v>
      </c>
      <c r="AJ2703">
        <v>1</v>
      </c>
      <c r="AK2703">
        <v>0</v>
      </c>
      <c r="AL2703" t="s">
        <v>5095</v>
      </c>
      <c r="AM2703">
        <v>46.962539999999997</v>
      </c>
      <c r="AN2703" t="s">
        <v>5096</v>
      </c>
      <c r="AO2703">
        <v>-123.36717400000001</v>
      </c>
      <c r="AP2703">
        <v>100</v>
      </c>
      <c r="AQ2703">
        <v>2000</v>
      </c>
      <c r="AR2703" t="s">
        <v>118</v>
      </c>
      <c r="AS2703">
        <v>-65</v>
      </c>
      <c r="AT2703">
        <v>38</v>
      </c>
      <c r="AU2703">
        <v>64</v>
      </c>
      <c r="BC2703">
        <v>1200</v>
      </c>
      <c r="BD2703">
        <v>1</v>
      </c>
      <c r="BE2703" t="str">
        <f t="shared" si="128"/>
        <v xml:space="preserve">N215T   </v>
      </c>
      <c r="BF2703">
        <v>1</v>
      </c>
      <c r="BH2703">
        <v>0</v>
      </c>
      <c r="BI2703">
        <v>0</v>
      </c>
      <c r="BJ2703">
        <v>0</v>
      </c>
      <c r="BK2703">
        <v>2375</v>
      </c>
      <c r="BL2703">
        <v>375</v>
      </c>
      <c r="BM2703" t="s">
        <v>119</v>
      </c>
      <c r="BN2703">
        <v>1</v>
      </c>
      <c r="BO2703">
        <v>1</v>
      </c>
      <c r="BP2703">
        <v>1</v>
      </c>
      <c r="BQ2703">
        <v>0</v>
      </c>
      <c r="BT2703">
        <v>0</v>
      </c>
      <c r="BU2703">
        <v>0</v>
      </c>
      <c r="BV2703">
        <v>0</v>
      </c>
      <c r="CC2703" t="str">
        <f>"19:19:55.906"</f>
        <v>19:19:55.906</v>
      </c>
      <c r="CD2703" t="str">
        <f>"906462318"</f>
        <v>906462318</v>
      </c>
      <c r="CQ2703">
        <v>0</v>
      </c>
      <c r="CR2703">
        <v>2</v>
      </c>
      <c r="CS2703">
        <v>0</v>
      </c>
      <c r="CT2703">
        <v>2</v>
      </c>
      <c r="CU2703">
        <v>0</v>
      </c>
      <c r="CV2703">
        <v>7</v>
      </c>
      <c r="CW2703" t="s">
        <v>120</v>
      </c>
      <c r="CX2703">
        <v>261</v>
      </c>
      <c r="CY2703">
        <v>2</v>
      </c>
      <c r="CZ2703" t="s">
        <v>121</v>
      </c>
      <c r="DA2703" t="s">
        <v>122</v>
      </c>
      <c r="DD2703">
        <v>15938258</v>
      </c>
      <c r="DE2703" t="s">
        <v>123</v>
      </c>
    </row>
    <row r="2704" spans="1:109" x14ac:dyDescent="0.3">
      <c r="A2704" t="str">
        <f>"19:19:57.133"</f>
        <v>19:19:57.133</v>
      </c>
      <c r="B2704" t="s">
        <v>110</v>
      </c>
      <c r="C2704" t="str">
        <f t="shared" si="126"/>
        <v>ffdfd3c0</v>
      </c>
      <c r="D2704" t="s">
        <v>111</v>
      </c>
      <c r="E2704">
        <v>18</v>
      </c>
      <c r="F2704">
        <v>1018</v>
      </c>
      <c r="G2704" t="s">
        <v>112</v>
      </c>
      <c r="J2704" t="s">
        <v>113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R2704" t="s">
        <v>114</v>
      </c>
      <c r="S2704" t="str">
        <f>"19:19:56.906"</f>
        <v>19:19:56.906</v>
      </c>
      <c r="T2704" t="str">
        <f>"19:19:56.609"</f>
        <v>19:19:56.609</v>
      </c>
      <c r="U2704" t="str">
        <f t="shared" si="127"/>
        <v>a1cdbe</v>
      </c>
      <c r="V2704">
        <v>0</v>
      </c>
      <c r="W2704">
        <v>0</v>
      </c>
      <c r="X2704">
        <v>1</v>
      </c>
      <c r="Y2704">
        <v>0</v>
      </c>
      <c r="Z2704">
        <v>0</v>
      </c>
      <c r="AB2704">
        <v>0</v>
      </c>
      <c r="AC2704">
        <v>9</v>
      </c>
      <c r="AD2704">
        <v>3</v>
      </c>
      <c r="AE2704">
        <v>0</v>
      </c>
      <c r="AF2704">
        <v>9</v>
      </c>
      <c r="AG2704" t="s">
        <v>158</v>
      </c>
      <c r="AH2704">
        <v>0</v>
      </c>
      <c r="AI2704">
        <v>3</v>
      </c>
      <c r="AJ2704">
        <v>1</v>
      </c>
      <c r="AK2704">
        <v>0</v>
      </c>
      <c r="AL2704" t="s">
        <v>5097</v>
      </c>
      <c r="AM2704">
        <v>46.962712000000003</v>
      </c>
      <c r="AN2704" t="s">
        <v>5098</v>
      </c>
      <c r="AO2704">
        <v>-123.367603</v>
      </c>
      <c r="AP2704">
        <v>100</v>
      </c>
      <c r="AQ2704">
        <v>2000</v>
      </c>
      <c r="AR2704" t="s">
        <v>118</v>
      </c>
      <c r="AS2704">
        <v>-65</v>
      </c>
      <c r="AT2704">
        <v>38</v>
      </c>
      <c r="AU2704">
        <v>128</v>
      </c>
      <c r="BC2704">
        <v>1200</v>
      </c>
      <c r="BD2704">
        <v>1</v>
      </c>
      <c r="BE2704" t="str">
        <f t="shared" si="128"/>
        <v xml:space="preserve">N215T   </v>
      </c>
      <c r="BF2704">
        <v>1</v>
      </c>
      <c r="BH2704">
        <v>0</v>
      </c>
      <c r="BI2704">
        <v>0</v>
      </c>
      <c r="BJ2704">
        <v>0</v>
      </c>
      <c r="BK2704">
        <v>2350</v>
      </c>
      <c r="BL2704">
        <v>350</v>
      </c>
      <c r="BM2704" t="s">
        <v>119</v>
      </c>
      <c r="BN2704">
        <v>1</v>
      </c>
      <c r="BO2704">
        <v>1</v>
      </c>
      <c r="BP2704">
        <v>1</v>
      </c>
      <c r="BQ2704">
        <v>0</v>
      </c>
      <c r="BT2704">
        <v>0</v>
      </c>
      <c r="BU2704">
        <v>0</v>
      </c>
      <c r="BV2704">
        <v>0</v>
      </c>
      <c r="CC2704" t="str">
        <f>"19:19:56.914"</f>
        <v>19:19:56.914</v>
      </c>
      <c r="CD2704" t="str">
        <f>"911363324"</f>
        <v>911363324</v>
      </c>
      <c r="CQ2704">
        <v>0</v>
      </c>
      <c r="CR2704">
        <v>2</v>
      </c>
      <c r="CS2704">
        <v>0</v>
      </c>
      <c r="CT2704">
        <v>2</v>
      </c>
      <c r="CU2704">
        <v>0</v>
      </c>
      <c r="CV2704">
        <v>7</v>
      </c>
      <c r="CW2704" t="s">
        <v>120</v>
      </c>
      <c r="CX2704">
        <v>261</v>
      </c>
      <c r="CY2704">
        <v>2</v>
      </c>
      <c r="CZ2704" t="s">
        <v>121</v>
      </c>
      <c r="DA2704" t="s">
        <v>122</v>
      </c>
      <c r="DD2704">
        <v>15938952</v>
      </c>
      <c r="DE2704" t="s">
        <v>123</v>
      </c>
    </row>
    <row r="2705" spans="1:109" x14ac:dyDescent="0.3">
      <c r="A2705" t="str">
        <f>"19:19:58.141"</f>
        <v>19:19:58.141</v>
      </c>
      <c r="B2705" t="s">
        <v>110</v>
      </c>
      <c r="C2705" t="str">
        <f t="shared" si="126"/>
        <v>ffdfd3c0</v>
      </c>
      <c r="D2705" t="s">
        <v>111</v>
      </c>
      <c r="E2705">
        <v>18</v>
      </c>
      <c r="F2705">
        <v>1018</v>
      </c>
      <c r="G2705" t="s">
        <v>112</v>
      </c>
      <c r="J2705" t="s">
        <v>113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R2705" t="s">
        <v>114</v>
      </c>
      <c r="S2705" t="str">
        <f>"19:19:57.930"</f>
        <v>19:19:57.930</v>
      </c>
      <c r="T2705" t="str">
        <f>"19:19:57.633"</f>
        <v>19:19:57.633</v>
      </c>
      <c r="U2705" t="str">
        <f t="shared" si="127"/>
        <v>a1cdbe</v>
      </c>
      <c r="V2705">
        <v>0</v>
      </c>
      <c r="W2705">
        <v>0</v>
      </c>
      <c r="X2705">
        <v>1</v>
      </c>
      <c r="Y2705">
        <v>0</v>
      </c>
      <c r="Z2705">
        <v>0</v>
      </c>
      <c r="AB2705">
        <v>0</v>
      </c>
      <c r="AC2705">
        <v>9</v>
      </c>
      <c r="AD2705">
        <v>3</v>
      </c>
      <c r="AE2705">
        <v>0</v>
      </c>
      <c r="AF2705">
        <v>9</v>
      </c>
      <c r="AG2705" t="s">
        <v>158</v>
      </c>
      <c r="AH2705">
        <v>0</v>
      </c>
      <c r="AI2705">
        <v>3</v>
      </c>
      <c r="AJ2705">
        <v>1</v>
      </c>
      <c r="AK2705">
        <v>0</v>
      </c>
      <c r="AL2705" t="s">
        <v>5099</v>
      </c>
      <c r="AM2705">
        <v>46.962926000000003</v>
      </c>
      <c r="AN2705" t="s">
        <v>5100</v>
      </c>
      <c r="AO2705">
        <v>-123.368011</v>
      </c>
      <c r="AP2705">
        <v>100</v>
      </c>
      <c r="AQ2705">
        <v>2000</v>
      </c>
      <c r="AR2705" t="s">
        <v>118</v>
      </c>
      <c r="AS2705">
        <v>-65</v>
      </c>
      <c r="AT2705">
        <v>38</v>
      </c>
      <c r="AU2705">
        <v>128</v>
      </c>
      <c r="BC2705">
        <v>1200</v>
      </c>
      <c r="BD2705">
        <v>1</v>
      </c>
      <c r="BE2705" t="str">
        <f t="shared" si="128"/>
        <v xml:space="preserve">N215T   </v>
      </c>
      <c r="BF2705">
        <v>1</v>
      </c>
      <c r="BH2705">
        <v>0</v>
      </c>
      <c r="BI2705">
        <v>0</v>
      </c>
      <c r="BJ2705">
        <v>0</v>
      </c>
      <c r="BK2705">
        <v>2350</v>
      </c>
      <c r="BL2705">
        <v>350</v>
      </c>
      <c r="BM2705" t="s">
        <v>119</v>
      </c>
      <c r="BN2705">
        <v>1</v>
      </c>
      <c r="BO2705">
        <v>1</v>
      </c>
      <c r="BP2705">
        <v>1</v>
      </c>
      <c r="BQ2705">
        <v>0</v>
      </c>
      <c r="BT2705">
        <v>0</v>
      </c>
      <c r="BU2705">
        <v>0</v>
      </c>
      <c r="BV2705">
        <v>0</v>
      </c>
      <c r="CC2705" t="str">
        <f>"19:19:57.930"</f>
        <v>19:19:57.930</v>
      </c>
      <c r="CD2705" t="str">
        <f>"931262860"</f>
        <v>931262860</v>
      </c>
      <c r="CQ2705">
        <v>0</v>
      </c>
      <c r="CR2705">
        <v>2</v>
      </c>
      <c r="CS2705">
        <v>0</v>
      </c>
      <c r="CT2705">
        <v>2</v>
      </c>
      <c r="CU2705">
        <v>0</v>
      </c>
      <c r="CV2705">
        <v>7</v>
      </c>
      <c r="CW2705" t="s">
        <v>120</v>
      </c>
      <c r="CX2705">
        <v>261</v>
      </c>
      <c r="CY2705">
        <v>2</v>
      </c>
      <c r="CZ2705" t="s">
        <v>121</v>
      </c>
      <c r="DA2705" t="s">
        <v>122</v>
      </c>
      <c r="DD2705">
        <v>15939613</v>
      </c>
      <c r="DE2705" t="s">
        <v>123</v>
      </c>
    </row>
    <row r="2706" spans="1:109" x14ac:dyDescent="0.3">
      <c r="A2706" t="str">
        <f>"19:19:59.195"</f>
        <v>19:19:59.195</v>
      </c>
      <c r="B2706" t="s">
        <v>110</v>
      </c>
      <c r="C2706" t="str">
        <f t="shared" si="126"/>
        <v>ffdfd3c0</v>
      </c>
      <c r="D2706" t="s">
        <v>111</v>
      </c>
      <c r="E2706">
        <v>18</v>
      </c>
      <c r="F2706">
        <v>1018</v>
      </c>
      <c r="G2706" t="s">
        <v>112</v>
      </c>
      <c r="J2706" t="s">
        <v>113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R2706" t="s">
        <v>114</v>
      </c>
      <c r="S2706" t="str">
        <f>"19:19:58.992"</f>
        <v>19:19:58.992</v>
      </c>
      <c r="T2706" t="str">
        <f>"19:19:58.695"</f>
        <v>19:19:58.695</v>
      </c>
      <c r="U2706" t="str">
        <f t="shared" si="127"/>
        <v>a1cdbe</v>
      </c>
      <c r="V2706">
        <v>0</v>
      </c>
      <c r="W2706">
        <v>0</v>
      </c>
      <c r="X2706">
        <v>1</v>
      </c>
      <c r="Y2706">
        <v>0</v>
      </c>
      <c r="Z2706">
        <v>0</v>
      </c>
      <c r="AB2706">
        <v>0</v>
      </c>
      <c r="AC2706">
        <v>9</v>
      </c>
      <c r="AD2706">
        <v>3</v>
      </c>
      <c r="AE2706">
        <v>0</v>
      </c>
      <c r="AF2706">
        <v>9</v>
      </c>
      <c r="AG2706" t="s">
        <v>158</v>
      </c>
      <c r="AH2706">
        <v>0</v>
      </c>
      <c r="AI2706">
        <v>3</v>
      </c>
      <c r="AJ2706">
        <v>1</v>
      </c>
      <c r="AK2706">
        <v>0</v>
      </c>
      <c r="AL2706" t="s">
        <v>5101</v>
      </c>
      <c r="AM2706">
        <v>46.963098000000002</v>
      </c>
      <c r="AN2706" t="s">
        <v>5102</v>
      </c>
      <c r="AO2706">
        <v>-123.368504</v>
      </c>
      <c r="AP2706">
        <v>100</v>
      </c>
      <c r="AQ2706">
        <v>2000</v>
      </c>
      <c r="AR2706" t="s">
        <v>118</v>
      </c>
      <c r="AS2706">
        <v>-65</v>
      </c>
      <c r="AT2706">
        <v>37</v>
      </c>
      <c r="AU2706">
        <v>128</v>
      </c>
      <c r="BC2706">
        <v>1200</v>
      </c>
      <c r="BD2706">
        <v>1</v>
      </c>
      <c r="BE2706" t="str">
        <f t="shared" si="128"/>
        <v xml:space="preserve">N215T   </v>
      </c>
      <c r="BF2706">
        <v>1</v>
      </c>
      <c r="BH2706">
        <v>0</v>
      </c>
      <c r="BI2706">
        <v>0</v>
      </c>
      <c r="BJ2706">
        <v>0</v>
      </c>
      <c r="BK2706">
        <v>2350</v>
      </c>
      <c r="BL2706">
        <v>350</v>
      </c>
      <c r="BM2706" t="s">
        <v>119</v>
      </c>
      <c r="BN2706">
        <v>1</v>
      </c>
      <c r="BO2706">
        <v>1</v>
      </c>
      <c r="BP2706">
        <v>1</v>
      </c>
      <c r="BQ2706">
        <v>0</v>
      </c>
      <c r="BT2706">
        <v>0</v>
      </c>
      <c r="BU2706">
        <v>0</v>
      </c>
      <c r="BV2706">
        <v>0</v>
      </c>
      <c r="CC2706" t="str">
        <f>"19:19:59.000"</f>
        <v>19:19:59.000</v>
      </c>
      <c r="CD2706" t="str">
        <f>"996157951"</f>
        <v>996157951</v>
      </c>
      <c r="CQ2706">
        <v>0</v>
      </c>
      <c r="CR2706">
        <v>2</v>
      </c>
      <c r="CS2706">
        <v>0</v>
      </c>
      <c r="CT2706">
        <v>2</v>
      </c>
      <c r="CU2706">
        <v>0</v>
      </c>
      <c r="CV2706">
        <v>7</v>
      </c>
      <c r="CW2706" t="s">
        <v>120</v>
      </c>
      <c r="CX2706">
        <v>261</v>
      </c>
      <c r="CY2706">
        <v>2</v>
      </c>
      <c r="CZ2706" t="s">
        <v>121</v>
      </c>
      <c r="DA2706" t="s">
        <v>122</v>
      </c>
      <c r="DD2706">
        <v>15940347</v>
      </c>
      <c r="DE2706" t="s">
        <v>123</v>
      </c>
    </row>
    <row r="2707" spans="1:109" x14ac:dyDescent="0.3">
      <c r="A2707" t="str">
        <f>"19:20:00.352"</f>
        <v>19:20:00.352</v>
      </c>
      <c r="B2707" t="s">
        <v>110</v>
      </c>
      <c r="C2707" t="str">
        <f t="shared" si="126"/>
        <v>ffdfd3c0</v>
      </c>
      <c r="D2707" t="s">
        <v>111</v>
      </c>
      <c r="E2707">
        <v>18</v>
      </c>
      <c r="F2707">
        <v>1018</v>
      </c>
      <c r="G2707" t="s">
        <v>112</v>
      </c>
      <c r="J2707" t="s">
        <v>113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R2707" t="s">
        <v>114</v>
      </c>
      <c r="S2707" t="str">
        <f>"19:20:00.148"</f>
        <v>19:20:00.148</v>
      </c>
      <c r="T2707" t="str">
        <f>"19:20:00.047"</f>
        <v>19:20:00.047</v>
      </c>
      <c r="U2707" t="str">
        <f t="shared" si="127"/>
        <v>a1cdbe</v>
      </c>
      <c r="V2707">
        <v>0</v>
      </c>
      <c r="W2707">
        <v>0</v>
      </c>
      <c r="X2707">
        <v>1</v>
      </c>
      <c r="Y2707">
        <v>0</v>
      </c>
      <c r="Z2707">
        <v>0</v>
      </c>
      <c r="AB2707">
        <v>0</v>
      </c>
      <c r="AC2707">
        <v>9</v>
      </c>
      <c r="AD2707">
        <v>3</v>
      </c>
      <c r="AE2707">
        <v>0</v>
      </c>
      <c r="AF2707">
        <v>9</v>
      </c>
      <c r="AG2707" t="s">
        <v>158</v>
      </c>
      <c r="AH2707">
        <v>0</v>
      </c>
      <c r="AI2707">
        <v>3</v>
      </c>
      <c r="AJ2707">
        <v>1</v>
      </c>
      <c r="AK2707">
        <v>0</v>
      </c>
      <c r="AL2707" t="s">
        <v>5103</v>
      </c>
      <c r="AM2707">
        <v>46.963248</v>
      </c>
      <c r="AN2707" t="s">
        <v>5104</v>
      </c>
      <c r="AO2707">
        <v>-123.36904</v>
      </c>
      <c r="AP2707">
        <v>100</v>
      </c>
      <c r="AQ2707">
        <v>2000</v>
      </c>
      <c r="AR2707" t="s">
        <v>118</v>
      </c>
      <c r="AS2707">
        <v>-65</v>
      </c>
      <c r="AT2707">
        <v>37</v>
      </c>
      <c r="AU2707">
        <v>128</v>
      </c>
      <c r="BC2707">
        <v>1200</v>
      </c>
      <c r="BD2707">
        <v>1</v>
      </c>
      <c r="BE2707" t="str">
        <f t="shared" si="128"/>
        <v xml:space="preserve">N215T   </v>
      </c>
      <c r="BF2707">
        <v>1</v>
      </c>
      <c r="BH2707">
        <v>0</v>
      </c>
      <c r="BI2707">
        <v>0</v>
      </c>
      <c r="BJ2707">
        <v>0</v>
      </c>
      <c r="BK2707">
        <v>2375</v>
      </c>
      <c r="BL2707">
        <v>375</v>
      </c>
      <c r="BM2707" t="s">
        <v>119</v>
      </c>
      <c r="BN2707">
        <v>1</v>
      </c>
      <c r="BO2707">
        <v>1</v>
      </c>
      <c r="BP2707">
        <v>1</v>
      </c>
      <c r="BQ2707">
        <v>0</v>
      </c>
      <c r="BT2707">
        <v>0</v>
      </c>
      <c r="BU2707">
        <v>0</v>
      </c>
      <c r="BV2707">
        <v>0</v>
      </c>
      <c r="CC2707" t="str">
        <f>"19:20:00.148"</f>
        <v>19:20:00.148</v>
      </c>
      <c r="CD2707" t="str">
        <f>"151044195"</f>
        <v>151044195</v>
      </c>
      <c r="CQ2707">
        <v>0</v>
      </c>
      <c r="CR2707">
        <v>2</v>
      </c>
      <c r="CS2707">
        <v>0</v>
      </c>
      <c r="CT2707">
        <v>2</v>
      </c>
      <c r="CU2707">
        <v>0</v>
      </c>
      <c r="CV2707">
        <v>7</v>
      </c>
      <c r="CW2707" t="s">
        <v>120</v>
      </c>
      <c r="CX2707">
        <v>261</v>
      </c>
      <c r="CY2707">
        <v>2</v>
      </c>
      <c r="CZ2707" t="s">
        <v>121</v>
      </c>
      <c r="DA2707" t="s">
        <v>122</v>
      </c>
      <c r="DD2707">
        <v>15941129</v>
      </c>
      <c r="DE2707" t="s">
        <v>123</v>
      </c>
    </row>
    <row r="2708" spans="1:109" x14ac:dyDescent="0.3">
      <c r="A2708" t="str">
        <f>"19:20:01.508"</f>
        <v>19:20:01.508</v>
      </c>
      <c r="B2708" t="s">
        <v>110</v>
      </c>
      <c r="C2708" t="str">
        <f t="shared" si="126"/>
        <v>ffdfd3c0</v>
      </c>
      <c r="D2708" t="s">
        <v>111</v>
      </c>
      <c r="E2708">
        <v>18</v>
      </c>
      <c r="F2708">
        <v>1018</v>
      </c>
      <c r="G2708" t="s">
        <v>112</v>
      </c>
      <c r="J2708" t="s">
        <v>113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R2708" t="s">
        <v>114</v>
      </c>
      <c r="S2708" t="str">
        <f>"19:20:01.273"</f>
        <v>19:20:01.273</v>
      </c>
      <c r="T2708" t="str">
        <f>"19:20:01.070"</f>
        <v>19:20:01.070</v>
      </c>
      <c r="U2708" t="str">
        <f t="shared" si="127"/>
        <v>a1cdbe</v>
      </c>
      <c r="V2708">
        <v>0</v>
      </c>
      <c r="W2708">
        <v>0</v>
      </c>
      <c r="X2708">
        <v>1</v>
      </c>
      <c r="Y2708">
        <v>0</v>
      </c>
      <c r="Z2708">
        <v>0</v>
      </c>
      <c r="AB2708">
        <v>0</v>
      </c>
      <c r="AC2708">
        <v>9</v>
      </c>
      <c r="AD2708">
        <v>3</v>
      </c>
      <c r="AE2708">
        <v>0</v>
      </c>
      <c r="AF2708">
        <v>9</v>
      </c>
      <c r="AG2708" t="s">
        <v>158</v>
      </c>
      <c r="AH2708">
        <v>0</v>
      </c>
      <c r="AI2708">
        <v>3</v>
      </c>
      <c r="AJ2708">
        <v>1</v>
      </c>
      <c r="AK2708">
        <v>0</v>
      </c>
      <c r="AL2708" t="s">
        <v>5105</v>
      </c>
      <c r="AM2708">
        <v>46.963484000000001</v>
      </c>
      <c r="AN2708" t="s">
        <v>5106</v>
      </c>
      <c r="AO2708">
        <v>-123.369534</v>
      </c>
      <c r="AP2708">
        <v>100</v>
      </c>
      <c r="AQ2708">
        <v>2000</v>
      </c>
      <c r="AR2708" t="s">
        <v>118</v>
      </c>
      <c r="AS2708">
        <v>-65</v>
      </c>
      <c r="AT2708">
        <v>37</v>
      </c>
      <c r="AU2708">
        <v>64</v>
      </c>
      <c r="BC2708">
        <v>1200</v>
      </c>
      <c r="BD2708">
        <v>1</v>
      </c>
      <c r="BE2708" t="str">
        <f t="shared" si="128"/>
        <v xml:space="preserve">N215T   </v>
      </c>
      <c r="BF2708">
        <v>1</v>
      </c>
      <c r="BH2708">
        <v>0</v>
      </c>
      <c r="BI2708">
        <v>0</v>
      </c>
      <c r="BJ2708">
        <v>0</v>
      </c>
      <c r="BK2708">
        <v>2375</v>
      </c>
      <c r="BL2708">
        <v>375</v>
      </c>
      <c r="BM2708" t="s">
        <v>119</v>
      </c>
      <c r="BN2708">
        <v>1</v>
      </c>
      <c r="BO2708">
        <v>1</v>
      </c>
      <c r="BP2708">
        <v>1</v>
      </c>
      <c r="BQ2708">
        <v>0</v>
      </c>
      <c r="BT2708">
        <v>0</v>
      </c>
      <c r="BU2708">
        <v>0</v>
      </c>
      <c r="BV2708">
        <v>0</v>
      </c>
      <c r="CC2708" t="str">
        <f>"19:20:01.273"</f>
        <v>19:20:01.273</v>
      </c>
      <c r="CD2708" t="str">
        <f>"275933391"</f>
        <v>275933391</v>
      </c>
      <c r="CQ2708">
        <v>0</v>
      </c>
      <c r="CR2708">
        <v>2</v>
      </c>
      <c r="CS2708">
        <v>0</v>
      </c>
      <c r="CT2708">
        <v>2</v>
      </c>
      <c r="CU2708">
        <v>0</v>
      </c>
      <c r="CV2708">
        <v>7</v>
      </c>
      <c r="CW2708" t="s">
        <v>120</v>
      </c>
      <c r="CX2708">
        <v>261</v>
      </c>
      <c r="CY2708">
        <v>2</v>
      </c>
      <c r="CZ2708" t="s">
        <v>121</v>
      </c>
      <c r="DA2708" t="s">
        <v>122</v>
      </c>
      <c r="DD2708">
        <v>15941957</v>
      </c>
      <c r="DE2708" t="s">
        <v>123</v>
      </c>
    </row>
    <row r="2709" spans="1:109" x14ac:dyDescent="0.3">
      <c r="A2709" t="str">
        <f>"19:20:02.414"</f>
        <v>19:20:02.414</v>
      </c>
      <c r="B2709" t="s">
        <v>110</v>
      </c>
      <c r="C2709" t="str">
        <f t="shared" si="126"/>
        <v>ffdfd3c0</v>
      </c>
      <c r="D2709" t="s">
        <v>111</v>
      </c>
      <c r="E2709">
        <v>18</v>
      </c>
      <c r="F2709">
        <v>1018</v>
      </c>
      <c r="G2709" t="s">
        <v>112</v>
      </c>
      <c r="J2709" t="s">
        <v>113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R2709" t="s">
        <v>114</v>
      </c>
      <c r="S2709" t="str">
        <f>"19:20:02.172"</f>
        <v>19:20:02.172</v>
      </c>
      <c r="T2709" t="str">
        <f>"19:20:01.969"</f>
        <v>19:20:01.969</v>
      </c>
      <c r="U2709" t="str">
        <f t="shared" si="127"/>
        <v>a1cdbe</v>
      </c>
      <c r="V2709">
        <v>0</v>
      </c>
      <c r="W2709">
        <v>0</v>
      </c>
      <c r="X2709">
        <v>1</v>
      </c>
      <c r="Y2709">
        <v>0</v>
      </c>
      <c r="Z2709">
        <v>0</v>
      </c>
      <c r="AB2709">
        <v>0</v>
      </c>
      <c r="AC2709">
        <v>9</v>
      </c>
      <c r="AD2709">
        <v>3</v>
      </c>
      <c r="AE2709">
        <v>0</v>
      </c>
      <c r="AF2709">
        <v>9</v>
      </c>
      <c r="AG2709" t="s">
        <v>158</v>
      </c>
      <c r="AH2709">
        <v>0</v>
      </c>
      <c r="AI2709">
        <v>3</v>
      </c>
      <c r="AJ2709">
        <v>1</v>
      </c>
      <c r="AK2709">
        <v>0</v>
      </c>
      <c r="AL2709" t="s">
        <v>5107</v>
      </c>
      <c r="AM2709">
        <v>46.963613000000002</v>
      </c>
      <c r="AN2709" t="s">
        <v>5108</v>
      </c>
      <c r="AO2709">
        <v>-123.36991999999999</v>
      </c>
      <c r="AP2709">
        <v>100</v>
      </c>
      <c r="AQ2709">
        <v>2000</v>
      </c>
      <c r="AR2709" t="s">
        <v>118</v>
      </c>
      <c r="AS2709">
        <v>-65</v>
      </c>
      <c r="AT2709">
        <v>37</v>
      </c>
      <c r="AU2709">
        <v>64</v>
      </c>
      <c r="BC2709">
        <v>1200</v>
      </c>
      <c r="BD2709">
        <v>1</v>
      </c>
      <c r="BE2709" t="str">
        <f t="shared" si="128"/>
        <v xml:space="preserve">N215T   </v>
      </c>
      <c r="BF2709">
        <v>1</v>
      </c>
      <c r="BH2709">
        <v>0</v>
      </c>
      <c r="BI2709">
        <v>0</v>
      </c>
      <c r="BJ2709">
        <v>0</v>
      </c>
      <c r="BK2709">
        <v>2375</v>
      </c>
      <c r="BL2709">
        <v>375</v>
      </c>
      <c r="BM2709" t="s">
        <v>119</v>
      </c>
      <c r="BN2709">
        <v>1</v>
      </c>
      <c r="BO2709">
        <v>1</v>
      </c>
      <c r="BP2709">
        <v>1</v>
      </c>
      <c r="BQ2709">
        <v>0</v>
      </c>
      <c r="BT2709">
        <v>0</v>
      </c>
      <c r="BU2709">
        <v>0</v>
      </c>
      <c r="BV2709">
        <v>0</v>
      </c>
      <c r="CC2709" t="str">
        <f>"19:20:02.180"</f>
        <v>19:20:02.180</v>
      </c>
      <c r="CD2709" t="str">
        <f>"175844733"</f>
        <v>175844733</v>
      </c>
      <c r="CQ2709">
        <v>0</v>
      </c>
      <c r="CR2709">
        <v>2</v>
      </c>
      <c r="CS2709">
        <v>0</v>
      </c>
      <c r="CT2709">
        <v>2</v>
      </c>
      <c r="CU2709">
        <v>0</v>
      </c>
      <c r="CV2709">
        <v>7</v>
      </c>
      <c r="CW2709" t="s">
        <v>120</v>
      </c>
      <c r="CX2709">
        <v>261</v>
      </c>
      <c r="CY2709">
        <v>2</v>
      </c>
      <c r="CZ2709" t="s">
        <v>121</v>
      </c>
      <c r="DA2709" t="s">
        <v>122</v>
      </c>
      <c r="DD2709">
        <v>15942581</v>
      </c>
      <c r="DE2709" t="s">
        <v>123</v>
      </c>
    </row>
    <row r="2710" spans="1:109" x14ac:dyDescent="0.3">
      <c r="A2710" t="str">
        <f>"19:20:03.367"</f>
        <v>19:20:03.367</v>
      </c>
      <c r="B2710" t="s">
        <v>110</v>
      </c>
      <c r="C2710" t="str">
        <f t="shared" si="126"/>
        <v>ffdfd3c0</v>
      </c>
      <c r="D2710" t="s">
        <v>111</v>
      </c>
      <c r="E2710">
        <v>18</v>
      </c>
      <c r="F2710">
        <v>1018</v>
      </c>
      <c r="G2710" t="s">
        <v>112</v>
      </c>
      <c r="J2710" t="s">
        <v>113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R2710" t="s">
        <v>114</v>
      </c>
      <c r="S2710" t="str">
        <f>"19:20:03.133"</f>
        <v>19:20:03.133</v>
      </c>
      <c r="T2710" t="str">
        <f>"19:20:03.031"</f>
        <v>19:20:03.031</v>
      </c>
      <c r="U2710" t="str">
        <f t="shared" si="127"/>
        <v>a1cdbe</v>
      </c>
      <c r="V2710">
        <v>0</v>
      </c>
      <c r="W2710">
        <v>0</v>
      </c>
      <c r="X2710">
        <v>1</v>
      </c>
      <c r="Y2710">
        <v>0</v>
      </c>
      <c r="Z2710">
        <v>0</v>
      </c>
      <c r="AB2710">
        <v>0</v>
      </c>
      <c r="AC2710">
        <v>9</v>
      </c>
      <c r="AD2710">
        <v>3</v>
      </c>
      <c r="AE2710">
        <v>0</v>
      </c>
      <c r="AF2710">
        <v>9</v>
      </c>
      <c r="AG2710" t="s">
        <v>158</v>
      </c>
      <c r="AH2710">
        <v>0</v>
      </c>
      <c r="AI2710">
        <v>3</v>
      </c>
      <c r="AJ2710">
        <v>1</v>
      </c>
      <c r="AK2710">
        <v>0</v>
      </c>
      <c r="AL2710" t="s">
        <v>5109</v>
      </c>
      <c r="AM2710">
        <v>46.963805999999998</v>
      </c>
      <c r="AN2710" t="s">
        <v>5110</v>
      </c>
      <c r="AO2710">
        <v>-123.370328</v>
      </c>
      <c r="AP2710">
        <v>100</v>
      </c>
      <c r="AQ2710">
        <v>2000</v>
      </c>
      <c r="AR2710" t="s">
        <v>118</v>
      </c>
      <c r="AS2710">
        <v>-65</v>
      </c>
      <c r="AT2710">
        <v>37</v>
      </c>
      <c r="AU2710">
        <v>64</v>
      </c>
      <c r="BC2710">
        <v>1200</v>
      </c>
      <c r="BD2710">
        <v>1</v>
      </c>
      <c r="BE2710" t="str">
        <f t="shared" si="128"/>
        <v xml:space="preserve">N215T   </v>
      </c>
      <c r="BF2710">
        <v>1</v>
      </c>
      <c r="BH2710">
        <v>0</v>
      </c>
      <c r="BI2710">
        <v>0</v>
      </c>
      <c r="BJ2710">
        <v>0</v>
      </c>
      <c r="BK2710">
        <v>2375</v>
      </c>
      <c r="BL2710">
        <v>375</v>
      </c>
      <c r="BM2710" t="s">
        <v>119</v>
      </c>
      <c r="BN2710">
        <v>1</v>
      </c>
      <c r="BO2710">
        <v>1</v>
      </c>
      <c r="BP2710">
        <v>1</v>
      </c>
      <c r="BQ2710">
        <v>0</v>
      </c>
      <c r="BT2710">
        <v>0</v>
      </c>
      <c r="BU2710">
        <v>0</v>
      </c>
      <c r="BV2710">
        <v>0</v>
      </c>
      <c r="CC2710" t="str">
        <f>"19:20:03.133"</f>
        <v>19:20:03.133</v>
      </c>
      <c r="CD2710" t="str">
        <f>"135750182"</f>
        <v>135750182</v>
      </c>
      <c r="CQ2710">
        <v>0</v>
      </c>
      <c r="CR2710">
        <v>2</v>
      </c>
      <c r="CS2710">
        <v>0</v>
      </c>
      <c r="CT2710">
        <v>2</v>
      </c>
      <c r="CU2710">
        <v>0</v>
      </c>
      <c r="CV2710">
        <v>7</v>
      </c>
      <c r="CW2710" t="s">
        <v>120</v>
      </c>
      <c r="CX2710">
        <v>261</v>
      </c>
      <c r="CY2710">
        <v>2</v>
      </c>
      <c r="CZ2710" t="s">
        <v>121</v>
      </c>
      <c r="DA2710" t="s">
        <v>122</v>
      </c>
      <c r="DD2710">
        <v>15943180</v>
      </c>
      <c r="DE2710" t="s">
        <v>123</v>
      </c>
    </row>
    <row r="2711" spans="1:109" x14ac:dyDescent="0.3">
      <c r="A2711" t="str">
        <f>"19:20:04.523"</f>
        <v>19:20:04.523</v>
      </c>
      <c r="B2711" t="s">
        <v>110</v>
      </c>
      <c r="C2711" t="str">
        <f t="shared" si="126"/>
        <v>ffdfd3c0</v>
      </c>
      <c r="D2711" t="s">
        <v>111</v>
      </c>
      <c r="E2711">
        <v>18</v>
      </c>
      <c r="F2711">
        <v>1018</v>
      </c>
      <c r="G2711" t="s">
        <v>112</v>
      </c>
      <c r="J2711" t="s">
        <v>113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R2711" t="s">
        <v>114</v>
      </c>
      <c r="S2711" t="str">
        <f>"19:20:04.289"</f>
        <v>19:20:04.289</v>
      </c>
      <c r="T2711" t="str">
        <f>"19:20:04.086"</f>
        <v>19:20:04.086</v>
      </c>
      <c r="U2711" t="str">
        <f t="shared" si="127"/>
        <v>a1cdbe</v>
      </c>
      <c r="V2711">
        <v>0</v>
      </c>
      <c r="W2711">
        <v>0</v>
      </c>
      <c r="X2711">
        <v>1</v>
      </c>
      <c r="Y2711">
        <v>0</v>
      </c>
      <c r="Z2711">
        <v>0</v>
      </c>
      <c r="AB2711">
        <v>0</v>
      </c>
      <c r="AC2711">
        <v>9</v>
      </c>
      <c r="AD2711">
        <v>3</v>
      </c>
      <c r="AE2711">
        <v>0</v>
      </c>
      <c r="AF2711">
        <v>9</v>
      </c>
      <c r="AG2711" t="s">
        <v>158</v>
      </c>
      <c r="AH2711">
        <v>0</v>
      </c>
      <c r="AI2711">
        <v>3</v>
      </c>
      <c r="AJ2711">
        <v>1</v>
      </c>
      <c r="AK2711">
        <v>0</v>
      </c>
      <c r="AL2711" t="s">
        <v>1023</v>
      </c>
      <c r="AM2711">
        <v>46.963999000000001</v>
      </c>
      <c r="AN2711" t="s">
        <v>5111</v>
      </c>
      <c r="AO2711">
        <v>-123.37082100000001</v>
      </c>
      <c r="AP2711">
        <v>100</v>
      </c>
      <c r="AQ2711">
        <v>2000</v>
      </c>
      <c r="AR2711" t="s">
        <v>118</v>
      </c>
      <c r="AS2711">
        <v>-65</v>
      </c>
      <c r="AT2711">
        <v>37</v>
      </c>
      <c r="AU2711">
        <v>64</v>
      </c>
      <c r="BC2711">
        <v>1200</v>
      </c>
      <c r="BD2711">
        <v>1</v>
      </c>
      <c r="BE2711" t="str">
        <f t="shared" si="128"/>
        <v xml:space="preserve">N215T   </v>
      </c>
      <c r="BF2711">
        <v>1</v>
      </c>
      <c r="BH2711">
        <v>0</v>
      </c>
      <c r="BI2711">
        <v>0</v>
      </c>
      <c r="BJ2711">
        <v>0</v>
      </c>
      <c r="BK2711">
        <v>2375</v>
      </c>
      <c r="BL2711">
        <v>375</v>
      </c>
      <c r="BM2711" t="s">
        <v>119</v>
      </c>
      <c r="BN2711">
        <v>1</v>
      </c>
      <c r="BO2711">
        <v>1</v>
      </c>
      <c r="BP2711">
        <v>1</v>
      </c>
      <c r="BQ2711">
        <v>0</v>
      </c>
      <c r="BT2711">
        <v>0</v>
      </c>
      <c r="BU2711">
        <v>0</v>
      </c>
      <c r="BV2711">
        <v>0</v>
      </c>
      <c r="CC2711" t="str">
        <f>"19:20:04.289"</f>
        <v>19:20:04.289</v>
      </c>
      <c r="CD2711" t="str">
        <f>"290636411"</f>
        <v>290636411</v>
      </c>
      <c r="CQ2711">
        <v>0</v>
      </c>
      <c r="CR2711">
        <v>2</v>
      </c>
      <c r="CS2711">
        <v>0</v>
      </c>
      <c r="CT2711">
        <v>2</v>
      </c>
      <c r="CU2711">
        <v>0</v>
      </c>
      <c r="CV2711">
        <v>7</v>
      </c>
      <c r="CW2711" t="s">
        <v>120</v>
      </c>
      <c r="CX2711">
        <v>261</v>
      </c>
      <c r="CY2711">
        <v>2</v>
      </c>
      <c r="CZ2711" t="s">
        <v>121</v>
      </c>
      <c r="DA2711" t="s">
        <v>122</v>
      </c>
      <c r="DD2711">
        <v>15943937</v>
      </c>
      <c r="DE2711" t="s">
        <v>123</v>
      </c>
    </row>
    <row r="2712" spans="1:109" x14ac:dyDescent="0.3">
      <c r="A2712" t="str">
        <f>"19:20:05.430"</f>
        <v>19:20:05.430</v>
      </c>
      <c r="B2712" t="s">
        <v>110</v>
      </c>
      <c r="C2712" t="str">
        <f t="shared" si="126"/>
        <v>ffdfd3c0</v>
      </c>
      <c r="D2712" t="s">
        <v>111</v>
      </c>
      <c r="E2712">
        <v>18</v>
      </c>
      <c r="F2712">
        <v>1018</v>
      </c>
      <c r="G2712" t="s">
        <v>112</v>
      </c>
      <c r="J2712" t="s">
        <v>113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R2712" t="s">
        <v>114</v>
      </c>
      <c r="S2712" t="str">
        <f>"19:20:05.188"</f>
        <v>19:20:05.188</v>
      </c>
      <c r="T2712" t="str">
        <f>"19:20:05.086"</f>
        <v>19:20:05.086</v>
      </c>
      <c r="U2712" t="str">
        <f t="shared" si="127"/>
        <v>a1cdbe</v>
      </c>
      <c r="V2712">
        <v>0</v>
      </c>
      <c r="W2712">
        <v>0</v>
      </c>
      <c r="X2712">
        <v>1</v>
      </c>
      <c r="Y2712">
        <v>0</v>
      </c>
      <c r="Z2712">
        <v>0</v>
      </c>
      <c r="AB2712">
        <v>0</v>
      </c>
      <c r="AC2712">
        <v>9</v>
      </c>
      <c r="AD2712">
        <v>3</v>
      </c>
      <c r="AE2712">
        <v>0</v>
      </c>
      <c r="AF2712">
        <v>9</v>
      </c>
      <c r="AG2712" t="s">
        <v>158</v>
      </c>
      <c r="AH2712">
        <v>0</v>
      </c>
      <c r="AI2712">
        <v>3</v>
      </c>
      <c r="AJ2712">
        <v>1</v>
      </c>
      <c r="AK2712">
        <v>0</v>
      </c>
      <c r="AL2712" t="s">
        <v>5112</v>
      </c>
      <c r="AM2712">
        <v>46.964128000000002</v>
      </c>
      <c r="AN2712" t="s">
        <v>5113</v>
      </c>
      <c r="AO2712">
        <v>-123.371251</v>
      </c>
      <c r="AP2712">
        <v>100</v>
      </c>
      <c r="AQ2712">
        <v>2000</v>
      </c>
      <c r="AR2712" t="s">
        <v>118</v>
      </c>
      <c r="AS2712">
        <v>-65</v>
      </c>
      <c r="AT2712">
        <v>37</v>
      </c>
      <c r="AU2712">
        <v>0</v>
      </c>
      <c r="BC2712">
        <v>1200</v>
      </c>
      <c r="BD2712">
        <v>1</v>
      </c>
      <c r="BE2712" t="str">
        <f t="shared" si="128"/>
        <v xml:space="preserve">N215T   </v>
      </c>
      <c r="BF2712">
        <v>1</v>
      </c>
      <c r="BH2712">
        <v>0</v>
      </c>
      <c r="BI2712">
        <v>0</v>
      </c>
      <c r="BJ2712">
        <v>0</v>
      </c>
      <c r="BK2712">
        <v>2375</v>
      </c>
      <c r="BL2712">
        <v>375</v>
      </c>
      <c r="BM2712" t="s">
        <v>119</v>
      </c>
      <c r="BN2712">
        <v>1</v>
      </c>
      <c r="BO2712">
        <v>1</v>
      </c>
      <c r="BP2712">
        <v>1</v>
      </c>
      <c r="BQ2712">
        <v>0</v>
      </c>
      <c r="BT2712">
        <v>0</v>
      </c>
      <c r="BU2712">
        <v>0</v>
      </c>
      <c r="BV2712">
        <v>0</v>
      </c>
      <c r="CC2712" t="str">
        <f>"19:20:05.188"</f>
        <v>19:20:05.188</v>
      </c>
      <c r="CD2712" t="str">
        <f>"190547762"</f>
        <v>190547762</v>
      </c>
      <c r="CQ2712">
        <v>0</v>
      </c>
      <c r="CR2712">
        <v>2</v>
      </c>
      <c r="CS2712">
        <v>0</v>
      </c>
      <c r="CT2712">
        <v>2</v>
      </c>
      <c r="CU2712">
        <v>0</v>
      </c>
      <c r="CV2712">
        <v>7</v>
      </c>
      <c r="CW2712" t="s">
        <v>120</v>
      </c>
      <c r="CX2712">
        <v>261</v>
      </c>
      <c r="CY2712">
        <v>2</v>
      </c>
      <c r="CZ2712" t="s">
        <v>121</v>
      </c>
      <c r="DA2712" t="s">
        <v>122</v>
      </c>
      <c r="DD2712">
        <v>15944566</v>
      </c>
      <c r="DE2712" t="s">
        <v>123</v>
      </c>
    </row>
    <row r="2713" spans="1:109" x14ac:dyDescent="0.3">
      <c r="A2713" t="str">
        <f>"19:20:06.383"</f>
        <v>19:20:06.383</v>
      </c>
      <c r="B2713" t="s">
        <v>110</v>
      </c>
      <c r="C2713" t="str">
        <f t="shared" si="126"/>
        <v>ffdfd3c0</v>
      </c>
      <c r="D2713" t="s">
        <v>111</v>
      </c>
      <c r="E2713">
        <v>18</v>
      </c>
      <c r="F2713">
        <v>1018</v>
      </c>
      <c r="G2713" t="s">
        <v>112</v>
      </c>
      <c r="J2713" t="s">
        <v>113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R2713" t="s">
        <v>114</v>
      </c>
      <c r="S2713" t="str">
        <f>"19:20:06.148"</f>
        <v>19:20:06.148</v>
      </c>
      <c r="T2713" t="str">
        <f>"19:20:06.047"</f>
        <v>19:20:06.047</v>
      </c>
      <c r="U2713" t="str">
        <f t="shared" si="127"/>
        <v>a1cdbe</v>
      </c>
      <c r="V2713">
        <v>0</v>
      </c>
      <c r="W2713">
        <v>0</v>
      </c>
      <c r="X2713">
        <v>1</v>
      </c>
      <c r="Y2713">
        <v>0</v>
      </c>
      <c r="Z2713">
        <v>0</v>
      </c>
      <c r="AB2713">
        <v>0</v>
      </c>
      <c r="AC2713">
        <v>9</v>
      </c>
      <c r="AD2713">
        <v>3</v>
      </c>
      <c r="AE2713">
        <v>0</v>
      </c>
      <c r="AF2713">
        <v>9</v>
      </c>
      <c r="AG2713" t="s">
        <v>158</v>
      </c>
      <c r="AH2713">
        <v>0</v>
      </c>
      <c r="AI2713">
        <v>3</v>
      </c>
      <c r="AJ2713">
        <v>1</v>
      </c>
      <c r="AK2713">
        <v>0</v>
      </c>
      <c r="AL2713" t="s">
        <v>5114</v>
      </c>
      <c r="AM2713">
        <v>46.964320999999998</v>
      </c>
      <c r="AN2713" t="s">
        <v>5115</v>
      </c>
      <c r="AO2713">
        <v>-123.37168</v>
      </c>
      <c r="AP2713">
        <v>100</v>
      </c>
      <c r="AQ2713">
        <v>2000</v>
      </c>
      <c r="AR2713" t="s">
        <v>118</v>
      </c>
      <c r="AS2713">
        <v>-65</v>
      </c>
      <c r="AT2713">
        <v>37</v>
      </c>
      <c r="AU2713">
        <v>64</v>
      </c>
      <c r="BC2713">
        <v>1200</v>
      </c>
      <c r="BD2713">
        <v>1</v>
      </c>
      <c r="BE2713" t="str">
        <f t="shared" si="128"/>
        <v xml:space="preserve">N215T   </v>
      </c>
      <c r="BF2713">
        <v>1</v>
      </c>
      <c r="BH2713">
        <v>0</v>
      </c>
      <c r="BI2713">
        <v>0</v>
      </c>
      <c r="BJ2713">
        <v>0</v>
      </c>
      <c r="BK2713">
        <v>2375</v>
      </c>
      <c r="BL2713">
        <v>375</v>
      </c>
      <c r="BM2713" t="s">
        <v>119</v>
      </c>
      <c r="BN2713">
        <v>1</v>
      </c>
      <c r="BO2713">
        <v>1</v>
      </c>
      <c r="BP2713">
        <v>1</v>
      </c>
      <c r="BQ2713">
        <v>0</v>
      </c>
      <c r="BT2713">
        <v>0</v>
      </c>
      <c r="BU2713">
        <v>0</v>
      </c>
      <c r="BV2713">
        <v>0</v>
      </c>
      <c r="CC2713" t="str">
        <f>"19:20:06.148"</f>
        <v>19:20:06.148</v>
      </c>
      <c r="CD2713" t="str">
        <f>"150453201"</f>
        <v>150453201</v>
      </c>
      <c r="CQ2713">
        <v>0</v>
      </c>
      <c r="CR2713">
        <v>2</v>
      </c>
      <c r="CS2713">
        <v>0</v>
      </c>
      <c r="CT2713">
        <v>2</v>
      </c>
      <c r="CU2713">
        <v>0</v>
      </c>
      <c r="CV2713">
        <v>7</v>
      </c>
      <c r="CW2713" t="s">
        <v>120</v>
      </c>
      <c r="CX2713">
        <v>261</v>
      </c>
      <c r="CY2713">
        <v>2</v>
      </c>
      <c r="CZ2713" t="s">
        <v>121</v>
      </c>
      <c r="DA2713" t="s">
        <v>122</v>
      </c>
      <c r="DD2713">
        <v>15945227</v>
      </c>
      <c r="DE2713" t="s">
        <v>123</v>
      </c>
    </row>
    <row r="2714" spans="1:109" x14ac:dyDescent="0.3">
      <c r="A2714" t="str">
        <f>"19:20:07.297"</f>
        <v>19:20:07.297</v>
      </c>
      <c r="B2714" t="s">
        <v>110</v>
      </c>
      <c r="C2714" t="str">
        <f t="shared" si="126"/>
        <v>ffdfd3c0</v>
      </c>
      <c r="D2714" t="s">
        <v>111</v>
      </c>
      <c r="E2714">
        <v>18</v>
      </c>
      <c r="F2714">
        <v>1018</v>
      </c>
      <c r="G2714" t="s">
        <v>112</v>
      </c>
      <c r="J2714" t="s">
        <v>113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R2714" t="s">
        <v>114</v>
      </c>
      <c r="S2714" t="str">
        <f>"19:20:07.031"</f>
        <v>19:20:07.031</v>
      </c>
      <c r="T2714" t="str">
        <f>"19:20:06.633"</f>
        <v>19:20:06.633</v>
      </c>
      <c r="U2714" t="str">
        <f t="shared" si="127"/>
        <v>a1cdbe</v>
      </c>
      <c r="V2714">
        <v>0</v>
      </c>
      <c r="W2714">
        <v>0</v>
      </c>
      <c r="X2714">
        <v>1</v>
      </c>
      <c r="Y2714">
        <v>0</v>
      </c>
      <c r="Z2714">
        <v>0</v>
      </c>
      <c r="AB2714">
        <v>0</v>
      </c>
      <c r="AC2714">
        <v>9</v>
      </c>
      <c r="AD2714">
        <v>3</v>
      </c>
      <c r="AE2714">
        <v>0</v>
      </c>
      <c r="AF2714">
        <v>9</v>
      </c>
      <c r="AG2714" t="s">
        <v>158</v>
      </c>
      <c r="AH2714">
        <v>0</v>
      </c>
      <c r="AI2714">
        <v>3</v>
      </c>
      <c r="AJ2714">
        <v>1</v>
      </c>
      <c r="AK2714">
        <v>0</v>
      </c>
      <c r="AL2714" t="s">
        <v>5116</v>
      </c>
      <c r="AM2714">
        <v>46.964449999999999</v>
      </c>
      <c r="AN2714" t="s">
        <v>5117</v>
      </c>
      <c r="AO2714">
        <v>-123.37210899999999</v>
      </c>
      <c r="AP2714">
        <v>100</v>
      </c>
      <c r="AQ2714">
        <v>2000</v>
      </c>
      <c r="AR2714" t="s">
        <v>118</v>
      </c>
      <c r="AS2714">
        <v>-65</v>
      </c>
      <c r="AT2714">
        <v>37</v>
      </c>
      <c r="AU2714">
        <v>0</v>
      </c>
      <c r="BC2714">
        <v>1200</v>
      </c>
      <c r="BD2714">
        <v>1</v>
      </c>
      <c r="BE2714" t="str">
        <f t="shared" si="128"/>
        <v xml:space="preserve">N215T   </v>
      </c>
      <c r="BF2714">
        <v>1</v>
      </c>
      <c r="BH2714">
        <v>0</v>
      </c>
      <c r="BI2714">
        <v>0</v>
      </c>
      <c r="BJ2714">
        <v>0</v>
      </c>
      <c r="BK2714">
        <v>2375</v>
      </c>
      <c r="BL2714">
        <v>375</v>
      </c>
      <c r="BM2714" t="s">
        <v>119</v>
      </c>
      <c r="BN2714">
        <v>1</v>
      </c>
      <c r="BO2714">
        <v>1</v>
      </c>
      <c r="BP2714">
        <v>1</v>
      </c>
      <c r="BQ2714">
        <v>0</v>
      </c>
      <c r="BT2714">
        <v>0</v>
      </c>
      <c r="BU2714">
        <v>0</v>
      </c>
      <c r="BV2714">
        <v>0</v>
      </c>
      <c r="CC2714" t="str">
        <f>"19:20:07.039"</f>
        <v>19:20:07.039</v>
      </c>
      <c r="CD2714" t="str">
        <f>"035366043"</f>
        <v>035366043</v>
      </c>
      <c r="CQ2714">
        <v>0</v>
      </c>
      <c r="CR2714">
        <v>2</v>
      </c>
      <c r="CS2714">
        <v>0</v>
      </c>
      <c r="CT2714">
        <v>2</v>
      </c>
      <c r="CU2714">
        <v>0</v>
      </c>
      <c r="CV2714">
        <v>6</v>
      </c>
      <c r="CW2714" t="s">
        <v>120</v>
      </c>
      <c r="CX2714">
        <v>261</v>
      </c>
      <c r="CY2714">
        <v>3</v>
      </c>
      <c r="CZ2714" t="s">
        <v>121</v>
      </c>
      <c r="DA2714" t="s">
        <v>122</v>
      </c>
      <c r="DD2714">
        <v>3844193</v>
      </c>
      <c r="DE2714" t="s">
        <v>123</v>
      </c>
    </row>
    <row r="2715" spans="1:109" x14ac:dyDescent="0.3">
      <c r="A2715" t="str">
        <f>"19:20:08.242"</f>
        <v>19:20:08.242</v>
      </c>
      <c r="B2715" t="s">
        <v>110</v>
      </c>
      <c r="C2715" t="str">
        <f t="shared" si="126"/>
        <v>ffdfd3c0</v>
      </c>
      <c r="D2715" t="s">
        <v>111</v>
      </c>
      <c r="E2715">
        <v>18</v>
      </c>
      <c r="F2715">
        <v>1018</v>
      </c>
      <c r="G2715" t="s">
        <v>112</v>
      </c>
      <c r="J2715" t="s">
        <v>113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R2715" t="s">
        <v>114</v>
      </c>
      <c r="S2715" t="str">
        <f>"19:20:07.977"</f>
        <v>19:20:07.977</v>
      </c>
      <c r="T2715" t="str">
        <f>"19:20:07.680"</f>
        <v>19:20:07.680</v>
      </c>
      <c r="U2715" t="str">
        <f t="shared" si="127"/>
        <v>a1cdbe</v>
      </c>
      <c r="V2715">
        <v>0</v>
      </c>
      <c r="W2715">
        <v>0</v>
      </c>
      <c r="X2715">
        <v>1</v>
      </c>
      <c r="Y2715">
        <v>0</v>
      </c>
      <c r="Z2715">
        <v>0</v>
      </c>
      <c r="AB2715">
        <v>0</v>
      </c>
      <c r="AC2715">
        <v>9</v>
      </c>
      <c r="AD2715">
        <v>3</v>
      </c>
      <c r="AE2715">
        <v>0</v>
      </c>
      <c r="AF2715">
        <v>9</v>
      </c>
      <c r="AG2715" t="s">
        <v>158</v>
      </c>
      <c r="AH2715">
        <v>0</v>
      </c>
      <c r="AI2715">
        <v>3</v>
      </c>
      <c r="AJ2715">
        <v>1</v>
      </c>
      <c r="AK2715">
        <v>0</v>
      </c>
      <c r="AL2715" t="s">
        <v>1019</v>
      </c>
      <c r="AM2715">
        <v>46.964621999999999</v>
      </c>
      <c r="AN2715" t="s">
        <v>5118</v>
      </c>
      <c r="AO2715">
        <v>-123.372474</v>
      </c>
      <c r="AP2715">
        <v>100</v>
      </c>
      <c r="AQ2715">
        <v>2000</v>
      </c>
      <c r="AR2715" t="s">
        <v>118</v>
      </c>
      <c r="AS2715">
        <v>-65</v>
      </c>
      <c r="AT2715">
        <v>37</v>
      </c>
      <c r="AU2715">
        <v>0</v>
      </c>
      <c r="BC2715">
        <v>1200</v>
      </c>
      <c r="BD2715">
        <v>1</v>
      </c>
      <c r="BE2715" t="str">
        <f t="shared" si="128"/>
        <v xml:space="preserve">N215T   </v>
      </c>
      <c r="BF2715">
        <v>1</v>
      </c>
      <c r="BH2715">
        <v>0</v>
      </c>
      <c r="BI2715">
        <v>0</v>
      </c>
      <c r="BJ2715">
        <v>0</v>
      </c>
      <c r="BK2715">
        <v>2375</v>
      </c>
      <c r="BL2715">
        <v>375</v>
      </c>
      <c r="BM2715" t="s">
        <v>119</v>
      </c>
      <c r="BN2715">
        <v>1</v>
      </c>
      <c r="BO2715">
        <v>1</v>
      </c>
      <c r="BP2715">
        <v>1</v>
      </c>
      <c r="BQ2715">
        <v>0</v>
      </c>
      <c r="BT2715">
        <v>0</v>
      </c>
      <c r="BU2715">
        <v>0</v>
      </c>
      <c r="BV2715">
        <v>0</v>
      </c>
      <c r="CC2715" t="str">
        <f>"19:20:07.977"</f>
        <v>19:20:07.977</v>
      </c>
      <c r="CD2715" t="str">
        <f>"980272958"</f>
        <v>980272958</v>
      </c>
      <c r="CQ2715">
        <v>0</v>
      </c>
      <c r="CR2715">
        <v>2</v>
      </c>
      <c r="CS2715">
        <v>0</v>
      </c>
      <c r="CT2715">
        <v>2</v>
      </c>
      <c r="CU2715">
        <v>0</v>
      </c>
      <c r="CV2715">
        <v>7</v>
      </c>
      <c r="CW2715" t="s">
        <v>120</v>
      </c>
      <c r="CX2715">
        <v>261</v>
      </c>
      <c r="CY2715">
        <v>2</v>
      </c>
      <c r="CZ2715" t="s">
        <v>121</v>
      </c>
      <c r="DA2715" t="s">
        <v>122</v>
      </c>
      <c r="DD2715">
        <v>15946414</v>
      </c>
      <c r="DE2715" t="s">
        <v>123</v>
      </c>
    </row>
    <row r="2716" spans="1:109" x14ac:dyDescent="0.3">
      <c r="A2716" t="str">
        <f>"19:20:09.406"</f>
        <v>19:20:09.406</v>
      </c>
      <c r="B2716" t="s">
        <v>110</v>
      </c>
      <c r="C2716" t="str">
        <f t="shared" si="126"/>
        <v>ffdfd3c0</v>
      </c>
      <c r="D2716" t="s">
        <v>111</v>
      </c>
      <c r="E2716">
        <v>18</v>
      </c>
      <c r="F2716">
        <v>1018</v>
      </c>
      <c r="G2716" t="s">
        <v>112</v>
      </c>
      <c r="J2716" t="s">
        <v>113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R2716" t="s">
        <v>114</v>
      </c>
      <c r="S2716" t="str">
        <f>"19:20:09.148"</f>
        <v>19:20:09.148</v>
      </c>
      <c r="T2716" t="str">
        <f>"19:20:08.750"</f>
        <v>19:20:08.750</v>
      </c>
      <c r="U2716" t="str">
        <f t="shared" si="127"/>
        <v>a1cdbe</v>
      </c>
      <c r="V2716">
        <v>0</v>
      </c>
      <c r="W2716">
        <v>0</v>
      </c>
      <c r="X2716">
        <v>1</v>
      </c>
      <c r="Y2716">
        <v>0</v>
      </c>
      <c r="Z2716">
        <v>0</v>
      </c>
      <c r="AB2716">
        <v>0</v>
      </c>
      <c r="AC2716">
        <v>9</v>
      </c>
      <c r="AD2716">
        <v>3</v>
      </c>
      <c r="AE2716">
        <v>0</v>
      </c>
      <c r="AF2716">
        <v>9</v>
      </c>
      <c r="AG2716" t="s">
        <v>158</v>
      </c>
      <c r="AH2716">
        <v>0</v>
      </c>
      <c r="AI2716">
        <v>3</v>
      </c>
      <c r="AJ2716">
        <v>1</v>
      </c>
      <c r="AK2716">
        <v>0</v>
      </c>
      <c r="AL2716" t="s">
        <v>5119</v>
      </c>
      <c r="AM2716">
        <v>46.964815000000002</v>
      </c>
      <c r="AN2716" t="s">
        <v>5120</v>
      </c>
      <c r="AO2716">
        <v>-123.372967</v>
      </c>
      <c r="AP2716">
        <v>100</v>
      </c>
      <c r="AQ2716">
        <v>2000</v>
      </c>
      <c r="AR2716" t="s">
        <v>118</v>
      </c>
      <c r="AS2716">
        <v>-65</v>
      </c>
      <c r="AT2716">
        <v>37</v>
      </c>
      <c r="AU2716">
        <v>0</v>
      </c>
      <c r="BC2716">
        <v>1200</v>
      </c>
      <c r="BD2716">
        <v>1</v>
      </c>
      <c r="BE2716" t="str">
        <f t="shared" si="128"/>
        <v xml:space="preserve">N215T   </v>
      </c>
      <c r="BF2716">
        <v>1</v>
      </c>
      <c r="BH2716">
        <v>0</v>
      </c>
      <c r="BI2716">
        <v>0</v>
      </c>
      <c r="BJ2716">
        <v>0</v>
      </c>
      <c r="BK2716">
        <v>2375</v>
      </c>
      <c r="BL2716">
        <v>375</v>
      </c>
      <c r="BM2716" t="s">
        <v>119</v>
      </c>
      <c r="BN2716">
        <v>1</v>
      </c>
      <c r="BO2716">
        <v>1</v>
      </c>
      <c r="BP2716">
        <v>1</v>
      </c>
      <c r="BQ2716">
        <v>0</v>
      </c>
      <c r="BT2716">
        <v>0</v>
      </c>
      <c r="BU2716">
        <v>0</v>
      </c>
      <c r="BV2716">
        <v>0</v>
      </c>
      <c r="CC2716" t="str">
        <f>"19:20:09.148"</f>
        <v>19:20:09.148</v>
      </c>
      <c r="CD2716" t="str">
        <f>"150157718"</f>
        <v>150157718</v>
      </c>
      <c r="CQ2716">
        <v>0</v>
      </c>
      <c r="CR2716">
        <v>2</v>
      </c>
      <c r="CS2716">
        <v>0</v>
      </c>
      <c r="CT2716">
        <v>2</v>
      </c>
      <c r="CU2716">
        <v>0</v>
      </c>
      <c r="CV2716">
        <v>7</v>
      </c>
      <c r="CW2716" t="s">
        <v>120</v>
      </c>
      <c r="CX2716">
        <v>261</v>
      </c>
      <c r="CY2716">
        <v>2</v>
      </c>
      <c r="CZ2716" t="s">
        <v>121</v>
      </c>
      <c r="DA2716" t="s">
        <v>122</v>
      </c>
      <c r="DD2716">
        <v>15947228</v>
      </c>
      <c r="DE2716" t="s">
        <v>123</v>
      </c>
    </row>
    <row r="2717" spans="1:109" x14ac:dyDescent="0.3">
      <c r="A2717" t="str">
        <f>"19:20:10.305"</f>
        <v>19:20:10.305</v>
      </c>
      <c r="B2717" t="s">
        <v>110</v>
      </c>
      <c r="C2717" t="str">
        <f t="shared" si="126"/>
        <v>ffdfd3c0</v>
      </c>
      <c r="D2717" t="s">
        <v>111</v>
      </c>
      <c r="E2717">
        <v>18</v>
      </c>
      <c r="F2717">
        <v>1018</v>
      </c>
      <c r="G2717" t="s">
        <v>112</v>
      </c>
      <c r="J2717" t="s">
        <v>113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R2717" t="s">
        <v>114</v>
      </c>
      <c r="S2717" t="str">
        <f>"19:20:10.094"</f>
        <v>19:20:10.094</v>
      </c>
      <c r="T2717" t="str">
        <f>"19:20:09.797"</f>
        <v>19:20:09.797</v>
      </c>
      <c r="U2717" t="str">
        <f t="shared" si="127"/>
        <v>a1cdbe</v>
      </c>
      <c r="V2717">
        <v>0</v>
      </c>
      <c r="W2717">
        <v>0</v>
      </c>
      <c r="X2717">
        <v>1</v>
      </c>
      <c r="Y2717">
        <v>0</v>
      </c>
      <c r="Z2717">
        <v>0</v>
      </c>
      <c r="AB2717">
        <v>0</v>
      </c>
      <c r="AC2717">
        <v>9</v>
      </c>
      <c r="AD2717">
        <v>3</v>
      </c>
      <c r="AE2717">
        <v>0</v>
      </c>
      <c r="AF2717">
        <v>9</v>
      </c>
      <c r="AG2717" t="s">
        <v>158</v>
      </c>
      <c r="AH2717">
        <v>0</v>
      </c>
      <c r="AI2717">
        <v>3</v>
      </c>
      <c r="AJ2717">
        <v>1</v>
      </c>
      <c r="AK2717">
        <v>0</v>
      </c>
      <c r="AL2717" t="s">
        <v>5121</v>
      </c>
      <c r="AM2717">
        <v>46.964986000000003</v>
      </c>
      <c r="AN2717" t="s">
        <v>5122</v>
      </c>
      <c r="AO2717">
        <v>-123.373375</v>
      </c>
      <c r="AP2717">
        <v>100</v>
      </c>
      <c r="AQ2717">
        <v>2000</v>
      </c>
      <c r="AR2717" t="s">
        <v>118</v>
      </c>
      <c r="AS2717">
        <v>-65</v>
      </c>
      <c r="AT2717">
        <v>37</v>
      </c>
      <c r="AU2717">
        <v>0</v>
      </c>
      <c r="BC2717">
        <v>1200</v>
      </c>
      <c r="BD2717">
        <v>1</v>
      </c>
      <c r="BE2717" t="str">
        <f t="shared" si="128"/>
        <v xml:space="preserve">N215T   </v>
      </c>
      <c r="BF2717">
        <v>1</v>
      </c>
      <c r="BH2717">
        <v>0</v>
      </c>
      <c r="BI2717">
        <v>0</v>
      </c>
      <c r="BJ2717">
        <v>0</v>
      </c>
      <c r="BK2717">
        <v>2375</v>
      </c>
      <c r="BL2717">
        <v>375</v>
      </c>
      <c r="BM2717" t="s">
        <v>119</v>
      </c>
      <c r="BN2717">
        <v>1</v>
      </c>
      <c r="BO2717">
        <v>1</v>
      </c>
      <c r="BP2717">
        <v>1</v>
      </c>
      <c r="BQ2717">
        <v>0</v>
      </c>
      <c r="BT2717">
        <v>0</v>
      </c>
      <c r="BU2717">
        <v>0</v>
      </c>
      <c r="BV2717">
        <v>0</v>
      </c>
      <c r="CC2717" t="str">
        <f>"19:20:10.094"</f>
        <v>19:20:10.094</v>
      </c>
      <c r="CD2717" t="str">
        <f>"095064631"</f>
        <v>095064631</v>
      </c>
      <c r="CQ2717">
        <v>0</v>
      </c>
      <c r="CR2717">
        <v>2</v>
      </c>
      <c r="CS2717">
        <v>0</v>
      </c>
      <c r="CT2717">
        <v>2</v>
      </c>
      <c r="CU2717">
        <v>0</v>
      </c>
      <c r="CV2717">
        <v>7</v>
      </c>
      <c r="CW2717" t="s">
        <v>120</v>
      </c>
      <c r="CX2717">
        <v>261</v>
      </c>
      <c r="CY2717">
        <v>2</v>
      </c>
      <c r="CZ2717" t="s">
        <v>121</v>
      </c>
      <c r="DA2717" t="s">
        <v>122</v>
      </c>
      <c r="DD2717">
        <v>15947861</v>
      </c>
      <c r="DE2717" t="s">
        <v>123</v>
      </c>
    </row>
    <row r="2718" spans="1:109" x14ac:dyDescent="0.3">
      <c r="A2718" t="str">
        <f>"19:20:11.414"</f>
        <v>19:20:11.414</v>
      </c>
      <c r="B2718" t="s">
        <v>110</v>
      </c>
      <c r="C2718" t="str">
        <f t="shared" si="126"/>
        <v>ffdfd3c0</v>
      </c>
      <c r="D2718" t="s">
        <v>111</v>
      </c>
      <c r="E2718">
        <v>18</v>
      </c>
      <c r="F2718">
        <v>1018</v>
      </c>
      <c r="G2718" t="s">
        <v>112</v>
      </c>
      <c r="J2718" t="s">
        <v>113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R2718" t="s">
        <v>114</v>
      </c>
      <c r="S2718" t="str">
        <f>"19:20:11.188"</f>
        <v>19:20:11.188</v>
      </c>
      <c r="T2718" t="str">
        <f>"19:20:11.086"</f>
        <v>19:20:11.086</v>
      </c>
      <c r="U2718" t="str">
        <f t="shared" si="127"/>
        <v>a1cdbe</v>
      </c>
      <c r="V2718">
        <v>0</v>
      </c>
      <c r="W2718">
        <v>0</v>
      </c>
      <c r="X2718">
        <v>1</v>
      </c>
      <c r="Y2718">
        <v>0</v>
      </c>
      <c r="Z2718">
        <v>0</v>
      </c>
      <c r="AB2718">
        <v>0</v>
      </c>
      <c r="AC2718">
        <v>9</v>
      </c>
      <c r="AD2718">
        <v>3</v>
      </c>
      <c r="AE2718">
        <v>0</v>
      </c>
      <c r="AF2718">
        <v>9</v>
      </c>
      <c r="AG2718" t="s">
        <v>158</v>
      </c>
      <c r="AH2718">
        <v>0</v>
      </c>
      <c r="AI2718">
        <v>3</v>
      </c>
      <c r="AJ2718">
        <v>1</v>
      </c>
      <c r="AK2718">
        <v>0</v>
      </c>
      <c r="AL2718" t="s">
        <v>5123</v>
      </c>
      <c r="AM2718">
        <v>46.965178999999999</v>
      </c>
      <c r="AN2718" t="s">
        <v>5124</v>
      </c>
      <c r="AO2718">
        <v>-123.373847</v>
      </c>
      <c r="AP2718">
        <v>100</v>
      </c>
      <c r="AQ2718">
        <v>2000</v>
      </c>
      <c r="AR2718" t="s">
        <v>118</v>
      </c>
      <c r="AS2718">
        <v>-65</v>
      </c>
      <c r="AT2718">
        <v>37</v>
      </c>
      <c r="AU2718">
        <v>0</v>
      </c>
      <c r="BC2718">
        <v>1200</v>
      </c>
      <c r="BD2718">
        <v>1</v>
      </c>
      <c r="BE2718" t="str">
        <f t="shared" si="128"/>
        <v xml:space="preserve">N215T   </v>
      </c>
      <c r="BF2718">
        <v>1</v>
      </c>
      <c r="BH2718">
        <v>0</v>
      </c>
      <c r="BI2718">
        <v>0</v>
      </c>
      <c r="BJ2718">
        <v>0</v>
      </c>
      <c r="BK2718">
        <v>2375</v>
      </c>
      <c r="BL2718">
        <v>375</v>
      </c>
      <c r="BM2718" t="s">
        <v>119</v>
      </c>
      <c r="BN2718">
        <v>1</v>
      </c>
      <c r="BO2718">
        <v>1</v>
      </c>
      <c r="BP2718">
        <v>1</v>
      </c>
      <c r="BQ2718">
        <v>0</v>
      </c>
      <c r="BT2718">
        <v>0</v>
      </c>
      <c r="BU2718">
        <v>0</v>
      </c>
      <c r="BV2718">
        <v>0</v>
      </c>
      <c r="CC2718" t="str">
        <f>"19:20:11.188"</f>
        <v>19:20:11.188</v>
      </c>
      <c r="CD2718" t="str">
        <f>"189956770"</f>
        <v>189956770</v>
      </c>
      <c r="CQ2718">
        <v>0</v>
      </c>
      <c r="CR2718">
        <v>2</v>
      </c>
      <c r="CS2718">
        <v>0</v>
      </c>
      <c r="CT2718">
        <v>2</v>
      </c>
      <c r="CU2718">
        <v>0</v>
      </c>
      <c r="CV2718">
        <v>7</v>
      </c>
      <c r="CW2718" t="s">
        <v>120</v>
      </c>
      <c r="CX2718">
        <v>261</v>
      </c>
      <c r="CY2718">
        <v>2</v>
      </c>
      <c r="CZ2718" t="s">
        <v>121</v>
      </c>
      <c r="DA2718" t="s">
        <v>122</v>
      </c>
      <c r="DD2718">
        <v>15948644</v>
      </c>
      <c r="DE2718" t="s">
        <v>123</v>
      </c>
    </row>
    <row r="2719" spans="1:109" x14ac:dyDescent="0.3">
      <c r="A2719" t="str">
        <f>"19:20:12.469"</f>
        <v>19:20:12.469</v>
      </c>
      <c r="B2719" t="s">
        <v>110</v>
      </c>
      <c r="C2719" t="str">
        <f t="shared" si="126"/>
        <v>ffdfd3c0</v>
      </c>
      <c r="D2719" t="s">
        <v>111</v>
      </c>
      <c r="E2719">
        <v>18</v>
      </c>
      <c r="F2719">
        <v>1018</v>
      </c>
      <c r="G2719" t="s">
        <v>112</v>
      </c>
      <c r="J2719" t="s">
        <v>113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R2719" t="s">
        <v>114</v>
      </c>
      <c r="S2719" t="str">
        <f>"19:20:12.234"</f>
        <v>19:20:12.234</v>
      </c>
      <c r="T2719" t="str">
        <f>"19:20:12.133"</f>
        <v>19:20:12.133</v>
      </c>
      <c r="U2719" t="str">
        <f t="shared" si="127"/>
        <v>a1cdbe</v>
      </c>
      <c r="V2719">
        <v>0</v>
      </c>
      <c r="W2719">
        <v>0</v>
      </c>
      <c r="X2719">
        <v>1</v>
      </c>
      <c r="Y2719">
        <v>0</v>
      </c>
      <c r="Z2719">
        <v>0</v>
      </c>
      <c r="AB2719">
        <v>0</v>
      </c>
      <c r="AC2719">
        <v>9</v>
      </c>
      <c r="AD2719">
        <v>3</v>
      </c>
      <c r="AE2719">
        <v>0</v>
      </c>
      <c r="AF2719">
        <v>9</v>
      </c>
      <c r="AG2719" t="s">
        <v>158</v>
      </c>
      <c r="AH2719">
        <v>0</v>
      </c>
      <c r="AI2719">
        <v>3</v>
      </c>
      <c r="AJ2719">
        <v>1</v>
      </c>
      <c r="AK2719">
        <v>0</v>
      </c>
      <c r="AL2719" t="s">
        <v>5125</v>
      </c>
      <c r="AM2719">
        <v>46.965350999999998</v>
      </c>
      <c r="AN2719" t="s">
        <v>5126</v>
      </c>
      <c r="AO2719">
        <v>-123.374362</v>
      </c>
      <c r="AP2719">
        <v>100</v>
      </c>
      <c r="AQ2719">
        <v>2000</v>
      </c>
      <c r="AR2719" t="s">
        <v>118</v>
      </c>
      <c r="AS2719">
        <v>-65</v>
      </c>
      <c r="AT2719">
        <v>37</v>
      </c>
      <c r="AU2719">
        <v>0</v>
      </c>
      <c r="BC2719">
        <v>1200</v>
      </c>
      <c r="BD2719">
        <v>1</v>
      </c>
      <c r="BE2719" t="str">
        <f t="shared" si="128"/>
        <v xml:space="preserve">N215T   </v>
      </c>
      <c r="BF2719">
        <v>1</v>
      </c>
      <c r="BH2719">
        <v>0</v>
      </c>
      <c r="BI2719">
        <v>0</v>
      </c>
      <c r="BJ2719">
        <v>0</v>
      </c>
      <c r="BK2719">
        <v>2375</v>
      </c>
      <c r="BL2719">
        <v>375</v>
      </c>
      <c r="BM2719" t="s">
        <v>119</v>
      </c>
      <c r="BN2719">
        <v>1</v>
      </c>
      <c r="BO2719">
        <v>1</v>
      </c>
      <c r="BP2719">
        <v>1</v>
      </c>
      <c r="BQ2719">
        <v>0</v>
      </c>
      <c r="BT2719">
        <v>0</v>
      </c>
      <c r="BU2719">
        <v>0</v>
      </c>
      <c r="BV2719">
        <v>0</v>
      </c>
      <c r="CC2719" t="str">
        <f>"19:20:12.242"</f>
        <v>19:20:12.242</v>
      </c>
      <c r="CD2719" t="str">
        <f>"239853363"</f>
        <v>239853363</v>
      </c>
      <c r="CQ2719">
        <v>0</v>
      </c>
      <c r="CR2719">
        <v>2</v>
      </c>
      <c r="CS2719">
        <v>0</v>
      </c>
      <c r="CT2719">
        <v>2</v>
      </c>
      <c r="CU2719">
        <v>0</v>
      </c>
      <c r="CV2719">
        <v>7</v>
      </c>
      <c r="CW2719" t="s">
        <v>120</v>
      </c>
      <c r="CX2719">
        <v>261</v>
      </c>
      <c r="CY2719">
        <v>2</v>
      </c>
      <c r="CZ2719" t="s">
        <v>121</v>
      </c>
      <c r="DA2719" t="s">
        <v>122</v>
      </c>
      <c r="DD2719">
        <v>15949338</v>
      </c>
      <c r="DE2719" t="s">
        <v>123</v>
      </c>
    </row>
    <row r="2720" spans="1:109" x14ac:dyDescent="0.3">
      <c r="A2720" t="str">
        <f>"19:20:13.375"</f>
        <v>19:20:13.375</v>
      </c>
      <c r="B2720" t="s">
        <v>110</v>
      </c>
      <c r="C2720" t="str">
        <f t="shared" si="126"/>
        <v>ffdfd3c0</v>
      </c>
      <c r="D2720" t="s">
        <v>111</v>
      </c>
      <c r="E2720">
        <v>18</v>
      </c>
      <c r="F2720">
        <v>1018</v>
      </c>
      <c r="G2720" t="s">
        <v>112</v>
      </c>
      <c r="J2720" t="s">
        <v>113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R2720" t="s">
        <v>114</v>
      </c>
      <c r="S2720" t="str">
        <f>"19:20:13.117"</f>
        <v>19:20:13.117</v>
      </c>
      <c r="T2720" t="str">
        <f>"19:20:12.719"</f>
        <v>19:20:12.719</v>
      </c>
      <c r="U2720" t="str">
        <f t="shared" si="127"/>
        <v>a1cdbe</v>
      </c>
      <c r="V2720">
        <v>0</v>
      </c>
      <c r="W2720">
        <v>0</v>
      </c>
      <c r="X2720">
        <v>1</v>
      </c>
      <c r="Y2720">
        <v>0</v>
      </c>
      <c r="Z2720">
        <v>0</v>
      </c>
      <c r="AB2720">
        <v>0</v>
      </c>
      <c r="AC2720">
        <v>9</v>
      </c>
      <c r="AD2720">
        <v>3</v>
      </c>
      <c r="AE2720">
        <v>0</v>
      </c>
      <c r="AF2720">
        <v>9</v>
      </c>
      <c r="AG2720" t="s">
        <v>158</v>
      </c>
      <c r="AH2720">
        <v>0</v>
      </c>
      <c r="AI2720">
        <v>3</v>
      </c>
      <c r="AJ2720">
        <v>1</v>
      </c>
      <c r="AK2720">
        <v>0</v>
      </c>
      <c r="AL2720" t="s">
        <v>5127</v>
      </c>
      <c r="AM2720">
        <v>46.965522999999997</v>
      </c>
      <c r="AN2720" t="s">
        <v>5128</v>
      </c>
      <c r="AO2720">
        <v>-123.37477</v>
      </c>
      <c r="AP2720">
        <v>100</v>
      </c>
      <c r="AQ2720">
        <v>2000</v>
      </c>
      <c r="AR2720" t="s">
        <v>118</v>
      </c>
      <c r="AS2720">
        <v>-65</v>
      </c>
      <c r="AT2720">
        <v>37</v>
      </c>
      <c r="AU2720">
        <v>0</v>
      </c>
      <c r="BC2720">
        <v>1200</v>
      </c>
      <c r="BD2720">
        <v>1</v>
      </c>
      <c r="BE2720" t="str">
        <f t="shared" si="128"/>
        <v xml:space="preserve">N215T   </v>
      </c>
      <c r="BF2720">
        <v>1</v>
      </c>
      <c r="BH2720">
        <v>0</v>
      </c>
      <c r="BI2720">
        <v>0</v>
      </c>
      <c r="BJ2720">
        <v>0</v>
      </c>
      <c r="BK2720">
        <v>2375</v>
      </c>
      <c r="BL2720">
        <v>375</v>
      </c>
      <c r="BM2720" t="s">
        <v>119</v>
      </c>
      <c r="BN2720">
        <v>1</v>
      </c>
      <c r="BO2720">
        <v>1</v>
      </c>
      <c r="BP2720">
        <v>1</v>
      </c>
      <c r="BQ2720">
        <v>0</v>
      </c>
      <c r="BT2720">
        <v>0</v>
      </c>
      <c r="BU2720">
        <v>0</v>
      </c>
      <c r="BV2720">
        <v>0</v>
      </c>
      <c r="CC2720" t="str">
        <f>"19:20:13.125"</f>
        <v>19:20:13.125</v>
      </c>
      <c r="CD2720" t="str">
        <f>"124766186"</f>
        <v>124766186</v>
      </c>
      <c r="CQ2720">
        <v>0</v>
      </c>
      <c r="CR2720">
        <v>2</v>
      </c>
      <c r="CS2720">
        <v>0</v>
      </c>
      <c r="CT2720">
        <v>2</v>
      </c>
      <c r="CU2720">
        <v>0</v>
      </c>
      <c r="CV2720">
        <v>7</v>
      </c>
      <c r="CW2720" t="s">
        <v>120</v>
      </c>
      <c r="CX2720">
        <v>261</v>
      </c>
      <c r="CY2720">
        <v>2</v>
      </c>
      <c r="CZ2720" t="s">
        <v>121</v>
      </c>
      <c r="DA2720" t="s">
        <v>122</v>
      </c>
      <c r="DD2720">
        <v>15949911</v>
      </c>
      <c r="DE2720" t="s">
        <v>123</v>
      </c>
    </row>
    <row r="2721" spans="1:109" x14ac:dyDescent="0.3">
      <c r="A2721" t="str">
        <f>"19:20:14.328"</f>
        <v>19:20:14.328</v>
      </c>
      <c r="B2721" t="s">
        <v>110</v>
      </c>
      <c r="C2721" t="str">
        <f t="shared" si="126"/>
        <v>ffdfd3c0</v>
      </c>
      <c r="D2721" t="s">
        <v>111</v>
      </c>
      <c r="E2721">
        <v>18</v>
      </c>
      <c r="F2721">
        <v>1018</v>
      </c>
      <c r="G2721" t="s">
        <v>112</v>
      </c>
      <c r="J2721" t="s">
        <v>113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R2721" t="s">
        <v>114</v>
      </c>
      <c r="S2721" t="str">
        <f>"19:20:14.109"</f>
        <v>19:20:14.109</v>
      </c>
      <c r="T2721" t="str">
        <f>"19:20:13.711"</f>
        <v>19:20:13.711</v>
      </c>
      <c r="U2721" t="str">
        <f t="shared" si="127"/>
        <v>a1cdbe</v>
      </c>
      <c r="V2721">
        <v>0</v>
      </c>
      <c r="W2721">
        <v>0</v>
      </c>
      <c r="X2721">
        <v>1</v>
      </c>
      <c r="Y2721">
        <v>0</v>
      </c>
      <c r="Z2721">
        <v>0</v>
      </c>
      <c r="AB2721">
        <v>0</v>
      </c>
      <c r="AC2721">
        <v>9</v>
      </c>
      <c r="AD2721">
        <v>3</v>
      </c>
      <c r="AE2721">
        <v>0</v>
      </c>
      <c r="AF2721">
        <v>9</v>
      </c>
      <c r="AG2721" t="s">
        <v>158</v>
      </c>
      <c r="AH2721">
        <v>0</v>
      </c>
      <c r="AI2721">
        <v>3</v>
      </c>
      <c r="AJ2721">
        <v>1</v>
      </c>
      <c r="AK2721">
        <v>0</v>
      </c>
      <c r="AL2721" t="s">
        <v>5129</v>
      </c>
      <c r="AM2721">
        <v>46.965673000000002</v>
      </c>
      <c r="AN2721" t="s">
        <v>5130</v>
      </c>
      <c r="AO2721">
        <v>-123.375156</v>
      </c>
      <c r="AP2721">
        <v>100</v>
      </c>
      <c r="AQ2721">
        <v>2000</v>
      </c>
      <c r="AR2721" t="s">
        <v>118</v>
      </c>
      <c r="AS2721">
        <v>-65</v>
      </c>
      <c r="AT2721">
        <v>37</v>
      </c>
      <c r="AU2721">
        <v>0</v>
      </c>
      <c r="BC2721">
        <v>1200</v>
      </c>
      <c r="BD2721">
        <v>1</v>
      </c>
      <c r="BE2721" t="str">
        <f t="shared" si="128"/>
        <v xml:space="preserve">N215T   </v>
      </c>
      <c r="BF2721">
        <v>1</v>
      </c>
      <c r="BH2721">
        <v>0</v>
      </c>
      <c r="BI2721">
        <v>0</v>
      </c>
      <c r="BJ2721">
        <v>0</v>
      </c>
      <c r="BK2721">
        <v>2375</v>
      </c>
      <c r="BL2721">
        <v>375</v>
      </c>
      <c r="BM2721" t="s">
        <v>119</v>
      </c>
      <c r="BN2721">
        <v>1</v>
      </c>
      <c r="BO2721">
        <v>1</v>
      </c>
      <c r="BP2721">
        <v>1</v>
      </c>
      <c r="BQ2721">
        <v>0</v>
      </c>
      <c r="BT2721">
        <v>0</v>
      </c>
      <c r="BU2721">
        <v>0</v>
      </c>
      <c r="BV2721">
        <v>0</v>
      </c>
      <c r="CC2721" t="str">
        <f>"19:20:14.117"</f>
        <v>19:20:14.117</v>
      </c>
      <c r="CD2721" t="str">
        <f>"114668674"</f>
        <v>114668674</v>
      </c>
      <c r="CQ2721">
        <v>0</v>
      </c>
      <c r="CR2721">
        <v>2</v>
      </c>
      <c r="CS2721">
        <v>0</v>
      </c>
      <c r="CT2721">
        <v>2</v>
      </c>
      <c r="CU2721">
        <v>0</v>
      </c>
      <c r="CV2721">
        <v>7</v>
      </c>
      <c r="CW2721" t="s">
        <v>120</v>
      </c>
      <c r="CX2721">
        <v>261</v>
      </c>
      <c r="CY2721">
        <v>2</v>
      </c>
      <c r="CZ2721" t="s">
        <v>121</v>
      </c>
      <c r="DA2721" t="s">
        <v>122</v>
      </c>
      <c r="DD2721">
        <v>15950559</v>
      </c>
      <c r="DE2721" t="s">
        <v>123</v>
      </c>
    </row>
    <row r="2722" spans="1:109" x14ac:dyDescent="0.3">
      <c r="A2722" t="str">
        <f>"19:20:15.234"</f>
        <v>19:20:15.234</v>
      </c>
      <c r="B2722" t="s">
        <v>110</v>
      </c>
      <c r="C2722" t="str">
        <f t="shared" si="126"/>
        <v>ffdfd3c0</v>
      </c>
      <c r="D2722" t="s">
        <v>111</v>
      </c>
      <c r="E2722">
        <v>18</v>
      </c>
      <c r="F2722">
        <v>1018</v>
      </c>
      <c r="G2722" t="s">
        <v>112</v>
      </c>
      <c r="J2722" t="s">
        <v>113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R2722" t="s">
        <v>114</v>
      </c>
      <c r="S2722" t="str">
        <f>"19:20:15.039"</f>
        <v>19:20:15.039</v>
      </c>
      <c r="T2722" t="str">
        <f>"19:20:14.836"</f>
        <v>19:20:14.836</v>
      </c>
      <c r="U2722" t="str">
        <f t="shared" si="127"/>
        <v>a1cdbe</v>
      </c>
      <c r="V2722">
        <v>0</v>
      </c>
      <c r="W2722">
        <v>0</v>
      </c>
      <c r="X2722">
        <v>1</v>
      </c>
      <c r="Y2722">
        <v>0</v>
      </c>
      <c r="Z2722">
        <v>0</v>
      </c>
      <c r="AB2722">
        <v>0</v>
      </c>
      <c r="AC2722">
        <v>9</v>
      </c>
      <c r="AD2722">
        <v>3</v>
      </c>
      <c r="AE2722">
        <v>0</v>
      </c>
      <c r="AF2722">
        <v>9</v>
      </c>
      <c r="AG2722" t="s">
        <v>158</v>
      </c>
      <c r="AH2722">
        <v>0</v>
      </c>
      <c r="AI2722">
        <v>3</v>
      </c>
      <c r="AJ2722">
        <v>1</v>
      </c>
      <c r="AK2722">
        <v>0</v>
      </c>
      <c r="AL2722" t="s">
        <v>5131</v>
      </c>
      <c r="AM2722">
        <v>46.965845000000002</v>
      </c>
      <c r="AN2722" t="s">
        <v>5132</v>
      </c>
      <c r="AO2722">
        <v>-123.375542</v>
      </c>
      <c r="AP2722">
        <v>100</v>
      </c>
      <c r="AQ2722">
        <v>2000</v>
      </c>
      <c r="AR2722" t="s">
        <v>118</v>
      </c>
      <c r="AS2722">
        <v>-65</v>
      </c>
      <c r="AT2722">
        <v>37</v>
      </c>
      <c r="AU2722">
        <v>0</v>
      </c>
      <c r="BC2722">
        <v>1200</v>
      </c>
      <c r="BD2722">
        <v>1</v>
      </c>
      <c r="BE2722" t="str">
        <f t="shared" si="128"/>
        <v xml:space="preserve">N215T   </v>
      </c>
      <c r="BF2722">
        <v>1</v>
      </c>
      <c r="BH2722">
        <v>0</v>
      </c>
      <c r="BI2722">
        <v>0</v>
      </c>
      <c r="BJ2722">
        <v>0</v>
      </c>
      <c r="BK2722">
        <v>2375</v>
      </c>
      <c r="BL2722">
        <v>375</v>
      </c>
      <c r="BM2722" t="s">
        <v>119</v>
      </c>
      <c r="BN2722">
        <v>1</v>
      </c>
      <c r="BO2722">
        <v>1</v>
      </c>
      <c r="BP2722">
        <v>1</v>
      </c>
      <c r="BQ2722">
        <v>0</v>
      </c>
      <c r="BT2722">
        <v>0</v>
      </c>
      <c r="BU2722">
        <v>0</v>
      </c>
      <c r="BV2722">
        <v>0</v>
      </c>
      <c r="CC2722" t="str">
        <f>"19:20:15.047"</f>
        <v>19:20:15.047</v>
      </c>
      <c r="CD2722" t="str">
        <f>"044577079"</f>
        <v>044577079</v>
      </c>
      <c r="CQ2722">
        <v>0</v>
      </c>
      <c r="CR2722">
        <v>2</v>
      </c>
      <c r="CS2722">
        <v>0</v>
      </c>
      <c r="CT2722">
        <v>2</v>
      </c>
      <c r="CU2722">
        <v>0</v>
      </c>
      <c r="CV2722">
        <v>6</v>
      </c>
      <c r="CW2722" t="s">
        <v>120</v>
      </c>
      <c r="CX2722">
        <v>261</v>
      </c>
      <c r="CY2722">
        <v>2</v>
      </c>
      <c r="CZ2722" t="s">
        <v>121</v>
      </c>
      <c r="DA2722" t="s">
        <v>122</v>
      </c>
      <c r="DD2722">
        <v>15951236</v>
      </c>
      <c r="DE2722" t="s">
        <v>123</v>
      </c>
    </row>
    <row r="2723" spans="1:109" x14ac:dyDescent="0.3">
      <c r="A2723" t="str">
        <f>"19:20:16.195"</f>
        <v>19:20:16.195</v>
      </c>
      <c r="B2723" t="s">
        <v>110</v>
      </c>
      <c r="C2723" t="str">
        <f t="shared" si="126"/>
        <v>ffdfd3c0</v>
      </c>
      <c r="D2723" t="s">
        <v>111</v>
      </c>
      <c r="E2723">
        <v>18</v>
      </c>
      <c r="F2723">
        <v>1018</v>
      </c>
      <c r="G2723" t="s">
        <v>112</v>
      </c>
      <c r="J2723" t="s">
        <v>113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R2723" t="s">
        <v>114</v>
      </c>
      <c r="S2723" t="str">
        <f>"19:20:15.969"</f>
        <v>19:20:15.969</v>
      </c>
      <c r="T2723" t="str">
        <f>"19:20:15.766"</f>
        <v>19:20:15.766</v>
      </c>
      <c r="U2723" t="str">
        <f t="shared" si="127"/>
        <v>a1cdbe</v>
      </c>
      <c r="V2723">
        <v>0</v>
      </c>
      <c r="W2723">
        <v>0</v>
      </c>
      <c r="X2723">
        <v>1</v>
      </c>
      <c r="Y2723">
        <v>0</v>
      </c>
      <c r="Z2723">
        <v>0</v>
      </c>
      <c r="AB2723">
        <v>0</v>
      </c>
      <c r="AC2723">
        <v>9</v>
      </c>
      <c r="AD2723">
        <v>3</v>
      </c>
      <c r="AE2723">
        <v>0</v>
      </c>
      <c r="AF2723">
        <v>9</v>
      </c>
      <c r="AG2723" t="s">
        <v>158</v>
      </c>
      <c r="AH2723">
        <v>0</v>
      </c>
      <c r="AI2723">
        <v>3</v>
      </c>
      <c r="AJ2723">
        <v>1</v>
      </c>
      <c r="AK2723">
        <v>0</v>
      </c>
      <c r="AL2723" t="s">
        <v>5133</v>
      </c>
      <c r="AM2723">
        <v>46.965994999999999</v>
      </c>
      <c r="AN2723" t="s">
        <v>5134</v>
      </c>
      <c r="AO2723">
        <v>-123.37599299999999</v>
      </c>
      <c r="AP2723">
        <v>100</v>
      </c>
      <c r="AQ2723">
        <v>2000</v>
      </c>
      <c r="AR2723" t="s">
        <v>118</v>
      </c>
      <c r="AS2723">
        <v>-65</v>
      </c>
      <c r="AT2723">
        <v>37</v>
      </c>
      <c r="AU2723">
        <v>64</v>
      </c>
      <c r="BC2723">
        <v>1200</v>
      </c>
      <c r="BD2723">
        <v>1</v>
      </c>
      <c r="BE2723" t="str">
        <f t="shared" si="128"/>
        <v xml:space="preserve">N215T   </v>
      </c>
      <c r="BF2723">
        <v>1</v>
      </c>
      <c r="BH2723">
        <v>0</v>
      </c>
      <c r="BI2723">
        <v>0</v>
      </c>
      <c r="BJ2723">
        <v>0</v>
      </c>
      <c r="BK2723">
        <v>2375</v>
      </c>
      <c r="BL2723">
        <v>375</v>
      </c>
      <c r="BM2723" t="s">
        <v>119</v>
      </c>
      <c r="BN2723">
        <v>1</v>
      </c>
      <c r="BO2723">
        <v>1</v>
      </c>
      <c r="BP2723">
        <v>1</v>
      </c>
      <c r="BQ2723">
        <v>0</v>
      </c>
      <c r="BT2723">
        <v>0</v>
      </c>
      <c r="BU2723">
        <v>0</v>
      </c>
      <c r="BV2723">
        <v>0</v>
      </c>
      <c r="CC2723" t="str">
        <f>"19:20:15.977"</f>
        <v>19:20:15.977</v>
      </c>
      <c r="CD2723" t="str">
        <f>"974467167"</f>
        <v>974467167</v>
      </c>
      <c r="CQ2723">
        <v>0</v>
      </c>
      <c r="CR2723">
        <v>2</v>
      </c>
      <c r="CS2723">
        <v>0</v>
      </c>
      <c r="CT2723">
        <v>2</v>
      </c>
      <c r="CU2723">
        <v>0</v>
      </c>
      <c r="CV2723">
        <v>4</v>
      </c>
      <c r="CW2723" t="s">
        <v>120</v>
      </c>
      <c r="CX2723">
        <v>257</v>
      </c>
      <c r="CY2723">
        <v>0</v>
      </c>
      <c r="CZ2723" t="s">
        <v>615</v>
      </c>
      <c r="DA2723" t="s">
        <v>616</v>
      </c>
      <c r="DD2723">
        <v>16062583</v>
      </c>
      <c r="DE2723" t="s">
        <v>123</v>
      </c>
    </row>
    <row r="2724" spans="1:109" x14ac:dyDescent="0.3">
      <c r="A2724" t="str">
        <f>"19:20:17.242"</f>
        <v>19:20:17.242</v>
      </c>
      <c r="B2724" t="s">
        <v>110</v>
      </c>
      <c r="C2724" t="str">
        <f t="shared" si="126"/>
        <v>ffdfd3c0</v>
      </c>
      <c r="D2724" t="s">
        <v>111</v>
      </c>
      <c r="E2724">
        <v>18</v>
      </c>
      <c r="F2724">
        <v>1018</v>
      </c>
      <c r="G2724" t="s">
        <v>112</v>
      </c>
      <c r="J2724" t="s">
        <v>113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R2724" t="s">
        <v>114</v>
      </c>
      <c r="S2724" t="str">
        <f>"19:20:17.023"</f>
        <v>19:20:17.023</v>
      </c>
      <c r="T2724" t="str">
        <f>"19:20:16.625"</f>
        <v>19:20:16.625</v>
      </c>
      <c r="U2724" t="str">
        <f t="shared" si="127"/>
        <v>a1cdbe</v>
      </c>
      <c r="V2724">
        <v>0</v>
      </c>
      <c r="W2724">
        <v>0</v>
      </c>
      <c r="X2724">
        <v>1</v>
      </c>
      <c r="Y2724">
        <v>0</v>
      </c>
      <c r="Z2724">
        <v>0</v>
      </c>
      <c r="AB2724">
        <v>0</v>
      </c>
      <c r="AC2724">
        <v>9</v>
      </c>
      <c r="AD2724">
        <v>3</v>
      </c>
      <c r="AE2724">
        <v>0</v>
      </c>
      <c r="AF2724">
        <v>9</v>
      </c>
      <c r="AG2724" t="s">
        <v>158</v>
      </c>
      <c r="AH2724">
        <v>0</v>
      </c>
      <c r="AI2724">
        <v>3</v>
      </c>
      <c r="AJ2724">
        <v>1</v>
      </c>
      <c r="AK2724">
        <v>0</v>
      </c>
      <c r="AL2724" t="s">
        <v>5135</v>
      </c>
      <c r="AM2724">
        <v>46.966188000000002</v>
      </c>
      <c r="AN2724" t="s">
        <v>5136</v>
      </c>
      <c r="AO2724">
        <v>-123.376465</v>
      </c>
      <c r="AP2724">
        <v>100</v>
      </c>
      <c r="AQ2724">
        <v>2000</v>
      </c>
      <c r="AR2724" t="s">
        <v>118</v>
      </c>
      <c r="AS2724">
        <v>-65</v>
      </c>
      <c r="AT2724">
        <v>37</v>
      </c>
      <c r="AU2724">
        <v>64</v>
      </c>
      <c r="BC2724">
        <v>1200</v>
      </c>
      <c r="BD2724">
        <v>1</v>
      </c>
      <c r="BE2724" t="str">
        <f t="shared" si="128"/>
        <v xml:space="preserve">N215T   </v>
      </c>
      <c r="BF2724">
        <v>1</v>
      </c>
      <c r="BH2724">
        <v>0</v>
      </c>
      <c r="BI2724">
        <v>0</v>
      </c>
      <c r="BJ2724">
        <v>0</v>
      </c>
      <c r="BK2724">
        <v>2375</v>
      </c>
      <c r="BL2724">
        <v>375</v>
      </c>
      <c r="BM2724" t="s">
        <v>119</v>
      </c>
      <c r="BN2724">
        <v>1</v>
      </c>
      <c r="BO2724">
        <v>1</v>
      </c>
      <c r="BP2724">
        <v>1</v>
      </c>
      <c r="BQ2724">
        <v>0</v>
      </c>
      <c r="BT2724">
        <v>0</v>
      </c>
      <c r="BU2724">
        <v>0</v>
      </c>
      <c r="BV2724">
        <v>0</v>
      </c>
      <c r="CC2724" t="str">
        <f>"19:20:17.023"</f>
        <v>19:20:17.023</v>
      </c>
      <c r="CD2724" t="str">
        <f>"024382063"</f>
        <v>024382063</v>
      </c>
      <c r="CQ2724">
        <v>0</v>
      </c>
      <c r="CR2724">
        <v>2</v>
      </c>
      <c r="CS2724">
        <v>0</v>
      </c>
      <c r="CT2724">
        <v>2</v>
      </c>
      <c r="CU2724">
        <v>0</v>
      </c>
      <c r="CV2724">
        <v>7</v>
      </c>
      <c r="CW2724" t="s">
        <v>120</v>
      </c>
      <c r="CX2724">
        <v>261</v>
      </c>
      <c r="CY2724">
        <v>2</v>
      </c>
      <c r="CZ2724" t="s">
        <v>121</v>
      </c>
      <c r="DA2724" t="s">
        <v>122</v>
      </c>
      <c r="DD2724">
        <v>15952536</v>
      </c>
      <c r="DE2724" t="s">
        <v>123</v>
      </c>
    </row>
    <row r="2725" spans="1:109" x14ac:dyDescent="0.3">
      <c r="A2725" t="str">
        <f>"19:20:18.148"</f>
        <v>19:20:18.148</v>
      </c>
      <c r="B2725" t="s">
        <v>110</v>
      </c>
      <c r="C2725" t="str">
        <f t="shared" si="126"/>
        <v>ffdfd3c0</v>
      </c>
      <c r="D2725" t="s">
        <v>111</v>
      </c>
      <c r="E2725">
        <v>18</v>
      </c>
      <c r="F2725">
        <v>1018</v>
      </c>
      <c r="G2725" t="s">
        <v>112</v>
      </c>
      <c r="J2725" t="s">
        <v>113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R2725" t="s">
        <v>114</v>
      </c>
      <c r="S2725" t="str">
        <f>"19:20:17.922"</f>
        <v>19:20:17.922</v>
      </c>
      <c r="T2725" t="str">
        <f>"19:20:17.719"</f>
        <v>19:20:17.719</v>
      </c>
      <c r="U2725" t="str">
        <f t="shared" si="127"/>
        <v>a1cdbe</v>
      </c>
      <c r="V2725">
        <v>0</v>
      </c>
      <c r="W2725">
        <v>0</v>
      </c>
      <c r="X2725">
        <v>1</v>
      </c>
      <c r="Y2725">
        <v>0</v>
      </c>
      <c r="Z2725">
        <v>0</v>
      </c>
      <c r="AB2725">
        <v>0</v>
      </c>
      <c r="AC2725">
        <v>9</v>
      </c>
      <c r="AD2725">
        <v>3</v>
      </c>
      <c r="AE2725">
        <v>0</v>
      </c>
      <c r="AF2725">
        <v>9</v>
      </c>
      <c r="AG2725" t="s">
        <v>158</v>
      </c>
      <c r="AH2725">
        <v>0</v>
      </c>
      <c r="AI2725">
        <v>3</v>
      </c>
      <c r="AJ2725">
        <v>1</v>
      </c>
      <c r="AK2725">
        <v>0</v>
      </c>
      <c r="AL2725" t="s">
        <v>5137</v>
      </c>
      <c r="AM2725">
        <v>46.966316999999997</v>
      </c>
      <c r="AN2725" t="s">
        <v>5138</v>
      </c>
      <c r="AO2725">
        <v>-123.37689399999999</v>
      </c>
      <c r="AP2725">
        <v>100</v>
      </c>
      <c r="AQ2725">
        <v>2000</v>
      </c>
      <c r="AR2725" t="s">
        <v>118</v>
      </c>
      <c r="AS2725">
        <v>-65</v>
      </c>
      <c r="AT2725">
        <v>37</v>
      </c>
      <c r="AU2725">
        <v>64</v>
      </c>
      <c r="BC2725">
        <v>1200</v>
      </c>
      <c r="BD2725">
        <v>1</v>
      </c>
      <c r="BE2725" t="str">
        <f t="shared" si="128"/>
        <v xml:space="preserve">N215T   </v>
      </c>
      <c r="BF2725">
        <v>1</v>
      </c>
      <c r="BH2725">
        <v>0</v>
      </c>
      <c r="BI2725">
        <v>0</v>
      </c>
      <c r="BJ2725">
        <v>0</v>
      </c>
      <c r="BK2725">
        <v>2375</v>
      </c>
      <c r="BL2725">
        <v>375</v>
      </c>
      <c r="BM2725" t="s">
        <v>119</v>
      </c>
      <c r="BN2725">
        <v>1</v>
      </c>
      <c r="BO2725">
        <v>1</v>
      </c>
      <c r="BP2725">
        <v>1</v>
      </c>
      <c r="BQ2725">
        <v>0</v>
      </c>
      <c r="BT2725">
        <v>0</v>
      </c>
      <c r="BU2725">
        <v>0</v>
      </c>
      <c r="BV2725">
        <v>0</v>
      </c>
      <c r="CC2725" t="str">
        <f>"19:20:17.922"</f>
        <v>19:20:17.922</v>
      </c>
      <c r="CD2725" t="str">
        <f>"924293415"</f>
        <v>924293415</v>
      </c>
      <c r="CQ2725">
        <v>0</v>
      </c>
      <c r="CR2725">
        <v>2</v>
      </c>
      <c r="CS2725">
        <v>0</v>
      </c>
      <c r="CT2725">
        <v>2</v>
      </c>
      <c r="CU2725">
        <v>0</v>
      </c>
      <c r="CV2725">
        <v>7</v>
      </c>
      <c r="CW2725" t="s">
        <v>120</v>
      </c>
      <c r="CX2725">
        <v>261</v>
      </c>
      <c r="CY2725">
        <v>2</v>
      </c>
      <c r="CZ2725" t="s">
        <v>121</v>
      </c>
      <c r="DA2725" t="s">
        <v>122</v>
      </c>
      <c r="DD2725">
        <v>15953066</v>
      </c>
      <c r="DE2725" t="s">
        <v>123</v>
      </c>
    </row>
    <row r="2726" spans="1:109" x14ac:dyDescent="0.3">
      <c r="A2726" t="str">
        <f>"19:20:19.203"</f>
        <v>19:20:19.203</v>
      </c>
      <c r="B2726" t="s">
        <v>110</v>
      </c>
      <c r="C2726" t="str">
        <f t="shared" si="126"/>
        <v>ffdfd3c0</v>
      </c>
      <c r="D2726" t="s">
        <v>111</v>
      </c>
      <c r="E2726">
        <v>18</v>
      </c>
      <c r="F2726">
        <v>1018</v>
      </c>
      <c r="G2726" t="s">
        <v>112</v>
      </c>
      <c r="J2726" t="s">
        <v>113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R2726" t="s">
        <v>114</v>
      </c>
      <c r="S2726" t="str">
        <f>"19:20:18.953"</f>
        <v>19:20:18.953</v>
      </c>
      <c r="T2726" t="str">
        <f>"19:20:18.656"</f>
        <v>19:20:18.656</v>
      </c>
      <c r="U2726" t="str">
        <f t="shared" si="127"/>
        <v>a1cdbe</v>
      </c>
      <c r="V2726">
        <v>0</v>
      </c>
      <c r="W2726">
        <v>0</v>
      </c>
      <c r="X2726">
        <v>1</v>
      </c>
      <c r="Y2726">
        <v>0</v>
      </c>
      <c r="Z2726">
        <v>0</v>
      </c>
      <c r="AB2726">
        <v>0</v>
      </c>
      <c r="AC2726">
        <v>9</v>
      </c>
      <c r="AD2726">
        <v>3</v>
      </c>
      <c r="AE2726">
        <v>0</v>
      </c>
      <c r="AF2726">
        <v>9</v>
      </c>
      <c r="AG2726" t="s">
        <v>158</v>
      </c>
      <c r="AH2726">
        <v>0</v>
      </c>
      <c r="AI2726">
        <v>3</v>
      </c>
      <c r="AJ2726">
        <v>1</v>
      </c>
      <c r="AK2726">
        <v>0</v>
      </c>
      <c r="AL2726" t="s">
        <v>5139</v>
      </c>
      <c r="AM2726">
        <v>46.966552999999998</v>
      </c>
      <c r="AN2726" t="s">
        <v>5140</v>
      </c>
      <c r="AO2726">
        <v>-123.377302</v>
      </c>
      <c r="AP2726">
        <v>100</v>
      </c>
      <c r="AQ2726">
        <v>2000</v>
      </c>
      <c r="AR2726" t="s">
        <v>118</v>
      </c>
      <c r="AS2726">
        <v>-65</v>
      </c>
      <c r="AT2726">
        <v>37</v>
      </c>
      <c r="AU2726">
        <v>64</v>
      </c>
      <c r="BC2726">
        <v>1200</v>
      </c>
      <c r="BD2726">
        <v>1</v>
      </c>
      <c r="BE2726" t="str">
        <f t="shared" si="128"/>
        <v xml:space="preserve">N215T   </v>
      </c>
      <c r="BF2726">
        <v>1</v>
      </c>
      <c r="BH2726">
        <v>0</v>
      </c>
      <c r="BI2726">
        <v>0</v>
      </c>
      <c r="BJ2726">
        <v>0</v>
      </c>
      <c r="BK2726">
        <v>2375</v>
      </c>
      <c r="BL2726">
        <v>375</v>
      </c>
      <c r="BM2726" t="s">
        <v>119</v>
      </c>
      <c r="BN2726">
        <v>1</v>
      </c>
      <c r="BO2726">
        <v>1</v>
      </c>
      <c r="BP2726">
        <v>1</v>
      </c>
      <c r="BQ2726">
        <v>0</v>
      </c>
      <c r="BT2726">
        <v>0</v>
      </c>
      <c r="BU2726">
        <v>0</v>
      </c>
      <c r="BV2726">
        <v>0</v>
      </c>
      <c r="CC2726" t="str">
        <f>"19:20:18.961"</f>
        <v>19:20:18.961</v>
      </c>
      <c r="CD2726" t="str">
        <f>"959191468"</f>
        <v>959191468</v>
      </c>
      <c r="CQ2726">
        <v>0</v>
      </c>
      <c r="CR2726">
        <v>2</v>
      </c>
      <c r="CS2726">
        <v>0</v>
      </c>
      <c r="CT2726">
        <v>2</v>
      </c>
      <c r="CU2726">
        <v>0</v>
      </c>
      <c r="CV2726">
        <v>7</v>
      </c>
      <c r="CW2726" t="s">
        <v>120</v>
      </c>
      <c r="CX2726">
        <v>261</v>
      </c>
      <c r="CY2726">
        <v>2</v>
      </c>
      <c r="CZ2726" t="s">
        <v>121</v>
      </c>
      <c r="DA2726" t="s">
        <v>122</v>
      </c>
      <c r="DD2726">
        <v>15953811</v>
      </c>
      <c r="DE2726" t="s">
        <v>123</v>
      </c>
    </row>
    <row r="2727" spans="1:109" x14ac:dyDescent="0.3">
      <c r="A2727" t="str">
        <f>"19:20:20.359"</f>
        <v>19:20:20.359</v>
      </c>
      <c r="B2727" t="s">
        <v>110</v>
      </c>
      <c r="C2727" t="str">
        <f t="shared" si="126"/>
        <v>ffdfd3c0</v>
      </c>
      <c r="D2727" t="s">
        <v>111</v>
      </c>
      <c r="E2727">
        <v>18</v>
      </c>
      <c r="F2727">
        <v>1018</v>
      </c>
      <c r="G2727" t="s">
        <v>112</v>
      </c>
      <c r="J2727" t="s">
        <v>113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R2727" t="s">
        <v>114</v>
      </c>
      <c r="S2727" t="str">
        <f>"19:20:20.109"</f>
        <v>19:20:20.109</v>
      </c>
      <c r="T2727" t="str">
        <f>"19:20:19.711"</f>
        <v>19:20:19.711</v>
      </c>
      <c r="U2727" t="str">
        <f t="shared" si="127"/>
        <v>a1cdbe</v>
      </c>
      <c r="V2727">
        <v>0</v>
      </c>
      <c r="W2727">
        <v>0</v>
      </c>
      <c r="X2727">
        <v>1</v>
      </c>
      <c r="Y2727">
        <v>0</v>
      </c>
      <c r="Z2727">
        <v>0</v>
      </c>
      <c r="AB2727">
        <v>0</v>
      </c>
      <c r="AC2727">
        <v>9</v>
      </c>
      <c r="AD2727">
        <v>3</v>
      </c>
      <c r="AE2727">
        <v>0</v>
      </c>
      <c r="AF2727">
        <v>9</v>
      </c>
      <c r="AG2727" t="s">
        <v>158</v>
      </c>
      <c r="AH2727">
        <v>0</v>
      </c>
      <c r="AI2727">
        <v>3</v>
      </c>
      <c r="AJ2727">
        <v>1</v>
      </c>
      <c r="AK2727">
        <v>0</v>
      </c>
      <c r="AL2727" t="s">
        <v>5141</v>
      </c>
      <c r="AM2727">
        <v>46.966746000000001</v>
      </c>
      <c r="AN2727" t="s">
        <v>5142</v>
      </c>
      <c r="AO2727">
        <v>-123.377838</v>
      </c>
      <c r="AP2727">
        <v>100</v>
      </c>
      <c r="AQ2727">
        <v>2000</v>
      </c>
      <c r="AR2727" t="s">
        <v>118</v>
      </c>
      <c r="AS2727">
        <v>-65</v>
      </c>
      <c r="AT2727">
        <v>37</v>
      </c>
      <c r="AU2727">
        <v>64</v>
      </c>
      <c r="BC2727">
        <v>1200</v>
      </c>
      <c r="BD2727">
        <v>1</v>
      </c>
      <c r="BE2727" t="str">
        <f t="shared" si="128"/>
        <v xml:space="preserve">N215T   </v>
      </c>
      <c r="BF2727">
        <v>1</v>
      </c>
      <c r="BH2727">
        <v>0</v>
      </c>
      <c r="BI2727">
        <v>0</v>
      </c>
      <c r="BJ2727">
        <v>0</v>
      </c>
      <c r="BK2727">
        <v>2375</v>
      </c>
      <c r="BL2727">
        <v>375</v>
      </c>
      <c r="BM2727" t="s">
        <v>119</v>
      </c>
      <c r="BN2727">
        <v>1</v>
      </c>
      <c r="BO2727">
        <v>1</v>
      </c>
      <c r="BP2727">
        <v>1</v>
      </c>
      <c r="BQ2727">
        <v>0</v>
      </c>
      <c r="BT2727">
        <v>0</v>
      </c>
      <c r="BU2727">
        <v>0</v>
      </c>
      <c r="BV2727">
        <v>0</v>
      </c>
      <c r="CC2727" t="str">
        <f>"19:20:20.117"</f>
        <v>19:20:20.117</v>
      </c>
      <c r="CD2727" t="str">
        <f>"114077718"</f>
        <v>114077718</v>
      </c>
      <c r="CQ2727">
        <v>0</v>
      </c>
      <c r="CR2727">
        <v>2</v>
      </c>
      <c r="CS2727">
        <v>0</v>
      </c>
      <c r="CT2727">
        <v>2</v>
      </c>
      <c r="CU2727">
        <v>0</v>
      </c>
      <c r="CV2727">
        <v>6</v>
      </c>
      <c r="CW2727" t="s">
        <v>120</v>
      </c>
      <c r="CX2727">
        <v>261</v>
      </c>
      <c r="CY2727">
        <v>3</v>
      </c>
      <c r="CZ2727" t="s">
        <v>121</v>
      </c>
      <c r="DA2727" t="s">
        <v>122</v>
      </c>
      <c r="DD2727">
        <v>3847280</v>
      </c>
      <c r="DE2727" t="s">
        <v>123</v>
      </c>
    </row>
    <row r="2728" spans="1:109" x14ac:dyDescent="0.3">
      <c r="A2728" t="str">
        <f>"19:20:21.320"</f>
        <v>19:20:21.320</v>
      </c>
      <c r="B2728" t="s">
        <v>110</v>
      </c>
      <c r="C2728" t="str">
        <f t="shared" si="126"/>
        <v>ffdfd3c0</v>
      </c>
      <c r="D2728" t="s">
        <v>111</v>
      </c>
      <c r="E2728">
        <v>18</v>
      </c>
      <c r="F2728">
        <v>1018</v>
      </c>
      <c r="G2728" t="s">
        <v>112</v>
      </c>
      <c r="J2728" t="s">
        <v>113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R2728" t="s">
        <v>114</v>
      </c>
      <c r="S2728" t="str">
        <f>"19:20:21.117"</f>
        <v>19:20:21.117</v>
      </c>
      <c r="T2728" t="str">
        <f>"19:20:20.719"</f>
        <v>19:20:20.719</v>
      </c>
      <c r="U2728" t="str">
        <f t="shared" si="127"/>
        <v>a1cdbe</v>
      </c>
      <c r="V2728">
        <v>0</v>
      </c>
      <c r="W2728">
        <v>0</v>
      </c>
      <c r="X2728">
        <v>1</v>
      </c>
      <c r="Y2728">
        <v>0</v>
      </c>
      <c r="Z2728">
        <v>0</v>
      </c>
      <c r="AB2728">
        <v>0</v>
      </c>
      <c r="AC2728">
        <v>9</v>
      </c>
      <c r="AD2728">
        <v>3</v>
      </c>
      <c r="AE2728">
        <v>0</v>
      </c>
      <c r="AF2728">
        <v>9</v>
      </c>
      <c r="AG2728" t="s">
        <v>158</v>
      </c>
      <c r="AH2728">
        <v>0</v>
      </c>
      <c r="AI2728">
        <v>3</v>
      </c>
      <c r="AJ2728">
        <v>1</v>
      </c>
      <c r="AK2728">
        <v>0</v>
      </c>
      <c r="AL2728" t="s">
        <v>5143</v>
      </c>
      <c r="AM2728">
        <v>46.966875000000002</v>
      </c>
      <c r="AN2728" t="s">
        <v>5144</v>
      </c>
      <c r="AO2728">
        <v>-123.378224</v>
      </c>
      <c r="AP2728">
        <v>100</v>
      </c>
      <c r="AQ2728">
        <v>2000</v>
      </c>
      <c r="AR2728" t="s">
        <v>118</v>
      </c>
      <c r="AS2728">
        <v>-66</v>
      </c>
      <c r="AT2728">
        <v>37</v>
      </c>
      <c r="AU2728">
        <v>0</v>
      </c>
      <c r="BC2728">
        <v>1200</v>
      </c>
      <c r="BD2728">
        <v>1</v>
      </c>
      <c r="BE2728" t="str">
        <f t="shared" si="128"/>
        <v xml:space="preserve">N215T   </v>
      </c>
      <c r="BF2728">
        <v>1</v>
      </c>
      <c r="BH2728">
        <v>0</v>
      </c>
      <c r="BI2728">
        <v>0</v>
      </c>
      <c r="BJ2728">
        <v>0</v>
      </c>
      <c r="BK2728">
        <v>2375</v>
      </c>
      <c r="BL2728">
        <v>375</v>
      </c>
      <c r="BM2728" t="s">
        <v>119</v>
      </c>
      <c r="BN2728">
        <v>1</v>
      </c>
      <c r="BO2728">
        <v>1</v>
      </c>
      <c r="BP2728">
        <v>1</v>
      </c>
      <c r="BQ2728">
        <v>0</v>
      </c>
      <c r="BT2728">
        <v>0</v>
      </c>
      <c r="BU2728">
        <v>0</v>
      </c>
      <c r="BV2728">
        <v>0</v>
      </c>
      <c r="CC2728" t="str">
        <f>"19:20:21.117"</f>
        <v>19:20:21.117</v>
      </c>
      <c r="CD2728" t="str">
        <f>"118978722"</f>
        <v>118978722</v>
      </c>
      <c r="CQ2728">
        <v>0</v>
      </c>
      <c r="CR2728">
        <v>2</v>
      </c>
      <c r="CS2728">
        <v>0</v>
      </c>
      <c r="CT2728">
        <v>2</v>
      </c>
      <c r="CU2728">
        <v>0</v>
      </c>
      <c r="CV2728">
        <v>7</v>
      </c>
      <c r="CW2728" t="s">
        <v>120</v>
      </c>
      <c r="CX2728">
        <v>261</v>
      </c>
      <c r="CY2728">
        <v>2</v>
      </c>
      <c r="CZ2728" t="s">
        <v>121</v>
      </c>
      <c r="DA2728" t="s">
        <v>122</v>
      </c>
      <c r="DD2728">
        <v>15955261</v>
      </c>
      <c r="DE2728" t="s">
        <v>123</v>
      </c>
    </row>
    <row r="2729" spans="1:109" x14ac:dyDescent="0.3">
      <c r="A2729" t="str">
        <f>"19:20:22.320"</f>
        <v>19:20:22.320</v>
      </c>
      <c r="B2729" t="s">
        <v>110</v>
      </c>
      <c r="C2729" t="str">
        <f t="shared" si="126"/>
        <v>ffdfd3c0</v>
      </c>
      <c r="D2729" t="s">
        <v>111</v>
      </c>
      <c r="E2729">
        <v>18</v>
      </c>
      <c r="F2729">
        <v>1018</v>
      </c>
      <c r="G2729" t="s">
        <v>112</v>
      </c>
      <c r="J2729" t="s">
        <v>113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R2729" t="s">
        <v>114</v>
      </c>
      <c r="S2729" t="str">
        <f>"19:20:22.117"</f>
        <v>19:20:22.117</v>
      </c>
      <c r="T2729" t="str">
        <f>"19:20:21.719"</f>
        <v>19:20:21.719</v>
      </c>
      <c r="U2729" t="str">
        <f t="shared" si="127"/>
        <v>a1cdbe</v>
      </c>
      <c r="V2729">
        <v>0</v>
      </c>
      <c r="W2729">
        <v>0</v>
      </c>
      <c r="X2729">
        <v>1</v>
      </c>
      <c r="Y2729">
        <v>0</v>
      </c>
      <c r="Z2729">
        <v>0</v>
      </c>
      <c r="AB2729">
        <v>0</v>
      </c>
      <c r="AC2729">
        <v>9</v>
      </c>
      <c r="AD2729">
        <v>3</v>
      </c>
      <c r="AE2729">
        <v>0</v>
      </c>
      <c r="AF2729">
        <v>9</v>
      </c>
      <c r="AG2729" t="s">
        <v>158</v>
      </c>
      <c r="AH2729">
        <v>0</v>
      </c>
      <c r="AI2729">
        <v>3</v>
      </c>
      <c r="AJ2729">
        <v>1</v>
      </c>
      <c r="AK2729">
        <v>0</v>
      </c>
      <c r="AL2729" t="s">
        <v>5145</v>
      </c>
      <c r="AM2729">
        <v>46.967046000000003</v>
      </c>
      <c r="AN2729" t="s">
        <v>5146</v>
      </c>
      <c r="AO2729">
        <v>-123.378739</v>
      </c>
      <c r="AP2729">
        <v>100</v>
      </c>
      <c r="AQ2729">
        <v>2000</v>
      </c>
      <c r="AR2729" t="s">
        <v>118</v>
      </c>
      <c r="AS2729">
        <v>-66</v>
      </c>
      <c r="AT2729">
        <v>37</v>
      </c>
      <c r="AU2729">
        <v>0</v>
      </c>
      <c r="BC2729">
        <v>1200</v>
      </c>
      <c r="BD2729">
        <v>1</v>
      </c>
      <c r="BE2729" t="str">
        <f t="shared" si="128"/>
        <v xml:space="preserve">N215T   </v>
      </c>
      <c r="BF2729">
        <v>1</v>
      </c>
      <c r="BH2729">
        <v>0</v>
      </c>
      <c r="BI2729">
        <v>0</v>
      </c>
      <c r="BJ2729">
        <v>0</v>
      </c>
      <c r="BK2729">
        <v>2375</v>
      </c>
      <c r="BL2729">
        <v>375</v>
      </c>
      <c r="BM2729" t="s">
        <v>119</v>
      </c>
      <c r="BN2729">
        <v>1</v>
      </c>
      <c r="BO2729">
        <v>1</v>
      </c>
      <c r="BP2729">
        <v>1</v>
      </c>
      <c r="BQ2729">
        <v>0</v>
      </c>
      <c r="BT2729">
        <v>0</v>
      </c>
      <c r="BU2729">
        <v>0</v>
      </c>
      <c r="BV2729">
        <v>0</v>
      </c>
      <c r="CC2729" t="str">
        <f>"19:20:22.125"</f>
        <v>19:20:22.125</v>
      </c>
      <c r="CD2729" t="str">
        <f>"123879738"</f>
        <v>123879738</v>
      </c>
      <c r="CQ2729">
        <v>0</v>
      </c>
      <c r="CR2729">
        <v>2</v>
      </c>
      <c r="CS2729">
        <v>0</v>
      </c>
      <c r="CT2729">
        <v>2</v>
      </c>
      <c r="CU2729">
        <v>0</v>
      </c>
      <c r="CV2729">
        <v>7</v>
      </c>
      <c r="CW2729" t="s">
        <v>120</v>
      </c>
      <c r="CX2729">
        <v>261</v>
      </c>
      <c r="CY2729">
        <v>2</v>
      </c>
      <c r="CZ2729" t="s">
        <v>121</v>
      </c>
      <c r="DA2729" t="s">
        <v>122</v>
      </c>
      <c r="DD2729">
        <v>15955887</v>
      </c>
      <c r="DE2729" t="s">
        <v>123</v>
      </c>
    </row>
    <row r="2730" spans="1:109" x14ac:dyDescent="0.3">
      <c r="A2730" t="str">
        <f>"19:20:23.227"</f>
        <v>19:20:23.227</v>
      </c>
      <c r="B2730" t="s">
        <v>110</v>
      </c>
      <c r="C2730" t="str">
        <f t="shared" si="126"/>
        <v>ffdfd3c0</v>
      </c>
      <c r="D2730" t="s">
        <v>111</v>
      </c>
      <c r="E2730">
        <v>18</v>
      </c>
      <c r="F2730">
        <v>1018</v>
      </c>
      <c r="G2730" t="s">
        <v>112</v>
      </c>
      <c r="J2730" t="s">
        <v>113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R2730" t="s">
        <v>114</v>
      </c>
      <c r="S2730" t="str">
        <f>"19:20:23.023"</f>
        <v>19:20:23.023</v>
      </c>
      <c r="T2730" t="str">
        <f>"19:20:22.820"</f>
        <v>19:20:22.820</v>
      </c>
      <c r="U2730" t="str">
        <f t="shared" si="127"/>
        <v>a1cdbe</v>
      </c>
      <c r="V2730">
        <v>0</v>
      </c>
      <c r="W2730">
        <v>0</v>
      </c>
      <c r="X2730">
        <v>1</v>
      </c>
      <c r="Y2730">
        <v>0</v>
      </c>
      <c r="Z2730">
        <v>0</v>
      </c>
      <c r="AB2730">
        <v>0</v>
      </c>
      <c r="AC2730">
        <v>9</v>
      </c>
      <c r="AD2730">
        <v>3</v>
      </c>
      <c r="AE2730">
        <v>0</v>
      </c>
      <c r="AF2730">
        <v>9</v>
      </c>
      <c r="AG2730" t="s">
        <v>158</v>
      </c>
      <c r="AH2730">
        <v>0</v>
      </c>
      <c r="AI2730">
        <v>3</v>
      </c>
      <c r="AJ2730">
        <v>1</v>
      </c>
      <c r="AK2730">
        <v>0</v>
      </c>
      <c r="AL2730" t="s">
        <v>5147</v>
      </c>
      <c r="AM2730">
        <v>46.967261000000001</v>
      </c>
      <c r="AN2730" t="s">
        <v>5148</v>
      </c>
      <c r="AO2730">
        <v>-123.379147</v>
      </c>
      <c r="AP2730">
        <v>100</v>
      </c>
      <c r="AQ2730">
        <v>2000</v>
      </c>
      <c r="AR2730" t="s">
        <v>118</v>
      </c>
      <c r="AS2730">
        <v>-66</v>
      </c>
      <c r="AT2730">
        <v>37</v>
      </c>
      <c r="AU2730">
        <v>0</v>
      </c>
      <c r="BC2730">
        <v>1200</v>
      </c>
      <c r="BD2730">
        <v>1</v>
      </c>
      <c r="BE2730" t="str">
        <f t="shared" si="128"/>
        <v xml:space="preserve">N215T   </v>
      </c>
      <c r="BF2730">
        <v>1</v>
      </c>
      <c r="BH2730">
        <v>0</v>
      </c>
      <c r="BI2730">
        <v>0</v>
      </c>
      <c r="BJ2730">
        <v>0</v>
      </c>
      <c r="BK2730">
        <v>2375</v>
      </c>
      <c r="BL2730">
        <v>375</v>
      </c>
      <c r="BM2730" t="s">
        <v>119</v>
      </c>
      <c r="BN2730">
        <v>1</v>
      </c>
      <c r="BO2730">
        <v>1</v>
      </c>
      <c r="BP2730">
        <v>1</v>
      </c>
      <c r="BQ2730">
        <v>0</v>
      </c>
      <c r="BT2730">
        <v>0</v>
      </c>
      <c r="BU2730">
        <v>0</v>
      </c>
      <c r="BV2730">
        <v>0</v>
      </c>
      <c r="CC2730" t="str">
        <f>"19:20:23.023"</f>
        <v>19:20:23.023</v>
      </c>
      <c r="CD2730" t="str">
        <f>"023791091"</f>
        <v>023791091</v>
      </c>
      <c r="CQ2730">
        <v>0</v>
      </c>
      <c r="CR2730">
        <v>2</v>
      </c>
      <c r="CS2730">
        <v>0</v>
      </c>
      <c r="CT2730">
        <v>2</v>
      </c>
      <c r="CU2730">
        <v>0</v>
      </c>
      <c r="CV2730">
        <v>7</v>
      </c>
      <c r="CW2730" t="s">
        <v>120</v>
      </c>
      <c r="CX2730">
        <v>261</v>
      </c>
      <c r="CY2730">
        <v>2</v>
      </c>
      <c r="CZ2730" t="s">
        <v>121</v>
      </c>
      <c r="DA2730" t="s">
        <v>122</v>
      </c>
      <c r="DD2730">
        <v>15956431</v>
      </c>
      <c r="DE2730" t="s">
        <v>123</v>
      </c>
    </row>
    <row r="2731" spans="1:109" x14ac:dyDescent="0.3">
      <c r="A2731" t="str">
        <f>"19:20:24.234"</f>
        <v>19:20:24.234</v>
      </c>
      <c r="B2731" t="s">
        <v>110</v>
      </c>
      <c r="C2731" t="str">
        <f t="shared" si="126"/>
        <v>ffdfd3c0</v>
      </c>
      <c r="D2731" t="s">
        <v>111</v>
      </c>
      <c r="E2731">
        <v>18</v>
      </c>
      <c r="F2731">
        <v>1018</v>
      </c>
      <c r="G2731" t="s">
        <v>112</v>
      </c>
      <c r="J2731" t="s">
        <v>113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R2731" t="s">
        <v>114</v>
      </c>
      <c r="S2731" t="str">
        <f>"19:20:23.992"</f>
        <v>19:20:23.992</v>
      </c>
      <c r="T2731" t="str">
        <f>"19:20:23.789"</f>
        <v>19:20:23.789</v>
      </c>
      <c r="U2731" t="str">
        <f t="shared" si="127"/>
        <v>a1cdbe</v>
      </c>
      <c r="V2731">
        <v>0</v>
      </c>
      <c r="W2731">
        <v>0</v>
      </c>
      <c r="X2731">
        <v>1</v>
      </c>
      <c r="Y2731">
        <v>0</v>
      </c>
      <c r="Z2731">
        <v>0</v>
      </c>
      <c r="AB2731">
        <v>0</v>
      </c>
      <c r="AC2731">
        <v>9</v>
      </c>
      <c r="AD2731">
        <v>3</v>
      </c>
      <c r="AE2731">
        <v>0</v>
      </c>
      <c r="AF2731">
        <v>9</v>
      </c>
      <c r="AG2731" t="s">
        <v>158</v>
      </c>
      <c r="AH2731">
        <v>0</v>
      </c>
      <c r="AI2731">
        <v>3</v>
      </c>
      <c r="AJ2731">
        <v>1</v>
      </c>
      <c r="AK2731">
        <v>0</v>
      </c>
      <c r="AL2731" t="s">
        <v>5149</v>
      </c>
      <c r="AM2731">
        <v>46.967368</v>
      </c>
      <c r="AN2731" t="s">
        <v>5150</v>
      </c>
      <c r="AO2731">
        <v>-123.379555</v>
      </c>
      <c r="AP2731">
        <v>100</v>
      </c>
      <c r="AQ2731">
        <v>2000</v>
      </c>
      <c r="AR2731" t="s">
        <v>118</v>
      </c>
      <c r="AS2731">
        <v>-66</v>
      </c>
      <c r="AT2731">
        <v>37</v>
      </c>
      <c r="AU2731">
        <v>0</v>
      </c>
      <c r="BC2731">
        <v>1200</v>
      </c>
      <c r="BD2731">
        <v>1</v>
      </c>
      <c r="BE2731" t="str">
        <f t="shared" si="128"/>
        <v xml:space="preserve">N215T   </v>
      </c>
      <c r="BF2731">
        <v>1</v>
      </c>
      <c r="BH2731">
        <v>0</v>
      </c>
      <c r="BI2731">
        <v>0</v>
      </c>
      <c r="BJ2731">
        <v>0</v>
      </c>
      <c r="BK2731">
        <v>2375</v>
      </c>
      <c r="BL2731">
        <v>375</v>
      </c>
      <c r="BM2731" t="s">
        <v>119</v>
      </c>
      <c r="BN2731">
        <v>1</v>
      </c>
      <c r="BO2731">
        <v>1</v>
      </c>
      <c r="BP2731">
        <v>1</v>
      </c>
      <c r="BQ2731">
        <v>0</v>
      </c>
      <c r="BT2731">
        <v>0</v>
      </c>
      <c r="BU2731">
        <v>0</v>
      </c>
      <c r="BV2731">
        <v>0</v>
      </c>
      <c r="CC2731" t="str">
        <f>"19:20:24.000"</f>
        <v>19:20:24.000</v>
      </c>
      <c r="CD2731" t="str">
        <f>"998695062"</f>
        <v>998695062</v>
      </c>
      <c r="CQ2731">
        <v>0</v>
      </c>
      <c r="CR2731">
        <v>2</v>
      </c>
      <c r="CS2731">
        <v>0</v>
      </c>
      <c r="CT2731">
        <v>2</v>
      </c>
      <c r="CU2731">
        <v>0</v>
      </c>
      <c r="CV2731">
        <v>7</v>
      </c>
      <c r="CW2731" t="s">
        <v>120</v>
      </c>
      <c r="CX2731">
        <v>261</v>
      </c>
      <c r="CY2731">
        <v>2</v>
      </c>
      <c r="CZ2731" t="s">
        <v>121</v>
      </c>
      <c r="DA2731" t="s">
        <v>122</v>
      </c>
      <c r="DD2731">
        <v>15957092</v>
      </c>
      <c r="DE2731" t="s">
        <v>123</v>
      </c>
    </row>
    <row r="2732" spans="1:109" x14ac:dyDescent="0.3">
      <c r="A2732" t="str">
        <f>"19:20:25.391"</f>
        <v>19:20:25.391</v>
      </c>
      <c r="B2732" t="s">
        <v>110</v>
      </c>
      <c r="C2732" t="str">
        <f t="shared" si="126"/>
        <v>ffdfd3c0</v>
      </c>
      <c r="D2732" t="s">
        <v>111</v>
      </c>
      <c r="E2732">
        <v>18</v>
      </c>
      <c r="F2732">
        <v>1018</v>
      </c>
      <c r="G2732" t="s">
        <v>112</v>
      </c>
      <c r="J2732" t="s">
        <v>113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R2732" t="s">
        <v>114</v>
      </c>
      <c r="S2732" t="str">
        <f>"19:20:25.102"</f>
        <v>19:20:25.102</v>
      </c>
      <c r="T2732" t="str">
        <f>"19:20:24.703"</f>
        <v>19:20:24.703</v>
      </c>
      <c r="U2732" t="str">
        <f t="shared" si="127"/>
        <v>a1cdbe</v>
      </c>
      <c r="V2732">
        <v>0</v>
      </c>
      <c r="W2732">
        <v>0</v>
      </c>
      <c r="X2732">
        <v>1</v>
      </c>
      <c r="Y2732">
        <v>0</v>
      </c>
      <c r="Z2732">
        <v>0</v>
      </c>
      <c r="AB2732">
        <v>0</v>
      </c>
      <c r="AC2732">
        <v>9</v>
      </c>
      <c r="AD2732">
        <v>3</v>
      </c>
      <c r="AE2732">
        <v>0</v>
      </c>
      <c r="AF2732">
        <v>9</v>
      </c>
      <c r="AG2732" t="s">
        <v>158</v>
      </c>
      <c r="AH2732">
        <v>0</v>
      </c>
      <c r="AI2732">
        <v>3</v>
      </c>
      <c r="AJ2732">
        <v>1</v>
      </c>
      <c r="AK2732">
        <v>0</v>
      </c>
      <c r="AL2732" t="s">
        <v>5151</v>
      </c>
      <c r="AM2732">
        <v>46.967582999999998</v>
      </c>
      <c r="AN2732" t="s">
        <v>5152</v>
      </c>
      <c r="AO2732">
        <v>-123.380048</v>
      </c>
      <c r="AP2732">
        <v>100</v>
      </c>
      <c r="AQ2732">
        <v>2000</v>
      </c>
      <c r="AR2732" t="s">
        <v>118</v>
      </c>
      <c r="AS2732">
        <v>-66</v>
      </c>
      <c r="AT2732">
        <v>37</v>
      </c>
      <c r="AU2732">
        <v>0</v>
      </c>
      <c r="BC2732">
        <v>1200</v>
      </c>
      <c r="BD2732">
        <v>1</v>
      </c>
      <c r="BE2732" t="str">
        <f t="shared" si="128"/>
        <v xml:space="preserve">N215T   </v>
      </c>
      <c r="BF2732">
        <v>1</v>
      </c>
      <c r="BH2732">
        <v>0</v>
      </c>
      <c r="BI2732">
        <v>0</v>
      </c>
      <c r="BJ2732">
        <v>0</v>
      </c>
      <c r="BK2732">
        <v>2375</v>
      </c>
      <c r="BL2732">
        <v>375</v>
      </c>
      <c r="BM2732" t="s">
        <v>119</v>
      </c>
      <c r="BN2732">
        <v>1</v>
      </c>
      <c r="BO2732">
        <v>1</v>
      </c>
      <c r="BP2732">
        <v>1</v>
      </c>
      <c r="BQ2732">
        <v>0</v>
      </c>
      <c r="BT2732">
        <v>0</v>
      </c>
      <c r="BU2732">
        <v>0</v>
      </c>
      <c r="BV2732">
        <v>0</v>
      </c>
      <c r="CC2732" t="str">
        <f>"19:20:25.109"</f>
        <v>19:20:25.109</v>
      </c>
      <c r="CD2732" t="str">
        <f>"108585733"</f>
        <v>108585733</v>
      </c>
      <c r="CQ2732">
        <v>0</v>
      </c>
      <c r="CR2732">
        <v>2</v>
      </c>
      <c r="CS2732">
        <v>0</v>
      </c>
      <c r="CT2732">
        <v>2</v>
      </c>
      <c r="CU2732">
        <v>0</v>
      </c>
      <c r="CV2732">
        <v>7</v>
      </c>
      <c r="CW2732" t="s">
        <v>120</v>
      </c>
      <c r="CX2732">
        <v>261</v>
      </c>
      <c r="CY2732">
        <v>2</v>
      </c>
      <c r="CZ2732" t="s">
        <v>121</v>
      </c>
      <c r="DA2732" t="s">
        <v>122</v>
      </c>
      <c r="DD2732">
        <v>15957850</v>
      </c>
      <c r="DE2732" t="s">
        <v>123</v>
      </c>
    </row>
    <row r="2733" spans="1:109" x14ac:dyDescent="0.3">
      <c r="A2733" t="str">
        <f>"19:20:26.297"</f>
        <v>19:20:26.297</v>
      </c>
      <c r="B2733" t="s">
        <v>110</v>
      </c>
      <c r="C2733" t="str">
        <f t="shared" si="126"/>
        <v>ffdfd3c0</v>
      </c>
      <c r="D2733" t="s">
        <v>111</v>
      </c>
      <c r="E2733">
        <v>18</v>
      </c>
      <c r="F2733">
        <v>1018</v>
      </c>
      <c r="G2733" t="s">
        <v>112</v>
      </c>
      <c r="J2733" t="s">
        <v>113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R2733" t="s">
        <v>114</v>
      </c>
      <c r="S2733" t="str">
        <f>"19:20:26.094"</f>
        <v>19:20:26.094</v>
      </c>
      <c r="T2733" t="str">
        <f>"19:20:25.695"</f>
        <v>19:20:25.695</v>
      </c>
      <c r="U2733" t="str">
        <f t="shared" si="127"/>
        <v>a1cdbe</v>
      </c>
      <c r="V2733">
        <v>0</v>
      </c>
      <c r="W2733">
        <v>0</v>
      </c>
      <c r="X2733">
        <v>1</v>
      </c>
      <c r="Y2733">
        <v>0</v>
      </c>
      <c r="Z2733">
        <v>0</v>
      </c>
      <c r="AB2733">
        <v>0</v>
      </c>
      <c r="AC2733">
        <v>9</v>
      </c>
      <c r="AD2733">
        <v>3</v>
      </c>
      <c r="AE2733">
        <v>0</v>
      </c>
      <c r="AF2733">
        <v>9</v>
      </c>
      <c r="AG2733" t="s">
        <v>158</v>
      </c>
      <c r="AH2733">
        <v>0</v>
      </c>
      <c r="AI2733">
        <v>3</v>
      </c>
      <c r="AJ2733">
        <v>1</v>
      </c>
      <c r="AK2733">
        <v>0</v>
      </c>
      <c r="AL2733" t="s">
        <v>5153</v>
      </c>
      <c r="AM2733">
        <v>46.967733000000003</v>
      </c>
      <c r="AN2733" t="s">
        <v>5154</v>
      </c>
      <c r="AO2733">
        <v>-123.38052</v>
      </c>
      <c r="AP2733">
        <v>100</v>
      </c>
      <c r="AQ2733">
        <v>2000</v>
      </c>
      <c r="AR2733" t="s">
        <v>118</v>
      </c>
      <c r="AS2733">
        <v>-66</v>
      </c>
      <c r="AT2733">
        <v>37</v>
      </c>
      <c r="AU2733">
        <v>0</v>
      </c>
      <c r="BC2733">
        <v>1200</v>
      </c>
      <c r="BD2733">
        <v>1</v>
      </c>
      <c r="BE2733" t="str">
        <f t="shared" si="128"/>
        <v xml:space="preserve">N215T   </v>
      </c>
      <c r="BF2733">
        <v>1</v>
      </c>
      <c r="BH2733">
        <v>0</v>
      </c>
      <c r="BI2733">
        <v>0</v>
      </c>
      <c r="BJ2733">
        <v>0</v>
      </c>
      <c r="BK2733">
        <v>2375</v>
      </c>
      <c r="BL2733">
        <v>375</v>
      </c>
      <c r="BM2733" t="s">
        <v>119</v>
      </c>
      <c r="BN2733">
        <v>1</v>
      </c>
      <c r="BO2733">
        <v>1</v>
      </c>
      <c r="BP2733">
        <v>1</v>
      </c>
      <c r="BQ2733">
        <v>0</v>
      </c>
      <c r="BT2733">
        <v>0</v>
      </c>
      <c r="BU2733">
        <v>0</v>
      </c>
      <c r="BV2733">
        <v>0</v>
      </c>
      <c r="CC2733" t="str">
        <f>"19:20:26.102"</f>
        <v>19:20:26.102</v>
      </c>
      <c r="CD2733" t="str">
        <f>"098488226"</f>
        <v>098488226</v>
      </c>
      <c r="CQ2733">
        <v>0</v>
      </c>
      <c r="CR2733">
        <v>2</v>
      </c>
      <c r="CS2733">
        <v>0</v>
      </c>
      <c r="CT2733">
        <v>2</v>
      </c>
      <c r="CU2733">
        <v>0</v>
      </c>
      <c r="CV2733">
        <v>7</v>
      </c>
      <c r="CW2733" t="s">
        <v>120</v>
      </c>
      <c r="CX2733">
        <v>261</v>
      </c>
      <c r="CY2733">
        <v>2</v>
      </c>
      <c r="CZ2733" t="s">
        <v>121</v>
      </c>
      <c r="DA2733" t="s">
        <v>122</v>
      </c>
      <c r="DD2733">
        <v>15958465</v>
      </c>
      <c r="DE2733" t="s">
        <v>123</v>
      </c>
    </row>
    <row r="2734" spans="1:109" x14ac:dyDescent="0.3">
      <c r="A2734" t="str">
        <f>"19:20:27.500"</f>
        <v>19:20:27.500</v>
      </c>
      <c r="B2734" t="s">
        <v>110</v>
      </c>
      <c r="C2734" t="str">
        <f t="shared" si="126"/>
        <v>ffdfd3c0</v>
      </c>
      <c r="D2734" t="s">
        <v>111</v>
      </c>
      <c r="E2734">
        <v>18</v>
      </c>
      <c r="F2734">
        <v>1018</v>
      </c>
      <c r="G2734" t="s">
        <v>112</v>
      </c>
      <c r="J2734" t="s">
        <v>113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R2734" t="s">
        <v>114</v>
      </c>
      <c r="S2734" t="str">
        <f>"19:20:27.250"</f>
        <v>19:20:27.250</v>
      </c>
      <c r="T2734" t="str">
        <f>"19:20:27.250"</f>
        <v>19:20:27.250</v>
      </c>
      <c r="U2734" t="str">
        <f t="shared" si="127"/>
        <v>a1cdbe</v>
      </c>
      <c r="V2734">
        <v>0</v>
      </c>
      <c r="W2734">
        <v>0</v>
      </c>
      <c r="X2734">
        <v>1</v>
      </c>
      <c r="Y2734">
        <v>0</v>
      </c>
      <c r="Z2734">
        <v>0</v>
      </c>
      <c r="AB2734">
        <v>0</v>
      </c>
      <c r="AC2734">
        <v>9</v>
      </c>
      <c r="AD2734">
        <v>3</v>
      </c>
      <c r="AE2734">
        <v>0</v>
      </c>
      <c r="AF2734">
        <v>9</v>
      </c>
      <c r="AG2734" t="s">
        <v>158</v>
      </c>
      <c r="AH2734">
        <v>0</v>
      </c>
      <c r="AI2734">
        <v>3</v>
      </c>
      <c r="AJ2734">
        <v>1</v>
      </c>
      <c r="AK2734">
        <v>0</v>
      </c>
      <c r="AL2734" t="s">
        <v>5155</v>
      </c>
      <c r="AM2734">
        <v>46.967968999999997</v>
      </c>
      <c r="AN2734" t="s">
        <v>5156</v>
      </c>
      <c r="AO2734">
        <v>-123.38099200000001</v>
      </c>
      <c r="AP2734">
        <v>100</v>
      </c>
      <c r="AQ2734">
        <v>2000</v>
      </c>
      <c r="AR2734" t="s">
        <v>118</v>
      </c>
      <c r="AS2734">
        <v>-66</v>
      </c>
      <c r="AT2734">
        <v>37</v>
      </c>
      <c r="AU2734">
        <v>0</v>
      </c>
      <c r="BC2734">
        <v>1200</v>
      </c>
      <c r="BD2734">
        <v>1</v>
      </c>
      <c r="BE2734" t="str">
        <f t="shared" si="128"/>
        <v xml:space="preserve">N215T   </v>
      </c>
      <c r="BF2734">
        <v>1</v>
      </c>
      <c r="BH2734">
        <v>0</v>
      </c>
      <c r="BI2734">
        <v>0</v>
      </c>
      <c r="BJ2734">
        <v>0</v>
      </c>
      <c r="BK2734">
        <v>2375</v>
      </c>
      <c r="BL2734">
        <v>375</v>
      </c>
      <c r="BM2734" t="s">
        <v>119</v>
      </c>
      <c r="BN2734">
        <v>1</v>
      </c>
      <c r="BO2734">
        <v>1</v>
      </c>
      <c r="BP2734">
        <v>1</v>
      </c>
      <c r="BQ2734">
        <v>0</v>
      </c>
      <c r="BT2734">
        <v>0</v>
      </c>
      <c r="BU2734">
        <v>0</v>
      </c>
      <c r="BV2734">
        <v>0</v>
      </c>
      <c r="CC2734" t="str">
        <f>"19:20:27.250"</f>
        <v>19:20:27.250</v>
      </c>
      <c r="CD2734" t="str">
        <f>"253374469"</f>
        <v>253374469</v>
      </c>
      <c r="CQ2734">
        <v>0</v>
      </c>
      <c r="CR2734">
        <v>2</v>
      </c>
      <c r="CS2734">
        <v>0</v>
      </c>
      <c r="CT2734">
        <v>2</v>
      </c>
      <c r="CU2734">
        <v>0</v>
      </c>
      <c r="CV2734">
        <v>7</v>
      </c>
      <c r="CW2734" t="s">
        <v>120</v>
      </c>
      <c r="CX2734">
        <v>261</v>
      </c>
      <c r="CY2734">
        <v>2</v>
      </c>
      <c r="CZ2734" t="s">
        <v>121</v>
      </c>
      <c r="DA2734" t="s">
        <v>122</v>
      </c>
      <c r="DD2734">
        <v>15959191</v>
      </c>
      <c r="DE2734" t="s">
        <v>123</v>
      </c>
    </row>
    <row r="2735" spans="1:109" x14ac:dyDescent="0.3">
      <c r="A2735" t="str">
        <f>"19:20:28.406"</f>
        <v>19:20:28.406</v>
      </c>
      <c r="B2735" t="s">
        <v>110</v>
      </c>
      <c r="C2735" t="str">
        <f t="shared" si="126"/>
        <v>ffdfd3c0</v>
      </c>
      <c r="D2735" t="s">
        <v>111</v>
      </c>
      <c r="E2735">
        <v>18</v>
      </c>
      <c r="F2735">
        <v>1018</v>
      </c>
      <c r="G2735" t="s">
        <v>112</v>
      </c>
      <c r="J2735" t="s">
        <v>113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R2735" t="s">
        <v>114</v>
      </c>
      <c r="S2735" t="str">
        <f>"19:20:28.180"</f>
        <v>19:20:28.180</v>
      </c>
      <c r="T2735" t="str">
        <f>"19:20:28.180"</f>
        <v>19:20:28.180</v>
      </c>
      <c r="U2735" t="str">
        <f t="shared" si="127"/>
        <v>a1cdbe</v>
      </c>
      <c r="V2735">
        <v>0</v>
      </c>
      <c r="W2735">
        <v>0</v>
      </c>
      <c r="X2735">
        <v>1</v>
      </c>
      <c r="Y2735">
        <v>0</v>
      </c>
      <c r="Z2735">
        <v>0</v>
      </c>
      <c r="AB2735">
        <v>0</v>
      </c>
      <c r="AC2735">
        <v>9</v>
      </c>
      <c r="AD2735">
        <v>3</v>
      </c>
      <c r="AE2735">
        <v>0</v>
      </c>
      <c r="AF2735">
        <v>9</v>
      </c>
      <c r="AG2735" t="s">
        <v>158</v>
      </c>
      <c r="AH2735">
        <v>0</v>
      </c>
      <c r="AI2735">
        <v>3</v>
      </c>
      <c r="AJ2735">
        <v>1</v>
      </c>
      <c r="AK2735">
        <v>0</v>
      </c>
      <c r="AL2735" t="s">
        <v>5157</v>
      </c>
      <c r="AM2735">
        <v>46.968141000000003</v>
      </c>
      <c r="AN2735" t="s">
        <v>5158</v>
      </c>
      <c r="AO2735">
        <v>-123.38146399999999</v>
      </c>
      <c r="AP2735">
        <v>100</v>
      </c>
      <c r="AQ2735">
        <v>2000</v>
      </c>
      <c r="AR2735" t="s">
        <v>118</v>
      </c>
      <c r="AS2735">
        <v>-66</v>
      </c>
      <c r="AT2735">
        <v>37</v>
      </c>
      <c r="AU2735">
        <v>0</v>
      </c>
      <c r="BC2735">
        <v>1200</v>
      </c>
      <c r="BD2735">
        <v>1</v>
      </c>
      <c r="BE2735" t="str">
        <f t="shared" si="128"/>
        <v xml:space="preserve">N215T   </v>
      </c>
      <c r="BF2735">
        <v>1</v>
      </c>
      <c r="BH2735">
        <v>0</v>
      </c>
      <c r="BI2735">
        <v>0</v>
      </c>
      <c r="BJ2735">
        <v>0</v>
      </c>
      <c r="BK2735">
        <v>2400</v>
      </c>
      <c r="BL2735">
        <v>400</v>
      </c>
      <c r="BM2735" t="s">
        <v>119</v>
      </c>
      <c r="BN2735">
        <v>1</v>
      </c>
      <c r="BO2735">
        <v>1</v>
      </c>
      <c r="BP2735">
        <v>1</v>
      </c>
      <c r="BQ2735">
        <v>0</v>
      </c>
      <c r="BT2735">
        <v>0</v>
      </c>
      <c r="BU2735">
        <v>0</v>
      </c>
      <c r="BV2735">
        <v>0</v>
      </c>
      <c r="CC2735" t="str">
        <f>"19:20:28.180"</f>
        <v>19:20:28.180</v>
      </c>
      <c r="CD2735" t="str">
        <f>"183282885"</f>
        <v>183282885</v>
      </c>
      <c r="CQ2735">
        <v>0</v>
      </c>
      <c r="CR2735">
        <v>2</v>
      </c>
      <c r="CS2735">
        <v>0</v>
      </c>
      <c r="CT2735">
        <v>2</v>
      </c>
      <c r="CU2735">
        <v>0</v>
      </c>
      <c r="CV2735">
        <v>6</v>
      </c>
      <c r="CW2735" t="s">
        <v>120</v>
      </c>
      <c r="CX2735">
        <v>261</v>
      </c>
      <c r="CY2735">
        <v>3</v>
      </c>
      <c r="CZ2735" t="s">
        <v>121</v>
      </c>
      <c r="DA2735" t="s">
        <v>122</v>
      </c>
      <c r="DD2735">
        <v>3849170</v>
      </c>
      <c r="DE2735" t="s">
        <v>123</v>
      </c>
    </row>
    <row r="2736" spans="1:109" x14ac:dyDescent="0.3">
      <c r="A2736" t="str">
        <f>"19:20:29.461"</f>
        <v>19:20:29.461</v>
      </c>
      <c r="B2736" t="s">
        <v>110</v>
      </c>
      <c r="C2736" t="str">
        <f t="shared" si="126"/>
        <v>ffdfd3c0</v>
      </c>
      <c r="D2736" t="s">
        <v>111</v>
      </c>
      <c r="E2736">
        <v>18</v>
      </c>
      <c r="F2736">
        <v>1018</v>
      </c>
      <c r="G2736" t="s">
        <v>112</v>
      </c>
      <c r="J2736" t="s">
        <v>113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R2736" t="s">
        <v>114</v>
      </c>
      <c r="S2736" t="str">
        <f>"19:20:29.227"</f>
        <v>19:20:29.227</v>
      </c>
      <c r="T2736" t="str">
        <f>"19:20:28.727"</f>
        <v>19:20:28.727</v>
      </c>
      <c r="U2736" t="str">
        <f t="shared" si="127"/>
        <v>a1cdbe</v>
      </c>
      <c r="V2736">
        <v>0</v>
      </c>
      <c r="W2736">
        <v>0</v>
      </c>
      <c r="X2736">
        <v>1</v>
      </c>
      <c r="Y2736">
        <v>0</v>
      </c>
      <c r="Z2736">
        <v>0</v>
      </c>
      <c r="AB2736">
        <v>0</v>
      </c>
      <c r="AC2736">
        <v>9</v>
      </c>
      <c r="AD2736">
        <v>3</v>
      </c>
      <c r="AE2736">
        <v>0</v>
      </c>
      <c r="AF2736">
        <v>9</v>
      </c>
      <c r="AG2736" t="s">
        <v>158</v>
      </c>
      <c r="AH2736">
        <v>0</v>
      </c>
      <c r="AI2736">
        <v>3</v>
      </c>
      <c r="AJ2736">
        <v>1</v>
      </c>
      <c r="AK2736">
        <v>0</v>
      </c>
      <c r="AL2736" t="s">
        <v>5159</v>
      </c>
      <c r="AM2736">
        <v>46.968291000000001</v>
      </c>
      <c r="AN2736" t="s">
        <v>5160</v>
      </c>
      <c r="AO2736">
        <v>-123.381894</v>
      </c>
      <c r="AP2736">
        <v>100</v>
      </c>
      <c r="AQ2736">
        <v>2000</v>
      </c>
      <c r="AR2736" t="s">
        <v>118</v>
      </c>
      <c r="AS2736">
        <v>-66</v>
      </c>
      <c r="AT2736">
        <v>37</v>
      </c>
      <c r="AU2736">
        <v>0</v>
      </c>
      <c r="BC2736">
        <v>1200</v>
      </c>
      <c r="BD2736">
        <v>1</v>
      </c>
      <c r="BE2736" t="str">
        <f t="shared" si="128"/>
        <v xml:space="preserve">N215T   </v>
      </c>
      <c r="BF2736">
        <v>1</v>
      </c>
      <c r="BH2736">
        <v>0</v>
      </c>
      <c r="BI2736">
        <v>0</v>
      </c>
      <c r="BJ2736">
        <v>0</v>
      </c>
      <c r="BK2736">
        <v>2400</v>
      </c>
      <c r="BL2736">
        <v>400</v>
      </c>
      <c r="BM2736" t="s">
        <v>119</v>
      </c>
      <c r="BN2736">
        <v>1</v>
      </c>
      <c r="BO2736">
        <v>1</v>
      </c>
      <c r="BP2736">
        <v>1</v>
      </c>
      <c r="BQ2736">
        <v>0</v>
      </c>
      <c r="BT2736">
        <v>0</v>
      </c>
      <c r="BU2736">
        <v>0</v>
      </c>
      <c r="BV2736">
        <v>0</v>
      </c>
      <c r="CC2736" t="str">
        <f>"19:20:29.234"</f>
        <v>19:20:29.234</v>
      </c>
      <c r="CD2736" t="str">
        <f>"233179449"</f>
        <v>233179449</v>
      </c>
      <c r="CQ2736">
        <v>0</v>
      </c>
      <c r="CR2736">
        <v>2</v>
      </c>
      <c r="CS2736">
        <v>0</v>
      </c>
      <c r="CT2736">
        <v>2</v>
      </c>
      <c r="CU2736">
        <v>0</v>
      </c>
      <c r="CV2736">
        <v>7</v>
      </c>
      <c r="CW2736" t="s">
        <v>120</v>
      </c>
      <c r="CX2736">
        <v>261</v>
      </c>
      <c r="CY2736">
        <v>2</v>
      </c>
      <c r="CZ2736" t="s">
        <v>121</v>
      </c>
      <c r="DA2736" t="s">
        <v>122</v>
      </c>
      <c r="DD2736">
        <v>15960500</v>
      </c>
      <c r="DE2736" t="s">
        <v>123</v>
      </c>
    </row>
    <row r="2737" spans="1:109" x14ac:dyDescent="0.3">
      <c r="A2737" t="str">
        <f>"19:20:30.313"</f>
        <v>19:20:30.313</v>
      </c>
      <c r="B2737" t="s">
        <v>110</v>
      </c>
      <c r="C2737" t="str">
        <f t="shared" si="126"/>
        <v>ffdfd3c0</v>
      </c>
      <c r="D2737" t="s">
        <v>111</v>
      </c>
      <c r="E2737">
        <v>18</v>
      </c>
      <c r="F2737">
        <v>1018</v>
      </c>
      <c r="G2737" t="s">
        <v>112</v>
      </c>
      <c r="J2737" t="s">
        <v>113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R2737" t="s">
        <v>114</v>
      </c>
      <c r="S2737" t="str">
        <f>"19:20:30.102"</f>
        <v>19:20:30.102</v>
      </c>
      <c r="T2737" t="str">
        <f>"19:20:29.703"</f>
        <v>19:20:29.703</v>
      </c>
      <c r="U2737" t="str">
        <f t="shared" si="127"/>
        <v>a1cdbe</v>
      </c>
      <c r="V2737">
        <v>0</v>
      </c>
      <c r="W2737">
        <v>0</v>
      </c>
      <c r="X2737">
        <v>1</v>
      </c>
      <c r="Y2737">
        <v>0</v>
      </c>
      <c r="Z2737">
        <v>0</v>
      </c>
      <c r="AB2737">
        <v>0</v>
      </c>
      <c r="AC2737">
        <v>9</v>
      </c>
      <c r="AD2737">
        <v>3</v>
      </c>
      <c r="AE2737">
        <v>0</v>
      </c>
      <c r="AF2737">
        <v>9</v>
      </c>
      <c r="AG2737" t="s">
        <v>158</v>
      </c>
      <c r="AH2737">
        <v>0</v>
      </c>
      <c r="AI2737">
        <v>3</v>
      </c>
      <c r="AJ2737">
        <v>1</v>
      </c>
      <c r="AK2737">
        <v>0</v>
      </c>
      <c r="AL2737" t="s">
        <v>5161</v>
      </c>
      <c r="AM2737">
        <v>46.968483999999997</v>
      </c>
      <c r="AN2737" t="s">
        <v>5162</v>
      </c>
      <c r="AO2737">
        <v>-123.382301</v>
      </c>
      <c r="AP2737">
        <v>100</v>
      </c>
      <c r="AQ2737">
        <v>2000</v>
      </c>
      <c r="AR2737" t="s">
        <v>118</v>
      </c>
      <c r="AS2737">
        <v>-67</v>
      </c>
      <c r="AT2737">
        <v>37</v>
      </c>
      <c r="AU2737">
        <v>0</v>
      </c>
      <c r="BC2737">
        <v>1200</v>
      </c>
      <c r="BD2737">
        <v>1</v>
      </c>
      <c r="BE2737" t="str">
        <f t="shared" si="128"/>
        <v xml:space="preserve">N215T   </v>
      </c>
      <c r="BF2737">
        <v>1</v>
      </c>
      <c r="BH2737">
        <v>0</v>
      </c>
      <c r="BI2737">
        <v>0</v>
      </c>
      <c r="BJ2737">
        <v>0</v>
      </c>
      <c r="BK2737">
        <v>2400</v>
      </c>
      <c r="BL2737">
        <v>400</v>
      </c>
      <c r="BM2737" t="s">
        <v>119</v>
      </c>
      <c r="BN2737">
        <v>1</v>
      </c>
      <c r="BO2737">
        <v>1</v>
      </c>
      <c r="BP2737">
        <v>1</v>
      </c>
      <c r="BQ2737">
        <v>0</v>
      </c>
      <c r="BT2737">
        <v>0</v>
      </c>
      <c r="BU2737">
        <v>0</v>
      </c>
      <c r="BV2737">
        <v>0</v>
      </c>
      <c r="CC2737" t="str">
        <f>"19:20:30.102"</f>
        <v>19:20:30.102</v>
      </c>
      <c r="CD2737" t="str">
        <f>"103093760"</f>
        <v>103093760</v>
      </c>
      <c r="CQ2737">
        <v>0</v>
      </c>
      <c r="CR2737">
        <v>2</v>
      </c>
      <c r="CS2737">
        <v>0</v>
      </c>
      <c r="CT2737">
        <v>2</v>
      </c>
      <c r="CU2737">
        <v>0</v>
      </c>
      <c r="CV2737">
        <v>6</v>
      </c>
      <c r="CW2737" t="s">
        <v>120</v>
      </c>
      <c r="CX2737">
        <v>261</v>
      </c>
      <c r="CY2737">
        <v>3</v>
      </c>
      <c r="CZ2737" t="s">
        <v>121</v>
      </c>
      <c r="DA2737" t="s">
        <v>122</v>
      </c>
      <c r="DD2737">
        <v>3849573</v>
      </c>
      <c r="DE2737" t="s">
        <v>123</v>
      </c>
    </row>
    <row r="2738" spans="1:109" x14ac:dyDescent="0.3">
      <c r="A2738" t="str">
        <f>"19:20:31.273"</f>
        <v>19:20:31.273</v>
      </c>
      <c r="B2738" t="s">
        <v>110</v>
      </c>
      <c r="C2738" t="str">
        <f t="shared" si="126"/>
        <v>ffdfd3c0</v>
      </c>
      <c r="D2738" t="s">
        <v>111</v>
      </c>
      <c r="E2738">
        <v>18</v>
      </c>
      <c r="F2738">
        <v>1018</v>
      </c>
      <c r="G2738" t="s">
        <v>112</v>
      </c>
      <c r="J2738" t="s">
        <v>113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R2738" t="s">
        <v>114</v>
      </c>
      <c r="S2738" t="str">
        <f>"19:20:31.063"</f>
        <v>19:20:31.063</v>
      </c>
      <c r="T2738" t="str">
        <f>"19:20:30.766"</f>
        <v>19:20:30.766</v>
      </c>
      <c r="U2738" t="str">
        <f t="shared" si="127"/>
        <v>a1cdbe</v>
      </c>
      <c r="V2738">
        <v>0</v>
      </c>
      <c r="W2738">
        <v>0</v>
      </c>
      <c r="X2738">
        <v>1</v>
      </c>
      <c r="Y2738">
        <v>0</v>
      </c>
      <c r="Z2738">
        <v>0</v>
      </c>
      <c r="AB2738">
        <v>0</v>
      </c>
      <c r="AC2738">
        <v>9</v>
      </c>
      <c r="AD2738">
        <v>3</v>
      </c>
      <c r="AE2738">
        <v>0</v>
      </c>
      <c r="AF2738">
        <v>9</v>
      </c>
      <c r="AG2738" t="s">
        <v>158</v>
      </c>
      <c r="AH2738">
        <v>0</v>
      </c>
      <c r="AI2738">
        <v>3</v>
      </c>
      <c r="AJ2738">
        <v>1</v>
      </c>
      <c r="AK2738">
        <v>0</v>
      </c>
      <c r="AL2738" t="s">
        <v>5163</v>
      </c>
      <c r="AM2738">
        <v>46.968591000000004</v>
      </c>
      <c r="AN2738" t="s">
        <v>5164</v>
      </c>
      <c r="AO2738">
        <v>-123.38273</v>
      </c>
      <c r="AP2738">
        <v>100</v>
      </c>
      <c r="AQ2738">
        <v>2000</v>
      </c>
      <c r="AR2738" t="s">
        <v>118</v>
      </c>
      <c r="AS2738">
        <v>-67</v>
      </c>
      <c r="AT2738">
        <v>37</v>
      </c>
      <c r="AU2738">
        <v>0</v>
      </c>
      <c r="BC2738">
        <v>1200</v>
      </c>
      <c r="BD2738">
        <v>1</v>
      </c>
      <c r="BE2738" t="str">
        <f t="shared" si="128"/>
        <v xml:space="preserve">N215T   </v>
      </c>
      <c r="BF2738">
        <v>1</v>
      </c>
      <c r="BH2738">
        <v>0</v>
      </c>
      <c r="BI2738">
        <v>0</v>
      </c>
      <c r="BJ2738">
        <v>0</v>
      </c>
      <c r="BK2738">
        <v>2400</v>
      </c>
      <c r="BL2738">
        <v>400</v>
      </c>
      <c r="BM2738" t="s">
        <v>119</v>
      </c>
      <c r="BN2738">
        <v>1</v>
      </c>
      <c r="BO2738">
        <v>1</v>
      </c>
      <c r="BP2738">
        <v>1</v>
      </c>
      <c r="BQ2738">
        <v>0</v>
      </c>
      <c r="BT2738">
        <v>0</v>
      </c>
      <c r="BU2738">
        <v>0</v>
      </c>
      <c r="BV2738">
        <v>0</v>
      </c>
      <c r="CC2738" t="str">
        <f>"19:20:31.063"</f>
        <v>19:20:31.063</v>
      </c>
      <c r="CD2738" t="str">
        <f>"062999206"</f>
        <v>062999206</v>
      </c>
      <c r="CQ2738">
        <v>0</v>
      </c>
      <c r="CR2738">
        <v>2</v>
      </c>
      <c r="CS2738">
        <v>0</v>
      </c>
      <c r="CT2738">
        <v>2</v>
      </c>
      <c r="CU2738">
        <v>0</v>
      </c>
      <c r="CV2738">
        <v>6</v>
      </c>
      <c r="CW2738" t="s">
        <v>120</v>
      </c>
      <c r="CX2738">
        <v>261</v>
      </c>
      <c r="CY2738">
        <v>2</v>
      </c>
      <c r="CZ2738" t="s">
        <v>121</v>
      </c>
      <c r="DA2738" t="s">
        <v>122</v>
      </c>
      <c r="DD2738">
        <v>15961595</v>
      </c>
      <c r="DE2738" t="s">
        <v>123</v>
      </c>
    </row>
    <row r="2739" spans="1:109" x14ac:dyDescent="0.3">
      <c r="A2739" t="str">
        <f>"19:20:32.273"</f>
        <v>19:20:32.273</v>
      </c>
      <c r="B2739" t="s">
        <v>110</v>
      </c>
      <c r="C2739" t="str">
        <f t="shared" si="126"/>
        <v>ffdfd3c0</v>
      </c>
      <c r="D2739" t="s">
        <v>111</v>
      </c>
      <c r="E2739">
        <v>18</v>
      </c>
      <c r="F2739">
        <v>1018</v>
      </c>
      <c r="G2739" t="s">
        <v>112</v>
      </c>
      <c r="J2739" t="s">
        <v>113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R2739" t="s">
        <v>114</v>
      </c>
      <c r="S2739" t="str">
        <f>"19:20:32.008"</f>
        <v>19:20:32.008</v>
      </c>
      <c r="T2739" t="str">
        <f>"19:20:31.805"</f>
        <v>19:20:31.805</v>
      </c>
      <c r="U2739" t="str">
        <f t="shared" si="127"/>
        <v>a1cdbe</v>
      </c>
      <c r="V2739">
        <v>0</v>
      </c>
      <c r="W2739">
        <v>0</v>
      </c>
      <c r="X2739">
        <v>1</v>
      </c>
      <c r="Y2739">
        <v>0</v>
      </c>
      <c r="Z2739">
        <v>0</v>
      </c>
      <c r="AB2739">
        <v>0</v>
      </c>
      <c r="AC2739">
        <v>9</v>
      </c>
      <c r="AD2739">
        <v>3</v>
      </c>
      <c r="AE2739">
        <v>0</v>
      </c>
      <c r="AF2739">
        <v>9</v>
      </c>
      <c r="AG2739" t="s">
        <v>158</v>
      </c>
      <c r="AH2739">
        <v>0</v>
      </c>
      <c r="AI2739">
        <v>3</v>
      </c>
      <c r="AJ2739">
        <v>1</v>
      </c>
      <c r="AK2739">
        <v>0</v>
      </c>
      <c r="AL2739" t="s">
        <v>5165</v>
      </c>
      <c r="AM2739">
        <v>46.968806000000001</v>
      </c>
      <c r="AN2739" t="s">
        <v>5166</v>
      </c>
      <c r="AO2739">
        <v>-123.38320299999999</v>
      </c>
      <c r="AP2739">
        <v>100</v>
      </c>
      <c r="AQ2739">
        <v>2000</v>
      </c>
      <c r="AR2739" t="s">
        <v>118</v>
      </c>
      <c r="AS2739">
        <v>-67</v>
      </c>
      <c r="AT2739">
        <v>37</v>
      </c>
      <c r="AU2739">
        <v>0</v>
      </c>
      <c r="BC2739">
        <v>1200</v>
      </c>
      <c r="BD2739">
        <v>1</v>
      </c>
      <c r="BE2739" t="str">
        <f t="shared" si="128"/>
        <v xml:space="preserve">N215T   </v>
      </c>
      <c r="BF2739">
        <v>1</v>
      </c>
      <c r="BH2739">
        <v>0</v>
      </c>
      <c r="BI2739">
        <v>0</v>
      </c>
      <c r="BJ2739">
        <v>0</v>
      </c>
      <c r="BK2739">
        <v>2400</v>
      </c>
      <c r="BL2739">
        <v>400</v>
      </c>
      <c r="BM2739" t="s">
        <v>119</v>
      </c>
      <c r="BN2739">
        <v>1</v>
      </c>
      <c r="BO2739">
        <v>1</v>
      </c>
      <c r="BP2739">
        <v>1</v>
      </c>
      <c r="BQ2739">
        <v>0</v>
      </c>
      <c r="BT2739">
        <v>0</v>
      </c>
      <c r="BU2739">
        <v>0</v>
      </c>
      <c r="BV2739">
        <v>0</v>
      </c>
      <c r="CC2739" t="str">
        <f>"19:20:32.008"</f>
        <v>19:20:32.008</v>
      </c>
      <c r="CD2739" t="str">
        <f>"007906136"</f>
        <v>007906136</v>
      </c>
      <c r="CQ2739">
        <v>0</v>
      </c>
      <c r="CR2739">
        <v>2</v>
      </c>
      <c r="CS2739">
        <v>0</v>
      </c>
      <c r="CT2739">
        <v>2</v>
      </c>
      <c r="CU2739">
        <v>0</v>
      </c>
      <c r="CV2739">
        <v>6</v>
      </c>
      <c r="CW2739" t="s">
        <v>120</v>
      </c>
      <c r="CX2739">
        <v>261</v>
      </c>
      <c r="CY2739">
        <v>2</v>
      </c>
      <c r="CZ2739" t="s">
        <v>121</v>
      </c>
      <c r="DA2739" t="s">
        <v>122</v>
      </c>
      <c r="DD2739">
        <v>15962219</v>
      </c>
      <c r="DE2739" t="s">
        <v>123</v>
      </c>
    </row>
    <row r="2740" spans="1:109" x14ac:dyDescent="0.3">
      <c r="A2740" t="str">
        <f>"19:20:33.234"</f>
        <v>19:20:33.234</v>
      </c>
      <c r="B2740" t="s">
        <v>110</v>
      </c>
      <c r="C2740" t="str">
        <f t="shared" si="126"/>
        <v>ffdfd3c0</v>
      </c>
      <c r="D2740" t="s">
        <v>111</v>
      </c>
      <c r="E2740">
        <v>18</v>
      </c>
      <c r="F2740">
        <v>1018</v>
      </c>
      <c r="G2740" t="s">
        <v>112</v>
      </c>
      <c r="J2740" t="s">
        <v>113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R2740" t="s">
        <v>114</v>
      </c>
      <c r="S2740" t="str">
        <f>"19:20:33.008"</f>
        <v>19:20:33.008</v>
      </c>
      <c r="T2740" t="str">
        <f>"19:20:32.805"</f>
        <v>19:20:32.805</v>
      </c>
      <c r="U2740" t="str">
        <f t="shared" si="127"/>
        <v>a1cdbe</v>
      </c>
      <c r="V2740">
        <v>0</v>
      </c>
      <c r="W2740">
        <v>0</v>
      </c>
      <c r="X2740">
        <v>1</v>
      </c>
      <c r="Y2740">
        <v>0</v>
      </c>
      <c r="Z2740">
        <v>0</v>
      </c>
      <c r="AB2740">
        <v>0</v>
      </c>
      <c r="AC2740">
        <v>9</v>
      </c>
      <c r="AD2740">
        <v>3</v>
      </c>
      <c r="AE2740">
        <v>0</v>
      </c>
      <c r="AF2740">
        <v>9</v>
      </c>
      <c r="AG2740" t="s">
        <v>158</v>
      </c>
      <c r="AH2740">
        <v>0</v>
      </c>
      <c r="AI2740">
        <v>3</v>
      </c>
      <c r="AJ2740">
        <v>1</v>
      </c>
      <c r="AK2740">
        <v>0</v>
      </c>
      <c r="AL2740" t="s">
        <v>5167</v>
      </c>
      <c r="AM2740">
        <v>46.968935000000002</v>
      </c>
      <c r="AN2740" t="s">
        <v>5168</v>
      </c>
      <c r="AO2740">
        <v>-123.383567</v>
      </c>
      <c r="AP2740">
        <v>100</v>
      </c>
      <c r="AQ2740">
        <v>2000</v>
      </c>
      <c r="AR2740" t="s">
        <v>118</v>
      </c>
      <c r="AS2740">
        <v>-67</v>
      </c>
      <c r="AT2740">
        <v>37</v>
      </c>
      <c r="AU2740">
        <v>0</v>
      </c>
      <c r="BC2740">
        <v>1200</v>
      </c>
      <c r="BD2740">
        <v>1</v>
      </c>
      <c r="BE2740" t="str">
        <f t="shared" si="128"/>
        <v xml:space="preserve">N215T   </v>
      </c>
      <c r="BF2740">
        <v>1</v>
      </c>
      <c r="BH2740">
        <v>0</v>
      </c>
      <c r="BI2740">
        <v>0</v>
      </c>
      <c r="BJ2740">
        <v>0</v>
      </c>
      <c r="BK2740">
        <v>2400</v>
      </c>
      <c r="BL2740">
        <v>400</v>
      </c>
      <c r="BM2740" t="s">
        <v>119</v>
      </c>
      <c r="BN2740">
        <v>1</v>
      </c>
      <c r="BO2740">
        <v>1</v>
      </c>
      <c r="BP2740">
        <v>1</v>
      </c>
      <c r="BQ2740">
        <v>0</v>
      </c>
      <c r="BT2740">
        <v>0</v>
      </c>
      <c r="BU2740">
        <v>0</v>
      </c>
      <c r="BV2740">
        <v>0</v>
      </c>
      <c r="CC2740" t="str">
        <f>"19:20:33.016"</f>
        <v>19:20:33.016</v>
      </c>
      <c r="CD2740" t="str">
        <f>"012807151"</f>
        <v>012807151</v>
      </c>
      <c r="CQ2740">
        <v>0</v>
      </c>
      <c r="CR2740">
        <v>2</v>
      </c>
      <c r="CS2740">
        <v>0</v>
      </c>
      <c r="CT2740">
        <v>2</v>
      </c>
      <c r="CU2740">
        <v>0</v>
      </c>
      <c r="CV2740">
        <v>7</v>
      </c>
      <c r="CW2740" t="s">
        <v>120</v>
      </c>
      <c r="CX2740">
        <v>261</v>
      </c>
      <c r="CY2740">
        <v>2</v>
      </c>
      <c r="CZ2740" t="s">
        <v>121</v>
      </c>
      <c r="DA2740" t="s">
        <v>122</v>
      </c>
      <c r="DD2740">
        <v>15962902</v>
      </c>
      <c r="DE2740" t="s">
        <v>123</v>
      </c>
    </row>
    <row r="2741" spans="1:109" x14ac:dyDescent="0.3">
      <c r="A2741" t="str">
        <f>"19:20:34.438"</f>
        <v>19:20:34.438</v>
      </c>
      <c r="B2741" t="s">
        <v>110</v>
      </c>
      <c r="C2741" t="str">
        <f t="shared" si="126"/>
        <v>ffdfd3c0</v>
      </c>
      <c r="D2741" t="s">
        <v>111</v>
      </c>
      <c r="E2741">
        <v>18</v>
      </c>
      <c r="F2741">
        <v>1018</v>
      </c>
      <c r="G2741" t="s">
        <v>112</v>
      </c>
      <c r="J2741" t="s">
        <v>113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R2741" t="s">
        <v>114</v>
      </c>
      <c r="S2741" t="str">
        <f>"19:20:34.180"</f>
        <v>19:20:34.180</v>
      </c>
      <c r="T2741" t="str">
        <f>"19:20:33.781"</f>
        <v>19:20:33.781</v>
      </c>
      <c r="U2741" t="str">
        <f t="shared" si="127"/>
        <v>a1cdbe</v>
      </c>
      <c r="V2741">
        <v>0</v>
      </c>
      <c r="W2741">
        <v>0</v>
      </c>
      <c r="X2741">
        <v>1</v>
      </c>
      <c r="Y2741">
        <v>0</v>
      </c>
      <c r="Z2741">
        <v>0</v>
      </c>
      <c r="AB2741">
        <v>0</v>
      </c>
      <c r="AC2741">
        <v>9</v>
      </c>
      <c r="AD2741">
        <v>3</v>
      </c>
      <c r="AE2741">
        <v>0</v>
      </c>
      <c r="AF2741">
        <v>9</v>
      </c>
      <c r="AG2741" t="s">
        <v>158</v>
      </c>
      <c r="AH2741">
        <v>0</v>
      </c>
      <c r="AI2741">
        <v>3</v>
      </c>
      <c r="AJ2741">
        <v>1</v>
      </c>
      <c r="AK2741">
        <v>0</v>
      </c>
      <c r="AL2741" t="s">
        <v>5169</v>
      </c>
      <c r="AM2741">
        <v>46.969105999999996</v>
      </c>
      <c r="AN2741" t="s">
        <v>5170</v>
      </c>
      <c r="AO2741">
        <v>-123.384147</v>
      </c>
      <c r="AP2741">
        <v>100</v>
      </c>
      <c r="AQ2741">
        <v>2000</v>
      </c>
      <c r="AR2741" t="s">
        <v>118</v>
      </c>
      <c r="AS2741">
        <v>-67</v>
      </c>
      <c r="AT2741">
        <v>36</v>
      </c>
      <c r="AU2741">
        <v>0</v>
      </c>
      <c r="BC2741">
        <v>1200</v>
      </c>
      <c r="BD2741">
        <v>1</v>
      </c>
      <c r="BE2741" t="str">
        <f t="shared" si="128"/>
        <v xml:space="preserve">N215T   </v>
      </c>
      <c r="BF2741">
        <v>1</v>
      </c>
      <c r="BH2741">
        <v>0</v>
      </c>
      <c r="BI2741">
        <v>0</v>
      </c>
      <c r="BJ2741">
        <v>0</v>
      </c>
      <c r="BK2741">
        <v>2375</v>
      </c>
      <c r="BL2741">
        <v>375</v>
      </c>
      <c r="BM2741" t="s">
        <v>119</v>
      </c>
      <c r="BN2741">
        <v>1</v>
      </c>
      <c r="BO2741">
        <v>1</v>
      </c>
      <c r="BP2741">
        <v>1</v>
      </c>
      <c r="BQ2741">
        <v>0</v>
      </c>
      <c r="BT2741">
        <v>0</v>
      </c>
      <c r="BU2741">
        <v>0</v>
      </c>
      <c r="BV2741">
        <v>0</v>
      </c>
      <c r="CC2741" t="str">
        <f>"19:20:34.180"</f>
        <v>19:20:34.180</v>
      </c>
      <c r="CD2741" t="str">
        <f>"182691922"</f>
        <v>182691922</v>
      </c>
      <c r="CQ2741">
        <v>0</v>
      </c>
      <c r="CR2741">
        <v>2</v>
      </c>
      <c r="CS2741">
        <v>0</v>
      </c>
      <c r="CT2741">
        <v>2</v>
      </c>
      <c r="CU2741">
        <v>0</v>
      </c>
      <c r="CV2741">
        <v>7</v>
      </c>
      <c r="CW2741" t="s">
        <v>120</v>
      </c>
      <c r="CX2741">
        <v>261</v>
      </c>
      <c r="CY2741">
        <v>2</v>
      </c>
      <c r="CZ2741" t="s">
        <v>121</v>
      </c>
      <c r="DA2741" t="s">
        <v>122</v>
      </c>
      <c r="DD2741">
        <v>15963692</v>
      </c>
      <c r="DE2741" t="s">
        <v>123</v>
      </c>
    </row>
    <row r="2742" spans="1:109" x14ac:dyDescent="0.3">
      <c r="A2742" t="str">
        <f>"19:20:35.391"</f>
        <v>19:20:35.391</v>
      </c>
      <c r="B2742" t="s">
        <v>110</v>
      </c>
      <c r="C2742" t="str">
        <f t="shared" si="126"/>
        <v>ffdfd3c0</v>
      </c>
      <c r="D2742" t="s">
        <v>111</v>
      </c>
      <c r="E2742">
        <v>18</v>
      </c>
      <c r="F2742">
        <v>1018</v>
      </c>
      <c r="G2742" t="s">
        <v>112</v>
      </c>
      <c r="J2742" t="s">
        <v>113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R2742" t="s">
        <v>114</v>
      </c>
      <c r="S2742" t="str">
        <f>"19:20:35.188"</f>
        <v>19:20:35.188</v>
      </c>
      <c r="T2742" t="str">
        <f>"19:20:34.789"</f>
        <v>19:20:34.789</v>
      </c>
      <c r="U2742" t="str">
        <f t="shared" si="127"/>
        <v>a1cdbe</v>
      </c>
      <c r="V2742">
        <v>0</v>
      </c>
      <c r="W2742">
        <v>0</v>
      </c>
      <c r="X2742">
        <v>1</v>
      </c>
      <c r="Y2742">
        <v>0</v>
      </c>
      <c r="Z2742">
        <v>0</v>
      </c>
      <c r="AB2742">
        <v>0</v>
      </c>
      <c r="AC2742">
        <v>9</v>
      </c>
      <c r="AD2742">
        <v>3</v>
      </c>
      <c r="AE2742">
        <v>0</v>
      </c>
      <c r="AF2742">
        <v>9</v>
      </c>
      <c r="AG2742" t="s">
        <v>158</v>
      </c>
      <c r="AH2742">
        <v>0</v>
      </c>
      <c r="AI2742">
        <v>3</v>
      </c>
      <c r="AJ2742">
        <v>1</v>
      </c>
      <c r="AK2742">
        <v>0</v>
      </c>
      <c r="AL2742" t="s">
        <v>5171</v>
      </c>
      <c r="AM2742">
        <v>46.969298999999999</v>
      </c>
      <c r="AN2742" t="s">
        <v>5172</v>
      </c>
      <c r="AO2742">
        <v>-123.384576</v>
      </c>
      <c r="AP2742">
        <v>100</v>
      </c>
      <c r="AQ2742">
        <v>2000</v>
      </c>
      <c r="AR2742" t="s">
        <v>118</v>
      </c>
      <c r="AS2742">
        <v>-67</v>
      </c>
      <c r="AT2742">
        <v>36</v>
      </c>
      <c r="AU2742">
        <v>0</v>
      </c>
      <c r="BC2742">
        <v>1200</v>
      </c>
      <c r="BD2742">
        <v>1</v>
      </c>
      <c r="BE2742" t="str">
        <f t="shared" si="128"/>
        <v xml:space="preserve">N215T   </v>
      </c>
      <c r="BF2742">
        <v>1</v>
      </c>
      <c r="BH2742">
        <v>0</v>
      </c>
      <c r="BI2742">
        <v>0</v>
      </c>
      <c r="BJ2742">
        <v>0</v>
      </c>
      <c r="BK2742">
        <v>2375</v>
      </c>
      <c r="BL2742">
        <v>375</v>
      </c>
      <c r="BM2742" t="s">
        <v>119</v>
      </c>
      <c r="BN2742">
        <v>1</v>
      </c>
      <c r="BO2742">
        <v>1</v>
      </c>
      <c r="BP2742">
        <v>1</v>
      </c>
      <c r="BQ2742">
        <v>0</v>
      </c>
      <c r="BT2742">
        <v>0</v>
      </c>
      <c r="BU2742">
        <v>0</v>
      </c>
      <c r="BV2742">
        <v>0</v>
      </c>
      <c r="CC2742" t="str">
        <f>"19:20:35.188"</f>
        <v>19:20:35.188</v>
      </c>
      <c r="CD2742" t="str">
        <f>"187592942"</f>
        <v>187592942</v>
      </c>
      <c r="CQ2742">
        <v>0</v>
      </c>
      <c r="CR2742">
        <v>2</v>
      </c>
      <c r="CS2742">
        <v>0</v>
      </c>
      <c r="CT2742">
        <v>2</v>
      </c>
      <c r="CU2742">
        <v>0</v>
      </c>
      <c r="CV2742">
        <v>6</v>
      </c>
      <c r="CW2742" t="s">
        <v>120</v>
      </c>
      <c r="CX2742">
        <v>261</v>
      </c>
      <c r="CY2742">
        <v>3</v>
      </c>
      <c r="CZ2742" t="s">
        <v>121</v>
      </c>
      <c r="DA2742" t="s">
        <v>122</v>
      </c>
      <c r="DD2742">
        <v>3850733</v>
      </c>
      <c r="DE2742" t="s">
        <v>123</v>
      </c>
    </row>
    <row r="2743" spans="1:109" x14ac:dyDescent="0.3">
      <c r="A2743" t="str">
        <f>"19:20:36.250"</f>
        <v>19:20:36.250</v>
      </c>
      <c r="B2743" t="s">
        <v>110</v>
      </c>
      <c r="C2743" t="str">
        <f t="shared" si="126"/>
        <v>ffdfd3c0</v>
      </c>
      <c r="D2743" t="s">
        <v>111</v>
      </c>
      <c r="E2743">
        <v>18</v>
      </c>
      <c r="F2743">
        <v>1018</v>
      </c>
      <c r="G2743" t="s">
        <v>112</v>
      </c>
      <c r="J2743" t="s">
        <v>113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R2743" t="s">
        <v>114</v>
      </c>
      <c r="S2743" t="str">
        <f>"19:20:36.023"</f>
        <v>19:20:36.023</v>
      </c>
      <c r="T2743" t="str">
        <f>"19:20:35.820"</f>
        <v>19:20:35.820</v>
      </c>
      <c r="U2743" t="str">
        <f t="shared" si="127"/>
        <v>a1cdbe</v>
      </c>
      <c r="V2743">
        <v>0</v>
      </c>
      <c r="W2743">
        <v>0</v>
      </c>
      <c r="X2743">
        <v>1</v>
      </c>
      <c r="Y2743">
        <v>0</v>
      </c>
      <c r="Z2743">
        <v>0</v>
      </c>
      <c r="AB2743">
        <v>0</v>
      </c>
      <c r="AC2743">
        <v>9</v>
      </c>
      <c r="AD2743">
        <v>3</v>
      </c>
      <c r="AE2743">
        <v>0</v>
      </c>
      <c r="AF2743">
        <v>9</v>
      </c>
      <c r="AG2743" t="s">
        <v>158</v>
      </c>
      <c r="AH2743">
        <v>0</v>
      </c>
      <c r="AI2743">
        <v>3</v>
      </c>
      <c r="AJ2743">
        <v>1</v>
      </c>
      <c r="AK2743">
        <v>0</v>
      </c>
      <c r="AL2743" t="s">
        <v>5173</v>
      </c>
      <c r="AM2743">
        <v>46.969428000000001</v>
      </c>
      <c r="AN2743" t="s">
        <v>5174</v>
      </c>
      <c r="AO2743">
        <v>-123.384984</v>
      </c>
      <c r="AP2743">
        <v>100</v>
      </c>
      <c r="AQ2743">
        <v>2000</v>
      </c>
      <c r="AR2743" t="s">
        <v>118</v>
      </c>
      <c r="AS2743">
        <v>-67</v>
      </c>
      <c r="AT2743">
        <v>36</v>
      </c>
      <c r="AU2743">
        <v>0</v>
      </c>
      <c r="BC2743">
        <v>1200</v>
      </c>
      <c r="BD2743">
        <v>1</v>
      </c>
      <c r="BE2743" t="str">
        <f t="shared" si="128"/>
        <v xml:space="preserve">N215T   </v>
      </c>
      <c r="BF2743">
        <v>1</v>
      </c>
      <c r="BH2743">
        <v>0</v>
      </c>
      <c r="BI2743">
        <v>0</v>
      </c>
      <c r="BJ2743">
        <v>0</v>
      </c>
      <c r="BK2743">
        <v>2375</v>
      </c>
      <c r="BL2743">
        <v>375</v>
      </c>
      <c r="BM2743" t="s">
        <v>119</v>
      </c>
      <c r="BN2743">
        <v>1</v>
      </c>
      <c r="BO2743">
        <v>1</v>
      </c>
      <c r="BP2743">
        <v>1</v>
      </c>
      <c r="BQ2743">
        <v>0</v>
      </c>
      <c r="BT2743">
        <v>0</v>
      </c>
      <c r="BU2743">
        <v>0</v>
      </c>
      <c r="BV2743">
        <v>0</v>
      </c>
      <c r="CC2743" t="str">
        <f>"19:20:36.031"</f>
        <v>19:20:36.031</v>
      </c>
      <c r="CD2743" t="str">
        <f>"027510199"</f>
        <v>027510199</v>
      </c>
      <c r="CQ2743">
        <v>0</v>
      </c>
      <c r="CR2743">
        <v>2</v>
      </c>
      <c r="CS2743">
        <v>0</v>
      </c>
      <c r="CT2743">
        <v>2</v>
      </c>
      <c r="CU2743">
        <v>0</v>
      </c>
      <c r="CV2743">
        <v>6</v>
      </c>
      <c r="CW2743" t="s">
        <v>120</v>
      </c>
      <c r="CX2743">
        <v>261</v>
      </c>
      <c r="CY2743">
        <v>2</v>
      </c>
      <c r="CZ2743" t="s">
        <v>121</v>
      </c>
      <c r="DA2743" t="s">
        <v>122</v>
      </c>
      <c r="DD2743">
        <v>15964855</v>
      </c>
      <c r="DE2743" t="s">
        <v>123</v>
      </c>
    </row>
    <row r="2744" spans="1:109" x14ac:dyDescent="0.3">
      <c r="A2744" t="str">
        <f>"19:20:37.305"</f>
        <v>19:20:37.305</v>
      </c>
      <c r="B2744" t="s">
        <v>110</v>
      </c>
      <c r="C2744" t="str">
        <f t="shared" si="126"/>
        <v>ffdfd3c0</v>
      </c>
      <c r="D2744" t="s">
        <v>111</v>
      </c>
      <c r="E2744">
        <v>18</v>
      </c>
      <c r="F2744">
        <v>1018</v>
      </c>
      <c r="G2744" t="s">
        <v>112</v>
      </c>
      <c r="J2744" t="s">
        <v>113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R2744" t="s">
        <v>114</v>
      </c>
      <c r="S2744" t="str">
        <f>"19:20:37.055"</f>
        <v>19:20:37.055</v>
      </c>
      <c r="T2744" t="str">
        <f>"19:20:36.758"</f>
        <v>19:20:36.758</v>
      </c>
      <c r="U2744" t="str">
        <f t="shared" si="127"/>
        <v>a1cdbe</v>
      </c>
      <c r="V2744">
        <v>0</v>
      </c>
      <c r="W2744">
        <v>0</v>
      </c>
      <c r="X2744">
        <v>1</v>
      </c>
      <c r="Y2744">
        <v>0</v>
      </c>
      <c r="Z2744">
        <v>0</v>
      </c>
      <c r="AB2744">
        <v>0</v>
      </c>
      <c r="AC2744">
        <v>9</v>
      </c>
      <c r="AD2744">
        <v>3</v>
      </c>
      <c r="AE2744">
        <v>0</v>
      </c>
      <c r="AF2744">
        <v>9</v>
      </c>
      <c r="AG2744" t="s">
        <v>158</v>
      </c>
      <c r="AH2744">
        <v>0</v>
      </c>
      <c r="AI2744">
        <v>3</v>
      </c>
      <c r="AJ2744">
        <v>1</v>
      </c>
      <c r="AK2744">
        <v>0</v>
      </c>
      <c r="AL2744" t="s">
        <v>5175</v>
      </c>
      <c r="AM2744">
        <v>46.969577999999998</v>
      </c>
      <c r="AN2744" t="s">
        <v>5176</v>
      </c>
      <c r="AO2744">
        <v>-123.385413</v>
      </c>
      <c r="AP2744">
        <v>100</v>
      </c>
      <c r="AQ2744">
        <v>2000</v>
      </c>
      <c r="AR2744" t="s">
        <v>118</v>
      </c>
      <c r="AS2744">
        <v>-67</v>
      </c>
      <c r="AT2744">
        <v>36</v>
      </c>
      <c r="AU2744">
        <v>0</v>
      </c>
      <c r="BC2744">
        <v>1200</v>
      </c>
      <c r="BD2744">
        <v>1</v>
      </c>
      <c r="BE2744" t="str">
        <f t="shared" si="128"/>
        <v xml:space="preserve">N215T   </v>
      </c>
      <c r="BF2744">
        <v>1</v>
      </c>
      <c r="BH2744">
        <v>0</v>
      </c>
      <c r="BI2744">
        <v>0</v>
      </c>
      <c r="BJ2744">
        <v>0</v>
      </c>
      <c r="BK2744">
        <v>2375</v>
      </c>
      <c r="BL2744">
        <v>375</v>
      </c>
      <c r="BM2744" t="s">
        <v>119</v>
      </c>
      <c r="BN2744">
        <v>1</v>
      </c>
      <c r="BO2744">
        <v>1</v>
      </c>
      <c r="BP2744">
        <v>1</v>
      </c>
      <c r="BQ2744">
        <v>0</v>
      </c>
      <c r="BT2744">
        <v>0</v>
      </c>
      <c r="BU2744">
        <v>0</v>
      </c>
      <c r="BV2744">
        <v>0</v>
      </c>
      <c r="CC2744" t="str">
        <f>"19:20:37.063"</f>
        <v>19:20:37.063</v>
      </c>
      <c r="CD2744" t="str">
        <f>"062408260"</f>
        <v>062408260</v>
      </c>
      <c r="CQ2744">
        <v>0</v>
      </c>
      <c r="CR2744">
        <v>2</v>
      </c>
      <c r="CS2744">
        <v>0</v>
      </c>
      <c r="CT2744">
        <v>2</v>
      </c>
      <c r="CU2744">
        <v>0</v>
      </c>
      <c r="CV2744">
        <v>6</v>
      </c>
      <c r="CW2744" t="s">
        <v>120</v>
      </c>
      <c r="CX2744">
        <v>261</v>
      </c>
      <c r="CY2744">
        <v>2</v>
      </c>
      <c r="CZ2744" t="s">
        <v>121</v>
      </c>
      <c r="DA2744" t="s">
        <v>122</v>
      </c>
      <c r="DD2744">
        <v>15965528</v>
      </c>
      <c r="DE2744" t="s">
        <v>123</v>
      </c>
    </row>
    <row r="2745" spans="1:109" x14ac:dyDescent="0.3">
      <c r="A2745" t="str">
        <f>"19:20:38.305"</f>
        <v>19:20:38.305</v>
      </c>
      <c r="B2745" t="s">
        <v>110</v>
      </c>
      <c r="C2745" t="str">
        <f t="shared" si="126"/>
        <v>ffdfd3c0</v>
      </c>
      <c r="D2745" t="s">
        <v>111</v>
      </c>
      <c r="E2745">
        <v>18</v>
      </c>
      <c r="F2745">
        <v>1018</v>
      </c>
      <c r="G2745" t="s">
        <v>112</v>
      </c>
      <c r="J2745" t="s">
        <v>113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R2745" t="s">
        <v>114</v>
      </c>
      <c r="S2745" t="str">
        <f>"19:20:38.094"</f>
        <v>19:20:38.094</v>
      </c>
      <c r="T2745" t="str">
        <f>"19:20:37.695"</f>
        <v>19:20:37.695</v>
      </c>
      <c r="U2745" t="str">
        <f t="shared" si="127"/>
        <v>a1cdbe</v>
      </c>
      <c r="V2745">
        <v>0</v>
      </c>
      <c r="W2745">
        <v>0</v>
      </c>
      <c r="X2745">
        <v>1</v>
      </c>
      <c r="Y2745">
        <v>0</v>
      </c>
      <c r="Z2745">
        <v>0</v>
      </c>
      <c r="AB2745">
        <v>0</v>
      </c>
      <c r="AC2745">
        <v>9</v>
      </c>
      <c r="AD2745">
        <v>3</v>
      </c>
      <c r="AE2745">
        <v>0</v>
      </c>
      <c r="AF2745">
        <v>9</v>
      </c>
      <c r="AG2745" t="s">
        <v>158</v>
      </c>
      <c r="AH2745">
        <v>0</v>
      </c>
      <c r="AI2745">
        <v>3</v>
      </c>
      <c r="AJ2745">
        <v>1</v>
      </c>
      <c r="AK2745">
        <v>0</v>
      </c>
      <c r="AL2745" t="s">
        <v>5177</v>
      </c>
      <c r="AM2745">
        <v>46.969749999999998</v>
      </c>
      <c r="AN2745" t="s">
        <v>5178</v>
      </c>
      <c r="AO2745">
        <v>-123.385949</v>
      </c>
      <c r="AP2745">
        <v>100</v>
      </c>
      <c r="AQ2745">
        <v>2000</v>
      </c>
      <c r="AR2745" t="s">
        <v>118</v>
      </c>
      <c r="AS2745">
        <v>-67</v>
      </c>
      <c r="AT2745">
        <v>35</v>
      </c>
      <c r="AU2745">
        <v>0</v>
      </c>
      <c r="BC2745">
        <v>1200</v>
      </c>
      <c r="BD2745">
        <v>1</v>
      </c>
      <c r="BE2745" t="str">
        <f t="shared" si="128"/>
        <v xml:space="preserve">N215T   </v>
      </c>
      <c r="BF2745">
        <v>1</v>
      </c>
      <c r="BH2745">
        <v>0</v>
      </c>
      <c r="BI2745">
        <v>0</v>
      </c>
      <c r="BJ2745">
        <v>0</v>
      </c>
      <c r="BK2745">
        <v>2375</v>
      </c>
      <c r="BL2745">
        <v>375</v>
      </c>
      <c r="BM2745" t="s">
        <v>119</v>
      </c>
      <c r="BN2745">
        <v>1</v>
      </c>
      <c r="BO2745">
        <v>1</v>
      </c>
      <c r="BP2745">
        <v>1</v>
      </c>
      <c r="BQ2745">
        <v>0</v>
      </c>
      <c r="BT2745">
        <v>0</v>
      </c>
      <c r="BU2745">
        <v>0</v>
      </c>
      <c r="BV2745">
        <v>0</v>
      </c>
      <c r="CC2745" t="str">
        <f>"19:20:38.094"</f>
        <v>19:20:38.094</v>
      </c>
      <c r="CD2745" t="str">
        <f>"097306326"</f>
        <v>097306326</v>
      </c>
      <c r="CQ2745">
        <v>0</v>
      </c>
      <c r="CR2745">
        <v>2</v>
      </c>
      <c r="CS2745">
        <v>0</v>
      </c>
      <c r="CT2745">
        <v>2</v>
      </c>
      <c r="CU2745">
        <v>0</v>
      </c>
      <c r="CV2745">
        <v>6</v>
      </c>
      <c r="CW2745" t="s">
        <v>120</v>
      </c>
      <c r="CX2745">
        <v>261</v>
      </c>
      <c r="CY2745">
        <v>2</v>
      </c>
      <c r="CZ2745" t="s">
        <v>121</v>
      </c>
      <c r="DA2745" t="s">
        <v>122</v>
      </c>
      <c r="DD2745">
        <v>15966252</v>
      </c>
      <c r="DE2745" t="s">
        <v>123</v>
      </c>
    </row>
    <row r="2746" spans="1:109" x14ac:dyDescent="0.3">
      <c r="A2746" t="str">
        <f>"19:20:39.367"</f>
        <v>19:20:39.367</v>
      </c>
      <c r="B2746" t="s">
        <v>110</v>
      </c>
      <c r="C2746" t="str">
        <f t="shared" si="126"/>
        <v>ffdfd3c0</v>
      </c>
      <c r="D2746" t="s">
        <v>111</v>
      </c>
      <c r="E2746">
        <v>18</v>
      </c>
      <c r="F2746">
        <v>1018</v>
      </c>
      <c r="G2746" t="s">
        <v>112</v>
      </c>
      <c r="J2746" t="s">
        <v>113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R2746" t="s">
        <v>114</v>
      </c>
      <c r="S2746" t="str">
        <f>"19:20:39.125"</f>
        <v>19:20:39.125</v>
      </c>
      <c r="T2746" t="str">
        <f>"19:20:38.727"</f>
        <v>19:20:38.727</v>
      </c>
      <c r="U2746" t="str">
        <f t="shared" si="127"/>
        <v>a1cdbe</v>
      </c>
      <c r="V2746">
        <v>0</v>
      </c>
      <c r="W2746">
        <v>0</v>
      </c>
      <c r="X2746">
        <v>1</v>
      </c>
      <c r="Y2746">
        <v>0</v>
      </c>
      <c r="Z2746">
        <v>0</v>
      </c>
      <c r="AB2746">
        <v>0</v>
      </c>
      <c r="AC2746">
        <v>9</v>
      </c>
      <c r="AD2746">
        <v>3</v>
      </c>
      <c r="AE2746">
        <v>0</v>
      </c>
      <c r="AF2746">
        <v>9</v>
      </c>
      <c r="AG2746" t="s">
        <v>158</v>
      </c>
      <c r="AH2746">
        <v>0</v>
      </c>
      <c r="AI2746">
        <v>3</v>
      </c>
      <c r="AJ2746">
        <v>1</v>
      </c>
      <c r="AK2746">
        <v>0</v>
      </c>
      <c r="AL2746" t="s">
        <v>5179</v>
      </c>
      <c r="AM2746">
        <v>46.969943000000001</v>
      </c>
      <c r="AN2746" t="s">
        <v>5180</v>
      </c>
      <c r="AO2746">
        <v>-123.38639999999999</v>
      </c>
      <c r="AP2746">
        <v>100</v>
      </c>
      <c r="AQ2746">
        <v>2000</v>
      </c>
      <c r="AR2746" t="s">
        <v>118</v>
      </c>
      <c r="AS2746">
        <v>-68</v>
      </c>
      <c r="AT2746">
        <v>35</v>
      </c>
      <c r="AU2746">
        <v>0</v>
      </c>
      <c r="BC2746">
        <v>1200</v>
      </c>
      <c r="BD2746">
        <v>1</v>
      </c>
      <c r="BE2746" t="str">
        <f t="shared" si="128"/>
        <v xml:space="preserve">N215T   </v>
      </c>
      <c r="BF2746">
        <v>1</v>
      </c>
      <c r="BH2746">
        <v>0</v>
      </c>
      <c r="BI2746">
        <v>0</v>
      </c>
      <c r="BJ2746">
        <v>0</v>
      </c>
      <c r="BK2746">
        <v>2375</v>
      </c>
      <c r="BL2746">
        <v>375</v>
      </c>
      <c r="BM2746" t="s">
        <v>119</v>
      </c>
      <c r="BN2746">
        <v>1</v>
      </c>
      <c r="BO2746">
        <v>1</v>
      </c>
      <c r="BP2746">
        <v>1</v>
      </c>
      <c r="BQ2746">
        <v>0</v>
      </c>
      <c r="BT2746">
        <v>0</v>
      </c>
      <c r="BU2746">
        <v>0</v>
      </c>
      <c r="BV2746">
        <v>0</v>
      </c>
      <c r="CC2746" t="str">
        <f>"19:20:39.133"</f>
        <v>19:20:39.133</v>
      </c>
      <c r="CD2746" t="str">
        <f>"132204391"</f>
        <v>132204391</v>
      </c>
      <c r="CQ2746">
        <v>0</v>
      </c>
      <c r="CR2746">
        <v>2</v>
      </c>
      <c r="CS2746">
        <v>0</v>
      </c>
      <c r="CT2746">
        <v>2</v>
      </c>
      <c r="CU2746">
        <v>0</v>
      </c>
      <c r="CV2746">
        <v>6</v>
      </c>
      <c r="CW2746" t="s">
        <v>120</v>
      </c>
      <c r="CX2746">
        <v>261</v>
      </c>
      <c r="CY2746">
        <v>2</v>
      </c>
      <c r="CZ2746" t="s">
        <v>121</v>
      </c>
      <c r="DA2746" t="s">
        <v>122</v>
      </c>
      <c r="DD2746">
        <v>15966878</v>
      </c>
      <c r="DE2746" t="s">
        <v>123</v>
      </c>
    </row>
    <row r="2747" spans="1:109" x14ac:dyDescent="0.3">
      <c r="A2747" t="str">
        <f>"19:20:40.273"</f>
        <v>19:20:40.273</v>
      </c>
      <c r="B2747" t="s">
        <v>110</v>
      </c>
      <c r="C2747" t="str">
        <f t="shared" si="126"/>
        <v>ffdfd3c0</v>
      </c>
      <c r="D2747" t="s">
        <v>111</v>
      </c>
      <c r="E2747">
        <v>18</v>
      </c>
      <c r="F2747">
        <v>1018</v>
      </c>
      <c r="G2747" t="s">
        <v>112</v>
      </c>
      <c r="J2747" t="s">
        <v>113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R2747" t="s">
        <v>114</v>
      </c>
      <c r="S2747" t="str">
        <f>"19:20:40.070"</f>
        <v>19:20:40.070</v>
      </c>
      <c r="T2747" t="str">
        <f>"19:20:39.773"</f>
        <v>19:20:39.773</v>
      </c>
      <c r="U2747" t="str">
        <f t="shared" si="127"/>
        <v>a1cdbe</v>
      </c>
      <c r="V2747">
        <v>0</v>
      </c>
      <c r="W2747">
        <v>0</v>
      </c>
      <c r="X2747">
        <v>1</v>
      </c>
      <c r="Y2747">
        <v>0</v>
      </c>
      <c r="Z2747">
        <v>0</v>
      </c>
      <c r="AB2747">
        <v>0</v>
      </c>
      <c r="AC2747">
        <v>9</v>
      </c>
      <c r="AD2747">
        <v>3</v>
      </c>
      <c r="AE2747">
        <v>0</v>
      </c>
      <c r="AF2747">
        <v>9</v>
      </c>
      <c r="AG2747" t="s">
        <v>158</v>
      </c>
      <c r="AH2747">
        <v>0</v>
      </c>
      <c r="AI2747">
        <v>3</v>
      </c>
      <c r="AJ2747">
        <v>1</v>
      </c>
      <c r="AK2747">
        <v>0</v>
      </c>
      <c r="AL2747" t="s">
        <v>5181</v>
      </c>
      <c r="AM2747">
        <v>46.970072000000002</v>
      </c>
      <c r="AN2747" t="s">
        <v>5182</v>
      </c>
      <c r="AO2747">
        <v>-123.38682900000001</v>
      </c>
      <c r="AP2747">
        <v>100</v>
      </c>
      <c r="AQ2747">
        <v>2000</v>
      </c>
      <c r="AR2747" t="s">
        <v>118</v>
      </c>
      <c r="AS2747">
        <v>-68</v>
      </c>
      <c r="AT2747">
        <v>35</v>
      </c>
      <c r="AU2747">
        <v>0</v>
      </c>
      <c r="BC2747">
        <v>1200</v>
      </c>
      <c r="BD2747">
        <v>1</v>
      </c>
      <c r="BE2747" t="str">
        <f t="shared" si="128"/>
        <v xml:space="preserve">N215T   </v>
      </c>
      <c r="BF2747">
        <v>1</v>
      </c>
      <c r="BH2747">
        <v>0</v>
      </c>
      <c r="BI2747">
        <v>0</v>
      </c>
      <c r="BJ2747">
        <v>0</v>
      </c>
      <c r="BK2747">
        <v>2375</v>
      </c>
      <c r="BL2747">
        <v>375</v>
      </c>
      <c r="BM2747" t="s">
        <v>119</v>
      </c>
      <c r="BN2747">
        <v>1</v>
      </c>
      <c r="BO2747">
        <v>1</v>
      </c>
      <c r="BP2747">
        <v>1</v>
      </c>
      <c r="BQ2747">
        <v>0</v>
      </c>
      <c r="BT2747">
        <v>0</v>
      </c>
      <c r="BU2747">
        <v>0</v>
      </c>
      <c r="BV2747">
        <v>0</v>
      </c>
      <c r="CC2747" t="str">
        <f>"19:20:40.078"</f>
        <v>19:20:40.078</v>
      </c>
      <c r="CD2747" t="str">
        <f>"077111323"</f>
        <v>077111323</v>
      </c>
      <c r="CQ2747">
        <v>0</v>
      </c>
      <c r="CR2747">
        <v>2</v>
      </c>
      <c r="CS2747">
        <v>0</v>
      </c>
      <c r="CT2747">
        <v>2</v>
      </c>
      <c r="CU2747">
        <v>0</v>
      </c>
      <c r="CV2747">
        <v>6</v>
      </c>
      <c r="CW2747" t="s">
        <v>120</v>
      </c>
      <c r="CX2747">
        <v>261</v>
      </c>
      <c r="CY2747">
        <v>2</v>
      </c>
      <c r="CZ2747" t="s">
        <v>121</v>
      </c>
      <c r="DA2747" t="s">
        <v>122</v>
      </c>
      <c r="DD2747">
        <v>15967473</v>
      </c>
      <c r="DE2747" t="s">
        <v>123</v>
      </c>
    </row>
    <row r="2748" spans="1:109" x14ac:dyDescent="0.3">
      <c r="A2748" t="str">
        <f>"19:20:41.422"</f>
        <v>19:20:41.422</v>
      </c>
      <c r="B2748" t="s">
        <v>110</v>
      </c>
      <c r="C2748" t="str">
        <f t="shared" si="126"/>
        <v>ffdfd3c0</v>
      </c>
      <c r="D2748" t="s">
        <v>111</v>
      </c>
      <c r="E2748">
        <v>18</v>
      </c>
      <c r="F2748">
        <v>1018</v>
      </c>
      <c r="G2748" t="s">
        <v>112</v>
      </c>
      <c r="J2748" t="s">
        <v>113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R2748" t="s">
        <v>114</v>
      </c>
      <c r="S2748" t="str">
        <f>"19:20:41.211"</f>
        <v>19:20:41.211</v>
      </c>
      <c r="T2748" t="str">
        <f>"19:20:40.914"</f>
        <v>19:20:40.914</v>
      </c>
      <c r="U2748" t="str">
        <f t="shared" si="127"/>
        <v>a1cdbe</v>
      </c>
      <c r="V2748">
        <v>0</v>
      </c>
      <c r="W2748">
        <v>0</v>
      </c>
      <c r="X2748">
        <v>1</v>
      </c>
      <c r="Y2748">
        <v>0</v>
      </c>
      <c r="Z2748">
        <v>0</v>
      </c>
      <c r="AB2748">
        <v>0</v>
      </c>
      <c r="AC2748">
        <v>9</v>
      </c>
      <c r="AD2748">
        <v>3</v>
      </c>
      <c r="AE2748">
        <v>0</v>
      </c>
      <c r="AF2748">
        <v>9</v>
      </c>
      <c r="AG2748" t="s">
        <v>158</v>
      </c>
      <c r="AH2748">
        <v>0</v>
      </c>
      <c r="AI2748">
        <v>3</v>
      </c>
      <c r="AJ2748">
        <v>1</v>
      </c>
      <c r="AK2748">
        <v>0</v>
      </c>
      <c r="AL2748" t="s">
        <v>5183</v>
      </c>
      <c r="AM2748">
        <v>46.970264999999998</v>
      </c>
      <c r="AN2748" t="s">
        <v>5184</v>
      </c>
      <c r="AO2748">
        <v>-123.387387</v>
      </c>
      <c r="AP2748">
        <v>100</v>
      </c>
      <c r="AQ2748">
        <v>2000</v>
      </c>
      <c r="AR2748" t="s">
        <v>118</v>
      </c>
      <c r="AS2748">
        <v>-68</v>
      </c>
      <c r="AT2748">
        <v>35</v>
      </c>
      <c r="AU2748">
        <v>0</v>
      </c>
      <c r="BC2748">
        <v>1200</v>
      </c>
      <c r="BD2748">
        <v>1</v>
      </c>
      <c r="BE2748" t="str">
        <f t="shared" si="128"/>
        <v xml:space="preserve">N215T   </v>
      </c>
      <c r="BF2748">
        <v>1</v>
      </c>
      <c r="BH2748">
        <v>0</v>
      </c>
      <c r="BI2748">
        <v>0</v>
      </c>
      <c r="BJ2748">
        <v>0</v>
      </c>
      <c r="BK2748">
        <v>2375</v>
      </c>
      <c r="BL2748">
        <v>375</v>
      </c>
      <c r="BM2748" t="s">
        <v>119</v>
      </c>
      <c r="BN2748">
        <v>1</v>
      </c>
      <c r="BO2748">
        <v>1</v>
      </c>
      <c r="BP2748">
        <v>1</v>
      </c>
      <c r="BQ2748">
        <v>0</v>
      </c>
      <c r="BT2748">
        <v>0</v>
      </c>
      <c r="BU2748">
        <v>0</v>
      </c>
      <c r="BV2748">
        <v>0</v>
      </c>
      <c r="CC2748" t="str">
        <f>"19:20:41.219"</f>
        <v>19:20:41.219</v>
      </c>
      <c r="CD2748" t="str">
        <f>"216999046"</f>
        <v>216999046</v>
      </c>
      <c r="CQ2748">
        <v>0</v>
      </c>
      <c r="CR2748">
        <v>2</v>
      </c>
      <c r="CS2748">
        <v>0</v>
      </c>
      <c r="CT2748">
        <v>2</v>
      </c>
      <c r="CU2748">
        <v>0</v>
      </c>
      <c r="CV2748">
        <v>6</v>
      </c>
      <c r="CW2748" t="s">
        <v>120</v>
      </c>
      <c r="CX2748">
        <v>261</v>
      </c>
      <c r="CY2748">
        <v>2</v>
      </c>
      <c r="CZ2748" t="s">
        <v>121</v>
      </c>
      <c r="DA2748" t="s">
        <v>122</v>
      </c>
      <c r="DD2748">
        <v>15968170</v>
      </c>
      <c r="DE2748" t="s">
        <v>123</v>
      </c>
    </row>
    <row r="2749" spans="1:109" x14ac:dyDescent="0.3">
      <c r="A2749" t="str">
        <f>"19:20:42.484"</f>
        <v>19:20:42.484</v>
      </c>
      <c r="B2749" t="s">
        <v>110</v>
      </c>
      <c r="C2749" t="str">
        <f t="shared" si="126"/>
        <v>ffdfd3c0</v>
      </c>
      <c r="D2749" t="s">
        <v>111</v>
      </c>
      <c r="E2749">
        <v>18</v>
      </c>
      <c r="F2749">
        <v>1018</v>
      </c>
      <c r="G2749" t="s">
        <v>112</v>
      </c>
      <c r="J2749" t="s">
        <v>113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R2749" t="s">
        <v>114</v>
      </c>
      <c r="S2749" t="str">
        <f>"19:20:42.234"</f>
        <v>19:20:42.234</v>
      </c>
      <c r="T2749" t="str">
        <f>"19:20:41.836"</f>
        <v>19:20:41.836</v>
      </c>
      <c r="U2749" t="str">
        <f t="shared" si="127"/>
        <v>a1cdbe</v>
      </c>
      <c r="V2749">
        <v>0</v>
      </c>
      <c r="W2749">
        <v>0</v>
      </c>
      <c r="X2749">
        <v>1</v>
      </c>
      <c r="Y2749">
        <v>0</v>
      </c>
      <c r="Z2749">
        <v>0</v>
      </c>
      <c r="AB2749">
        <v>0</v>
      </c>
      <c r="AC2749">
        <v>9</v>
      </c>
      <c r="AD2749">
        <v>3</v>
      </c>
      <c r="AE2749">
        <v>0</v>
      </c>
      <c r="AF2749">
        <v>9</v>
      </c>
      <c r="AG2749" t="s">
        <v>158</v>
      </c>
      <c r="AH2749">
        <v>0</v>
      </c>
      <c r="AI2749">
        <v>3</v>
      </c>
      <c r="AJ2749">
        <v>1</v>
      </c>
      <c r="AK2749">
        <v>0</v>
      </c>
      <c r="AL2749" t="s">
        <v>5185</v>
      </c>
      <c r="AM2749">
        <v>46.970458000000001</v>
      </c>
      <c r="AN2749" t="s">
        <v>5186</v>
      </c>
      <c r="AO2749">
        <v>-123.387794</v>
      </c>
      <c r="AP2749">
        <v>100</v>
      </c>
      <c r="AQ2749">
        <v>2000</v>
      </c>
      <c r="AR2749" t="s">
        <v>118</v>
      </c>
      <c r="AS2749">
        <v>-68</v>
      </c>
      <c r="AT2749">
        <v>34</v>
      </c>
      <c r="AU2749">
        <v>-64</v>
      </c>
      <c r="BC2749">
        <v>1200</v>
      </c>
      <c r="BD2749">
        <v>1</v>
      </c>
      <c r="BE2749" t="str">
        <f t="shared" si="128"/>
        <v xml:space="preserve">N215T   </v>
      </c>
      <c r="BF2749">
        <v>1</v>
      </c>
      <c r="BH2749">
        <v>0</v>
      </c>
      <c r="BI2749">
        <v>0</v>
      </c>
      <c r="BJ2749">
        <v>0</v>
      </c>
      <c r="BK2749">
        <v>2375</v>
      </c>
      <c r="BL2749">
        <v>375</v>
      </c>
      <c r="BM2749" t="s">
        <v>119</v>
      </c>
      <c r="BN2749">
        <v>1</v>
      </c>
      <c r="BO2749">
        <v>1</v>
      </c>
      <c r="BP2749">
        <v>1</v>
      </c>
      <c r="BQ2749">
        <v>0</v>
      </c>
      <c r="BT2749">
        <v>0</v>
      </c>
      <c r="BU2749">
        <v>0</v>
      </c>
      <c r="BV2749">
        <v>0</v>
      </c>
      <c r="CC2749" t="str">
        <f>"19:20:42.234"</f>
        <v>19:20:42.234</v>
      </c>
      <c r="CD2749" t="str">
        <f>"236898592"</f>
        <v>236898592</v>
      </c>
      <c r="CQ2749">
        <v>0</v>
      </c>
      <c r="CR2749">
        <v>2</v>
      </c>
      <c r="CS2749">
        <v>0</v>
      </c>
      <c r="CT2749">
        <v>2</v>
      </c>
      <c r="CU2749">
        <v>0</v>
      </c>
      <c r="CV2749">
        <v>6</v>
      </c>
      <c r="CW2749" t="s">
        <v>120</v>
      </c>
      <c r="CX2749">
        <v>261</v>
      </c>
      <c r="CY2749">
        <v>2</v>
      </c>
      <c r="CZ2749" t="s">
        <v>121</v>
      </c>
      <c r="DA2749" t="s">
        <v>122</v>
      </c>
      <c r="DD2749">
        <v>15968852</v>
      </c>
      <c r="DE2749" t="s">
        <v>123</v>
      </c>
    </row>
    <row r="2750" spans="1:109" x14ac:dyDescent="0.3">
      <c r="A2750" t="str">
        <f>"19:20:43.438"</f>
        <v>19:20:43.438</v>
      </c>
      <c r="B2750" t="s">
        <v>110</v>
      </c>
      <c r="C2750" t="str">
        <f t="shared" si="126"/>
        <v>ffdfd3c0</v>
      </c>
      <c r="D2750" t="s">
        <v>111</v>
      </c>
      <c r="E2750">
        <v>18</v>
      </c>
      <c r="F2750">
        <v>1018</v>
      </c>
      <c r="G2750" t="s">
        <v>112</v>
      </c>
      <c r="J2750" t="s">
        <v>113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R2750" t="s">
        <v>114</v>
      </c>
      <c r="S2750" t="str">
        <f>"19:20:43.195"</f>
        <v>19:20:43.195</v>
      </c>
      <c r="T2750" t="str">
        <f>"19:20:42.797"</f>
        <v>19:20:42.797</v>
      </c>
      <c r="U2750" t="str">
        <f t="shared" si="127"/>
        <v>a1cdbe</v>
      </c>
      <c r="V2750">
        <v>0</v>
      </c>
      <c r="W2750">
        <v>0</v>
      </c>
      <c r="X2750">
        <v>1</v>
      </c>
      <c r="Y2750">
        <v>0</v>
      </c>
      <c r="Z2750">
        <v>0</v>
      </c>
      <c r="AB2750">
        <v>0</v>
      </c>
      <c r="AC2750">
        <v>9</v>
      </c>
      <c r="AD2750">
        <v>3</v>
      </c>
      <c r="AE2750">
        <v>0</v>
      </c>
      <c r="AF2750">
        <v>9</v>
      </c>
      <c r="AG2750" t="s">
        <v>158</v>
      </c>
      <c r="AH2750">
        <v>0</v>
      </c>
      <c r="AI2750">
        <v>3</v>
      </c>
      <c r="AJ2750">
        <v>1</v>
      </c>
      <c r="AK2750">
        <v>0</v>
      </c>
      <c r="AL2750" t="s">
        <v>5187</v>
      </c>
      <c r="AM2750">
        <v>46.970587000000002</v>
      </c>
      <c r="AN2750" t="s">
        <v>5188</v>
      </c>
      <c r="AO2750">
        <v>-123.388267</v>
      </c>
      <c r="AP2750">
        <v>100</v>
      </c>
      <c r="AQ2750">
        <v>2000</v>
      </c>
      <c r="AR2750" t="s">
        <v>118</v>
      </c>
      <c r="AS2750">
        <v>-68</v>
      </c>
      <c r="AT2750">
        <v>34</v>
      </c>
      <c r="AU2750">
        <v>-64</v>
      </c>
      <c r="BC2750">
        <v>1200</v>
      </c>
      <c r="BD2750">
        <v>1</v>
      </c>
      <c r="BE2750" t="str">
        <f t="shared" si="128"/>
        <v xml:space="preserve">N215T   </v>
      </c>
      <c r="BF2750">
        <v>1</v>
      </c>
      <c r="BH2750">
        <v>0</v>
      </c>
      <c r="BI2750">
        <v>0</v>
      </c>
      <c r="BJ2750">
        <v>0</v>
      </c>
      <c r="BK2750">
        <v>2375</v>
      </c>
      <c r="BL2750">
        <v>375</v>
      </c>
      <c r="BM2750" t="s">
        <v>119</v>
      </c>
      <c r="BN2750">
        <v>1</v>
      </c>
      <c r="BO2750">
        <v>1</v>
      </c>
      <c r="BP2750">
        <v>1</v>
      </c>
      <c r="BQ2750">
        <v>0</v>
      </c>
      <c r="BT2750">
        <v>0</v>
      </c>
      <c r="BU2750">
        <v>0</v>
      </c>
      <c r="BV2750">
        <v>0</v>
      </c>
      <c r="CC2750" t="str">
        <f>"19:20:43.195"</f>
        <v>19:20:43.195</v>
      </c>
      <c r="CD2750" t="str">
        <f>"196804043"</f>
        <v>196804043</v>
      </c>
      <c r="CQ2750">
        <v>0</v>
      </c>
      <c r="CR2750">
        <v>2</v>
      </c>
      <c r="CS2750">
        <v>0</v>
      </c>
      <c r="CT2750">
        <v>2</v>
      </c>
      <c r="CU2750">
        <v>0</v>
      </c>
      <c r="CV2750">
        <v>6</v>
      </c>
      <c r="CW2750" t="s">
        <v>120</v>
      </c>
      <c r="CX2750">
        <v>261</v>
      </c>
      <c r="CY2750">
        <v>2</v>
      </c>
      <c r="CZ2750" t="s">
        <v>121</v>
      </c>
      <c r="DA2750" t="s">
        <v>122</v>
      </c>
      <c r="DD2750">
        <v>15969498</v>
      </c>
      <c r="DE2750" t="s">
        <v>123</v>
      </c>
    </row>
    <row r="2751" spans="1:109" x14ac:dyDescent="0.3">
      <c r="A2751" t="str">
        <f>"19:20:44.445"</f>
        <v>19:20:44.445</v>
      </c>
      <c r="B2751" t="s">
        <v>110</v>
      </c>
      <c r="C2751" t="str">
        <f t="shared" si="126"/>
        <v>ffdfd3c0</v>
      </c>
      <c r="D2751" t="s">
        <v>111</v>
      </c>
      <c r="E2751">
        <v>18</v>
      </c>
      <c r="F2751">
        <v>1018</v>
      </c>
      <c r="G2751" t="s">
        <v>112</v>
      </c>
      <c r="J2751" t="s">
        <v>113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R2751" t="s">
        <v>114</v>
      </c>
      <c r="S2751" t="str">
        <f>"19:20:44.195"</f>
        <v>19:20:44.195</v>
      </c>
      <c r="T2751" t="str">
        <f>"19:20:43.695"</f>
        <v>19:20:43.695</v>
      </c>
      <c r="U2751" t="str">
        <f t="shared" si="127"/>
        <v>a1cdbe</v>
      </c>
      <c r="V2751">
        <v>0</v>
      </c>
      <c r="W2751">
        <v>0</v>
      </c>
      <c r="X2751">
        <v>1</v>
      </c>
      <c r="Y2751">
        <v>0</v>
      </c>
      <c r="Z2751">
        <v>0</v>
      </c>
      <c r="AB2751">
        <v>0</v>
      </c>
      <c r="AC2751">
        <v>9</v>
      </c>
      <c r="AD2751">
        <v>3</v>
      </c>
      <c r="AE2751">
        <v>0</v>
      </c>
      <c r="AF2751">
        <v>9</v>
      </c>
      <c r="AG2751" t="s">
        <v>158</v>
      </c>
      <c r="AH2751">
        <v>0</v>
      </c>
      <c r="AI2751">
        <v>3</v>
      </c>
      <c r="AJ2751">
        <v>1</v>
      </c>
      <c r="AK2751">
        <v>0</v>
      </c>
      <c r="AL2751" t="s">
        <v>5189</v>
      </c>
      <c r="AM2751">
        <v>46.970737</v>
      </c>
      <c r="AN2751" t="s">
        <v>5190</v>
      </c>
      <c r="AO2751">
        <v>-123.388717</v>
      </c>
      <c r="AP2751">
        <v>100</v>
      </c>
      <c r="AQ2751">
        <v>2000</v>
      </c>
      <c r="AR2751" t="s">
        <v>118</v>
      </c>
      <c r="AS2751">
        <v>-69</v>
      </c>
      <c r="AT2751">
        <v>34</v>
      </c>
      <c r="AU2751">
        <v>-64</v>
      </c>
      <c r="BC2751">
        <v>1200</v>
      </c>
      <c r="BD2751">
        <v>1</v>
      </c>
      <c r="BE2751" t="str">
        <f t="shared" si="128"/>
        <v xml:space="preserve">N215T   </v>
      </c>
      <c r="BF2751">
        <v>1</v>
      </c>
      <c r="BH2751">
        <v>0</v>
      </c>
      <c r="BI2751">
        <v>0</v>
      </c>
      <c r="BJ2751">
        <v>0</v>
      </c>
      <c r="BK2751">
        <v>2375</v>
      </c>
      <c r="BL2751">
        <v>375</v>
      </c>
      <c r="BM2751" t="s">
        <v>119</v>
      </c>
      <c r="BN2751">
        <v>1</v>
      </c>
      <c r="BO2751">
        <v>1</v>
      </c>
      <c r="BP2751">
        <v>1</v>
      </c>
      <c r="BQ2751">
        <v>0</v>
      </c>
      <c r="BT2751">
        <v>0</v>
      </c>
      <c r="BU2751">
        <v>0</v>
      </c>
      <c r="BV2751">
        <v>0</v>
      </c>
      <c r="CC2751" t="str">
        <f>"19:20:44.203"</f>
        <v>19:20:44.203</v>
      </c>
      <c r="CD2751" t="str">
        <f>"201686199"</f>
        <v>201686199</v>
      </c>
      <c r="CQ2751">
        <v>0</v>
      </c>
      <c r="CR2751">
        <v>2</v>
      </c>
      <c r="CS2751">
        <v>0</v>
      </c>
      <c r="CT2751">
        <v>2</v>
      </c>
      <c r="CU2751">
        <v>0</v>
      </c>
      <c r="CV2751">
        <v>3</v>
      </c>
      <c r="CW2751" t="s">
        <v>120</v>
      </c>
      <c r="CX2751">
        <v>257</v>
      </c>
      <c r="CY2751">
        <v>0</v>
      </c>
      <c r="CZ2751" t="s">
        <v>615</v>
      </c>
      <c r="DA2751" t="s">
        <v>616</v>
      </c>
      <c r="DD2751">
        <v>16077915</v>
      </c>
      <c r="DE2751" t="s">
        <v>123</v>
      </c>
    </row>
    <row r="2752" spans="1:109" x14ac:dyDescent="0.3">
      <c r="A2752" t="str">
        <f>"19:20:45.406"</f>
        <v>19:20:45.406</v>
      </c>
      <c r="B2752" t="s">
        <v>110</v>
      </c>
      <c r="C2752" t="str">
        <f t="shared" si="126"/>
        <v>ffdfd3c0</v>
      </c>
      <c r="D2752" t="s">
        <v>111</v>
      </c>
      <c r="E2752">
        <v>18</v>
      </c>
      <c r="F2752">
        <v>1018</v>
      </c>
      <c r="G2752" t="s">
        <v>112</v>
      </c>
      <c r="J2752" t="s">
        <v>113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R2752" t="s">
        <v>114</v>
      </c>
      <c r="S2752" t="str">
        <f>"19:20:45.156"</f>
        <v>19:20:45.156</v>
      </c>
      <c r="T2752" t="str">
        <f>"19:20:44.859"</f>
        <v>19:20:44.859</v>
      </c>
      <c r="U2752" t="str">
        <f t="shared" si="127"/>
        <v>a1cdbe</v>
      </c>
      <c r="V2752">
        <v>0</v>
      </c>
      <c r="W2752">
        <v>0</v>
      </c>
      <c r="X2752">
        <v>1</v>
      </c>
      <c r="Y2752">
        <v>0</v>
      </c>
      <c r="Z2752">
        <v>0</v>
      </c>
      <c r="AB2752">
        <v>0</v>
      </c>
      <c r="AC2752">
        <v>9</v>
      </c>
      <c r="AD2752">
        <v>3</v>
      </c>
      <c r="AE2752">
        <v>0</v>
      </c>
      <c r="AF2752">
        <v>9</v>
      </c>
      <c r="AG2752" t="s">
        <v>158</v>
      </c>
      <c r="AH2752">
        <v>0</v>
      </c>
      <c r="AI2752">
        <v>3</v>
      </c>
      <c r="AJ2752">
        <v>1</v>
      </c>
      <c r="AK2752">
        <v>0</v>
      </c>
      <c r="AL2752" t="s">
        <v>5191</v>
      </c>
      <c r="AM2752">
        <v>46.970886999999998</v>
      </c>
      <c r="AN2752" t="s">
        <v>5192</v>
      </c>
      <c r="AO2752">
        <v>-123.389146</v>
      </c>
      <c r="AP2752">
        <v>100</v>
      </c>
      <c r="AQ2752">
        <v>2000</v>
      </c>
      <c r="AR2752" t="s">
        <v>118</v>
      </c>
      <c r="AS2752">
        <v>-69</v>
      </c>
      <c r="AT2752">
        <v>34</v>
      </c>
      <c r="AU2752">
        <v>-64</v>
      </c>
      <c r="BC2752">
        <v>1200</v>
      </c>
      <c r="BD2752">
        <v>1</v>
      </c>
      <c r="BE2752" t="str">
        <f t="shared" si="128"/>
        <v xml:space="preserve">N215T   </v>
      </c>
      <c r="BF2752">
        <v>1</v>
      </c>
      <c r="BH2752">
        <v>0</v>
      </c>
      <c r="BI2752">
        <v>0</v>
      </c>
      <c r="BJ2752">
        <v>0</v>
      </c>
      <c r="BK2752">
        <v>2375</v>
      </c>
      <c r="BL2752">
        <v>375</v>
      </c>
      <c r="BM2752" t="s">
        <v>119</v>
      </c>
      <c r="BN2752">
        <v>1</v>
      </c>
      <c r="BO2752">
        <v>1</v>
      </c>
      <c r="BP2752">
        <v>1</v>
      </c>
      <c r="BQ2752">
        <v>0</v>
      </c>
      <c r="BT2752">
        <v>0</v>
      </c>
      <c r="BU2752">
        <v>0</v>
      </c>
      <c r="BV2752">
        <v>0</v>
      </c>
      <c r="CC2752" t="str">
        <f>"19:20:45.164"</f>
        <v>19:20:45.164</v>
      </c>
      <c r="CD2752" t="str">
        <f>"161610516"</f>
        <v>161610516</v>
      </c>
      <c r="CQ2752">
        <v>0</v>
      </c>
      <c r="CR2752">
        <v>2</v>
      </c>
      <c r="CS2752">
        <v>0</v>
      </c>
      <c r="CT2752">
        <v>2</v>
      </c>
      <c r="CU2752">
        <v>0</v>
      </c>
      <c r="CV2752">
        <v>6</v>
      </c>
      <c r="CW2752" t="s">
        <v>120</v>
      </c>
      <c r="CX2752">
        <v>261</v>
      </c>
      <c r="CY2752">
        <v>2</v>
      </c>
      <c r="CZ2752" t="s">
        <v>121</v>
      </c>
      <c r="DA2752" t="s">
        <v>122</v>
      </c>
      <c r="DD2752">
        <v>15970721</v>
      </c>
      <c r="DE2752" t="s">
        <v>123</v>
      </c>
    </row>
    <row r="2753" spans="1:109" x14ac:dyDescent="0.3">
      <c r="A2753" t="str">
        <f>"19:20:46.555"</f>
        <v>19:20:46.555</v>
      </c>
      <c r="B2753" t="s">
        <v>110</v>
      </c>
      <c r="C2753" t="str">
        <f t="shared" si="126"/>
        <v>ffdfd3c0</v>
      </c>
      <c r="D2753" t="s">
        <v>111</v>
      </c>
      <c r="E2753">
        <v>18</v>
      </c>
      <c r="F2753">
        <v>1018</v>
      </c>
      <c r="G2753" t="s">
        <v>112</v>
      </c>
      <c r="J2753" t="s">
        <v>113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R2753" t="s">
        <v>114</v>
      </c>
      <c r="S2753" t="str">
        <f>"19:20:46.297"</f>
        <v>19:20:46.297</v>
      </c>
      <c r="T2753" t="str">
        <f>"19:20:45.898"</f>
        <v>19:20:45.898</v>
      </c>
      <c r="U2753" t="str">
        <f t="shared" si="127"/>
        <v>a1cdbe</v>
      </c>
      <c r="V2753">
        <v>0</v>
      </c>
      <c r="W2753">
        <v>0</v>
      </c>
      <c r="X2753">
        <v>1</v>
      </c>
      <c r="Y2753">
        <v>0</v>
      </c>
      <c r="Z2753">
        <v>0</v>
      </c>
      <c r="AB2753">
        <v>0</v>
      </c>
      <c r="AC2753">
        <v>9</v>
      </c>
      <c r="AD2753">
        <v>3</v>
      </c>
      <c r="AE2753">
        <v>0</v>
      </c>
      <c r="AF2753">
        <v>9</v>
      </c>
      <c r="AG2753" t="s">
        <v>158</v>
      </c>
      <c r="AH2753">
        <v>0</v>
      </c>
      <c r="AI2753">
        <v>3</v>
      </c>
      <c r="AJ2753">
        <v>1</v>
      </c>
      <c r="AK2753">
        <v>0</v>
      </c>
      <c r="AL2753" t="s">
        <v>981</v>
      </c>
      <c r="AM2753">
        <v>46.971058999999997</v>
      </c>
      <c r="AN2753" t="s">
        <v>5193</v>
      </c>
      <c r="AO2753">
        <v>-123.38970399999999</v>
      </c>
      <c r="AP2753">
        <v>100</v>
      </c>
      <c r="AQ2753">
        <v>2000</v>
      </c>
      <c r="AR2753" t="s">
        <v>118</v>
      </c>
      <c r="AS2753">
        <v>-69</v>
      </c>
      <c r="AT2753">
        <v>34</v>
      </c>
      <c r="AU2753">
        <v>-64</v>
      </c>
      <c r="BC2753">
        <v>1200</v>
      </c>
      <c r="BD2753">
        <v>1</v>
      </c>
      <c r="BE2753" t="str">
        <f t="shared" si="128"/>
        <v xml:space="preserve">N215T   </v>
      </c>
      <c r="BF2753">
        <v>1</v>
      </c>
      <c r="BH2753">
        <v>0</v>
      </c>
      <c r="BI2753">
        <v>0</v>
      </c>
      <c r="BJ2753">
        <v>0</v>
      </c>
      <c r="BK2753">
        <v>2375</v>
      </c>
      <c r="BL2753">
        <v>375</v>
      </c>
      <c r="BM2753" t="s">
        <v>119</v>
      </c>
      <c r="BN2753">
        <v>1</v>
      </c>
      <c r="BO2753">
        <v>1</v>
      </c>
      <c r="BP2753">
        <v>1</v>
      </c>
      <c r="BQ2753">
        <v>0</v>
      </c>
      <c r="BT2753">
        <v>0</v>
      </c>
      <c r="BU2753">
        <v>0</v>
      </c>
      <c r="BV2753">
        <v>0</v>
      </c>
      <c r="CC2753" t="str">
        <f>"19:20:46.305"</f>
        <v>19:20:46.305</v>
      </c>
      <c r="CD2753" t="str">
        <f>"301498250"</f>
        <v>301498250</v>
      </c>
      <c r="CQ2753">
        <v>0</v>
      </c>
      <c r="CR2753">
        <v>2</v>
      </c>
      <c r="CS2753">
        <v>0</v>
      </c>
      <c r="CT2753">
        <v>2</v>
      </c>
      <c r="CU2753">
        <v>0</v>
      </c>
      <c r="CV2753">
        <v>6</v>
      </c>
      <c r="CW2753" t="s">
        <v>120</v>
      </c>
      <c r="CX2753">
        <v>261</v>
      </c>
      <c r="CY2753">
        <v>2</v>
      </c>
      <c r="CZ2753" t="s">
        <v>121</v>
      </c>
      <c r="DA2753" t="s">
        <v>122</v>
      </c>
      <c r="DD2753">
        <v>15971406</v>
      </c>
      <c r="DE2753" t="s">
        <v>123</v>
      </c>
    </row>
    <row r="2754" spans="1:109" x14ac:dyDescent="0.3">
      <c r="A2754" t="str">
        <f>"19:20:47.563"</f>
        <v>19:20:47.563</v>
      </c>
      <c r="B2754" t="s">
        <v>110</v>
      </c>
      <c r="C2754" t="str">
        <f t="shared" ref="C2754:C2817" si="129">"ffdfd3c0"</f>
        <v>ffdfd3c0</v>
      </c>
      <c r="D2754" t="s">
        <v>111</v>
      </c>
      <c r="E2754">
        <v>18</v>
      </c>
      <c r="F2754">
        <v>1018</v>
      </c>
      <c r="G2754" t="s">
        <v>112</v>
      </c>
      <c r="J2754" t="s">
        <v>113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R2754" t="s">
        <v>114</v>
      </c>
      <c r="S2754" t="str">
        <f>"19:20:47.320"</f>
        <v>19:20:47.320</v>
      </c>
      <c r="T2754" t="str">
        <f>"19:20:47.023"</f>
        <v>19:20:47.023</v>
      </c>
      <c r="U2754" t="str">
        <f t="shared" ref="U2754:U2817" si="130">"a1cdbe"</f>
        <v>a1cdbe</v>
      </c>
      <c r="V2754">
        <v>0</v>
      </c>
      <c r="W2754">
        <v>0</v>
      </c>
      <c r="X2754">
        <v>1</v>
      </c>
      <c r="Y2754">
        <v>0</v>
      </c>
      <c r="Z2754">
        <v>0</v>
      </c>
      <c r="AB2754">
        <v>0</v>
      </c>
      <c r="AC2754">
        <v>9</v>
      </c>
      <c r="AD2754">
        <v>3</v>
      </c>
      <c r="AE2754">
        <v>0</v>
      </c>
      <c r="AF2754">
        <v>9</v>
      </c>
      <c r="AG2754" t="s">
        <v>158</v>
      </c>
      <c r="AH2754">
        <v>0</v>
      </c>
      <c r="AI2754">
        <v>3</v>
      </c>
      <c r="AJ2754">
        <v>1</v>
      </c>
      <c r="AK2754">
        <v>0</v>
      </c>
      <c r="AL2754" t="s">
        <v>5194</v>
      </c>
      <c r="AM2754">
        <v>46.971272999999997</v>
      </c>
      <c r="AN2754" t="s">
        <v>5195</v>
      </c>
      <c r="AO2754">
        <v>-123.390198</v>
      </c>
      <c r="AP2754">
        <v>100</v>
      </c>
      <c r="AQ2754">
        <v>2000</v>
      </c>
      <c r="AR2754" t="s">
        <v>118</v>
      </c>
      <c r="AS2754">
        <v>-69</v>
      </c>
      <c r="AT2754">
        <v>34</v>
      </c>
      <c r="AU2754">
        <v>-64</v>
      </c>
      <c r="BC2754">
        <v>1200</v>
      </c>
      <c r="BD2754">
        <v>1</v>
      </c>
      <c r="BE2754" t="str">
        <f t="shared" ref="BE2754:BE2817" si="131">"N215T   "</f>
        <v xml:space="preserve">N215T   </v>
      </c>
      <c r="BF2754">
        <v>1</v>
      </c>
      <c r="BH2754">
        <v>0</v>
      </c>
      <c r="BI2754">
        <v>0</v>
      </c>
      <c r="BJ2754">
        <v>0</v>
      </c>
      <c r="BK2754">
        <v>2400</v>
      </c>
      <c r="BL2754">
        <v>400</v>
      </c>
      <c r="BM2754" t="s">
        <v>119</v>
      </c>
      <c r="BN2754">
        <v>1</v>
      </c>
      <c r="BO2754">
        <v>1</v>
      </c>
      <c r="BP2754">
        <v>1</v>
      </c>
      <c r="BQ2754">
        <v>0</v>
      </c>
      <c r="BT2754">
        <v>0</v>
      </c>
      <c r="BU2754">
        <v>0</v>
      </c>
      <c r="BV2754">
        <v>0</v>
      </c>
      <c r="CC2754" t="str">
        <f>"19:20:47.320"</f>
        <v>19:20:47.320</v>
      </c>
      <c r="CD2754" t="str">
        <f>"321397801"</f>
        <v>321397801</v>
      </c>
      <c r="CQ2754">
        <v>0</v>
      </c>
      <c r="CR2754">
        <v>2</v>
      </c>
      <c r="CS2754">
        <v>0</v>
      </c>
      <c r="CT2754">
        <v>2</v>
      </c>
      <c r="CU2754">
        <v>0</v>
      </c>
      <c r="CV2754">
        <v>5</v>
      </c>
      <c r="CW2754" t="s">
        <v>120</v>
      </c>
      <c r="CX2754">
        <v>261</v>
      </c>
      <c r="CY2754">
        <v>3</v>
      </c>
      <c r="CZ2754" t="s">
        <v>121</v>
      </c>
      <c r="DA2754" t="s">
        <v>122</v>
      </c>
      <c r="DD2754">
        <v>3853588</v>
      </c>
      <c r="DE2754" t="s">
        <v>123</v>
      </c>
    </row>
    <row r="2755" spans="1:109" x14ac:dyDescent="0.3">
      <c r="A2755" t="str">
        <f>"19:20:48.516"</f>
        <v>19:20:48.516</v>
      </c>
      <c r="B2755" t="s">
        <v>110</v>
      </c>
      <c r="C2755" t="str">
        <f t="shared" si="129"/>
        <v>ffdfd3c0</v>
      </c>
      <c r="D2755" t="s">
        <v>111</v>
      </c>
      <c r="E2755">
        <v>18</v>
      </c>
      <c r="F2755">
        <v>1018</v>
      </c>
      <c r="G2755" t="s">
        <v>112</v>
      </c>
      <c r="J2755" t="s">
        <v>113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R2755" t="s">
        <v>114</v>
      </c>
      <c r="S2755" t="str">
        <f>"19:20:48.305"</f>
        <v>19:20:48.305</v>
      </c>
      <c r="T2755" t="str">
        <f>"19:20:47.906"</f>
        <v>19:20:47.906</v>
      </c>
      <c r="U2755" t="str">
        <f t="shared" si="130"/>
        <v>a1cdbe</v>
      </c>
      <c r="V2755">
        <v>0</v>
      </c>
      <c r="W2755">
        <v>0</v>
      </c>
      <c r="X2755">
        <v>1</v>
      </c>
      <c r="Y2755">
        <v>0</v>
      </c>
      <c r="Z2755">
        <v>0</v>
      </c>
      <c r="AB2755">
        <v>0</v>
      </c>
      <c r="AC2755">
        <v>9</v>
      </c>
      <c r="AD2755">
        <v>3</v>
      </c>
      <c r="AE2755">
        <v>0</v>
      </c>
      <c r="AF2755">
        <v>9</v>
      </c>
      <c r="AG2755" t="s">
        <v>158</v>
      </c>
      <c r="AH2755">
        <v>0</v>
      </c>
      <c r="AI2755">
        <v>3</v>
      </c>
      <c r="AJ2755">
        <v>1</v>
      </c>
      <c r="AK2755">
        <v>0</v>
      </c>
      <c r="AL2755" t="s">
        <v>979</v>
      </c>
      <c r="AM2755">
        <v>46.971401999999998</v>
      </c>
      <c r="AN2755" t="s">
        <v>5196</v>
      </c>
      <c r="AO2755">
        <v>-123.39062699999999</v>
      </c>
      <c r="AP2755">
        <v>100</v>
      </c>
      <c r="AQ2755">
        <v>2000</v>
      </c>
      <c r="AR2755" t="s">
        <v>118</v>
      </c>
      <c r="AS2755">
        <v>-69</v>
      </c>
      <c r="AT2755">
        <v>34</v>
      </c>
      <c r="AU2755">
        <v>-64</v>
      </c>
      <c r="BC2755">
        <v>1200</v>
      </c>
      <c r="BD2755">
        <v>1</v>
      </c>
      <c r="BE2755" t="str">
        <f t="shared" si="131"/>
        <v xml:space="preserve">N215T   </v>
      </c>
      <c r="BF2755">
        <v>1</v>
      </c>
      <c r="BH2755">
        <v>0</v>
      </c>
      <c r="BI2755">
        <v>0</v>
      </c>
      <c r="BJ2755">
        <v>0</v>
      </c>
      <c r="BK2755">
        <v>2375</v>
      </c>
      <c r="BL2755">
        <v>375</v>
      </c>
      <c r="BM2755" t="s">
        <v>119</v>
      </c>
      <c r="BN2755">
        <v>1</v>
      </c>
      <c r="BO2755">
        <v>1</v>
      </c>
      <c r="BP2755">
        <v>1</v>
      </c>
      <c r="BQ2755">
        <v>0</v>
      </c>
      <c r="BT2755">
        <v>0</v>
      </c>
      <c r="BU2755">
        <v>0</v>
      </c>
      <c r="BV2755">
        <v>0</v>
      </c>
      <c r="CC2755" t="str">
        <f>"19:20:48.313"</f>
        <v>19:20:48.313</v>
      </c>
      <c r="CD2755" t="str">
        <f>"311300292"</f>
        <v>311300292</v>
      </c>
      <c r="CQ2755">
        <v>0</v>
      </c>
      <c r="CR2755">
        <v>2</v>
      </c>
      <c r="CS2755">
        <v>0</v>
      </c>
      <c r="CT2755">
        <v>2</v>
      </c>
      <c r="CU2755">
        <v>0</v>
      </c>
      <c r="CV2755">
        <v>6</v>
      </c>
      <c r="CW2755" t="s">
        <v>120</v>
      </c>
      <c r="CX2755">
        <v>261</v>
      </c>
      <c r="CY2755">
        <v>2</v>
      </c>
      <c r="CZ2755" t="s">
        <v>121</v>
      </c>
      <c r="DA2755" t="s">
        <v>122</v>
      </c>
      <c r="DD2755">
        <v>15972738</v>
      </c>
      <c r="DE2755" t="s">
        <v>123</v>
      </c>
    </row>
    <row r="2756" spans="1:109" x14ac:dyDescent="0.3">
      <c r="A2756" t="str">
        <f>"19:20:49.523"</f>
        <v>19:20:49.523</v>
      </c>
      <c r="B2756" t="s">
        <v>110</v>
      </c>
      <c r="C2756" t="str">
        <f t="shared" si="129"/>
        <v>ffdfd3c0</v>
      </c>
      <c r="D2756" t="s">
        <v>111</v>
      </c>
      <c r="E2756">
        <v>18</v>
      </c>
      <c r="F2756">
        <v>1018</v>
      </c>
      <c r="G2756" t="s">
        <v>112</v>
      </c>
      <c r="J2756" t="s">
        <v>113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R2756" t="s">
        <v>114</v>
      </c>
      <c r="S2756" t="str">
        <f>"19:20:49.328"</f>
        <v>19:20:49.328</v>
      </c>
      <c r="T2756" t="str">
        <f>"19:20:49.328"</f>
        <v>19:20:49.328</v>
      </c>
      <c r="U2756" t="str">
        <f t="shared" si="130"/>
        <v>a1cdbe</v>
      </c>
      <c r="V2756">
        <v>0</v>
      </c>
      <c r="W2756">
        <v>0</v>
      </c>
      <c r="X2756">
        <v>1</v>
      </c>
      <c r="Y2756">
        <v>0</v>
      </c>
      <c r="Z2756">
        <v>0</v>
      </c>
      <c r="AB2756">
        <v>0</v>
      </c>
      <c r="AC2756">
        <v>9</v>
      </c>
      <c r="AD2756">
        <v>3</v>
      </c>
      <c r="AE2756">
        <v>0</v>
      </c>
      <c r="AF2756">
        <v>9</v>
      </c>
      <c r="AG2756" t="s">
        <v>158</v>
      </c>
      <c r="AH2756">
        <v>0</v>
      </c>
      <c r="AI2756">
        <v>3</v>
      </c>
      <c r="AJ2756">
        <v>1</v>
      </c>
      <c r="AK2756">
        <v>0</v>
      </c>
      <c r="AL2756" t="s">
        <v>5197</v>
      </c>
      <c r="AM2756">
        <v>46.971552000000003</v>
      </c>
      <c r="AN2756" t="s">
        <v>5198</v>
      </c>
      <c r="AO2756">
        <v>-123.39116300000001</v>
      </c>
      <c r="AP2756">
        <v>100</v>
      </c>
      <c r="AQ2756">
        <v>2000</v>
      </c>
      <c r="AR2756" t="s">
        <v>118</v>
      </c>
      <c r="AS2756">
        <v>-69</v>
      </c>
      <c r="AT2756">
        <v>34</v>
      </c>
      <c r="AU2756">
        <v>-64</v>
      </c>
      <c r="BC2756">
        <v>1200</v>
      </c>
      <c r="BD2756">
        <v>1</v>
      </c>
      <c r="BE2756" t="str">
        <f t="shared" si="131"/>
        <v xml:space="preserve">N215T   </v>
      </c>
      <c r="BF2756">
        <v>1</v>
      </c>
      <c r="BH2756">
        <v>0</v>
      </c>
      <c r="BI2756">
        <v>0</v>
      </c>
      <c r="BJ2756">
        <v>0</v>
      </c>
      <c r="BK2756">
        <v>2375</v>
      </c>
      <c r="BL2756">
        <v>375</v>
      </c>
      <c r="BM2756" t="s">
        <v>119</v>
      </c>
      <c r="BN2756">
        <v>1</v>
      </c>
      <c r="BO2756">
        <v>1</v>
      </c>
      <c r="BP2756">
        <v>1</v>
      </c>
      <c r="BQ2756">
        <v>0</v>
      </c>
      <c r="BT2756">
        <v>0</v>
      </c>
      <c r="BU2756">
        <v>0</v>
      </c>
      <c r="BV2756">
        <v>0</v>
      </c>
      <c r="CC2756" t="str">
        <f>"19:20:49.328"</f>
        <v>19:20:49.328</v>
      </c>
      <c r="CD2756" t="str">
        <f>"331199834"</f>
        <v>331199834</v>
      </c>
      <c r="CQ2756">
        <v>0</v>
      </c>
      <c r="CR2756">
        <v>2</v>
      </c>
      <c r="CS2756">
        <v>0</v>
      </c>
      <c r="CT2756">
        <v>2</v>
      </c>
      <c r="CU2756">
        <v>0</v>
      </c>
      <c r="CV2756">
        <v>6</v>
      </c>
      <c r="CW2756" t="s">
        <v>120</v>
      </c>
      <c r="CX2756">
        <v>261</v>
      </c>
      <c r="CY2756">
        <v>2</v>
      </c>
      <c r="CZ2756" t="s">
        <v>121</v>
      </c>
      <c r="DA2756" t="s">
        <v>122</v>
      </c>
      <c r="DD2756">
        <v>15973337</v>
      </c>
      <c r="DE2756" t="s">
        <v>123</v>
      </c>
    </row>
    <row r="2757" spans="1:109" x14ac:dyDescent="0.3">
      <c r="A2757" t="str">
        <f>"19:20:50.625"</f>
        <v>19:20:50.625</v>
      </c>
      <c r="B2757" t="s">
        <v>110</v>
      </c>
      <c r="C2757" t="str">
        <f t="shared" si="129"/>
        <v>ffdfd3c0</v>
      </c>
      <c r="D2757" t="s">
        <v>111</v>
      </c>
      <c r="E2757">
        <v>18</v>
      </c>
      <c r="F2757">
        <v>1018</v>
      </c>
      <c r="G2757" t="s">
        <v>112</v>
      </c>
      <c r="J2757" t="s">
        <v>113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R2757" t="s">
        <v>114</v>
      </c>
      <c r="S2757" t="str">
        <f>"19:20:50.406"</f>
        <v>19:20:50.406</v>
      </c>
      <c r="T2757" t="str">
        <f>"19:20:50.406"</f>
        <v>19:20:50.406</v>
      </c>
      <c r="U2757" t="str">
        <f t="shared" si="130"/>
        <v>a1cdbe</v>
      </c>
      <c r="V2757">
        <v>0</v>
      </c>
      <c r="W2757">
        <v>0</v>
      </c>
      <c r="X2757">
        <v>1</v>
      </c>
      <c r="Y2757">
        <v>0</v>
      </c>
      <c r="Z2757">
        <v>0</v>
      </c>
      <c r="AB2757">
        <v>0</v>
      </c>
      <c r="AC2757">
        <v>9</v>
      </c>
      <c r="AD2757">
        <v>3</v>
      </c>
      <c r="AE2757">
        <v>0</v>
      </c>
      <c r="AF2757">
        <v>9</v>
      </c>
      <c r="AG2757" t="s">
        <v>158</v>
      </c>
      <c r="AH2757">
        <v>0</v>
      </c>
      <c r="AI2757">
        <v>3</v>
      </c>
      <c r="AJ2757">
        <v>1</v>
      </c>
      <c r="AK2757">
        <v>0</v>
      </c>
      <c r="AL2757" t="s">
        <v>5199</v>
      </c>
      <c r="AM2757">
        <v>46.971724000000002</v>
      </c>
      <c r="AN2757" t="s">
        <v>5200</v>
      </c>
      <c r="AO2757">
        <v>-123.39163499999999</v>
      </c>
      <c r="AP2757">
        <v>100</v>
      </c>
      <c r="AQ2757">
        <v>2000</v>
      </c>
      <c r="AR2757" t="s">
        <v>118</v>
      </c>
      <c r="AS2757">
        <v>-70</v>
      </c>
      <c r="AT2757">
        <v>33</v>
      </c>
      <c r="AU2757">
        <v>-64</v>
      </c>
      <c r="BC2757">
        <v>1200</v>
      </c>
      <c r="BD2757">
        <v>1</v>
      </c>
      <c r="BE2757" t="str">
        <f t="shared" si="131"/>
        <v xml:space="preserve">N215T   </v>
      </c>
      <c r="BF2757">
        <v>1</v>
      </c>
      <c r="BH2757">
        <v>0</v>
      </c>
      <c r="BI2757">
        <v>0</v>
      </c>
      <c r="BJ2757">
        <v>0</v>
      </c>
      <c r="BK2757">
        <v>2375</v>
      </c>
      <c r="BL2757">
        <v>375</v>
      </c>
      <c r="BM2757" t="s">
        <v>119</v>
      </c>
      <c r="BN2757">
        <v>1</v>
      </c>
      <c r="BO2757">
        <v>1</v>
      </c>
      <c r="BP2757">
        <v>1</v>
      </c>
      <c r="BQ2757">
        <v>0</v>
      </c>
      <c r="BT2757">
        <v>0</v>
      </c>
      <c r="BU2757">
        <v>0</v>
      </c>
      <c r="BV2757">
        <v>0</v>
      </c>
      <c r="CC2757" t="str">
        <f>"19:20:50.414"</f>
        <v>19:20:50.414</v>
      </c>
      <c r="CD2757" t="str">
        <f>"411093460"</f>
        <v>411093460</v>
      </c>
      <c r="CQ2757">
        <v>0</v>
      </c>
      <c r="CR2757">
        <v>2</v>
      </c>
      <c r="CS2757">
        <v>0</v>
      </c>
      <c r="CT2757">
        <v>2</v>
      </c>
      <c r="CU2757">
        <v>0</v>
      </c>
      <c r="CV2757">
        <v>6</v>
      </c>
      <c r="CW2757" t="s">
        <v>120</v>
      </c>
      <c r="CX2757">
        <v>261</v>
      </c>
      <c r="CY2757">
        <v>2</v>
      </c>
      <c r="CZ2757" t="s">
        <v>121</v>
      </c>
      <c r="DA2757" t="s">
        <v>122</v>
      </c>
      <c r="DD2757">
        <v>15974006</v>
      </c>
      <c r="DE2757" t="s">
        <v>123</v>
      </c>
    </row>
    <row r="2758" spans="1:109" x14ac:dyDescent="0.3">
      <c r="A2758" t="str">
        <f>"19:20:51.531"</f>
        <v>19:20:51.531</v>
      </c>
      <c r="B2758" t="s">
        <v>110</v>
      </c>
      <c r="C2758" t="str">
        <f t="shared" si="129"/>
        <v>ffdfd3c0</v>
      </c>
      <c r="D2758" t="s">
        <v>111</v>
      </c>
      <c r="E2758">
        <v>18</v>
      </c>
      <c r="F2758">
        <v>1018</v>
      </c>
      <c r="G2758" t="s">
        <v>112</v>
      </c>
      <c r="J2758" t="s">
        <v>113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R2758" t="s">
        <v>114</v>
      </c>
      <c r="S2758" t="str">
        <f>"19:20:51.273"</f>
        <v>19:20:51.273</v>
      </c>
      <c r="T2758" t="str">
        <f>"19:20:50.875"</f>
        <v>19:20:50.875</v>
      </c>
      <c r="U2758" t="str">
        <f t="shared" si="130"/>
        <v>a1cdbe</v>
      </c>
      <c r="V2758">
        <v>0</v>
      </c>
      <c r="W2758">
        <v>0</v>
      </c>
      <c r="X2758">
        <v>1</v>
      </c>
      <c r="Y2758">
        <v>0</v>
      </c>
      <c r="Z2758">
        <v>0</v>
      </c>
      <c r="AB2758">
        <v>0</v>
      </c>
      <c r="AC2758">
        <v>9</v>
      </c>
      <c r="AD2758">
        <v>3</v>
      </c>
      <c r="AE2758">
        <v>0</v>
      </c>
      <c r="AF2758">
        <v>9</v>
      </c>
      <c r="AG2758" t="s">
        <v>158</v>
      </c>
      <c r="AH2758">
        <v>0</v>
      </c>
      <c r="AI2758">
        <v>3</v>
      </c>
      <c r="AJ2758">
        <v>1</v>
      </c>
      <c r="AK2758">
        <v>0</v>
      </c>
      <c r="AL2758" t="s">
        <v>5201</v>
      </c>
      <c r="AM2758">
        <v>46.971853000000003</v>
      </c>
      <c r="AN2758" t="s">
        <v>5202</v>
      </c>
      <c r="AO2758">
        <v>-123.392043</v>
      </c>
      <c r="AP2758">
        <v>100</v>
      </c>
      <c r="AQ2758">
        <v>2000</v>
      </c>
      <c r="AR2758" t="s">
        <v>118</v>
      </c>
      <c r="AS2758">
        <v>-70</v>
      </c>
      <c r="AT2758">
        <v>33</v>
      </c>
      <c r="AU2758">
        <v>-64</v>
      </c>
      <c r="BC2758">
        <v>1200</v>
      </c>
      <c r="BD2758">
        <v>1</v>
      </c>
      <c r="BE2758" t="str">
        <f t="shared" si="131"/>
        <v xml:space="preserve">N215T   </v>
      </c>
      <c r="BF2758">
        <v>1</v>
      </c>
      <c r="BH2758">
        <v>0</v>
      </c>
      <c r="BI2758">
        <v>0</v>
      </c>
      <c r="BJ2758">
        <v>0</v>
      </c>
      <c r="BK2758">
        <v>2375</v>
      </c>
      <c r="BL2758">
        <v>375</v>
      </c>
      <c r="BM2758" t="s">
        <v>119</v>
      </c>
      <c r="BN2758">
        <v>1</v>
      </c>
      <c r="BO2758">
        <v>1</v>
      </c>
      <c r="BP2758">
        <v>1</v>
      </c>
      <c r="BQ2758">
        <v>0</v>
      </c>
      <c r="BT2758">
        <v>0</v>
      </c>
      <c r="BU2758">
        <v>0</v>
      </c>
      <c r="BV2758">
        <v>0</v>
      </c>
      <c r="CC2758" t="str">
        <f>"19:20:51.281"</f>
        <v>19:20:51.281</v>
      </c>
      <c r="CD2758" t="str">
        <f>"281007790"</f>
        <v>281007790</v>
      </c>
      <c r="CQ2758">
        <v>0</v>
      </c>
      <c r="CR2758">
        <v>2</v>
      </c>
      <c r="CS2758">
        <v>0</v>
      </c>
      <c r="CT2758">
        <v>2</v>
      </c>
      <c r="CU2758">
        <v>0</v>
      </c>
      <c r="CV2758">
        <v>6</v>
      </c>
      <c r="CW2758" t="s">
        <v>120</v>
      </c>
      <c r="CX2758">
        <v>261</v>
      </c>
      <c r="CY2758">
        <v>2</v>
      </c>
      <c r="CZ2758" t="s">
        <v>121</v>
      </c>
      <c r="DA2758" t="s">
        <v>122</v>
      </c>
      <c r="DD2758">
        <v>15974604</v>
      </c>
      <c r="DE2758" t="s">
        <v>123</v>
      </c>
    </row>
    <row r="2759" spans="1:109" x14ac:dyDescent="0.3">
      <c r="A2759" t="str">
        <f>"19:20:52.383"</f>
        <v>19:20:52.383</v>
      </c>
      <c r="B2759" t="s">
        <v>110</v>
      </c>
      <c r="C2759" t="str">
        <f t="shared" si="129"/>
        <v>ffdfd3c0</v>
      </c>
      <c r="D2759" t="s">
        <v>111</v>
      </c>
      <c r="E2759">
        <v>18</v>
      </c>
      <c r="F2759">
        <v>1018</v>
      </c>
      <c r="G2759" t="s">
        <v>112</v>
      </c>
      <c r="J2759" t="s">
        <v>113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R2759" t="s">
        <v>114</v>
      </c>
      <c r="S2759" t="str">
        <f>"19:20:52.148"</f>
        <v>19:20:52.148</v>
      </c>
      <c r="T2759" t="str">
        <f>"19:20:51.852"</f>
        <v>19:20:51.852</v>
      </c>
      <c r="U2759" t="str">
        <f t="shared" si="130"/>
        <v>a1cdbe</v>
      </c>
      <c r="V2759">
        <v>0</v>
      </c>
      <c r="W2759">
        <v>0</v>
      </c>
      <c r="X2759">
        <v>1</v>
      </c>
      <c r="Y2759">
        <v>0</v>
      </c>
      <c r="Z2759">
        <v>0</v>
      </c>
      <c r="AB2759">
        <v>0</v>
      </c>
      <c r="AC2759">
        <v>9</v>
      </c>
      <c r="AD2759">
        <v>3</v>
      </c>
      <c r="AE2759">
        <v>0</v>
      </c>
      <c r="AF2759">
        <v>9</v>
      </c>
      <c r="AG2759" t="s">
        <v>158</v>
      </c>
      <c r="AH2759">
        <v>0</v>
      </c>
      <c r="AI2759">
        <v>3</v>
      </c>
      <c r="AJ2759">
        <v>1</v>
      </c>
      <c r="AK2759">
        <v>0</v>
      </c>
      <c r="AL2759" t="s">
        <v>5203</v>
      </c>
      <c r="AM2759">
        <v>46.972003000000001</v>
      </c>
      <c r="AN2759" t="s">
        <v>5204</v>
      </c>
      <c r="AO2759">
        <v>-123.392472</v>
      </c>
      <c r="AP2759">
        <v>100</v>
      </c>
      <c r="AQ2759">
        <v>2000</v>
      </c>
      <c r="AR2759" t="s">
        <v>118</v>
      </c>
      <c r="AS2759">
        <v>-70</v>
      </c>
      <c r="AT2759">
        <v>33</v>
      </c>
      <c r="AU2759">
        <v>0</v>
      </c>
      <c r="BC2759">
        <v>1200</v>
      </c>
      <c r="BD2759">
        <v>1</v>
      </c>
      <c r="BE2759" t="str">
        <f t="shared" si="131"/>
        <v xml:space="preserve">N215T   </v>
      </c>
      <c r="BF2759">
        <v>1</v>
      </c>
      <c r="BH2759">
        <v>0</v>
      </c>
      <c r="BI2759">
        <v>0</v>
      </c>
      <c r="BJ2759">
        <v>0</v>
      </c>
      <c r="BK2759">
        <v>2375</v>
      </c>
      <c r="BL2759">
        <v>375</v>
      </c>
      <c r="BM2759" t="s">
        <v>119</v>
      </c>
      <c r="BN2759">
        <v>1</v>
      </c>
      <c r="BO2759">
        <v>1</v>
      </c>
      <c r="BP2759">
        <v>1</v>
      </c>
      <c r="BQ2759">
        <v>0</v>
      </c>
      <c r="BT2759">
        <v>0</v>
      </c>
      <c r="BU2759">
        <v>0</v>
      </c>
      <c r="BV2759">
        <v>0</v>
      </c>
      <c r="CC2759" t="str">
        <f>"19:20:52.148"</f>
        <v>19:20:52.148</v>
      </c>
      <c r="CD2759" t="str">
        <f>"150922112"</f>
        <v>150922112</v>
      </c>
      <c r="CQ2759">
        <v>0</v>
      </c>
      <c r="CR2759">
        <v>2</v>
      </c>
      <c r="CS2759">
        <v>0</v>
      </c>
      <c r="CT2759">
        <v>2</v>
      </c>
      <c r="CU2759">
        <v>0</v>
      </c>
      <c r="CV2759">
        <v>6</v>
      </c>
      <c r="CW2759" t="s">
        <v>120</v>
      </c>
      <c r="CX2759">
        <v>261</v>
      </c>
      <c r="CY2759">
        <v>2</v>
      </c>
      <c r="CZ2759" t="s">
        <v>121</v>
      </c>
      <c r="DA2759" t="s">
        <v>122</v>
      </c>
      <c r="DD2759">
        <v>15975151</v>
      </c>
      <c r="DE2759" t="s">
        <v>123</v>
      </c>
    </row>
    <row r="2760" spans="1:109" x14ac:dyDescent="0.3">
      <c r="A2760" t="str">
        <f>"19:20:53.492"</f>
        <v>19:20:53.492</v>
      </c>
      <c r="B2760" t="s">
        <v>110</v>
      </c>
      <c r="C2760" t="str">
        <f t="shared" si="129"/>
        <v>ffdfd3c0</v>
      </c>
      <c r="D2760" t="s">
        <v>111</v>
      </c>
      <c r="E2760">
        <v>18</v>
      </c>
      <c r="F2760">
        <v>1018</v>
      </c>
      <c r="G2760" t="s">
        <v>112</v>
      </c>
      <c r="J2760" t="s">
        <v>113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R2760" t="s">
        <v>114</v>
      </c>
      <c r="S2760" t="str">
        <f>"19:20:53.242"</f>
        <v>19:20:53.242</v>
      </c>
      <c r="T2760" t="str">
        <f>"19:20:52.945"</f>
        <v>19:20:52.945</v>
      </c>
      <c r="U2760" t="str">
        <f t="shared" si="130"/>
        <v>a1cdbe</v>
      </c>
      <c r="V2760">
        <v>0</v>
      </c>
      <c r="W2760">
        <v>0</v>
      </c>
      <c r="X2760">
        <v>1</v>
      </c>
      <c r="Y2760">
        <v>0</v>
      </c>
      <c r="Z2760">
        <v>0</v>
      </c>
      <c r="AB2760">
        <v>0</v>
      </c>
      <c r="AC2760">
        <v>9</v>
      </c>
      <c r="AD2760">
        <v>3</v>
      </c>
      <c r="AE2760">
        <v>0</v>
      </c>
      <c r="AF2760">
        <v>9</v>
      </c>
      <c r="AG2760" t="s">
        <v>158</v>
      </c>
      <c r="AH2760">
        <v>0</v>
      </c>
      <c r="AI2760">
        <v>3</v>
      </c>
      <c r="AJ2760">
        <v>1</v>
      </c>
      <c r="AK2760">
        <v>0</v>
      </c>
      <c r="AL2760" t="s">
        <v>5205</v>
      </c>
      <c r="AM2760">
        <v>46.972132000000002</v>
      </c>
      <c r="AN2760" t="s">
        <v>5206</v>
      </c>
      <c r="AO2760">
        <v>-123.392944</v>
      </c>
      <c r="AP2760">
        <v>100</v>
      </c>
      <c r="AQ2760">
        <v>2000</v>
      </c>
      <c r="AR2760" t="s">
        <v>118</v>
      </c>
      <c r="AS2760">
        <v>-70</v>
      </c>
      <c r="AT2760">
        <v>33</v>
      </c>
      <c r="AU2760">
        <v>0</v>
      </c>
      <c r="BC2760">
        <v>1200</v>
      </c>
      <c r="BD2760">
        <v>1</v>
      </c>
      <c r="BE2760" t="str">
        <f t="shared" si="131"/>
        <v xml:space="preserve">N215T   </v>
      </c>
      <c r="BF2760">
        <v>1</v>
      </c>
      <c r="BH2760">
        <v>0</v>
      </c>
      <c r="BI2760">
        <v>0</v>
      </c>
      <c r="BJ2760">
        <v>0</v>
      </c>
      <c r="BK2760">
        <v>2375</v>
      </c>
      <c r="BL2760">
        <v>375</v>
      </c>
      <c r="BM2760" t="s">
        <v>119</v>
      </c>
      <c r="BN2760">
        <v>1</v>
      </c>
      <c r="BO2760">
        <v>1</v>
      </c>
      <c r="BP2760">
        <v>1</v>
      </c>
      <c r="BQ2760">
        <v>0</v>
      </c>
      <c r="BT2760">
        <v>0</v>
      </c>
      <c r="BU2760">
        <v>0</v>
      </c>
      <c r="BV2760">
        <v>0</v>
      </c>
      <c r="CC2760" t="str">
        <f>"19:20:53.242"</f>
        <v>19:20:53.242</v>
      </c>
      <c r="CD2760" t="str">
        <f>"245814285"</f>
        <v>245814285</v>
      </c>
      <c r="CQ2760">
        <v>0</v>
      </c>
      <c r="CR2760">
        <v>2</v>
      </c>
      <c r="CS2760">
        <v>0</v>
      </c>
      <c r="CT2760">
        <v>2</v>
      </c>
      <c r="CU2760">
        <v>0</v>
      </c>
      <c r="CV2760">
        <v>5</v>
      </c>
      <c r="CW2760" t="s">
        <v>120</v>
      </c>
      <c r="CX2760">
        <v>261</v>
      </c>
      <c r="CY2760">
        <v>3</v>
      </c>
      <c r="CZ2760" t="s">
        <v>121</v>
      </c>
      <c r="DA2760" t="s">
        <v>122</v>
      </c>
      <c r="DD2760">
        <v>3854986</v>
      </c>
      <c r="DE2760" t="s">
        <v>123</v>
      </c>
    </row>
    <row r="2761" spans="1:109" x14ac:dyDescent="0.3">
      <c r="A2761" t="str">
        <f>"19:20:54.547"</f>
        <v>19:20:54.547</v>
      </c>
      <c r="B2761" t="s">
        <v>110</v>
      </c>
      <c r="C2761" t="str">
        <f t="shared" si="129"/>
        <v>ffdfd3c0</v>
      </c>
      <c r="D2761" t="s">
        <v>111</v>
      </c>
      <c r="E2761">
        <v>18</v>
      </c>
      <c r="F2761">
        <v>1018</v>
      </c>
      <c r="G2761" t="s">
        <v>112</v>
      </c>
      <c r="J2761" t="s">
        <v>113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R2761" t="s">
        <v>114</v>
      </c>
      <c r="S2761" t="str">
        <f>"19:20:54.305"</f>
        <v>19:20:54.305</v>
      </c>
      <c r="T2761" t="str">
        <f>"19:20:54.008"</f>
        <v>19:20:54.008</v>
      </c>
      <c r="U2761" t="str">
        <f t="shared" si="130"/>
        <v>a1cdbe</v>
      </c>
      <c r="V2761">
        <v>0</v>
      </c>
      <c r="W2761">
        <v>0</v>
      </c>
      <c r="X2761">
        <v>1</v>
      </c>
      <c r="Y2761">
        <v>0</v>
      </c>
      <c r="Z2761">
        <v>0</v>
      </c>
      <c r="AB2761">
        <v>0</v>
      </c>
      <c r="AC2761">
        <v>9</v>
      </c>
      <c r="AD2761">
        <v>3</v>
      </c>
      <c r="AE2761">
        <v>0</v>
      </c>
      <c r="AF2761">
        <v>9</v>
      </c>
      <c r="AG2761" t="s">
        <v>158</v>
      </c>
      <c r="AH2761">
        <v>0</v>
      </c>
      <c r="AI2761">
        <v>3</v>
      </c>
      <c r="AJ2761">
        <v>1</v>
      </c>
      <c r="AK2761">
        <v>0</v>
      </c>
      <c r="AL2761" t="s">
        <v>5207</v>
      </c>
      <c r="AM2761">
        <v>46.972324999999998</v>
      </c>
      <c r="AN2761" t="s">
        <v>5208</v>
      </c>
      <c r="AO2761">
        <v>-123.393502</v>
      </c>
      <c r="AP2761">
        <v>100</v>
      </c>
      <c r="AQ2761">
        <v>2000</v>
      </c>
      <c r="AR2761" t="s">
        <v>118</v>
      </c>
      <c r="AS2761">
        <v>-70</v>
      </c>
      <c r="AT2761">
        <v>33</v>
      </c>
      <c r="AU2761">
        <v>0</v>
      </c>
      <c r="BC2761">
        <v>1200</v>
      </c>
      <c r="BD2761">
        <v>1</v>
      </c>
      <c r="BE2761" t="str">
        <f t="shared" si="131"/>
        <v xml:space="preserve">N215T   </v>
      </c>
      <c r="BF2761">
        <v>1</v>
      </c>
      <c r="BH2761">
        <v>0</v>
      </c>
      <c r="BI2761">
        <v>0</v>
      </c>
      <c r="BJ2761">
        <v>0</v>
      </c>
      <c r="BK2761">
        <v>2375</v>
      </c>
      <c r="BL2761">
        <v>375</v>
      </c>
      <c r="BM2761" t="s">
        <v>119</v>
      </c>
      <c r="BN2761">
        <v>1</v>
      </c>
      <c r="BO2761">
        <v>1</v>
      </c>
      <c r="BP2761">
        <v>1</v>
      </c>
      <c r="BQ2761">
        <v>0</v>
      </c>
      <c r="BT2761">
        <v>0</v>
      </c>
      <c r="BU2761">
        <v>0</v>
      </c>
      <c r="BV2761">
        <v>0</v>
      </c>
      <c r="CC2761" t="str">
        <f>"19:20:54.313"</f>
        <v>19:20:54.313</v>
      </c>
      <c r="CD2761" t="str">
        <f>"310709390"</f>
        <v>310709390</v>
      </c>
      <c r="CQ2761">
        <v>0</v>
      </c>
      <c r="CR2761">
        <v>2</v>
      </c>
      <c r="CS2761">
        <v>0</v>
      </c>
      <c r="CT2761">
        <v>2</v>
      </c>
      <c r="CU2761">
        <v>0</v>
      </c>
      <c r="CV2761">
        <v>6</v>
      </c>
      <c r="CW2761" t="s">
        <v>120</v>
      </c>
      <c r="CX2761">
        <v>261</v>
      </c>
      <c r="CY2761">
        <v>2</v>
      </c>
      <c r="CZ2761" t="s">
        <v>121</v>
      </c>
      <c r="DA2761" t="s">
        <v>122</v>
      </c>
      <c r="DD2761">
        <v>15976481</v>
      </c>
      <c r="DE2761" t="s">
        <v>123</v>
      </c>
    </row>
    <row r="2762" spans="1:109" x14ac:dyDescent="0.3">
      <c r="A2762" t="str">
        <f>"19:20:55.500"</f>
        <v>19:20:55.500</v>
      </c>
      <c r="B2762" t="s">
        <v>110</v>
      </c>
      <c r="C2762" t="str">
        <f t="shared" si="129"/>
        <v>ffdfd3c0</v>
      </c>
      <c r="D2762" t="s">
        <v>111</v>
      </c>
      <c r="E2762">
        <v>18</v>
      </c>
      <c r="F2762">
        <v>1018</v>
      </c>
      <c r="G2762" t="s">
        <v>112</v>
      </c>
      <c r="J2762" t="s">
        <v>113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R2762" t="s">
        <v>114</v>
      </c>
      <c r="S2762" t="str">
        <f>"19:20:55.266"</f>
        <v>19:20:55.266</v>
      </c>
      <c r="T2762" t="str">
        <f>"19:20:54.867"</f>
        <v>19:20:54.867</v>
      </c>
      <c r="U2762" t="str">
        <f t="shared" si="130"/>
        <v>a1cdbe</v>
      </c>
      <c r="V2762">
        <v>0</v>
      </c>
      <c r="W2762">
        <v>0</v>
      </c>
      <c r="X2762">
        <v>1</v>
      </c>
      <c r="Y2762">
        <v>0</v>
      </c>
      <c r="Z2762">
        <v>0</v>
      </c>
      <c r="AB2762">
        <v>0</v>
      </c>
      <c r="AC2762">
        <v>9</v>
      </c>
      <c r="AD2762">
        <v>3</v>
      </c>
      <c r="AE2762">
        <v>0</v>
      </c>
      <c r="AF2762">
        <v>9</v>
      </c>
      <c r="AG2762" t="s">
        <v>158</v>
      </c>
      <c r="AH2762">
        <v>0</v>
      </c>
      <c r="AI2762">
        <v>3</v>
      </c>
      <c r="AJ2762">
        <v>1</v>
      </c>
      <c r="AK2762">
        <v>0</v>
      </c>
      <c r="AL2762" t="s">
        <v>973</v>
      </c>
      <c r="AM2762">
        <v>46.972453999999999</v>
      </c>
      <c r="AN2762" t="s">
        <v>5209</v>
      </c>
      <c r="AO2762">
        <v>-123.39391000000001</v>
      </c>
      <c r="AP2762">
        <v>100</v>
      </c>
      <c r="AQ2762">
        <v>2000</v>
      </c>
      <c r="AR2762" t="s">
        <v>118</v>
      </c>
      <c r="AS2762">
        <v>-70</v>
      </c>
      <c r="AT2762">
        <v>32</v>
      </c>
      <c r="AU2762">
        <v>0</v>
      </c>
      <c r="BC2762">
        <v>1200</v>
      </c>
      <c r="BD2762">
        <v>1</v>
      </c>
      <c r="BE2762" t="str">
        <f t="shared" si="131"/>
        <v xml:space="preserve">N215T   </v>
      </c>
      <c r="BF2762">
        <v>1</v>
      </c>
      <c r="BH2762">
        <v>0</v>
      </c>
      <c r="BI2762">
        <v>0</v>
      </c>
      <c r="BJ2762">
        <v>0</v>
      </c>
      <c r="BK2762">
        <v>2375</v>
      </c>
      <c r="BL2762">
        <v>375</v>
      </c>
      <c r="BM2762" t="s">
        <v>119</v>
      </c>
      <c r="BN2762">
        <v>1</v>
      </c>
      <c r="BO2762">
        <v>1</v>
      </c>
      <c r="BP2762">
        <v>1</v>
      </c>
      <c r="BQ2762">
        <v>0</v>
      </c>
      <c r="BT2762">
        <v>0</v>
      </c>
      <c r="BU2762">
        <v>0</v>
      </c>
      <c r="BV2762">
        <v>0</v>
      </c>
      <c r="CC2762" t="str">
        <f>"19:20:55.273"</f>
        <v>19:20:55.273</v>
      </c>
      <c r="CD2762" t="str">
        <f>"270614841"</f>
        <v>270614841</v>
      </c>
      <c r="CQ2762">
        <v>0</v>
      </c>
      <c r="CR2762">
        <v>2</v>
      </c>
      <c r="CS2762">
        <v>0</v>
      </c>
      <c r="CT2762">
        <v>2</v>
      </c>
      <c r="CU2762">
        <v>0</v>
      </c>
      <c r="CV2762">
        <v>6</v>
      </c>
      <c r="CW2762" t="s">
        <v>120</v>
      </c>
      <c r="CX2762">
        <v>261</v>
      </c>
      <c r="CY2762">
        <v>2</v>
      </c>
      <c r="CZ2762" t="s">
        <v>121</v>
      </c>
      <c r="DA2762" t="s">
        <v>122</v>
      </c>
      <c r="DD2762">
        <v>15977108</v>
      </c>
      <c r="DE2762" t="s">
        <v>123</v>
      </c>
    </row>
    <row r="2763" spans="1:109" x14ac:dyDescent="0.3">
      <c r="A2763" t="str">
        <f>"19:20:56.508"</f>
        <v>19:20:56.508</v>
      </c>
      <c r="B2763" t="s">
        <v>110</v>
      </c>
      <c r="C2763" t="str">
        <f t="shared" si="129"/>
        <v>ffdfd3c0</v>
      </c>
      <c r="D2763" t="s">
        <v>111</v>
      </c>
      <c r="E2763">
        <v>18</v>
      </c>
      <c r="F2763">
        <v>1018</v>
      </c>
      <c r="G2763" t="s">
        <v>112</v>
      </c>
      <c r="J2763" t="s">
        <v>113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R2763" t="s">
        <v>114</v>
      </c>
      <c r="S2763" t="str">
        <f>"19:20:56.305"</f>
        <v>19:20:56.305</v>
      </c>
      <c r="T2763" t="str">
        <f>"19:20:55.906"</f>
        <v>19:20:55.906</v>
      </c>
      <c r="U2763" t="str">
        <f t="shared" si="130"/>
        <v>a1cdbe</v>
      </c>
      <c r="V2763">
        <v>0</v>
      </c>
      <c r="W2763">
        <v>0</v>
      </c>
      <c r="X2763">
        <v>1</v>
      </c>
      <c r="Y2763">
        <v>0</v>
      </c>
      <c r="Z2763">
        <v>0</v>
      </c>
      <c r="AB2763">
        <v>0</v>
      </c>
      <c r="AC2763">
        <v>9</v>
      </c>
      <c r="AD2763">
        <v>3</v>
      </c>
      <c r="AE2763">
        <v>0</v>
      </c>
      <c r="AF2763">
        <v>9</v>
      </c>
      <c r="AG2763" t="s">
        <v>158</v>
      </c>
      <c r="AH2763">
        <v>0</v>
      </c>
      <c r="AI2763">
        <v>3</v>
      </c>
      <c r="AJ2763">
        <v>1</v>
      </c>
      <c r="AK2763">
        <v>0</v>
      </c>
      <c r="AL2763" t="s">
        <v>5210</v>
      </c>
      <c r="AM2763">
        <v>46.972603999999997</v>
      </c>
      <c r="AN2763" t="s">
        <v>5211</v>
      </c>
      <c r="AO2763">
        <v>-123.394425</v>
      </c>
      <c r="AP2763">
        <v>100</v>
      </c>
      <c r="AQ2763">
        <v>2000</v>
      </c>
      <c r="AR2763" t="s">
        <v>118</v>
      </c>
      <c r="AS2763">
        <v>-70</v>
      </c>
      <c r="AT2763">
        <v>32</v>
      </c>
      <c r="AU2763">
        <v>0</v>
      </c>
      <c r="BC2763">
        <v>1200</v>
      </c>
      <c r="BD2763">
        <v>1</v>
      </c>
      <c r="BE2763" t="str">
        <f t="shared" si="131"/>
        <v xml:space="preserve">N215T   </v>
      </c>
      <c r="BF2763">
        <v>1</v>
      </c>
      <c r="BH2763">
        <v>0</v>
      </c>
      <c r="BI2763">
        <v>0</v>
      </c>
      <c r="BJ2763">
        <v>0</v>
      </c>
      <c r="BK2763">
        <v>2375</v>
      </c>
      <c r="BL2763">
        <v>375</v>
      </c>
      <c r="BM2763" t="s">
        <v>119</v>
      </c>
      <c r="BN2763">
        <v>1</v>
      </c>
      <c r="BO2763">
        <v>1</v>
      </c>
      <c r="BP2763">
        <v>1</v>
      </c>
      <c r="BQ2763">
        <v>0</v>
      </c>
      <c r="BT2763">
        <v>0</v>
      </c>
      <c r="BU2763">
        <v>0</v>
      </c>
      <c r="BV2763">
        <v>0</v>
      </c>
      <c r="CC2763" t="str">
        <f>"19:20:56.305"</f>
        <v>19:20:56.305</v>
      </c>
      <c r="CD2763" t="str">
        <f>"305512926"</f>
        <v>305512926</v>
      </c>
      <c r="CQ2763">
        <v>0</v>
      </c>
      <c r="CR2763">
        <v>2</v>
      </c>
      <c r="CS2763">
        <v>0</v>
      </c>
      <c r="CT2763">
        <v>2</v>
      </c>
      <c r="CU2763">
        <v>0</v>
      </c>
      <c r="CV2763">
        <v>5</v>
      </c>
      <c r="CW2763" t="s">
        <v>120</v>
      </c>
      <c r="CX2763">
        <v>261</v>
      </c>
      <c r="CY2763">
        <v>3</v>
      </c>
      <c r="CZ2763" t="s">
        <v>121</v>
      </c>
      <c r="DA2763" t="s">
        <v>122</v>
      </c>
      <c r="DD2763">
        <v>3855665</v>
      </c>
      <c r="DE2763" t="s">
        <v>123</v>
      </c>
    </row>
    <row r="2764" spans="1:109" x14ac:dyDescent="0.3">
      <c r="A2764" t="str">
        <f>"19:20:57.516"</f>
        <v>19:20:57.516</v>
      </c>
      <c r="B2764" t="s">
        <v>110</v>
      </c>
      <c r="C2764" t="str">
        <f t="shared" si="129"/>
        <v>ffdfd3c0</v>
      </c>
      <c r="D2764" t="s">
        <v>111</v>
      </c>
      <c r="E2764">
        <v>18</v>
      </c>
      <c r="F2764">
        <v>1018</v>
      </c>
      <c r="G2764" t="s">
        <v>112</v>
      </c>
      <c r="J2764" t="s">
        <v>113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R2764" t="s">
        <v>114</v>
      </c>
      <c r="S2764" t="str">
        <f>"19:20:57.250"</f>
        <v>19:20:57.250</v>
      </c>
      <c r="T2764" t="str">
        <f>"19:20:56.953"</f>
        <v>19:20:56.953</v>
      </c>
      <c r="U2764" t="str">
        <f t="shared" si="130"/>
        <v>a1cdbe</v>
      </c>
      <c r="V2764">
        <v>0</v>
      </c>
      <c r="W2764">
        <v>0</v>
      </c>
      <c r="X2764">
        <v>1</v>
      </c>
      <c r="Y2764">
        <v>0</v>
      </c>
      <c r="Z2764">
        <v>0</v>
      </c>
      <c r="AB2764">
        <v>0</v>
      </c>
      <c r="AC2764">
        <v>9</v>
      </c>
      <c r="AD2764">
        <v>3</v>
      </c>
      <c r="AE2764">
        <v>0</v>
      </c>
      <c r="AF2764">
        <v>9</v>
      </c>
      <c r="AG2764" t="s">
        <v>158</v>
      </c>
      <c r="AH2764">
        <v>0</v>
      </c>
      <c r="AI2764">
        <v>3</v>
      </c>
      <c r="AJ2764">
        <v>1</v>
      </c>
      <c r="AK2764">
        <v>0</v>
      </c>
      <c r="AL2764" t="s">
        <v>5212</v>
      </c>
      <c r="AM2764">
        <v>46.972732999999998</v>
      </c>
      <c r="AN2764" t="s">
        <v>5213</v>
      </c>
      <c r="AO2764">
        <v>-123.394876</v>
      </c>
      <c r="AP2764">
        <v>100</v>
      </c>
      <c r="AQ2764">
        <v>2000</v>
      </c>
      <c r="AR2764" t="s">
        <v>118</v>
      </c>
      <c r="AS2764">
        <v>-71</v>
      </c>
      <c r="AT2764">
        <v>31</v>
      </c>
      <c r="AU2764">
        <v>0</v>
      </c>
      <c r="BC2764">
        <v>1200</v>
      </c>
      <c r="BD2764">
        <v>1</v>
      </c>
      <c r="BE2764" t="str">
        <f t="shared" si="131"/>
        <v xml:space="preserve">N215T   </v>
      </c>
      <c r="BF2764">
        <v>1</v>
      </c>
      <c r="BH2764">
        <v>0</v>
      </c>
      <c r="BI2764">
        <v>0</v>
      </c>
      <c r="BJ2764">
        <v>0</v>
      </c>
      <c r="BK2764">
        <v>2375</v>
      </c>
      <c r="BL2764">
        <v>375</v>
      </c>
      <c r="BM2764" t="s">
        <v>119</v>
      </c>
      <c r="BN2764">
        <v>1</v>
      </c>
      <c r="BO2764">
        <v>1</v>
      </c>
      <c r="BP2764">
        <v>1</v>
      </c>
      <c r="BQ2764">
        <v>0</v>
      </c>
      <c r="BT2764">
        <v>0</v>
      </c>
      <c r="BU2764">
        <v>0</v>
      </c>
      <c r="BV2764">
        <v>0</v>
      </c>
      <c r="CC2764" t="str">
        <f>"19:20:57.250"</f>
        <v>19:20:57.250</v>
      </c>
      <c r="CD2764" t="str">
        <f>"250419839"</f>
        <v>250419839</v>
      </c>
      <c r="CQ2764">
        <v>0</v>
      </c>
      <c r="CR2764">
        <v>2</v>
      </c>
      <c r="CS2764">
        <v>0</v>
      </c>
      <c r="CT2764">
        <v>2</v>
      </c>
      <c r="CU2764">
        <v>0</v>
      </c>
      <c r="CV2764">
        <v>5</v>
      </c>
      <c r="CW2764" t="s">
        <v>120</v>
      </c>
      <c r="CX2764">
        <v>261</v>
      </c>
      <c r="CY2764">
        <v>2</v>
      </c>
      <c r="CZ2764" t="s">
        <v>121</v>
      </c>
      <c r="DA2764" t="s">
        <v>122</v>
      </c>
      <c r="DD2764">
        <v>15978521</v>
      </c>
      <c r="DE2764" t="s">
        <v>123</v>
      </c>
    </row>
    <row r="2765" spans="1:109" x14ac:dyDescent="0.3">
      <c r="A2765" t="str">
        <f>"19:20:58.523"</f>
        <v>19:20:58.523</v>
      </c>
      <c r="B2765" t="s">
        <v>110</v>
      </c>
      <c r="C2765" t="str">
        <f t="shared" si="129"/>
        <v>ffdfd3c0</v>
      </c>
      <c r="D2765" t="s">
        <v>111</v>
      </c>
      <c r="E2765">
        <v>18</v>
      </c>
      <c r="F2765">
        <v>1018</v>
      </c>
      <c r="G2765" t="s">
        <v>112</v>
      </c>
      <c r="J2765" t="s">
        <v>113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R2765" t="s">
        <v>114</v>
      </c>
      <c r="S2765" t="str">
        <f>"19:20:58.313"</f>
        <v>19:20:58.313</v>
      </c>
      <c r="T2765" t="str">
        <f>"19:20:58.211"</f>
        <v>19:20:58.211</v>
      </c>
      <c r="U2765" t="str">
        <f t="shared" si="130"/>
        <v>a1cdbe</v>
      </c>
      <c r="V2765">
        <v>0</v>
      </c>
      <c r="W2765">
        <v>0</v>
      </c>
      <c r="X2765">
        <v>1</v>
      </c>
      <c r="Y2765">
        <v>0</v>
      </c>
      <c r="Z2765">
        <v>0</v>
      </c>
      <c r="AB2765">
        <v>0</v>
      </c>
      <c r="AC2765">
        <v>9</v>
      </c>
      <c r="AD2765">
        <v>3</v>
      </c>
      <c r="AE2765">
        <v>0</v>
      </c>
      <c r="AF2765">
        <v>9</v>
      </c>
      <c r="AG2765" t="s">
        <v>158</v>
      </c>
      <c r="AH2765">
        <v>0</v>
      </c>
      <c r="AI2765">
        <v>3</v>
      </c>
      <c r="AJ2765">
        <v>1</v>
      </c>
      <c r="AK2765">
        <v>0</v>
      </c>
      <c r="AL2765" t="s">
        <v>5214</v>
      </c>
      <c r="AM2765">
        <v>46.972883000000003</v>
      </c>
      <c r="AN2765" t="s">
        <v>5215</v>
      </c>
      <c r="AO2765">
        <v>-123.395348</v>
      </c>
      <c r="AP2765">
        <v>100</v>
      </c>
      <c r="AQ2765">
        <v>2000</v>
      </c>
      <c r="AR2765" t="s">
        <v>118</v>
      </c>
      <c r="AS2765">
        <v>-71</v>
      </c>
      <c r="AT2765">
        <v>31</v>
      </c>
      <c r="AU2765">
        <v>64</v>
      </c>
      <c r="BC2765">
        <v>1200</v>
      </c>
      <c r="BD2765">
        <v>1</v>
      </c>
      <c r="BE2765" t="str">
        <f t="shared" si="131"/>
        <v xml:space="preserve">N215T   </v>
      </c>
      <c r="BF2765">
        <v>1</v>
      </c>
      <c r="BH2765">
        <v>0</v>
      </c>
      <c r="BI2765">
        <v>0</v>
      </c>
      <c r="BJ2765">
        <v>0</v>
      </c>
      <c r="BK2765">
        <v>2375</v>
      </c>
      <c r="BL2765">
        <v>375</v>
      </c>
      <c r="BM2765" t="s">
        <v>119</v>
      </c>
      <c r="BN2765">
        <v>1</v>
      </c>
      <c r="BO2765">
        <v>1</v>
      </c>
      <c r="BP2765">
        <v>1</v>
      </c>
      <c r="BQ2765">
        <v>0</v>
      </c>
      <c r="BT2765">
        <v>0</v>
      </c>
      <c r="BU2765">
        <v>0</v>
      </c>
      <c r="BV2765">
        <v>0</v>
      </c>
      <c r="CC2765" t="str">
        <f>"19:20:58.313"</f>
        <v>19:20:58.313</v>
      </c>
      <c r="CD2765" t="str">
        <f>"315314973"</f>
        <v>315314973</v>
      </c>
      <c r="CQ2765">
        <v>0</v>
      </c>
      <c r="CR2765">
        <v>2</v>
      </c>
      <c r="CS2765">
        <v>0</v>
      </c>
      <c r="CT2765">
        <v>2</v>
      </c>
      <c r="CU2765">
        <v>0</v>
      </c>
      <c r="CV2765">
        <v>5</v>
      </c>
      <c r="CW2765" t="s">
        <v>120</v>
      </c>
      <c r="CX2765">
        <v>261</v>
      </c>
      <c r="CY2765">
        <v>3</v>
      </c>
      <c r="CZ2765" t="s">
        <v>121</v>
      </c>
      <c r="DA2765" t="s">
        <v>122</v>
      </c>
      <c r="DD2765">
        <v>3856110</v>
      </c>
      <c r="DE2765" t="s">
        <v>123</v>
      </c>
    </row>
    <row r="2766" spans="1:109" x14ac:dyDescent="0.3">
      <c r="A2766" t="str">
        <f>"19:20:59.578"</f>
        <v>19:20:59.578</v>
      </c>
      <c r="B2766" t="s">
        <v>110</v>
      </c>
      <c r="C2766" t="str">
        <f t="shared" si="129"/>
        <v>ffdfd3c0</v>
      </c>
      <c r="D2766" t="s">
        <v>111</v>
      </c>
      <c r="E2766">
        <v>18</v>
      </c>
      <c r="F2766">
        <v>1018</v>
      </c>
      <c r="G2766" t="s">
        <v>112</v>
      </c>
      <c r="J2766" t="s">
        <v>113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R2766" t="s">
        <v>114</v>
      </c>
      <c r="S2766" t="str">
        <f>"19:20:59.375"</f>
        <v>19:20:59.375</v>
      </c>
      <c r="T2766" t="str">
        <f>"19:20:59.172"</f>
        <v>19:20:59.172</v>
      </c>
      <c r="U2766" t="str">
        <f t="shared" si="130"/>
        <v>a1cdbe</v>
      </c>
      <c r="V2766">
        <v>0</v>
      </c>
      <c r="W2766">
        <v>0</v>
      </c>
      <c r="X2766">
        <v>1</v>
      </c>
      <c r="Y2766">
        <v>0</v>
      </c>
      <c r="Z2766">
        <v>0</v>
      </c>
      <c r="AB2766">
        <v>0</v>
      </c>
      <c r="AC2766">
        <v>9</v>
      </c>
      <c r="AD2766">
        <v>3</v>
      </c>
      <c r="AE2766">
        <v>0</v>
      </c>
      <c r="AF2766">
        <v>9</v>
      </c>
      <c r="AG2766" t="s">
        <v>158</v>
      </c>
      <c r="AH2766">
        <v>0</v>
      </c>
      <c r="AI2766">
        <v>3</v>
      </c>
      <c r="AJ2766">
        <v>1</v>
      </c>
      <c r="AK2766">
        <v>0</v>
      </c>
      <c r="AL2766" t="s">
        <v>5216</v>
      </c>
      <c r="AM2766">
        <v>46.973033000000001</v>
      </c>
      <c r="AN2766" t="s">
        <v>5217</v>
      </c>
      <c r="AO2766">
        <v>-123.395905</v>
      </c>
      <c r="AP2766">
        <v>100</v>
      </c>
      <c r="AQ2766">
        <v>2000</v>
      </c>
      <c r="AR2766" t="s">
        <v>118</v>
      </c>
      <c r="AS2766">
        <v>-71</v>
      </c>
      <c r="AT2766">
        <v>30</v>
      </c>
      <c r="AU2766">
        <v>64</v>
      </c>
      <c r="BC2766">
        <v>1200</v>
      </c>
      <c r="BD2766">
        <v>1</v>
      </c>
      <c r="BE2766" t="str">
        <f t="shared" si="131"/>
        <v xml:space="preserve">N215T   </v>
      </c>
      <c r="BF2766">
        <v>1</v>
      </c>
      <c r="BH2766">
        <v>0</v>
      </c>
      <c r="BI2766">
        <v>0</v>
      </c>
      <c r="BJ2766">
        <v>0</v>
      </c>
      <c r="BK2766">
        <v>2375</v>
      </c>
      <c r="BL2766">
        <v>375</v>
      </c>
      <c r="BM2766" t="s">
        <v>119</v>
      </c>
      <c r="BN2766">
        <v>1</v>
      </c>
      <c r="BO2766">
        <v>1</v>
      </c>
      <c r="BP2766">
        <v>1</v>
      </c>
      <c r="BQ2766">
        <v>0</v>
      </c>
      <c r="BT2766">
        <v>0</v>
      </c>
      <c r="BU2766">
        <v>0</v>
      </c>
      <c r="BV2766">
        <v>0</v>
      </c>
      <c r="CC2766" t="str">
        <f>"19:20:59.383"</f>
        <v>19:20:59.383</v>
      </c>
      <c r="CD2766" t="str">
        <f>"380210104"</f>
        <v>380210104</v>
      </c>
      <c r="CQ2766">
        <v>0</v>
      </c>
      <c r="CR2766">
        <v>2</v>
      </c>
      <c r="CS2766">
        <v>0</v>
      </c>
      <c r="CT2766">
        <v>2</v>
      </c>
      <c r="CU2766">
        <v>0</v>
      </c>
      <c r="CV2766">
        <v>5</v>
      </c>
      <c r="CW2766" t="s">
        <v>120</v>
      </c>
      <c r="CX2766">
        <v>261</v>
      </c>
      <c r="CY2766">
        <v>3</v>
      </c>
      <c r="CZ2766" t="s">
        <v>121</v>
      </c>
      <c r="DA2766" t="s">
        <v>122</v>
      </c>
      <c r="DD2766">
        <v>3856330</v>
      </c>
      <c r="DE2766" t="s">
        <v>123</v>
      </c>
    </row>
    <row r="2767" spans="1:109" x14ac:dyDescent="0.3">
      <c r="A2767" t="str">
        <f>"19:21:00.633"</f>
        <v>19:21:00.633</v>
      </c>
      <c r="B2767" t="s">
        <v>110</v>
      </c>
      <c r="C2767" t="str">
        <f t="shared" si="129"/>
        <v>ffdfd3c0</v>
      </c>
      <c r="D2767" t="s">
        <v>111</v>
      </c>
      <c r="E2767">
        <v>18</v>
      </c>
      <c r="F2767">
        <v>1018</v>
      </c>
      <c r="G2767" t="s">
        <v>112</v>
      </c>
      <c r="J2767" t="s">
        <v>113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R2767" t="s">
        <v>114</v>
      </c>
      <c r="S2767" t="str">
        <f>"19:21:00.398"</f>
        <v>19:21:00.398</v>
      </c>
      <c r="T2767" t="str">
        <f>"19:21:00.297"</f>
        <v>19:21:00.297</v>
      </c>
      <c r="U2767" t="str">
        <f t="shared" si="130"/>
        <v>a1cdbe</v>
      </c>
      <c r="V2767">
        <v>0</v>
      </c>
      <c r="W2767">
        <v>0</v>
      </c>
      <c r="X2767">
        <v>1</v>
      </c>
      <c r="Y2767">
        <v>0</v>
      </c>
      <c r="Z2767">
        <v>0</v>
      </c>
      <c r="AB2767">
        <v>0</v>
      </c>
      <c r="AC2767">
        <v>9</v>
      </c>
      <c r="AD2767">
        <v>3</v>
      </c>
      <c r="AE2767">
        <v>0</v>
      </c>
      <c r="AF2767">
        <v>9</v>
      </c>
      <c r="AG2767" t="s">
        <v>158</v>
      </c>
      <c r="AH2767">
        <v>0</v>
      </c>
      <c r="AI2767">
        <v>3</v>
      </c>
      <c r="AJ2767">
        <v>1</v>
      </c>
      <c r="AK2767">
        <v>0</v>
      </c>
      <c r="AL2767" t="s">
        <v>5218</v>
      </c>
      <c r="AM2767">
        <v>46.973182999999999</v>
      </c>
      <c r="AN2767" t="s">
        <v>5219</v>
      </c>
      <c r="AO2767">
        <v>-123.396378</v>
      </c>
      <c r="AP2767">
        <v>100</v>
      </c>
      <c r="AQ2767">
        <v>2000</v>
      </c>
      <c r="AR2767" t="s">
        <v>118</v>
      </c>
      <c r="AS2767">
        <v>-71</v>
      </c>
      <c r="AT2767">
        <v>29</v>
      </c>
      <c r="AU2767">
        <v>64</v>
      </c>
      <c r="BC2767">
        <v>1200</v>
      </c>
      <c r="BD2767">
        <v>1</v>
      </c>
      <c r="BE2767" t="str">
        <f t="shared" si="131"/>
        <v xml:space="preserve">N215T   </v>
      </c>
      <c r="BF2767">
        <v>1</v>
      </c>
      <c r="BH2767">
        <v>0</v>
      </c>
      <c r="BI2767">
        <v>0</v>
      </c>
      <c r="BJ2767">
        <v>0</v>
      </c>
      <c r="BK2767">
        <v>2375</v>
      </c>
      <c r="BL2767">
        <v>375</v>
      </c>
      <c r="BM2767" t="s">
        <v>119</v>
      </c>
      <c r="BN2767">
        <v>1</v>
      </c>
      <c r="BO2767">
        <v>1</v>
      </c>
      <c r="BP2767">
        <v>1</v>
      </c>
      <c r="BQ2767">
        <v>0</v>
      </c>
      <c r="BT2767">
        <v>0</v>
      </c>
      <c r="BU2767">
        <v>0</v>
      </c>
      <c r="BV2767">
        <v>0</v>
      </c>
      <c r="CC2767" t="str">
        <f>"19:21:00.398"</f>
        <v>19:21:00.398</v>
      </c>
      <c r="CD2767" t="str">
        <f>"400090158"</f>
        <v>400090158</v>
      </c>
      <c r="CQ2767">
        <v>0</v>
      </c>
      <c r="CR2767">
        <v>2</v>
      </c>
      <c r="CS2767">
        <v>0</v>
      </c>
      <c r="CT2767">
        <v>2</v>
      </c>
      <c r="CU2767">
        <v>0</v>
      </c>
      <c r="CV2767">
        <v>3</v>
      </c>
      <c r="CW2767" t="s">
        <v>120</v>
      </c>
      <c r="CX2767">
        <v>257</v>
      </c>
      <c r="CY2767">
        <v>0</v>
      </c>
      <c r="CZ2767" t="s">
        <v>615</v>
      </c>
      <c r="DA2767" t="s">
        <v>616</v>
      </c>
      <c r="DD2767">
        <v>16087307</v>
      </c>
      <c r="DE2767" t="s">
        <v>123</v>
      </c>
    </row>
    <row r="2768" spans="1:109" x14ac:dyDescent="0.3">
      <c r="A2768" t="str">
        <f>"19:21:01.539"</f>
        <v>19:21:01.539</v>
      </c>
      <c r="B2768" t="s">
        <v>110</v>
      </c>
      <c r="C2768" t="str">
        <f t="shared" si="129"/>
        <v>ffdfd3c0</v>
      </c>
      <c r="D2768" t="s">
        <v>111</v>
      </c>
      <c r="E2768">
        <v>18</v>
      </c>
      <c r="F2768">
        <v>1018</v>
      </c>
      <c r="G2768" t="s">
        <v>112</v>
      </c>
      <c r="J2768" t="s">
        <v>113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R2768" t="s">
        <v>114</v>
      </c>
      <c r="S2768" t="str">
        <f>"19:21:01.266"</f>
        <v>19:21:01.266</v>
      </c>
      <c r="T2768" t="str">
        <f>"19:21:01.266"</f>
        <v>19:21:01.266</v>
      </c>
      <c r="U2768" t="str">
        <f t="shared" si="130"/>
        <v>a1cdbe</v>
      </c>
      <c r="V2768">
        <v>0</v>
      </c>
      <c r="W2768">
        <v>0</v>
      </c>
      <c r="X2768">
        <v>1</v>
      </c>
      <c r="Y2768">
        <v>0</v>
      </c>
      <c r="Z2768">
        <v>0</v>
      </c>
      <c r="AB2768">
        <v>0</v>
      </c>
      <c r="AC2768">
        <v>9</v>
      </c>
      <c r="AD2768">
        <v>3</v>
      </c>
      <c r="AE2768">
        <v>0</v>
      </c>
      <c r="AF2768">
        <v>9</v>
      </c>
      <c r="AG2768" t="s">
        <v>158</v>
      </c>
      <c r="AH2768">
        <v>0</v>
      </c>
      <c r="AI2768">
        <v>3</v>
      </c>
      <c r="AJ2768">
        <v>1</v>
      </c>
      <c r="AK2768">
        <v>0</v>
      </c>
      <c r="AL2768" t="s">
        <v>5220</v>
      </c>
      <c r="AM2768">
        <v>46.973289999999999</v>
      </c>
      <c r="AN2768" t="s">
        <v>5221</v>
      </c>
      <c r="AO2768">
        <v>-123.39678499999999</v>
      </c>
      <c r="AP2768">
        <v>100</v>
      </c>
      <c r="AQ2768">
        <v>2000</v>
      </c>
      <c r="AR2768" t="s">
        <v>118</v>
      </c>
      <c r="AS2768">
        <v>-71</v>
      </c>
      <c r="AT2768">
        <v>29</v>
      </c>
      <c r="AU2768">
        <v>64</v>
      </c>
      <c r="BC2768">
        <v>1200</v>
      </c>
      <c r="BD2768">
        <v>1</v>
      </c>
      <c r="BE2768" t="str">
        <f t="shared" si="131"/>
        <v xml:space="preserve">N215T   </v>
      </c>
      <c r="BF2768">
        <v>1</v>
      </c>
      <c r="BH2768">
        <v>0</v>
      </c>
      <c r="BI2768">
        <v>0</v>
      </c>
      <c r="BJ2768">
        <v>0</v>
      </c>
      <c r="BK2768">
        <v>2375</v>
      </c>
      <c r="BL2768">
        <v>375</v>
      </c>
      <c r="BM2768" t="s">
        <v>119</v>
      </c>
      <c r="BN2768">
        <v>1</v>
      </c>
      <c r="BO2768">
        <v>1</v>
      </c>
      <c r="BP2768">
        <v>1</v>
      </c>
      <c r="BQ2768">
        <v>0</v>
      </c>
      <c r="BT2768">
        <v>0</v>
      </c>
      <c r="BU2768">
        <v>0</v>
      </c>
      <c r="BV2768">
        <v>0</v>
      </c>
      <c r="CC2768" t="str">
        <f>"19:21:01.273"</f>
        <v>19:21:01.273</v>
      </c>
      <c r="CD2768" t="str">
        <f>"270023999"</f>
        <v>270023999</v>
      </c>
      <c r="CQ2768">
        <v>0</v>
      </c>
      <c r="CR2768">
        <v>2</v>
      </c>
      <c r="CS2768">
        <v>0</v>
      </c>
      <c r="CT2768">
        <v>2</v>
      </c>
      <c r="CU2768">
        <v>0</v>
      </c>
      <c r="CV2768">
        <v>5</v>
      </c>
      <c r="CW2768" t="s">
        <v>120</v>
      </c>
      <c r="CX2768">
        <v>261</v>
      </c>
      <c r="CY2768">
        <v>3</v>
      </c>
      <c r="CZ2768" t="s">
        <v>121</v>
      </c>
      <c r="DA2768" t="s">
        <v>122</v>
      </c>
      <c r="DD2768">
        <v>3856816</v>
      </c>
      <c r="DE2768" t="s">
        <v>123</v>
      </c>
    </row>
    <row r="2769" spans="1:109" x14ac:dyDescent="0.3">
      <c r="A2769" t="str">
        <f>"19:21:02.539"</f>
        <v>19:21:02.539</v>
      </c>
      <c r="B2769" t="s">
        <v>110</v>
      </c>
      <c r="C2769" t="str">
        <f t="shared" si="129"/>
        <v>ffdfd3c0</v>
      </c>
      <c r="D2769" t="s">
        <v>111</v>
      </c>
      <c r="E2769">
        <v>18</v>
      </c>
      <c r="F2769">
        <v>1018</v>
      </c>
      <c r="G2769" t="s">
        <v>112</v>
      </c>
      <c r="J2769" t="s">
        <v>113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R2769" t="s">
        <v>114</v>
      </c>
      <c r="S2769" t="str">
        <f>"19:21:02.313"</f>
        <v>19:21:02.313</v>
      </c>
      <c r="T2769" t="str">
        <f>"19:21:02.313"</f>
        <v>19:21:02.313</v>
      </c>
      <c r="U2769" t="str">
        <f t="shared" si="130"/>
        <v>a1cdbe</v>
      </c>
      <c r="V2769">
        <v>0</v>
      </c>
      <c r="W2769">
        <v>0</v>
      </c>
      <c r="X2769">
        <v>1</v>
      </c>
      <c r="Y2769">
        <v>0</v>
      </c>
      <c r="Z2769">
        <v>0</v>
      </c>
      <c r="AB2769">
        <v>0</v>
      </c>
      <c r="AC2769">
        <v>9</v>
      </c>
      <c r="AD2769">
        <v>3</v>
      </c>
      <c r="AE2769">
        <v>0</v>
      </c>
      <c r="AF2769">
        <v>9</v>
      </c>
      <c r="AG2769" t="s">
        <v>158</v>
      </c>
      <c r="AH2769">
        <v>0</v>
      </c>
      <c r="AI2769">
        <v>3</v>
      </c>
      <c r="AJ2769">
        <v>1</v>
      </c>
      <c r="AK2769">
        <v>0</v>
      </c>
      <c r="AL2769" t="s">
        <v>5222</v>
      </c>
      <c r="AM2769">
        <v>46.973441000000001</v>
      </c>
      <c r="AN2769" t="s">
        <v>5223</v>
      </c>
      <c r="AO2769">
        <v>-123.3973</v>
      </c>
      <c r="AP2769">
        <v>100</v>
      </c>
      <c r="AQ2769">
        <v>2000</v>
      </c>
      <c r="AR2769" t="s">
        <v>118</v>
      </c>
      <c r="AS2769">
        <v>-72</v>
      </c>
      <c r="AT2769">
        <v>28</v>
      </c>
      <c r="AU2769">
        <v>64</v>
      </c>
      <c r="BC2769">
        <v>1200</v>
      </c>
      <c r="BD2769">
        <v>1</v>
      </c>
      <c r="BE2769" t="str">
        <f t="shared" si="131"/>
        <v xml:space="preserve">N215T   </v>
      </c>
      <c r="BF2769">
        <v>1</v>
      </c>
      <c r="BH2769">
        <v>0</v>
      </c>
      <c r="BI2769">
        <v>0</v>
      </c>
      <c r="BJ2769">
        <v>0</v>
      </c>
      <c r="BK2769">
        <v>2375</v>
      </c>
      <c r="BL2769">
        <v>375</v>
      </c>
      <c r="BM2769" t="s">
        <v>119</v>
      </c>
      <c r="BN2769">
        <v>1</v>
      </c>
      <c r="BO2769">
        <v>1</v>
      </c>
      <c r="BP2769">
        <v>1</v>
      </c>
      <c r="BQ2769">
        <v>0</v>
      </c>
      <c r="BT2769">
        <v>0</v>
      </c>
      <c r="BU2769">
        <v>0</v>
      </c>
      <c r="BV2769">
        <v>0</v>
      </c>
      <c r="CC2769" t="str">
        <f>"19:21:02.320"</f>
        <v>19:21:02.320</v>
      </c>
      <c r="CD2769" t="str">
        <f>"319920567"</f>
        <v>319920567</v>
      </c>
      <c r="CQ2769">
        <v>0</v>
      </c>
      <c r="CR2769">
        <v>2</v>
      </c>
      <c r="CS2769">
        <v>0</v>
      </c>
      <c r="CT2769">
        <v>2</v>
      </c>
      <c r="CU2769">
        <v>0</v>
      </c>
      <c r="CV2769">
        <v>5</v>
      </c>
      <c r="CW2769" t="s">
        <v>120</v>
      </c>
      <c r="CX2769">
        <v>261</v>
      </c>
      <c r="CY2769">
        <v>2</v>
      </c>
      <c r="CZ2769" t="s">
        <v>121</v>
      </c>
      <c r="DA2769" t="s">
        <v>122</v>
      </c>
      <c r="DD2769">
        <v>15981850</v>
      </c>
      <c r="DE2769" t="s">
        <v>123</v>
      </c>
    </row>
    <row r="2770" spans="1:109" x14ac:dyDescent="0.3">
      <c r="A2770" t="str">
        <f>"19:21:03.594"</f>
        <v>19:21:03.594</v>
      </c>
      <c r="B2770" t="s">
        <v>110</v>
      </c>
      <c r="C2770" t="str">
        <f t="shared" si="129"/>
        <v>ffdfd3c0</v>
      </c>
      <c r="D2770" t="s">
        <v>111</v>
      </c>
      <c r="E2770">
        <v>18</v>
      </c>
      <c r="F2770">
        <v>1018</v>
      </c>
      <c r="G2770" t="s">
        <v>112</v>
      </c>
      <c r="J2770" t="s">
        <v>113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R2770" t="s">
        <v>114</v>
      </c>
      <c r="S2770" t="str">
        <f>"19:21:03.367"</f>
        <v>19:21:03.367</v>
      </c>
      <c r="T2770" t="str">
        <f>"19:21:02.969"</f>
        <v>19:21:02.969</v>
      </c>
      <c r="U2770" t="str">
        <f t="shared" si="130"/>
        <v>a1cdbe</v>
      </c>
      <c r="V2770">
        <v>0</v>
      </c>
      <c r="W2770">
        <v>0</v>
      </c>
      <c r="X2770">
        <v>1</v>
      </c>
      <c r="Y2770">
        <v>0</v>
      </c>
      <c r="Z2770">
        <v>0</v>
      </c>
      <c r="AB2770">
        <v>0</v>
      </c>
      <c r="AC2770">
        <v>9</v>
      </c>
      <c r="AD2770">
        <v>3</v>
      </c>
      <c r="AE2770">
        <v>0</v>
      </c>
      <c r="AF2770">
        <v>9</v>
      </c>
      <c r="AG2770" t="s">
        <v>158</v>
      </c>
      <c r="AH2770">
        <v>0</v>
      </c>
      <c r="AI2770">
        <v>3</v>
      </c>
      <c r="AJ2770">
        <v>1</v>
      </c>
      <c r="AK2770">
        <v>0</v>
      </c>
      <c r="AL2770" t="s">
        <v>967</v>
      </c>
      <c r="AM2770">
        <v>46.973590999999999</v>
      </c>
      <c r="AN2770" t="s">
        <v>5224</v>
      </c>
      <c r="AO2770">
        <v>-123.397794</v>
      </c>
      <c r="AP2770">
        <v>100</v>
      </c>
      <c r="AQ2770">
        <v>2000</v>
      </c>
      <c r="AR2770" t="s">
        <v>118</v>
      </c>
      <c r="AS2770">
        <v>-72</v>
      </c>
      <c r="AT2770">
        <v>28</v>
      </c>
      <c r="AU2770">
        <v>64</v>
      </c>
      <c r="BC2770">
        <v>1200</v>
      </c>
      <c r="BD2770">
        <v>1</v>
      </c>
      <c r="BE2770" t="str">
        <f t="shared" si="131"/>
        <v xml:space="preserve">N215T   </v>
      </c>
      <c r="BF2770">
        <v>1</v>
      </c>
      <c r="BH2770">
        <v>0</v>
      </c>
      <c r="BI2770">
        <v>0</v>
      </c>
      <c r="BJ2770">
        <v>0</v>
      </c>
      <c r="BK2770">
        <v>2375</v>
      </c>
      <c r="BL2770">
        <v>375</v>
      </c>
      <c r="BM2770" t="s">
        <v>119</v>
      </c>
      <c r="BN2770">
        <v>1</v>
      </c>
      <c r="BO2770">
        <v>1</v>
      </c>
      <c r="BP2770">
        <v>1</v>
      </c>
      <c r="BQ2770">
        <v>0</v>
      </c>
      <c r="BT2770">
        <v>0</v>
      </c>
      <c r="BU2770">
        <v>0</v>
      </c>
      <c r="BV2770">
        <v>0</v>
      </c>
      <c r="CC2770" t="str">
        <f>"19:21:03.367"</f>
        <v>19:21:03.367</v>
      </c>
      <c r="CD2770" t="str">
        <f>"369817182"</f>
        <v>369817182</v>
      </c>
      <c r="CQ2770">
        <v>0</v>
      </c>
      <c r="CR2770">
        <v>2</v>
      </c>
      <c r="CS2770">
        <v>0</v>
      </c>
      <c r="CT2770">
        <v>2</v>
      </c>
      <c r="CU2770">
        <v>0</v>
      </c>
      <c r="CV2770">
        <v>5</v>
      </c>
      <c r="CW2770" t="s">
        <v>120</v>
      </c>
      <c r="CX2770">
        <v>261</v>
      </c>
      <c r="CY2770">
        <v>3</v>
      </c>
      <c r="CZ2770" t="s">
        <v>121</v>
      </c>
      <c r="DA2770" t="s">
        <v>122</v>
      </c>
      <c r="DD2770">
        <v>3857295</v>
      </c>
      <c r="DE2770" t="s">
        <v>123</v>
      </c>
    </row>
    <row r="2771" spans="1:109" x14ac:dyDescent="0.3">
      <c r="A2771" t="str">
        <f>"19:21:04.453"</f>
        <v>19:21:04.453</v>
      </c>
      <c r="B2771" t="s">
        <v>110</v>
      </c>
      <c r="C2771" t="str">
        <f t="shared" si="129"/>
        <v>ffdfd3c0</v>
      </c>
      <c r="D2771" t="s">
        <v>111</v>
      </c>
      <c r="E2771">
        <v>18</v>
      </c>
      <c r="F2771">
        <v>1018</v>
      </c>
      <c r="G2771" t="s">
        <v>112</v>
      </c>
      <c r="J2771" t="s">
        <v>113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R2771" t="s">
        <v>114</v>
      </c>
      <c r="S2771" t="str">
        <f>"19:21:04.234"</f>
        <v>19:21:04.234</v>
      </c>
      <c r="T2771" t="str">
        <f>"19:21:04.133"</f>
        <v>19:21:04.133</v>
      </c>
      <c r="U2771" t="str">
        <f t="shared" si="130"/>
        <v>a1cdbe</v>
      </c>
      <c r="V2771">
        <v>0</v>
      </c>
      <c r="W2771">
        <v>0</v>
      </c>
      <c r="X2771">
        <v>1</v>
      </c>
      <c r="Y2771">
        <v>0</v>
      </c>
      <c r="Z2771">
        <v>0</v>
      </c>
      <c r="AB2771">
        <v>0</v>
      </c>
      <c r="AC2771">
        <v>9</v>
      </c>
      <c r="AD2771">
        <v>3</v>
      </c>
      <c r="AE2771">
        <v>0</v>
      </c>
      <c r="AF2771">
        <v>9</v>
      </c>
      <c r="AG2771" t="s">
        <v>158</v>
      </c>
      <c r="AH2771">
        <v>0</v>
      </c>
      <c r="AI2771">
        <v>3</v>
      </c>
      <c r="AJ2771">
        <v>1</v>
      </c>
      <c r="AK2771">
        <v>0</v>
      </c>
      <c r="AL2771" t="s">
        <v>5225</v>
      </c>
      <c r="AM2771">
        <v>46.973677000000002</v>
      </c>
      <c r="AN2771" t="s">
        <v>5226</v>
      </c>
      <c r="AO2771">
        <v>-123.398223</v>
      </c>
      <c r="AP2771">
        <v>100</v>
      </c>
      <c r="AQ2771">
        <v>2000</v>
      </c>
      <c r="AR2771" t="s">
        <v>118</v>
      </c>
      <c r="AS2771">
        <v>-72</v>
      </c>
      <c r="AT2771">
        <v>27</v>
      </c>
      <c r="AU2771">
        <v>64</v>
      </c>
      <c r="BC2771">
        <v>1200</v>
      </c>
      <c r="BD2771">
        <v>1</v>
      </c>
      <c r="BE2771" t="str">
        <f t="shared" si="131"/>
        <v xml:space="preserve">N215T   </v>
      </c>
      <c r="BF2771">
        <v>1</v>
      </c>
      <c r="BH2771">
        <v>0</v>
      </c>
      <c r="BI2771">
        <v>0</v>
      </c>
      <c r="BJ2771">
        <v>0</v>
      </c>
      <c r="BK2771">
        <v>2375</v>
      </c>
      <c r="BL2771">
        <v>375</v>
      </c>
      <c r="BM2771" t="s">
        <v>119</v>
      </c>
      <c r="BN2771">
        <v>1</v>
      </c>
      <c r="BO2771">
        <v>1</v>
      </c>
      <c r="BP2771">
        <v>1</v>
      </c>
      <c r="BQ2771">
        <v>0</v>
      </c>
      <c r="BT2771">
        <v>0</v>
      </c>
      <c r="BU2771">
        <v>0</v>
      </c>
      <c r="BV2771">
        <v>0</v>
      </c>
      <c r="CC2771" t="str">
        <f>"19:21:04.242"</f>
        <v>19:21:04.242</v>
      </c>
      <c r="CD2771" t="str">
        <f>"239711781"</f>
        <v>239711781</v>
      </c>
      <c r="CQ2771">
        <v>0</v>
      </c>
      <c r="CR2771">
        <v>2</v>
      </c>
      <c r="CS2771">
        <v>0</v>
      </c>
      <c r="CT2771">
        <v>2</v>
      </c>
      <c r="CU2771">
        <v>0</v>
      </c>
      <c r="CV2771">
        <v>3</v>
      </c>
      <c r="CW2771" t="s">
        <v>120</v>
      </c>
      <c r="CX2771">
        <v>257</v>
      </c>
      <c r="CY2771">
        <v>0</v>
      </c>
      <c r="CZ2771" t="s">
        <v>615</v>
      </c>
      <c r="DA2771" t="s">
        <v>616</v>
      </c>
      <c r="DD2771">
        <v>16089460</v>
      </c>
      <c r="DE2771" t="s">
        <v>123</v>
      </c>
    </row>
    <row r="2772" spans="1:109" x14ac:dyDescent="0.3">
      <c r="A2772" t="str">
        <f>"19:21:05.414"</f>
        <v>19:21:05.414</v>
      </c>
      <c r="B2772" t="s">
        <v>110</v>
      </c>
      <c r="C2772" t="str">
        <f t="shared" si="129"/>
        <v>ffdfd3c0</v>
      </c>
      <c r="D2772" t="s">
        <v>111</v>
      </c>
      <c r="E2772">
        <v>18</v>
      </c>
      <c r="F2772">
        <v>1018</v>
      </c>
      <c r="G2772" t="s">
        <v>112</v>
      </c>
      <c r="J2772" t="s">
        <v>113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R2772" t="s">
        <v>114</v>
      </c>
      <c r="S2772" t="str">
        <f>"19:21:05.164"</f>
        <v>19:21:05.164</v>
      </c>
      <c r="T2772" t="str">
        <f>"19:21:05.063"</f>
        <v>19:21:05.063</v>
      </c>
      <c r="U2772" t="str">
        <f t="shared" si="130"/>
        <v>a1cdbe</v>
      </c>
      <c r="V2772">
        <v>0</v>
      </c>
      <c r="W2772">
        <v>0</v>
      </c>
      <c r="X2772">
        <v>1</v>
      </c>
      <c r="Y2772">
        <v>0</v>
      </c>
      <c r="Z2772">
        <v>0</v>
      </c>
      <c r="AB2772">
        <v>0</v>
      </c>
      <c r="AC2772">
        <v>9</v>
      </c>
      <c r="AD2772">
        <v>3</v>
      </c>
      <c r="AE2772">
        <v>0</v>
      </c>
      <c r="AF2772">
        <v>9</v>
      </c>
      <c r="AG2772" t="s">
        <v>158</v>
      </c>
      <c r="AH2772">
        <v>0</v>
      </c>
      <c r="AI2772">
        <v>3</v>
      </c>
      <c r="AJ2772">
        <v>1</v>
      </c>
      <c r="AK2772">
        <v>0</v>
      </c>
      <c r="AL2772" t="s">
        <v>5227</v>
      </c>
      <c r="AM2772">
        <v>46.973784000000002</v>
      </c>
      <c r="AN2772" t="s">
        <v>5228</v>
      </c>
      <c r="AO2772">
        <v>-123.39871599999999</v>
      </c>
      <c r="AP2772">
        <v>100</v>
      </c>
      <c r="AQ2772">
        <v>2000</v>
      </c>
      <c r="AR2772" t="s">
        <v>118</v>
      </c>
      <c r="AS2772">
        <v>-72</v>
      </c>
      <c r="AT2772">
        <v>26</v>
      </c>
      <c r="AU2772">
        <v>64</v>
      </c>
      <c r="BC2772">
        <v>1200</v>
      </c>
      <c r="BD2772">
        <v>1</v>
      </c>
      <c r="BE2772" t="str">
        <f t="shared" si="131"/>
        <v xml:space="preserve">N215T   </v>
      </c>
      <c r="BF2772">
        <v>1</v>
      </c>
      <c r="BH2772">
        <v>0</v>
      </c>
      <c r="BI2772">
        <v>0</v>
      </c>
      <c r="BJ2772">
        <v>0</v>
      </c>
      <c r="BK2772">
        <v>2375</v>
      </c>
      <c r="BL2772">
        <v>375</v>
      </c>
      <c r="BM2772" t="s">
        <v>119</v>
      </c>
      <c r="BN2772">
        <v>1</v>
      </c>
      <c r="BO2772">
        <v>1</v>
      </c>
      <c r="BP2772">
        <v>1</v>
      </c>
      <c r="BQ2772">
        <v>0</v>
      </c>
      <c r="BT2772">
        <v>0</v>
      </c>
      <c r="BU2772">
        <v>0</v>
      </c>
      <c r="BV2772">
        <v>0</v>
      </c>
      <c r="CC2772" t="str">
        <f>"19:21:05.172"</f>
        <v>19:21:05.172</v>
      </c>
      <c r="CD2772" t="str">
        <f>"169639935"</f>
        <v>169639935</v>
      </c>
      <c r="CQ2772">
        <v>0</v>
      </c>
      <c r="CR2772">
        <v>2</v>
      </c>
      <c r="CS2772">
        <v>0</v>
      </c>
      <c r="CT2772">
        <v>2</v>
      </c>
      <c r="CU2772">
        <v>0</v>
      </c>
      <c r="CV2772">
        <v>5</v>
      </c>
      <c r="CW2772" t="s">
        <v>120</v>
      </c>
      <c r="CX2772">
        <v>261</v>
      </c>
      <c r="CY2772">
        <v>3</v>
      </c>
      <c r="CZ2772" t="s">
        <v>121</v>
      </c>
      <c r="DA2772" t="s">
        <v>122</v>
      </c>
      <c r="DD2772">
        <v>3857653</v>
      </c>
      <c r="DE2772" t="s">
        <v>123</v>
      </c>
    </row>
    <row r="2773" spans="1:109" x14ac:dyDescent="0.3">
      <c r="A2773" t="str">
        <f>"19:21:06.313"</f>
        <v>19:21:06.313</v>
      </c>
      <c r="B2773" t="s">
        <v>110</v>
      </c>
      <c r="C2773" t="str">
        <f t="shared" si="129"/>
        <v>ffdfd3c0</v>
      </c>
      <c r="D2773" t="s">
        <v>111</v>
      </c>
      <c r="E2773">
        <v>18</v>
      </c>
      <c r="F2773">
        <v>1018</v>
      </c>
      <c r="G2773" t="s">
        <v>112</v>
      </c>
      <c r="J2773" t="s">
        <v>113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R2773" t="s">
        <v>114</v>
      </c>
      <c r="S2773" t="str">
        <f>"19:21:06.078"</f>
        <v>19:21:06.078</v>
      </c>
      <c r="T2773" t="str">
        <f>"19:21:05.977"</f>
        <v>19:21:05.977</v>
      </c>
      <c r="U2773" t="str">
        <f t="shared" si="130"/>
        <v>a1cdbe</v>
      </c>
      <c r="V2773">
        <v>0</v>
      </c>
      <c r="W2773">
        <v>0</v>
      </c>
      <c r="X2773">
        <v>1</v>
      </c>
      <c r="Y2773">
        <v>0</v>
      </c>
      <c r="Z2773">
        <v>0</v>
      </c>
      <c r="AB2773">
        <v>0</v>
      </c>
      <c r="AC2773">
        <v>9</v>
      </c>
      <c r="AD2773">
        <v>3</v>
      </c>
      <c r="AE2773">
        <v>0</v>
      </c>
      <c r="AF2773">
        <v>9</v>
      </c>
      <c r="AG2773" t="s">
        <v>158</v>
      </c>
      <c r="AH2773">
        <v>0</v>
      </c>
      <c r="AI2773">
        <v>3</v>
      </c>
      <c r="AJ2773">
        <v>1</v>
      </c>
      <c r="AK2773">
        <v>0</v>
      </c>
      <c r="AL2773" t="s">
        <v>5229</v>
      </c>
      <c r="AM2773">
        <v>46.973869999999998</v>
      </c>
      <c r="AN2773" t="s">
        <v>5230</v>
      </c>
      <c r="AO2773">
        <v>-123.399124</v>
      </c>
      <c r="AP2773">
        <v>100</v>
      </c>
      <c r="AQ2773">
        <v>2000</v>
      </c>
      <c r="AR2773" t="s">
        <v>118</v>
      </c>
      <c r="AS2773">
        <v>-72</v>
      </c>
      <c r="AT2773">
        <v>25</v>
      </c>
      <c r="AU2773">
        <v>64</v>
      </c>
      <c r="BC2773">
        <v>1200</v>
      </c>
      <c r="BD2773">
        <v>1</v>
      </c>
      <c r="BE2773" t="str">
        <f t="shared" si="131"/>
        <v xml:space="preserve">N215T   </v>
      </c>
      <c r="BF2773">
        <v>1</v>
      </c>
      <c r="BH2773">
        <v>0</v>
      </c>
      <c r="BI2773">
        <v>0</v>
      </c>
      <c r="BJ2773">
        <v>0</v>
      </c>
      <c r="BK2773">
        <v>2375</v>
      </c>
      <c r="BL2773">
        <v>375</v>
      </c>
      <c r="BM2773" t="s">
        <v>119</v>
      </c>
      <c r="BN2773">
        <v>1</v>
      </c>
      <c r="BO2773">
        <v>1</v>
      </c>
      <c r="BP2773">
        <v>1</v>
      </c>
      <c r="BQ2773">
        <v>0</v>
      </c>
      <c r="BT2773">
        <v>0</v>
      </c>
      <c r="BU2773">
        <v>0</v>
      </c>
      <c r="BV2773">
        <v>0</v>
      </c>
      <c r="CC2773" t="str">
        <f>"19:21:06.086"</f>
        <v>19:21:06.086</v>
      </c>
      <c r="CD2773" t="str">
        <f>"084549810"</f>
        <v>084549810</v>
      </c>
      <c r="CQ2773">
        <v>0</v>
      </c>
      <c r="CR2773">
        <v>2</v>
      </c>
      <c r="CS2773">
        <v>0</v>
      </c>
      <c r="CT2773">
        <v>2</v>
      </c>
      <c r="CU2773">
        <v>0</v>
      </c>
      <c r="CV2773">
        <v>5</v>
      </c>
      <c r="CW2773" t="s">
        <v>120</v>
      </c>
      <c r="CX2773">
        <v>261</v>
      </c>
      <c r="CY2773">
        <v>2</v>
      </c>
      <c r="CZ2773" t="s">
        <v>121</v>
      </c>
      <c r="DA2773" t="s">
        <v>122</v>
      </c>
      <c r="DD2773">
        <v>15984284</v>
      </c>
      <c r="DE2773" t="s">
        <v>123</v>
      </c>
    </row>
    <row r="2774" spans="1:109" x14ac:dyDescent="0.3">
      <c r="A2774" t="str">
        <f>"19:21:07.414"</f>
        <v>19:21:07.414</v>
      </c>
      <c r="B2774" t="s">
        <v>110</v>
      </c>
      <c r="C2774" t="str">
        <f t="shared" si="129"/>
        <v>ffdfd3c0</v>
      </c>
      <c r="D2774" t="s">
        <v>111</v>
      </c>
      <c r="E2774">
        <v>18</v>
      </c>
      <c r="F2774">
        <v>1018</v>
      </c>
      <c r="G2774" t="s">
        <v>112</v>
      </c>
      <c r="J2774" t="s">
        <v>113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R2774" t="s">
        <v>114</v>
      </c>
      <c r="S2774" t="str">
        <f>"19:21:07.172"</f>
        <v>19:21:07.172</v>
      </c>
      <c r="T2774" t="str">
        <f>"19:21:07.070"</f>
        <v>19:21:07.070</v>
      </c>
      <c r="U2774" t="str">
        <f t="shared" si="130"/>
        <v>a1cdbe</v>
      </c>
      <c r="V2774">
        <v>0</v>
      </c>
      <c r="W2774">
        <v>0</v>
      </c>
      <c r="X2774">
        <v>1</v>
      </c>
      <c r="Y2774">
        <v>0</v>
      </c>
      <c r="Z2774">
        <v>0</v>
      </c>
      <c r="AB2774">
        <v>0</v>
      </c>
      <c r="AC2774">
        <v>9</v>
      </c>
      <c r="AD2774">
        <v>3</v>
      </c>
      <c r="AE2774">
        <v>0</v>
      </c>
      <c r="AF2774">
        <v>9</v>
      </c>
      <c r="AG2774" t="s">
        <v>158</v>
      </c>
      <c r="AH2774">
        <v>0</v>
      </c>
      <c r="AI2774">
        <v>3</v>
      </c>
      <c r="AJ2774">
        <v>1</v>
      </c>
      <c r="AK2774">
        <v>0</v>
      </c>
      <c r="AL2774" t="s">
        <v>5231</v>
      </c>
      <c r="AM2774">
        <v>46.974020000000003</v>
      </c>
      <c r="AN2774" t="s">
        <v>5232</v>
      </c>
      <c r="AO2774">
        <v>-123.399682</v>
      </c>
      <c r="AP2774">
        <v>100</v>
      </c>
      <c r="AQ2774">
        <v>2000</v>
      </c>
      <c r="AR2774" t="s">
        <v>118</v>
      </c>
      <c r="AS2774">
        <v>-73</v>
      </c>
      <c r="AT2774">
        <v>24</v>
      </c>
      <c r="AU2774">
        <v>64</v>
      </c>
      <c r="BC2774">
        <v>1200</v>
      </c>
      <c r="BD2774">
        <v>1</v>
      </c>
      <c r="BE2774" t="str">
        <f t="shared" si="131"/>
        <v xml:space="preserve">N215T   </v>
      </c>
      <c r="BF2774">
        <v>1</v>
      </c>
      <c r="BH2774">
        <v>0</v>
      </c>
      <c r="BI2774">
        <v>0</v>
      </c>
      <c r="BJ2774">
        <v>0</v>
      </c>
      <c r="BK2774">
        <v>2375</v>
      </c>
      <c r="BL2774">
        <v>375</v>
      </c>
      <c r="BM2774" t="s">
        <v>119</v>
      </c>
      <c r="BN2774">
        <v>1</v>
      </c>
      <c r="BO2774">
        <v>1</v>
      </c>
      <c r="BP2774">
        <v>1</v>
      </c>
      <c r="BQ2774">
        <v>0</v>
      </c>
      <c r="BT2774">
        <v>0</v>
      </c>
      <c r="BU2774">
        <v>0</v>
      </c>
      <c r="BV2774">
        <v>0</v>
      </c>
      <c r="CC2774" t="str">
        <f>"19:21:07.180"</f>
        <v>19:21:07.180</v>
      </c>
      <c r="CD2774" t="str">
        <f>"179441984"</f>
        <v>179441984</v>
      </c>
      <c r="CQ2774">
        <v>0</v>
      </c>
      <c r="CR2774">
        <v>2</v>
      </c>
      <c r="CS2774">
        <v>0</v>
      </c>
      <c r="CT2774">
        <v>2</v>
      </c>
      <c r="CU2774">
        <v>0</v>
      </c>
      <c r="CV2774">
        <v>5</v>
      </c>
      <c r="CW2774" t="s">
        <v>120</v>
      </c>
      <c r="CX2774">
        <v>261</v>
      </c>
      <c r="CY2774">
        <v>2</v>
      </c>
      <c r="CZ2774" t="s">
        <v>121</v>
      </c>
      <c r="DA2774" t="s">
        <v>122</v>
      </c>
      <c r="DD2774">
        <v>15985031</v>
      </c>
      <c r="DE2774" t="s">
        <v>123</v>
      </c>
    </row>
    <row r="2775" spans="1:109" x14ac:dyDescent="0.3">
      <c r="A2775" t="str">
        <f>"19:21:08.523"</f>
        <v>19:21:08.523</v>
      </c>
      <c r="B2775" t="s">
        <v>110</v>
      </c>
      <c r="C2775" t="str">
        <f t="shared" si="129"/>
        <v>ffdfd3c0</v>
      </c>
      <c r="D2775" t="s">
        <v>111</v>
      </c>
      <c r="E2775">
        <v>18</v>
      </c>
      <c r="F2775">
        <v>1018</v>
      </c>
      <c r="G2775" t="s">
        <v>112</v>
      </c>
      <c r="J2775" t="s">
        <v>113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R2775" t="s">
        <v>114</v>
      </c>
      <c r="S2775" t="str">
        <f>"19:21:08.297"</f>
        <v>19:21:08.297</v>
      </c>
      <c r="T2775" t="str">
        <f>"19:21:07.898"</f>
        <v>19:21:07.898</v>
      </c>
      <c r="U2775" t="str">
        <f t="shared" si="130"/>
        <v>a1cdbe</v>
      </c>
      <c r="V2775">
        <v>0</v>
      </c>
      <c r="W2775">
        <v>0</v>
      </c>
      <c r="X2775">
        <v>1</v>
      </c>
      <c r="Y2775">
        <v>0</v>
      </c>
      <c r="Z2775">
        <v>0</v>
      </c>
      <c r="AB2775">
        <v>0</v>
      </c>
      <c r="AC2775">
        <v>9</v>
      </c>
      <c r="AD2775">
        <v>3</v>
      </c>
      <c r="AE2775">
        <v>0</v>
      </c>
      <c r="AF2775">
        <v>9</v>
      </c>
      <c r="AG2775" t="s">
        <v>158</v>
      </c>
      <c r="AH2775">
        <v>0</v>
      </c>
      <c r="AI2775">
        <v>3</v>
      </c>
      <c r="AJ2775">
        <v>1</v>
      </c>
      <c r="AK2775">
        <v>0</v>
      </c>
      <c r="AL2775" t="s">
        <v>5233</v>
      </c>
      <c r="AM2775">
        <v>46.974148999999997</v>
      </c>
      <c r="AN2775" t="s">
        <v>5234</v>
      </c>
      <c r="AO2775">
        <v>-123.40019700000001</v>
      </c>
      <c r="AP2775">
        <v>100</v>
      </c>
      <c r="AQ2775">
        <v>2000</v>
      </c>
      <c r="AR2775" t="s">
        <v>118</v>
      </c>
      <c r="AS2775">
        <v>-73</v>
      </c>
      <c r="AT2775">
        <v>23</v>
      </c>
      <c r="AU2775">
        <v>0</v>
      </c>
      <c r="BC2775">
        <v>1200</v>
      </c>
      <c r="BD2775">
        <v>1</v>
      </c>
      <c r="BE2775" t="str">
        <f t="shared" si="131"/>
        <v xml:space="preserve">N215T   </v>
      </c>
      <c r="BF2775">
        <v>1</v>
      </c>
      <c r="BH2775">
        <v>0</v>
      </c>
      <c r="BI2775">
        <v>0</v>
      </c>
      <c r="BJ2775">
        <v>0</v>
      </c>
      <c r="BK2775">
        <v>2375</v>
      </c>
      <c r="BL2775">
        <v>375</v>
      </c>
      <c r="BM2775" t="s">
        <v>119</v>
      </c>
      <c r="BN2775">
        <v>1</v>
      </c>
      <c r="BO2775">
        <v>1</v>
      </c>
      <c r="BP2775">
        <v>1</v>
      </c>
      <c r="BQ2775">
        <v>0</v>
      </c>
      <c r="BT2775">
        <v>0</v>
      </c>
      <c r="BU2775">
        <v>0</v>
      </c>
      <c r="BV2775">
        <v>0</v>
      </c>
      <c r="CC2775" t="str">
        <f>"19:21:08.305"</f>
        <v>19:21:08.305</v>
      </c>
      <c r="CD2775" t="str">
        <f>"304331220"</f>
        <v>304331220</v>
      </c>
      <c r="CQ2775">
        <v>0</v>
      </c>
      <c r="CR2775">
        <v>2</v>
      </c>
      <c r="CS2775">
        <v>0</v>
      </c>
      <c r="CT2775">
        <v>2</v>
      </c>
      <c r="CU2775">
        <v>0</v>
      </c>
      <c r="CV2775">
        <v>5</v>
      </c>
      <c r="CW2775" t="s">
        <v>120</v>
      </c>
      <c r="CX2775">
        <v>261</v>
      </c>
      <c r="CY2775">
        <v>2</v>
      </c>
      <c r="CZ2775" t="s">
        <v>121</v>
      </c>
      <c r="DA2775" t="s">
        <v>122</v>
      </c>
      <c r="DD2775">
        <v>15985779</v>
      </c>
      <c r="DE2775" t="s">
        <v>123</v>
      </c>
    </row>
    <row r="2776" spans="1:109" x14ac:dyDescent="0.3">
      <c r="A2776" t="str">
        <f>"19:21:09.633"</f>
        <v>19:21:09.633</v>
      </c>
      <c r="B2776" t="s">
        <v>110</v>
      </c>
      <c r="C2776" t="str">
        <f t="shared" si="129"/>
        <v>ffdfd3c0</v>
      </c>
      <c r="D2776" t="s">
        <v>111</v>
      </c>
      <c r="E2776">
        <v>18</v>
      </c>
      <c r="F2776">
        <v>1018</v>
      </c>
      <c r="G2776" t="s">
        <v>112</v>
      </c>
      <c r="J2776" t="s">
        <v>113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R2776" t="s">
        <v>114</v>
      </c>
      <c r="S2776" t="str">
        <f>"19:21:09.367"</f>
        <v>19:21:09.367</v>
      </c>
      <c r="T2776" t="str">
        <f>"19:21:08.969"</f>
        <v>19:21:08.969</v>
      </c>
      <c r="U2776" t="str">
        <f t="shared" si="130"/>
        <v>a1cdbe</v>
      </c>
      <c r="V2776">
        <v>0</v>
      </c>
      <c r="W2776">
        <v>0</v>
      </c>
      <c r="X2776">
        <v>1</v>
      </c>
      <c r="Y2776">
        <v>0</v>
      </c>
      <c r="Z2776">
        <v>0</v>
      </c>
      <c r="AB2776">
        <v>0</v>
      </c>
      <c r="AC2776">
        <v>9</v>
      </c>
      <c r="AD2776">
        <v>3</v>
      </c>
      <c r="AE2776">
        <v>0</v>
      </c>
      <c r="AF2776">
        <v>9</v>
      </c>
      <c r="AG2776" t="s">
        <v>158</v>
      </c>
      <c r="AH2776">
        <v>0</v>
      </c>
      <c r="AI2776">
        <v>3</v>
      </c>
      <c r="AJ2776">
        <v>1</v>
      </c>
      <c r="AK2776">
        <v>0</v>
      </c>
      <c r="AL2776" t="s">
        <v>5235</v>
      </c>
      <c r="AM2776">
        <v>46.974235</v>
      </c>
      <c r="AN2776" t="s">
        <v>5236</v>
      </c>
      <c r="AO2776">
        <v>-123.400755</v>
      </c>
      <c r="AP2776">
        <v>100</v>
      </c>
      <c r="AQ2776">
        <v>2000</v>
      </c>
      <c r="AR2776" t="s">
        <v>118</v>
      </c>
      <c r="AS2776">
        <v>-73</v>
      </c>
      <c r="AT2776">
        <v>23</v>
      </c>
      <c r="AU2776">
        <v>0</v>
      </c>
      <c r="BC2776">
        <v>1200</v>
      </c>
      <c r="BD2776">
        <v>1</v>
      </c>
      <c r="BE2776" t="str">
        <f t="shared" si="131"/>
        <v xml:space="preserve">N215T   </v>
      </c>
      <c r="BF2776">
        <v>1</v>
      </c>
      <c r="BH2776">
        <v>0</v>
      </c>
      <c r="BI2776">
        <v>0</v>
      </c>
      <c r="BJ2776">
        <v>0</v>
      </c>
      <c r="BK2776">
        <v>2375</v>
      </c>
      <c r="BL2776">
        <v>375</v>
      </c>
      <c r="BM2776" t="s">
        <v>119</v>
      </c>
      <c r="BN2776">
        <v>1</v>
      </c>
      <c r="BO2776">
        <v>1</v>
      </c>
      <c r="BP2776">
        <v>1</v>
      </c>
      <c r="BQ2776">
        <v>0</v>
      </c>
      <c r="BT2776">
        <v>0</v>
      </c>
      <c r="BU2776">
        <v>0</v>
      </c>
      <c r="BV2776">
        <v>0</v>
      </c>
      <c r="CC2776" t="str">
        <f>"19:21:09.367"</f>
        <v>19:21:09.367</v>
      </c>
      <c r="CD2776" t="str">
        <f>"369226350"</f>
        <v>369226350</v>
      </c>
      <c r="CQ2776">
        <v>0</v>
      </c>
      <c r="CR2776">
        <v>2</v>
      </c>
      <c r="CS2776">
        <v>0</v>
      </c>
      <c r="CT2776">
        <v>2</v>
      </c>
      <c r="CU2776">
        <v>0</v>
      </c>
      <c r="CV2776">
        <v>5</v>
      </c>
      <c r="CW2776" t="s">
        <v>120</v>
      </c>
      <c r="CX2776">
        <v>261</v>
      </c>
      <c r="CY2776">
        <v>2</v>
      </c>
      <c r="CZ2776" t="s">
        <v>121</v>
      </c>
      <c r="DA2776" t="s">
        <v>122</v>
      </c>
      <c r="DD2776">
        <v>15986478</v>
      </c>
      <c r="DE2776" t="s">
        <v>123</v>
      </c>
    </row>
    <row r="2777" spans="1:109" x14ac:dyDescent="0.3">
      <c r="A2777" t="str">
        <f>"19:21:10.586"</f>
        <v>19:21:10.586</v>
      </c>
      <c r="B2777" t="s">
        <v>110</v>
      </c>
      <c r="C2777" t="str">
        <f t="shared" si="129"/>
        <v>ffdfd3c0</v>
      </c>
      <c r="D2777" t="s">
        <v>111</v>
      </c>
      <c r="E2777">
        <v>18</v>
      </c>
      <c r="F2777">
        <v>1018</v>
      </c>
      <c r="G2777" t="s">
        <v>112</v>
      </c>
      <c r="J2777" t="s">
        <v>113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R2777" t="s">
        <v>114</v>
      </c>
      <c r="S2777" t="str">
        <f>"19:21:10.352"</f>
        <v>19:21:10.352</v>
      </c>
      <c r="T2777" t="str">
        <f>"19:21:09.953"</f>
        <v>19:21:09.953</v>
      </c>
      <c r="U2777" t="str">
        <f t="shared" si="130"/>
        <v>a1cdbe</v>
      </c>
      <c r="V2777">
        <v>0</v>
      </c>
      <c r="W2777">
        <v>0</v>
      </c>
      <c r="X2777">
        <v>1</v>
      </c>
      <c r="Y2777">
        <v>0</v>
      </c>
      <c r="Z2777">
        <v>0</v>
      </c>
      <c r="AB2777">
        <v>0</v>
      </c>
      <c r="AC2777">
        <v>9</v>
      </c>
      <c r="AD2777">
        <v>3</v>
      </c>
      <c r="AE2777">
        <v>0</v>
      </c>
      <c r="AF2777">
        <v>9</v>
      </c>
      <c r="AG2777" t="s">
        <v>158</v>
      </c>
      <c r="AH2777">
        <v>0</v>
      </c>
      <c r="AI2777">
        <v>3</v>
      </c>
      <c r="AJ2777">
        <v>1</v>
      </c>
      <c r="AK2777">
        <v>0</v>
      </c>
      <c r="AL2777" t="s">
        <v>5237</v>
      </c>
      <c r="AM2777">
        <v>46.974342</v>
      </c>
      <c r="AN2777" t="s">
        <v>5238</v>
      </c>
      <c r="AO2777">
        <v>-123.401248</v>
      </c>
      <c r="AP2777">
        <v>100</v>
      </c>
      <c r="AQ2777">
        <v>2000</v>
      </c>
      <c r="AR2777" t="s">
        <v>118</v>
      </c>
      <c r="AS2777">
        <v>-73</v>
      </c>
      <c r="AT2777">
        <v>22</v>
      </c>
      <c r="AU2777">
        <v>0</v>
      </c>
      <c r="BC2777">
        <v>1200</v>
      </c>
      <c r="BD2777">
        <v>1</v>
      </c>
      <c r="BE2777" t="str">
        <f t="shared" si="131"/>
        <v xml:space="preserve">N215T   </v>
      </c>
      <c r="BF2777">
        <v>1</v>
      </c>
      <c r="BH2777">
        <v>0</v>
      </c>
      <c r="BI2777">
        <v>0</v>
      </c>
      <c r="BJ2777">
        <v>0</v>
      </c>
      <c r="BK2777">
        <v>2375</v>
      </c>
      <c r="BL2777">
        <v>375</v>
      </c>
      <c r="BM2777" t="s">
        <v>119</v>
      </c>
      <c r="BN2777">
        <v>1</v>
      </c>
      <c r="BO2777">
        <v>1</v>
      </c>
      <c r="BP2777">
        <v>1</v>
      </c>
      <c r="BQ2777">
        <v>0</v>
      </c>
      <c r="BT2777">
        <v>0</v>
      </c>
      <c r="BU2777">
        <v>0</v>
      </c>
      <c r="BV2777">
        <v>0</v>
      </c>
      <c r="CC2777" t="str">
        <f>"19:21:10.359"</f>
        <v>19:21:10.359</v>
      </c>
      <c r="CD2777" t="str">
        <f>"359128868"</f>
        <v>359128868</v>
      </c>
      <c r="CQ2777">
        <v>0</v>
      </c>
      <c r="CR2777">
        <v>2</v>
      </c>
      <c r="CS2777">
        <v>0</v>
      </c>
      <c r="CT2777">
        <v>2</v>
      </c>
      <c r="CU2777">
        <v>0</v>
      </c>
      <c r="CV2777">
        <v>5</v>
      </c>
      <c r="CW2777" t="s">
        <v>120</v>
      </c>
      <c r="CX2777">
        <v>261</v>
      </c>
      <c r="CY2777">
        <v>2</v>
      </c>
      <c r="CZ2777" t="s">
        <v>121</v>
      </c>
      <c r="DA2777" t="s">
        <v>122</v>
      </c>
      <c r="DD2777">
        <v>15987201</v>
      </c>
      <c r="DE2777" t="s">
        <v>123</v>
      </c>
    </row>
    <row r="2778" spans="1:109" x14ac:dyDescent="0.3">
      <c r="A2778" t="str">
        <f>"19:21:11.492"</f>
        <v>19:21:11.492</v>
      </c>
      <c r="B2778" t="s">
        <v>110</v>
      </c>
      <c r="C2778" t="str">
        <f t="shared" si="129"/>
        <v>ffdfd3c0</v>
      </c>
      <c r="D2778" t="s">
        <v>111</v>
      </c>
      <c r="E2778">
        <v>18</v>
      </c>
      <c r="F2778">
        <v>1018</v>
      </c>
      <c r="G2778" t="s">
        <v>112</v>
      </c>
      <c r="J2778" t="s">
        <v>113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R2778" t="s">
        <v>114</v>
      </c>
      <c r="S2778" t="str">
        <f>"19:21:11.281"</f>
        <v>19:21:11.281</v>
      </c>
      <c r="T2778" t="str">
        <f>"19:21:11.078"</f>
        <v>19:21:11.078</v>
      </c>
      <c r="U2778" t="str">
        <f t="shared" si="130"/>
        <v>a1cdbe</v>
      </c>
      <c r="V2778">
        <v>0</v>
      </c>
      <c r="W2778">
        <v>0</v>
      </c>
      <c r="X2778">
        <v>1</v>
      </c>
      <c r="Y2778">
        <v>0</v>
      </c>
      <c r="Z2778">
        <v>0</v>
      </c>
      <c r="AB2778">
        <v>0</v>
      </c>
      <c r="AC2778">
        <v>9</v>
      </c>
      <c r="AD2778">
        <v>3</v>
      </c>
      <c r="AE2778">
        <v>0</v>
      </c>
      <c r="AF2778">
        <v>9</v>
      </c>
      <c r="AG2778" t="s">
        <v>158</v>
      </c>
      <c r="AH2778">
        <v>0</v>
      </c>
      <c r="AI2778">
        <v>3</v>
      </c>
      <c r="AJ2778">
        <v>1</v>
      </c>
      <c r="AK2778">
        <v>0</v>
      </c>
      <c r="AL2778" t="s">
        <v>5239</v>
      </c>
      <c r="AM2778">
        <v>46.974428000000003</v>
      </c>
      <c r="AN2778" t="s">
        <v>5240</v>
      </c>
      <c r="AO2778">
        <v>-123.401742</v>
      </c>
      <c r="AP2778">
        <v>100</v>
      </c>
      <c r="AQ2778">
        <v>2000</v>
      </c>
      <c r="AR2778" t="s">
        <v>118</v>
      </c>
      <c r="AS2778">
        <v>-74</v>
      </c>
      <c r="AT2778">
        <v>21</v>
      </c>
      <c r="AU2778">
        <v>0</v>
      </c>
      <c r="BC2778">
        <v>1200</v>
      </c>
      <c r="BD2778">
        <v>1</v>
      </c>
      <c r="BE2778" t="str">
        <f t="shared" si="131"/>
        <v xml:space="preserve">N215T   </v>
      </c>
      <c r="BF2778">
        <v>1</v>
      </c>
      <c r="BH2778">
        <v>0</v>
      </c>
      <c r="BI2778">
        <v>0</v>
      </c>
      <c r="BJ2778">
        <v>0</v>
      </c>
      <c r="BK2778">
        <v>2375</v>
      </c>
      <c r="BL2778">
        <v>375</v>
      </c>
      <c r="BM2778" t="s">
        <v>119</v>
      </c>
      <c r="BN2778">
        <v>1</v>
      </c>
      <c r="BO2778">
        <v>1</v>
      </c>
      <c r="BP2778">
        <v>1</v>
      </c>
      <c r="BQ2778">
        <v>0</v>
      </c>
      <c r="BT2778">
        <v>0</v>
      </c>
      <c r="BU2778">
        <v>0</v>
      </c>
      <c r="BV2778">
        <v>0</v>
      </c>
      <c r="CC2778" t="str">
        <f>"19:21:11.289"</f>
        <v>19:21:11.289</v>
      </c>
      <c r="CD2778" t="str">
        <f>"289037334"</f>
        <v>289037334</v>
      </c>
      <c r="CQ2778">
        <v>0</v>
      </c>
      <c r="CR2778">
        <v>2</v>
      </c>
      <c r="CS2778">
        <v>0</v>
      </c>
      <c r="CT2778">
        <v>2</v>
      </c>
      <c r="CU2778">
        <v>0</v>
      </c>
      <c r="CV2778">
        <v>5</v>
      </c>
      <c r="CW2778" t="s">
        <v>120</v>
      </c>
      <c r="CX2778">
        <v>261</v>
      </c>
      <c r="CY2778">
        <v>3</v>
      </c>
      <c r="CZ2778" t="s">
        <v>121</v>
      </c>
      <c r="DA2778" t="s">
        <v>122</v>
      </c>
      <c r="DD2778">
        <v>3859113</v>
      </c>
      <c r="DE2778" t="s">
        <v>123</v>
      </c>
    </row>
    <row r="2779" spans="1:109" x14ac:dyDescent="0.3">
      <c r="A2779" t="str">
        <f>"19:21:12.547"</f>
        <v>19:21:12.547</v>
      </c>
      <c r="B2779" t="s">
        <v>110</v>
      </c>
      <c r="C2779" t="str">
        <f t="shared" si="129"/>
        <v>ffdfd3c0</v>
      </c>
      <c r="D2779" t="s">
        <v>111</v>
      </c>
      <c r="E2779">
        <v>18</v>
      </c>
      <c r="F2779">
        <v>1018</v>
      </c>
      <c r="G2779" t="s">
        <v>112</v>
      </c>
      <c r="J2779" t="s">
        <v>113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R2779" t="s">
        <v>114</v>
      </c>
      <c r="S2779" t="str">
        <f>"19:21:12.273"</f>
        <v>19:21:12.273</v>
      </c>
      <c r="T2779" t="str">
        <f>"19:21:12.070"</f>
        <v>19:21:12.070</v>
      </c>
      <c r="U2779" t="str">
        <f t="shared" si="130"/>
        <v>a1cdbe</v>
      </c>
      <c r="V2779">
        <v>0</v>
      </c>
      <c r="W2779">
        <v>0</v>
      </c>
      <c r="X2779">
        <v>1</v>
      </c>
      <c r="Y2779">
        <v>0</v>
      </c>
      <c r="Z2779">
        <v>0</v>
      </c>
      <c r="AB2779">
        <v>0</v>
      </c>
      <c r="AC2779">
        <v>9</v>
      </c>
      <c r="AD2779">
        <v>3</v>
      </c>
      <c r="AE2779">
        <v>0</v>
      </c>
      <c r="AF2779">
        <v>9</v>
      </c>
      <c r="AG2779" t="s">
        <v>158</v>
      </c>
      <c r="AH2779">
        <v>0</v>
      </c>
      <c r="AI2779">
        <v>3</v>
      </c>
      <c r="AJ2779">
        <v>1</v>
      </c>
      <c r="AK2779">
        <v>0</v>
      </c>
      <c r="AL2779" t="s">
        <v>5241</v>
      </c>
      <c r="AM2779">
        <v>46.974513999999999</v>
      </c>
      <c r="AN2779" t="s">
        <v>5242</v>
      </c>
      <c r="AO2779">
        <v>-123.402171</v>
      </c>
      <c r="AP2779">
        <v>100</v>
      </c>
      <c r="AQ2779">
        <v>2000</v>
      </c>
      <c r="AR2779" t="s">
        <v>118</v>
      </c>
      <c r="AS2779">
        <v>-74</v>
      </c>
      <c r="AT2779">
        <v>21</v>
      </c>
      <c r="AU2779">
        <v>0</v>
      </c>
      <c r="BC2779">
        <v>1200</v>
      </c>
      <c r="BD2779">
        <v>1</v>
      </c>
      <c r="BE2779" t="str">
        <f t="shared" si="131"/>
        <v xml:space="preserve">N215T   </v>
      </c>
      <c r="BF2779">
        <v>1</v>
      </c>
      <c r="BH2779">
        <v>0</v>
      </c>
      <c r="BI2779">
        <v>0</v>
      </c>
      <c r="BJ2779">
        <v>0</v>
      </c>
      <c r="BK2779">
        <v>2375</v>
      </c>
      <c r="BL2779">
        <v>375</v>
      </c>
      <c r="BM2779" t="s">
        <v>119</v>
      </c>
      <c r="BN2779">
        <v>1</v>
      </c>
      <c r="BO2779">
        <v>1</v>
      </c>
      <c r="BP2779">
        <v>1</v>
      </c>
      <c r="BQ2779">
        <v>0</v>
      </c>
      <c r="BT2779">
        <v>0</v>
      </c>
      <c r="BU2779">
        <v>0</v>
      </c>
      <c r="BV2779">
        <v>0</v>
      </c>
      <c r="CC2779" t="str">
        <f>"19:21:12.281"</f>
        <v>19:21:12.281</v>
      </c>
      <c r="CD2779" t="str">
        <f>"278939856"</f>
        <v>278939856</v>
      </c>
      <c r="CQ2779">
        <v>0</v>
      </c>
      <c r="CR2779">
        <v>2</v>
      </c>
      <c r="CS2779">
        <v>0</v>
      </c>
      <c r="CT2779">
        <v>2</v>
      </c>
      <c r="CU2779">
        <v>0</v>
      </c>
      <c r="CV2779">
        <v>5</v>
      </c>
      <c r="CW2779" t="s">
        <v>120</v>
      </c>
      <c r="CX2779">
        <v>261</v>
      </c>
      <c r="CY2779">
        <v>3</v>
      </c>
      <c r="CZ2779" t="s">
        <v>121</v>
      </c>
      <c r="DA2779" t="s">
        <v>122</v>
      </c>
      <c r="DD2779">
        <v>3859308</v>
      </c>
      <c r="DE2779" t="s">
        <v>123</v>
      </c>
    </row>
    <row r="2780" spans="1:109" x14ac:dyDescent="0.3">
      <c r="A2780" t="str">
        <f>"19:21:13.555"</f>
        <v>19:21:13.555</v>
      </c>
      <c r="B2780" t="s">
        <v>110</v>
      </c>
      <c r="C2780" t="str">
        <f t="shared" si="129"/>
        <v>ffdfd3c0</v>
      </c>
      <c r="D2780" t="s">
        <v>111</v>
      </c>
      <c r="E2780">
        <v>18</v>
      </c>
      <c r="F2780">
        <v>1018</v>
      </c>
      <c r="G2780" t="s">
        <v>112</v>
      </c>
      <c r="J2780" t="s">
        <v>113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R2780" t="s">
        <v>114</v>
      </c>
      <c r="S2780" t="str">
        <f>"19:21:13.313"</f>
        <v>19:21:13.313</v>
      </c>
      <c r="T2780" t="str">
        <f>"19:21:13.109"</f>
        <v>19:21:13.109</v>
      </c>
      <c r="U2780" t="str">
        <f t="shared" si="130"/>
        <v>a1cdbe</v>
      </c>
      <c r="V2780">
        <v>0</v>
      </c>
      <c r="W2780">
        <v>0</v>
      </c>
      <c r="X2780">
        <v>1</v>
      </c>
      <c r="Y2780">
        <v>0</v>
      </c>
      <c r="Z2780">
        <v>0</v>
      </c>
      <c r="AB2780">
        <v>0</v>
      </c>
      <c r="AC2780">
        <v>9</v>
      </c>
      <c r="AD2780">
        <v>3</v>
      </c>
      <c r="AE2780">
        <v>0</v>
      </c>
      <c r="AF2780">
        <v>9</v>
      </c>
      <c r="AG2780" t="s">
        <v>158</v>
      </c>
      <c r="AH2780">
        <v>0</v>
      </c>
      <c r="AI2780">
        <v>3</v>
      </c>
      <c r="AJ2780">
        <v>1</v>
      </c>
      <c r="AK2780">
        <v>0</v>
      </c>
      <c r="AL2780" t="s">
        <v>961</v>
      </c>
      <c r="AM2780">
        <v>46.974598999999998</v>
      </c>
      <c r="AN2780" t="s">
        <v>5243</v>
      </c>
      <c r="AO2780">
        <v>-123.402686</v>
      </c>
      <c r="AP2780">
        <v>100</v>
      </c>
      <c r="AQ2780">
        <v>2000</v>
      </c>
      <c r="AR2780" t="s">
        <v>118</v>
      </c>
      <c r="AS2780">
        <v>-74</v>
      </c>
      <c r="AT2780">
        <v>20</v>
      </c>
      <c r="AU2780">
        <v>0</v>
      </c>
      <c r="BC2780">
        <v>1200</v>
      </c>
      <c r="BD2780">
        <v>1</v>
      </c>
      <c r="BE2780" t="str">
        <f t="shared" si="131"/>
        <v xml:space="preserve">N215T   </v>
      </c>
      <c r="BF2780">
        <v>1</v>
      </c>
      <c r="BH2780">
        <v>0</v>
      </c>
      <c r="BI2780">
        <v>0</v>
      </c>
      <c r="BJ2780">
        <v>0</v>
      </c>
      <c r="BK2780">
        <v>2375</v>
      </c>
      <c r="BL2780">
        <v>375</v>
      </c>
      <c r="BM2780" t="s">
        <v>119</v>
      </c>
      <c r="BN2780">
        <v>1</v>
      </c>
      <c r="BO2780">
        <v>1</v>
      </c>
      <c r="BP2780">
        <v>1</v>
      </c>
      <c r="BQ2780">
        <v>0</v>
      </c>
      <c r="BT2780">
        <v>0</v>
      </c>
      <c r="BU2780">
        <v>0</v>
      </c>
      <c r="BV2780">
        <v>0</v>
      </c>
      <c r="CC2780" t="str">
        <f>"19:21:13.313"</f>
        <v>19:21:13.313</v>
      </c>
      <c r="CD2780" t="str">
        <f>"313837918"</f>
        <v>313837918</v>
      </c>
      <c r="CQ2780">
        <v>0</v>
      </c>
      <c r="CR2780">
        <v>2</v>
      </c>
      <c r="CS2780">
        <v>0</v>
      </c>
      <c r="CT2780">
        <v>2</v>
      </c>
      <c r="CU2780">
        <v>0</v>
      </c>
      <c r="CV2780">
        <v>6</v>
      </c>
      <c r="CW2780" t="s">
        <v>120</v>
      </c>
      <c r="CX2780">
        <v>261</v>
      </c>
      <c r="CY2780">
        <v>2</v>
      </c>
      <c r="CZ2780" t="s">
        <v>121</v>
      </c>
      <c r="DA2780" t="s">
        <v>122</v>
      </c>
      <c r="DD2780">
        <v>15989086</v>
      </c>
      <c r="DE2780" t="s">
        <v>123</v>
      </c>
    </row>
    <row r="2781" spans="1:109" x14ac:dyDescent="0.3">
      <c r="A2781" t="str">
        <f>"19:21:14.555"</f>
        <v>19:21:14.555</v>
      </c>
      <c r="B2781" t="s">
        <v>110</v>
      </c>
      <c r="C2781" t="str">
        <f t="shared" si="129"/>
        <v>ffdfd3c0</v>
      </c>
      <c r="D2781" t="s">
        <v>111</v>
      </c>
      <c r="E2781">
        <v>18</v>
      </c>
      <c r="F2781">
        <v>1018</v>
      </c>
      <c r="G2781" t="s">
        <v>112</v>
      </c>
      <c r="J2781" t="s">
        <v>113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R2781" t="s">
        <v>114</v>
      </c>
      <c r="S2781" t="str">
        <f>"19:21:14.297"</f>
        <v>19:21:14.297</v>
      </c>
      <c r="T2781" t="str">
        <f>"19:21:14.000"</f>
        <v>19:21:14.000</v>
      </c>
      <c r="U2781" t="str">
        <f t="shared" si="130"/>
        <v>a1cdbe</v>
      </c>
      <c r="V2781">
        <v>0</v>
      </c>
      <c r="W2781">
        <v>0</v>
      </c>
      <c r="X2781">
        <v>1</v>
      </c>
      <c r="Y2781">
        <v>0</v>
      </c>
      <c r="Z2781">
        <v>0</v>
      </c>
      <c r="AB2781">
        <v>0</v>
      </c>
      <c r="AC2781">
        <v>9</v>
      </c>
      <c r="AD2781">
        <v>3</v>
      </c>
      <c r="AE2781">
        <v>0</v>
      </c>
      <c r="AF2781">
        <v>9</v>
      </c>
      <c r="AG2781" t="s">
        <v>158</v>
      </c>
      <c r="AH2781">
        <v>0</v>
      </c>
      <c r="AI2781">
        <v>3</v>
      </c>
      <c r="AJ2781">
        <v>1</v>
      </c>
      <c r="AK2781">
        <v>0</v>
      </c>
      <c r="AL2781" t="s">
        <v>5244</v>
      </c>
      <c r="AM2781">
        <v>46.974707000000002</v>
      </c>
      <c r="AN2781" t="s">
        <v>5245</v>
      </c>
      <c r="AO2781">
        <v>-123.403223</v>
      </c>
      <c r="AP2781">
        <v>100</v>
      </c>
      <c r="AQ2781">
        <v>2000</v>
      </c>
      <c r="AR2781" t="s">
        <v>118</v>
      </c>
      <c r="AS2781">
        <v>-75</v>
      </c>
      <c r="AT2781">
        <v>20</v>
      </c>
      <c r="AU2781">
        <v>0</v>
      </c>
      <c r="BC2781">
        <v>1200</v>
      </c>
      <c r="BD2781">
        <v>1</v>
      </c>
      <c r="BE2781" t="str">
        <f t="shared" si="131"/>
        <v xml:space="preserve">N215T   </v>
      </c>
      <c r="BF2781">
        <v>1</v>
      </c>
      <c r="BH2781">
        <v>0</v>
      </c>
      <c r="BI2781">
        <v>0</v>
      </c>
      <c r="BJ2781">
        <v>0</v>
      </c>
      <c r="BK2781">
        <v>2375</v>
      </c>
      <c r="BL2781">
        <v>375</v>
      </c>
      <c r="BM2781" t="s">
        <v>119</v>
      </c>
      <c r="BN2781">
        <v>1</v>
      </c>
      <c r="BO2781">
        <v>1</v>
      </c>
      <c r="BP2781">
        <v>1</v>
      </c>
      <c r="BQ2781">
        <v>0</v>
      </c>
      <c r="BT2781">
        <v>0</v>
      </c>
      <c r="BU2781">
        <v>0</v>
      </c>
      <c r="BV2781">
        <v>0</v>
      </c>
      <c r="CC2781" t="str">
        <f>"19:21:14.305"</f>
        <v>19:21:14.305</v>
      </c>
      <c r="CD2781" t="str">
        <f>"303740439"</f>
        <v>303740439</v>
      </c>
      <c r="CQ2781">
        <v>0</v>
      </c>
      <c r="CR2781">
        <v>2</v>
      </c>
      <c r="CS2781">
        <v>0</v>
      </c>
      <c r="CT2781">
        <v>2</v>
      </c>
      <c r="CU2781">
        <v>0</v>
      </c>
      <c r="CV2781">
        <v>5</v>
      </c>
      <c r="CW2781" t="s">
        <v>120</v>
      </c>
      <c r="CX2781">
        <v>261</v>
      </c>
      <c r="CY2781">
        <v>2</v>
      </c>
      <c r="CZ2781" t="s">
        <v>121</v>
      </c>
      <c r="DA2781" t="s">
        <v>122</v>
      </c>
      <c r="DD2781">
        <v>15989776</v>
      </c>
      <c r="DE2781" t="s">
        <v>123</v>
      </c>
    </row>
    <row r="2782" spans="1:109" x14ac:dyDescent="0.3">
      <c r="A2782" t="str">
        <f>"19:21:15.617"</f>
        <v>19:21:15.617</v>
      </c>
      <c r="B2782" t="s">
        <v>110</v>
      </c>
      <c r="C2782" t="str">
        <f t="shared" si="129"/>
        <v>ffdfd3c0</v>
      </c>
      <c r="D2782" t="s">
        <v>111</v>
      </c>
      <c r="E2782">
        <v>18</v>
      </c>
      <c r="F2782">
        <v>1018</v>
      </c>
      <c r="G2782" t="s">
        <v>112</v>
      </c>
      <c r="J2782" t="s">
        <v>113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R2782" t="s">
        <v>114</v>
      </c>
      <c r="S2782" t="str">
        <f>"19:21:15.398"</f>
        <v>19:21:15.398</v>
      </c>
      <c r="T2782" t="str">
        <f>"19:21:15.398"</f>
        <v>19:21:15.398</v>
      </c>
      <c r="U2782" t="str">
        <f t="shared" si="130"/>
        <v>a1cdbe</v>
      </c>
      <c r="V2782">
        <v>0</v>
      </c>
      <c r="W2782">
        <v>0</v>
      </c>
      <c r="X2782">
        <v>1</v>
      </c>
      <c r="Y2782">
        <v>0</v>
      </c>
      <c r="Z2782">
        <v>0</v>
      </c>
      <c r="AB2782">
        <v>0</v>
      </c>
      <c r="AC2782">
        <v>9</v>
      </c>
      <c r="AD2782">
        <v>3</v>
      </c>
      <c r="AE2782">
        <v>0</v>
      </c>
      <c r="AF2782">
        <v>9</v>
      </c>
      <c r="AG2782" t="s">
        <v>158</v>
      </c>
      <c r="AH2782">
        <v>0</v>
      </c>
      <c r="AI2782">
        <v>3</v>
      </c>
      <c r="AJ2782">
        <v>1</v>
      </c>
      <c r="AK2782">
        <v>0</v>
      </c>
      <c r="AL2782" t="s">
        <v>5246</v>
      </c>
      <c r="AM2782">
        <v>46.974792000000001</v>
      </c>
      <c r="AN2782" t="s">
        <v>5247</v>
      </c>
      <c r="AO2782">
        <v>-123.40378</v>
      </c>
      <c r="AP2782">
        <v>100</v>
      </c>
      <c r="AQ2782">
        <v>2000</v>
      </c>
      <c r="AR2782" t="s">
        <v>118</v>
      </c>
      <c r="AS2782">
        <v>-75</v>
      </c>
      <c r="AT2782">
        <v>19</v>
      </c>
      <c r="AU2782">
        <v>0</v>
      </c>
      <c r="BC2782">
        <v>1200</v>
      </c>
      <c r="BD2782">
        <v>1</v>
      </c>
      <c r="BE2782" t="str">
        <f t="shared" si="131"/>
        <v xml:space="preserve">N215T   </v>
      </c>
      <c r="BF2782">
        <v>1</v>
      </c>
      <c r="BH2782">
        <v>0</v>
      </c>
      <c r="BI2782">
        <v>0</v>
      </c>
      <c r="BJ2782">
        <v>0</v>
      </c>
      <c r="BK2782">
        <v>2375</v>
      </c>
      <c r="BL2782">
        <v>375</v>
      </c>
      <c r="BM2782" t="s">
        <v>119</v>
      </c>
      <c r="BN2782">
        <v>1</v>
      </c>
      <c r="BO2782">
        <v>1</v>
      </c>
      <c r="BP2782">
        <v>1</v>
      </c>
      <c r="BQ2782">
        <v>0</v>
      </c>
      <c r="BT2782">
        <v>0</v>
      </c>
      <c r="BU2782">
        <v>0</v>
      </c>
      <c r="BV2782">
        <v>0</v>
      </c>
      <c r="CC2782" t="str">
        <f>"19:21:15.398"</f>
        <v>19:21:15.398</v>
      </c>
      <c r="CD2782" t="str">
        <f>"398632620"</f>
        <v>398632620</v>
      </c>
      <c r="CQ2782">
        <v>0</v>
      </c>
      <c r="CR2782">
        <v>2</v>
      </c>
      <c r="CS2782">
        <v>0</v>
      </c>
      <c r="CT2782">
        <v>2</v>
      </c>
      <c r="CU2782">
        <v>0</v>
      </c>
      <c r="CV2782">
        <v>5</v>
      </c>
      <c r="CW2782" t="s">
        <v>120</v>
      </c>
      <c r="CX2782">
        <v>261</v>
      </c>
      <c r="CY2782">
        <v>2</v>
      </c>
      <c r="CZ2782" t="s">
        <v>121</v>
      </c>
      <c r="DA2782" t="s">
        <v>122</v>
      </c>
      <c r="DD2782">
        <v>15990513</v>
      </c>
      <c r="DE2782" t="s">
        <v>123</v>
      </c>
    </row>
    <row r="2783" spans="1:109" x14ac:dyDescent="0.3">
      <c r="A2783" t="str">
        <f>"19:21:16.625"</f>
        <v>19:21:16.625</v>
      </c>
      <c r="B2783" t="s">
        <v>110</v>
      </c>
      <c r="C2783" t="str">
        <f t="shared" si="129"/>
        <v>ffdfd3c0</v>
      </c>
      <c r="D2783" t="s">
        <v>111</v>
      </c>
      <c r="E2783">
        <v>18</v>
      </c>
      <c r="F2783">
        <v>1018</v>
      </c>
      <c r="G2783" t="s">
        <v>112</v>
      </c>
      <c r="J2783" t="s">
        <v>113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R2783" t="s">
        <v>114</v>
      </c>
      <c r="S2783" t="str">
        <f>"19:21:16.398"</f>
        <v>19:21:16.398</v>
      </c>
      <c r="T2783" t="str">
        <f>"19:21:16.398"</f>
        <v>19:21:16.398</v>
      </c>
      <c r="U2783" t="str">
        <f t="shared" si="130"/>
        <v>a1cdbe</v>
      </c>
      <c r="V2783">
        <v>0</v>
      </c>
      <c r="W2783">
        <v>0</v>
      </c>
      <c r="X2783">
        <v>1</v>
      </c>
      <c r="Y2783">
        <v>0</v>
      </c>
      <c r="Z2783">
        <v>0</v>
      </c>
      <c r="AB2783">
        <v>0</v>
      </c>
      <c r="AC2783">
        <v>9</v>
      </c>
      <c r="AD2783">
        <v>3</v>
      </c>
      <c r="AE2783">
        <v>0</v>
      </c>
      <c r="AF2783">
        <v>9</v>
      </c>
      <c r="AG2783" t="s">
        <v>158</v>
      </c>
      <c r="AH2783">
        <v>0</v>
      </c>
      <c r="AI2783">
        <v>3</v>
      </c>
      <c r="AJ2783">
        <v>1</v>
      </c>
      <c r="AK2783">
        <v>0</v>
      </c>
      <c r="AL2783" t="s">
        <v>5248</v>
      </c>
      <c r="AM2783">
        <v>46.974877999999997</v>
      </c>
      <c r="AN2783" t="s">
        <v>5249</v>
      </c>
      <c r="AO2783">
        <v>-123.404274</v>
      </c>
      <c r="AP2783">
        <v>100</v>
      </c>
      <c r="AQ2783">
        <v>2000</v>
      </c>
      <c r="AR2783" t="s">
        <v>118</v>
      </c>
      <c r="AS2783">
        <v>-75</v>
      </c>
      <c r="AT2783">
        <v>19</v>
      </c>
      <c r="AU2783">
        <v>0</v>
      </c>
      <c r="BC2783">
        <v>1200</v>
      </c>
      <c r="BD2783">
        <v>1</v>
      </c>
      <c r="BE2783" t="str">
        <f t="shared" si="131"/>
        <v xml:space="preserve">N215T   </v>
      </c>
      <c r="BF2783">
        <v>1</v>
      </c>
      <c r="BH2783">
        <v>0</v>
      </c>
      <c r="BI2783">
        <v>0</v>
      </c>
      <c r="BJ2783">
        <v>0</v>
      </c>
      <c r="BK2783">
        <v>2375</v>
      </c>
      <c r="BL2783">
        <v>375</v>
      </c>
      <c r="BM2783" t="s">
        <v>119</v>
      </c>
      <c r="BN2783">
        <v>1</v>
      </c>
      <c r="BO2783">
        <v>1</v>
      </c>
      <c r="BP2783">
        <v>1</v>
      </c>
      <c r="BQ2783">
        <v>0</v>
      </c>
      <c r="BT2783">
        <v>0</v>
      </c>
      <c r="BU2783">
        <v>0</v>
      </c>
      <c r="BV2783">
        <v>0</v>
      </c>
      <c r="CC2783" t="str">
        <f>"19:21:16.406"</f>
        <v>19:21:16.406</v>
      </c>
      <c r="CD2783" t="str">
        <f>"403533687"</f>
        <v>403533687</v>
      </c>
      <c r="CQ2783">
        <v>0</v>
      </c>
      <c r="CR2783">
        <v>2</v>
      </c>
      <c r="CS2783">
        <v>0</v>
      </c>
      <c r="CT2783">
        <v>2</v>
      </c>
      <c r="CU2783">
        <v>0</v>
      </c>
      <c r="CV2783">
        <v>5</v>
      </c>
      <c r="CW2783" t="s">
        <v>120</v>
      </c>
      <c r="CX2783">
        <v>261</v>
      </c>
      <c r="CY2783">
        <v>3</v>
      </c>
      <c r="CZ2783" t="s">
        <v>121</v>
      </c>
      <c r="DA2783" t="s">
        <v>122</v>
      </c>
      <c r="DD2783">
        <v>3860227</v>
      </c>
      <c r="DE2783" t="s">
        <v>123</v>
      </c>
    </row>
    <row r="2784" spans="1:109" x14ac:dyDescent="0.3">
      <c r="A2784" t="str">
        <f>"19:21:17.727"</f>
        <v>19:21:17.727</v>
      </c>
      <c r="B2784" t="s">
        <v>110</v>
      </c>
      <c r="C2784" t="str">
        <f t="shared" si="129"/>
        <v>ffdfd3c0</v>
      </c>
      <c r="D2784" t="s">
        <v>111</v>
      </c>
      <c r="E2784">
        <v>18</v>
      </c>
      <c r="F2784">
        <v>1018</v>
      </c>
      <c r="G2784" t="s">
        <v>112</v>
      </c>
      <c r="J2784" t="s">
        <v>113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R2784" t="s">
        <v>114</v>
      </c>
      <c r="S2784" t="str">
        <f>"19:21:17.477"</f>
        <v>19:21:17.477</v>
      </c>
      <c r="T2784" t="str">
        <f>"19:21:17.477"</f>
        <v>19:21:17.477</v>
      </c>
      <c r="U2784" t="str">
        <f t="shared" si="130"/>
        <v>a1cdbe</v>
      </c>
      <c r="V2784">
        <v>0</v>
      </c>
      <c r="W2784">
        <v>0</v>
      </c>
      <c r="X2784">
        <v>1</v>
      </c>
      <c r="Y2784">
        <v>0</v>
      </c>
      <c r="Z2784">
        <v>0</v>
      </c>
      <c r="AB2784">
        <v>0</v>
      </c>
      <c r="AC2784">
        <v>9</v>
      </c>
      <c r="AD2784">
        <v>3</v>
      </c>
      <c r="AE2784">
        <v>0</v>
      </c>
      <c r="AF2784">
        <v>9</v>
      </c>
      <c r="AG2784" t="s">
        <v>158</v>
      </c>
      <c r="AH2784">
        <v>0</v>
      </c>
      <c r="AI2784">
        <v>3</v>
      </c>
      <c r="AJ2784">
        <v>1</v>
      </c>
      <c r="AK2784">
        <v>0</v>
      </c>
      <c r="AL2784" t="s">
        <v>959</v>
      </c>
      <c r="AM2784">
        <v>46.974986000000001</v>
      </c>
      <c r="AN2784" t="s">
        <v>5250</v>
      </c>
      <c r="AO2784">
        <v>-123.404853</v>
      </c>
      <c r="AP2784">
        <v>100</v>
      </c>
      <c r="AQ2784">
        <v>2000</v>
      </c>
      <c r="AR2784" t="s">
        <v>118</v>
      </c>
      <c r="AS2784">
        <v>-75</v>
      </c>
      <c r="AT2784">
        <v>18</v>
      </c>
      <c r="AU2784">
        <v>0</v>
      </c>
      <c r="BC2784">
        <v>1200</v>
      </c>
      <c r="BD2784">
        <v>1</v>
      </c>
      <c r="BE2784" t="str">
        <f t="shared" si="131"/>
        <v xml:space="preserve">N215T   </v>
      </c>
      <c r="BF2784">
        <v>1</v>
      </c>
      <c r="BH2784">
        <v>0</v>
      </c>
      <c r="BI2784">
        <v>0</v>
      </c>
      <c r="BJ2784">
        <v>0</v>
      </c>
      <c r="BK2784">
        <v>2375</v>
      </c>
      <c r="BL2784">
        <v>375</v>
      </c>
      <c r="BM2784" t="s">
        <v>119</v>
      </c>
      <c r="BN2784">
        <v>1</v>
      </c>
      <c r="BO2784">
        <v>1</v>
      </c>
      <c r="BP2784">
        <v>1</v>
      </c>
      <c r="BQ2784">
        <v>0</v>
      </c>
      <c r="BT2784">
        <v>0</v>
      </c>
      <c r="BU2784">
        <v>0</v>
      </c>
      <c r="BV2784">
        <v>0</v>
      </c>
      <c r="CC2784" t="str">
        <f>"19:21:17.484"</f>
        <v>19:21:17.484</v>
      </c>
      <c r="CD2784" t="str">
        <f>"483427378"</f>
        <v>483427378</v>
      </c>
      <c r="CQ2784">
        <v>0</v>
      </c>
      <c r="CR2784">
        <v>2</v>
      </c>
      <c r="CS2784">
        <v>0</v>
      </c>
      <c r="CT2784">
        <v>2</v>
      </c>
      <c r="CU2784">
        <v>0</v>
      </c>
      <c r="CV2784">
        <v>5</v>
      </c>
      <c r="CW2784" t="s">
        <v>120</v>
      </c>
      <c r="CX2784">
        <v>261</v>
      </c>
      <c r="CY2784">
        <v>3</v>
      </c>
      <c r="CZ2784" t="s">
        <v>121</v>
      </c>
      <c r="DA2784" t="s">
        <v>122</v>
      </c>
      <c r="DD2784">
        <v>3860453</v>
      </c>
      <c r="DE2784" t="s">
        <v>123</v>
      </c>
    </row>
    <row r="2785" spans="1:109" x14ac:dyDescent="0.3">
      <c r="A2785" t="str">
        <f>"19:21:18.578"</f>
        <v>19:21:18.578</v>
      </c>
      <c r="B2785" t="s">
        <v>110</v>
      </c>
      <c r="C2785" t="str">
        <f t="shared" si="129"/>
        <v>ffdfd3c0</v>
      </c>
      <c r="D2785" t="s">
        <v>111</v>
      </c>
      <c r="E2785">
        <v>18</v>
      </c>
      <c r="F2785">
        <v>1018</v>
      </c>
      <c r="G2785" t="s">
        <v>112</v>
      </c>
      <c r="J2785" t="s">
        <v>113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R2785" t="s">
        <v>114</v>
      </c>
      <c r="S2785" t="str">
        <f>"19:21:18.336"</f>
        <v>19:21:18.336</v>
      </c>
      <c r="T2785" t="str">
        <f>"19:21:18.336"</f>
        <v>19:21:18.336</v>
      </c>
      <c r="U2785" t="str">
        <f t="shared" si="130"/>
        <v>a1cdbe</v>
      </c>
      <c r="V2785">
        <v>0</v>
      </c>
      <c r="W2785">
        <v>0</v>
      </c>
      <c r="X2785">
        <v>1</v>
      </c>
      <c r="Y2785">
        <v>0</v>
      </c>
      <c r="Z2785">
        <v>0</v>
      </c>
      <c r="AB2785">
        <v>0</v>
      </c>
      <c r="AC2785">
        <v>9</v>
      </c>
      <c r="AD2785">
        <v>3</v>
      </c>
      <c r="AE2785">
        <v>0</v>
      </c>
      <c r="AF2785">
        <v>9</v>
      </c>
      <c r="AG2785" t="s">
        <v>158</v>
      </c>
      <c r="AH2785">
        <v>0</v>
      </c>
      <c r="AI2785">
        <v>3</v>
      </c>
      <c r="AJ2785">
        <v>1</v>
      </c>
      <c r="AK2785">
        <v>0</v>
      </c>
      <c r="AL2785" t="s">
        <v>5251</v>
      </c>
      <c r="AM2785">
        <v>46.975071</v>
      </c>
      <c r="AN2785" t="s">
        <v>5252</v>
      </c>
      <c r="AO2785">
        <v>-123.405261</v>
      </c>
      <c r="AP2785">
        <v>100</v>
      </c>
      <c r="AQ2785">
        <v>2000</v>
      </c>
      <c r="AR2785" t="s">
        <v>118</v>
      </c>
      <c r="AS2785">
        <v>-75</v>
      </c>
      <c r="AT2785">
        <v>18</v>
      </c>
      <c r="AU2785">
        <v>0</v>
      </c>
      <c r="BC2785">
        <v>1200</v>
      </c>
      <c r="BD2785">
        <v>1</v>
      </c>
      <c r="BE2785" t="str">
        <f t="shared" si="131"/>
        <v xml:space="preserve">N215T   </v>
      </c>
      <c r="BF2785">
        <v>1</v>
      </c>
      <c r="BH2785">
        <v>0</v>
      </c>
      <c r="BI2785">
        <v>0</v>
      </c>
      <c r="BJ2785">
        <v>0</v>
      </c>
      <c r="BK2785">
        <v>2375</v>
      </c>
      <c r="BL2785">
        <v>375</v>
      </c>
      <c r="BM2785" t="s">
        <v>119</v>
      </c>
      <c r="BN2785">
        <v>1</v>
      </c>
      <c r="BO2785">
        <v>1</v>
      </c>
      <c r="BP2785">
        <v>1</v>
      </c>
      <c r="BQ2785">
        <v>0</v>
      </c>
      <c r="BT2785">
        <v>0</v>
      </c>
      <c r="BU2785">
        <v>0</v>
      </c>
      <c r="BV2785">
        <v>0</v>
      </c>
      <c r="CC2785" t="str">
        <f>"19:21:18.336"</f>
        <v>19:21:18.336</v>
      </c>
      <c r="CD2785" t="str">
        <f>"338343214"</f>
        <v>338343214</v>
      </c>
      <c r="CQ2785">
        <v>0</v>
      </c>
      <c r="CR2785">
        <v>2</v>
      </c>
      <c r="CS2785">
        <v>0</v>
      </c>
      <c r="CT2785">
        <v>2</v>
      </c>
      <c r="CU2785">
        <v>0</v>
      </c>
      <c r="CV2785">
        <v>5</v>
      </c>
      <c r="CW2785" t="s">
        <v>120</v>
      </c>
      <c r="CX2785">
        <v>261</v>
      </c>
      <c r="CY2785">
        <v>3</v>
      </c>
      <c r="CZ2785" t="s">
        <v>121</v>
      </c>
      <c r="DA2785" t="s">
        <v>122</v>
      </c>
      <c r="DD2785">
        <v>3860629</v>
      </c>
      <c r="DE2785" t="s">
        <v>123</v>
      </c>
    </row>
    <row r="2786" spans="1:109" x14ac:dyDescent="0.3">
      <c r="A2786" t="str">
        <f>"19:21:19.531"</f>
        <v>19:21:19.531</v>
      </c>
      <c r="B2786" t="s">
        <v>110</v>
      </c>
      <c r="C2786" t="str">
        <f t="shared" si="129"/>
        <v>ffdfd3c0</v>
      </c>
      <c r="D2786" t="s">
        <v>111</v>
      </c>
      <c r="E2786">
        <v>18</v>
      </c>
      <c r="F2786">
        <v>1018</v>
      </c>
      <c r="G2786" t="s">
        <v>112</v>
      </c>
      <c r="J2786" t="s">
        <v>113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R2786" t="s">
        <v>114</v>
      </c>
      <c r="S2786" t="str">
        <f>"19:21:19.281"</f>
        <v>19:21:19.281</v>
      </c>
      <c r="T2786" t="str">
        <f>"19:21:18.883"</f>
        <v>19:21:18.883</v>
      </c>
      <c r="U2786" t="str">
        <f t="shared" si="130"/>
        <v>a1cdbe</v>
      </c>
      <c r="V2786">
        <v>0</v>
      </c>
      <c r="W2786">
        <v>0</v>
      </c>
      <c r="X2786">
        <v>1</v>
      </c>
      <c r="Y2786">
        <v>0</v>
      </c>
      <c r="Z2786">
        <v>0</v>
      </c>
      <c r="AB2786">
        <v>0</v>
      </c>
      <c r="AC2786">
        <v>9</v>
      </c>
      <c r="AD2786">
        <v>3</v>
      </c>
      <c r="AE2786">
        <v>0</v>
      </c>
      <c r="AF2786">
        <v>9</v>
      </c>
      <c r="AG2786" t="s">
        <v>158</v>
      </c>
      <c r="AH2786">
        <v>0</v>
      </c>
      <c r="AI2786">
        <v>3</v>
      </c>
      <c r="AJ2786">
        <v>1</v>
      </c>
      <c r="AK2786">
        <v>0</v>
      </c>
      <c r="AL2786" t="s">
        <v>5253</v>
      </c>
      <c r="AM2786">
        <v>46.975157000000003</v>
      </c>
      <c r="AN2786" t="s">
        <v>5254</v>
      </c>
      <c r="AO2786">
        <v>-123.40571199999999</v>
      </c>
      <c r="AP2786">
        <v>100</v>
      </c>
      <c r="AQ2786">
        <v>2000</v>
      </c>
      <c r="AR2786" t="s">
        <v>118</v>
      </c>
      <c r="AS2786">
        <v>-75</v>
      </c>
      <c r="AT2786">
        <v>18</v>
      </c>
      <c r="AU2786">
        <v>0</v>
      </c>
      <c r="BC2786">
        <v>1200</v>
      </c>
      <c r="BD2786">
        <v>1</v>
      </c>
      <c r="BE2786" t="str">
        <f t="shared" si="131"/>
        <v xml:space="preserve">N215T   </v>
      </c>
      <c r="BF2786">
        <v>1</v>
      </c>
      <c r="BH2786">
        <v>0</v>
      </c>
      <c r="BI2786">
        <v>0</v>
      </c>
      <c r="BJ2786">
        <v>0</v>
      </c>
      <c r="BK2786">
        <v>2375</v>
      </c>
      <c r="BL2786">
        <v>375</v>
      </c>
      <c r="BM2786" t="s">
        <v>119</v>
      </c>
      <c r="BN2786">
        <v>1</v>
      </c>
      <c r="BO2786">
        <v>1</v>
      </c>
      <c r="BP2786">
        <v>1</v>
      </c>
      <c r="BQ2786">
        <v>0</v>
      </c>
      <c r="BT2786">
        <v>0</v>
      </c>
      <c r="BU2786">
        <v>0</v>
      </c>
      <c r="BV2786">
        <v>0</v>
      </c>
      <c r="CC2786" t="str">
        <f>"19:21:19.281"</f>
        <v>19:21:19.281</v>
      </c>
      <c r="CD2786" t="str">
        <f>"283250145"</f>
        <v>283250145</v>
      </c>
      <c r="CQ2786">
        <v>0</v>
      </c>
      <c r="CR2786">
        <v>2</v>
      </c>
      <c r="CS2786">
        <v>0</v>
      </c>
      <c r="CT2786">
        <v>2</v>
      </c>
      <c r="CU2786">
        <v>0</v>
      </c>
      <c r="CV2786">
        <v>5</v>
      </c>
      <c r="CW2786" t="s">
        <v>120</v>
      </c>
      <c r="CX2786">
        <v>261</v>
      </c>
      <c r="CY2786">
        <v>3</v>
      </c>
      <c r="CZ2786" t="s">
        <v>121</v>
      </c>
      <c r="DA2786" t="s">
        <v>122</v>
      </c>
      <c r="DD2786">
        <v>3860797</v>
      </c>
      <c r="DE2786" t="s">
        <v>123</v>
      </c>
    </row>
    <row r="2787" spans="1:109" x14ac:dyDescent="0.3">
      <c r="A2787" t="str">
        <f>"19:21:20.547"</f>
        <v>19:21:20.547</v>
      </c>
      <c r="B2787" t="s">
        <v>110</v>
      </c>
      <c r="C2787" t="str">
        <f t="shared" si="129"/>
        <v>ffdfd3c0</v>
      </c>
      <c r="D2787" t="s">
        <v>111</v>
      </c>
      <c r="E2787">
        <v>18</v>
      </c>
      <c r="F2787">
        <v>1018</v>
      </c>
      <c r="G2787" t="s">
        <v>112</v>
      </c>
      <c r="J2787" t="s">
        <v>113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R2787" t="s">
        <v>114</v>
      </c>
      <c r="S2787" t="str">
        <f>"19:21:20.328"</f>
        <v>19:21:20.328</v>
      </c>
      <c r="T2787" t="str">
        <f>"19:21:19.930"</f>
        <v>19:21:19.930</v>
      </c>
      <c r="U2787" t="str">
        <f t="shared" si="130"/>
        <v>a1cdbe</v>
      </c>
      <c r="V2787">
        <v>0</v>
      </c>
      <c r="W2787">
        <v>0</v>
      </c>
      <c r="X2787">
        <v>1</v>
      </c>
      <c r="Y2787">
        <v>0</v>
      </c>
      <c r="Z2787">
        <v>0</v>
      </c>
      <c r="AB2787">
        <v>0</v>
      </c>
      <c r="AC2787">
        <v>9</v>
      </c>
      <c r="AD2787">
        <v>3</v>
      </c>
      <c r="AE2787">
        <v>0</v>
      </c>
      <c r="AF2787">
        <v>9</v>
      </c>
      <c r="AG2787" t="s">
        <v>158</v>
      </c>
      <c r="AH2787">
        <v>0</v>
      </c>
      <c r="AI2787">
        <v>3</v>
      </c>
      <c r="AJ2787">
        <v>1</v>
      </c>
      <c r="AK2787">
        <v>0</v>
      </c>
      <c r="AL2787" t="s">
        <v>5255</v>
      </c>
      <c r="AM2787">
        <v>46.975222000000002</v>
      </c>
      <c r="AN2787" t="s">
        <v>5256</v>
      </c>
      <c r="AO2787">
        <v>-123.40624800000001</v>
      </c>
      <c r="AP2787">
        <v>100</v>
      </c>
      <c r="AQ2787">
        <v>2000</v>
      </c>
      <c r="AR2787" t="s">
        <v>118</v>
      </c>
      <c r="AS2787">
        <v>-75</v>
      </c>
      <c r="AT2787">
        <v>18</v>
      </c>
      <c r="AU2787">
        <v>64</v>
      </c>
      <c r="BC2787">
        <v>1200</v>
      </c>
      <c r="BD2787">
        <v>1</v>
      </c>
      <c r="BE2787" t="str">
        <f t="shared" si="131"/>
        <v xml:space="preserve">N215T   </v>
      </c>
      <c r="BF2787">
        <v>1</v>
      </c>
      <c r="BH2787">
        <v>0</v>
      </c>
      <c r="BI2787">
        <v>0</v>
      </c>
      <c r="BJ2787">
        <v>0</v>
      </c>
      <c r="BK2787">
        <v>2375</v>
      </c>
      <c r="BL2787">
        <v>375</v>
      </c>
      <c r="BM2787" t="s">
        <v>119</v>
      </c>
      <c r="BN2787">
        <v>1</v>
      </c>
      <c r="BO2787">
        <v>1</v>
      </c>
      <c r="BP2787">
        <v>1</v>
      </c>
      <c r="BQ2787">
        <v>0</v>
      </c>
      <c r="BT2787">
        <v>0</v>
      </c>
      <c r="BU2787">
        <v>0</v>
      </c>
      <c r="BV2787">
        <v>0</v>
      </c>
      <c r="CC2787" t="str">
        <f>"19:21:20.336"</f>
        <v>19:21:20.336</v>
      </c>
      <c r="CD2787" t="str">
        <f>"333146756"</f>
        <v>333146756</v>
      </c>
      <c r="CQ2787">
        <v>0</v>
      </c>
      <c r="CR2787">
        <v>2</v>
      </c>
      <c r="CS2787">
        <v>0</v>
      </c>
      <c r="CT2787">
        <v>2</v>
      </c>
      <c r="CU2787">
        <v>0</v>
      </c>
      <c r="CV2787">
        <v>5</v>
      </c>
      <c r="CW2787" t="s">
        <v>120</v>
      </c>
      <c r="CX2787">
        <v>261</v>
      </c>
      <c r="CY2787">
        <v>2</v>
      </c>
      <c r="CZ2787" t="s">
        <v>121</v>
      </c>
      <c r="DA2787" t="s">
        <v>122</v>
      </c>
      <c r="DD2787">
        <v>15993692</v>
      </c>
      <c r="DE2787" t="s">
        <v>123</v>
      </c>
    </row>
    <row r="2788" spans="1:109" x14ac:dyDescent="0.3">
      <c r="A2788" t="str">
        <f>"19:21:21.594"</f>
        <v>19:21:21.594</v>
      </c>
      <c r="B2788" t="s">
        <v>110</v>
      </c>
      <c r="C2788" t="str">
        <f t="shared" si="129"/>
        <v>ffdfd3c0</v>
      </c>
      <c r="D2788" t="s">
        <v>111</v>
      </c>
      <c r="E2788">
        <v>18</v>
      </c>
      <c r="F2788">
        <v>1018</v>
      </c>
      <c r="G2788" t="s">
        <v>112</v>
      </c>
      <c r="J2788" t="s">
        <v>113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R2788" t="s">
        <v>114</v>
      </c>
      <c r="S2788" t="str">
        <f>"19:21:21.367"</f>
        <v>19:21:21.367</v>
      </c>
      <c r="T2788" t="str">
        <f>"19:21:20.969"</f>
        <v>19:21:20.969</v>
      </c>
      <c r="U2788" t="str">
        <f t="shared" si="130"/>
        <v>a1cdbe</v>
      </c>
      <c r="V2788">
        <v>0</v>
      </c>
      <c r="W2788">
        <v>0</v>
      </c>
      <c r="X2788">
        <v>1</v>
      </c>
      <c r="Y2788">
        <v>0</v>
      </c>
      <c r="Z2788">
        <v>0</v>
      </c>
      <c r="AB2788">
        <v>0</v>
      </c>
      <c r="AC2788">
        <v>9</v>
      </c>
      <c r="AD2788">
        <v>3</v>
      </c>
      <c r="AE2788">
        <v>0</v>
      </c>
      <c r="AF2788">
        <v>9</v>
      </c>
      <c r="AG2788" t="s">
        <v>158</v>
      </c>
      <c r="AH2788">
        <v>0</v>
      </c>
      <c r="AI2788">
        <v>3</v>
      </c>
      <c r="AJ2788">
        <v>1</v>
      </c>
      <c r="AK2788">
        <v>0</v>
      </c>
      <c r="AL2788" t="s">
        <v>957</v>
      </c>
      <c r="AM2788">
        <v>46.975307000000001</v>
      </c>
      <c r="AN2788" t="s">
        <v>5257</v>
      </c>
      <c r="AO2788">
        <v>-123.40682700000001</v>
      </c>
      <c r="AP2788">
        <v>100</v>
      </c>
      <c r="AQ2788">
        <v>2000</v>
      </c>
      <c r="AR2788" t="s">
        <v>118</v>
      </c>
      <c r="AS2788">
        <v>-75</v>
      </c>
      <c r="AT2788">
        <v>18</v>
      </c>
      <c r="AU2788">
        <v>0</v>
      </c>
      <c r="BC2788">
        <v>1200</v>
      </c>
      <c r="BD2788">
        <v>1</v>
      </c>
      <c r="BE2788" t="str">
        <f t="shared" si="131"/>
        <v xml:space="preserve">N215T   </v>
      </c>
      <c r="BF2788">
        <v>1</v>
      </c>
      <c r="BH2788">
        <v>0</v>
      </c>
      <c r="BI2788">
        <v>0</v>
      </c>
      <c r="BJ2788">
        <v>0</v>
      </c>
      <c r="BK2788">
        <v>2375</v>
      </c>
      <c r="BL2788">
        <v>375</v>
      </c>
      <c r="BM2788" t="s">
        <v>119</v>
      </c>
      <c r="BN2788">
        <v>1</v>
      </c>
      <c r="BO2788">
        <v>1</v>
      </c>
      <c r="BP2788">
        <v>1</v>
      </c>
      <c r="BQ2788">
        <v>0</v>
      </c>
      <c r="BT2788">
        <v>0</v>
      </c>
      <c r="BU2788">
        <v>0</v>
      </c>
      <c r="BV2788">
        <v>0</v>
      </c>
      <c r="CC2788" t="str">
        <f>"19:21:21.367"</f>
        <v>19:21:21.367</v>
      </c>
      <c r="CD2788" t="str">
        <f>"368023781"</f>
        <v>368023781</v>
      </c>
      <c r="CQ2788">
        <v>0</v>
      </c>
      <c r="CR2788">
        <v>2</v>
      </c>
      <c r="CS2788">
        <v>0</v>
      </c>
      <c r="CT2788">
        <v>2</v>
      </c>
      <c r="CU2788">
        <v>0</v>
      </c>
      <c r="CV2788">
        <v>3</v>
      </c>
      <c r="CW2788" t="s">
        <v>120</v>
      </c>
      <c r="CX2788">
        <v>257</v>
      </c>
      <c r="CY2788">
        <v>0</v>
      </c>
      <c r="CZ2788" t="s">
        <v>615</v>
      </c>
      <c r="DA2788" t="s">
        <v>616</v>
      </c>
      <c r="DD2788">
        <v>16099089</v>
      </c>
      <c r="DE2788" t="s">
        <v>123</v>
      </c>
    </row>
    <row r="2789" spans="1:109" x14ac:dyDescent="0.3">
      <c r="A2789" t="str">
        <f>"19:21:22.555"</f>
        <v>19:21:22.555</v>
      </c>
      <c r="B2789" t="s">
        <v>110</v>
      </c>
      <c r="C2789" t="str">
        <f t="shared" si="129"/>
        <v>ffdfd3c0</v>
      </c>
      <c r="D2789" t="s">
        <v>111</v>
      </c>
      <c r="E2789">
        <v>18</v>
      </c>
      <c r="F2789">
        <v>1018</v>
      </c>
      <c r="G2789" t="s">
        <v>112</v>
      </c>
      <c r="J2789" t="s">
        <v>113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R2789" t="s">
        <v>114</v>
      </c>
      <c r="S2789" t="str">
        <f>"19:21:22.336"</f>
        <v>19:21:22.336</v>
      </c>
      <c r="T2789" t="str">
        <f>"19:21:22.133"</f>
        <v>19:21:22.133</v>
      </c>
      <c r="U2789" t="str">
        <f t="shared" si="130"/>
        <v>a1cdbe</v>
      </c>
      <c r="V2789">
        <v>0</v>
      </c>
      <c r="W2789">
        <v>0</v>
      </c>
      <c r="X2789">
        <v>1</v>
      </c>
      <c r="Y2789">
        <v>0</v>
      </c>
      <c r="Z2789">
        <v>0</v>
      </c>
      <c r="AB2789">
        <v>0</v>
      </c>
      <c r="AC2789">
        <v>9</v>
      </c>
      <c r="AD2789">
        <v>3</v>
      </c>
      <c r="AE2789">
        <v>0</v>
      </c>
      <c r="AF2789">
        <v>9</v>
      </c>
      <c r="AG2789" t="s">
        <v>158</v>
      </c>
      <c r="AH2789">
        <v>0</v>
      </c>
      <c r="AI2789">
        <v>3</v>
      </c>
      <c r="AJ2789">
        <v>1</v>
      </c>
      <c r="AK2789">
        <v>0</v>
      </c>
      <c r="AL2789" t="s">
        <v>5258</v>
      </c>
      <c r="AM2789">
        <v>46.975392999999997</v>
      </c>
      <c r="AN2789" t="s">
        <v>5259</v>
      </c>
      <c r="AO2789">
        <v>-123.407321</v>
      </c>
      <c r="AP2789">
        <v>100</v>
      </c>
      <c r="AQ2789">
        <v>2000</v>
      </c>
      <c r="AR2789" t="s">
        <v>118</v>
      </c>
      <c r="AS2789">
        <v>-75</v>
      </c>
      <c r="AT2789">
        <v>18</v>
      </c>
      <c r="AU2789">
        <v>64</v>
      </c>
      <c r="BC2789">
        <v>1200</v>
      </c>
      <c r="BD2789">
        <v>1</v>
      </c>
      <c r="BE2789" t="str">
        <f t="shared" si="131"/>
        <v xml:space="preserve">N215T   </v>
      </c>
      <c r="BF2789">
        <v>1</v>
      </c>
      <c r="BH2789">
        <v>0</v>
      </c>
      <c r="BI2789">
        <v>0</v>
      </c>
      <c r="BJ2789">
        <v>0</v>
      </c>
      <c r="BK2789">
        <v>2400</v>
      </c>
      <c r="BL2789">
        <v>400</v>
      </c>
      <c r="BM2789" t="s">
        <v>119</v>
      </c>
      <c r="BN2789">
        <v>1</v>
      </c>
      <c r="BO2789">
        <v>1</v>
      </c>
      <c r="BP2789">
        <v>1</v>
      </c>
      <c r="BQ2789">
        <v>0</v>
      </c>
      <c r="BT2789">
        <v>0</v>
      </c>
      <c r="BU2789">
        <v>0</v>
      </c>
      <c r="BV2789">
        <v>0</v>
      </c>
      <c r="CC2789" t="str">
        <f>"19:21:22.344"</f>
        <v>19:21:22.344</v>
      </c>
      <c r="CD2789" t="str">
        <f>"342948854"</f>
        <v>342948854</v>
      </c>
      <c r="CQ2789">
        <v>0</v>
      </c>
      <c r="CR2789">
        <v>2</v>
      </c>
      <c r="CS2789">
        <v>0</v>
      </c>
      <c r="CT2789">
        <v>2</v>
      </c>
      <c r="CU2789">
        <v>0</v>
      </c>
      <c r="CV2789">
        <v>5</v>
      </c>
      <c r="CW2789" t="s">
        <v>120</v>
      </c>
      <c r="CX2789">
        <v>261</v>
      </c>
      <c r="CY2789">
        <v>2</v>
      </c>
      <c r="CZ2789" t="s">
        <v>121</v>
      </c>
      <c r="DA2789" t="s">
        <v>122</v>
      </c>
      <c r="DD2789">
        <v>15994992</v>
      </c>
      <c r="DE2789" t="s">
        <v>123</v>
      </c>
    </row>
    <row r="2790" spans="1:109" x14ac:dyDescent="0.3">
      <c r="A2790" t="str">
        <f>"19:21:23.656"</f>
        <v>19:21:23.656</v>
      </c>
      <c r="B2790" t="s">
        <v>110</v>
      </c>
      <c r="C2790" t="str">
        <f t="shared" si="129"/>
        <v>ffdfd3c0</v>
      </c>
      <c r="D2790" t="s">
        <v>111</v>
      </c>
      <c r="E2790">
        <v>18</v>
      </c>
      <c r="F2790">
        <v>1018</v>
      </c>
      <c r="G2790" t="s">
        <v>112</v>
      </c>
      <c r="J2790" t="s">
        <v>113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R2790" t="s">
        <v>114</v>
      </c>
      <c r="S2790" t="str">
        <f>"19:21:23.406"</f>
        <v>19:21:23.406</v>
      </c>
      <c r="T2790" t="str">
        <f>"19:21:23.203"</f>
        <v>19:21:23.203</v>
      </c>
      <c r="U2790" t="str">
        <f t="shared" si="130"/>
        <v>a1cdbe</v>
      </c>
      <c r="V2790">
        <v>0</v>
      </c>
      <c r="W2790">
        <v>0</v>
      </c>
      <c r="X2790">
        <v>1</v>
      </c>
      <c r="Y2790">
        <v>0</v>
      </c>
      <c r="Z2790">
        <v>0</v>
      </c>
      <c r="AB2790">
        <v>0</v>
      </c>
      <c r="AC2790">
        <v>9</v>
      </c>
      <c r="AD2790">
        <v>3</v>
      </c>
      <c r="AE2790">
        <v>0</v>
      </c>
      <c r="AF2790">
        <v>9</v>
      </c>
      <c r="AG2790" t="s">
        <v>158</v>
      </c>
      <c r="AH2790">
        <v>0</v>
      </c>
      <c r="AI2790">
        <v>3</v>
      </c>
      <c r="AJ2790">
        <v>1</v>
      </c>
      <c r="AK2790">
        <v>0</v>
      </c>
      <c r="AL2790" t="s">
        <v>5260</v>
      </c>
      <c r="AM2790">
        <v>46.975501000000001</v>
      </c>
      <c r="AN2790" t="s">
        <v>5261</v>
      </c>
      <c r="AO2790">
        <v>-123.407815</v>
      </c>
      <c r="AP2790">
        <v>100</v>
      </c>
      <c r="AQ2790">
        <v>2000</v>
      </c>
      <c r="AR2790" t="s">
        <v>118</v>
      </c>
      <c r="AS2790">
        <v>-75</v>
      </c>
      <c r="AT2790">
        <v>18</v>
      </c>
      <c r="AU2790">
        <v>64</v>
      </c>
      <c r="BC2790">
        <v>1200</v>
      </c>
      <c r="BD2790">
        <v>1</v>
      </c>
      <c r="BE2790" t="str">
        <f t="shared" si="131"/>
        <v xml:space="preserve">N215T   </v>
      </c>
      <c r="BF2790">
        <v>1</v>
      </c>
      <c r="BH2790">
        <v>0</v>
      </c>
      <c r="BI2790">
        <v>0</v>
      </c>
      <c r="BJ2790">
        <v>0</v>
      </c>
      <c r="BK2790">
        <v>2375</v>
      </c>
      <c r="BL2790">
        <v>375</v>
      </c>
      <c r="BM2790" t="s">
        <v>119</v>
      </c>
      <c r="BN2790">
        <v>1</v>
      </c>
      <c r="BO2790">
        <v>1</v>
      </c>
      <c r="BP2790">
        <v>1</v>
      </c>
      <c r="BQ2790">
        <v>0</v>
      </c>
      <c r="BT2790">
        <v>0</v>
      </c>
      <c r="BU2790">
        <v>0</v>
      </c>
      <c r="BV2790">
        <v>0</v>
      </c>
      <c r="CC2790" t="str">
        <f>"19:21:23.406"</f>
        <v>19:21:23.406</v>
      </c>
      <c r="CD2790" t="str">
        <f>"407843989"</f>
        <v>407843989</v>
      </c>
      <c r="CQ2790">
        <v>0</v>
      </c>
      <c r="CR2790">
        <v>2</v>
      </c>
      <c r="CS2790">
        <v>0</v>
      </c>
      <c r="CT2790">
        <v>2</v>
      </c>
      <c r="CU2790">
        <v>0</v>
      </c>
      <c r="CV2790">
        <v>5</v>
      </c>
      <c r="CW2790" t="s">
        <v>120</v>
      </c>
      <c r="CX2790">
        <v>261</v>
      </c>
      <c r="CY2790">
        <v>2</v>
      </c>
      <c r="CZ2790" t="s">
        <v>121</v>
      </c>
      <c r="DA2790" t="s">
        <v>122</v>
      </c>
      <c r="DD2790">
        <v>15995696</v>
      </c>
      <c r="DE2790" t="s">
        <v>123</v>
      </c>
    </row>
    <row r="2791" spans="1:109" x14ac:dyDescent="0.3">
      <c r="A2791" t="str">
        <f>"19:21:24.664"</f>
        <v>19:21:24.664</v>
      </c>
      <c r="B2791" t="s">
        <v>110</v>
      </c>
      <c r="C2791" t="str">
        <f t="shared" si="129"/>
        <v>ffdfd3c0</v>
      </c>
      <c r="D2791" t="s">
        <v>111</v>
      </c>
      <c r="E2791">
        <v>18</v>
      </c>
      <c r="F2791">
        <v>1018</v>
      </c>
      <c r="G2791" t="s">
        <v>112</v>
      </c>
      <c r="J2791" t="s">
        <v>113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R2791" t="s">
        <v>114</v>
      </c>
      <c r="S2791" t="str">
        <f>"19:21:24.406"</f>
        <v>19:21:24.406</v>
      </c>
      <c r="T2791" t="str">
        <f>"19:21:24.008"</f>
        <v>19:21:24.008</v>
      </c>
      <c r="U2791" t="str">
        <f t="shared" si="130"/>
        <v>a1cdbe</v>
      </c>
      <c r="V2791">
        <v>0</v>
      </c>
      <c r="W2791">
        <v>0</v>
      </c>
      <c r="X2791">
        <v>1</v>
      </c>
      <c r="Y2791">
        <v>0</v>
      </c>
      <c r="Z2791">
        <v>0</v>
      </c>
      <c r="AB2791">
        <v>0</v>
      </c>
      <c r="AC2791">
        <v>9</v>
      </c>
      <c r="AD2791">
        <v>3</v>
      </c>
      <c r="AE2791">
        <v>0</v>
      </c>
      <c r="AF2791">
        <v>9</v>
      </c>
      <c r="AG2791" t="s">
        <v>158</v>
      </c>
      <c r="AH2791">
        <v>0</v>
      </c>
      <c r="AI2791">
        <v>3</v>
      </c>
      <c r="AJ2791">
        <v>1</v>
      </c>
      <c r="AK2791">
        <v>0</v>
      </c>
      <c r="AL2791" t="s">
        <v>5262</v>
      </c>
      <c r="AM2791">
        <v>46.975565000000003</v>
      </c>
      <c r="AN2791" t="s">
        <v>5263</v>
      </c>
      <c r="AO2791">
        <v>-123.408394</v>
      </c>
      <c r="AP2791">
        <v>100</v>
      </c>
      <c r="AQ2791">
        <v>2000</v>
      </c>
      <c r="AR2791" t="s">
        <v>118</v>
      </c>
      <c r="AS2791">
        <v>-75</v>
      </c>
      <c r="AT2791">
        <v>18</v>
      </c>
      <c r="AU2791">
        <v>64</v>
      </c>
      <c r="BC2791">
        <v>1200</v>
      </c>
      <c r="BD2791">
        <v>1</v>
      </c>
      <c r="BE2791" t="str">
        <f t="shared" si="131"/>
        <v xml:space="preserve">N215T   </v>
      </c>
      <c r="BF2791">
        <v>1</v>
      </c>
      <c r="BH2791">
        <v>0</v>
      </c>
      <c r="BI2791">
        <v>0</v>
      </c>
      <c r="BJ2791">
        <v>0</v>
      </c>
      <c r="BK2791">
        <v>2400</v>
      </c>
      <c r="BL2791">
        <v>400</v>
      </c>
      <c r="BM2791" t="s">
        <v>119</v>
      </c>
      <c r="BN2791">
        <v>1</v>
      </c>
      <c r="BO2791">
        <v>1</v>
      </c>
      <c r="BP2791">
        <v>1</v>
      </c>
      <c r="BQ2791">
        <v>0</v>
      </c>
      <c r="BT2791">
        <v>0</v>
      </c>
      <c r="BU2791">
        <v>0</v>
      </c>
      <c r="BV2791">
        <v>0</v>
      </c>
      <c r="CC2791" t="str">
        <f>"19:21:24.414"</f>
        <v>19:21:24.414</v>
      </c>
      <c r="CD2791" t="str">
        <f>"412745057"</f>
        <v>412745057</v>
      </c>
      <c r="CQ2791">
        <v>0</v>
      </c>
      <c r="CR2791">
        <v>2</v>
      </c>
      <c r="CS2791">
        <v>0</v>
      </c>
      <c r="CT2791">
        <v>2</v>
      </c>
      <c r="CU2791">
        <v>0</v>
      </c>
      <c r="CV2791">
        <v>5</v>
      </c>
      <c r="CW2791" t="s">
        <v>120</v>
      </c>
      <c r="CX2791">
        <v>261</v>
      </c>
      <c r="CY2791">
        <v>2</v>
      </c>
      <c r="CZ2791" t="s">
        <v>121</v>
      </c>
      <c r="DA2791" t="s">
        <v>122</v>
      </c>
      <c r="DD2791">
        <v>15996385</v>
      </c>
      <c r="DE2791" t="s">
        <v>123</v>
      </c>
    </row>
    <row r="2792" spans="1:109" x14ac:dyDescent="0.3">
      <c r="A2792" t="str">
        <f>"19:21:25.516"</f>
        <v>19:21:25.516</v>
      </c>
      <c r="B2792" t="s">
        <v>110</v>
      </c>
      <c r="C2792" t="str">
        <f t="shared" si="129"/>
        <v>ffdfd3c0</v>
      </c>
      <c r="D2792" t="s">
        <v>111</v>
      </c>
      <c r="E2792">
        <v>18</v>
      </c>
      <c r="F2792">
        <v>1018</v>
      </c>
      <c r="G2792" t="s">
        <v>112</v>
      </c>
      <c r="J2792" t="s">
        <v>113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R2792" t="s">
        <v>114</v>
      </c>
      <c r="S2792" t="str">
        <f>"19:21:25.281"</f>
        <v>19:21:25.281</v>
      </c>
      <c r="T2792" t="str">
        <f>"19:21:25.180"</f>
        <v>19:21:25.180</v>
      </c>
      <c r="U2792" t="str">
        <f t="shared" si="130"/>
        <v>a1cdbe</v>
      </c>
      <c r="V2792">
        <v>0</v>
      </c>
      <c r="W2792">
        <v>0</v>
      </c>
      <c r="X2792">
        <v>1</v>
      </c>
      <c r="Y2792">
        <v>0</v>
      </c>
      <c r="Z2792">
        <v>0</v>
      </c>
      <c r="AB2792">
        <v>0</v>
      </c>
      <c r="AC2792">
        <v>9</v>
      </c>
      <c r="AD2792">
        <v>3</v>
      </c>
      <c r="AE2792">
        <v>0</v>
      </c>
      <c r="AF2792">
        <v>9</v>
      </c>
      <c r="AG2792" t="s">
        <v>158</v>
      </c>
      <c r="AH2792">
        <v>0</v>
      </c>
      <c r="AI2792">
        <v>3</v>
      </c>
      <c r="AJ2792">
        <v>1</v>
      </c>
      <c r="AK2792">
        <v>0</v>
      </c>
      <c r="AL2792" t="s">
        <v>5264</v>
      </c>
      <c r="AM2792">
        <v>46.975608000000001</v>
      </c>
      <c r="AN2792" t="s">
        <v>5265</v>
      </c>
      <c r="AO2792">
        <v>-123.40880199999999</v>
      </c>
      <c r="AP2792">
        <v>100</v>
      </c>
      <c r="AQ2792">
        <v>2000</v>
      </c>
      <c r="AR2792" t="s">
        <v>118</v>
      </c>
      <c r="AS2792">
        <v>-75</v>
      </c>
      <c r="AT2792">
        <v>18</v>
      </c>
      <c r="AU2792">
        <v>64</v>
      </c>
      <c r="BC2792">
        <v>1200</v>
      </c>
      <c r="BD2792">
        <v>1</v>
      </c>
      <c r="BE2792" t="str">
        <f t="shared" si="131"/>
        <v xml:space="preserve">N215T   </v>
      </c>
      <c r="BF2792">
        <v>1</v>
      </c>
      <c r="BH2792">
        <v>0</v>
      </c>
      <c r="BI2792">
        <v>0</v>
      </c>
      <c r="BJ2792">
        <v>0</v>
      </c>
      <c r="BK2792">
        <v>2400</v>
      </c>
      <c r="BL2792">
        <v>400</v>
      </c>
      <c r="BM2792" t="s">
        <v>119</v>
      </c>
      <c r="BN2792">
        <v>1</v>
      </c>
      <c r="BO2792">
        <v>1</v>
      </c>
      <c r="BP2792">
        <v>1</v>
      </c>
      <c r="BQ2792">
        <v>0</v>
      </c>
      <c r="BT2792">
        <v>0</v>
      </c>
      <c r="BU2792">
        <v>0</v>
      </c>
      <c r="BV2792">
        <v>0</v>
      </c>
      <c r="CC2792" t="str">
        <f>"19:21:25.281"</f>
        <v>19:21:25.281</v>
      </c>
      <c r="CD2792" t="str">
        <f>"282659398"</f>
        <v>282659398</v>
      </c>
      <c r="CQ2792">
        <v>0</v>
      </c>
      <c r="CR2792">
        <v>2</v>
      </c>
      <c r="CS2792">
        <v>0</v>
      </c>
      <c r="CT2792">
        <v>2</v>
      </c>
      <c r="CU2792">
        <v>0</v>
      </c>
      <c r="CV2792">
        <v>5</v>
      </c>
      <c r="CW2792" t="s">
        <v>120</v>
      </c>
      <c r="CX2792">
        <v>261</v>
      </c>
      <c r="CY2792">
        <v>2</v>
      </c>
      <c r="CZ2792" t="s">
        <v>121</v>
      </c>
      <c r="DA2792" t="s">
        <v>122</v>
      </c>
      <c r="DD2792">
        <v>15996939</v>
      </c>
      <c r="DE2792" t="s">
        <v>123</v>
      </c>
    </row>
    <row r="2793" spans="1:109" x14ac:dyDescent="0.3">
      <c r="A2793" t="str">
        <f>"19:21:26.523"</f>
        <v>19:21:26.523</v>
      </c>
      <c r="B2793" t="s">
        <v>110</v>
      </c>
      <c r="C2793" t="str">
        <f t="shared" si="129"/>
        <v>ffdfd3c0</v>
      </c>
      <c r="D2793" t="s">
        <v>111</v>
      </c>
      <c r="E2793">
        <v>18</v>
      </c>
      <c r="F2793">
        <v>1018</v>
      </c>
      <c r="G2793" t="s">
        <v>112</v>
      </c>
      <c r="J2793" t="s">
        <v>113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R2793" t="s">
        <v>114</v>
      </c>
      <c r="S2793" t="str">
        <f>"19:21:26.250"</f>
        <v>19:21:26.250</v>
      </c>
      <c r="T2793" t="str">
        <f>"19:21:26.047"</f>
        <v>19:21:26.047</v>
      </c>
      <c r="U2793" t="str">
        <f t="shared" si="130"/>
        <v>a1cdbe</v>
      </c>
      <c r="V2793">
        <v>0</v>
      </c>
      <c r="W2793">
        <v>0</v>
      </c>
      <c r="X2793">
        <v>1</v>
      </c>
      <c r="Y2793">
        <v>0</v>
      </c>
      <c r="Z2793">
        <v>0</v>
      </c>
      <c r="AB2793">
        <v>0</v>
      </c>
      <c r="AC2793">
        <v>9</v>
      </c>
      <c r="AD2793">
        <v>3</v>
      </c>
      <c r="AE2793">
        <v>0</v>
      </c>
      <c r="AF2793">
        <v>9</v>
      </c>
      <c r="AG2793" t="s">
        <v>158</v>
      </c>
      <c r="AH2793">
        <v>0</v>
      </c>
      <c r="AI2793">
        <v>3</v>
      </c>
      <c r="AJ2793">
        <v>1</v>
      </c>
      <c r="AK2793">
        <v>0</v>
      </c>
      <c r="AL2793" t="s">
        <v>5266</v>
      </c>
      <c r="AM2793">
        <v>46.975715000000001</v>
      </c>
      <c r="AN2793" t="s">
        <v>5267</v>
      </c>
      <c r="AO2793">
        <v>-123.409274</v>
      </c>
      <c r="AP2793">
        <v>100</v>
      </c>
      <c r="AQ2793">
        <v>2000</v>
      </c>
      <c r="AR2793" t="s">
        <v>118</v>
      </c>
      <c r="AS2793">
        <v>-75</v>
      </c>
      <c r="AT2793">
        <v>18</v>
      </c>
      <c r="AU2793">
        <v>64</v>
      </c>
      <c r="BC2793">
        <v>1200</v>
      </c>
      <c r="BD2793">
        <v>1</v>
      </c>
      <c r="BE2793" t="str">
        <f t="shared" si="131"/>
        <v xml:space="preserve">N215T   </v>
      </c>
      <c r="BF2793">
        <v>1</v>
      </c>
      <c r="BH2793">
        <v>0</v>
      </c>
      <c r="BI2793">
        <v>0</v>
      </c>
      <c r="BJ2793">
        <v>0</v>
      </c>
      <c r="BK2793">
        <v>2400</v>
      </c>
      <c r="BL2793">
        <v>400</v>
      </c>
      <c r="BM2793" t="s">
        <v>119</v>
      </c>
      <c r="BN2793">
        <v>1</v>
      </c>
      <c r="BO2793">
        <v>1</v>
      </c>
      <c r="BP2793">
        <v>1</v>
      </c>
      <c r="BQ2793">
        <v>0</v>
      </c>
      <c r="BT2793">
        <v>0</v>
      </c>
      <c r="BU2793">
        <v>0</v>
      </c>
      <c r="BV2793">
        <v>0</v>
      </c>
      <c r="CC2793" t="str">
        <f>"19:21:26.258"</f>
        <v>19:21:26.258</v>
      </c>
      <c r="CD2793" t="str">
        <f>"257563406"</f>
        <v>257563406</v>
      </c>
      <c r="CQ2793">
        <v>0</v>
      </c>
      <c r="CR2793">
        <v>2</v>
      </c>
      <c r="CS2793">
        <v>0</v>
      </c>
      <c r="CT2793">
        <v>2</v>
      </c>
      <c r="CU2793">
        <v>0</v>
      </c>
      <c r="CV2793">
        <v>5</v>
      </c>
      <c r="CW2793" t="s">
        <v>120</v>
      </c>
      <c r="CX2793">
        <v>261</v>
      </c>
      <c r="CY2793">
        <v>2</v>
      </c>
      <c r="CZ2793" t="s">
        <v>121</v>
      </c>
      <c r="DA2793" t="s">
        <v>122</v>
      </c>
      <c r="DD2793">
        <v>15997560</v>
      </c>
      <c r="DE2793" t="s">
        <v>123</v>
      </c>
    </row>
    <row r="2794" spans="1:109" x14ac:dyDescent="0.3">
      <c r="A2794" t="str">
        <f>"19:21:27.578"</f>
        <v>19:21:27.578</v>
      </c>
      <c r="B2794" t="s">
        <v>110</v>
      </c>
      <c r="C2794" t="str">
        <f t="shared" si="129"/>
        <v>ffdfd3c0</v>
      </c>
      <c r="D2794" t="s">
        <v>111</v>
      </c>
      <c r="E2794">
        <v>18</v>
      </c>
      <c r="F2794">
        <v>1018</v>
      </c>
      <c r="G2794" t="s">
        <v>112</v>
      </c>
      <c r="J2794" t="s">
        <v>113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R2794" t="s">
        <v>114</v>
      </c>
      <c r="S2794" t="str">
        <f>"19:21:27.305"</f>
        <v>19:21:27.305</v>
      </c>
      <c r="T2794" t="str">
        <f>"19:21:27.008"</f>
        <v>19:21:27.008</v>
      </c>
      <c r="U2794" t="str">
        <f t="shared" si="130"/>
        <v>a1cdbe</v>
      </c>
      <c r="V2794">
        <v>0</v>
      </c>
      <c r="W2794">
        <v>0</v>
      </c>
      <c r="X2794">
        <v>1</v>
      </c>
      <c r="Y2794">
        <v>0</v>
      </c>
      <c r="Z2794">
        <v>0</v>
      </c>
      <c r="AB2794">
        <v>0</v>
      </c>
      <c r="AC2794">
        <v>9</v>
      </c>
      <c r="AD2794">
        <v>3</v>
      </c>
      <c r="AE2794">
        <v>0</v>
      </c>
      <c r="AF2794">
        <v>9</v>
      </c>
      <c r="AG2794" t="s">
        <v>158</v>
      </c>
      <c r="AH2794">
        <v>0</v>
      </c>
      <c r="AI2794">
        <v>3</v>
      </c>
      <c r="AJ2794">
        <v>1</v>
      </c>
      <c r="AK2794">
        <v>0</v>
      </c>
      <c r="AL2794" t="s">
        <v>5268</v>
      </c>
      <c r="AM2794">
        <v>46.975800999999997</v>
      </c>
      <c r="AN2794" t="s">
        <v>5269</v>
      </c>
      <c r="AO2794">
        <v>-123.40983199999999</v>
      </c>
      <c r="AP2794">
        <v>100</v>
      </c>
      <c r="AQ2794">
        <v>2000</v>
      </c>
      <c r="AR2794" t="s">
        <v>118</v>
      </c>
      <c r="AS2794">
        <v>-75</v>
      </c>
      <c r="AT2794">
        <v>18</v>
      </c>
      <c r="AU2794">
        <v>0</v>
      </c>
      <c r="BC2794">
        <v>1200</v>
      </c>
      <c r="BD2794">
        <v>1</v>
      </c>
      <c r="BE2794" t="str">
        <f t="shared" si="131"/>
        <v xml:space="preserve">N215T   </v>
      </c>
      <c r="BF2794">
        <v>1</v>
      </c>
      <c r="BH2794">
        <v>0</v>
      </c>
      <c r="BI2794">
        <v>0</v>
      </c>
      <c r="BJ2794">
        <v>0</v>
      </c>
      <c r="BK2794">
        <v>2400</v>
      </c>
      <c r="BL2794">
        <v>400</v>
      </c>
      <c r="BM2794" t="s">
        <v>119</v>
      </c>
      <c r="BN2794">
        <v>1</v>
      </c>
      <c r="BO2794">
        <v>1</v>
      </c>
      <c r="BP2794">
        <v>1</v>
      </c>
      <c r="BQ2794">
        <v>0</v>
      </c>
      <c r="BT2794">
        <v>0</v>
      </c>
      <c r="BU2794">
        <v>0</v>
      </c>
      <c r="BV2794">
        <v>0</v>
      </c>
      <c r="CC2794" t="str">
        <f>"19:21:27.305"</f>
        <v>19:21:27.305</v>
      </c>
      <c r="CD2794" t="str">
        <f>"307460015"</f>
        <v>307460015</v>
      </c>
      <c r="CQ2794">
        <v>0</v>
      </c>
      <c r="CR2794">
        <v>2</v>
      </c>
      <c r="CS2794">
        <v>0</v>
      </c>
      <c r="CT2794">
        <v>2</v>
      </c>
      <c r="CU2794">
        <v>0</v>
      </c>
      <c r="CV2794">
        <v>5</v>
      </c>
      <c r="CW2794" t="s">
        <v>120</v>
      </c>
      <c r="CX2794">
        <v>261</v>
      </c>
      <c r="CY2794">
        <v>2</v>
      </c>
      <c r="CZ2794" t="s">
        <v>121</v>
      </c>
      <c r="DA2794" t="s">
        <v>122</v>
      </c>
      <c r="DD2794">
        <v>15998257</v>
      </c>
      <c r="DE2794" t="s">
        <v>123</v>
      </c>
    </row>
    <row r="2795" spans="1:109" x14ac:dyDescent="0.3">
      <c r="A2795" t="str">
        <f>"19:21:28.688"</f>
        <v>19:21:28.688</v>
      </c>
      <c r="B2795" t="s">
        <v>110</v>
      </c>
      <c r="C2795" t="str">
        <f t="shared" si="129"/>
        <v>ffdfd3c0</v>
      </c>
      <c r="D2795" t="s">
        <v>111</v>
      </c>
      <c r="E2795">
        <v>18</v>
      </c>
      <c r="F2795">
        <v>1018</v>
      </c>
      <c r="G2795" t="s">
        <v>112</v>
      </c>
      <c r="J2795" t="s">
        <v>113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R2795" t="s">
        <v>114</v>
      </c>
      <c r="S2795" t="str">
        <f>"19:21:28.477"</f>
        <v>19:21:28.477</v>
      </c>
      <c r="T2795" t="str">
        <f>"19:21:28.078"</f>
        <v>19:21:28.078</v>
      </c>
      <c r="U2795" t="str">
        <f t="shared" si="130"/>
        <v>a1cdbe</v>
      </c>
      <c r="V2795">
        <v>0</v>
      </c>
      <c r="W2795">
        <v>0</v>
      </c>
      <c r="X2795">
        <v>1</v>
      </c>
      <c r="Y2795">
        <v>0</v>
      </c>
      <c r="Z2795">
        <v>0</v>
      </c>
      <c r="AB2795">
        <v>0</v>
      </c>
      <c r="AC2795">
        <v>9</v>
      </c>
      <c r="AD2795">
        <v>3</v>
      </c>
      <c r="AE2795">
        <v>0</v>
      </c>
      <c r="AF2795">
        <v>9</v>
      </c>
      <c r="AG2795" t="s">
        <v>158</v>
      </c>
      <c r="AH2795">
        <v>0</v>
      </c>
      <c r="AI2795">
        <v>3</v>
      </c>
      <c r="AJ2795">
        <v>1</v>
      </c>
      <c r="AK2795">
        <v>0</v>
      </c>
      <c r="AL2795" t="s">
        <v>5270</v>
      </c>
      <c r="AM2795">
        <v>46.975887</v>
      </c>
      <c r="AN2795" t="s">
        <v>5271</v>
      </c>
      <c r="AO2795">
        <v>-123.410454</v>
      </c>
      <c r="AP2795">
        <v>100</v>
      </c>
      <c r="AQ2795">
        <v>2000</v>
      </c>
      <c r="AR2795" t="s">
        <v>118</v>
      </c>
      <c r="AS2795">
        <v>-75</v>
      </c>
      <c r="AT2795">
        <v>18</v>
      </c>
      <c r="AU2795">
        <v>0</v>
      </c>
      <c r="BC2795">
        <v>1200</v>
      </c>
      <c r="BD2795">
        <v>1</v>
      </c>
      <c r="BE2795" t="str">
        <f t="shared" si="131"/>
        <v xml:space="preserve">N215T   </v>
      </c>
      <c r="BF2795">
        <v>1</v>
      </c>
      <c r="BH2795">
        <v>0</v>
      </c>
      <c r="BI2795">
        <v>0</v>
      </c>
      <c r="BJ2795">
        <v>0</v>
      </c>
      <c r="BK2795">
        <v>2400</v>
      </c>
      <c r="BL2795">
        <v>400</v>
      </c>
      <c r="BM2795" t="s">
        <v>119</v>
      </c>
      <c r="BN2795">
        <v>1</v>
      </c>
      <c r="BO2795">
        <v>1</v>
      </c>
      <c r="BP2795">
        <v>1</v>
      </c>
      <c r="BQ2795">
        <v>0</v>
      </c>
      <c r="BT2795">
        <v>0</v>
      </c>
      <c r="BU2795">
        <v>0</v>
      </c>
      <c r="BV2795">
        <v>0</v>
      </c>
      <c r="CC2795" t="str">
        <f>"19:21:28.477"</f>
        <v>19:21:28.477</v>
      </c>
      <c r="CD2795" t="str">
        <f>"477344828"</f>
        <v>477344828</v>
      </c>
      <c r="CQ2795">
        <v>0</v>
      </c>
      <c r="CR2795">
        <v>2</v>
      </c>
      <c r="CS2795">
        <v>0</v>
      </c>
      <c r="CT2795">
        <v>2</v>
      </c>
      <c r="CU2795">
        <v>0</v>
      </c>
      <c r="CV2795">
        <v>5</v>
      </c>
      <c r="CW2795" t="s">
        <v>120</v>
      </c>
      <c r="CX2795">
        <v>261</v>
      </c>
      <c r="CY2795">
        <v>2</v>
      </c>
      <c r="CZ2795" t="s">
        <v>121</v>
      </c>
      <c r="DA2795" t="s">
        <v>122</v>
      </c>
      <c r="DD2795">
        <v>15999030</v>
      </c>
      <c r="DE2795" t="s">
        <v>123</v>
      </c>
    </row>
    <row r="2796" spans="1:109" x14ac:dyDescent="0.3">
      <c r="A2796" t="str">
        <f>"19:21:29.789"</f>
        <v>19:21:29.789</v>
      </c>
      <c r="B2796" t="s">
        <v>110</v>
      </c>
      <c r="C2796" t="str">
        <f t="shared" si="129"/>
        <v>ffdfd3c0</v>
      </c>
      <c r="D2796" t="s">
        <v>111</v>
      </c>
      <c r="E2796">
        <v>18</v>
      </c>
      <c r="F2796">
        <v>1018</v>
      </c>
      <c r="G2796" t="s">
        <v>112</v>
      </c>
      <c r="J2796" t="s">
        <v>113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R2796" t="s">
        <v>114</v>
      </c>
      <c r="S2796" t="str">
        <f>"19:21:29.539"</f>
        <v>19:21:29.539</v>
      </c>
      <c r="T2796" t="str">
        <f>"19:21:29.141"</f>
        <v>19:21:29.141</v>
      </c>
      <c r="U2796" t="str">
        <f t="shared" si="130"/>
        <v>a1cdbe</v>
      </c>
      <c r="V2796">
        <v>0</v>
      </c>
      <c r="W2796">
        <v>0</v>
      </c>
      <c r="X2796">
        <v>1</v>
      </c>
      <c r="Y2796">
        <v>0</v>
      </c>
      <c r="Z2796">
        <v>0</v>
      </c>
      <c r="AB2796">
        <v>0</v>
      </c>
      <c r="AC2796">
        <v>9</v>
      </c>
      <c r="AD2796">
        <v>3</v>
      </c>
      <c r="AE2796">
        <v>0</v>
      </c>
      <c r="AF2796">
        <v>9</v>
      </c>
      <c r="AG2796" t="s">
        <v>158</v>
      </c>
      <c r="AH2796">
        <v>0</v>
      </c>
      <c r="AI2796">
        <v>3</v>
      </c>
      <c r="AJ2796">
        <v>1</v>
      </c>
      <c r="AK2796">
        <v>0</v>
      </c>
      <c r="AL2796" t="s">
        <v>953</v>
      </c>
      <c r="AM2796">
        <v>46.975994</v>
      </c>
      <c r="AN2796" t="s">
        <v>5272</v>
      </c>
      <c r="AO2796">
        <v>-123.41096899999999</v>
      </c>
      <c r="AP2796">
        <v>100</v>
      </c>
      <c r="AQ2796">
        <v>2000</v>
      </c>
      <c r="AR2796" t="s">
        <v>118</v>
      </c>
      <c r="AS2796">
        <v>-75</v>
      </c>
      <c r="AT2796">
        <v>18</v>
      </c>
      <c r="AU2796">
        <v>0</v>
      </c>
      <c r="BC2796">
        <v>1200</v>
      </c>
      <c r="BD2796">
        <v>1</v>
      </c>
      <c r="BE2796" t="str">
        <f t="shared" si="131"/>
        <v xml:space="preserve">N215T   </v>
      </c>
      <c r="BF2796">
        <v>1</v>
      </c>
      <c r="BH2796">
        <v>0</v>
      </c>
      <c r="BI2796">
        <v>0</v>
      </c>
      <c r="BJ2796">
        <v>0</v>
      </c>
      <c r="BK2796">
        <v>2400</v>
      </c>
      <c r="BL2796">
        <v>400</v>
      </c>
      <c r="BM2796" t="s">
        <v>119</v>
      </c>
      <c r="BN2796">
        <v>1</v>
      </c>
      <c r="BO2796">
        <v>1</v>
      </c>
      <c r="BP2796">
        <v>1</v>
      </c>
      <c r="BQ2796">
        <v>0</v>
      </c>
      <c r="BT2796">
        <v>0</v>
      </c>
      <c r="BU2796">
        <v>0</v>
      </c>
      <c r="BV2796">
        <v>0</v>
      </c>
      <c r="CC2796" t="str">
        <f>"19:21:29.539"</f>
        <v>19:21:29.539</v>
      </c>
      <c r="CD2796" t="str">
        <f>"542239962"</f>
        <v>542239962</v>
      </c>
      <c r="CQ2796">
        <v>0</v>
      </c>
      <c r="CR2796">
        <v>2</v>
      </c>
      <c r="CS2796">
        <v>0</v>
      </c>
      <c r="CT2796">
        <v>2</v>
      </c>
      <c r="CU2796">
        <v>0</v>
      </c>
      <c r="CV2796">
        <v>5</v>
      </c>
      <c r="CW2796" t="s">
        <v>120</v>
      </c>
      <c r="CX2796">
        <v>261</v>
      </c>
      <c r="CY2796">
        <v>2</v>
      </c>
      <c r="CZ2796" t="s">
        <v>121</v>
      </c>
      <c r="DA2796" t="s">
        <v>122</v>
      </c>
      <c r="DD2796">
        <v>15999731</v>
      </c>
      <c r="DE2796" t="s">
        <v>123</v>
      </c>
    </row>
    <row r="2797" spans="1:109" x14ac:dyDescent="0.3">
      <c r="A2797" t="str">
        <f>"19:21:30.695"</f>
        <v>19:21:30.695</v>
      </c>
      <c r="B2797" t="s">
        <v>110</v>
      </c>
      <c r="C2797" t="str">
        <f t="shared" si="129"/>
        <v>ffdfd3c0</v>
      </c>
      <c r="D2797" t="s">
        <v>111</v>
      </c>
      <c r="E2797">
        <v>18</v>
      </c>
      <c r="F2797">
        <v>1018</v>
      </c>
      <c r="G2797" t="s">
        <v>112</v>
      </c>
      <c r="J2797" t="s">
        <v>113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R2797" t="s">
        <v>114</v>
      </c>
      <c r="S2797" t="str">
        <f>"19:21:30.453"</f>
        <v>19:21:30.453</v>
      </c>
      <c r="T2797" t="str">
        <f>"19:21:30.055"</f>
        <v>19:21:30.055</v>
      </c>
      <c r="U2797" t="str">
        <f t="shared" si="130"/>
        <v>a1cdbe</v>
      </c>
      <c r="V2797">
        <v>0</v>
      </c>
      <c r="W2797">
        <v>0</v>
      </c>
      <c r="X2797">
        <v>1</v>
      </c>
      <c r="Y2797">
        <v>0</v>
      </c>
      <c r="Z2797">
        <v>0</v>
      </c>
      <c r="AB2797">
        <v>0</v>
      </c>
      <c r="AC2797">
        <v>9</v>
      </c>
      <c r="AD2797">
        <v>3</v>
      </c>
      <c r="AE2797">
        <v>0</v>
      </c>
      <c r="AF2797">
        <v>9</v>
      </c>
      <c r="AG2797" t="s">
        <v>158</v>
      </c>
      <c r="AH2797">
        <v>0</v>
      </c>
      <c r="AI2797">
        <v>3</v>
      </c>
      <c r="AJ2797">
        <v>1</v>
      </c>
      <c r="AK2797">
        <v>0</v>
      </c>
      <c r="AL2797" t="s">
        <v>5273</v>
      </c>
      <c r="AM2797">
        <v>46.976080000000003</v>
      </c>
      <c r="AN2797" t="s">
        <v>5274</v>
      </c>
      <c r="AO2797">
        <v>-123.411419</v>
      </c>
      <c r="AP2797">
        <v>100</v>
      </c>
      <c r="AQ2797">
        <v>2000</v>
      </c>
      <c r="AR2797" t="s">
        <v>118</v>
      </c>
      <c r="AS2797">
        <v>-75</v>
      </c>
      <c r="AT2797">
        <v>18</v>
      </c>
      <c r="AU2797">
        <v>0</v>
      </c>
      <c r="BC2797">
        <v>1200</v>
      </c>
      <c r="BD2797">
        <v>1</v>
      </c>
      <c r="BE2797" t="str">
        <f t="shared" si="131"/>
        <v xml:space="preserve">N215T   </v>
      </c>
      <c r="BF2797">
        <v>1</v>
      </c>
      <c r="BH2797">
        <v>0</v>
      </c>
      <c r="BI2797">
        <v>0</v>
      </c>
      <c r="BJ2797">
        <v>0</v>
      </c>
      <c r="BK2797">
        <v>2400</v>
      </c>
      <c r="BL2797">
        <v>400</v>
      </c>
      <c r="BM2797" t="s">
        <v>119</v>
      </c>
      <c r="BN2797">
        <v>1</v>
      </c>
      <c r="BO2797">
        <v>1</v>
      </c>
      <c r="BP2797">
        <v>1</v>
      </c>
      <c r="BQ2797">
        <v>0</v>
      </c>
      <c r="BT2797">
        <v>0</v>
      </c>
      <c r="BU2797">
        <v>0</v>
      </c>
      <c r="BV2797">
        <v>0</v>
      </c>
      <c r="CC2797" t="str">
        <f>"19:21:30.461"</f>
        <v>19:21:30.461</v>
      </c>
      <c r="CD2797" t="str">
        <f>"457149864"</f>
        <v>457149864</v>
      </c>
      <c r="CQ2797">
        <v>0</v>
      </c>
      <c r="CR2797">
        <v>2</v>
      </c>
      <c r="CS2797">
        <v>0</v>
      </c>
      <c r="CT2797">
        <v>2</v>
      </c>
      <c r="CU2797">
        <v>0</v>
      </c>
      <c r="CV2797">
        <v>5</v>
      </c>
      <c r="CW2797" t="s">
        <v>120</v>
      </c>
      <c r="CX2797">
        <v>261</v>
      </c>
      <c r="CY2797">
        <v>2</v>
      </c>
      <c r="CZ2797" t="s">
        <v>121</v>
      </c>
      <c r="DA2797" t="s">
        <v>122</v>
      </c>
      <c r="DD2797">
        <v>16000313</v>
      </c>
      <c r="DE2797" t="s">
        <v>123</v>
      </c>
    </row>
    <row r="2798" spans="1:109" x14ac:dyDescent="0.3">
      <c r="A2798" t="str">
        <f>"19:21:31.703"</f>
        <v>19:21:31.703</v>
      </c>
      <c r="B2798" t="s">
        <v>110</v>
      </c>
      <c r="C2798" t="str">
        <f t="shared" si="129"/>
        <v>ffdfd3c0</v>
      </c>
      <c r="D2798" t="s">
        <v>111</v>
      </c>
      <c r="E2798">
        <v>18</v>
      </c>
      <c r="F2798">
        <v>1018</v>
      </c>
      <c r="G2798" t="s">
        <v>112</v>
      </c>
      <c r="J2798" t="s">
        <v>113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R2798" t="s">
        <v>114</v>
      </c>
      <c r="S2798" t="str">
        <f>"19:21:31.477"</f>
        <v>19:21:31.477</v>
      </c>
      <c r="T2798" t="str">
        <f>"19:21:31.078"</f>
        <v>19:21:31.078</v>
      </c>
      <c r="U2798" t="str">
        <f t="shared" si="130"/>
        <v>a1cdbe</v>
      </c>
      <c r="V2798">
        <v>0</v>
      </c>
      <c r="W2798">
        <v>0</v>
      </c>
      <c r="X2798">
        <v>1</v>
      </c>
      <c r="Y2798">
        <v>0</v>
      </c>
      <c r="Z2798">
        <v>0</v>
      </c>
      <c r="AB2798">
        <v>0</v>
      </c>
      <c r="AC2798">
        <v>9</v>
      </c>
      <c r="AD2798">
        <v>3</v>
      </c>
      <c r="AE2798">
        <v>0</v>
      </c>
      <c r="AF2798">
        <v>9</v>
      </c>
      <c r="AG2798" t="s">
        <v>158</v>
      </c>
      <c r="AH2798">
        <v>0</v>
      </c>
      <c r="AI2798">
        <v>3</v>
      </c>
      <c r="AJ2798">
        <v>1</v>
      </c>
      <c r="AK2798">
        <v>0</v>
      </c>
      <c r="AL2798" t="s">
        <v>5275</v>
      </c>
      <c r="AM2798">
        <v>46.976143999999998</v>
      </c>
      <c r="AN2798" t="s">
        <v>5276</v>
      </c>
      <c r="AO2798">
        <v>-123.411956</v>
      </c>
      <c r="AP2798">
        <v>100</v>
      </c>
      <c r="AQ2798">
        <v>2000</v>
      </c>
      <c r="AR2798" t="s">
        <v>118</v>
      </c>
      <c r="AS2798">
        <v>-76</v>
      </c>
      <c r="AT2798">
        <v>17</v>
      </c>
      <c r="AU2798">
        <v>0</v>
      </c>
      <c r="BC2798">
        <v>1200</v>
      </c>
      <c r="BD2798">
        <v>1</v>
      </c>
      <c r="BE2798" t="str">
        <f t="shared" si="131"/>
        <v xml:space="preserve">N215T   </v>
      </c>
      <c r="BF2798">
        <v>1</v>
      </c>
      <c r="BH2798">
        <v>0</v>
      </c>
      <c r="BI2798">
        <v>0</v>
      </c>
      <c r="BJ2798">
        <v>0</v>
      </c>
      <c r="BK2798">
        <v>2400</v>
      </c>
      <c r="BL2798">
        <v>400</v>
      </c>
      <c r="BM2798" t="s">
        <v>119</v>
      </c>
      <c r="BN2798">
        <v>1</v>
      </c>
      <c r="BO2798">
        <v>1</v>
      </c>
      <c r="BP2798">
        <v>1</v>
      </c>
      <c r="BQ2798">
        <v>0</v>
      </c>
      <c r="BT2798">
        <v>0</v>
      </c>
      <c r="BU2798">
        <v>0</v>
      </c>
      <c r="BV2798">
        <v>0</v>
      </c>
      <c r="CC2798" t="str">
        <f>"19:21:31.477"</f>
        <v>19:21:31.477</v>
      </c>
      <c r="CD2798" t="str">
        <f>"477049456"</f>
        <v>477049456</v>
      </c>
      <c r="CQ2798">
        <v>0</v>
      </c>
      <c r="CR2798">
        <v>2</v>
      </c>
      <c r="CS2798">
        <v>0</v>
      </c>
      <c r="CT2798">
        <v>2</v>
      </c>
      <c r="CU2798">
        <v>0</v>
      </c>
      <c r="CV2798">
        <v>5</v>
      </c>
      <c r="CW2798" t="s">
        <v>120</v>
      </c>
      <c r="CX2798">
        <v>261</v>
      </c>
      <c r="CY2798">
        <v>2</v>
      </c>
      <c r="CZ2798" t="s">
        <v>121</v>
      </c>
      <c r="DA2798" t="s">
        <v>122</v>
      </c>
      <c r="DD2798">
        <v>16000966</v>
      </c>
      <c r="DE2798" t="s">
        <v>123</v>
      </c>
    </row>
    <row r="2799" spans="1:109" x14ac:dyDescent="0.3">
      <c r="A2799" t="str">
        <f>"19:21:32.656"</f>
        <v>19:21:32.656</v>
      </c>
      <c r="B2799" t="s">
        <v>110</v>
      </c>
      <c r="C2799" t="str">
        <f t="shared" si="129"/>
        <v>ffdfd3c0</v>
      </c>
      <c r="D2799" t="s">
        <v>111</v>
      </c>
      <c r="E2799">
        <v>18</v>
      </c>
      <c r="F2799">
        <v>1018</v>
      </c>
      <c r="G2799" t="s">
        <v>112</v>
      </c>
      <c r="J2799" t="s">
        <v>113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R2799" t="s">
        <v>114</v>
      </c>
      <c r="S2799" t="str">
        <f>"19:21:32.375"</f>
        <v>19:21:32.375</v>
      </c>
      <c r="T2799" t="str">
        <f>"19:21:32.078"</f>
        <v>19:21:32.078</v>
      </c>
      <c r="U2799" t="str">
        <f t="shared" si="130"/>
        <v>a1cdbe</v>
      </c>
      <c r="V2799">
        <v>0</v>
      </c>
      <c r="W2799">
        <v>0</v>
      </c>
      <c r="X2799">
        <v>1</v>
      </c>
      <c r="Y2799">
        <v>0</v>
      </c>
      <c r="Z2799">
        <v>0</v>
      </c>
      <c r="AB2799">
        <v>0</v>
      </c>
      <c r="AC2799">
        <v>9</v>
      </c>
      <c r="AD2799">
        <v>3</v>
      </c>
      <c r="AE2799">
        <v>0</v>
      </c>
      <c r="AF2799">
        <v>9</v>
      </c>
      <c r="AG2799" t="s">
        <v>158</v>
      </c>
      <c r="AH2799">
        <v>0</v>
      </c>
      <c r="AI2799">
        <v>3</v>
      </c>
      <c r="AJ2799">
        <v>1</v>
      </c>
      <c r="AK2799">
        <v>0</v>
      </c>
      <c r="AL2799" t="s">
        <v>5277</v>
      </c>
      <c r="AM2799">
        <v>46.976208999999997</v>
      </c>
      <c r="AN2799" t="s">
        <v>5278</v>
      </c>
      <c r="AO2799">
        <v>-123.412449</v>
      </c>
      <c r="AP2799">
        <v>100</v>
      </c>
      <c r="AQ2799">
        <v>2000</v>
      </c>
      <c r="AR2799" t="s">
        <v>118</v>
      </c>
      <c r="AS2799">
        <v>-76</v>
      </c>
      <c r="AT2799">
        <v>17</v>
      </c>
      <c r="AU2799">
        <v>0</v>
      </c>
      <c r="BC2799">
        <v>1200</v>
      </c>
      <c r="BD2799">
        <v>1</v>
      </c>
      <c r="BE2799" t="str">
        <f t="shared" si="131"/>
        <v xml:space="preserve">N215T   </v>
      </c>
      <c r="BF2799">
        <v>1</v>
      </c>
      <c r="BH2799">
        <v>0</v>
      </c>
      <c r="BI2799">
        <v>0</v>
      </c>
      <c r="BJ2799">
        <v>0</v>
      </c>
      <c r="BK2799">
        <v>2375</v>
      </c>
      <c r="BL2799">
        <v>375</v>
      </c>
      <c r="BM2799" t="s">
        <v>119</v>
      </c>
      <c r="BN2799">
        <v>1</v>
      </c>
      <c r="BO2799">
        <v>1</v>
      </c>
      <c r="BP2799">
        <v>1</v>
      </c>
      <c r="BQ2799">
        <v>0</v>
      </c>
      <c r="BT2799">
        <v>0</v>
      </c>
      <c r="BU2799">
        <v>0</v>
      </c>
      <c r="BV2799">
        <v>0</v>
      </c>
      <c r="CC2799" t="str">
        <f>"19:21:32.375"</f>
        <v>19:21:32.375</v>
      </c>
      <c r="CD2799" t="str">
        <f>"376960837"</f>
        <v>376960837</v>
      </c>
      <c r="CQ2799">
        <v>0</v>
      </c>
      <c r="CR2799">
        <v>2</v>
      </c>
      <c r="CS2799">
        <v>0</v>
      </c>
      <c r="CT2799">
        <v>2</v>
      </c>
      <c r="CU2799">
        <v>0</v>
      </c>
      <c r="CV2799">
        <v>5</v>
      </c>
      <c r="CW2799" t="s">
        <v>120</v>
      </c>
      <c r="CX2799">
        <v>261</v>
      </c>
      <c r="CY2799">
        <v>2</v>
      </c>
      <c r="CZ2799" t="s">
        <v>121</v>
      </c>
      <c r="DA2799" t="s">
        <v>122</v>
      </c>
      <c r="DD2799">
        <v>16001555</v>
      </c>
      <c r="DE2799" t="s">
        <v>123</v>
      </c>
    </row>
    <row r="2800" spans="1:109" x14ac:dyDescent="0.3">
      <c r="A2800" t="str">
        <f>"19:21:33.508"</f>
        <v>19:21:33.508</v>
      </c>
      <c r="B2800" t="s">
        <v>110</v>
      </c>
      <c r="C2800" t="str">
        <f t="shared" si="129"/>
        <v>ffdfd3c0</v>
      </c>
      <c r="D2800" t="s">
        <v>111</v>
      </c>
      <c r="E2800">
        <v>18</v>
      </c>
      <c r="F2800">
        <v>1018</v>
      </c>
      <c r="G2800" t="s">
        <v>112</v>
      </c>
      <c r="J2800" t="s">
        <v>113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R2800" t="s">
        <v>114</v>
      </c>
      <c r="S2800" t="str">
        <f>"19:21:33.273"</f>
        <v>19:21:33.273</v>
      </c>
      <c r="T2800" t="str">
        <f>"19:21:33.172"</f>
        <v>19:21:33.172</v>
      </c>
      <c r="U2800" t="str">
        <f t="shared" si="130"/>
        <v>a1cdbe</v>
      </c>
      <c r="V2800">
        <v>0</v>
      </c>
      <c r="W2800">
        <v>0</v>
      </c>
      <c r="X2800">
        <v>1</v>
      </c>
      <c r="Y2800">
        <v>0</v>
      </c>
      <c r="Z2800">
        <v>0</v>
      </c>
      <c r="AB2800">
        <v>0</v>
      </c>
      <c r="AC2800">
        <v>9</v>
      </c>
      <c r="AD2800">
        <v>3</v>
      </c>
      <c r="AE2800">
        <v>0</v>
      </c>
      <c r="AF2800">
        <v>9</v>
      </c>
      <c r="AG2800" t="s">
        <v>158</v>
      </c>
      <c r="AH2800">
        <v>0</v>
      </c>
      <c r="AI2800">
        <v>3</v>
      </c>
      <c r="AJ2800">
        <v>1</v>
      </c>
      <c r="AK2800">
        <v>0</v>
      </c>
      <c r="AL2800" t="s">
        <v>5279</v>
      </c>
      <c r="AM2800">
        <v>46.976252000000002</v>
      </c>
      <c r="AN2800" t="s">
        <v>5280</v>
      </c>
      <c r="AO2800">
        <v>-123.412857</v>
      </c>
      <c r="AP2800">
        <v>100</v>
      </c>
      <c r="AQ2800">
        <v>2000</v>
      </c>
      <c r="AR2800" t="s">
        <v>118</v>
      </c>
      <c r="AS2800">
        <v>-76</v>
      </c>
      <c r="AT2800">
        <v>16</v>
      </c>
      <c r="AU2800">
        <v>0</v>
      </c>
      <c r="BC2800">
        <v>1200</v>
      </c>
      <c r="BD2800">
        <v>1</v>
      </c>
      <c r="BE2800" t="str">
        <f t="shared" si="131"/>
        <v xml:space="preserve">N215T   </v>
      </c>
      <c r="BF2800">
        <v>1</v>
      </c>
      <c r="BH2800">
        <v>0</v>
      </c>
      <c r="BI2800">
        <v>0</v>
      </c>
      <c r="BJ2800">
        <v>0</v>
      </c>
      <c r="BK2800">
        <v>2400</v>
      </c>
      <c r="BL2800">
        <v>400</v>
      </c>
      <c r="BM2800" t="s">
        <v>119</v>
      </c>
      <c r="BN2800">
        <v>1</v>
      </c>
      <c r="BO2800">
        <v>1</v>
      </c>
      <c r="BP2800">
        <v>1</v>
      </c>
      <c r="BQ2800">
        <v>0</v>
      </c>
      <c r="BT2800">
        <v>0</v>
      </c>
      <c r="BU2800">
        <v>0</v>
      </c>
      <c r="BV2800">
        <v>0</v>
      </c>
      <c r="CC2800" t="str">
        <f>"19:21:33.273"</f>
        <v>19:21:33.273</v>
      </c>
      <c r="CD2800" t="str">
        <f>"276850092"</f>
        <v>276850092</v>
      </c>
      <c r="CQ2800">
        <v>0</v>
      </c>
      <c r="CR2800">
        <v>2</v>
      </c>
      <c r="CS2800">
        <v>0</v>
      </c>
      <c r="CT2800">
        <v>2</v>
      </c>
      <c r="CU2800">
        <v>0</v>
      </c>
      <c r="CV2800">
        <v>5</v>
      </c>
      <c r="CW2800" t="s">
        <v>120</v>
      </c>
      <c r="CX2800">
        <v>257</v>
      </c>
      <c r="CY2800">
        <v>0</v>
      </c>
      <c r="CZ2800" t="s">
        <v>615</v>
      </c>
      <c r="DA2800" t="s">
        <v>616</v>
      </c>
      <c r="DD2800">
        <v>16105935</v>
      </c>
      <c r="DE2800" t="s">
        <v>123</v>
      </c>
    </row>
    <row r="2801" spans="1:109" x14ac:dyDescent="0.3">
      <c r="A2801" t="str">
        <f>"19:21:34.516"</f>
        <v>19:21:34.516</v>
      </c>
      <c r="B2801" t="s">
        <v>110</v>
      </c>
      <c r="C2801" t="str">
        <f t="shared" si="129"/>
        <v>ffdfd3c0</v>
      </c>
      <c r="D2801" t="s">
        <v>111</v>
      </c>
      <c r="E2801">
        <v>18</v>
      </c>
      <c r="F2801">
        <v>1018</v>
      </c>
      <c r="G2801" t="s">
        <v>112</v>
      </c>
      <c r="J2801" t="s">
        <v>113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R2801" t="s">
        <v>114</v>
      </c>
      <c r="S2801" t="str">
        <f>"19:21:34.305"</f>
        <v>19:21:34.305</v>
      </c>
      <c r="T2801" t="str">
        <f>"19:21:34.102"</f>
        <v>19:21:34.102</v>
      </c>
      <c r="U2801" t="str">
        <f t="shared" si="130"/>
        <v>a1cdbe</v>
      </c>
      <c r="V2801">
        <v>0</v>
      </c>
      <c r="W2801">
        <v>0</v>
      </c>
      <c r="X2801">
        <v>1</v>
      </c>
      <c r="Y2801">
        <v>0</v>
      </c>
      <c r="Z2801">
        <v>0</v>
      </c>
      <c r="AB2801">
        <v>0</v>
      </c>
      <c r="AC2801">
        <v>9</v>
      </c>
      <c r="AD2801">
        <v>3</v>
      </c>
      <c r="AE2801">
        <v>0</v>
      </c>
      <c r="AF2801">
        <v>9</v>
      </c>
      <c r="AG2801" t="s">
        <v>158</v>
      </c>
      <c r="AH2801">
        <v>0</v>
      </c>
      <c r="AI2801">
        <v>3</v>
      </c>
      <c r="AJ2801">
        <v>1</v>
      </c>
      <c r="AK2801">
        <v>0</v>
      </c>
      <c r="AL2801" t="s">
        <v>5281</v>
      </c>
      <c r="AM2801">
        <v>46.976337000000001</v>
      </c>
      <c r="AN2801" t="s">
        <v>5282</v>
      </c>
      <c r="AO2801">
        <v>-123.413372</v>
      </c>
      <c r="AP2801">
        <v>100</v>
      </c>
      <c r="AQ2801">
        <v>2000</v>
      </c>
      <c r="AR2801" t="s">
        <v>118</v>
      </c>
      <c r="AS2801">
        <v>-77</v>
      </c>
      <c r="AT2801">
        <v>15</v>
      </c>
      <c r="AU2801">
        <v>0</v>
      </c>
      <c r="BC2801">
        <v>1200</v>
      </c>
      <c r="BD2801">
        <v>1</v>
      </c>
      <c r="BE2801" t="str">
        <f t="shared" si="131"/>
        <v xml:space="preserve">N215T   </v>
      </c>
      <c r="BF2801">
        <v>1</v>
      </c>
      <c r="BH2801">
        <v>0</v>
      </c>
      <c r="BI2801">
        <v>0</v>
      </c>
      <c r="BJ2801">
        <v>0</v>
      </c>
      <c r="BK2801">
        <v>2375</v>
      </c>
      <c r="BL2801">
        <v>375</v>
      </c>
      <c r="BM2801" t="s">
        <v>119</v>
      </c>
      <c r="BN2801">
        <v>1</v>
      </c>
      <c r="BO2801">
        <v>1</v>
      </c>
      <c r="BP2801">
        <v>1</v>
      </c>
      <c r="BQ2801">
        <v>0</v>
      </c>
      <c r="BT2801">
        <v>0</v>
      </c>
      <c r="BU2801">
        <v>0</v>
      </c>
      <c r="BV2801">
        <v>0</v>
      </c>
      <c r="CC2801" t="str">
        <f>"19:21:34.313"</f>
        <v>19:21:34.313</v>
      </c>
      <c r="CD2801" t="str">
        <f>"311748097"</f>
        <v>311748097</v>
      </c>
      <c r="CQ2801">
        <v>0</v>
      </c>
      <c r="CR2801">
        <v>2</v>
      </c>
      <c r="CS2801">
        <v>0</v>
      </c>
      <c r="CT2801">
        <v>2</v>
      </c>
      <c r="CU2801">
        <v>0</v>
      </c>
      <c r="CV2801">
        <v>5</v>
      </c>
      <c r="CW2801" t="s">
        <v>120</v>
      </c>
      <c r="CX2801">
        <v>257</v>
      </c>
      <c r="CY2801">
        <v>0</v>
      </c>
      <c r="CZ2801" t="s">
        <v>615</v>
      </c>
      <c r="DA2801" t="s">
        <v>616</v>
      </c>
      <c r="DD2801">
        <v>16106507</v>
      </c>
      <c r="DE2801" t="s">
        <v>123</v>
      </c>
    </row>
    <row r="2802" spans="1:109" x14ac:dyDescent="0.3">
      <c r="A2802" t="str">
        <f>"19:21:35.523"</f>
        <v>19:21:35.523</v>
      </c>
      <c r="B2802" t="s">
        <v>110</v>
      </c>
      <c r="C2802" t="str">
        <f t="shared" si="129"/>
        <v>ffdfd3c0</v>
      </c>
      <c r="D2802" t="s">
        <v>111</v>
      </c>
      <c r="E2802">
        <v>18</v>
      </c>
      <c r="F2802">
        <v>1018</v>
      </c>
      <c r="G2802" t="s">
        <v>112</v>
      </c>
      <c r="J2802" t="s">
        <v>113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R2802" t="s">
        <v>114</v>
      </c>
      <c r="S2802" t="str">
        <f>"19:21:35.313"</f>
        <v>19:21:35.313</v>
      </c>
      <c r="T2802" t="str">
        <f>"19:21:35.016"</f>
        <v>19:21:35.016</v>
      </c>
      <c r="U2802" t="str">
        <f t="shared" si="130"/>
        <v>a1cdbe</v>
      </c>
      <c r="V2802">
        <v>0</v>
      </c>
      <c r="W2802">
        <v>0</v>
      </c>
      <c r="X2802">
        <v>1</v>
      </c>
      <c r="Y2802">
        <v>0</v>
      </c>
      <c r="Z2802">
        <v>0</v>
      </c>
      <c r="AB2802">
        <v>0</v>
      </c>
      <c r="AC2802">
        <v>9</v>
      </c>
      <c r="AD2802">
        <v>3</v>
      </c>
      <c r="AE2802">
        <v>0</v>
      </c>
      <c r="AF2802">
        <v>9</v>
      </c>
      <c r="AG2802" t="s">
        <v>158</v>
      </c>
      <c r="AH2802">
        <v>0</v>
      </c>
      <c r="AI2802">
        <v>3</v>
      </c>
      <c r="AJ2802">
        <v>1</v>
      </c>
      <c r="AK2802">
        <v>0</v>
      </c>
      <c r="AL2802" t="s">
        <v>5283</v>
      </c>
      <c r="AM2802">
        <v>46.976444999999998</v>
      </c>
      <c r="AN2802" t="s">
        <v>5284</v>
      </c>
      <c r="AO2802">
        <v>-123.413887</v>
      </c>
      <c r="AP2802">
        <v>100</v>
      </c>
      <c r="AQ2802">
        <v>2000</v>
      </c>
      <c r="AR2802" t="s">
        <v>118</v>
      </c>
      <c r="AS2802">
        <v>-77</v>
      </c>
      <c r="AT2802">
        <v>14</v>
      </c>
      <c r="AU2802">
        <v>0</v>
      </c>
      <c r="BC2802">
        <v>1200</v>
      </c>
      <c r="BD2802">
        <v>1</v>
      </c>
      <c r="BE2802" t="str">
        <f t="shared" si="131"/>
        <v xml:space="preserve">N215T   </v>
      </c>
      <c r="BF2802">
        <v>1</v>
      </c>
      <c r="BH2802">
        <v>0</v>
      </c>
      <c r="BI2802">
        <v>0</v>
      </c>
      <c r="BJ2802">
        <v>0</v>
      </c>
      <c r="BK2802">
        <v>2375</v>
      </c>
      <c r="BL2802">
        <v>375</v>
      </c>
      <c r="BM2802" t="s">
        <v>119</v>
      </c>
      <c r="BN2802">
        <v>1</v>
      </c>
      <c r="BO2802">
        <v>1</v>
      </c>
      <c r="BP2802">
        <v>1</v>
      </c>
      <c r="BQ2802">
        <v>0</v>
      </c>
      <c r="BT2802">
        <v>0</v>
      </c>
      <c r="BU2802">
        <v>0</v>
      </c>
      <c r="BV2802">
        <v>0</v>
      </c>
      <c r="CC2802" t="str">
        <f>"19:21:35.320"</f>
        <v>19:21:35.320</v>
      </c>
      <c r="CD2802" t="str">
        <f>"316649049"</f>
        <v>316649049</v>
      </c>
      <c r="CQ2802">
        <v>0</v>
      </c>
      <c r="CR2802">
        <v>2</v>
      </c>
      <c r="CS2802">
        <v>0</v>
      </c>
      <c r="CT2802">
        <v>2</v>
      </c>
      <c r="CU2802">
        <v>0</v>
      </c>
      <c r="CV2802">
        <v>5</v>
      </c>
      <c r="CW2802" t="s">
        <v>120</v>
      </c>
      <c r="CX2802">
        <v>257</v>
      </c>
      <c r="CY2802">
        <v>0</v>
      </c>
      <c r="CZ2802" t="s">
        <v>615</v>
      </c>
      <c r="DA2802" t="s">
        <v>616</v>
      </c>
      <c r="DD2802">
        <v>16107076</v>
      </c>
      <c r="DE2802" t="s">
        <v>123</v>
      </c>
    </row>
    <row r="2803" spans="1:109" x14ac:dyDescent="0.3">
      <c r="A2803" t="str">
        <f>"19:21:36.578"</f>
        <v>19:21:36.578</v>
      </c>
      <c r="B2803" t="s">
        <v>110</v>
      </c>
      <c r="C2803" t="str">
        <f t="shared" si="129"/>
        <v>ffdfd3c0</v>
      </c>
      <c r="D2803" t="s">
        <v>111</v>
      </c>
      <c r="E2803">
        <v>18</v>
      </c>
      <c r="F2803">
        <v>1018</v>
      </c>
      <c r="G2803" t="s">
        <v>112</v>
      </c>
      <c r="J2803" t="s">
        <v>113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R2803" t="s">
        <v>114</v>
      </c>
      <c r="S2803" t="str">
        <f>"19:21:36.344"</f>
        <v>19:21:36.344</v>
      </c>
      <c r="T2803" t="str">
        <f>"19:21:36.047"</f>
        <v>19:21:36.047</v>
      </c>
      <c r="U2803" t="str">
        <f t="shared" si="130"/>
        <v>a1cdbe</v>
      </c>
      <c r="V2803">
        <v>0</v>
      </c>
      <c r="W2803">
        <v>0</v>
      </c>
      <c r="X2803">
        <v>1</v>
      </c>
      <c r="Y2803">
        <v>0</v>
      </c>
      <c r="Z2803">
        <v>0</v>
      </c>
      <c r="AB2803">
        <v>0</v>
      </c>
      <c r="AC2803">
        <v>9</v>
      </c>
      <c r="AD2803">
        <v>3</v>
      </c>
      <c r="AE2803">
        <v>0</v>
      </c>
      <c r="AF2803">
        <v>9</v>
      </c>
      <c r="AG2803" t="s">
        <v>158</v>
      </c>
      <c r="AH2803">
        <v>0</v>
      </c>
      <c r="AI2803">
        <v>3</v>
      </c>
      <c r="AJ2803">
        <v>1</v>
      </c>
      <c r="AK2803">
        <v>0</v>
      </c>
      <c r="AL2803" t="s">
        <v>5285</v>
      </c>
      <c r="AM2803">
        <v>46.976466000000002</v>
      </c>
      <c r="AN2803" t="s">
        <v>5286</v>
      </c>
      <c r="AO2803">
        <v>-123.414423</v>
      </c>
      <c r="AP2803">
        <v>100</v>
      </c>
      <c r="AQ2803">
        <v>2000</v>
      </c>
      <c r="AR2803" t="s">
        <v>118</v>
      </c>
      <c r="AS2803">
        <v>-77</v>
      </c>
      <c r="AT2803">
        <v>13</v>
      </c>
      <c r="AU2803">
        <v>0</v>
      </c>
      <c r="BC2803">
        <v>1200</v>
      </c>
      <c r="BD2803">
        <v>1</v>
      </c>
      <c r="BE2803" t="str">
        <f t="shared" si="131"/>
        <v xml:space="preserve">N215T   </v>
      </c>
      <c r="BF2803">
        <v>1</v>
      </c>
      <c r="BH2803">
        <v>0</v>
      </c>
      <c r="BI2803">
        <v>0</v>
      </c>
      <c r="BJ2803">
        <v>0</v>
      </c>
      <c r="BK2803">
        <v>2375</v>
      </c>
      <c r="BL2803">
        <v>375</v>
      </c>
      <c r="BM2803" t="s">
        <v>119</v>
      </c>
      <c r="BN2803">
        <v>1</v>
      </c>
      <c r="BO2803">
        <v>1</v>
      </c>
      <c r="BP2803">
        <v>1</v>
      </c>
      <c r="BQ2803">
        <v>0</v>
      </c>
      <c r="BT2803">
        <v>0</v>
      </c>
      <c r="BU2803">
        <v>0</v>
      </c>
      <c r="BV2803">
        <v>0</v>
      </c>
      <c r="CC2803" t="str">
        <f>"19:21:36.352"</f>
        <v>19:21:36.352</v>
      </c>
      <c r="CD2803" t="str">
        <f>"351547043"</f>
        <v>351547043</v>
      </c>
      <c r="CQ2803">
        <v>0</v>
      </c>
      <c r="CR2803">
        <v>2</v>
      </c>
      <c r="CS2803">
        <v>0</v>
      </c>
      <c r="CT2803">
        <v>2</v>
      </c>
      <c r="CU2803">
        <v>0</v>
      </c>
      <c r="CV2803">
        <v>5</v>
      </c>
      <c r="CW2803" t="s">
        <v>120</v>
      </c>
      <c r="CX2803">
        <v>257</v>
      </c>
      <c r="CY2803">
        <v>0</v>
      </c>
      <c r="CZ2803" t="s">
        <v>615</v>
      </c>
      <c r="DA2803" t="s">
        <v>616</v>
      </c>
      <c r="DD2803">
        <v>16107668</v>
      </c>
      <c r="DE2803" t="s">
        <v>123</v>
      </c>
    </row>
    <row r="2804" spans="1:109" x14ac:dyDescent="0.3">
      <c r="A2804" t="str">
        <f>"19:21:37.734"</f>
        <v>19:21:37.734</v>
      </c>
      <c r="B2804" t="s">
        <v>110</v>
      </c>
      <c r="C2804" t="str">
        <f t="shared" si="129"/>
        <v>ffdfd3c0</v>
      </c>
      <c r="D2804" t="s">
        <v>111</v>
      </c>
      <c r="E2804">
        <v>18</v>
      </c>
      <c r="F2804">
        <v>1018</v>
      </c>
      <c r="G2804" t="s">
        <v>112</v>
      </c>
      <c r="J2804" t="s">
        <v>113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R2804" t="s">
        <v>114</v>
      </c>
      <c r="S2804" t="str">
        <f>"19:21:37.469"</f>
        <v>19:21:37.469</v>
      </c>
      <c r="T2804" t="str">
        <f>"19:21:37.070"</f>
        <v>19:21:37.070</v>
      </c>
      <c r="U2804" t="str">
        <f t="shared" si="130"/>
        <v>a1cdbe</v>
      </c>
      <c r="V2804">
        <v>0</v>
      </c>
      <c r="W2804">
        <v>0</v>
      </c>
      <c r="X2804">
        <v>1</v>
      </c>
      <c r="Y2804">
        <v>0</v>
      </c>
      <c r="Z2804">
        <v>0</v>
      </c>
      <c r="AB2804">
        <v>0</v>
      </c>
      <c r="AC2804">
        <v>9</v>
      </c>
      <c r="AD2804">
        <v>3</v>
      </c>
      <c r="AE2804">
        <v>0</v>
      </c>
      <c r="AF2804">
        <v>9</v>
      </c>
      <c r="AG2804" t="s">
        <v>158</v>
      </c>
      <c r="AH2804">
        <v>0</v>
      </c>
      <c r="AI2804">
        <v>3</v>
      </c>
      <c r="AJ2804">
        <v>1</v>
      </c>
      <c r="AK2804">
        <v>0</v>
      </c>
      <c r="AL2804" t="s">
        <v>5287</v>
      </c>
      <c r="AM2804">
        <v>46.976551999999998</v>
      </c>
      <c r="AN2804" t="s">
        <v>5288</v>
      </c>
      <c r="AO2804">
        <v>-123.41506699999999</v>
      </c>
      <c r="AP2804">
        <v>100</v>
      </c>
      <c r="AQ2804">
        <v>2000</v>
      </c>
      <c r="AR2804" t="s">
        <v>118</v>
      </c>
      <c r="AS2804">
        <v>-77</v>
      </c>
      <c r="AT2804">
        <v>12</v>
      </c>
      <c r="AU2804">
        <v>0</v>
      </c>
      <c r="BC2804">
        <v>1200</v>
      </c>
      <c r="BD2804">
        <v>1</v>
      </c>
      <c r="BE2804" t="str">
        <f t="shared" si="131"/>
        <v xml:space="preserve">N215T   </v>
      </c>
      <c r="BF2804">
        <v>1</v>
      </c>
      <c r="BH2804">
        <v>0</v>
      </c>
      <c r="BI2804">
        <v>0</v>
      </c>
      <c r="BJ2804">
        <v>0</v>
      </c>
      <c r="BK2804">
        <v>2375</v>
      </c>
      <c r="BL2804">
        <v>375</v>
      </c>
      <c r="BM2804" t="s">
        <v>119</v>
      </c>
      <c r="BN2804">
        <v>1</v>
      </c>
      <c r="BO2804">
        <v>1</v>
      </c>
      <c r="BP2804">
        <v>1</v>
      </c>
      <c r="BQ2804">
        <v>0</v>
      </c>
      <c r="BT2804">
        <v>0</v>
      </c>
      <c r="BU2804">
        <v>0</v>
      </c>
      <c r="BV2804">
        <v>0</v>
      </c>
      <c r="CC2804" t="str">
        <f>"19:21:37.477"</f>
        <v>19:21:37.477</v>
      </c>
      <c r="CD2804" t="str">
        <f>"476458732"</f>
        <v>476458732</v>
      </c>
      <c r="CQ2804">
        <v>0</v>
      </c>
      <c r="CR2804">
        <v>2</v>
      </c>
      <c r="CS2804">
        <v>0</v>
      </c>
      <c r="CT2804">
        <v>2</v>
      </c>
      <c r="CU2804">
        <v>0</v>
      </c>
      <c r="CV2804">
        <v>5</v>
      </c>
      <c r="CW2804" t="s">
        <v>120</v>
      </c>
      <c r="CX2804">
        <v>261</v>
      </c>
      <c r="CY2804">
        <v>2</v>
      </c>
      <c r="CZ2804" t="s">
        <v>121</v>
      </c>
      <c r="DA2804" t="s">
        <v>122</v>
      </c>
      <c r="DD2804">
        <v>16005008</v>
      </c>
      <c r="DE2804" t="s">
        <v>123</v>
      </c>
    </row>
    <row r="2805" spans="1:109" x14ac:dyDescent="0.3">
      <c r="A2805" t="str">
        <f>"19:21:38.891"</f>
        <v>19:21:38.891</v>
      </c>
      <c r="B2805" t="s">
        <v>110</v>
      </c>
      <c r="C2805" t="str">
        <f t="shared" si="129"/>
        <v>ffdfd3c0</v>
      </c>
      <c r="D2805" t="s">
        <v>111</v>
      </c>
      <c r="E2805">
        <v>18</v>
      </c>
      <c r="F2805">
        <v>1018</v>
      </c>
      <c r="G2805" t="s">
        <v>112</v>
      </c>
      <c r="J2805" t="s">
        <v>113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R2805" t="s">
        <v>114</v>
      </c>
      <c r="S2805" t="str">
        <f>"19:21:38.641"</f>
        <v>19:21:38.641</v>
      </c>
      <c r="T2805" t="str">
        <f>"19:21:38.539"</f>
        <v>19:21:38.539</v>
      </c>
      <c r="U2805" t="str">
        <f t="shared" si="130"/>
        <v>a1cdbe</v>
      </c>
      <c r="V2805">
        <v>0</v>
      </c>
      <c r="W2805">
        <v>0</v>
      </c>
      <c r="X2805">
        <v>1</v>
      </c>
      <c r="Y2805">
        <v>0</v>
      </c>
      <c r="Z2805">
        <v>0</v>
      </c>
      <c r="AB2805">
        <v>0</v>
      </c>
      <c r="AC2805">
        <v>9</v>
      </c>
      <c r="AD2805">
        <v>3</v>
      </c>
      <c r="AE2805">
        <v>0</v>
      </c>
      <c r="AF2805">
        <v>9</v>
      </c>
      <c r="AG2805" t="s">
        <v>158</v>
      </c>
      <c r="AH2805">
        <v>0</v>
      </c>
      <c r="AI2805">
        <v>3</v>
      </c>
      <c r="AJ2805">
        <v>1</v>
      </c>
      <c r="AK2805">
        <v>0</v>
      </c>
      <c r="AL2805" t="s">
        <v>5289</v>
      </c>
      <c r="AM2805">
        <v>46.976616</v>
      </c>
      <c r="AN2805" t="s">
        <v>5290</v>
      </c>
      <c r="AO2805">
        <v>-123.415689</v>
      </c>
      <c r="AP2805">
        <v>100</v>
      </c>
      <c r="AQ2805">
        <v>2000</v>
      </c>
      <c r="AR2805" t="s">
        <v>118</v>
      </c>
      <c r="AS2805">
        <v>-78</v>
      </c>
      <c r="AT2805">
        <v>11</v>
      </c>
      <c r="AU2805">
        <v>0</v>
      </c>
      <c r="BC2805">
        <v>1200</v>
      </c>
      <c r="BD2805">
        <v>1</v>
      </c>
      <c r="BE2805" t="str">
        <f t="shared" si="131"/>
        <v xml:space="preserve">N215T   </v>
      </c>
      <c r="BF2805">
        <v>1</v>
      </c>
      <c r="BH2805">
        <v>0</v>
      </c>
      <c r="BI2805">
        <v>0</v>
      </c>
      <c r="BJ2805">
        <v>0</v>
      </c>
      <c r="BK2805">
        <v>2375</v>
      </c>
      <c r="BL2805">
        <v>375</v>
      </c>
      <c r="BM2805" t="s">
        <v>119</v>
      </c>
      <c r="BN2805">
        <v>1</v>
      </c>
      <c r="BO2805">
        <v>1</v>
      </c>
      <c r="BP2805">
        <v>1</v>
      </c>
      <c r="BQ2805">
        <v>0</v>
      </c>
      <c r="BT2805">
        <v>0</v>
      </c>
      <c r="BU2805">
        <v>0</v>
      </c>
      <c r="BV2805">
        <v>0</v>
      </c>
      <c r="CC2805" t="str">
        <f>"19:21:38.648"</f>
        <v>19:21:38.648</v>
      </c>
      <c r="CD2805" t="str">
        <f>"646320834"</f>
        <v>646320834</v>
      </c>
      <c r="CQ2805">
        <v>0</v>
      </c>
      <c r="CR2805">
        <v>2</v>
      </c>
      <c r="CS2805">
        <v>0</v>
      </c>
      <c r="CT2805">
        <v>2</v>
      </c>
      <c r="CU2805">
        <v>0</v>
      </c>
      <c r="CV2805">
        <v>6</v>
      </c>
      <c r="CW2805" t="s">
        <v>120</v>
      </c>
      <c r="CX2805">
        <v>257</v>
      </c>
      <c r="CY2805">
        <v>0</v>
      </c>
      <c r="CZ2805" t="s">
        <v>615</v>
      </c>
      <c r="DA2805" t="s">
        <v>616</v>
      </c>
      <c r="DD2805">
        <v>16108907</v>
      </c>
      <c r="DE2805" t="s">
        <v>123</v>
      </c>
    </row>
    <row r="2806" spans="1:109" x14ac:dyDescent="0.3">
      <c r="A2806" t="str">
        <f>"19:21:39.797"</f>
        <v>19:21:39.797</v>
      </c>
      <c r="B2806" t="s">
        <v>110</v>
      </c>
      <c r="C2806" t="str">
        <f t="shared" si="129"/>
        <v>ffdfd3c0</v>
      </c>
      <c r="D2806" t="s">
        <v>111</v>
      </c>
      <c r="E2806">
        <v>18</v>
      </c>
      <c r="F2806">
        <v>1018</v>
      </c>
      <c r="G2806" t="s">
        <v>112</v>
      </c>
      <c r="J2806" t="s">
        <v>113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R2806" t="s">
        <v>114</v>
      </c>
      <c r="S2806" t="str">
        <f>"19:21:39.570"</f>
        <v>19:21:39.570</v>
      </c>
      <c r="T2806" t="str">
        <f>"19:21:39.469"</f>
        <v>19:21:39.469</v>
      </c>
      <c r="U2806" t="str">
        <f t="shared" si="130"/>
        <v>a1cdbe</v>
      </c>
      <c r="V2806">
        <v>0</v>
      </c>
      <c r="W2806">
        <v>0</v>
      </c>
      <c r="X2806">
        <v>1</v>
      </c>
      <c r="Y2806">
        <v>0</v>
      </c>
      <c r="Z2806">
        <v>0</v>
      </c>
      <c r="AB2806">
        <v>0</v>
      </c>
      <c r="AC2806">
        <v>9</v>
      </c>
      <c r="AD2806">
        <v>3</v>
      </c>
      <c r="AE2806">
        <v>0</v>
      </c>
      <c r="AF2806">
        <v>9</v>
      </c>
      <c r="AG2806" t="s">
        <v>158</v>
      </c>
      <c r="AH2806">
        <v>0</v>
      </c>
      <c r="AI2806">
        <v>3</v>
      </c>
      <c r="AJ2806">
        <v>1</v>
      </c>
      <c r="AK2806">
        <v>0</v>
      </c>
      <c r="AL2806" t="s">
        <v>5291</v>
      </c>
      <c r="AM2806">
        <v>46.976658999999998</v>
      </c>
      <c r="AN2806" t="s">
        <v>5292</v>
      </c>
      <c r="AO2806">
        <v>-123.416162</v>
      </c>
      <c r="AP2806">
        <v>100</v>
      </c>
      <c r="AQ2806">
        <v>2000</v>
      </c>
      <c r="AR2806" t="s">
        <v>118</v>
      </c>
      <c r="AS2806">
        <v>-78</v>
      </c>
      <c r="AT2806">
        <v>10</v>
      </c>
      <c r="AU2806">
        <v>0</v>
      </c>
      <c r="BC2806">
        <v>1200</v>
      </c>
      <c r="BD2806">
        <v>1</v>
      </c>
      <c r="BE2806" t="str">
        <f t="shared" si="131"/>
        <v xml:space="preserve">N215T   </v>
      </c>
      <c r="BF2806">
        <v>1</v>
      </c>
      <c r="BH2806">
        <v>0</v>
      </c>
      <c r="BI2806">
        <v>0</v>
      </c>
      <c r="BJ2806">
        <v>0</v>
      </c>
      <c r="BK2806">
        <v>2375</v>
      </c>
      <c r="BL2806">
        <v>375</v>
      </c>
      <c r="BM2806" t="s">
        <v>119</v>
      </c>
      <c r="BN2806">
        <v>1</v>
      </c>
      <c r="BO2806">
        <v>1</v>
      </c>
      <c r="BP2806">
        <v>1</v>
      </c>
      <c r="BQ2806">
        <v>0</v>
      </c>
      <c r="BT2806">
        <v>0</v>
      </c>
      <c r="BU2806">
        <v>0</v>
      </c>
      <c r="BV2806">
        <v>0</v>
      </c>
      <c r="CC2806" t="str">
        <f>"19:21:39.578"</f>
        <v>19:21:39.578</v>
      </c>
      <c r="CD2806" t="str">
        <f>"576229175"</f>
        <v>576229175</v>
      </c>
      <c r="CQ2806">
        <v>0</v>
      </c>
      <c r="CR2806">
        <v>2</v>
      </c>
      <c r="CS2806">
        <v>0</v>
      </c>
      <c r="CT2806">
        <v>2</v>
      </c>
      <c r="CU2806">
        <v>0</v>
      </c>
      <c r="CV2806">
        <v>6</v>
      </c>
      <c r="CW2806" t="s">
        <v>120</v>
      </c>
      <c r="CX2806">
        <v>257</v>
      </c>
      <c r="CY2806">
        <v>0</v>
      </c>
      <c r="CZ2806" t="s">
        <v>615</v>
      </c>
      <c r="DA2806" t="s">
        <v>616</v>
      </c>
      <c r="DD2806">
        <v>16109370</v>
      </c>
      <c r="DE2806" t="s">
        <v>123</v>
      </c>
    </row>
    <row r="2807" spans="1:109" x14ac:dyDescent="0.3">
      <c r="A2807" t="str">
        <f>"19:21:40.711"</f>
        <v>19:21:40.711</v>
      </c>
      <c r="B2807" t="s">
        <v>110</v>
      </c>
      <c r="C2807" t="str">
        <f t="shared" si="129"/>
        <v>ffdfd3c0</v>
      </c>
      <c r="D2807" t="s">
        <v>111</v>
      </c>
      <c r="E2807">
        <v>18</v>
      </c>
      <c r="F2807">
        <v>1018</v>
      </c>
      <c r="G2807" t="s">
        <v>112</v>
      </c>
      <c r="J2807" t="s">
        <v>113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R2807" t="s">
        <v>114</v>
      </c>
      <c r="S2807" t="str">
        <f>"19:21:40.484"</f>
        <v>19:21:40.484</v>
      </c>
      <c r="T2807" t="str">
        <f>"19:21:39.984"</f>
        <v>19:21:39.984</v>
      </c>
      <c r="U2807" t="str">
        <f t="shared" si="130"/>
        <v>a1cdbe</v>
      </c>
      <c r="V2807">
        <v>0</v>
      </c>
      <c r="W2807">
        <v>0</v>
      </c>
      <c r="X2807">
        <v>1</v>
      </c>
      <c r="Y2807">
        <v>0</v>
      </c>
      <c r="Z2807">
        <v>0</v>
      </c>
      <c r="AB2807">
        <v>0</v>
      </c>
      <c r="AC2807">
        <v>9</v>
      </c>
      <c r="AD2807">
        <v>3</v>
      </c>
      <c r="AE2807">
        <v>0</v>
      </c>
      <c r="AF2807">
        <v>9</v>
      </c>
      <c r="AG2807" t="s">
        <v>158</v>
      </c>
      <c r="AH2807">
        <v>0</v>
      </c>
      <c r="AI2807">
        <v>3</v>
      </c>
      <c r="AJ2807">
        <v>1</v>
      </c>
      <c r="AK2807">
        <v>0</v>
      </c>
      <c r="AL2807" t="s">
        <v>5291</v>
      </c>
      <c r="AM2807">
        <v>46.976658999999998</v>
      </c>
      <c r="AN2807" t="s">
        <v>5293</v>
      </c>
      <c r="AO2807">
        <v>-123.416634</v>
      </c>
      <c r="AP2807">
        <v>100</v>
      </c>
      <c r="AQ2807">
        <v>2000</v>
      </c>
      <c r="AR2807" t="s">
        <v>118</v>
      </c>
      <c r="AS2807">
        <v>-78</v>
      </c>
      <c r="AT2807">
        <v>10</v>
      </c>
      <c r="AU2807">
        <v>64</v>
      </c>
      <c r="BC2807">
        <v>1200</v>
      </c>
      <c r="BD2807">
        <v>1</v>
      </c>
      <c r="BE2807" t="str">
        <f t="shared" si="131"/>
        <v xml:space="preserve">N215T   </v>
      </c>
      <c r="BF2807">
        <v>1</v>
      </c>
      <c r="BH2807">
        <v>0</v>
      </c>
      <c r="BI2807">
        <v>0</v>
      </c>
      <c r="BJ2807">
        <v>0</v>
      </c>
      <c r="BK2807">
        <v>2375</v>
      </c>
      <c r="BL2807">
        <v>375</v>
      </c>
      <c r="BM2807" t="s">
        <v>119</v>
      </c>
      <c r="BN2807">
        <v>1</v>
      </c>
      <c r="BO2807">
        <v>1</v>
      </c>
      <c r="BP2807">
        <v>1</v>
      </c>
      <c r="BQ2807">
        <v>0</v>
      </c>
      <c r="BT2807">
        <v>0</v>
      </c>
      <c r="BU2807">
        <v>0</v>
      </c>
      <c r="BV2807">
        <v>0</v>
      </c>
      <c r="CC2807" t="str">
        <f>"19:21:40.492"</f>
        <v>19:21:40.492</v>
      </c>
      <c r="CD2807" t="str">
        <f>"491138974"</f>
        <v>491138974</v>
      </c>
      <c r="CQ2807">
        <v>0</v>
      </c>
      <c r="CR2807">
        <v>2</v>
      </c>
      <c r="CS2807">
        <v>0</v>
      </c>
      <c r="CT2807">
        <v>2</v>
      </c>
      <c r="CU2807">
        <v>0</v>
      </c>
      <c r="CV2807">
        <v>6</v>
      </c>
      <c r="CW2807" t="s">
        <v>120</v>
      </c>
      <c r="CX2807">
        <v>257</v>
      </c>
      <c r="CY2807">
        <v>0</v>
      </c>
      <c r="CZ2807" t="s">
        <v>615</v>
      </c>
      <c r="DA2807" t="s">
        <v>616</v>
      </c>
      <c r="DD2807">
        <v>16109830</v>
      </c>
      <c r="DE2807" t="s">
        <v>123</v>
      </c>
    </row>
    <row r="2808" spans="1:109" x14ac:dyDescent="0.3">
      <c r="A2808" t="str">
        <f>"19:21:41.656"</f>
        <v>19:21:41.656</v>
      </c>
      <c r="B2808" t="s">
        <v>110</v>
      </c>
      <c r="C2808" t="str">
        <f t="shared" si="129"/>
        <v>ffdfd3c0</v>
      </c>
      <c r="D2808" t="s">
        <v>111</v>
      </c>
      <c r="E2808">
        <v>18</v>
      </c>
      <c r="F2808">
        <v>1018</v>
      </c>
      <c r="G2808" t="s">
        <v>112</v>
      </c>
      <c r="J2808" t="s">
        <v>113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R2808" t="s">
        <v>114</v>
      </c>
      <c r="S2808" t="str">
        <f>"19:21:41.445"</f>
        <v>19:21:41.445</v>
      </c>
      <c r="T2808" t="str">
        <f>"19:21:41.047"</f>
        <v>19:21:41.047</v>
      </c>
      <c r="U2808" t="str">
        <f t="shared" si="130"/>
        <v>a1cdbe</v>
      </c>
      <c r="V2808">
        <v>0</v>
      </c>
      <c r="W2808">
        <v>0</v>
      </c>
      <c r="X2808">
        <v>1</v>
      </c>
      <c r="Y2808">
        <v>0</v>
      </c>
      <c r="Z2808">
        <v>0</v>
      </c>
      <c r="AB2808">
        <v>0</v>
      </c>
      <c r="AC2808">
        <v>9</v>
      </c>
      <c r="AD2808">
        <v>3</v>
      </c>
      <c r="AE2808">
        <v>0</v>
      </c>
      <c r="AF2808">
        <v>9</v>
      </c>
      <c r="AG2808" t="s">
        <v>158</v>
      </c>
      <c r="AH2808">
        <v>0</v>
      </c>
      <c r="AI2808">
        <v>3</v>
      </c>
      <c r="AJ2808">
        <v>1</v>
      </c>
      <c r="AK2808">
        <v>0</v>
      </c>
      <c r="AL2808" t="s">
        <v>5294</v>
      </c>
      <c r="AM2808">
        <v>46.976702000000003</v>
      </c>
      <c r="AN2808" t="s">
        <v>5295</v>
      </c>
      <c r="AO2808">
        <v>-123.41717</v>
      </c>
      <c r="AP2808">
        <v>100</v>
      </c>
      <c r="AQ2808">
        <v>2000</v>
      </c>
      <c r="AR2808" t="s">
        <v>118</v>
      </c>
      <c r="AS2808">
        <v>-78</v>
      </c>
      <c r="AT2808">
        <v>9</v>
      </c>
      <c r="AU2808">
        <v>64</v>
      </c>
      <c r="BC2808">
        <v>1200</v>
      </c>
      <c r="BD2808">
        <v>1</v>
      </c>
      <c r="BE2808" t="str">
        <f t="shared" si="131"/>
        <v xml:space="preserve">N215T   </v>
      </c>
      <c r="BF2808">
        <v>1</v>
      </c>
      <c r="BH2808">
        <v>0</v>
      </c>
      <c r="BI2808">
        <v>0</v>
      </c>
      <c r="BJ2808">
        <v>0</v>
      </c>
      <c r="BK2808">
        <v>2375</v>
      </c>
      <c r="BL2808">
        <v>375</v>
      </c>
      <c r="BM2808" t="s">
        <v>119</v>
      </c>
      <c r="BN2808">
        <v>1</v>
      </c>
      <c r="BO2808">
        <v>1</v>
      </c>
      <c r="BP2808">
        <v>1</v>
      </c>
      <c r="BQ2808">
        <v>0</v>
      </c>
      <c r="BT2808">
        <v>0</v>
      </c>
      <c r="BU2808">
        <v>0</v>
      </c>
      <c r="BV2808">
        <v>0</v>
      </c>
      <c r="CC2808" t="str">
        <f>"19:21:41.453"</f>
        <v>19:21:41.453</v>
      </c>
      <c r="CD2808" t="str">
        <f>"451044361"</f>
        <v>451044361</v>
      </c>
      <c r="CQ2808">
        <v>0</v>
      </c>
      <c r="CR2808">
        <v>2</v>
      </c>
      <c r="CS2808">
        <v>0</v>
      </c>
      <c r="CT2808">
        <v>2</v>
      </c>
      <c r="CU2808">
        <v>0</v>
      </c>
      <c r="CV2808">
        <v>6</v>
      </c>
      <c r="CW2808" t="s">
        <v>120</v>
      </c>
      <c r="CX2808">
        <v>257</v>
      </c>
      <c r="CY2808">
        <v>0</v>
      </c>
      <c r="CZ2808" t="s">
        <v>615</v>
      </c>
      <c r="DA2808" t="s">
        <v>616</v>
      </c>
      <c r="DD2808">
        <v>16110350</v>
      </c>
      <c r="DE2808" t="s">
        <v>123</v>
      </c>
    </row>
    <row r="2809" spans="1:109" x14ac:dyDescent="0.3">
      <c r="A2809" t="str">
        <f>"19:21:42.813"</f>
        <v>19:21:42.813</v>
      </c>
      <c r="B2809" t="s">
        <v>110</v>
      </c>
      <c r="C2809" t="str">
        <f t="shared" si="129"/>
        <v>ffdfd3c0</v>
      </c>
      <c r="D2809" t="s">
        <v>111</v>
      </c>
      <c r="E2809">
        <v>18</v>
      </c>
      <c r="F2809">
        <v>1018</v>
      </c>
      <c r="G2809" t="s">
        <v>112</v>
      </c>
      <c r="J2809" t="s">
        <v>113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R2809" t="s">
        <v>114</v>
      </c>
      <c r="S2809" t="str">
        <f>"19:21:42.602"</f>
        <v>19:21:42.602</v>
      </c>
      <c r="T2809" t="str">
        <f>"19:21:42.602"</f>
        <v>19:21:42.602</v>
      </c>
      <c r="U2809" t="str">
        <f t="shared" si="130"/>
        <v>a1cdbe</v>
      </c>
      <c r="V2809">
        <v>0</v>
      </c>
      <c r="W2809">
        <v>0</v>
      </c>
      <c r="X2809">
        <v>1</v>
      </c>
      <c r="Y2809">
        <v>0</v>
      </c>
      <c r="Z2809">
        <v>0</v>
      </c>
      <c r="AB2809">
        <v>0</v>
      </c>
      <c r="AC2809">
        <v>9</v>
      </c>
      <c r="AD2809">
        <v>3</v>
      </c>
      <c r="AE2809">
        <v>0</v>
      </c>
      <c r="AF2809">
        <v>9</v>
      </c>
      <c r="AG2809" t="s">
        <v>158</v>
      </c>
      <c r="AH2809">
        <v>0</v>
      </c>
      <c r="AI2809">
        <v>3</v>
      </c>
      <c r="AJ2809">
        <v>1</v>
      </c>
      <c r="AK2809">
        <v>0</v>
      </c>
      <c r="AL2809" t="s">
        <v>5296</v>
      </c>
      <c r="AM2809">
        <v>46.976745000000001</v>
      </c>
      <c r="AN2809" t="s">
        <v>5297</v>
      </c>
      <c r="AO2809">
        <v>-123.417728</v>
      </c>
      <c r="AP2809">
        <v>100</v>
      </c>
      <c r="AQ2809">
        <v>2000</v>
      </c>
      <c r="AR2809" t="s">
        <v>118</v>
      </c>
      <c r="AS2809">
        <v>-78</v>
      </c>
      <c r="AT2809">
        <v>8</v>
      </c>
      <c r="AU2809">
        <v>64</v>
      </c>
      <c r="BC2809">
        <v>1200</v>
      </c>
      <c r="BD2809">
        <v>1</v>
      </c>
      <c r="BE2809" t="str">
        <f t="shared" si="131"/>
        <v xml:space="preserve">N215T   </v>
      </c>
      <c r="BF2809">
        <v>1</v>
      </c>
      <c r="BH2809">
        <v>0</v>
      </c>
      <c r="BI2809">
        <v>0</v>
      </c>
      <c r="BJ2809">
        <v>0</v>
      </c>
      <c r="BK2809">
        <v>2375</v>
      </c>
      <c r="BL2809">
        <v>375</v>
      </c>
      <c r="BM2809" t="s">
        <v>119</v>
      </c>
      <c r="BN2809">
        <v>1</v>
      </c>
      <c r="BO2809">
        <v>1</v>
      </c>
      <c r="BP2809">
        <v>1</v>
      </c>
      <c r="BQ2809">
        <v>0</v>
      </c>
      <c r="BT2809">
        <v>0</v>
      </c>
      <c r="BU2809">
        <v>0</v>
      </c>
      <c r="BV2809">
        <v>0</v>
      </c>
      <c r="CC2809" t="str">
        <f>"19:21:42.609"</f>
        <v>19:21:42.609</v>
      </c>
      <c r="CD2809" t="str">
        <f>"605930509"</f>
        <v>605930509</v>
      </c>
      <c r="CQ2809">
        <v>0</v>
      </c>
      <c r="CR2809">
        <v>2</v>
      </c>
      <c r="CS2809">
        <v>0</v>
      </c>
      <c r="CT2809">
        <v>2</v>
      </c>
      <c r="CU2809">
        <v>0</v>
      </c>
      <c r="CV2809">
        <v>6</v>
      </c>
      <c r="CW2809" t="s">
        <v>120</v>
      </c>
      <c r="CX2809">
        <v>257</v>
      </c>
      <c r="CY2809">
        <v>0</v>
      </c>
      <c r="CZ2809" t="s">
        <v>615</v>
      </c>
      <c r="DA2809" t="s">
        <v>616</v>
      </c>
      <c r="DD2809">
        <v>16110998</v>
      </c>
      <c r="DE2809" t="s">
        <v>123</v>
      </c>
    </row>
    <row r="2810" spans="1:109" x14ac:dyDescent="0.3">
      <c r="A2810" t="str">
        <f>"19:21:43.719"</f>
        <v>19:21:43.719</v>
      </c>
      <c r="B2810" t="s">
        <v>110</v>
      </c>
      <c r="C2810" t="str">
        <f t="shared" si="129"/>
        <v>ffdfd3c0</v>
      </c>
      <c r="D2810" t="s">
        <v>111</v>
      </c>
      <c r="E2810">
        <v>18</v>
      </c>
      <c r="F2810">
        <v>1018</v>
      </c>
      <c r="G2810" t="s">
        <v>112</v>
      </c>
      <c r="J2810" t="s">
        <v>113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R2810" t="s">
        <v>114</v>
      </c>
      <c r="S2810" t="str">
        <f>"19:21:43.516"</f>
        <v>19:21:43.516</v>
      </c>
      <c r="T2810" t="str">
        <f>"19:21:43.117"</f>
        <v>19:21:43.117</v>
      </c>
      <c r="U2810" t="str">
        <f t="shared" si="130"/>
        <v>a1cdbe</v>
      </c>
      <c r="V2810">
        <v>0</v>
      </c>
      <c r="W2810">
        <v>0</v>
      </c>
      <c r="X2810">
        <v>1</v>
      </c>
      <c r="Y2810">
        <v>0</v>
      </c>
      <c r="Z2810">
        <v>0</v>
      </c>
      <c r="AB2810">
        <v>0</v>
      </c>
      <c r="AC2810">
        <v>9</v>
      </c>
      <c r="AD2810">
        <v>3</v>
      </c>
      <c r="AE2810">
        <v>0</v>
      </c>
      <c r="AF2810">
        <v>9</v>
      </c>
      <c r="AG2810" t="s">
        <v>158</v>
      </c>
      <c r="AH2810">
        <v>0</v>
      </c>
      <c r="AI2810">
        <v>3</v>
      </c>
      <c r="AJ2810">
        <v>1</v>
      </c>
      <c r="AK2810">
        <v>0</v>
      </c>
      <c r="AL2810" t="s">
        <v>5298</v>
      </c>
      <c r="AM2810">
        <v>46.976787999999999</v>
      </c>
      <c r="AN2810" t="s">
        <v>5299</v>
      </c>
      <c r="AO2810">
        <v>-123.418221</v>
      </c>
      <c r="AP2810">
        <v>100</v>
      </c>
      <c r="AQ2810">
        <v>2000</v>
      </c>
      <c r="AR2810" t="s">
        <v>118</v>
      </c>
      <c r="AS2810">
        <v>-78</v>
      </c>
      <c r="AT2810">
        <v>7</v>
      </c>
      <c r="AU2810">
        <v>64</v>
      </c>
      <c r="BC2810">
        <v>1200</v>
      </c>
      <c r="BD2810">
        <v>1</v>
      </c>
      <c r="BE2810" t="str">
        <f t="shared" si="131"/>
        <v xml:space="preserve">N215T   </v>
      </c>
      <c r="BF2810">
        <v>1</v>
      </c>
      <c r="BH2810">
        <v>0</v>
      </c>
      <c r="BI2810">
        <v>0</v>
      </c>
      <c r="BJ2810">
        <v>0</v>
      </c>
      <c r="BK2810">
        <v>2375</v>
      </c>
      <c r="BL2810">
        <v>375</v>
      </c>
      <c r="BM2810" t="s">
        <v>119</v>
      </c>
      <c r="BN2810">
        <v>1</v>
      </c>
      <c r="BO2810">
        <v>1</v>
      </c>
      <c r="BP2810">
        <v>1</v>
      </c>
      <c r="BQ2810">
        <v>0</v>
      </c>
      <c r="BT2810">
        <v>0</v>
      </c>
      <c r="BU2810">
        <v>0</v>
      </c>
      <c r="BV2810">
        <v>0</v>
      </c>
      <c r="CC2810" t="str">
        <f>"19:21:43.523"</f>
        <v>19:21:43.523</v>
      </c>
      <c r="CD2810" t="str">
        <f>"520840341"</f>
        <v>520840341</v>
      </c>
      <c r="CQ2810">
        <v>0</v>
      </c>
      <c r="CR2810">
        <v>2</v>
      </c>
      <c r="CS2810">
        <v>0</v>
      </c>
      <c r="CT2810">
        <v>2</v>
      </c>
      <c r="CU2810">
        <v>0</v>
      </c>
      <c r="CV2810">
        <v>6</v>
      </c>
      <c r="CW2810" t="s">
        <v>120</v>
      </c>
      <c r="CX2810">
        <v>257</v>
      </c>
      <c r="CY2810">
        <v>0</v>
      </c>
      <c r="CZ2810" t="s">
        <v>615</v>
      </c>
      <c r="DA2810" t="s">
        <v>616</v>
      </c>
      <c r="DD2810">
        <v>16111525</v>
      </c>
      <c r="DE2810" t="s">
        <v>123</v>
      </c>
    </row>
    <row r="2811" spans="1:109" x14ac:dyDescent="0.3">
      <c r="A2811" t="str">
        <f>"19:21:44.875"</f>
        <v>19:21:44.875</v>
      </c>
      <c r="B2811" t="s">
        <v>110</v>
      </c>
      <c r="C2811" t="str">
        <f t="shared" si="129"/>
        <v>ffdfd3c0</v>
      </c>
      <c r="D2811" t="s">
        <v>111</v>
      </c>
      <c r="E2811">
        <v>18</v>
      </c>
      <c r="F2811">
        <v>1018</v>
      </c>
      <c r="G2811" t="s">
        <v>112</v>
      </c>
      <c r="J2811" t="s">
        <v>113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R2811" t="s">
        <v>114</v>
      </c>
      <c r="S2811" t="str">
        <f>"19:21:44.641"</f>
        <v>19:21:44.641</v>
      </c>
      <c r="T2811" t="str">
        <f>"19:21:44.641"</f>
        <v>19:21:44.641</v>
      </c>
      <c r="U2811" t="str">
        <f t="shared" si="130"/>
        <v>a1cdbe</v>
      </c>
      <c r="V2811">
        <v>0</v>
      </c>
      <c r="W2811">
        <v>0</v>
      </c>
      <c r="X2811">
        <v>1</v>
      </c>
      <c r="Y2811">
        <v>0</v>
      </c>
      <c r="Z2811">
        <v>0</v>
      </c>
      <c r="AB2811">
        <v>0</v>
      </c>
      <c r="AC2811">
        <v>9</v>
      </c>
      <c r="AD2811">
        <v>3</v>
      </c>
      <c r="AE2811">
        <v>0</v>
      </c>
      <c r="AF2811">
        <v>9</v>
      </c>
      <c r="AG2811" t="s">
        <v>158</v>
      </c>
      <c r="AH2811">
        <v>0</v>
      </c>
      <c r="AI2811">
        <v>3</v>
      </c>
      <c r="AJ2811">
        <v>1</v>
      </c>
      <c r="AK2811">
        <v>0</v>
      </c>
      <c r="AL2811" t="s">
        <v>5300</v>
      </c>
      <c r="AM2811">
        <v>46.976830999999997</v>
      </c>
      <c r="AN2811" t="s">
        <v>5301</v>
      </c>
      <c r="AO2811">
        <v>-123.418865</v>
      </c>
      <c r="AP2811">
        <v>100</v>
      </c>
      <c r="AQ2811">
        <v>2000</v>
      </c>
      <c r="AR2811" t="s">
        <v>118</v>
      </c>
      <c r="AS2811">
        <v>-79</v>
      </c>
      <c r="AT2811">
        <v>6</v>
      </c>
      <c r="AU2811">
        <v>64</v>
      </c>
      <c r="BC2811">
        <v>1200</v>
      </c>
      <c r="BD2811">
        <v>1</v>
      </c>
      <c r="BE2811" t="str">
        <f t="shared" si="131"/>
        <v xml:space="preserve">N215T   </v>
      </c>
      <c r="BF2811">
        <v>1</v>
      </c>
      <c r="BH2811">
        <v>0</v>
      </c>
      <c r="BI2811">
        <v>0</v>
      </c>
      <c r="BJ2811">
        <v>0</v>
      </c>
      <c r="BK2811">
        <v>2400</v>
      </c>
      <c r="BL2811">
        <v>400</v>
      </c>
      <c r="BM2811" t="s">
        <v>119</v>
      </c>
      <c r="BN2811">
        <v>1</v>
      </c>
      <c r="BO2811">
        <v>1</v>
      </c>
      <c r="BP2811">
        <v>1</v>
      </c>
      <c r="BQ2811">
        <v>0</v>
      </c>
      <c r="BT2811">
        <v>0</v>
      </c>
      <c r="BU2811">
        <v>0</v>
      </c>
      <c r="BV2811">
        <v>0</v>
      </c>
      <c r="CC2811" t="str">
        <f>"19:21:44.648"</f>
        <v>19:21:44.648</v>
      </c>
      <c r="CD2811" t="str">
        <f>"645729439"</f>
        <v>645729439</v>
      </c>
      <c r="CQ2811">
        <v>0</v>
      </c>
      <c r="CR2811">
        <v>2</v>
      </c>
      <c r="CS2811">
        <v>0</v>
      </c>
      <c r="CT2811">
        <v>2</v>
      </c>
      <c r="CU2811">
        <v>0</v>
      </c>
      <c r="CV2811">
        <v>6</v>
      </c>
      <c r="CW2811" t="s">
        <v>120</v>
      </c>
      <c r="CX2811">
        <v>257</v>
      </c>
      <c r="CY2811">
        <v>0</v>
      </c>
      <c r="CZ2811" t="s">
        <v>615</v>
      </c>
      <c r="DA2811" t="s">
        <v>616</v>
      </c>
      <c r="DD2811">
        <v>16112086</v>
      </c>
      <c r="DE2811" t="s">
        <v>123</v>
      </c>
    </row>
    <row r="2812" spans="1:109" x14ac:dyDescent="0.3">
      <c r="A2812" t="str">
        <f>"19:21:45.875"</f>
        <v>19:21:45.875</v>
      </c>
      <c r="B2812" t="s">
        <v>110</v>
      </c>
      <c r="C2812" t="str">
        <f t="shared" si="129"/>
        <v>ffdfd3c0</v>
      </c>
      <c r="D2812" t="s">
        <v>111</v>
      </c>
      <c r="E2812">
        <v>18</v>
      </c>
      <c r="F2812">
        <v>1018</v>
      </c>
      <c r="G2812" t="s">
        <v>112</v>
      </c>
      <c r="J2812" t="s">
        <v>113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R2812" t="s">
        <v>114</v>
      </c>
      <c r="S2812" t="str">
        <f>"19:21:45.617"</f>
        <v>19:21:45.617</v>
      </c>
      <c r="T2812" t="str">
        <f>"19:21:45.617"</f>
        <v>19:21:45.617</v>
      </c>
      <c r="U2812" t="str">
        <f t="shared" si="130"/>
        <v>a1cdbe</v>
      </c>
      <c r="V2812">
        <v>0</v>
      </c>
      <c r="W2812">
        <v>0</v>
      </c>
      <c r="X2812">
        <v>1</v>
      </c>
      <c r="Y2812">
        <v>0</v>
      </c>
      <c r="Z2812">
        <v>0</v>
      </c>
      <c r="AB2812">
        <v>0</v>
      </c>
      <c r="AC2812">
        <v>9</v>
      </c>
      <c r="AD2812">
        <v>3</v>
      </c>
      <c r="AE2812">
        <v>0</v>
      </c>
      <c r="AF2812">
        <v>9</v>
      </c>
      <c r="AG2812" t="s">
        <v>158</v>
      </c>
      <c r="AH2812">
        <v>0</v>
      </c>
      <c r="AI2812">
        <v>3</v>
      </c>
      <c r="AJ2812">
        <v>1</v>
      </c>
      <c r="AK2812">
        <v>0</v>
      </c>
      <c r="AL2812" t="s">
        <v>5302</v>
      </c>
      <c r="AM2812">
        <v>46.976852000000001</v>
      </c>
      <c r="AN2812" t="s">
        <v>5303</v>
      </c>
      <c r="AO2812">
        <v>-123.41938</v>
      </c>
      <c r="AP2812">
        <v>100</v>
      </c>
      <c r="AQ2812">
        <v>2000</v>
      </c>
      <c r="AR2812" t="s">
        <v>118</v>
      </c>
      <c r="AS2812">
        <v>-79</v>
      </c>
      <c r="AT2812">
        <v>6</v>
      </c>
      <c r="AU2812">
        <v>64</v>
      </c>
      <c r="BC2812">
        <v>1200</v>
      </c>
      <c r="BD2812">
        <v>1</v>
      </c>
      <c r="BE2812" t="str">
        <f t="shared" si="131"/>
        <v xml:space="preserve">N215T   </v>
      </c>
      <c r="BF2812">
        <v>1</v>
      </c>
      <c r="BH2812">
        <v>0</v>
      </c>
      <c r="BI2812">
        <v>0</v>
      </c>
      <c r="BJ2812">
        <v>0</v>
      </c>
      <c r="BK2812">
        <v>2400</v>
      </c>
      <c r="BL2812">
        <v>400</v>
      </c>
      <c r="BM2812" t="s">
        <v>119</v>
      </c>
      <c r="BN2812">
        <v>1</v>
      </c>
      <c r="BO2812">
        <v>1</v>
      </c>
      <c r="BP2812">
        <v>1</v>
      </c>
      <c r="BQ2812">
        <v>0</v>
      </c>
      <c r="BT2812">
        <v>0</v>
      </c>
      <c r="BU2812">
        <v>0</v>
      </c>
      <c r="BV2812">
        <v>0</v>
      </c>
      <c r="CC2812" t="str">
        <f>"19:21:45.617"</f>
        <v>19:21:45.617</v>
      </c>
      <c r="CD2812" t="str">
        <f>"620633345"</f>
        <v>620633345</v>
      </c>
      <c r="CQ2812">
        <v>0</v>
      </c>
      <c r="CR2812">
        <v>2</v>
      </c>
      <c r="CS2812">
        <v>0</v>
      </c>
      <c r="CT2812">
        <v>2</v>
      </c>
      <c r="CU2812">
        <v>0</v>
      </c>
      <c r="CV2812">
        <v>6</v>
      </c>
      <c r="CW2812" t="s">
        <v>120</v>
      </c>
      <c r="CX2812">
        <v>257</v>
      </c>
      <c r="CY2812">
        <v>1</v>
      </c>
      <c r="CZ2812" t="s">
        <v>615</v>
      </c>
      <c r="DA2812" t="s">
        <v>616</v>
      </c>
      <c r="DD2812">
        <v>12449479</v>
      </c>
      <c r="DE2812" t="s">
        <v>123</v>
      </c>
    </row>
    <row r="2813" spans="1:109" x14ac:dyDescent="0.3">
      <c r="A2813" t="str">
        <f>"19:21:46.680"</f>
        <v>19:21:46.680</v>
      </c>
      <c r="B2813" t="s">
        <v>110</v>
      </c>
      <c r="C2813" t="str">
        <f t="shared" si="129"/>
        <v>ffdfd3c0</v>
      </c>
      <c r="D2813" t="s">
        <v>111</v>
      </c>
      <c r="E2813">
        <v>18</v>
      </c>
      <c r="F2813">
        <v>1018</v>
      </c>
      <c r="G2813" t="s">
        <v>112</v>
      </c>
      <c r="J2813" t="s">
        <v>113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R2813" t="s">
        <v>114</v>
      </c>
      <c r="S2813" t="str">
        <f>"19:21:46.469"</f>
        <v>19:21:46.469</v>
      </c>
      <c r="T2813" t="str">
        <f>"19:21:46.469"</f>
        <v>19:21:46.469</v>
      </c>
      <c r="U2813" t="str">
        <f t="shared" si="130"/>
        <v>a1cdbe</v>
      </c>
      <c r="V2813">
        <v>0</v>
      </c>
      <c r="W2813">
        <v>0</v>
      </c>
      <c r="X2813">
        <v>1</v>
      </c>
      <c r="Y2813">
        <v>0</v>
      </c>
      <c r="Z2813">
        <v>0</v>
      </c>
      <c r="AB2813">
        <v>0</v>
      </c>
      <c r="AC2813">
        <v>9</v>
      </c>
      <c r="AD2813">
        <v>3</v>
      </c>
      <c r="AE2813">
        <v>0</v>
      </c>
      <c r="AF2813">
        <v>9</v>
      </c>
      <c r="AG2813" t="s">
        <v>158</v>
      </c>
      <c r="AH2813">
        <v>0</v>
      </c>
      <c r="AI2813">
        <v>3</v>
      </c>
      <c r="AJ2813">
        <v>1</v>
      </c>
      <c r="AK2813">
        <v>0</v>
      </c>
      <c r="AL2813" t="s">
        <v>5304</v>
      </c>
      <c r="AM2813">
        <v>46.976894999999999</v>
      </c>
      <c r="AN2813" t="s">
        <v>5305</v>
      </c>
      <c r="AO2813">
        <v>-123.41985200000001</v>
      </c>
      <c r="AP2813">
        <v>100</v>
      </c>
      <c r="AQ2813">
        <v>2000</v>
      </c>
      <c r="AR2813" t="s">
        <v>118</v>
      </c>
      <c r="AS2813">
        <v>-79</v>
      </c>
      <c r="AT2813">
        <v>6</v>
      </c>
      <c r="AU2813">
        <v>64</v>
      </c>
      <c r="BC2813">
        <v>1200</v>
      </c>
      <c r="BD2813">
        <v>1</v>
      </c>
      <c r="BE2813" t="str">
        <f t="shared" si="131"/>
        <v xml:space="preserve">N215T   </v>
      </c>
      <c r="BF2813">
        <v>1</v>
      </c>
      <c r="BH2813">
        <v>0</v>
      </c>
      <c r="BI2813">
        <v>0</v>
      </c>
      <c r="BJ2813">
        <v>0</v>
      </c>
      <c r="BK2813">
        <v>2400</v>
      </c>
      <c r="BL2813">
        <v>400</v>
      </c>
      <c r="BM2813" t="s">
        <v>119</v>
      </c>
      <c r="BN2813">
        <v>1</v>
      </c>
      <c r="BO2813">
        <v>1</v>
      </c>
      <c r="BP2813">
        <v>1</v>
      </c>
      <c r="BQ2813">
        <v>0</v>
      </c>
      <c r="BT2813">
        <v>0</v>
      </c>
      <c r="BU2813">
        <v>0</v>
      </c>
      <c r="BV2813">
        <v>0</v>
      </c>
      <c r="CC2813" t="str">
        <f>"19:21:46.477"</f>
        <v>19:21:46.477</v>
      </c>
      <c r="CD2813" t="str">
        <f>"475549072"</f>
        <v>475549072</v>
      </c>
      <c r="CQ2813">
        <v>0</v>
      </c>
      <c r="CR2813">
        <v>2</v>
      </c>
      <c r="CS2813">
        <v>0</v>
      </c>
      <c r="CT2813">
        <v>2</v>
      </c>
      <c r="CU2813">
        <v>0</v>
      </c>
      <c r="CV2813">
        <v>6</v>
      </c>
      <c r="CW2813" t="s">
        <v>120</v>
      </c>
      <c r="CX2813">
        <v>257</v>
      </c>
      <c r="CY2813">
        <v>1</v>
      </c>
      <c r="CZ2813" t="s">
        <v>615</v>
      </c>
      <c r="DA2813" t="s">
        <v>616</v>
      </c>
      <c r="DD2813">
        <v>12450077</v>
      </c>
      <c r="DE2813" t="s">
        <v>123</v>
      </c>
    </row>
    <row r="2814" spans="1:109" x14ac:dyDescent="0.3">
      <c r="A2814" t="str">
        <f>"19:21:47.844"</f>
        <v>19:21:47.844</v>
      </c>
      <c r="B2814" t="s">
        <v>110</v>
      </c>
      <c r="C2814" t="str">
        <f t="shared" si="129"/>
        <v>ffdfd3c0</v>
      </c>
      <c r="D2814" t="s">
        <v>111</v>
      </c>
      <c r="E2814">
        <v>18</v>
      </c>
      <c r="F2814">
        <v>1018</v>
      </c>
      <c r="G2814" t="s">
        <v>112</v>
      </c>
      <c r="J2814" t="s">
        <v>113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R2814" t="s">
        <v>114</v>
      </c>
      <c r="S2814" t="str">
        <f>"19:21:47.594"</f>
        <v>19:21:47.594</v>
      </c>
      <c r="T2814" t="str">
        <f>"19:21:47.391"</f>
        <v>19:21:47.391</v>
      </c>
      <c r="U2814" t="str">
        <f t="shared" si="130"/>
        <v>a1cdbe</v>
      </c>
      <c r="V2814">
        <v>0</v>
      </c>
      <c r="W2814">
        <v>0</v>
      </c>
      <c r="X2814">
        <v>1</v>
      </c>
      <c r="Y2814">
        <v>0</v>
      </c>
      <c r="Z2814">
        <v>0</v>
      </c>
      <c r="AB2814">
        <v>0</v>
      </c>
      <c r="AC2814">
        <v>9</v>
      </c>
      <c r="AD2814">
        <v>3</v>
      </c>
      <c r="AE2814">
        <v>0</v>
      </c>
      <c r="AF2814">
        <v>9</v>
      </c>
      <c r="AG2814" t="s">
        <v>158</v>
      </c>
      <c r="AH2814">
        <v>0</v>
      </c>
      <c r="AI2814">
        <v>3</v>
      </c>
      <c r="AJ2814">
        <v>1</v>
      </c>
      <c r="AK2814">
        <v>0</v>
      </c>
      <c r="AL2814" t="s">
        <v>5304</v>
      </c>
      <c r="AM2814">
        <v>46.976894999999999</v>
      </c>
      <c r="AN2814" t="s">
        <v>5306</v>
      </c>
      <c r="AO2814">
        <v>-123.42041</v>
      </c>
      <c r="AP2814">
        <v>100</v>
      </c>
      <c r="AQ2814">
        <v>2000</v>
      </c>
      <c r="AR2814" t="s">
        <v>118</v>
      </c>
      <c r="AS2814">
        <v>-79</v>
      </c>
      <c r="AT2814">
        <v>6</v>
      </c>
      <c r="AU2814">
        <v>64</v>
      </c>
      <c r="BC2814">
        <v>1200</v>
      </c>
      <c r="BD2814">
        <v>1</v>
      </c>
      <c r="BE2814" t="str">
        <f t="shared" si="131"/>
        <v xml:space="preserve">N215T   </v>
      </c>
      <c r="BF2814">
        <v>1</v>
      </c>
      <c r="BH2814">
        <v>0</v>
      </c>
      <c r="BI2814">
        <v>0</v>
      </c>
      <c r="BJ2814">
        <v>0</v>
      </c>
      <c r="BK2814">
        <v>2400</v>
      </c>
      <c r="BL2814">
        <v>400</v>
      </c>
      <c r="BM2814" t="s">
        <v>119</v>
      </c>
      <c r="BN2814">
        <v>1</v>
      </c>
      <c r="BO2814">
        <v>1</v>
      </c>
      <c r="BP2814">
        <v>1</v>
      </c>
      <c r="BQ2814">
        <v>0</v>
      </c>
      <c r="BT2814">
        <v>0</v>
      </c>
      <c r="BU2814">
        <v>0</v>
      </c>
      <c r="BV2814">
        <v>0</v>
      </c>
      <c r="CC2814" t="str">
        <f>"19:21:47.602"</f>
        <v>19:21:47.602</v>
      </c>
      <c r="CD2814" t="str">
        <f>"600438167"</f>
        <v>600438167</v>
      </c>
      <c r="CQ2814">
        <v>0</v>
      </c>
      <c r="CR2814">
        <v>2</v>
      </c>
      <c r="CS2814">
        <v>0</v>
      </c>
      <c r="CT2814">
        <v>2</v>
      </c>
      <c r="CU2814">
        <v>0</v>
      </c>
      <c r="CV2814">
        <v>6</v>
      </c>
      <c r="CW2814" t="s">
        <v>120</v>
      </c>
      <c r="CX2814">
        <v>257</v>
      </c>
      <c r="CY2814">
        <v>0</v>
      </c>
      <c r="CZ2814" t="s">
        <v>615</v>
      </c>
      <c r="DA2814" t="s">
        <v>616</v>
      </c>
      <c r="DD2814">
        <v>16113703</v>
      </c>
      <c r="DE2814" t="s">
        <v>123</v>
      </c>
    </row>
    <row r="2815" spans="1:109" x14ac:dyDescent="0.3">
      <c r="A2815" t="str">
        <f>"19:21:48.695"</f>
        <v>19:21:48.695</v>
      </c>
      <c r="B2815" t="s">
        <v>110</v>
      </c>
      <c r="C2815" t="str">
        <f t="shared" si="129"/>
        <v>ffdfd3c0</v>
      </c>
      <c r="D2815" t="s">
        <v>111</v>
      </c>
      <c r="E2815">
        <v>18</v>
      </c>
      <c r="F2815">
        <v>1018</v>
      </c>
      <c r="G2815" t="s">
        <v>112</v>
      </c>
      <c r="J2815" t="s">
        <v>113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R2815" t="s">
        <v>114</v>
      </c>
      <c r="S2815" t="str">
        <f>"19:21:48.453"</f>
        <v>19:21:48.453</v>
      </c>
      <c r="T2815" t="str">
        <f>"19:21:48.453"</f>
        <v>19:21:48.453</v>
      </c>
      <c r="U2815" t="str">
        <f t="shared" si="130"/>
        <v>a1cdbe</v>
      </c>
      <c r="V2815">
        <v>0</v>
      </c>
      <c r="W2815">
        <v>0</v>
      </c>
      <c r="X2815">
        <v>1</v>
      </c>
      <c r="Y2815">
        <v>0</v>
      </c>
      <c r="Z2815">
        <v>0</v>
      </c>
      <c r="AB2815">
        <v>0</v>
      </c>
      <c r="AC2815">
        <v>9</v>
      </c>
      <c r="AD2815">
        <v>3</v>
      </c>
      <c r="AE2815">
        <v>0</v>
      </c>
      <c r="AF2815">
        <v>9</v>
      </c>
      <c r="AG2815" t="s">
        <v>158</v>
      </c>
      <c r="AH2815">
        <v>0</v>
      </c>
      <c r="AI2815">
        <v>3</v>
      </c>
      <c r="AJ2815">
        <v>1</v>
      </c>
      <c r="AK2815">
        <v>0</v>
      </c>
      <c r="AL2815" t="s">
        <v>5307</v>
      </c>
      <c r="AM2815">
        <v>46.976937999999997</v>
      </c>
      <c r="AN2815" t="s">
        <v>5308</v>
      </c>
      <c r="AO2815">
        <v>-123.42088200000001</v>
      </c>
      <c r="AP2815">
        <v>100</v>
      </c>
      <c r="AQ2815">
        <v>2000</v>
      </c>
      <c r="AR2815" t="s">
        <v>118</v>
      </c>
      <c r="AS2815">
        <v>-78</v>
      </c>
      <c r="AT2815">
        <v>7</v>
      </c>
      <c r="AU2815">
        <v>64</v>
      </c>
      <c r="BC2815">
        <v>1200</v>
      </c>
      <c r="BD2815">
        <v>1</v>
      </c>
      <c r="BE2815" t="str">
        <f t="shared" si="131"/>
        <v xml:space="preserve">N215T   </v>
      </c>
      <c r="BF2815">
        <v>1</v>
      </c>
      <c r="BH2815">
        <v>0</v>
      </c>
      <c r="BI2815">
        <v>0</v>
      </c>
      <c r="BJ2815">
        <v>0</v>
      </c>
      <c r="BK2815">
        <v>2400</v>
      </c>
      <c r="BL2815">
        <v>400</v>
      </c>
      <c r="BM2815" t="s">
        <v>119</v>
      </c>
      <c r="BN2815">
        <v>1</v>
      </c>
      <c r="BO2815">
        <v>1</v>
      </c>
      <c r="BP2815">
        <v>1</v>
      </c>
      <c r="BQ2815">
        <v>0</v>
      </c>
      <c r="BT2815">
        <v>0</v>
      </c>
      <c r="BU2815">
        <v>0</v>
      </c>
      <c r="BV2815">
        <v>0</v>
      </c>
      <c r="CC2815" t="str">
        <f>"19:21:48.453"</f>
        <v>19:21:48.453</v>
      </c>
      <c r="CD2815" t="str">
        <f>"455353908"</f>
        <v>455353908</v>
      </c>
      <c r="CQ2815">
        <v>0</v>
      </c>
      <c r="CR2815">
        <v>2</v>
      </c>
      <c r="CS2815">
        <v>0</v>
      </c>
      <c r="CT2815">
        <v>2</v>
      </c>
      <c r="CU2815">
        <v>0</v>
      </c>
      <c r="CV2815">
        <v>6</v>
      </c>
      <c r="CW2815" t="s">
        <v>120</v>
      </c>
      <c r="CX2815">
        <v>257</v>
      </c>
      <c r="CY2815">
        <v>1</v>
      </c>
      <c r="CZ2815" t="s">
        <v>615</v>
      </c>
      <c r="DA2815" t="s">
        <v>616</v>
      </c>
      <c r="DD2815">
        <v>12451494</v>
      </c>
      <c r="DE2815" t="s">
        <v>123</v>
      </c>
    </row>
    <row r="2816" spans="1:109" x14ac:dyDescent="0.3">
      <c r="A2816" t="str">
        <f>"19:21:49.648"</f>
        <v>19:21:49.648</v>
      </c>
      <c r="B2816" t="s">
        <v>110</v>
      </c>
      <c r="C2816" t="str">
        <f t="shared" si="129"/>
        <v>ffdfd3c0</v>
      </c>
      <c r="D2816" t="s">
        <v>111</v>
      </c>
      <c r="E2816">
        <v>18</v>
      </c>
      <c r="F2816">
        <v>1018</v>
      </c>
      <c r="G2816" t="s">
        <v>112</v>
      </c>
      <c r="J2816" t="s">
        <v>113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R2816" t="s">
        <v>114</v>
      </c>
      <c r="S2816" t="str">
        <f>"19:21:49.414"</f>
        <v>19:21:49.414</v>
      </c>
      <c r="T2816" t="str">
        <f>"19:21:49.016"</f>
        <v>19:21:49.016</v>
      </c>
      <c r="U2816" t="str">
        <f t="shared" si="130"/>
        <v>a1cdbe</v>
      </c>
      <c r="V2816">
        <v>0</v>
      </c>
      <c r="W2816">
        <v>0</v>
      </c>
      <c r="X2816">
        <v>1</v>
      </c>
      <c r="Y2816">
        <v>0</v>
      </c>
      <c r="Z2816">
        <v>0</v>
      </c>
      <c r="AB2816">
        <v>0</v>
      </c>
      <c r="AC2816">
        <v>9</v>
      </c>
      <c r="AD2816">
        <v>3</v>
      </c>
      <c r="AE2816">
        <v>0</v>
      </c>
      <c r="AF2816">
        <v>9</v>
      </c>
      <c r="AG2816" t="s">
        <v>158</v>
      </c>
      <c r="AH2816">
        <v>0</v>
      </c>
      <c r="AI2816">
        <v>3</v>
      </c>
      <c r="AJ2816">
        <v>1</v>
      </c>
      <c r="AK2816">
        <v>0</v>
      </c>
      <c r="AL2816" t="s">
        <v>949</v>
      </c>
      <c r="AM2816">
        <v>46.976981000000002</v>
      </c>
      <c r="AN2816" t="s">
        <v>5309</v>
      </c>
      <c r="AO2816">
        <v>-123.421397</v>
      </c>
      <c r="AP2816">
        <v>100</v>
      </c>
      <c r="AQ2816">
        <v>2000</v>
      </c>
      <c r="AR2816" t="s">
        <v>118</v>
      </c>
      <c r="AS2816">
        <v>-78</v>
      </c>
      <c r="AT2816">
        <v>7</v>
      </c>
      <c r="AU2816">
        <v>64</v>
      </c>
      <c r="BC2816">
        <v>1200</v>
      </c>
      <c r="BD2816">
        <v>1</v>
      </c>
      <c r="BE2816" t="str">
        <f t="shared" si="131"/>
        <v xml:space="preserve">N215T   </v>
      </c>
      <c r="BF2816">
        <v>1</v>
      </c>
      <c r="BH2816">
        <v>0</v>
      </c>
      <c r="BI2816">
        <v>0</v>
      </c>
      <c r="BJ2816">
        <v>0</v>
      </c>
      <c r="BK2816">
        <v>2400</v>
      </c>
      <c r="BL2816">
        <v>400</v>
      </c>
      <c r="BM2816" t="s">
        <v>119</v>
      </c>
      <c r="BN2816">
        <v>1</v>
      </c>
      <c r="BO2816">
        <v>1</v>
      </c>
      <c r="BP2816">
        <v>1</v>
      </c>
      <c r="BQ2816">
        <v>0</v>
      </c>
      <c r="BT2816">
        <v>0</v>
      </c>
      <c r="BU2816">
        <v>0</v>
      </c>
      <c r="BV2816">
        <v>0</v>
      </c>
      <c r="CC2816" t="str">
        <f>"19:21:49.414"</f>
        <v>19:21:49.414</v>
      </c>
      <c r="CD2816" t="str">
        <f>"415259283"</f>
        <v>415259283</v>
      </c>
      <c r="CQ2816">
        <v>0</v>
      </c>
      <c r="CR2816">
        <v>2</v>
      </c>
      <c r="CS2816">
        <v>0</v>
      </c>
      <c r="CT2816">
        <v>2</v>
      </c>
      <c r="CU2816">
        <v>0</v>
      </c>
      <c r="CV2816">
        <v>6</v>
      </c>
      <c r="CW2816" t="s">
        <v>120</v>
      </c>
      <c r="CX2816">
        <v>257</v>
      </c>
      <c r="CY2816">
        <v>0</v>
      </c>
      <c r="CZ2816" t="s">
        <v>615</v>
      </c>
      <c r="DA2816" t="s">
        <v>616</v>
      </c>
      <c r="DD2816">
        <v>16114677</v>
      </c>
      <c r="DE2816" t="s">
        <v>123</v>
      </c>
    </row>
    <row r="2817" spans="1:109" x14ac:dyDescent="0.3">
      <c r="A2817" t="str">
        <f>"19:21:50.703"</f>
        <v>19:21:50.703</v>
      </c>
      <c r="B2817" t="s">
        <v>110</v>
      </c>
      <c r="C2817" t="str">
        <f t="shared" si="129"/>
        <v>ffdfd3c0</v>
      </c>
      <c r="D2817" t="s">
        <v>111</v>
      </c>
      <c r="E2817">
        <v>18</v>
      </c>
      <c r="F2817">
        <v>1018</v>
      </c>
      <c r="G2817" t="s">
        <v>112</v>
      </c>
      <c r="J2817" t="s">
        <v>113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R2817" t="s">
        <v>114</v>
      </c>
      <c r="S2817" t="str">
        <f>"19:21:50.445"</f>
        <v>19:21:50.445</v>
      </c>
      <c r="T2817" t="str">
        <f>"19:21:50.148"</f>
        <v>19:21:50.148</v>
      </c>
      <c r="U2817" t="str">
        <f t="shared" si="130"/>
        <v>a1cdbe</v>
      </c>
      <c r="V2817">
        <v>0</v>
      </c>
      <c r="W2817">
        <v>0</v>
      </c>
      <c r="X2817">
        <v>1</v>
      </c>
      <c r="Y2817">
        <v>0</v>
      </c>
      <c r="Z2817">
        <v>0</v>
      </c>
      <c r="AB2817">
        <v>0</v>
      </c>
      <c r="AC2817">
        <v>9</v>
      </c>
      <c r="AD2817">
        <v>3</v>
      </c>
      <c r="AE2817">
        <v>0</v>
      </c>
      <c r="AF2817">
        <v>9</v>
      </c>
      <c r="AG2817" t="s">
        <v>158</v>
      </c>
      <c r="AH2817">
        <v>0</v>
      </c>
      <c r="AI2817">
        <v>3</v>
      </c>
      <c r="AJ2817">
        <v>1</v>
      </c>
      <c r="AK2817">
        <v>0</v>
      </c>
      <c r="AL2817" t="s">
        <v>949</v>
      </c>
      <c r="AM2817">
        <v>46.976981000000002</v>
      </c>
      <c r="AN2817" t="s">
        <v>5310</v>
      </c>
      <c r="AO2817">
        <v>-123.42191200000001</v>
      </c>
      <c r="AP2817">
        <v>100</v>
      </c>
      <c r="AQ2817">
        <v>2000</v>
      </c>
      <c r="AR2817" t="s">
        <v>118</v>
      </c>
      <c r="AS2817">
        <v>-78</v>
      </c>
      <c r="AT2817">
        <v>8</v>
      </c>
      <c r="AU2817">
        <v>64</v>
      </c>
      <c r="BC2817">
        <v>1200</v>
      </c>
      <c r="BD2817">
        <v>1</v>
      </c>
      <c r="BE2817" t="str">
        <f t="shared" si="131"/>
        <v xml:space="preserve">N215T   </v>
      </c>
      <c r="BF2817">
        <v>1</v>
      </c>
      <c r="BH2817">
        <v>0</v>
      </c>
      <c r="BI2817">
        <v>0</v>
      </c>
      <c r="BJ2817">
        <v>0</v>
      </c>
      <c r="BK2817">
        <v>2400</v>
      </c>
      <c r="BL2817">
        <v>400</v>
      </c>
      <c r="BM2817" t="s">
        <v>119</v>
      </c>
      <c r="BN2817">
        <v>1</v>
      </c>
      <c r="BO2817">
        <v>1</v>
      </c>
      <c r="BP2817">
        <v>1</v>
      </c>
      <c r="BQ2817">
        <v>0</v>
      </c>
      <c r="BT2817">
        <v>0</v>
      </c>
      <c r="BU2817">
        <v>0</v>
      </c>
      <c r="BV2817">
        <v>0</v>
      </c>
      <c r="CC2817" t="str">
        <f>"19:21:50.453"</f>
        <v>19:21:50.453</v>
      </c>
      <c r="CD2817" t="str">
        <f>"450157281"</f>
        <v>450157281</v>
      </c>
      <c r="CQ2817">
        <v>0</v>
      </c>
      <c r="CR2817">
        <v>2</v>
      </c>
      <c r="CS2817">
        <v>0</v>
      </c>
      <c r="CT2817">
        <v>2</v>
      </c>
      <c r="CU2817">
        <v>0</v>
      </c>
      <c r="CV2817">
        <v>6</v>
      </c>
      <c r="CW2817" t="s">
        <v>120</v>
      </c>
      <c r="CX2817">
        <v>257</v>
      </c>
      <c r="CY2817">
        <v>1</v>
      </c>
      <c r="CZ2817" t="s">
        <v>615</v>
      </c>
      <c r="DA2817" t="s">
        <v>616</v>
      </c>
      <c r="DD2817">
        <v>12452858</v>
      </c>
      <c r="DE2817" t="s">
        <v>123</v>
      </c>
    </row>
    <row r="2818" spans="1:109" x14ac:dyDescent="0.3">
      <c r="A2818" t="str">
        <f>"19:21:51.758"</f>
        <v>19:21:51.758</v>
      </c>
      <c r="B2818" t="s">
        <v>110</v>
      </c>
      <c r="C2818" t="str">
        <f t="shared" ref="C2818:C2881" si="132">"ffdfd3c0"</f>
        <v>ffdfd3c0</v>
      </c>
      <c r="D2818" t="s">
        <v>111</v>
      </c>
      <c r="E2818">
        <v>18</v>
      </c>
      <c r="F2818">
        <v>1018</v>
      </c>
      <c r="G2818" t="s">
        <v>112</v>
      </c>
      <c r="J2818" t="s">
        <v>113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R2818" t="s">
        <v>114</v>
      </c>
      <c r="S2818" t="str">
        <f>"19:21:51.539"</f>
        <v>19:21:51.539</v>
      </c>
      <c r="T2818" t="str">
        <f>"19:21:51.141"</f>
        <v>19:21:51.141</v>
      </c>
      <c r="U2818" t="str">
        <f t="shared" ref="U2818:U2881" si="133">"a1cdbe"</f>
        <v>a1cdbe</v>
      </c>
      <c r="V2818">
        <v>0</v>
      </c>
      <c r="W2818">
        <v>0</v>
      </c>
      <c r="X2818">
        <v>1</v>
      </c>
      <c r="Y2818">
        <v>0</v>
      </c>
      <c r="Z2818">
        <v>0</v>
      </c>
      <c r="AB2818">
        <v>0</v>
      </c>
      <c r="AC2818">
        <v>9</v>
      </c>
      <c r="AD2818">
        <v>3</v>
      </c>
      <c r="AE2818">
        <v>0</v>
      </c>
      <c r="AF2818">
        <v>9</v>
      </c>
      <c r="AG2818" t="s">
        <v>158</v>
      </c>
      <c r="AH2818">
        <v>0</v>
      </c>
      <c r="AI2818">
        <v>3</v>
      </c>
      <c r="AJ2818">
        <v>1</v>
      </c>
      <c r="AK2818">
        <v>0</v>
      </c>
      <c r="AL2818" t="s">
        <v>5311</v>
      </c>
      <c r="AM2818">
        <v>46.977046000000001</v>
      </c>
      <c r="AN2818" t="s">
        <v>5312</v>
      </c>
      <c r="AO2818">
        <v>-123.422534</v>
      </c>
      <c r="AP2818">
        <v>100</v>
      </c>
      <c r="AQ2818">
        <v>2000</v>
      </c>
      <c r="AR2818" t="s">
        <v>118</v>
      </c>
      <c r="AS2818">
        <v>-78</v>
      </c>
      <c r="AT2818">
        <v>8</v>
      </c>
      <c r="AU2818">
        <v>64</v>
      </c>
      <c r="BC2818">
        <v>1200</v>
      </c>
      <c r="BD2818">
        <v>1</v>
      </c>
      <c r="BE2818" t="str">
        <f t="shared" ref="BE2818:BE2881" si="134">"N215T   "</f>
        <v xml:space="preserve">N215T   </v>
      </c>
      <c r="BF2818">
        <v>1</v>
      </c>
      <c r="BH2818">
        <v>0</v>
      </c>
      <c r="BI2818">
        <v>0</v>
      </c>
      <c r="BJ2818">
        <v>0</v>
      </c>
      <c r="BK2818">
        <v>2400</v>
      </c>
      <c r="BL2818">
        <v>400</v>
      </c>
      <c r="BM2818" t="s">
        <v>119</v>
      </c>
      <c r="BN2818">
        <v>1</v>
      </c>
      <c r="BO2818">
        <v>1</v>
      </c>
      <c r="BP2818">
        <v>1</v>
      </c>
      <c r="BQ2818">
        <v>0</v>
      </c>
      <c r="BT2818">
        <v>0</v>
      </c>
      <c r="BU2818">
        <v>0</v>
      </c>
      <c r="BV2818">
        <v>0</v>
      </c>
      <c r="CC2818" t="str">
        <f>"19:21:51.547"</f>
        <v>19:21:51.547</v>
      </c>
      <c r="CD2818" t="str">
        <f>"545049360"</f>
        <v>545049360</v>
      </c>
      <c r="CQ2818">
        <v>0</v>
      </c>
      <c r="CR2818">
        <v>2</v>
      </c>
      <c r="CS2818">
        <v>0</v>
      </c>
      <c r="CT2818">
        <v>2</v>
      </c>
      <c r="CU2818">
        <v>0</v>
      </c>
      <c r="CV2818">
        <v>6</v>
      </c>
      <c r="CW2818" t="s">
        <v>120</v>
      </c>
      <c r="CX2818">
        <v>257</v>
      </c>
      <c r="CY2818">
        <v>1</v>
      </c>
      <c r="CZ2818" t="s">
        <v>615</v>
      </c>
      <c r="DA2818" t="s">
        <v>616</v>
      </c>
      <c r="DD2818">
        <v>12453638</v>
      </c>
      <c r="DE2818" t="s">
        <v>123</v>
      </c>
    </row>
    <row r="2819" spans="1:109" x14ac:dyDescent="0.3">
      <c r="A2819" t="str">
        <f>"19:21:52.820"</f>
        <v>19:21:52.820</v>
      </c>
      <c r="B2819" t="s">
        <v>110</v>
      </c>
      <c r="C2819" t="str">
        <f t="shared" si="132"/>
        <v>ffdfd3c0</v>
      </c>
      <c r="D2819" t="s">
        <v>111</v>
      </c>
      <c r="E2819">
        <v>18</v>
      </c>
      <c r="F2819">
        <v>1018</v>
      </c>
      <c r="G2819" t="s">
        <v>112</v>
      </c>
      <c r="J2819" t="s">
        <v>113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R2819" t="s">
        <v>114</v>
      </c>
      <c r="S2819" t="str">
        <f>"19:21:52.578"</f>
        <v>19:21:52.578</v>
      </c>
      <c r="T2819" t="str">
        <f>"19:21:52.180"</f>
        <v>19:21:52.180</v>
      </c>
      <c r="U2819" t="str">
        <f t="shared" si="133"/>
        <v>a1cdbe</v>
      </c>
      <c r="V2819">
        <v>0</v>
      </c>
      <c r="W2819">
        <v>0</v>
      </c>
      <c r="X2819">
        <v>1</v>
      </c>
      <c r="Y2819">
        <v>0</v>
      </c>
      <c r="Z2819">
        <v>0</v>
      </c>
      <c r="AB2819">
        <v>0</v>
      </c>
      <c r="AC2819">
        <v>9</v>
      </c>
      <c r="AD2819">
        <v>3</v>
      </c>
      <c r="AE2819">
        <v>0</v>
      </c>
      <c r="AF2819">
        <v>9</v>
      </c>
      <c r="AG2819" t="s">
        <v>158</v>
      </c>
      <c r="AH2819">
        <v>0</v>
      </c>
      <c r="AI2819">
        <v>3</v>
      </c>
      <c r="AJ2819">
        <v>1</v>
      </c>
      <c r="AK2819">
        <v>0</v>
      </c>
      <c r="AL2819" t="s">
        <v>5313</v>
      </c>
      <c r="AM2819">
        <v>46.977066999999998</v>
      </c>
      <c r="AN2819" t="s">
        <v>5314</v>
      </c>
      <c r="AO2819">
        <v>-123.423007</v>
      </c>
      <c r="AP2819">
        <v>100</v>
      </c>
      <c r="AQ2819">
        <v>2000</v>
      </c>
      <c r="AR2819" t="s">
        <v>118</v>
      </c>
      <c r="AS2819">
        <v>-78</v>
      </c>
      <c r="AT2819">
        <v>9</v>
      </c>
      <c r="AU2819">
        <v>64</v>
      </c>
      <c r="BC2819">
        <v>1200</v>
      </c>
      <c r="BD2819">
        <v>1</v>
      </c>
      <c r="BE2819" t="str">
        <f t="shared" si="134"/>
        <v xml:space="preserve">N215T   </v>
      </c>
      <c r="BF2819">
        <v>1</v>
      </c>
      <c r="BH2819">
        <v>0</v>
      </c>
      <c r="BI2819">
        <v>0</v>
      </c>
      <c r="BJ2819">
        <v>0</v>
      </c>
      <c r="BK2819">
        <v>2400</v>
      </c>
      <c r="BL2819">
        <v>400</v>
      </c>
      <c r="BM2819" t="s">
        <v>119</v>
      </c>
      <c r="BN2819">
        <v>1</v>
      </c>
      <c r="BO2819">
        <v>1</v>
      </c>
      <c r="BP2819">
        <v>1</v>
      </c>
      <c r="BQ2819">
        <v>0</v>
      </c>
      <c r="BT2819">
        <v>0</v>
      </c>
      <c r="BU2819">
        <v>0</v>
      </c>
      <c r="BV2819">
        <v>0</v>
      </c>
      <c r="CC2819" t="str">
        <f>"19:21:52.578"</f>
        <v>19:21:52.578</v>
      </c>
      <c r="CD2819" t="str">
        <f>"579947353"</f>
        <v>579947353</v>
      </c>
      <c r="CQ2819">
        <v>0</v>
      </c>
      <c r="CR2819">
        <v>2</v>
      </c>
      <c r="CS2819">
        <v>0</v>
      </c>
      <c r="CT2819">
        <v>2</v>
      </c>
      <c r="CU2819">
        <v>0</v>
      </c>
      <c r="CV2819">
        <v>6</v>
      </c>
      <c r="CW2819" t="s">
        <v>120</v>
      </c>
      <c r="CX2819">
        <v>257</v>
      </c>
      <c r="CY2819">
        <v>1</v>
      </c>
      <c r="CZ2819" t="s">
        <v>615</v>
      </c>
      <c r="DA2819" t="s">
        <v>616</v>
      </c>
      <c r="DD2819">
        <v>12454375</v>
      </c>
      <c r="DE2819" t="s">
        <v>123</v>
      </c>
    </row>
    <row r="2820" spans="1:109" x14ac:dyDescent="0.3">
      <c r="A2820" t="str">
        <f>"19:21:53.922"</f>
        <v>19:21:53.922</v>
      </c>
      <c r="B2820" t="s">
        <v>110</v>
      </c>
      <c r="C2820" t="str">
        <f t="shared" si="132"/>
        <v>ffdfd3c0</v>
      </c>
      <c r="D2820" t="s">
        <v>111</v>
      </c>
      <c r="E2820">
        <v>18</v>
      </c>
      <c r="F2820">
        <v>1018</v>
      </c>
      <c r="G2820" t="s">
        <v>112</v>
      </c>
      <c r="J2820" t="s">
        <v>113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R2820" t="s">
        <v>114</v>
      </c>
      <c r="S2820" t="str">
        <f>"19:21:53.672"</f>
        <v>19:21:53.672</v>
      </c>
      <c r="T2820" t="str">
        <f>"19:21:53.273"</f>
        <v>19:21:53.273</v>
      </c>
      <c r="U2820" t="str">
        <f t="shared" si="133"/>
        <v>a1cdbe</v>
      </c>
      <c r="V2820">
        <v>0</v>
      </c>
      <c r="W2820">
        <v>0</v>
      </c>
      <c r="X2820">
        <v>1</v>
      </c>
      <c r="Y2820">
        <v>0</v>
      </c>
      <c r="Z2820">
        <v>0</v>
      </c>
      <c r="AB2820">
        <v>0</v>
      </c>
      <c r="AC2820">
        <v>9</v>
      </c>
      <c r="AD2820">
        <v>3</v>
      </c>
      <c r="AE2820">
        <v>0</v>
      </c>
      <c r="AF2820">
        <v>9</v>
      </c>
      <c r="AG2820" t="s">
        <v>158</v>
      </c>
      <c r="AH2820">
        <v>0</v>
      </c>
      <c r="AI2820">
        <v>3</v>
      </c>
      <c r="AJ2820">
        <v>1</v>
      </c>
      <c r="AK2820">
        <v>0</v>
      </c>
      <c r="AL2820" t="s">
        <v>5315</v>
      </c>
      <c r="AM2820">
        <v>46.977131</v>
      </c>
      <c r="AN2820" t="s">
        <v>5316</v>
      </c>
      <c r="AO2820">
        <v>-123.42362900000001</v>
      </c>
      <c r="AP2820">
        <v>100</v>
      </c>
      <c r="AQ2820">
        <v>2000</v>
      </c>
      <c r="AR2820" t="s">
        <v>118</v>
      </c>
      <c r="AS2820">
        <v>-78</v>
      </c>
      <c r="AT2820">
        <v>9</v>
      </c>
      <c r="AU2820">
        <v>64</v>
      </c>
      <c r="BC2820">
        <v>1200</v>
      </c>
      <c r="BD2820">
        <v>1</v>
      </c>
      <c r="BE2820" t="str">
        <f t="shared" si="134"/>
        <v xml:space="preserve">N215T   </v>
      </c>
      <c r="BF2820">
        <v>1</v>
      </c>
      <c r="BH2820">
        <v>0</v>
      </c>
      <c r="BI2820">
        <v>0</v>
      </c>
      <c r="BJ2820">
        <v>0</v>
      </c>
      <c r="BK2820">
        <v>2400</v>
      </c>
      <c r="BL2820">
        <v>400</v>
      </c>
      <c r="BM2820" t="s">
        <v>119</v>
      </c>
      <c r="BN2820">
        <v>1</v>
      </c>
      <c r="BO2820">
        <v>1</v>
      </c>
      <c r="BP2820">
        <v>1</v>
      </c>
      <c r="BQ2820">
        <v>0</v>
      </c>
      <c r="BT2820">
        <v>0</v>
      </c>
      <c r="BU2820">
        <v>0</v>
      </c>
      <c r="BV2820">
        <v>0</v>
      </c>
      <c r="CC2820" t="str">
        <f>"19:21:53.672"</f>
        <v>19:21:53.672</v>
      </c>
      <c r="CD2820" t="str">
        <f>"674839425"</f>
        <v>674839425</v>
      </c>
      <c r="CQ2820">
        <v>0</v>
      </c>
      <c r="CR2820">
        <v>2</v>
      </c>
      <c r="CS2820">
        <v>0</v>
      </c>
      <c r="CT2820">
        <v>2</v>
      </c>
      <c r="CU2820">
        <v>0</v>
      </c>
      <c r="CV2820">
        <v>6</v>
      </c>
      <c r="CW2820" t="s">
        <v>120</v>
      </c>
      <c r="CX2820">
        <v>257</v>
      </c>
      <c r="CY2820">
        <v>1</v>
      </c>
      <c r="CZ2820" t="s">
        <v>615</v>
      </c>
      <c r="DA2820" t="s">
        <v>616</v>
      </c>
      <c r="DD2820">
        <v>12455119</v>
      </c>
      <c r="DE2820" t="s">
        <v>123</v>
      </c>
    </row>
    <row r="2821" spans="1:109" x14ac:dyDescent="0.3">
      <c r="A2821" t="str">
        <f>"19:21:54.781"</f>
        <v>19:21:54.781</v>
      </c>
      <c r="B2821" t="s">
        <v>110</v>
      </c>
      <c r="C2821" t="str">
        <f t="shared" si="132"/>
        <v>ffdfd3c0</v>
      </c>
      <c r="D2821" t="s">
        <v>111</v>
      </c>
      <c r="E2821">
        <v>18</v>
      </c>
      <c r="F2821">
        <v>1018</v>
      </c>
      <c r="G2821" t="s">
        <v>112</v>
      </c>
      <c r="J2821" t="s">
        <v>113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R2821" t="s">
        <v>114</v>
      </c>
      <c r="S2821" t="str">
        <f>"19:21:54.570"</f>
        <v>19:21:54.570</v>
      </c>
      <c r="T2821" t="str">
        <f>"19:21:54.367"</f>
        <v>19:21:54.367</v>
      </c>
      <c r="U2821" t="str">
        <f t="shared" si="133"/>
        <v>a1cdbe</v>
      </c>
      <c r="V2821">
        <v>0</v>
      </c>
      <c r="W2821">
        <v>0</v>
      </c>
      <c r="X2821">
        <v>1</v>
      </c>
      <c r="Y2821">
        <v>0</v>
      </c>
      <c r="Z2821">
        <v>0</v>
      </c>
      <c r="AB2821">
        <v>0</v>
      </c>
      <c r="AC2821">
        <v>9</v>
      </c>
      <c r="AD2821">
        <v>3</v>
      </c>
      <c r="AE2821">
        <v>0</v>
      </c>
      <c r="AF2821">
        <v>9</v>
      </c>
      <c r="AG2821" t="s">
        <v>158</v>
      </c>
      <c r="AH2821">
        <v>0</v>
      </c>
      <c r="AI2821">
        <v>3</v>
      </c>
      <c r="AJ2821">
        <v>1</v>
      </c>
      <c r="AK2821">
        <v>0</v>
      </c>
      <c r="AL2821" t="s">
        <v>5317</v>
      </c>
      <c r="AM2821">
        <v>46.977173999999998</v>
      </c>
      <c r="AN2821" t="s">
        <v>5318</v>
      </c>
      <c r="AO2821">
        <v>-123.424144</v>
      </c>
      <c r="AP2821">
        <v>100</v>
      </c>
      <c r="AQ2821">
        <v>2000</v>
      </c>
      <c r="AR2821" t="s">
        <v>118</v>
      </c>
      <c r="AS2821">
        <v>-78</v>
      </c>
      <c r="AT2821">
        <v>10</v>
      </c>
      <c r="AU2821">
        <v>64</v>
      </c>
      <c r="BC2821">
        <v>1200</v>
      </c>
      <c r="BD2821">
        <v>1</v>
      </c>
      <c r="BE2821" t="str">
        <f t="shared" si="134"/>
        <v xml:space="preserve">N215T   </v>
      </c>
      <c r="BF2821">
        <v>1</v>
      </c>
      <c r="BH2821">
        <v>0</v>
      </c>
      <c r="BI2821">
        <v>0</v>
      </c>
      <c r="BJ2821">
        <v>0</v>
      </c>
      <c r="BK2821">
        <v>2400</v>
      </c>
      <c r="BL2821">
        <v>400</v>
      </c>
      <c r="BM2821" t="s">
        <v>119</v>
      </c>
      <c r="BN2821">
        <v>1</v>
      </c>
      <c r="BO2821">
        <v>1</v>
      </c>
      <c r="BP2821">
        <v>1</v>
      </c>
      <c r="BQ2821">
        <v>0</v>
      </c>
      <c r="BT2821">
        <v>0</v>
      </c>
      <c r="BU2821">
        <v>0</v>
      </c>
      <c r="BV2821">
        <v>0</v>
      </c>
      <c r="CC2821" t="str">
        <f>"19:21:54.578"</f>
        <v>19:21:54.578</v>
      </c>
      <c r="CD2821" t="str">
        <f>"574750707"</f>
        <v>574750707</v>
      </c>
      <c r="CQ2821">
        <v>0</v>
      </c>
      <c r="CR2821">
        <v>2</v>
      </c>
      <c r="CS2821">
        <v>0</v>
      </c>
      <c r="CT2821">
        <v>2</v>
      </c>
      <c r="CU2821">
        <v>0</v>
      </c>
      <c r="CV2821">
        <v>6</v>
      </c>
      <c r="CW2821" t="s">
        <v>120</v>
      </c>
      <c r="CX2821">
        <v>257</v>
      </c>
      <c r="CY2821">
        <v>0</v>
      </c>
      <c r="CZ2821" t="s">
        <v>615</v>
      </c>
      <c r="DA2821" t="s">
        <v>616</v>
      </c>
      <c r="DD2821">
        <v>16117396</v>
      </c>
      <c r="DE2821" t="s">
        <v>123</v>
      </c>
    </row>
    <row r="2822" spans="1:109" x14ac:dyDescent="0.3">
      <c r="A2822" t="str">
        <f>"19:21:55.781"</f>
        <v>19:21:55.781</v>
      </c>
      <c r="B2822" t="s">
        <v>110</v>
      </c>
      <c r="C2822" t="str">
        <f t="shared" si="132"/>
        <v>ffdfd3c0</v>
      </c>
      <c r="D2822" t="s">
        <v>111</v>
      </c>
      <c r="E2822">
        <v>18</v>
      </c>
      <c r="F2822">
        <v>1018</v>
      </c>
      <c r="G2822" t="s">
        <v>112</v>
      </c>
      <c r="J2822" t="s">
        <v>113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R2822" t="s">
        <v>114</v>
      </c>
      <c r="S2822" t="str">
        <f>"19:21:55.547"</f>
        <v>19:21:55.547</v>
      </c>
      <c r="T2822" t="str">
        <f>"19:21:55.344"</f>
        <v>19:21:55.344</v>
      </c>
      <c r="U2822" t="str">
        <f t="shared" si="133"/>
        <v>a1cdbe</v>
      </c>
      <c r="V2822">
        <v>0</v>
      </c>
      <c r="W2822">
        <v>0</v>
      </c>
      <c r="X2822">
        <v>1</v>
      </c>
      <c r="Y2822">
        <v>0</v>
      </c>
      <c r="Z2822">
        <v>0</v>
      </c>
      <c r="AB2822">
        <v>0</v>
      </c>
      <c r="AC2822">
        <v>9</v>
      </c>
      <c r="AD2822">
        <v>3</v>
      </c>
      <c r="AE2822">
        <v>0</v>
      </c>
      <c r="AF2822">
        <v>9</v>
      </c>
      <c r="AG2822" t="s">
        <v>158</v>
      </c>
      <c r="AH2822">
        <v>0</v>
      </c>
      <c r="AI2822">
        <v>3</v>
      </c>
      <c r="AJ2822">
        <v>1</v>
      </c>
      <c r="AK2822">
        <v>0</v>
      </c>
      <c r="AL2822" t="s">
        <v>5319</v>
      </c>
      <c r="AM2822">
        <v>46.977217000000003</v>
      </c>
      <c r="AN2822" t="s">
        <v>5320</v>
      </c>
      <c r="AO2822">
        <v>-123.424637</v>
      </c>
      <c r="AP2822">
        <v>100</v>
      </c>
      <c r="AQ2822">
        <v>2000</v>
      </c>
      <c r="AR2822" t="s">
        <v>118</v>
      </c>
      <c r="AS2822">
        <v>-78</v>
      </c>
      <c r="AT2822">
        <v>10</v>
      </c>
      <c r="AU2822">
        <v>64</v>
      </c>
      <c r="BC2822">
        <v>1200</v>
      </c>
      <c r="BD2822">
        <v>1</v>
      </c>
      <c r="BE2822" t="str">
        <f t="shared" si="134"/>
        <v xml:space="preserve">N215T   </v>
      </c>
      <c r="BF2822">
        <v>1</v>
      </c>
      <c r="BH2822">
        <v>0</v>
      </c>
      <c r="BI2822">
        <v>0</v>
      </c>
      <c r="BJ2822">
        <v>0</v>
      </c>
      <c r="BK2822">
        <v>2400</v>
      </c>
      <c r="BL2822">
        <v>400</v>
      </c>
      <c r="BM2822" t="s">
        <v>119</v>
      </c>
      <c r="BN2822">
        <v>1</v>
      </c>
      <c r="BO2822">
        <v>1</v>
      </c>
      <c r="BP2822">
        <v>1</v>
      </c>
      <c r="BQ2822">
        <v>0</v>
      </c>
      <c r="BT2822">
        <v>0</v>
      </c>
      <c r="BU2822">
        <v>0</v>
      </c>
      <c r="BV2822">
        <v>0</v>
      </c>
      <c r="CC2822" t="str">
        <f>"19:21:55.547"</f>
        <v>19:21:55.547</v>
      </c>
      <c r="CD2822" t="str">
        <f>"549654608"</f>
        <v>549654608</v>
      </c>
      <c r="CQ2822">
        <v>0</v>
      </c>
      <c r="CR2822">
        <v>2</v>
      </c>
      <c r="CS2822">
        <v>0</v>
      </c>
      <c r="CT2822">
        <v>2</v>
      </c>
      <c r="CU2822">
        <v>0</v>
      </c>
      <c r="CV2822">
        <v>6</v>
      </c>
      <c r="CW2822" t="s">
        <v>120</v>
      </c>
      <c r="CX2822">
        <v>257</v>
      </c>
      <c r="CY2822">
        <v>0</v>
      </c>
      <c r="CZ2822" t="s">
        <v>615</v>
      </c>
      <c r="DA2822" t="s">
        <v>616</v>
      </c>
      <c r="DD2822">
        <v>16117920</v>
      </c>
      <c r="DE2822" t="s">
        <v>123</v>
      </c>
    </row>
    <row r="2823" spans="1:109" x14ac:dyDescent="0.3">
      <c r="A2823" t="str">
        <f>"19:21:56.789"</f>
        <v>19:21:56.789</v>
      </c>
      <c r="B2823" t="s">
        <v>110</v>
      </c>
      <c r="C2823" t="str">
        <f t="shared" si="132"/>
        <v>ffdfd3c0</v>
      </c>
      <c r="D2823" t="s">
        <v>111</v>
      </c>
      <c r="E2823">
        <v>18</v>
      </c>
      <c r="F2823">
        <v>1018</v>
      </c>
      <c r="G2823" t="s">
        <v>112</v>
      </c>
      <c r="J2823" t="s">
        <v>113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R2823" t="s">
        <v>114</v>
      </c>
      <c r="S2823" t="str">
        <f>"19:21:56.539"</f>
        <v>19:21:56.539</v>
      </c>
      <c r="T2823" t="str">
        <f>"19:21:56.336"</f>
        <v>19:21:56.336</v>
      </c>
      <c r="U2823" t="str">
        <f t="shared" si="133"/>
        <v>a1cdbe</v>
      </c>
      <c r="V2823">
        <v>0</v>
      </c>
      <c r="W2823">
        <v>0</v>
      </c>
      <c r="X2823">
        <v>1</v>
      </c>
      <c r="Y2823">
        <v>0</v>
      </c>
      <c r="Z2823">
        <v>0</v>
      </c>
      <c r="AB2823">
        <v>0</v>
      </c>
      <c r="AC2823">
        <v>9</v>
      </c>
      <c r="AD2823">
        <v>3</v>
      </c>
      <c r="AE2823">
        <v>0</v>
      </c>
      <c r="AF2823">
        <v>9</v>
      </c>
      <c r="AG2823" t="s">
        <v>158</v>
      </c>
      <c r="AH2823">
        <v>0</v>
      </c>
      <c r="AI2823">
        <v>3</v>
      </c>
      <c r="AJ2823">
        <v>1</v>
      </c>
      <c r="AK2823">
        <v>0</v>
      </c>
      <c r="AL2823" t="s">
        <v>5321</v>
      </c>
      <c r="AM2823">
        <v>46.977260000000001</v>
      </c>
      <c r="AN2823" t="s">
        <v>5322</v>
      </c>
      <c r="AO2823">
        <v>-123.425152</v>
      </c>
      <c r="AP2823">
        <v>100</v>
      </c>
      <c r="AQ2823">
        <v>2000</v>
      </c>
      <c r="AR2823" t="s">
        <v>118</v>
      </c>
      <c r="AS2823">
        <v>-78</v>
      </c>
      <c r="AT2823">
        <v>10</v>
      </c>
      <c r="AU2823">
        <v>64</v>
      </c>
      <c r="BC2823">
        <v>1200</v>
      </c>
      <c r="BD2823">
        <v>1</v>
      </c>
      <c r="BE2823" t="str">
        <f t="shared" si="134"/>
        <v xml:space="preserve">N215T   </v>
      </c>
      <c r="BF2823">
        <v>1</v>
      </c>
      <c r="BH2823">
        <v>0</v>
      </c>
      <c r="BI2823">
        <v>0</v>
      </c>
      <c r="BJ2823">
        <v>0</v>
      </c>
      <c r="BK2823">
        <v>2400</v>
      </c>
      <c r="BL2823">
        <v>400</v>
      </c>
      <c r="BM2823" t="s">
        <v>119</v>
      </c>
      <c r="BN2823">
        <v>1</v>
      </c>
      <c r="BO2823">
        <v>1</v>
      </c>
      <c r="BP2823">
        <v>1</v>
      </c>
      <c r="BQ2823">
        <v>0</v>
      </c>
      <c r="BT2823">
        <v>0</v>
      </c>
      <c r="BU2823">
        <v>0</v>
      </c>
      <c r="BV2823">
        <v>0</v>
      </c>
      <c r="CC2823" t="str">
        <f>"19:21:56.539"</f>
        <v>19:21:56.539</v>
      </c>
      <c r="CD2823" t="str">
        <f>"539557045"</f>
        <v>539557045</v>
      </c>
      <c r="CQ2823">
        <v>0</v>
      </c>
      <c r="CR2823">
        <v>2</v>
      </c>
      <c r="CS2823">
        <v>0</v>
      </c>
      <c r="CT2823">
        <v>2</v>
      </c>
      <c r="CU2823">
        <v>0</v>
      </c>
      <c r="CV2823">
        <v>6</v>
      </c>
      <c r="CW2823" t="s">
        <v>120</v>
      </c>
      <c r="CX2823">
        <v>257</v>
      </c>
      <c r="CY2823">
        <v>0</v>
      </c>
      <c r="CZ2823" t="s">
        <v>615</v>
      </c>
      <c r="DA2823" t="s">
        <v>616</v>
      </c>
      <c r="DD2823">
        <v>16118498</v>
      </c>
      <c r="DE2823" t="s">
        <v>123</v>
      </c>
    </row>
    <row r="2824" spans="1:109" x14ac:dyDescent="0.3">
      <c r="A2824" t="str">
        <f>"19:21:57.695"</f>
        <v>19:21:57.695</v>
      </c>
      <c r="B2824" t="s">
        <v>110</v>
      </c>
      <c r="C2824" t="str">
        <f t="shared" si="132"/>
        <v>ffdfd3c0</v>
      </c>
      <c r="D2824" t="s">
        <v>111</v>
      </c>
      <c r="E2824">
        <v>18</v>
      </c>
      <c r="F2824">
        <v>1018</v>
      </c>
      <c r="G2824" t="s">
        <v>112</v>
      </c>
      <c r="J2824" t="s">
        <v>113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R2824" t="s">
        <v>114</v>
      </c>
      <c r="S2824" t="str">
        <f>"19:21:57.484"</f>
        <v>19:21:57.484</v>
      </c>
      <c r="T2824" t="str">
        <f>"19:21:57.188"</f>
        <v>19:21:57.188</v>
      </c>
      <c r="U2824" t="str">
        <f t="shared" si="133"/>
        <v>a1cdbe</v>
      </c>
      <c r="V2824">
        <v>0</v>
      </c>
      <c r="W2824">
        <v>0</v>
      </c>
      <c r="X2824">
        <v>1</v>
      </c>
      <c r="Y2824">
        <v>0</v>
      </c>
      <c r="Z2824">
        <v>0</v>
      </c>
      <c r="AB2824">
        <v>0</v>
      </c>
      <c r="AC2824">
        <v>9</v>
      </c>
      <c r="AD2824">
        <v>3</v>
      </c>
      <c r="AE2824">
        <v>0</v>
      </c>
      <c r="AF2824">
        <v>9</v>
      </c>
      <c r="AG2824" t="s">
        <v>158</v>
      </c>
      <c r="AH2824">
        <v>0</v>
      </c>
      <c r="AI2824">
        <v>3</v>
      </c>
      <c r="AJ2824">
        <v>1</v>
      </c>
      <c r="AK2824">
        <v>0</v>
      </c>
      <c r="AL2824" t="s">
        <v>947</v>
      </c>
      <c r="AM2824">
        <v>46.977302999999999</v>
      </c>
      <c r="AN2824" t="s">
        <v>5323</v>
      </c>
      <c r="AO2824">
        <v>-123.425624</v>
      </c>
      <c r="AP2824">
        <v>100</v>
      </c>
      <c r="AQ2824">
        <v>2000</v>
      </c>
      <c r="AR2824" t="s">
        <v>118</v>
      </c>
      <c r="AS2824">
        <v>-78</v>
      </c>
      <c r="AT2824">
        <v>10</v>
      </c>
      <c r="AU2824">
        <v>64</v>
      </c>
      <c r="BC2824">
        <v>1200</v>
      </c>
      <c r="BD2824">
        <v>1</v>
      </c>
      <c r="BE2824" t="str">
        <f t="shared" si="134"/>
        <v xml:space="preserve">N215T   </v>
      </c>
      <c r="BF2824">
        <v>1</v>
      </c>
      <c r="BH2824">
        <v>0</v>
      </c>
      <c r="BI2824">
        <v>0</v>
      </c>
      <c r="BJ2824">
        <v>0</v>
      </c>
      <c r="BK2824">
        <v>2400</v>
      </c>
      <c r="BL2824">
        <v>400</v>
      </c>
      <c r="BM2824" t="s">
        <v>119</v>
      </c>
      <c r="BN2824">
        <v>1</v>
      </c>
      <c r="BO2824">
        <v>1</v>
      </c>
      <c r="BP2824">
        <v>1</v>
      </c>
      <c r="BQ2824">
        <v>0</v>
      </c>
      <c r="BT2824">
        <v>0</v>
      </c>
      <c r="BU2824">
        <v>0</v>
      </c>
      <c r="BV2824">
        <v>0</v>
      </c>
      <c r="CC2824" t="str">
        <f>"19:21:57.484"</f>
        <v>19:21:57.484</v>
      </c>
      <c r="CD2824" t="str">
        <f>"484463893"</f>
        <v>484463893</v>
      </c>
      <c r="CQ2824">
        <v>0</v>
      </c>
      <c r="CR2824">
        <v>2</v>
      </c>
      <c r="CS2824">
        <v>0</v>
      </c>
      <c r="CT2824">
        <v>2</v>
      </c>
      <c r="CU2824">
        <v>0</v>
      </c>
      <c r="CV2824">
        <v>7</v>
      </c>
      <c r="CW2824" t="s">
        <v>120</v>
      </c>
      <c r="CX2824">
        <v>257</v>
      </c>
      <c r="CY2824">
        <v>0</v>
      </c>
      <c r="CZ2824" t="s">
        <v>615</v>
      </c>
      <c r="DA2824" t="s">
        <v>616</v>
      </c>
      <c r="DD2824">
        <v>16119001</v>
      </c>
      <c r="DE2824" t="s">
        <v>123</v>
      </c>
    </row>
    <row r="2825" spans="1:109" x14ac:dyDescent="0.3">
      <c r="A2825" t="str">
        <f>"19:21:58.852"</f>
        <v>19:21:58.852</v>
      </c>
      <c r="B2825" t="s">
        <v>110</v>
      </c>
      <c r="C2825" t="str">
        <f t="shared" si="132"/>
        <v>ffdfd3c0</v>
      </c>
      <c r="D2825" t="s">
        <v>111</v>
      </c>
      <c r="E2825">
        <v>18</v>
      </c>
      <c r="F2825">
        <v>1018</v>
      </c>
      <c r="G2825" t="s">
        <v>112</v>
      </c>
      <c r="J2825" t="s">
        <v>113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R2825" t="s">
        <v>114</v>
      </c>
      <c r="S2825" t="str">
        <f>"19:21:58.633"</f>
        <v>19:21:58.633</v>
      </c>
      <c r="T2825" t="str">
        <f>"19:21:58.133"</f>
        <v>19:21:58.133</v>
      </c>
      <c r="U2825" t="str">
        <f t="shared" si="133"/>
        <v>a1cdbe</v>
      </c>
      <c r="V2825">
        <v>0</v>
      </c>
      <c r="W2825">
        <v>0</v>
      </c>
      <c r="X2825">
        <v>1</v>
      </c>
      <c r="Y2825">
        <v>0</v>
      </c>
      <c r="Z2825">
        <v>0</v>
      </c>
      <c r="AB2825">
        <v>0</v>
      </c>
      <c r="AC2825">
        <v>9</v>
      </c>
      <c r="AD2825">
        <v>3</v>
      </c>
      <c r="AE2825">
        <v>0</v>
      </c>
      <c r="AF2825">
        <v>9</v>
      </c>
      <c r="AG2825" t="s">
        <v>158</v>
      </c>
      <c r="AH2825">
        <v>0</v>
      </c>
      <c r="AI2825">
        <v>3</v>
      </c>
      <c r="AJ2825">
        <v>1</v>
      </c>
      <c r="AK2825">
        <v>0</v>
      </c>
      <c r="AL2825" t="s">
        <v>5324</v>
      </c>
      <c r="AM2825">
        <v>46.977345999999997</v>
      </c>
      <c r="AN2825" t="s">
        <v>5325</v>
      </c>
      <c r="AO2825">
        <v>-123.426247</v>
      </c>
      <c r="AP2825">
        <v>100</v>
      </c>
      <c r="AQ2825">
        <v>2000</v>
      </c>
      <c r="AR2825" t="s">
        <v>118</v>
      </c>
      <c r="AS2825">
        <v>-78</v>
      </c>
      <c r="AT2825">
        <v>10</v>
      </c>
      <c r="AU2825">
        <v>64</v>
      </c>
      <c r="BC2825">
        <v>1200</v>
      </c>
      <c r="BD2825">
        <v>1</v>
      </c>
      <c r="BE2825" t="str">
        <f t="shared" si="134"/>
        <v xml:space="preserve">N215T   </v>
      </c>
      <c r="BF2825">
        <v>1</v>
      </c>
      <c r="BH2825">
        <v>0</v>
      </c>
      <c r="BI2825">
        <v>0</v>
      </c>
      <c r="BJ2825">
        <v>0</v>
      </c>
      <c r="BK2825">
        <v>2400</v>
      </c>
      <c r="BL2825">
        <v>400</v>
      </c>
      <c r="BM2825" t="s">
        <v>119</v>
      </c>
      <c r="BN2825">
        <v>1</v>
      </c>
      <c r="BO2825">
        <v>1</v>
      </c>
      <c r="BP2825">
        <v>1</v>
      </c>
      <c r="BQ2825">
        <v>0</v>
      </c>
      <c r="BT2825">
        <v>0</v>
      </c>
      <c r="BU2825">
        <v>0</v>
      </c>
      <c r="BV2825">
        <v>0</v>
      </c>
      <c r="CC2825" t="str">
        <f>"19:21:58.641"</f>
        <v>19:21:58.641</v>
      </c>
      <c r="CD2825" t="str">
        <f>"639350054"</f>
        <v>639350054</v>
      </c>
      <c r="CQ2825">
        <v>0</v>
      </c>
      <c r="CR2825">
        <v>2</v>
      </c>
      <c r="CS2825">
        <v>0</v>
      </c>
      <c r="CT2825">
        <v>2</v>
      </c>
      <c r="CU2825">
        <v>0</v>
      </c>
      <c r="CV2825">
        <v>7</v>
      </c>
      <c r="CW2825" t="s">
        <v>120</v>
      </c>
      <c r="CX2825">
        <v>257</v>
      </c>
      <c r="CY2825">
        <v>0</v>
      </c>
      <c r="CZ2825" t="s">
        <v>615</v>
      </c>
      <c r="DA2825" t="s">
        <v>616</v>
      </c>
      <c r="DD2825">
        <v>16119582</v>
      </c>
      <c r="DE2825" t="s">
        <v>123</v>
      </c>
    </row>
    <row r="2826" spans="1:109" x14ac:dyDescent="0.3">
      <c r="A2826" t="str">
        <f>"19:21:59.906"</f>
        <v>19:21:59.906</v>
      </c>
      <c r="B2826" t="s">
        <v>110</v>
      </c>
      <c r="C2826" t="str">
        <f t="shared" si="132"/>
        <v>ffdfd3c0</v>
      </c>
      <c r="D2826" t="s">
        <v>111</v>
      </c>
      <c r="E2826">
        <v>18</v>
      </c>
      <c r="F2826">
        <v>1018</v>
      </c>
      <c r="G2826" t="s">
        <v>112</v>
      </c>
      <c r="J2826" t="s">
        <v>113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R2826" t="s">
        <v>114</v>
      </c>
      <c r="S2826" t="str">
        <f>"19:21:59.656"</f>
        <v>19:21:59.656</v>
      </c>
      <c r="T2826" t="str">
        <f>"19:21:59.258"</f>
        <v>19:21:59.258</v>
      </c>
      <c r="U2826" t="str">
        <f t="shared" si="133"/>
        <v>a1cdbe</v>
      </c>
      <c r="V2826">
        <v>0</v>
      </c>
      <c r="W2826">
        <v>0</v>
      </c>
      <c r="X2826">
        <v>1</v>
      </c>
      <c r="Y2826">
        <v>0</v>
      </c>
      <c r="Z2826">
        <v>0</v>
      </c>
      <c r="AB2826">
        <v>0</v>
      </c>
      <c r="AC2826">
        <v>9</v>
      </c>
      <c r="AD2826">
        <v>3</v>
      </c>
      <c r="AE2826">
        <v>0</v>
      </c>
      <c r="AF2826">
        <v>9</v>
      </c>
      <c r="AG2826" t="s">
        <v>158</v>
      </c>
      <c r="AH2826">
        <v>0</v>
      </c>
      <c r="AI2826">
        <v>3</v>
      </c>
      <c r="AJ2826">
        <v>1</v>
      </c>
      <c r="AK2826">
        <v>0</v>
      </c>
      <c r="AL2826" t="s">
        <v>5326</v>
      </c>
      <c r="AM2826">
        <v>46.977409999999999</v>
      </c>
      <c r="AN2826" t="s">
        <v>5327</v>
      </c>
      <c r="AO2826">
        <v>-123.426805</v>
      </c>
      <c r="AP2826">
        <v>100</v>
      </c>
      <c r="AQ2826">
        <v>2000</v>
      </c>
      <c r="AR2826" t="s">
        <v>118</v>
      </c>
      <c r="AS2826">
        <v>-79</v>
      </c>
      <c r="AT2826">
        <v>9</v>
      </c>
      <c r="AU2826">
        <v>64</v>
      </c>
      <c r="BC2826">
        <v>1200</v>
      </c>
      <c r="BD2826">
        <v>1</v>
      </c>
      <c r="BE2826" t="str">
        <f t="shared" si="134"/>
        <v xml:space="preserve">N215T   </v>
      </c>
      <c r="BF2826">
        <v>1</v>
      </c>
      <c r="BH2826">
        <v>0</v>
      </c>
      <c r="BI2826">
        <v>0</v>
      </c>
      <c r="BJ2826">
        <v>0</v>
      </c>
      <c r="BK2826">
        <v>2400</v>
      </c>
      <c r="BL2826">
        <v>400</v>
      </c>
      <c r="BM2826" t="s">
        <v>119</v>
      </c>
      <c r="BN2826">
        <v>1</v>
      </c>
      <c r="BO2826">
        <v>1</v>
      </c>
      <c r="BP2826">
        <v>1</v>
      </c>
      <c r="BQ2826">
        <v>0</v>
      </c>
      <c r="BT2826">
        <v>0</v>
      </c>
      <c r="BU2826">
        <v>0</v>
      </c>
      <c r="BV2826">
        <v>0</v>
      </c>
      <c r="CC2826" t="str">
        <f>"19:21:59.656"</f>
        <v>19:21:59.656</v>
      </c>
      <c r="CD2826" t="str">
        <f>"659249522"</f>
        <v>659249522</v>
      </c>
      <c r="CQ2826">
        <v>0</v>
      </c>
      <c r="CR2826">
        <v>2</v>
      </c>
      <c r="CS2826">
        <v>0</v>
      </c>
      <c r="CT2826">
        <v>2</v>
      </c>
      <c r="CU2826">
        <v>0</v>
      </c>
      <c r="CV2826">
        <v>7</v>
      </c>
      <c r="CW2826" t="s">
        <v>120</v>
      </c>
      <c r="CX2826">
        <v>257</v>
      </c>
      <c r="CY2826">
        <v>0</v>
      </c>
      <c r="CZ2826" t="s">
        <v>615</v>
      </c>
      <c r="DA2826" t="s">
        <v>616</v>
      </c>
      <c r="DD2826">
        <v>16120133</v>
      </c>
      <c r="DE2826" t="s">
        <v>123</v>
      </c>
    </row>
    <row r="2827" spans="1:109" x14ac:dyDescent="0.3">
      <c r="A2827" t="str">
        <f>"19:22:01.063"</f>
        <v>19:22:01.063</v>
      </c>
      <c r="B2827" t="s">
        <v>110</v>
      </c>
      <c r="C2827" t="str">
        <f t="shared" si="132"/>
        <v>ffdfd3c0</v>
      </c>
      <c r="D2827" t="s">
        <v>111</v>
      </c>
      <c r="E2827">
        <v>18</v>
      </c>
      <c r="F2827">
        <v>1018</v>
      </c>
      <c r="G2827" t="s">
        <v>112</v>
      </c>
      <c r="J2827" t="s">
        <v>113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R2827" t="s">
        <v>114</v>
      </c>
      <c r="S2827" t="str">
        <f>"19:22:00.844"</f>
        <v>19:22:00.844</v>
      </c>
      <c r="T2827" t="str">
        <f>"19:22:00.547"</f>
        <v>19:22:00.547</v>
      </c>
      <c r="U2827" t="str">
        <f t="shared" si="133"/>
        <v>a1cdbe</v>
      </c>
      <c r="V2827">
        <v>0</v>
      </c>
      <c r="W2827">
        <v>0</v>
      </c>
      <c r="X2827">
        <v>1</v>
      </c>
      <c r="Y2827">
        <v>0</v>
      </c>
      <c r="Z2827">
        <v>0</v>
      </c>
      <c r="AB2827">
        <v>0</v>
      </c>
      <c r="AC2827">
        <v>9</v>
      </c>
      <c r="AD2827">
        <v>3</v>
      </c>
      <c r="AE2827">
        <v>0</v>
      </c>
      <c r="AF2827">
        <v>9</v>
      </c>
      <c r="AG2827" t="s">
        <v>158</v>
      </c>
      <c r="AH2827">
        <v>0</v>
      </c>
      <c r="AI2827">
        <v>3</v>
      </c>
      <c r="AJ2827">
        <v>1</v>
      </c>
      <c r="AK2827">
        <v>0</v>
      </c>
      <c r="AL2827" t="s">
        <v>5328</v>
      </c>
      <c r="AM2827">
        <v>46.977452999999997</v>
      </c>
      <c r="AN2827" t="s">
        <v>5329</v>
      </c>
      <c r="AO2827">
        <v>-123.42740499999999</v>
      </c>
      <c r="AP2827">
        <v>100</v>
      </c>
      <c r="AQ2827">
        <v>2000</v>
      </c>
      <c r="AR2827" t="s">
        <v>118</v>
      </c>
      <c r="AS2827">
        <v>-79</v>
      </c>
      <c r="AT2827">
        <v>9</v>
      </c>
      <c r="AU2827">
        <v>64</v>
      </c>
      <c r="BC2827">
        <v>1200</v>
      </c>
      <c r="BD2827">
        <v>1</v>
      </c>
      <c r="BE2827" t="str">
        <f t="shared" si="134"/>
        <v xml:space="preserve">N215T   </v>
      </c>
      <c r="BF2827">
        <v>1</v>
      </c>
      <c r="BH2827">
        <v>0</v>
      </c>
      <c r="BI2827">
        <v>0</v>
      </c>
      <c r="BJ2827">
        <v>0</v>
      </c>
      <c r="BK2827">
        <v>2400</v>
      </c>
      <c r="BL2827">
        <v>400</v>
      </c>
      <c r="BM2827" t="s">
        <v>119</v>
      </c>
      <c r="BN2827">
        <v>1</v>
      </c>
      <c r="BO2827">
        <v>1</v>
      </c>
      <c r="BP2827">
        <v>1</v>
      </c>
      <c r="BQ2827">
        <v>0</v>
      </c>
      <c r="BT2827">
        <v>0</v>
      </c>
      <c r="BU2827">
        <v>0</v>
      </c>
      <c r="BV2827">
        <v>0</v>
      </c>
      <c r="CC2827" t="str">
        <f>"19:22:00.844"</f>
        <v>19:22:00.844</v>
      </c>
      <c r="CD2827" t="str">
        <f>"844132740"</f>
        <v>844132740</v>
      </c>
      <c r="CQ2827">
        <v>0</v>
      </c>
      <c r="CR2827">
        <v>2</v>
      </c>
      <c r="CS2827">
        <v>0</v>
      </c>
      <c r="CT2827">
        <v>2</v>
      </c>
      <c r="CU2827">
        <v>0</v>
      </c>
      <c r="CV2827">
        <v>7</v>
      </c>
      <c r="CW2827" t="s">
        <v>120</v>
      </c>
      <c r="CX2827">
        <v>257</v>
      </c>
      <c r="CY2827">
        <v>0</v>
      </c>
      <c r="CZ2827" t="s">
        <v>615</v>
      </c>
      <c r="DA2827" t="s">
        <v>616</v>
      </c>
      <c r="DD2827">
        <v>16120781</v>
      </c>
      <c r="DE2827" t="s">
        <v>123</v>
      </c>
    </row>
    <row r="2828" spans="1:109" x14ac:dyDescent="0.3">
      <c r="A2828" t="str">
        <f>"19:22:02.070"</f>
        <v>19:22:02.070</v>
      </c>
      <c r="B2828" t="s">
        <v>110</v>
      </c>
      <c r="C2828" t="str">
        <f t="shared" si="132"/>
        <v>ffdfd3c0</v>
      </c>
      <c r="D2828" t="s">
        <v>111</v>
      </c>
      <c r="E2828">
        <v>18</v>
      </c>
      <c r="F2828">
        <v>1018</v>
      </c>
      <c r="G2828" t="s">
        <v>112</v>
      </c>
      <c r="J2828" t="s">
        <v>113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R2828" t="s">
        <v>114</v>
      </c>
      <c r="S2828" t="str">
        <f>"19:22:01.828"</f>
        <v>19:22:01.828</v>
      </c>
      <c r="T2828" t="str">
        <f>"19:22:01.531"</f>
        <v>19:22:01.531</v>
      </c>
      <c r="U2828" t="str">
        <f t="shared" si="133"/>
        <v>a1cdbe</v>
      </c>
      <c r="V2828">
        <v>0</v>
      </c>
      <c r="W2828">
        <v>0</v>
      </c>
      <c r="X2828">
        <v>1</v>
      </c>
      <c r="Y2828">
        <v>0</v>
      </c>
      <c r="Z2828">
        <v>0</v>
      </c>
      <c r="AB2828">
        <v>0</v>
      </c>
      <c r="AC2828">
        <v>9</v>
      </c>
      <c r="AD2828">
        <v>3</v>
      </c>
      <c r="AE2828">
        <v>0</v>
      </c>
      <c r="AF2828">
        <v>9</v>
      </c>
      <c r="AG2828" t="s">
        <v>158</v>
      </c>
      <c r="AH2828">
        <v>0</v>
      </c>
      <c r="AI2828">
        <v>3</v>
      </c>
      <c r="AJ2828">
        <v>1</v>
      </c>
      <c r="AK2828">
        <v>0</v>
      </c>
      <c r="AL2828" t="s">
        <v>5330</v>
      </c>
      <c r="AM2828">
        <v>46.977496000000002</v>
      </c>
      <c r="AN2828" t="s">
        <v>5331</v>
      </c>
      <c r="AO2828">
        <v>-123.427942</v>
      </c>
      <c r="AP2828">
        <v>100</v>
      </c>
      <c r="AQ2828">
        <v>2000</v>
      </c>
      <c r="AR2828" t="s">
        <v>118</v>
      </c>
      <c r="AS2828">
        <v>-79</v>
      </c>
      <c r="AT2828">
        <v>8</v>
      </c>
      <c r="AU2828">
        <v>64</v>
      </c>
      <c r="BC2828">
        <v>1200</v>
      </c>
      <c r="BD2828">
        <v>1</v>
      </c>
      <c r="BE2828" t="str">
        <f t="shared" si="134"/>
        <v xml:space="preserve">N215T   </v>
      </c>
      <c r="BF2828">
        <v>1</v>
      </c>
      <c r="BH2828">
        <v>0</v>
      </c>
      <c r="BI2828">
        <v>0</v>
      </c>
      <c r="BJ2828">
        <v>0</v>
      </c>
      <c r="BK2828">
        <v>2400</v>
      </c>
      <c r="BL2828">
        <v>400</v>
      </c>
      <c r="BM2828" t="s">
        <v>119</v>
      </c>
      <c r="BN2828">
        <v>1</v>
      </c>
      <c r="BO2828">
        <v>1</v>
      </c>
      <c r="BP2828">
        <v>1</v>
      </c>
      <c r="BQ2828">
        <v>0</v>
      </c>
      <c r="BT2828">
        <v>0</v>
      </c>
      <c r="BU2828">
        <v>0</v>
      </c>
      <c r="BV2828">
        <v>0</v>
      </c>
      <c r="CC2828" t="str">
        <f>"19:22:01.836"</f>
        <v>19:22:01.836</v>
      </c>
      <c r="CD2828" t="str">
        <f>"834035147"</f>
        <v>834035147</v>
      </c>
      <c r="CQ2828">
        <v>0</v>
      </c>
      <c r="CR2828">
        <v>2</v>
      </c>
      <c r="CS2828">
        <v>0</v>
      </c>
      <c r="CT2828">
        <v>2</v>
      </c>
      <c r="CU2828">
        <v>0</v>
      </c>
      <c r="CV2828">
        <v>7</v>
      </c>
      <c r="CW2828" t="s">
        <v>120</v>
      </c>
      <c r="CX2828">
        <v>257</v>
      </c>
      <c r="CY2828">
        <v>0</v>
      </c>
      <c r="CZ2828" t="s">
        <v>615</v>
      </c>
      <c r="DA2828" t="s">
        <v>616</v>
      </c>
      <c r="DD2828">
        <v>16121293</v>
      </c>
      <c r="DE2828" t="s">
        <v>123</v>
      </c>
    </row>
    <row r="2829" spans="1:109" x14ac:dyDescent="0.3">
      <c r="A2829" t="str">
        <f>"19:22:02.875"</f>
        <v>19:22:02.875</v>
      </c>
      <c r="B2829" t="s">
        <v>110</v>
      </c>
      <c r="C2829" t="str">
        <f t="shared" si="132"/>
        <v>ffdfd3c0</v>
      </c>
      <c r="D2829" t="s">
        <v>111</v>
      </c>
      <c r="E2829">
        <v>18</v>
      </c>
      <c r="F2829">
        <v>1018</v>
      </c>
      <c r="G2829" t="s">
        <v>112</v>
      </c>
      <c r="J2829" t="s">
        <v>113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R2829" t="s">
        <v>114</v>
      </c>
      <c r="S2829" t="str">
        <f>"19:22:02.672"</f>
        <v>19:22:02.672</v>
      </c>
      <c r="T2829" t="str">
        <f>"19:22:02.672"</f>
        <v>19:22:02.672</v>
      </c>
      <c r="U2829" t="str">
        <f t="shared" si="133"/>
        <v>a1cdbe</v>
      </c>
      <c r="V2829">
        <v>0</v>
      </c>
      <c r="W2829">
        <v>0</v>
      </c>
      <c r="X2829">
        <v>1</v>
      </c>
      <c r="Y2829">
        <v>0</v>
      </c>
      <c r="Z2829">
        <v>0</v>
      </c>
      <c r="AB2829">
        <v>0</v>
      </c>
      <c r="AC2829">
        <v>9</v>
      </c>
      <c r="AD2829">
        <v>3</v>
      </c>
      <c r="AE2829">
        <v>0</v>
      </c>
      <c r="AF2829">
        <v>9</v>
      </c>
      <c r="AG2829" t="s">
        <v>158</v>
      </c>
      <c r="AH2829">
        <v>0</v>
      </c>
      <c r="AI2829">
        <v>3</v>
      </c>
      <c r="AJ2829">
        <v>1</v>
      </c>
      <c r="AK2829">
        <v>0</v>
      </c>
      <c r="AL2829" t="s">
        <v>5332</v>
      </c>
      <c r="AM2829">
        <v>46.977539</v>
      </c>
      <c r="AN2829" t="s">
        <v>5333</v>
      </c>
      <c r="AO2829">
        <v>-123.42843499999999</v>
      </c>
      <c r="AP2829">
        <v>100</v>
      </c>
      <c r="AQ2829">
        <v>2000</v>
      </c>
      <c r="AR2829" t="s">
        <v>118</v>
      </c>
      <c r="AS2829">
        <v>-79</v>
      </c>
      <c r="AT2829">
        <v>7</v>
      </c>
      <c r="AU2829">
        <v>64</v>
      </c>
      <c r="BC2829">
        <v>1200</v>
      </c>
      <c r="BD2829">
        <v>1</v>
      </c>
      <c r="BE2829" t="str">
        <f t="shared" si="134"/>
        <v xml:space="preserve">N215T   </v>
      </c>
      <c r="BF2829">
        <v>1</v>
      </c>
      <c r="BH2829">
        <v>0</v>
      </c>
      <c r="BI2829">
        <v>0</v>
      </c>
      <c r="BJ2829">
        <v>0</v>
      </c>
      <c r="BK2829">
        <v>2400</v>
      </c>
      <c r="BL2829">
        <v>400</v>
      </c>
      <c r="BM2829" t="s">
        <v>119</v>
      </c>
      <c r="BN2829">
        <v>1</v>
      </c>
      <c r="BO2829">
        <v>1</v>
      </c>
      <c r="BP2829">
        <v>1</v>
      </c>
      <c r="BQ2829">
        <v>0</v>
      </c>
      <c r="BT2829">
        <v>0</v>
      </c>
      <c r="BU2829">
        <v>0</v>
      </c>
      <c r="BV2829">
        <v>0</v>
      </c>
      <c r="CC2829" t="str">
        <f>"19:22:02.672"</f>
        <v>19:22:02.672</v>
      </c>
      <c r="CD2829" t="str">
        <f>"673952350"</f>
        <v>673952350</v>
      </c>
      <c r="CQ2829">
        <v>0</v>
      </c>
      <c r="CR2829">
        <v>2</v>
      </c>
      <c r="CS2829">
        <v>0</v>
      </c>
      <c r="CT2829">
        <v>2</v>
      </c>
      <c r="CU2829">
        <v>0</v>
      </c>
      <c r="CV2829">
        <v>7</v>
      </c>
      <c r="CW2829" t="s">
        <v>120</v>
      </c>
      <c r="CX2829">
        <v>257</v>
      </c>
      <c r="CY2829">
        <v>0</v>
      </c>
      <c r="CZ2829" t="s">
        <v>615</v>
      </c>
      <c r="DA2829" t="s">
        <v>616</v>
      </c>
      <c r="DD2829">
        <v>16121705</v>
      </c>
      <c r="DE2829" t="s">
        <v>123</v>
      </c>
    </row>
    <row r="2830" spans="1:109" x14ac:dyDescent="0.3">
      <c r="A2830" t="str">
        <f>"19:22:03.930"</f>
        <v>19:22:03.930</v>
      </c>
      <c r="B2830" t="s">
        <v>110</v>
      </c>
      <c r="C2830" t="str">
        <f t="shared" si="132"/>
        <v>ffdfd3c0</v>
      </c>
      <c r="D2830" t="s">
        <v>111</v>
      </c>
      <c r="E2830">
        <v>18</v>
      </c>
      <c r="F2830">
        <v>1018</v>
      </c>
      <c r="G2830" t="s">
        <v>112</v>
      </c>
      <c r="J2830" t="s">
        <v>113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R2830" t="s">
        <v>114</v>
      </c>
      <c r="S2830" t="str">
        <f>"19:22:03.656"</f>
        <v>19:22:03.656</v>
      </c>
      <c r="T2830" t="str">
        <f>"19:22:03.656"</f>
        <v>19:22:03.656</v>
      </c>
      <c r="U2830" t="str">
        <f t="shared" si="133"/>
        <v>a1cdbe</v>
      </c>
      <c r="V2830">
        <v>0</v>
      </c>
      <c r="W2830">
        <v>0</v>
      </c>
      <c r="X2830">
        <v>1</v>
      </c>
      <c r="Y2830">
        <v>0</v>
      </c>
      <c r="Z2830">
        <v>0</v>
      </c>
      <c r="AB2830">
        <v>0</v>
      </c>
      <c r="AC2830">
        <v>9</v>
      </c>
      <c r="AD2830">
        <v>3</v>
      </c>
      <c r="AE2830">
        <v>0</v>
      </c>
      <c r="AF2830">
        <v>9</v>
      </c>
      <c r="AG2830" t="s">
        <v>158</v>
      </c>
      <c r="AH2830">
        <v>0</v>
      </c>
      <c r="AI2830">
        <v>3</v>
      </c>
      <c r="AJ2830">
        <v>1</v>
      </c>
      <c r="AK2830">
        <v>0</v>
      </c>
      <c r="AL2830" t="s">
        <v>5332</v>
      </c>
      <c r="AM2830">
        <v>46.977539</v>
      </c>
      <c r="AN2830" t="s">
        <v>5334</v>
      </c>
      <c r="AO2830">
        <v>-123.428929</v>
      </c>
      <c r="AP2830">
        <v>100</v>
      </c>
      <c r="AQ2830">
        <v>2000</v>
      </c>
      <c r="AR2830" t="s">
        <v>118</v>
      </c>
      <c r="AS2830">
        <v>-79</v>
      </c>
      <c r="AT2830">
        <v>7</v>
      </c>
      <c r="AU2830">
        <v>64</v>
      </c>
      <c r="BC2830">
        <v>1200</v>
      </c>
      <c r="BD2830">
        <v>1</v>
      </c>
      <c r="BE2830" t="str">
        <f t="shared" si="134"/>
        <v xml:space="preserve">N215T   </v>
      </c>
      <c r="BF2830">
        <v>1</v>
      </c>
      <c r="BH2830">
        <v>0</v>
      </c>
      <c r="BI2830">
        <v>0</v>
      </c>
      <c r="BJ2830">
        <v>0</v>
      </c>
      <c r="BK2830">
        <v>2400</v>
      </c>
      <c r="BL2830">
        <v>400</v>
      </c>
      <c r="BM2830" t="s">
        <v>119</v>
      </c>
      <c r="BN2830">
        <v>1</v>
      </c>
      <c r="BO2830">
        <v>1</v>
      </c>
      <c r="BP2830">
        <v>1</v>
      </c>
      <c r="BQ2830">
        <v>0</v>
      </c>
      <c r="BT2830">
        <v>0</v>
      </c>
      <c r="BU2830">
        <v>0</v>
      </c>
      <c r="BV2830">
        <v>0</v>
      </c>
      <c r="CC2830" t="str">
        <f>"19:22:03.664"</f>
        <v>19:22:03.664</v>
      </c>
      <c r="CD2830" t="str">
        <f>"663854777"</f>
        <v>663854777</v>
      </c>
      <c r="CQ2830">
        <v>0</v>
      </c>
      <c r="CR2830">
        <v>2</v>
      </c>
      <c r="CS2830">
        <v>0</v>
      </c>
      <c r="CT2830">
        <v>2</v>
      </c>
      <c r="CU2830">
        <v>0</v>
      </c>
      <c r="CV2830">
        <v>7</v>
      </c>
      <c r="CW2830" t="s">
        <v>120</v>
      </c>
      <c r="CX2830">
        <v>257</v>
      </c>
      <c r="CY2830">
        <v>0</v>
      </c>
      <c r="CZ2830" t="s">
        <v>615</v>
      </c>
      <c r="DA2830" t="s">
        <v>616</v>
      </c>
      <c r="DD2830">
        <v>16122234</v>
      </c>
      <c r="DE2830" t="s">
        <v>123</v>
      </c>
    </row>
    <row r="2831" spans="1:109" x14ac:dyDescent="0.3">
      <c r="A2831" t="str">
        <f>"19:22:04.883"</f>
        <v>19:22:04.883</v>
      </c>
      <c r="B2831" t="s">
        <v>110</v>
      </c>
      <c r="C2831" t="str">
        <f t="shared" si="132"/>
        <v>ffdfd3c0</v>
      </c>
      <c r="D2831" t="s">
        <v>111</v>
      </c>
      <c r="E2831">
        <v>18</v>
      </c>
      <c r="F2831">
        <v>1018</v>
      </c>
      <c r="G2831" t="s">
        <v>112</v>
      </c>
      <c r="J2831" t="s">
        <v>113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R2831" t="s">
        <v>114</v>
      </c>
      <c r="S2831" t="str">
        <f>"19:22:04.648"</f>
        <v>19:22:04.648</v>
      </c>
      <c r="T2831" t="str">
        <f>"19:22:04.250"</f>
        <v>19:22:04.250</v>
      </c>
      <c r="U2831" t="str">
        <f t="shared" si="133"/>
        <v>a1cdbe</v>
      </c>
      <c r="V2831">
        <v>0</v>
      </c>
      <c r="W2831">
        <v>0</v>
      </c>
      <c r="X2831">
        <v>1</v>
      </c>
      <c r="Y2831">
        <v>0</v>
      </c>
      <c r="Z2831">
        <v>0</v>
      </c>
      <c r="AB2831">
        <v>0</v>
      </c>
      <c r="AC2831">
        <v>9</v>
      </c>
      <c r="AD2831">
        <v>3</v>
      </c>
      <c r="AE2831">
        <v>0</v>
      </c>
      <c r="AF2831">
        <v>9</v>
      </c>
      <c r="AG2831" t="s">
        <v>158</v>
      </c>
      <c r="AH2831">
        <v>0</v>
      </c>
      <c r="AI2831">
        <v>3</v>
      </c>
      <c r="AJ2831">
        <v>1</v>
      </c>
      <c r="AK2831">
        <v>0</v>
      </c>
      <c r="AL2831" t="s">
        <v>5335</v>
      </c>
      <c r="AM2831">
        <v>46.977581999999998</v>
      </c>
      <c r="AN2831" t="s">
        <v>5336</v>
      </c>
      <c r="AO2831">
        <v>-123.42948699999999</v>
      </c>
      <c r="AP2831">
        <v>100</v>
      </c>
      <c r="AQ2831">
        <v>2000</v>
      </c>
      <c r="AR2831" t="s">
        <v>118</v>
      </c>
      <c r="AS2831">
        <v>-79</v>
      </c>
      <c r="AT2831">
        <v>6</v>
      </c>
      <c r="AU2831">
        <v>64</v>
      </c>
      <c r="BC2831">
        <v>1200</v>
      </c>
      <c r="BD2831">
        <v>1</v>
      </c>
      <c r="BE2831" t="str">
        <f t="shared" si="134"/>
        <v xml:space="preserve">N215T   </v>
      </c>
      <c r="BF2831">
        <v>1</v>
      </c>
      <c r="BH2831">
        <v>0</v>
      </c>
      <c r="BI2831">
        <v>0</v>
      </c>
      <c r="BJ2831">
        <v>0</v>
      </c>
      <c r="BK2831">
        <v>2400</v>
      </c>
      <c r="BL2831">
        <v>400</v>
      </c>
      <c r="BM2831" t="s">
        <v>119</v>
      </c>
      <c r="BN2831">
        <v>1</v>
      </c>
      <c r="BO2831">
        <v>1</v>
      </c>
      <c r="BP2831">
        <v>1</v>
      </c>
      <c r="BQ2831">
        <v>0</v>
      </c>
      <c r="BT2831">
        <v>0</v>
      </c>
      <c r="BU2831">
        <v>0</v>
      </c>
      <c r="BV2831">
        <v>0</v>
      </c>
      <c r="CC2831" t="str">
        <f>"19:22:04.656"</f>
        <v>19:22:04.656</v>
      </c>
      <c r="CD2831" t="str">
        <f>"653757184"</f>
        <v>653757184</v>
      </c>
      <c r="CQ2831">
        <v>0</v>
      </c>
      <c r="CR2831">
        <v>2</v>
      </c>
      <c r="CS2831">
        <v>0</v>
      </c>
      <c r="CT2831">
        <v>2</v>
      </c>
      <c r="CU2831">
        <v>0</v>
      </c>
      <c r="CV2831">
        <v>7</v>
      </c>
      <c r="CW2831" t="s">
        <v>120</v>
      </c>
      <c r="CX2831">
        <v>257</v>
      </c>
      <c r="CY2831">
        <v>0</v>
      </c>
      <c r="CZ2831" t="s">
        <v>615</v>
      </c>
      <c r="DA2831" t="s">
        <v>616</v>
      </c>
      <c r="DD2831">
        <v>16122709</v>
      </c>
      <c r="DE2831" t="s">
        <v>123</v>
      </c>
    </row>
    <row r="2832" spans="1:109" x14ac:dyDescent="0.3">
      <c r="A2832" t="str">
        <f>"19:22:05.891"</f>
        <v>19:22:05.891</v>
      </c>
      <c r="B2832" t="s">
        <v>110</v>
      </c>
      <c r="C2832" t="str">
        <f t="shared" si="132"/>
        <v>ffdfd3c0</v>
      </c>
      <c r="D2832" t="s">
        <v>111</v>
      </c>
      <c r="E2832">
        <v>18</v>
      </c>
      <c r="F2832">
        <v>1018</v>
      </c>
      <c r="G2832" t="s">
        <v>112</v>
      </c>
      <c r="J2832" t="s">
        <v>113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R2832" t="s">
        <v>114</v>
      </c>
      <c r="S2832" t="str">
        <f>"19:22:05.656"</f>
        <v>19:22:05.656</v>
      </c>
      <c r="T2832" t="str">
        <f>"19:22:05.258"</f>
        <v>19:22:05.258</v>
      </c>
      <c r="U2832" t="str">
        <f t="shared" si="133"/>
        <v>a1cdbe</v>
      </c>
      <c r="V2832">
        <v>0</v>
      </c>
      <c r="W2832">
        <v>0</v>
      </c>
      <c r="X2832">
        <v>1</v>
      </c>
      <c r="Y2832">
        <v>0</v>
      </c>
      <c r="Z2832">
        <v>0</v>
      </c>
      <c r="AB2832">
        <v>0</v>
      </c>
      <c r="AC2832">
        <v>9</v>
      </c>
      <c r="AD2832">
        <v>3</v>
      </c>
      <c r="AE2832">
        <v>0</v>
      </c>
      <c r="AF2832">
        <v>9</v>
      </c>
      <c r="AG2832" t="s">
        <v>158</v>
      </c>
      <c r="AH2832">
        <v>0</v>
      </c>
      <c r="AI2832">
        <v>3</v>
      </c>
      <c r="AJ2832">
        <v>1</v>
      </c>
      <c r="AK2832">
        <v>0</v>
      </c>
      <c r="AL2832" t="s">
        <v>945</v>
      </c>
      <c r="AM2832">
        <v>46.977625000000003</v>
      </c>
      <c r="AN2832" t="s">
        <v>5337</v>
      </c>
      <c r="AO2832">
        <v>-123.43002300000001</v>
      </c>
      <c r="AP2832">
        <v>100</v>
      </c>
      <c r="AQ2832">
        <v>2000</v>
      </c>
      <c r="AR2832" t="s">
        <v>118</v>
      </c>
      <c r="AS2832">
        <v>-79</v>
      </c>
      <c r="AT2832">
        <v>6</v>
      </c>
      <c r="AU2832">
        <v>0</v>
      </c>
      <c r="BC2832">
        <v>1200</v>
      </c>
      <c r="BD2832">
        <v>1</v>
      </c>
      <c r="BE2832" t="str">
        <f t="shared" si="134"/>
        <v xml:space="preserve">N215T   </v>
      </c>
      <c r="BF2832">
        <v>1</v>
      </c>
      <c r="BH2832">
        <v>0</v>
      </c>
      <c r="BI2832">
        <v>0</v>
      </c>
      <c r="BJ2832">
        <v>0</v>
      </c>
      <c r="BK2832">
        <v>2400</v>
      </c>
      <c r="BL2832">
        <v>400</v>
      </c>
      <c r="BM2832" t="s">
        <v>119</v>
      </c>
      <c r="BN2832">
        <v>1</v>
      </c>
      <c r="BO2832">
        <v>1</v>
      </c>
      <c r="BP2832">
        <v>1</v>
      </c>
      <c r="BQ2832">
        <v>0</v>
      </c>
      <c r="BT2832">
        <v>0</v>
      </c>
      <c r="BU2832">
        <v>0</v>
      </c>
      <c r="BV2832">
        <v>0</v>
      </c>
      <c r="CC2832" t="str">
        <f>"19:22:05.656"</f>
        <v>19:22:05.656</v>
      </c>
      <c r="CD2832" t="str">
        <f>"658658128"</f>
        <v>658658128</v>
      </c>
      <c r="CQ2832">
        <v>0</v>
      </c>
      <c r="CR2832">
        <v>2</v>
      </c>
      <c r="CS2832">
        <v>0</v>
      </c>
      <c r="CT2832">
        <v>2</v>
      </c>
      <c r="CU2832">
        <v>0</v>
      </c>
      <c r="CV2832">
        <v>7</v>
      </c>
      <c r="CW2832" t="s">
        <v>120</v>
      </c>
      <c r="CX2832">
        <v>257</v>
      </c>
      <c r="CY2832">
        <v>0</v>
      </c>
      <c r="CZ2832" t="s">
        <v>615</v>
      </c>
      <c r="DA2832" t="s">
        <v>616</v>
      </c>
      <c r="DD2832">
        <v>16123239</v>
      </c>
      <c r="DE2832" t="s">
        <v>123</v>
      </c>
    </row>
    <row r="2833" spans="1:109" x14ac:dyDescent="0.3">
      <c r="A2833" t="str">
        <f>"19:22:06.992"</f>
        <v>19:22:06.992</v>
      </c>
      <c r="B2833" t="s">
        <v>110</v>
      </c>
      <c r="C2833" t="str">
        <f t="shared" si="132"/>
        <v>ffdfd3c0</v>
      </c>
      <c r="D2833" t="s">
        <v>111</v>
      </c>
      <c r="E2833">
        <v>18</v>
      </c>
      <c r="F2833">
        <v>1018</v>
      </c>
      <c r="G2833" t="s">
        <v>112</v>
      </c>
      <c r="J2833" t="s">
        <v>113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R2833" t="s">
        <v>114</v>
      </c>
      <c r="S2833" t="str">
        <f>"19:22:06.750"</f>
        <v>19:22:06.750</v>
      </c>
      <c r="T2833" t="str">
        <f>"19:22:06.250"</f>
        <v>19:22:06.250</v>
      </c>
      <c r="U2833" t="str">
        <f t="shared" si="133"/>
        <v>a1cdbe</v>
      </c>
      <c r="V2833">
        <v>0</v>
      </c>
      <c r="W2833">
        <v>0</v>
      </c>
      <c r="X2833">
        <v>1</v>
      </c>
      <c r="Y2833">
        <v>0</v>
      </c>
      <c r="Z2833">
        <v>0</v>
      </c>
      <c r="AB2833">
        <v>0</v>
      </c>
      <c r="AC2833">
        <v>9</v>
      </c>
      <c r="AD2833">
        <v>3</v>
      </c>
      <c r="AE2833">
        <v>0</v>
      </c>
      <c r="AF2833">
        <v>9</v>
      </c>
      <c r="AG2833" t="s">
        <v>158</v>
      </c>
      <c r="AH2833">
        <v>0</v>
      </c>
      <c r="AI2833">
        <v>3</v>
      </c>
      <c r="AJ2833">
        <v>1</v>
      </c>
      <c r="AK2833">
        <v>0</v>
      </c>
      <c r="AL2833" t="s">
        <v>945</v>
      </c>
      <c r="AM2833">
        <v>46.977625000000003</v>
      </c>
      <c r="AN2833" t="s">
        <v>5338</v>
      </c>
      <c r="AO2833">
        <v>-123.430645</v>
      </c>
      <c r="AP2833">
        <v>100</v>
      </c>
      <c r="AQ2833">
        <v>2000</v>
      </c>
      <c r="AR2833" t="s">
        <v>118</v>
      </c>
      <c r="AS2833">
        <v>-79</v>
      </c>
      <c r="AT2833">
        <v>6</v>
      </c>
      <c r="AU2833">
        <v>64</v>
      </c>
      <c r="BC2833">
        <v>1200</v>
      </c>
      <c r="BD2833">
        <v>1</v>
      </c>
      <c r="BE2833" t="str">
        <f t="shared" si="134"/>
        <v xml:space="preserve">N215T   </v>
      </c>
      <c r="BF2833">
        <v>1</v>
      </c>
      <c r="BH2833">
        <v>0</v>
      </c>
      <c r="BI2833">
        <v>0</v>
      </c>
      <c r="BJ2833">
        <v>0</v>
      </c>
      <c r="BK2833">
        <v>2400</v>
      </c>
      <c r="BL2833">
        <v>400</v>
      </c>
      <c r="BM2833" t="s">
        <v>119</v>
      </c>
      <c r="BN2833">
        <v>1</v>
      </c>
      <c r="BO2833">
        <v>1</v>
      </c>
      <c r="BP2833">
        <v>1</v>
      </c>
      <c r="BQ2833">
        <v>0</v>
      </c>
      <c r="BT2833">
        <v>0</v>
      </c>
      <c r="BU2833">
        <v>0</v>
      </c>
      <c r="BV2833">
        <v>0</v>
      </c>
      <c r="CC2833" t="str">
        <f>"19:22:06.750"</f>
        <v>19:22:06.750</v>
      </c>
      <c r="CD2833" t="str">
        <f>"753550199"</f>
        <v>753550199</v>
      </c>
      <c r="CQ2833">
        <v>0</v>
      </c>
      <c r="CR2833">
        <v>2</v>
      </c>
      <c r="CS2833">
        <v>0</v>
      </c>
      <c r="CT2833">
        <v>2</v>
      </c>
      <c r="CU2833">
        <v>0</v>
      </c>
      <c r="CV2833">
        <v>7</v>
      </c>
      <c r="CW2833" t="s">
        <v>120</v>
      </c>
      <c r="CX2833">
        <v>257</v>
      </c>
      <c r="CY2833">
        <v>0</v>
      </c>
      <c r="CZ2833" t="s">
        <v>615</v>
      </c>
      <c r="DA2833" t="s">
        <v>616</v>
      </c>
      <c r="DD2833">
        <v>16123815</v>
      </c>
      <c r="DE2833" t="s">
        <v>123</v>
      </c>
    </row>
    <row r="2834" spans="1:109" x14ac:dyDescent="0.3">
      <c r="A2834" t="str">
        <f>"19:22:08.055"</f>
        <v>19:22:08.055</v>
      </c>
      <c r="B2834" t="s">
        <v>110</v>
      </c>
      <c r="C2834" t="str">
        <f t="shared" si="132"/>
        <v>ffdfd3c0</v>
      </c>
      <c r="D2834" t="s">
        <v>111</v>
      </c>
      <c r="E2834">
        <v>18</v>
      </c>
      <c r="F2834">
        <v>1018</v>
      </c>
      <c r="G2834" t="s">
        <v>112</v>
      </c>
      <c r="J2834" t="s">
        <v>113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R2834" t="s">
        <v>114</v>
      </c>
      <c r="S2834" t="str">
        <f>"19:22:07.797"</f>
        <v>19:22:07.797</v>
      </c>
      <c r="T2834" t="str">
        <f>"19:22:07.297"</f>
        <v>19:22:07.297</v>
      </c>
      <c r="U2834" t="str">
        <f t="shared" si="133"/>
        <v>a1cdbe</v>
      </c>
      <c r="V2834">
        <v>0</v>
      </c>
      <c r="W2834">
        <v>0</v>
      </c>
      <c r="X2834">
        <v>1</v>
      </c>
      <c r="Y2834">
        <v>0</v>
      </c>
      <c r="Z2834">
        <v>0</v>
      </c>
      <c r="AB2834">
        <v>0</v>
      </c>
      <c r="AC2834">
        <v>9</v>
      </c>
      <c r="AD2834">
        <v>3</v>
      </c>
      <c r="AE2834">
        <v>0</v>
      </c>
      <c r="AF2834">
        <v>9</v>
      </c>
      <c r="AG2834" t="s">
        <v>158</v>
      </c>
      <c r="AH2834">
        <v>0</v>
      </c>
      <c r="AI2834">
        <v>3</v>
      </c>
      <c r="AJ2834">
        <v>1</v>
      </c>
      <c r="AK2834">
        <v>0</v>
      </c>
      <c r="AL2834" t="s">
        <v>5339</v>
      </c>
      <c r="AM2834">
        <v>46.977688999999998</v>
      </c>
      <c r="AN2834" t="s">
        <v>5340</v>
      </c>
      <c r="AO2834">
        <v>-123.43118200000001</v>
      </c>
      <c r="AP2834">
        <v>100</v>
      </c>
      <c r="AQ2834">
        <v>2000</v>
      </c>
      <c r="AR2834" t="s">
        <v>118</v>
      </c>
      <c r="AS2834">
        <v>-79</v>
      </c>
      <c r="AT2834">
        <v>5</v>
      </c>
      <c r="AU2834">
        <v>64</v>
      </c>
      <c r="BC2834">
        <v>1200</v>
      </c>
      <c r="BD2834">
        <v>1</v>
      </c>
      <c r="BE2834" t="str">
        <f t="shared" si="134"/>
        <v xml:space="preserve">N215T   </v>
      </c>
      <c r="BF2834">
        <v>1</v>
      </c>
      <c r="BH2834">
        <v>0</v>
      </c>
      <c r="BI2834">
        <v>0</v>
      </c>
      <c r="BJ2834">
        <v>0</v>
      </c>
      <c r="BK2834">
        <v>2400</v>
      </c>
      <c r="BL2834">
        <v>400</v>
      </c>
      <c r="BM2834" t="s">
        <v>119</v>
      </c>
      <c r="BN2834">
        <v>1</v>
      </c>
      <c r="BO2834">
        <v>1</v>
      </c>
      <c r="BP2834">
        <v>1</v>
      </c>
      <c r="BQ2834">
        <v>0</v>
      </c>
      <c r="BT2834">
        <v>0</v>
      </c>
      <c r="BU2834">
        <v>0</v>
      </c>
      <c r="BV2834">
        <v>0</v>
      </c>
      <c r="CC2834" t="str">
        <f>"19:22:07.805"</f>
        <v>19:22:07.805</v>
      </c>
      <c r="CD2834" t="str">
        <f>"803451466"</f>
        <v>803451466</v>
      </c>
      <c r="CQ2834">
        <v>0</v>
      </c>
      <c r="CR2834">
        <v>2</v>
      </c>
      <c r="CS2834">
        <v>0</v>
      </c>
      <c r="CT2834">
        <v>2</v>
      </c>
      <c r="CU2834">
        <v>0</v>
      </c>
      <c r="CV2834">
        <v>7</v>
      </c>
      <c r="CW2834" t="s">
        <v>120</v>
      </c>
      <c r="CX2834">
        <v>257</v>
      </c>
      <c r="CY2834">
        <v>0</v>
      </c>
      <c r="CZ2834" t="s">
        <v>615</v>
      </c>
      <c r="DA2834" t="s">
        <v>616</v>
      </c>
      <c r="DD2834">
        <v>16124324</v>
      </c>
      <c r="DE2834" t="s">
        <v>123</v>
      </c>
    </row>
    <row r="2835" spans="1:109" x14ac:dyDescent="0.3">
      <c r="A2835" t="str">
        <f>"19:22:09.008"</f>
        <v>19:22:09.008</v>
      </c>
      <c r="B2835" t="s">
        <v>110</v>
      </c>
      <c r="C2835" t="str">
        <f t="shared" si="132"/>
        <v>ffdfd3c0</v>
      </c>
      <c r="D2835" t="s">
        <v>111</v>
      </c>
      <c r="E2835">
        <v>18</v>
      </c>
      <c r="F2835">
        <v>1018</v>
      </c>
      <c r="G2835" t="s">
        <v>112</v>
      </c>
      <c r="J2835" t="s">
        <v>113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R2835" t="s">
        <v>114</v>
      </c>
      <c r="S2835" t="str">
        <f>"19:22:08.773"</f>
        <v>19:22:08.773</v>
      </c>
      <c r="T2835" t="str">
        <f>"19:22:08.375"</f>
        <v>19:22:08.375</v>
      </c>
      <c r="U2835" t="str">
        <f t="shared" si="133"/>
        <v>a1cdbe</v>
      </c>
      <c r="V2835">
        <v>0</v>
      </c>
      <c r="W2835">
        <v>0</v>
      </c>
      <c r="X2835">
        <v>1</v>
      </c>
      <c r="Y2835">
        <v>0</v>
      </c>
      <c r="Z2835">
        <v>0</v>
      </c>
      <c r="AB2835">
        <v>0</v>
      </c>
      <c r="AC2835">
        <v>9</v>
      </c>
      <c r="AD2835">
        <v>3</v>
      </c>
      <c r="AE2835">
        <v>0</v>
      </c>
      <c r="AF2835">
        <v>9</v>
      </c>
      <c r="AG2835" t="s">
        <v>158</v>
      </c>
      <c r="AH2835">
        <v>0</v>
      </c>
      <c r="AI2835">
        <v>3</v>
      </c>
      <c r="AJ2835">
        <v>1</v>
      </c>
      <c r="AK2835">
        <v>0</v>
      </c>
      <c r="AL2835" t="s">
        <v>5341</v>
      </c>
      <c r="AM2835">
        <v>46.977668000000001</v>
      </c>
      <c r="AN2835" t="s">
        <v>5342</v>
      </c>
      <c r="AO2835">
        <v>-123.431675</v>
      </c>
      <c r="AP2835">
        <v>100</v>
      </c>
      <c r="AQ2835">
        <v>2000</v>
      </c>
      <c r="AR2835" t="s">
        <v>118</v>
      </c>
      <c r="AS2835">
        <v>-79</v>
      </c>
      <c r="AT2835">
        <v>5</v>
      </c>
      <c r="AU2835">
        <v>64</v>
      </c>
      <c r="BC2835">
        <v>1200</v>
      </c>
      <c r="BD2835">
        <v>1</v>
      </c>
      <c r="BE2835" t="str">
        <f t="shared" si="134"/>
        <v xml:space="preserve">N215T   </v>
      </c>
      <c r="BF2835">
        <v>1</v>
      </c>
      <c r="BH2835">
        <v>0</v>
      </c>
      <c r="BI2835">
        <v>0</v>
      </c>
      <c r="BJ2835">
        <v>0</v>
      </c>
      <c r="BK2835">
        <v>2400</v>
      </c>
      <c r="BL2835">
        <v>400</v>
      </c>
      <c r="BM2835" t="s">
        <v>119</v>
      </c>
      <c r="BN2835">
        <v>1</v>
      </c>
      <c r="BO2835">
        <v>1</v>
      </c>
      <c r="BP2835">
        <v>1</v>
      </c>
      <c r="BQ2835">
        <v>0</v>
      </c>
      <c r="BT2835">
        <v>0</v>
      </c>
      <c r="BU2835">
        <v>0</v>
      </c>
      <c r="BV2835">
        <v>0</v>
      </c>
      <c r="CC2835" t="str">
        <f>"19:22:08.781"</f>
        <v>19:22:08.781</v>
      </c>
      <c r="CD2835" t="str">
        <f>"778355364"</f>
        <v>778355364</v>
      </c>
      <c r="CQ2835">
        <v>0</v>
      </c>
      <c r="CR2835">
        <v>2</v>
      </c>
      <c r="CS2835">
        <v>0</v>
      </c>
      <c r="CT2835">
        <v>2</v>
      </c>
      <c r="CU2835">
        <v>0</v>
      </c>
      <c r="CV2835">
        <v>7</v>
      </c>
      <c r="CW2835" t="s">
        <v>120</v>
      </c>
      <c r="CX2835">
        <v>257</v>
      </c>
      <c r="CY2835">
        <v>0</v>
      </c>
      <c r="CZ2835" t="s">
        <v>615</v>
      </c>
      <c r="DA2835" t="s">
        <v>616</v>
      </c>
      <c r="DD2835">
        <v>16124840</v>
      </c>
      <c r="DE2835" t="s">
        <v>123</v>
      </c>
    </row>
    <row r="2836" spans="1:109" x14ac:dyDescent="0.3">
      <c r="A2836" t="str">
        <f>"19:22:09.961"</f>
        <v>19:22:09.961</v>
      </c>
      <c r="B2836" t="s">
        <v>110</v>
      </c>
      <c r="C2836" t="str">
        <f t="shared" si="132"/>
        <v>ffdfd3c0</v>
      </c>
      <c r="D2836" t="s">
        <v>111</v>
      </c>
      <c r="E2836">
        <v>18</v>
      </c>
      <c r="F2836">
        <v>1018</v>
      </c>
      <c r="G2836" t="s">
        <v>112</v>
      </c>
      <c r="J2836" t="s">
        <v>113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R2836" t="s">
        <v>114</v>
      </c>
      <c r="S2836" t="str">
        <f>"19:22:09.750"</f>
        <v>19:22:09.750</v>
      </c>
      <c r="T2836" t="str">
        <f>"19:22:09.750"</f>
        <v>19:22:09.750</v>
      </c>
      <c r="U2836" t="str">
        <f t="shared" si="133"/>
        <v>a1cdbe</v>
      </c>
      <c r="V2836">
        <v>0</v>
      </c>
      <c r="W2836">
        <v>0</v>
      </c>
      <c r="X2836">
        <v>1</v>
      </c>
      <c r="Y2836">
        <v>0</v>
      </c>
      <c r="Z2836">
        <v>0</v>
      </c>
      <c r="AB2836">
        <v>0</v>
      </c>
      <c r="AC2836">
        <v>9</v>
      </c>
      <c r="AD2836">
        <v>3</v>
      </c>
      <c r="AE2836">
        <v>0</v>
      </c>
      <c r="AF2836">
        <v>9</v>
      </c>
      <c r="AG2836" t="s">
        <v>158</v>
      </c>
      <c r="AH2836">
        <v>0</v>
      </c>
      <c r="AI2836">
        <v>3</v>
      </c>
      <c r="AJ2836">
        <v>1</v>
      </c>
      <c r="AK2836">
        <v>0</v>
      </c>
      <c r="AL2836" t="s">
        <v>5343</v>
      </c>
      <c r="AM2836">
        <v>46.977732000000003</v>
      </c>
      <c r="AN2836" t="s">
        <v>5344</v>
      </c>
      <c r="AO2836">
        <v>-123.432233</v>
      </c>
      <c r="AP2836">
        <v>100</v>
      </c>
      <c r="AQ2836">
        <v>2000</v>
      </c>
      <c r="AR2836" t="s">
        <v>118</v>
      </c>
      <c r="AS2836">
        <v>-79</v>
      </c>
      <c r="AT2836">
        <v>5</v>
      </c>
      <c r="AU2836">
        <v>64</v>
      </c>
      <c r="BC2836">
        <v>1200</v>
      </c>
      <c r="BD2836">
        <v>1</v>
      </c>
      <c r="BE2836" t="str">
        <f t="shared" si="134"/>
        <v xml:space="preserve">N215T   </v>
      </c>
      <c r="BF2836">
        <v>1</v>
      </c>
      <c r="BH2836">
        <v>0</v>
      </c>
      <c r="BI2836">
        <v>0</v>
      </c>
      <c r="BJ2836">
        <v>0</v>
      </c>
      <c r="BK2836">
        <v>2400</v>
      </c>
      <c r="BL2836">
        <v>400</v>
      </c>
      <c r="BM2836" t="s">
        <v>119</v>
      </c>
      <c r="BN2836">
        <v>1</v>
      </c>
      <c r="BO2836">
        <v>1</v>
      </c>
      <c r="BP2836">
        <v>1</v>
      </c>
      <c r="BQ2836">
        <v>0</v>
      </c>
      <c r="BT2836">
        <v>0</v>
      </c>
      <c r="BU2836">
        <v>0</v>
      </c>
      <c r="BV2836">
        <v>0</v>
      </c>
      <c r="CC2836" t="str">
        <f>"19:22:09.750"</f>
        <v>19:22:09.750</v>
      </c>
      <c r="CD2836" t="str">
        <f>"753259263"</f>
        <v>753259263</v>
      </c>
      <c r="CQ2836">
        <v>0</v>
      </c>
      <c r="CR2836">
        <v>2</v>
      </c>
      <c r="CS2836">
        <v>0</v>
      </c>
      <c r="CT2836">
        <v>2</v>
      </c>
      <c r="CU2836">
        <v>0</v>
      </c>
      <c r="CV2836">
        <v>7</v>
      </c>
      <c r="CW2836" t="s">
        <v>120</v>
      </c>
      <c r="CX2836">
        <v>257</v>
      </c>
      <c r="CY2836">
        <v>0</v>
      </c>
      <c r="CZ2836" t="s">
        <v>615</v>
      </c>
      <c r="DA2836" t="s">
        <v>616</v>
      </c>
      <c r="DD2836">
        <v>16125381</v>
      </c>
      <c r="DE2836" t="s">
        <v>123</v>
      </c>
    </row>
    <row r="2837" spans="1:109" x14ac:dyDescent="0.3">
      <c r="A2837" t="str">
        <f>"19:22:10.914"</f>
        <v>19:22:10.914</v>
      </c>
      <c r="B2837" t="s">
        <v>110</v>
      </c>
      <c r="C2837" t="str">
        <f t="shared" si="132"/>
        <v>ffdfd3c0</v>
      </c>
      <c r="D2837" t="s">
        <v>111</v>
      </c>
      <c r="E2837">
        <v>18</v>
      </c>
      <c r="F2837">
        <v>1018</v>
      </c>
      <c r="G2837" t="s">
        <v>112</v>
      </c>
      <c r="J2837" t="s">
        <v>113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R2837" t="s">
        <v>114</v>
      </c>
      <c r="S2837" t="str">
        <f>"19:22:10.680"</f>
        <v>19:22:10.680</v>
      </c>
      <c r="T2837" t="str">
        <f>"19:22:10.680"</f>
        <v>19:22:10.680</v>
      </c>
      <c r="U2837" t="str">
        <f t="shared" si="133"/>
        <v>a1cdbe</v>
      </c>
      <c r="V2837">
        <v>0</v>
      </c>
      <c r="W2837">
        <v>0</v>
      </c>
      <c r="X2837">
        <v>1</v>
      </c>
      <c r="Y2837">
        <v>0</v>
      </c>
      <c r="Z2837">
        <v>0</v>
      </c>
      <c r="AB2837">
        <v>0</v>
      </c>
      <c r="AC2837">
        <v>9</v>
      </c>
      <c r="AD2837">
        <v>3</v>
      </c>
      <c r="AE2837">
        <v>0</v>
      </c>
      <c r="AF2837">
        <v>9</v>
      </c>
      <c r="AG2837" t="s">
        <v>158</v>
      </c>
      <c r="AH2837">
        <v>0</v>
      </c>
      <c r="AI2837">
        <v>3</v>
      </c>
      <c r="AJ2837">
        <v>1</v>
      </c>
      <c r="AK2837">
        <v>0</v>
      </c>
      <c r="AL2837" t="s">
        <v>5343</v>
      </c>
      <c r="AM2837">
        <v>46.977732000000003</v>
      </c>
      <c r="AN2837" t="s">
        <v>5345</v>
      </c>
      <c r="AO2837">
        <v>-123.432727</v>
      </c>
      <c r="AP2837">
        <v>100</v>
      </c>
      <c r="AQ2837">
        <v>2000</v>
      </c>
      <c r="AR2837" t="s">
        <v>118</v>
      </c>
      <c r="AS2837">
        <v>-79</v>
      </c>
      <c r="AT2837">
        <v>5</v>
      </c>
      <c r="AU2837">
        <v>64</v>
      </c>
      <c r="BC2837">
        <v>1200</v>
      </c>
      <c r="BD2837">
        <v>1</v>
      </c>
      <c r="BE2837" t="str">
        <f t="shared" si="134"/>
        <v xml:space="preserve">N215T   </v>
      </c>
      <c r="BF2837">
        <v>1</v>
      </c>
      <c r="BH2837">
        <v>0</v>
      </c>
      <c r="BI2837">
        <v>0</v>
      </c>
      <c r="BJ2837">
        <v>0</v>
      </c>
      <c r="BK2837">
        <v>2400</v>
      </c>
      <c r="BL2837">
        <v>400</v>
      </c>
      <c r="BM2837" t="s">
        <v>119</v>
      </c>
      <c r="BN2837">
        <v>1</v>
      </c>
      <c r="BO2837">
        <v>1</v>
      </c>
      <c r="BP2837">
        <v>1</v>
      </c>
      <c r="BQ2837">
        <v>0</v>
      </c>
      <c r="BT2837">
        <v>0</v>
      </c>
      <c r="BU2837">
        <v>0</v>
      </c>
      <c r="BV2837">
        <v>0</v>
      </c>
      <c r="CC2837" t="str">
        <f>"19:22:10.680"</f>
        <v>19:22:10.680</v>
      </c>
      <c r="CD2837" t="str">
        <f>"683167594"</f>
        <v>683167594</v>
      </c>
      <c r="CQ2837">
        <v>0</v>
      </c>
      <c r="CR2837">
        <v>2</v>
      </c>
      <c r="CS2837">
        <v>0</v>
      </c>
      <c r="CT2837">
        <v>2</v>
      </c>
      <c r="CU2837">
        <v>0</v>
      </c>
      <c r="CV2837">
        <v>7</v>
      </c>
      <c r="CW2837" t="s">
        <v>120</v>
      </c>
      <c r="CX2837">
        <v>257</v>
      </c>
      <c r="CY2837">
        <v>0</v>
      </c>
      <c r="CZ2837" t="s">
        <v>615</v>
      </c>
      <c r="DA2837" t="s">
        <v>616</v>
      </c>
      <c r="DD2837">
        <v>16125908</v>
      </c>
      <c r="DE2837" t="s">
        <v>123</v>
      </c>
    </row>
    <row r="2838" spans="1:109" x14ac:dyDescent="0.3">
      <c r="A2838" t="str">
        <f>"19:22:11.969"</f>
        <v>19:22:11.969</v>
      </c>
      <c r="B2838" t="s">
        <v>110</v>
      </c>
      <c r="C2838" t="str">
        <f t="shared" si="132"/>
        <v>ffdfd3c0</v>
      </c>
      <c r="D2838" t="s">
        <v>111</v>
      </c>
      <c r="E2838">
        <v>18</v>
      </c>
      <c r="F2838">
        <v>1018</v>
      </c>
      <c r="G2838" t="s">
        <v>112</v>
      </c>
      <c r="J2838" t="s">
        <v>113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R2838" t="s">
        <v>114</v>
      </c>
      <c r="S2838" t="str">
        <f>"19:22:11.727"</f>
        <v>19:22:11.727</v>
      </c>
      <c r="T2838" t="str">
        <f>"19:22:11.727"</f>
        <v>19:22:11.727</v>
      </c>
      <c r="U2838" t="str">
        <f t="shared" si="133"/>
        <v>a1cdbe</v>
      </c>
      <c r="V2838">
        <v>0</v>
      </c>
      <c r="W2838">
        <v>0</v>
      </c>
      <c r="X2838">
        <v>1</v>
      </c>
      <c r="Y2838">
        <v>0</v>
      </c>
      <c r="Z2838">
        <v>0</v>
      </c>
      <c r="AB2838">
        <v>0</v>
      </c>
      <c r="AC2838">
        <v>9</v>
      </c>
      <c r="AD2838">
        <v>3</v>
      </c>
      <c r="AE2838">
        <v>0</v>
      </c>
      <c r="AF2838">
        <v>9</v>
      </c>
      <c r="AG2838" t="s">
        <v>158</v>
      </c>
      <c r="AH2838">
        <v>0</v>
      </c>
      <c r="AI2838">
        <v>3</v>
      </c>
      <c r="AJ2838">
        <v>1</v>
      </c>
      <c r="AK2838">
        <v>0</v>
      </c>
      <c r="AL2838" t="s">
        <v>5346</v>
      </c>
      <c r="AM2838">
        <v>46.977775000000001</v>
      </c>
      <c r="AN2838" t="s">
        <v>5347</v>
      </c>
      <c r="AO2838">
        <v>-123.433328</v>
      </c>
      <c r="AP2838">
        <v>100</v>
      </c>
      <c r="AQ2838">
        <v>2000</v>
      </c>
      <c r="AR2838" t="s">
        <v>118</v>
      </c>
      <c r="AS2838">
        <v>-79</v>
      </c>
      <c r="AT2838">
        <v>6</v>
      </c>
      <c r="AU2838">
        <v>64</v>
      </c>
      <c r="BC2838">
        <v>1200</v>
      </c>
      <c r="BD2838">
        <v>1</v>
      </c>
      <c r="BE2838" t="str">
        <f t="shared" si="134"/>
        <v xml:space="preserve">N215T   </v>
      </c>
      <c r="BF2838">
        <v>1</v>
      </c>
      <c r="BH2838">
        <v>0</v>
      </c>
      <c r="BI2838">
        <v>0</v>
      </c>
      <c r="BJ2838">
        <v>0</v>
      </c>
      <c r="BK2838">
        <v>2425</v>
      </c>
      <c r="BL2838">
        <v>425</v>
      </c>
      <c r="BM2838" t="s">
        <v>119</v>
      </c>
      <c r="BN2838">
        <v>1</v>
      </c>
      <c r="BO2838">
        <v>1</v>
      </c>
      <c r="BP2838">
        <v>1</v>
      </c>
      <c r="BQ2838">
        <v>0</v>
      </c>
      <c r="BT2838">
        <v>0</v>
      </c>
      <c r="BU2838">
        <v>0</v>
      </c>
      <c r="BV2838">
        <v>0</v>
      </c>
      <c r="CC2838" t="str">
        <f>"19:22:11.734"</f>
        <v>19:22:11.734</v>
      </c>
      <c r="CD2838" t="str">
        <f>"733064095"</f>
        <v>733064095</v>
      </c>
      <c r="CQ2838">
        <v>0</v>
      </c>
      <c r="CR2838">
        <v>2</v>
      </c>
      <c r="CS2838">
        <v>0</v>
      </c>
      <c r="CT2838">
        <v>2</v>
      </c>
      <c r="CU2838">
        <v>0</v>
      </c>
      <c r="CV2838">
        <v>7</v>
      </c>
      <c r="CW2838" t="s">
        <v>120</v>
      </c>
      <c r="CX2838">
        <v>257</v>
      </c>
      <c r="CY2838">
        <v>0</v>
      </c>
      <c r="CZ2838" t="s">
        <v>615</v>
      </c>
      <c r="DA2838" t="s">
        <v>616</v>
      </c>
      <c r="DD2838">
        <v>16126498</v>
      </c>
      <c r="DE2838" t="s">
        <v>123</v>
      </c>
    </row>
    <row r="2839" spans="1:109" x14ac:dyDescent="0.3">
      <c r="A2839" t="str">
        <f>"19:22:12.883"</f>
        <v>19:22:12.883</v>
      </c>
      <c r="B2839" t="s">
        <v>110</v>
      </c>
      <c r="C2839" t="str">
        <f t="shared" si="132"/>
        <v>ffdfd3c0</v>
      </c>
      <c r="D2839" t="s">
        <v>111</v>
      </c>
      <c r="E2839">
        <v>18</v>
      </c>
      <c r="F2839">
        <v>1018</v>
      </c>
      <c r="G2839" t="s">
        <v>112</v>
      </c>
      <c r="J2839" t="s">
        <v>113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R2839" t="s">
        <v>114</v>
      </c>
      <c r="S2839" t="str">
        <f>"19:22:12.672"</f>
        <v>19:22:12.672</v>
      </c>
      <c r="T2839" t="str">
        <f>"19:22:12.273"</f>
        <v>19:22:12.273</v>
      </c>
      <c r="U2839" t="str">
        <f t="shared" si="133"/>
        <v>a1cdbe</v>
      </c>
      <c r="V2839">
        <v>0</v>
      </c>
      <c r="W2839">
        <v>0</v>
      </c>
      <c r="X2839">
        <v>1</v>
      </c>
      <c r="Y2839">
        <v>0</v>
      </c>
      <c r="Z2839">
        <v>0</v>
      </c>
      <c r="AB2839">
        <v>0</v>
      </c>
      <c r="AC2839">
        <v>9</v>
      </c>
      <c r="AD2839">
        <v>3</v>
      </c>
      <c r="AE2839">
        <v>0</v>
      </c>
      <c r="AF2839">
        <v>9</v>
      </c>
      <c r="AG2839" t="s">
        <v>158</v>
      </c>
      <c r="AH2839">
        <v>0</v>
      </c>
      <c r="AI2839">
        <v>3</v>
      </c>
      <c r="AJ2839">
        <v>1</v>
      </c>
      <c r="AK2839">
        <v>0</v>
      </c>
      <c r="AL2839" t="s">
        <v>5346</v>
      </c>
      <c r="AM2839">
        <v>46.977775000000001</v>
      </c>
      <c r="AN2839" t="s">
        <v>5348</v>
      </c>
      <c r="AO2839">
        <v>-123.43380000000001</v>
      </c>
      <c r="AP2839">
        <v>100</v>
      </c>
      <c r="AQ2839">
        <v>2000</v>
      </c>
      <c r="AR2839" t="s">
        <v>118</v>
      </c>
      <c r="AS2839">
        <v>-79</v>
      </c>
      <c r="AT2839">
        <v>6</v>
      </c>
      <c r="AU2839">
        <v>64</v>
      </c>
      <c r="BC2839">
        <v>1200</v>
      </c>
      <c r="BD2839">
        <v>1</v>
      </c>
      <c r="BE2839" t="str">
        <f t="shared" si="134"/>
        <v xml:space="preserve">N215T   </v>
      </c>
      <c r="BF2839">
        <v>1</v>
      </c>
      <c r="BH2839">
        <v>0</v>
      </c>
      <c r="BI2839">
        <v>0</v>
      </c>
      <c r="BJ2839">
        <v>0</v>
      </c>
      <c r="BK2839">
        <v>2425</v>
      </c>
      <c r="BL2839">
        <v>425</v>
      </c>
      <c r="BM2839" t="s">
        <v>119</v>
      </c>
      <c r="BN2839">
        <v>1</v>
      </c>
      <c r="BO2839">
        <v>1</v>
      </c>
      <c r="BP2839">
        <v>1</v>
      </c>
      <c r="BQ2839">
        <v>0</v>
      </c>
      <c r="BT2839">
        <v>0</v>
      </c>
      <c r="BU2839">
        <v>0</v>
      </c>
      <c r="BV2839">
        <v>0</v>
      </c>
      <c r="CC2839" t="str">
        <f>"19:22:12.680"</f>
        <v>19:22:12.680</v>
      </c>
      <c r="CD2839" t="str">
        <f>"677970953"</f>
        <v>677970953</v>
      </c>
      <c r="CQ2839">
        <v>0</v>
      </c>
      <c r="CR2839">
        <v>2</v>
      </c>
      <c r="CS2839">
        <v>0</v>
      </c>
      <c r="CT2839">
        <v>2</v>
      </c>
      <c r="CU2839">
        <v>0</v>
      </c>
      <c r="CV2839">
        <v>7</v>
      </c>
      <c r="CW2839" t="s">
        <v>120</v>
      </c>
      <c r="CX2839">
        <v>257</v>
      </c>
      <c r="CY2839">
        <v>0</v>
      </c>
      <c r="CZ2839" t="s">
        <v>615</v>
      </c>
      <c r="DA2839" t="s">
        <v>616</v>
      </c>
      <c r="DD2839">
        <v>16127013</v>
      </c>
      <c r="DE2839" t="s">
        <v>123</v>
      </c>
    </row>
    <row r="2840" spans="1:109" x14ac:dyDescent="0.3">
      <c r="A2840" t="str">
        <f>"19:22:13.883"</f>
        <v>19:22:13.883</v>
      </c>
      <c r="B2840" t="s">
        <v>110</v>
      </c>
      <c r="C2840" t="str">
        <f t="shared" si="132"/>
        <v>ffdfd3c0</v>
      </c>
      <c r="D2840" t="s">
        <v>111</v>
      </c>
      <c r="E2840">
        <v>18</v>
      </c>
      <c r="F2840">
        <v>1018</v>
      </c>
      <c r="G2840" t="s">
        <v>112</v>
      </c>
      <c r="J2840" t="s">
        <v>113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R2840" t="s">
        <v>114</v>
      </c>
      <c r="S2840" t="str">
        <f>"19:22:13.664"</f>
        <v>19:22:13.664</v>
      </c>
      <c r="T2840" t="str">
        <f>"19:22:13.266"</f>
        <v>19:22:13.266</v>
      </c>
      <c r="U2840" t="str">
        <f t="shared" si="133"/>
        <v>a1cdbe</v>
      </c>
      <c r="V2840">
        <v>0</v>
      </c>
      <c r="W2840">
        <v>0</v>
      </c>
      <c r="X2840">
        <v>1</v>
      </c>
      <c r="Y2840">
        <v>0</v>
      </c>
      <c r="Z2840">
        <v>0</v>
      </c>
      <c r="AB2840">
        <v>0</v>
      </c>
      <c r="AC2840">
        <v>9</v>
      </c>
      <c r="AD2840">
        <v>3</v>
      </c>
      <c r="AE2840">
        <v>0</v>
      </c>
      <c r="AF2840">
        <v>9</v>
      </c>
      <c r="AG2840" t="s">
        <v>158</v>
      </c>
      <c r="AH2840">
        <v>0</v>
      </c>
      <c r="AI2840">
        <v>3</v>
      </c>
      <c r="AJ2840">
        <v>1</v>
      </c>
      <c r="AK2840">
        <v>0</v>
      </c>
      <c r="AL2840" t="s">
        <v>5349</v>
      </c>
      <c r="AM2840">
        <v>46.977817999999999</v>
      </c>
      <c r="AN2840" t="s">
        <v>5350</v>
      </c>
      <c r="AO2840">
        <v>-123.434358</v>
      </c>
      <c r="AP2840">
        <v>100</v>
      </c>
      <c r="AQ2840">
        <v>2000</v>
      </c>
      <c r="AR2840" t="s">
        <v>118</v>
      </c>
      <c r="AS2840">
        <v>-79</v>
      </c>
      <c r="AT2840">
        <v>6</v>
      </c>
      <c r="AU2840">
        <v>64</v>
      </c>
      <c r="BC2840">
        <v>1200</v>
      </c>
      <c r="BD2840">
        <v>1</v>
      </c>
      <c r="BE2840" t="str">
        <f t="shared" si="134"/>
        <v xml:space="preserve">N215T   </v>
      </c>
      <c r="BF2840">
        <v>1</v>
      </c>
      <c r="BH2840">
        <v>0</v>
      </c>
      <c r="BI2840">
        <v>0</v>
      </c>
      <c r="BJ2840">
        <v>0</v>
      </c>
      <c r="BK2840">
        <v>2425</v>
      </c>
      <c r="BL2840">
        <v>425</v>
      </c>
      <c r="BM2840" t="s">
        <v>119</v>
      </c>
      <c r="BN2840">
        <v>1</v>
      </c>
      <c r="BO2840">
        <v>1</v>
      </c>
      <c r="BP2840">
        <v>1</v>
      </c>
      <c r="BQ2840">
        <v>0</v>
      </c>
      <c r="BT2840">
        <v>0</v>
      </c>
      <c r="BU2840">
        <v>0</v>
      </c>
      <c r="BV2840">
        <v>0</v>
      </c>
      <c r="CC2840" t="str">
        <f>"19:22:13.664"</f>
        <v>19:22:13.664</v>
      </c>
      <c r="CD2840" t="str">
        <f>"667873370"</f>
        <v>667873370</v>
      </c>
      <c r="CQ2840">
        <v>0</v>
      </c>
      <c r="CR2840">
        <v>2</v>
      </c>
      <c r="CS2840">
        <v>0</v>
      </c>
      <c r="CT2840">
        <v>2</v>
      </c>
      <c r="CU2840">
        <v>0</v>
      </c>
      <c r="CV2840">
        <v>7</v>
      </c>
      <c r="CW2840" t="s">
        <v>120</v>
      </c>
      <c r="CX2840">
        <v>257</v>
      </c>
      <c r="CY2840">
        <v>0</v>
      </c>
      <c r="CZ2840" t="s">
        <v>615</v>
      </c>
      <c r="DA2840" t="s">
        <v>616</v>
      </c>
      <c r="DD2840">
        <v>16127543</v>
      </c>
      <c r="DE2840" t="s">
        <v>123</v>
      </c>
    </row>
    <row r="2841" spans="1:109" x14ac:dyDescent="0.3">
      <c r="A2841" t="str">
        <f>"19:22:14.836"</f>
        <v>19:22:14.836</v>
      </c>
      <c r="B2841" t="s">
        <v>110</v>
      </c>
      <c r="C2841" t="str">
        <f t="shared" si="132"/>
        <v>ffdfd3c0</v>
      </c>
      <c r="D2841" t="s">
        <v>111</v>
      </c>
      <c r="E2841">
        <v>18</v>
      </c>
      <c r="F2841">
        <v>1018</v>
      </c>
      <c r="G2841" t="s">
        <v>112</v>
      </c>
      <c r="J2841" t="s">
        <v>113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R2841" t="s">
        <v>114</v>
      </c>
      <c r="S2841" t="str">
        <f>"19:22:14.609"</f>
        <v>19:22:14.609</v>
      </c>
      <c r="T2841" t="str">
        <f>"19:22:14.406"</f>
        <v>19:22:14.406</v>
      </c>
      <c r="U2841" t="str">
        <f t="shared" si="133"/>
        <v>a1cdbe</v>
      </c>
      <c r="V2841">
        <v>0</v>
      </c>
      <c r="W2841">
        <v>0</v>
      </c>
      <c r="X2841">
        <v>1</v>
      </c>
      <c r="Y2841">
        <v>0</v>
      </c>
      <c r="Z2841">
        <v>0</v>
      </c>
      <c r="AB2841">
        <v>0</v>
      </c>
      <c r="AC2841">
        <v>9</v>
      </c>
      <c r="AD2841">
        <v>3</v>
      </c>
      <c r="AE2841">
        <v>0</v>
      </c>
      <c r="AF2841">
        <v>9</v>
      </c>
      <c r="AG2841" t="s">
        <v>158</v>
      </c>
      <c r="AH2841">
        <v>0</v>
      </c>
      <c r="AI2841">
        <v>3</v>
      </c>
      <c r="AJ2841">
        <v>1</v>
      </c>
      <c r="AK2841">
        <v>0</v>
      </c>
      <c r="AL2841" t="s">
        <v>5349</v>
      </c>
      <c r="AM2841">
        <v>46.977817999999999</v>
      </c>
      <c r="AN2841" t="s">
        <v>5351</v>
      </c>
      <c r="AO2841">
        <v>-123.43485099999999</v>
      </c>
      <c r="AP2841">
        <v>100</v>
      </c>
      <c r="AQ2841">
        <v>2000</v>
      </c>
      <c r="AR2841" t="s">
        <v>118</v>
      </c>
      <c r="AS2841">
        <v>-79</v>
      </c>
      <c r="AT2841">
        <v>7</v>
      </c>
      <c r="AU2841">
        <v>64</v>
      </c>
      <c r="BC2841">
        <v>1200</v>
      </c>
      <c r="BD2841">
        <v>1</v>
      </c>
      <c r="BE2841" t="str">
        <f t="shared" si="134"/>
        <v xml:space="preserve">N215T   </v>
      </c>
      <c r="BF2841">
        <v>1</v>
      </c>
      <c r="BH2841">
        <v>0</v>
      </c>
      <c r="BI2841">
        <v>0</v>
      </c>
      <c r="BJ2841">
        <v>0</v>
      </c>
      <c r="BK2841">
        <v>2425</v>
      </c>
      <c r="BL2841">
        <v>425</v>
      </c>
      <c r="BM2841" t="s">
        <v>119</v>
      </c>
      <c r="BN2841">
        <v>1</v>
      </c>
      <c r="BO2841">
        <v>1</v>
      </c>
      <c r="BP2841">
        <v>1</v>
      </c>
      <c r="BQ2841">
        <v>0</v>
      </c>
      <c r="BT2841">
        <v>0</v>
      </c>
      <c r="BU2841">
        <v>0</v>
      </c>
      <c r="BV2841">
        <v>0</v>
      </c>
      <c r="CC2841" t="str">
        <f>"19:22:14.609"</f>
        <v>19:22:14.609</v>
      </c>
      <c r="CD2841" t="str">
        <f>"612780236"</f>
        <v>612780236</v>
      </c>
      <c r="CQ2841">
        <v>0</v>
      </c>
      <c r="CR2841">
        <v>2</v>
      </c>
      <c r="CS2841">
        <v>0</v>
      </c>
      <c r="CT2841">
        <v>2</v>
      </c>
      <c r="CU2841">
        <v>0</v>
      </c>
      <c r="CV2841">
        <v>7</v>
      </c>
      <c r="CW2841" t="s">
        <v>120</v>
      </c>
      <c r="CX2841">
        <v>257</v>
      </c>
      <c r="CY2841">
        <v>0</v>
      </c>
      <c r="CZ2841" t="s">
        <v>615</v>
      </c>
      <c r="DA2841" t="s">
        <v>616</v>
      </c>
      <c r="DD2841">
        <v>16128041</v>
      </c>
      <c r="DE2841" t="s">
        <v>123</v>
      </c>
    </row>
    <row r="2842" spans="1:109" x14ac:dyDescent="0.3">
      <c r="A2842" t="str">
        <f>"19:22:15.844"</f>
        <v>19:22:15.844</v>
      </c>
      <c r="B2842" t="s">
        <v>110</v>
      </c>
      <c r="C2842" t="str">
        <f t="shared" si="132"/>
        <v>ffdfd3c0</v>
      </c>
      <c r="D2842" t="s">
        <v>111</v>
      </c>
      <c r="E2842">
        <v>18</v>
      </c>
      <c r="F2842">
        <v>1018</v>
      </c>
      <c r="G2842" t="s">
        <v>112</v>
      </c>
      <c r="J2842" t="s">
        <v>113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R2842" t="s">
        <v>114</v>
      </c>
      <c r="S2842" t="str">
        <f>"19:22:15.625"</f>
        <v>19:22:15.625</v>
      </c>
      <c r="T2842" t="str">
        <f>"19:22:15.422"</f>
        <v>19:22:15.422</v>
      </c>
      <c r="U2842" t="str">
        <f t="shared" si="133"/>
        <v>a1cdbe</v>
      </c>
      <c r="V2842">
        <v>0</v>
      </c>
      <c r="W2842">
        <v>0</v>
      </c>
      <c r="X2842">
        <v>1</v>
      </c>
      <c r="Y2842">
        <v>0</v>
      </c>
      <c r="Z2842">
        <v>0</v>
      </c>
      <c r="AB2842">
        <v>0</v>
      </c>
      <c r="AC2842">
        <v>9</v>
      </c>
      <c r="AD2842">
        <v>3</v>
      </c>
      <c r="AE2842">
        <v>0</v>
      </c>
      <c r="AF2842">
        <v>9</v>
      </c>
      <c r="AG2842" t="s">
        <v>158</v>
      </c>
      <c r="AH2842">
        <v>0</v>
      </c>
      <c r="AI2842">
        <v>3</v>
      </c>
      <c r="AJ2842">
        <v>1</v>
      </c>
      <c r="AK2842">
        <v>0</v>
      </c>
      <c r="AL2842" t="s">
        <v>5352</v>
      </c>
      <c r="AM2842">
        <v>46.977860999999997</v>
      </c>
      <c r="AN2842" t="s">
        <v>5353</v>
      </c>
      <c r="AO2842">
        <v>-123.435388</v>
      </c>
      <c r="AP2842">
        <v>100</v>
      </c>
      <c r="AQ2842">
        <v>2000</v>
      </c>
      <c r="AR2842" t="s">
        <v>118</v>
      </c>
      <c r="AS2842">
        <v>-79</v>
      </c>
      <c r="AT2842">
        <v>7</v>
      </c>
      <c r="AU2842">
        <v>0</v>
      </c>
      <c r="BC2842">
        <v>1200</v>
      </c>
      <c r="BD2842">
        <v>1</v>
      </c>
      <c r="BE2842" t="str">
        <f t="shared" si="134"/>
        <v xml:space="preserve">N215T   </v>
      </c>
      <c r="BF2842">
        <v>1</v>
      </c>
      <c r="BH2842">
        <v>0</v>
      </c>
      <c r="BI2842">
        <v>0</v>
      </c>
      <c r="BJ2842">
        <v>0</v>
      </c>
      <c r="BK2842">
        <v>2425</v>
      </c>
      <c r="BL2842">
        <v>425</v>
      </c>
      <c r="BM2842" t="s">
        <v>119</v>
      </c>
      <c r="BN2842">
        <v>1</v>
      </c>
      <c r="BO2842">
        <v>1</v>
      </c>
      <c r="BP2842">
        <v>1</v>
      </c>
      <c r="BQ2842">
        <v>0</v>
      </c>
      <c r="BT2842">
        <v>0</v>
      </c>
      <c r="BU2842">
        <v>0</v>
      </c>
      <c r="BV2842">
        <v>0</v>
      </c>
      <c r="CC2842" t="str">
        <f>"19:22:15.633"</f>
        <v>19:22:15.633</v>
      </c>
      <c r="CD2842" t="str">
        <f>"632679696"</f>
        <v>632679696</v>
      </c>
      <c r="CQ2842">
        <v>0</v>
      </c>
      <c r="CR2842">
        <v>2</v>
      </c>
      <c r="CS2842">
        <v>0</v>
      </c>
      <c r="CT2842">
        <v>2</v>
      </c>
      <c r="CU2842">
        <v>0</v>
      </c>
      <c r="CV2842">
        <v>7</v>
      </c>
      <c r="CW2842" t="s">
        <v>120</v>
      </c>
      <c r="CX2842">
        <v>257</v>
      </c>
      <c r="CY2842">
        <v>0</v>
      </c>
      <c r="CZ2842" t="s">
        <v>615</v>
      </c>
      <c r="DA2842" t="s">
        <v>616</v>
      </c>
      <c r="DD2842">
        <v>16128579</v>
      </c>
      <c r="DE2842" t="s">
        <v>123</v>
      </c>
    </row>
    <row r="2843" spans="1:109" x14ac:dyDescent="0.3">
      <c r="A2843" t="str">
        <f>"19:22:16.852"</f>
        <v>19:22:16.852</v>
      </c>
      <c r="B2843" t="s">
        <v>110</v>
      </c>
      <c r="C2843" t="str">
        <f t="shared" si="132"/>
        <v>ffdfd3c0</v>
      </c>
      <c r="D2843" t="s">
        <v>111</v>
      </c>
      <c r="E2843">
        <v>18</v>
      </c>
      <c r="F2843">
        <v>1018</v>
      </c>
      <c r="G2843" t="s">
        <v>112</v>
      </c>
      <c r="J2843" t="s">
        <v>113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R2843" t="s">
        <v>114</v>
      </c>
      <c r="S2843" t="str">
        <f>"19:22:16.648"</f>
        <v>19:22:16.648</v>
      </c>
      <c r="T2843" t="str">
        <f>"19:22:16.352"</f>
        <v>19:22:16.352</v>
      </c>
      <c r="U2843" t="str">
        <f t="shared" si="133"/>
        <v>a1cdbe</v>
      </c>
      <c r="V2843">
        <v>0</v>
      </c>
      <c r="W2843">
        <v>0</v>
      </c>
      <c r="X2843">
        <v>1</v>
      </c>
      <c r="Y2843">
        <v>0</v>
      </c>
      <c r="Z2843">
        <v>0</v>
      </c>
      <c r="AB2843">
        <v>0</v>
      </c>
      <c r="AC2843">
        <v>9</v>
      </c>
      <c r="AD2843">
        <v>3</v>
      </c>
      <c r="AE2843">
        <v>0</v>
      </c>
      <c r="AF2843">
        <v>9</v>
      </c>
      <c r="AG2843" t="s">
        <v>158</v>
      </c>
      <c r="AH2843">
        <v>0</v>
      </c>
      <c r="AI2843">
        <v>3</v>
      </c>
      <c r="AJ2843">
        <v>1</v>
      </c>
      <c r="AK2843">
        <v>0</v>
      </c>
      <c r="AL2843" t="s">
        <v>5354</v>
      </c>
      <c r="AM2843">
        <v>46.977904000000002</v>
      </c>
      <c r="AN2843" t="s">
        <v>5355</v>
      </c>
      <c r="AO2843">
        <v>-123.435903</v>
      </c>
      <c r="AP2843">
        <v>100</v>
      </c>
      <c r="AQ2843">
        <v>2000</v>
      </c>
      <c r="AR2843" t="s">
        <v>118</v>
      </c>
      <c r="AS2843">
        <v>-79</v>
      </c>
      <c r="AT2843">
        <v>7</v>
      </c>
      <c r="AU2843">
        <v>0</v>
      </c>
      <c r="BC2843">
        <v>1200</v>
      </c>
      <c r="BD2843">
        <v>1</v>
      </c>
      <c r="BE2843" t="str">
        <f t="shared" si="134"/>
        <v xml:space="preserve">N215T   </v>
      </c>
      <c r="BF2843">
        <v>1</v>
      </c>
      <c r="BH2843">
        <v>0</v>
      </c>
      <c r="BI2843">
        <v>0</v>
      </c>
      <c r="BJ2843">
        <v>0</v>
      </c>
      <c r="BK2843">
        <v>2425</v>
      </c>
      <c r="BL2843">
        <v>425</v>
      </c>
      <c r="BM2843" t="s">
        <v>119</v>
      </c>
      <c r="BN2843">
        <v>1</v>
      </c>
      <c r="BO2843">
        <v>1</v>
      </c>
      <c r="BP2843">
        <v>1</v>
      </c>
      <c r="BQ2843">
        <v>0</v>
      </c>
      <c r="BT2843">
        <v>0</v>
      </c>
      <c r="BU2843">
        <v>0</v>
      </c>
      <c r="BV2843">
        <v>0</v>
      </c>
      <c r="CC2843" t="str">
        <f>"19:22:16.656"</f>
        <v>19:22:16.656</v>
      </c>
      <c r="CD2843" t="str">
        <f>"652579157"</f>
        <v>652579157</v>
      </c>
      <c r="CQ2843">
        <v>0</v>
      </c>
      <c r="CR2843">
        <v>2</v>
      </c>
      <c r="CS2843">
        <v>0</v>
      </c>
      <c r="CT2843">
        <v>2</v>
      </c>
      <c r="CU2843">
        <v>0</v>
      </c>
      <c r="CV2843">
        <v>7</v>
      </c>
      <c r="CW2843" t="s">
        <v>120</v>
      </c>
      <c r="CX2843">
        <v>257</v>
      </c>
      <c r="CY2843">
        <v>0</v>
      </c>
      <c r="CZ2843" t="s">
        <v>615</v>
      </c>
      <c r="DA2843" t="s">
        <v>616</v>
      </c>
      <c r="DD2843">
        <v>16129114</v>
      </c>
      <c r="DE2843" t="s">
        <v>123</v>
      </c>
    </row>
    <row r="2844" spans="1:109" x14ac:dyDescent="0.3">
      <c r="A2844" t="str">
        <f>"19:22:17.852"</f>
        <v>19:22:17.852</v>
      </c>
      <c r="B2844" t="s">
        <v>110</v>
      </c>
      <c r="C2844" t="str">
        <f t="shared" si="132"/>
        <v>ffdfd3c0</v>
      </c>
      <c r="D2844" t="s">
        <v>111</v>
      </c>
      <c r="E2844">
        <v>18</v>
      </c>
      <c r="F2844">
        <v>1018</v>
      </c>
      <c r="G2844" t="s">
        <v>112</v>
      </c>
      <c r="J2844" t="s">
        <v>113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R2844" t="s">
        <v>114</v>
      </c>
      <c r="S2844" t="str">
        <f>"19:22:17.641"</f>
        <v>19:22:17.641</v>
      </c>
      <c r="T2844" t="str">
        <f>"19:22:17.438"</f>
        <v>19:22:17.438</v>
      </c>
      <c r="U2844" t="str">
        <f t="shared" si="133"/>
        <v>a1cdbe</v>
      </c>
      <c r="V2844">
        <v>0</v>
      </c>
      <c r="W2844">
        <v>0</v>
      </c>
      <c r="X2844">
        <v>1</v>
      </c>
      <c r="Y2844">
        <v>0</v>
      </c>
      <c r="Z2844">
        <v>0</v>
      </c>
      <c r="AB2844">
        <v>0</v>
      </c>
      <c r="AC2844">
        <v>9</v>
      </c>
      <c r="AD2844">
        <v>3</v>
      </c>
      <c r="AE2844">
        <v>0</v>
      </c>
      <c r="AF2844">
        <v>9</v>
      </c>
      <c r="AG2844" t="s">
        <v>158</v>
      </c>
      <c r="AH2844">
        <v>0</v>
      </c>
      <c r="AI2844">
        <v>3</v>
      </c>
      <c r="AJ2844">
        <v>1</v>
      </c>
      <c r="AK2844">
        <v>0</v>
      </c>
      <c r="AL2844" t="s">
        <v>5356</v>
      </c>
      <c r="AM2844">
        <v>46.977947</v>
      </c>
      <c r="AN2844" t="s">
        <v>5357</v>
      </c>
      <c r="AO2844">
        <v>-123.436482</v>
      </c>
      <c r="AP2844">
        <v>100</v>
      </c>
      <c r="AQ2844">
        <v>2000</v>
      </c>
      <c r="AR2844" t="s">
        <v>118</v>
      </c>
      <c r="AS2844">
        <v>-79</v>
      </c>
      <c r="AT2844">
        <v>8</v>
      </c>
      <c r="AU2844">
        <v>64</v>
      </c>
      <c r="BC2844">
        <v>1200</v>
      </c>
      <c r="BD2844">
        <v>1</v>
      </c>
      <c r="BE2844" t="str">
        <f t="shared" si="134"/>
        <v xml:space="preserve">N215T   </v>
      </c>
      <c r="BF2844">
        <v>1</v>
      </c>
      <c r="BH2844">
        <v>0</v>
      </c>
      <c r="BI2844">
        <v>0</v>
      </c>
      <c r="BJ2844">
        <v>0</v>
      </c>
      <c r="BK2844">
        <v>2425</v>
      </c>
      <c r="BL2844">
        <v>425</v>
      </c>
      <c r="BM2844" t="s">
        <v>119</v>
      </c>
      <c r="BN2844">
        <v>1</v>
      </c>
      <c r="BO2844">
        <v>1</v>
      </c>
      <c r="BP2844">
        <v>1</v>
      </c>
      <c r="BQ2844">
        <v>0</v>
      </c>
      <c r="BT2844">
        <v>0</v>
      </c>
      <c r="BU2844">
        <v>0</v>
      </c>
      <c r="BV2844">
        <v>0</v>
      </c>
      <c r="CC2844" t="str">
        <f>"19:22:17.641"</f>
        <v>19:22:17.641</v>
      </c>
      <c r="CD2844" t="str">
        <f>"642481581"</f>
        <v>642481581</v>
      </c>
      <c r="CQ2844">
        <v>0</v>
      </c>
      <c r="CR2844">
        <v>2</v>
      </c>
      <c r="CS2844">
        <v>0</v>
      </c>
      <c r="CT2844">
        <v>2</v>
      </c>
      <c r="CU2844">
        <v>0</v>
      </c>
      <c r="CV2844">
        <v>6</v>
      </c>
      <c r="CW2844" t="s">
        <v>120</v>
      </c>
      <c r="CX2844">
        <v>257</v>
      </c>
      <c r="CY2844">
        <v>0</v>
      </c>
      <c r="CZ2844" t="s">
        <v>615</v>
      </c>
      <c r="DA2844" t="s">
        <v>616</v>
      </c>
      <c r="DD2844">
        <v>16129604</v>
      </c>
      <c r="DE2844" t="s">
        <v>123</v>
      </c>
    </row>
    <row r="2845" spans="1:109" x14ac:dyDescent="0.3">
      <c r="A2845" t="str">
        <f>"19:22:19.063"</f>
        <v>19:22:19.063</v>
      </c>
      <c r="B2845" t="s">
        <v>110</v>
      </c>
      <c r="C2845" t="str">
        <f t="shared" si="132"/>
        <v>ffdfd3c0</v>
      </c>
      <c r="D2845" t="s">
        <v>111</v>
      </c>
      <c r="E2845">
        <v>18</v>
      </c>
      <c r="F2845">
        <v>1018</v>
      </c>
      <c r="G2845" t="s">
        <v>112</v>
      </c>
      <c r="J2845" t="s">
        <v>113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R2845" t="s">
        <v>114</v>
      </c>
      <c r="S2845" t="str">
        <f>"19:22:18.805"</f>
        <v>19:22:18.805</v>
      </c>
      <c r="T2845" t="str">
        <f>"19:22:18.406"</f>
        <v>19:22:18.406</v>
      </c>
      <c r="U2845" t="str">
        <f t="shared" si="133"/>
        <v>a1cdbe</v>
      </c>
      <c r="V2845">
        <v>0</v>
      </c>
      <c r="W2845">
        <v>0</v>
      </c>
      <c r="X2845">
        <v>1</v>
      </c>
      <c r="Y2845">
        <v>0</v>
      </c>
      <c r="Z2845">
        <v>0</v>
      </c>
      <c r="AB2845">
        <v>0</v>
      </c>
      <c r="AC2845">
        <v>9</v>
      </c>
      <c r="AD2845">
        <v>3</v>
      </c>
      <c r="AE2845">
        <v>0</v>
      </c>
      <c r="AF2845">
        <v>9</v>
      </c>
      <c r="AG2845" t="s">
        <v>158</v>
      </c>
      <c r="AH2845">
        <v>0</v>
      </c>
      <c r="AI2845">
        <v>3</v>
      </c>
      <c r="AJ2845">
        <v>1</v>
      </c>
      <c r="AK2845">
        <v>0</v>
      </c>
      <c r="AL2845" t="s">
        <v>5356</v>
      </c>
      <c r="AM2845">
        <v>46.977947</v>
      </c>
      <c r="AN2845" t="s">
        <v>5358</v>
      </c>
      <c r="AO2845">
        <v>-123.43710400000001</v>
      </c>
      <c r="AP2845">
        <v>100</v>
      </c>
      <c r="AQ2845">
        <v>2000</v>
      </c>
      <c r="AR2845" t="s">
        <v>118</v>
      </c>
      <c r="AS2845">
        <v>-79</v>
      </c>
      <c r="AT2845">
        <v>8</v>
      </c>
      <c r="AU2845">
        <v>64</v>
      </c>
      <c r="BC2845">
        <v>1200</v>
      </c>
      <c r="BD2845">
        <v>1</v>
      </c>
      <c r="BE2845" t="str">
        <f t="shared" si="134"/>
        <v xml:space="preserve">N215T   </v>
      </c>
      <c r="BF2845">
        <v>1</v>
      </c>
      <c r="BH2845">
        <v>0</v>
      </c>
      <c r="BI2845">
        <v>0</v>
      </c>
      <c r="BJ2845">
        <v>0</v>
      </c>
      <c r="BK2845">
        <v>2425</v>
      </c>
      <c r="BL2845">
        <v>425</v>
      </c>
      <c r="BM2845" t="s">
        <v>119</v>
      </c>
      <c r="BN2845">
        <v>1</v>
      </c>
      <c r="BO2845">
        <v>1</v>
      </c>
      <c r="BP2845">
        <v>1</v>
      </c>
      <c r="BQ2845">
        <v>0</v>
      </c>
      <c r="BT2845">
        <v>0</v>
      </c>
      <c r="BU2845">
        <v>0</v>
      </c>
      <c r="BV2845">
        <v>0</v>
      </c>
      <c r="CC2845" t="str">
        <f>"19:22:18.813"</f>
        <v>19:22:18.813</v>
      </c>
      <c r="CD2845" t="str">
        <f>"812366273"</f>
        <v>812366273</v>
      </c>
      <c r="CQ2845">
        <v>0</v>
      </c>
      <c r="CR2845">
        <v>2</v>
      </c>
      <c r="CS2845">
        <v>0</v>
      </c>
      <c r="CT2845">
        <v>2</v>
      </c>
      <c r="CU2845">
        <v>0</v>
      </c>
      <c r="CV2845">
        <v>6</v>
      </c>
      <c r="CW2845" t="s">
        <v>120</v>
      </c>
      <c r="CX2845">
        <v>257</v>
      </c>
      <c r="CY2845">
        <v>1</v>
      </c>
      <c r="CZ2845" t="s">
        <v>615</v>
      </c>
      <c r="DA2845" t="s">
        <v>616</v>
      </c>
      <c r="DD2845">
        <v>12472788</v>
      </c>
      <c r="DE2845" t="s">
        <v>123</v>
      </c>
    </row>
    <row r="2846" spans="1:109" x14ac:dyDescent="0.3">
      <c r="A2846" t="str">
        <f>"19:22:20.063"</f>
        <v>19:22:20.063</v>
      </c>
      <c r="B2846" t="s">
        <v>110</v>
      </c>
      <c r="C2846" t="str">
        <f t="shared" si="132"/>
        <v>ffdfd3c0</v>
      </c>
      <c r="D2846" t="s">
        <v>111</v>
      </c>
      <c r="E2846">
        <v>18</v>
      </c>
      <c r="F2846">
        <v>1018</v>
      </c>
      <c r="G2846" t="s">
        <v>112</v>
      </c>
      <c r="J2846" t="s">
        <v>113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R2846" t="s">
        <v>114</v>
      </c>
      <c r="S2846" t="str">
        <f>"19:22:19.828"</f>
        <v>19:22:19.828</v>
      </c>
      <c r="T2846" t="str">
        <f>"19:22:19.430"</f>
        <v>19:22:19.430</v>
      </c>
      <c r="U2846" t="str">
        <f t="shared" si="133"/>
        <v>a1cdbe</v>
      </c>
      <c r="V2846">
        <v>0</v>
      </c>
      <c r="W2846">
        <v>0</v>
      </c>
      <c r="X2846">
        <v>1</v>
      </c>
      <c r="Y2846">
        <v>0</v>
      </c>
      <c r="Z2846">
        <v>0</v>
      </c>
      <c r="AB2846">
        <v>0</v>
      </c>
      <c r="AC2846">
        <v>9</v>
      </c>
      <c r="AD2846">
        <v>3</v>
      </c>
      <c r="AE2846">
        <v>0</v>
      </c>
      <c r="AF2846">
        <v>9</v>
      </c>
      <c r="AG2846" t="s">
        <v>158</v>
      </c>
      <c r="AH2846">
        <v>0</v>
      </c>
      <c r="AI2846">
        <v>3</v>
      </c>
      <c r="AJ2846">
        <v>1</v>
      </c>
      <c r="AK2846">
        <v>0</v>
      </c>
      <c r="AL2846" t="s">
        <v>5359</v>
      </c>
      <c r="AM2846">
        <v>46.978011000000002</v>
      </c>
      <c r="AN2846" t="s">
        <v>5360</v>
      </c>
      <c r="AO2846">
        <v>-123.43759799999999</v>
      </c>
      <c r="AP2846">
        <v>100</v>
      </c>
      <c r="AQ2846">
        <v>2000</v>
      </c>
      <c r="AR2846" t="s">
        <v>118</v>
      </c>
      <c r="AS2846">
        <v>-80</v>
      </c>
      <c r="AT2846">
        <v>8</v>
      </c>
      <c r="AU2846">
        <v>0</v>
      </c>
      <c r="BC2846">
        <v>1200</v>
      </c>
      <c r="BD2846">
        <v>1</v>
      </c>
      <c r="BE2846" t="str">
        <f t="shared" si="134"/>
        <v xml:space="preserve">N215T   </v>
      </c>
      <c r="BF2846">
        <v>1</v>
      </c>
      <c r="BH2846">
        <v>0</v>
      </c>
      <c r="BI2846">
        <v>0</v>
      </c>
      <c r="BJ2846">
        <v>0</v>
      </c>
      <c r="BK2846">
        <v>2425</v>
      </c>
      <c r="BL2846">
        <v>425</v>
      </c>
      <c r="BM2846" t="s">
        <v>119</v>
      </c>
      <c r="BN2846">
        <v>1</v>
      </c>
      <c r="BO2846">
        <v>1</v>
      </c>
      <c r="BP2846">
        <v>1</v>
      </c>
      <c r="BQ2846">
        <v>0</v>
      </c>
      <c r="BT2846">
        <v>0</v>
      </c>
      <c r="BU2846">
        <v>0</v>
      </c>
      <c r="BV2846">
        <v>0</v>
      </c>
      <c r="CC2846" t="str">
        <f>"19:22:19.836"</f>
        <v>19:22:19.836</v>
      </c>
      <c r="CD2846" t="str">
        <f>"832265743"</f>
        <v>832265743</v>
      </c>
      <c r="CQ2846">
        <v>0</v>
      </c>
      <c r="CR2846">
        <v>2</v>
      </c>
      <c r="CS2846">
        <v>0</v>
      </c>
      <c r="CT2846">
        <v>2</v>
      </c>
      <c r="CU2846">
        <v>0</v>
      </c>
      <c r="CV2846">
        <v>6</v>
      </c>
      <c r="CW2846" t="s">
        <v>120</v>
      </c>
      <c r="CX2846">
        <v>257</v>
      </c>
      <c r="CY2846">
        <v>1</v>
      </c>
      <c r="CZ2846" t="s">
        <v>615</v>
      </c>
      <c r="DA2846" t="s">
        <v>616</v>
      </c>
      <c r="DD2846">
        <v>12473521</v>
      </c>
      <c r="DE2846" t="s">
        <v>123</v>
      </c>
    </row>
    <row r="2847" spans="1:109" x14ac:dyDescent="0.3">
      <c r="A2847" t="str">
        <f>"19:22:20.969"</f>
        <v>19:22:20.969</v>
      </c>
      <c r="B2847" t="s">
        <v>110</v>
      </c>
      <c r="C2847" t="str">
        <f t="shared" si="132"/>
        <v>ffdfd3c0</v>
      </c>
      <c r="D2847" t="s">
        <v>111</v>
      </c>
      <c r="E2847">
        <v>18</v>
      </c>
      <c r="F2847">
        <v>1018</v>
      </c>
      <c r="G2847" t="s">
        <v>112</v>
      </c>
      <c r="J2847" t="s">
        <v>113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R2847" t="s">
        <v>114</v>
      </c>
      <c r="S2847" t="str">
        <f>"19:22:20.680"</f>
        <v>19:22:20.680</v>
      </c>
      <c r="T2847" t="str">
        <f>"19:22:20.281"</f>
        <v>19:22:20.281</v>
      </c>
      <c r="U2847" t="str">
        <f t="shared" si="133"/>
        <v>a1cdbe</v>
      </c>
      <c r="V2847">
        <v>0</v>
      </c>
      <c r="W2847">
        <v>0</v>
      </c>
      <c r="X2847">
        <v>1</v>
      </c>
      <c r="Y2847">
        <v>0</v>
      </c>
      <c r="Z2847">
        <v>0</v>
      </c>
      <c r="AB2847">
        <v>0</v>
      </c>
      <c r="AC2847">
        <v>9</v>
      </c>
      <c r="AD2847">
        <v>3</v>
      </c>
      <c r="AE2847">
        <v>0</v>
      </c>
      <c r="AF2847">
        <v>9</v>
      </c>
      <c r="AG2847" t="s">
        <v>158</v>
      </c>
      <c r="AH2847">
        <v>0</v>
      </c>
      <c r="AI2847">
        <v>3</v>
      </c>
      <c r="AJ2847">
        <v>1</v>
      </c>
      <c r="AK2847">
        <v>0</v>
      </c>
      <c r="AL2847" t="s">
        <v>943</v>
      </c>
      <c r="AM2847">
        <v>46.978054</v>
      </c>
      <c r="AN2847" t="s">
        <v>5361</v>
      </c>
      <c r="AO2847">
        <v>-123.438091</v>
      </c>
      <c r="AP2847">
        <v>100</v>
      </c>
      <c r="AQ2847">
        <v>2000</v>
      </c>
      <c r="AR2847" t="s">
        <v>118</v>
      </c>
      <c r="AS2847">
        <v>-80</v>
      </c>
      <c r="AT2847">
        <v>8</v>
      </c>
      <c r="AU2847">
        <v>0</v>
      </c>
      <c r="BC2847">
        <v>1200</v>
      </c>
      <c r="BD2847">
        <v>1</v>
      </c>
      <c r="BE2847" t="str">
        <f t="shared" si="134"/>
        <v xml:space="preserve">N215T   </v>
      </c>
      <c r="BF2847">
        <v>1</v>
      </c>
      <c r="BH2847">
        <v>0</v>
      </c>
      <c r="BI2847">
        <v>0</v>
      </c>
      <c r="BJ2847">
        <v>0</v>
      </c>
      <c r="BK2847">
        <v>2425</v>
      </c>
      <c r="BL2847">
        <v>425</v>
      </c>
      <c r="BM2847" t="s">
        <v>119</v>
      </c>
      <c r="BN2847">
        <v>1</v>
      </c>
      <c r="BO2847">
        <v>1</v>
      </c>
      <c r="BP2847">
        <v>1</v>
      </c>
      <c r="BQ2847">
        <v>0</v>
      </c>
      <c r="BT2847">
        <v>0</v>
      </c>
      <c r="BU2847">
        <v>0</v>
      </c>
      <c r="BV2847">
        <v>0</v>
      </c>
      <c r="CC2847" t="str">
        <f>"19:22:20.688"</f>
        <v>19:22:20.688</v>
      </c>
      <c r="CD2847" t="str">
        <f>"687181449"</f>
        <v>687181449</v>
      </c>
      <c r="CQ2847">
        <v>0</v>
      </c>
      <c r="CR2847">
        <v>2</v>
      </c>
      <c r="CS2847">
        <v>0</v>
      </c>
      <c r="CT2847">
        <v>2</v>
      </c>
      <c r="CU2847">
        <v>0</v>
      </c>
      <c r="CV2847">
        <v>6</v>
      </c>
      <c r="CW2847" t="s">
        <v>120</v>
      </c>
      <c r="CX2847">
        <v>257</v>
      </c>
      <c r="CY2847">
        <v>0</v>
      </c>
      <c r="CZ2847" t="s">
        <v>615</v>
      </c>
      <c r="DA2847" t="s">
        <v>616</v>
      </c>
      <c r="DD2847">
        <v>16131229</v>
      </c>
      <c r="DE2847" t="s">
        <v>123</v>
      </c>
    </row>
    <row r="2848" spans="1:109" x14ac:dyDescent="0.3">
      <c r="A2848" t="str">
        <f>"19:22:21.875"</f>
        <v>19:22:21.875</v>
      </c>
      <c r="B2848" t="s">
        <v>110</v>
      </c>
      <c r="C2848" t="str">
        <f t="shared" si="132"/>
        <v>ffdfd3c0</v>
      </c>
      <c r="D2848" t="s">
        <v>111</v>
      </c>
      <c r="E2848">
        <v>18</v>
      </c>
      <c r="F2848">
        <v>1018</v>
      </c>
      <c r="G2848" t="s">
        <v>112</v>
      </c>
      <c r="J2848" t="s">
        <v>113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R2848" t="s">
        <v>114</v>
      </c>
      <c r="S2848" t="str">
        <f>"19:22:21.609"</f>
        <v>19:22:21.609</v>
      </c>
      <c r="T2848" t="str">
        <f>"19:22:21.406"</f>
        <v>19:22:21.406</v>
      </c>
      <c r="U2848" t="str">
        <f t="shared" si="133"/>
        <v>a1cdbe</v>
      </c>
      <c r="V2848">
        <v>0</v>
      </c>
      <c r="W2848">
        <v>0</v>
      </c>
      <c r="X2848">
        <v>1</v>
      </c>
      <c r="Y2848">
        <v>0</v>
      </c>
      <c r="Z2848">
        <v>0</v>
      </c>
      <c r="AB2848">
        <v>0</v>
      </c>
      <c r="AC2848">
        <v>9</v>
      </c>
      <c r="AD2848">
        <v>3</v>
      </c>
      <c r="AE2848">
        <v>0</v>
      </c>
      <c r="AF2848">
        <v>9</v>
      </c>
      <c r="AG2848" t="s">
        <v>158</v>
      </c>
      <c r="AH2848">
        <v>0</v>
      </c>
      <c r="AI2848">
        <v>3</v>
      </c>
      <c r="AJ2848">
        <v>1</v>
      </c>
      <c r="AK2848">
        <v>0</v>
      </c>
      <c r="AL2848" t="s">
        <v>5362</v>
      </c>
      <c r="AM2848">
        <v>46.978096999999998</v>
      </c>
      <c r="AN2848" t="s">
        <v>5363</v>
      </c>
      <c r="AO2848">
        <v>-123.438542</v>
      </c>
      <c r="AP2848">
        <v>100</v>
      </c>
      <c r="AQ2848">
        <v>2000</v>
      </c>
      <c r="AR2848" t="s">
        <v>118</v>
      </c>
      <c r="AS2848">
        <v>-80</v>
      </c>
      <c r="AT2848">
        <v>7</v>
      </c>
      <c r="AU2848">
        <v>0</v>
      </c>
      <c r="BC2848">
        <v>1200</v>
      </c>
      <c r="BD2848">
        <v>1</v>
      </c>
      <c r="BE2848" t="str">
        <f t="shared" si="134"/>
        <v xml:space="preserve">N215T   </v>
      </c>
      <c r="BF2848">
        <v>1</v>
      </c>
      <c r="BH2848">
        <v>0</v>
      </c>
      <c r="BI2848">
        <v>0</v>
      </c>
      <c r="BJ2848">
        <v>0</v>
      </c>
      <c r="BK2848">
        <v>2425</v>
      </c>
      <c r="BL2848">
        <v>425</v>
      </c>
      <c r="BM2848" t="s">
        <v>119</v>
      </c>
      <c r="BN2848">
        <v>1</v>
      </c>
      <c r="BO2848">
        <v>1</v>
      </c>
      <c r="BP2848">
        <v>1</v>
      </c>
      <c r="BQ2848">
        <v>0</v>
      </c>
      <c r="BT2848">
        <v>0</v>
      </c>
      <c r="BU2848">
        <v>0</v>
      </c>
      <c r="BV2848">
        <v>0</v>
      </c>
      <c r="CC2848" t="str">
        <f>"19:22:21.617"</f>
        <v>19:22:21.617</v>
      </c>
      <c r="CD2848" t="str">
        <f>"617089782"</f>
        <v>617089782</v>
      </c>
      <c r="CQ2848">
        <v>0</v>
      </c>
      <c r="CR2848">
        <v>2</v>
      </c>
      <c r="CS2848">
        <v>0</v>
      </c>
      <c r="CT2848">
        <v>2</v>
      </c>
      <c r="CU2848">
        <v>0</v>
      </c>
      <c r="CV2848">
        <v>6</v>
      </c>
      <c r="CW2848" t="s">
        <v>120</v>
      </c>
      <c r="CX2848">
        <v>257</v>
      </c>
      <c r="CY2848">
        <v>0</v>
      </c>
      <c r="CZ2848" t="s">
        <v>615</v>
      </c>
      <c r="DA2848" t="s">
        <v>616</v>
      </c>
      <c r="DD2848">
        <v>16131704</v>
      </c>
      <c r="DE2848" t="s">
        <v>123</v>
      </c>
    </row>
    <row r="2849" spans="1:109" x14ac:dyDescent="0.3">
      <c r="A2849" t="str">
        <f>"19:22:22.930"</f>
        <v>19:22:22.930</v>
      </c>
      <c r="B2849" t="s">
        <v>110</v>
      </c>
      <c r="C2849" t="str">
        <f t="shared" si="132"/>
        <v>ffdfd3c0</v>
      </c>
      <c r="D2849" t="s">
        <v>111</v>
      </c>
      <c r="E2849">
        <v>18</v>
      </c>
      <c r="F2849">
        <v>1018</v>
      </c>
      <c r="G2849" t="s">
        <v>112</v>
      </c>
      <c r="J2849" t="s">
        <v>113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R2849" t="s">
        <v>114</v>
      </c>
      <c r="S2849" t="str">
        <f>"19:22:22.680"</f>
        <v>19:22:22.680</v>
      </c>
      <c r="T2849" t="str">
        <f>"19:22:22.281"</f>
        <v>19:22:22.281</v>
      </c>
      <c r="U2849" t="str">
        <f t="shared" si="133"/>
        <v>a1cdbe</v>
      </c>
      <c r="V2849">
        <v>0</v>
      </c>
      <c r="W2849">
        <v>0</v>
      </c>
      <c r="X2849">
        <v>1</v>
      </c>
      <c r="Y2849">
        <v>0</v>
      </c>
      <c r="Z2849">
        <v>0</v>
      </c>
      <c r="AB2849">
        <v>0</v>
      </c>
      <c r="AC2849">
        <v>9</v>
      </c>
      <c r="AD2849">
        <v>3</v>
      </c>
      <c r="AE2849">
        <v>0</v>
      </c>
      <c r="AF2849">
        <v>9</v>
      </c>
      <c r="AG2849" t="s">
        <v>158</v>
      </c>
      <c r="AH2849">
        <v>0</v>
      </c>
      <c r="AI2849">
        <v>3</v>
      </c>
      <c r="AJ2849">
        <v>1</v>
      </c>
      <c r="AK2849">
        <v>0</v>
      </c>
      <c r="AL2849" t="s">
        <v>5362</v>
      </c>
      <c r="AM2849">
        <v>46.978096999999998</v>
      </c>
      <c r="AN2849" t="s">
        <v>5364</v>
      </c>
      <c r="AO2849">
        <v>-123.439143</v>
      </c>
      <c r="AP2849">
        <v>100</v>
      </c>
      <c r="AQ2849">
        <v>2000</v>
      </c>
      <c r="AR2849" t="s">
        <v>118</v>
      </c>
      <c r="AS2849">
        <v>-80</v>
      </c>
      <c r="AT2849">
        <v>7</v>
      </c>
      <c r="AU2849">
        <v>0</v>
      </c>
      <c r="BC2849">
        <v>1200</v>
      </c>
      <c r="BD2849">
        <v>1</v>
      </c>
      <c r="BE2849" t="str">
        <f t="shared" si="134"/>
        <v xml:space="preserve">N215T   </v>
      </c>
      <c r="BF2849">
        <v>1</v>
      </c>
      <c r="BH2849">
        <v>0</v>
      </c>
      <c r="BI2849">
        <v>0</v>
      </c>
      <c r="BJ2849">
        <v>0</v>
      </c>
      <c r="BK2849">
        <v>2425</v>
      </c>
      <c r="BL2849">
        <v>425</v>
      </c>
      <c r="BM2849" t="s">
        <v>119</v>
      </c>
      <c r="BN2849">
        <v>1</v>
      </c>
      <c r="BO2849">
        <v>1</v>
      </c>
      <c r="BP2849">
        <v>1</v>
      </c>
      <c r="BQ2849">
        <v>0</v>
      </c>
      <c r="BT2849">
        <v>0</v>
      </c>
      <c r="BU2849">
        <v>0</v>
      </c>
      <c r="BV2849">
        <v>0</v>
      </c>
      <c r="CC2849" t="str">
        <f>"19:22:22.680"</f>
        <v>19:22:22.680</v>
      </c>
      <c r="CD2849" t="str">
        <f>"681984808"</f>
        <v>681984808</v>
      </c>
      <c r="CQ2849">
        <v>0</v>
      </c>
      <c r="CR2849">
        <v>2</v>
      </c>
      <c r="CS2849">
        <v>0</v>
      </c>
      <c r="CT2849">
        <v>2</v>
      </c>
      <c r="CU2849">
        <v>0</v>
      </c>
      <c r="CV2849">
        <v>6</v>
      </c>
      <c r="CW2849" t="s">
        <v>120</v>
      </c>
      <c r="CX2849">
        <v>257</v>
      </c>
      <c r="CY2849">
        <v>0</v>
      </c>
      <c r="CZ2849" t="s">
        <v>615</v>
      </c>
      <c r="DA2849" t="s">
        <v>616</v>
      </c>
      <c r="DD2849">
        <v>16132248</v>
      </c>
      <c r="DE2849" t="s">
        <v>123</v>
      </c>
    </row>
    <row r="2850" spans="1:109" x14ac:dyDescent="0.3">
      <c r="A2850" t="str">
        <f>"19:22:23.883"</f>
        <v>19:22:23.883</v>
      </c>
      <c r="B2850" t="s">
        <v>110</v>
      </c>
      <c r="C2850" t="str">
        <f t="shared" si="132"/>
        <v>ffdfd3c0</v>
      </c>
      <c r="D2850" t="s">
        <v>111</v>
      </c>
      <c r="E2850">
        <v>18</v>
      </c>
      <c r="F2850">
        <v>1018</v>
      </c>
      <c r="G2850" t="s">
        <v>112</v>
      </c>
      <c r="J2850" t="s">
        <v>113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R2850" t="s">
        <v>114</v>
      </c>
      <c r="S2850" t="str">
        <f>"19:22:23.656"</f>
        <v>19:22:23.656</v>
      </c>
      <c r="T2850" t="str">
        <f>"19:22:23.359"</f>
        <v>19:22:23.359</v>
      </c>
      <c r="U2850" t="str">
        <f t="shared" si="133"/>
        <v>a1cdbe</v>
      </c>
      <c r="V2850">
        <v>0</v>
      </c>
      <c r="W2850">
        <v>0</v>
      </c>
      <c r="X2850">
        <v>1</v>
      </c>
      <c r="Y2850">
        <v>0</v>
      </c>
      <c r="Z2850">
        <v>0</v>
      </c>
      <c r="AB2850">
        <v>0</v>
      </c>
      <c r="AC2850">
        <v>9</v>
      </c>
      <c r="AD2850">
        <v>3</v>
      </c>
      <c r="AE2850">
        <v>0</v>
      </c>
      <c r="AF2850">
        <v>9</v>
      </c>
      <c r="AG2850" t="s">
        <v>158</v>
      </c>
      <c r="AH2850">
        <v>0</v>
      </c>
      <c r="AI2850">
        <v>3</v>
      </c>
      <c r="AJ2850">
        <v>1</v>
      </c>
      <c r="AK2850">
        <v>0</v>
      </c>
      <c r="AL2850" t="s">
        <v>5365</v>
      </c>
      <c r="AM2850">
        <v>46.978140000000003</v>
      </c>
      <c r="AN2850" t="s">
        <v>5366</v>
      </c>
      <c r="AO2850">
        <v>-123.439701</v>
      </c>
      <c r="AP2850">
        <v>100</v>
      </c>
      <c r="AQ2850">
        <v>2000</v>
      </c>
      <c r="AR2850" t="s">
        <v>118</v>
      </c>
      <c r="AS2850">
        <v>-80</v>
      </c>
      <c r="AT2850">
        <v>7</v>
      </c>
      <c r="AU2850">
        <v>-64</v>
      </c>
      <c r="BC2850">
        <v>1200</v>
      </c>
      <c r="BD2850">
        <v>1</v>
      </c>
      <c r="BE2850" t="str">
        <f t="shared" si="134"/>
        <v xml:space="preserve">N215T   </v>
      </c>
      <c r="BF2850">
        <v>1</v>
      </c>
      <c r="BH2850">
        <v>0</v>
      </c>
      <c r="BI2850">
        <v>0</v>
      </c>
      <c r="BJ2850">
        <v>0</v>
      </c>
      <c r="BK2850">
        <v>2425</v>
      </c>
      <c r="BL2850">
        <v>425</v>
      </c>
      <c r="BM2850" t="s">
        <v>119</v>
      </c>
      <c r="BN2850">
        <v>1</v>
      </c>
      <c r="BO2850">
        <v>1</v>
      </c>
      <c r="BP2850">
        <v>1</v>
      </c>
      <c r="BQ2850">
        <v>0</v>
      </c>
      <c r="BT2850">
        <v>0</v>
      </c>
      <c r="BU2850">
        <v>0</v>
      </c>
      <c r="BV2850">
        <v>0</v>
      </c>
      <c r="CC2850" t="str">
        <f>"19:22:23.656"</f>
        <v>19:22:23.656</v>
      </c>
      <c r="CD2850" t="str">
        <f>"656888722"</f>
        <v>656888722</v>
      </c>
      <c r="CQ2850">
        <v>0</v>
      </c>
      <c r="CR2850">
        <v>2</v>
      </c>
      <c r="CS2850">
        <v>0</v>
      </c>
      <c r="CT2850">
        <v>2</v>
      </c>
      <c r="CU2850">
        <v>0</v>
      </c>
      <c r="CV2850">
        <v>6</v>
      </c>
      <c r="CW2850" t="s">
        <v>120</v>
      </c>
      <c r="CX2850">
        <v>257</v>
      </c>
      <c r="CY2850">
        <v>1</v>
      </c>
      <c r="CZ2850" t="s">
        <v>615</v>
      </c>
      <c r="DA2850" t="s">
        <v>616</v>
      </c>
      <c r="DD2850">
        <v>12476223</v>
      </c>
      <c r="DE2850" t="s">
        <v>123</v>
      </c>
    </row>
    <row r="2851" spans="1:109" x14ac:dyDescent="0.3">
      <c r="A2851" t="str">
        <f>"19:22:24.992"</f>
        <v>19:22:24.992</v>
      </c>
      <c r="B2851" t="s">
        <v>110</v>
      </c>
      <c r="C2851" t="str">
        <f t="shared" si="132"/>
        <v>ffdfd3c0</v>
      </c>
      <c r="D2851" t="s">
        <v>111</v>
      </c>
      <c r="E2851">
        <v>18</v>
      </c>
      <c r="F2851">
        <v>1018</v>
      </c>
      <c r="G2851" t="s">
        <v>112</v>
      </c>
      <c r="J2851" t="s">
        <v>113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R2851" t="s">
        <v>114</v>
      </c>
      <c r="S2851" t="str">
        <f>"19:22:24.781"</f>
        <v>19:22:24.781</v>
      </c>
      <c r="T2851" t="str">
        <f>"19:22:24.680"</f>
        <v>19:22:24.680</v>
      </c>
      <c r="U2851" t="str">
        <f t="shared" si="133"/>
        <v>a1cdbe</v>
      </c>
      <c r="V2851">
        <v>0</v>
      </c>
      <c r="W2851">
        <v>0</v>
      </c>
      <c r="X2851">
        <v>1</v>
      </c>
      <c r="Y2851">
        <v>0</v>
      </c>
      <c r="Z2851">
        <v>0</v>
      </c>
      <c r="AB2851">
        <v>0</v>
      </c>
      <c r="AC2851">
        <v>9</v>
      </c>
      <c r="AD2851">
        <v>3</v>
      </c>
      <c r="AE2851">
        <v>0</v>
      </c>
      <c r="AF2851">
        <v>9</v>
      </c>
      <c r="AG2851" t="s">
        <v>158</v>
      </c>
      <c r="AH2851">
        <v>0</v>
      </c>
      <c r="AI2851">
        <v>3</v>
      </c>
      <c r="AJ2851">
        <v>1</v>
      </c>
      <c r="AK2851">
        <v>0</v>
      </c>
      <c r="AL2851" t="s">
        <v>5367</v>
      </c>
      <c r="AM2851">
        <v>46.978183000000001</v>
      </c>
      <c r="AN2851" t="s">
        <v>5368</v>
      </c>
      <c r="AO2851">
        <v>-123.44032300000001</v>
      </c>
      <c r="AP2851">
        <v>100</v>
      </c>
      <c r="AQ2851">
        <v>2000</v>
      </c>
      <c r="AR2851" t="s">
        <v>118</v>
      </c>
      <c r="AS2851">
        <v>-80</v>
      </c>
      <c r="AT2851">
        <v>7</v>
      </c>
      <c r="AU2851">
        <v>-64</v>
      </c>
      <c r="BC2851">
        <v>1200</v>
      </c>
      <c r="BD2851">
        <v>1</v>
      </c>
      <c r="BE2851" t="str">
        <f t="shared" si="134"/>
        <v xml:space="preserve">N215T   </v>
      </c>
      <c r="BF2851">
        <v>1</v>
      </c>
      <c r="BH2851">
        <v>0</v>
      </c>
      <c r="BI2851">
        <v>0</v>
      </c>
      <c r="BJ2851">
        <v>0</v>
      </c>
      <c r="BK2851">
        <v>2425</v>
      </c>
      <c r="BL2851">
        <v>425</v>
      </c>
      <c r="BM2851" t="s">
        <v>119</v>
      </c>
      <c r="BN2851">
        <v>1</v>
      </c>
      <c r="BO2851">
        <v>1</v>
      </c>
      <c r="BP2851">
        <v>1</v>
      </c>
      <c r="BQ2851">
        <v>0</v>
      </c>
      <c r="BT2851">
        <v>0</v>
      </c>
      <c r="BU2851">
        <v>0</v>
      </c>
      <c r="BV2851">
        <v>0</v>
      </c>
      <c r="CC2851" t="str">
        <f>"19:22:24.781"</f>
        <v>19:22:24.781</v>
      </c>
      <c r="CD2851" t="str">
        <f>"781777854"</f>
        <v>781777854</v>
      </c>
      <c r="CQ2851">
        <v>0</v>
      </c>
      <c r="CR2851">
        <v>2</v>
      </c>
      <c r="CS2851">
        <v>0</v>
      </c>
      <c r="CT2851">
        <v>2</v>
      </c>
      <c r="CU2851">
        <v>0</v>
      </c>
      <c r="CV2851">
        <v>6</v>
      </c>
      <c r="CW2851" t="s">
        <v>120</v>
      </c>
      <c r="CX2851">
        <v>257</v>
      </c>
      <c r="CY2851">
        <v>1</v>
      </c>
      <c r="CZ2851" t="s">
        <v>615</v>
      </c>
      <c r="DA2851" t="s">
        <v>616</v>
      </c>
      <c r="DD2851">
        <v>12477057</v>
      </c>
      <c r="DE2851" t="s">
        <v>123</v>
      </c>
    </row>
    <row r="2852" spans="1:109" x14ac:dyDescent="0.3">
      <c r="A2852" t="str">
        <f>"19:22:25.898"</f>
        <v>19:22:25.898</v>
      </c>
      <c r="B2852" t="s">
        <v>110</v>
      </c>
      <c r="C2852" t="str">
        <f t="shared" si="132"/>
        <v>ffdfd3c0</v>
      </c>
      <c r="D2852" t="s">
        <v>111</v>
      </c>
      <c r="E2852">
        <v>18</v>
      </c>
      <c r="F2852">
        <v>1018</v>
      </c>
      <c r="G2852" t="s">
        <v>112</v>
      </c>
      <c r="J2852" t="s">
        <v>113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R2852" t="s">
        <v>114</v>
      </c>
      <c r="S2852" t="str">
        <f>"19:22:25.680"</f>
        <v>19:22:25.680</v>
      </c>
      <c r="T2852" t="str">
        <f>"19:22:25.281"</f>
        <v>19:22:25.281</v>
      </c>
      <c r="U2852" t="str">
        <f t="shared" si="133"/>
        <v>a1cdbe</v>
      </c>
      <c r="V2852">
        <v>0</v>
      </c>
      <c r="W2852">
        <v>0</v>
      </c>
      <c r="X2852">
        <v>1</v>
      </c>
      <c r="Y2852">
        <v>0</v>
      </c>
      <c r="Z2852">
        <v>0</v>
      </c>
      <c r="AB2852">
        <v>0</v>
      </c>
      <c r="AC2852">
        <v>9</v>
      </c>
      <c r="AD2852">
        <v>3</v>
      </c>
      <c r="AE2852">
        <v>0</v>
      </c>
      <c r="AF2852">
        <v>9</v>
      </c>
      <c r="AG2852" t="s">
        <v>158</v>
      </c>
      <c r="AH2852">
        <v>0</v>
      </c>
      <c r="AI2852">
        <v>3</v>
      </c>
      <c r="AJ2852">
        <v>1</v>
      </c>
      <c r="AK2852">
        <v>0</v>
      </c>
      <c r="AL2852" t="s">
        <v>5369</v>
      </c>
      <c r="AM2852">
        <v>46.978225999999999</v>
      </c>
      <c r="AN2852" t="s">
        <v>5370</v>
      </c>
      <c r="AO2852">
        <v>-123.44079499999999</v>
      </c>
      <c r="AP2852">
        <v>100</v>
      </c>
      <c r="AQ2852">
        <v>2000</v>
      </c>
      <c r="AR2852" t="s">
        <v>118</v>
      </c>
      <c r="AS2852">
        <v>-80</v>
      </c>
      <c r="AT2852">
        <v>7</v>
      </c>
      <c r="AU2852">
        <v>-64</v>
      </c>
      <c r="BC2852">
        <v>1200</v>
      </c>
      <c r="BD2852">
        <v>1</v>
      </c>
      <c r="BE2852" t="str">
        <f t="shared" si="134"/>
        <v xml:space="preserve">N215T   </v>
      </c>
      <c r="BF2852">
        <v>1</v>
      </c>
      <c r="BH2852">
        <v>0</v>
      </c>
      <c r="BI2852">
        <v>0</v>
      </c>
      <c r="BJ2852">
        <v>0</v>
      </c>
      <c r="BK2852">
        <v>2400</v>
      </c>
      <c r="BL2852">
        <v>400</v>
      </c>
      <c r="BM2852" t="s">
        <v>119</v>
      </c>
      <c r="BN2852">
        <v>1</v>
      </c>
      <c r="BO2852">
        <v>1</v>
      </c>
      <c r="BP2852">
        <v>1</v>
      </c>
      <c r="BQ2852">
        <v>0</v>
      </c>
      <c r="BT2852">
        <v>0</v>
      </c>
      <c r="BU2852">
        <v>0</v>
      </c>
      <c r="BV2852">
        <v>0</v>
      </c>
      <c r="CC2852" t="str">
        <f>"19:22:25.680"</f>
        <v>19:22:25.680</v>
      </c>
      <c r="CD2852" t="str">
        <f>"681689124"</f>
        <v>681689124</v>
      </c>
      <c r="CQ2852">
        <v>0</v>
      </c>
      <c r="CR2852">
        <v>2</v>
      </c>
      <c r="CS2852">
        <v>0</v>
      </c>
      <c r="CT2852">
        <v>2</v>
      </c>
      <c r="CU2852">
        <v>0</v>
      </c>
      <c r="CV2852">
        <v>6</v>
      </c>
      <c r="CW2852" t="s">
        <v>120</v>
      </c>
      <c r="CX2852">
        <v>257</v>
      </c>
      <c r="CY2852">
        <v>1</v>
      </c>
      <c r="CZ2852" t="s">
        <v>615</v>
      </c>
      <c r="DA2852" t="s">
        <v>616</v>
      </c>
      <c r="DD2852">
        <v>12477655</v>
      </c>
      <c r="DE2852" t="s">
        <v>123</v>
      </c>
    </row>
    <row r="2853" spans="1:109" x14ac:dyDescent="0.3">
      <c r="A2853" t="str">
        <f>"19:22:27.102"</f>
        <v>19:22:27.102</v>
      </c>
      <c r="B2853" t="s">
        <v>110</v>
      </c>
      <c r="C2853" t="str">
        <f t="shared" si="132"/>
        <v>ffdfd3c0</v>
      </c>
      <c r="D2853" t="s">
        <v>111</v>
      </c>
      <c r="E2853">
        <v>18</v>
      </c>
      <c r="F2853">
        <v>1018</v>
      </c>
      <c r="G2853" t="s">
        <v>112</v>
      </c>
      <c r="J2853" t="s">
        <v>113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R2853" t="s">
        <v>114</v>
      </c>
      <c r="S2853" t="str">
        <f>"19:22:26.859"</f>
        <v>19:22:26.859</v>
      </c>
      <c r="T2853" t="str">
        <f>"19:22:26.758"</f>
        <v>19:22:26.758</v>
      </c>
      <c r="U2853" t="str">
        <f t="shared" si="133"/>
        <v>a1cdbe</v>
      </c>
      <c r="V2853">
        <v>0</v>
      </c>
      <c r="W2853">
        <v>0</v>
      </c>
      <c r="X2853">
        <v>1</v>
      </c>
      <c r="Y2853">
        <v>0</v>
      </c>
      <c r="Z2853">
        <v>0</v>
      </c>
      <c r="AB2853">
        <v>0</v>
      </c>
      <c r="AC2853">
        <v>9</v>
      </c>
      <c r="AD2853">
        <v>3</v>
      </c>
      <c r="AE2853">
        <v>0</v>
      </c>
      <c r="AF2853">
        <v>9</v>
      </c>
      <c r="AG2853" t="s">
        <v>158</v>
      </c>
      <c r="AH2853">
        <v>0</v>
      </c>
      <c r="AI2853">
        <v>3</v>
      </c>
      <c r="AJ2853">
        <v>1</v>
      </c>
      <c r="AK2853">
        <v>0</v>
      </c>
      <c r="AL2853" t="s">
        <v>5369</v>
      </c>
      <c r="AM2853">
        <v>46.978225999999999</v>
      </c>
      <c r="AN2853" t="s">
        <v>5371</v>
      </c>
      <c r="AO2853">
        <v>-123.441417</v>
      </c>
      <c r="AP2853">
        <v>100</v>
      </c>
      <c r="AQ2853">
        <v>2000</v>
      </c>
      <c r="AR2853" t="s">
        <v>118</v>
      </c>
      <c r="AS2853">
        <v>-81</v>
      </c>
      <c r="AT2853">
        <v>7</v>
      </c>
      <c r="AU2853">
        <v>-64</v>
      </c>
      <c r="BC2853">
        <v>1200</v>
      </c>
      <c r="BD2853">
        <v>1</v>
      </c>
      <c r="BE2853" t="str">
        <f t="shared" si="134"/>
        <v xml:space="preserve">N215T   </v>
      </c>
      <c r="BF2853">
        <v>1</v>
      </c>
      <c r="BH2853">
        <v>0</v>
      </c>
      <c r="BI2853">
        <v>0</v>
      </c>
      <c r="BJ2853">
        <v>0</v>
      </c>
      <c r="BK2853">
        <v>2425</v>
      </c>
      <c r="BL2853">
        <v>425</v>
      </c>
      <c r="BM2853" t="s">
        <v>119</v>
      </c>
      <c r="BN2853">
        <v>1</v>
      </c>
      <c r="BO2853">
        <v>1</v>
      </c>
      <c r="BP2853">
        <v>1</v>
      </c>
      <c r="BQ2853">
        <v>0</v>
      </c>
      <c r="BT2853">
        <v>0</v>
      </c>
      <c r="BU2853">
        <v>0</v>
      </c>
      <c r="BV2853">
        <v>0</v>
      </c>
      <c r="CC2853" t="str">
        <f>"19:22:26.867"</f>
        <v>19:22:26.867</v>
      </c>
      <c r="CD2853" t="str">
        <f>"866572326"</f>
        <v>866572326</v>
      </c>
      <c r="CQ2853">
        <v>0</v>
      </c>
      <c r="CR2853">
        <v>2</v>
      </c>
      <c r="CS2853">
        <v>0</v>
      </c>
      <c r="CT2853">
        <v>2</v>
      </c>
      <c r="CU2853">
        <v>0</v>
      </c>
      <c r="CV2853">
        <v>6</v>
      </c>
      <c r="CW2853" t="s">
        <v>120</v>
      </c>
      <c r="CX2853">
        <v>257</v>
      </c>
      <c r="CY2853">
        <v>1</v>
      </c>
      <c r="CZ2853" t="s">
        <v>615</v>
      </c>
      <c r="DA2853" t="s">
        <v>616</v>
      </c>
      <c r="DD2853">
        <v>12478449</v>
      </c>
      <c r="DE2853" t="s">
        <v>123</v>
      </c>
    </row>
    <row r="2854" spans="1:109" x14ac:dyDescent="0.3">
      <c r="A2854" t="str">
        <f>"19:22:28.055"</f>
        <v>19:22:28.055</v>
      </c>
      <c r="B2854" t="s">
        <v>110</v>
      </c>
      <c r="C2854" t="str">
        <f t="shared" si="132"/>
        <v>ffdfd3c0</v>
      </c>
      <c r="D2854" t="s">
        <v>111</v>
      </c>
      <c r="E2854">
        <v>18</v>
      </c>
      <c r="F2854">
        <v>1018</v>
      </c>
      <c r="G2854" t="s">
        <v>112</v>
      </c>
      <c r="J2854" t="s">
        <v>113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R2854" t="s">
        <v>114</v>
      </c>
      <c r="S2854" t="str">
        <f>"19:22:27.836"</f>
        <v>19:22:27.836</v>
      </c>
      <c r="T2854" t="str">
        <f>"19:22:27.336"</f>
        <v>19:22:27.336</v>
      </c>
      <c r="U2854" t="str">
        <f t="shared" si="133"/>
        <v>a1cdbe</v>
      </c>
      <c r="V2854">
        <v>0</v>
      </c>
      <c r="W2854">
        <v>0</v>
      </c>
      <c r="X2854">
        <v>1</v>
      </c>
      <c r="Y2854">
        <v>0</v>
      </c>
      <c r="Z2854">
        <v>0</v>
      </c>
      <c r="AB2854">
        <v>0</v>
      </c>
      <c r="AC2854">
        <v>9</v>
      </c>
      <c r="AD2854">
        <v>3</v>
      </c>
      <c r="AE2854">
        <v>0</v>
      </c>
      <c r="AF2854">
        <v>9</v>
      </c>
      <c r="AG2854" t="s">
        <v>158</v>
      </c>
      <c r="AH2854">
        <v>0</v>
      </c>
      <c r="AI2854">
        <v>3</v>
      </c>
      <c r="AJ2854">
        <v>1</v>
      </c>
      <c r="AK2854">
        <v>0</v>
      </c>
      <c r="AL2854" t="s">
        <v>5372</v>
      </c>
      <c r="AM2854">
        <v>46.978290000000001</v>
      </c>
      <c r="AN2854" t="s">
        <v>5373</v>
      </c>
      <c r="AO2854">
        <v>-123.441954</v>
      </c>
      <c r="AP2854">
        <v>100</v>
      </c>
      <c r="AQ2854">
        <v>2000</v>
      </c>
      <c r="AR2854" t="s">
        <v>118</v>
      </c>
      <c r="AS2854">
        <v>-81</v>
      </c>
      <c r="AT2854">
        <v>7</v>
      </c>
      <c r="AU2854">
        <v>-64</v>
      </c>
      <c r="BC2854">
        <v>1200</v>
      </c>
      <c r="BD2854">
        <v>1</v>
      </c>
      <c r="BE2854" t="str">
        <f t="shared" si="134"/>
        <v xml:space="preserve">N215T   </v>
      </c>
      <c r="BF2854">
        <v>1</v>
      </c>
      <c r="BH2854">
        <v>0</v>
      </c>
      <c r="BI2854">
        <v>0</v>
      </c>
      <c r="BJ2854">
        <v>0</v>
      </c>
      <c r="BK2854">
        <v>2400</v>
      </c>
      <c r="BL2854">
        <v>400</v>
      </c>
      <c r="BM2854" t="s">
        <v>119</v>
      </c>
      <c r="BN2854">
        <v>1</v>
      </c>
      <c r="BO2854">
        <v>1</v>
      </c>
      <c r="BP2854">
        <v>1</v>
      </c>
      <c r="BQ2854">
        <v>0</v>
      </c>
      <c r="BT2854">
        <v>0</v>
      </c>
      <c r="BU2854">
        <v>0</v>
      </c>
      <c r="BV2854">
        <v>0</v>
      </c>
      <c r="CC2854" t="str">
        <f>"19:22:27.844"</f>
        <v>19:22:27.844</v>
      </c>
      <c r="CD2854" t="str">
        <f>"841476229"</f>
        <v>841476229</v>
      </c>
      <c r="CQ2854">
        <v>0</v>
      </c>
      <c r="CR2854">
        <v>2</v>
      </c>
      <c r="CS2854">
        <v>0</v>
      </c>
      <c r="CT2854">
        <v>2</v>
      </c>
      <c r="CU2854">
        <v>0</v>
      </c>
      <c r="CV2854">
        <v>6</v>
      </c>
      <c r="CW2854" t="s">
        <v>120</v>
      </c>
      <c r="CX2854">
        <v>257</v>
      </c>
      <c r="CY2854">
        <v>1</v>
      </c>
      <c r="CZ2854" t="s">
        <v>615</v>
      </c>
      <c r="DA2854" t="s">
        <v>616</v>
      </c>
      <c r="DD2854">
        <v>12479113</v>
      </c>
      <c r="DE2854" t="s">
        <v>123</v>
      </c>
    </row>
    <row r="2855" spans="1:109" x14ac:dyDescent="0.3">
      <c r="A2855" t="str">
        <f>"19:22:28.859"</f>
        <v>19:22:28.859</v>
      </c>
      <c r="B2855" t="s">
        <v>110</v>
      </c>
      <c r="C2855" t="str">
        <f t="shared" si="132"/>
        <v>ffdfd3c0</v>
      </c>
      <c r="D2855" t="s">
        <v>111</v>
      </c>
      <c r="E2855">
        <v>18</v>
      </c>
      <c r="F2855">
        <v>1018</v>
      </c>
      <c r="G2855" t="s">
        <v>112</v>
      </c>
      <c r="J2855" t="s">
        <v>113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R2855" t="s">
        <v>114</v>
      </c>
      <c r="S2855" t="str">
        <f>"19:22:28.664"</f>
        <v>19:22:28.664</v>
      </c>
      <c r="T2855" t="str">
        <f>"19:22:28.461"</f>
        <v>19:22:28.461</v>
      </c>
      <c r="U2855" t="str">
        <f t="shared" si="133"/>
        <v>a1cdbe</v>
      </c>
      <c r="V2855">
        <v>0</v>
      </c>
      <c r="W2855">
        <v>0</v>
      </c>
      <c r="X2855">
        <v>1</v>
      </c>
      <c r="Y2855">
        <v>0</v>
      </c>
      <c r="Z2855">
        <v>0</v>
      </c>
      <c r="AB2855">
        <v>0</v>
      </c>
      <c r="AC2855">
        <v>9</v>
      </c>
      <c r="AD2855">
        <v>3</v>
      </c>
      <c r="AE2855">
        <v>0</v>
      </c>
      <c r="AF2855">
        <v>9</v>
      </c>
      <c r="AG2855" t="s">
        <v>158</v>
      </c>
      <c r="AH2855">
        <v>0</v>
      </c>
      <c r="AI2855">
        <v>3</v>
      </c>
      <c r="AJ2855">
        <v>1</v>
      </c>
      <c r="AK2855">
        <v>0</v>
      </c>
      <c r="AL2855" t="s">
        <v>5374</v>
      </c>
      <c r="AM2855">
        <v>46.978332999999999</v>
      </c>
      <c r="AN2855" t="s">
        <v>5375</v>
      </c>
      <c r="AO2855">
        <v>-123.442447</v>
      </c>
      <c r="AP2855">
        <v>100</v>
      </c>
      <c r="AQ2855">
        <v>2000</v>
      </c>
      <c r="AR2855" t="s">
        <v>118</v>
      </c>
      <c r="AS2855">
        <v>-81</v>
      </c>
      <c r="AT2855">
        <v>7</v>
      </c>
      <c r="AU2855">
        <v>-64</v>
      </c>
      <c r="BC2855">
        <v>1200</v>
      </c>
      <c r="BD2855">
        <v>1</v>
      </c>
      <c r="BE2855" t="str">
        <f t="shared" si="134"/>
        <v xml:space="preserve">N215T   </v>
      </c>
      <c r="BF2855">
        <v>1</v>
      </c>
      <c r="BH2855">
        <v>0</v>
      </c>
      <c r="BI2855">
        <v>0</v>
      </c>
      <c r="BJ2855">
        <v>0</v>
      </c>
      <c r="BK2855">
        <v>2400</v>
      </c>
      <c r="BL2855">
        <v>400</v>
      </c>
      <c r="BM2855" t="s">
        <v>119</v>
      </c>
      <c r="BN2855">
        <v>1</v>
      </c>
      <c r="BO2855">
        <v>1</v>
      </c>
      <c r="BP2855">
        <v>1</v>
      </c>
      <c r="BQ2855">
        <v>0</v>
      </c>
      <c r="BT2855">
        <v>0</v>
      </c>
      <c r="BU2855">
        <v>0</v>
      </c>
      <c r="BV2855">
        <v>0</v>
      </c>
      <c r="CC2855" t="str">
        <f>"19:22:28.664"</f>
        <v>19:22:28.664</v>
      </c>
      <c r="CD2855" t="str">
        <f>"666394890"</f>
        <v>666394890</v>
      </c>
      <c r="CQ2855">
        <v>0</v>
      </c>
      <c r="CR2855">
        <v>2</v>
      </c>
      <c r="CS2855">
        <v>0</v>
      </c>
      <c r="CT2855">
        <v>2</v>
      </c>
      <c r="CU2855">
        <v>0</v>
      </c>
      <c r="CV2855">
        <v>6</v>
      </c>
      <c r="CW2855" t="s">
        <v>120</v>
      </c>
      <c r="CX2855">
        <v>257</v>
      </c>
      <c r="CY2855">
        <v>0</v>
      </c>
      <c r="CZ2855" t="s">
        <v>615</v>
      </c>
      <c r="DA2855" t="s">
        <v>616</v>
      </c>
      <c r="DD2855">
        <v>16135392</v>
      </c>
      <c r="DE2855" t="s">
        <v>123</v>
      </c>
    </row>
    <row r="2856" spans="1:109" x14ac:dyDescent="0.3">
      <c r="A2856" t="str">
        <f>"19:22:29.922"</f>
        <v>19:22:29.922</v>
      </c>
      <c r="B2856" t="s">
        <v>110</v>
      </c>
      <c r="C2856" t="str">
        <f t="shared" si="132"/>
        <v>ffdfd3c0</v>
      </c>
      <c r="D2856" t="s">
        <v>111</v>
      </c>
      <c r="E2856">
        <v>18</v>
      </c>
      <c r="F2856">
        <v>1018</v>
      </c>
      <c r="G2856" t="s">
        <v>112</v>
      </c>
      <c r="J2856" t="s">
        <v>113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R2856" t="s">
        <v>114</v>
      </c>
      <c r="S2856" t="str">
        <f>"19:22:29.695"</f>
        <v>19:22:29.695</v>
      </c>
      <c r="T2856" t="str">
        <f>"19:22:29.398"</f>
        <v>19:22:29.398</v>
      </c>
      <c r="U2856" t="str">
        <f t="shared" si="133"/>
        <v>a1cdbe</v>
      </c>
      <c r="V2856">
        <v>0</v>
      </c>
      <c r="W2856">
        <v>0</v>
      </c>
      <c r="X2856">
        <v>1</v>
      </c>
      <c r="Y2856">
        <v>0</v>
      </c>
      <c r="Z2856">
        <v>0</v>
      </c>
      <c r="AB2856">
        <v>0</v>
      </c>
      <c r="AC2856">
        <v>9</v>
      </c>
      <c r="AD2856">
        <v>3</v>
      </c>
      <c r="AE2856">
        <v>0</v>
      </c>
      <c r="AF2856">
        <v>9</v>
      </c>
      <c r="AG2856" t="s">
        <v>158</v>
      </c>
      <c r="AH2856">
        <v>0</v>
      </c>
      <c r="AI2856">
        <v>3</v>
      </c>
      <c r="AJ2856">
        <v>1</v>
      </c>
      <c r="AK2856">
        <v>0</v>
      </c>
      <c r="AL2856" t="s">
        <v>5376</v>
      </c>
      <c r="AM2856">
        <v>46.978354000000003</v>
      </c>
      <c r="AN2856" t="s">
        <v>5377</v>
      </c>
      <c r="AO2856">
        <v>-123.443005</v>
      </c>
      <c r="AP2856">
        <v>100</v>
      </c>
      <c r="AQ2856">
        <v>2000</v>
      </c>
      <c r="AR2856" t="s">
        <v>118</v>
      </c>
      <c r="AS2856">
        <v>-81</v>
      </c>
      <c r="AT2856">
        <v>8</v>
      </c>
      <c r="AU2856">
        <v>-64</v>
      </c>
      <c r="BC2856">
        <v>1200</v>
      </c>
      <c r="BD2856">
        <v>1</v>
      </c>
      <c r="BE2856" t="str">
        <f t="shared" si="134"/>
        <v xml:space="preserve">N215T   </v>
      </c>
      <c r="BF2856">
        <v>1</v>
      </c>
      <c r="BH2856">
        <v>0</v>
      </c>
      <c r="BI2856">
        <v>0</v>
      </c>
      <c r="BJ2856">
        <v>0</v>
      </c>
      <c r="BK2856">
        <v>2400</v>
      </c>
      <c r="BL2856">
        <v>400</v>
      </c>
      <c r="BM2856" t="s">
        <v>119</v>
      </c>
      <c r="BN2856">
        <v>1</v>
      </c>
      <c r="BO2856">
        <v>1</v>
      </c>
      <c r="BP2856">
        <v>1</v>
      </c>
      <c r="BQ2856">
        <v>0</v>
      </c>
      <c r="BT2856">
        <v>0</v>
      </c>
      <c r="BU2856">
        <v>0</v>
      </c>
      <c r="BV2856">
        <v>0</v>
      </c>
      <c r="CC2856" t="str">
        <f>"19:22:29.703"</f>
        <v>19:22:29.703</v>
      </c>
      <c r="CD2856" t="str">
        <f>"701292897"</f>
        <v>701292897</v>
      </c>
      <c r="CQ2856">
        <v>0</v>
      </c>
      <c r="CR2856">
        <v>2</v>
      </c>
      <c r="CS2856">
        <v>0</v>
      </c>
      <c r="CT2856">
        <v>2</v>
      </c>
      <c r="CU2856">
        <v>0</v>
      </c>
      <c r="CV2856">
        <v>6</v>
      </c>
      <c r="CW2856" t="s">
        <v>120</v>
      </c>
      <c r="CX2856">
        <v>257</v>
      </c>
      <c r="CY2856">
        <v>1</v>
      </c>
      <c r="CZ2856" t="s">
        <v>615</v>
      </c>
      <c r="DA2856" t="s">
        <v>616</v>
      </c>
      <c r="DD2856">
        <v>12480413</v>
      </c>
      <c r="DE2856" t="s">
        <v>123</v>
      </c>
    </row>
    <row r="2857" spans="1:109" x14ac:dyDescent="0.3">
      <c r="A2857" t="str">
        <f>"19:22:30.875"</f>
        <v>19:22:30.875</v>
      </c>
      <c r="B2857" t="s">
        <v>110</v>
      </c>
      <c r="C2857" t="str">
        <f t="shared" si="132"/>
        <v>ffdfd3c0</v>
      </c>
      <c r="D2857" t="s">
        <v>111</v>
      </c>
      <c r="E2857">
        <v>18</v>
      </c>
      <c r="F2857">
        <v>1018</v>
      </c>
      <c r="G2857" t="s">
        <v>112</v>
      </c>
      <c r="J2857" t="s">
        <v>113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R2857" t="s">
        <v>114</v>
      </c>
      <c r="S2857" t="str">
        <f>"19:22:30.641"</f>
        <v>19:22:30.641</v>
      </c>
      <c r="T2857" t="str">
        <f>"19:22:30.344"</f>
        <v>19:22:30.344</v>
      </c>
      <c r="U2857" t="str">
        <f t="shared" si="133"/>
        <v>a1cdbe</v>
      </c>
      <c r="V2857">
        <v>0</v>
      </c>
      <c r="W2857">
        <v>0</v>
      </c>
      <c r="X2857">
        <v>1</v>
      </c>
      <c r="Y2857">
        <v>0</v>
      </c>
      <c r="Z2857">
        <v>0</v>
      </c>
      <c r="AB2857">
        <v>0</v>
      </c>
      <c r="AC2857">
        <v>9</v>
      </c>
      <c r="AD2857">
        <v>3</v>
      </c>
      <c r="AE2857">
        <v>0</v>
      </c>
      <c r="AF2857">
        <v>9</v>
      </c>
      <c r="AG2857" t="s">
        <v>158</v>
      </c>
      <c r="AH2857">
        <v>0</v>
      </c>
      <c r="AI2857">
        <v>3</v>
      </c>
      <c r="AJ2857">
        <v>1</v>
      </c>
      <c r="AK2857">
        <v>0</v>
      </c>
      <c r="AL2857" t="s">
        <v>5378</v>
      </c>
      <c r="AM2857">
        <v>46.978375999999997</v>
      </c>
      <c r="AN2857" t="s">
        <v>5379</v>
      </c>
      <c r="AO2857">
        <v>-123.44352000000001</v>
      </c>
      <c r="AP2857">
        <v>100</v>
      </c>
      <c r="AQ2857">
        <v>2000</v>
      </c>
      <c r="AR2857" t="s">
        <v>118</v>
      </c>
      <c r="AS2857">
        <v>-81</v>
      </c>
      <c r="AT2857">
        <v>8</v>
      </c>
      <c r="AU2857">
        <v>-64</v>
      </c>
      <c r="BC2857">
        <v>1200</v>
      </c>
      <c r="BD2857">
        <v>1</v>
      </c>
      <c r="BE2857" t="str">
        <f t="shared" si="134"/>
        <v xml:space="preserve">N215T   </v>
      </c>
      <c r="BF2857">
        <v>1</v>
      </c>
      <c r="BH2857">
        <v>0</v>
      </c>
      <c r="BI2857">
        <v>0</v>
      </c>
      <c r="BJ2857">
        <v>0</v>
      </c>
      <c r="BK2857">
        <v>2400</v>
      </c>
      <c r="BL2857">
        <v>400</v>
      </c>
      <c r="BM2857" t="s">
        <v>119</v>
      </c>
      <c r="BN2857">
        <v>1</v>
      </c>
      <c r="BO2857">
        <v>1</v>
      </c>
      <c r="BP2857">
        <v>1</v>
      </c>
      <c r="BQ2857">
        <v>0</v>
      </c>
      <c r="BT2857">
        <v>0</v>
      </c>
      <c r="BU2857">
        <v>0</v>
      </c>
      <c r="BV2857">
        <v>0</v>
      </c>
      <c r="CC2857" t="str">
        <f>"19:22:30.648"</f>
        <v>19:22:30.648</v>
      </c>
      <c r="CD2857" t="str">
        <f>"646199731"</f>
        <v>646199731</v>
      </c>
      <c r="CQ2857">
        <v>0</v>
      </c>
      <c r="CR2857">
        <v>2</v>
      </c>
      <c r="CS2857">
        <v>0</v>
      </c>
      <c r="CT2857">
        <v>2</v>
      </c>
      <c r="CU2857">
        <v>0</v>
      </c>
      <c r="CV2857">
        <v>6</v>
      </c>
      <c r="CW2857" t="s">
        <v>120</v>
      </c>
      <c r="CX2857">
        <v>257</v>
      </c>
      <c r="CY2857">
        <v>0</v>
      </c>
      <c r="CZ2857" t="s">
        <v>615</v>
      </c>
      <c r="DA2857" t="s">
        <v>616</v>
      </c>
      <c r="DD2857">
        <v>16136369</v>
      </c>
      <c r="DE2857" t="s">
        <v>123</v>
      </c>
    </row>
    <row r="2858" spans="1:109" x14ac:dyDescent="0.3">
      <c r="A2858" t="str">
        <f>"19:22:31.930"</f>
        <v>19:22:31.930</v>
      </c>
      <c r="B2858" t="s">
        <v>110</v>
      </c>
      <c r="C2858" t="str">
        <f t="shared" si="132"/>
        <v>ffdfd3c0</v>
      </c>
      <c r="D2858" t="s">
        <v>111</v>
      </c>
      <c r="E2858">
        <v>18</v>
      </c>
      <c r="F2858">
        <v>1018</v>
      </c>
      <c r="G2858" t="s">
        <v>112</v>
      </c>
      <c r="J2858" t="s">
        <v>113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R2858" t="s">
        <v>114</v>
      </c>
      <c r="S2858" t="str">
        <f>"19:22:31.711"</f>
        <v>19:22:31.711</v>
      </c>
      <c r="T2858" t="str">
        <f>"19:22:31.508"</f>
        <v>19:22:31.508</v>
      </c>
      <c r="U2858" t="str">
        <f t="shared" si="133"/>
        <v>a1cdbe</v>
      </c>
      <c r="V2858">
        <v>0</v>
      </c>
      <c r="W2858">
        <v>0</v>
      </c>
      <c r="X2858">
        <v>1</v>
      </c>
      <c r="Y2858">
        <v>0</v>
      </c>
      <c r="Z2858">
        <v>0</v>
      </c>
      <c r="AB2858">
        <v>0</v>
      </c>
      <c r="AC2858">
        <v>9</v>
      </c>
      <c r="AD2858">
        <v>3</v>
      </c>
      <c r="AE2858">
        <v>0</v>
      </c>
      <c r="AF2858">
        <v>9</v>
      </c>
      <c r="AG2858" t="s">
        <v>158</v>
      </c>
      <c r="AH2858">
        <v>0</v>
      </c>
      <c r="AI2858">
        <v>3</v>
      </c>
      <c r="AJ2858">
        <v>1</v>
      </c>
      <c r="AK2858">
        <v>0</v>
      </c>
      <c r="AL2858" t="s">
        <v>941</v>
      </c>
      <c r="AM2858">
        <v>46.978419000000002</v>
      </c>
      <c r="AN2858" t="s">
        <v>5380</v>
      </c>
      <c r="AO2858">
        <v>-123.44409899999999</v>
      </c>
      <c r="AP2858">
        <v>100</v>
      </c>
      <c r="AQ2858">
        <v>2000</v>
      </c>
      <c r="AR2858" t="s">
        <v>118</v>
      </c>
      <c r="AS2858">
        <v>-81</v>
      </c>
      <c r="AT2858">
        <v>8</v>
      </c>
      <c r="AU2858">
        <v>-64</v>
      </c>
      <c r="BC2858">
        <v>1200</v>
      </c>
      <c r="BD2858">
        <v>1</v>
      </c>
      <c r="BE2858" t="str">
        <f t="shared" si="134"/>
        <v xml:space="preserve">N215T   </v>
      </c>
      <c r="BF2858">
        <v>1</v>
      </c>
      <c r="BH2858">
        <v>0</v>
      </c>
      <c r="BI2858">
        <v>0</v>
      </c>
      <c r="BJ2858">
        <v>0</v>
      </c>
      <c r="BK2858">
        <v>2400</v>
      </c>
      <c r="BL2858">
        <v>400</v>
      </c>
      <c r="BM2858" t="s">
        <v>119</v>
      </c>
      <c r="BN2858">
        <v>1</v>
      </c>
      <c r="BO2858">
        <v>1</v>
      </c>
      <c r="BP2858">
        <v>1</v>
      </c>
      <c r="BQ2858">
        <v>0</v>
      </c>
      <c r="BT2858">
        <v>0</v>
      </c>
      <c r="BU2858">
        <v>0</v>
      </c>
      <c r="BV2858">
        <v>0</v>
      </c>
      <c r="CC2858" t="str">
        <f>"19:22:31.711"</f>
        <v>19:22:31.711</v>
      </c>
      <c r="CD2858" t="str">
        <f>"711094780"</f>
        <v>711094780</v>
      </c>
      <c r="CQ2858">
        <v>0</v>
      </c>
      <c r="CR2858">
        <v>2</v>
      </c>
      <c r="CS2858">
        <v>0</v>
      </c>
      <c r="CT2858">
        <v>2</v>
      </c>
      <c r="CU2858">
        <v>0</v>
      </c>
      <c r="CV2858">
        <v>6</v>
      </c>
      <c r="CW2858" t="s">
        <v>120</v>
      </c>
      <c r="CX2858">
        <v>257</v>
      </c>
      <c r="CY2858">
        <v>0</v>
      </c>
      <c r="CZ2858" t="s">
        <v>615</v>
      </c>
      <c r="DA2858" t="s">
        <v>616</v>
      </c>
      <c r="DD2858">
        <v>16136942</v>
      </c>
      <c r="DE2858" t="s">
        <v>123</v>
      </c>
    </row>
    <row r="2859" spans="1:109" x14ac:dyDescent="0.3">
      <c r="A2859" t="str">
        <f>"19:22:33.133"</f>
        <v>19:22:33.133</v>
      </c>
      <c r="B2859" t="s">
        <v>110</v>
      </c>
      <c r="C2859" t="str">
        <f t="shared" si="132"/>
        <v>ffdfd3c0</v>
      </c>
      <c r="D2859" t="s">
        <v>111</v>
      </c>
      <c r="E2859">
        <v>18</v>
      </c>
      <c r="F2859">
        <v>1018</v>
      </c>
      <c r="G2859" t="s">
        <v>112</v>
      </c>
      <c r="J2859" t="s">
        <v>113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R2859" t="s">
        <v>114</v>
      </c>
      <c r="S2859" t="str">
        <f>"19:22:32.859"</f>
        <v>19:22:32.859</v>
      </c>
      <c r="T2859" t="str">
        <f>"19:22:32.563"</f>
        <v>19:22:32.563</v>
      </c>
      <c r="U2859" t="str">
        <f t="shared" si="133"/>
        <v>a1cdbe</v>
      </c>
      <c r="V2859">
        <v>0</v>
      </c>
      <c r="W2859">
        <v>0</v>
      </c>
      <c r="X2859">
        <v>1</v>
      </c>
      <c r="Y2859">
        <v>0</v>
      </c>
      <c r="Z2859">
        <v>0</v>
      </c>
      <c r="AB2859">
        <v>0</v>
      </c>
      <c r="AC2859">
        <v>9</v>
      </c>
      <c r="AD2859">
        <v>3</v>
      </c>
      <c r="AE2859">
        <v>0</v>
      </c>
      <c r="AF2859">
        <v>9</v>
      </c>
      <c r="AG2859" t="s">
        <v>158</v>
      </c>
      <c r="AH2859">
        <v>0</v>
      </c>
      <c r="AI2859">
        <v>3</v>
      </c>
      <c r="AJ2859">
        <v>1</v>
      </c>
      <c r="AK2859">
        <v>0</v>
      </c>
      <c r="AL2859" t="s">
        <v>5381</v>
      </c>
      <c r="AM2859">
        <v>46.978462</v>
      </c>
      <c r="AN2859" t="s">
        <v>5382</v>
      </c>
      <c r="AO2859">
        <v>-123.444722</v>
      </c>
      <c r="AP2859">
        <v>100</v>
      </c>
      <c r="AQ2859">
        <v>2000</v>
      </c>
      <c r="AR2859" t="s">
        <v>118</v>
      </c>
      <c r="AS2859">
        <v>-81</v>
      </c>
      <c r="AT2859">
        <v>9</v>
      </c>
      <c r="AU2859">
        <v>0</v>
      </c>
      <c r="BC2859">
        <v>1200</v>
      </c>
      <c r="BD2859">
        <v>1</v>
      </c>
      <c r="BE2859" t="str">
        <f t="shared" si="134"/>
        <v xml:space="preserve">N215T   </v>
      </c>
      <c r="BF2859">
        <v>1</v>
      </c>
      <c r="BH2859">
        <v>0</v>
      </c>
      <c r="BI2859">
        <v>0</v>
      </c>
      <c r="BJ2859">
        <v>0</v>
      </c>
      <c r="BK2859">
        <v>2400</v>
      </c>
      <c r="BL2859">
        <v>400</v>
      </c>
      <c r="BM2859" t="s">
        <v>119</v>
      </c>
      <c r="BN2859">
        <v>1</v>
      </c>
      <c r="BO2859">
        <v>1</v>
      </c>
      <c r="BP2859">
        <v>1</v>
      </c>
      <c r="BQ2859">
        <v>0</v>
      </c>
      <c r="BT2859">
        <v>0</v>
      </c>
      <c r="BU2859">
        <v>0</v>
      </c>
      <c r="BV2859">
        <v>0</v>
      </c>
      <c r="CC2859" t="str">
        <f>"19:22:32.867"</f>
        <v>19:22:32.867</v>
      </c>
      <c r="CD2859" t="str">
        <f>"865980923"</f>
        <v>865980923</v>
      </c>
      <c r="CQ2859">
        <v>0</v>
      </c>
      <c r="CR2859">
        <v>2</v>
      </c>
      <c r="CS2859">
        <v>0</v>
      </c>
      <c r="CT2859">
        <v>2</v>
      </c>
      <c r="CU2859">
        <v>0</v>
      </c>
      <c r="CV2859">
        <v>6</v>
      </c>
      <c r="CW2859" t="s">
        <v>120</v>
      </c>
      <c r="CX2859">
        <v>257</v>
      </c>
      <c r="CY2859">
        <v>0</v>
      </c>
      <c r="CZ2859" t="s">
        <v>615</v>
      </c>
      <c r="DA2859" t="s">
        <v>616</v>
      </c>
      <c r="DD2859">
        <v>16137584</v>
      </c>
      <c r="DE2859" t="s">
        <v>123</v>
      </c>
    </row>
    <row r="2860" spans="1:109" x14ac:dyDescent="0.3">
      <c r="A2860" t="str">
        <f>"19:22:34.047"</f>
        <v>19:22:34.047</v>
      </c>
      <c r="B2860" t="s">
        <v>110</v>
      </c>
      <c r="C2860" t="str">
        <f t="shared" si="132"/>
        <v>ffdfd3c0</v>
      </c>
      <c r="D2860" t="s">
        <v>111</v>
      </c>
      <c r="E2860">
        <v>18</v>
      </c>
      <c r="F2860">
        <v>1018</v>
      </c>
      <c r="G2860" t="s">
        <v>112</v>
      </c>
      <c r="J2860" t="s">
        <v>113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R2860" t="s">
        <v>114</v>
      </c>
      <c r="S2860" t="str">
        <f>"19:22:33.805"</f>
        <v>19:22:33.805</v>
      </c>
      <c r="T2860" t="str">
        <f>"19:22:33.406"</f>
        <v>19:22:33.406</v>
      </c>
      <c r="U2860" t="str">
        <f t="shared" si="133"/>
        <v>a1cdbe</v>
      </c>
      <c r="V2860">
        <v>0</v>
      </c>
      <c r="W2860">
        <v>0</v>
      </c>
      <c r="X2860">
        <v>1</v>
      </c>
      <c r="Y2860">
        <v>0</v>
      </c>
      <c r="Z2860">
        <v>0</v>
      </c>
      <c r="AB2860">
        <v>0</v>
      </c>
      <c r="AC2860">
        <v>9</v>
      </c>
      <c r="AD2860">
        <v>3</v>
      </c>
      <c r="AE2860">
        <v>0</v>
      </c>
      <c r="AF2860">
        <v>9</v>
      </c>
      <c r="AG2860" t="s">
        <v>158</v>
      </c>
      <c r="AH2860">
        <v>0</v>
      </c>
      <c r="AI2860">
        <v>3</v>
      </c>
      <c r="AJ2860">
        <v>1</v>
      </c>
      <c r="AK2860">
        <v>0</v>
      </c>
      <c r="AL2860" t="s">
        <v>5383</v>
      </c>
      <c r="AM2860">
        <v>46.978526000000002</v>
      </c>
      <c r="AN2860" t="s">
        <v>5384</v>
      </c>
      <c r="AO2860">
        <v>-123.445194</v>
      </c>
      <c r="AP2860">
        <v>100</v>
      </c>
      <c r="AQ2860">
        <v>2000</v>
      </c>
      <c r="AR2860" t="s">
        <v>118</v>
      </c>
      <c r="AS2860">
        <v>-81</v>
      </c>
      <c r="AT2860">
        <v>9</v>
      </c>
      <c r="AU2860">
        <v>0</v>
      </c>
      <c r="BC2860">
        <v>1200</v>
      </c>
      <c r="BD2860">
        <v>1</v>
      </c>
      <c r="BE2860" t="str">
        <f t="shared" si="134"/>
        <v xml:space="preserve">N215T   </v>
      </c>
      <c r="BF2860">
        <v>1</v>
      </c>
      <c r="BH2860">
        <v>0</v>
      </c>
      <c r="BI2860">
        <v>0</v>
      </c>
      <c r="BJ2860">
        <v>0</v>
      </c>
      <c r="BK2860">
        <v>2400</v>
      </c>
      <c r="BL2860">
        <v>400</v>
      </c>
      <c r="BM2860" t="s">
        <v>119</v>
      </c>
      <c r="BN2860">
        <v>1</v>
      </c>
      <c r="BO2860">
        <v>1</v>
      </c>
      <c r="BP2860">
        <v>1</v>
      </c>
      <c r="BQ2860">
        <v>0</v>
      </c>
      <c r="BT2860">
        <v>0</v>
      </c>
      <c r="BU2860">
        <v>0</v>
      </c>
      <c r="BV2860">
        <v>0</v>
      </c>
      <c r="CC2860" t="str">
        <f>"19:22:33.813"</f>
        <v>19:22:33.813</v>
      </c>
      <c r="CD2860" t="str">
        <f>"810887771"</f>
        <v>810887771</v>
      </c>
      <c r="CQ2860">
        <v>0</v>
      </c>
      <c r="CR2860">
        <v>2</v>
      </c>
      <c r="CS2860">
        <v>0</v>
      </c>
      <c r="CT2860">
        <v>2</v>
      </c>
      <c r="CU2860">
        <v>0</v>
      </c>
      <c r="CV2860">
        <v>6</v>
      </c>
      <c r="CW2860" t="s">
        <v>120</v>
      </c>
      <c r="CX2860">
        <v>257</v>
      </c>
      <c r="CY2860">
        <v>0</v>
      </c>
      <c r="CZ2860" t="s">
        <v>615</v>
      </c>
      <c r="DA2860" t="s">
        <v>616</v>
      </c>
      <c r="DD2860">
        <v>16138090</v>
      </c>
      <c r="DE2860" t="s">
        <v>123</v>
      </c>
    </row>
    <row r="2861" spans="1:109" x14ac:dyDescent="0.3">
      <c r="A2861" t="str">
        <f>"19:22:35.195"</f>
        <v>19:22:35.195</v>
      </c>
      <c r="B2861" t="s">
        <v>110</v>
      </c>
      <c r="C2861" t="str">
        <f t="shared" si="132"/>
        <v>ffdfd3c0</v>
      </c>
      <c r="D2861" t="s">
        <v>111</v>
      </c>
      <c r="E2861">
        <v>18</v>
      </c>
      <c r="F2861">
        <v>1018</v>
      </c>
      <c r="G2861" t="s">
        <v>112</v>
      </c>
      <c r="J2861" t="s">
        <v>113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R2861" t="s">
        <v>114</v>
      </c>
      <c r="S2861" t="str">
        <f>"19:22:34.945"</f>
        <v>19:22:34.945</v>
      </c>
      <c r="T2861" t="str">
        <f>"19:22:34.844"</f>
        <v>19:22:34.844</v>
      </c>
      <c r="U2861" t="str">
        <f t="shared" si="133"/>
        <v>a1cdbe</v>
      </c>
      <c r="V2861">
        <v>0</v>
      </c>
      <c r="W2861">
        <v>0</v>
      </c>
      <c r="X2861">
        <v>1</v>
      </c>
      <c r="Y2861">
        <v>0</v>
      </c>
      <c r="Z2861">
        <v>0</v>
      </c>
      <c r="AB2861">
        <v>0</v>
      </c>
      <c r="AC2861">
        <v>9</v>
      </c>
      <c r="AD2861">
        <v>3</v>
      </c>
      <c r="AE2861">
        <v>0</v>
      </c>
      <c r="AF2861">
        <v>9</v>
      </c>
      <c r="AG2861" t="s">
        <v>158</v>
      </c>
      <c r="AH2861">
        <v>0</v>
      </c>
      <c r="AI2861">
        <v>3</v>
      </c>
      <c r="AJ2861">
        <v>1</v>
      </c>
      <c r="AK2861">
        <v>0</v>
      </c>
      <c r="AL2861" t="s">
        <v>5385</v>
      </c>
      <c r="AM2861">
        <v>46.978548000000004</v>
      </c>
      <c r="AN2861" t="s">
        <v>5386</v>
      </c>
      <c r="AO2861">
        <v>-123.44588</v>
      </c>
      <c r="AP2861">
        <v>100</v>
      </c>
      <c r="AQ2861">
        <v>2000</v>
      </c>
      <c r="AR2861" t="s">
        <v>118</v>
      </c>
      <c r="AS2861">
        <v>-81</v>
      </c>
      <c r="AT2861">
        <v>9</v>
      </c>
      <c r="AU2861">
        <v>64</v>
      </c>
      <c r="BC2861">
        <v>1200</v>
      </c>
      <c r="BD2861">
        <v>1</v>
      </c>
      <c r="BE2861" t="str">
        <f t="shared" si="134"/>
        <v xml:space="preserve">N215T   </v>
      </c>
      <c r="BF2861">
        <v>1</v>
      </c>
      <c r="BH2861">
        <v>0</v>
      </c>
      <c r="BI2861">
        <v>0</v>
      </c>
      <c r="BJ2861">
        <v>0</v>
      </c>
      <c r="BK2861">
        <v>2400</v>
      </c>
      <c r="BL2861">
        <v>400</v>
      </c>
      <c r="BM2861" t="s">
        <v>119</v>
      </c>
      <c r="BN2861">
        <v>1</v>
      </c>
      <c r="BO2861">
        <v>1</v>
      </c>
      <c r="BP2861">
        <v>1</v>
      </c>
      <c r="BQ2861">
        <v>0</v>
      </c>
      <c r="BT2861">
        <v>0</v>
      </c>
      <c r="BU2861">
        <v>0</v>
      </c>
      <c r="BV2861">
        <v>0</v>
      </c>
      <c r="CC2861" t="str">
        <f>"19:22:34.953"</f>
        <v>19:22:34.953</v>
      </c>
      <c r="CD2861" t="str">
        <f>"950775408"</f>
        <v>950775408</v>
      </c>
      <c r="CQ2861">
        <v>0</v>
      </c>
      <c r="CR2861">
        <v>2</v>
      </c>
      <c r="CS2861">
        <v>0</v>
      </c>
      <c r="CT2861">
        <v>2</v>
      </c>
      <c r="CU2861">
        <v>0</v>
      </c>
      <c r="CV2861">
        <v>6</v>
      </c>
      <c r="CW2861" t="s">
        <v>120</v>
      </c>
      <c r="CX2861">
        <v>257</v>
      </c>
      <c r="CY2861">
        <v>0</v>
      </c>
      <c r="CZ2861" t="s">
        <v>615</v>
      </c>
      <c r="DA2861" t="s">
        <v>616</v>
      </c>
      <c r="DD2861">
        <v>16138676</v>
      </c>
      <c r="DE2861" t="s">
        <v>123</v>
      </c>
    </row>
    <row r="2862" spans="1:109" x14ac:dyDescent="0.3">
      <c r="A2862" t="str">
        <f>"19:22:36.250"</f>
        <v>19:22:36.250</v>
      </c>
      <c r="B2862" t="s">
        <v>110</v>
      </c>
      <c r="C2862" t="str">
        <f t="shared" si="132"/>
        <v>ffdfd3c0</v>
      </c>
      <c r="D2862" t="s">
        <v>111</v>
      </c>
      <c r="E2862">
        <v>18</v>
      </c>
      <c r="F2862">
        <v>1018</v>
      </c>
      <c r="G2862" t="s">
        <v>112</v>
      </c>
      <c r="J2862" t="s">
        <v>113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R2862" t="s">
        <v>114</v>
      </c>
      <c r="S2862" t="str">
        <f>"19:22:36.000"</f>
        <v>19:22:36.000</v>
      </c>
      <c r="T2862" t="str">
        <f>"19:22:35.797"</f>
        <v>19:22:35.797</v>
      </c>
      <c r="U2862" t="str">
        <f t="shared" si="133"/>
        <v>a1cdbe</v>
      </c>
      <c r="V2862">
        <v>0</v>
      </c>
      <c r="W2862">
        <v>0</v>
      </c>
      <c r="X2862">
        <v>1</v>
      </c>
      <c r="Y2862">
        <v>0</v>
      </c>
      <c r="Z2862">
        <v>0</v>
      </c>
      <c r="AB2862">
        <v>0</v>
      </c>
      <c r="AC2862">
        <v>9</v>
      </c>
      <c r="AD2862">
        <v>3</v>
      </c>
      <c r="AE2862">
        <v>0</v>
      </c>
      <c r="AF2862">
        <v>9</v>
      </c>
      <c r="AG2862" t="s">
        <v>158</v>
      </c>
      <c r="AH2862">
        <v>0</v>
      </c>
      <c r="AI2862">
        <v>3</v>
      </c>
      <c r="AJ2862">
        <v>1</v>
      </c>
      <c r="AK2862">
        <v>0</v>
      </c>
      <c r="AL2862" t="s">
        <v>5387</v>
      </c>
      <c r="AM2862">
        <v>46.978589999999997</v>
      </c>
      <c r="AN2862" t="s">
        <v>5388</v>
      </c>
      <c r="AO2862">
        <v>-123.446438</v>
      </c>
      <c r="AP2862">
        <v>100</v>
      </c>
      <c r="AQ2862">
        <v>2000</v>
      </c>
      <c r="AR2862" t="s">
        <v>118</v>
      </c>
      <c r="AS2862">
        <v>-81</v>
      </c>
      <c r="AT2862">
        <v>9</v>
      </c>
      <c r="AU2862">
        <v>64</v>
      </c>
      <c r="BC2862">
        <v>1200</v>
      </c>
      <c r="BD2862">
        <v>1</v>
      </c>
      <c r="BE2862" t="str">
        <f t="shared" si="134"/>
        <v xml:space="preserve">N215T   </v>
      </c>
      <c r="BF2862">
        <v>1</v>
      </c>
      <c r="BH2862">
        <v>0</v>
      </c>
      <c r="BI2862">
        <v>0</v>
      </c>
      <c r="BJ2862">
        <v>0</v>
      </c>
      <c r="BK2862">
        <v>2400</v>
      </c>
      <c r="BL2862">
        <v>400</v>
      </c>
      <c r="BM2862" t="s">
        <v>119</v>
      </c>
      <c r="BN2862">
        <v>1</v>
      </c>
      <c r="BO2862">
        <v>1</v>
      </c>
      <c r="BP2862">
        <v>1</v>
      </c>
      <c r="BQ2862">
        <v>0</v>
      </c>
      <c r="BT2862">
        <v>0</v>
      </c>
      <c r="BU2862">
        <v>0</v>
      </c>
      <c r="BV2862">
        <v>0</v>
      </c>
      <c r="CC2862" t="str">
        <f>"19:22:36.000"</f>
        <v>19:22:36.000</v>
      </c>
      <c r="CD2862" t="str">
        <f>"000671922"</f>
        <v>000671922</v>
      </c>
      <c r="CQ2862">
        <v>0</v>
      </c>
      <c r="CR2862">
        <v>2</v>
      </c>
      <c r="CS2862">
        <v>0</v>
      </c>
      <c r="CT2862">
        <v>2</v>
      </c>
      <c r="CU2862">
        <v>0</v>
      </c>
      <c r="CV2862">
        <v>6</v>
      </c>
      <c r="CW2862" t="s">
        <v>120</v>
      </c>
      <c r="CX2862">
        <v>257</v>
      </c>
      <c r="CY2862">
        <v>0</v>
      </c>
      <c r="CZ2862" t="s">
        <v>615</v>
      </c>
      <c r="DA2862" t="s">
        <v>616</v>
      </c>
      <c r="DD2862">
        <v>16139238</v>
      </c>
      <c r="DE2862" t="s">
        <v>123</v>
      </c>
    </row>
    <row r="2863" spans="1:109" x14ac:dyDescent="0.3">
      <c r="A2863" t="str">
        <f>"19:22:37.211"</f>
        <v>19:22:37.211</v>
      </c>
      <c r="B2863" t="s">
        <v>110</v>
      </c>
      <c r="C2863" t="str">
        <f t="shared" si="132"/>
        <v>ffdfd3c0</v>
      </c>
      <c r="D2863" t="s">
        <v>111</v>
      </c>
      <c r="E2863">
        <v>18</v>
      </c>
      <c r="F2863">
        <v>1018</v>
      </c>
      <c r="G2863" t="s">
        <v>112</v>
      </c>
      <c r="J2863" t="s">
        <v>113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R2863" t="s">
        <v>114</v>
      </c>
      <c r="S2863" t="str">
        <f>"19:22:36.969"</f>
        <v>19:22:36.969</v>
      </c>
      <c r="T2863" t="str">
        <f>"19:22:36.867"</f>
        <v>19:22:36.867</v>
      </c>
      <c r="U2863" t="str">
        <f t="shared" si="133"/>
        <v>a1cdbe</v>
      </c>
      <c r="V2863">
        <v>0</v>
      </c>
      <c r="W2863">
        <v>0</v>
      </c>
      <c r="X2863">
        <v>1</v>
      </c>
      <c r="Y2863">
        <v>0</v>
      </c>
      <c r="Z2863">
        <v>0</v>
      </c>
      <c r="AB2863">
        <v>0</v>
      </c>
      <c r="AC2863">
        <v>9</v>
      </c>
      <c r="AD2863">
        <v>3</v>
      </c>
      <c r="AE2863">
        <v>0</v>
      </c>
      <c r="AF2863">
        <v>9</v>
      </c>
      <c r="AG2863" t="s">
        <v>158</v>
      </c>
      <c r="AH2863">
        <v>0</v>
      </c>
      <c r="AI2863">
        <v>3</v>
      </c>
      <c r="AJ2863">
        <v>1</v>
      </c>
      <c r="AK2863">
        <v>0</v>
      </c>
      <c r="AL2863" t="s">
        <v>5389</v>
      </c>
      <c r="AM2863">
        <v>46.978655000000003</v>
      </c>
      <c r="AN2863" t="s">
        <v>5390</v>
      </c>
      <c r="AO2863">
        <v>-123.44695299999999</v>
      </c>
      <c r="AP2863">
        <v>100</v>
      </c>
      <c r="AQ2863">
        <v>2000</v>
      </c>
      <c r="AR2863" t="s">
        <v>118</v>
      </c>
      <c r="AS2863">
        <v>-81</v>
      </c>
      <c r="AT2863">
        <v>9</v>
      </c>
      <c r="AU2863">
        <v>64</v>
      </c>
      <c r="BC2863">
        <v>1200</v>
      </c>
      <c r="BD2863">
        <v>1</v>
      </c>
      <c r="BE2863" t="str">
        <f t="shared" si="134"/>
        <v xml:space="preserve">N215T   </v>
      </c>
      <c r="BF2863">
        <v>1</v>
      </c>
      <c r="BH2863">
        <v>0</v>
      </c>
      <c r="BI2863">
        <v>0</v>
      </c>
      <c r="BJ2863">
        <v>0</v>
      </c>
      <c r="BK2863">
        <v>2425</v>
      </c>
      <c r="BL2863">
        <v>425</v>
      </c>
      <c r="BM2863" t="s">
        <v>119</v>
      </c>
      <c r="BN2863">
        <v>1</v>
      </c>
      <c r="BO2863">
        <v>1</v>
      </c>
      <c r="BP2863">
        <v>1</v>
      </c>
      <c r="BQ2863">
        <v>0</v>
      </c>
      <c r="BT2863">
        <v>0</v>
      </c>
      <c r="BU2863">
        <v>0</v>
      </c>
      <c r="BV2863">
        <v>0</v>
      </c>
      <c r="CC2863" t="str">
        <f>"19:22:36.977"</f>
        <v>19:22:36.977</v>
      </c>
      <c r="CD2863" t="str">
        <f>"975575851"</f>
        <v>975575851</v>
      </c>
      <c r="CQ2863">
        <v>0</v>
      </c>
      <c r="CR2863">
        <v>2</v>
      </c>
      <c r="CS2863">
        <v>0</v>
      </c>
      <c r="CT2863">
        <v>2</v>
      </c>
      <c r="CU2863">
        <v>0</v>
      </c>
      <c r="CV2863">
        <v>6</v>
      </c>
      <c r="CW2863" t="s">
        <v>120</v>
      </c>
      <c r="CX2863">
        <v>257</v>
      </c>
      <c r="CY2863">
        <v>1</v>
      </c>
      <c r="CZ2863" t="s">
        <v>615</v>
      </c>
      <c r="DA2863" t="s">
        <v>616</v>
      </c>
      <c r="DD2863">
        <v>12485613</v>
      </c>
      <c r="DE2863" t="s">
        <v>123</v>
      </c>
    </row>
    <row r="2864" spans="1:109" x14ac:dyDescent="0.3">
      <c r="A2864" t="str">
        <f>"19:22:38.164"</f>
        <v>19:22:38.164</v>
      </c>
      <c r="B2864" t="s">
        <v>110</v>
      </c>
      <c r="C2864" t="str">
        <f t="shared" si="132"/>
        <v>ffdfd3c0</v>
      </c>
      <c r="D2864" t="s">
        <v>111</v>
      </c>
      <c r="E2864">
        <v>18</v>
      </c>
      <c r="F2864">
        <v>1018</v>
      </c>
      <c r="G2864" t="s">
        <v>112</v>
      </c>
      <c r="J2864" t="s">
        <v>113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R2864" t="s">
        <v>114</v>
      </c>
      <c r="S2864" t="str">
        <f>"19:22:37.930"</f>
        <v>19:22:37.930</v>
      </c>
      <c r="T2864" t="str">
        <f>"19:22:37.430"</f>
        <v>19:22:37.430</v>
      </c>
      <c r="U2864" t="str">
        <f t="shared" si="133"/>
        <v>a1cdbe</v>
      </c>
      <c r="V2864">
        <v>0</v>
      </c>
      <c r="W2864">
        <v>0</v>
      </c>
      <c r="X2864">
        <v>1</v>
      </c>
      <c r="Y2864">
        <v>0</v>
      </c>
      <c r="Z2864">
        <v>0</v>
      </c>
      <c r="AB2864">
        <v>0</v>
      </c>
      <c r="AC2864">
        <v>9</v>
      </c>
      <c r="AD2864">
        <v>3</v>
      </c>
      <c r="AE2864">
        <v>0</v>
      </c>
      <c r="AF2864">
        <v>9</v>
      </c>
      <c r="AG2864" t="s">
        <v>158</v>
      </c>
      <c r="AH2864">
        <v>0</v>
      </c>
      <c r="AI2864">
        <v>3</v>
      </c>
      <c r="AJ2864">
        <v>1</v>
      </c>
      <c r="AK2864">
        <v>0</v>
      </c>
      <c r="AL2864" t="s">
        <v>5391</v>
      </c>
      <c r="AM2864">
        <v>46.978698000000001</v>
      </c>
      <c r="AN2864" t="s">
        <v>5392</v>
      </c>
      <c r="AO2864">
        <v>-123.44753300000001</v>
      </c>
      <c r="AP2864">
        <v>100</v>
      </c>
      <c r="AQ2864">
        <v>2000</v>
      </c>
      <c r="AR2864" t="s">
        <v>118</v>
      </c>
      <c r="AS2864">
        <v>-81</v>
      </c>
      <c r="AT2864">
        <v>9</v>
      </c>
      <c r="AU2864">
        <v>0</v>
      </c>
      <c r="BC2864">
        <v>1200</v>
      </c>
      <c r="BD2864">
        <v>1</v>
      </c>
      <c r="BE2864" t="str">
        <f t="shared" si="134"/>
        <v xml:space="preserve">N215T   </v>
      </c>
      <c r="BF2864">
        <v>1</v>
      </c>
      <c r="BH2864">
        <v>0</v>
      </c>
      <c r="BI2864">
        <v>0</v>
      </c>
      <c r="BJ2864">
        <v>0</v>
      </c>
      <c r="BK2864">
        <v>2400</v>
      </c>
      <c r="BL2864">
        <v>400</v>
      </c>
      <c r="BM2864" t="s">
        <v>119</v>
      </c>
      <c r="BN2864">
        <v>1</v>
      </c>
      <c r="BO2864">
        <v>1</v>
      </c>
      <c r="BP2864">
        <v>1</v>
      </c>
      <c r="BQ2864">
        <v>0</v>
      </c>
      <c r="BT2864">
        <v>0</v>
      </c>
      <c r="BU2864">
        <v>0</v>
      </c>
      <c r="BV2864">
        <v>0</v>
      </c>
      <c r="CC2864" t="str">
        <f>"19:22:37.938"</f>
        <v>19:22:37.938</v>
      </c>
      <c r="CD2864" t="str">
        <f>"935481199"</f>
        <v>935481199</v>
      </c>
      <c r="CQ2864">
        <v>0</v>
      </c>
      <c r="CR2864">
        <v>2</v>
      </c>
      <c r="CS2864">
        <v>0</v>
      </c>
      <c r="CT2864">
        <v>2</v>
      </c>
      <c r="CU2864">
        <v>0</v>
      </c>
      <c r="CV2864">
        <v>6</v>
      </c>
      <c r="CW2864" t="s">
        <v>120</v>
      </c>
      <c r="CX2864">
        <v>257</v>
      </c>
      <c r="CY2864">
        <v>0</v>
      </c>
      <c r="CZ2864" t="s">
        <v>615</v>
      </c>
      <c r="DA2864" t="s">
        <v>616</v>
      </c>
      <c r="DD2864">
        <v>16140274</v>
      </c>
      <c r="DE2864" t="s">
        <v>123</v>
      </c>
    </row>
    <row r="2865" spans="1:109" x14ac:dyDescent="0.3">
      <c r="A2865" t="str">
        <f>"19:22:39.219"</f>
        <v>19:22:39.219</v>
      </c>
      <c r="B2865" t="s">
        <v>110</v>
      </c>
      <c r="C2865" t="str">
        <f t="shared" si="132"/>
        <v>ffdfd3c0</v>
      </c>
      <c r="D2865" t="s">
        <v>111</v>
      </c>
      <c r="E2865">
        <v>18</v>
      </c>
      <c r="F2865">
        <v>1018</v>
      </c>
      <c r="G2865" t="s">
        <v>112</v>
      </c>
      <c r="J2865" t="s">
        <v>113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R2865" t="s">
        <v>114</v>
      </c>
      <c r="S2865" t="str">
        <f>"19:22:38.984"</f>
        <v>19:22:38.984</v>
      </c>
      <c r="T2865" t="str">
        <f>"19:22:38.781"</f>
        <v>19:22:38.781</v>
      </c>
      <c r="U2865" t="str">
        <f t="shared" si="133"/>
        <v>a1cdbe</v>
      </c>
      <c r="V2865">
        <v>0</v>
      </c>
      <c r="W2865">
        <v>0</v>
      </c>
      <c r="X2865">
        <v>1</v>
      </c>
      <c r="Y2865">
        <v>0</v>
      </c>
      <c r="Z2865">
        <v>0</v>
      </c>
      <c r="AB2865">
        <v>0</v>
      </c>
      <c r="AC2865">
        <v>9</v>
      </c>
      <c r="AD2865">
        <v>3</v>
      </c>
      <c r="AE2865">
        <v>0</v>
      </c>
      <c r="AF2865">
        <v>9</v>
      </c>
      <c r="AG2865" t="s">
        <v>158</v>
      </c>
      <c r="AH2865">
        <v>0</v>
      </c>
      <c r="AI2865">
        <v>3</v>
      </c>
      <c r="AJ2865">
        <v>1</v>
      </c>
      <c r="AK2865">
        <v>0</v>
      </c>
      <c r="AL2865" t="s">
        <v>5391</v>
      </c>
      <c r="AM2865">
        <v>46.978698000000001</v>
      </c>
      <c r="AN2865" t="s">
        <v>5393</v>
      </c>
      <c r="AO2865">
        <v>-123.44809100000001</v>
      </c>
      <c r="AP2865">
        <v>100</v>
      </c>
      <c r="AQ2865">
        <v>2000</v>
      </c>
      <c r="AR2865" t="s">
        <v>118</v>
      </c>
      <c r="AS2865">
        <v>-81</v>
      </c>
      <c r="AT2865">
        <v>9</v>
      </c>
      <c r="AU2865">
        <v>64</v>
      </c>
      <c r="BC2865">
        <v>1200</v>
      </c>
      <c r="BD2865">
        <v>1</v>
      </c>
      <c r="BE2865" t="str">
        <f t="shared" si="134"/>
        <v xml:space="preserve">N215T   </v>
      </c>
      <c r="BF2865">
        <v>1</v>
      </c>
      <c r="BH2865">
        <v>0</v>
      </c>
      <c r="BI2865">
        <v>0</v>
      </c>
      <c r="BJ2865">
        <v>0</v>
      </c>
      <c r="BK2865">
        <v>2400</v>
      </c>
      <c r="BL2865">
        <v>400</v>
      </c>
      <c r="BM2865" t="s">
        <v>119</v>
      </c>
      <c r="BN2865">
        <v>1</v>
      </c>
      <c r="BO2865">
        <v>1</v>
      </c>
      <c r="BP2865">
        <v>1</v>
      </c>
      <c r="BQ2865">
        <v>0</v>
      </c>
      <c r="BT2865">
        <v>0</v>
      </c>
      <c r="BU2865">
        <v>0</v>
      </c>
      <c r="BV2865">
        <v>0</v>
      </c>
      <c r="CC2865" t="str">
        <f>"19:22:38.984"</f>
        <v>19:22:38.984</v>
      </c>
      <c r="CD2865" t="str">
        <f>"985377709"</f>
        <v>985377709</v>
      </c>
      <c r="CQ2865">
        <v>0</v>
      </c>
      <c r="CR2865">
        <v>2</v>
      </c>
      <c r="CS2865">
        <v>0</v>
      </c>
      <c r="CT2865">
        <v>2</v>
      </c>
      <c r="CU2865">
        <v>0</v>
      </c>
      <c r="CV2865">
        <v>6</v>
      </c>
      <c r="CW2865" t="s">
        <v>120</v>
      </c>
      <c r="CX2865">
        <v>257</v>
      </c>
      <c r="CY2865">
        <v>0</v>
      </c>
      <c r="CZ2865" t="s">
        <v>615</v>
      </c>
      <c r="DA2865" t="s">
        <v>616</v>
      </c>
      <c r="DD2865">
        <v>16140837</v>
      </c>
      <c r="DE2865" t="s">
        <v>123</v>
      </c>
    </row>
    <row r="2866" spans="1:109" x14ac:dyDescent="0.3">
      <c r="A2866" t="str">
        <f>"19:22:40.227"</f>
        <v>19:22:40.227</v>
      </c>
      <c r="B2866" t="s">
        <v>110</v>
      </c>
      <c r="C2866" t="str">
        <f t="shared" si="132"/>
        <v>ffdfd3c0</v>
      </c>
      <c r="D2866" t="s">
        <v>111</v>
      </c>
      <c r="E2866">
        <v>18</v>
      </c>
      <c r="F2866">
        <v>1018</v>
      </c>
      <c r="G2866" t="s">
        <v>112</v>
      </c>
      <c r="J2866" t="s">
        <v>113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R2866" t="s">
        <v>114</v>
      </c>
      <c r="S2866" t="str">
        <f>"19:22:39.969"</f>
        <v>19:22:39.969</v>
      </c>
      <c r="T2866" t="str">
        <f>"19:22:39.766"</f>
        <v>19:22:39.766</v>
      </c>
      <c r="U2866" t="str">
        <f t="shared" si="133"/>
        <v>a1cdbe</v>
      </c>
      <c r="V2866">
        <v>0</v>
      </c>
      <c r="W2866">
        <v>0</v>
      </c>
      <c r="X2866">
        <v>1</v>
      </c>
      <c r="Y2866">
        <v>0</v>
      </c>
      <c r="Z2866">
        <v>0</v>
      </c>
      <c r="AB2866">
        <v>0</v>
      </c>
      <c r="AC2866">
        <v>9</v>
      </c>
      <c r="AD2866">
        <v>3</v>
      </c>
      <c r="AE2866">
        <v>0</v>
      </c>
      <c r="AF2866">
        <v>9</v>
      </c>
      <c r="AG2866" t="s">
        <v>158</v>
      </c>
      <c r="AH2866">
        <v>0</v>
      </c>
      <c r="AI2866">
        <v>3</v>
      </c>
      <c r="AJ2866">
        <v>1</v>
      </c>
      <c r="AK2866">
        <v>0</v>
      </c>
      <c r="AL2866" t="s">
        <v>5394</v>
      </c>
      <c r="AM2866">
        <v>46.978783999999997</v>
      </c>
      <c r="AN2866" t="s">
        <v>5395</v>
      </c>
      <c r="AO2866">
        <v>-123.448627</v>
      </c>
      <c r="AP2866">
        <v>100</v>
      </c>
      <c r="AQ2866">
        <v>2000</v>
      </c>
      <c r="AR2866" t="s">
        <v>118</v>
      </c>
      <c r="AS2866">
        <v>-81</v>
      </c>
      <c r="AT2866">
        <v>9</v>
      </c>
      <c r="AU2866">
        <v>64</v>
      </c>
      <c r="BC2866">
        <v>1200</v>
      </c>
      <c r="BD2866">
        <v>1</v>
      </c>
      <c r="BE2866" t="str">
        <f t="shared" si="134"/>
        <v xml:space="preserve">N215T   </v>
      </c>
      <c r="BF2866">
        <v>1</v>
      </c>
      <c r="BH2866">
        <v>0</v>
      </c>
      <c r="BI2866">
        <v>0</v>
      </c>
      <c r="BJ2866">
        <v>0</v>
      </c>
      <c r="BK2866">
        <v>2400</v>
      </c>
      <c r="BL2866">
        <v>400</v>
      </c>
      <c r="BM2866" t="s">
        <v>119</v>
      </c>
      <c r="BN2866">
        <v>1</v>
      </c>
      <c r="BO2866">
        <v>1</v>
      </c>
      <c r="BP2866">
        <v>1</v>
      </c>
      <c r="BQ2866">
        <v>0</v>
      </c>
      <c r="BT2866">
        <v>0</v>
      </c>
      <c r="BU2866">
        <v>0</v>
      </c>
      <c r="BV2866">
        <v>0</v>
      </c>
      <c r="CC2866" t="str">
        <f>"19:22:39.977"</f>
        <v>19:22:39.977</v>
      </c>
      <c r="CD2866" t="str">
        <f>"975280136"</f>
        <v>975280136</v>
      </c>
      <c r="CQ2866">
        <v>0</v>
      </c>
      <c r="CR2866">
        <v>2</v>
      </c>
      <c r="CS2866">
        <v>0</v>
      </c>
      <c r="CT2866">
        <v>2</v>
      </c>
      <c r="CU2866">
        <v>0</v>
      </c>
      <c r="CV2866">
        <v>6</v>
      </c>
      <c r="CW2866" t="s">
        <v>120</v>
      </c>
      <c r="CX2866">
        <v>257</v>
      </c>
      <c r="CY2866">
        <v>0</v>
      </c>
      <c r="CZ2866" t="s">
        <v>615</v>
      </c>
      <c r="DA2866" t="s">
        <v>616</v>
      </c>
      <c r="DD2866">
        <v>16141337</v>
      </c>
      <c r="DE2866" t="s">
        <v>123</v>
      </c>
    </row>
    <row r="2867" spans="1:109" x14ac:dyDescent="0.3">
      <c r="A2867" t="str">
        <f>"19:22:41.180"</f>
        <v>19:22:41.180</v>
      </c>
      <c r="B2867" t="s">
        <v>110</v>
      </c>
      <c r="C2867" t="str">
        <f t="shared" si="132"/>
        <v>ffdfd3c0</v>
      </c>
      <c r="D2867" t="s">
        <v>111</v>
      </c>
      <c r="E2867">
        <v>18</v>
      </c>
      <c r="F2867">
        <v>1018</v>
      </c>
      <c r="G2867" t="s">
        <v>112</v>
      </c>
      <c r="J2867" t="s">
        <v>113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R2867" t="s">
        <v>114</v>
      </c>
      <c r="S2867" t="str">
        <f>"19:22:40.930"</f>
        <v>19:22:40.930</v>
      </c>
      <c r="T2867" t="str">
        <f>"19:22:40.930"</f>
        <v>19:22:40.930</v>
      </c>
      <c r="U2867" t="str">
        <f t="shared" si="133"/>
        <v>a1cdbe</v>
      </c>
      <c r="V2867">
        <v>0</v>
      </c>
      <c r="W2867">
        <v>0</v>
      </c>
      <c r="X2867">
        <v>1</v>
      </c>
      <c r="Y2867">
        <v>0</v>
      </c>
      <c r="Z2867">
        <v>0</v>
      </c>
      <c r="AB2867">
        <v>0</v>
      </c>
      <c r="AC2867">
        <v>9</v>
      </c>
      <c r="AD2867">
        <v>3</v>
      </c>
      <c r="AE2867">
        <v>0</v>
      </c>
      <c r="AF2867">
        <v>9</v>
      </c>
      <c r="AG2867" t="s">
        <v>158</v>
      </c>
      <c r="AH2867">
        <v>0</v>
      </c>
      <c r="AI2867">
        <v>3</v>
      </c>
      <c r="AJ2867">
        <v>1</v>
      </c>
      <c r="AK2867">
        <v>0</v>
      </c>
      <c r="AL2867" t="s">
        <v>5396</v>
      </c>
      <c r="AM2867">
        <v>46.978827000000003</v>
      </c>
      <c r="AN2867" t="s">
        <v>5397</v>
      </c>
      <c r="AO2867">
        <v>-123.44912100000001</v>
      </c>
      <c r="AP2867">
        <v>100</v>
      </c>
      <c r="AQ2867">
        <v>2000</v>
      </c>
      <c r="AR2867" t="s">
        <v>118</v>
      </c>
      <c r="AS2867">
        <v>-81</v>
      </c>
      <c r="AT2867">
        <v>8</v>
      </c>
      <c r="AU2867">
        <v>64</v>
      </c>
      <c r="BC2867">
        <v>1200</v>
      </c>
      <c r="BD2867">
        <v>1</v>
      </c>
      <c r="BE2867" t="str">
        <f t="shared" si="134"/>
        <v xml:space="preserve">N215T   </v>
      </c>
      <c r="BF2867">
        <v>1</v>
      </c>
      <c r="BH2867">
        <v>0</v>
      </c>
      <c r="BI2867">
        <v>0</v>
      </c>
      <c r="BJ2867">
        <v>0</v>
      </c>
      <c r="BK2867">
        <v>2425</v>
      </c>
      <c r="BL2867">
        <v>425</v>
      </c>
      <c r="BM2867" t="s">
        <v>119</v>
      </c>
      <c r="BN2867">
        <v>1</v>
      </c>
      <c r="BO2867">
        <v>1</v>
      </c>
      <c r="BP2867">
        <v>1</v>
      </c>
      <c r="BQ2867">
        <v>0</v>
      </c>
      <c r="BT2867">
        <v>0</v>
      </c>
      <c r="BU2867">
        <v>0</v>
      </c>
      <c r="BV2867">
        <v>0</v>
      </c>
      <c r="CC2867" t="str">
        <f>"19:22:40.938"</f>
        <v>19:22:40.938</v>
      </c>
      <c r="CD2867" t="str">
        <f>"935185516"</f>
        <v>935185516</v>
      </c>
      <c r="CQ2867">
        <v>0</v>
      </c>
      <c r="CR2867">
        <v>2</v>
      </c>
      <c r="CS2867">
        <v>0</v>
      </c>
      <c r="CT2867">
        <v>2</v>
      </c>
      <c r="CU2867">
        <v>0</v>
      </c>
      <c r="CV2867">
        <v>7</v>
      </c>
      <c r="CW2867" t="s">
        <v>120</v>
      </c>
      <c r="CX2867">
        <v>257</v>
      </c>
      <c r="CY2867">
        <v>0</v>
      </c>
      <c r="CZ2867" t="s">
        <v>615</v>
      </c>
      <c r="DA2867" t="s">
        <v>616</v>
      </c>
      <c r="DD2867">
        <v>16141846</v>
      </c>
      <c r="DE2867" t="s">
        <v>123</v>
      </c>
    </row>
    <row r="2868" spans="1:109" x14ac:dyDescent="0.3">
      <c r="A2868" t="str">
        <f>"19:22:42.086"</f>
        <v>19:22:42.086</v>
      </c>
      <c r="B2868" t="s">
        <v>110</v>
      </c>
      <c r="C2868" t="str">
        <f t="shared" si="132"/>
        <v>ffdfd3c0</v>
      </c>
      <c r="D2868" t="s">
        <v>111</v>
      </c>
      <c r="E2868">
        <v>18</v>
      </c>
      <c r="F2868">
        <v>1018</v>
      </c>
      <c r="G2868" t="s">
        <v>112</v>
      </c>
      <c r="J2868" t="s">
        <v>113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R2868" t="s">
        <v>114</v>
      </c>
      <c r="S2868" t="str">
        <f>"19:22:41.844"</f>
        <v>19:22:41.844</v>
      </c>
      <c r="T2868" t="str">
        <f>"19:22:41.445"</f>
        <v>19:22:41.445</v>
      </c>
      <c r="U2868" t="str">
        <f t="shared" si="133"/>
        <v>a1cdbe</v>
      </c>
      <c r="V2868">
        <v>0</v>
      </c>
      <c r="W2868">
        <v>0</v>
      </c>
      <c r="X2868">
        <v>1</v>
      </c>
      <c r="Y2868">
        <v>0</v>
      </c>
      <c r="Z2868">
        <v>0</v>
      </c>
      <c r="AB2868">
        <v>0</v>
      </c>
      <c r="AC2868">
        <v>9</v>
      </c>
      <c r="AD2868">
        <v>3</v>
      </c>
      <c r="AE2868">
        <v>0</v>
      </c>
      <c r="AF2868">
        <v>9</v>
      </c>
      <c r="AG2868" t="s">
        <v>158</v>
      </c>
      <c r="AH2868">
        <v>0</v>
      </c>
      <c r="AI2868">
        <v>3</v>
      </c>
      <c r="AJ2868">
        <v>1</v>
      </c>
      <c r="AK2868">
        <v>0</v>
      </c>
      <c r="AL2868" t="s">
        <v>5398</v>
      </c>
      <c r="AM2868">
        <v>46.978847999999999</v>
      </c>
      <c r="AN2868" t="s">
        <v>5399</v>
      </c>
      <c r="AO2868">
        <v>-123.449636</v>
      </c>
      <c r="AP2868">
        <v>100</v>
      </c>
      <c r="AQ2868">
        <v>2000</v>
      </c>
      <c r="AR2868" t="s">
        <v>118</v>
      </c>
      <c r="AS2868">
        <v>-81</v>
      </c>
      <c r="AT2868">
        <v>8</v>
      </c>
      <c r="AU2868">
        <v>0</v>
      </c>
      <c r="BC2868">
        <v>1200</v>
      </c>
      <c r="BD2868">
        <v>1</v>
      </c>
      <c r="BE2868" t="str">
        <f t="shared" si="134"/>
        <v xml:space="preserve">N215T   </v>
      </c>
      <c r="BF2868">
        <v>1</v>
      </c>
      <c r="BH2868">
        <v>0</v>
      </c>
      <c r="BI2868">
        <v>0</v>
      </c>
      <c r="BJ2868">
        <v>0</v>
      </c>
      <c r="BK2868">
        <v>2425</v>
      </c>
      <c r="BL2868">
        <v>425</v>
      </c>
      <c r="BM2868" t="s">
        <v>119</v>
      </c>
      <c r="BN2868">
        <v>1</v>
      </c>
      <c r="BO2868">
        <v>1</v>
      </c>
      <c r="BP2868">
        <v>1</v>
      </c>
      <c r="BQ2868">
        <v>0</v>
      </c>
      <c r="BT2868">
        <v>0</v>
      </c>
      <c r="BU2868">
        <v>0</v>
      </c>
      <c r="BV2868">
        <v>0</v>
      </c>
      <c r="CC2868" t="str">
        <f>"19:22:41.852"</f>
        <v>19:22:41.852</v>
      </c>
      <c r="CD2868" t="str">
        <f>"850095331"</f>
        <v>850095331</v>
      </c>
      <c r="CQ2868">
        <v>0</v>
      </c>
      <c r="CR2868">
        <v>2</v>
      </c>
      <c r="CS2868">
        <v>0</v>
      </c>
      <c r="CT2868">
        <v>2</v>
      </c>
      <c r="CU2868">
        <v>0</v>
      </c>
      <c r="CV2868">
        <v>7</v>
      </c>
      <c r="CW2868" t="s">
        <v>120</v>
      </c>
      <c r="CX2868">
        <v>257</v>
      </c>
      <c r="CY2868">
        <v>0</v>
      </c>
      <c r="CZ2868" t="s">
        <v>615</v>
      </c>
      <c r="DA2868" t="s">
        <v>616</v>
      </c>
      <c r="DD2868">
        <v>16142347</v>
      </c>
      <c r="DE2868" t="s">
        <v>123</v>
      </c>
    </row>
    <row r="2869" spans="1:109" x14ac:dyDescent="0.3">
      <c r="A2869" t="str">
        <f>"19:22:43.039"</f>
        <v>19:22:43.039</v>
      </c>
      <c r="B2869" t="s">
        <v>110</v>
      </c>
      <c r="C2869" t="str">
        <f t="shared" si="132"/>
        <v>ffdfd3c0</v>
      </c>
      <c r="D2869" t="s">
        <v>111</v>
      </c>
      <c r="E2869">
        <v>18</v>
      </c>
      <c r="F2869">
        <v>1018</v>
      </c>
      <c r="G2869" t="s">
        <v>112</v>
      </c>
      <c r="J2869" t="s">
        <v>113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R2869" t="s">
        <v>114</v>
      </c>
      <c r="S2869" t="str">
        <f>"19:22:42.789"</f>
        <v>19:22:42.789</v>
      </c>
      <c r="T2869" t="str">
        <f>"19:22:42.492"</f>
        <v>19:22:42.492</v>
      </c>
      <c r="U2869" t="str">
        <f t="shared" si="133"/>
        <v>a1cdbe</v>
      </c>
      <c r="V2869">
        <v>0</v>
      </c>
      <c r="W2869">
        <v>0</v>
      </c>
      <c r="X2869">
        <v>1</v>
      </c>
      <c r="Y2869">
        <v>0</v>
      </c>
      <c r="Z2869">
        <v>0</v>
      </c>
      <c r="AB2869">
        <v>0</v>
      </c>
      <c r="AC2869">
        <v>9</v>
      </c>
      <c r="AD2869">
        <v>3</v>
      </c>
      <c r="AE2869">
        <v>0</v>
      </c>
      <c r="AF2869">
        <v>9</v>
      </c>
      <c r="AG2869" t="s">
        <v>158</v>
      </c>
      <c r="AH2869">
        <v>0</v>
      </c>
      <c r="AI2869">
        <v>3</v>
      </c>
      <c r="AJ2869">
        <v>1</v>
      </c>
      <c r="AK2869">
        <v>0</v>
      </c>
      <c r="AL2869" t="s">
        <v>5400</v>
      </c>
      <c r="AM2869">
        <v>46.978869000000003</v>
      </c>
      <c r="AN2869" t="s">
        <v>5401</v>
      </c>
      <c r="AO2869">
        <v>-123.45014999999999</v>
      </c>
      <c r="AP2869">
        <v>100</v>
      </c>
      <c r="AQ2869">
        <v>2000</v>
      </c>
      <c r="AR2869" t="s">
        <v>118</v>
      </c>
      <c r="AS2869">
        <v>-81</v>
      </c>
      <c r="AT2869">
        <v>8</v>
      </c>
      <c r="AU2869">
        <v>0</v>
      </c>
      <c r="BC2869">
        <v>1200</v>
      </c>
      <c r="BD2869">
        <v>1</v>
      </c>
      <c r="BE2869" t="str">
        <f t="shared" si="134"/>
        <v xml:space="preserve">N215T   </v>
      </c>
      <c r="BF2869">
        <v>1</v>
      </c>
      <c r="BH2869">
        <v>0</v>
      </c>
      <c r="BI2869">
        <v>0</v>
      </c>
      <c r="BJ2869">
        <v>0</v>
      </c>
      <c r="BK2869">
        <v>2400</v>
      </c>
      <c r="BL2869">
        <v>400</v>
      </c>
      <c r="BM2869" t="s">
        <v>119</v>
      </c>
      <c r="BN2869">
        <v>1</v>
      </c>
      <c r="BO2869">
        <v>1</v>
      </c>
      <c r="BP2869">
        <v>1</v>
      </c>
      <c r="BQ2869">
        <v>0</v>
      </c>
      <c r="BT2869">
        <v>0</v>
      </c>
      <c r="BU2869">
        <v>0</v>
      </c>
      <c r="BV2869">
        <v>0</v>
      </c>
      <c r="CC2869" t="str">
        <f>"19:22:42.797"</f>
        <v>19:22:42.797</v>
      </c>
      <c r="CD2869" t="str">
        <f>"795002194"</f>
        <v>795002194</v>
      </c>
      <c r="CQ2869">
        <v>0</v>
      </c>
      <c r="CR2869">
        <v>2</v>
      </c>
      <c r="CS2869">
        <v>0</v>
      </c>
      <c r="CT2869">
        <v>2</v>
      </c>
      <c r="CU2869">
        <v>0</v>
      </c>
      <c r="CV2869">
        <v>7</v>
      </c>
      <c r="CW2869" t="s">
        <v>120</v>
      </c>
      <c r="CX2869">
        <v>257</v>
      </c>
      <c r="CY2869">
        <v>0</v>
      </c>
      <c r="CZ2869" t="s">
        <v>615</v>
      </c>
      <c r="DA2869" t="s">
        <v>616</v>
      </c>
      <c r="DD2869">
        <v>16142841</v>
      </c>
      <c r="DE2869" t="s">
        <v>123</v>
      </c>
    </row>
    <row r="2870" spans="1:109" x14ac:dyDescent="0.3">
      <c r="A2870" t="str">
        <f>"19:22:44.047"</f>
        <v>19:22:44.047</v>
      </c>
      <c r="B2870" t="s">
        <v>110</v>
      </c>
      <c r="C2870" t="str">
        <f t="shared" si="132"/>
        <v>ffdfd3c0</v>
      </c>
      <c r="D2870" t="s">
        <v>111</v>
      </c>
      <c r="E2870">
        <v>18</v>
      </c>
      <c r="F2870">
        <v>1018</v>
      </c>
      <c r="G2870" t="s">
        <v>112</v>
      </c>
      <c r="J2870" t="s">
        <v>113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R2870" t="s">
        <v>114</v>
      </c>
      <c r="S2870" t="str">
        <f>"19:22:43.828"</f>
        <v>19:22:43.828</v>
      </c>
      <c r="T2870" t="str">
        <f>"19:22:43.430"</f>
        <v>19:22:43.430</v>
      </c>
      <c r="U2870" t="str">
        <f t="shared" si="133"/>
        <v>a1cdbe</v>
      </c>
      <c r="V2870">
        <v>0</v>
      </c>
      <c r="W2870">
        <v>0</v>
      </c>
      <c r="X2870">
        <v>1</v>
      </c>
      <c r="Y2870">
        <v>0</v>
      </c>
      <c r="Z2870">
        <v>0</v>
      </c>
      <c r="AB2870">
        <v>0</v>
      </c>
      <c r="AC2870">
        <v>9</v>
      </c>
      <c r="AD2870">
        <v>3</v>
      </c>
      <c r="AE2870">
        <v>0</v>
      </c>
      <c r="AF2870">
        <v>9</v>
      </c>
      <c r="AG2870" t="s">
        <v>158</v>
      </c>
      <c r="AH2870">
        <v>0</v>
      </c>
      <c r="AI2870">
        <v>3</v>
      </c>
      <c r="AJ2870">
        <v>1</v>
      </c>
      <c r="AK2870">
        <v>0</v>
      </c>
      <c r="AL2870" t="s">
        <v>5402</v>
      </c>
      <c r="AM2870">
        <v>46.978890999999997</v>
      </c>
      <c r="AN2870" t="s">
        <v>5403</v>
      </c>
      <c r="AO2870">
        <v>-123.450687</v>
      </c>
      <c r="AP2870">
        <v>100</v>
      </c>
      <c r="AQ2870">
        <v>2000</v>
      </c>
      <c r="AR2870" t="s">
        <v>118</v>
      </c>
      <c r="AS2870">
        <v>-81</v>
      </c>
      <c r="AT2870">
        <v>8</v>
      </c>
      <c r="AU2870">
        <v>0</v>
      </c>
      <c r="BC2870">
        <v>1200</v>
      </c>
      <c r="BD2870">
        <v>1</v>
      </c>
      <c r="BE2870" t="str">
        <f t="shared" si="134"/>
        <v xml:space="preserve">N215T   </v>
      </c>
      <c r="BF2870">
        <v>1</v>
      </c>
      <c r="BH2870">
        <v>0</v>
      </c>
      <c r="BI2870">
        <v>0</v>
      </c>
      <c r="BJ2870">
        <v>0</v>
      </c>
      <c r="BK2870">
        <v>2400</v>
      </c>
      <c r="BL2870">
        <v>400</v>
      </c>
      <c r="BM2870" t="s">
        <v>119</v>
      </c>
      <c r="BN2870">
        <v>1</v>
      </c>
      <c r="BO2870">
        <v>1</v>
      </c>
      <c r="BP2870">
        <v>1</v>
      </c>
      <c r="BQ2870">
        <v>0</v>
      </c>
      <c r="BT2870">
        <v>0</v>
      </c>
      <c r="BU2870">
        <v>0</v>
      </c>
      <c r="BV2870">
        <v>0</v>
      </c>
      <c r="CC2870" t="str">
        <f>"19:22:43.828"</f>
        <v>19:22:43.828</v>
      </c>
      <c r="CD2870" t="str">
        <f>"829900172"</f>
        <v>829900172</v>
      </c>
      <c r="CQ2870">
        <v>0</v>
      </c>
      <c r="CR2870">
        <v>2</v>
      </c>
      <c r="CS2870">
        <v>0</v>
      </c>
      <c r="CT2870">
        <v>2</v>
      </c>
      <c r="CU2870">
        <v>0</v>
      </c>
      <c r="CV2870">
        <v>7</v>
      </c>
      <c r="CW2870" t="s">
        <v>120</v>
      </c>
      <c r="CX2870">
        <v>257</v>
      </c>
      <c r="CY2870">
        <v>0</v>
      </c>
      <c r="CZ2870" t="s">
        <v>615</v>
      </c>
      <c r="DA2870" t="s">
        <v>616</v>
      </c>
      <c r="DD2870">
        <v>16143388</v>
      </c>
      <c r="DE2870" t="s">
        <v>123</v>
      </c>
    </row>
    <row r="2871" spans="1:109" x14ac:dyDescent="0.3">
      <c r="A2871" t="str">
        <f>"19:22:45.102"</f>
        <v>19:22:45.102</v>
      </c>
      <c r="B2871" t="s">
        <v>110</v>
      </c>
      <c r="C2871" t="str">
        <f t="shared" si="132"/>
        <v>ffdfd3c0</v>
      </c>
      <c r="D2871" t="s">
        <v>111</v>
      </c>
      <c r="E2871">
        <v>18</v>
      </c>
      <c r="F2871">
        <v>1018</v>
      </c>
      <c r="G2871" t="s">
        <v>112</v>
      </c>
      <c r="J2871" t="s">
        <v>113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R2871" t="s">
        <v>114</v>
      </c>
      <c r="S2871" t="str">
        <f>"19:22:44.859"</f>
        <v>19:22:44.859</v>
      </c>
      <c r="T2871" t="str">
        <f>"19:22:44.461"</f>
        <v>19:22:44.461</v>
      </c>
      <c r="U2871" t="str">
        <f t="shared" si="133"/>
        <v>a1cdbe</v>
      </c>
      <c r="V2871">
        <v>0</v>
      </c>
      <c r="W2871">
        <v>0</v>
      </c>
      <c r="X2871">
        <v>1</v>
      </c>
      <c r="Y2871">
        <v>0</v>
      </c>
      <c r="Z2871">
        <v>0</v>
      </c>
      <c r="AB2871">
        <v>0</v>
      </c>
      <c r="AC2871">
        <v>9</v>
      </c>
      <c r="AD2871">
        <v>3</v>
      </c>
      <c r="AE2871">
        <v>0</v>
      </c>
      <c r="AF2871">
        <v>9</v>
      </c>
      <c r="AG2871" t="s">
        <v>158</v>
      </c>
      <c r="AH2871">
        <v>0</v>
      </c>
      <c r="AI2871">
        <v>3</v>
      </c>
      <c r="AJ2871">
        <v>1</v>
      </c>
      <c r="AK2871">
        <v>0</v>
      </c>
      <c r="AL2871" t="s">
        <v>5404</v>
      </c>
      <c r="AM2871">
        <v>46.978954999999999</v>
      </c>
      <c r="AN2871" t="s">
        <v>5405</v>
      </c>
      <c r="AO2871">
        <v>-123.45130899999999</v>
      </c>
      <c r="AP2871">
        <v>100</v>
      </c>
      <c r="AQ2871">
        <v>2000</v>
      </c>
      <c r="AR2871" t="s">
        <v>118</v>
      </c>
      <c r="AS2871">
        <v>-81</v>
      </c>
      <c r="AT2871">
        <v>8</v>
      </c>
      <c r="AU2871">
        <v>0</v>
      </c>
      <c r="BC2871">
        <v>1200</v>
      </c>
      <c r="BD2871">
        <v>1</v>
      </c>
      <c r="BE2871" t="str">
        <f t="shared" si="134"/>
        <v xml:space="preserve">N215T   </v>
      </c>
      <c r="BF2871">
        <v>1</v>
      </c>
      <c r="BH2871">
        <v>0</v>
      </c>
      <c r="BI2871">
        <v>0</v>
      </c>
      <c r="BJ2871">
        <v>0</v>
      </c>
      <c r="BK2871">
        <v>2400</v>
      </c>
      <c r="BL2871">
        <v>400</v>
      </c>
      <c r="BM2871" t="s">
        <v>119</v>
      </c>
      <c r="BN2871">
        <v>1</v>
      </c>
      <c r="BO2871">
        <v>1</v>
      </c>
      <c r="BP2871">
        <v>1</v>
      </c>
      <c r="BQ2871">
        <v>0</v>
      </c>
      <c r="BT2871">
        <v>0</v>
      </c>
      <c r="BU2871">
        <v>0</v>
      </c>
      <c r="BV2871">
        <v>0</v>
      </c>
      <c r="CC2871" t="str">
        <f>"19:22:44.867"</f>
        <v>19:22:44.867</v>
      </c>
      <c r="CD2871" t="str">
        <f>"864798160"</f>
        <v>864798160</v>
      </c>
      <c r="CQ2871">
        <v>0</v>
      </c>
      <c r="CR2871">
        <v>2</v>
      </c>
      <c r="CS2871">
        <v>0</v>
      </c>
      <c r="CT2871">
        <v>2</v>
      </c>
      <c r="CU2871">
        <v>0</v>
      </c>
      <c r="CV2871">
        <v>6</v>
      </c>
      <c r="CW2871" t="s">
        <v>120</v>
      </c>
      <c r="CX2871">
        <v>257</v>
      </c>
      <c r="CY2871">
        <v>0</v>
      </c>
      <c r="CZ2871" t="s">
        <v>615</v>
      </c>
      <c r="DA2871" t="s">
        <v>616</v>
      </c>
      <c r="DD2871">
        <v>16143916</v>
      </c>
      <c r="DE2871" t="s">
        <v>123</v>
      </c>
    </row>
    <row r="2872" spans="1:109" x14ac:dyDescent="0.3">
      <c r="A2872" t="str">
        <f>"19:22:46.164"</f>
        <v>19:22:46.164</v>
      </c>
      <c r="B2872" t="s">
        <v>110</v>
      </c>
      <c r="C2872" t="str">
        <f t="shared" si="132"/>
        <v>ffdfd3c0</v>
      </c>
      <c r="D2872" t="s">
        <v>111</v>
      </c>
      <c r="E2872">
        <v>18</v>
      </c>
      <c r="F2872">
        <v>1018</v>
      </c>
      <c r="G2872" t="s">
        <v>112</v>
      </c>
      <c r="J2872" t="s">
        <v>113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R2872" t="s">
        <v>114</v>
      </c>
      <c r="S2872" t="str">
        <f>"19:22:45.914"</f>
        <v>19:22:45.914</v>
      </c>
      <c r="T2872" t="str">
        <f>"19:22:45.914"</f>
        <v>19:22:45.914</v>
      </c>
      <c r="U2872" t="str">
        <f t="shared" si="133"/>
        <v>a1cdbe</v>
      </c>
      <c r="V2872">
        <v>0</v>
      </c>
      <c r="W2872">
        <v>0</v>
      </c>
      <c r="X2872">
        <v>1</v>
      </c>
      <c r="Y2872">
        <v>0</v>
      </c>
      <c r="Z2872">
        <v>0</v>
      </c>
      <c r="AB2872">
        <v>0</v>
      </c>
      <c r="AC2872">
        <v>9</v>
      </c>
      <c r="AD2872">
        <v>3</v>
      </c>
      <c r="AE2872">
        <v>0</v>
      </c>
      <c r="AF2872">
        <v>9</v>
      </c>
      <c r="AG2872" t="s">
        <v>158</v>
      </c>
      <c r="AH2872">
        <v>0</v>
      </c>
      <c r="AI2872">
        <v>3</v>
      </c>
      <c r="AJ2872">
        <v>1</v>
      </c>
      <c r="AK2872">
        <v>0</v>
      </c>
      <c r="AL2872" t="s">
        <v>5406</v>
      </c>
      <c r="AM2872">
        <v>46.978977</v>
      </c>
      <c r="AN2872" t="s">
        <v>5407</v>
      </c>
      <c r="AO2872">
        <v>-123.451824</v>
      </c>
      <c r="AP2872">
        <v>100</v>
      </c>
      <c r="AQ2872">
        <v>2000</v>
      </c>
      <c r="AR2872" t="s">
        <v>118</v>
      </c>
      <c r="AS2872">
        <v>-81</v>
      </c>
      <c r="AT2872">
        <v>8</v>
      </c>
      <c r="AU2872">
        <v>0</v>
      </c>
      <c r="BC2872">
        <v>1200</v>
      </c>
      <c r="BD2872">
        <v>1</v>
      </c>
      <c r="BE2872" t="str">
        <f t="shared" si="134"/>
        <v xml:space="preserve">N215T   </v>
      </c>
      <c r="BF2872">
        <v>1</v>
      </c>
      <c r="BH2872">
        <v>0</v>
      </c>
      <c r="BI2872">
        <v>0</v>
      </c>
      <c r="BJ2872">
        <v>0</v>
      </c>
      <c r="BK2872">
        <v>2425</v>
      </c>
      <c r="BL2872">
        <v>425</v>
      </c>
      <c r="BM2872" t="s">
        <v>119</v>
      </c>
      <c r="BN2872">
        <v>1</v>
      </c>
      <c r="BO2872">
        <v>1</v>
      </c>
      <c r="BP2872">
        <v>1</v>
      </c>
      <c r="BQ2872">
        <v>0</v>
      </c>
      <c r="BT2872">
        <v>0</v>
      </c>
      <c r="BU2872">
        <v>0</v>
      </c>
      <c r="BV2872">
        <v>0</v>
      </c>
      <c r="CC2872" t="str">
        <f>"19:22:45.914"</f>
        <v>19:22:45.914</v>
      </c>
      <c r="CD2872" t="str">
        <f>"914694692"</f>
        <v>914694692</v>
      </c>
      <c r="CQ2872">
        <v>0</v>
      </c>
      <c r="CR2872">
        <v>2</v>
      </c>
      <c r="CS2872">
        <v>0</v>
      </c>
      <c r="CT2872">
        <v>2</v>
      </c>
      <c r="CU2872">
        <v>0</v>
      </c>
      <c r="CV2872">
        <v>6</v>
      </c>
      <c r="CW2872" t="s">
        <v>120</v>
      </c>
      <c r="CX2872">
        <v>257</v>
      </c>
      <c r="CY2872">
        <v>1</v>
      </c>
      <c r="CZ2872" t="s">
        <v>615</v>
      </c>
      <c r="DA2872" t="s">
        <v>616</v>
      </c>
      <c r="DD2872">
        <v>12491995</v>
      </c>
      <c r="DE2872" t="s">
        <v>123</v>
      </c>
    </row>
    <row r="2873" spans="1:109" x14ac:dyDescent="0.3">
      <c r="A2873" t="str">
        <f>"19:22:47.063"</f>
        <v>19:22:47.063</v>
      </c>
      <c r="B2873" t="s">
        <v>110</v>
      </c>
      <c r="C2873" t="str">
        <f t="shared" si="132"/>
        <v>ffdfd3c0</v>
      </c>
      <c r="D2873" t="s">
        <v>111</v>
      </c>
      <c r="E2873">
        <v>18</v>
      </c>
      <c r="F2873">
        <v>1018</v>
      </c>
      <c r="G2873" t="s">
        <v>112</v>
      </c>
      <c r="J2873" t="s">
        <v>113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R2873" t="s">
        <v>114</v>
      </c>
      <c r="S2873" t="str">
        <f>"19:22:46.859"</f>
        <v>19:22:46.859</v>
      </c>
      <c r="T2873" t="str">
        <f>"19:22:46.359"</f>
        <v>19:22:46.359</v>
      </c>
      <c r="U2873" t="str">
        <f t="shared" si="133"/>
        <v>a1cdbe</v>
      </c>
      <c r="V2873">
        <v>0</v>
      </c>
      <c r="W2873">
        <v>0</v>
      </c>
      <c r="X2873">
        <v>1</v>
      </c>
      <c r="Y2873">
        <v>0</v>
      </c>
      <c r="Z2873">
        <v>0</v>
      </c>
      <c r="AB2873">
        <v>0</v>
      </c>
      <c r="AC2873">
        <v>9</v>
      </c>
      <c r="AD2873">
        <v>3</v>
      </c>
      <c r="AE2873">
        <v>0</v>
      </c>
      <c r="AF2873">
        <v>9</v>
      </c>
      <c r="AG2873" t="s">
        <v>158</v>
      </c>
      <c r="AH2873">
        <v>0</v>
      </c>
      <c r="AI2873">
        <v>3</v>
      </c>
      <c r="AJ2873">
        <v>1</v>
      </c>
      <c r="AK2873">
        <v>0</v>
      </c>
      <c r="AL2873" t="s">
        <v>5408</v>
      </c>
      <c r="AM2873">
        <v>46.978997999999997</v>
      </c>
      <c r="AN2873" t="s">
        <v>5409</v>
      </c>
      <c r="AO2873">
        <v>-123.45233899999999</v>
      </c>
      <c r="AP2873">
        <v>100</v>
      </c>
      <c r="AQ2873">
        <v>2000</v>
      </c>
      <c r="AR2873" t="s">
        <v>118</v>
      </c>
      <c r="AS2873">
        <v>-81</v>
      </c>
      <c r="AT2873">
        <v>8</v>
      </c>
      <c r="AU2873">
        <v>0</v>
      </c>
      <c r="BC2873">
        <v>1200</v>
      </c>
      <c r="BD2873">
        <v>1</v>
      </c>
      <c r="BE2873" t="str">
        <f t="shared" si="134"/>
        <v xml:space="preserve">N215T   </v>
      </c>
      <c r="BF2873">
        <v>1</v>
      </c>
      <c r="BH2873">
        <v>0</v>
      </c>
      <c r="BI2873">
        <v>0</v>
      </c>
      <c r="BJ2873">
        <v>0</v>
      </c>
      <c r="BK2873">
        <v>2425</v>
      </c>
      <c r="BL2873">
        <v>425</v>
      </c>
      <c r="BM2873" t="s">
        <v>119</v>
      </c>
      <c r="BN2873">
        <v>1</v>
      </c>
      <c r="BO2873">
        <v>1</v>
      </c>
      <c r="BP2873">
        <v>1</v>
      </c>
      <c r="BQ2873">
        <v>0</v>
      </c>
      <c r="BT2873">
        <v>0</v>
      </c>
      <c r="BU2873">
        <v>0</v>
      </c>
      <c r="BV2873">
        <v>0</v>
      </c>
      <c r="CC2873" t="str">
        <f>"19:22:46.859"</f>
        <v>19:22:46.859</v>
      </c>
      <c r="CD2873" t="str">
        <f>"859601526"</f>
        <v>859601526</v>
      </c>
      <c r="CQ2873">
        <v>0</v>
      </c>
      <c r="CR2873">
        <v>2</v>
      </c>
      <c r="CS2873">
        <v>0</v>
      </c>
      <c r="CT2873">
        <v>2</v>
      </c>
      <c r="CU2873">
        <v>0</v>
      </c>
      <c r="CV2873">
        <v>7</v>
      </c>
      <c r="CW2873" t="s">
        <v>120</v>
      </c>
      <c r="CX2873">
        <v>257</v>
      </c>
      <c r="CY2873">
        <v>0</v>
      </c>
      <c r="CZ2873" t="s">
        <v>615</v>
      </c>
      <c r="DA2873" t="s">
        <v>616</v>
      </c>
      <c r="DD2873">
        <v>16145028</v>
      </c>
      <c r="DE2873" t="s">
        <v>123</v>
      </c>
    </row>
    <row r="2874" spans="1:109" x14ac:dyDescent="0.3">
      <c r="A2874" t="str">
        <f>"19:22:48.070"</f>
        <v>19:22:48.070</v>
      </c>
      <c r="B2874" t="s">
        <v>110</v>
      </c>
      <c r="C2874" t="str">
        <f t="shared" si="132"/>
        <v>ffdfd3c0</v>
      </c>
      <c r="D2874" t="s">
        <v>111</v>
      </c>
      <c r="E2874">
        <v>18</v>
      </c>
      <c r="F2874">
        <v>1018</v>
      </c>
      <c r="G2874" t="s">
        <v>112</v>
      </c>
      <c r="J2874" t="s">
        <v>113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R2874" t="s">
        <v>114</v>
      </c>
      <c r="S2874" t="str">
        <f>"19:22:47.844"</f>
        <v>19:22:47.844</v>
      </c>
      <c r="T2874" t="str">
        <f>"19:22:47.844"</f>
        <v>19:22:47.844</v>
      </c>
      <c r="U2874" t="str">
        <f t="shared" si="133"/>
        <v>a1cdbe</v>
      </c>
      <c r="V2874">
        <v>0</v>
      </c>
      <c r="W2874">
        <v>0</v>
      </c>
      <c r="X2874">
        <v>1</v>
      </c>
      <c r="Y2874">
        <v>0</v>
      </c>
      <c r="Z2874">
        <v>0</v>
      </c>
      <c r="AB2874">
        <v>0</v>
      </c>
      <c r="AC2874">
        <v>9</v>
      </c>
      <c r="AD2874">
        <v>3</v>
      </c>
      <c r="AE2874">
        <v>0</v>
      </c>
      <c r="AF2874">
        <v>9</v>
      </c>
      <c r="AG2874" t="s">
        <v>158</v>
      </c>
      <c r="AH2874">
        <v>0</v>
      </c>
      <c r="AI2874">
        <v>3</v>
      </c>
      <c r="AJ2874">
        <v>1</v>
      </c>
      <c r="AK2874">
        <v>0</v>
      </c>
      <c r="AL2874" t="s">
        <v>5410</v>
      </c>
      <c r="AM2874">
        <v>46.979019999999998</v>
      </c>
      <c r="AN2874" t="s">
        <v>5411</v>
      </c>
      <c r="AO2874">
        <v>-123.452876</v>
      </c>
      <c r="AP2874">
        <v>100</v>
      </c>
      <c r="AQ2874">
        <v>2000</v>
      </c>
      <c r="AR2874" t="s">
        <v>118</v>
      </c>
      <c r="AS2874">
        <v>-81</v>
      </c>
      <c r="AT2874">
        <v>8</v>
      </c>
      <c r="AU2874">
        <v>0</v>
      </c>
      <c r="BC2874">
        <v>1200</v>
      </c>
      <c r="BD2874">
        <v>1</v>
      </c>
      <c r="BE2874" t="str">
        <f t="shared" si="134"/>
        <v xml:space="preserve">N215T   </v>
      </c>
      <c r="BF2874">
        <v>1</v>
      </c>
      <c r="BH2874">
        <v>0</v>
      </c>
      <c r="BI2874">
        <v>0</v>
      </c>
      <c r="BJ2874">
        <v>0</v>
      </c>
      <c r="BK2874">
        <v>2425</v>
      </c>
      <c r="BL2874">
        <v>425</v>
      </c>
      <c r="BM2874" t="s">
        <v>119</v>
      </c>
      <c r="BN2874">
        <v>1</v>
      </c>
      <c r="BO2874">
        <v>1</v>
      </c>
      <c r="BP2874">
        <v>1</v>
      </c>
      <c r="BQ2874">
        <v>0</v>
      </c>
      <c r="BT2874">
        <v>0</v>
      </c>
      <c r="BU2874">
        <v>0</v>
      </c>
      <c r="BV2874">
        <v>0</v>
      </c>
      <c r="CC2874" t="str">
        <f>"19:22:47.852"</f>
        <v>19:22:47.852</v>
      </c>
      <c r="CD2874" t="str">
        <f>"849503943"</f>
        <v>849503943</v>
      </c>
      <c r="CQ2874">
        <v>0</v>
      </c>
      <c r="CR2874">
        <v>2</v>
      </c>
      <c r="CS2874">
        <v>0</v>
      </c>
      <c r="CT2874">
        <v>2</v>
      </c>
      <c r="CU2874">
        <v>0</v>
      </c>
      <c r="CV2874">
        <v>7</v>
      </c>
      <c r="CW2874" t="s">
        <v>120</v>
      </c>
      <c r="CX2874">
        <v>257</v>
      </c>
      <c r="CY2874">
        <v>0</v>
      </c>
      <c r="CZ2874" t="s">
        <v>615</v>
      </c>
      <c r="DA2874" t="s">
        <v>616</v>
      </c>
      <c r="DD2874">
        <v>16145560</v>
      </c>
      <c r="DE2874" t="s">
        <v>123</v>
      </c>
    </row>
    <row r="2875" spans="1:109" x14ac:dyDescent="0.3">
      <c r="A2875" t="str">
        <f>"19:22:49.125"</f>
        <v>19:22:49.125</v>
      </c>
      <c r="B2875" t="s">
        <v>110</v>
      </c>
      <c r="C2875" t="str">
        <f t="shared" si="132"/>
        <v>ffdfd3c0</v>
      </c>
      <c r="D2875" t="s">
        <v>111</v>
      </c>
      <c r="E2875">
        <v>18</v>
      </c>
      <c r="F2875">
        <v>1018</v>
      </c>
      <c r="G2875" t="s">
        <v>112</v>
      </c>
      <c r="J2875" t="s">
        <v>113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R2875" t="s">
        <v>114</v>
      </c>
      <c r="S2875" t="str">
        <f>"19:22:48.898"</f>
        <v>19:22:48.898</v>
      </c>
      <c r="T2875" t="str">
        <f>"19:22:48.500"</f>
        <v>19:22:48.500</v>
      </c>
      <c r="U2875" t="str">
        <f t="shared" si="133"/>
        <v>a1cdbe</v>
      </c>
      <c r="V2875">
        <v>0</v>
      </c>
      <c r="W2875">
        <v>0</v>
      </c>
      <c r="X2875">
        <v>1</v>
      </c>
      <c r="Y2875">
        <v>0</v>
      </c>
      <c r="Z2875">
        <v>0</v>
      </c>
      <c r="AB2875">
        <v>0</v>
      </c>
      <c r="AC2875">
        <v>9</v>
      </c>
      <c r="AD2875">
        <v>3</v>
      </c>
      <c r="AE2875">
        <v>0</v>
      </c>
      <c r="AF2875">
        <v>9</v>
      </c>
      <c r="AG2875" t="s">
        <v>158</v>
      </c>
      <c r="AH2875">
        <v>0</v>
      </c>
      <c r="AI2875">
        <v>3</v>
      </c>
      <c r="AJ2875">
        <v>1</v>
      </c>
      <c r="AK2875">
        <v>0</v>
      </c>
      <c r="AL2875" t="s">
        <v>5412</v>
      </c>
      <c r="AM2875">
        <v>46.979104999999997</v>
      </c>
      <c r="AN2875" t="s">
        <v>5413</v>
      </c>
      <c r="AO2875">
        <v>-123.453498</v>
      </c>
      <c r="AP2875">
        <v>100</v>
      </c>
      <c r="AQ2875">
        <v>2000</v>
      </c>
      <c r="AR2875" t="s">
        <v>118</v>
      </c>
      <c r="AS2875">
        <v>-81</v>
      </c>
      <c r="AT2875">
        <v>8</v>
      </c>
      <c r="AU2875">
        <v>0</v>
      </c>
      <c r="BC2875">
        <v>1200</v>
      </c>
      <c r="BD2875">
        <v>1</v>
      </c>
      <c r="BE2875" t="str">
        <f t="shared" si="134"/>
        <v xml:space="preserve">N215T   </v>
      </c>
      <c r="BF2875">
        <v>1</v>
      </c>
      <c r="BH2875">
        <v>0</v>
      </c>
      <c r="BI2875">
        <v>0</v>
      </c>
      <c r="BJ2875">
        <v>0</v>
      </c>
      <c r="BK2875">
        <v>2425</v>
      </c>
      <c r="BL2875">
        <v>425</v>
      </c>
      <c r="BM2875" t="s">
        <v>119</v>
      </c>
      <c r="BN2875">
        <v>1</v>
      </c>
      <c r="BO2875">
        <v>1</v>
      </c>
      <c r="BP2875">
        <v>1</v>
      </c>
      <c r="BQ2875">
        <v>0</v>
      </c>
      <c r="BT2875">
        <v>0</v>
      </c>
      <c r="BU2875">
        <v>0</v>
      </c>
      <c r="BV2875">
        <v>0</v>
      </c>
      <c r="CC2875" t="str">
        <f>"19:22:48.898"</f>
        <v>19:22:48.898</v>
      </c>
      <c r="CD2875" t="str">
        <f>"899400452"</f>
        <v>899400452</v>
      </c>
      <c r="CQ2875">
        <v>0</v>
      </c>
      <c r="CR2875">
        <v>2</v>
      </c>
      <c r="CS2875">
        <v>0</v>
      </c>
      <c r="CT2875">
        <v>2</v>
      </c>
      <c r="CU2875">
        <v>0</v>
      </c>
      <c r="CV2875">
        <v>7</v>
      </c>
      <c r="CW2875" t="s">
        <v>120</v>
      </c>
      <c r="CX2875">
        <v>257</v>
      </c>
      <c r="CY2875">
        <v>0</v>
      </c>
      <c r="CZ2875" t="s">
        <v>615</v>
      </c>
      <c r="DA2875" t="s">
        <v>616</v>
      </c>
      <c r="DD2875">
        <v>16146121</v>
      </c>
      <c r="DE2875" t="s">
        <v>123</v>
      </c>
    </row>
    <row r="2876" spans="1:109" x14ac:dyDescent="0.3">
      <c r="A2876" t="str">
        <f>"19:22:50.031"</f>
        <v>19:22:50.031</v>
      </c>
      <c r="B2876" t="s">
        <v>110</v>
      </c>
      <c r="C2876" t="str">
        <f t="shared" si="132"/>
        <v>ffdfd3c0</v>
      </c>
      <c r="D2876" t="s">
        <v>111</v>
      </c>
      <c r="E2876">
        <v>18</v>
      </c>
      <c r="F2876">
        <v>1018</v>
      </c>
      <c r="G2876" t="s">
        <v>112</v>
      </c>
      <c r="J2876" t="s">
        <v>113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R2876" t="s">
        <v>114</v>
      </c>
      <c r="S2876" t="str">
        <f>"19:22:49.766"</f>
        <v>19:22:49.766</v>
      </c>
      <c r="T2876" t="str">
        <f>"19:22:49.563"</f>
        <v>19:22:49.563</v>
      </c>
      <c r="U2876" t="str">
        <f t="shared" si="133"/>
        <v>a1cdbe</v>
      </c>
      <c r="V2876">
        <v>0</v>
      </c>
      <c r="W2876">
        <v>0</v>
      </c>
      <c r="X2876">
        <v>1</v>
      </c>
      <c r="Y2876">
        <v>0</v>
      </c>
      <c r="Z2876">
        <v>0</v>
      </c>
      <c r="AB2876">
        <v>0</v>
      </c>
      <c r="AC2876">
        <v>9</v>
      </c>
      <c r="AD2876">
        <v>3</v>
      </c>
      <c r="AE2876">
        <v>0</v>
      </c>
      <c r="AF2876">
        <v>9</v>
      </c>
      <c r="AG2876" t="s">
        <v>158</v>
      </c>
      <c r="AH2876">
        <v>0</v>
      </c>
      <c r="AI2876">
        <v>3</v>
      </c>
      <c r="AJ2876">
        <v>1</v>
      </c>
      <c r="AK2876">
        <v>0</v>
      </c>
      <c r="AL2876" t="s">
        <v>5414</v>
      </c>
      <c r="AM2876">
        <v>46.979126999999998</v>
      </c>
      <c r="AN2876" t="s">
        <v>5415</v>
      </c>
      <c r="AO2876">
        <v>-123.45392699999999</v>
      </c>
      <c r="AP2876">
        <v>100</v>
      </c>
      <c r="AQ2876">
        <v>2000</v>
      </c>
      <c r="AR2876" t="s">
        <v>118</v>
      </c>
      <c r="AS2876">
        <v>-81</v>
      </c>
      <c r="AT2876">
        <v>8</v>
      </c>
      <c r="AU2876">
        <v>0</v>
      </c>
      <c r="BC2876">
        <v>1200</v>
      </c>
      <c r="BD2876">
        <v>1</v>
      </c>
      <c r="BE2876" t="str">
        <f t="shared" si="134"/>
        <v xml:space="preserve">N215T   </v>
      </c>
      <c r="BF2876">
        <v>1</v>
      </c>
      <c r="BH2876">
        <v>0</v>
      </c>
      <c r="BI2876">
        <v>0</v>
      </c>
      <c r="BJ2876">
        <v>0</v>
      </c>
      <c r="BK2876">
        <v>2425</v>
      </c>
      <c r="BL2876">
        <v>425</v>
      </c>
      <c r="BM2876" t="s">
        <v>119</v>
      </c>
      <c r="BN2876">
        <v>1</v>
      </c>
      <c r="BO2876">
        <v>1</v>
      </c>
      <c r="BP2876">
        <v>1</v>
      </c>
      <c r="BQ2876">
        <v>0</v>
      </c>
      <c r="BT2876">
        <v>0</v>
      </c>
      <c r="BU2876">
        <v>0</v>
      </c>
      <c r="BV2876">
        <v>0</v>
      </c>
      <c r="CC2876" t="str">
        <f>"19:22:49.766"</f>
        <v>19:22:49.766</v>
      </c>
      <c r="CD2876" t="str">
        <f>"769314703"</f>
        <v>769314703</v>
      </c>
      <c r="CQ2876">
        <v>0</v>
      </c>
      <c r="CR2876">
        <v>2</v>
      </c>
      <c r="CS2876">
        <v>0</v>
      </c>
      <c r="CT2876">
        <v>2</v>
      </c>
      <c r="CU2876">
        <v>0</v>
      </c>
      <c r="CV2876">
        <v>7</v>
      </c>
      <c r="CW2876" t="s">
        <v>120</v>
      </c>
      <c r="CX2876">
        <v>257</v>
      </c>
      <c r="CY2876">
        <v>0</v>
      </c>
      <c r="CZ2876" t="s">
        <v>615</v>
      </c>
      <c r="DA2876" t="s">
        <v>616</v>
      </c>
      <c r="DD2876">
        <v>16146567</v>
      </c>
      <c r="DE2876" t="s">
        <v>123</v>
      </c>
    </row>
    <row r="2877" spans="1:109" x14ac:dyDescent="0.3">
      <c r="A2877" t="str">
        <f>"19:22:50.930"</f>
        <v>19:22:50.930</v>
      </c>
      <c r="B2877" t="s">
        <v>110</v>
      </c>
      <c r="C2877" t="str">
        <f t="shared" si="132"/>
        <v>ffdfd3c0</v>
      </c>
      <c r="D2877" t="s">
        <v>111</v>
      </c>
      <c r="E2877">
        <v>18</v>
      </c>
      <c r="F2877">
        <v>1018</v>
      </c>
      <c r="G2877" t="s">
        <v>112</v>
      </c>
      <c r="J2877" t="s">
        <v>113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R2877" t="s">
        <v>114</v>
      </c>
      <c r="S2877" t="str">
        <f>"19:22:50.695"</f>
        <v>19:22:50.695</v>
      </c>
      <c r="T2877" t="str">
        <f>"19:22:50.492"</f>
        <v>19:22:50.492</v>
      </c>
      <c r="U2877" t="str">
        <f t="shared" si="133"/>
        <v>a1cdbe</v>
      </c>
      <c r="V2877">
        <v>0</v>
      </c>
      <c r="W2877">
        <v>0</v>
      </c>
      <c r="X2877">
        <v>1</v>
      </c>
      <c r="Y2877">
        <v>0</v>
      </c>
      <c r="Z2877">
        <v>0</v>
      </c>
      <c r="AB2877">
        <v>0</v>
      </c>
      <c r="AC2877">
        <v>9</v>
      </c>
      <c r="AD2877">
        <v>3</v>
      </c>
      <c r="AE2877">
        <v>0</v>
      </c>
      <c r="AF2877">
        <v>9</v>
      </c>
      <c r="AG2877" t="s">
        <v>158</v>
      </c>
      <c r="AH2877">
        <v>0</v>
      </c>
      <c r="AI2877">
        <v>3</v>
      </c>
      <c r="AJ2877">
        <v>1</v>
      </c>
      <c r="AK2877">
        <v>0</v>
      </c>
      <c r="AL2877" t="s">
        <v>5416</v>
      </c>
      <c r="AM2877">
        <v>46.979170000000003</v>
      </c>
      <c r="AN2877" t="s">
        <v>5417</v>
      </c>
      <c r="AO2877">
        <v>-123.45450599999999</v>
      </c>
      <c r="AP2877">
        <v>100</v>
      </c>
      <c r="AQ2877">
        <v>2000</v>
      </c>
      <c r="AR2877" t="s">
        <v>118</v>
      </c>
      <c r="AS2877">
        <v>-81</v>
      </c>
      <c r="AT2877">
        <v>8</v>
      </c>
      <c r="AU2877">
        <v>0</v>
      </c>
      <c r="BC2877">
        <v>1200</v>
      </c>
      <c r="BD2877">
        <v>1</v>
      </c>
      <c r="BE2877" t="str">
        <f t="shared" si="134"/>
        <v xml:space="preserve">N215T   </v>
      </c>
      <c r="BF2877">
        <v>1</v>
      </c>
      <c r="BH2877">
        <v>0</v>
      </c>
      <c r="BI2877">
        <v>0</v>
      </c>
      <c r="BJ2877">
        <v>0</v>
      </c>
      <c r="BK2877">
        <v>2425</v>
      </c>
      <c r="BL2877">
        <v>425</v>
      </c>
      <c r="BM2877" t="s">
        <v>119</v>
      </c>
      <c r="BN2877">
        <v>1</v>
      </c>
      <c r="BO2877">
        <v>1</v>
      </c>
      <c r="BP2877">
        <v>1</v>
      </c>
      <c r="BQ2877">
        <v>0</v>
      </c>
      <c r="BT2877">
        <v>0</v>
      </c>
      <c r="BU2877">
        <v>0</v>
      </c>
      <c r="BV2877">
        <v>0</v>
      </c>
      <c r="CC2877" t="str">
        <f>"19:22:50.703"</f>
        <v>19:22:50.703</v>
      </c>
      <c r="CD2877" t="str">
        <f>"699223037"</f>
        <v>699223037</v>
      </c>
      <c r="CQ2877">
        <v>0</v>
      </c>
      <c r="CR2877">
        <v>2</v>
      </c>
      <c r="CS2877">
        <v>0</v>
      </c>
      <c r="CT2877">
        <v>2</v>
      </c>
      <c r="CU2877">
        <v>0</v>
      </c>
      <c r="CV2877">
        <v>7</v>
      </c>
      <c r="CW2877" t="s">
        <v>120</v>
      </c>
      <c r="CX2877">
        <v>257</v>
      </c>
      <c r="CY2877">
        <v>0</v>
      </c>
      <c r="CZ2877" t="s">
        <v>615</v>
      </c>
      <c r="DA2877" t="s">
        <v>616</v>
      </c>
      <c r="DD2877">
        <v>16147059</v>
      </c>
      <c r="DE2877" t="s">
        <v>123</v>
      </c>
    </row>
    <row r="2878" spans="1:109" x14ac:dyDescent="0.3">
      <c r="A2878" t="str">
        <f>"19:22:52.094"</f>
        <v>19:22:52.094</v>
      </c>
      <c r="B2878" t="s">
        <v>110</v>
      </c>
      <c r="C2878" t="str">
        <f t="shared" si="132"/>
        <v>ffdfd3c0</v>
      </c>
      <c r="D2878" t="s">
        <v>111</v>
      </c>
      <c r="E2878">
        <v>18</v>
      </c>
      <c r="F2878">
        <v>1018</v>
      </c>
      <c r="G2878" t="s">
        <v>112</v>
      </c>
      <c r="J2878" t="s">
        <v>113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R2878" t="s">
        <v>114</v>
      </c>
      <c r="S2878" t="str">
        <f>"19:22:51.867"</f>
        <v>19:22:51.867</v>
      </c>
      <c r="T2878" t="str">
        <f>"19:22:51.766"</f>
        <v>19:22:51.766</v>
      </c>
      <c r="U2878" t="str">
        <f t="shared" si="133"/>
        <v>a1cdbe</v>
      </c>
      <c r="V2878">
        <v>0</v>
      </c>
      <c r="W2878">
        <v>0</v>
      </c>
      <c r="X2878">
        <v>1</v>
      </c>
      <c r="Y2878">
        <v>0</v>
      </c>
      <c r="Z2878">
        <v>0</v>
      </c>
      <c r="AB2878">
        <v>0</v>
      </c>
      <c r="AC2878">
        <v>9</v>
      </c>
      <c r="AD2878">
        <v>3</v>
      </c>
      <c r="AE2878">
        <v>0</v>
      </c>
      <c r="AF2878">
        <v>9</v>
      </c>
      <c r="AG2878" t="s">
        <v>158</v>
      </c>
      <c r="AH2878">
        <v>0</v>
      </c>
      <c r="AI2878">
        <v>3</v>
      </c>
      <c r="AJ2878">
        <v>1</v>
      </c>
      <c r="AK2878">
        <v>0</v>
      </c>
      <c r="AL2878" t="s">
        <v>5418</v>
      </c>
      <c r="AM2878">
        <v>46.979213000000001</v>
      </c>
      <c r="AN2878" t="s">
        <v>5419</v>
      </c>
      <c r="AO2878">
        <v>-123.455129</v>
      </c>
      <c r="AP2878">
        <v>100</v>
      </c>
      <c r="AQ2878">
        <v>2000</v>
      </c>
      <c r="AR2878" t="s">
        <v>118</v>
      </c>
      <c r="AS2878">
        <v>-81</v>
      </c>
      <c r="AT2878">
        <v>8</v>
      </c>
      <c r="AU2878">
        <v>0</v>
      </c>
      <c r="BC2878">
        <v>1200</v>
      </c>
      <c r="BD2878">
        <v>1</v>
      </c>
      <c r="BE2878" t="str">
        <f t="shared" si="134"/>
        <v xml:space="preserve">N215T   </v>
      </c>
      <c r="BF2878">
        <v>1</v>
      </c>
      <c r="BH2878">
        <v>0</v>
      </c>
      <c r="BI2878">
        <v>0</v>
      </c>
      <c r="BJ2878">
        <v>0</v>
      </c>
      <c r="BK2878">
        <v>2425</v>
      </c>
      <c r="BL2878">
        <v>425</v>
      </c>
      <c r="BM2878" t="s">
        <v>119</v>
      </c>
      <c r="BN2878">
        <v>1</v>
      </c>
      <c r="BO2878">
        <v>1</v>
      </c>
      <c r="BP2878">
        <v>1</v>
      </c>
      <c r="BQ2878">
        <v>0</v>
      </c>
      <c r="BT2878">
        <v>0</v>
      </c>
      <c r="BU2878">
        <v>0</v>
      </c>
      <c r="BV2878">
        <v>0</v>
      </c>
      <c r="CC2878" t="str">
        <f>"19:22:51.867"</f>
        <v>19:22:51.867</v>
      </c>
      <c r="CD2878" t="str">
        <f>"869107709"</f>
        <v>869107709</v>
      </c>
      <c r="CQ2878">
        <v>0</v>
      </c>
      <c r="CR2878">
        <v>2</v>
      </c>
      <c r="CS2878">
        <v>0</v>
      </c>
      <c r="CT2878">
        <v>2</v>
      </c>
      <c r="CU2878">
        <v>0</v>
      </c>
      <c r="CV2878">
        <v>7</v>
      </c>
      <c r="CW2878" t="s">
        <v>120</v>
      </c>
      <c r="CX2878">
        <v>257</v>
      </c>
      <c r="CY2878">
        <v>0</v>
      </c>
      <c r="CZ2878" t="s">
        <v>615</v>
      </c>
      <c r="DA2878" t="s">
        <v>616</v>
      </c>
      <c r="DD2878">
        <v>16147743</v>
      </c>
      <c r="DE2878" t="s">
        <v>123</v>
      </c>
    </row>
    <row r="2879" spans="1:109" x14ac:dyDescent="0.3">
      <c r="A2879" t="str">
        <f>"19:22:53.094"</f>
        <v>19:22:53.094</v>
      </c>
      <c r="B2879" t="s">
        <v>110</v>
      </c>
      <c r="C2879" t="str">
        <f t="shared" si="132"/>
        <v>ffdfd3c0</v>
      </c>
      <c r="D2879" t="s">
        <v>111</v>
      </c>
      <c r="E2879">
        <v>18</v>
      </c>
      <c r="F2879">
        <v>1018</v>
      </c>
      <c r="G2879" t="s">
        <v>112</v>
      </c>
      <c r="J2879" t="s">
        <v>113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R2879" t="s">
        <v>114</v>
      </c>
      <c r="S2879" t="str">
        <f>"19:22:52.852"</f>
        <v>19:22:52.852</v>
      </c>
      <c r="T2879" t="str">
        <f>"19:22:52.852"</f>
        <v>19:22:52.852</v>
      </c>
      <c r="U2879" t="str">
        <f t="shared" si="133"/>
        <v>a1cdbe</v>
      </c>
      <c r="V2879">
        <v>0</v>
      </c>
      <c r="W2879">
        <v>0</v>
      </c>
      <c r="X2879">
        <v>1</v>
      </c>
      <c r="Y2879">
        <v>0</v>
      </c>
      <c r="Z2879">
        <v>0</v>
      </c>
      <c r="AB2879">
        <v>0</v>
      </c>
      <c r="AC2879">
        <v>9</v>
      </c>
      <c r="AD2879">
        <v>3</v>
      </c>
      <c r="AE2879">
        <v>0</v>
      </c>
      <c r="AF2879">
        <v>9</v>
      </c>
      <c r="AG2879" t="s">
        <v>158</v>
      </c>
      <c r="AH2879">
        <v>0</v>
      </c>
      <c r="AI2879">
        <v>3</v>
      </c>
      <c r="AJ2879">
        <v>1</v>
      </c>
      <c r="AK2879">
        <v>0</v>
      </c>
      <c r="AL2879" t="s">
        <v>5420</v>
      </c>
      <c r="AM2879">
        <v>46.979233999999998</v>
      </c>
      <c r="AN2879" t="s">
        <v>5421</v>
      </c>
      <c r="AO2879">
        <v>-123.45564400000001</v>
      </c>
      <c r="AP2879">
        <v>100</v>
      </c>
      <c r="AQ2879">
        <v>2000</v>
      </c>
      <c r="AR2879" t="s">
        <v>118</v>
      </c>
      <c r="AS2879">
        <v>-81</v>
      </c>
      <c r="AT2879">
        <v>8</v>
      </c>
      <c r="AU2879">
        <v>0</v>
      </c>
      <c r="BC2879">
        <v>1200</v>
      </c>
      <c r="BD2879">
        <v>1</v>
      </c>
      <c r="BE2879" t="str">
        <f t="shared" si="134"/>
        <v xml:space="preserve">N215T   </v>
      </c>
      <c r="BF2879">
        <v>1</v>
      </c>
      <c r="BH2879">
        <v>0</v>
      </c>
      <c r="BI2879">
        <v>0</v>
      </c>
      <c r="BJ2879">
        <v>0</v>
      </c>
      <c r="BK2879">
        <v>2425</v>
      </c>
      <c r="BL2879">
        <v>425</v>
      </c>
      <c r="BM2879" t="s">
        <v>119</v>
      </c>
      <c r="BN2879">
        <v>1</v>
      </c>
      <c r="BO2879">
        <v>1</v>
      </c>
      <c r="BP2879">
        <v>1</v>
      </c>
      <c r="BQ2879">
        <v>0</v>
      </c>
      <c r="BT2879">
        <v>0</v>
      </c>
      <c r="BU2879">
        <v>0</v>
      </c>
      <c r="BV2879">
        <v>0</v>
      </c>
      <c r="CC2879" t="str">
        <f>"19:22:52.859"</f>
        <v>19:22:52.859</v>
      </c>
      <c r="CD2879" t="str">
        <f>"859010135"</f>
        <v>859010135</v>
      </c>
      <c r="CQ2879">
        <v>0</v>
      </c>
      <c r="CR2879">
        <v>2</v>
      </c>
      <c r="CS2879">
        <v>0</v>
      </c>
      <c r="CT2879">
        <v>2</v>
      </c>
      <c r="CU2879">
        <v>0</v>
      </c>
      <c r="CV2879">
        <v>7</v>
      </c>
      <c r="CW2879" t="s">
        <v>120</v>
      </c>
      <c r="CX2879">
        <v>257</v>
      </c>
      <c r="CY2879">
        <v>0</v>
      </c>
      <c r="CZ2879" t="s">
        <v>615</v>
      </c>
      <c r="DA2879" t="s">
        <v>616</v>
      </c>
      <c r="DD2879">
        <v>16148247</v>
      </c>
      <c r="DE2879" t="s">
        <v>123</v>
      </c>
    </row>
    <row r="2880" spans="1:109" x14ac:dyDescent="0.3">
      <c r="A2880" t="str">
        <f>"19:22:54.102"</f>
        <v>19:22:54.102</v>
      </c>
      <c r="B2880" t="s">
        <v>110</v>
      </c>
      <c r="C2880" t="str">
        <f t="shared" si="132"/>
        <v>ffdfd3c0</v>
      </c>
      <c r="D2880" t="s">
        <v>111</v>
      </c>
      <c r="E2880">
        <v>18</v>
      </c>
      <c r="F2880">
        <v>1018</v>
      </c>
      <c r="G2880" t="s">
        <v>112</v>
      </c>
      <c r="J2880" t="s">
        <v>113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R2880" t="s">
        <v>114</v>
      </c>
      <c r="S2880" t="str">
        <f>"19:22:53.859"</f>
        <v>19:22:53.859</v>
      </c>
      <c r="T2880" t="str">
        <f>"19:22:53.359"</f>
        <v>19:22:53.359</v>
      </c>
      <c r="U2880" t="str">
        <f t="shared" si="133"/>
        <v>a1cdbe</v>
      </c>
      <c r="V2880">
        <v>0</v>
      </c>
      <c r="W2880">
        <v>0</v>
      </c>
      <c r="X2880">
        <v>1</v>
      </c>
      <c r="Y2880">
        <v>0</v>
      </c>
      <c r="Z2880">
        <v>0</v>
      </c>
      <c r="AB2880">
        <v>0</v>
      </c>
      <c r="AC2880">
        <v>9</v>
      </c>
      <c r="AD2880">
        <v>3</v>
      </c>
      <c r="AE2880">
        <v>0</v>
      </c>
      <c r="AF2880">
        <v>9</v>
      </c>
      <c r="AG2880" t="s">
        <v>158</v>
      </c>
      <c r="AH2880">
        <v>0</v>
      </c>
      <c r="AI2880">
        <v>3</v>
      </c>
      <c r="AJ2880">
        <v>1</v>
      </c>
      <c r="AK2880">
        <v>0</v>
      </c>
      <c r="AL2880" t="s">
        <v>5422</v>
      </c>
      <c r="AM2880">
        <v>46.979255999999999</v>
      </c>
      <c r="AN2880" t="s">
        <v>5423</v>
      </c>
      <c r="AO2880">
        <v>-123.45618</v>
      </c>
      <c r="AP2880">
        <v>100</v>
      </c>
      <c r="AQ2880">
        <v>2000</v>
      </c>
      <c r="AR2880" t="s">
        <v>118</v>
      </c>
      <c r="AS2880">
        <v>-81</v>
      </c>
      <c r="AT2880">
        <v>8</v>
      </c>
      <c r="AU2880">
        <v>0</v>
      </c>
      <c r="BC2880">
        <v>1200</v>
      </c>
      <c r="BD2880">
        <v>1</v>
      </c>
      <c r="BE2880" t="str">
        <f t="shared" si="134"/>
        <v xml:space="preserve">N215T   </v>
      </c>
      <c r="BF2880">
        <v>1</v>
      </c>
      <c r="BH2880">
        <v>0</v>
      </c>
      <c r="BI2880">
        <v>0</v>
      </c>
      <c r="BJ2880">
        <v>0</v>
      </c>
      <c r="BK2880">
        <v>2425</v>
      </c>
      <c r="BL2880">
        <v>425</v>
      </c>
      <c r="BM2880" t="s">
        <v>119</v>
      </c>
      <c r="BN2880">
        <v>1</v>
      </c>
      <c r="BO2880">
        <v>1</v>
      </c>
      <c r="BP2880">
        <v>1</v>
      </c>
      <c r="BQ2880">
        <v>0</v>
      </c>
      <c r="BT2880">
        <v>0</v>
      </c>
      <c r="BU2880">
        <v>0</v>
      </c>
      <c r="BV2880">
        <v>0</v>
      </c>
      <c r="CC2880" t="str">
        <f>"19:22:53.867"</f>
        <v>19:22:53.867</v>
      </c>
      <c r="CD2880" t="str">
        <f>"863911076"</f>
        <v>863911076</v>
      </c>
      <c r="CQ2880">
        <v>0</v>
      </c>
      <c r="CR2880">
        <v>2</v>
      </c>
      <c r="CS2880">
        <v>0</v>
      </c>
      <c r="CT2880">
        <v>2</v>
      </c>
      <c r="CU2880">
        <v>0</v>
      </c>
      <c r="CV2880">
        <v>7</v>
      </c>
      <c r="CW2880" t="s">
        <v>120</v>
      </c>
      <c r="CX2880">
        <v>257</v>
      </c>
      <c r="CY2880">
        <v>0</v>
      </c>
      <c r="CZ2880" t="s">
        <v>615</v>
      </c>
      <c r="DA2880" t="s">
        <v>616</v>
      </c>
      <c r="DD2880">
        <v>16148778</v>
      </c>
      <c r="DE2880" t="s">
        <v>123</v>
      </c>
    </row>
    <row r="2881" spans="1:109" x14ac:dyDescent="0.3">
      <c r="A2881" t="str">
        <f>"19:22:55.109"</f>
        <v>19:22:55.109</v>
      </c>
      <c r="B2881" t="s">
        <v>110</v>
      </c>
      <c r="C2881" t="str">
        <f t="shared" si="132"/>
        <v>ffdfd3c0</v>
      </c>
      <c r="D2881" t="s">
        <v>111</v>
      </c>
      <c r="E2881">
        <v>18</v>
      </c>
      <c r="F2881">
        <v>1018</v>
      </c>
      <c r="G2881" t="s">
        <v>112</v>
      </c>
      <c r="J2881" t="s">
        <v>113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R2881" t="s">
        <v>114</v>
      </c>
      <c r="S2881" t="str">
        <f>"19:22:54.898"</f>
        <v>19:22:54.898</v>
      </c>
      <c r="T2881" t="str">
        <f>"19:22:54.398"</f>
        <v>19:22:54.398</v>
      </c>
      <c r="U2881" t="str">
        <f t="shared" si="133"/>
        <v>a1cdbe</v>
      </c>
      <c r="V2881">
        <v>0</v>
      </c>
      <c r="W2881">
        <v>0</v>
      </c>
      <c r="X2881">
        <v>1</v>
      </c>
      <c r="Y2881">
        <v>0</v>
      </c>
      <c r="Z2881">
        <v>0</v>
      </c>
      <c r="AB2881">
        <v>0</v>
      </c>
      <c r="AC2881">
        <v>9</v>
      </c>
      <c r="AD2881">
        <v>3</v>
      </c>
      <c r="AE2881">
        <v>0</v>
      </c>
      <c r="AF2881">
        <v>9</v>
      </c>
      <c r="AG2881" t="s">
        <v>158</v>
      </c>
      <c r="AH2881">
        <v>0</v>
      </c>
      <c r="AI2881">
        <v>3</v>
      </c>
      <c r="AJ2881">
        <v>1</v>
      </c>
      <c r="AK2881">
        <v>0</v>
      </c>
      <c r="AL2881" t="s">
        <v>5424</v>
      </c>
      <c r="AM2881">
        <v>46.979320000000001</v>
      </c>
      <c r="AN2881" t="s">
        <v>5425</v>
      </c>
      <c r="AO2881">
        <v>-123.456738</v>
      </c>
      <c r="AP2881">
        <v>100</v>
      </c>
      <c r="AQ2881">
        <v>2000</v>
      </c>
      <c r="AR2881" t="s">
        <v>118</v>
      </c>
      <c r="AS2881">
        <v>-81</v>
      </c>
      <c r="AT2881">
        <v>8</v>
      </c>
      <c r="AU2881">
        <v>0</v>
      </c>
      <c r="BC2881">
        <v>1200</v>
      </c>
      <c r="BD2881">
        <v>1</v>
      </c>
      <c r="BE2881" t="str">
        <f t="shared" si="134"/>
        <v xml:space="preserve">N215T   </v>
      </c>
      <c r="BF2881">
        <v>1</v>
      </c>
      <c r="BH2881">
        <v>0</v>
      </c>
      <c r="BI2881">
        <v>0</v>
      </c>
      <c r="BJ2881">
        <v>0</v>
      </c>
      <c r="BK2881">
        <v>2425</v>
      </c>
      <c r="BL2881">
        <v>425</v>
      </c>
      <c r="BM2881" t="s">
        <v>119</v>
      </c>
      <c r="BN2881">
        <v>1</v>
      </c>
      <c r="BO2881">
        <v>1</v>
      </c>
      <c r="BP2881">
        <v>1</v>
      </c>
      <c r="BQ2881">
        <v>0</v>
      </c>
      <c r="BT2881">
        <v>0</v>
      </c>
      <c r="BU2881">
        <v>0</v>
      </c>
      <c r="BV2881">
        <v>0</v>
      </c>
      <c r="CC2881" t="str">
        <f>"19:22:54.898"</f>
        <v>19:22:54.898</v>
      </c>
      <c r="CD2881" t="str">
        <f>"898809072"</f>
        <v>898809072</v>
      </c>
      <c r="CQ2881">
        <v>0</v>
      </c>
      <c r="CR2881">
        <v>2</v>
      </c>
      <c r="CS2881">
        <v>0</v>
      </c>
      <c r="CT2881">
        <v>2</v>
      </c>
      <c r="CU2881">
        <v>0</v>
      </c>
      <c r="CV2881">
        <v>7</v>
      </c>
      <c r="CW2881" t="s">
        <v>120</v>
      </c>
      <c r="CX2881">
        <v>257</v>
      </c>
      <c r="CY2881">
        <v>0</v>
      </c>
      <c r="CZ2881" t="s">
        <v>615</v>
      </c>
      <c r="DA2881" t="s">
        <v>616</v>
      </c>
      <c r="DD2881">
        <v>16149305</v>
      </c>
      <c r="DE2881" t="s">
        <v>123</v>
      </c>
    </row>
    <row r="2882" spans="1:109" x14ac:dyDescent="0.3">
      <c r="A2882" t="str">
        <f>"19:22:56.164"</f>
        <v>19:22:56.164</v>
      </c>
      <c r="B2882" t="s">
        <v>110</v>
      </c>
      <c r="C2882" t="str">
        <f t="shared" ref="C2882:C2945" si="135">"ffdfd3c0"</f>
        <v>ffdfd3c0</v>
      </c>
      <c r="D2882" t="s">
        <v>111</v>
      </c>
      <c r="E2882">
        <v>18</v>
      </c>
      <c r="F2882">
        <v>1018</v>
      </c>
      <c r="G2882" t="s">
        <v>112</v>
      </c>
      <c r="J2882" t="s">
        <v>113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R2882" t="s">
        <v>114</v>
      </c>
      <c r="S2882" t="str">
        <f>"19:22:55.945"</f>
        <v>19:22:55.945</v>
      </c>
      <c r="T2882" t="str">
        <f>"19:22:55.547"</f>
        <v>19:22:55.547</v>
      </c>
      <c r="U2882" t="str">
        <f t="shared" ref="U2882:U2945" si="136">"a1cdbe"</f>
        <v>a1cdbe</v>
      </c>
      <c r="V2882">
        <v>0</v>
      </c>
      <c r="W2882">
        <v>0</v>
      </c>
      <c r="X2882">
        <v>1</v>
      </c>
      <c r="Y2882">
        <v>0</v>
      </c>
      <c r="Z2882">
        <v>0</v>
      </c>
      <c r="AB2882">
        <v>0</v>
      </c>
      <c r="AC2882">
        <v>9</v>
      </c>
      <c r="AD2882">
        <v>3</v>
      </c>
      <c r="AE2882">
        <v>0</v>
      </c>
      <c r="AF2882">
        <v>9</v>
      </c>
      <c r="AG2882" t="s">
        <v>158</v>
      </c>
      <c r="AH2882">
        <v>0</v>
      </c>
      <c r="AI2882">
        <v>3</v>
      </c>
      <c r="AJ2882">
        <v>1</v>
      </c>
      <c r="AK2882">
        <v>0</v>
      </c>
      <c r="AL2882" t="s">
        <v>5426</v>
      </c>
      <c r="AM2882">
        <v>46.979362999999999</v>
      </c>
      <c r="AN2882" t="s">
        <v>5427</v>
      </c>
      <c r="AO2882">
        <v>-123.457317</v>
      </c>
      <c r="AP2882">
        <v>100</v>
      </c>
      <c r="AQ2882">
        <v>2000</v>
      </c>
      <c r="AR2882" t="s">
        <v>118</v>
      </c>
      <c r="AS2882">
        <v>-81</v>
      </c>
      <c r="AT2882">
        <v>8</v>
      </c>
      <c r="AU2882">
        <v>0</v>
      </c>
      <c r="BC2882">
        <v>1200</v>
      </c>
      <c r="BD2882">
        <v>1</v>
      </c>
      <c r="BE2882" t="str">
        <f t="shared" ref="BE2882:BE2945" si="137">"N215T   "</f>
        <v xml:space="preserve">N215T   </v>
      </c>
      <c r="BF2882">
        <v>1</v>
      </c>
      <c r="BH2882">
        <v>0</v>
      </c>
      <c r="BI2882">
        <v>0</v>
      </c>
      <c r="BJ2882">
        <v>0</v>
      </c>
      <c r="BK2882">
        <v>2425</v>
      </c>
      <c r="BL2882">
        <v>425</v>
      </c>
      <c r="BM2882" t="s">
        <v>119</v>
      </c>
      <c r="BN2882">
        <v>1</v>
      </c>
      <c r="BO2882">
        <v>1</v>
      </c>
      <c r="BP2882">
        <v>1</v>
      </c>
      <c r="BQ2882">
        <v>0</v>
      </c>
      <c r="BT2882">
        <v>0</v>
      </c>
      <c r="BU2882">
        <v>0</v>
      </c>
      <c r="BV2882">
        <v>0</v>
      </c>
      <c r="CC2882" t="str">
        <f>"19:22:55.945"</f>
        <v>19:22:55.945</v>
      </c>
      <c r="CD2882" t="str">
        <f>"948705579"</f>
        <v>948705579</v>
      </c>
      <c r="CQ2882">
        <v>0</v>
      </c>
      <c r="CR2882">
        <v>2</v>
      </c>
      <c r="CS2882">
        <v>0</v>
      </c>
      <c r="CT2882">
        <v>2</v>
      </c>
      <c r="CU2882">
        <v>0</v>
      </c>
      <c r="CV2882">
        <v>7</v>
      </c>
      <c r="CW2882" t="s">
        <v>120</v>
      </c>
      <c r="CX2882">
        <v>257</v>
      </c>
      <c r="CY2882">
        <v>0</v>
      </c>
      <c r="CZ2882" t="s">
        <v>615</v>
      </c>
      <c r="DA2882" t="s">
        <v>616</v>
      </c>
      <c r="DD2882">
        <v>16149876</v>
      </c>
      <c r="DE2882" t="s">
        <v>123</v>
      </c>
    </row>
    <row r="2883" spans="1:109" x14ac:dyDescent="0.3">
      <c r="A2883" t="str">
        <f>"19:22:57.070"</f>
        <v>19:22:57.070</v>
      </c>
      <c r="B2883" t="s">
        <v>110</v>
      </c>
      <c r="C2883" t="str">
        <f t="shared" si="135"/>
        <v>ffdfd3c0</v>
      </c>
      <c r="D2883" t="s">
        <v>111</v>
      </c>
      <c r="E2883">
        <v>18</v>
      </c>
      <c r="F2883">
        <v>1018</v>
      </c>
      <c r="G2883" t="s">
        <v>112</v>
      </c>
      <c r="J2883" t="s">
        <v>113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R2883" t="s">
        <v>114</v>
      </c>
      <c r="S2883" t="str">
        <f>"19:22:56.828"</f>
        <v>19:22:56.828</v>
      </c>
      <c r="T2883" t="str">
        <f>"19:22:56.828"</f>
        <v>19:22:56.828</v>
      </c>
      <c r="U2883" t="str">
        <f t="shared" si="136"/>
        <v>a1cdbe</v>
      </c>
      <c r="V2883">
        <v>0</v>
      </c>
      <c r="W2883">
        <v>0</v>
      </c>
      <c r="X2883">
        <v>1</v>
      </c>
      <c r="Y2883">
        <v>0</v>
      </c>
      <c r="Z2883">
        <v>0</v>
      </c>
      <c r="AB2883">
        <v>0</v>
      </c>
      <c r="AC2883">
        <v>9</v>
      </c>
      <c r="AD2883">
        <v>3</v>
      </c>
      <c r="AE2883">
        <v>0</v>
      </c>
      <c r="AF2883">
        <v>9</v>
      </c>
      <c r="AG2883" t="s">
        <v>158</v>
      </c>
      <c r="AH2883">
        <v>0</v>
      </c>
      <c r="AI2883">
        <v>3</v>
      </c>
      <c r="AJ2883">
        <v>1</v>
      </c>
      <c r="AK2883">
        <v>0</v>
      </c>
      <c r="AL2883" t="s">
        <v>5426</v>
      </c>
      <c r="AM2883">
        <v>46.979362999999999</v>
      </c>
      <c r="AN2883" t="s">
        <v>5428</v>
      </c>
      <c r="AO2883">
        <v>-123.457768</v>
      </c>
      <c r="AP2883">
        <v>100</v>
      </c>
      <c r="AQ2883">
        <v>2000</v>
      </c>
      <c r="AR2883" t="s">
        <v>118</v>
      </c>
      <c r="AS2883">
        <v>-81</v>
      </c>
      <c r="AT2883">
        <v>7</v>
      </c>
      <c r="AU2883">
        <v>0</v>
      </c>
      <c r="BC2883">
        <v>1200</v>
      </c>
      <c r="BD2883">
        <v>1</v>
      </c>
      <c r="BE2883" t="str">
        <f t="shared" si="137"/>
        <v xml:space="preserve">N215T   </v>
      </c>
      <c r="BF2883">
        <v>1</v>
      </c>
      <c r="BH2883">
        <v>0</v>
      </c>
      <c r="BI2883">
        <v>0</v>
      </c>
      <c r="BJ2883">
        <v>0</v>
      </c>
      <c r="BK2883">
        <v>2425</v>
      </c>
      <c r="BL2883">
        <v>425</v>
      </c>
      <c r="BM2883" t="s">
        <v>119</v>
      </c>
      <c r="BN2883">
        <v>1</v>
      </c>
      <c r="BO2883">
        <v>1</v>
      </c>
      <c r="BP2883">
        <v>1</v>
      </c>
      <c r="BQ2883">
        <v>0</v>
      </c>
      <c r="BT2883">
        <v>0</v>
      </c>
      <c r="BU2883">
        <v>0</v>
      </c>
      <c r="BV2883">
        <v>0</v>
      </c>
      <c r="CC2883" t="str">
        <f>"19:22:56.836"</f>
        <v>19:22:56.836</v>
      </c>
      <c r="CD2883" t="str">
        <f>"833618353"</f>
        <v>833618353</v>
      </c>
      <c r="CQ2883">
        <v>0</v>
      </c>
      <c r="CR2883">
        <v>2</v>
      </c>
      <c r="CS2883">
        <v>0</v>
      </c>
      <c r="CT2883">
        <v>2</v>
      </c>
      <c r="CU2883">
        <v>0</v>
      </c>
      <c r="CV2883">
        <v>7</v>
      </c>
      <c r="CW2883" t="s">
        <v>120</v>
      </c>
      <c r="CX2883">
        <v>257</v>
      </c>
      <c r="CY2883">
        <v>0</v>
      </c>
      <c r="CZ2883" t="s">
        <v>615</v>
      </c>
      <c r="DA2883" t="s">
        <v>616</v>
      </c>
      <c r="DD2883">
        <v>16150384</v>
      </c>
      <c r="DE2883" t="s">
        <v>123</v>
      </c>
    </row>
    <row r="2884" spans="1:109" x14ac:dyDescent="0.3">
      <c r="A2884" t="str">
        <f>"19:22:58.023"</f>
        <v>19:22:58.023</v>
      </c>
      <c r="B2884" t="s">
        <v>110</v>
      </c>
      <c r="C2884" t="str">
        <f t="shared" si="135"/>
        <v>ffdfd3c0</v>
      </c>
      <c r="D2884" t="s">
        <v>111</v>
      </c>
      <c r="E2884">
        <v>18</v>
      </c>
      <c r="F2884">
        <v>1018</v>
      </c>
      <c r="G2884" t="s">
        <v>112</v>
      </c>
      <c r="J2884" t="s">
        <v>113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R2884" t="s">
        <v>114</v>
      </c>
      <c r="S2884" t="str">
        <f>"19:22:57.789"</f>
        <v>19:22:57.789</v>
      </c>
      <c r="T2884" t="str">
        <f>"19:22:57.789"</f>
        <v>19:22:57.789</v>
      </c>
      <c r="U2884" t="str">
        <f t="shared" si="136"/>
        <v>a1cdbe</v>
      </c>
      <c r="V2884">
        <v>0</v>
      </c>
      <c r="W2884">
        <v>0</v>
      </c>
      <c r="X2884">
        <v>1</v>
      </c>
      <c r="Y2884">
        <v>0</v>
      </c>
      <c r="Z2884">
        <v>0</v>
      </c>
      <c r="AB2884">
        <v>0</v>
      </c>
      <c r="AC2884">
        <v>9</v>
      </c>
      <c r="AD2884">
        <v>3</v>
      </c>
      <c r="AE2884">
        <v>0</v>
      </c>
      <c r="AF2884">
        <v>9</v>
      </c>
      <c r="AG2884" t="s">
        <v>158</v>
      </c>
      <c r="AH2884">
        <v>0</v>
      </c>
      <c r="AI2884">
        <v>3</v>
      </c>
      <c r="AJ2884">
        <v>1</v>
      </c>
      <c r="AK2884">
        <v>0</v>
      </c>
      <c r="AL2884" t="s">
        <v>5429</v>
      </c>
      <c r="AM2884">
        <v>46.979405999999997</v>
      </c>
      <c r="AN2884" t="s">
        <v>5430</v>
      </c>
      <c r="AO2884">
        <v>-123.458304</v>
      </c>
      <c r="AP2884">
        <v>100</v>
      </c>
      <c r="AQ2884">
        <v>2000</v>
      </c>
      <c r="AR2884" t="s">
        <v>118</v>
      </c>
      <c r="AS2884">
        <v>-81</v>
      </c>
      <c r="AT2884">
        <v>7</v>
      </c>
      <c r="AU2884">
        <v>0</v>
      </c>
      <c r="BC2884">
        <v>1200</v>
      </c>
      <c r="BD2884">
        <v>1</v>
      </c>
      <c r="BE2884" t="str">
        <f t="shared" si="137"/>
        <v xml:space="preserve">N215T   </v>
      </c>
      <c r="BF2884">
        <v>1</v>
      </c>
      <c r="BH2884">
        <v>0</v>
      </c>
      <c r="BI2884">
        <v>0</v>
      </c>
      <c r="BJ2884">
        <v>0</v>
      </c>
      <c r="BK2884">
        <v>2425</v>
      </c>
      <c r="BL2884">
        <v>425</v>
      </c>
      <c r="BM2884" t="s">
        <v>119</v>
      </c>
      <c r="BN2884">
        <v>1</v>
      </c>
      <c r="BO2884">
        <v>1</v>
      </c>
      <c r="BP2884">
        <v>1</v>
      </c>
      <c r="BQ2884">
        <v>0</v>
      </c>
      <c r="BT2884">
        <v>0</v>
      </c>
      <c r="BU2884">
        <v>0</v>
      </c>
      <c r="BV2884">
        <v>0</v>
      </c>
      <c r="CC2884" t="str">
        <f>"19:22:57.797"</f>
        <v>19:22:57.797</v>
      </c>
      <c r="CD2884" t="str">
        <f>"793523730"</f>
        <v>793523730</v>
      </c>
      <c r="CQ2884">
        <v>0</v>
      </c>
      <c r="CR2884">
        <v>2</v>
      </c>
      <c r="CS2884">
        <v>0</v>
      </c>
      <c r="CT2884">
        <v>2</v>
      </c>
      <c r="CU2884">
        <v>0</v>
      </c>
      <c r="CV2884">
        <v>7</v>
      </c>
      <c r="CW2884" t="s">
        <v>120</v>
      </c>
      <c r="CX2884">
        <v>257</v>
      </c>
      <c r="CY2884">
        <v>0</v>
      </c>
      <c r="CZ2884" t="s">
        <v>615</v>
      </c>
      <c r="DA2884" t="s">
        <v>616</v>
      </c>
      <c r="DD2884">
        <v>16150857</v>
      </c>
      <c r="DE2884" t="s">
        <v>123</v>
      </c>
    </row>
    <row r="2885" spans="1:109" x14ac:dyDescent="0.3">
      <c r="A2885" t="str">
        <f>"19:22:58.930"</f>
        <v>19:22:58.930</v>
      </c>
      <c r="B2885" t="s">
        <v>110</v>
      </c>
      <c r="C2885" t="str">
        <f t="shared" si="135"/>
        <v>ffdfd3c0</v>
      </c>
      <c r="D2885" t="s">
        <v>111</v>
      </c>
      <c r="E2885">
        <v>18</v>
      </c>
      <c r="F2885">
        <v>1018</v>
      </c>
      <c r="G2885" t="s">
        <v>112</v>
      </c>
      <c r="J2885" t="s">
        <v>113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R2885" t="s">
        <v>114</v>
      </c>
      <c r="S2885" t="str">
        <f>"19:22:58.719"</f>
        <v>19:22:58.719</v>
      </c>
      <c r="T2885" t="str">
        <f>"19:22:58.320"</f>
        <v>19:22:58.320</v>
      </c>
      <c r="U2885" t="str">
        <f t="shared" si="136"/>
        <v>a1cdbe</v>
      </c>
      <c r="V2885">
        <v>0</v>
      </c>
      <c r="W2885">
        <v>0</v>
      </c>
      <c r="X2885">
        <v>1</v>
      </c>
      <c r="Y2885">
        <v>0</v>
      </c>
      <c r="Z2885">
        <v>0</v>
      </c>
      <c r="AB2885">
        <v>0</v>
      </c>
      <c r="AC2885">
        <v>9</v>
      </c>
      <c r="AD2885">
        <v>3</v>
      </c>
      <c r="AE2885">
        <v>0</v>
      </c>
      <c r="AF2885">
        <v>9</v>
      </c>
      <c r="AG2885" t="s">
        <v>158</v>
      </c>
      <c r="AH2885">
        <v>0</v>
      </c>
      <c r="AI2885">
        <v>3</v>
      </c>
      <c r="AJ2885">
        <v>1</v>
      </c>
      <c r="AK2885">
        <v>0</v>
      </c>
      <c r="AL2885" t="s">
        <v>5431</v>
      </c>
      <c r="AM2885">
        <v>46.979449000000002</v>
      </c>
      <c r="AN2885" t="s">
        <v>5432</v>
      </c>
      <c r="AO2885">
        <v>-123.458798</v>
      </c>
      <c r="AP2885">
        <v>100</v>
      </c>
      <c r="AQ2885">
        <v>2000</v>
      </c>
      <c r="AR2885" t="s">
        <v>118</v>
      </c>
      <c r="AS2885">
        <v>-81</v>
      </c>
      <c r="AT2885">
        <v>7</v>
      </c>
      <c r="AU2885">
        <v>0</v>
      </c>
      <c r="BC2885">
        <v>1200</v>
      </c>
      <c r="BD2885">
        <v>1</v>
      </c>
      <c r="BE2885" t="str">
        <f t="shared" si="137"/>
        <v xml:space="preserve">N215T   </v>
      </c>
      <c r="BF2885">
        <v>1</v>
      </c>
      <c r="BH2885">
        <v>0</v>
      </c>
      <c r="BI2885">
        <v>0</v>
      </c>
      <c r="BJ2885">
        <v>0</v>
      </c>
      <c r="BK2885">
        <v>2425</v>
      </c>
      <c r="BL2885">
        <v>425</v>
      </c>
      <c r="BM2885" t="s">
        <v>119</v>
      </c>
      <c r="BN2885">
        <v>1</v>
      </c>
      <c r="BO2885">
        <v>1</v>
      </c>
      <c r="BP2885">
        <v>1</v>
      </c>
      <c r="BQ2885">
        <v>0</v>
      </c>
      <c r="BT2885">
        <v>0</v>
      </c>
      <c r="BU2885">
        <v>0</v>
      </c>
      <c r="BV2885">
        <v>0</v>
      </c>
      <c r="CC2885" t="str">
        <f>"19:22:58.727"</f>
        <v>19:22:58.727</v>
      </c>
      <c r="CD2885" t="str">
        <f>"723432070"</f>
        <v>723432070</v>
      </c>
      <c r="CQ2885">
        <v>0</v>
      </c>
      <c r="CR2885">
        <v>2</v>
      </c>
      <c r="CS2885">
        <v>0</v>
      </c>
      <c r="CT2885">
        <v>2</v>
      </c>
      <c r="CU2885">
        <v>0</v>
      </c>
      <c r="CV2885">
        <v>7</v>
      </c>
      <c r="CW2885" t="s">
        <v>120</v>
      </c>
      <c r="CX2885">
        <v>257</v>
      </c>
      <c r="CY2885">
        <v>0</v>
      </c>
      <c r="CZ2885" t="s">
        <v>615</v>
      </c>
      <c r="DA2885" t="s">
        <v>616</v>
      </c>
      <c r="DD2885">
        <v>16151347</v>
      </c>
      <c r="DE2885" t="s">
        <v>123</v>
      </c>
    </row>
    <row r="2886" spans="1:109" x14ac:dyDescent="0.3">
      <c r="A2886" t="str">
        <f>"19:23:00.031"</f>
        <v>19:23:00.031</v>
      </c>
      <c r="B2886" t="s">
        <v>110</v>
      </c>
      <c r="C2886" t="str">
        <f t="shared" si="135"/>
        <v>ffdfd3c0</v>
      </c>
      <c r="D2886" t="s">
        <v>111</v>
      </c>
      <c r="E2886">
        <v>18</v>
      </c>
      <c r="F2886">
        <v>1018</v>
      </c>
      <c r="G2886" t="s">
        <v>112</v>
      </c>
      <c r="J2886" t="s">
        <v>113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R2886" t="s">
        <v>114</v>
      </c>
      <c r="S2886" t="str">
        <f>"19:22:59.766"</f>
        <v>19:22:59.766</v>
      </c>
      <c r="T2886" t="str">
        <f>"19:22:59.266"</f>
        <v>19:22:59.266</v>
      </c>
      <c r="U2886" t="str">
        <f t="shared" si="136"/>
        <v>a1cdbe</v>
      </c>
      <c r="V2886">
        <v>0</v>
      </c>
      <c r="W2886">
        <v>0</v>
      </c>
      <c r="X2886">
        <v>1</v>
      </c>
      <c r="Y2886">
        <v>0</v>
      </c>
      <c r="Z2886">
        <v>0</v>
      </c>
      <c r="AB2886">
        <v>0</v>
      </c>
      <c r="AC2886">
        <v>9</v>
      </c>
      <c r="AD2886">
        <v>3</v>
      </c>
      <c r="AE2886">
        <v>0</v>
      </c>
      <c r="AF2886">
        <v>9</v>
      </c>
      <c r="AG2886" t="s">
        <v>158</v>
      </c>
      <c r="AH2886">
        <v>0</v>
      </c>
      <c r="AI2886">
        <v>3</v>
      </c>
      <c r="AJ2886">
        <v>1</v>
      </c>
      <c r="AK2886">
        <v>0</v>
      </c>
      <c r="AL2886" t="s">
        <v>5431</v>
      </c>
      <c r="AM2886">
        <v>46.979449000000002</v>
      </c>
      <c r="AN2886" t="s">
        <v>5433</v>
      </c>
      <c r="AO2886">
        <v>-123.45941999999999</v>
      </c>
      <c r="AP2886">
        <v>100</v>
      </c>
      <c r="AQ2886">
        <v>2000</v>
      </c>
      <c r="AR2886" t="s">
        <v>118</v>
      </c>
      <c r="AS2886">
        <v>-81</v>
      </c>
      <c r="AT2886">
        <v>7</v>
      </c>
      <c r="AU2886">
        <v>0</v>
      </c>
      <c r="BC2886">
        <v>1200</v>
      </c>
      <c r="BD2886">
        <v>1</v>
      </c>
      <c r="BE2886" t="str">
        <f t="shared" si="137"/>
        <v xml:space="preserve">N215T   </v>
      </c>
      <c r="BF2886">
        <v>1</v>
      </c>
      <c r="BH2886">
        <v>0</v>
      </c>
      <c r="BI2886">
        <v>0</v>
      </c>
      <c r="BJ2886">
        <v>0</v>
      </c>
      <c r="BK2886">
        <v>2425</v>
      </c>
      <c r="BL2886">
        <v>425</v>
      </c>
      <c r="BM2886" t="s">
        <v>119</v>
      </c>
      <c r="BN2886">
        <v>1</v>
      </c>
      <c r="BO2886">
        <v>1</v>
      </c>
      <c r="BP2886">
        <v>1</v>
      </c>
      <c r="BQ2886">
        <v>0</v>
      </c>
      <c r="BT2886">
        <v>0</v>
      </c>
      <c r="BU2886">
        <v>0</v>
      </c>
      <c r="BV2886">
        <v>0</v>
      </c>
      <c r="CC2886" t="str">
        <f>"19:22:59.773"</f>
        <v>19:22:59.773</v>
      </c>
      <c r="CD2886" t="str">
        <f>"773328576"</f>
        <v>773328576</v>
      </c>
      <c r="CQ2886">
        <v>0</v>
      </c>
      <c r="CR2886">
        <v>2</v>
      </c>
      <c r="CS2886">
        <v>0</v>
      </c>
      <c r="CT2886">
        <v>2</v>
      </c>
      <c r="CU2886">
        <v>0</v>
      </c>
      <c r="CV2886">
        <v>7</v>
      </c>
      <c r="CW2886" t="s">
        <v>120</v>
      </c>
      <c r="CX2886">
        <v>257</v>
      </c>
      <c r="CY2886">
        <v>0</v>
      </c>
      <c r="CZ2886" t="s">
        <v>615</v>
      </c>
      <c r="DA2886" t="s">
        <v>616</v>
      </c>
      <c r="DD2886">
        <v>16151910</v>
      </c>
      <c r="DE2886" t="s">
        <v>123</v>
      </c>
    </row>
    <row r="2887" spans="1:109" x14ac:dyDescent="0.3">
      <c r="A2887" t="str">
        <f>"19:23:01.039"</f>
        <v>19:23:01.039</v>
      </c>
      <c r="B2887" t="s">
        <v>110</v>
      </c>
      <c r="C2887" t="str">
        <f t="shared" si="135"/>
        <v>ffdfd3c0</v>
      </c>
      <c r="D2887" t="s">
        <v>111</v>
      </c>
      <c r="E2887">
        <v>18</v>
      </c>
      <c r="F2887">
        <v>1018</v>
      </c>
      <c r="G2887" t="s">
        <v>112</v>
      </c>
      <c r="J2887" t="s">
        <v>113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R2887" t="s">
        <v>114</v>
      </c>
      <c r="S2887" t="str">
        <f>"19:23:00.789"</f>
        <v>19:23:00.789</v>
      </c>
      <c r="T2887" t="str">
        <f>"19:23:00.289"</f>
        <v>19:23:00.289</v>
      </c>
      <c r="U2887" t="str">
        <f t="shared" si="136"/>
        <v>a1cdbe</v>
      </c>
      <c r="V2887">
        <v>0</v>
      </c>
      <c r="W2887">
        <v>0</v>
      </c>
      <c r="X2887">
        <v>1</v>
      </c>
      <c r="Y2887">
        <v>0</v>
      </c>
      <c r="Z2887">
        <v>0</v>
      </c>
      <c r="AB2887">
        <v>0</v>
      </c>
      <c r="AC2887">
        <v>9</v>
      </c>
      <c r="AD2887">
        <v>3</v>
      </c>
      <c r="AE2887">
        <v>0</v>
      </c>
      <c r="AF2887">
        <v>9</v>
      </c>
      <c r="AG2887" t="s">
        <v>158</v>
      </c>
      <c r="AH2887">
        <v>0</v>
      </c>
      <c r="AI2887">
        <v>3</v>
      </c>
      <c r="AJ2887">
        <v>1</v>
      </c>
      <c r="AK2887">
        <v>0</v>
      </c>
      <c r="AL2887" t="s">
        <v>5434</v>
      </c>
      <c r="AM2887">
        <v>46.979512999999997</v>
      </c>
      <c r="AN2887" t="s">
        <v>5435</v>
      </c>
      <c r="AO2887">
        <v>-123.459957</v>
      </c>
      <c r="AP2887">
        <v>100</v>
      </c>
      <c r="AQ2887">
        <v>2000</v>
      </c>
      <c r="AR2887" t="s">
        <v>118</v>
      </c>
      <c r="AS2887">
        <v>-81</v>
      </c>
      <c r="AT2887">
        <v>7</v>
      </c>
      <c r="AU2887">
        <v>0</v>
      </c>
      <c r="BC2887">
        <v>1200</v>
      </c>
      <c r="BD2887">
        <v>1</v>
      </c>
      <c r="BE2887" t="str">
        <f t="shared" si="137"/>
        <v xml:space="preserve">N215T   </v>
      </c>
      <c r="BF2887">
        <v>1</v>
      </c>
      <c r="BH2887">
        <v>0</v>
      </c>
      <c r="BI2887">
        <v>0</v>
      </c>
      <c r="BJ2887">
        <v>0</v>
      </c>
      <c r="BK2887">
        <v>2425</v>
      </c>
      <c r="BL2887">
        <v>425</v>
      </c>
      <c r="BM2887" t="s">
        <v>119</v>
      </c>
      <c r="BN2887">
        <v>1</v>
      </c>
      <c r="BO2887">
        <v>1</v>
      </c>
      <c r="BP2887">
        <v>1</v>
      </c>
      <c r="BQ2887">
        <v>0</v>
      </c>
      <c r="BT2887">
        <v>0</v>
      </c>
      <c r="BU2887">
        <v>0</v>
      </c>
      <c r="BV2887">
        <v>0</v>
      </c>
      <c r="CC2887" t="str">
        <f>"19:23:00.797"</f>
        <v>19:23:00.797</v>
      </c>
      <c r="CD2887" t="str">
        <f>"793228047"</f>
        <v>793228047</v>
      </c>
      <c r="CQ2887">
        <v>0</v>
      </c>
      <c r="CR2887">
        <v>2</v>
      </c>
      <c r="CS2887">
        <v>0</v>
      </c>
      <c r="CT2887">
        <v>2</v>
      </c>
      <c r="CU2887">
        <v>0</v>
      </c>
      <c r="CV2887">
        <v>7</v>
      </c>
      <c r="CW2887" t="s">
        <v>120</v>
      </c>
      <c r="CX2887">
        <v>257</v>
      </c>
      <c r="CY2887">
        <v>0</v>
      </c>
      <c r="CZ2887" t="s">
        <v>615</v>
      </c>
      <c r="DA2887" t="s">
        <v>616</v>
      </c>
      <c r="DD2887">
        <v>16152474</v>
      </c>
      <c r="DE2887" t="s">
        <v>123</v>
      </c>
    </row>
    <row r="2888" spans="1:109" x14ac:dyDescent="0.3">
      <c r="A2888" t="str">
        <f>"19:23:02.094"</f>
        <v>19:23:02.094</v>
      </c>
      <c r="B2888" t="s">
        <v>110</v>
      </c>
      <c r="C2888" t="str">
        <f t="shared" si="135"/>
        <v>ffdfd3c0</v>
      </c>
      <c r="D2888" t="s">
        <v>111</v>
      </c>
      <c r="E2888">
        <v>18</v>
      </c>
      <c r="F2888">
        <v>1018</v>
      </c>
      <c r="G2888" t="s">
        <v>112</v>
      </c>
      <c r="J2888" t="s">
        <v>113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R2888" t="s">
        <v>114</v>
      </c>
      <c r="S2888" t="str">
        <f>"19:23:01.883"</f>
        <v>19:23:01.883</v>
      </c>
      <c r="T2888" t="str">
        <f>"19:23:01.484"</f>
        <v>19:23:01.484</v>
      </c>
      <c r="U2888" t="str">
        <f t="shared" si="136"/>
        <v>a1cdbe</v>
      </c>
      <c r="V2888">
        <v>0</v>
      </c>
      <c r="W2888">
        <v>0</v>
      </c>
      <c r="X2888">
        <v>1</v>
      </c>
      <c r="Y2888">
        <v>0</v>
      </c>
      <c r="Z2888">
        <v>0</v>
      </c>
      <c r="AB2888">
        <v>0</v>
      </c>
      <c r="AC2888">
        <v>9</v>
      </c>
      <c r="AD2888">
        <v>3</v>
      </c>
      <c r="AE2888">
        <v>0</v>
      </c>
      <c r="AF2888">
        <v>9</v>
      </c>
      <c r="AG2888" t="s">
        <v>158</v>
      </c>
      <c r="AH2888">
        <v>0</v>
      </c>
      <c r="AI2888">
        <v>3</v>
      </c>
      <c r="AJ2888">
        <v>1</v>
      </c>
      <c r="AK2888">
        <v>0</v>
      </c>
      <c r="AL2888" t="s">
        <v>5436</v>
      </c>
      <c r="AM2888">
        <v>46.979534999999998</v>
      </c>
      <c r="AN2888" t="s">
        <v>5437</v>
      </c>
      <c r="AO2888">
        <v>-123.46055699999999</v>
      </c>
      <c r="AP2888">
        <v>100</v>
      </c>
      <c r="AQ2888">
        <v>2000</v>
      </c>
      <c r="AR2888" t="s">
        <v>118</v>
      </c>
      <c r="AS2888">
        <v>-81</v>
      </c>
      <c r="AT2888">
        <v>7</v>
      </c>
      <c r="AU2888">
        <v>0</v>
      </c>
      <c r="BC2888">
        <v>1200</v>
      </c>
      <c r="BD2888">
        <v>1</v>
      </c>
      <c r="BE2888" t="str">
        <f t="shared" si="137"/>
        <v xml:space="preserve">N215T   </v>
      </c>
      <c r="BF2888">
        <v>1</v>
      </c>
      <c r="BH2888">
        <v>0</v>
      </c>
      <c r="BI2888">
        <v>0</v>
      </c>
      <c r="BJ2888">
        <v>0</v>
      </c>
      <c r="BK2888">
        <v>2425</v>
      </c>
      <c r="BL2888">
        <v>425</v>
      </c>
      <c r="BM2888" t="s">
        <v>119</v>
      </c>
      <c r="BN2888">
        <v>1</v>
      </c>
      <c r="BO2888">
        <v>1</v>
      </c>
      <c r="BP2888">
        <v>1</v>
      </c>
      <c r="BQ2888">
        <v>0</v>
      </c>
      <c r="BT2888">
        <v>0</v>
      </c>
      <c r="BU2888">
        <v>0</v>
      </c>
      <c r="BV2888">
        <v>0</v>
      </c>
      <c r="CC2888" t="str">
        <f>"19:23:01.891"</f>
        <v>19:23:01.891</v>
      </c>
      <c r="CD2888" t="str">
        <f>"888120124"</f>
        <v>888120124</v>
      </c>
      <c r="CQ2888">
        <v>0</v>
      </c>
      <c r="CR2888">
        <v>2</v>
      </c>
      <c r="CS2888">
        <v>0</v>
      </c>
      <c r="CT2888">
        <v>2</v>
      </c>
      <c r="CU2888">
        <v>0</v>
      </c>
      <c r="CV2888">
        <v>7</v>
      </c>
      <c r="CW2888" t="s">
        <v>120</v>
      </c>
      <c r="CX2888">
        <v>257</v>
      </c>
      <c r="CY2888">
        <v>0</v>
      </c>
      <c r="CZ2888" t="s">
        <v>615</v>
      </c>
      <c r="DA2888" t="s">
        <v>616</v>
      </c>
      <c r="DD2888">
        <v>16153060</v>
      </c>
      <c r="DE2888" t="s">
        <v>123</v>
      </c>
    </row>
    <row r="2889" spans="1:109" x14ac:dyDescent="0.3">
      <c r="A2889" t="str">
        <f>"19:23:03.148"</f>
        <v>19:23:03.148</v>
      </c>
      <c r="B2889" t="s">
        <v>110</v>
      </c>
      <c r="C2889" t="str">
        <f t="shared" si="135"/>
        <v>ffdfd3c0</v>
      </c>
      <c r="D2889" t="s">
        <v>111</v>
      </c>
      <c r="E2889">
        <v>18</v>
      </c>
      <c r="F2889">
        <v>1018</v>
      </c>
      <c r="G2889" t="s">
        <v>112</v>
      </c>
      <c r="J2889" t="s">
        <v>113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R2889" t="s">
        <v>114</v>
      </c>
      <c r="S2889" t="str">
        <f>"19:23:02.906"</f>
        <v>19:23:02.906</v>
      </c>
      <c r="T2889" t="str">
        <f>"19:23:02.508"</f>
        <v>19:23:02.508</v>
      </c>
      <c r="U2889" t="str">
        <f t="shared" si="136"/>
        <v>a1cdbe</v>
      </c>
      <c r="V2889">
        <v>0</v>
      </c>
      <c r="W2889">
        <v>0</v>
      </c>
      <c r="X2889">
        <v>1</v>
      </c>
      <c r="Y2889">
        <v>0</v>
      </c>
      <c r="Z2889">
        <v>0</v>
      </c>
      <c r="AB2889">
        <v>0</v>
      </c>
      <c r="AC2889">
        <v>9</v>
      </c>
      <c r="AD2889">
        <v>3</v>
      </c>
      <c r="AE2889">
        <v>0</v>
      </c>
      <c r="AF2889">
        <v>9</v>
      </c>
      <c r="AG2889" t="s">
        <v>158</v>
      </c>
      <c r="AH2889">
        <v>0</v>
      </c>
      <c r="AI2889">
        <v>3</v>
      </c>
      <c r="AJ2889">
        <v>1</v>
      </c>
      <c r="AK2889">
        <v>0</v>
      </c>
      <c r="AL2889" t="s">
        <v>5438</v>
      </c>
      <c r="AM2889">
        <v>46.979556000000002</v>
      </c>
      <c r="AN2889" t="s">
        <v>5439</v>
      </c>
      <c r="AO2889">
        <v>-123.46113699999999</v>
      </c>
      <c r="AP2889">
        <v>100</v>
      </c>
      <c r="AQ2889">
        <v>2000</v>
      </c>
      <c r="AR2889" t="s">
        <v>118</v>
      </c>
      <c r="AS2889">
        <v>-81</v>
      </c>
      <c r="AT2889">
        <v>7</v>
      </c>
      <c r="AU2889">
        <v>0</v>
      </c>
      <c r="BC2889">
        <v>1200</v>
      </c>
      <c r="BD2889">
        <v>1</v>
      </c>
      <c r="BE2889" t="str">
        <f t="shared" si="137"/>
        <v xml:space="preserve">N215T   </v>
      </c>
      <c r="BF2889">
        <v>1</v>
      </c>
      <c r="BH2889">
        <v>0</v>
      </c>
      <c r="BI2889">
        <v>0</v>
      </c>
      <c r="BJ2889">
        <v>0</v>
      </c>
      <c r="BK2889">
        <v>2425</v>
      </c>
      <c r="BL2889">
        <v>425</v>
      </c>
      <c r="BM2889" t="s">
        <v>119</v>
      </c>
      <c r="BN2889">
        <v>1</v>
      </c>
      <c r="BO2889">
        <v>1</v>
      </c>
      <c r="BP2889">
        <v>1</v>
      </c>
      <c r="BQ2889">
        <v>0</v>
      </c>
      <c r="BT2889">
        <v>0</v>
      </c>
      <c r="BU2889">
        <v>0</v>
      </c>
      <c r="BV2889">
        <v>0</v>
      </c>
      <c r="CC2889" t="str">
        <f>"19:23:02.906"</f>
        <v>19:23:02.906</v>
      </c>
      <c r="CD2889" t="str">
        <f>"908019590"</f>
        <v>908019590</v>
      </c>
      <c r="CQ2889">
        <v>0</v>
      </c>
      <c r="CR2889">
        <v>2</v>
      </c>
      <c r="CS2889">
        <v>0</v>
      </c>
      <c r="CT2889">
        <v>2</v>
      </c>
      <c r="CU2889">
        <v>0</v>
      </c>
      <c r="CV2889">
        <v>7</v>
      </c>
      <c r="CW2889" t="s">
        <v>120</v>
      </c>
      <c r="CX2889">
        <v>257</v>
      </c>
      <c r="CY2889">
        <v>0</v>
      </c>
      <c r="CZ2889" t="s">
        <v>615</v>
      </c>
      <c r="DA2889" t="s">
        <v>616</v>
      </c>
      <c r="DD2889">
        <v>16153570</v>
      </c>
      <c r="DE2889" t="s">
        <v>123</v>
      </c>
    </row>
    <row r="2890" spans="1:109" x14ac:dyDescent="0.3">
      <c r="A2890" t="str">
        <f>"19:23:04.156"</f>
        <v>19:23:04.156</v>
      </c>
      <c r="B2890" t="s">
        <v>110</v>
      </c>
      <c r="C2890" t="str">
        <f t="shared" si="135"/>
        <v>ffdfd3c0</v>
      </c>
      <c r="D2890" t="s">
        <v>111</v>
      </c>
      <c r="E2890">
        <v>18</v>
      </c>
      <c r="F2890">
        <v>1018</v>
      </c>
      <c r="G2890" t="s">
        <v>112</v>
      </c>
      <c r="J2890" t="s">
        <v>113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R2890" t="s">
        <v>114</v>
      </c>
      <c r="S2890" t="str">
        <f>"19:23:03.922"</f>
        <v>19:23:03.922</v>
      </c>
      <c r="T2890" t="str">
        <f>"19:23:03.820"</f>
        <v>19:23:03.820</v>
      </c>
      <c r="U2890" t="str">
        <f t="shared" si="136"/>
        <v>a1cdbe</v>
      </c>
      <c r="V2890">
        <v>0</v>
      </c>
      <c r="W2890">
        <v>0</v>
      </c>
      <c r="X2890">
        <v>1</v>
      </c>
      <c r="Y2890">
        <v>0</v>
      </c>
      <c r="Z2890">
        <v>0</v>
      </c>
      <c r="AB2890">
        <v>0</v>
      </c>
      <c r="AC2890">
        <v>9</v>
      </c>
      <c r="AD2890">
        <v>3</v>
      </c>
      <c r="AE2890">
        <v>0</v>
      </c>
      <c r="AF2890">
        <v>9</v>
      </c>
      <c r="AG2890" t="s">
        <v>158</v>
      </c>
      <c r="AH2890">
        <v>0</v>
      </c>
      <c r="AI2890">
        <v>3</v>
      </c>
      <c r="AJ2890">
        <v>1</v>
      </c>
      <c r="AK2890">
        <v>0</v>
      </c>
      <c r="AL2890" t="s">
        <v>5440</v>
      </c>
      <c r="AM2890">
        <v>46.979577999999997</v>
      </c>
      <c r="AN2890" t="s">
        <v>5441</v>
      </c>
      <c r="AO2890">
        <v>-123.461673</v>
      </c>
      <c r="AP2890">
        <v>100</v>
      </c>
      <c r="AQ2890">
        <v>2000</v>
      </c>
      <c r="AR2890" t="s">
        <v>118</v>
      </c>
      <c r="AS2890">
        <v>-81</v>
      </c>
      <c r="AT2890">
        <v>8</v>
      </c>
      <c r="AU2890">
        <v>0</v>
      </c>
      <c r="BC2890">
        <v>1200</v>
      </c>
      <c r="BD2890">
        <v>1</v>
      </c>
      <c r="BE2890" t="str">
        <f t="shared" si="137"/>
        <v xml:space="preserve">N215T   </v>
      </c>
      <c r="BF2890">
        <v>1</v>
      </c>
      <c r="BH2890">
        <v>0</v>
      </c>
      <c r="BI2890">
        <v>0</v>
      </c>
      <c r="BJ2890">
        <v>0</v>
      </c>
      <c r="BK2890">
        <v>2425</v>
      </c>
      <c r="BL2890">
        <v>425</v>
      </c>
      <c r="BM2890" t="s">
        <v>119</v>
      </c>
      <c r="BN2890">
        <v>1</v>
      </c>
      <c r="BO2890">
        <v>1</v>
      </c>
      <c r="BP2890">
        <v>1</v>
      </c>
      <c r="BQ2890">
        <v>0</v>
      </c>
      <c r="BT2890">
        <v>0</v>
      </c>
      <c r="BU2890">
        <v>0</v>
      </c>
      <c r="BV2890">
        <v>0</v>
      </c>
      <c r="CC2890" t="str">
        <f>"19:23:03.930"</f>
        <v>19:23:03.930</v>
      </c>
      <c r="CD2890" t="str">
        <f>"927919054"</f>
        <v>927919054</v>
      </c>
      <c r="CQ2890">
        <v>0</v>
      </c>
      <c r="CR2890">
        <v>2</v>
      </c>
      <c r="CS2890">
        <v>0</v>
      </c>
      <c r="CT2890">
        <v>2</v>
      </c>
      <c r="CU2890">
        <v>0</v>
      </c>
      <c r="CV2890">
        <v>7</v>
      </c>
      <c r="CW2890" t="s">
        <v>120</v>
      </c>
      <c r="CX2890">
        <v>257</v>
      </c>
      <c r="CY2890">
        <v>0</v>
      </c>
      <c r="CZ2890" t="s">
        <v>615</v>
      </c>
      <c r="DA2890" t="s">
        <v>616</v>
      </c>
      <c r="DD2890">
        <v>16154077</v>
      </c>
      <c r="DE2890" t="s">
        <v>123</v>
      </c>
    </row>
    <row r="2891" spans="1:109" x14ac:dyDescent="0.3">
      <c r="A2891" t="str">
        <f>"19:23:05.109"</f>
        <v>19:23:05.109</v>
      </c>
      <c r="B2891" t="s">
        <v>110</v>
      </c>
      <c r="C2891" t="str">
        <f t="shared" si="135"/>
        <v>ffdfd3c0</v>
      </c>
      <c r="D2891" t="s">
        <v>111</v>
      </c>
      <c r="E2891">
        <v>18</v>
      </c>
      <c r="F2891">
        <v>1018</v>
      </c>
      <c r="G2891" t="s">
        <v>112</v>
      </c>
      <c r="J2891" t="s">
        <v>113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R2891" t="s">
        <v>114</v>
      </c>
      <c r="S2891" t="str">
        <f>"19:23:04.898"</f>
        <v>19:23:04.898</v>
      </c>
      <c r="T2891" t="str">
        <f>"19:23:04.797"</f>
        <v>19:23:04.797</v>
      </c>
      <c r="U2891" t="str">
        <f t="shared" si="136"/>
        <v>a1cdbe</v>
      </c>
      <c r="V2891">
        <v>0</v>
      </c>
      <c r="W2891">
        <v>0</v>
      </c>
      <c r="X2891">
        <v>1</v>
      </c>
      <c r="Y2891">
        <v>0</v>
      </c>
      <c r="Z2891">
        <v>0</v>
      </c>
      <c r="AB2891">
        <v>0</v>
      </c>
      <c r="AC2891">
        <v>9</v>
      </c>
      <c r="AD2891">
        <v>3</v>
      </c>
      <c r="AE2891">
        <v>0</v>
      </c>
      <c r="AF2891">
        <v>9</v>
      </c>
      <c r="AG2891" t="s">
        <v>158</v>
      </c>
      <c r="AH2891">
        <v>0</v>
      </c>
      <c r="AI2891">
        <v>3</v>
      </c>
      <c r="AJ2891">
        <v>1</v>
      </c>
      <c r="AK2891">
        <v>0</v>
      </c>
      <c r="AL2891" t="s">
        <v>5442</v>
      </c>
      <c r="AM2891">
        <v>46.979641999999998</v>
      </c>
      <c r="AN2891" t="s">
        <v>5443</v>
      </c>
      <c r="AO2891">
        <v>-123.462231</v>
      </c>
      <c r="AP2891">
        <v>100</v>
      </c>
      <c r="AQ2891">
        <v>2000</v>
      </c>
      <c r="AR2891" t="s">
        <v>118</v>
      </c>
      <c r="AS2891">
        <v>-81</v>
      </c>
      <c r="AT2891">
        <v>8</v>
      </c>
      <c r="AU2891">
        <v>0</v>
      </c>
      <c r="BC2891">
        <v>1200</v>
      </c>
      <c r="BD2891">
        <v>1</v>
      </c>
      <c r="BE2891" t="str">
        <f t="shared" si="137"/>
        <v xml:space="preserve">N215T   </v>
      </c>
      <c r="BF2891">
        <v>1</v>
      </c>
      <c r="BH2891">
        <v>0</v>
      </c>
      <c r="BI2891">
        <v>0</v>
      </c>
      <c r="BJ2891">
        <v>0</v>
      </c>
      <c r="BK2891">
        <v>2425</v>
      </c>
      <c r="BL2891">
        <v>425</v>
      </c>
      <c r="BM2891" t="s">
        <v>119</v>
      </c>
      <c r="BN2891">
        <v>1</v>
      </c>
      <c r="BO2891">
        <v>1</v>
      </c>
      <c r="BP2891">
        <v>1</v>
      </c>
      <c r="BQ2891">
        <v>0</v>
      </c>
      <c r="BT2891">
        <v>0</v>
      </c>
      <c r="BU2891">
        <v>0</v>
      </c>
      <c r="BV2891">
        <v>0</v>
      </c>
      <c r="CC2891" t="str">
        <f>"19:23:04.906"</f>
        <v>19:23:04.906</v>
      </c>
      <c r="CD2891" t="str">
        <f>"902822959"</f>
        <v>902822959</v>
      </c>
      <c r="CQ2891">
        <v>0</v>
      </c>
      <c r="CR2891">
        <v>2</v>
      </c>
      <c r="CS2891">
        <v>0</v>
      </c>
      <c r="CT2891">
        <v>2</v>
      </c>
      <c r="CU2891">
        <v>0</v>
      </c>
      <c r="CV2891">
        <v>6</v>
      </c>
      <c r="CW2891" t="s">
        <v>120</v>
      </c>
      <c r="CX2891">
        <v>257</v>
      </c>
      <c r="CY2891">
        <v>0</v>
      </c>
      <c r="CZ2891" t="s">
        <v>615</v>
      </c>
      <c r="DA2891" t="s">
        <v>616</v>
      </c>
      <c r="DD2891">
        <v>16154609</v>
      </c>
      <c r="DE2891" t="s">
        <v>123</v>
      </c>
    </row>
    <row r="2892" spans="1:109" x14ac:dyDescent="0.3">
      <c r="A2892" t="str">
        <f>"19:23:06.070"</f>
        <v>19:23:06.070</v>
      </c>
      <c r="B2892" t="s">
        <v>110</v>
      </c>
      <c r="C2892" t="str">
        <f t="shared" si="135"/>
        <v>ffdfd3c0</v>
      </c>
      <c r="D2892" t="s">
        <v>111</v>
      </c>
      <c r="E2892">
        <v>18</v>
      </c>
      <c r="F2892">
        <v>1018</v>
      </c>
      <c r="G2892" t="s">
        <v>112</v>
      </c>
      <c r="J2892" t="s">
        <v>113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R2892" t="s">
        <v>114</v>
      </c>
      <c r="S2892" t="str">
        <f>"19:23:05.797"</f>
        <v>19:23:05.797</v>
      </c>
      <c r="T2892" t="str">
        <f>"19:23:05.398"</f>
        <v>19:23:05.398</v>
      </c>
      <c r="U2892" t="str">
        <f t="shared" si="136"/>
        <v>a1cdbe</v>
      </c>
      <c r="V2892">
        <v>0</v>
      </c>
      <c r="W2892">
        <v>0</v>
      </c>
      <c r="X2892">
        <v>1</v>
      </c>
      <c r="Y2892">
        <v>0</v>
      </c>
      <c r="Z2892">
        <v>0</v>
      </c>
      <c r="AB2892">
        <v>0</v>
      </c>
      <c r="AC2892">
        <v>9</v>
      </c>
      <c r="AD2892">
        <v>3</v>
      </c>
      <c r="AE2892">
        <v>0</v>
      </c>
      <c r="AF2892">
        <v>9</v>
      </c>
      <c r="AG2892" t="s">
        <v>158</v>
      </c>
      <c r="AH2892">
        <v>0</v>
      </c>
      <c r="AI2892">
        <v>3</v>
      </c>
      <c r="AJ2892">
        <v>1</v>
      </c>
      <c r="AK2892">
        <v>0</v>
      </c>
      <c r="AL2892" t="s">
        <v>5444</v>
      </c>
      <c r="AM2892">
        <v>46.979685000000003</v>
      </c>
      <c r="AN2892" t="s">
        <v>5445</v>
      </c>
      <c r="AO2892">
        <v>-123.46266</v>
      </c>
      <c r="AP2892">
        <v>100</v>
      </c>
      <c r="AQ2892">
        <v>2000</v>
      </c>
      <c r="AR2892" t="s">
        <v>118</v>
      </c>
      <c r="AS2892">
        <v>-81</v>
      </c>
      <c r="AT2892">
        <v>8</v>
      </c>
      <c r="AU2892">
        <v>0</v>
      </c>
      <c r="BC2892">
        <v>1200</v>
      </c>
      <c r="BD2892">
        <v>1</v>
      </c>
      <c r="BE2892" t="str">
        <f t="shared" si="137"/>
        <v xml:space="preserve">N215T   </v>
      </c>
      <c r="BF2892">
        <v>1</v>
      </c>
      <c r="BH2892">
        <v>0</v>
      </c>
      <c r="BI2892">
        <v>0</v>
      </c>
      <c r="BJ2892">
        <v>0</v>
      </c>
      <c r="BK2892">
        <v>2425</v>
      </c>
      <c r="BL2892">
        <v>425</v>
      </c>
      <c r="BM2892" t="s">
        <v>119</v>
      </c>
      <c r="BN2892">
        <v>1</v>
      </c>
      <c r="BO2892">
        <v>1</v>
      </c>
      <c r="BP2892">
        <v>1</v>
      </c>
      <c r="BQ2892">
        <v>0</v>
      </c>
      <c r="BT2892">
        <v>0</v>
      </c>
      <c r="BU2892">
        <v>0</v>
      </c>
      <c r="BV2892">
        <v>0</v>
      </c>
      <c r="CC2892" t="str">
        <f>"19:23:05.805"</f>
        <v>19:23:05.805</v>
      </c>
      <c r="CD2892" t="str">
        <f>"802734258"</f>
        <v>802734258</v>
      </c>
      <c r="CQ2892">
        <v>0</v>
      </c>
      <c r="CR2892">
        <v>2</v>
      </c>
      <c r="CS2892">
        <v>0</v>
      </c>
      <c r="CT2892">
        <v>2</v>
      </c>
      <c r="CU2892">
        <v>0</v>
      </c>
      <c r="CV2892">
        <v>7</v>
      </c>
      <c r="CW2892" t="s">
        <v>120</v>
      </c>
      <c r="CX2892">
        <v>257</v>
      </c>
      <c r="CY2892">
        <v>0</v>
      </c>
      <c r="CZ2892" t="s">
        <v>615</v>
      </c>
      <c r="DA2892" t="s">
        <v>616</v>
      </c>
      <c r="DD2892">
        <v>16155084</v>
      </c>
      <c r="DE2892" t="s">
        <v>123</v>
      </c>
    </row>
    <row r="2893" spans="1:109" x14ac:dyDescent="0.3">
      <c r="A2893" t="str">
        <f>"19:23:07.078"</f>
        <v>19:23:07.078</v>
      </c>
      <c r="B2893" t="s">
        <v>110</v>
      </c>
      <c r="C2893" t="str">
        <f t="shared" si="135"/>
        <v>ffdfd3c0</v>
      </c>
      <c r="D2893" t="s">
        <v>111</v>
      </c>
      <c r="E2893">
        <v>18</v>
      </c>
      <c r="F2893">
        <v>1018</v>
      </c>
      <c r="G2893" t="s">
        <v>112</v>
      </c>
      <c r="J2893" t="s">
        <v>113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R2893" t="s">
        <v>114</v>
      </c>
      <c r="S2893" t="str">
        <f>"19:23:06.852"</f>
        <v>19:23:06.852</v>
      </c>
      <c r="T2893" t="str">
        <f>"19:23:06.352"</f>
        <v>19:23:06.352</v>
      </c>
      <c r="U2893" t="str">
        <f t="shared" si="136"/>
        <v>a1cdbe</v>
      </c>
      <c r="V2893">
        <v>0</v>
      </c>
      <c r="W2893">
        <v>0</v>
      </c>
      <c r="X2893">
        <v>1</v>
      </c>
      <c r="Y2893">
        <v>0</v>
      </c>
      <c r="Z2893">
        <v>0</v>
      </c>
      <c r="AB2893">
        <v>0</v>
      </c>
      <c r="AC2893">
        <v>9</v>
      </c>
      <c r="AD2893">
        <v>3</v>
      </c>
      <c r="AE2893">
        <v>0</v>
      </c>
      <c r="AF2893">
        <v>9</v>
      </c>
      <c r="AG2893" t="s">
        <v>158</v>
      </c>
      <c r="AH2893">
        <v>0</v>
      </c>
      <c r="AI2893">
        <v>3</v>
      </c>
      <c r="AJ2893">
        <v>1</v>
      </c>
      <c r="AK2893">
        <v>0</v>
      </c>
      <c r="AL2893" t="s">
        <v>5446</v>
      </c>
      <c r="AM2893">
        <v>46.979728000000001</v>
      </c>
      <c r="AN2893" t="s">
        <v>5447</v>
      </c>
      <c r="AO2893">
        <v>-123.463261</v>
      </c>
      <c r="AP2893">
        <v>100</v>
      </c>
      <c r="AQ2893">
        <v>2000</v>
      </c>
      <c r="AR2893" t="s">
        <v>118</v>
      </c>
      <c r="AS2893">
        <v>-81</v>
      </c>
      <c r="AT2893">
        <v>8</v>
      </c>
      <c r="AU2893">
        <v>0</v>
      </c>
      <c r="BC2893">
        <v>1200</v>
      </c>
      <c r="BD2893">
        <v>1</v>
      </c>
      <c r="BE2893" t="str">
        <f t="shared" si="137"/>
        <v xml:space="preserve">N215T   </v>
      </c>
      <c r="BF2893">
        <v>1</v>
      </c>
      <c r="BH2893">
        <v>0</v>
      </c>
      <c r="BI2893">
        <v>0</v>
      </c>
      <c r="BJ2893">
        <v>0</v>
      </c>
      <c r="BK2893">
        <v>2425</v>
      </c>
      <c r="BL2893">
        <v>425</v>
      </c>
      <c r="BM2893" t="s">
        <v>119</v>
      </c>
      <c r="BN2893">
        <v>1</v>
      </c>
      <c r="BO2893">
        <v>1</v>
      </c>
      <c r="BP2893">
        <v>1</v>
      </c>
      <c r="BQ2893">
        <v>0</v>
      </c>
      <c r="BT2893">
        <v>0</v>
      </c>
      <c r="BU2893">
        <v>0</v>
      </c>
      <c r="BV2893">
        <v>0</v>
      </c>
      <c r="CC2893" t="str">
        <f>"19:23:06.852"</f>
        <v>19:23:06.852</v>
      </c>
      <c r="CD2893" t="str">
        <f>"852630768"</f>
        <v>852630768</v>
      </c>
      <c r="CQ2893">
        <v>0</v>
      </c>
      <c r="CR2893">
        <v>2</v>
      </c>
      <c r="CS2893">
        <v>0</v>
      </c>
      <c r="CT2893">
        <v>2</v>
      </c>
      <c r="CU2893">
        <v>0</v>
      </c>
      <c r="CV2893">
        <v>6</v>
      </c>
      <c r="CW2893" t="s">
        <v>120</v>
      </c>
      <c r="CX2893">
        <v>257</v>
      </c>
      <c r="CY2893">
        <v>0</v>
      </c>
      <c r="CZ2893" t="s">
        <v>615</v>
      </c>
      <c r="DA2893" t="s">
        <v>616</v>
      </c>
      <c r="DD2893">
        <v>16155608</v>
      </c>
      <c r="DE2893" t="s">
        <v>123</v>
      </c>
    </row>
    <row r="2894" spans="1:109" x14ac:dyDescent="0.3">
      <c r="A2894" t="str">
        <f>"19:23:08.078"</f>
        <v>19:23:08.078</v>
      </c>
      <c r="B2894" t="s">
        <v>110</v>
      </c>
      <c r="C2894" t="str">
        <f t="shared" si="135"/>
        <v>ffdfd3c0</v>
      </c>
      <c r="D2894" t="s">
        <v>111</v>
      </c>
      <c r="E2894">
        <v>18</v>
      </c>
      <c r="F2894">
        <v>1018</v>
      </c>
      <c r="G2894" t="s">
        <v>112</v>
      </c>
      <c r="J2894" t="s">
        <v>113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R2894" t="s">
        <v>114</v>
      </c>
      <c r="S2894" t="str">
        <f>"19:23:07.836"</f>
        <v>19:23:07.836</v>
      </c>
      <c r="T2894" t="str">
        <f>"19:23:07.336"</f>
        <v>19:23:07.336</v>
      </c>
      <c r="U2894" t="str">
        <f t="shared" si="136"/>
        <v>a1cdbe</v>
      </c>
      <c r="V2894">
        <v>0</v>
      </c>
      <c r="W2894">
        <v>0</v>
      </c>
      <c r="X2894">
        <v>1</v>
      </c>
      <c r="Y2894">
        <v>0</v>
      </c>
      <c r="Z2894">
        <v>0</v>
      </c>
      <c r="AB2894">
        <v>0</v>
      </c>
      <c r="AC2894">
        <v>9</v>
      </c>
      <c r="AD2894">
        <v>3</v>
      </c>
      <c r="AE2894">
        <v>0</v>
      </c>
      <c r="AF2894">
        <v>9</v>
      </c>
      <c r="AG2894" t="s">
        <v>158</v>
      </c>
      <c r="AH2894">
        <v>0</v>
      </c>
      <c r="AI2894">
        <v>3</v>
      </c>
      <c r="AJ2894">
        <v>1</v>
      </c>
      <c r="AK2894">
        <v>0</v>
      </c>
      <c r="AL2894" t="s">
        <v>5448</v>
      </c>
      <c r="AM2894">
        <v>46.979771</v>
      </c>
      <c r="AN2894" t="s">
        <v>5449</v>
      </c>
      <c r="AO2894">
        <v>-123.463798</v>
      </c>
      <c r="AP2894">
        <v>100</v>
      </c>
      <c r="AQ2894">
        <v>2000</v>
      </c>
      <c r="AR2894" t="s">
        <v>118</v>
      </c>
      <c r="AS2894">
        <v>-81</v>
      </c>
      <c r="AT2894">
        <v>8</v>
      </c>
      <c r="AU2894">
        <v>64</v>
      </c>
      <c r="BC2894">
        <v>1200</v>
      </c>
      <c r="BD2894">
        <v>1</v>
      </c>
      <c r="BE2894" t="str">
        <f t="shared" si="137"/>
        <v xml:space="preserve">N215T   </v>
      </c>
      <c r="BF2894">
        <v>1</v>
      </c>
      <c r="BH2894">
        <v>0</v>
      </c>
      <c r="BI2894">
        <v>0</v>
      </c>
      <c r="BJ2894">
        <v>0</v>
      </c>
      <c r="BK2894">
        <v>2425</v>
      </c>
      <c r="BL2894">
        <v>425</v>
      </c>
      <c r="BM2894" t="s">
        <v>119</v>
      </c>
      <c r="BN2894">
        <v>1</v>
      </c>
      <c r="BO2894">
        <v>1</v>
      </c>
      <c r="BP2894">
        <v>1</v>
      </c>
      <c r="BQ2894">
        <v>0</v>
      </c>
      <c r="BT2894">
        <v>0</v>
      </c>
      <c r="BU2894">
        <v>0</v>
      </c>
      <c r="BV2894">
        <v>0</v>
      </c>
      <c r="CC2894" t="str">
        <f>"19:23:07.844"</f>
        <v>19:23:07.844</v>
      </c>
      <c r="CD2894" t="str">
        <f>"842533195"</f>
        <v>842533195</v>
      </c>
      <c r="CQ2894">
        <v>0</v>
      </c>
      <c r="CR2894">
        <v>2</v>
      </c>
      <c r="CS2894">
        <v>0</v>
      </c>
      <c r="CT2894">
        <v>2</v>
      </c>
      <c r="CU2894">
        <v>0</v>
      </c>
      <c r="CV2894">
        <v>6</v>
      </c>
      <c r="CW2894" t="s">
        <v>120</v>
      </c>
      <c r="CX2894">
        <v>257</v>
      </c>
      <c r="CY2894">
        <v>0</v>
      </c>
      <c r="CZ2894" t="s">
        <v>615</v>
      </c>
      <c r="DA2894" t="s">
        <v>616</v>
      </c>
      <c r="DD2894">
        <v>16156061</v>
      </c>
      <c r="DE2894" t="s">
        <v>123</v>
      </c>
    </row>
    <row r="2895" spans="1:109" x14ac:dyDescent="0.3">
      <c r="A2895" t="str">
        <f>"19:23:09.188"</f>
        <v>19:23:09.188</v>
      </c>
      <c r="B2895" t="s">
        <v>110</v>
      </c>
      <c r="C2895" t="str">
        <f t="shared" si="135"/>
        <v>ffdfd3c0</v>
      </c>
      <c r="D2895" t="s">
        <v>111</v>
      </c>
      <c r="E2895">
        <v>18</v>
      </c>
      <c r="F2895">
        <v>1018</v>
      </c>
      <c r="G2895" t="s">
        <v>112</v>
      </c>
      <c r="J2895" t="s">
        <v>113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R2895" t="s">
        <v>114</v>
      </c>
      <c r="S2895" t="str">
        <f>"19:23:08.945"</f>
        <v>19:23:08.945</v>
      </c>
      <c r="T2895" t="str">
        <f>"19:23:08.445"</f>
        <v>19:23:08.445</v>
      </c>
      <c r="U2895" t="str">
        <f t="shared" si="136"/>
        <v>a1cdbe</v>
      </c>
      <c r="V2895">
        <v>0</v>
      </c>
      <c r="W2895">
        <v>0</v>
      </c>
      <c r="X2895">
        <v>1</v>
      </c>
      <c r="Y2895">
        <v>0</v>
      </c>
      <c r="Z2895">
        <v>0</v>
      </c>
      <c r="AB2895">
        <v>0</v>
      </c>
      <c r="AC2895">
        <v>9</v>
      </c>
      <c r="AD2895">
        <v>3</v>
      </c>
      <c r="AE2895">
        <v>0</v>
      </c>
      <c r="AF2895">
        <v>9</v>
      </c>
      <c r="AG2895" t="s">
        <v>158</v>
      </c>
      <c r="AH2895">
        <v>0</v>
      </c>
      <c r="AI2895">
        <v>3</v>
      </c>
      <c r="AJ2895">
        <v>1</v>
      </c>
      <c r="AK2895">
        <v>0</v>
      </c>
      <c r="AL2895" t="s">
        <v>5450</v>
      </c>
      <c r="AM2895">
        <v>46.979792000000003</v>
      </c>
      <c r="AN2895" t="s">
        <v>5451</v>
      </c>
      <c r="AO2895">
        <v>-123.46442</v>
      </c>
      <c r="AP2895">
        <v>100</v>
      </c>
      <c r="AQ2895">
        <v>2000</v>
      </c>
      <c r="AR2895" t="s">
        <v>118</v>
      </c>
      <c r="AS2895">
        <v>-80</v>
      </c>
      <c r="AT2895">
        <v>8</v>
      </c>
      <c r="AU2895">
        <v>0</v>
      </c>
      <c r="BC2895">
        <v>1200</v>
      </c>
      <c r="BD2895">
        <v>1</v>
      </c>
      <c r="BE2895" t="str">
        <f t="shared" si="137"/>
        <v xml:space="preserve">N215T   </v>
      </c>
      <c r="BF2895">
        <v>1</v>
      </c>
      <c r="BH2895">
        <v>0</v>
      </c>
      <c r="BI2895">
        <v>0</v>
      </c>
      <c r="BJ2895">
        <v>0</v>
      </c>
      <c r="BK2895">
        <v>2425</v>
      </c>
      <c r="BL2895">
        <v>425</v>
      </c>
      <c r="BM2895" t="s">
        <v>119</v>
      </c>
      <c r="BN2895">
        <v>1</v>
      </c>
      <c r="BO2895">
        <v>1</v>
      </c>
      <c r="BP2895">
        <v>1</v>
      </c>
      <c r="BQ2895">
        <v>0</v>
      </c>
      <c r="BT2895">
        <v>0</v>
      </c>
      <c r="BU2895">
        <v>0</v>
      </c>
      <c r="BV2895">
        <v>0</v>
      </c>
      <c r="CC2895" t="str">
        <f>"19:23:08.953"</f>
        <v>19:23:08.953</v>
      </c>
      <c r="CD2895" t="str">
        <f>"952423798"</f>
        <v>952423798</v>
      </c>
      <c r="CQ2895">
        <v>0</v>
      </c>
      <c r="CR2895">
        <v>2</v>
      </c>
      <c r="CS2895">
        <v>0</v>
      </c>
      <c r="CT2895">
        <v>2</v>
      </c>
      <c r="CU2895">
        <v>0</v>
      </c>
      <c r="CV2895">
        <v>6</v>
      </c>
      <c r="CW2895" t="s">
        <v>120</v>
      </c>
      <c r="CX2895">
        <v>257</v>
      </c>
      <c r="CY2895">
        <v>0</v>
      </c>
      <c r="CZ2895" t="s">
        <v>615</v>
      </c>
      <c r="DA2895" t="s">
        <v>616</v>
      </c>
      <c r="DD2895">
        <v>16156675</v>
      </c>
      <c r="DE2895" t="s">
        <v>123</v>
      </c>
    </row>
    <row r="2896" spans="1:109" x14ac:dyDescent="0.3">
      <c r="A2896" t="str">
        <f>"19:23:10.141"</f>
        <v>19:23:10.141</v>
      </c>
      <c r="B2896" t="s">
        <v>110</v>
      </c>
      <c r="C2896" t="str">
        <f t="shared" si="135"/>
        <v>ffdfd3c0</v>
      </c>
      <c r="D2896" t="s">
        <v>111</v>
      </c>
      <c r="E2896">
        <v>18</v>
      </c>
      <c r="F2896">
        <v>1018</v>
      </c>
      <c r="G2896" t="s">
        <v>112</v>
      </c>
      <c r="J2896" t="s">
        <v>113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R2896" t="s">
        <v>114</v>
      </c>
      <c r="S2896" t="str">
        <f>"19:23:09.938"</f>
        <v>19:23:09.938</v>
      </c>
      <c r="T2896" t="str">
        <f>"19:23:09.539"</f>
        <v>19:23:09.539</v>
      </c>
      <c r="U2896" t="str">
        <f t="shared" si="136"/>
        <v>a1cdbe</v>
      </c>
      <c r="V2896">
        <v>0</v>
      </c>
      <c r="W2896">
        <v>0</v>
      </c>
      <c r="X2896">
        <v>1</v>
      </c>
      <c r="Y2896">
        <v>0</v>
      </c>
      <c r="Z2896">
        <v>0</v>
      </c>
      <c r="AB2896">
        <v>0</v>
      </c>
      <c r="AC2896">
        <v>9</v>
      </c>
      <c r="AD2896">
        <v>3</v>
      </c>
      <c r="AE2896">
        <v>0</v>
      </c>
      <c r="AF2896">
        <v>9</v>
      </c>
      <c r="AG2896" t="s">
        <v>158</v>
      </c>
      <c r="AH2896">
        <v>0</v>
      </c>
      <c r="AI2896">
        <v>3</v>
      </c>
      <c r="AJ2896">
        <v>1</v>
      </c>
      <c r="AK2896">
        <v>0</v>
      </c>
      <c r="AL2896" t="s">
        <v>5452</v>
      </c>
      <c r="AM2896">
        <v>46.979813999999998</v>
      </c>
      <c r="AN2896" t="s">
        <v>5453</v>
      </c>
      <c r="AO2896">
        <v>-123.464913</v>
      </c>
      <c r="AP2896">
        <v>100</v>
      </c>
      <c r="AQ2896">
        <v>2000</v>
      </c>
      <c r="AR2896" t="s">
        <v>118</v>
      </c>
      <c r="AS2896">
        <v>-80</v>
      </c>
      <c r="AT2896">
        <v>8</v>
      </c>
      <c r="AU2896">
        <v>0</v>
      </c>
      <c r="BC2896">
        <v>1200</v>
      </c>
      <c r="BD2896">
        <v>1</v>
      </c>
      <c r="BE2896" t="str">
        <f t="shared" si="137"/>
        <v xml:space="preserve">N215T   </v>
      </c>
      <c r="BF2896">
        <v>1</v>
      </c>
      <c r="BH2896">
        <v>0</v>
      </c>
      <c r="BI2896">
        <v>0</v>
      </c>
      <c r="BJ2896">
        <v>0</v>
      </c>
      <c r="BK2896">
        <v>2425</v>
      </c>
      <c r="BL2896">
        <v>425</v>
      </c>
      <c r="BM2896" t="s">
        <v>119</v>
      </c>
      <c r="BN2896">
        <v>1</v>
      </c>
      <c r="BO2896">
        <v>1</v>
      </c>
      <c r="BP2896">
        <v>1</v>
      </c>
      <c r="BQ2896">
        <v>0</v>
      </c>
      <c r="BT2896">
        <v>0</v>
      </c>
      <c r="BU2896">
        <v>0</v>
      </c>
      <c r="BV2896">
        <v>0</v>
      </c>
      <c r="CC2896" t="str">
        <f>"19:23:09.945"</f>
        <v>19:23:09.945</v>
      </c>
      <c r="CD2896" t="str">
        <f>"942326215"</f>
        <v>942326215</v>
      </c>
      <c r="CQ2896">
        <v>0</v>
      </c>
      <c r="CR2896">
        <v>2</v>
      </c>
      <c r="CS2896">
        <v>0</v>
      </c>
      <c r="CT2896">
        <v>2</v>
      </c>
      <c r="CU2896">
        <v>0</v>
      </c>
      <c r="CV2896">
        <v>6</v>
      </c>
      <c r="CW2896" t="s">
        <v>120</v>
      </c>
      <c r="CX2896">
        <v>257</v>
      </c>
      <c r="CY2896">
        <v>0</v>
      </c>
      <c r="CZ2896" t="s">
        <v>615</v>
      </c>
      <c r="DA2896" t="s">
        <v>616</v>
      </c>
      <c r="DD2896">
        <v>16157153</v>
      </c>
      <c r="DE2896" t="s">
        <v>123</v>
      </c>
    </row>
    <row r="2897" spans="1:109" x14ac:dyDescent="0.3">
      <c r="A2897" t="str">
        <f>"19:23:11.195"</f>
        <v>19:23:11.195</v>
      </c>
      <c r="B2897" t="s">
        <v>110</v>
      </c>
      <c r="C2897" t="str">
        <f t="shared" si="135"/>
        <v>ffdfd3c0</v>
      </c>
      <c r="D2897" t="s">
        <v>111</v>
      </c>
      <c r="E2897">
        <v>18</v>
      </c>
      <c r="F2897">
        <v>1018</v>
      </c>
      <c r="G2897" t="s">
        <v>112</v>
      </c>
      <c r="J2897" t="s">
        <v>113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R2897" t="s">
        <v>114</v>
      </c>
      <c r="S2897" t="str">
        <f>"19:23:10.977"</f>
        <v>19:23:10.977</v>
      </c>
      <c r="T2897" t="str">
        <f>"19:23:10.578"</f>
        <v>19:23:10.578</v>
      </c>
      <c r="U2897" t="str">
        <f t="shared" si="136"/>
        <v>a1cdbe</v>
      </c>
      <c r="V2897">
        <v>0</v>
      </c>
      <c r="W2897">
        <v>0</v>
      </c>
      <c r="X2897">
        <v>1</v>
      </c>
      <c r="Y2897">
        <v>0</v>
      </c>
      <c r="Z2897">
        <v>0</v>
      </c>
      <c r="AB2897">
        <v>0</v>
      </c>
      <c r="AC2897">
        <v>9</v>
      </c>
      <c r="AD2897">
        <v>3</v>
      </c>
      <c r="AE2897">
        <v>0</v>
      </c>
      <c r="AF2897">
        <v>9</v>
      </c>
      <c r="AG2897" t="s">
        <v>158</v>
      </c>
      <c r="AH2897">
        <v>0</v>
      </c>
      <c r="AI2897">
        <v>3</v>
      </c>
      <c r="AJ2897">
        <v>1</v>
      </c>
      <c r="AK2897">
        <v>0</v>
      </c>
      <c r="AL2897" t="s">
        <v>5454</v>
      </c>
      <c r="AM2897">
        <v>46.979855999999998</v>
      </c>
      <c r="AN2897" t="s">
        <v>5455</v>
      </c>
      <c r="AO2897">
        <v>-123.465493</v>
      </c>
      <c r="AP2897">
        <v>100</v>
      </c>
      <c r="AQ2897">
        <v>2000</v>
      </c>
      <c r="AR2897" t="s">
        <v>118</v>
      </c>
      <c r="AS2897">
        <v>-81</v>
      </c>
      <c r="AT2897">
        <v>9</v>
      </c>
      <c r="AU2897">
        <v>0</v>
      </c>
      <c r="BC2897">
        <v>1200</v>
      </c>
      <c r="BD2897">
        <v>1</v>
      </c>
      <c r="BE2897" t="str">
        <f t="shared" si="137"/>
        <v xml:space="preserve">N215T   </v>
      </c>
      <c r="BF2897">
        <v>1</v>
      </c>
      <c r="BH2897">
        <v>0</v>
      </c>
      <c r="BI2897">
        <v>0</v>
      </c>
      <c r="BJ2897">
        <v>0</v>
      </c>
      <c r="BK2897">
        <v>2425</v>
      </c>
      <c r="BL2897">
        <v>425</v>
      </c>
      <c r="BM2897" t="s">
        <v>119</v>
      </c>
      <c r="BN2897">
        <v>1</v>
      </c>
      <c r="BO2897">
        <v>1</v>
      </c>
      <c r="BP2897">
        <v>1</v>
      </c>
      <c r="BQ2897">
        <v>0</v>
      </c>
      <c r="BT2897">
        <v>0</v>
      </c>
      <c r="BU2897">
        <v>0</v>
      </c>
      <c r="BV2897">
        <v>0</v>
      </c>
      <c r="CC2897" t="str">
        <f>"19:23:10.977"</f>
        <v>19:23:10.977</v>
      </c>
      <c r="CD2897" t="str">
        <f>"977224209"</f>
        <v>977224209</v>
      </c>
      <c r="CQ2897">
        <v>0</v>
      </c>
      <c r="CR2897">
        <v>2</v>
      </c>
      <c r="CS2897">
        <v>0</v>
      </c>
      <c r="CT2897">
        <v>2</v>
      </c>
      <c r="CU2897">
        <v>0</v>
      </c>
      <c r="CV2897">
        <v>6</v>
      </c>
      <c r="CW2897" t="s">
        <v>120</v>
      </c>
      <c r="CX2897">
        <v>257</v>
      </c>
      <c r="CY2897">
        <v>0</v>
      </c>
      <c r="CZ2897" t="s">
        <v>615</v>
      </c>
      <c r="DA2897" t="s">
        <v>616</v>
      </c>
      <c r="DD2897">
        <v>16157692</v>
      </c>
      <c r="DE2897" t="s">
        <v>123</v>
      </c>
    </row>
    <row r="2898" spans="1:109" x14ac:dyDescent="0.3">
      <c r="A2898" t="str">
        <f>"19:23:12.047"</f>
        <v>19:23:12.047</v>
      </c>
      <c r="B2898" t="s">
        <v>110</v>
      </c>
      <c r="C2898" t="str">
        <f t="shared" si="135"/>
        <v>ffdfd3c0</v>
      </c>
      <c r="D2898" t="s">
        <v>111</v>
      </c>
      <c r="E2898">
        <v>18</v>
      </c>
      <c r="F2898">
        <v>1018</v>
      </c>
      <c r="G2898" t="s">
        <v>112</v>
      </c>
      <c r="J2898" t="s">
        <v>113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R2898" t="s">
        <v>114</v>
      </c>
      <c r="S2898" t="str">
        <f>"19:23:11.844"</f>
        <v>19:23:11.844</v>
      </c>
      <c r="T2898" t="str">
        <f>"19:23:11.742"</f>
        <v>19:23:11.742</v>
      </c>
      <c r="U2898" t="str">
        <f t="shared" si="136"/>
        <v>a1cdbe</v>
      </c>
      <c r="V2898">
        <v>0</v>
      </c>
      <c r="W2898">
        <v>0</v>
      </c>
      <c r="X2898">
        <v>1</v>
      </c>
      <c r="Y2898">
        <v>0</v>
      </c>
      <c r="Z2898">
        <v>0</v>
      </c>
      <c r="AB2898">
        <v>0</v>
      </c>
      <c r="AC2898">
        <v>9</v>
      </c>
      <c r="AD2898">
        <v>3</v>
      </c>
      <c r="AE2898">
        <v>0</v>
      </c>
      <c r="AF2898">
        <v>9</v>
      </c>
      <c r="AG2898" t="s">
        <v>158</v>
      </c>
      <c r="AH2898">
        <v>0</v>
      </c>
      <c r="AI2898">
        <v>3</v>
      </c>
      <c r="AJ2898">
        <v>1</v>
      </c>
      <c r="AK2898">
        <v>0</v>
      </c>
      <c r="AL2898" t="s">
        <v>5456</v>
      </c>
      <c r="AM2898">
        <v>46.979920999999997</v>
      </c>
      <c r="AN2898" t="s">
        <v>5457</v>
      </c>
      <c r="AO2898">
        <v>-123.465965</v>
      </c>
      <c r="AP2898">
        <v>100</v>
      </c>
      <c r="AQ2898">
        <v>2000</v>
      </c>
      <c r="AR2898" t="s">
        <v>118</v>
      </c>
      <c r="AS2898">
        <v>-81</v>
      </c>
      <c r="AT2898">
        <v>9</v>
      </c>
      <c r="AU2898">
        <v>0</v>
      </c>
      <c r="BC2898">
        <v>1200</v>
      </c>
      <c r="BD2898">
        <v>1</v>
      </c>
      <c r="BE2898" t="str">
        <f t="shared" si="137"/>
        <v xml:space="preserve">N215T   </v>
      </c>
      <c r="BF2898">
        <v>1</v>
      </c>
      <c r="BH2898">
        <v>0</v>
      </c>
      <c r="BI2898">
        <v>0</v>
      </c>
      <c r="BJ2898">
        <v>0</v>
      </c>
      <c r="BK2898">
        <v>2425</v>
      </c>
      <c r="BL2898">
        <v>425</v>
      </c>
      <c r="BM2898" t="s">
        <v>119</v>
      </c>
      <c r="BN2898">
        <v>1</v>
      </c>
      <c r="BO2898">
        <v>1</v>
      </c>
      <c r="BP2898">
        <v>1</v>
      </c>
      <c r="BQ2898">
        <v>0</v>
      </c>
      <c r="BT2898">
        <v>0</v>
      </c>
      <c r="BU2898">
        <v>0</v>
      </c>
      <c r="BV2898">
        <v>0</v>
      </c>
      <c r="CC2898" t="str">
        <f>"19:23:11.844"</f>
        <v>19:23:11.844</v>
      </c>
      <c r="CD2898" t="str">
        <f>"847138460"</f>
        <v>847138460</v>
      </c>
      <c r="CQ2898">
        <v>0</v>
      </c>
      <c r="CR2898">
        <v>2</v>
      </c>
      <c r="CS2898">
        <v>0</v>
      </c>
      <c r="CT2898">
        <v>2</v>
      </c>
      <c r="CU2898">
        <v>0</v>
      </c>
      <c r="CV2898">
        <v>6</v>
      </c>
      <c r="CW2898" t="s">
        <v>120</v>
      </c>
      <c r="CX2898">
        <v>257</v>
      </c>
      <c r="CY2898">
        <v>0</v>
      </c>
      <c r="CZ2898" t="s">
        <v>615</v>
      </c>
      <c r="DA2898" t="s">
        <v>616</v>
      </c>
      <c r="DD2898">
        <v>16158154</v>
      </c>
      <c r="DE2898" t="s">
        <v>123</v>
      </c>
    </row>
    <row r="2899" spans="1:109" x14ac:dyDescent="0.3">
      <c r="A2899" t="str">
        <f>"19:23:13.055"</f>
        <v>19:23:13.055</v>
      </c>
      <c r="B2899" t="s">
        <v>110</v>
      </c>
      <c r="C2899" t="str">
        <f t="shared" si="135"/>
        <v>ffdfd3c0</v>
      </c>
      <c r="D2899" t="s">
        <v>111</v>
      </c>
      <c r="E2899">
        <v>18</v>
      </c>
      <c r="F2899">
        <v>1018</v>
      </c>
      <c r="G2899" t="s">
        <v>112</v>
      </c>
      <c r="J2899" t="s">
        <v>113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R2899" t="s">
        <v>114</v>
      </c>
      <c r="S2899" t="str">
        <f>"19:23:12.789"</f>
        <v>19:23:12.789</v>
      </c>
      <c r="T2899" t="str">
        <f>"19:23:12.789"</f>
        <v>19:23:12.789</v>
      </c>
      <c r="U2899" t="str">
        <f t="shared" si="136"/>
        <v>a1cdbe</v>
      </c>
      <c r="V2899">
        <v>0</v>
      </c>
      <c r="W2899">
        <v>0</v>
      </c>
      <c r="X2899">
        <v>1</v>
      </c>
      <c r="Y2899">
        <v>0</v>
      </c>
      <c r="Z2899">
        <v>0</v>
      </c>
      <c r="AB2899">
        <v>0</v>
      </c>
      <c r="AC2899">
        <v>9</v>
      </c>
      <c r="AD2899">
        <v>3</v>
      </c>
      <c r="AE2899">
        <v>0</v>
      </c>
      <c r="AF2899">
        <v>9</v>
      </c>
      <c r="AG2899" t="s">
        <v>158</v>
      </c>
      <c r="AH2899">
        <v>0</v>
      </c>
      <c r="AI2899">
        <v>3</v>
      </c>
      <c r="AJ2899">
        <v>1</v>
      </c>
      <c r="AK2899">
        <v>0</v>
      </c>
      <c r="AL2899" t="s">
        <v>5458</v>
      </c>
      <c r="AM2899">
        <v>46.979964000000002</v>
      </c>
      <c r="AN2899" t="s">
        <v>5459</v>
      </c>
      <c r="AO2899">
        <v>-123.46648</v>
      </c>
      <c r="AP2899">
        <v>100</v>
      </c>
      <c r="AQ2899">
        <v>2000</v>
      </c>
      <c r="AR2899" t="s">
        <v>118</v>
      </c>
      <c r="AS2899">
        <v>-81</v>
      </c>
      <c r="AT2899">
        <v>9</v>
      </c>
      <c r="AU2899">
        <v>0</v>
      </c>
      <c r="BC2899">
        <v>1200</v>
      </c>
      <c r="BD2899">
        <v>1</v>
      </c>
      <c r="BE2899" t="str">
        <f t="shared" si="137"/>
        <v xml:space="preserve">N215T   </v>
      </c>
      <c r="BF2899">
        <v>1</v>
      </c>
      <c r="BH2899">
        <v>0</v>
      </c>
      <c r="BI2899">
        <v>0</v>
      </c>
      <c r="BJ2899">
        <v>0</v>
      </c>
      <c r="BK2899">
        <v>2425</v>
      </c>
      <c r="BL2899">
        <v>425</v>
      </c>
      <c r="BM2899" t="s">
        <v>119</v>
      </c>
      <c r="BN2899">
        <v>1</v>
      </c>
      <c r="BO2899">
        <v>1</v>
      </c>
      <c r="BP2899">
        <v>1</v>
      </c>
      <c r="BQ2899">
        <v>0</v>
      </c>
      <c r="BT2899">
        <v>0</v>
      </c>
      <c r="BU2899">
        <v>0</v>
      </c>
      <c r="BV2899">
        <v>0</v>
      </c>
      <c r="CC2899" t="str">
        <f>"19:23:12.789"</f>
        <v>19:23:12.789</v>
      </c>
      <c r="CD2899" t="str">
        <f>"792045327"</f>
        <v>792045327</v>
      </c>
      <c r="CQ2899">
        <v>0</v>
      </c>
      <c r="CR2899">
        <v>2</v>
      </c>
      <c r="CS2899">
        <v>0</v>
      </c>
      <c r="CT2899">
        <v>2</v>
      </c>
      <c r="CU2899">
        <v>0</v>
      </c>
      <c r="CV2899">
        <v>6</v>
      </c>
      <c r="CW2899" t="s">
        <v>120</v>
      </c>
      <c r="CX2899">
        <v>257</v>
      </c>
      <c r="CY2899">
        <v>0</v>
      </c>
      <c r="CZ2899" t="s">
        <v>615</v>
      </c>
      <c r="DA2899" t="s">
        <v>616</v>
      </c>
      <c r="DD2899">
        <v>16158634</v>
      </c>
      <c r="DE2899" t="s">
        <v>123</v>
      </c>
    </row>
    <row r="2900" spans="1:109" x14ac:dyDescent="0.3">
      <c r="A2900" t="str">
        <f>"19:23:14.164"</f>
        <v>19:23:14.164</v>
      </c>
      <c r="B2900" t="s">
        <v>110</v>
      </c>
      <c r="C2900" t="str">
        <f t="shared" si="135"/>
        <v>ffdfd3c0</v>
      </c>
      <c r="D2900" t="s">
        <v>111</v>
      </c>
      <c r="E2900">
        <v>18</v>
      </c>
      <c r="F2900">
        <v>1018</v>
      </c>
      <c r="G2900" t="s">
        <v>112</v>
      </c>
      <c r="J2900" t="s">
        <v>113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R2900" t="s">
        <v>114</v>
      </c>
      <c r="S2900" t="str">
        <f>"19:23:13.914"</f>
        <v>19:23:13.914</v>
      </c>
      <c r="T2900" t="str">
        <f>"19:23:13.711"</f>
        <v>19:23:13.711</v>
      </c>
      <c r="U2900" t="str">
        <f t="shared" si="136"/>
        <v>a1cdbe</v>
      </c>
      <c r="V2900">
        <v>0</v>
      </c>
      <c r="W2900">
        <v>0</v>
      </c>
      <c r="X2900">
        <v>1</v>
      </c>
      <c r="Y2900">
        <v>0</v>
      </c>
      <c r="Z2900">
        <v>0</v>
      </c>
      <c r="AB2900">
        <v>0</v>
      </c>
      <c r="AC2900">
        <v>9</v>
      </c>
      <c r="AD2900">
        <v>3</v>
      </c>
      <c r="AE2900">
        <v>0</v>
      </c>
      <c r="AF2900">
        <v>9</v>
      </c>
      <c r="AG2900" t="s">
        <v>158</v>
      </c>
      <c r="AH2900">
        <v>0</v>
      </c>
      <c r="AI2900">
        <v>3</v>
      </c>
      <c r="AJ2900">
        <v>1</v>
      </c>
      <c r="AK2900">
        <v>0</v>
      </c>
      <c r="AL2900" t="s">
        <v>5460</v>
      </c>
      <c r="AM2900">
        <v>46.980007000000001</v>
      </c>
      <c r="AN2900" t="s">
        <v>5461</v>
      </c>
      <c r="AO2900">
        <v>-123.467102</v>
      </c>
      <c r="AP2900">
        <v>100</v>
      </c>
      <c r="AQ2900">
        <v>2000</v>
      </c>
      <c r="AR2900" t="s">
        <v>118</v>
      </c>
      <c r="AS2900">
        <v>-80</v>
      </c>
      <c r="AT2900">
        <v>9</v>
      </c>
      <c r="AU2900">
        <v>0</v>
      </c>
      <c r="BC2900">
        <v>1200</v>
      </c>
      <c r="BD2900">
        <v>1</v>
      </c>
      <c r="BE2900" t="str">
        <f t="shared" si="137"/>
        <v xml:space="preserve">N215T   </v>
      </c>
      <c r="BF2900">
        <v>1</v>
      </c>
      <c r="BH2900">
        <v>0</v>
      </c>
      <c r="BI2900">
        <v>0</v>
      </c>
      <c r="BJ2900">
        <v>0</v>
      </c>
      <c r="BK2900">
        <v>2425</v>
      </c>
      <c r="BL2900">
        <v>425</v>
      </c>
      <c r="BM2900" t="s">
        <v>119</v>
      </c>
      <c r="BN2900">
        <v>1</v>
      </c>
      <c r="BO2900">
        <v>1</v>
      </c>
      <c r="BP2900">
        <v>1</v>
      </c>
      <c r="BQ2900">
        <v>0</v>
      </c>
      <c r="BT2900">
        <v>0</v>
      </c>
      <c r="BU2900">
        <v>0</v>
      </c>
      <c r="BV2900">
        <v>0</v>
      </c>
      <c r="CC2900" t="str">
        <f>"19:23:13.914"</f>
        <v>19:23:13.914</v>
      </c>
      <c r="CD2900" t="str">
        <f>"916934440"</f>
        <v>916934440</v>
      </c>
      <c r="CQ2900">
        <v>0</v>
      </c>
      <c r="CR2900">
        <v>2</v>
      </c>
      <c r="CS2900">
        <v>0</v>
      </c>
      <c r="CT2900">
        <v>2</v>
      </c>
      <c r="CU2900">
        <v>0</v>
      </c>
      <c r="CV2900">
        <v>6</v>
      </c>
      <c r="CW2900" t="s">
        <v>120</v>
      </c>
      <c r="CX2900">
        <v>257</v>
      </c>
      <c r="CY2900">
        <v>0</v>
      </c>
      <c r="CZ2900" t="s">
        <v>615</v>
      </c>
      <c r="DA2900" t="s">
        <v>616</v>
      </c>
      <c r="DD2900">
        <v>16159223</v>
      </c>
      <c r="DE2900" t="s">
        <v>123</v>
      </c>
    </row>
    <row r="2901" spans="1:109" x14ac:dyDescent="0.3">
      <c r="A2901" t="str">
        <f>"19:23:15.164"</f>
        <v>19:23:15.164</v>
      </c>
      <c r="B2901" t="s">
        <v>110</v>
      </c>
      <c r="C2901" t="str">
        <f t="shared" si="135"/>
        <v>ffdfd3c0</v>
      </c>
      <c r="D2901" t="s">
        <v>111</v>
      </c>
      <c r="E2901">
        <v>18</v>
      </c>
      <c r="F2901">
        <v>1018</v>
      </c>
      <c r="G2901" t="s">
        <v>112</v>
      </c>
      <c r="J2901" t="s">
        <v>113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R2901" t="s">
        <v>114</v>
      </c>
      <c r="S2901" t="str">
        <f>"19:23:14.914"</f>
        <v>19:23:14.914</v>
      </c>
      <c r="T2901" t="str">
        <f>"19:23:14.711"</f>
        <v>19:23:14.711</v>
      </c>
      <c r="U2901" t="str">
        <f t="shared" si="136"/>
        <v>a1cdbe</v>
      </c>
      <c r="V2901">
        <v>0</v>
      </c>
      <c r="W2901">
        <v>0</v>
      </c>
      <c r="X2901">
        <v>1</v>
      </c>
      <c r="Y2901">
        <v>0</v>
      </c>
      <c r="Z2901">
        <v>0</v>
      </c>
      <c r="AB2901">
        <v>0</v>
      </c>
      <c r="AC2901">
        <v>9</v>
      </c>
      <c r="AD2901">
        <v>3</v>
      </c>
      <c r="AE2901">
        <v>0</v>
      </c>
      <c r="AF2901">
        <v>9</v>
      </c>
      <c r="AG2901" t="s">
        <v>158</v>
      </c>
      <c r="AH2901">
        <v>0</v>
      </c>
      <c r="AI2901">
        <v>3</v>
      </c>
      <c r="AJ2901">
        <v>1</v>
      </c>
      <c r="AK2901">
        <v>0</v>
      </c>
      <c r="AL2901" t="s">
        <v>5460</v>
      </c>
      <c r="AM2901">
        <v>46.980007000000001</v>
      </c>
      <c r="AN2901" t="s">
        <v>5462</v>
      </c>
      <c r="AO2901">
        <v>-123.46766</v>
      </c>
      <c r="AP2901">
        <v>100</v>
      </c>
      <c r="AQ2901">
        <v>2000</v>
      </c>
      <c r="AR2901" t="s">
        <v>118</v>
      </c>
      <c r="AS2901">
        <v>-80</v>
      </c>
      <c r="AT2901">
        <v>9</v>
      </c>
      <c r="AU2901">
        <v>64</v>
      </c>
      <c r="BC2901">
        <v>1200</v>
      </c>
      <c r="BD2901">
        <v>1</v>
      </c>
      <c r="BE2901" t="str">
        <f t="shared" si="137"/>
        <v xml:space="preserve">N215T   </v>
      </c>
      <c r="BF2901">
        <v>1</v>
      </c>
      <c r="BH2901">
        <v>0</v>
      </c>
      <c r="BI2901">
        <v>0</v>
      </c>
      <c r="BJ2901">
        <v>0</v>
      </c>
      <c r="BK2901">
        <v>2425</v>
      </c>
      <c r="BL2901">
        <v>425</v>
      </c>
      <c r="BM2901" t="s">
        <v>119</v>
      </c>
      <c r="BN2901">
        <v>1</v>
      </c>
      <c r="BO2901">
        <v>1</v>
      </c>
      <c r="BP2901">
        <v>1</v>
      </c>
      <c r="BQ2901">
        <v>0</v>
      </c>
      <c r="BT2901">
        <v>0</v>
      </c>
      <c r="BU2901">
        <v>0</v>
      </c>
      <c r="BV2901">
        <v>0</v>
      </c>
      <c r="CC2901" t="str">
        <f>"19:23:14.922"</f>
        <v>19:23:14.922</v>
      </c>
      <c r="CD2901" t="str">
        <f>"921835383"</f>
        <v>921835383</v>
      </c>
      <c r="CQ2901">
        <v>0</v>
      </c>
      <c r="CR2901">
        <v>2</v>
      </c>
      <c r="CS2901">
        <v>0</v>
      </c>
      <c r="CT2901">
        <v>2</v>
      </c>
      <c r="CU2901">
        <v>0</v>
      </c>
      <c r="CV2901">
        <v>6</v>
      </c>
      <c r="CW2901" t="s">
        <v>120</v>
      </c>
      <c r="CX2901">
        <v>257</v>
      </c>
      <c r="CY2901">
        <v>0</v>
      </c>
      <c r="CZ2901" t="s">
        <v>615</v>
      </c>
      <c r="DA2901" t="s">
        <v>616</v>
      </c>
      <c r="DD2901">
        <v>16159745</v>
      </c>
      <c r="DE2901" t="s">
        <v>123</v>
      </c>
    </row>
    <row r="2902" spans="1:109" x14ac:dyDescent="0.3">
      <c r="A2902" t="str">
        <f>"19:23:16.273"</f>
        <v>19:23:16.273</v>
      </c>
      <c r="B2902" t="s">
        <v>110</v>
      </c>
      <c r="C2902" t="str">
        <f t="shared" si="135"/>
        <v>ffdfd3c0</v>
      </c>
      <c r="D2902" t="s">
        <v>111</v>
      </c>
      <c r="E2902">
        <v>18</v>
      </c>
      <c r="F2902">
        <v>1018</v>
      </c>
      <c r="G2902" t="s">
        <v>112</v>
      </c>
      <c r="J2902" t="s">
        <v>113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R2902" t="s">
        <v>114</v>
      </c>
      <c r="S2902" t="str">
        <f>"19:23:16.039"</f>
        <v>19:23:16.039</v>
      </c>
      <c r="T2902" t="str">
        <f>"19:23:15.641"</f>
        <v>19:23:15.641</v>
      </c>
      <c r="U2902" t="str">
        <f t="shared" si="136"/>
        <v>a1cdbe</v>
      </c>
      <c r="V2902">
        <v>0</v>
      </c>
      <c r="W2902">
        <v>0</v>
      </c>
      <c r="X2902">
        <v>1</v>
      </c>
      <c r="Y2902">
        <v>0</v>
      </c>
      <c r="Z2902">
        <v>0</v>
      </c>
      <c r="AB2902">
        <v>0</v>
      </c>
      <c r="AC2902">
        <v>9</v>
      </c>
      <c r="AD2902">
        <v>3</v>
      </c>
      <c r="AE2902">
        <v>0</v>
      </c>
      <c r="AF2902">
        <v>9</v>
      </c>
      <c r="AG2902" t="s">
        <v>158</v>
      </c>
      <c r="AH2902">
        <v>0</v>
      </c>
      <c r="AI2902">
        <v>3</v>
      </c>
      <c r="AJ2902">
        <v>1</v>
      </c>
      <c r="AK2902">
        <v>0</v>
      </c>
      <c r="AL2902" t="s">
        <v>5463</v>
      </c>
      <c r="AM2902">
        <v>46.980049999999999</v>
      </c>
      <c r="AN2902" t="s">
        <v>5464</v>
      </c>
      <c r="AO2902">
        <v>-123.468261</v>
      </c>
      <c r="AP2902">
        <v>100</v>
      </c>
      <c r="AQ2902">
        <v>2000</v>
      </c>
      <c r="AR2902" t="s">
        <v>118</v>
      </c>
      <c r="AS2902">
        <v>-80</v>
      </c>
      <c r="AT2902">
        <v>9</v>
      </c>
      <c r="AU2902">
        <v>64</v>
      </c>
      <c r="BC2902">
        <v>1200</v>
      </c>
      <c r="BD2902">
        <v>1</v>
      </c>
      <c r="BE2902" t="str">
        <f t="shared" si="137"/>
        <v xml:space="preserve">N215T   </v>
      </c>
      <c r="BF2902">
        <v>1</v>
      </c>
      <c r="BH2902">
        <v>0</v>
      </c>
      <c r="BI2902">
        <v>0</v>
      </c>
      <c r="BJ2902">
        <v>0</v>
      </c>
      <c r="BK2902">
        <v>2425</v>
      </c>
      <c r="BL2902">
        <v>425</v>
      </c>
      <c r="BM2902" t="s">
        <v>119</v>
      </c>
      <c r="BN2902">
        <v>1</v>
      </c>
      <c r="BO2902">
        <v>1</v>
      </c>
      <c r="BP2902">
        <v>1</v>
      </c>
      <c r="BQ2902">
        <v>0</v>
      </c>
      <c r="BT2902">
        <v>0</v>
      </c>
      <c r="BU2902">
        <v>0</v>
      </c>
      <c r="BV2902">
        <v>0</v>
      </c>
      <c r="CC2902" t="str">
        <f>"19:23:16.047"</f>
        <v>19:23:16.047</v>
      </c>
      <c r="CD2902" t="str">
        <f>"046724510"</f>
        <v>046724510</v>
      </c>
      <c r="CQ2902">
        <v>0</v>
      </c>
      <c r="CR2902">
        <v>2</v>
      </c>
      <c r="CS2902">
        <v>0</v>
      </c>
      <c r="CT2902">
        <v>2</v>
      </c>
      <c r="CU2902">
        <v>0</v>
      </c>
      <c r="CV2902">
        <v>6</v>
      </c>
      <c r="CW2902" t="s">
        <v>120</v>
      </c>
      <c r="CX2902">
        <v>257</v>
      </c>
      <c r="CY2902">
        <v>1</v>
      </c>
      <c r="CZ2902" t="s">
        <v>615</v>
      </c>
      <c r="DA2902" t="s">
        <v>616</v>
      </c>
      <c r="DD2902">
        <v>12513391</v>
      </c>
      <c r="DE2902" t="s">
        <v>123</v>
      </c>
    </row>
    <row r="2903" spans="1:109" x14ac:dyDescent="0.3">
      <c r="A2903" t="str">
        <f>"19:23:17.430"</f>
        <v>19:23:17.430</v>
      </c>
      <c r="B2903" t="s">
        <v>110</v>
      </c>
      <c r="C2903" t="str">
        <f t="shared" si="135"/>
        <v>ffdfd3c0</v>
      </c>
      <c r="D2903" t="s">
        <v>111</v>
      </c>
      <c r="E2903">
        <v>18</v>
      </c>
      <c r="F2903">
        <v>1018</v>
      </c>
      <c r="G2903" t="s">
        <v>112</v>
      </c>
      <c r="J2903" t="s">
        <v>113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R2903" t="s">
        <v>114</v>
      </c>
      <c r="S2903" t="str">
        <f>"19:23:17.156"</f>
        <v>19:23:17.156</v>
      </c>
      <c r="T2903" t="str">
        <f>"19:23:17.156"</f>
        <v>19:23:17.156</v>
      </c>
      <c r="U2903" t="str">
        <f t="shared" si="136"/>
        <v>a1cdbe</v>
      </c>
      <c r="V2903">
        <v>0</v>
      </c>
      <c r="W2903">
        <v>0</v>
      </c>
      <c r="X2903">
        <v>1</v>
      </c>
      <c r="Y2903">
        <v>0</v>
      </c>
      <c r="Z2903">
        <v>0</v>
      </c>
      <c r="AB2903">
        <v>0</v>
      </c>
      <c r="AC2903">
        <v>9</v>
      </c>
      <c r="AD2903">
        <v>3</v>
      </c>
      <c r="AE2903">
        <v>0</v>
      </c>
      <c r="AF2903">
        <v>9</v>
      </c>
      <c r="AG2903" t="s">
        <v>158</v>
      </c>
      <c r="AH2903">
        <v>0</v>
      </c>
      <c r="AI2903">
        <v>3</v>
      </c>
      <c r="AJ2903">
        <v>1</v>
      </c>
      <c r="AK2903">
        <v>0</v>
      </c>
      <c r="AL2903" t="s">
        <v>5465</v>
      </c>
      <c r="AM2903">
        <v>46.980156999999998</v>
      </c>
      <c r="AN2903" t="s">
        <v>5466</v>
      </c>
      <c r="AO2903">
        <v>-123.46888300000001</v>
      </c>
      <c r="AP2903">
        <v>100</v>
      </c>
      <c r="AQ2903">
        <v>2000</v>
      </c>
      <c r="AR2903" t="s">
        <v>118</v>
      </c>
      <c r="AS2903">
        <v>-80</v>
      </c>
      <c r="AT2903">
        <v>9</v>
      </c>
      <c r="AU2903">
        <v>64</v>
      </c>
      <c r="BC2903">
        <v>1200</v>
      </c>
      <c r="BD2903">
        <v>1</v>
      </c>
      <c r="BE2903" t="str">
        <f t="shared" si="137"/>
        <v xml:space="preserve">N215T   </v>
      </c>
      <c r="BF2903">
        <v>1</v>
      </c>
      <c r="BH2903">
        <v>0</v>
      </c>
      <c r="BI2903">
        <v>0</v>
      </c>
      <c r="BJ2903">
        <v>0</v>
      </c>
      <c r="BK2903">
        <v>2425</v>
      </c>
      <c r="BL2903">
        <v>425</v>
      </c>
      <c r="BM2903" t="s">
        <v>119</v>
      </c>
      <c r="BN2903">
        <v>1</v>
      </c>
      <c r="BO2903">
        <v>1</v>
      </c>
      <c r="BP2903">
        <v>1</v>
      </c>
      <c r="BQ2903">
        <v>0</v>
      </c>
      <c r="BT2903">
        <v>0</v>
      </c>
      <c r="BU2903">
        <v>0</v>
      </c>
      <c r="BV2903">
        <v>0</v>
      </c>
      <c r="CC2903" t="str">
        <f>"19:23:17.156"</f>
        <v>19:23:17.156</v>
      </c>
      <c r="CD2903" t="str">
        <f>"156615110"</f>
        <v>156615110</v>
      </c>
      <c r="CQ2903">
        <v>0</v>
      </c>
      <c r="CR2903">
        <v>2</v>
      </c>
      <c r="CS2903">
        <v>0</v>
      </c>
      <c r="CT2903">
        <v>2</v>
      </c>
      <c r="CU2903">
        <v>0</v>
      </c>
      <c r="CV2903">
        <v>6</v>
      </c>
      <c r="CW2903" t="s">
        <v>120</v>
      </c>
      <c r="CX2903">
        <v>257</v>
      </c>
      <c r="CY2903">
        <v>0</v>
      </c>
      <c r="CZ2903" t="s">
        <v>615</v>
      </c>
      <c r="DA2903" t="s">
        <v>616</v>
      </c>
      <c r="DD2903">
        <v>16160832</v>
      </c>
      <c r="DE2903" t="s">
        <v>123</v>
      </c>
    </row>
    <row r="2904" spans="1:109" x14ac:dyDescent="0.3">
      <c r="A2904" t="str">
        <f>"19:23:18.336"</f>
        <v>19:23:18.336</v>
      </c>
      <c r="B2904" t="s">
        <v>110</v>
      </c>
      <c r="C2904" t="str">
        <f t="shared" si="135"/>
        <v>ffdfd3c0</v>
      </c>
      <c r="D2904" t="s">
        <v>111</v>
      </c>
      <c r="E2904">
        <v>18</v>
      </c>
      <c r="F2904">
        <v>1018</v>
      </c>
      <c r="G2904" t="s">
        <v>112</v>
      </c>
      <c r="J2904" t="s">
        <v>113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R2904" t="s">
        <v>114</v>
      </c>
      <c r="S2904" t="str">
        <f>"19:23:18.094"</f>
        <v>19:23:18.094</v>
      </c>
      <c r="T2904" t="str">
        <f>"19:23:17.695"</f>
        <v>19:23:17.695</v>
      </c>
      <c r="U2904" t="str">
        <f t="shared" si="136"/>
        <v>a1cdbe</v>
      </c>
      <c r="V2904">
        <v>0</v>
      </c>
      <c r="W2904">
        <v>0</v>
      </c>
      <c r="X2904">
        <v>1</v>
      </c>
      <c r="Y2904">
        <v>0</v>
      </c>
      <c r="Z2904">
        <v>0</v>
      </c>
      <c r="AB2904">
        <v>0</v>
      </c>
      <c r="AC2904">
        <v>9</v>
      </c>
      <c r="AD2904">
        <v>3</v>
      </c>
      <c r="AE2904">
        <v>0</v>
      </c>
      <c r="AF2904">
        <v>9</v>
      </c>
      <c r="AG2904" t="s">
        <v>158</v>
      </c>
      <c r="AH2904">
        <v>0</v>
      </c>
      <c r="AI2904">
        <v>3</v>
      </c>
      <c r="AJ2904">
        <v>1</v>
      </c>
      <c r="AK2904">
        <v>0</v>
      </c>
      <c r="AL2904" t="s">
        <v>5467</v>
      </c>
      <c r="AM2904">
        <v>46.980200000000004</v>
      </c>
      <c r="AN2904" t="s">
        <v>5468</v>
      </c>
      <c r="AO2904">
        <v>-123.46937699999999</v>
      </c>
      <c r="AP2904">
        <v>100</v>
      </c>
      <c r="AQ2904">
        <v>2000</v>
      </c>
      <c r="AR2904" t="s">
        <v>118</v>
      </c>
      <c r="AS2904">
        <v>-80</v>
      </c>
      <c r="AT2904">
        <v>9</v>
      </c>
      <c r="AU2904">
        <v>64</v>
      </c>
      <c r="BC2904">
        <v>1200</v>
      </c>
      <c r="BD2904">
        <v>1</v>
      </c>
      <c r="BE2904" t="str">
        <f t="shared" si="137"/>
        <v xml:space="preserve">N215T   </v>
      </c>
      <c r="BF2904">
        <v>1</v>
      </c>
      <c r="BH2904">
        <v>0</v>
      </c>
      <c r="BI2904">
        <v>0</v>
      </c>
      <c r="BJ2904">
        <v>0</v>
      </c>
      <c r="BK2904">
        <v>2425</v>
      </c>
      <c r="BL2904">
        <v>425</v>
      </c>
      <c r="BM2904" t="s">
        <v>119</v>
      </c>
      <c r="BN2904">
        <v>1</v>
      </c>
      <c r="BO2904">
        <v>1</v>
      </c>
      <c r="BP2904">
        <v>1</v>
      </c>
      <c r="BQ2904">
        <v>0</v>
      </c>
      <c r="BT2904">
        <v>0</v>
      </c>
      <c r="BU2904">
        <v>0</v>
      </c>
      <c r="BV2904">
        <v>0</v>
      </c>
      <c r="CC2904" t="str">
        <f>"19:23:18.102"</f>
        <v>19:23:18.102</v>
      </c>
      <c r="CD2904" t="str">
        <f>"101521979"</f>
        <v>101521979</v>
      </c>
      <c r="CQ2904">
        <v>0</v>
      </c>
      <c r="CR2904">
        <v>2</v>
      </c>
      <c r="CS2904">
        <v>0</v>
      </c>
      <c r="CT2904">
        <v>2</v>
      </c>
      <c r="CU2904">
        <v>0</v>
      </c>
      <c r="CV2904">
        <v>7</v>
      </c>
      <c r="CW2904" t="s">
        <v>120</v>
      </c>
      <c r="CX2904">
        <v>257</v>
      </c>
      <c r="CY2904">
        <v>0</v>
      </c>
      <c r="CZ2904" t="s">
        <v>615</v>
      </c>
      <c r="DA2904" t="s">
        <v>616</v>
      </c>
      <c r="DD2904">
        <v>16161279</v>
      </c>
      <c r="DE2904" t="s">
        <v>123</v>
      </c>
    </row>
    <row r="2905" spans="1:109" x14ac:dyDescent="0.3">
      <c r="A2905" t="str">
        <f>"19:23:19.188"</f>
        <v>19:23:19.188</v>
      </c>
      <c r="B2905" t="s">
        <v>110</v>
      </c>
      <c r="C2905" t="str">
        <f t="shared" si="135"/>
        <v>ffdfd3c0</v>
      </c>
      <c r="D2905" t="s">
        <v>111</v>
      </c>
      <c r="E2905">
        <v>18</v>
      </c>
      <c r="F2905">
        <v>1018</v>
      </c>
      <c r="G2905" t="s">
        <v>112</v>
      </c>
      <c r="J2905" t="s">
        <v>113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R2905" t="s">
        <v>114</v>
      </c>
      <c r="S2905" t="str">
        <f>"19:23:18.969"</f>
        <v>19:23:18.969</v>
      </c>
      <c r="T2905" t="str">
        <f>"19:23:18.672"</f>
        <v>19:23:18.672</v>
      </c>
      <c r="U2905" t="str">
        <f t="shared" si="136"/>
        <v>a1cdbe</v>
      </c>
      <c r="V2905">
        <v>0</v>
      </c>
      <c r="W2905">
        <v>0</v>
      </c>
      <c r="X2905">
        <v>1</v>
      </c>
      <c r="Y2905">
        <v>0</v>
      </c>
      <c r="Z2905">
        <v>0</v>
      </c>
      <c r="AB2905">
        <v>0</v>
      </c>
      <c r="AC2905">
        <v>9</v>
      </c>
      <c r="AD2905">
        <v>3</v>
      </c>
      <c r="AE2905">
        <v>0</v>
      </c>
      <c r="AF2905">
        <v>9</v>
      </c>
      <c r="AG2905" t="s">
        <v>158</v>
      </c>
      <c r="AH2905">
        <v>0</v>
      </c>
      <c r="AI2905">
        <v>3</v>
      </c>
      <c r="AJ2905">
        <v>1</v>
      </c>
      <c r="AK2905">
        <v>0</v>
      </c>
      <c r="AL2905" t="s">
        <v>5467</v>
      </c>
      <c r="AM2905">
        <v>46.980200000000004</v>
      </c>
      <c r="AN2905" t="s">
        <v>5469</v>
      </c>
      <c r="AO2905">
        <v>-123.469849</v>
      </c>
      <c r="AP2905">
        <v>100</v>
      </c>
      <c r="AQ2905">
        <v>2000</v>
      </c>
      <c r="AR2905" t="s">
        <v>118</v>
      </c>
      <c r="AS2905">
        <v>-80</v>
      </c>
      <c r="AT2905">
        <v>9</v>
      </c>
      <c r="AU2905">
        <v>64</v>
      </c>
      <c r="BC2905">
        <v>1200</v>
      </c>
      <c r="BD2905">
        <v>1</v>
      </c>
      <c r="BE2905" t="str">
        <f t="shared" si="137"/>
        <v xml:space="preserve">N215T   </v>
      </c>
      <c r="BF2905">
        <v>1</v>
      </c>
      <c r="BH2905">
        <v>0</v>
      </c>
      <c r="BI2905">
        <v>0</v>
      </c>
      <c r="BJ2905">
        <v>0</v>
      </c>
      <c r="BK2905">
        <v>2425</v>
      </c>
      <c r="BL2905">
        <v>425</v>
      </c>
      <c r="BM2905" t="s">
        <v>119</v>
      </c>
      <c r="BN2905">
        <v>1</v>
      </c>
      <c r="BO2905">
        <v>1</v>
      </c>
      <c r="BP2905">
        <v>1</v>
      </c>
      <c r="BQ2905">
        <v>0</v>
      </c>
      <c r="BT2905">
        <v>0</v>
      </c>
      <c r="BU2905">
        <v>0</v>
      </c>
      <c r="BV2905">
        <v>0</v>
      </c>
      <c r="CC2905" t="str">
        <f>"19:23:18.969"</f>
        <v>19:23:18.969</v>
      </c>
      <c r="CD2905" t="str">
        <f>"971436233"</f>
        <v>971436233</v>
      </c>
      <c r="CQ2905">
        <v>0</v>
      </c>
      <c r="CR2905">
        <v>2</v>
      </c>
      <c r="CS2905">
        <v>0</v>
      </c>
      <c r="CT2905">
        <v>2</v>
      </c>
      <c r="CU2905">
        <v>0</v>
      </c>
      <c r="CV2905">
        <v>6</v>
      </c>
      <c r="CW2905" t="s">
        <v>120</v>
      </c>
      <c r="CX2905">
        <v>257</v>
      </c>
      <c r="CY2905">
        <v>0</v>
      </c>
      <c r="CZ2905" t="s">
        <v>615</v>
      </c>
      <c r="DA2905" t="s">
        <v>616</v>
      </c>
      <c r="DD2905">
        <v>16161752</v>
      </c>
      <c r="DE2905" t="s">
        <v>123</v>
      </c>
    </row>
    <row r="2906" spans="1:109" x14ac:dyDescent="0.3">
      <c r="A2906" t="str">
        <f>"19:23:20.297"</f>
        <v>19:23:20.297</v>
      </c>
      <c r="B2906" t="s">
        <v>110</v>
      </c>
      <c r="C2906" t="str">
        <f t="shared" si="135"/>
        <v>ffdfd3c0</v>
      </c>
      <c r="D2906" t="s">
        <v>111</v>
      </c>
      <c r="E2906">
        <v>18</v>
      </c>
      <c r="F2906">
        <v>1018</v>
      </c>
      <c r="G2906" t="s">
        <v>112</v>
      </c>
      <c r="J2906" t="s">
        <v>113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R2906" t="s">
        <v>114</v>
      </c>
      <c r="S2906" t="str">
        <f>"19:23:20.031"</f>
        <v>19:23:20.031</v>
      </c>
      <c r="T2906" t="str">
        <f>"19:23:19.633"</f>
        <v>19:23:19.633</v>
      </c>
      <c r="U2906" t="str">
        <f t="shared" si="136"/>
        <v>a1cdbe</v>
      </c>
      <c r="V2906">
        <v>0</v>
      </c>
      <c r="W2906">
        <v>0</v>
      </c>
      <c r="X2906">
        <v>1</v>
      </c>
      <c r="Y2906">
        <v>0</v>
      </c>
      <c r="Z2906">
        <v>0</v>
      </c>
      <c r="AB2906">
        <v>0</v>
      </c>
      <c r="AC2906">
        <v>9</v>
      </c>
      <c r="AD2906">
        <v>3</v>
      </c>
      <c r="AE2906">
        <v>0</v>
      </c>
      <c r="AF2906">
        <v>9</v>
      </c>
      <c r="AG2906" t="s">
        <v>158</v>
      </c>
      <c r="AH2906">
        <v>0</v>
      </c>
      <c r="AI2906">
        <v>3</v>
      </c>
      <c r="AJ2906">
        <v>1</v>
      </c>
      <c r="AK2906">
        <v>0</v>
      </c>
      <c r="AL2906" t="s">
        <v>931</v>
      </c>
      <c r="AM2906">
        <v>46.980243000000002</v>
      </c>
      <c r="AN2906" t="s">
        <v>5470</v>
      </c>
      <c r="AO2906">
        <v>-123.47040699999999</v>
      </c>
      <c r="AP2906">
        <v>100</v>
      </c>
      <c r="AQ2906">
        <v>2000</v>
      </c>
      <c r="AR2906" t="s">
        <v>118</v>
      </c>
      <c r="AS2906">
        <v>-80</v>
      </c>
      <c r="AT2906">
        <v>9</v>
      </c>
      <c r="AU2906">
        <v>64</v>
      </c>
      <c r="BC2906">
        <v>1200</v>
      </c>
      <c r="BD2906">
        <v>1</v>
      </c>
      <c r="BE2906" t="str">
        <f t="shared" si="137"/>
        <v xml:space="preserve">N215T   </v>
      </c>
      <c r="BF2906">
        <v>1</v>
      </c>
      <c r="BH2906">
        <v>0</v>
      </c>
      <c r="BI2906">
        <v>0</v>
      </c>
      <c r="BJ2906">
        <v>0</v>
      </c>
      <c r="BK2906">
        <v>2425</v>
      </c>
      <c r="BL2906">
        <v>425</v>
      </c>
      <c r="BM2906" t="s">
        <v>119</v>
      </c>
      <c r="BN2906">
        <v>1</v>
      </c>
      <c r="BO2906">
        <v>1</v>
      </c>
      <c r="BP2906">
        <v>1</v>
      </c>
      <c r="BQ2906">
        <v>0</v>
      </c>
      <c r="BT2906">
        <v>0</v>
      </c>
      <c r="BU2906">
        <v>0</v>
      </c>
      <c r="BV2906">
        <v>0</v>
      </c>
      <c r="CC2906" t="str">
        <f>"19:23:20.039"</f>
        <v>19:23:20.039</v>
      </c>
      <c r="CD2906" t="str">
        <f>"036331290"</f>
        <v>036331290</v>
      </c>
      <c r="CQ2906">
        <v>0</v>
      </c>
      <c r="CR2906">
        <v>2</v>
      </c>
      <c r="CS2906">
        <v>0</v>
      </c>
      <c r="CT2906">
        <v>2</v>
      </c>
      <c r="CU2906">
        <v>0</v>
      </c>
      <c r="CV2906">
        <v>7</v>
      </c>
      <c r="CW2906" t="s">
        <v>120</v>
      </c>
      <c r="CX2906">
        <v>257</v>
      </c>
      <c r="CY2906">
        <v>0</v>
      </c>
      <c r="CZ2906" t="s">
        <v>615</v>
      </c>
      <c r="DA2906" t="s">
        <v>616</v>
      </c>
      <c r="DD2906">
        <v>16162280</v>
      </c>
      <c r="DE2906" t="s">
        <v>123</v>
      </c>
    </row>
    <row r="2907" spans="1:109" x14ac:dyDescent="0.3">
      <c r="A2907" t="str">
        <f>"19:23:21.250"</f>
        <v>19:23:21.250</v>
      </c>
      <c r="B2907" t="s">
        <v>110</v>
      </c>
      <c r="C2907" t="str">
        <f t="shared" si="135"/>
        <v>ffdfd3c0</v>
      </c>
      <c r="D2907" t="s">
        <v>111</v>
      </c>
      <c r="E2907">
        <v>18</v>
      </c>
      <c r="F2907">
        <v>1018</v>
      </c>
      <c r="G2907" t="s">
        <v>112</v>
      </c>
      <c r="J2907" t="s">
        <v>113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R2907" t="s">
        <v>114</v>
      </c>
      <c r="S2907" t="str">
        <f>"19:23:21.023"</f>
        <v>19:23:21.023</v>
      </c>
      <c r="T2907" t="str">
        <f>"19:23:20.727"</f>
        <v>19:23:20.727</v>
      </c>
      <c r="U2907" t="str">
        <f t="shared" si="136"/>
        <v>a1cdbe</v>
      </c>
      <c r="V2907">
        <v>0</v>
      </c>
      <c r="W2907">
        <v>0</v>
      </c>
      <c r="X2907">
        <v>1</v>
      </c>
      <c r="Y2907">
        <v>0</v>
      </c>
      <c r="Z2907">
        <v>0</v>
      </c>
      <c r="AB2907">
        <v>0</v>
      </c>
      <c r="AC2907">
        <v>9</v>
      </c>
      <c r="AD2907">
        <v>3</v>
      </c>
      <c r="AE2907">
        <v>0</v>
      </c>
      <c r="AF2907">
        <v>9</v>
      </c>
      <c r="AG2907" t="s">
        <v>158</v>
      </c>
      <c r="AH2907">
        <v>0</v>
      </c>
      <c r="AI2907">
        <v>3</v>
      </c>
      <c r="AJ2907">
        <v>1</v>
      </c>
      <c r="AK2907">
        <v>0</v>
      </c>
      <c r="AL2907" t="s">
        <v>5471</v>
      </c>
      <c r="AM2907">
        <v>46.980286</v>
      </c>
      <c r="AN2907" t="s">
        <v>5472</v>
      </c>
      <c r="AO2907">
        <v>-123.470986</v>
      </c>
      <c r="AP2907">
        <v>100</v>
      </c>
      <c r="AQ2907">
        <v>2000</v>
      </c>
      <c r="AR2907" t="s">
        <v>118</v>
      </c>
      <c r="AS2907">
        <v>-80</v>
      </c>
      <c r="AT2907">
        <v>9</v>
      </c>
      <c r="AU2907">
        <v>64</v>
      </c>
      <c r="BC2907">
        <v>1200</v>
      </c>
      <c r="BD2907">
        <v>1</v>
      </c>
      <c r="BE2907" t="str">
        <f t="shared" si="137"/>
        <v xml:space="preserve">N215T   </v>
      </c>
      <c r="BF2907">
        <v>1</v>
      </c>
      <c r="BH2907">
        <v>0</v>
      </c>
      <c r="BI2907">
        <v>0</v>
      </c>
      <c r="BJ2907">
        <v>0</v>
      </c>
      <c r="BK2907">
        <v>2425</v>
      </c>
      <c r="BL2907">
        <v>425</v>
      </c>
      <c r="BM2907" t="s">
        <v>119</v>
      </c>
      <c r="BN2907">
        <v>1</v>
      </c>
      <c r="BO2907">
        <v>1</v>
      </c>
      <c r="BP2907">
        <v>1</v>
      </c>
      <c r="BQ2907">
        <v>0</v>
      </c>
      <c r="BT2907">
        <v>0</v>
      </c>
      <c r="BU2907">
        <v>0</v>
      </c>
      <c r="BV2907">
        <v>0</v>
      </c>
      <c r="CC2907" t="str">
        <f>"19:23:21.023"</f>
        <v>19:23:21.023</v>
      </c>
      <c r="CD2907" t="str">
        <f>"026233695"</f>
        <v>026233695</v>
      </c>
      <c r="CQ2907">
        <v>0</v>
      </c>
      <c r="CR2907">
        <v>2</v>
      </c>
      <c r="CS2907">
        <v>0</v>
      </c>
      <c r="CT2907">
        <v>2</v>
      </c>
      <c r="CU2907">
        <v>0</v>
      </c>
      <c r="CV2907">
        <v>7</v>
      </c>
      <c r="CW2907" t="s">
        <v>120</v>
      </c>
      <c r="CX2907">
        <v>257</v>
      </c>
      <c r="CY2907">
        <v>0</v>
      </c>
      <c r="CZ2907" t="s">
        <v>615</v>
      </c>
      <c r="DA2907" t="s">
        <v>616</v>
      </c>
      <c r="DD2907">
        <v>16162759</v>
      </c>
      <c r="DE2907" t="s">
        <v>123</v>
      </c>
    </row>
    <row r="2908" spans="1:109" x14ac:dyDescent="0.3">
      <c r="A2908" t="str">
        <f>"19:23:22.203"</f>
        <v>19:23:22.203</v>
      </c>
      <c r="B2908" t="s">
        <v>110</v>
      </c>
      <c r="C2908" t="str">
        <f t="shared" si="135"/>
        <v>ffdfd3c0</v>
      </c>
      <c r="D2908" t="s">
        <v>111</v>
      </c>
      <c r="E2908">
        <v>18</v>
      </c>
      <c r="F2908">
        <v>1018</v>
      </c>
      <c r="G2908" t="s">
        <v>112</v>
      </c>
      <c r="J2908" t="s">
        <v>113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R2908" t="s">
        <v>114</v>
      </c>
      <c r="S2908" t="str">
        <f>"19:23:21.969"</f>
        <v>19:23:21.969</v>
      </c>
      <c r="T2908" t="str">
        <f>"19:23:21.570"</f>
        <v>19:23:21.570</v>
      </c>
      <c r="U2908" t="str">
        <f t="shared" si="136"/>
        <v>a1cdbe</v>
      </c>
      <c r="V2908">
        <v>0</v>
      </c>
      <c r="W2908">
        <v>0</v>
      </c>
      <c r="X2908">
        <v>1</v>
      </c>
      <c r="Y2908">
        <v>0</v>
      </c>
      <c r="Z2908">
        <v>0</v>
      </c>
      <c r="AB2908">
        <v>0</v>
      </c>
      <c r="AC2908">
        <v>9</v>
      </c>
      <c r="AD2908">
        <v>3</v>
      </c>
      <c r="AE2908">
        <v>0</v>
      </c>
      <c r="AF2908">
        <v>9</v>
      </c>
      <c r="AG2908" t="s">
        <v>158</v>
      </c>
      <c r="AH2908">
        <v>0</v>
      </c>
      <c r="AI2908">
        <v>3</v>
      </c>
      <c r="AJ2908">
        <v>1</v>
      </c>
      <c r="AK2908">
        <v>0</v>
      </c>
      <c r="AL2908" t="s">
        <v>5473</v>
      </c>
      <c r="AM2908">
        <v>46.980328999999998</v>
      </c>
      <c r="AN2908" t="s">
        <v>5474</v>
      </c>
      <c r="AO2908">
        <v>-123.471501</v>
      </c>
      <c r="AP2908">
        <v>100</v>
      </c>
      <c r="AQ2908">
        <v>2000</v>
      </c>
      <c r="AR2908" t="s">
        <v>118</v>
      </c>
      <c r="AS2908">
        <v>-80</v>
      </c>
      <c r="AT2908">
        <v>9</v>
      </c>
      <c r="AU2908">
        <v>64</v>
      </c>
      <c r="BC2908">
        <v>1200</v>
      </c>
      <c r="BD2908">
        <v>1</v>
      </c>
      <c r="BE2908" t="str">
        <f t="shared" si="137"/>
        <v xml:space="preserve">N215T   </v>
      </c>
      <c r="BF2908">
        <v>1</v>
      </c>
      <c r="BH2908">
        <v>0</v>
      </c>
      <c r="BI2908">
        <v>0</v>
      </c>
      <c r="BJ2908">
        <v>0</v>
      </c>
      <c r="BK2908">
        <v>2425</v>
      </c>
      <c r="BL2908">
        <v>425</v>
      </c>
      <c r="BM2908" t="s">
        <v>119</v>
      </c>
      <c r="BN2908">
        <v>1</v>
      </c>
      <c r="BO2908">
        <v>1</v>
      </c>
      <c r="BP2908">
        <v>1</v>
      </c>
      <c r="BQ2908">
        <v>0</v>
      </c>
      <c r="BT2908">
        <v>0</v>
      </c>
      <c r="BU2908">
        <v>0</v>
      </c>
      <c r="BV2908">
        <v>0</v>
      </c>
      <c r="CC2908" t="str">
        <f>"19:23:21.969"</f>
        <v>19:23:21.969</v>
      </c>
      <c r="CD2908" t="str">
        <f>"971140563"</f>
        <v>971140563</v>
      </c>
      <c r="CQ2908">
        <v>0</v>
      </c>
      <c r="CR2908">
        <v>2</v>
      </c>
      <c r="CS2908">
        <v>0</v>
      </c>
      <c r="CT2908">
        <v>2</v>
      </c>
      <c r="CU2908">
        <v>0</v>
      </c>
      <c r="CV2908">
        <v>7</v>
      </c>
      <c r="CW2908" t="s">
        <v>120</v>
      </c>
      <c r="CX2908">
        <v>257</v>
      </c>
      <c r="CY2908">
        <v>0</v>
      </c>
      <c r="CZ2908" t="s">
        <v>615</v>
      </c>
      <c r="DA2908" t="s">
        <v>616</v>
      </c>
      <c r="DD2908">
        <v>16163221</v>
      </c>
      <c r="DE2908" t="s">
        <v>123</v>
      </c>
    </row>
    <row r="2909" spans="1:109" x14ac:dyDescent="0.3">
      <c r="A2909" t="str">
        <f>"19:23:23.266"</f>
        <v>19:23:23.266</v>
      </c>
      <c r="B2909" t="s">
        <v>110</v>
      </c>
      <c r="C2909" t="str">
        <f t="shared" si="135"/>
        <v>ffdfd3c0</v>
      </c>
      <c r="D2909" t="s">
        <v>111</v>
      </c>
      <c r="E2909">
        <v>18</v>
      </c>
      <c r="F2909">
        <v>1018</v>
      </c>
      <c r="G2909" t="s">
        <v>112</v>
      </c>
      <c r="J2909" t="s">
        <v>113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R2909" t="s">
        <v>114</v>
      </c>
      <c r="S2909" t="str">
        <f>"19:23:23.047"</f>
        <v>19:23:23.047</v>
      </c>
      <c r="T2909" t="str">
        <f>"19:23:23.047"</f>
        <v>19:23:23.047</v>
      </c>
      <c r="U2909" t="str">
        <f t="shared" si="136"/>
        <v>a1cdbe</v>
      </c>
      <c r="V2909">
        <v>0</v>
      </c>
      <c r="W2909">
        <v>0</v>
      </c>
      <c r="X2909">
        <v>1</v>
      </c>
      <c r="Y2909">
        <v>0</v>
      </c>
      <c r="Z2909">
        <v>0</v>
      </c>
      <c r="AB2909">
        <v>0</v>
      </c>
      <c r="AC2909">
        <v>9</v>
      </c>
      <c r="AD2909">
        <v>3</v>
      </c>
      <c r="AE2909">
        <v>0</v>
      </c>
      <c r="AF2909">
        <v>9</v>
      </c>
      <c r="AG2909" t="s">
        <v>158</v>
      </c>
      <c r="AH2909">
        <v>0</v>
      </c>
      <c r="AI2909">
        <v>3</v>
      </c>
      <c r="AJ2909">
        <v>1</v>
      </c>
      <c r="AK2909">
        <v>0</v>
      </c>
      <c r="AL2909" t="s">
        <v>5475</v>
      </c>
      <c r="AM2909">
        <v>46.980370999999998</v>
      </c>
      <c r="AN2909" t="s">
        <v>5476</v>
      </c>
      <c r="AO2909">
        <v>-123.47210200000001</v>
      </c>
      <c r="AP2909">
        <v>100</v>
      </c>
      <c r="AQ2909">
        <v>2000</v>
      </c>
      <c r="AR2909" t="s">
        <v>118</v>
      </c>
      <c r="AS2909">
        <v>-80</v>
      </c>
      <c r="AT2909">
        <v>10</v>
      </c>
      <c r="AU2909">
        <v>0</v>
      </c>
      <c r="BC2909">
        <v>1200</v>
      </c>
      <c r="BD2909">
        <v>1</v>
      </c>
      <c r="BE2909" t="str">
        <f t="shared" si="137"/>
        <v xml:space="preserve">N215T   </v>
      </c>
      <c r="BF2909">
        <v>1</v>
      </c>
      <c r="BH2909">
        <v>0</v>
      </c>
      <c r="BI2909">
        <v>0</v>
      </c>
      <c r="BJ2909">
        <v>0</v>
      </c>
      <c r="BK2909">
        <v>2425</v>
      </c>
      <c r="BL2909">
        <v>425</v>
      </c>
      <c r="BM2909" t="s">
        <v>119</v>
      </c>
      <c r="BN2909">
        <v>1</v>
      </c>
      <c r="BO2909">
        <v>1</v>
      </c>
      <c r="BP2909">
        <v>1</v>
      </c>
      <c r="BQ2909">
        <v>0</v>
      </c>
      <c r="BT2909">
        <v>0</v>
      </c>
      <c r="BU2909">
        <v>0</v>
      </c>
      <c r="BV2909">
        <v>0</v>
      </c>
      <c r="CC2909" t="str">
        <f>"19:23:23.055"</f>
        <v>19:23:23.055</v>
      </c>
      <c r="CD2909" t="str">
        <f>"051034084"</f>
        <v>051034084</v>
      </c>
      <c r="CQ2909">
        <v>0</v>
      </c>
      <c r="CR2909">
        <v>2</v>
      </c>
      <c r="CS2909">
        <v>0</v>
      </c>
      <c r="CT2909">
        <v>2</v>
      </c>
      <c r="CU2909">
        <v>0</v>
      </c>
      <c r="CV2909">
        <v>7</v>
      </c>
      <c r="CW2909" t="s">
        <v>120</v>
      </c>
      <c r="CX2909">
        <v>257</v>
      </c>
      <c r="CY2909">
        <v>0</v>
      </c>
      <c r="CZ2909" t="s">
        <v>615</v>
      </c>
      <c r="DA2909" t="s">
        <v>616</v>
      </c>
      <c r="DD2909">
        <v>16163763</v>
      </c>
      <c r="DE2909" t="s">
        <v>123</v>
      </c>
    </row>
    <row r="2910" spans="1:109" x14ac:dyDescent="0.3">
      <c r="A2910" t="str">
        <f>"19:23:24.469"</f>
        <v>19:23:24.469</v>
      </c>
      <c r="B2910" t="s">
        <v>110</v>
      </c>
      <c r="C2910" t="str">
        <f t="shared" si="135"/>
        <v>ffdfd3c0</v>
      </c>
      <c r="D2910" t="s">
        <v>111</v>
      </c>
      <c r="E2910">
        <v>18</v>
      </c>
      <c r="F2910">
        <v>1018</v>
      </c>
      <c r="G2910" t="s">
        <v>112</v>
      </c>
      <c r="J2910" t="s">
        <v>113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R2910" t="s">
        <v>114</v>
      </c>
      <c r="S2910" t="str">
        <f>"19:23:24.188"</f>
        <v>19:23:24.188</v>
      </c>
      <c r="T2910" t="str">
        <f>"19:23:24.188"</f>
        <v>19:23:24.188</v>
      </c>
      <c r="U2910" t="str">
        <f t="shared" si="136"/>
        <v>a1cdbe</v>
      </c>
      <c r="V2910">
        <v>0</v>
      </c>
      <c r="W2910">
        <v>0</v>
      </c>
      <c r="X2910">
        <v>1</v>
      </c>
      <c r="Y2910">
        <v>0</v>
      </c>
      <c r="Z2910">
        <v>0</v>
      </c>
      <c r="AB2910">
        <v>0</v>
      </c>
      <c r="AC2910">
        <v>9</v>
      </c>
      <c r="AD2910">
        <v>3</v>
      </c>
      <c r="AE2910">
        <v>0</v>
      </c>
      <c r="AF2910">
        <v>9</v>
      </c>
      <c r="AG2910" t="s">
        <v>158</v>
      </c>
      <c r="AH2910">
        <v>0</v>
      </c>
      <c r="AI2910">
        <v>3</v>
      </c>
      <c r="AJ2910">
        <v>1</v>
      </c>
      <c r="AK2910">
        <v>0</v>
      </c>
      <c r="AL2910" t="s">
        <v>5477</v>
      </c>
      <c r="AM2910">
        <v>46.980435999999997</v>
      </c>
      <c r="AN2910" t="s">
        <v>5478</v>
      </c>
      <c r="AO2910">
        <v>-123.47266</v>
      </c>
      <c r="AP2910">
        <v>100</v>
      </c>
      <c r="AQ2910">
        <v>2000</v>
      </c>
      <c r="AR2910" t="s">
        <v>118</v>
      </c>
      <c r="AS2910">
        <v>-80</v>
      </c>
      <c r="AT2910">
        <v>10</v>
      </c>
      <c r="AU2910">
        <v>0</v>
      </c>
      <c r="BC2910">
        <v>1200</v>
      </c>
      <c r="BD2910">
        <v>1</v>
      </c>
      <c r="BE2910" t="str">
        <f t="shared" si="137"/>
        <v xml:space="preserve">N215T   </v>
      </c>
      <c r="BF2910">
        <v>1</v>
      </c>
      <c r="BH2910">
        <v>0</v>
      </c>
      <c r="BI2910">
        <v>0</v>
      </c>
      <c r="BJ2910">
        <v>0</v>
      </c>
      <c r="BK2910">
        <v>2425</v>
      </c>
      <c r="BL2910">
        <v>425</v>
      </c>
      <c r="BM2910" t="s">
        <v>119</v>
      </c>
      <c r="BN2910">
        <v>1</v>
      </c>
      <c r="BO2910">
        <v>1</v>
      </c>
      <c r="BP2910">
        <v>1</v>
      </c>
      <c r="BQ2910">
        <v>0</v>
      </c>
      <c r="BT2910">
        <v>0</v>
      </c>
      <c r="BU2910">
        <v>0</v>
      </c>
      <c r="BV2910">
        <v>0</v>
      </c>
      <c r="CC2910" t="str">
        <f>"19:23:24.188"</f>
        <v>19:23:24.188</v>
      </c>
      <c r="CD2910" t="str">
        <f>"190921766"</f>
        <v>190921766</v>
      </c>
      <c r="CQ2910">
        <v>0</v>
      </c>
      <c r="CR2910">
        <v>2</v>
      </c>
      <c r="CS2910">
        <v>0</v>
      </c>
      <c r="CT2910">
        <v>2</v>
      </c>
      <c r="CU2910">
        <v>0</v>
      </c>
      <c r="CV2910">
        <v>6</v>
      </c>
      <c r="CW2910" t="s">
        <v>120</v>
      </c>
      <c r="CX2910">
        <v>257</v>
      </c>
      <c r="CY2910">
        <v>0</v>
      </c>
      <c r="CZ2910" t="s">
        <v>615</v>
      </c>
      <c r="DA2910" t="s">
        <v>616</v>
      </c>
      <c r="DD2910">
        <v>16164415</v>
      </c>
      <c r="DE2910" t="s">
        <v>123</v>
      </c>
    </row>
    <row r="2911" spans="1:109" x14ac:dyDescent="0.3">
      <c r="A2911" t="str">
        <f>"19:23:25.375"</f>
        <v>19:23:25.375</v>
      </c>
      <c r="B2911" t="s">
        <v>110</v>
      </c>
      <c r="C2911" t="str">
        <f t="shared" si="135"/>
        <v>ffdfd3c0</v>
      </c>
      <c r="D2911" t="s">
        <v>111</v>
      </c>
      <c r="E2911">
        <v>18</v>
      </c>
      <c r="F2911">
        <v>1018</v>
      </c>
      <c r="G2911" t="s">
        <v>112</v>
      </c>
      <c r="J2911" t="s">
        <v>113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R2911" t="s">
        <v>114</v>
      </c>
      <c r="S2911" t="str">
        <f>"19:23:25.117"</f>
        <v>19:23:25.117</v>
      </c>
      <c r="T2911" t="str">
        <f>"19:23:24.617"</f>
        <v>19:23:24.617</v>
      </c>
      <c r="U2911" t="str">
        <f t="shared" si="136"/>
        <v>a1cdbe</v>
      </c>
      <c r="V2911">
        <v>0</v>
      </c>
      <c r="W2911">
        <v>0</v>
      </c>
      <c r="X2911">
        <v>1</v>
      </c>
      <c r="Y2911">
        <v>0</v>
      </c>
      <c r="Z2911">
        <v>0</v>
      </c>
      <c r="AB2911">
        <v>0</v>
      </c>
      <c r="AC2911">
        <v>9</v>
      </c>
      <c r="AD2911">
        <v>3</v>
      </c>
      <c r="AE2911">
        <v>0</v>
      </c>
      <c r="AF2911">
        <v>9</v>
      </c>
      <c r="AG2911" t="s">
        <v>158</v>
      </c>
      <c r="AH2911">
        <v>0</v>
      </c>
      <c r="AI2911">
        <v>3</v>
      </c>
      <c r="AJ2911">
        <v>1</v>
      </c>
      <c r="AK2911">
        <v>0</v>
      </c>
      <c r="AL2911" t="s">
        <v>5479</v>
      </c>
      <c r="AM2911">
        <v>46.980479000000003</v>
      </c>
      <c r="AN2911" t="s">
        <v>5480</v>
      </c>
      <c r="AO2911">
        <v>-123.473153</v>
      </c>
      <c r="AP2911">
        <v>100</v>
      </c>
      <c r="AQ2911">
        <v>2000</v>
      </c>
      <c r="AR2911" t="s">
        <v>118</v>
      </c>
      <c r="AS2911">
        <v>-80</v>
      </c>
      <c r="AT2911">
        <v>10</v>
      </c>
      <c r="AU2911">
        <v>0</v>
      </c>
      <c r="BC2911">
        <v>1200</v>
      </c>
      <c r="BD2911">
        <v>1</v>
      </c>
      <c r="BE2911" t="str">
        <f t="shared" si="137"/>
        <v xml:space="preserve">N215T   </v>
      </c>
      <c r="BF2911">
        <v>1</v>
      </c>
      <c r="BH2911">
        <v>0</v>
      </c>
      <c r="BI2911">
        <v>0</v>
      </c>
      <c r="BJ2911">
        <v>0</v>
      </c>
      <c r="BK2911">
        <v>2425</v>
      </c>
      <c r="BL2911">
        <v>425</v>
      </c>
      <c r="BM2911" t="s">
        <v>119</v>
      </c>
      <c r="BN2911">
        <v>1</v>
      </c>
      <c r="BO2911">
        <v>1</v>
      </c>
      <c r="BP2911">
        <v>1</v>
      </c>
      <c r="BQ2911">
        <v>0</v>
      </c>
      <c r="BT2911">
        <v>0</v>
      </c>
      <c r="BU2911">
        <v>0</v>
      </c>
      <c r="BV2911">
        <v>0</v>
      </c>
      <c r="CC2911" t="str">
        <f>"19:23:25.117"</f>
        <v>19:23:25.117</v>
      </c>
      <c r="CD2911" t="str">
        <f>"120830130"</f>
        <v>120830130</v>
      </c>
      <c r="CQ2911">
        <v>0</v>
      </c>
      <c r="CR2911">
        <v>2</v>
      </c>
      <c r="CS2911">
        <v>0</v>
      </c>
      <c r="CT2911">
        <v>2</v>
      </c>
      <c r="CU2911">
        <v>0</v>
      </c>
      <c r="CV2911">
        <v>7</v>
      </c>
      <c r="CW2911" t="s">
        <v>120</v>
      </c>
      <c r="CX2911">
        <v>257</v>
      </c>
      <c r="CY2911">
        <v>0</v>
      </c>
      <c r="CZ2911" t="s">
        <v>615</v>
      </c>
      <c r="DA2911" t="s">
        <v>616</v>
      </c>
      <c r="DD2911">
        <v>16164860</v>
      </c>
      <c r="DE2911" t="s">
        <v>123</v>
      </c>
    </row>
    <row r="2912" spans="1:109" x14ac:dyDescent="0.3">
      <c r="A2912" t="str">
        <f>"19:23:26.430"</f>
        <v>19:23:26.430</v>
      </c>
      <c r="B2912" t="s">
        <v>110</v>
      </c>
      <c r="C2912" t="str">
        <f t="shared" si="135"/>
        <v>ffdfd3c0</v>
      </c>
      <c r="D2912" t="s">
        <v>111</v>
      </c>
      <c r="E2912">
        <v>18</v>
      </c>
      <c r="F2912">
        <v>1018</v>
      </c>
      <c r="G2912" t="s">
        <v>112</v>
      </c>
      <c r="J2912" t="s">
        <v>113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R2912" t="s">
        <v>114</v>
      </c>
      <c r="S2912" t="str">
        <f>"19:23:26.164"</f>
        <v>19:23:26.164</v>
      </c>
      <c r="T2912" t="str">
        <f>"19:23:26.164"</f>
        <v>19:23:26.164</v>
      </c>
      <c r="U2912" t="str">
        <f t="shared" si="136"/>
        <v>a1cdbe</v>
      </c>
      <c r="V2912">
        <v>0</v>
      </c>
      <c r="W2912">
        <v>0</v>
      </c>
      <c r="X2912">
        <v>1</v>
      </c>
      <c r="Y2912">
        <v>0</v>
      </c>
      <c r="Z2912">
        <v>0</v>
      </c>
      <c r="AB2912">
        <v>0</v>
      </c>
      <c r="AC2912">
        <v>9</v>
      </c>
      <c r="AD2912">
        <v>3</v>
      </c>
      <c r="AE2912">
        <v>0</v>
      </c>
      <c r="AF2912">
        <v>9</v>
      </c>
      <c r="AG2912" t="s">
        <v>158</v>
      </c>
      <c r="AH2912">
        <v>0</v>
      </c>
      <c r="AI2912">
        <v>3</v>
      </c>
      <c r="AJ2912">
        <v>1</v>
      </c>
      <c r="AK2912">
        <v>0</v>
      </c>
      <c r="AL2912" t="s">
        <v>5481</v>
      </c>
      <c r="AM2912">
        <v>46.980522000000001</v>
      </c>
      <c r="AN2912" t="s">
        <v>5482</v>
      </c>
      <c r="AO2912">
        <v>-123.473732</v>
      </c>
      <c r="AP2912">
        <v>100</v>
      </c>
      <c r="AQ2912">
        <v>2000</v>
      </c>
      <c r="AR2912" t="s">
        <v>118</v>
      </c>
      <c r="AS2912">
        <v>-80</v>
      </c>
      <c r="AT2912">
        <v>10</v>
      </c>
      <c r="AU2912">
        <v>0</v>
      </c>
      <c r="BC2912">
        <v>1200</v>
      </c>
      <c r="BD2912">
        <v>1</v>
      </c>
      <c r="BE2912" t="str">
        <f t="shared" si="137"/>
        <v xml:space="preserve">N215T   </v>
      </c>
      <c r="BF2912">
        <v>1</v>
      </c>
      <c r="BH2912">
        <v>0</v>
      </c>
      <c r="BI2912">
        <v>0</v>
      </c>
      <c r="BJ2912">
        <v>0</v>
      </c>
      <c r="BK2912">
        <v>2425</v>
      </c>
      <c r="BL2912">
        <v>425</v>
      </c>
      <c r="BM2912" t="s">
        <v>119</v>
      </c>
      <c r="BN2912">
        <v>1</v>
      </c>
      <c r="BO2912">
        <v>1</v>
      </c>
      <c r="BP2912">
        <v>1</v>
      </c>
      <c r="BQ2912">
        <v>0</v>
      </c>
      <c r="BT2912">
        <v>0</v>
      </c>
      <c r="BU2912">
        <v>0</v>
      </c>
      <c r="BV2912">
        <v>0</v>
      </c>
      <c r="CC2912" t="str">
        <f>"19:23:26.172"</f>
        <v>19:23:26.172</v>
      </c>
      <c r="CD2912" t="str">
        <f>"170726625"</f>
        <v>170726625</v>
      </c>
      <c r="CQ2912">
        <v>0</v>
      </c>
      <c r="CR2912">
        <v>2</v>
      </c>
      <c r="CS2912">
        <v>0</v>
      </c>
      <c r="CT2912">
        <v>2</v>
      </c>
      <c r="CU2912">
        <v>0</v>
      </c>
      <c r="CV2912">
        <v>7</v>
      </c>
      <c r="CW2912" t="s">
        <v>120</v>
      </c>
      <c r="CX2912">
        <v>257</v>
      </c>
      <c r="CY2912">
        <v>0</v>
      </c>
      <c r="CZ2912" t="s">
        <v>615</v>
      </c>
      <c r="DA2912" t="s">
        <v>616</v>
      </c>
      <c r="DD2912">
        <v>16165393</v>
      </c>
      <c r="DE2912" t="s">
        <v>123</v>
      </c>
    </row>
    <row r="2913" spans="1:109" x14ac:dyDescent="0.3">
      <c r="A2913" t="str">
        <f>"19:23:27.336"</f>
        <v>19:23:27.336</v>
      </c>
      <c r="B2913" t="s">
        <v>110</v>
      </c>
      <c r="C2913" t="str">
        <f t="shared" si="135"/>
        <v>ffdfd3c0</v>
      </c>
      <c r="D2913" t="s">
        <v>111</v>
      </c>
      <c r="E2913">
        <v>18</v>
      </c>
      <c r="F2913">
        <v>1018</v>
      </c>
      <c r="G2913" t="s">
        <v>112</v>
      </c>
      <c r="J2913" t="s">
        <v>113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R2913" t="s">
        <v>114</v>
      </c>
      <c r="S2913" t="str">
        <f>"19:23:27.109"</f>
        <v>19:23:27.109</v>
      </c>
      <c r="T2913" t="str">
        <f>"19:23:26.609"</f>
        <v>19:23:26.609</v>
      </c>
      <c r="U2913" t="str">
        <f t="shared" si="136"/>
        <v>a1cdbe</v>
      </c>
      <c r="V2913">
        <v>0</v>
      </c>
      <c r="W2913">
        <v>0</v>
      </c>
      <c r="X2913">
        <v>1</v>
      </c>
      <c r="Y2913">
        <v>0</v>
      </c>
      <c r="Z2913">
        <v>0</v>
      </c>
      <c r="AB2913">
        <v>0</v>
      </c>
      <c r="AC2913">
        <v>9</v>
      </c>
      <c r="AD2913">
        <v>3</v>
      </c>
      <c r="AE2913">
        <v>0</v>
      </c>
      <c r="AF2913">
        <v>9</v>
      </c>
      <c r="AG2913" t="s">
        <v>158</v>
      </c>
      <c r="AH2913">
        <v>0</v>
      </c>
      <c r="AI2913">
        <v>3</v>
      </c>
      <c r="AJ2913">
        <v>1</v>
      </c>
      <c r="AK2913">
        <v>0</v>
      </c>
      <c r="AL2913" t="s">
        <v>5483</v>
      </c>
      <c r="AM2913">
        <v>46.980564999999999</v>
      </c>
      <c r="AN2913" t="s">
        <v>5484</v>
      </c>
      <c r="AO2913">
        <v>-123.47429</v>
      </c>
      <c r="AP2913">
        <v>100</v>
      </c>
      <c r="AQ2913">
        <v>2000</v>
      </c>
      <c r="AR2913" t="s">
        <v>118</v>
      </c>
      <c r="AS2913">
        <v>-80</v>
      </c>
      <c r="AT2913">
        <v>10</v>
      </c>
      <c r="AU2913">
        <v>0</v>
      </c>
      <c r="BC2913">
        <v>1200</v>
      </c>
      <c r="BD2913">
        <v>1</v>
      </c>
      <c r="BE2913" t="str">
        <f t="shared" si="137"/>
        <v xml:space="preserve">N215T   </v>
      </c>
      <c r="BF2913">
        <v>1</v>
      </c>
      <c r="BH2913">
        <v>0</v>
      </c>
      <c r="BI2913">
        <v>0</v>
      </c>
      <c r="BJ2913">
        <v>0</v>
      </c>
      <c r="BK2913">
        <v>2425</v>
      </c>
      <c r="BL2913">
        <v>425</v>
      </c>
      <c r="BM2913" t="s">
        <v>119</v>
      </c>
      <c r="BN2913">
        <v>1</v>
      </c>
      <c r="BO2913">
        <v>1</v>
      </c>
      <c r="BP2913">
        <v>1</v>
      </c>
      <c r="BQ2913">
        <v>0</v>
      </c>
      <c r="BT2913">
        <v>0</v>
      </c>
      <c r="BU2913">
        <v>0</v>
      </c>
      <c r="BV2913">
        <v>0</v>
      </c>
      <c r="CC2913" t="str">
        <f>"19:23:27.117"</f>
        <v>19:23:27.117</v>
      </c>
      <c r="CD2913" t="str">
        <f>"115633482"</f>
        <v>115633482</v>
      </c>
      <c r="CQ2913">
        <v>0</v>
      </c>
      <c r="CR2913">
        <v>2</v>
      </c>
      <c r="CS2913">
        <v>0</v>
      </c>
      <c r="CT2913">
        <v>2</v>
      </c>
      <c r="CU2913">
        <v>0</v>
      </c>
      <c r="CV2913">
        <v>7</v>
      </c>
      <c r="CW2913" t="s">
        <v>120</v>
      </c>
      <c r="CX2913">
        <v>257</v>
      </c>
      <c r="CY2913">
        <v>0</v>
      </c>
      <c r="CZ2913" t="s">
        <v>615</v>
      </c>
      <c r="DA2913" t="s">
        <v>616</v>
      </c>
      <c r="DD2913">
        <v>16165860</v>
      </c>
      <c r="DE2913" t="s">
        <v>123</v>
      </c>
    </row>
    <row r="2914" spans="1:109" x14ac:dyDescent="0.3">
      <c r="A2914" t="str">
        <f>"19:23:28.336"</f>
        <v>19:23:28.336</v>
      </c>
      <c r="B2914" t="s">
        <v>110</v>
      </c>
      <c r="C2914" t="str">
        <f t="shared" si="135"/>
        <v>ffdfd3c0</v>
      </c>
      <c r="D2914" t="s">
        <v>111</v>
      </c>
      <c r="E2914">
        <v>18</v>
      </c>
      <c r="F2914">
        <v>1018</v>
      </c>
      <c r="G2914" t="s">
        <v>112</v>
      </c>
      <c r="J2914" t="s">
        <v>113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R2914" t="s">
        <v>114</v>
      </c>
      <c r="S2914" t="str">
        <f>"19:23:28.086"</f>
        <v>19:23:28.086</v>
      </c>
      <c r="T2914" t="str">
        <f>"19:23:27.688"</f>
        <v>19:23:27.688</v>
      </c>
      <c r="U2914" t="str">
        <f t="shared" si="136"/>
        <v>a1cdbe</v>
      </c>
      <c r="V2914">
        <v>0</v>
      </c>
      <c r="W2914">
        <v>0</v>
      </c>
      <c r="X2914">
        <v>1</v>
      </c>
      <c r="Y2914">
        <v>0</v>
      </c>
      <c r="Z2914">
        <v>0</v>
      </c>
      <c r="AB2914">
        <v>0</v>
      </c>
      <c r="AC2914">
        <v>9</v>
      </c>
      <c r="AD2914">
        <v>3</v>
      </c>
      <c r="AE2914">
        <v>0</v>
      </c>
      <c r="AF2914">
        <v>9</v>
      </c>
      <c r="AG2914" t="s">
        <v>158</v>
      </c>
      <c r="AH2914">
        <v>0</v>
      </c>
      <c r="AI2914">
        <v>3</v>
      </c>
      <c r="AJ2914">
        <v>1</v>
      </c>
      <c r="AK2914">
        <v>0</v>
      </c>
      <c r="AL2914" t="s">
        <v>929</v>
      </c>
      <c r="AM2914">
        <v>46.980607999999997</v>
      </c>
      <c r="AN2914" t="s">
        <v>5485</v>
      </c>
      <c r="AO2914">
        <v>-123.474784</v>
      </c>
      <c r="AP2914">
        <v>100</v>
      </c>
      <c r="AQ2914">
        <v>2000</v>
      </c>
      <c r="AR2914" t="s">
        <v>118</v>
      </c>
      <c r="AS2914">
        <v>-80</v>
      </c>
      <c r="AT2914">
        <v>10</v>
      </c>
      <c r="AU2914">
        <v>0</v>
      </c>
      <c r="BC2914">
        <v>1200</v>
      </c>
      <c r="BD2914">
        <v>1</v>
      </c>
      <c r="BE2914" t="str">
        <f t="shared" si="137"/>
        <v xml:space="preserve">N215T   </v>
      </c>
      <c r="BF2914">
        <v>1</v>
      </c>
      <c r="BH2914">
        <v>0</v>
      </c>
      <c r="BI2914">
        <v>0</v>
      </c>
      <c r="BJ2914">
        <v>0</v>
      </c>
      <c r="BK2914">
        <v>2425</v>
      </c>
      <c r="BL2914">
        <v>425</v>
      </c>
      <c r="BM2914" t="s">
        <v>119</v>
      </c>
      <c r="BN2914">
        <v>1</v>
      </c>
      <c r="BO2914">
        <v>1</v>
      </c>
      <c r="BP2914">
        <v>1</v>
      </c>
      <c r="BQ2914">
        <v>0</v>
      </c>
      <c r="BT2914">
        <v>0</v>
      </c>
      <c r="BU2914">
        <v>0</v>
      </c>
      <c r="BV2914">
        <v>0</v>
      </c>
      <c r="CC2914" t="str">
        <f>"19:23:28.094"</f>
        <v>19:23:28.094</v>
      </c>
      <c r="CD2914" t="str">
        <f>"090537392"</f>
        <v>090537392</v>
      </c>
      <c r="CQ2914">
        <v>0</v>
      </c>
      <c r="CR2914">
        <v>2</v>
      </c>
      <c r="CS2914">
        <v>0</v>
      </c>
      <c r="CT2914">
        <v>2</v>
      </c>
      <c r="CU2914">
        <v>0</v>
      </c>
      <c r="CV2914">
        <v>7</v>
      </c>
      <c r="CW2914" t="s">
        <v>120</v>
      </c>
      <c r="CX2914">
        <v>257</v>
      </c>
      <c r="CY2914">
        <v>0</v>
      </c>
      <c r="CZ2914" t="s">
        <v>615</v>
      </c>
      <c r="DA2914" t="s">
        <v>616</v>
      </c>
      <c r="DD2914">
        <v>16166355</v>
      </c>
      <c r="DE2914" t="s">
        <v>123</v>
      </c>
    </row>
    <row r="2915" spans="1:109" x14ac:dyDescent="0.3">
      <c r="A2915" t="str">
        <f>"19:23:29.242"</f>
        <v>19:23:29.242</v>
      </c>
      <c r="B2915" t="s">
        <v>110</v>
      </c>
      <c r="C2915" t="str">
        <f t="shared" si="135"/>
        <v>ffdfd3c0</v>
      </c>
      <c r="D2915" t="s">
        <v>111</v>
      </c>
      <c r="E2915">
        <v>18</v>
      </c>
      <c r="F2915">
        <v>1018</v>
      </c>
      <c r="G2915" t="s">
        <v>112</v>
      </c>
      <c r="J2915" t="s">
        <v>113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R2915" t="s">
        <v>114</v>
      </c>
      <c r="S2915" t="str">
        <f>"19:23:29.031"</f>
        <v>19:23:29.031</v>
      </c>
      <c r="T2915" t="str">
        <f>"19:23:28.734"</f>
        <v>19:23:28.734</v>
      </c>
      <c r="U2915" t="str">
        <f t="shared" si="136"/>
        <v>a1cdbe</v>
      </c>
      <c r="V2915">
        <v>0</v>
      </c>
      <c r="W2915">
        <v>0</v>
      </c>
      <c r="X2915">
        <v>1</v>
      </c>
      <c r="Y2915">
        <v>0</v>
      </c>
      <c r="Z2915">
        <v>0</v>
      </c>
      <c r="AB2915">
        <v>0</v>
      </c>
      <c r="AC2915">
        <v>9</v>
      </c>
      <c r="AD2915">
        <v>3</v>
      </c>
      <c r="AE2915">
        <v>0</v>
      </c>
      <c r="AF2915">
        <v>9</v>
      </c>
      <c r="AG2915" t="s">
        <v>158</v>
      </c>
      <c r="AH2915">
        <v>0</v>
      </c>
      <c r="AI2915">
        <v>3</v>
      </c>
      <c r="AJ2915">
        <v>1</v>
      </c>
      <c r="AK2915">
        <v>0</v>
      </c>
      <c r="AL2915" t="s">
        <v>5486</v>
      </c>
      <c r="AM2915">
        <v>46.980649999999997</v>
      </c>
      <c r="AN2915" t="s">
        <v>5487</v>
      </c>
      <c r="AO2915">
        <v>-123.47527700000001</v>
      </c>
      <c r="AP2915">
        <v>100</v>
      </c>
      <c r="AQ2915">
        <v>2000</v>
      </c>
      <c r="AR2915" t="s">
        <v>118</v>
      </c>
      <c r="AS2915">
        <v>-80</v>
      </c>
      <c r="AT2915">
        <v>10</v>
      </c>
      <c r="AU2915">
        <v>0</v>
      </c>
      <c r="BC2915">
        <v>1200</v>
      </c>
      <c r="BD2915">
        <v>1</v>
      </c>
      <c r="BE2915" t="str">
        <f t="shared" si="137"/>
        <v xml:space="preserve">N215T   </v>
      </c>
      <c r="BF2915">
        <v>1</v>
      </c>
      <c r="BH2915">
        <v>0</v>
      </c>
      <c r="BI2915">
        <v>0</v>
      </c>
      <c r="BJ2915">
        <v>0</v>
      </c>
      <c r="BK2915">
        <v>2425</v>
      </c>
      <c r="BL2915">
        <v>425</v>
      </c>
      <c r="BM2915" t="s">
        <v>119</v>
      </c>
      <c r="BN2915">
        <v>1</v>
      </c>
      <c r="BO2915">
        <v>1</v>
      </c>
      <c r="BP2915">
        <v>1</v>
      </c>
      <c r="BQ2915">
        <v>0</v>
      </c>
      <c r="BT2915">
        <v>0</v>
      </c>
      <c r="BU2915">
        <v>0</v>
      </c>
      <c r="BV2915">
        <v>0</v>
      </c>
      <c r="CC2915" t="str">
        <f>"19:23:29.039"</f>
        <v>19:23:29.039</v>
      </c>
      <c r="CD2915" t="str">
        <f>"035444256"</f>
        <v>035444256</v>
      </c>
      <c r="CQ2915">
        <v>0</v>
      </c>
      <c r="CR2915">
        <v>2</v>
      </c>
      <c r="CS2915">
        <v>0</v>
      </c>
      <c r="CT2915">
        <v>2</v>
      </c>
      <c r="CU2915">
        <v>0</v>
      </c>
      <c r="CV2915">
        <v>7</v>
      </c>
      <c r="CW2915" t="s">
        <v>120</v>
      </c>
      <c r="CX2915">
        <v>257</v>
      </c>
      <c r="CY2915">
        <v>0</v>
      </c>
      <c r="CZ2915" t="s">
        <v>615</v>
      </c>
      <c r="DA2915" t="s">
        <v>616</v>
      </c>
      <c r="DD2915">
        <v>16166847</v>
      </c>
      <c r="DE2915" t="s">
        <v>123</v>
      </c>
    </row>
    <row r="2916" spans="1:109" x14ac:dyDescent="0.3">
      <c r="A2916" t="str">
        <f>"19:23:30.398"</f>
        <v>19:23:30.398</v>
      </c>
      <c r="B2916" t="s">
        <v>110</v>
      </c>
      <c r="C2916" t="str">
        <f t="shared" si="135"/>
        <v>ffdfd3c0</v>
      </c>
      <c r="D2916" t="s">
        <v>111</v>
      </c>
      <c r="E2916">
        <v>18</v>
      </c>
      <c r="F2916">
        <v>1018</v>
      </c>
      <c r="G2916" t="s">
        <v>112</v>
      </c>
      <c r="J2916" t="s">
        <v>113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R2916" t="s">
        <v>114</v>
      </c>
      <c r="S2916" t="str">
        <f>"19:23:30.188"</f>
        <v>19:23:30.188</v>
      </c>
      <c r="T2916" t="str">
        <f>"19:23:30.086"</f>
        <v>19:23:30.086</v>
      </c>
      <c r="U2916" t="str">
        <f t="shared" si="136"/>
        <v>a1cdbe</v>
      </c>
      <c r="V2916">
        <v>0</v>
      </c>
      <c r="W2916">
        <v>0</v>
      </c>
      <c r="X2916">
        <v>1</v>
      </c>
      <c r="Y2916">
        <v>0</v>
      </c>
      <c r="Z2916">
        <v>0</v>
      </c>
      <c r="AB2916">
        <v>0</v>
      </c>
      <c r="AC2916">
        <v>9</v>
      </c>
      <c r="AD2916">
        <v>3</v>
      </c>
      <c r="AE2916">
        <v>0</v>
      </c>
      <c r="AF2916">
        <v>9</v>
      </c>
      <c r="AG2916" t="s">
        <v>158</v>
      </c>
      <c r="AH2916">
        <v>0</v>
      </c>
      <c r="AI2916">
        <v>3</v>
      </c>
      <c r="AJ2916">
        <v>1</v>
      </c>
      <c r="AK2916">
        <v>0</v>
      </c>
      <c r="AL2916" t="s">
        <v>5488</v>
      </c>
      <c r="AM2916">
        <v>46.980715000000004</v>
      </c>
      <c r="AN2916" t="s">
        <v>5489</v>
      </c>
      <c r="AO2916">
        <v>-123.4759</v>
      </c>
      <c r="AP2916">
        <v>100</v>
      </c>
      <c r="AQ2916">
        <v>2000</v>
      </c>
      <c r="AR2916" t="s">
        <v>118</v>
      </c>
      <c r="AS2916">
        <v>-80</v>
      </c>
      <c r="AT2916">
        <v>10</v>
      </c>
      <c r="AU2916">
        <v>0</v>
      </c>
      <c r="BC2916">
        <v>1200</v>
      </c>
      <c r="BD2916">
        <v>1</v>
      </c>
      <c r="BE2916" t="str">
        <f t="shared" si="137"/>
        <v xml:space="preserve">N215T   </v>
      </c>
      <c r="BF2916">
        <v>1</v>
      </c>
      <c r="BH2916">
        <v>0</v>
      </c>
      <c r="BI2916">
        <v>0</v>
      </c>
      <c r="BJ2916">
        <v>0</v>
      </c>
      <c r="BK2916">
        <v>2425</v>
      </c>
      <c r="BL2916">
        <v>425</v>
      </c>
      <c r="BM2916" t="s">
        <v>119</v>
      </c>
      <c r="BN2916">
        <v>1</v>
      </c>
      <c r="BO2916">
        <v>1</v>
      </c>
      <c r="BP2916">
        <v>1</v>
      </c>
      <c r="BQ2916">
        <v>0</v>
      </c>
      <c r="BT2916">
        <v>0</v>
      </c>
      <c r="BU2916">
        <v>0</v>
      </c>
      <c r="BV2916">
        <v>0</v>
      </c>
      <c r="CC2916" t="str">
        <f>"19:23:30.188"</f>
        <v>19:23:30.188</v>
      </c>
      <c r="CD2916" t="str">
        <f>"190330422"</f>
        <v>190330422</v>
      </c>
      <c r="CQ2916">
        <v>0</v>
      </c>
      <c r="CR2916">
        <v>2</v>
      </c>
      <c r="CS2916">
        <v>0</v>
      </c>
      <c r="CT2916">
        <v>2</v>
      </c>
      <c r="CU2916">
        <v>0</v>
      </c>
      <c r="CV2916">
        <v>7</v>
      </c>
      <c r="CW2916" t="s">
        <v>120</v>
      </c>
      <c r="CX2916">
        <v>257</v>
      </c>
      <c r="CY2916">
        <v>0</v>
      </c>
      <c r="CZ2916" t="s">
        <v>615</v>
      </c>
      <c r="DA2916" t="s">
        <v>616</v>
      </c>
      <c r="DD2916">
        <v>16167439</v>
      </c>
      <c r="DE2916" t="s">
        <v>123</v>
      </c>
    </row>
    <row r="2917" spans="1:109" x14ac:dyDescent="0.3">
      <c r="A2917" t="str">
        <f>"19:23:31.305"</f>
        <v>19:23:31.305</v>
      </c>
      <c r="B2917" t="s">
        <v>110</v>
      </c>
      <c r="C2917" t="str">
        <f t="shared" si="135"/>
        <v>ffdfd3c0</v>
      </c>
      <c r="D2917" t="s">
        <v>111</v>
      </c>
      <c r="E2917">
        <v>18</v>
      </c>
      <c r="F2917">
        <v>1018</v>
      </c>
      <c r="G2917" t="s">
        <v>112</v>
      </c>
      <c r="J2917" t="s">
        <v>113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R2917" t="s">
        <v>114</v>
      </c>
      <c r="S2917" t="str">
        <f>"19:23:31.039"</f>
        <v>19:23:31.039</v>
      </c>
      <c r="T2917" t="str">
        <f>"19:23:30.641"</f>
        <v>19:23:30.641</v>
      </c>
      <c r="U2917" t="str">
        <f t="shared" si="136"/>
        <v>a1cdbe</v>
      </c>
      <c r="V2917">
        <v>0</v>
      </c>
      <c r="W2917">
        <v>0</v>
      </c>
      <c r="X2917">
        <v>1</v>
      </c>
      <c r="Y2917">
        <v>0</v>
      </c>
      <c r="Z2917">
        <v>0</v>
      </c>
      <c r="AB2917">
        <v>0</v>
      </c>
      <c r="AC2917">
        <v>9</v>
      </c>
      <c r="AD2917">
        <v>3</v>
      </c>
      <c r="AE2917">
        <v>0</v>
      </c>
      <c r="AF2917">
        <v>9</v>
      </c>
      <c r="AG2917" t="s">
        <v>158</v>
      </c>
      <c r="AH2917">
        <v>0</v>
      </c>
      <c r="AI2917">
        <v>3</v>
      </c>
      <c r="AJ2917">
        <v>1</v>
      </c>
      <c r="AK2917">
        <v>0</v>
      </c>
      <c r="AL2917" t="s">
        <v>5490</v>
      </c>
      <c r="AM2917">
        <v>46.980758000000002</v>
      </c>
      <c r="AN2917" t="s">
        <v>5491</v>
      </c>
      <c r="AO2917">
        <v>-123.476393</v>
      </c>
      <c r="AP2917">
        <v>100</v>
      </c>
      <c r="AQ2917">
        <v>2000</v>
      </c>
      <c r="AR2917" t="s">
        <v>118</v>
      </c>
      <c r="AS2917">
        <v>-80</v>
      </c>
      <c r="AT2917">
        <v>10</v>
      </c>
      <c r="AU2917">
        <v>0</v>
      </c>
      <c r="BC2917">
        <v>1200</v>
      </c>
      <c r="BD2917">
        <v>1</v>
      </c>
      <c r="BE2917" t="str">
        <f t="shared" si="137"/>
        <v xml:space="preserve">N215T   </v>
      </c>
      <c r="BF2917">
        <v>1</v>
      </c>
      <c r="BH2917">
        <v>0</v>
      </c>
      <c r="BI2917">
        <v>0</v>
      </c>
      <c r="BJ2917">
        <v>0</v>
      </c>
      <c r="BK2917">
        <v>2425</v>
      </c>
      <c r="BL2917">
        <v>425</v>
      </c>
      <c r="BM2917" t="s">
        <v>119</v>
      </c>
      <c r="BN2917">
        <v>1</v>
      </c>
      <c r="BO2917">
        <v>1</v>
      </c>
      <c r="BP2917">
        <v>1</v>
      </c>
      <c r="BQ2917">
        <v>0</v>
      </c>
      <c r="BT2917">
        <v>0</v>
      </c>
      <c r="BU2917">
        <v>0</v>
      </c>
      <c r="BV2917">
        <v>0</v>
      </c>
      <c r="CC2917" t="str">
        <f>"19:23:31.047"</f>
        <v>19:23:31.047</v>
      </c>
      <c r="CD2917" t="str">
        <f>"045246154"</f>
        <v>045246154</v>
      </c>
      <c r="CQ2917">
        <v>0</v>
      </c>
      <c r="CR2917">
        <v>2</v>
      </c>
      <c r="CS2917">
        <v>0</v>
      </c>
      <c r="CT2917">
        <v>2</v>
      </c>
      <c r="CU2917">
        <v>0</v>
      </c>
      <c r="CV2917">
        <v>7</v>
      </c>
      <c r="CW2917" t="s">
        <v>120</v>
      </c>
      <c r="CX2917">
        <v>257</v>
      </c>
      <c r="CY2917">
        <v>0</v>
      </c>
      <c r="CZ2917" t="s">
        <v>615</v>
      </c>
      <c r="DA2917" t="s">
        <v>616</v>
      </c>
      <c r="DD2917">
        <v>16167881</v>
      </c>
      <c r="DE2917" t="s">
        <v>123</v>
      </c>
    </row>
    <row r="2918" spans="1:109" x14ac:dyDescent="0.3">
      <c r="A2918" t="str">
        <f>"19:23:32.359"</f>
        <v>19:23:32.359</v>
      </c>
      <c r="B2918" t="s">
        <v>110</v>
      </c>
      <c r="C2918" t="str">
        <f t="shared" si="135"/>
        <v>ffdfd3c0</v>
      </c>
      <c r="D2918" t="s">
        <v>111</v>
      </c>
      <c r="E2918">
        <v>18</v>
      </c>
      <c r="F2918">
        <v>1018</v>
      </c>
      <c r="G2918" t="s">
        <v>112</v>
      </c>
      <c r="J2918" t="s">
        <v>113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R2918" t="s">
        <v>114</v>
      </c>
      <c r="S2918" t="str">
        <f>"19:23:32.133"</f>
        <v>19:23:32.133</v>
      </c>
      <c r="T2918" t="str">
        <f>"19:23:32.133"</f>
        <v>19:23:32.133</v>
      </c>
      <c r="U2918" t="str">
        <f t="shared" si="136"/>
        <v>a1cdbe</v>
      </c>
      <c r="V2918">
        <v>0</v>
      </c>
      <c r="W2918">
        <v>0</v>
      </c>
      <c r="X2918">
        <v>1</v>
      </c>
      <c r="Y2918">
        <v>0</v>
      </c>
      <c r="Z2918">
        <v>0</v>
      </c>
      <c r="AB2918">
        <v>0</v>
      </c>
      <c r="AC2918">
        <v>9</v>
      </c>
      <c r="AD2918">
        <v>3</v>
      </c>
      <c r="AE2918">
        <v>0</v>
      </c>
      <c r="AF2918">
        <v>9</v>
      </c>
      <c r="AG2918" t="s">
        <v>158</v>
      </c>
      <c r="AH2918">
        <v>0</v>
      </c>
      <c r="AI2918">
        <v>3</v>
      </c>
      <c r="AJ2918">
        <v>1</v>
      </c>
      <c r="AK2918">
        <v>0</v>
      </c>
      <c r="AL2918" t="s">
        <v>5492</v>
      </c>
      <c r="AM2918">
        <v>46.980778999999998</v>
      </c>
      <c r="AN2918" t="s">
        <v>5493</v>
      </c>
      <c r="AO2918">
        <v>-123.476994</v>
      </c>
      <c r="AP2918">
        <v>100</v>
      </c>
      <c r="AQ2918">
        <v>2000</v>
      </c>
      <c r="AR2918" t="s">
        <v>118</v>
      </c>
      <c r="AS2918">
        <v>-80</v>
      </c>
      <c r="AT2918">
        <v>10</v>
      </c>
      <c r="AU2918">
        <v>0</v>
      </c>
      <c r="BC2918">
        <v>1200</v>
      </c>
      <c r="BD2918">
        <v>1</v>
      </c>
      <c r="BE2918" t="str">
        <f t="shared" si="137"/>
        <v xml:space="preserve">N215T   </v>
      </c>
      <c r="BF2918">
        <v>1</v>
      </c>
      <c r="BH2918">
        <v>0</v>
      </c>
      <c r="BI2918">
        <v>0</v>
      </c>
      <c r="BJ2918">
        <v>0</v>
      </c>
      <c r="BK2918">
        <v>2425</v>
      </c>
      <c r="BL2918">
        <v>425</v>
      </c>
      <c r="BM2918" t="s">
        <v>119</v>
      </c>
      <c r="BN2918">
        <v>1</v>
      </c>
      <c r="BO2918">
        <v>1</v>
      </c>
      <c r="BP2918">
        <v>1</v>
      </c>
      <c r="BQ2918">
        <v>0</v>
      </c>
      <c r="BT2918">
        <v>0</v>
      </c>
      <c r="BU2918">
        <v>0</v>
      </c>
      <c r="BV2918">
        <v>0</v>
      </c>
      <c r="CC2918" t="str">
        <f>"19:23:32.141"</f>
        <v>19:23:32.141</v>
      </c>
      <c r="CD2918" t="str">
        <f>"140138239"</f>
        <v>140138239</v>
      </c>
      <c r="CQ2918">
        <v>0</v>
      </c>
      <c r="CR2918">
        <v>2</v>
      </c>
      <c r="CS2918">
        <v>0</v>
      </c>
      <c r="CT2918">
        <v>2</v>
      </c>
      <c r="CU2918">
        <v>0</v>
      </c>
      <c r="CV2918">
        <v>6</v>
      </c>
      <c r="CW2918" t="s">
        <v>120</v>
      </c>
      <c r="CX2918">
        <v>257</v>
      </c>
      <c r="CY2918">
        <v>0</v>
      </c>
      <c r="CZ2918" t="s">
        <v>615</v>
      </c>
      <c r="DA2918" t="s">
        <v>616</v>
      </c>
      <c r="DD2918">
        <v>16168443</v>
      </c>
      <c r="DE2918" t="s">
        <v>123</v>
      </c>
    </row>
    <row r="2919" spans="1:109" x14ac:dyDescent="0.3">
      <c r="A2919" t="str">
        <f>"19:23:33.367"</f>
        <v>19:23:33.367</v>
      </c>
      <c r="B2919" t="s">
        <v>110</v>
      </c>
      <c r="C2919" t="str">
        <f t="shared" si="135"/>
        <v>ffdfd3c0</v>
      </c>
      <c r="D2919" t="s">
        <v>111</v>
      </c>
      <c r="E2919">
        <v>18</v>
      </c>
      <c r="F2919">
        <v>1018</v>
      </c>
      <c r="G2919" t="s">
        <v>112</v>
      </c>
      <c r="J2919" t="s">
        <v>113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R2919" t="s">
        <v>114</v>
      </c>
      <c r="S2919" t="str">
        <f>"19:23:33.141"</f>
        <v>19:23:33.141</v>
      </c>
      <c r="T2919" t="str">
        <f>"19:23:33.039"</f>
        <v>19:23:33.039</v>
      </c>
      <c r="U2919" t="str">
        <f t="shared" si="136"/>
        <v>a1cdbe</v>
      </c>
      <c r="V2919">
        <v>0</v>
      </c>
      <c r="W2919">
        <v>0</v>
      </c>
      <c r="X2919">
        <v>1</v>
      </c>
      <c r="Y2919">
        <v>0</v>
      </c>
      <c r="Z2919">
        <v>0</v>
      </c>
      <c r="AB2919">
        <v>0</v>
      </c>
      <c r="AC2919">
        <v>9</v>
      </c>
      <c r="AD2919">
        <v>3</v>
      </c>
      <c r="AE2919">
        <v>0</v>
      </c>
      <c r="AF2919">
        <v>9</v>
      </c>
      <c r="AG2919" t="s">
        <v>158</v>
      </c>
      <c r="AH2919">
        <v>0</v>
      </c>
      <c r="AI2919">
        <v>3</v>
      </c>
      <c r="AJ2919">
        <v>1</v>
      </c>
      <c r="AK2919">
        <v>0</v>
      </c>
      <c r="AL2919" t="s">
        <v>5494</v>
      </c>
      <c r="AM2919">
        <v>46.980843999999998</v>
      </c>
      <c r="AN2919" t="s">
        <v>5495</v>
      </c>
      <c r="AO2919">
        <v>-123.47753</v>
      </c>
      <c r="AP2919">
        <v>100</v>
      </c>
      <c r="AQ2919">
        <v>2000</v>
      </c>
      <c r="AR2919" t="s">
        <v>118</v>
      </c>
      <c r="AS2919">
        <v>-80</v>
      </c>
      <c r="AT2919">
        <v>10</v>
      </c>
      <c r="AU2919">
        <v>64</v>
      </c>
      <c r="BC2919">
        <v>1200</v>
      </c>
      <c r="BD2919">
        <v>1</v>
      </c>
      <c r="BE2919" t="str">
        <f t="shared" si="137"/>
        <v xml:space="preserve">N215T   </v>
      </c>
      <c r="BF2919">
        <v>1</v>
      </c>
      <c r="BH2919">
        <v>0</v>
      </c>
      <c r="BI2919">
        <v>0</v>
      </c>
      <c r="BJ2919">
        <v>0</v>
      </c>
      <c r="BK2919">
        <v>2425</v>
      </c>
      <c r="BL2919">
        <v>425</v>
      </c>
      <c r="BM2919" t="s">
        <v>119</v>
      </c>
      <c r="BN2919">
        <v>1</v>
      </c>
      <c r="BO2919">
        <v>1</v>
      </c>
      <c r="BP2919">
        <v>1</v>
      </c>
      <c r="BQ2919">
        <v>0</v>
      </c>
      <c r="BT2919">
        <v>0</v>
      </c>
      <c r="BU2919">
        <v>0</v>
      </c>
      <c r="BV2919">
        <v>0</v>
      </c>
      <c r="CC2919" t="str">
        <f>"19:23:33.148"</f>
        <v>19:23:33.148</v>
      </c>
      <c r="CD2919" t="str">
        <f>"145039186"</f>
        <v>145039186</v>
      </c>
      <c r="CQ2919">
        <v>0</v>
      </c>
      <c r="CR2919">
        <v>2</v>
      </c>
      <c r="CS2919">
        <v>0</v>
      </c>
      <c r="CT2919">
        <v>2</v>
      </c>
      <c r="CU2919">
        <v>0</v>
      </c>
      <c r="CV2919">
        <v>7</v>
      </c>
      <c r="CW2919" t="s">
        <v>120</v>
      </c>
      <c r="CX2919">
        <v>257</v>
      </c>
      <c r="CY2919">
        <v>0</v>
      </c>
      <c r="CZ2919" t="s">
        <v>615</v>
      </c>
      <c r="DA2919" t="s">
        <v>616</v>
      </c>
      <c r="DD2919">
        <v>16168992</v>
      </c>
      <c r="DE2919" t="s">
        <v>123</v>
      </c>
    </row>
    <row r="2920" spans="1:109" x14ac:dyDescent="0.3">
      <c r="A2920" t="str">
        <f>"19:23:34.523"</f>
        <v>19:23:34.523</v>
      </c>
      <c r="B2920" t="s">
        <v>110</v>
      </c>
      <c r="C2920" t="str">
        <f t="shared" si="135"/>
        <v>ffdfd3c0</v>
      </c>
      <c r="D2920" t="s">
        <v>111</v>
      </c>
      <c r="E2920">
        <v>18</v>
      </c>
      <c r="F2920">
        <v>1018</v>
      </c>
      <c r="G2920" t="s">
        <v>112</v>
      </c>
      <c r="J2920" t="s">
        <v>113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R2920" t="s">
        <v>114</v>
      </c>
      <c r="S2920" t="str">
        <f>"19:23:34.297"</f>
        <v>19:23:34.297</v>
      </c>
      <c r="T2920" t="str">
        <f>"19:23:34.094"</f>
        <v>19:23:34.094</v>
      </c>
      <c r="U2920" t="str">
        <f t="shared" si="136"/>
        <v>a1cdbe</v>
      </c>
      <c r="V2920">
        <v>0</v>
      </c>
      <c r="W2920">
        <v>0</v>
      </c>
      <c r="X2920">
        <v>1</v>
      </c>
      <c r="Y2920">
        <v>0</v>
      </c>
      <c r="Z2920">
        <v>0</v>
      </c>
      <c r="AB2920">
        <v>0</v>
      </c>
      <c r="AC2920">
        <v>9</v>
      </c>
      <c r="AD2920">
        <v>3</v>
      </c>
      <c r="AE2920">
        <v>0</v>
      </c>
      <c r="AF2920">
        <v>9</v>
      </c>
      <c r="AG2920" t="s">
        <v>158</v>
      </c>
      <c r="AH2920">
        <v>0</v>
      </c>
      <c r="AI2920">
        <v>3</v>
      </c>
      <c r="AJ2920">
        <v>1</v>
      </c>
      <c r="AK2920">
        <v>0</v>
      </c>
      <c r="AL2920" t="s">
        <v>5496</v>
      </c>
      <c r="AM2920">
        <v>46.980885999999998</v>
      </c>
      <c r="AN2920" t="s">
        <v>5497</v>
      </c>
      <c r="AO2920">
        <v>-123.47815300000001</v>
      </c>
      <c r="AP2920">
        <v>100</v>
      </c>
      <c r="AQ2920">
        <v>2100</v>
      </c>
      <c r="AR2920" t="s">
        <v>118</v>
      </c>
      <c r="AS2920">
        <v>-80</v>
      </c>
      <c r="AT2920">
        <v>10</v>
      </c>
      <c r="AU2920">
        <v>64</v>
      </c>
      <c r="BC2920">
        <v>1200</v>
      </c>
      <c r="BD2920">
        <v>1</v>
      </c>
      <c r="BE2920" t="str">
        <f t="shared" si="137"/>
        <v xml:space="preserve">N215T   </v>
      </c>
      <c r="BF2920">
        <v>1</v>
      </c>
      <c r="BH2920">
        <v>0</v>
      </c>
      <c r="BI2920">
        <v>0</v>
      </c>
      <c r="BJ2920">
        <v>0</v>
      </c>
      <c r="BK2920">
        <v>2425</v>
      </c>
      <c r="BL2920">
        <v>325</v>
      </c>
      <c r="BM2920" t="s">
        <v>119</v>
      </c>
      <c r="BN2920">
        <v>1</v>
      </c>
      <c r="BO2920">
        <v>1</v>
      </c>
      <c r="BP2920">
        <v>1</v>
      </c>
      <c r="BQ2920">
        <v>0</v>
      </c>
      <c r="BT2920">
        <v>0</v>
      </c>
      <c r="BU2920">
        <v>0</v>
      </c>
      <c r="BV2920">
        <v>0</v>
      </c>
      <c r="CC2920" t="str">
        <f>"19:23:34.297"</f>
        <v>19:23:34.297</v>
      </c>
      <c r="CD2920" t="str">
        <f>"299925354"</f>
        <v>299925354</v>
      </c>
      <c r="CQ2920">
        <v>0</v>
      </c>
      <c r="CR2920">
        <v>2</v>
      </c>
      <c r="CS2920">
        <v>0</v>
      </c>
      <c r="CT2920">
        <v>2</v>
      </c>
      <c r="CU2920">
        <v>0</v>
      </c>
      <c r="CV2920">
        <v>6</v>
      </c>
      <c r="CW2920" t="s">
        <v>120</v>
      </c>
      <c r="CX2920">
        <v>257</v>
      </c>
      <c r="CY2920">
        <v>0</v>
      </c>
      <c r="CZ2920" t="s">
        <v>615</v>
      </c>
      <c r="DA2920" t="s">
        <v>616</v>
      </c>
      <c r="DD2920">
        <v>16169603</v>
      </c>
      <c r="DE2920" t="s">
        <v>123</v>
      </c>
    </row>
    <row r="2921" spans="1:109" x14ac:dyDescent="0.3">
      <c r="A2921" t="str">
        <f>"19:23:35.477"</f>
        <v>19:23:35.477</v>
      </c>
      <c r="B2921" t="s">
        <v>110</v>
      </c>
      <c r="C2921" t="str">
        <f t="shared" si="135"/>
        <v>ffdfd3c0</v>
      </c>
      <c r="D2921" t="s">
        <v>111</v>
      </c>
      <c r="E2921">
        <v>18</v>
      </c>
      <c r="F2921">
        <v>1018</v>
      </c>
      <c r="G2921" t="s">
        <v>112</v>
      </c>
      <c r="J2921" t="s">
        <v>113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R2921" t="s">
        <v>114</v>
      </c>
      <c r="S2921" t="str">
        <f>"19:23:35.242"</f>
        <v>19:23:35.242</v>
      </c>
      <c r="T2921" t="str">
        <f>"19:23:35.039"</f>
        <v>19:23:35.039</v>
      </c>
      <c r="U2921" t="str">
        <f t="shared" si="136"/>
        <v>a1cdbe</v>
      </c>
      <c r="V2921">
        <v>0</v>
      </c>
      <c r="W2921">
        <v>0</v>
      </c>
      <c r="X2921">
        <v>1</v>
      </c>
      <c r="Y2921">
        <v>0</v>
      </c>
      <c r="Z2921">
        <v>0</v>
      </c>
      <c r="AB2921">
        <v>0</v>
      </c>
      <c r="AC2921">
        <v>9</v>
      </c>
      <c r="AD2921">
        <v>3</v>
      </c>
      <c r="AE2921">
        <v>0</v>
      </c>
      <c r="AF2921">
        <v>9</v>
      </c>
      <c r="AG2921" t="s">
        <v>158</v>
      </c>
      <c r="AH2921">
        <v>0</v>
      </c>
      <c r="AI2921">
        <v>3</v>
      </c>
      <c r="AJ2921">
        <v>1</v>
      </c>
      <c r="AK2921">
        <v>0</v>
      </c>
      <c r="AL2921" t="s">
        <v>5498</v>
      </c>
      <c r="AM2921">
        <v>46.980929000000003</v>
      </c>
      <c r="AN2921" t="s">
        <v>5499</v>
      </c>
      <c r="AO2921">
        <v>-123.478646</v>
      </c>
      <c r="AP2921">
        <v>100</v>
      </c>
      <c r="AQ2921">
        <v>2100</v>
      </c>
      <c r="AR2921" t="s">
        <v>118</v>
      </c>
      <c r="AS2921">
        <v>-80</v>
      </c>
      <c r="AT2921">
        <v>10</v>
      </c>
      <c r="AU2921">
        <v>64</v>
      </c>
      <c r="BC2921">
        <v>1200</v>
      </c>
      <c r="BD2921">
        <v>1</v>
      </c>
      <c r="BE2921" t="str">
        <f t="shared" si="137"/>
        <v xml:space="preserve">N215T   </v>
      </c>
      <c r="BF2921">
        <v>1</v>
      </c>
      <c r="BH2921">
        <v>0</v>
      </c>
      <c r="BI2921">
        <v>0</v>
      </c>
      <c r="BJ2921">
        <v>0</v>
      </c>
      <c r="BK2921">
        <v>2425</v>
      </c>
      <c r="BL2921">
        <v>325</v>
      </c>
      <c r="BM2921" t="s">
        <v>119</v>
      </c>
      <c r="BN2921">
        <v>1</v>
      </c>
      <c r="BO2921">
        <v>1</v>
      </c>
      <c r="BP2921">
        <v>1</v>
      </c>
      <c r="BQ2921">
        <v>0</v>
      </c>
      <c r="BT2921">
        <v>0</v>
      </c>
      <c r="BU2921">
        <v>0</v>
      </c>
      <c r="BV2921">
        <v>0</v>
      </c>
      <c r="CC2921" t="str">
        <f>"19:23:35.242"</f>
        <v>19:23:35.242</v>
      </c>
      <c r="CD2921" t="str">
        <f>"244832209"</f>
        <v>244832209</v>
      </c>
      <c r="CQ2921">
        <v>0</v>
      </c>
      <c r="CR2921">
        <v>2</v>
      </c>
      <c r="CS2921">
        <v>0</v>
      </c>
      <c r="CT2921">
        <v>2</v>
      </c>
      <c r="CU2921">
        <v>0</v>
      </c>
      <c r="CV2921">
        <v>6</v>
      </c>
      <c r="CW2921" t="s">
        <v>120</v>
      </c>
      <c r="CX2921">
        <v>257</v>
      </c>
      <c r="CY2921">
        <v>0</v>
      </c>
      <c r="CZ2921" t="s">
        <v>615</v>
      </c>
      <c r="DA2921" t="s">
        <v>616</v>
      </c>
      <c r="DD2921">
        <v>16170121</v>
      </c>
      <c r="DE2921" t="s">
        <v>123</v>
      </c>
    </row>
    <row r="2922" spans="1:109" x14ac:dyDescent="0.3">
      <c r="A2922" t="str">
        <f>"19:23:36.484"</f>
        <v>19:23:36.484</v>
      </c>
      <c r="B2922" t="s">
        <v>110</v>
      </c>
      <c r="C2922" t="str">
        <f t="shared" si="135"/>
        <v>ffdfd3c0</v>
      </c>
      <c r="D2922" t="s">
        <v>111</v>
      </c>
      <c r="E2922">
        <v>18</v>
      </c>
      <c r="F2922">
        <v>1018</v>
      </c>
      <c r="G2922" t="s">
        <v>112</v>
      </c>
      <c r="J2922" t="s">
        <v>113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R2922" t="s">
        <v>114</v>
      </c>
      <c r="S2922" t="str">
        <f>"19:23:36.242"</f>
        <v>19:23:36.242</v>
      </c>
      <c r="T2922" t="str">
        <f>"19:23:36.141"</f>
        <v>19:23:36.141</v>
      </c>
      <c r="U2922" t="str">
        <f t="shared" si="136"/>
        <v>a1cdbe</v>
      </c>
      <c r="V2922">
        <v>0</v>
      </c>
      <c r="W2922">
        <v>0</v>
      </c>
      <c r="X2922">
        <v>1</v>
      </c>
      <c r="Y2922">
        <v>0</v>
      </c>
      <c r="Z2922">
        <v>0</v>
      </c>
      <c r="AB2922">
        <v>0</v>
      </c>
      <c r="AC2922">
        <v>9</v>
      </c>
      <c r="AD2922">
        <v>3</v>
      </c>
      <c r="AE2922">
        <v>0</v>
      </c>
      <c r="AF2922">
        <v>9</v>
      </c>
      <c r="AG2922" t="s">
        <v>158</v>
      </c>
      <c r="AH2922">
        <v>0</v>
      </c>
      <c r="AI2922">
        <v>3</v>
      </c>
      <c r="AJ2922">
        <v>1</v>
      </c>
      <c r="AK2922">
        <v>0</v>
      </c>
      <c r="AL2922" t="s">
        <v>5500</v>
      </c>
      <c r="AM2922">
        <v>46.980994000000003</v>
      </c>
      <c r="AN2922" t="s">
        <v>5501</v>
      </c>
      <c r="AO2922">
        <v>-123.479226</v>
      </c>
      <c r="AP2922">
        <v>100</v>
      </c>
      <c r="AQ2922">
        <v>2100</v>
      </c>
      <c r="AR2922" t="s">
        <v>118</v>
      </c>
      <c r="AS2922">
        <v>-80</v>
      </c>
      <c r="AT2922">
        <v>9</v>
      </c>
      <c r="AU2922">
        <v>64</v>
      </c>
      <c r="BC2922">
        <v>1200</v>
      </c>
      <c r="BD2922">
        <v>1</v>
      </c>
      <c r="BE2922" t="str">
        <f t="shared" si="137"/>
        <v xml:space="preserve">N215T   </v>
      </c>
      <c r="BF2922">
        <v>1</v>
      </c>
      <c r="BH2922">
        <v>0</v>
      </c>
      <c r="BI2922">
        <v>0</v>
      </c>
      <c r="BJ2922">
        <v>0</v>
      </c>
      <c r="BK2922">
        <v>2425</v>
      </c>
      <c r="BL2922">
        <v>325</v>
      </c>
      <c r="BM2922" t="s">
        <v>119</v>
      </c>
      <c r="BN2922">
        <v>1</v>
      </c>
      <c r="BO2922">
        <v>1</v>
      </c>
      <c r="BP2922">
        <v>1</v>
      </c>
      <c r="BQ2922">
        <v>0</v>
      </c>
      <c r="BT2922">
        <v>0</v>
      </c>
      <c r="BU2922">
        <v>0</v>
      </c>
      <c r="BV2922">
        <v>0</v>
      </c>
      <c r="CC2922" t="str">
        <f>"19:23:36.250"</f>
        <v>19:23:36.250</v>
      </c>
      <c r="CD2922" t="str">
        <f>"249733165"</f>
        <v>249733165</v>
      </c>
      <c r="CQ2922">
        <v>0</v>
      </c>
      <c r="CR2922">
        <v>2</v>
      </c>
      <c r="CS2922">
        <v>0</v>
      </c>
      <c r="CT2922">
        <v>2</v>
      </c>
      <c r="CU2922">
        <v>0</v>
      </c>
      <c r="CV2922">
        <v>6</v>
      </c>
      <c r="CW2922" t="s">
        <v>120</v>
      </c>
      <c r="CX2922">
        <v>257</v>
      </c>
      <c r="CY2922">
        <v>0</v>
      </c>
      <c r="CZ2922" t="s">
        <v>615</v>
      </c>
      <c r="DA2922" t="s">
        <v>616</v>
      </c>
      <c r="DD2922">
        <v>16170677</v>
      </c>
      <c r="DE2922" t="s">
        <v>123</v>
      </c>
    </row>
    <row r="2923" spans="1:109" x14ac:dyDescent="0.3">
      <c r="A2923" t="str">
        <f>"19:23:37.391"</f>
        <v>19:23:37.391</v>
      </c>
      <c r="B2923" t="s">
        <v>110</v>
      </c>
      <c r="C2923" t="str">
        <f t="shared" si="135"/>
        <v>ffdfd3c0</v>
      </c>
      <c r="D2923" t="s">
        <v>111</v>
      </c>
      <c r="E2923">
        <v>18</v>
      </c>
      <c r="F2923">
        <v>1018</v>
      </c>
      <c r="G2923" t="s">
        <v>112</v>
      </c>
      <c r="J2923" t="s">
        <v>113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R2923" t="s">
        <v>114</v>
      </c>
      <c r="S2923" t="str">
        <f>"19:23:37.164"</f>
        <v>19:23:37.164</v>
      </c>
      <c r="T2923" t="str">
        <f>"19:23:37.063"</f>
        <v>19:23:37.063</v>
      </c>
      <c r="U2923" t="str">
        <f t="shared" si="136"/>
        <v>a1cdbe</v>
      </c>
      <c r="V2923">
        <v>0</v>
      </c>
      <c r="W2923">
        <v>0</v>
      </c>
      <c r="X2923">
        <v>1</v>
      </c>
      <c r="Y2923">
        <v>0</v>
      </c>
      <c r="Z2923">
        <v>0</v>
      </c>
      <c r="AB2923">
        <v>0</v>
      </c>
      <c r="AC2923">
        <v>9</v>
      </c>
      <c r="AD2923">
        <v>3</v>
      </c>
      <c r="AE2923">
        <v>0</v>
      </c>
      <c r="AF2923">
        <v>9</v>
      </c>
      <c r="AG2923" t="s">
        <v>158</v>
      </c>
      <c r="AH2923">
        <v>0</v>
      </c>
      <c r="AI2923">
        <v>3</v>
      </c>
      <c r="AJ2923">
        <v>1</v>
      </c>
      <c r="AK2923">
        <v>0</v>
      </c>
      <c r="AL2923" t="s">
        <v>927</v>
      </c>
      <c r="AM2923">
        <v>46.981014999999999</v>
      </c>
      <c r="AN2923" t="s">
        <v>5502</v>
      </c>
      <c r="AO2923">
        <v>-123.479741</v>
      </c>
      <c r="AP2923">
        <v>100</v>
      </c>
      <c r="AQ2923">
        <v>2100</v>
      </c>
      <c r="AR2923" t="s">
        <v>118</v>
      </c>
      <c r="AS2923">
        <v>-80</v>
      </c>
      <c r="AT2923">
        <v>9</v>
      </c>
      <c r="AU2923">
        <v>64</v>
      </c>
      <c r="BC2923">
        <v>1200</v>
      </c>
      <c r="BD2923">
        <v>1</v>
      </c>
      <c r="BE2923" t="str">
        <f t="shared" si="137"/>
        <v xml:space="preserve">N215T   </v>
      </c>
      <c r="BF2923">
        <v>1</v>
      </c>
      <c r="BH2923">
        <v>0</v>
      </c>
      <c r="BI2923">
        <v>0</v>
      </c>
      <c r="BJ2923">
        <v>0</v>
      </c>
      <c r="BK2923">
        <v>2425</v>
      </c>
      <c r="BL2923">
        <v>325</v>
      </c>
      <c r="BM2923" t="s">
        <v>119</v>
      </c>
      <c r="BN2923">
        <v>1</v>
      </c>
      <c r="BO2923">
        <v>1</v>
      </c>
      <c r="BP2923">
        <v>1</v>
      </c>
      <c r="BQ2923">
        <v>0</v>
      </c>
      <c r="BT2923">
        <v>0</v>
      </c>
      <c r="BU2923">
        <v>0</v>
      </c>
      <c r="BV2923">
        <v>0</v>
      </c>
      <c r="CC2923" t="str">
        <f>"19:23:37.164"</f>
        <v>19:23:37.164</v>
      </c>
      <c r="CD2923" t="str">
        <f>"164642984"</f>
        <v>164642984</v>
      </c>
      <c r="CQ2923">
        <v>0</v>
      </c>
      <c r="CR2923">
        <v>2</v>
      </c>
      <c r="CS2923">
        <v>0</v>
      </c>
      <c r="CT2923">
        <v>2</v>
      </c>
      <c r="CU2923">
        <v>0</v>
      </c>
      <c r="CV2923">
        <v>6</v>
      </c>
      <c r="CW2923" t="s">
        <v>120</v>
      </c>
      <c r="CX2923">
        <v>257</v>
      </c>
      <c r="CY2923">
        <v>0</v>
      </c>
      <c r="CZ2923" t="s">
        <v>615</v>
      </c>
      <c r="DA2923" t="s">
        <v>616</v>
      </c>
      <c r="DD2923">
        <v>16171220</v>
      </c>
      <c r="DE2923" t="s">
        <v>123</v>
      </c>
    </row>
    <row r="2924" spans="1:109" x14ac:dyDescent="0.3">
      <c r="A2924" t="str">
        <f>"19:23:38.344"</f>
        <v>19:23:38.344</v>
      </c>
      <c r="B2924" t="s">
        <v>110</v>
      </c>
      <c r="C2924" t="str">
        <f t="shared" si="135"/>
        <v>ffdfd3c0</v>
      </c>
      <c r="D2924" t="s">
        <v>111</v>
      </c>
      <c r="E2924">
        <v>18</v>
      </c>
      <c r="F2924">
        <v>1018</v>
      </c>
      <c r="G2924" t="s">
        <v>112</v>
      </c>
      <c r="J2924" t="s">
        <v>113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R2924" t="s">
        <v>114</v>
      </c>
      <c r="S2924" t="str">
        <f>"19:23:38.063"</f>
        <v>19:23:38.063</v>
      </c>
      <c r="T2924" t="str">
        <f>"19:23:37.664"</f>
        <v>19:23:37.664</v>
      </c>
      <c r="U2924" t="str">
        <f t="shared" si="136"/>
        <v>a1cdbe</v>
      </c>
      <c r="V2924">
        <v>0</v>
      </c>
      <c r="W2924">
        <v>0</v>
      </c>
      <c r="X2924">
        <v>1</v>
      </c>
      <c r="Y2924">
        <v>0</v>
      </c>
      <c r="Z2924">
        <v>0</v>
      </c>
      <c r="AB2924">
        <v>0</v>
      </c>
      <c r="AC2924">
        <v>9</v>
      </c>
      <c r="AD2924">
        <v>3</v>
      </c>
      <c r="AE2924">
        <v>0</v>
      </c>
      <c r="AF2924">
        <v>9</v>
      </c>
      <c r="AG2924" t="s">
        <v>158</v>
      </c>
      <c r="AH2924">
        <v>0</v>
      </c>
      <c r="AI2924">
        <v>3</v>
      </c>
      <c r="AJ2924">
        <v>1</v>
      </c>
      <c r="AK2924">
        <v>0</v>
      </c>
      <c r="AL2924" t="s">
        <v>5503</v>
      </c>
      <c r="AM2924">
        <v>46.981057999999997</v>
      </c>
      <c r="AN2924" t="s">
        <v>5504</v>
      </c>
      <c r="AO2924">
        <v>-123.48021300000001</v>
      </c>
      <c r="AP2924">
        <v>100</v>
      </c>
      <c r="AQ2924">
        <v>2100</v>
      </c>
      <c r="AR2924" t="s">
        <v>118</v>
      </c>
      <c r="AS2924">
        <v>-80</v>
      </c>
      <c r="AT2924">
        <v>9</v>
      </c>
      <c r="AU2924">
        <v>128</v>
      </c>
      <c r="BC2924">
        <v>1200</v>
      </c>
      <c r="BD2924">
        <v>1</v>
      </c>
      <c r="BE2924" t="str">
        <f t="shared" si="137"/>
        <v xml:space="preserve">N215T   </v>
      </c>
      <c r="BF2924">
        <v>1</v>
      </c>
      <c r="BH2924">
        <v>0</v>
      </c>
      <c r="BI2924">
        <v>0</v>
      </c>
      <c r="BJ2924">
        <v>0</v>
      </c>
      <c r="BK2924">
        <v>2425</v>
      </c>
      <c r="BL2924">
        <v>325</v>
      </c>
      <c r="BM2924" t="s">
        <v>119</v>
      </c>
      <c r="BN2924">
        <v>1</v>
      </c>
      <c r="BO2924">
        <v>1</v>
      </c>
      <c r="BP2924">
        <v>1</v>
      </c>
      <c r="BQ2924">
        <v>0</v>
      </c>
      <c r="BT2924">
        <v>0</v>
      </c>
      <c r="BU2924">
        <v>0</v>
      </c>
      <c r="BV2924">
        <v>0</v>
      </c>
      <c r="CC2924" t="str">
        <f>"19:23:38.063"</f>
        <v>19:23:38.063</v>
      </c>
      <c r="CD2924" t="str">
        <f>"064554280"</f>
        <v>064554280</v>
      </c>
      <c r="CQ2924">
        <v>0</v>
      </c>
      <c r="CR2924">
        <v>2</v>
      </c>
      <c r="CS2924">
        <v>0</v>
      </c>
      <c r="CT2924">
        <v>2</v>
      </c>
      <c r="CU2924">
        <v>0</v>
      </c>
      <c r="CV2924">
        <v>6</v>
      </c>
      <c r="CW2924" t="s">
        <v>120</v>
      </c>
      <c r="CX2924">
        <v>257</v>
      </c>
      <c r="CY2924">
        <v>0</v>
      </c>
      <c r="CZ2924" t="s">
        <v>615</v>
      </c>
      <c r="DA2924" t="s">
        <v>616</v>
      </c>
      <c r="DD2924">
        <v>16171700</v>
      </c>
      <c r="DE2924" t="s">
        <v>123</v>
      </c>
    </row>
    <row r="2925" spans="1:109" x14ac:dyDescent="0.3">
      <c r="A2925" t="str">
        <f>"19:23:39.250"</f>
        <v>19:23:39.250</v>
      </c>
      <c r="B2925" t="s">
        <v>110</v>
      </c>
      <c r="C2925" t="str">
        <f t="shared" si="135"/>
        <v>ffdfd3c0</v>
      </c>
      <c r="D2925" t="s">
        <v>111</v>
      </c>
      <c r="E2925">
        <v>18</v>
      </c>
      <c r="F2925">
        <v>1018</v>
      </c>
      <c r="G2925" t="s">
        <v>112</v>
      </c>
      <c r="J2925" t="s">
        <v>113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R2925" t="s">
        <v>114</v>
      </c>
      <c r="S2925" t="str">
        <f>"19:23:39.008"</f>
        <v>19:23:39.008</v>
      </c>
      <c r="T2925" t="str">
        <f>"19:23:38.711"</f>
        <v>19:23:38.711</v>
      </c>
      <c r="U2925" t="str">
        <f t="shared" si="136"/>
        <v>a1cdbe</v>
      </c>
      <c r="V2925">
        <v>0</v>
      </c>
      <c r="W2925">
        <v>0</v>
      </c>
      <c r="X2925">
        <v>1</v>
      </c>
      <c r="Y2925">
        <v>0</v>
      </c>
      <c r="Z2925">
        <v>0</v>
      </c>
      <c r="AB2925">
        <v>0</v>
      </c>
      <c r="AC2925">
        <v>9</v>
      </c>
      <c r="AD2925">
        <v>3</v>
      </c>
      <c r="AE2925">
        <v>0</v>
      </c>
      <c r="AF2925">
        <v>9</v>
      </c>
      <c r="AG2925" t="s">
        <v>158</v>
      </c>
      <c r="AH2925">
        <v>0</v>
      </c>
      <c r="AI2925">
        <v>3</v>
      </c>
      <c r="AJ2925">
        <v>1</v>
      </c>
      <c r="AK2925">
        <v>0</v>
      </c>
      <c r="AL2925" t="s">
        <v>5505</v>
      </c>
      <c r="AM2925">
        <v>46.981079999999999</v>
      </c>
      <c r="AN2925" t="s">
        <v>5506</v>
      </c>
      <c r="AO2925">
        <v>-123.48068499999999</v>
      </c>
      <c r="AP2925">
        <v>100</v>
      </c>
      <c r="AQ2925">
        <v>2100</v>
      </c>
      <c r="AR2925" t="s">
        <v>118</v>
      </c>
      <c r="AS2925">
        <v>-80</v>
      </c>
      <c r="AT2925">
        <v>9</v>
      </c>
      <c r="AU2925">
        <v>128</v>
      </c>
      <c r="BC2925">
        <v>1200</v>
      </c>
      <c r="BD2925">
        <v>1</v>
      </c>
      <c r="BE2925" t="str">
        <f t="shared" si="137"/>
        <v xml:space="preserve">N215T   </v>
      </c>
      <c r="BF2925">
        <v>1</v>
      </c>
      <c r="BH2925">
        <v>0</v>
      </c>
      <c r="BI2925">
        <v>0</v>
      </c>
      <c r="BJ2925">
        <v>0</v>
      </c>
      <c r="BK2925">
        <v>2425</v>
      </c>
      <c r="BL2925">
        <v>325</v>
      </c>
      <c r="BM2925" t="s">
        <v>119</v>
      </c>
      <c r="BN2925">
        <v>1</v>
      </c>
      <c r="BO2925">
        <v>1</v>
      </c>
      <c r="BP2925">
        <v>1</v>
      </c>
      <c r="BQ2925">
        <v>0</v>
      </c>
      <c r="BT2925">
        <v>0</v>
      </c>
      <c r="BU2925">
        <v>0</v>
      </c>
      <c r="BV2925">
        <v>0</v>
      </c>
      <c r="CC2925" t="str">
        <f>"19:23:39.008"</f>
        <v>19:23:39.008</v>
      </c>
      <c r="CD2925" t="str">
        <f>"009461135"</f>
        <v>009461135</v>
      </c>
      <c r="CQ2925">
        <v>0</v>
      </c>
      <c r="CR2925">
        <v>2</v>
      </c>
      <c r="CS2925">
        <v>0</v>
      </c>
      <c r="CT2925">
        <v>2</v>
      </c>
      <c r="CU2925">
        <v>0</v>
      </c>
      <c r="CV2925">
        <v>6</v>
      </c>
      <c r="CW2925" t="s">
        <v>120</v>
      </c>
      <c r="CX2925">
        <v>257</v>
      </c>
      <c r="CY2925">
        <v>0</v>
      </c>
      <c r="CZ2925" t="s">
        <v>615</v>
      </c>
      <c r="DA2925" t="s">
        <v>616</v>
      </c>
      <c r="DD2925">
        <v>16172202</v>
      </c>
      <c r="DE2925" t="s">
        <v>123</v>
      </c>
    </row>
    <row r="2926" spans="1:109" x14ac:dyDescent="0.3">
      <c r="A2926" t="str">
        <f>"19:23:40.250"</f>
        <v>19:23:40.250</v>
      </c>
      <c r="B2926" t="s">
        <v>110</v>
      </c>
      <c r="C2926" t="str">
        <f t="shared" si="135"/>
        <v>ffdfd3c0</v>
      </c>
      <c r="D2926" t="s">
        <v>111</v>
      </c>
      <c r="E2926">
        <v>18</v>
      </c>
      <c r="F2926">
        <v>1018</v>
      </c>
      <c r="G2926" t="s">
        <v>112</v>
      </c>
      <c r="J2926" t="s">
        <v>113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R2926" t="s">
        <v>114</v>
      </c>
      <c r="S2926" t="str">
        <f>"19:23:40.008"</f>
        <v>19:23:40.008</v>
      </c>
      <c r="T2926" t="str">
        <f>"19:23:39.211"</f>
        <v>19:23:39.211</v>
      </c>
      <c r="U2926" t="str">
        <f t="shared" si="136"/>
        <v>a1cdbe</v>
      </c>
      <c r="V2926">
        <v>0</v>
      </c>
      <c r="W2926">
        <v>0</v>
      </c>
      <c r="X2926">
        <v>1</v>
      </c>
      <c r="Y2926">
        <v>0</v>
      </c>
      <c r="Z2926">
        <v>0</v>
      </c>
      <c r="AB2926">
        <v>0</v>
      </c>
      <c r="AC2926">
        <v>9</v>
      </c>
      <c r="AD2926">
        <v>3</v>
      </c>
      <c r="AE2926">
        <v>0</v>
      </c>
      <c r="AF2926">
        <v>9</v>
      </c>
      <c r="AG2926" t="s">
        <v>158</v>
      </c>
      <c r="AH2926">
        <v>0</v>
      </c>
      <c r="AI2926">
        <v>3</v>
      </c>
      <c r="AJ2926">
        <v>1</v>
      </c>
      <c r="AK2926">
        <v>0</v>
      </c>
      <c r="AL2926" t="s">
        <v>5507</v>
      </c>
      <c r="AM2926">
        <v>46.981164999999997</v>
      </c>
      <c r="AN2926" t="s">
        <v>5508</v>
      </c>
      <c r="AO2926">
        <v>-123.48124300000001</v>
      </c>
      <c r="AP2926">
        <v>100</v>
      </c>
      <c r="AQ2926">
        <v>2100</v>
      </c>
      <c r="AR2926" t="s">
        <v>118</v>
      </c>
      <c r="AS2926">
        <v>-80</v>
      </c>
      <c r="AT2926">
        <v>9</v>
      </c>
      <c r="AU2926">
        <v>128</v>
      </c>
      <c r="BC2926">
        <v>1200</v>
      </c>
      <c r="BD2926">
        <v>1</v>
      </c>
      <c r="BE2926" t="str">
        <f t="shared" si="137"/>
        <v xml:space="preserve">N215T   </v>
      </c>
      <c r="BF2926">
        <v>1</v>
      </c>
      <c r="BH2926">
        <v>0</v>
      </c>
      <c r="BI2926">
        <v>0</v>
      </c>
      <c r="BJ2926">
        <v>0</v>
      </c>
      <c r="BK2926">
        <v>2450</v>
      </c>
      <c r="BL2926">
        <v>350</v>
      </c>
      <c r="BM2926" t="s">
        <v>119</v>
      </c>
      <c r="BN2926">
        <v>1</v>
      </c>
      <c r="BO2926">
        <v>1</v>
      </c>
      <c r="BP2926">
        <v>1</v>
      </c>
      <c r="BQ2926">
        <v>0</v>
      </c>
      <c r="BT2926">
        <v>0</v>
      </c>
      <c r="BU2926">
        <v>0</v>
      </c>
      <c r="BV2926">
        <v>0</v>
      </c>
      <c r="CC2926" t="str">
        <f>"19:23:40.016"</f>
        <v>19:23:40.016</v>
      </c>
      <c r="CD2926" t="str">
        <f>"014362087"</f>
        <v>014362087</v>
      </c>
      <c r="CQ2926">
        <v>0</v>
      </c>
      <c r="CR2926">
        <v>2</v>
      </c>
      <c r="CS2926">
        <v>0</v>
      </c>
      <c r="CT2926">
        <v>2</v>
      </c>
      <c r="CU2926">
        <v>0</v>
      </c>
      <c r="CV2926">
        <v>7</v>
      </c>
      <c r="CW2926" t="s">
        <v>120</v>
      </c>
      <c r="CX2926">
        <v>257</v>
      </c>
      <c r="CY2926">
        <v>0</v>
      </c>
      <c r="CZ2926" t="s">
        <v>615</v>
      </c>
      <c r="DA2926" t="s">
        <v>616</v>
      </c>
      <c r="DD2926">
        <v>16172708</v>
      </c>
      <c r="DE2926" t="s">
        <v>123</v>
      </c>
    </row>
    <row r="2927" spans="1:109" x14ac:dyDescent="0.3">
      <c r="A2927" t="str">
        <f>"19:23:41.258"</f>
        <v>19:23:41.258</v>
      </c>
      <c r="B2927" t="s">
        <v>110</v>
      </c>
      <c r="C2927" t="str">
        <f t="shared" si="135"/>
        <v>ffdfd3c0</v>
      </c>
      <c r="D2927" t="s">
        <v>111</v>
      </c>
      <c r="E2927">
        <v>18</v>
      </c>
      <c r="F2927">
        <v>1018</v>
      </c>
      <c r="G2927" t="s">
        <v>112</v>
      </c>
      <c r="J2927" t="s">
        <v>113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R2927" t="s">
        <v>114</v>
      </c>
      <c r="S2927" t="str">
        <f>"19:23:41.063"</f>
        <v>19:23:41.063</v>
      </c>
      <c r="T2927" t="str">
        <f>"19:23:41.063"</f>
        <v>19:23:41.063</v>
      </c>
      <c r="U2927" t="str">
        <f t="shared" si="136"/>
        <v>a1cdbe</v>
      </c>
      <c r="V2927">
        <v>0</v>
      </c>
      <c r="W2927">
        <v>0</v>
      </c>
      <c r="X2927">
        <v>1</v>
      </c>
      <c r="Y2927">
        <v>0</v>
      </c>
      <c r="Z2927">
        <v>0</v>
      </c>
      <c r="AB2927">
        <v>0</v>
      </c>
      <c r="AC2927">
        <v>9</v>
      </c>
      <c r="AD2927">
        <v>3</v>
      </c>
      <c r="AE2927">
        <v>0</v>
      </c>
      <c r="AF2927">
        <v>9</v>
      </c>
      <c r="AG2927" t="s">
        <v>158</v>
      </c>
      <c r="AH2927">
        <v>0</v>
      </c>
      <c r="AI2927">
        <v>3</v>
      </c>
      <c r="AJ2927">
        <v>1</v>
      </c>
      <c r="AK2927">
        <v>0</v>
      </c>
      <c r="AL2927" t="s">
        <v>5507</v>
      </c>
      <c r="AM2927">
        <v>46.981164999999997</v>
      </c>
      <c r="AN2927" t="s">
        <v>5509</v>
      </c>
      <c r="AO2927">
        <v>-123.48182199999999</v>
      </c>
      <c r="AP2927">
        <v>100</v>
      </c>
      <c r="AQ2927">
        <v>2100</v>
      </c>
      <c r="AR2927" t="s">
        <v>118</v>
      </c>
      <c r="AS2927">
        <v>-79</v>
      </c>
      <c r="AT2927">
        <v>9</v>
      </c>
      <c r="AU2927">
        <v>128</v>
      </c>
      <c r="BC2927">
        <v>1200</v>
      </c>
      <c r="BD2927">
        <v>1</v>
      </c>
      <c r="BE2927" t="str">
        <f t="shared" si="137"/>
        <v xml:space="preserve">N215T   </v>
      </c>
      <c r="BF2927">
        <v>1</v>
      </c>
      <c r="BH2927">
        <v>0</v>
      </c>
      <c r="BI2927">
        <v>0</v>
      </c>
      <c r="BJ2927">
        <v>0</v>
      </c>
      <c r="BK2927">
        <v>2450</v>
      </c>
      <c r="BL2927">
        <v>350</v>
      </c>
      <c r="BM2927" t="s">
        <v>119</v>
      </c>
      <c r="BN2927">
        <v>1</v>
      </c>
      <c r="BO2927">
        <v>1</v>
      </c>
      <c r="BP2927">
        <v>1</v>
      </c>
      <c r="BQ2927">
        <v>0</v>
      </c>
      <c r="BT2927">
        <v>0</v>
      </c>
      <c r="BU2927">
        <v>0</v>
      </c>
      <c r="BV2927">
        <v>0</v>
      </c>
      <c r="CC2927" t="str">
        <f>"19:23:41.063"</f>
        <v>19:23:41.063</v>
      </c>
      <c r="CD2927" t="str">
        <f>"064258601"</f>
        <v>064258601</v>
      </c>
      <c r="CQ2927">
        <v>0</v>
      </c>
      <c r="CR2927">
        <v>2</v>
      </c>
      <c r="CS2927">
        <v>0</v>
      </c>
      <c r="CT2927">
        <v>2</v>
      </c>
      <c r="CU2927">
        <v>0</v>
      </c>
      <c r="CV2927">
        <v>6</v>
      </c>
      <c r="CW2927" t="s">
        <v>120</v>
      </c>
      <c r="CX2927">
        <v>257</v>
      </c>
      <c r="CY2927">
        <v>0</v>
      </c>
      <c r="CZ2927" t="s">
        <v>615</v>
      </c>
      <c r="DA2927" t="s">
        <v>616</v>
      </c>
      <c r="DD2927">
        <v>16173282</v>
      </c>
      <c r="DE2927" t="s">
        <v>123</v>
      </c>
    </row>
    <row r="2928" spans="1:109" x14ac:dyDescent="0.3">
      <c r="A2928" t="str">
        <f>"19:23:42.266"</f>
        <v>19:23:42.266</v>
      </c>
      <c r="B2928" t="s">
        <v>110</v>
      </c>
      <c r="C2928" t="str">
        <f t="shared" si="135"/>
        <v>ffdfd3c0</v>
      </c>
      <c r="D2928" t="s">
        <v>111</v>
      </c>
      <c r="E2928">
        <v>18</v>
      </c>
      <c r="F2928">
        <v>1018</v>
      </c>
      <c r="G2928" t="s">
        <v>112</v>
      </c>
      <c r="J2928" t="s">
        <v>113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R2928" t="s">
        <v>114</v>
      </c>
      <c r="S2928" t="str">
        <f>"19:23:42.039"</f>
        <v>19:23:42.039</v>
      </c>
      <c r="T2928" t="str">
        <f>"19:23:42.039"</f>
        <v>19:23:42.039</v>
      </c>
      <c r="U2928" t="str">
        <f t="shared" si="136"/>
        <v>a1cdbe</v>
      </c>
      <c r="V2928">
        <v>0</v>
      </c>
      <c r="W2928">
        <v>0</v>
      </c>
      <c r="X2928">
        <v>1</v>
      </c>
      <c r="Y2928">
        <v>0</v>
      </c>
      <c r="Z2928">
        <v>0</v>
      </c>
      <c r="AB2928">
        <v>0</v>
      </c>
      <c r="AC2928">
        <v>9</v>
      </c>
      <c r="AD2928">
        <v>3</v>
      </c>
      <c r="AE2928">
        <v>0</v>
      </c>
      <c r="AF2928">
        <v>9</v>
      </c>
      <c r="AG2928" t="s">
        <v>158</v>
      </c>
      <c r="AH2928">
        <v>0</v>
      </c>
      <c r="AI2928">
        <v>3</v>
      </c>
      <c r="AJ2928">
        <v>1</v>
      </c>
      <c r="AK2928">
        <v>0</v>
      </c>
      <c r="AL2928" t="s">
        <v>5510</v>
      </c>
      <c r="AM2928">
        <v>46.981251</v>
      </c>
      <c r="AN2928" t="s">
        <v>5511</v>
      </c>
      <c r="AO2928">
        <v>-123.482337</v>
      </c>
      <c r="AP2928">
        <v>100</v>
      </c>
      <c r="AQ2928">
        <v>2100</v>
      </c>
      <c r="AR2928" t="s">
        <v>118</v>
      </c>
      <c r="AS2928">
        <v>-79</v>
      </c>
      <c r="AT2928">
        <v>9</v>
      </c>
      <c r="AU2928">
        <v>64</v>
      </c>
      <c r="BC2928">
        <v>1200</v>
      </c>
      <c r="BD2928">
        <v>1</v>
      </c>
      <c r="BE2928" t="str">
        <f t="shared" si="137"/>
        <v xml:space="preserve">N215T   </v>
      </c>
      <c r="BF2928">
        <v>1</v>
      </c>
      <c r="BH2928">
        <v>0</v>
      </c>
      <c r="BI2928">
        <v>0</v>
      </c>
      <c r="BJ2928">
        <v>0</v>
      </c>
      <c r="BK2928">
        <v>2450</v>
      </c>
      <c r="BL2928">
        <v>350</v>
      </c>
      <c r="BM2928" t="s">
        <v>119</v>
      </c>
      <c r="BN2928">
        <v>1</v>
      </c>
      <c r="BO2928">
        <v>1</v>
      </c>
      <c r="BP2928">
        <v>1</v>
      </c>
      <c r="BQ2928">
        <v>0</v>
      </c>
      <c r="BT2928">
        <v>0</v>
      </c>
      <c r="BU2928">
        <v>0</v>
      </c>
      <c r="BV2928">
        <v>0</v>
      </c>
      <c r="CC2928" t="str">
        <f>"19:23:42.039"</f>
        <v>19:23:42.039</v>
      </c>
      <c r="CD2928" t="str">
        <f>"039162501"</f>
        <v>039162501</v>
      </c>
      <c r="CQ2928">
        <v>0</v>
      </c>
      <c r="CR2928">
        <v>2</v>
      </c>
      <c r="CS2928">
        <v>0</v>
      </c>
      <c r="CT2928">
        <v>2</v>
      </c>
      <c r="CU2928">
        <v>0</v>
      </c>
      <c r="CV2928">
        <v>6</v>
      </c>
      <c r="CW2928" t="s">
        <v>120</v>
      </c>
      <c r="CX2928">
        <v>257</v>
      </c>
      <c r="CY2928">
        <v>0</v>
      </c>
      <c r="CZ2928" t="s">
        <v>615</v>
      </c>
      <c r="DA2928" t="s">
        <v>616</v>
      </c>
      <c r="DD2928">
        <v>16173866</v>
      </c>
      <c r="DE2928" t="s">
        <v>123</v>
      </c>
    </row>
    <row r="2929" spans="1:109" x14ac:dyDescent="0.3">
      <c r="A2929" t="str">
        <f>"19:23:43.320"</f>
        <v>19:23:43.320</v>
      </c>
      <c r="B2929" t="s">
        <v>110</v>
      </c>
      <c r="C2929" t="str">
        <f t="shared" si="135"/>
        <v>ffdfd3c0</v>
      </c>
      <c r="D2929" t="s">
        <v>111</v>
      </c>
      <c r="E2929">
        <v>18</v>
      </c>
      <c r="F2929">
        <v>1018</v>
      </c>
      <c r="G2929" t="s">
        <v>112</v>
      </c>
      <c r="J2929" t="s">
        <v>113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R2929" t="s">
        <v>114</v>
      </c>
      <c r="S2929" t="str">
        <f>"19:23:43.086"</f>
        <v>19:23:43.086</v>
      </c>
      <c r="T2929" t="str">
        <f>"19:23:43.086"</f>
        <v>19:23:43.086</v>
      </c>
      <c r="U2929" t="str">
        <f t="shared" si="136"/>
        <v>a1cdbe</v>
      </c>
      <c r="V2929">
        <v>0</v>
      </c>
      <c r="W2929">
        <v>0</v>
      </c>
      <c r="X2929">
        <v>1</v>
      </c>
      <c r="Y2929">
        <v>0</v>
      </c>
      <c r="Z2929">
        <v>0</v>
      </c>
      <c r="AB2929">
        <v>0</v>
      </c>
      <c r="AC2929">
        <v>9</v>
      </c>
      <c r="AD2929">
        <v>3</v>
      </c>
      <c r="AE2929">
        <v>0</v>
      </c>
      <c r="AF2929">
        <v>9</v>
      </c>
      <c r="AG2929" t="s">
        <v>158</v>
      </c>
      <c r="AH2929">
        <v>0</v>
      </c>
      <c r="AI2929">
        <v>3</v>
      </c>
      <c r="AJ2929">
        <v>1</v>
      </c>
      <c r="AK2929">
        <v>0</v>
      </c>
      <c r="AL2929" t="s">
        <v>5512</v>
      </c>
      <c r="AM2929">
        <v>46.981273000000002</v>
      </c>
      <c r="AN2929" t="s">
        <v>5513</v>
      </c>
      <c r="AO2929">
        <v>-123.482873</v>
      </c>
      <c r="AP2929">
        <v>100</v>
      </c>
      <c r="AQ2929">
        <v>2100</v>
      </c>
      <c r="AR2929" t="s">
        <v>118</v>
      </c>
      <c r="AS2929">
        <v>-79</v>
      </c>
      <c r="AT2929">
        <v>9</v>
      </c>
      <c r="AU2929">
        <v>64</v>
      </c>
      <c r="BC2929">
        <v>1200</v>
      </c>
      <c r="BD2929">
        <v>1</v>
      </c>
      <c r="BE2929" t="str">
        <f t="shared" si="137"/>
        <v xml:space="preserve">N215T   </v>
      </c>
      <c r="BF2929">
        <v>1</v>
      </c>
      <c r="BH2929">
        <v>0</v>
      </c>
      <c r="BI2929">
        <v>0</v>
      </c>
      <c r="BJ2929">
        <v>0</v>
      </c>
      <c r="BK2929">
        <v>2450</v>
      </c>
      <c r="BL2929">
        <v>350</v>
      </c>
      <c r="BM2929" t="s">
        <v>119</v>
      </c>
      <c r="BN2929">
        <v>1</v>
      </c>
      <c r="BO2929">
        <v>1</v>
      </c>
      <c r="BP2929">
        <v>1</v>
      </c>
      <c r="BQ2929">
        <v>0</v>
      </c>
      <c r="BT2929">
        <v>0</v>
      </c>
      <c r="BU2929">
        <v>0</v>
      </c>
      <c r="BV2929">
        <v>0</v>
      </c>
      <c r="CC2929" t="str">
        <f>"19:23:43.086"</f>
        <v>19:23:43.086</v>
      </c>
      <c r="CD2929" t="str">
        <f>"089059015"</f>
        <v>089059015</v>
      </c>
      <c r="CQ2929">
        <v>0</v>
      </c>
      <c r="CR2929">
        <v>2</v>
      </c>
      <c r="CS2929">
        <v>0</v>
      </c>
      <c r="CT2929">
        <v>2</v>
      </c>
      <c r="CU2929">
        <v>0</v>
      </c>
      <c r="CV2929">
        <v>6</v>
      </c>
      <c r="CW2929" t="s">
        <v>120</v>
      </c>
      <c r="CX2929">
        <v>257</v>
      </c>
      <c r="CY2929">
        <v>0</v>
      </c>
      <c r="CZ2929" t="s">
        <v>615</v>
      </c>
      <c r="DA2929" t="s">
        <v>616</v>
      </c>
      <c r="DD2929">
        <v>16174408</v>
      </c>
      <c r="DE2929" t="s">
        <v>123</v>
      </c>
    </row>
    <row r="2930" spans="1:109" x14ac:dyDescent="0.3">
      <c r="A2930" t="str">
        <f>"19:23:44.375"</f>
        <v>19:23:44.375</v>
      </c>
      <c r="B2930" t="s">
        <v>110</v>
      </c>
      <c r="C2930" t="str">
        <f t="shared" si="135"/>
        <v>ffdfd3c0</v>
      </c>
      <c r="D2930" t="s">
        <v>111</v>
      </c>
      <c r="E2930">
        <v>18</v>
      </c>
      <c r="F2930">
        <v>1018</v>
      </c>
      <c r="G2930" t="s">
        <v>112</v>
      </c>
      <c r="J2930" t="s">
        <v>113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R2930" t="s">
        <v>114</v>
      </c>
      <c r="S2930" t="str">
        <f>"19:23:44.148"</f>
        <v>19:23:44.148</v>
      </c>
      <c r="T2930" t="str">
        <f>"19:23:44.148"</f>
        <v>19:23:44.148</v>
      </c>
      <c r="U2930" t="str">
        <f t="shared" si="136"/>
        <v>a1cdbe</v>
      </c>
      <c r="V2930">
        <v>0</v>
      </c>
      <c r="W2930">
        <v>0</v>
      </c>
      <c r="X2930">
        <v>1</v>
      </c>
      <c r="Y2930">
        <v>0</v>
      </c>
      <c r="Z2930">
        <v>0</v>
      </c>
      <c r="AB2930">
        <v>0</v>
      </c>
      <c r="AC2930">
        <v>9</v>
      </c>
      <c r="AD2930">
        <v>3</v>
      </c>
      <c r="AE2930">
        <v>0</v>
      </c>
      <c r="AF2930">
        <v>9</v>
      </c>
      <c r="AG2930" t="s">
        <v>158</v>
      </c>
      <c r="AH2930">
        <v>0</v>
      </c>
      <c r="AI2930">
        <v>3</v>
      </c>
      <c r="AJ2930">
        <v>1</v>
      </c>
      <c r="AK2930">
        <v>0</v>
      </c>
      <c r="AL2930" t="s">
        <v>5514</v>
      </c>
      <c r="AM2930">
        <v>46.981293999999998</v>
      </c>
      <c r="AN2930" t="s">
        <v>5515</v>
      </c>
      <c r="AO2930">
        <v>-123.483453</v>
      </c>
      <c r="AP2930">
        <v>100</v>
      </c>
      <c r="AQ2930">
        <v>2100</v>
      </c>
      <c r="AR2930" t="s">
        <v>118</v>
      </c>
      <c r="AS2930">
        <v>-79</v>
      </c>
      <c r="AT2930">
        <v>9</v>
      </c>
      <c r="AU2930">
        <v>64</v>
      </c>
      <c r="BC2930">
        <v>1200</v>
      </c>
      <c r="BD2930">
        <v>1</v>
      </c>
      <c r="BE2930" t="str">
        <f t="shared" si="137"/>
        <v xml:space="preserve">N215T   </v>
      </c>
      <c r="BF2930">
        <v>1</v>
      </c>
      <c r="BH2930">
        <v>0</v>
      </c>
      <c r="BI2930">
        <v>0</v>
      </c>
      <c r="BJ2930">
        <v>0</v>
      </c>
      <c r="BK2930">
        <v>2450</v>
      </c>
      <c r="BL2930">
        <v>350</v>
      </c>
      <c r="BM2930" t="s">
        <v>119</v>
      </c>
      <c r="BN2930">
        <v>1</v>
      </c>
      <c r="BO2930">
        <v>1</v>
      </c>
      <c r="BP2930">
        <v>1</v>
      </c>
      <c r="BQ2930">
        <v>0</v>
      </c>
      <c r="BT2930">
        <v>0</v>
      </c>
      <c r="BU2930">
        <v>0</v>
      </c>
      <c r="BV2930">
        <v>0</v>
      </c>
      <c r="CC2930" t="str">
        <f>"19:23:44.156"</f>
        <v>19:23:44.156</v>
      </c>
      <c r="CD2930" t="str">
        <f>"153954050"</f>
        <v>153954050</v>
      </c>
      <c r="CQ2930">
        <v>0</v>
      </c>
      <c r="CR2930">
        <v>2</v>
      </c>
      <c r="CS2930">
        <v>0</v>
      </c>
      <c r="CT2930">
        <v>2</v>
      </c>
      <c r="CU2930">
        <v>0</v>
      </c>
      <c r="CV2930">
        <v>6</v>
      </c>
      <c r="CW2930" t="s">
        <v>120</v>
      </c>
      <c r="CX2930">
        <v>257</v>
      </c>
      <c r="CY2930">
        <v>0</v>
      </c>
      <c r="CZ2930" t="s">
        <v>615</v>
      </c>
      <c r="DA2930" t="s">
        <v>616</v>
      </c>
      <c r="DD2930">
        <v>16174966</v>
      </c>
      <c r="DE2930" t="s">
        <v>123</v>
      </c>
    </row>
    <row r="2931" spans="1:109" x14ac:dyDescent="0.3">
      <c r="A2931" t="str">
        <f>"19:23:45.383"</f>
        <v>19:23:45.383</v>
      </c>
      <c r="B2931" t="s">
        <v>110</v>
      </c>
      <c r="C2931" t="str">
        <f t="shared" si="135"/>
        <v>ffdfd3c0</v>
      </c>
      <c r="D2931" t="s">
        <v>111</v>
      </c>
      <c r="E2931">
        <v>18</v>
      </c>
      <c r="F2931">
        <v>1018</v>
      </c>
      <c r="G2931" t="s">
        <v>112</v>
      </c>
      <c r="J2931" t="s">
        <v>113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R2931" t="s">
        <v>114</v>
      </c>
      <c r="S2931" t="str">
        <f>"19:23:45.109"</f>
        <v>19:23:45.109</v>
      </c>
      <c r="T2931" t="str">
        <f>"19:23:44.711"</f>
        <v>19:23:44.711</v>
      </c>
      <c r="U2931" t="str">
        <f t="shared" si="136"/>
        <v>a1cdbe</v>
      </c>
      <c r="V2931">
        <v>0</v>
      </c>
      <c r="W2931">
        <v>0</v>
      </c>
      <c r="X2931">
        <v>1</v>
      </c>
      <c r="Y2931">
        <v>0</v>
      </c>
      <c r="Z2931">
        <v>0</v>
      </c>
      <c r="AB2931">
        <v>0</v>
      </c>
      <c r="AC2931">
        <v>9</v>
      </c>
      <c r="AD2931">
        <v>3</v>
      </c>
      <c r="AE2931">
        <v>0</v>
      </c>
      <c r="AF2931">
        <v>9</v>
      </c>
      <c r="AG2931" t="s">
        <v>158</v>
      </c>
      <c r="AH2931">
        <v>0</v>
      </c>
      <c r="AI2931">
        <v>3</v>
      </c>
      <c r="AJ2931">
        <v>1</v>
      </c>
      <c r="AK2931">
        <v>0</v>
      </c>
      <c r="AL2931" t="s">
        <v>5516</v>
      </c>
      <c r="AM2931">
        <v>46.981358999999998</v>
      </c>
      <c r="AN2931" t="s">
        <v>5517</v>
      </c>
      <c r="AO2931">
        <v>-123.484011</v>
      </c>
      <c r="AP2931">
        <v>100</v>
      </c>
      <c r="AQ2931">
        <v>2100</v>
      </c>
      <c r="AR2931" t="s">
        <v>118</v>
      </c>
      <c r="AS2931">
        <v>-80</v>
      </c>
      <c r="AT2931">
        <v>9</v>
      </c>
      <c r="AU2931">
        <v>64</v>
      </c>
      <c r="BC2931">
        <v>1200</v>
      </c>
      <c r="BD2931">
        <v>1</v>
      </c>
      <c r="BE2931" t="str">
        <f t="shared" si="137"/>
        <v xml:space="preserve">N215T   </v>
      </c>
      <c r="BF2931">
        <v>1</v>
      </c>
      <c r="BH2931">
        <v>0</v>
      </c>
      <c r="BI2931">
        <v>0</v>
      </c>
      <c r="BJ2931">
        <v>0</v>
      </c>
      <c r="BK2931">
        <v>2450</v>
      </c>
      <c r="BL2931">
        <v>350</v>
      </c>
      <c r="BM2931" t="s">
        <v>119</v>
      </c>
      <c r="BN2931">
        <v>1</v>
      </c>
      <c r="BO2931">
        <v>1</v>
      </c>
      <c r="BP2931">
        <v>1</v>
      </c>
      <c r="BQ2931">
        <v>0</v>
      </c>
      <c r="BT2931">
        <v>0</v>
      </c>
      <c r="BU2931">
        <v>0</v>
      </c>
      <c r="BV2931">
        <v>0</v>
      </c>
      <c r="CC2931" t="str">
        <f>"19:23:45.117"</f>
        <v>19:23:45.117</v>
      </c>
      <c r="CD2931" t="str">
        <f>"113859431"</f>
        <v>113859431</v>
      </c>
      <c r="CQ2931">
        <v>0</v>
      </c>
      <c r="CR2931">
        <v>2</v>
      </c>
      <c r="CS2931">
        <v>0</v>
      </c>
      <c r="CT2931">
        <v>2</v>
      </c>
      <c r="CU2931">
        <v>0</v>
      </c>
      <c r="CV2931">
        <v>6</v>
      </c>
      <c r="CW2931" t="s">
        <v>120</v>
      </c>
      <c r="CX2931">
        <v>257</v>
      </c>
      <c r="CY2931">
        <v>0</v>
      </c>
      <c r="CZ2931" t="s">
        <v>615</v>
      </c>
      <c r="DA2931" t="s">
        <v>616</v>
      </c>
      <c r="DD2931">
        <v>16175462</v>
      </c>
      <c r="DE2931" t="s">
        <v>123</v>
      </c>
    </row>
    <row r="2932" spans="1:109" x14ac:dyDescent="0.3">
      <c r="A2932" t="str">
        <f>"19:23:46.438"</f>
        <v>19:23:46.438</v>
      </c>
      <c r="B2932" t="s">
        <v>110</v>
      </c>
      <c r="C2932" t="str">
        <f t="shared" si="135"/>
        <v>ffdfd3c0</v>
      </c>
      <c r="D2932" t="s">
        <v>111</v>
      </c>
      <c r="E2932">
        <v>18</v>
      </c>
      <c r="F2932">
        <v>1018</v>
      </c>
      <c r="G2932" t="s">
        <v>112</v>
      </c>
      <c r="J2932" t="s">
        <v>113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R2932" t="s">
        <v>114</v>
      </c>
      <c r="S2932" t="str">
        <f>"19:23:46.203"</f>
        <v>19:23:46.203</v>
      </c>
      <c r="T2932" t="str">
        <f>"19:23:46.102"</f>
        <v>19:23:46.102</v>
      </c>
      <c r="U2932" t="str">
        <f t="shared" si="136"/>
        <v>a1cdbe</v>
      </c>
      <c r="V2932">
        <v>0</v>
      </c>
      <c r="W2932">
        <v>0</v>
      </c>
      <c r="X2932">
        <v>1</v>
      </c>
      <c r="Y2932">
        <v>0</v>
      </c>
      <c r="Z2932">
        <v>0</v>
      </c>
      <c r="AB2932">
        <v>0</v>
      </c>
      <c r="AC2932">
        <v>9</v>
      </c>
      <c r="AD2932">
        <v>3</v>
      </c>
      <c r="AE2932">
        <v>0</v>
      </c>
      <c r="AF2932">
        <v>9</v>
      </c>
      <c r="AG2932" t="s">
        <v>158</v>
      </c>
      <c r="AH2932">
        <v>0</v>
      </c>
      <c r="AI2932">
        <v>3</v>
      </c>
      <c r="AJ2932">
        <v>1</v>
      </c>
      <c r="AK2932">
        <v>0</v>
      </c>
      <c r="AL2932" t="s">
        <v>925</v>
      </c>
      <c r="AM2932">
        <v>46.981400999999998</v>
      </c>
      <c r="AN2932" t="s">
        <v>5518</v>
      </c>
      <c r="AO2932">
        <v>-123.48456899999999</v>
      </c>
      <c r="AP2932">
        <v>100</v>
      </c>
      <c r="AQ2932">
        <v>2100</v>
      </c>
      <c r="AR2932" t="s">
        <v>118</v>
      </c>
      <c r="AS2932">
        <v>-80</v>
      </c>
      <c r="AT2932">
        <v>8</v>
      </c>
      <c r="AU2932">
        <v>0</v>
      </c>
      <c r="BC2932">
        <v>1200</v>
      </c>
      <c r="BD2932">
        <v>1</v>
      </c>
      <c r="BE2932" t="str">
        <f t="shared" si="137"/>
        <v xml:space="preserve">N215T   </v>
      </c>
      <c r="BF2932">
        <v>1</v>
      </c>
      <c r="BH2932">
        <v>0</v>
      </c>
      <c r="BI2932">
        <v>0</v>
      </c>
      <c r="BJ2932">
        <v>0</v>
      </c>
      <c r="BK2932">
        <v>2450</v>
      </c>
      <c r="BL2932">
        <v>350</v>
      </c>
      <c r="BM2932" t="s">
        <v>119</v>
      </c>
      <c r="BN2932">
        <v>1</v>
      </c>
      <c r="BO2932">
        <v>1</v>
      </c>
      <c r="BP2932">
        <v>1</v>
      </c>
      <c r="BQ2932">
        <v>0</v>
      </c>
      <c r="BT2932">
        <v>0</v>
      </c>
      <c r="BU2932">
        <v>0</v>
      </c>
      <c r="BV2932">
        <v>0</v>
      </c>
      <c r="CC2932" t="str">
        <f>"19:23:46.211"</f>
        <v>19:23:46.211</v>
      </c>
      <c r="CD2932" t="str">
        <f>"208751499"</f>
        <v>208751499</v>
      </c>
      <c r="CQ2932">
        <v>0</v>
      </c>
      <c r="CR2932">
        <v>2</v>
      </c>
      <c r="CS2932">
        <v>0</v>
      </c>
      <c r="CT2932">
        <v>2</v>
      </c>
      <c r="CU2932">
        <v>0</v>
      </c>
      <c r="CV2932">
        <v>6</v>
      </c>
      <c r="CW2932" t="s">
        <v>120</v>
      </c>
      <c r="CX2932">
        <v>257</v>
      </c>
      <c r="CY2932">
        <v>0</v>
      </c>
      <c r="CZ2932" t="s">
        <v>615</v>
      </c>
      <c r="DA2932" t="s">
        <v>616</v>
      </c>
      <c r="DD2932">
        <v>16176064</v>
      </c>
      <c r="DE2932" t="s">
        <v>123</v>
      </c>
    </row>
    <row r="2933" spans="1:109" x14ac:dyDescent="0.3">
      <c r="A2933" t="str">
        <f>"19:23:47.344"</f>
        <v>19:23:47.344</v>
      </c>
      <c r="B2933" t="s">
        <v>110</v>
      </c>
      <c r="C2933" t="str">
        <f t="shared" si="135"/>
        <v>ffdfd3c0</v>
      </c>
      <c r="D2933" t="s">
        <v>111</v>
      </c>
      <c r="E2933">
        <v>18</v>
      </c>
      <c r="F2933">
        <v>1018</v>
      </c>
      <c r="G2933" t="s">
        <v>112</v>
      </c>
      <c r="J2933" t="s">
        <v>113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R2933" t="s">
        <v>114</v>
      </c>
      <c r="S2933" t="str">
        <f>"19:23:47.133"</f>
        <v>19:23:47.133</v>
      </c>
      <c r="T2933" t="str">
        <f>"19:23:47.031"</f>
        <v>19:23:47.031</v>
      </c>
      <c r="U2933" t="str">
        <f t="shared" si="136"/>
        <v>a1cdbe</v>
      </c>
      <c r="V2933">
        <v>0</v>
      </c>
      <c r="W2933">
        <v>0</v>
      </c>
      <c r="X2933">
        <v>1</v>
      </c>
      <c r="Y2933">
        <v>0</v>
      </c>
      <c r="Z2933">
        <v>0</v>
      </c>
      <c r="AB2933">
        <v>0</v>
      </c>
      <c r="AC2933">
        <v>9</v>
      </c>
      <c r="AD2933">
        <v>3</v>
      </c>
      <c r="AE2933">
        <v>0</v>
      </c>
      <c r="AF2933">
        <v>9</v>
      </c>
      <c r="AG2933" t="s">
        <v>158</v>
      </c>
      <c r="AH2933">
        <v>0</v>
      </c>
      <c r="AI2933">
        <v>3</v>
      </c>
      <c r="AJ2933">
        <v>1</v>
      </c>
      <c r="AK2933">
        <v>0</v>
      </c>
      <c r="AL2933" t="s">
        <v>925</v>
      </c>
      <c r="AM2933">
        <v>46.981400999999998</v>
      </c>
      <c r="AN2933" t="s">
        <v>5519</v>
      </c>
      <c r="AO2933">
        <v>-123.485062</v>
      </c>
      <c r="AP2933">
        <v>100</v>
      </c>
      <c r="AQ2933">
        <v>2100</v>
      </c>
      <c r="AR2933" t="s">
        <v>118</v>
      </c>
      <c r="AS2933">
        <v>-80</v>
      </c>
      <c r="AT2933">
        <v>8</v>
      </c>
      <c r="AU2933">
        <v>0</v>
      </c>
      <c r="BC2933">
        <v>1200</v>
      </c>
      <c r="BD2933">
        <v>1</v>
      </c>
      <c r="BE2933" t="str">
        <f t="shared" si="137"/>
        <v xml:space="preserve">N215T   </v>
      </c>
      <c r="BF2933">
        <v>1</v>
      </c>
      <c r="BH2933">
        <v>0</v>
      </c>
      <c r="BI2933">
        <v>0</v>
      </c>
      <c r="BJ2933">
        <v>0</v>
      </c>
      <c r="BK2933">
        <v>2450</v>
      </c>
      <c r="BL2933">
        <v>350</v>
      </c>
      <c r="BM2933" t="s">
        <v>119</v>
      </c>
      <c r="BN2933">
        <v>1</v>
      </c>
      <c r="BO2933">
        <v>1</v>
      </c>
      <c r="BP2933">
        <v>1</v>
      </c>
      <c r="BQ2933">
        <v>0</v>
      </c>
      <c r="BT2933">
        <v>0</v>
      </c>
      <c r="BU2933">
        <v>0</v>
      </c>
      <c r="BV2933">
        <v>0</v>
      </c>
      <c r="CC2933" t="str">
        <f>"19:23:47.141"</f>
        <v>19:23:47.141</v>
      </c>
      <c r="CD2933" t="str">
        <f>"138659847"</f>
        <v>138659847</v>
      </c>
      <c r="CQ2933">
        <v>0</v>
      </c>
      <c r="CR2933">
        <v>2</v>
      </c>
      <c r="CS2933">
        <v>0</v>
      </c>
      <c r="CT2933">
        <v>2</v>
      </c>
      <c r="CU2933">
        <v>0</v>
      </c>
      <c r="CV2933">
        <v>6</v>
      </c>
      <c r="CW2933" t="s">
        <v>120</v>
      </c>
      <c r="CX2933">
        <v>257</v>
      </c>
      <c r="CY2933">
        <v>0</v>
      </c>
      <c r="CZ2933" t="s">
        <v>615</v>
      </c>
      <c r="DA2933" t="s">
        <v>616</v>
      </c>
      <c r="DD2933">
        <v>16176581</v>
      </c>
      <c r="DE2933" t="s">
        <v>123</v>
      </c>
    </row>
    <row r="2934" spans="1:109" x14ac:dyDescent="0.3">
      <c r="A2934" t="str">
        <f>"19:23:48.500"</f>
        <v>19:23:48.500</v>
      </c>
      <c r="B2934" t="s">
        <v>110</v>
      </c>
      <c r="C2934" t="str">
        <f t="shared" si="135"/>
        <v>ffdfd3c0</v>
      </c>
      <c r="D2934" t="s">
        <v>111</v>
      </c>
      <c r="E2934">
        <v>18</v>
      </c>
      <c r="F2934">
        <v>1018</v>
      </c>
      <c r="G2934" t="s">
        <v>112</v>
      </c>
      <c r="J2934" t="s">
        <v>113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R2934" t="s">
        <v>114</v>
      </c>
      <c r="S2934" t="str">
        <f>"19:23:48.242"</f>
        <v>19:23:48.242</v>
      </c>
      <c r="T2934" t="str">
        <f>"19:23:48.141"</f>
        <v>19:23:48.141</v>
      </c>
      <c r="U2934" t="str">
        <f t="shared" si="136"/>
        <v>a1cdbe</v>
      </c>
      <c r="V2934">
        <v>0</v>
      </c>
      <c r="W2934">
        <v>0</v>
      </c>
      <c r="X2934">
        <v>1</v>
      </c>
      <c r="Y2934">
        <v>0</v>
      </c>
      <c r="Z2934">
        <v>0</v>
      </c>
      <c r="AB2934">
        <v>0</v>
      </c>
      <c r="AC2934">
        <v>9</v>
      </c>
      <c r="AD2934">
        <v>3</v>
      </c>
      <c r="AE2934">
        <v>0</v>
      </c>
      <c r="AF2934">
        <v>9</v>
      </c>
      <c r="AG2934" t="s">
        <v>158</v>
      </c>
      <c r="AH2934">
        <v>0</v>
      </c>
      <c r="AI2934">
        <v>3</v>
      </c>
      <c r="AJ2934">
        <v>1</v>
      </c>
      <c r="AK2934">
        <v>0</v>
      </c>
      <c r="AL2934" t="s">
        <v>5520</v>
      </c>
      <c r="AM2934">
        <v>46.981444000000003</v>
      </c>
      <c r="AN2934" t="s">
        <v>5521</v>
      </c>
      <c r="AO2934">
        <v>-123.48562</v>
      </c>
      <c r="AP2934">
        <v>100</v>
      </c>
      <c r="AQ2934">
        <v>2100</v>
      </c>
      <c r="AR2934" t="s">
        <v>118</v>
      </c>
      <c r="AS2934">
        <v>-80</v>
      </c>
      <c r="AT2934">
        <v>8</v>
      </c>
      <c r="AU2934">
        <v>0</v>
      </c>
      <c r="BC2934">
        <v>1200</v>
      </c>
      <c r="BD2934">
        <v>1</v>
      </c>
      <c r="BE2934" t="str">
        <f t="shared" si="137"/>
        <v xml:space="preserve">N215T   </v>
      </c>
      <c r="BF2934">
        <v>1</v>
      </c>
      <c r="BH2934">
        <v>0</v>
      </c>
      <c r="BI2934">
        <v>0</v>
      </c>
      <c r="BJ2934">
        <v>0</v>
      </c>
      <c r="BK2934">
        <v>2450</v>
      </c>
      <c r="BL2934">
        <v>350</v>
      </c>
      <c r="BM2934" t="s">
        <v>119</v>
      </c>
      <c r="BN2934">
        <v>1</v>
      </c>
      <c r="BO2934">
        <v>1</v>
      </c>
      <c r="BP2934">
        <v>1</v>
      </c>
      <c r="BQ2934">
        <v>0</v>
      </c>
      <c r="BT2934">
        <v>0</v>
      </c>
      <c r="BU2934">
        <v>0</v>
      </c>
      <c r="BV2934">
        <v>0</v>
      </c>
      <c r="CC2934" t="str">
        <f>"19:23:48.250"</f>
        <v>19:23:48.250</v>
      </c>
      <c r="CD2934" t="str">
        <f>"248550438"</f>
        <v>248550438</v>
      </c>
      <c r="CQ2934">
        <v>0</v>
      </c>
      <c r="CR2934">
        <v>2</v>
      </c>
      <c r="CS2934">
        <v>0</v>
      </c>
      <c r="CT2934">
        <v>2</v>
      </c>
      <c r="CU2934">
        <v>0</v>
      </c>
      <c r="CV2934">
        <v>6</v>
      </c>
      <c r="CW2934" t="s">
        <v>120</v>
      </c>
      <c r="CX2934">
        <v>257</v>
      </c>
      <c r="CY2934">
        <v>0</v>
      </c>
      <c r="CZ2934" t="s">
        <v>615</v>
      </c>
      <c r="DA2934" t="s">
        <v>616</v>
      </c>
      <c r="DD2934">
        <v>16177150</v>
      </c>
      <c r="DE2934" t="s">
        <v>123</v>
      </c>
    </row>
    <row r="2935" spans="1:109" x14ac:dyDescent="0.3">
      <c r="A2935" t="str">
        <f>"19:23:49.406"</f>
        <v>19:23:49.406</v>
      </c>
      <c r="B2935" t="s">
        <v>110</v>
      </c>
      <c r="C2935" t="str">
        <f t="shared" si="135"/>
        <v>ffdfd3c0</v>
      </c>
      <c r="D2935" t="s">
        <v>111</v>
      </c>
      <c r="E2935">
        <v>18</v>
      </c>
      <c r="F2935">
        <v>1018</v>
      </c>
      <c r="G2935" t="s">
        <v>112</v>
      </c>
      <c r="J2935" t="s">
        <v>113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R2935" t="s">
        <v>114</v>
      </c>
      <c r="S2935" t="str">
        <f>"19:23:49.148"</f>
        <v>19:23:49.148</v>
      </c>
      <c r="T2935" t="str">
        <f>"19:23:49.148"</f>
        <v>19:23:49.148</v>
      </c>
      <c r="U2935" t="str">
        <f t="shared" si="136"/>
        <v>a1cdbe</v>
      </c>
      <c r="V2935">
        <v>0</v>
      </c>
      <c r="W2935">
        <v>0</v>
      </c>
      <c r="X2935">
        <v>1</v>
      </c>
      <c r="Y2935">
        <v>0</v>
      </c>
      <c r="Z2935">
        <v>0</v>
      </c>
      <c r="AB2935">
        <v>0</v>
      </c>
      <c r="AC2935">
        <v>9</v>
      </c>
      <c r="AD2935">
        <v>3</v>
      </c>
      <c r="AE2935">
        <v>0</v>
      </c>
      <c r="AF2935">
        <v>9</v>
      </c>
      <c r="AG2935" t="s">
        <v>158</v>
      </c>
      <c r="AH2935">
        <v>0</v>
      </c>
      <c r="AI2935">
        <v>3</v>
      </c>
      <c r="AJ2935">
        <v>1</v>
      </c>
      <c r="AK2935">
        <v>0</v>
      </c>
      <c r="AL2935" t="s">
        <v>5522</v>
      </c>
      <c r="AM2935">
        <v>46.981487000000001</v>
      </c>
      <c r="AN2935" t="s">
        <v>5523</v>
      </c>
      <c r="AO2935">
        <v>-123.486178</v>
      </c>
      <c r="AP2935">
        <v>100</v>
      </c>
      <c r="AQ2935">
        <v>2100</v>
      </c>
      <c r="AR2935" t="s">
        <v>118</v>
      </c>
      <c r="AS2935">
        <v>-80</v>
      </c>
      <c r="AT2935">
        <v>8</v>
      </c>
      <c r="AU2935">
        <v>0</v>
      </c>
      <c r="BC2935">
        <v>1200</v>
      </c>
      <c r="BD2935">
        <v>1</v>
      </c>
      <c r="BE2935" t="str">
        <f t="shared" si="137"/>
        <v xml:space="preserve">N215T   </v>
      </c>
      <c r="BF2935">
        <v>1</v>
      </c>
      <c r="BH2935">
        <v>0</v>
      </c>
      <c r="BI2935">
        <v>0</v>
      </c>
      <c r="BJ2935">
        <v>0</v>
      </c>
      <c r="BK2935">
        <v>2450</v>
      </c>
      <c r="BL2935">
        <v>350</v>
      </c>
      <c r="BM2935" t="s">
        <v>119</v>
      </c>
      <c r="BN2935">
        <v>1</v>
      </c>
      <c r="BO2935">
        <v>1</v>
      </c>
      <c r="BP2935">
        <v>1</v>
      </c>
      <c r="BQ2935">
        <v>0</v>
      </c>
      <c r="BT2935">
        <v>0</v>
      </c>
      <c r="BU2935">
        <v>0</v>
      </c>
      <c r="BV2935">
        <v>0</v>
      </c>
      <c r="CC2935" t="str">
        <f>"19:23:49.148"</f>
        <v>19:23:49.148</v>
      </c>
      <c r="CD2935" t="str">
        <f>"148461737"</f>
        <v>148461737</v>
      </c>
      <c r="CQ2935">
        <v>0</v>
      </c>
      <c r="CR2935">
        <v>2</v>
      </c>
      <c r="CS2935">
        <v>0</v>
      </c>
      <c r="CT2935">
        <v>2</v>
      </c>
      <c r="CU2935">
        <v>0</v>
      </c>
      <c r="CV2935">
        <v>6</v>
      </c>
      <c r="CW2935" t="s">
        <v>120</v>
      </c>
      <c r="CX2935">
        <v>257</v>
      </c>
      <c r="CY2935">
        <v>0</v>
      </c>
      <c r="CZ2935" t="s">
        <v>615</v>
      </c>
      <c r="DA2935" t="s">
        <v>616</v>
      </c>
      <c r="DD2935">
        <v>16177622</v>
      </c>
      <c r="DE2935" t="s">
        <v>123</v>
      </c>
    </row>
    <row r="2936" spans="1:109" x14ac:dyDescent="0.3">
      <c r="A2936" t="str">
        <f>"19:23:50.359"</f>
        <v>19:23:50.359</v>
      </c>
      <c r="B2936" t="s">
        <v>110</v>
      </c>
      <c r="C2936" t="str">
        <f t="shared" si="135"/>
        <v>ffdfd3c0</v>
      </c>
      <c r="D2936" t="s">
        <v>111</v>
      </c>
      <c r="E2936">
        <v>18</v>
      </c>
      <c r="F2936">
        <v>1018</v>
      </c>
      <c r="G2936" t="s">
        <v>112</v>
      </c>
      <c r="J2936" t="s">
        <v>113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R2936" t="s">
        <v>114</v>
      </c>
      <c r="S2936" t="str">
        <f>"19:23:50.133"</f>
        <v>19:23:50.133</v>
      </c>
      <c r="T2936" t="str">
        <f>"19:23:50.133"</f>
        <v>19:23:50.133</v>
      </c>
      <c r="U2936" t="str">
        <f t="shared" si="136"/>
        <v>a1cdbe</v>
      </c>
      <c r="V2936">
        <v>0</v>
      </c>
      <c r="W2936">
        <v>0</v>
      </c>
      <c r="X2936">
        <v>1</v>
      </c>
      <c r="Y2936">
        <v>0</v>
      </c>
      <c r="Z2936">
        <v>0</v>
      </c>
      <c r="AB2936">
        <v>0</v>
      </c>
      <c r="AC2936">
        <v>9</v>
      </c>
      <c r="AD2936">
        <v>3</v>
      </c>
      <c r="AE2936">
        <v>0</v>
      </c>
      <c r="AF2936">
        <v>9</v>
      </c>
      <c r="AG2936" t="s">
        <v>158</v>
      </c>
      <c r="AH2936">
        <v>0</v>
      </c>
      <c r="AI2936">
        <v>3</v>
      </c>
      <c r="AJ2936">
        <v>1</v>
      </c>
      <c r="AK2936">
        <v>0</v>
      </c>
      <c r="AL2936" t="s">
        <v>5524</v>
      </c>
      <c r="AM2936">
        <v>46.981529999999999</v>
      </c>
      <c r="AN2936" t="s">
        <v>5525</v>
      </c>
      <c r="AO2936">
        <v>-123.486671</v>
      </c>
      <c r="AP2936">
        <v>100</v>
      </c>
      <c r="AQ2936">
        <v>2100</v>
      </c>
      <c r="AR2936" t="s">
        <v>118</v>
      </c>
      <c r="AS2936">
        <v>-80</v>
      </c>
      <c r="AT2936">
        <v>8</v>
      </c>
      <c r="AU2936">
        <v>64</v>
      </c>
      <c r="BC2936">
        <v>1200</v>
      </c>
      <c r="BD2936">
        <v>1</v>
      </c>
      <c r="BE2936" t="str">
        <f t="shared" si="137"/>
        <v xml:space="preserve">N215T   </v>
      </c>
      <c r="BF2936">
        <v>1</v>
      </c>
      <c r="BH2936">
        <v>0</v>
      </c>
      <c r="BI2936">
        <v>0</v>
      </c>
      <c r="BJ2936">
        <v>0</v>
      </c>
      <c r="BK2936">
        <v>2450</v>
      </c>
      <c r="BL2936">
        <v>350</v>
      </c>
      <c r="BM2936" t="s">
        <v>119</v>
      </c>
      <c r="BN2936">
        <v>1</v>
      </c>
      <c r="BO2936">
        <v>1</v>
      </c>
      <c r="BP2936">
        <v>1</v>
      </c>
      <c r="BQ2936">
        <v>0</v>
      </c>
      <c r="BT2936">
        <v>0</v>
      </c>
      <c r="BU2936">
        <v>0</v>
      </c>
      <c r="BV2936">
        <v>0</v>
      </c>
      <c r="CC2936" t="str">
        <f>"19:23:50.141"</f>
        <v>19:23:50.141</v>
      </c>
      <c r="CD2936" t="str">
        <f>"138364162"</f>
        <v>138364162</v>
      </c>
      <c r="CQ2936">
        <v>0</v>
      </c>
      <c r="CR2936">
        <v>2</v>
      </c>
      <c r="CS2936">
        <v>0</v>
      </c>
      <c r="CT2936">
        <v>2</v>
      </c>
      <c r="CU2936">
        <v>0</v>
      </c>
      <c r="CV2936">
        <v>6</v>
      </c>
      <c r="CW2936" t="s">
        <v>120</v>
      </c>
      <c r="CX2936">
        <v>257</v>
      </c>
      <c r="CY2936">
        <v>0</v>
      </c>
      <c r="CZ2936" t="s">
        <v>615</v>
      </c>
      <c r="DA2936" t="s">
        <v>616</v>
      </c>
      <c r="DD2936">
        <v>16178145</v>
      </c>
      <c r="DE2936" t="s">
        <v>123</v>
      </c>
    </row>
    <row r="2937" spans="1:109" x14ac:dyDescent="0.3">
      <c r="A2937" t="str">
        <f>"19:23:51.359"</f>
        <v>19:23:51.359</v>
      </c>
      <c r="B2937" t="s">
        <v>110</v>
      </c>
      <c r="C2937" t="str">
        <f t="shared" si="135"/>
        <v>ffdfd3c0</v>
      </c>
      <c r="D2937" t="s">
        <v>111</v>
      </c>
      <c r="E2937">
        <v>18</v>
      </c>
      <c r="F2937">
        <v>1018</v>
      </c>
      <c r="G2937" t="s">
        <v>112</v>
      </c>
      <c r="J2937" t="s">
        <v>113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R2937" t="s">
        <v>114</v>
      </c>
      <c r="S2937" t="str">
        <f>"19:23:51.156"</f>
        <v>19:23:51.156</v>
      </c>
      <c r="T2937" t="str">
        <f>"19:23:50.656"</f>
        <v>19:23:50.656</v>
      </c>
      <c r="U2937" t="str">
        <f t="shared" si="136"/>
        <v>a1cdbe</v>
      </c>
      <c r="V2937">
        <v>0</v>
      </c>
      <c r="W2937">
        <v>0</v>
      </c>
      <c r="X2937">
        <v>1</v>
      </c>
      <c r="Y2937">
        <v>0</v>
      </c>
      <c r="Z2937">
        <v>0</v>
      </c>
      <c r="AB2937">
        <v>0</v>
      </c>
      <c r="AC2937">
        <v>9</v>
      </c>
      <c r="AD2937">
        <v>3</v>
      </c>
      <c r="AE2937">
        <v>0</v>
      </c>
      <c r="AF2937">
        <v>9</v>
      </c>
      <c r="AG2937" t="s">
        <v>158</v>
      </c>
      <c r="AH2937">
        <v>0</v>
      </c>
      <c r="AI2937">
        <v>3</v>
      </c>
      <c r="AJ2937">
        <v>1</v>
      </c>
      <c r="AK2937">
        <v>0</v>
      </c>
      <c r="AL2937" t="s">
        <v>5526</v>
      </c>
      <c r="AM2937">
        <v>46.981572999999997</v>
      </c>
      <c r="AN2937" t="s">
        <v>5527</v>
      </c>
      <c r="AO2937">
        <v>-123.48729400000001</v>
      </c>
      <c r="AP2937">
        <v>100</v>
      </c>
      <c r="AQ2937">
        <v>2100</v>
      </c>
      <c r="AR2937" t="s">
        <v>118</v>
      </c>
      <c r="AS2937">
        <v>-80</v>
      </c>
      <c r="AT2937">
        <v>8</v>
      </c>
      <c r="AU2937">
        <v>64</v>
      </c>
      <c r="BC2937">
        <v>1200</v>
      </c>
      <c r="BD2937">
        <v>1</v>
      </c>
      <c r="BE2937" t="str">
        <f t="shared" si="137"/>
        <v xml:space="preserve">N215T   </v>
      </c>
      <c r="BF2937">
        <v>1</v>
      </c>
      <c r="BH2937">
        <v>0</v>
      </c>
      <c r="BI2937">
        <v>0</v>
      </c>
      <c r="BJ2937">
        <v>0</v>
      </c>
      <c r="BK2937">
        <v>2450</v>
      </c>
      <c r="BL2937">
        <v>350</v>
      </c>
      <c r="BM2937" t="s">
        <v>119</v>
      </c>
      <c r="BN2937">
        <v>1</v>
      </c>
      <c r="BO2937">
        <v>1</v>
      </c>
      <c r="BP2937">
        <v>1</v>
      </c>
      <c r="BQ2937">
        <v>0</v>
      </c>
      <c r="BT2937">
        <v>0</v>
      </c>
      <c r="BU2937">
        <v>0</v>
      </c>
      <c r="BV2937">
        <v>0</v>
      </c>
      <c r="CC2937" t="str">
        <f>"19:23:51.156"</f>
        <v>19:23:51.156</v>
      </c>
      <c r="CD2937" t="str">
        <f>"158263625"</f>
        <v>158263625</v>
      </c>
      <c r="CQ2937">
        <v>0</v>
      </c>
      <c r="CR2937">
        <v>2</v>
      </c>
      <c r="CS2937">
        <v>0</v>
      </c>
      <c r="CT2937">
        <v>2</v>
      </c>
      <c r="CU2937">
        <v>0</v>
      </c>
      <c r="CV2937">
        <v>6</v>
      </c>
      <c r="CW2937" t="s">
        <v>120</v>
      </c>
      <c r="CX2937">
        <v>257</v>
      </c>
      <c r="CY2937">
        <v>0</v>
      </c>
      <c r="CZ2937" t="s">
        <v>615</v>
      </c>
      <c r="DA2937" t="s">
        <v>616</v>
      </c>
      <c r="DD2937">
        <v>16178716</v>
      </c>
      <c r="DE2937" t="s">
        <v>123</v>
      </c>
    </row>
    <row r="2938" spans="1:109" x14ac:dyDescent="0.3">
      <c r="A2938" t="str">
        <f>"19:23:52.422"</f>
        <v>19:23:52.422</v>
      </c>
      <c r="B2938" t="s">
        <v>110</v>
      </c>
      <c r="C2938" t="str">
        <f t="shared" si="135"/>
        <v>ffdfd3c0</v>
      </c>
      <c r="D2938" t="s">
        <v>111</v>
      </c>
      <c r="E2938">
        <v>18</v>
      </c>
      <c r="F2938">
        <v>1018</v>
      </c>
      <c r="G2938" t="s">
        <v>112</v>
      </c>
      <c r="J2938" t="s">
        <v>113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R2938" t="s">
        <v>114</v>
      </c>
      <c r="S2938" t="str">
        <f>"19:23:52.156"</f>
        <v>19:23:52.156</v>
      </c>
      <c r="T2938" t="str">
        <f>"19:23:51.758"</f>
        <v>19:23:51.758</v>
      </c>
      <c r="U2938" t="str">
        <f t="shared" si="136"/>
        <v>a1cdbe</v>
      </c>
      <c r="V2938">
        <v>0</v>
      </c>
      <c r="W2938">
        <v>0</v>
      </c>
      <c r="X2938">
        <v>1</v>
      </c>
      <c r="Y2938">
        <v>0</v>
      </c>
      <c r="Z2938">
        <v>0</v>
      </c>
      <c r="AB2938">
        <v>0</v>
      </c>
      <c r="AC2938">
        <v>9</v>
      </c>
      <c r="AD2938">
        <v>3</v>
      </c>
      <c r="AE2938">
        <v>0</v>
      </c>
      <c r="AF2938">
        <v>9</v>
      </c>
      <c r="AG2938" t="s">
        <v>158</v>
      </c>
      <c r="AH2938">
        <v>0</v>
      </c>
      <c r="AI2938">
        <v>3</v>
      </c>
      <c r="AJ2938">
        <v>1</v>
      </c>
      <c r="AK2938">
        <v>0</v>
      </c>
      <c r="AL2938" t="s">
        <v>5528</v>
      </c>
      <c r="AM2938">
        <v>46.981636999999999</v>
      </c>
      <c r="AN2938" t="s">
        <v>5529</v>
      </c>
      <c r="AO2938">
        <v>-123.487809</v>
      </c>
      <c r="AP2938">
        <v>100</v>
      </c>
      <c r="AQ2938">
        <v>2100</v>
      </c>
      <c r="AR2938" t="s">
        <v>118</v>
      </c>
      <c r="AS2938">
        <v>-80</v>
      </c>
      <c r="AT2938">
        <v>9</v>
      </c>
      <c r="AU2938">
        <v>0</v>
      </c>
      <c r="BC2938">
        <v>1200</v>
      </c>
      <c r="BD2938">
        <v>1</v>
      </c>
      <c r="BE2938" t="str">
        <f t="shared" si="137"/>
        <v xml:space="preserve">N215T   </v>
      </c>
      <c r="BF2938">
        <v>1</v>
      </c>
      <c r="BH2938">
        <v>0</v>
      </c>
      <c r="BI2938">
        <v>0</v>
      </c>
      <c r="BJ2938">
        <v>0</v>
      </c>
      <c r="BK2938">
        <v>2450</v>
      </c>
      <c r="BL2938">
        <v>350</v>
      </c>
      <c r="BM2938" t="s">
        <v>119</v>
      </c>
      <c r="BN2938">
        <v>1</v>
      </c>
      <c r="BO2938">
        <v>1</v>
      </c>
      <c r="BP2938">
        <v>1</v>
      </c>
      <c r="BQ2938">
        <v>0</v>
      </c>
      <c r="BT2938">
        <v>0</v>
      </c>
      <c r="BU2938">
        <v>0</v>
      </c>
      <c r="BV2938">
        <v>0</v>
      </c>
      <c r="CC2938" t="str">
        <f>"19:23:52.164"</f>
        <v>19:23:52.164</v>
      </c>
      <c r="CD2938" t="str">
        <f>"163164568"</f>
        <v>163164568</v>
      </c>
      <c r="CQ2938">
        <v>0</v>
      </c>
      <c r="CR2938">
        <v>2</v>
      </c>
      <c r="CS2938">
        <v>0</v>
      </c>
      <c r="CT2938">
        <v>2</v>
      </c>
      <c r="CU2938">
        <v>0</v>
      </c>
      <c r="CV2938">
        <v>6</v>
      </c>
      <c r="CW2938" t="s">
        <v>120</v>
      </c>
      <c r="CX2938">
        <v>257</v>
      </c>
      <c r="CY2938">
        <v>0</v>
      </c>
      <c r="CZ2938" t="s">
        <v>615</v>
      </c>
      <c r="DA2938" t="s">
        <v>616</v>
      </c>
      <c r="DD2938">
        <v>16179242</v>
      </c>
      <c r="DE2938" t="s">
        <v>123</v>
      </c>
    </row>
    <row r="2939" spans="1:109" x14ac:dyDescent="0.3">
      <c r="A2939" t="str">
        <f>"19:23:53.578"</f>
        <v>19:23:53.578</v>
      </c>
      <c r="B2939" t="s">
        <v>110</v>
      </c>
      <c r="C2939" t="str">
        <f t="shared" si="135"/>
        <v>ffdfd3c0</v>
      </c>
      <c r="D2939" t="s">
        <v>111</v>
      </c>
      <c r="E2939">
        <v>18</v>
      </c>
      <c r="F2939">
        <v>1018</v>
      </c>
      <c r="G2939" t="s">
        <v>112</v>
      </c>
      <c r="J2939" t="s">
        <v>113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R2939" t="s">
        <v>114</v>
      </c>
      <c r="S2939" t="str">
        <f>"19:23:53.344"</f>
        <v>19:23:53.344</v>
      </c>
      <c r="T2939" t="str">
        <f>"19:23:53.141"</f>
        <v>19:23:53.141</v>
      </c>
      <c r="U2939" t="str">
        <f t="shared" si="136"/>
        <v>a1cdbe</v>
      </c>
      <c r="V2939">
        <v>0</v>
      </c>
      <c r="W2939">
        <v>0</v>
      </c>
      <c r="X2939">
        <v>1</v>
      </c>
      <c r="Y2939">
        <v>0</v>
      </c>
      <c r="Z2939">
        <v>0</v>
      </c>
      <c r="AB2939">
        <v>0</v>
      </c>
      <c r="AC2939">
        <v>9</v>
      </c>
      <c r="AD2939">
        <v>3</v>
      </c>
      <c r="AE2939">
        <v>0</v>
      </c>
      <c r="AF2939">
        <v>9</v>
      </c>
      <c r="AG2939" t="s">
        <v>158</v>
      </c>
      <c r="AH2939">
        <v>0</v>
      </c>
      <c r="AI2939">
        <v>3</v>
      </c>
      <c r="AJ2939">
        <v>1</v>
      </c>
      <c r="AK2939">
        <v>0</v>
      </c>
      <c r="AL2939" t="s">
        <v>5530</v>
      </c>
      <c r="AM2939">
        <v>46.981659000000001</v>
      </c>
      <c r="AN2939" t="s">
        <v>5531</v>
      </c>
      <c r="AO2939">
        <v>-123.488452</v>
      </c>
      <c r="AP2939">
        <v>100</v>
      </c>
      <c r="AQ2939">
        <v>2100</v>
      </c>
      <c r="AR2939" t="s">
        <v>118</v>
      </c>
      <c r="AS2939">
        <v>-80</v>
      </c>
      <c r="AT2939">
        <v>9</v>
      </c>
      <c r="AU2939">
        <v>64</v>
      </c>
      <c r="BC2939">
        <v>1200</v>
      </c>
      <c r="BD2939">
        <v>1</v>
      </c>
      <c r="BE2939" t="str">
        <f t="shared" si="137"/>
        <v xml:space="preserve">N215T   </v>
      </c>
      <c r="BF2939">
        <v>1</v>
      </c>
      <c r="BH2939">
        <v>0</v>
      </c>
      <c r="BI2939">
        <v>0</v>
      </c>
      <c r="BJ2939">
        <v>0</v>
      </c>
      <c r="BK2939">
        <v>2450</v>
      </c>
      <c r="BL2939">
        <v>350</v>
      </c>
      <c r="BM2939" t="s">
        <v>119</v>
      </c>
      <c r="BN2939">
        <v>1</v>
      </c>
      <c r="BO2939">
        <v>1</v>
      </c>
      <c r="BP2939">
        <v>1</v>
      </c>
      <c r="BQ2939">
        <v>0</v>
      </c>
      <c r="BT2939">
        <v>0</v>
      </c>
      <c r="BU2939">
        <v>0</v>
      </c>
      <c r="BV2939">
        <v>0</v>
      </c>
      <c r="CC2939" t="str">
        <f>"19:23:53.352"</f>
        <v>19:23:53.352</v>
      </c>
      <c r="CD2939" t="str">
        <f>"348047786"</f>
        <v>348047786</v>
      </c>
      <c r="CQ2939">
        <v>0</v>
      </c>
      <c r="CR2939">
        <v>2</v>
      </c>
      <c r="CS2939">
        <v>0</v>
      </c>
      <c r="CT2939">
        <v>2</v>
      </c>
      <c r="CU2939">
        <v>0</v>
      </c>
      <c r="CV2939">
        <v>6</v>
      </c>
      <c r="CW2939" t="s">
        <v>120</v>
      </c>
      <c r="CX2939">
        <v>257</v>
      </c>
      <c r="CY2939">
        <v>0</v>
      </c>
      <c r="CZ2939" t="s">
        <v>615</v>
      </c>
      <c r="DA2939" t="s">
        <v>616</v>
      </c>
      <c r="DD2939">
        <v>16179842</v>
      </c>
      <c r="DE2939" t="s">
        <v>123</v>
      </c>
    </row>
    <row r="2940" spans="1:109" x14ac:dyDescent="0.3">
      <c r="A2940" t="str">
        <f>"19:23:54.578"</f>
        <v>19:23:54.578</v>
      </c>
      <c r="B2940" t="s">
        <v>110</v>
      </c>
      <c r="C2940" t="str">
        <f t="shared" si="135"/>
        <v>ffdfd3c0</v>
      </c>
      <c r="D2940" t="s">
        <v>111</v>
      </c>
      <c r="E2940">
        <v>18</v>
      </c>
      <c r="F2940">
        <v>1018</v>
      </c>
      <c r="G2940" t="s">
        <v>112</v>
      </c>
      <c r="J2940" t="s">
        <v>113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R2940" t="s">
        <v>114</v>
      </c>
      <c r="S2940" t="str">
        <f>"19:23:54.352"</f>
        <v>19:23:54.352</v>
      </c>
      <c r="T2940" t="str">
        <f>"19:23:54.055"</f>
        <v>19:23:54.055</v>
      </c>
      <c r="U2940" t="str">
        <f t="shared" si="136"/>
        <v>a1cdbe</v>
      </c>
      <c r="V2940">
        <v>0</v>
      </c>
      <c r="W2940">
        <v>0</v>
      </c>
      <c r="X2940">
        <v>1</v>
      </c>
      <c r="Y2940">
        <v>0</v>
      </c>
      <c r="Z2940">
        <v>0</v>
      </c>
      <c r="AB2940">
        <v>0</v>
      </c>
      <c r="AC2940">
        <v>9</v>
      </c>
      <c r="AD2940">
        <v>3</v>
      </c>
      <c r="AE2940">
        <v>0</v>
      </c>
      <c r="AF2940">
        <v>9</v>
      </c>
      <c r="AG2940" t="s">
        <v>158</v>
      </c>
      <c r="AH2940">
        <v>0</v>
      </c>
      <c r="AI2940">
        <v>3</v>
      </c>
      <c r="AJ2940">
        <v>1</v>
      </c>
      <c r="AK2940">
        <v>0</v>
      </c>
      <c r="AL2940" t="s">
        <v>5532</v>
      </c>
      <c r="AM2940">
        <v>46.981701999999999</v>
      </c>
      <c r="AN2940" t="s">
        <v>5533</v>
      </c>
      <c r="AO2940">
        <v>-123.48900999999999</v>
      </c>
      <c r="AP2940">
        <v>100</v>
      </c>
      <c r="AQ2940">
        <v>2100</v>
      </c>
      <c r="AR2940" t="s">
        <v>118</v>
      </c>
      <c r="AS2940">
        <v>-80</v>
      </c>
      <c r="AT2940">
        <v>9</v>
      </c>
      <c r="AU2940">
        <v>64</v>
      </c>
      <c r="BC2940">
        <v>1200</v>
      </c>
      <c r="BD2940">
        <v>1</v>
      </c>
      <c r="BE2940" t="str">
        <f t="shared" si="137"/>
        <v xml:space="preserve">N215T   </v>
      </c>
      <c r="BF2940">
        <v>1</v>
      </c>
      <c r="BH2940">
        <v>0</v>
      </c>
      <c r="BI2940">
        <v>0</v>
      </c>
      <c r="BJ2940">
        <v>0</v>
      </c>
      <c r="BK2940">
        <v>2450</v>
      </c>
      <c r="BL2940">
        <v>350</v>
      </c>
      <c r="BM2940" t="s">
        <v>119</v>
      </c>
      <c r="BN2940">
        <v>1</v>
      </c>
      <c r="BO2940">
        <v>1</v>
      </c>
      <c r="BP2940">
        <v>1</v>
      </c>
      <c r="BQ2940">
        <v>0</v>
      </c>
      <c r="BT2940">
        <v>0</v>
      </c>
      <c r="BU2940">
        <v>0</v>
      </c>
      <c r="BV2940">
        <v>0</v>
      </c>
      <c r="CC2940" t="str">
        <f>"19:23:54.352"</f>
        <v>19:23:54.352</v>
      </c>
      <c r="CD2940" t="str">
        <f>"352948733"</f>
        <v>352948733</v>
      </c>
      <c r="CQ2940">
        <v>0</v>
      </c>
      <c r="CR2940">
        <v>2</v>
      </c>
      <c r="CS2940">
        <v>0</v>
      </c>
      <c r="CT2940">
        <v>2</v>
      </c>
      <c r="CU2940">
        <v>0</v>
      </c>
      <c r="CV2940">
        <v>6</v>
      </c>
      <c r="CW2940" t="s">
        <v>120</v>
      </c>
      <c r="CX2940">
        <v>257</v>
      </c>
      <c r="CY2940">
        <v>0</v>
      </c>
      <c r="CZ2940" t="s">
        <v>615</v>
      </c>
      <c r="DA2940" t="s">
        <v>616</v>
      </c>
      <c r="DD2940">
        <v>16180367</v>
      </c>
      <c r="DE2940" t="s">
        <v>123</v>
      </c>
    </row>
    <row r="2941" spans="1:109" x14ac:dyDescent="0.3">
      <c r="A2941" t="str">
        <f>"19:23:55.688"</f>
        <v>19:23:55.688</v>
      </c>
      <c r="B2941" t="s">
        <v>110</v>
      </c>
      <c r="C2941" t="str">
        <f t="shared" si="135"/>
        <v>ffdfd3c0</v>
      </c>
      <c r="D2941" t="s">
        <v>111</v>
      </c>
      <c r="E2941">
        <v>18</v>
      </c>
      <c r="F2941">
        <v>1018</v>
      </c>
      <c r="G2941" t="s">
        <v>112</v>
      </c>
      <c r="J2941" t="s">
        <v>113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R2941" t="s">
        <v>114</v>
      </c>
      <c r="S2941" t="str">
        <f>"19:23:55.430"</f>
        <v>19:23:55.430</v>
      </c>
      <c r="T2941" t="str">
        <f>"19:23:55.133"</f>
        <v>19:23:55.133</v>
      </c>
      <c r="U2941" t="str">
        <f t="shared" si="136"/>
        <v>a1cdbe</v>
      </c>
      <c r="V2941">
        <v>0</v>
      </c>
      <c r="W2941">
        <v>0</v>
      </c>
      <c r="X2941">
        <v>1</v>
      </c>
      <c r="Y2941">
        <v>0</v>
      </c>
      <c r="Z2941">
        <v>0</v>
      </c>
      <c r="AB2941">
        <v>0</v>
      </c>
      <c r="AC2941">
        <v>9</v>
      </c>
      <c r="AD2941">
        <v>3</v>
      </c>
      <c r="AE2941">
        <v>0</v>
      </c>
      <c r="AF2941">
        <v>9</v>
      </c>
      <c r="AG2941" t="s">
        <v>158</v>
      </c>
      <c r="AH2941">
        <v>0</v>
      </c>
      <c r="AI2941">
        <v>3</v>
      </c>
      <c r="AJ2941">
        <v>1</v>
      </c>
      <c r="AK2941">
        <v>0</v>
      </c>
      <c r="AL2941" t="s">
        <v>5534</v>
      </c>
      <c r="AM2941">
        <v>46.981723000000002</v>
      </c>
      <c r="AN2941" t="s">
        <v>5535</v>
      </c>
      <c r="AO2941">
        <v>-123.48956800000001</v>
      </c>
      <c r="AP2941">
        <v>100</v>
      </c>
      <c r="AQ2941">
        <v>2100</v>
      </c>
      <c r="AR2941" t="s">
        <v>118</v>
      </c>
      <c r="AS2941">
        <v>-80</v>
      </c>
      <c r="AT2941">
        <v>9</v>
      </c>
      <c r="AU2941">
        <v>0</v>
      </c>
      <c r="BC2941">
        <v>1200</v>
      </c>
      <c r="BD2941">
        <v>1</v>
      </c>
      <c r="BE2941" t="str">
        <f t="shared" si="137"/>
        <v xml:space="preserve">N215T   </v>
      </c>
      <c r="BF2941">
        <v>1</v>
      </c>
      <c r="BH2941">
        <v>0</v>
      </c>
      <c r="BI2941">
        <v>0</v>
      </c>
      <c r="BJ2941">
        <v>0</v>
      </c>
      <c r="BK2941">
        <v>2450</v>
      </c>
      <c r="BL2941">
        <v>350</v>
      </c>
      <c r="BM2941" t="s">
        <v>119</v>
      </c>
      <c r="BN2941">
        <v>1</v>
      </c>
      <c r="BO2941">
        <v>1</v>
      </c>
      <c r="BP2941">
        <v>1</v>
      </c>
      <c r="BQ2941">
        <v>0</v>
      </c>
      <c r="BT2941">
        <v>0</v>
      </c>
      <c r="BU2941">
        <v>0</v>
      </c>
      <c r="BV2941">
        <v>0</v>
      </c>
      <c r="CC2941" t="str">
        <f>"19:23:55.430"</f>
        <v>19:23:55.430</v>
      </c>
      <c r="CD2941" t="str">
        <f>"432842287"</f>
        <v>432842287</v>
      </c>
      <c r="CQ2941">
        <v>0</v>
      </c>
      <c r="CR2941">
        <v>2</v>
      </c>
      <c r="CS2941">
        <v>0</v>
      </c>
      <c r="CT2941">
        <v>2</v>
      </c>
      <c r="CU2941">
        <v>0</v>
      </c>
      <c r="CV2941">
        <v>6</v>
      </c>
      <c r="CW2941" t="s">
        <v>120</v>
      </c>
      <c r="CX2941">
        <v>257</v>
      </c>
      <c r="CY2941">
        <v>0</v>
      </c>
      <c r="CZ2941" t="s">
        <v>615</v>
      </c>
      <c r="DA2941" t="s">
        <v>616</v>
      </c>
      <c r="DD2941">
        <v>16180940</v>
      </c>
      <c r="DE2941" t="s">
        <v>123</v>
      </c>
    </row>
    <row r="2942" spans="1:109" x14ac:dyDescent="0.3">
      <c r="A2942" t="str">
        <f>"19:23:56.594"</f>
        <v>19:23:56.594</v>
      </c>
      <c r="B2942" t="s">
        <v>110</v>
      </c>
      <c r="C2942" t="str">
        <f t="shared" si="135"/>
        <v>ffdfd3c0</v>
      </c>
      <c r="D2942" t="s">
        <v>111</v>
      </c>
      <c r="E2942">
        <v>18</v>
      </c>
      <c r="F2942">
        <v>1018</v>
      </c>
      <c r="G2942" t="s">
        <v>112</v>
      </c>
      <c r="J2942" t="s">
        <v>113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R2942" t="s">
        <v>114</v>
      </c>
      <c r="S2942" t="str">
        <f>"19:23:56.359"</f>
        <v>19:23:56.359</v>
      </c>
      <c r="T2942" t="str">
        <f>"19:23:56.258"</f>
        <v>19:23:56.258</v>
      </c>
      <c r="U2942" t="str">
        <f t="shared" si="136"/>
        <v>a1cdbe</v>
      </c>
      <c r="V2942">
        <v>0</v>
      </c>
      <c r="W2942">
        <v>0</v>
      </c>
      <c r="X2942">
        <v>1</v>
      </c>
      <c r="Y2942">
        <v>0</v>
      </c>
      <c r="Z2942">
        <v>0</v>
      </c>
      <c r="AB2942">
        <v>0</v>
      </c>
      <c r="AC2942">
        <v>9</v>
      </c>
      <c r="AD2942">
        <v>3</v>
      </c>
      <c r="AE2942">
        <v>0</v>
      </c>
      <c r="AF2942">
        <v>9</v>
      </c>
      <c r="AG2942" t="s">
        <v>158</v>
      </c>
      <c r="AH2942">
        <v>0</v>
      </c>
      <c r="AI2942">
        <v>3</v>
      </c>
      <c r="AJ2942">
        <v>1</v>
      </c>
      <c r="AK2942">
        <v>0</v>
      </c>
      <c r="AL2942" t="s">
        <v>923</v>
      </c>
      <c r="AM2942">
        <v>46.981788000000002</v>
      </c>
      <c r="AN2942" t="s">
        <v>5536</v>
      </c>
      <c r="AO2942">
        <v>-123.49003999999999</v>
      </c>
      <c r="AP2942">
        <v>100</v>
      </c>
      <c r="AQ2942">
        <v>2100</v>
      </c>
      <c r="AR2942" t="s">
        <v>118</v>
      </c>
      <c r="AS2942">
        <v>-80</v>
      </c>
      <c r="AT2942">
        <v>10</v>
      </c>
      <c r="AU2942">
        <v>0</v>
      </c>
      <c r="BC2942">
        <v>1200</v>
      </c>
      <c r="BD2942">
        <v>1</v>
      </c>
      <c r="BE2942" t="str">
        <f t="shared" si="137"/>
        <v xml:space="preserve">N215T   </v>
      </c>
      <c r="BF2942">
        <v>1</v>
      </c>
      <c r="BH2942">
        <v>0</v>
      </c>
      <c r="BI2942">
        <v>0</v>
      </c>
      <c r="BJ2942">
        <v>0</v>
      </c>
      <c r="BK2942">
        <v>2450</v>
      </c>
      <c r="BL2942">
        <v>350</v>
      </c>
      <c r="BM2942" t="s">
        <v>119</v>
      </c>
      <c r="BN2942">
        <v>1</v>
      </c>
      <c r="BO2942">
        <v>1</v>
      </c>
      <c r="BP2942">
        <v>1</v>
      </c>
      <c r="BQ2942">
        <v>0</v>
      </c>
      <c r="BT2942">
        <v>0</v>
      </c>
      <c r="BU2942">
        <v>0</v>
      </c>
      <c r="BV2942">
        <v>0</v>
      </c>
      <c r="CC2942" t="str">
        <f>"19:23:56.359"</f>
        <v>19:23:56.359</v>
      </c>
      <c r="CD2942" t="str">
        <f>"362750627"</f>
        <v>362750627</v>
      </c>
      <c r="CQ2942">
        <v>0</v>
      </c>
      <c r="CR2942">
        <v>2</v>
      </c>
      <c r="CS2942">
        <v>0</v>
      </c>
      <c r="CT2942">
        <v>2</v>
      </c>
      <c r="CU2942">
        <v>0</v>
      </c>
      <c r="CV2942">
        <v>6</v>
      </c>
      <c r="CW2942" t="s">
        <v>120</v>
      </c>
      <c r="CX2942">
        <v>257</v>
      </c>
      <c r="CY2942">
        <v>0</v>
      </c>
      <c r="CZ2942" t="s">
        <v>615</v>
      </c>
      <c r="DA2942" t="s">
        <v>616</v>
      </c>
      <c r="DD2942">
        <v>16181458</v>
      </c>
      <c r="DE2942" t="s">
        <v>123</v>
      </c>
    </row>
    <row r="2943" spans="1:109" x14ac:dyDescent="0.3">
      <c r="A2943" t="str">
        <f>"19:23:57.594"</f>
        <v>19:23:57.594</v>
      </c>
      <c r="B2943" t="s">
        <v>110</v>
      </c>
      <c r="C2943" t="str">
        <f t="shared" si="135"/>
        <v>ffdfd3c0</v>
      </c>
      <c r="D2943" t="s">
        <v>111</v>
      </c>
      <c r="E2943">
        <v>18</v>
      </c>
      <c r="F2943">
        <v>1018</v>
      </c>
      <c r="G2943" t="s">
        <v>112</v>
      </c>
      <c r="J2943" t="s">
        <v>113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R2943" t="s">
        <v>114</v>
      </c>
      <c r="S2943" t="str">
        <f>"19:23:57.391"</f>
        <v>19:23:57.391</v>
      </c>
      <c r="T2943" t="str">
        <f>"19:23:57.289"</f>
        <v>19:23:57.289</v>
      </c>
      <c r="U2943" t="str">
        <f t="shared" si="136"/>
        <v>a1cdbe</v>
      </c>
      <c r="V2943">
        <v>0</v>
      </c>
      <c r="W2943">
        <v>0</v>
      </c>
      <c r="X2943">
        <v>1</v>
      </c>
      <c r="Y2943">
        <v>0</v>
      </c>
      <c r="Z2943">
        <v>0</v>
      </c>
      <c r="AB2943">
        <v>0</v>
      </c>
      <c r="AC2943">
        <v>9</v>
      </c>
      <c r="AD2943">
        <v>3</v>
      </c>
      <c r="AE2943">
        <v>0</v>
      </c>
      <c r="AF2943">
        <v>9</v>
      </c>
      <c r="AG2943" t="s">
        <v>158</v>
      </c>
      <c r="AH2943">
        <v>0</v>
      </c>
      <c r="AI2943">
        <v>3</v>
      </c>
      <c r="AJ2943">
        <v>1</v>
      </c>
      <c r="AK2943">
        <v>0</v>
      </c>
      <c r="AL2943" t="s">
        <v>5537</v>
      </c>
      <c r="AM2943">
        <v>46.981831</v>
      </c>
      <c r="AN2943" t="s">
        <v>5538</v>
      </c>
      <c r="AO2943">
        <v>-123.49062000000001</v>
      </c>
      <c r="AP2943">
        <v>100</v>
      </c>
      <c r="AQ2943">
        <v>2100</v>
      </c>
      <c r="AR2943" t="s">
        <v>118</v>
      </c>
      <c r="AS2943">
        <v>-79</v>
      </c>
      <c r="AT2943">
        <v>10</v>
      </c>
      <c r="AU2943">
        <v>0</v>
      </c>
      <c r="BC2943">
        <v>1200</v>
      </c>
      <c r="BD2943">
        <v>1</v>
      </c>
      <c r="BE2943" t="str">
        <f t="shared" si="137"/>
        <v xml:space="preserve">N215T   </v>
      </c>
      <c r="BF2943">
        <v>1</v>
      </c>
      <c r="BH2943">
        <v>0</v>
      </c>
      <c r="BI2943">
        <v>0</v>
      </c>
      <c r="BJ2943">
        <v>0</v>
      </c>
      <c r="BK2943">
        <v>2450</v>
      </c>
      <c r="BL2943">
        <v>350</v>
      </c>
      <c r="BM2943" t="s">
        <v>119</v>
      </c>
      <c r="BN2943">
        <v>1</v>
      </c>
      <c r="BO2943">
        <v>1</v>
      </c>
      <c r="BP2943">
        <v>1</v>
      </c>
      <c r="BQ2943">
        <v>0</v>
      </c>
      <c r="BT2943">
        <v>0</v>
      </c>
      <c r="BU2943">
        <v>0</v>
      </c>
      <c r="BV2943">
        <v>0</v>
      </c>
      <c r="CC2943" t="str">
        <f>"19:23:57.398"</f>
        <v>19:23:57.398</v>
      </c>
      <c r="CD2943" t="str">
        <f>"397648623"</f>
        <v>397648623</v>
      </c>
      <c r="CQ2943">
        <v>0</v>
      </c>
      <c r="CR2943">
        <v>2</v>
      </c>
      <c r="CS2943">
        <v>0</v>
      </c>
      <c r="CT2943">
        <v>2</v>
      </c>
      <c r="CU2943">
        <v>0</v>
      </c>
      <c r="CV2943">
        <v>6</v>
      </c>
      <c r="CW2943" t="s">
        <v>120</v>
      </c>
      <c r="CX2943">
        <v>257</v>
      </c>
      <c r="CY2943">
        <v>0</v>
      </c>
      <c r="CZ2943" t="s">
        <v>615</v>
      </c>
      <c r="DA2943" t="s">
        <v>616</v>
      </c>
      <c r="DD2943">
        <v>16181990</v>
      </c>
      <c r="DE2943" t="s">
        <v>123</v>
      </c>
    </row>
    <row r="2944" spans="1:109" x14ac:dyDescent="0.3">
      <c r="A2944" t="str">
        <f>"19:23:58.555"</f>
        <v>19:23:58.555</v>
      </c>
      <c r="B2944" t="s">
        <v>110</v>
      </c>
      <c r="C2944" t="str">
        <f t="shared" si="135"/>
        <v>ffdfd3c0</v>
      </c>
      <c r="D2944" t="s">
        <v>111</v>
      </c>
      <c r="E2944">
        <v>18</v>
      </c>
      <c r="F2944">
        <v>1018</v>
      </c>
      <c r="G2944" t="s">
        <v>112</v>
      </c>
      <c r="J2944" t="s">
        <v>113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R2944" t="s">
        <v>114</v>
      </c>
      <c r="S2944" t="str">
        <f>"19:23:58.313"</f>
        <v>19:23:58.313</v>
      </c>
      <c r="T2944" t="str">
        <f>"19:23:58.313"</f>
        <v>19:23:58.313</v>
      </c>
      <c r="U2944" t="str">
        <f t="shared" si="136"/>
        <v>a1cdbe</v>
      </c>
      <c r="V2944">
        <v>0</v>
      </c>
      <c r="W2944">
        <v>0</v>
      </c>
      <c r="X2944">
        <v>1</v>
      </c>
      <c r="Y2944">
        <v>0</v>
      </c>
      <c r="Z2944">
        <v>0</v>
      </c>
      <c r="AB2944">
        <v>0</v>
      </c>
      <c r="AC2944">
        <v>9</v>
      </c>
      <c r="AD2944">
        <v>3</v>
      </c>
      <c r="AE2944">
        <v>0</v>
      </c>
      <c r="AF2944">
        <v>9</v>
      </c>
      <c r="AG2944" t="s">
        <v>158</v>
      </c>
      <c r="AH2944">
        <v>0</v>
      </c>
      <c r="AI2944">
        <v>3</v>
      </c>
      <c r="AJ2944">
        <v>1</v>
      </c>
      <c r="AK2944">
        <v>0</v>
      </c>
      <c r="AL2944" t="s">
        <v>5539</v>
      </c>
      <c r="AM2944">
        <v>46.981873999999998</v>
      </c>
      <c r="AN2944" t="s">
        <v>5540</v>
      </c>
      <c r="AO2944">
        <v>-123.491113</v>
      </c>
      <c r="AP2944">
        <v>100</v>
      </c>
      <c r="AQ2944">
        <v>2100</v>
      </c>
      <c r="AR2944" t="s">
        <v>118</v>
      </c>
      <c r="AS2944">
        <v>-79</v>
      </c>
      <c r="AT2944">
        <v>10</v>
      </c>
      <c r="AU2944">
        <v>0</v>
      </c>
      <c r="BC2944">
        <v>1200</v>
      </c>
      <c r="BD2944">
        <v>1</v>
      </c>
      <c r="BE2944" t="str">
        <f t="shared" si="137"/>
        <v xml:space="preserve">N215T   </v>
      </c>
      <c r="BF2944">
        <v>1</v>
      </c>
      <c r="BH2944">
        <v>0</v>
      </c>
      <c r="BI2944">
        <v>0</v>
      </c>
      <c r="BJ2944">
        <v>0</v>
      </c>
      <c r="BK2944">
        <v>2450</v>
      </c>
      <c r="BL2944">
        <v>350</v>
      </c>
      <c r="BM2944" t="s">
        <v>119</v>
      </c>
      <c r="BN2944">
        <v>1</v>
      </c>
      <c r="BO2944">
        <v>1</v>
      </c>
      <c r="BP2944">
        <v>1</v>
      </c>
      <c r="BQ2944">
        <v>0</v>
      </c>
      <c r="BT2944">
        <v>0</v>
      </c>
      <c r="BU2944">
        <v>0</v>
      </c>
      <c r="BV2944">
        <v>0</v>
      </c>
      <c r="CC2944" t="str">
        <f>"19:23:58.313"</f>
        <v>19:23:58.313</v>
      </c>
      <c r="CD2944" t="str">
        <f>"312558442"</f>
        <v>312558442</v>
      </c>
      <c r="CQ2944">
        <v>0</v>
      </c>
      <c r="CR2944">
        <v>2</v>
      </c>
      <c r="CS2944">
        <v>0</v>
      </c>
      <c r="CT2944">
        <v>2</v>
      </c>
      <c r="CU2944">
        <v>0</v>
      </c>
      <c r="CV2944">
        <v>6</v>
      </c>
      <c r="CW2944" t="s">
        <v>120</v>
      </c>
      <c r="CX2944">
        <v>257</v>
      </c>
      <c r="CY2944">
        <v>0</v>
      </c>
      <c r="CZ2944" t="s">
        <v>615</v>
      </c>
      <c r="DA2944" t="s">
        <v>616</v>
      </c>
      <c r="DD2944">
        <v>16182437</v>
      </c>
      <c r="DE2944" t="s">
        <v>123</v>
      </c>
    </row>
    <row r="2945" spans="1:109" x14ac:dyDescent="0.3">
      <c r="A2945" t="str">
        <f>"19:23:59.555"</f>
        <v>19:23:59.555</v>
      </c>
      <c r="B2945" t="s">
        <v>110</v>
      </c>
      <c r="C2945" t="str">
        <f t="shared" si="135"/>
        <v>ffdfd3c0</v>
      </c>
      <c r="D2945" t="s">
        <v>111</v>
      </c>
      <c r="E2945">
        <v>18</v>
      </c>
      <c r="F2945">
        <v>1018</v>
      </c>
      <c r="G2945" t="s">
        <v>112</v>
      </c>
      <c r="J2945" t="s">
        <v>113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R2945" t="s">
        <v>114</v>
      </c>
      <c r="S2945" t="str">
        <f>"19:23:59.313"</f>
        <v>19:23:59.313</v>
      </c>
      <c r="T2945" t="str">
        <f>"19:23:59.313"</f>
        <v>19:23:59.313</v>
      </c>
      <c r="U2945" t="str">
        <f t="shared" si="136"/>
        <v>a1cdbe</v>
      </c>
      <c r="V2945">
        <v>0</v>
      </c>
      <c r="W2945">
        <v>0</v>
      </c>
      <c r="X2945">
        <v>1</v>
      </c>
      <c r="Y2945">
        <v>0</v>
      </c>
      <c r="Z2945">
        <v>0</v>
      </c>
      <c r="AB2945">
        <v>0</v>
      </c>
      <c r="AC2945">
        <v>9</v>
      </c>
      <c r="AD2945">
        <v>3</v>
      </c>
      <c r="AE2945">
        <v>0</v>
      </c>
      <c r="AF2945">
        <v>9</v>
      </c>
      <c r="AG2945" t="s">
        <v>158</v>
      </c>
      <c r="AH2945">
        <v>0</v>
      </c>
      <c r="AI2945">
        <v>3</v>
      </c>
      <c r="AJ2945">
        <v>1</v>
      </c>
      <c r="AK2945">
        <v>0</v>
      </c>
      <c r="AL2945" t="s">
        <v>5541</v>
      </c>
      <c r="AM2945">
        <v>46.981938</v>
      </c>
      <c r="AN2945" t="s">
        <v>5542</v>
      </c>
      <c r="AO2945">
        <v>-123.491607</v>
      </c>
      <c r="AP2945">
        <v>100</v>
      </c>
      <c r="AQ2945">
        <v>2100</v>
      </c>
      <c r="AR2945" t="s">
        <v>118</v>
      </c>
      <c r="AS2945">
        <v>-79</v>
      </c>
      <c r="AT2945">
        <v>10</v>
      </c>
      <c r="AU2945">
        <v>0</v>
      </c>
      <c r="BC2945">
        <v>1200</v>
      </c>
      <c r="BD2945">
        <v>1</v>
      </c>
      <c r="BE2945" t="str">
        <f t="shared" si="137"/>
        <v xml:space="preserve">N215T   </v>
      </c>
      <c r="BF2945">
        <v>1</v>
      </c>
      <c r="BH2945">
        <v>0</v>
      </c>
      <c r="BI2945">
        <v>0</v>
      </c>
      <c r="BJ2945">
        <v>0</v>
      </c>
      <c r="BK2945">
        <v>2450</v>
      </c>
      <c r="BL2945">
        <v>350</v>
      </c>
      <c r="BM2945" t="s">
        <v>119</v>
      </c>
      <c r="BN2945">
        <v>1</v>
      </c>
      <c r="BO2945">
        <v>1</v>
      </c>
      <c r="BP2945">
        <v>1</v>
      </c>
      <c r="BQ2945">
        <v>0</v>
      </c>
      <c r="BT2945">
        <v>0</v>
      </c>
      <c r="BU2945">
        <v>0</v>
      </c>
      <c r="BV2945">
        <v>0</v>
      </c>
      <c r="CC2945" t="str">
        <f>"19:23:59.320"</f>
        <v>19:23:59.320</v>
      </c>
      <c r="CD2945" t="str">
        <f>"317459390"</f>
        <v>317459390</v>
      </c>
      <c r="CQ2945">
        <v>0</v>
      </c>
      <c r="CR2945">
        <v>2</v>
      </c>
      <c r="CS2945">
        <v>0</v>
      </c>
      <c r="CT2945">
        <v>2</v>
      </c>
      <c r="CU2945">
        <v>0</v>
      </c>
      <c r="CV2945">
        <v>6</v>
      </c>
      <c r="CW2945" t="s">
        <v>120</v>
      </c>
      <c r="CX2945">
        <v>257</v>
      </c>
      <c r="CY2945">
        <v>0</v>
      </c>
      <c r="CZ2945" t="s">
        <v>615</v>
      </c>
      <c r="DA2945" t="s">
        <v>616</v>
      </c>
      <c r="DD2945">
        <v>16182967</v>
      </c>
      <c r="DE2945" t="s">
        <v>123</v>
      </c>
    </row>
    <row r="2946" spans="1:109" x14ac:dyDescent="0.3">
      <c r="A2946" t="str">
        <f>"19:24:00.414"</f>
        <v>19:24:00.414</v>
      </c>
      <c r="B2946" t="s">
        <v>110</v>
      </c>
      <c r="C2946" t="str">
        <f t="shared" ref="C2946:C3009" si="138">"ffdfd3c0"</f>
        <v>ffdfd3c0</v>
      </c>
      <c r="D2946" t="s">
        <v>111</v>
      </c>
      <c r="E2946">
        <v>18</v>
      </c>
      <c r="F2946">
        <v>1018</v>
      </c>
      <c r="G2946" t="s">
        <v>112</v>
      </c>
      <c r="J2946" t="s">
        <v>113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R2946" t="s">
        <v>114</v>
      </c>
      <c r="S2946" t="str">
        <f>"19:24:00.195"</f>
        <v>19:24:00.195</v>
      </c>
      <c r="T2946" t="str">
        <f>"19:23:59.898"</f>
        <v>19:23:59.898</v>
      </c>
      <c r="U2946" t="str">
        <f t="shared" ref="U2946:U3009" si="139">"a1cdbe"</f>
        <v>a1cdbe</v>
      </c>
      <c r="V2946">
        <v>0</v>
      </c>
      <c r="W2946">
        <v>0</v>
      </c>
      <c r="X2946">
        <v>1</v>
      </c>
      <c r="Y2946">
        <v>0</v>
      </c>
      <c r="Z2946">
        <v>0</v>
      </c>
      <c r="AB2946">
        <v>0</v>
      </c>
      <c r="AC2946">
        <v>9</v>
      </c>
      <c r="AD2946">
        <v>3</v>
      </c>
      <c r="AE2946">
        <v>0</v>
      </c>
      <c r="AF2946">
        <v>9</v>
      </c>
      <c r="AG2946" t="s">
        <v>158</v>
      </c>
      <c r="AH2946">
        <v>0</v>
      </c>
      <c r="AI2946">
        <v>3</v>
      </c>
      <c r="AJ2946">
        <v>1</v>
      </c>
      <c r="AK2946">
        <v>0</v>
      </c>
      <c r="AL2946" t="s">
        <v>5543</v>
      </c>
      <c r="AM2946">
        <v>46.981959000000003</v>
      </c>
      <c r="AN2946" t="s">
        <v>5544</v>
      </c>
      <c r="AO2946">
        <v>-123.49209999999999</v>
      </c>
      <c r="AP2946">
        <v>100</v>
      </c>
      <c r="AQ2946">
        <v>2100</v>
      </c>
      <c r="AR2946" t="s">
        <v>118</v>
      </c>
      <c r="AS2946">
        <v>-79</v>
      </c>
      <c r="AT2946">
        <v>10</v>
      </c>
      <c r="AU2946">
        <v>0</v>
      </c>
      <c r="BC2946">
        <v>1200</v>
      </c>
      <c r="BD2946">
        <v>1</v>
      </c>
      <c r="BE2946" t="str">
        <f t="shared" ref="BE2946:BE3009" si="140">"N215T   "</f>
        <v xml:space="preserve">N215T   </v>
      </c>
      <c r="BF2946">
        <v>1</v>
      </c>
      <c r="BH2946">
        <v>0</v>
      </c>
      <c r="BI2946">
        <v>0</v>
      </c>
      <c r="BJ2946">
        <v>0</v>
      </c>
      <c r="BK2946">
        <v>2450</v>
      </c>
      <c r="BL2946">
        <v>350</v>
      </c>
      <c r="BM2946" t="s">
        <v>119</v>
      </c>
      <c r="BN2946">
        <v>1</v>
      </c>
      <c r="BO2946">
        <v>1</v>
      </c>
      <c r="BP2946">
        <v>1</v>
      </c>
      <c r="BQ2946">
        <v>0</v>
      </c>
      <c r="BT2946">
        <v>0</v>
      </c>
      <c r="BU2946">
        <v>0</v>
      </c>
      <c r="BV2946">
        <v>0</v>
      </c>
      <c r="CC2946" t="str">
        <f>"19:24:00.203"</f>
        <v>19:24:00.203</v>
      </c>
      <c r="CD2946" t="str">
        <f>"202372168"</f>
        <v>202372168</v>
      </c>
      <c r="CQ2946">
        <v>0</v>
      </c>
      <c r="CR2946">
        <v>2</v>
      </c>
      <c r="CS2946">
        <v>0</v>
      </c>
      <c r="CT2946">
        <v>2</v>
      </c>
      <c r="CU2946">
        <v>0</v>
      </c>
      <c r="CV2946">
        <v>6</v>
      </c>
      <c r="CW2946" t="s">
        <v>120</v>
      </c>
      <c r="CX2946">
        <v>257</v>
      </c>
      <c r="CY2946">
        <v>0</v>
      </c>
      <c r="CZ2946" t="s">
        <v>615</v>
      </c>
      <c r="DA2946" t="s">
        <v>616</v>
      </c>
      <c r="DD2946">
        <v>16183501</v>
      </c>
      <c r="DE2946" t="s">
        <v>123</v>
      </c>
    </row>
    <row r="2947" spans="1:109" x14ac:dyDescent="0.3">
      <c r="A2947" t="str">
        <f>"19:24:01.367"</f>
        <v>19:24:01.367</v>
      </c>
      <c r="B2947" t="s">
        <v>110</v>
      </c>
      <c r="C2947" t="str">
        <f t="shared" si="138"/>
        <v>ffdfd3c0</v>
      </c>
      <c r="D2947" t="s">
        <v>111</v>
      </c>
      <c r="E2947">
        <v>18</v>
      </c>
      <c r="F2947">
        <v>1018</v>
      </c>
      <c r="G2947" t="s">
        <v>112</v>
      </c>
      <c r="J2947" t="s">
        <v>113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R2947" t="s">
        <v>114</v>
      </c>
      <c r="S2947" t="str">
        <f>"19:24:01.125"</f>
        <v>19:24:01.125</v>
      </c>
      <c r="T2947" t="str">
        <f>"19:24:00.922"</f>
        <v>19:24:00.922</v>
      </c>
      <c r="U2947" t="str">
        <f t="shared" si="139"/>
        <v>a1cdbe</v>
      </c>
      <c r="V2947">
        <v>0</v>
      </c>
      <c r="W2947">
        <v>0</v>
      </c>
      <c r="X2947">
        <v>1</v>
      </c>
      <c r="Y2947">
        <v>0</v>
      </c>
      <c r="Z2947">
        <v>0</v>
      </c>
      <c r="AB2947">
        <v>0</v>
      </c>
      <c r="AC2947">
        <v>9</v>
      </c>
      <c r="AD2947">
        <v>3</v>
      </c>
      <c r="AE2947">
        <v>0</v>
      </c>
      <c r="AF2947">
        <v>9</v>
      </c>
      <c r="AG2947" t="s">
        <v>158</v>
      </c>
      <c r="AH2947">
        <v>0</v>
      </c>
      <c r="AI2947">
        <v>3</v>
      </c>
      <c r="AJ2947">
        <v>1</v>
      </c>
      <c r="AK2947">
        <v>0</v>
      </c>
      <c r="AL2947" t="s">
        <v>5545</v>
      </c>
      <c r="AM2947">
        <v>46.982002000000001</v>
      </c>
      <c r="AN2947" t="s">
        <v>5546</v>
      </c>
      <c r="AO2947">
        <v>-123.492594</v>
      </c>
      <c r="AP2947">
        <v>100</v>
      </c>
      <c r="AQ2947">
        <v>2100</v>
      </c>
      <c r="AR2947" t="s">
        <v>118</v>
      </c>
      <c r="AS2947">
        <v>-79</v>
      </c>
      <c r="AT2947">
        <v>10</v>
      </c>
      <c r="AU2947">
        <v>0</v>
      </c>
      <c r="BC2947">
        <v>1200</v>
      </c>
      <c r="BD2947">
        <v>1</v>
      </c>
      <c r="BE2947" t="str">
        <f t="shared" si="140"/>
        <v xml:space="preserve">N215T   </v>
      </c>
      <c r="BF2947">
        <v>1</v>
      </c>
      <c r="BH2947">
        <v>0</v>
      </c>
      <c r="BI2947">
        <v>0</v>
      </c>
      <c r="BJ2947">
        <v>0</v>
      </c>
      <c r="BK2947">
        <v>2450</v>
      </c>
      <c r="BL2947">
        <v>350</v>
      </c>
      <c r="BM2947" t="s">
        <v>119</v>
      </c>
      <c r="BN2947">
        <v>1</v>
      </c>
      <c r="BO2947">
        <v>1</v>
      </c>
      <c r="BP2947">
        <v>1</v>
      </c>
      <c r="BQ2947">
        <v>0</v>
      </c>
      <c r="BT2947">
        <v>0</v>
      </c>
      <c r="BU2947">
        <v>0</v>
      </c>
      <c r="BV2947">
        <v>0</v>
      </c>
      <c r="CC2947" t="str">
        <f>"19:24:01.133"</f>
        <v>19:24:01.133</v>
      </c>
      <c r="CD2947" t="str">
        <f>"132280513"</f>
        <v>132280513</v>
      </c>
      <c r="CQ2947">
        <v>0</v>
      </c>
      <c r="CR2947">
        <v>2</v>
      </c>
      <c r="CS2947">
        <v>0</v>
      </c>
      <c r="CT2947">
        <v>2</v>
      </c>
      <c r="CU2947">
        <v>0</v>
      </c>
      <c r="CV2947">
        <v>6</v>
      </c>
      <c r="CW2947" t="s">
        <v>120</v>
      </c>
      <c r="CX2947">
        <v>257</v>
      </c>
      <c r="CY2947">
        <v>0</v>
      </c>
      <c r="CZ2947" t="s">
        <v>615</v>
      </c>
      <c r="DA2947" t="s">
        <v>616</v>
      </c>
      <c r="DD2947">
        <v>16184061</v>
      </c>
      <c r="DE2947" t="s">
        <v>123</v>
      </c>
    </row>
    <row r="2948" spans="1:109" x14ac:dyDescent="0.3">
      <c r="A2948" t="str">
        <f>"19:24:02.422"</f>
        <v>19:24:02.422</v>
      </c>
      <c r="B2948" t="s">
        <v>110</v>
      </c>
      <c r="C2948" t="str">
        <f t="shared" si="138"/>
        <v>ffdfd3c0</v>
      </c>
      <c r="D2948" t="s">
        <v>111</v>
      </c>
      <c r="E2948">
        <v>18</v>
      </c>
      <c r="F2948">
        <v>1018</v>
      </c>
      <c r="G2948" t="s">
        <v>112</v>
      </c>
      <c r="J2948" t="s">
        <v>113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R2948" t="s">
        <v>114</v>
      </c>
      <c r="S2948" t="str">
        <f>"19:24:02.164"</f>
        <v>19:24:02.164</v>
      </c>
      <c r="T2948" t="str">
        <f>"19:24:01.766"</f>
        <v>19:24:01.766</v>
      </c>
      <c r="U2948" t="str">
        <f t="shared" si="139"/>
        <v>a1cdbe</v>
      </c>
      <c r="V2948">
        <v>0</v>
      </c>
      <c r="W2948">
        <v>0</v>
      </c>
      <c r="X2948">
        <v>1</v>
      </c>
      <c r="Y2948">
        <v>0</v>
      </c>
      <c r="Z2948">
        <v>0</v>
      </c>
      <c r="AB2948">
        <v>0</v>
      </c>
      <c r="AC2948">
        <v>9</v>
      </c>
      <c r="AD2948">
        <v>3</v>
      </c>
      <c r="AE2948">
        <v>0</v>
      </c>
      <c r="AF2948">
        <v>9</v>
      </c>
      <c r="AG2948" t="s">
        <v>158</v>
      </c>
      <c r="AH2948">
        <v>0</v>
      </c>
      <c r="AI2948">
        <v>3</v>
      </c>
      <c r="AJ2948">
        <v>1</v>
      </c>
      <c r="AK2948">
        <v>0</v>
      </c>
      <c r="AL2948" t="s">
        <v>5547</v>
      </c>
      <c r="AM2948">
        <v>46.982044999999999</v>
      </c>
      <c r="AN2948" t="s">
        <v>5548</v>
      </c>
      <c r="AO2948">
        <v>-123.49315199999999</v>
      </c>
      <c r="AP2948">
        <v>100</v>
      </c>
      <c r="AQ2948">
        <v>2100</v>
      </c>
      <c r="AR2948" t="s">
        <v>118</v>
      </c>
      <c r="AS2948">
        <v>-79</v>
      </c>
      <c r="AT2948">
        <v>10</v>
      </c>
      <c r="AU2948">
        <v>64</v>
      </c>
      <c r="BC2948">
        <v>1200</v>
      </c>
      <c r="BD2948">
        <v>1</v>
      </c>
      <c r="BE2948" t="str">
        <f t="shared" si="140"/>
        <v xml:space="preserve">N215T   </v>
      </c>
      <c r="BF2948">
        <v>1</v>
      </c>
      <c r="BH2948">
        <v>0</v>
      </c>
      <c r="BI2948">
        <v>0</v>
      </c>
      <c r="BJ2948">
        <v>0</v>
      </c>
      <c r="BK2948">
        <v>2450</v>
      </c>
      <c r="BL2948">
        <v>350</v>
      </c>
      <c r="BM2948" t="s">
        <v>119</v>
      </c>
      <c r="BN2948">
        <v>1</v>
      </c>
      <c r="BO2948">
        <v>1</v>
      </c>
      <c r="BP2948">
        <v>1</v>
      </c>
      <c r="BQ2948">
        <v>0</v>
      </c>
      <c r="BT2948">
        <v>0</v>
      </c>
      <c r="BU2948">
        <v>0</v>
      </c>
      <c r="BV2948">
        <v>0</v>
      </c>
      <c r="CC2948" t="str">
        <f>"19:24:02.164"</f>
        <v>19:24:02.164</v>
      </c>
      <c r="CD2948" t="str">
        <f>"167178512"</f>
        <v>167178512</v>
      </c>
      <c r="CQ2948">
        <v>0</v>
      </c>
      <c r="CR2948">
        <v>2</v>
      </c>
      <c r="CS2948">
        <v>0</v>
      </c>
      <c r="CT2948">
        <v>2</v>
      </c>
      <c r="CU2948">
        <v>0</v>
      </c>
      <c r="CV2948">
        <v>6</v>
      </c>
      <c r="CW2948" t="s">
        <v>120</v>
      </c>
      <c r="CX2948">
        <v>257</v>
      </c>
      <c r="CY2948">
        <v>0</v>
      </c>
      <c r="CZ2948" t="s">
        <v>615</v>
      </c>
      <c r="DA2948" t="s">
        <v>616</v>
      </c>
      <c r="DD2948">
        <v>16184603</v>
      </c>
      <c r="DE2948" t="s">
        <v>123</v>
      </c>
    </row>
    <row r="2949" spans="1:109" x14ac:dyDescent="0.3">
      <c r="A2949" t="str">
        <f>"19:24:03.375"</f>
        <v>19:24:03.375</v>
      </c>
      <c r="B2949" t="s">
        <v>110</v>
      </c>
      <c r="C2949" t="str">
        <f t="shared" si="138"/>
        <v>ffdfd3c0</v>
      </c>
      <c r="D2949" t="s">
        <v>111</v>
      </c>
      <c r="E2949">
        <v>18</v>
      </c>
      <c r="F2949">
        <v>1018</v>
      </c>
      <c r="G2949" t="s">
        <v>112</v>
      </c>
      <c r="J2949" t="s">
        <v>113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R2949" t="s">
        <v>114</v>
      </c>
      <c r="S2949" t="str">
        <f>"19:24:03.172"</f>
        <v>19:24:03.172</v>
      </c>
      <c r="T2949" t="str">
        <f>"19:24:03.172"</f>
        <v>19:24:03.172</v>
      </c>
      <c r="U2949" t="str">
        <f t="shared" si="139"/>
        <v>a1cdbe</v>
      </c>
      <c r="V2949">
        <v>0</v>
      </c>
      <c r="W2949">
        <v>0</v>
      </c>
      <c r="X2949">
        <v>1</v>
      </c>
      <c r="Y2949">
        <v>0</v>
      </c>
      <c r="Z2949">
        <v>0</v>
      </c>
      <c r="AB2949">
        <v>0</v>
      </c>
      <c r="AC2949">
        <v>9</v>
      </c>
      <c r="AD2949">
        <v>3</v>
      </c>
      <c r="AE2949">
        <v>0</v>
      </c>
      <c r="AF2949">
        <v>9</v>
      </c>
      <c r="AG2949" t="s">
        <v>158</v>
      </c>
      <c r="AH2949">
        <v>0</v>
      </c>
      <c r="AI2949">
        <v>3</v>
      </c>
      <c r="AJ2949">
        <v>1</v>
      </c>
      <c r="AK2949">
        <v>0</v>
      </c>
      <c r="AL2949" t="s">
        <v>921</v>
      </c>
      <c r="AM2949">
        <v>46.982109999999999</v>
      </c>
      <c r="AN2949" t="s">
        <v>5549</v>
      </c>
      <c r="AO2949">
        <v>-123.493752</v>
      </c>
      <c r="AP2949">
        <v>100</v>
      </c>
      <c r="AQ2949">
        <v>2100</v>
      </c>
      <c r="AR2949" t="s">
        <v>118</v>
      </c>
      <c r="AS2949">
        <v>-79</v>
      </c>
      <c r="AT2949">
        <v>9</v>
      </c>
      <c r="AU2949">
        <v>0</v>
      </c>
      <c r="BC2949">
        <v>1200</v>
      </c>
      <c r="BD2949">
        <v>1</v>
      </c>
      <c r="BE2949" t="str">
        <f t="shared" si="140"/>
        <v xml:space="preserve">N215T   </v>
      </c>
      <c r="BF2949">
        <v>1</v>
      </c>
      <c r="BH2949">
        <v>0</v>
      </c>
      <c r="BI2949">
        <v>0</v>
      </c>
      <c r="BJ2949">
        <v>0</v>
      </c>
      <c r="BK2949">
        <v>2450</v>
      </c>
      <c r="BL2949">
        <v>350</v>
      </c>
      <c r="BM2949" t="s">
        <v>119</v>
      </c>
      <c r="BN2949">
        <v>1</v>
      </c>
      <c r="BO2949">
        <v>1</v>
      </c>
      <c r="BP2949">
        <v>1</v>
      </c>
      <c r="BQ2949">
        <v>0</v>
      </c>
      <c r="BT2949">
        <v>0</v>
      </c>
      <c r="BU2949">
        <v>0</v>
      </c>
      <c r="BV2949">
        <v>0</v>
      </c>
      <c r="CC2949" t="str">
        <f>"19:24:03.172"</f>
        <v>19:24:03.172</v>
      </c>
      <c r="CD2949" t="str">
        <f>"172079453"</f>
        <v>172079453</v>
      </c>
      <c r="CQ2949">
        <v>0</v>
      </c>
      <c r="CR2949">
        <v>2</v>
      </c>
      <c r="CS2949">
        <v>0</v>
      </c>
      <c r="CT2949">
        <v>2</v>
      </c>
      <c r="CU2949">
        <v>0</v>
      </c>
      <c r="CV2949">
        <v>6</v>
      </c>
      <c r="CW2949" t="s">
        <v>120</v>
      </c>
      <c r="CX2949">
        <v>257</v>
      </c>
      <c r="CY2949">
        <v>0</v>
      </c>
      <c r="CZ2949" t="s">
        <v>615</v>
      </c>
      <c r="DA2949" t="s">
        <v>616</v>
      </c>
      <c r="DD2949">
        <v>16185107</v>
      </c>
      <c r="DE2949" t="s">
        <v>123</v>
      </c>
    </row>
    <row r="2950" spans="1:109" x14ac:dyDescent="0.3">
      <c r="A2950" t="str">
        <f>"19:24:04.484"</f>
        <v>19:24:04.484</v>
      </c>
      <c r="B2950" t="s">
        <v>110</v>
      </c>
      <c r="C2950" t="str">
        <f t="shared" si="138"/>
        <v>ffdfd3c0</v>
      </c>
      <c r="D2950" t="s">
        <v>111</v>
      </c>
      <c r="E2950">
        <v>18</v>
      </c>
      <c r="F2950">
        <v>1018</v>
      </c>
      <c r="G2950" t="s">
        <v>112</v>
      </c>
      <c r="J2950" t="s">
        <v>113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R2950" t="s">
        <v>114</v>
      </c>
      <c r="S2950" t="str">
        <f>"19:24:04.281"</f>
        <v>19:24:04.281</v>
      </c>
      <c r="T2950" t="str">
        <f>"19:24:04.180"</f>
        <v>19:24:04.180</v>
      </c>
      <c r="U2950" t="str">
        <f t="shared" si="139"/>
        <v>a1cdbe</v>
      </c>
      <c r="V2950">
        <v>0</v>
      </c>
      <c r="W2950">
        <v>0</v>
      </c>
      <c r="X2950">
        <v>1</v>
      </c>
      <c r="Y2950">
        <v>0</v>
      </c>
      <c r="Z2950">
        <v>0</v>
      </c>
      <c r="AB2950">
        <v>0</v>
      </c>
      <c r="AC2950">
        <v>9</v>
      </c>
      <c r="AD2950">
        <v>3</v>
      </c>
      <c r="AE2950">
        <v>0</v>
      </c>
      <c r="AF2950">
        <v>9</v>
      </c>
      <c r="AG2950" t="s">
        <v>158</v>
      </c>
      <c r="AH2950">
        <v>0</v>
      </c>
      <c r="AI2950">
        <v>3</v>
      </c>
      <c r="AJ2950">
        <v>1</v>
      </c>
      <c r="AK2950">
        <v>0</v>
      </c>
      <c r="AL2950" t="s">
        <v>5550</v>
      </c>
      <c r="AM2950">
        <v>46.982151999999999</v>
      </c>
      <c r="AN2950" t="s">
        <v>5551</v>
      </c>
      <c r="AO2950">
        <v>-123.49428899999999</v>
      </c>
      <c r="AP2950">
        <v>100</v>
      </c>
      <c r="AQ2950">
        <v>2100</v>
      </c>
      <c r="AR2950" t="s">
        <v>118</v>
      </c>
      <c r="AS2950">
        <v>-79</v>
      </c>
      <c r="AT2950">
        <v>9</v>
      </c>
      <c r="AU2950">
        <v>0</v>
      </c>
      <c r="BC2950">
        <v>1200</v>
      </c>
      <c r="BD2950">
        <v>1</v>
      </c>
      <c r="BE2950" t="str">
        <f t="shared" si="140"/>
        <v xml:space="preserve">N215T   </v>
      </c>
      <c r="BF2950">
        <v>1</v>
      </c>
      <c r="BH2950">
        <v>0</v>
      </c>
      <c r="BI2950">
        <v>0</v>
      </c>
      <c r="BJ2950">
        <v>0</v>
      </c>
      <c r="BK2950">
        <v>2450</v>
      </c>
      <c r="BL2950">
        <v>350</v>
      </c>
      <c r="BM2950" t="s">
        <v>119</v>
      </c>
      <c r="BN2950">
        <v>1</v>
      </c>
      <c r="BO2950">
        <v>1</v>
      </c>
      <c r="BP2950">
        <v>1</v>
      </c>
      <c r="BQ2950">
        <v>0</v>
      </c>
      <c r="BT2950">
        <v>0</v>
      </c>
      <c r="BU2950">
        <v>0</v>
      </c>
      <c r="BV2950">
        <v>0</v>
      </c>
      <c r="CC2950" t="str">
        <f>"19:24:04.281"</f>
        <v>19:24:04.281</v>
      </c>
      <c r="CD2950" t="str">
        <f>"281970054"</f>
        <v>281970054</v>
      </c>
      <c r="CQ2950">
        <v>0</v>
      </c>
      <c r="CR2950">
        <v>2</v>
      </c>
      <c r="CS2950">
        <v>0</v>
      </c>
      <c r="CT2950">
        <v>2</v>
      </c>
      <c r="CU2950">
        <v>0</v>
      </c>
      <c r="CV2950">
        <v>6</v>
      </c>
      <c r="CW2950" t="s">
        <v>120</v>
      </c>
      <c r="CX2950">
        <v>257</v>
      </c>
      <c r="CY2950">
        <v>0</v>
      </c>
      <c r="CZ2950" t="s">
        <v>615</v>
      </c>
      <c r="DA2950" t="s">
        <v>616</v>
      </c>
      <c r="DD2950">
        <v>16185720</v>
      </c>
      <c r="DE2950" t="s">
        <v>123</v>
      </c>
    </row>
    <row r="2951" spans="1:109" x14ac:dyDescent="0.3">
      <c r="A2951" t="str">
        <f>"19:24:05.438"</f>
        <v>19:24:05.438</v>
      </c>
      <c r="B2951" t="s">
        <v>110</v>
      </c>
      <c r="C2951" t="str">
        <f t="shared" si="138"/>
        <v>ffdfd3c0</v>
      </c>
      <c r="D2951" t="s">
        <v>111</v>
      </c>
      <c r="E2951">
        <v>18</v>
      </c>
      <c r="F2951">
        <v>1018</v>
      </c>
      <c r="G2951" t="s">
        <v>112</v>
      </c>
      <c r="J2951" t="s">
        <v>113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R2951" t="s">
        <v>114</v>
      </c>
      <c r="S2951" t="str">
        <f>"19:24:05.227"</f>
        <v>19:24:05.227</v>
      </c>
      <c r="T2951" t="str">
        <f>"19:24:05.227"</f>
        <v>19:24:05.227</v>
      </c>
      <c r="U2951" t="str">
        <f t="shared" si="139"/>
        <v>a1cdbe</v>
      </c>
      <c r="V2951">
        <v>0</v>
      </c>
      <c r="W2951">
        <v>0</v>
      </c>
      <c r="X2951">
        <v>1</v>
      </c>
      <c r="Y2951">
        <v>0</v>
      </c>
      <c r="Z2951">
        <v>0</v>
      </c>
      <c r="AB2951">
        <v>0</v>
      </c>
      <c r="AC2951">
        <v>9</v>
      </c>
      <c r="AD2951">
        <v>3</v>
      </c>
      <c r="AE2951">
        <v>0</v>
      </c>
      <c r="AF2951">
        <v>9</v>
      </c>
      <c r="AG2951" t="s">
        <v>158</v>
      </c>
      <c r="AH2951">
        <v>0</v>
      </c>
      <c r="AI2951">
        <v>3</v>
      </c>
      <c r="AJ2951">
        <v>1</v>
      </c>
      <c r="AK2951">
        <v>0</v>
      </c>
      <c r="AL2951" t="s">
        <v>5552</v>
      </c>
      <c r="AM2951">
        <v>46.982216999999999</v>
      </c>
      <c r="AN2951" t="s">
        <v>5553</v>
      </c>
      <c r="AO2951">
        <v>-123.494782</v>
      </c>
      <c r="AP2951">
        <v>100</v>
      </c>
      <c r="AQ2951">
        <v>2100</v>
      </c>
      <c r="AR2951" t="s">
        <v>118</v>
      </c>
      <c r="AS2951">
        <v>-80</v>
      </c>
      <c r="AT2951">
        <v>8</v>
      </c>
      <c r="AU2951">
        <v>64</v>
      </c>
      <c r="BC2951">
        <v>1200</v>
      </c>
      <c r="BD2951">
        <v>1</v>
      </c>
      <c r="BE2951" t="str">
        <f t="shared" si="140"/>
        <v xml:space="preserve">N215T   </v>
      </c>
      <c r="BF2951">
        <v>1</v>
      </c>
      <c r="BH2951">
        <v>0</v>
      </c>
      <c r="BI2951">
        <v>0</v>
      </c>
      <c r="BJ2951">
        <v>0</v>
      </c>
      <c r="BK2951">
        <v>2450</v>
      </c>
      <c r="BL2951">
        <v>350</v>
      </c>
      <c r="BM2951" t="s">
        <v>119</v>
      </c>
      <c r="BN2951">
        <v>1</v>
      </c>
      <c r="BO2951">
        <v>1</v>
      </c>
      <c r="BP2951">
        <v>1</v>
      </c>
      <c r="BQ2951">
        <v>0</v>
      </c>
      <c r="BT2951">
        <v>0</v>
      </c>
      <c r="BU2951">
        <v>0</v>
      </c>
      <c r="BV2951">
        <v>0</v>
      </c>
      <c r="CC2951" t="str">
        <f>"19:24:05.227"</f>
        <v>19:24:05.227</v>
      </c>
      <c r="CD2951" t="str">
        <f>"226876911"</f>
        <v>226876911</v>
      </c>
      <c r="CQ2951">
        <v>0</v>
      </c>
      <c r="CR2951">
        <v>2</v>
      </c>
      <c r="CS2951">
        <v>0</v>
      </c>
      <c r="CT2951">
        <v>2</v>
      </c>
      <c r="CU2951">
        <v>0</v>
      </c>
      <c r="CV2951">
        <v>6</v>
      </c>
      <c r="CW2951" t="s">
        <v>120</v>
      </c>
      <c r="CX2951">
        <v>257</v>
      </c>
      <c r="CY2951">
        <v>0</v>
      </c>
      <c r="CZ2951" t="s">
        <v>615</v>
      </c>
      <c r="DA2951" t="s">
        <v>616</v>
      </c>
      <c r="DD2951">
        <v>16186215</v>
      </c>
      <c r="DE2951" t="s">
        <v>123</v>
      </c>
    </row>
    <row r="2952" spans="1:109" x14ac:dyDescent="0.3">
      <c r="A2952" t="str">
        <f>"19:24:06.445"</f>
        <v>19:24:06.445</v>
      </c>
      <c r="B2952" t="s">
        <v>110</v>
      </c>
      <c r="C2952" t="str">
        <f t="shared" si="138"/>
        <v>ffdfd3c0</v>
      </c>
      <c r="D2952" t="s">
        <v>111</v>
      </c>
      <c r="E2952">
        <v>18</v>
      </c>
      <c r="F2952">
        <v>1018</v>
      </c>
      <c r="G2952" t="s">
        <v>112</v>
      </c>
      <c r="J2952" t="s">
        <v>113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R2952" t="s">
        <v>114</v>
      </c>
      <c r="S2952" t="str">
        <f>"19:24:06.195"</f>
        <v>19:24:06.195</v>
      </c>
      <c r="T2952" t="str">
        <f>"19:24:05.797"</f>
        <v>19:24:05.797</v>
      </c>
      <c r="U2952" t="str">
        <f t="shared" si="139"/>
        <v>a1cdbe</v>
      </c>
      <c r="V2952">
        <v>0</v>
      </c>
      <c r="W2952">
        <v>0</v>
      </c>
      <c r="X2952">
        <v>1</v>
      </c>
      <c r="Y2952">
        <v>0</v>
      </c>
      <c r="Z2952">
        <v>0</v>
      </c>
      <c r="AB2952">
        <v>0</v>
      </c>
      <c r="AC2952">
        <v>9</v>
      </c>
      <c r="AD2952">
        <v>3</v>
      </c>
      <c r="AE2952">
        <v>0</v>
      </c>
      <c r="AF2952">
        <v>9</v>
      </c>
      <c r="AG2952" t="s">
        <v>158</v>
      </c>
      <c r="AH2952">
        <v>0</v>
      </c>
      <c r="AI2952">
        <v>3</v>
      </c>
      <c r="AJ2952">
        <v>1</v>
      </c>
      <c r="AK2952">
        <v>0</v>
      </c>
      <c r="AL2952" t="s">
        <v>5554</v>
      </c>
      <c r="AM2952">
        <v>46.982238000000002</v>
      </c>
      <c r="AN2952" t="s">
        <v>5555</v>
      </c>
      <c r="AO2952">
        <v>-123.49534</v>
      </c>
      <c r="AP2952">
        <v>100</v>
      </c>
      <c r="AQ2952">
        <v>2100</v>
      </c>
      <c r="AR2952" t="s">
        <v>118</v>
      </c>
      <c r="AS2952">
        <v>-80</v>
      </c>
      <c r="AT2952">
        <v>8</v>
      </c>
      <c r="AU2952">
        <v>64</v>
      </c>
      <c r="BC2952">
        <v>1200</v>
      </c>
      <c r="BD2952">
        <v>1</v>
      </c>
      <c r="BE2952" t="str">
        <f t="shared" si="140"/>
        <v xml:space="preserve">N215T   </v>
      </c>
      <c r="BF2952">
        <v>1</v>
      </c>
      <c r="BH2952">
        <v>0</v>
      </c>
      <c r="BI2952">
        <v>0</v>
      </c>
      <c r="BJ2952">
        <v>0</v>
      </c>
      <c r="BK2952">
        <v>2450</v>
      </c>
      <c r="BL2952">
        <v>350</v>
      </c>
      <c r="BM2952" t="s">
        <v>119</v>
      </c>
      <c r="BN2952">
        <v>1</v>
      </c>
      <c r="BO2952">
        <v>1</v>
      </c>
      <c r="BP2952">
        <v>1</v>
      </c>
      <c r="BQ2952">
        <v>0</v>
      </c>
      <c r="BT2952">
        <v>0</v>
      </c>
      <c r="BU2952">
        <v>0</v>
      </c>
      <c r="BV2952">
        <v>0</v>
      </c>
      <c r="CC2952" t="str">
        <f>"19:24:06.203"</f>
        <v>19:24:06.203</v>
      </c>
      <c r="CD2952" t="str">
        <f>"201780823"</f>
        <v>201780823</v>
      </c>
      <c r="CQ2952">
        <v>0</v>
      </c>
      <c r="CR2952">
        <v>2</v>
      </c>
      <c r="CS2952">
        <v>0</v>
      </c>
      <c r="CT2952">
        <v>2</v>
      </c>
      <c r="CU2952">
        <v>0</v>
      </c>
      <c r="CV2952">
        <v>6</v>
      </c>
      <c r="CW2952" t="s">
        <v>120</v>
      </c>
      <c r="CX2952">
        <v>257</v>
      </c>
      <c r="CY2952">
        <v>0</v>
      </c>
      <c r="CZ2952" t="s">
        <v>615</v>
      </c>
      <c r="DA2952" t="s">
        <v>616</v>
      </c>
      <c r="DD2952">
        <v>16186772</v>
      </c>
      <c r="DE2952" t="s">
        <v>123</v>
      </c>
    </row>
    <row r="2953" spans="1:109" x14ac:dyDescent="0.3">
      <c r="A2953" t="str">
        <f>"19:24:07.398"</f>
        <v>19:24:07.398</v>
      </c>
      <c r="B2953" t="s">
        <v>110</v>
      </c>
      <c r="C2953" t="str">
        <f t="shared" si="138"/>
        <v>ffdfd3c0</v>
      </c>
      <c r="D2953" t="s">
        <v>111</v>
      </c>
      <c r="E2953">
        <v>18</v>
      </c>
      <c r="F2953">
        <v>1018</v>
      </c>
      <c r="G2953" t="s">
        <v>112</v>
      </c>
      <c r="J2953" t="s">
        <v>113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R2953" t="s">
        <v>114</v>
      </c>
      <c r="S2953" t="str">
        <f>"19:24:07.203"</f>
        <v>19:24:07.203</v>
      </c>
      <c r="T2953" t="str">
        <f>"19:24:06.805"</f>
        <v>19:24:06.805</v>
      </c>
      <c r="U2953" t="str">
        <f t="shared" si="139"/>
        <v>a1cdbe</v>
      </c>
      <c r="V2953">
        <v>0</v>
      </c>
      <c r="W2953">
        <v>0</v>
      </c>
      <c r="X2953">
        <v>1</v>
      </c>
      <c r="Y2953">
        <v>0</v>
      </c>
      <c r="Z2953">
        <v>0</v>
      </c>
      <c r="AB2953">
        <v>0</v>
      </c>
      <c r="AC2953">
        <v>9</v>
      </c>
      <c r="AD2953">
        <v>3</v>
      </c>
      <c r="AE2953">
        <v>0</v>
      </c>
      <c r="AF2953">
        <v>9</v>
      </c>
      <c r="AG2953" t="s">
        <v>158</v>
      </c>
      <c r="AH2953">
        <v>0</v>
      </c>
      <c r="AI2953">
        <v>3</v>
      </c>
      <c r="AJ2953">
        <v>1</v>
      </c>
      <c r="AK2953">
        <v>0</v>
      </c>
      <c r="AL2953" t="s">
        <v>5556</v>
      </c>
      <c r="AM2953">
        <v>46.982259999999997</v>
      </c>
      <c r="AN2953" t="s">
        <v>5557</v>
      </c>
      <c r="AO2953">
        <v>-123.49587699999999</v>
      </c>
      <c r="AP2953">
        <v>100</v>
      </c>
      <c r="AQ2953">
        <v>2100</v>
      </c>
      <c r="AR2953" t="s">
        <v>118</v>
      </c>
      <c r="AS2953">
        <v>-80</v>
      </c>
      <c r="AT2953">
        <v>8</v>
      </c>
      <c r="AU2953">
        <v>64</v>
      </c>
      <c r="BC2953">
        <v>1200</v>
      </c>
      <c r="BD2953">
        <v>1</v>
      </c>
      <c r="BE2953" t="str">
        <f t="shared" si="140"/>
        <v xml:space="preserve">N215T   </v>
      </c>
      <c r="BF2953">
        <v>1</v>
      </c>
      <c r="BH2953">
        <v>0</v>
      </c>
      <c r="BI2953">
        <v>0</v>
      </c>
      <c r="BJ2953">
        <v>0</v>
      </c>
      <c r="BK2953">
        <v>2450</v>
      </c>
      <c r="BL2953">
        <v>350</v>
      </c>
      <c r="BM2953" t="s">
        <v>119</v>
      </c>
      <c r="BN2953">
        <v>1</v>
      </c>
      <c r="BO2953">
        <v>1</v>
      </c>
      <c r="BP2953">
        <v>1</v>
      </c>
      <c r="BQ2953">
        <v>0</v>
      </c>
      <c r="BT2953">
        <v>0</v>
      </c>
      <c r="BU2953">
        <v>0</v>
      </c>
      <c r="BV2953">
        <v>0</v>
      </c>
      <c r="CC2953" t="str">
        <f>"19:24:07.203"</f>
        <v>19:24:07.203</v>
      </c>
      <c r="CD2953" t="str">
        <f>"206681776"</f>
        <v>206681776</v>
      </c>
      <c r="CQ2953">
        <v>0</v>
      </c>
      <c r="CR2953">
        <v>2</v>
      </c>
      <c r="CS2953">
        <v>0</v>
      </c>
      <c r="CT2953">
        <v>2</v>
      </c>
      <c r="CU2953">
        <v>0</v>
      </c>
      <c r="CV2953">
        <v>7</v>
      </c>
      <c r="CW2953" t="s">
        <v>120</v>
      </c>
      <c r="CX2953">
        <v>257</v>
      </c>
      <c r="CY2953">
        <v>0</v>
      </c>
      <c r="CZ2953" t="s">
        <v>615</v>
      </c>
      <c r="DA2953" t="s">
        <v>616</v>
      </c>
      <c r="DD2953">
        <v>16187264</v>
      </c>
      <c r="DE2953" t="s">
        <v>123</v>
      </c>
    </row>
    <row r="2954" spans="1:109" x14ac:dyDescent="0.3">
      <c r="A2954" t="str">
        <f>"19:24:08.406"</f>
        <v>19:24:08.406</v>
      </c>
      <c r="B2954" t="s">
        <v>110</v>
      </c>
      <c r="C2954" t="str">
        <f t="shared" si="138"/>
        <v>ffdfd3c0</v>
      </c>
      <c r="D2954" t="s">
        <v>111</v>
      </c>
      <c r="E2954">
        <v>18</v>
      </c>
      <c r="F2954">
        <v>1018</v>
      </c>
      <c r="G2954" t="s">
        <v>112</v>
      </c>
      <c r="J2954" t="s">
        <v>113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R2954" t="s">
        <v>114</v>
      </c>
      <c r="S2954" t="str">
        <f>"19:24:08.164"</f>
        <v>19:24:08.164</v>
      </c>
      <c r="T2954" t="str">
        <f>"19:24:07.867"</f>
        <v>19:24:07.867</v>
      </c>
      <c r="U2954" t="str">
        <f t="shared" si="139"/>
        <v>a1cdbe</v>
      </c>
      <c r="V2954">
        <v>0</v>
      </c>
      <c r="W2954">
        <v>0</v>
      </c>
      <c r="X2954">
        <v>1</v>
      </c>
      <c r="Y2954">
        <v>0</v>
      </c>
      <c r="Z2954">
        <v>0</v>
      </c>
      <c r="AB2954">
        <v>0</v>
      </c>
      <c r="AC2954">
        <v>9</v>
      </c>
      <c r="AD2954">
        <v>3</v>
      </c>
      <c r="AE2954">
        <v>0</v>
      </c>
      <c r="AF2954">
        <v>9</v>
      </c>
      <c r="AG2954" t="s">
        <v>158</v>
      </c>
      <c r="AH2954">
        <v>0</v>
      </c>
      <c r="AI2954">
        <v>3</v>
      </c>
      <c r="AJ2954">
        <v>1</v>
      </c>
      <c r="AK2954">
        <v>0</v>
      </c>
      <c r="AL2954" t="s">
        <v>5558</v>
      </c>
      <c r="AM2954">
        <v>46.982281</v>
      </c>
      <c r="AN2954" t="s">
        <v>5559</v>
      </c>
      <c r="AO2954">
        <v>-123.496392</v>
      </c>
      <c r="AP2954">
        <v>100</v>
      </c>
      <c r="AQ2954">
        <v>2100</v>
      </c>
      <c r="AR2954" t="s">
        <v>118</v>
      </c>
      <c r="AS2954">
        <v>-79</v>
      </c>
      <c r="AT2954">
        <v>8</v>
      </c>
      <c r="AU2954">
        <v>64</v>
      </c>
      <c r="BC2954">
        <v>1200</v>
      </c>
      <c r="BD2954">
        <v>1</v>
      </c>
      <c r="BE2954" t="str">
        <f t="shared" si="140"/>
        <v xml:space="preserve">N215T   </v>
      </c>
      <c r="BF2954">
        <v>1</v>
      </c>
      <c r="BH2954">
        <v>0</v>
      </c>
      <c r="BI2954">
        <v>0</v>
      </c>
      <c r="BJ2954">
        <v>0</v>
      </c>
      <c r="BK2954">
        <v>2450</v>
      </c>
      <c r="BL2954">
        <v>350</v>
      </c>
      <c r="BM2954" t="s">
        <v>119</v>
      </c>
      <c r="BN2954">
        <v>1</v>
      </c>
      <c r="BO2954">
        <v>1</v>
      </c>
      <c r="BP2954">
        <v>1</v>
      </c>
      <c r="BQ2954">
        <v>0</v>
      </c>
      <c r="BT2954">
        <v>0</v>
      </c>
      <c r="BU2954">
        <v>0</v>
      </c>
      <c r="BV2954">
        <v>0</v>
      </c>
      <c r="CC2954" t="str">
        <f>"19:24:08.164"</f>
        <v>19:24:08.164</v>
      </c>
      <c r="CD2954" t="str">
        <f>"166587155"</f>
        <v>166587155</v>
      </c>
      <c r="CQ2954">
        <v>0</v>
      </c>
      <c r="CR2954">
        <v>2</v>
      </c>
      <c r="CS2954">
        <v>0</v>
      </c>
      <c r="CT2954">
        <v>2</v>
      </c>
      <c r="CU2954">
        <v>0</v>
      </c>
      <c r="CV2954">
        <v>6</v>
      </c>
      <c r="CW2954" t="s">
        <v>120</v>
      </c>
      <c r="CX2954">
        <v>257</v>
      </c>
      <c r="CY2954">
        <v>0</v>
      </c>
      <c r="CZ2954" t="s">
        <v>615</v>
      </c>
      <c r="DA2954" t="s">
        <v>616</v>
      </c>
      <c r="DD2954">
        <v>16187740</v>
      </c>
      <c r="DE2954" t="s">
        <v>123</v>
      </c>
    </row>
    <row r="2955" spans="1:109" x14ac:dyDescent="0.3">
      <c r="A2955" t="str">
        <f>"19:24:09.414"</f>
        <v>19:24:09.414</v>
      </c>
      <c r="B2955" t="s">
        <v>110</v>
      </c>
      <c r="C2955" t="str">
        <f t="shared" si="138"/>
        <v>ffdfd3c0</v>
      </c>
      <c r="D2955" t="s">
        <v>111</v>
      </c>
      <c r="E2955">
        <v>18</v>
      </c>
      <c r="F2955">
        <v>1018</v>
      </c>
      <c r="G2955" t="s">
        <v>112</v>
      </c>
      <c r="J2955" t="s">
        <v>113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R2955" t="s">
        <v>114</v>
      </c>
      <c r="S2955" t="str">
        <f>"19:24:09.141"</f>
        <v>19:24:09.141</v>
      </c>
      <c r="T2955" t="str">
        <f>"19:24:08.844"</f>
        <v>19:24:08.844</v>
      </c>
      <c r="U2955" t="str">
        <f t="shared" si="139"/>
        <v>a1cdbe</v>
      </c>
      <c r="V2955">
        <v>0</v>
      </c>
      <c r="W2955">
        <v>0</v>
      </c>
      <c r="X2955">
        <v>1</v>
      </c>
      <c r="Y2955">
        <v>0</v>
      </c>
      <c r="Z2955">
        <v>0</v>
      </c>
      <c r="AB2955">
        <v>0</v>
      </c>
      <c r="AC2955">
        <v>9</v>
      </c>
      <c r="AD2955">
        <v>3</v>
      </c>
      <c r="AE2955">
        <v>0</v>
      </c>
      <c r="AF2955">
        <v>9</v>
      </c>
      <c r="AG2955" t="s">
        <v>158</v>
      </c>
      <c r="AH2955">
        <v>0</v>
      </c>
      <c r="AI2955">
        <v>3</v>
      </c>
      <c r="AJ2955">
        <v>1</v>
      </c>
      <c r="AK2955">
        <v>0</v>
      </c>
      <c r="AL2955" t="s">
        <v>5560</v>
      </c>
      <c r="AM2955">
        <v>46.982323999999998</v>
      </c>
      <c r="AN2955" t="s">
        <v>5561</v>
      </c>
      <c r="AO2955">
        <v>-123.49688500000001</v>
      </c>
      <c r="AP2955">
        <v>100</v>
      </c>
      <c r="AQ2955">
        <v>2100</v>
      </c>
      <c r="AR2955" t="s">
        <v>118</v>
      </c>
      <c r="AS2955">
        <v>-79</v>
      </c>
      <c r="AT2955">
        <v>8</v>
      </c>
      <c r="AU2955">
        <v>64</v>
      </c>
      <c r="BC2955">
        <v>1200</v>
      </c>
      <c r="BD2955">
        <v>1</v>
      </c>
      <c r="BE2955" t="str">
        <f t="shared" si="140"/>
        <v xml:space="preserve">N215T   </v>
      </c>
      <c r="BF2955">
        <v>1</v>
      </c>
      <c r="BH2955">
        <v>0</v>
      </c>
      <c r="BI2955">
        <v>0</v>
      </c>
      <c r="BJ2955">
        <v>0</v>
      </c>
      <c r="BK2955">
        <v>2450</v>
      </c>
      <c r="BL2955">
        <v>350</v>
      </c>
      <c r="BM2955" t="s">
        <v>119</v>
      </c>
      <c r="BN2955">
        <v>1</v>
      </c>
      <c r="BO2955">
        <v>1</v>
      </c>
      <c r="BP2955">
        <v>1</v>
      </c>
      <c r="BQ2955">
        <v>0</v>
      </c>
      <c r="BT2955">
        <v>0</v>
      </c>
      <c r="BU2955">
        <v>0</v>
      </c>
      <c r="BV2955">
        <v>0</v>
      </c>
      <c r="CC2955" t="str">
        <f>"19:24:09.141"</f>
        <v>19:24:09.141</v>
      </c>
      <c r="CD2955" t="str">
        <f>"141491060"</f>
        <v>141491060</v>
      </c>
      <c r="CQ2955">
        <v>0</v>
      </c>
      <c r="CR2955">
        <v>2</v>
      </c>
      <c r="CS2955">
        <v>0</v>
      </c>
      <c r="CT2955">
        <v>2</v>
      </c>
      <c r="CU2955">
        <v>0</v>
      </c>
      <c r="CV2955">
        <v>6</v>
      </c>
      <c r="CW2955" t="s">
        <v>120</v>
      </c>
      <c r="CX2955">
        <v>257</v>
      </c>
      <c r="CY2955">
        <v>0</v>
      </c>
      <c r="CZ2955" t="s">
        <v>615</v>
      </c>
      <c r="DA2955" t="s">
        <v>616</v>
      </c>
      <c r="DD2955">
        <v>16188292</v>
      </c>
      <c r="DE2955" t="s">
        <v>123</v>
      </c>
    </row>
    <row r="2956" spans="1:109" x14ac:dyDescent="0.3">
      <c r="A2956" t="str">
        <f>"19:24:10.523"</f>
        <v>19:24:10.523</v>
      </c>
      <c r="B2956" t="s">
        <v>110</v>
      </c>
      <c r="C2956" t="str">
        <f t="shared" si="138"/>
        <v>ffdfd3c0</v>
      </c>
      <c r="D2956" t="s">
        <v>111</v>
      </c>
      <c r="E2956">
        <v>18</v>
      </c>
      <c r="F2956">
        <v>1018</v>
      </c>
      <c r="G2956" t="s">
        <v>112</v>
      </c>
      <c r="J2956" t="s">
        <v>113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R2956" t="s">
        <v>114</v>
      </c>
      <c r="S2956" t="str">
        <f>"19:24:10.289"</f>
        <v>19:24:10.289</v>
      </c>
      <c r="T2956" t="str">
        <f>"19:24:10.289"</f>
        <v>19:24:10.289</v>
      </c>
      <c r="U2956" t="str">
        <f t="shared" si="139"/>
        <v>a1cdbe</v>
      </c>
      <c r="V2956">
        <v>0</v>
      </c>
      <c r="W2956">
        <v>0</v>
      </c>
      <c r="X2956">
        <v>1</v>
      </c>
      <c r="Y2956">
        <v>0</v>
      </c>
      <c r="Z2956">
        <v>0</v>
      </c>
      <c r="AB2956">
        <v>0</v>
      </c>
      <c r="AC2956">
        <v>9</v>
      </c>
      <c r="AD2956">
        <v>3</v>
      </c>
      <c r="AE2956">
        <v>0</v>
      </c>
      <c r="AF2956">
        <v>9</v>
      </c>
      <c r="AG2956" t="s">
        <v>158</v>
      </c>
      <c r="AH2956">
        <v>0</v>
      </c>
      <c r="AI2956">
        <v>3</v>
      </c>
      <c r="AJ2956">
        <v>1</v>
      </c>
      <c r="AK2956">
        <v>0</v>
      </c>
      <c r="AL2956" t="s">
        <v>5562</v>
      </c>
      <c r="AM2956">
        <v>46.982388</v>
      </c>
      <c r="AN2956" t="s">
        <v>5563</v>
      </c>
      <c r="AO2956">
        <v>-123.497529</v>
      </c>
      <c r="AP2956">
        <v>100</v>
      </c>
      <c r="AQ2956">
        <v>2100</v>
      </c>
      <c r="AR2956" t="s">
        <v>118</v>
      </c>
      <c r="AS2956">
        <v>-79</v>
      </c>
      <c r="AT2956">
        <v>8</v>
      </c>
      <c r="AU2956">
        <v>64</v>
      </c>
      <c r="BC2956">
        <v>1200</v>
      </c>
      <c r="BD2956">
        <v>1</v>
      </c>
      <c r="BE2956" t="str">
        <f t="shared" si="140"/>
        <v xml:space="preserve">N215T   </v>
      </c>
      <c r="BF2956">
        <v>1</v>
      </c>
      <c r="BH2956">
        <v>0</v>
      </c>
      <c r="BI2956">
        <v>0</v>
      </c>
      <c r="BJ2956">
        <v>0</v>
      </c>
      <c r="BK2956">
        <v>2450</v>
      </c>
      <c r="BL2956">
        <v>350</v>
      </c>
      <c r="BM2956" t="s">
        <v>119</v>
      </c>
      <c r="BN2956">
        <v>1</v>
      </c>
      <c r="BO2956">
        <v>1</v>
      </c>
      <c r="BP2956">
        <v>1</v>
      </c>
      <c r="BQ2956">
        <v>0</v>
      </c>
      <c r="BT2956">
        <v>0</v>
      </c>
      <c r="BU2956">
        <v>0</v>
      </c>
      <c r="BV2956">
        <v>0</v>
      </c>
      <c r="CC2956" t="str">
        <f>"19:24:10.297"</f>
        <v>19:24:10.297</v>
      </c>
      <c r="CD2956" t="str">
        <f>"296377228"</f>
        <v>296377228</v>
      </c>
      <c r="CQ2956">
        <v>0</v>
      </c>
      <c r="CR2956">
        <v>2</v>
      </c>
      <c r="CS2956">
        <v>0</v>
      </c>
      <c r="CT2956">
        <v>2</v>
      </c>
      <c r="CU2956">
        <v>0</v>
      </c>
      <c r="CV2956">
        <v>7</v>
      </c>
      <c r="CW2956" t="s">
        <v>120</v>
      </c>
      <c r="CX2956">
        <v>257</v>
      </c>
      <c r="CY2956">
        <v>0</v>
      </c>
      <c r="CZ2956" t="s">
        <v>615</v>
      </c>
      <c r="DA2956" t="s">
        <v>616</v>
      </c>
      <c r="DD2956">
        <v>16188929</v>
      </c>
      <c r="DE2956" t="s">
        <v>123</v>
      </c>
    </row>
    <row r="2957" spans="1:109" x14ac:dyDescent="0.3">
      <c r="A2957" t="str">
        <f>"19:24:11.672"</f>
        <v>19:24:11.672</v>
      </c>
      <c r="B2957" t="s">
        <v>110</v>
      </c>
      <c r="C2957" t="str">
        <f t="shared" si="138"/>
        <v>ffdfd3c0</v>
      </c>
      <c r="D2957" t="s">
        <v>111</v>
      </c>
      <c r="E2957">
        <v>18</v>
      </c>
      <c r="F2957">
        <v>1018</v>
      </c>
      <c r="G2957" t="s">
        <v>112</v>
      </c>
      <c r="J2957" t="s">
        <v>113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R2957" t="s">
        <v>114</v>
      </c>
      <c r="S2957" t="str">
        <f>"19:24:11.430"</f>
        <v>19:24:11.430</v>
      </c>
      <c r="T2957" t="str">
        <f>"19:24:11.328"</f>
        <v>19:24:11.328</v>
      </c>
      <c r="U2957" t="str">
        <f t="shared" si="139"/>
        <v>a1cdbe</v>
      </c>
      <c r="V2957">
        <v>0</v>
      </c>
      <c r="W2957">
        <v>0</v>
      </c>
      <c r="X2957">
        <v>1</v>
      </c>
      <c r="Y2957">
        <v>0</v>
      </c>
      <c r="Z2957">
        <v>0</v>
      </c>
      <c r="AB2957">
        <v>0</v>
      </c>
      <c r="AC2957">
        <v>9</v>
      </c>
      <c r="AD2957">
        <v>3</v>
      </c>
      <c r="AE2957">
        <v>0</v>
      </c>
      <c r="AF2957">
        <v>9</v>
      </c>
      <c r="AG2957" t="s">
        <v>158</v>
      </c>
      <c r="AH2957">
        <v>0</v>
      </c>
      <c r="AI2957">
        <v>3</v>
      </c>
      <c r="AJ2957">
        <v>1</v>
      </c>
      <c r="AK2957">
        <v>0</v>
      </c>
      <c r="AL2957" t="s">
        <v>5562</v>
      </c>
      <c r="AM2957">
        <v>46.982388</v>
      </c>
      <c r="AN2957" t="s">
        <v>5564</v>
      </c>
      <c r="AO2957">
        <v>-123.49815099999999</v>
      </c>
      <c r="AP2957">
        <v>100</v>
      </c>
      <c r="AQ2957">
        <v>2100</v>
      </c>
      <c r="AR2957" t="s">
        <v>118</v>
      </c>
      <c r="AS2957">
        <v>-79</v>
      </c>
      <c r="AT2957">
        <v>8</v>
      </c>
      <c r="AU2957">
        <v>64</v>
      </c>
      <c r="BC2957">
        <v>1200</v>
      </c>
      <c r="BD2957">
        <v>1</v>
      </c>
      <c r="BE2957" t="str">
        <f t="shared" si="140"/>
        <v xml:space="preserve">N215T   </v>
      </c>
      <c r="BF2957">
        <v>1</v>
      </c>
      <c r="BH2957">
        <v>0</v>
      </c>
      <c r="BI2957">
        <v>0</v>
      </c>
      <c r="BJ2957">
        <v>0</v>
      </c>
      <c r="BK2957">
        <v>2450</v>
      </c>
      <c r="BL2957">
        <v>350</v>
      </c>
      <c r="BM2957" t="s">
        <v>119</v>
      </c>
      <c r="BN2957">
        <v>1</v>
      </c>
      <c r="BO2957">
        <v>1</v>
      </c>
      <c r="BP2957">
        <v>1</v>
      </c>
      <c r="BQ2957">
        <v>0</v>
      </c>
      <c r="BT2957">
        <v>0</v>
      </c>
      <c r="BU2957">
        <v>0</v>
      </c>
      <c r="BV2957">
        <v>0</v>
      </c>
      <c r="CC2957" t="str">
        <f>"19:24:11.438"</f>
        <v>19:24:11.438</v>
      </c>
      <c r="CD2957" t="str">
        <f>"436264868"</f>
        <v>436264868</v>
      </c>
      <c r="CQ2957">
        <v>0</v>
      </c>
      <c r="CR2957">
        <v>2</v>
      </c>
      <c r="CS2957">
        <v>0</v>
      </c>
      <c r="CT2957">
        <v>2</v>
      </c>
      <c r="CU2957">
        <v>0</v>
      </c>
      <c r="CV2957">
        <v>7</v>
      </c>
      <c r="CW2957" t="s">
        <v>120</v>
      </c>
      <c r="CX2957">
        <v>257</v>
      </c>
      <c r="CY2957">
        <v>0</v>
      </c>
      <c r="CZ2957" t="s">
        <v>615</v>
      </c>
      <c r="DA2957" t="s">
        <v>616</v>
      </c>
      <c r="DD2957">
        <v>16189538</v>
      </c>
      <c r="DE2957" t="s">
        <v>123</v>
      </c>
    </row>
    <row r="2958" spans="1:109" x14ac:dyDescent="0.3">
      <c r="A2958" t="str">
        <f>"19:24:12.578"</f>
        <v>19:24:12.578</v>
      </c>
      <c r="B2958" t="s">
        <v>110</v>
      </c>
      <c r="C2958" t="str">
        <f t="shared" si="138"/>
        <v>ffdfd3c0</v>
      </c>
      <c r="D2958" t="s">
        <v>111</v>
      </c>
      <c r="E2958">
        <v>18</v>
      </c>
      <c r="F2958">
        <v>1018</v>
      </c>
      <c r="G2958" t="s">
        <v>112</v>
      </c>
      <c r="J2958" t="s">
        <v>113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R2958" t="s">
        <v>114</v>
      </c>
      <c r="S2958" t="str">
        <f>"19:24:12.359"</f>
        <v>19:24:12.359</v>
      </c>
      <c r="T2958" t="str">
        <f>"19:24:12.359"</f>
        <v>19:24:12.359</v>
      </c>
      <c r="U2958" t="str">
        <f t="shared" si="139"/>
        <v>a1cdbe</v>
      </c>
      <c r="V2958">
        <v>0</v>
      </c>
      <c r="W2958">
        <v>0</v>
      </c>
      <c r="X2958">
        <v>1</v>
      </c>
      <c r="Y2958">
        <v>0</v>
      </c>
      <c r="Z2958">
        <v>0</v>
      </c>
      <c r="AB2958">
        <v>0</v>
      </c>
      <c r="AC2958">
        <v>9</v>
      </c>
      <c r="AD2958">
        <v>3</v>
      </c>
      <c r="AE2958">
        <v>0</v>
      </c>
      <c r="AF2958">
        <v>9</v>
      </c>
      <c r="AG2958" t="s">
        <v>158</v>
      </c>
      <c r="AH2958">
        <v>0</v>
      </c>
      <c r="AI2958">
        <v>3</v>
      </c>
      <c r="AJ2958">
        <v>1</v>
      </c>
      <c r="AK2958">
        <v>0</v>
      </c>
      <c r="AL2958" t="s">
        <v>919</v>
      </c>
      <c r="AM2958">
        <v>46.982430999999998</v>
      </c>
      <c r="AN2958" t="s">
        <v>5565</v>
      </c>
      <c r="AO2958">
        <v>-123.49862299999999</v>
      </c>
      <c r="AP2958">
        <v>100</v>
      </c>
      <c r="AQ2958">
        <v>2100</v>
      </c>
      <c r="AR2958" t="s">
        <v>118</v>
      </c>
      <c r="AS2958">
        <v>-79</v>
      </c>
      <c r="AT2958">
        <v>8</v>
      </c>
      <c r="AU2958">
        <v>0</v>
      </c>
      <c r="BC2958">
        <v>1200</v>
      </c>
      <c r="BD2958">
        <v>1</v>
      </c>
      <c r="BE2958" t="str">
        <f t="shared" si="140"/>
        <v xml:space="preserve">N215T   </v>
      </c>
      <c r="BF2958">
        <v>1</v>
      </c>
      <c r="BH2958">
        <v>0</v>
      </c>
      <c r="BI2958">
        <v>0</v>
      </c>
      <c r="BJ2958">
        <v>0</v>
      </c>
      <c r="BK2958">
        <v>2475</v>
      </c>
      <c r="BL2958">
        <v>375</v>
      </c>
      <c r="BM2958" t="s">
        <v>119</v>
      </c>
      <c r="BN2958">
        <v>1</v>
      </c>
      <c r="BO2958">
        <v>1</v>
      </c>
      <c r="BP2958">
        <v>1</v>
      </c>
      <c r="BQ2958">
        <v>0</v>
      </c>
      <c r="BT2958">
        <v>0</v>
      </c>
      <c r="BU2958">
        <v>0</v>
      </c>
      <c r="BV2958">
        <v>0</v>
      </c>
      <c r="CC2958" t="str">
        <f>"19:24:12.367"</f>
        <v>19:24:12.367</v>
      </c>
      <c r="CD2958" t="str">
        <f>"366173206"</f>
        <v>366173206</v>
      </c>
      <c r="CQ2958">
        <v>0</v>
      </c>
      <c r="CR2958">
        <v>2</v>
      </c>
      <c r="CS2958">
        <v>0</v>
      </c>
      <c r="CT2958">
        <v>2</v>
      </c>
      <c r="CU2958">
        <v>0</v>
      </c>
      <c r="CV2958">
        <v>6</v>
      </c>
      <c r="CW2958" t="s">
        <v>120</v>
      </c>
      <c r="CX2958">
        <v>257</v>
      </c>
      <c r="CY2958">
        <v>0</v>
      </c>
      <c r="CZ2958" t="s">
        <v>615</v>
      </c>
      <c r="DA2958" t="s">
        <v>616</v>
      </c>
      <c r="DD2958">
        <v>16190028</v>
      </c>
      <c r="DE2958" t="s">
        <v>123</v>
      </c>
    </row>
    <row r="2959" spans="1:109" x14ac:dyDescent="0.3">
      <c r="A2959" t="str">
        <f>"19:24:13.492"</f>
        <v>19:24:13.492</v>
      </c>
      <c r="B2959" t="s">
        <v>110</v>
      </c>
      <c r="C2959" t="str">
        <f t="shared" si="138"/>
        <v>ffdfd3c0</v>
      </c>
      <c r="D2959" t="s">
        <v>111</v>
      </c>
      <c r="E2959">
        <v>18</v>
      </c>
      <c r="F2959">
        <v>1018</v>
      </c>
      <c r="G2959" t="s">
        <v>112</v>
      </c>
      <c r="J2959" t="s">
        <v>113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R2959" t="s">
        <v>114</v>
      </c>
      <c r="S2959" t="str">
        <f>"19:24:13.250"</f>
        <v>19:24:13.250</v>
      </c>
      <c r="T2959" t="str">
        <f>"19:24:12.852"</f>
        <v>19:24:12.852</v>
      </c>
      <c r="U2959" t="str">
        <f t="shared" si="139"/>
        <v>a1cdbe</v>
      </c>
      <c r="V2959">
        <v>0</v>
      </c>
      <c r="W2959">
        <v>0</v>
      </c>
      <c r="X2959">
        <v>1</v>
      </c>
      <c r="Y2959">
        <v>0</v>
      </c>
      <c r="Z2959">
        <v>0</v>
      </c>
      <c r="AB2959">
        <v>0</v>
      </c>
      <c r="AC2959">
        <v>9</v>
      </c>
      <c r="AD2959">
        <v>3</v>
      </c>
      <c r="AE2959">
        <v>0</v>
      </c>
      <c r="AF2959">
        <v>9</v>
      </c>
      <c r="AG2959" t="s">
        <v>158</v>
      </c>
      <c r="AH2959">
        <v>0</v>
      </c>
      <c r="AI2959">
        <v>3</v>
      </c>
      <c r="AJ2959">
        <v>1</v>
      </c>
      <c r="AK2959">
        <v>0</v>
      </c>
      <c r="AL2959" t="s">
        <v>5566</v>
      </c>
      <c r="AM2959">
        <v>46.982474000000003</v>
      </c>
      <c r="AN2959" t="s">
        <v>5567</v>
      </c>
      <c r="AO2959">
        <v>-123.499095</v>
      </c>
      <c r="AP2959">
        <v>100</v>
      </c>
      <c r="AQ2959">
        <v>2100</v>
      </c>
      <c r="AR2959" t="s">
        <v>118</v>
      </c>
      <c r="AS2959">
        <v>-79</v>
      </c>
      <c r="AT2959">
        <v>9</v>
      </c>
      <c r="AU2959">
        <v>0</v>
      </c>
      <c r="BC2959">
        <v>1200</v>
      </c>
      <c r="BD2959">
        <v>1</v>
      </c>
      <c r="BE2959" t="str">
        <f t="shared" si="140"/>
        <v xml:space="preserve">N215T   </v>
      </c>
      <c r="BF2959">
        <v>1</v>
      </c>
      <c r="BH2959">
        <v>0</v>
      </c>
      <c r="BI2959">
        <v>0</v>
      </c>
      <c r="BJ2959">
        <v>0</v>
      </c>
      <c r="BK2959">
        <v>2475</v>
      </c>
      <c r="BL2959">
        <v>375</v>
      </c>
      <c r="BM2959" t="s">
        <v>119</v>
      </c>
      <c r="BN2959">
        <v>1</v>
      </c>
      <c r="BO2959">
        <v>1</v>
      </c>
      <c r="BP2959">
        <v>1</v>
      </c>
      <c r="BQ2959">
        <v>0</v>
      </c>
      <c r="BT2959">
        <v>0</v>
      </c>
      <c r="BU2959">
        <v>0</v>
      </c>
      <c r="BV2959">
        <v>0</v>
      </c>
      <c r="CC2959" t="str">
        <f>"19:24:13.250"</f>
        <v>19:24:13.250</v>
      </c>
      <c r="CD2959" t="str">
        <f>"251085985"</f>
        <v>251085985</v>
      </c>
      <c r="CQ2959">
        <v>0</v>
      </c>
      <c r="CR2959">
        <v>2</v>
      </c>
      <c r="CS2959">
        <v>0</v>
      </c>
      <c r="CT2959">
        <v>2</v>
      </c>
      <c r="CU2959">
        <v>0</v>
      </c>
      <c r="CV2959">
        <v>6</v>
      </c>
      <c r="CW2959" t="s">
        <v>120</v>
      </c>
      <c r="CX2959">
        <v>257</v>
      </c>
      <c r="CY2959">
        <v>0</v>
      </c>
      <c r="CZ2959" t="s">
        <v>615</v>
      </c>
      <c r="DA2959" t="s">
        <v>616</v>
      </c>
      <c r="DD2959">
        <v>16190475</v>
      </c>
      <c r="DE2959" t="s">
        <v>123</v>
      </c>
    </row>
    <row r="2960" spans="1:109" x14ac:dyDescent="0.3">
      <c r="A2960" t="str">
        <f>"19:24:14.438"</f>
        <v>19:24:14.438</v>
      </c>
      <c r="B2960" t="s">
        <v>110</v>
      </c>
      <c r="C2960" t="str">
        <f t="shared" si="138"/>
        <v>ffdfd3c0</v>
      </c>
      <c r="D2960" t="s">
        <v>111</v>
      </c>
      <c r="E2960">
        <v>18</v>
      </c>
      <c r="F2960">
        <v>1018</v>
      </c>
      <c r="G2960" t="s">
        <v>112</v>
      </c>
      <c r="J2960" t="s">
        <v>113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R2960" t="s">
        <v>114</v>
      </c>
      <c r="S2960" t="str">
        <f>"19:24:14.164"</f>
        <v>19:24:14.164</v>
      </c>
      <c r="T2960" t="str">
        <f>"19:24:14.063"</f>
        <v>19:24:14.063</v>
      </c>
      <c r="U2960" t="str">
        <f t="shared" si="139"/>
        <v>a1cdbe</v>
      </c>
      <c r="V2960">
        <v>0</v>
      </c>
      <c r="W2960">
        <v>0</v>
      </c>
      <c r="X2960">
        <v>1</v>
      </c>
      <c r="Y2960">
        <v>0</v>
      </c>
      <c r="Z2960">
        <v>0</v>
      </c>
      <c r="AB2960">
        <v>0</v>
      </c>
      <c r="AC2960">
        <v>9</v>
      </c>
      <c r="AD2960">
        <v>3</v>
      </c>
      <c r="AE2960">
        <v>0</v>
      </c>
      <c r="AF2960">
        <v>9</v>
      </c>
      <c r="AG2960" t="s">
        <v>158</v>
      </c>
      <c r="AH2960">
        <v>0</v>
      </c>
      <c r="AI2960">
        <v>3</v>
      </c>
      <c r="AJ2960">
        <v>1</v>
      </c>
      <c r="AK2960">
        <v>0</v>
      </c>
      <c r="AL2960" t="s">
        <v>5568</v>
      </c>
      <c r="AM2960">
        <v>46.982517000000001</v>
      </c>
      <c r="AN2960" t="s">
        <v>5569</v>
      </c>
      <c r="AO2960">
        <v>-123.499568</v>
      </c>
      <c r="AP2960">
        <v>100</v>
      </c>
      <c r="AQ2960">
        <v>2100</v>
      </c>
      <c r="AR2960" t="s">
        <v>118</v>
      </c>
      <c r="AS2960">
        <v>-79</v>
      </c>
      <c r="AT2960">
        <v>9</v>
      </c>
      <c r="AU2960">
        <v>0</v>
      </c>
      <c r="BC2960">
        <v>1200</v>
      </c>
      <c r="BD2960">
        <v>1</v>
      </c>
      <c r="BE2960" t="str">
        <f t="shared" si="140"/>
        <v xml:space="preserve">N215T   </v>
      </c>
      <c r="BF2960">
        <v>1</v>
      </c>
      <c r="BH2960">
        <v>0</v>
      </c>
      <c r="BI2960">
        <v>0</v>
      </c>
      <c r="BJ2960">
        <v>0</v>
      </c>
      <c r="BK2960">
        <v>2475</v>
      </c>
      <c r="BL2960">
        <v>375</v>
      </c>
      <c r="BM2960" t="s">
        <v>119</v>
      </c>
      <c r="BN2960">
        <v>1</v>
      </c>
      <c r="BO2960">
        <v>1</v>
      </c>
      <c r="BP2960">
        <v>1</v>
      </c>
      <c r="BQ2960">
        <v>0</v>
      </c>
      <c r="BT2960">
        <v>0</v>
      </c>
      <c r="BU2960">
        <v>0</v>
      </c>
      <c r="BV2960">
        <v>0</v>
      </c>
      <c r="CC2960" t="str">
        <f>"19:24:14.164"</f>
        <v>19:24:14.164</v>
      </c>
      <c r="CD2960" t="str">
        <f>"165995807"</f>
        <v>165995807</v>
      </c>
      <c r="CQ2960">
        <v>0</v>
      </c>
      <c r="CR2960">
        <v>2</v>
      </c>
      <c r="CS2960">
        <v>0</v>
      </c>
      <c r="CT2960">
        <v>2</v>
      </c>
      <c r="CU2960">
        <v>0</v>
      </c>
      <c r="CV2960">
        <v>6</v>
      </c>
      <c r="CW2960" t="s">
        <v>120</v>
      </c>
      <c r="CX2960">
        <v>257</v>
      </c>
      <c r="CY2960">
        <v>0</v>
      </c>
      <c r="CZ2960" t="s">
        <v>615</v>
      </c>
      <c r="DA2960" t="s">
        <v>616</v>
      </c>
      <c r="DD2960">
        <v>16190992</v>
      </c>
      <c r="DE2960" t="s">
        <v>123</v>
      </c>
    </row>
    <row r="2961" spans="1:109" x14ac:dyDescent="0.3">
      <c r="A2961" t="str">
        <f>"19:24:15.289"</f>
        <v>19:24:15.289</v>
      </c>
      <c r="B2961" t="s">
        <v>110</v>
      </c>
      <c r="C2961" t="str">
        <f t="shared" si="138"/>
        <v>ffdfd3c0</v>
      </c>
      <c r="D2961" t="s">
        <v>111</v>
      </c>
      <c r="E2961">
        <v>18</v>
      </c>
      <c r="F2961">
        <v>1018</v>
      </c>
      <c r="G2961" t="s">
        <v>112</v>
      </c>
      <c r="J2961" t="s">
        <v>113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R2961" t="s">
        <v>114</v>
      </c>
      <c r="S2961" t="str">
        <f>"19:24:15.031"</f>
        <v>19:24:15.031</v>
      </c>
      <c r="T2961" t="str">
        <f>"19:24:14.930"</f>
        <v>19:24:14.930</v>
      </c>
      <c r="U2961" t="str">
        <f t="shared" si="139"/>
        <v>a1cdbe</v>
      </c>
      <c r="V2961">
        <v>0</v>
      </c>
      <c r="W2961">
        <v>0</v>
      </c>
      <c r="X2961">
        <v>1</v>
      </c>
      <c r="Y2961">
        <v>0</v>
      </c>
      <c r="Z2961">
        <v>0</v>
      </c>
      <c r="AB2961">
        <v>0</v>
      </c>
      <c r="AC2961">
        <v>9</v>
      </c>
      <c r="AD2961">
        <v>3</v>
      </c>
      <c r="AE2961">
        <v>0</v>
      </c>
      <c r="AF2961">
        <v>9</v>
      </c>
      <c r="AG2961" t="s">
        <v>158</v>
      </c>
      <c r="AH2961">
        <v>0</v>
      </c>
      <c r="AI2961">
        <v>3</v>
      </c>
      <c r="AJ2961">
        <v>1</v>
      </c>
      <c r="AK2961">
        <v>0</v>
      </c>
      <c r="AL2961" t="s">
        <v>5570</v>
      </c>
      <c r="AM2961">
        <v>46.982559999999999</v>
      </c>
      <c r="AN2961" t="s">
        <v>5571</v>
      </c>
      <c r="AO2961">
        <v>-123.500061</v>
      </c>
      <c r="AP2961">
        <v>100</v>
      </c>
      <c r="AQ2961">
        <v>2100</v>
      </c>
      <c r="AR2961" t="s">
        <v>118</v>
      </c>
      <c r="AS2961">
        <v>-79</v>
      </c>
      <c r="AT2961">
        <v>9</v>
      </c>
      <c r="AU2961">
        <v>0</v>
      </c>
      <c r="BC2961">
        <v>1200</v>
      </c>
      <c r="BD2961">
        <v>1</v>
      </c>
      <c r="BE2961" t="str">
        <f t="shared" si="140"/>
        <v xml:space="preserve">N215T   </v>
      </c>
      <c r="BF2961">
        <v>1</v>
      </c>
      <c r="BH2961">
        <v>0</v>
      </c>
      <c r="BI2961">
        <v>0</v>
      </c>
      <c r="BJ2961">
        <v>0</v>
      </c>
      <c r="BK2961">
        <v>2475</v>
      </c>
      <c r="BL2961">
        <v>375</v>
      </c>
      <c r="BM2961" t="s">
        <v>119</v>
      </c>
      <c r="BN2961">
        <v>1</v>
      </c>
      <c r="BO2961">
        <v>1</v>
      </c>
      <c r="BP2961">
        <v>1</v>
      </c>
      <c r="BQ2961">
        <v>0</v>
      </c>
      <c r="BT2961">
        <v>0</v>
      </c>
      <c r="BU2961">
        <v>0</v>
      </c>
      <c r="BV2961">
        <v>0</v>
      </c>
      <c r="CC2961" t="str">
        <f>"19:24:15.039"</f>
        <v>19:24:15.039</v>
      </c>
      <c r="CD2961" t="str">
        <f>"035910060"</f>
        <v>035910060</v>
      </c>
      <c r="CQ2961">
        <v>0</v>
      </c>
      <c r="CR2961">
        <v>2</v>
      </c>
      <c r="CS2961">
        <v>0</v>
      </c>
      <c r="CT2961">
        <v>2</v>
      </c>
      <c r="CU2961">
        <v>0</v>
      </c>
      <c r="CV2961">
        <v>6</v>
      </c>
      <c r="CW2961" t="s">
        <v>120</v>
      </c>
      <c r="CX2961">
        <v>257</v>
      </c>
      <c r="CY2961">
        <v>0</v>
      </c>
      <c r="CZ2961" t="s">
        <v>615</v>
      </c>
      <c r="DA2961" t="s">
        <v>616</v>
      </c>
      <c r="DD2961">
        <v>16191407</v>
      </c>
      <c r="DE2961" t="s">
        <v>123</v>
      </c>
    </row>
    <row r="2962" spans="1:109" x14ac:dyDescent="0.3">
      <c r="A2962" t="str">
        <f>"19:24:16.297"</f>
        <v>19:24:16.297</v>
      </c>
      <c r="B2962" t="s">
        <v>110</v>
      </c>
      <c r="C2962" t="str">
        <f t="shared" si="138"/>
        <v>ffdfd3c0</v>
      </c>
      <c r="D2962" t="s">
        <v>111</v>
      </c>
      <c r="E2962">
        <v>18</v>
      </c>
      <c r="F2962">
        <v>1018</v>
      </c>
      <c r="G2962" t="s">
        <v>112</v>
      </c>
      <c r="J2962" t="s">
        <v>113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R2962" t="s">
        <v>114</v>
      </c>
      <c r="S2962" t="str">
        <f>"19:24:16.070"</f>
        <v>19:24:16.070</v>
      </c>
      <c r="T2962" t="str">
        <f>"19:24:15.867"</f>
        <v>19:24:15.867</v>
      </c>
      <c r="U2962" t="str">
        <f t="shared" si="139"/>
        <v>a1cdbe</v>
      </c>
      <c r="V2962">
        <v>0</v>
      </c>
      <c r="W2962">
        <v>0</v>
      </c>
      <c r="X2962">
        <v>1</v>
      </c>
      <c r="Y2962">
        <v>0</v>
      </c>
      <c r="Z2962">
        <v>0</v>
      </c>
      <c r="AB2962">
        <v>0</v>
      </c>
      <c r="AC2962">
        <v>9</v>
      </c>
      <c r="AD2962">
        <v>3</v>
      </c>
      <c r="AE2962">
        <v>0</v>
      </c>
      <c r="AF2962">
        <v>9</v>
      </c>
      <c r="AG2962" t="s">
        <v>158</v>
      </c>
      <c r="AH2962">
        <v>0</v>
      </c>
      <c r="AI2962">
        <v>3</v>
      </c>
      <c r="AJ2962">
        <v>1</v>
      </c>
      <c r="AK2962">
        <v>0</v>
      </c>
      <c r="AL2962" t="s">
        <v>5572</v>
      </c>
      <c r="AM2962">
        <v>46.982582000000001</v>
      </c>
      <c r="AN2962" t="s">
        <v>5573</v>
      </c>
      <c r="AO2962">
        <v>-123.500619</v>
      </c>
      <c r="AP2962">
        <v>100</v>
      </c>
      <c r="AQ2962">
        <v>2100</v>
      </c>
      <c r="AR2962" t="s">
        <v>118</v>
      </c>
      <c r="AS2962">
        <v>-79</v>
      </c>
      <c r="AT2962">
        <v>10</v>
      </c>
      <c r="AU2962">
        <v>0</v>
      </c>
      <c r="BC2962">
        <v>1200</v>
      </c>
      <c r="BD2962">
        <v>1</v>
      </c>
      <c r="BE2962" t="str">
        <f t="shared" si="140"/>
        <v xml:space="preserve">N215T   </v>
      </c>
      <c r="BF2962">
        <v>1</v>
      </c>
      <c r="BH2962">
        <v>0</v>
      </c>
      <c r="BI2962">
        <v>0</v>
      </c>
      <c r="BJ2962">
        <v>0</v>
      </c>
      <c r="BK2962">
        <v>2450</v>
      </c>
      <c r="BL2962">
        <v>350</v>
      </c>
      <c r="BM2962" t="s">
        <v>119</v>
      </c>
      <c r="BN2962">
        <v>1</v>
      </c>
      <c r="BO2962">
        <v>1</v>
      </c>
      <c r="BP2962">
        <v>1</v>
      </c>
      <c r="BQ2962">
        <v>0</v>
      </c>
      <c r="BT2962">
        <v>0</v>
      </c>
      <c r="BU2962">
        <v>0</v>
      </c>
      <c r="BV2962">
        <v>0</v>
      </c>
      <c r="CC2962" t="str">
        <f>"19:24:16.070"</f>
        <v>19:24:16.070</v>
      </c>
      <c r="CD2962" t="str">
        <f>"070808056"</f>
        <v>070808056</v>
      </c>
      <c r="CQ2962">
        <v>0</v>
      </c>
      <c r="CR2962">
        <v>2</v>
      </c>
      <c r="CS2962">
        <v>0</v>
      </c>
      <c r="CT2962">
        <v>2</v>
      </c>
      <c r="CU2962">
        <v>0</v>
      </c>
      <c r="CV2962">
        <v>6</v>
      </c>
      <c r="CW2962" t="s">
        <v>120</v>
      </c>
      <c r="CX2962">
        <v>257</v>
      </c>
      <c r="CY2962">
        <v>0</v>
      </c>
      <c r="CZ2962" t="s">
        <v>615</v>
      </c>
      <c r="DA2962" t="s">
        <v>616</v>
      </c>
      <c r="DD2962">
        <v>16191957</v>
      </c>
      <c r="DE2962" t="s">
        <v>123</v>
      </c>
    </row>
    <row r="2963" spans="1:109" x14ac:dyDescent="0.3">
      <c r="A2963" t="str">
        <f>"19:24:17.406"</f>
        <v>19:24:17.406</v>
      </c>
      <c r="B2963" t="s">
        <v>110</v>
      </c>
      <c r="C2963" t="str">
        <f t="shared" si="138"/>
        <v>ffdfd3c0</v>
      </c>
      <c r="D2963" t="s">
        <v>111</v>
      </c>
      <c r="E2963">
        <v>18</v>
      </c>
      <c r="F2963">
        <v>1018</v>
      </c>
      <c r="G2963" t="s">
        <v>112</v>
      </c>
      <c r="J2963" t="s">
        <v>113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R2963" t="s">
        <v>114</v>
      </c>
      <c r="S2963" t="str">
        <f>"19:24:17.180"</f>
        <v>19:24:17.180</v>
      </c>
      <c r="T2963" t="str">
        <f>"19:24:16.781"</f>
        <v>19:24:16.781</v>
      </c>
      <c r="U2963" t="str">
        <f t="shared" si="139"/>
        <v>a1cdbe</v>
      </c>
      <c r="V2963">
        <v>0</v>
      </c>
      <c r="W2963">
        <v>0</v>
      </c>
      <c r="X2963">
        <v>1</v>
      </c>
      <c r="Y2963">
        <v>0</v>
      </c>
      <c r="Z2963">
        <v>0</v>
      </c>
      <c r="AB2963">
        <v>0</v>
      </c>
      <c r="AC2963">
        <v>9</v>
      </c>
      <c r="AD2963">
        <v>3</v>
      </c>
      <c r="AE2963">
        <v>0</v>
      </c>
      <c r="AF2963">
        <v>9</v>
      </c>
      <c r="AG2963" t="s">
        <v>158</v>
      </c>
      <c r="AH2963">
        <v>0</v>
      </c>
      <c r="AI2963">
        <v>3</v>
      </c>
      <c r="AJ2963">
        <v>1</v>
      </c>
      <c r="AK2963">
        <v>0</v>
      </c>
      <c r="AL2963" t="s">
        <v>5574</v>
      </c>
      <c r="AM2963">
        <v>46.982666999999999</v>
      </c>
      <c r="AN2963" t="s">
        <v>5575</v>
      </c>
      <c r="AO2963">
        <v>-123.50122</v>
      </c>
      <c r="AP2963">
        <v>100</v>
      </c>
      <c r="AQ2963">
        <v>2100</v>
      </c>
      <c r="AR2963" t="s">
        <v>118</v>
      </c>
      <c r="AS2963">
        <v>-79</v>
      </c>
      <c r="AT2963">
        <v>10</v>
      </c>
      <c r="AU2963">
        <v>0</v>
      </c>
      <c r="BC2963">
        <v>1200</v>
      </c>
      <c r="BD2963">
        <v>1</v>
      </c>
      <c r="BE2963" t="str">
        <f t="shared" si="140"/>
        <v xml:space="preserve">N215T   </v>
      </c>
      <c r="BF2963">
        <v>1</v>
      </c>
      <c r="BH2963">
        <v>0</v>
      </c>
      <c r="BI2963">
        <v>0</v>
      </c>
      <c r="BJ2963">
        <v>0</v>
      </c>
      <c r="BK2963">
        <v>2475</v>
      </c>
      <c r="BL2963">
        <v>375</v>
      </c>
      <c r="BM2963" t="s">
        <v>119</v>
      </c>
      <c r="BN2963">
        <v>1</v>
      </c>
      <c r="BO2963">
        <v>1</v>
      </c>
      <c r="BP2963">
        <v>1</v>
      </c>
      <c r="BQ2963">
        <v>0</v>
      </c>
      <c r="BT2963">
        <v>0</v>
      </c>
      <c r="BU2963">
        <v>0</v>
      </c>
      <c r="BV2963">
        <v>0</v>
      </c>
      <c r="CC2963" t="str">
        <f>"19:24:17.180"</f>
        <v>19:24:17.180</v>
      </c>
      <c r="CD2963" t="str">
        <f>"180698660"</f>
        <v>180698660</v>
      </c>
      <c r="CQ2963">
        <v>0</v>
      </c>
      <c r="CR2963">
        <v>2</v>
      </c>
      <c r="CS2963">
        <v>0</v>
      </c>
      <c r="CT2963">
        <v>2</v>
      </c>
      <c r="CU2963">
        <v>0</v>
      </c>
      <c r="CV2963">
        <v>6</v>
      </c>
      <c r="CW2963" t="s">
        <v>120</v>
      </c>
      <c r="CX2963">
        <v>257</v>
      </c>
      <c r="CY2963">
        <v>0</v>
      </c>
      <c r="CZ2963" t="s">
        <v>615</v>
      </c>
      <c r="DA2963" t="s">
        <v>616</v>
      </c>
      <c r="DD2963">
        <v>16192523</v>
      </c>
      <c r="DE2963" t="s">
        <v>123</v>
      </c>
    </row>
    <row r="2964" spans="1:109" x14ac:dyDescent="0.3">
      <c r="A2964" t="str">
        <f>"19:24:18.461"</f>
        <v>19:24:18.461</v>
      </c>
      <c r="B2964" t="s">
        <v>110</v>
      </c>
      <c r="C2964" t="str">
        <f t="shared" si="138"/>
        <v>ffdfd3c0</v>
      </c>
      <c r="D2964" t="s">
        <v>111</v>
      </c>
      <c r="E2964">
        <v>18</v>
      </c>
      <c r="F2964">
        <v>1018</v>
      </c>
      <c r="G2964" t="s">
        <v>112</v>
      </c>
      <c r="J2964" t="s">
        <v>113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R2964" t="s">
        <v>114</v>
      </c>
      <c r="S2964" t="str">
        <f>"19:24:18.180"</f>
        <v>19:24:18.180</v>
      </c>
      <c r="T2964" t="str">
        <f>"19:24:17.781"</f>
        <v>19:24:17.781</v>
      </c>
      <c r="U2964" t="str">
        <f t="shared" si="139"/>
        <v>a1cdbe</v>
      </c>
      <c r="V2964">
        <v>0</v>
      </c>
      <c r="W2964">
        <v>0</v>
      </c>
      <c r="X2964">
        <v>1</v>
      </c>
      <c r="Y2964">
        <v>0</v>
      </c>
      <c r="Z2964">
        <v>0</v>
      </c>
      <c r="AB2964">
        <v>0</v>
      </c>
      <c r="AC2964">
        <v>9</v>
      </c>
      <c r="AD2964">
        <v>3</v>
      </c>
      <c r="AE2964">
        <v>0</v>
      </c>
      <c r="AF2964">
        <v>9</v>
      </c>
      <c r="AG2964" t="s">
        <v>158</v>
      </c>
      <c r="AH2964">
        <v>0</v>
      </c>
      <c r="AI2964">
        <v>3</v>
      </c>
      <c r="AJ2964">
        <v>1</v>
      </c>
      <c r="AK2964">
        <v>0</v>
      </c>
      <c r="AL2964" t="s">
        <v>5576</v>
      </c>
      <c r="AM2964">
        <v>46.982709999999997</v>
      </c>
      <c r="AN2964" t="s">
        <v>5577</v>
      </c>
      <c r="AO2964">
        <v>-123.501756</v>
      </c>
      <c r="AP2964">
        <v>100</v>
      </c>
      <c r="AQ2964">
        <v>2100</v>
      </c>
      <c r="AR2964" t="s">
        <v>118</v>
      </c>
      <c r="AS2964">
        <v>-79</v>
      </c>
      <c r="AT2964">
        <v>11</v>
      </c>
      <c r="AU2964">
        <v>0</v>
      </c>
      <c r="BC2964">
        <v>1200</v>
      </c>
      <c r="BD2964">
        <v>1</v>
      </c>
      <c r="BE2964" t="str">
        <f t="shared" si="140"/>
        <v xml:space="preserve">N215T   </v>
      </c>
      <c r="BF2964">
        <v>1</v>
      </c>
      <c r="BH2964">
        <v>0</v>
      </c>
      <c r="BI2964">
        <v>0</v>
      </c>
      <c r="BJ2964">
        <v>0</v>
      </c>
      <c r="BK2964">
        <v>2475</v>
      </c>
      <c r="BL2964">
        <v>375</v>
      </c>
      <c r="BM2964" t="s">
        <v>119</v>
      </c>
      <c r="BN2964">
        <v>1</v>
      </c>
      <c r="BO2964">
        <v>1</v>
      </c>
      <c r="BP2964">
        <v>1</v>
      </c>
      <c r="BQ2964">
        <v>0</v>
      </c>
      <c r="BT2964">
        <v>0</v>
      </c>
      <c r="BU2964">
        <v>0</v>
      </c>
      <c r="BV2964">
        <v>0</v>
      </c>
      <c r="CC2964" t="str">
        <f>"19:24:18.188"</f>
        <v>19:24:18.188</v>
      </c>
      <c r="CD2964" t="str">
        <f>"185599614"</f>
        <v>185599614</v>
      </c>
      <c r="CQ2964">
        <v>0</v>
      </c>
      <c r="CR2964">
        <v>2</v>
      </c>
      <c r="CS2964">
        <v>0</v>
      </c>
      <c r="CT2964">
        <v>2</v>
      </c>
      <c r="CU2964">
        <v>0</v>
      </c>
      <c r="CV2964">
        <v>6</v>
      </c>
      <c r="CW2964" t="s">
        <v>120</v>
      </c>
      <c r="CX2964">
        <v>257</v>
      </c>
      <c r="CY2964">
        <v>0</v>
      </c>
      <c r="CZ2964" t="s">
        <v>615</v>
      </c>
      <c r="DA2964" t="s">
        <v>616</v>
      </c>
      <c r="DD2964">
        <v>16193041</v>
      </c>
      <c r="DE2964" t="s">
        <v>123</v>
      </c>
    </row>
    <row r="2965" spans="1:109" x14ac:dyDescent="0.3">
      <c r="A2965" t="str">
        <f>"19:24:19.563"</f>
        <v>19:24:19.563</v>
      </c>
      <c r="B2965" t="s">
        <v>110</v>
      </c>
      <c r="C2965" t="str">
        <f t="shared" si="138"/>
        <v>ffdfd3c0</v>
      </c>
      <c r="D2965" t="s">
        <v>111</v>
      </c>
      <c r="E2965">
        <v>18</v>
      </c>
      <c r="F2965">
        <v>1018</v>
      </c>
      <c r="G2965" t="s">
        <v>112</v>
      </c>
      <c r="J2965" t="s">
        <v>113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R2965" t="s">
        <v>114</v>
      </c>
      <c r="S2965" t="str">
        <f>"19:24:19.367"</f>
        <v>19:24:19.367</v>
      </c>
      <c r="T2965" t="str">
        <f>"19:24:19.367"</f>
        <v>19:24:19.367</v>
      </c>
      <c r="U2965" t="str">
        <f t="shared" si="139"/>
        <v>a1cdbe</v>
      </c>
      <c r="V2965">
        <v>0</v>
      </c>
      <c r="W2965">
        <v>0</v>
      </c>
      <c r="X2965">
        <v>1</v>
      </c>
      <c r="Y2965">
        <v>0</v>
      </c>
      <c r="Z2965">
        <v>0</v>
      </c>
      <c r="AB2965">
        <v>0</v>
      </c>
      <c r="AC2965">
        <v>9</v>
      </c>
      <c r="AD2965">
        <v>3</v>
      </c>
      <c r="AE2965">
        <v>0</v>
      </c>
      <c r="AF2965">
        <v>9</v>
      </c>
      <c r="AG2965" t="s">
        <v>158</v>
      </c>
      <c r="AH2965">
        <v>0</v>
      </c>
      <c r="AI2965">
        <v>3</v>
      </c>
      <c r="AJ2965">
        <v>1</v>
      </c>
      <c r="AK2965">
        <v>0</v>
      </c>
      <c r="AL2965" t="s">
        <v>917</v>
      </c>
      <c r="AM2965">
        <v>46.982753000000002</v>
      </c>
      <c r="AN2965" t="s">
        <v>5578</v>
      </c>
      <c r="AO2965">
        <v>-123.50237799999999</v>
      </c>
      <c r="AP2965">
        <v>100</v>
      </c>
      <c r="AQ2965">
        <v>2100</v>
      </c>
      <c r="AR2965" t="s">
        <v>118</v>
      </c>
      <c r="AS2965">
        <v>-79</v>
      </c>
      <c r="AT2965">
        <v>11</v>
      </c>
      <c r="AU2965">
        <v>-64</v>
      </c>
      <c r="BC2965">
        <v>1200</v>
      </c>
      <c r="BD2965">
        <v>1</v>
      </c>
      <c r="BE2965" t="str">
        <f t="shared" si="140"/>
        <v xml:space="preserve">N215T   </v>
      </c>
      <c r="BF2965">
        <v>1</v>
      </c>
      <c r="BH2965">
        <v>0</v>
      </c>
      <c r="BI2965">
        <v>0</v>
      </c>
      <c r="BJ2965">
        <v>0</v>
      </c>
      <c r="BK2965">
        <v>2450</v>
      </c>
      <c r="BL2965">
        <v>350</v>
      </c>
      <c r="BM2965" t="s">
        <v>119</v>
      </c>
      <c r="BN2965">
        <v>1</v>
      </c>
      <c r="BO2965">
        <v>1</v>
      </c>
      <c r="BP2965">
        <v>1</v>
      </c>
      <c r="BQ2965">
        <v>0</v>
      </c>
      <c r="BT2965">
        <v>0</v>
      </c>
      <c r="BU2965">
        <v>0</v>
      </c>
      <c r="BV2965">
        <v>0</v>
      </c>
      <c r="CC2965" t="str">
        <f>"19:24:19.367"</f>
        <v>19:24:19.367</v>
      </c>
      <c r="CD2965" t="str">
        <f>"370482833"</f>
        <v>370482833</v>
      </c>
      <c r="CQ2965">
        <v>0</v>
      </c>
      <c r="CR2965">
        <v>2</v>
      </c>
      <c r="CS2965">
        <v>0</v>
      </c>
      <c r="CT2965">
        <v>2</v>
      </c>
      <c r="CU2965">
        <v>0</v>
      </c>
      <c r="CV2965">
        <v>6</v>
      </c>
      <c r="CW2965" t="s">
        <v>120</v>
      </c>
      <c r="CX2965">
        <v>257</v>
      </c>
      <c r="CY2965">
        <v>0</v>
      </c>
      <c r="CZ2965" t="s">
        <v>615</v>
      </c>
      <c r="DA2965" t="s">
        <v>616</v>
      </c>
      <c r="DD2965">
        <v>16193689</v>
      </c>
      <c r="DE2965" t="s">
        <v>123</v>
      </c>
    </row>
    <row r="2966" spans="1:109" x14ac:dyDescent="0.3">
      <c r="A2966" t="str">
        <f>"19:24:20.570"</f>
        <v>19:24:20.570</v>
      </c>
      <c r="B2966" t="s">
        <v>110</v>
      </c>
      <c r="C2966" t="str">
        <f t="shared" si="138"/>
        <v>ffdfd3c0</v>
      </c>
      <c r="D2966" t="s">
        <v>111</v>
      </c>
      <c r="E2966">
        <v>18</v>
      </c>
      <c r="F2966">
        <v>1018</v>
      </c>
      <c r="G2966" t="s">
        <v>112</v>
      </c>
      <c r="J2966" t="s">
        <v>113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R2966" t="s">
        <v>114</v>
      </c>
      <c r="S2966" t="str">
        <f>"19:24:20.313"</f>
        <v>19:24:20.313</v>
      </c>
      <c r="T2966" t="str">
        <f>"19:24:19.914"</f>
        <v>19:24:19.914</v>
      </c>
      <c r="U2966" t="str">
        <f t="shared" si="139"/>
        <v>a1cdbe</v>
      </c>
      <c r="V2966">
        <v>0</v>
      </c>
      <c r="W2966">
        <v>0</v>
      </c>
      <c r="X2966">
        <v>1</v>
      </c>
      <c r="Y2966">
        <v>0</v>
      </c>
      <c r="Z2966">
        <v>0</v>
      </c>
      <c r="AB2966">
        <v>0</v>
      </c>
      <c r="AC2966">
        <v>9</v>
      </c>
      <c r="AD2966">
        <v>3</v>
      </c>
      <c r="AE2966">
        <v>0</v>
      </c>
      <c r="AF2966">
        <v>9</v>
      </c>
      <c r="AG2966" t="s">
        <v>158</v>
      </c>
      <c r="AH2966">
        <v>0</v>
      </c>
      <c r="AI2966">
        <v>3</v>
      </c>
      <c r="AJ2966">
        <v>1</v>
      </c>
      <c r="AK2966">
        <v>0</v>
      </c>
      <c r="AL2966" t="s">
        <v>5579</v>
      </c>
      <c r="AM2966">
        <v>46.982796</v>
      </c>
      <c r="AN2966" t="s">
        <v>5580</v>
      </c>
      <c r="AO2966">
        <v>-123.502872</v>
      </c>
      <c r="AP2966">
        <v>100</v>
      </c>
      <c r="AQ2966">
        <v>2100</v>
      </c>
      <c r="AR2966" t="s">
        <v>118</v>
      </c>
      <c r="AS2966">
        <v>-79</v>
      </c>
      <c r="AT2966">
        <v>11</v>
      </c>
      <c r="AU2966">
        <v>-64</v>
      </c>
      <c r="BC2966">
        <v>1200</v>
      </c>
      <c r="BD2966">
        <v>1</v>
      </c>
      <c r="BE2966" t="str">
        <f t="shared" si="140"/>
        <v xml:space="preserve">N215T   </v>
      </c>
      <c r="BF2966">
        <v>1</v>
      </c>
      <c r="BH2966">
        <v>0</v>
      </c>
      <c r="BI2966">
        <v>0</v>
      </c>
      <c r="BJ2966">
        <v>0</v>
      </c>
      <c r="BK2966">
        <v>2475</v>
      </c>
      <c r="BL2966">
        <v>375</v>
      </c>
      <c r="BM2966" t="s">
        <v>119</v>
      </c>
      <c r="BN2966">
        <v>1</v>
      </c>
      <c r="BO2966">
        <v>1</v>
      </c>
      <c r="BP2966">
        <v>1</v>
      </c>
      <c r="BQ2966">
        <v>0</v>
      </c>
      <c r="BT2966">
        <v>0</v>
      </c>
      <c r="BU2966">
        <v>0</v>
      </c>
      <c r="BV2966">
        <v>0</v>
      </c>
      <c r="CC2966" t="str">
        <f>"19:24:20.313"</f>
        <v>19:24:20.313</v>
      </c>
      <c r="CD2966" t="str">
        <f>"315389696"</f>
        <v>315389696</v>
      </c>
      <c r="CQ2966">
        <v>0</v>
      </c>
      <c r="CR2966">
        <v>2</v>
      </c>
      <c r="CS2966">
        <v>0</v>
      </c>
      <c r="CT2966">
        <v>2</v>
      </c>
      <c r="CU2966">
        <v>0</v>
      </c>
      <c r="CV2966">
        <v>6</v>
      </c>
      <c r="CW2966" t="s">
        <v>120</v>
      </c>
      <c r="CX2966">
        <v>257</v>
      </c>
      <c r="CY2966">
        <v>0</v>
      </c>
      <c r="CZ2966" t="s">
        <v>615</v>
      </c>
      <c r="DA2966" t="s">
        <v>616</v>
      </c>
      <c r="DD2966">
        <v>16194166</v>
      </c>
      <c r="DE2966" t="s">
        <v>123</v>
      </c>
    </row>
    <row r="2967" spans="1:109" x14ac:dyDescent="0.3">
      <c r="A2967" t="str">
        <f>"19:24:21.422"</f>
        <v>19:24:21.422</v>
      </c>
      <c r="B2967" t="s">
        <v>110</v>
      </c>
      <c r="C2967" t="str">
        <f t="shared" si="138"/>
        <v>ffdfd3c0</v>
      </c>
      <c r="D2967" t="s">
        <v>111</v>
      </c>
      <c r="E2967">
        <v>18</v>
      </c>
      <c r="F2967">
        <v>1018</v>
      </c>
      <c r="G2967" t="s">
        <v>112</v>
      </c>
      <c r="J2967" t="s">
        <v>113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R2967" t="s">
        <v>114</v>
      </c>
      <c r="S2967" t="str">
        <f>"19:24:21.195"</f>
        <v>19:24:21.195</v>
      </c>
      <c r="T2967" t="str">
        <f>"19:24:20.898"</f>
        <v>19:24:20.898</v>
      </c>
      <c r="U2967" t="str">
        <f t="shared" si="139"/>
        <v>a1cdbe</v>
      </c>
      <c r="V2967">
        <v>0</v>
      </c>
      <c r="W2967">
        <v>0</v>
      </c>
      <c r="X2967">
        <v>1</v>
      </c>
      <c r="Y2967">
        <v>0</v>
      </c>
      <c r="Z2967">
        <v>0</v>
      </c>
      <c r="AB2967">
        <v>0</v>
      </c>
      <c r="AC2967">
        <v>9</v>
      </c>
      <c r="AD2967">
        <v>3</v>
      </c>
      <c r="AE2967">
        <v>0</v>
      </c>
      <c r="AF2967">
        <v>9</v>
      </c>
      <c r="AG2967" t="s">
        <v>158</v>
      </c>
      <c r="AH2967">
        <v>0</v>
      </c>
      <c r="AI2967">
        <v>3</v>
      </c>
      <c r="AJ2967">
        <v>1</v>
      </c>
      <c r="AK2967">
        <v>0</v>
      </c>
      <c r="AL2967" t="s">
        <v>5581</v>
      </c>
      <c r="AM2967">
        <v>46.982838999999998</v>
      </c>
      <c r="AN2967" t="s">
        <v>5582</v>
      </c>
      <c r="AO2967">
        <v>-123.503366</v>
      </c>
      <c r="AP2967">
        <v>100</v>
      </c>
      <c r="AQ2967">
        <v>2100</v>
      </c>
      <c r="AR2967" t="s">
        <v>118</v>
      </c>
      <c r="AS2967">
        <v>-79</v>
      </c>
      <c r="AT2967">
        <v>11</v>
      </c>
      <c r="AU2967">
        <v>0</v>
      </c>
      <c r="BC2967">
        <v>1200</v>
      </c>
      <c r="BD2967">
        <v>1</v>
      </c>
      <c r="BE2967" t="str">
        <f t="shared" si="140"/>
        <v xml:space="preserve">N215T   </v>
      </c>
      <c r="BF2967">
        <v>1</v>
      </c>
      <c r="BH2967">
        <v>0</v>
      </c>
      <c r="BI2967">
        <v>0</v>
      </c>
      <c r="BJ2967">
        <v>0</v>
      </c>
      <c r="BK2967">
        <v>2450</v>
      </c>
      <c r="BL2967">
        <v>350</v>
      </c>
      <c r="BM2967" t="s">
        <v>119</v>
      </c>
      <c r="BN2967">
        <v>1</v>
      </c>
      <c r="BO2967">
        <v>1</v>
      </c>
      <c r="BP2967">
        <v>1</v>
      </c>
      <c r="BQ2967">
        <v>0</v>
      </c>
      <c r="BT2967">
        <v>0</v>
      </c>
      <c r="BU2967">
        <v>0</v>
      </c>
      <c r="BV2967">
        <v>0</v>
      </c>
      <c r="CC2967" t="str">
        <f>"19:24:21.203"</f>
        <v>19:24:21.203</v>
      </c>
      <c r="CD2967" t="str">
        <f>"200302473"</f>
        <v>200302473</v>
      </c>
      <c r="CQ2967">
        <v>0</v>
      </c>
      <c r="CR2967">
        <v>2</v>
      </c>
      <c r="CS2967">
        <v>0</v>
      </c>
      <c r="CT2967">
        <v>2</v>
      </c>
      <c r="CU2967">
        <v>0</v>
      </c>
      <c r="CV2967">
        <v>6</v>
      </c>
      <c r="CW2967" t="s">
        <v>120</v>
      </c>
      <c r="CX2967">
        <v>257</v>
      </c>
      <c r="CY2967">
        <v>0</v>
      </c>
      <c r="CZ2967" t="s">
        <v>615</v>
      </c>
      <c r="DA2967" t="s">
        <v>616</v>
      </c>
      <c r="DD2967">
        <v>16194655</v>
      </c>
      <c r="DE2967" t="s">
        <v>123</v>
      </c>
    </row>
    <row r="2968" spans="1:109" x14ac:dyDescent="0.3">
      <c r="A2968" t="str">
        <f>"19:24:22.430"</f>
        <v>19:24:22.430</v>
      </c>
      <c r="B2968" t="s">
        <v>110</v>
      </c>
      <c r="C2968" t="str">
        <f t="shared" si="138"/>
        <v>ffdfd3c0</v>
      </c>
      <c r="D2968" t="s">
        <v>111</v>
      </c>
      <c r="E2968">
        <v>18</v>
      </c>
      <c r="F2968">
        <v>1018</v>
      </c>
      <c r="G2968" t="s">
        <v>112</v>
      </c>
      <c r="J2968" t="s">
        <v>113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R2968" t="s">
        <v>114</v>
      </c>
      <c r="S2968" t="str">
        <f>"19:24:22.219"</f>
        <v>19:24:22.219</v>
      </c>
      <c r="T2968" t="str">
        <f>"19:24:22.219"</f>
        <v>19:24:22.219</v>
      </c>
      <c r="U2968" t="str">
        <f t="shared" si="139"/>
        <v>a1cdbe</v>
      </c>
      <c r="V2968">
        <v>0</v>
      </c>
      <c r="W2968">
        <v>0</v>
      </c>
      <c r="X2968">
        <v>1</v>
      </c>
      <c r="Y2968">
        <v>0</v>
      </c>
      <c r="Z2968">
        <v>0</v>
      </c>
      <c r="AB2968">
        <v>0</v>
      </c>
      <c r="AC2968">
        <v>9</v>
      </c>
      <c r="AD2968">
        <v>3</v>
      </c>
      <c r="AE2968">
        <v>0</v>
      </c>
      <c r="AF2968">
        <v>9</v>
      </c>
      <c r="AG2968" t="s">
        <v>158</v>
      </c>
      <c r="AH2968">
        <v>0</v>
      </c>
      <c r="AI2968">
        <v>3</v>
      </c>
      <c r="AJ2968">
        <v>1</v>
      </c>
      <c r="AK2968">
        <v>0</v>
      </c>
      <c r="AL2968" t="s">
        <v>5583</v>
      </c>
      <c r="AM2968">
        <v>46.982881999999996</v>
      </c>
      <c r="AN2968" t="s">
        <v>5584</v>
      </c>
      <c r="AO2968">
        <v>-123.503945</v>
      </c>
      <c r="AP2968">
        <v>100</v>
      </c>
      <c r="AQ2968">
        <v>2100</v>
      </c>
      <c r="AR2968" t="s">
        <v>118</v>
      </c>
      <c r="AS2968">
        <v>-79</v>
      </c>
      <c r="AT2968">
        <v>11</v>
      </c>
      <c r="AU2968">
        <v>0</v>
      </c>
      <c r="BC2968">
        <v>1200</v>
      </c>
      <c r="BD2968">
        <v>1</v>
      </c>
      <c r="BE2968" t="str">
        <f t="shared" si="140"/>
        <v xml:space="preserve">N215T   </v>
      </c>
      <c r="BF2968">
        <v>1</v>
      </c>
      <c r="BH2968">
        <v>0</v>
      </c>
      <c r="BI2968">
        <v>0</v>
      </c>
      <c r="BJ2968">
        <v>0</v>
      </c>
      <c r="BK2968">
        <v>2450</v>
      </c>
      <c r="BL2968">
        <v>350</v>
      </c>
      <c r="BM2968" t="s">
        <v>119</v>
      </c>
      <c r="BN2968">
        <v>1</v>
      </c>
      <c r="BO2968">
        <v>1</v>
      </c>
      <c r="BP2968">
        <v>1</v>
      </c>
      <c r="BQ2968">
        <v>0</v>
      </c>
      <c r="BT2968">
        <v>0</v>
      </c>
      <c r="BU2968">
        <v>0</v>
      </c>
      <c r="BV2968">
        <v>0</v>
      </c>
      <c r="CC2968" t="str">
        <f>"19:24:22.219"</f>
        <v>19:24:22.219</v>
      </c>
      <c r="CD2968" t="str">
        <f>"220201954"</f>
        <v>220201954</v>
      </c>
      <c r="CQ2968">
        <v>0</v>
      </c>
      <c r="CR2968">
        <v>2</v>
      </c>
      <c r="CS2968">
        <v>0</v>
      </c>
      <c r="CT2968">
        <v>2</v>
      </c>
      <c r="CU2968">
        <v>0</v>
      </c>
      <c r="CV2968">
        <v>6</v>
      </c>
      <c r="CW2968" t="s">
        <v>120</v>
      </c>
      <c r="CX2968">
        <v>257</v>
      </c>
      <c r="CY2968">
        <v>0</v>
      </c>
      <c r="CZ2968" t="s">
        <v>615</v>
      </c>
      <c r="DA2968" t="s">
        <v>616</v>
      </c>
      <c r="DD2968">
        <v>16195220</v>
      </c>
      <c r="DE2968" t="s">
        <v>123</v>
      </c>
    </row>
    <row r="2969" spans="1:109" x14ac:dyDescent="0.3">
      <c r="A2969" t="str">
        <f>"19:24:23.383"</f>
        <v>19:24:23.383</v>
      </c>
      <c r="B2969" t="s">
        <v>110</v>
      </c>
      <c r="C2969" t="str">
        <f t="shared" si="138"/>
        <v>ffdfd3c0</v>
      </c>
      <c r="D2969" t="s">
        <v>111</v>
      </c>
      <c r="E2969">
        <v>18</v>
      </c>
      <c r="F2969">
        <v>1018</v>
      </c>
      <c r="G2969" t="s">
        <v>112</v>
      </c>
      <c r="J2969" t="s">
        <v>113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R2969" t="s">
        <v>114</v>
      </c>
      <c r="S2969" t="str">
        <f>"19:24:23.164"</f>
        <v>19:24:23.164</v>
      </c>
      <c r="T2969" t="str">
        <f>"19:24:22.867"</f>
        <v>19:24:22.867</v>
      </c>
      <c r="U2969" t="str">
        <f t="shared" si="139"/>
        <v>a1cdbe</v>
      </c>
      <c r="V2969">
        <v>0</v>
      </c>
      <c r="W2969">
        <v>0</v>
      </c>
      <c r="X2969">
        <v>1</v>
      </c>
      <c r="Y2969">
        <v>0</v>
      </c>
      <c r="Z2969">
        <v>0</v>
      </c>
      <c r="AB2969">
        <v>0</v>
      </c>
      <c r="AC2969">
        <v>9</v>
      </c>
      <c r="AD2969">
        <v>3</v>
      </c>
      <c r="AE2969">
        <v>0</v>
      </c>
      <c r="AF2969">
        <v>9</v>
      </c>
      <c r="AG2969" t="s">
        <v>158</v>
      </c>
      <c r="AH2969">
        <v>0</v>
      </c>
      <c r="AI2969">
        <v>3</v>
      </c>
      <c r="AJ2969">
        <v>1</v>
      </c>
      <c r="AK2969">
        <v>0</v>
      </c>
      <c r="AL2969" t="s">
        <v>5585</v>
      </c>
      <c r="AM2969">
        <v>46.982945999999998</v>
      </c>
      <c r="AN2969" t="s">
        <v>5586</v>
      </c>
      <c r="AO2969">
        <v>-123.504395</v>
      </c>
      <c r="AP2969">
        <v>100</v>
      </c>
      <c r="AQ2969">
        <v>2100</v>
      </c>
      <c r="AR2969" t="s">
        <v>118</v>
      </c>
      <c r="AS2969">
        <v>-79</v>
      </c>
      <c r="AT2969">
        <v>11</v>
      </c>
      <c r="AU2969">
        <v>0</v>
      </c>
      <c r="BC2969">
        <v>1200</v>
      </c>
      <c r="BD2969">
        <v>1</v>
      </c>
      <c r="BE2969" t="str">
        <f t="shared" si="140"/>
        <v xml:space="preserve">N215T   </v>
      </c>
      <c r="BF2969">
        <v>1</v>
      </c>
      <c r="BH2969">
        <v>0</v>
      </c>
      <c r="BI2969">
        <v>0</v>
      </c>
      <c r="BJ2969">
        <v>0</v>
      </c>
      <c r="BK2969">
        <v>2450</v>
      </c>
      <c r="BL2969">
        <v>350</v>
      </c>
      <c r="BM2969" t="s">
        <v>119</v>
      </c>
      <c r="BN2969">
        <v>1</v>
      </c>
      <c r="BO2969">
        <v>1</v>
      </c>
      <c r="BP2969">
        <v>1</v>
      </c>
      <c r="BQ2969">
        <v>0</v>
      </c>
      <c r="BT2969">
        <v>0</v>
      </c>
      <c r="BU2969">
        <v>0</v>
      </c>
      <c r="BV2969">
        <v>0</v>
      </c>
      <c r="CC2969" t="str">
        <f>"19:24:23.164"</f>
        <v>19:24:23.164</v>
      </c>
      <c r="CD2969" t="str">
        <f>"165108812"</f>
        <v>165108812</v>
      </c>
      <c r="CQ2969">
        <v>0</v>
      </c>
      <c r="CR2969">
        <v>2</v>
      </c>
      <c r="CS2969">
        <v>0</v>
      </c>
      <c r="CT2969">
        <v>2</v>
      </c>
      <c r="CU2969">
        <v>0</v>
      </c>
      <c r="CV2969">
        <v>6</v>
      </c>
      <c r="CW2969" t="s">
        <v>120</v>
      </c>
      <c r="CX2969">
        <v>257</v>
      </c>
      <c r="CY2969">
        <v>0</v>
      </c>
      <c r="CZ2969" t="s">
        <v>615</v>
      </c>
      <c r="DA2969" t="s">
        <v>616</v>
      </c>
      <c r="DD2969">
        <v>16195721</v>
      </c>
      <c r="DE2969" t="s">
        <v>123</v>
      </c>
    </row>
    <row r="2970" spans="1:109" x14ac:dyDescent="0.3">
      <c r="A2970" t="str">
        <f>"19:24:24.344"</f>
        <v>19:24:24.344</v>
      </c>
      <c r="B2970" t="s">
        <v>110</v>
      </c>
      <c r="C2970" t="str">
        <f t="shared" si="138"/>
        <v>ffdfd3c0</v>
      </c>
      <c r="D2970" t="s">
        <v>111</v>
      </c>
      <c r="E2970">
        <v>18</v>
      </c>
      <c r="F2970">
        <v>1018</v>
      </c>
      <c r="G2970" t="s">
        <v>112</v>
      </c>
      <c r="J2970" t="s">
        <v>113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R2970" t="s">
        <v>114</v>
      </c>
      <c r="S2970" t="str">
        <f>"19:24:24.109"</f>
        <v>19:24:24.109</v>
      </c>
      <c r="T2970" t="str">
        <f>"19:24:24.008"</f>
        <v>19:24:24.008</v>
      </c>
      <c r="U2970" t="str">
        <f t="shared" si="139"/>
        <v>a1cdbe</v>
      </c>
      <c r="V2970">
        <v>0</v>
      </c>
      <c r="W2970">
        <v>0</v>
      </c>
      <c r="X2970">
        <v>1</v>
      </c>
      <c r="Y2970">
        <v>0</v>
      </c>
      <c r="Z2970">
        <v>0</v>
      </c>
      <c r="AB2970">
        <v>0</v>
      </c>
      <c r="AC2970">
        <v>9</v>
      </c>
      <c r="AD2970">
        <v>3</v>
      </c>
      <c r="AE2970">
        <v>0</v>
      </c>
      <c r="AF2970">
        <v>9</v>
      </c>
      <c r="AG2970" t="s">
        <v>158</v>
      </c>
      <c r="AH2970">
        <v>0</v>
      </c>
      <c r="AI2970">
        <v>3</v>
      </c>
      <c r="AJ2970">
        <v>1</v>
      </c>
      <c r="AK2970">
        <v>0</v>
      </c>
      <c r="AL2970" t="s">
        <v>5587</v>
      </c>
      <c r="AM2970">
        <v>46.982989000000003</v>
      </c>
      <c r="AN2970" t="s">
        <v>5588</v>
      </c>
      <c r="AO2970">
        <v>-123.504932</v>
      </c>
      <c r="AP2970">
        <v>100</v>
      </c>
      <c r="AQ2970">
        <v>2100</v>
      </c>
      <c r="AR2970" t="s">
        <v>118</v>
      </c>
      <c r="AS2970">
        <v>-79</v>
      </c>
      <c r="AT2970">
        <v>11</v>
      </c>
      <c r="AU2970">
        <v>0</v>
      </c>
      <c r="BC2970">
        <v>1200</v>
      </c>
      <c r="BD2970">
        <v>1</v>
      </c>
      <c r="BE2970" t="str">
        <f t="shared" si="140"/>
        <v xml:space="preserve">N215T   </v>
      </c>
      <c r="BF2970">
        <v>1</v>
      </c>
      <c r="BH2970">
        <v>0</v>
      </c>
      <c r="BI2970">
        <v>0</v>
      </c>
      <c r="BJ2970">
        <v>0</v>
      </c>
      <c r="BK2970">
        <v>2450</v>
      </c>
      <c r="BL2970">
        <v>350</v>
      </c>
      <c r="BM2970" t="s">
        <v>119</v>
      </c>
      <c r="BN2970">
        <v>1</v>
      </c>
      <c r="BO2970">
        <v>1</v>
      </c>
      <c r="BP2970">
        <v>1</v>
      </c>
      <c r="BQ2970">
        <v>0</v>
      </c>
      <c r="BT2970">
        <v>0</v>
      </c>
      <c r="BU2970">
        <v>0</v>
      </c>
      <c r="BV2970">
        <v>0</v>
      </c>
      <c r="CC2970" t="str">
        <f>"19:24:24.109"</f>
        <v>19:24:24.109</v>
      </c>
      <c r="CD2970" t="str">
        <f>"110015682"</f>
        <v>110015682</v>
      </c>
      <c r="CQ2970">
        <v>0</v>
      </c>
      <c r="CR2970">
        <v>2</v>
      </c>
      <c r="CS2970">
        <v>0</v>
      </c>
      <c r="CT2970">
        <v>2</v>
      </c>
      <c r="CU2970">
        <v>0</v>
      </c>
      <c r="CV2970">
        <v>6</v>
      </c>
      <c r="CW2970" t="s">
        <v>120</v>
      </c>
      <c r="CX2970">
        <v>257</v>
      </c>
      <c r="CY2970">
        <v>0</v>
      </c>
      <c r="CZ2970" t="s">
        <v>615</v>
      </c>
      <c r="DA2970" t="s">
        <v>616</v>
      </c>
      <c r="DD2970">
        <v>16196255</v>
      </c>
      <c r="DE2970" t="s">
        <v>123</v>
      </c>
    </row>
    <row r="2971" spans="1:109" x14ac:dyDescent="0.3">
      <c r="A2971" t="str">
        <f>"19:24:25.398"</f>
        <v>19:24:25.398</v>
      </c>
      <c r="B2971" t="s">
        <v>110</v>
      </c>
      <c r="C2971" t="str">
        <f t="shared" si="138"/>
        <v>ffdfd3c0</v>
      </c>
      <c r="D2971" t="s">
        <v>111</v>
      </c>
      <c r="E2971">
        <v>18</v>
      </c>
      <c r="F2971">
        <v>1018</v>
      </c>
      <c r="G2971" t="s">
        <v>112</v>
      </c>
      <c r="J2971" t="s">
        <v>113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R2971" t="s">
        <v>114</v>
      </c>
      <c r="S2971" t="str">
        <f>"19:24:25.188"</f>
        <v>19:24:25.188</v>
      </c>
      <c r="T2971" t="str">
        <f>"19:24:24.984"</f>
        <v>19:24:24.984</v>
      </c>
      <c r="U2971" t="str">
        <f t="shared" si="139"/>
        <v>a1cdbe</v>
      </c>
      <c r="V2971">
        <v>0</v>
      </c>
      <c r="W2971">
        <v>0</v>
      </c>
      <c r="X2971">
        <v>1</v>
      </c>
      <c r="Y2971">
        <v>0</v>
      </c>
      <c r="Z2971">
        <v>0</v>
      </c>
      <c r="AB2971">
        <v>0</v>
      </c>
      <c r="AC2971">
        <v>9</v>
      </c>
      <c r="AD2971">
        <v>3</v>
      </c>
      <c r="AE2971">
        <v>0</v>
      </c>
      <c r="AF2971">
        <v>9</v>
      </c>
      <c r="AG2971" t="s">
        <v>158</v>
      </c>
      <c r="AH2971">
        <v>0</v>
      </c>
      <c r="AI2971">
        <v>3</v>
      </c>
      <c r="AJ2971">
        <v>1</v>
      </c>
      <c r="AK2971">
        <v>0</v>
      </c>
      <c r="AL2971" t="s">
        <v>5589</v>
      </c>
      <c r="AM2971">
        <v>46.983074999999999</v>
      </c>
      <c r="AN2971" t="s">
        <v>5590</v>
      </c>
      <c r="AO2971">
        <v>-123.50548999999999</v>
      </c>
      <c r="AP2971">
        <v>100</v>
      </c>
      <c r="AQ2971">
        <v>2100</v>
      </c>
      <c r="AR2971" t="s">
        <v>118</v>
      </c>
      <c r="AS2971">
        <v>-79</v>
      </c>
      <c r="AT2971">
        <v>11</v>
      </c>
      <c r="AU2971">
        <v>0</v>
      </c>
      <c r="BC2971">
        <v>1200</v>
      </c>
      <c r="BD2971">
        <v>1</v>
      </c>
      <c r="BE2971" t="str">
        <f t="shared" si="140"/>
        <v xml:space="preserve">N215T   </v>
      </c>
      <c r="BF2971">
        <v>1</v>
      </c>
      <c r="BH2971">
        <v>0</v>
      </c>
      <c r="BI2971">
        <v>0</v>
      </c>
      <c r="BJ2971">
        <v>0</v>
      </c>
      <c r="BK2971">
        <v>2450</v>
      </c>
      <c r="BL2971">
        <v>350</v>
      </c>
      <c r="BM2971" t="s">
        <v>119</v>
      </c>
      <c r="BN2971">
        <v>1</v>
      </c>
      <c r="BO2971">
        <v>1</v>
      </c>
      <c r="BP2971">
        <v>1</v>
      </c>
      <c r="BQ2971">
        <v>0</v>
      </c>
      <c r="BT2971">
        <v>0</v>
      </c>
      <c r="BU2971">
        <v>0</v>
      </c>
      <c r="BV2971">
        <v>0</v>
      </c>
      <c r="CC2971" t="str">
        <f>"19:24:25.188"</f>
        <v>19:24:25.188</v>
      </c>
      <c r="CD2971" t="str">
        <f>"189909243"</f>
        <v>189909243</v>
      </c>
      <c r="CQ2971">
        <v>0</v>
      </c>
      <c r="CR2971">
        <v>2</v>
      </c>
      <c r="CS2971">
        <v>0</v>
      </c>
      <c r="CT2971">
        <v>2</v>
      </c>
      <c r="CU2971">
        <v>0</v>
      </c>
      <c r="CV2971">
        <v>6</v>
      </c>
      <c r="CW2971" t="s">
        <v>120</v>
      </c>
      <c r="CX2971">
        <v>257</v>
      </c>
      <c r="CY2971">
        <v>0</v>
      </c>
      <c r="CZ2971" t="s">
        <v>615</v>
      </c>
      <c r="DA2971" t="s">
        <v>616</v>
      </c>
      <c r="DD2971">
        <v>16196797</v>
      </c>
      <c r="DE2971" t="s">
        <v>123</v>
      </c>
    </row>
    <row r="2972" spans="1:109" x14ac:dyDescent="0.3">
      <c r="A2972" t="str">
        <f>"19:24:26.555"</f>
        <v>19:24:26.555</v>
      </c>
      <c r="B2972" t="s">
        <v>110</v>
      </c>
      <c r="C2972" t="str">
        <f t="shared" si="138"/>
        <v>ffdfd3c0</v>
      </c>
      <c r="D2972" t="s">
        <v>111</v>
      </c>
      <c r="E2972">
        <v>18</v>
      </c>
      <c r="F2972">
        <v>1018</v>
      </c>
      <c r="G2972" t="s">
        <v>112</v>
      </c>
      <c r="J2972" t="s">
        <v>113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R2972" t="s">
        <v>114</v>
      </c>
      <c r="S2972" t="str">
        <f>"19:24:26.328"</f>
        <v>19:24:26.328</v>
      </c>
      <c r="T2972" t="str">
        <f>"19:24:25.930"</f>
        <v>19:24:25.930</v>
      </c>
      <c r="U2972" t="str">
        <f t="shared" si="139"/>
        <v>a1cdbe</v>
      </c>
      <c r="V2972">
        <v>0</v>
      </c>
      <c r="W2972">
        <v>0</v>
      </c>
      <c r="X2972">
        <v>1</v>
      </c>
      <c r="Y2972">
        <v>0</v>
      </c>
      <c r="Z2972">
        <v>0</v>
      </c>
      <c r="AB2972">
        <v>0</v>
      </c>
      <c r="AC2972">
        <v>9</v>
      </c>
      <c r="AD2972">
        <v>3</v>
      </c>
      <c r="AE2972">
        <v>0</v>
      </c>
      <c r="AF2972">
        <v>9</v>
      </c>
      <c r="AG2972" t="s">
        <v>158</v>
      </c>
      <c r="AH2972">
        <v>0</v>
      </c>
      <c r="AI2972">
        <v>3</v>
      </c>
      <c r="AJ2972">
        <v>1</v>
      </c>
      <c r="AK2972">
        <v>0</v>
      </c>
      <c r="AL2972" t="s">
        <v>915</v>
      </c>
      <c r="AM2972">
        <v>46.983117999999997</v>
      </c>
      <c r="AN2972" t="s">
        <v>5591</v>
      </c>
      <c r="AO2972">
        <v>-123.506112</v>
      </c>
      <c r="AP2972">
        <v>100</v>
      </c>
      <c r="AQ2972">
        <v>2100</v>
      </c>
      <c r="AR2972" t="s">
        <v>118</v>
      </c>
      <c r="AS2972">
        <v>-79</v>
      </c>
      <c r="AT2972">
        <v>12</v>
      </c>
      <c r="AU2972">
        <v>0</v>
      </c>
      <c r="BC2972">
        <v>1200</v>
      </c>
      <c r="BD2972">
        <v>1</v>
      </c>
      <c r="BE2972" t="str">
        <f t="shared" si="140"/>
        <v xml:space="preserve">N215T   </v>
      </c>
      <c r="BF2972">
        <v>1</v>
      </c>
      <c r="BH2972">
        <v>0</v>
      </c>
      <c r="BI2972">
        <v>0</v>
      </c>
      <c r="BJ2972">
        <v>0</v>
      </c>
      <c r="BK2972">
        <v>2450</v>
      </c>
      <c r="BL2972">
        <v>350</v>
      </c>
      <c r="BM2972" t="s">
        <v>119</v>
      </c>
      <c r="BN2972">
        <v>1</v>
      </c>
      <c r="BO2972">
        <v>1</v>
      </c>
      <c r="BP2972">
        <v>1</v>
      </c>
      <c r="BQ2972">
        <v>0</v>
      </c>
      <c r="BT2972">
        <v>0</v>
      </c>
      <c r="BU2972">
        <v>0</v>
      </c>
      <c r="BV2972">
        <v>0</v>
      </c>
      <c r="CC2972" t="str">
        <f>"19:24:26.328"</f>
        <v>19:24:26.328</v>
      </c>
      <c r="CD2972" t="str">
        <f>"329796895"</f>
        <v>329796895</v>
      </c>
      <c r="CQ2972">
        <v>0</v>
      </c>
      <c r="CR2972">
        <v>2</v>
      </c>
      <c r="CS2972">
        <v>0</v>
      </c>
      <c r="CT2972">
        <v>2</v>
      </c>
      <c r="CU2972">
        <v>0</v>
      </c>
      <c r="CV2972">
        <v>6</v>
      </c>
      <c r="CW2972" t="s">
        <v>120</v>
      </c>
      <c r="CX2972">
        <v>257</v>
      </c>
      <c r="CY2972">
        <v>0</v>
      </c>
      <c r="CZ2972" t="s">
        <v>615</v>
      </c>
      <c r="DA2972" t="s">
        <v>616</v>
      </c>
      <c r="DD2972">
        <v>16197402</v>
      </c>
      <c r="DE2972" t="s">
        <v>123</v>
      </c>
    </row>
    <row r="2973" spans="1:109" x14ac:dyDescent="0.3">
      <c r="A2973" t="str">
        <f>"19:24:27.711"</f>
        <v>19:24:27.711</v>
      </c>
      <c r="B2973" t="s">
        <v>110</v>
      </c>
      <c r="C2973" t="str">
        <f t="shared" si="138"/>
        <v>ffdfd3c0</v>
      </c>
      <c r="D2973" t="s">
        <v>111</v>
      </c>
      <c r="E2973">
        <v>18</v>
      </c>
      <c r="F2973">
        <v>1018</v>
      </c>
      <c r="G2973" t="s">
        <v>112</v>
      </c>
      <c r="J2973" t="s">
        <v>113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R2973" t="s">
        <v>114</v>
      </c>
      <c r="S2973" t="str">
        <f>"19:24:27.422"</f>
        <v>19:24:27.422</v>
      </c>
      <c r="T2973" t="str">
        <f>"19:24:27.320"</f>
        <v>19:24:27.320</v>
      </c>
      <c r="U2973" t="str">
        <f t="shared" si="139"/>
        <v>a1cdbe</v>
      </c>
      <c r="V2973">
        <v>0</v>
      </c>
      <c r="W2973">
        <v>0</v>
      </c>
      <c r="X2973">
        <v>1</v>
      </c>
      <c r="Y2973">
        <v>0</v>
      </c>
      <c r="Z2973">
        <v>0</v>
      </c>
      <c r="AB2973">
        <v>0</v>
      </c>
      <c r="AC2973">
        <v>9</v>
      </c>
      <c r="AD2973">
        <v>3</v>
      </c>
      <c r="AE2973">
        <v>0</v>
      </c>
      <c r="AF2973">
        <v>9</v>
      </c>
      <c r="AG2973" t="s">
        <v>158</v>
      </c>
      <c r="AH2973">
        <v>0</v>
      </c>
      <c r="AI2973">
        <v>3</v>
      </c>
      <c r="AJ2973">
        <v>1</v>
      </c>
      <c r="AK2973">
        <v>0</v>
      </c>
      <c r="AL2973" t="s">
        <v>5592</v>
      </c>
      <c r="AM2973">
        <v>46.983181999999999</v>
      </c>
      <c r="AN2973" t="s">
        <v>5593</v>
      </c>
      <c r="AO2973">
        <v>-123.506691</v>
      </c>
      <c r="AP2973">
        <v>100</v>
      </c>
      <c r="AQ2973">
        <v>2100</v>
      </c>
      <c r="AR2973" t="s">
        <v>118</v>
      </c>
      <c r="AS2973">
        <v>-79</v>
      </c>
      <c r="AT2973">
        <v>12</v>
      </c>
      <c r="AU2973">
        <v>64</v>
      </c>
      <c r="BC2973">
        <v>1200</v>
      </c>
      <c r="BD2973">
        <v>1</v>
      </c>
      <c r="BE2973" t="str">
        <f t="shared" si="140"/>
        <v xml:space="preserve">N215T   </v>
      </c>
      <c r="BF2973">
        <v>1</v>
      </c>
      <c r="BH2973">
        <v>0</v>
      </c>
      <c r="BI2973">
        <v>0</v>
      </c>
      <c r="BJ2973">
        <v>0</v>
      </c>
      <c r="BK2973">
        <v>2475</v>
      </c>
      <c r="BL2973">
        <v>375</v>
      </c>
      <c r="BM2973" t="s">
        <v>119</v>
      </c>
      <c r="BN2973">
        <v>1</v>
      </c>
      <c r="BO2973">
        <v>1</v>
      </c>
      <c r="BP2973">
        <v>1</v>
      </c>
      <c r="BQ2973">
        <v>0</v>
      </c>
      <c r="BT2973">
        <v>0</v>
      </c>
      <c r="BU2973">
        <v>0</v>
      </c>
      <c r="BV2973">
        <v>0</v>
      </c>
      <c r="CC2973" t="str">
        <f>"19:24:27.422"</f>
        <v>19:24:27.422</v>
      </c>
      <c r="CD2973" t="str">
        <f>"424688973"</f>
        <v>424688973</v>
      </c>
      <c r="CQ2973">
        <v>0</v>
      </c>
      <c r="CR2973">
        <v>2</v>
      </c>
      <c r="CS2973">
        <v>0</v>
      </c>
      <c r="CT2973">
        <v>2</v>
      </c>
      <c r="CU2973">
        <v>0</v>
      </c>
      <c r="CV2973">
        <v>6</v>
      </c>
      <c r="CW2973" t="s">
        <v>120</v>
      </c>
      <c r="CX2973">
        <v>257</v>
      </c>
      <c r="CY2973">
        <v>0</v>
      </c>
      <c r="CZ2973" t="s">
        <v>615</v>
      </c>
      <c r="DA2973" t="s">
        <v>616</v>
      </c>
      <c r="DD2973">
        <v>16197987</v>
      </c>
      <c r="DE2973" t="s">
        <v>123</v>
      </c>
    </row>
    <row r="2974" spans="1:109" x14ac:dyDescent="0.3">
      <c r="A2974" t="str">
        <f>"19:24:28.461"</f>
        <v>19:24:28.461</v>
      </c>
      <c r="B2974" t="s">
        <v>110</v>
      </c>
      <c r="C2974" t="str">
        <f t="shared" si="138"/>
        <v>ffdfd3c0</v>
      </c>
      <c r="D2974" t="s">
        <v>111</v>
      </c>
      <c r="E2974">
        <v>18</v>
      </c>
      <c r="F2974">
        <v>1018</v>
      </c>
      <c r="G2974" t="s">
        <v>112</v>
      </c>
      <c r="J2974" t="s">
        <v>113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R2974" t="s">
        <v>114</v>
      </c>
      <c r="S2974" t="str">
        <f>"19:24:28.242"</f>
        <v>19:24:28.242</v>
      </c>
      <c r="T2974" t="str">
        <f>"19:24:28.242"</f>
        <v>19:24:28.242</v>
      </c>
      <c r="U2974" t="str">
        <f t="shared" si="139"/>
        <v>a1cdbe</v>
      </c>
      <c r="V2974">
        <v>0</v>
      </c>
      <c r="W2974">
        <v>0</v>
      </c>
      <c r="X2974">
        <v>1</v>
      </c>
      <c r="Y2974">
        <v>0</v>
      </c>
      <c r="Z2974">
        <v>0</v>
      </c>
      <c r="AB2974">
        <v>0</v>
      </c>
      <c r="AC2974">
        <v>9</v>
      </c>
      <c r="AD2974">
        <v>3</v>
      </c>
      <c r="AE2974">
        <v>0</v>
      </c>
      <c r="AF2974">
        <v>9</v>
      </c>
      <c r="AG2974" t="s">
        <v>158</v>
      </c>
      <c r="AH2974">
        <v>0</v>
      </c>
      <c r="AI2974">
        <v>3</v>
      </c>
      <c r="AJ2974">
        <v>1</v>
      </c>
      <c r="AK2974">
        <v>0</v>
      </c>
      <c r="AL2974" t="s">
        <v>5594</v>
      </c>
      <c r="AM2974">
        <v>46.983224999999997</v>
      </c>
      <c r="AN2974" t="s">
        <v>5595</v>
      </c>
      <c r="AO2974">
        <v>-123.507099</v>
      </c>
      <c r="AP2974">
        <v>100</v>
      </c>
      <c r="AQ2974">
        <v>2100</v>
      </c>
      <c r="AR2974" t="s">
        <v>118</v>
      </c>
      <c r="AS2974">
        <v>-79</v>
      </c>
      <c r="AT2974">
        <v>12</v>
      </c>
      <c r="AU2974">
        <v>0</v>
      </c>
      <c r="BC2974">
        <v>1200</v>
      </c>
      <c r="BD2974">
        <v>1</v>
      </c>
      <c r="BE2974" t="str">
        <f t="shared" si="140"/>
        <v xml:space="preserve">N215T   </v>
      </c>
      <c r="BF2974">
        <v>1</v>
      </c>
      <c r="BH2974">
        <v>0</v>
      </c>
      <c r="BI2974">
        <v>0</v>
      </c>
      <c r="BJ2974">
        <v>0</v>
      </c>
      <c r="BK2974">
        <v>2475</v>
      </c>
      <c r="BL2974">
        <v>375</v>
      </c>
      <c r="BM2974" t="s">
        <v>119</v>
      </c>
      <c r="BN2974">
        <v>1</v>
      </c>
      <c r="BO2974">
        <v>1</v>
      </c>
      <c r="BP2974">
        <v>1</v>
      </c>
      <c r="BQ2974">
        <v>0</v>
      </c>
      <c r="BT2974">
        <v>0</v>
      </c>
      <c r="BU2974">
        <v>0</v>
      </c>
      <c r="BV2974">
        <v>0</v>
      </c>
      <c r="CC2974" t="str">
        <f>"19:24:28.250"</f>
        <v>19:24:28.250</v>
      </c>
      <c r="CD2974" t="str">
        <f>"249607669"</f>
        <v>249607669</v>
      </c>
      <c r="CQ2974">
        <v>0</v>
      </c>
      <c r="CR2974">
        <v>2</v>
      </c>
      <c r="CS2974">
        <v>0</v>
      </c>
      <c r="CT2974">
        <v>2</v>
      </c>
      <c r="CU2974">
        <v>0</v>
      </c>
      <c r="CV2974">
        <v>6</v>
      </c>
      <c r="CW2974" t="s">
        <v>120</v>
      </c>
      <c r="CX2974">
        <v>257</v>
      </c>
      <c r="CY2974">
        <v>0</v>
      </c>
      <c r="CZ2974" t="s">
        <v>615</v>
      </c>
      <c r="DA2974" t="s">
        <v>616</v>
      </c>
      <c r="DD2974">
        <v>16198418</v>
      </c>
      <c r="DE2974" t="s">
        <v>123</v>
      </c>
    </row>
    <row r="2975" spans="1:109" x14ac:dyDescent="0.3">
      <c r="A2975" t="str">
        <f>"19:24:29.414"</f>
        <v>19:24:29.414</v>
      </c>
      <c r="B2975" t="s">
        <v>110</v>
      </c>
      <c r="C2975" t="str">
        <f t="shared" si="138"/>
        <v>ffdfd3c0</v>
      </c>
      <c r="D2975" t="s">
        <v>111</v>
      </c>
      <c r="E2975">
        <v>18</v>
      </c>
      <c r="F2975">
        <v>1018</v>
      </c>
      <c r="G2975" t="s">
        <v>112</v>
      </c>
      <c r="J2975" t="s">
        <v>113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R2975" t="s">
        <v>114</v>
      </c>
      <c r="S2975" t="str">
        <f>"19:24:29.219"</f>
        <v>19:24:29.219</v>
      </c>
      <c r="T2975" t="str">
        <f>"19:24:29.219"</f>
        <v>19:24:29.219</v>
      </c>
      <c r="U2975" t="str">
        <f t="shared" si="139"/>
        <v>a1cdbe</v>
      </c>
      <c r="V2975">
        <v>0</v>
      </c>
      <c r="W2975">
        <v>0</v>
      </c>
      <c r="X2975">
        <v>1</v>
      </c>
      <c r="Y2975">
        <v>0</v>
      </c>
      <c r="Z2975">
        <v>0</v>
      </c>
      <c r="AB2975">
        <v>0</v>
      </c>
      <c r="AC2975">
        <v>9</v>
      </c>
      <c r="AD2975">
        <v>3</v>
      </c>
      <c r="AE2975">
        <v>0</v>
      </c>
      <c r="AF2975">
        <v>9</v>
      </c>
      <c r="AG2975" t="s">
        <v>158</v>
      </c>
      <c r="AH2975">
        <v>0</v>
      </c>
      <c r="AI2975">
        <v>3</v>
      </c>
      <c r="AJ2975">
        <v>1</v>
      </c>
      <c r="AK2975">
        <v>0</v>
      </c>
      <c r="AL2975" t="s">
        <v>5596</v>
      </c>
      <c r="AM2975">
        <v>46.983268000000002</v>
      </c>
      <c r="AN2975" t="s">
        <v>5597</v>
      </c>
      <c r="AO2975">
        <v>-123.507679</v>
      </c>
      <c r="AP2975">
        <v>100</v>
      </c>
      <c r="AQ2975">
        <v>2100</v>
      </c>
      <c r="AR2975" t="s">
        <v>118</v>
      </c>
      <c r="AS2975">
        <v>-79</v>
      </c>
      <c r="AT2975">
        <v>12</v>
      </c>
      <c r="AU2975">
        <v>-64</v>
      </c>
      <c r="BC2975">
        <v>1200</v>
      </c>
      <c r="BD2975">
        <v>1</v>
      </c>
      <c r="BE2975" t="str">
        <f t="shared" si="140"/>
        <v xml:space="preserve">N215T   </v>
      </c>
      <c r="BF2975">
        <v>1</v>
      </c>
      <c r="BH2975">
        <v>0</v>
      </c>
      <c r="BI2975">
        <v>0</v>
      </c>
      <c r="BJ2975">
        <v>0</v>
      </c>
      <c r="BK2975">
        <v>2475</v>
      </c>
      <c r="BL2975">
        <v>375</v>
      </c>
      <c r="BM2975" t="s">
        <v>119</v>
      </c>
      <c r="BN2975">
        <v>1</v>
      </c>
      <c r="BO2975">
        <v>1</v>
      </c>
      <c r="BP2975">
        <v>1</v>
      </c>
      <c r="BQ2975">
        <v>0</v>
      </c>
      <c r="BT2975">
        <v>0</v>
      </c>
      <c r="BU2975">
        <v>0</v>
      </c>
      <c r="BV2975">
        <v>0</v>
      </c>
      <c r="CC2975" t="str">
        <f>"19:24:29.227"</f>
        <v>19:24:29.227</v>
      </c>
      <c r="CD2975" t="str">
        <f>"224511581"</f>
        <v>224511581</v>
      </c>
      <c r="CQ2975">
        <v>0</v>
      </c>
      <c r="CR2975">
        <v>2</v>
      </c>
      <c r="CS2975">
        <v>0</v>
      </c>
      <c r="CT2975">
        <v>2</v>
      </c>
      <c r="CU2975">
        <v>0</v>
      </c>
      <c r="CV2975">
        <v>6</v>
      </c>
      <c r="CW2975" t="s">
        <v>120</v>
      </c>
      <c r="CX2975">
        <v>257</v>
      </c>
      <c r="CY2975">
        <v>0</v>
      </c>
      <c r="CZ2975" t="s">
        <v>615</v>
      </c>
      <c r="DA2975" t="s">
        <v>616</v>
      </c>
      <c r="DD2975">
        <v>16198922</v>
      </c>
      <c r="DE2975" t="s">
        <v>123</v>
      </c>
    </row>
    <row r="2976" spans="1:109" x14ac:dyDescent="0.3">
      <c r="A2976" t="str">
        <f>"19:24:30.375"</f>
        <v>19:24:30.375</v>
      </c>
      <c r="B2976" t="s">
        <v>110</v>
      </c>
      <c r="C2976" t="str">
        <f t="shared" si="138"/>
        <v>ffdfd3c0</v>
      </c>
      <c r="D2976" t="s">
        <v>111</v>
      </c>
      <c r="E2976">
        <v>18</v>
      </c>
      <c r="F2976">
        <v>1018</v>
      </c>
      <c r="G2976" t="s">
        <v>112</v>
      </c>
      <c r="J2976" t="s">
        <v>113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R2976" t="s">
        <v>114</v>
      </c>
      <c r="S2976" t="str">
        <f>"19:24:30.133"</f>
        <v>19:24:30.133</v>
      </c>
      <c r="T2976" t="str">
        <f>"19:24:29.734"</f>
        <v>19:24:29.734</v>
      </c>
      <c r="U2976" t="str">
        <f t="shared" si="139"/>
        <v>a1cdbe</v>
      </c>
      <c r="V2976">
        <v>0</v>
      </c>
      <c r="W2976">
        <v>0</v>
      </c>
      <c r="X2976">
        <v>1</v>
      </c>
      <c r="Y2976">
        <v>0</v>
      </c>
      <c r="Z2976">
        <v>0</v>
      </c>
      <c r="AB2976">
        <v>0</v>
      </c>
      <c r="AC2976">
        <v>9</v>
      </c>
      <c r="AD2976">
        <v>3</v>
      </c>
      <c r="AE2976">
        <v>0</v>
      </c>
      <c r="AF2976">
        <v>9</v>
      </c>
      <c r="AG2976" t="s">
        <v>158</v>
      </c>
      <c r="AH2976">
        <v>0</v>
      </c>
      <c r="AI2976">
        <v>3</v>
      </c>
      <c r="AJ2976">
        <v>1</v>
      </c>
      <c r="AK2976">
        <v>0</v>
      </c>
      <c r="AL2976" t="s">
        <v>5598</v>
      </c>
      <c r="AM2976">
        <v>46.983353999999999</v>
      </c>
      <c r="AN2976" t="s">
        <v>5599</v>
      </c>
      <c r="AO2976">
        <v>-123.508172</v>
      </c>
      <c r="AP2976">
        <v>100</v>
      </c>
      <c r="AQ2976">
        <v>2100</v>
      </c>
      <c r="AR2976" t="s">
        <v>118</v>
      </c>
      <c r="AS2976">
        <v>-79</v>
      </c>
      <c r="AT2976">
        <v>12</v>
      </c>
      <c r="AU2976">
        <v>-64</v>
      </c>
      <c r="BC2976">
        <v>1200</v>
      </c>
      <c r="BD2976">
        <v>1</v>
      </c>
      <c r="BE2976" t="str">
        <f t="shared" si="140"/>
        <v xml:space="preserve">N215T   </v>
      </c>
      <c r="BF2976">
        <v>1</v>
      </c>
      <c r="BH2976">
        <v>0</v>
      </c>
      <c r="BI2976">
        <v>0</v>
      </c>
      <c r="BJ2976">
        <v>0</v>
      </c>
      <c r="BK2976">
        <v>2475</v>
      </c>
      <c r="BL2976">
        <v>375</v>
      </c>
      <c r="BM2976" t="s">
        <v>119</v>
      </c>
      <c r="BN2976">
        <v>1</v>
      </c>
      <c r="BO2976">
        <v>1</v>
      </c>
      <c r="BP2976">
        <v>1</v>
      </c>
      <c r="BQ2976">
        <v>0</v>
      </c>
      <c r="BT2976">
        <v>0</v>
      </c>
      <c r="BU2976">
        <v>0</v>
      </c>
      <c r="BV2976">
        <v>0</v>
      </c>
      <c r="CC2976" t="str">
        <f>"19:24:30.141"</f>
        <v>19:24:30.141</v>
      </c>
      <c r="CD2976" t="str">
        <f>"139421408"</f>
        <v>139421408</v>
      </c>
      <c r="CQ2976">
        <v>0</v>
      </c>
      <c r="CR2976">
        <v>2</v>
      </c>
      <c r="CS2976">
        <v>0</v>
      </c>
      <c r="CT2976">
        <v>2</v>
      </c>
      <c r="CU2976">
        <v>0</v>
      </c>
      <c r="CV2976">
        <v>6</v>
      </c>
      <c r="CW2976" t="s">
        <v>120</v>
      </c>
      <c r="CX2976">
        <v>257</v>
      </c>
      <c r="CY2976">
        <v>0</v>
      </c>
      <c r="CZ2976" t="s">
        <v>615</v>
      </c>
      <c r="DA2976" t="s">
        <v>616</v>
      </c>
      <c r="DD2976">
        <v>16199394</v>
      </c>
      <c r="DE2976" t="s">
        <v>123</v>
      </c>
    </row>
    <row r="2977" spans="1:109" x14ac:dyDescent="0.3">
      <c r="A2977" t="str">
        <f>"19:24:31.531"</f>
        <v>19:24:31.531</v>
      </c>
      <c r="B2977" t="s">
        <v>110</v>
      </c>
      <c r="C2977" t="str">
        <f t="shared" si="138"/>
        <v>ffdfd3c0</v>
      </c>
      <c r="D2977" t="s">
        <v>111</v>
      </c>
      <c r="E2977">
        <v>18</v>
      </c>
      <c r="F2977">
        <v>1018</v>
      </c>
      <c r="G2977" t="s">
        <v>112</v>
      </c>
      <c r="J2977" t="s">
        <v>113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R2977" t="s">
        <v>114</v>
      </c>
      <c r="S2977" t="str">
        <f>"19:24:31.289"</f>
        <v>19:24:31.289</v>
      </c>
      <c r="T2977" t="str">
        <f>"19:24:30.789"</f>
        <v>19:24:30.789</v>
      </c>
      <c r="U2977" t="str">
        <f t="shared" si="139"/>
        <v>a1cdbe</v>
      </c>
      <c r="V2977">
        <v>0</v>
      </c>
      <c r="W2977">
        <v>0</v>
      </c>
      <c r="X2977">
        <v>1</v>
      </c>
      <c r="Y2977">
        <v>0</v>
      </c>
      <c r="Z2977">
        <v>0</v>
      </c>
      <c r="AB2977">
        <v>0</v>
      </c>
      <c r="AC2977">
        <v>9</v>
      </c>
      <c r="AD2977">
        <v>3</v>
      </c>
      <c r="AE2977">
        <v>0</v>
      </c>
      <c r="AF2977">
        <v>9</v>
      </c>
      <c r="AG2977" t="s">
        <v>158</v>
      </c>
      <c r="AH2977">
        <v>0</v>
      </c>
      <c r="AI2977">
        <v>3</v>
      </c>
      <c r="AJ2977">
        <v>1</v>
      </c>
      <c r="AK2977">
        <v>0</v>
      </c>
      <c r="AL2977" t="s">
        <v>5600</v>
      </c>
      <c r="AM2977">
        <v>46.983396999999997</v>
      </c>
      <c r="AN2977" t="s">
        <v>5601</v>
      </c>
      <c r="AO2977">
        <v>-123.50877300000001</v>
      </c>
      <c r="AP2977">
        <v>100</v>
      </c>
      <c r="AQ2977">
        <v>2100</v>
      </c>
      <c r="AR2977" t="s">
        <v>118</v>
      </c>
      <c r="AS2977">
        <v>-79</v>
      </c>
      <c r="AT2977">
        <v>13</v>
      </c>
      <c r="AU2977">
        <v>-64</v>
      </c>
      <c r="BC2977">
        <v>1200</v>
      </c>
      <c r="BD2977">
        <v>1</v>
      </c>
      <c r="BE2977" t="str">
        <f t="shared" si="140"/>
        <v xml:space="preserve">N215T   </v>
      </c>
      <c r="BF2977">
        <v>1</v>
      </c>
      <c r="BH2977">
        <v>0</v>
      </c>
      <c r="BI2977">
        <v>0</v>
      </c>
      <c r="BJ2977">
        <v>0</v>
      </c>
      <c r="BK2977">
        <v>2475</v>
      </c>
      <c r="BL2977">
        <v>375</v>
      </c>
      <c r="BM2977" t="s">
        <v>119</v>
      </c>
      <c r="BN2977">
        <v>1</v>
      </c>
      <c r="BO2977">
        <v>1</v>
      </c>
      <c r="BP2977">
        <v>1</v>
      </c>
      <c r="BQ2977">
        <v>0</v>
      </c>
      <c r="BT2977">
        <v>0</v>
      </c>
      <c r="BU2977">
        <v>0</v>
      </c>
      <c r="BV2977">
        <v>0</v>
      </c>
      <c r="CC2977" t="str">
        <f>"19:24:31.297"</f>
        <v>19:24:31.297</v>
      </c>
      <c r="CD2977" t="str">
        <f>"294307581"</f>
        <v>294307581</v>
      </c>
      <c r="CQ2977">
        <v>0</v>
      </c>
      <c r="CR2977">
        <v>2</v>
      </c>
      <c r="CS2977">
        <v>0</v>
      </c>
      <c r="CT2977">
        <v>2</v>
      </c>
      <c r="CU2977">
        <v>0</v>
      </c>
      <c r="CV2977">
        <v>6</v>
      </c>
      <c r="CW2977" t="s">
        <v>120</v>
      </c>
      <c r="CX2977">
        <v>257</v>
      </c>
      <c r="CY2977">
        <v>0</v>
      </c>
      <c r="CZ2977" t="s">
        <v>615</v>
      </c>
      <c r="DA2977" t="s">
        <v>616</v>
      </c>
      <c r="DD2977">
        <v>16200031</v>
      </c>
      <c r="DE2977" t="s">
        <v>123</v>
      </c>
    </row>
    <row r="2978" spans="1:109" x14ac:dyDescent="0.3">
      <c r="A2978" t="str">
        <f>"19:24:32.586"</f>
        <v>19:24:32.586</v>
      </c>
      <c r="B2978" t="s">
        <v>110</v>
      </c>
      <c r="C2978" t="str">
        <f t="shared" si="138"/>
        <v>ffdfd3c0</v>
      </c>
      <c r="D2978" t="s">
        <v>111</v>
      </c>
      <c r="E2978">
        <v>18</v>
      </c>
      <c r="F2978">
        <v>1018</v>
      </c>
      <c r="G2978" t="s">
        <v>112</v>
      </c>
      <c r="J2978" t="s">
        <v>113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R2978" t="s">
        <v>114</v>
      </c>
      <c r="S2978" t="str">
        <f>"19:24:32.367"</f>
        <v>19:24:32.367</v>
      </c>
      <c r="T2978" t="str">
        <f>"19:24:32.367"</f>
        <v>19:24:32.367</v>
      </c>
      <c r="U2978" t="str">
        <f t="shared" si="139"/>
        <v>a1cdbe</v>
      </c>
      <c r="V2978">
        <v>0</v>
      </c>
      <c r="W2978">
        <v>0</v>
      </c>
      <c r="X2978">
        <v>1</v>
      </c>
      <c r="Y2978">
        <v>0</v>
      </c>
      <c r="Z2978">
        <v>0</v>
      </c>
      <c r="AB2978">
        <v>0</v>
      </c>
      <c r="AC2978">
        <v>9</v>
      </c>
      <c r="AD2978">
        <v>3</v>
      </c>
      <c r="AE2978">
        <v>0</v>
      </c>
      <c r="AF2978">
        <v>9</v>
      </c>
      <c r="AG2978" t="s">
        <v>158</v>
      </c>
      <c r="AH2978">
        <v>0</v>
      </c>
      <c r="AI2978">
        <v>3</v>
      </c>
      <c r="AJ2978">
        <v>1</v>
      </c>
      <c r="AK2978">
        <v>0</v>
      </c>
      <c r="AL2978" t="s">
        <v>5602</v>
      </c>
      <c r="AM2978">
        <v>46.983483</v>
      </c>
      <c r="AN2978" t="s">
        <v>5603</v>
      </c>
      <c r="AO2978">
        <v>-123.509331</v>
      </c>
      <c r="AP2978">
        <v>100</v>
      </c>
      <c r="AQ2978">
        <v>2100</v>
      </c>
      <c r="AR2978" t="s">
        <v>118</v>
      </c>
      <c r="AS2978">
        <v>-79</v>
      </c>
      <c r="AT2978">
        <v>13</v>
      </c>
      <c r="AU2978">
        <v>0</v>
      </c>
      <c r="BC2978">
        <v>1200</v>
      </c>
      <c r="BD2978">
        <v>1</v>
      </c>
      <c r="BE2978" t="str">
        <f t="shared" si="140"/>
        <v xml:space="preserve">N215T   </v>
      </c>
      <c r="BF2978">
        <v>1</v>
      </c>
      <c r="BH2978">
        <v>0</v>
      </c>
      <c r="BI2978">
        <v>0</v>
      </c>
      <c r="BJ2978">
        <v>0</v>
      </c>
      <c r="BK2978">
        <v>2475</v>
      </c>
      <c r="BL2978">
        <v>375</v>
      </c>
      <c r="BM2978" t="s">
        <v>119</v>
      </c>
      <c r="BN2978">
        <v>1</v>
      </c>
      <c r="BO2978">
        <v>1</v>
      </c>
      <c r="BP2978">
        <v>1</v>
      </c>
      <c r="BQ2978">
        <v>0</v>
      </c>
      <c r="BT2978">
        <v>0</v>
      </c>
      <c r="BU2978">
        <v>0</v>
      </c>
      <c r="BV2978">
        <v>0</v>
      </c>
      <c r="CC2978" t="str">
        <f>"19:24:32.375"</f>
        <v>19:24:32.375</v>
      </c>
      <c r="CD2978" t="str">
        <f>"374201155"</f>
        <v>374201155</v>
      </c>
      <c r="CQ2978">
        <v>0</v>
      </c>
      <c r="CR2978">
        <v>2</v>
      </c>
      <c r="CS2978">
        <v>0</v>
      </c>
      <c r="CT2978">
        <v>2</v>
      </c>
      <c r="CU2978">
        <v>0</v>
      </c>
      <c r="CV2978">
        <v>6</v>
      </c>
      <c r="CW2978" t="s">
        <v>120</v>
      </c>
      <c r="CX2978">
        <v>257</v>
      </c>
      <c r="CY2978">
        <v>0</v>
      </c>
      <c r="CZ2978" t="s">
        <v>615</v>
      </c>
      <c r="DA2978" t="s">
        <v>616</v>
      </c>
      <c r="DD2978">
        <v>16200625</v>
      </c>
      <c r="DE2978" t="s">
        <v>123</v>
      </c>
    </row>
    <row r="2979" spans="1:109" x14ac:dyDescent="0.3">
      <c r="A2979" t="str">
        <f>"19:24:33.742"</f>
        <v>19:24:33.742</v>
      </c>
      <c r="B2979" t="s">
        <v>110</v>
      </c>
      <c r="C2979" t="str">
        <f t="shared" si="138"/>
        <v>ffdfd3c0</v>
      </c>
      <c r="D2979" t="s">
        <v>111</v>
      </c>
      <c r="E2979">
        <v>18</v>
      </c>
      <c r="F2979">
        <v>1018</v>
      </c>
      <c r="G2979" t="s">
        <v>112</v>
      </c>
      <c r="J2979" t="s">
        <v>113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R2979" t="s">
        <v>114</v>
      </c>
      <c r="S2979" t="str">
        <f>"19:24:33.492"</f>
        <v>19:24:33.492</v>
      </c>
      <c r="T2979" t="str">
        <f>"19:24:33.391"</f>
        <v>19:24:33.391</v>
      </c>
      <c r="U2979" t="str">
        <f t="shared" si="139"/>
        <v>a1cdbe</v>
      </c>
      <c r="V2979">
        <v>0</v>
      </c>
      <c r="W2979">
        <v>0</v>
      </c>
      <c r="X2979">
        <v>1</v>
      </c>
      <c r="Y2979">
        <v>0</v>
      </c>
      <c r="Z2979">
        <v>0</v>
      </c>
      <c r="AB2979">
        <v>0</v>
      </c>
      <c r="AC2979">
        <v>9</v>
      </c>
      <c r="AD2979">
        <v>3</v>
      </c>
      <c r="AE2979">
        <v>0</v>
      </c>
      <c r="AF2979">
        <v>9</v>
      </c>
      <c r="AG2979" t="s">
        <v>158</v>
      </c>
      <c r="AH2979">
        <v>0</v>
      </c>
      <c r="AI2979">
        <v>3</v>
      </c>
      <c r="AJ2979">
        <v>1</v>
      </c>
      <c r="AK2979">
        <v>0</v>
      </c>
      <c r="AL2979" t="s">
        <v>5604</v>
      </c>
      <c r="AM2979">
        <v>46.983547000000002</v>
      </c>
      <c r="AN2979" t="s">
        <v>5605</v>
      </c>
      <c r="AO2979">
        <v>-123.50991</v>
      </c>
      <c r="AP2979">
        <v>100</v>
      </c>
      <c r="AQ2979">
        <v>2100</v>
      </c>
      <c r="AR2979" t="s">
        <v>118</v>
      </c>
      <c r="AS2979">
        <v>-79</v>
      </c>
      <c r="AT2979">
        <v>14</v>
      </c>
      <c r="AU2979">
        <v>0</v>
      </c>
      <c r="BC2979">
        <v>1200</v>
      </c>
      <c r="BD2979">
        <v>1</v>
      </c>
      <c r="BE2979" t="str">
        <f t="shared" si="140"/>
        <v xml:space="preserve">N215T   </v>
      </c>
      <c r="BF2979">
        <v>1</v>
      </c>
      <c r="BH2979">
        <v>0</v>
      </c>
      <c r="BI2979">
        <v>0</v>
      </c>
      <c r="BJ2979">
        <v>0</v>
      </c>
      <c r="BK2979">
        <v>2475</v>
      </c>
      <c r="BL2979">
        <v>375</v>
      </c>
      <c r="BM2979" t="s">
        <v>119</v>
      </c>
      <c r="BN2979">
        <v>1</v>
      </c>
      <c r="BO2979">
        <v>1</v>
      </c>
      <c r="BP2979">
        <v>1</v>
      </c>
      <c r="BQ2979">
        <v>0</v>
      </c>
      <c r="BT2979">
        <v>0</v>
      </c>
      <c r="BU2979">
        <v>0</v>
      </c>
      <c r="BV2979">
        <v>0</v>
      </c>
      <c r="CC2979" t="str">
        <f>"19:24:33.500"</f>
        <v>19:24:33.500</v>
      </c>
      <c r="CD2979" t="str">
        <f>"499090280"</f>
        <v>499090280</v>
      </c>
      <c r="CQ2979">
        <v>0</v>
      </c>
      <c r="CR2979">
        <v>2</v>
      </c>
      <c r="CS2979">
        <v>0</v>
      </c>
      <c r="CT2979">
        <v>2</v>
      </c>
      <c r="CU2979">
        <v>0</v>
      </c>
      <c r="CV2979">
        <v>6</v>
      </c>
      <c r="CW2979" t="s">
        <v>120</v>
      </c>
      <c r="CX2979">
        <v>257</v>
      </c>
      <c r="CY2979">
        <v>0</v>
      </c>
      <c r="CZ2979" t="s">
        <v>615</v>
      </c>
      <c r="DA2979" t="s">
        <v>616</v>
      </c>
      <c r="DD2979">
        <v>16201261</v>
      </c>
      <c r="DE2979" t="s">
        <v>123</v>
      </c>
    </row>
    <row r="2980" spans="1:109" x14ac:dyDescent="0.3">
      <c r="A2980" t="str">
        <f>"19:24:34.648"</f>
        <v>19:24:34.648</v>
      </c>
      <c r="B2980" t="s">
        <v>110</v>
      </c>
      <c r="C2980" t="str">
        <f t="shared" si="138"/>
        <v>ffdfd3c0</v>
      </c>
      <c r="D2980" t="s">
        <v>111</v>
      </c>
      <c r="E2980">
        <v>18</v>
      </c>
      <c r="F2980">
        <v>1018</v>
      </c>
      <c r="G2980" t="s">
        <v>112</v>
      </c>
      <c r="J2980" t="s">
        <v>113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R2980" t="s">
        <v>114</v>
      </c>
      <c r="S2980" t="str">
        <f>"19:24:34.398"</f>
        <v>19:24:34.398</v>
      </c>
      <c r="T2980" t="str">
        <f>"19:24:34.000"</f>
        <v>19:24:34.000</v>
      </c>
      <c r="U2980" t="str">
        <f t="shared" si="139"/>
        <v>a1cdbe</v>
      </c>
      <c r="V2980">
        <v>0</v>
      </c>
      <c r="W2980">
        <v>0</v>
      </c>
      <c r="X2980">
        <v>1</v>
      </c>
      <c r="Y2980">
        <v>0</v>
      </c>
      <c r="Z2980">
        <v>0</v>
      </c>
      <c r="AB2980">
        <v>0</v>
      </c>
      <c r="AC2980">
        <v>9</v>
      </c>
      <c r="AD2980">
        <v>3</v>
      </c>
      <c r="AE2980">
        <v>0</v>
      </c>
      <c r="AF2980">
        <v>9</v>
      </c>
      <c r="AG2980" t="s">
        <v>158</v>
      </c>
      <c r="AH2980">
        <v>0</v>
      </c>
      <c r="AI2980">
        <v>3</v>
      </c>
      <c r="AJ2980">
        <v>1</v>
      </c>
      <c r="AK2980">
        <v>0</v>
      </c>
      <c r="AL2980" t="s">
        <v>5606</v>
      </c>
      <c r="AM2980">
        <v>46.98359</v>
      </c>
      <c r="AN2980" t="s">
        <v>5607</v>
      </c>
      <c r="AO2980">
        <v>-123.510425</v>
      </c>
      <c r="AP2980">
        <v>100</v>
      </c>
      <c r="AQ2980">
        <v>2100</v>
      </c>
      <c r="AR2980" t="s">
        <v>118</v>
      </c>
      <c r="AS2980">
        <v>-79</v>
      </c>
      <c r="AT2980">
        <v>14</v>
      </c>
      <c r="AU2980">
        <v>0</v>
      </c>
      <c r="BC2980">
        <v>1200</v>
      </c>
      <c r="BD2980">
        <v>1</v>
      </c>
      <c r="BE2980" t="str">
        <f t="shared" si="140"/>
        <v xml:space="preserve">N215T   </v>
      </c>
      <c r="BF2980">
        <v>1</v>
      </c>
      <c r="BH2980">
        <v>0</v>
      </c>
      <c r="BI2980">
        <v>0</v>
      </c>
      <c r="BJ2980">
        <v>0</v>
      </c>
      <c r="BK2980">
        <v>2475</v>
      </c>
      <c r="BL2980">
        <v>375</v>
      </c>
      <c r="BM2980" t="s">
        <v>119</v>
      </c>
      <c r="BN2980">
        <v>1</v>
      </c>
      <c r="BO2980">
        <v>1</v>
      </c>
      <c r="BP2980">
        <v>1</v>
      </c>
      <c r="BQ2980">
        <v>0</v>
      </c>
      <c r="BT2980">
        <v>0</v>
      </c>
      <c r="BU2980">
        <v>0</v>
      </c>
      <c r="BV2980">
        <v>0</v>
      </c>
      <c r="CC2980" t="str">
        <f>"19:24:34.398"</f>
        <v>19:24:34.398</v>
      </c>
      <c r="CD2980" t="str">
        <f>"399001592"</f>
        <v>399001592</v>
      </c>
      <c r="CQ2980">
        <v>0</v>
      </c>
      <c r="CR2980">
        <v>2</v>
      </c>
      <c r="CS2980">
        <v>0</v>
      </c>
      <c r="CT2980">
        <v>2</v>
      </c>
      <c r="CU2980">
        <v>0</v>
      </c>
      <c r="CV2980">
        <v>6</v>
      </c>
      <c r="CW2980" t="s">
        <v>120</v>
      </c>
      <c r="CX2980">
        <v>257</v>
      </c>
      <c r="CY2980">
        <v>0</v>
      </c>
      <c r="CZ2980" t="s">
        <v>615</v>
      </c>
      <c r="DA2980" t="s">
        <v>616</v>
      </c>
      <c r="DD2980">
        <v>16201732</v>
      </c>
      <c r="DE2980" t="s">
        <v>123</v>
      </c>
    </row>
    <row r="2981" spans="1:109" x14ac:dyDescent="0.3">
      <c r="A2981" t="str">
        <f>"19:24:35.602"</f>
        <v>19:24:35.602</v>
      </c>
      <c r="B2981" t="s">
        <v>110</v>
      </c>
      <c r="C2981" t="str">
        <f t="shared" si="138"/>
        <v>ffdfd3c0</v>
      </c>
      <c r="D2981" t="s">
        <v>111</v>
      </c>
      <c r="E2981">
        <v>18</v>
      </c>
      <c r="F2981">
        <v>1018</v>
      </c>
      <c r="G2981" t="s">
        <v>112</v>
      </c>
      <c r="J2981" t="s">
        <v>113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R2981" t="s">
        <v>114</v>
      </c>
      <c r="S2981" t="str">
        <f>"19:24:35.398"</f>
        <v>19:24:35.398</v>
      </c>
      <c r="T2981" t="str">
        <f>"19:24:35.102"</f>
        <v>19:24:35.102</v>
      </c>
      <c r="U2981" t="str">
        <f t="shared" si="139"/>
        <v>a1cdbe</v>
      </c>
      <c r="V2981">
        <v>0</v>
      </c>
      <c r="W2981">
        <v>0</v>
      </c>
      <c r="X2981">
        <v>1</v>
      </c>
      <c r="Y2981">
        <v>0</v>
      </c>
      <c r="Z2981">
        <v>0</v>
      </c>
      <c r="AB2981">
        <v>0</v>
      </c>
      <c r="AC2981">
        <v>9</v>
      </c>
      <c r="AD2981">
        <v>3</v>
      </c>
      <c r="AE2981">
        <v>0</v>
      </c>
      <c r="AF2981">
        <v>9</v>
      </c>
      <c r="AG2981" t="s">
        <v>158</v>
      </c>
      <c r="AH2981">
        <v>0</v>
      </c>
      <c r="AI2981">
        <v>3</v>
      </c>
      <c r="AJ2981">
        <v>1</v>
      </c>
      <c r="AK2981">
        <v>0</v>
      </c>
      <c r="AL2981" t="s">
        <v>5608</v>
      </c>
      <c r="AM2981">
        <v>46.983676000000003</v>
      </c>
      <c r="AN2981" t="s">
        <v>5609</v>
      </c>
      <c r="AO2981">
        <v>-123.510983</v>
      </c>
      <c r="AP2981">
        <v>100</v>
      </c>
      <c r="AQ2981">
        <v>2100</v>
      </c>
      <c r="AR2981" t="s">
        <v>118</v>
      </c>
      <c r="AS2981">
        <v>-79</v>
      </c>
      <c r="AT2981">
        <v>14</v>
      </c>
      <c r="AU2981">
        <v>0</v>
      </c>
      <c r="BC2981">
        <v>1200</v>
      </c>
      <c r="BD2981">
        <v>1</v>
      </c>
      <c r="BE2981" t="str">
        <f t="shared" si="140"/>
        <v xml:space="preserve">N215T   </v>
      </c>
      <c r="BF2981">
        <v>1</v>
      </c>
      <c r="BH2981">
        <v>0</v>
      </c>
      <c r="BI2981">
        <v>0</v>
      </c>
      <c r="BJ2981">
        <v>0</v>
      </c>
      <c r="BK2981">
        <v>2475</v>
      </c>
      <c r="BL2981">
        <v>375</v>
      </c>
      <c r="BM2981" t="s">
        <v>119</v>
      </c>
      <c r="BN2981">
        <v>1</v>
      </c>
      <c r="BO2981">
        <v>1</v>
      </c>
      <c r="BP2981">
        <v>1</v>
      </c>
      <c r="BQ2981">
        <v>0</v>
      </c>
      <c r="BT2981">
        <v>0</v>
      </c>
      <c r="BU2981">
        <v>0</v>
      </c>
      <c r="BV2981">
        <v>0</v>
      </c>
      <c r="CC2981" t="str">
        <f>"19:24:35.406"</f>
        <v>19:24:35.406</v>
      </c>
      <c r="CD2981" t="str">
        <f>"403902547"</f>
        <v>403902547</v>
      </c>
      <c r="CQ2981">
        <v>0</v>
      </c>
      <c r="CR2981">
        <v>2</v>
      </c>
      <c r="CS2981">
        <v>0</v>
      </c>
      <c r="CT2981">
        <v>2</v>
      </c>
      <c r="CU2981">
        <v>0</v>
      </c>
      <c r="CV2981">
        <v>6</v>
      </c>
      <c r="CW2981" t="s">
        <v>120</v>
      </c>
      <c r="CX2981">
        <v>257</v>
      </c>
      <c r="CY2981">
        <v>0</v>
      </c>
      <c r="CZ2981" t="s">
        <v>615</v>
      </c>
      <c r="DA2981" t="s">
        <v>616</v>
      </c>
      <c r="DD2981">
        <v>16202251</v>
      </c>
      <c r="DE2981" t="s">
        <v>123</v>
      </c>
    </row>
    <row r="2982" spans="1:109" x14ac:dyDescent="0.3">
      <c r="A2982" t="str">
        <f>"19:24:36.555"</f>
        <v>19:24:36.555</v>
      </c>
      <c r="B2982" t="s">
        <v>110</v>
      </c>
      <c r="C2982" t="str">
        <f t="shared" si="138"/>
        <v>ffdfd3c0</v>
      </c>
      <c r="D2982" t="s">
        <v>111</v>
      </c>
      <c r="E2982">
        <v>18</v>
      </c>
      <c r="F2982">
        <v>1018</v>
      </c>
      <c r="G2982" t="s">
        <v>112</v>
      </c>
      <c r="J2982" t="s">
        <v>113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R2982" t="s">
        <v>114</v>
      </c>
      <c r="S2982" t="str">
        <f>"19:24:36.281"</f>
        <v>19:24:36.281</v>
      </c>
      <c r="T2982" t="str">
        <f>"19:24:36.078"</f>
        <v>19:24:36.078</v>
      </c>
      <c r="U2982" t="str">
        <f t="shared" si="139"/>
        <v>a1cdbe</v>
      </c>
      <c r="V2982">
        <v>0</v>
      </c>
      <c r="W2982">
        <v>0</v>
      </c>
      <c r="X2982">
        <v>1</v>
      </c>
      <c r="Y2982">
        <v>0</v>
      </c>
      <c r="Z2982">
        <v>0</v>
      </c>
      <c r="AB2982">
        <v>0</v>
      </c>
      <c r="AC2982">
        <v>9</v>
      </c>
      <c r="AD2982">
        <v>3</v>
      </c>
      <c r="AE2982">
        <v>0</v>
      </c>
      <c r="AF2982">
        <v>9</v>
      </c>
      <c r="AG2982" t="s">
        <v>158</v>
      </c>
      <c r="AH2982">
        <v>0</v>
      </c>
      <c r="AI2982">
        <v>3</v>
      </c>
      <c r="AJ2982">
        <v>1</v>
      </c>
      <c r="AK2982">
        <v>0</v>
      </c>
      <c r="AL2982" t="s">
        <v>5610</v>
      </c>
      <c r="AM2982">
        <v>46.983739999999997</v>
      </c>
      <c r="AN2982" t="s">
        <v>5611</v>
      </c>
      <c r="AO2982">
        <v>-123.511477</v>
      </c>
      <c r="AP2982">
        <v>100</v>
      </c>
      <c r="AQ2982">
        <v>2100</v>
      </c>
      <c r="AR2982" t="s">
        <v>118</v>
      </c>
      <c r="AS2982">
        <v>-79</v>
      </c>
      <c r="AT2982">
        <v>15</v>
      </c>
      <c r="AU2982">
        <v>64</v>
      </c>
      <c r="BC2982">
        <v>1200</v>
      </c>
      <c r="BD2982">
        <v>1</v>
      </c>
      <c r="BE2982" t="str">
        <f t="shared" si="140"/>
        <v xml:space="preserve">N215T   </v>
      </c>
      <c r="BF2982">
        <v>1</v>
      </c>
      <c r="BH2982">
        <v>0</v>
      </c>
      <c r="BI2982">
        <v>0</v>
      </c>
      <c r="BJ2982">
        <v>0</v>
      </c>
      <c r="BK2982">
        <v>2475</v>
      </c>
      <c r="BL2982">
        <v>375</v>
      </c>
      <c r="BM2982" t="s">
        <v>119</v>
      </c>
      <c r="BN2982">
        <v>1</v>
      </c>
      <c r="BO2982">
        <v>1</v>
      </c>
      <c r="BP2982">
        <v>1</v>
      </c>
      <c r="BQ2982">
        <v>0</v>
      </c>
      <c r="BT2982">
        <v>0</v>
      </c>
      <c r="BU2982">
        <v>0</v>
      </c>
      <c r="BV2982">
        <v>0</v>
      </c>
      <c r="CC2982" t="str">
        <f>"19:24:36.289"</f>
        <v>19:24:36.289</v>
      </c>
      <c r="CD2982" t="str">
        <f>"288815336"</f>
        <v>288815336</v>
      </c>
      <c r="CQ2982">
        <v>0</v>
      </c>
      <c r="CR2982">
        <v>2</v>
      </c>
      <c r="CS2982">
        <v>0</v>
      </c>
      <c r="CT2982">
        <v>2</v>
      </c>
      <c r="CU2982">
        <v>0</v>
      </c>
      <c r="CV2982">
        <v>6</v>
      </c>
      <c r="CW2982" t="s">
        <v>120</v>
      </c>
      <c r="CX2982">
        <v>257</v>
      </c>
      <c r="CY2982">
        <v>0</v>
      </c>
      <c r="CZ2982" t="s">
        <v>615</v>
      </c>
      <c r="DA2982" t="s">
        <v>616</v>
      </c>
      <c r="DD2982">
        <v>16202751</v>
      </c>
      <c r="DE2982" t="s">
        <v>123</v>
      </c>
    </row>
    <row r="2983" spans="1:109" x14ac:dyDescent="0.3">
      <c r="A2983" t="str">
        <f>"19:24:37.609"</f>
        <v>19:24:37.609</v>
      </c>
      <c r="B2983" t="s">
        <v>110</v>
      </c>
      <c r="C2983" t="str">
        <f t="shared" si="138"/>
        <v>ffdfd3c0</v>
      </c>
      <c r="D2983" t="s">
        <v>111</v>
      </c>
      <c r="E2983">
        <v>18</v>
      </c>
      <c r="F2983">
        <v>1018</v>
      </c>
      <c r="G2983" t="s">
        <v>112</v>
      </c>
      <c r="J2983" t="s">
        <v>113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R2983" t="s">
        <v>114</v>
      </c>
      <c r="S2983" t="str">
        <f>"19:24:37.383"</f>
        <v>19:24:37.383</v>
      </c>
      <c r="T2983" t="str">
        <f>"19:24:37.180"</f>
        <v>19:24:37.180</v>
      </c>
      <c r="U2983" t="str">
        <f t="shared" si="139"/>
        <v>a1cdbe</v>
      </c>
      <c r="V2983">
        <v>0</v>
      </c>
      <c r="W2983">
        <v>0</v>
      </c>
      <c r="X2983">
        <v>1</v>
      </c>
      <c r="Y2983">
        <v>0</v>
      </c>
      <c r="Z2983">
        <v>0</v>
      </c>
      <c r="AB2983">
        <v>0</v>
      </c>
      <c r="AC2983">
        <v>9</v>
      </c>
      <c r="AD2983">
        <v>3</v>
      </c>
      <c r="AE2983">
        <v>0</v>
      </c>
      <c r="AF2983">
        <v>9</v>
      </c>
      <c r="AG2983" t="s">
        <v>158</v>
      </c>
      <c r="AH2983">
        <v>0</v>
      </c>
      <c r="AI2983">
        <v>3</v>
      </c>
      <c r="AJ2983">
        <v>1</v>
      </c>
      <c r="AK2983">
        <v>0</v>
      </c>
      <c r="AL2983" t="s">
        <v>911</v>
      </c>
      <c r="AM2983">
        <v>46.983783000000003</v>
      </c>
      <c r="AN2983" t="s">
        <v>5612</v>
      </c>
      <c r="AO2983">
        <v>-123.512034</v>
      </c>
      <c r="AP2983">
        <v>100</v>
      </c>
      <c r="AQ2983">
        <v>2100</v>
      </c>
      <c r="AR2983" t="s">
        <v>118</v>
      </c>
      <c r="AS2983">
        <v>-79</v>
      </c>
      <c r="AT2983">
        <v>15</v>
      </c>
      <c r="AU2983">
        <v>64</v>
      </c>
      <c r="BC2983">
        <v>1200</v>
      </c>
      <c r="BD2983">
        <v>1</v>
      </c>
      <c r="BE2983" t="str">
        <f t="shared" si="140"/>
        <v xml:space="preserve">N215T   </v>
      </c>
      <c r="BF2983">
        <v>1</v>
      </c>
      <c r="BH2983">
        <v>0</v>
      </c>
      <c r="BI2983">
        <v>0</v>
      </c>
      <c r="BJ2983">
        <v>0</v>
      </c>
      <c r="BK2983">
        <v>2475</v>
      </c>
      <c r="BL2983">
        <v>375</v>
      </c>
      <c r="BM2983" t="s">
        <v>119</v>
      </c>
      <c r="BN2983">
        <v>1</v>
      </c>
      <c r="BO2983">
        <v>1</v>
      </c>
      <c r="BP2983">
        <v>1</v>
      </c>
      <c r="BQ2983">
        <v>0</v>
      </c>
      <c r="BT2983">
        <v>0</v>
      </c>
      <c r="BU2983">
        <v>0</v>
      </c>
      <c r="BV2983">
        <v>0</v>
      </c>
      <c r="CC2983" t="str">
        <f>"19:24:37.383"</f>
        <v>19:24:37.383</v>
      </c>
      <c r="CD2983" t="str">
        <f>"383707425"</f>
        <v>383707425</v>
      </c>
      <c r="CQ2983">
        <v>0</v>
      </c>
      <c r="CR2983">
        <v>2</v>
      </c>
      <c r="CS2983">
        <v>0</v>
      </c>
      <c r="CT2983">
        <v>2</v>
      </c>
      <c r="CU2983">
        <v>0</v>
      </c>
      <c r="CV2983">
        <v>6</v>
      </c>
      <c r="CW2983" t="s">
        <v>120</v>
      </c>
      <c r="CX2983">
        <v>257</v>
      </c>
      <c r="CY2983">
        <v>0</v>
      </c>
      <c r="CZ2983" t="s">
        <v>615</v>
      </c>
      <c r="DA2983" t="s">
        <v>616</v>
      </c>
      <c r="DD2983">
        <v>16203321</v>
      </c>
      <c r="DE2983" t="s">
        <v>123</v>
      </c>
    </row>
    <row r="2984" spans="1:109" x14ac:dyDescent="0.3">
      <c r="A2984" t="str">
        <f>"19:24:38.617"</f>
        <v>19:24:38.617</v>
      </c>
      <c r="B2984" t="s">
        <v>110</v>
      </c>
      <c r="C2984" t="str">
        <f t="shared" si="138"/>
        <v>ffdfd3c0</v>
      </c>
      <c r="D2984" t="s">
        <v>111</v>
      </c>
      <c r="E2984">
        <v>18</v>
      </c>
      <c r="F2984">
        <v>1018</v>
      </c>
      <c r="G2984" t="s">
        <v>112</v>
      </c>
      <c r="J2984" t="s">
        <v>113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R2984" t="s">
        <v>114</v>
      </c>
      <c r="S2984" t="str">
        <f>"19:24:38.367"</f>
        <v>19:24:38.367</v>
      </c>
      <c r="T2984" t="str">
        <f>"19:24:38.070"</f>
        <v>19:24:38.070</v>
      </c>
      <c r="U2984" t="str">
        <f t="shared" si="139"/>
        <v>a1cdbe</v>
      </c>
      <c r="V2984">
        <v>0</v>
      </c>
      <c r="W2984">
        <v>0</v>
      </c>
      <c r="X2984">
        <v>1</v>
      </c>
      <c r="Y2984">
        <v>0</v>
      </c>
      <c r="Z2984">
        <v>0</v>
      </c>
      <c r="AB2984">
        <v>0</v>
      </c>
      <c r="AC2984">
        <v>9</v>
      </c>
      <c r="AD2984">
        <v>3</v>
      </c>
      <c r="AE2984">
        <v>0</v>
      </c>
      <c r="AF2984">
        <v>9</v>
      </c>
      <c r="AG2984" t="s">
        <v>158</v>
      </c>
      <c r="AH2984">
        <v>0</v>
      </c>
      <c r="AI2984">
        <v>3</v>
      </c>
      <c r="AJ2984">
        <v>1</v>
      </c>
      <c r="AK2984">
        <v>0</v>
      </c>
      <c r="AL2984" t="s">
        <v>5613</v>
      </c>
      <c r="AM2984">
        <v>46.983848000000002</v>
      </c>
      <c r="AN2984" t="s">
        <v>5614</v>
      </c>
      <c r="AO2984">
        <v>-123.51254900000001</v>
      </c>
      <c r="AP2984">
        <v>100</v>
      </c>
      <c r="AQ2984">
        <v>2100</v>
      </c>
      <c r="AR2984" t="s">
        <v>118</v>
      </c>
      <c r="AS2984">
        <v>-79</v>
      </c>
      <c r="AT2984">
        <v>14</v>
      </c>
      <c r="AU2984">
        <v>64</v>
      </c>
      <c r="BC2984">
        <v>1200</v>
      </c>
      <c r="BD2984">
        <v>1</v>
      </c>
      <c r="BE2984" t="str">
        <f t="shared" si="140"/>
        <v xml:space="preserve">N215T   </v>
      </c>
      <c r="BF2984">
        <v>1</v>
      </c>
      <c r="BH2984">
        <v>0</v>
      </c>
      <c r="BI2984">
        <v>0</v>
      </c>
      <c r="BJ2984">
        <v>0</v>
      </c>
      <c r="BK2984">
        <v>2475</v>
      </c>
      <c r="BL2984">
        <v>375</v>
      </c>
      <c r="BM2984" t="s">
        <v>119</v>
      </c>
      <c r="BN2984">
        <v>1</v>
      </c>
      <c r="BO2984">
        <v>1</v>
      </c>
      <c r="BP2984">
        <v>1</v>
      </c>
      <c r="BQ2984">
        <v>0</v>
      </c>
      <c r="BT2984">
        <v>0</v>
      </c>
      <c r="BU2984">
        <v>0</v>
      </c>
      <c r="BV2984">
        <v>0</v>
      </c>
      <c r="CC2984" t="str">
        <f>"19:24:38.375"</f>
        <v>19:24:38.375</v>
      </c>
      <c r="CD2984" t="str">
        <f>"373609866"</f>
        <v>373609866</v>
      </c>
      <c r="CQ2984">
        <v>0</v>
      </c>
      <c r="CR2984">
        <v>2</v>
      </c>
      <c r="CS2984">
        <v>0</v>
      </c>
      <c r="CT2984">
        <v>2</v>
      </c>
      <c r="CU2984">
        <v>0</v>
      </c>
      <c r="CV2984">
        <v>6</v>
      </c>
      <c r="CW2984" t="s">
        <v>120</v>
      </c>
      <c r="CX2984">
        <v>257</v>
      </c>
      <c r="CY2984">
        <v>0</v>
      </c>
      <c r="CZ2984" t="s">
        <v>615</v>
      </c>
      <c r="DA2984" t="s">
        <v>616</v>
      </c>
      <c r="DD2984">
        <v>16203851</v>
      </c>
      <c r="DE2984" t="s">
        <v>123</v>
      </c>
    </row>
    <row r="2985" spans="1:109" x14ac:dyDescent="0.3">
      <c r="A2985" t="str">
        <f>"19:24:39.570"</f>
        <v>19:24:39.570</v>
      </c>
      <c r="B2985" t="s">
        <v>110</v>
      </c>
      <c r="C2985" t="str">
        <f t="shared" si="138"/>
        <v>ffdfd3c0</v>
      </c>
      <c r="D2985" t="s">
        <v>111</v>
      </c>
      <c r="E2985">
        <v>18</v>
      </c>
      <c r="F2985">
        <v>1018</v>
      </c>
      <c r="G2985" t="s">
        <v>112</v>
      </c>
      <c r="J2985" t="s">
        <v>113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R2985" t="s">
        <v>114</v>
      </c>
      <c r="S2985" t="str">
        <f>"19:24:39.328"</f>
        <v>19:24:39.328</v>
      </c>
      <c r="T2985" t="str">
        <f>"19:24:39.031"</f>
        <v>19:24:39.031</v>
      </c>
      <c r="U2985" t="str">
        <f t="shared" si="139"/>
        <v>a1cdbe</v>
      </c>
      <c r="V2985">
        <v>0</v>
      </c>
      <c r="W2985">
        <v>0</v>
      </c>
      <c r="X2985">
        <v>1</v>
      </c>
      <c r="Y2985">
        <v>0</v>
      </c>
      <c r="Z2985">
        <v>0</v>
      </c>
      <c r="AB2985">
        <v>0</v>
      </c>
      <c r="AC2985">
        <v>9</v>
      </c>
      <c r="AD2985">
        <v>3</v>
      </c>
      <c r="AE2985">
        <v>0</v>
      </c>
      <c r="AF2985">
        <v>9</v>
      </c>
      <c r="AG2985" t="s">
        <v>158</v>
      </c>
      <c r="AH2985">
        <v>0</v>
      </c>
      <c r="AI2985">
        <v>3</v>
      </c>
      <c r="AJ2985">
        <v>1</v>
      </c>
      <c r="AK2985">
        <v>0</v>
      </c>
      <c r="AL2985" t="s">
        <v>5615</v>
      </c>
      <c r="AM2985">
        <v>46.983955000000002</v>
      </c>
      <c r="AN2985" t="s">
        <v>5616</v>
      </c>
      <c r="AO2985">
        <v>-123.513043</v>
      </c>
      <c r="AP2985">
        <v>100</v>
      </c>
      <c r="AQ2985">
        <v>2100</v>
      </c>
      <c r="AR2985" t="s">
        <v>118</v>
      </c>
      <c r="AS2985">
        <v>-79</v>
      </c>
      <c r="AT2985">
        <v>14</v>
      </c>
      <c r="AU2985">
        <v>64</v>
      </c>
      <c r="BC2985">
        <v>1200</v>
      </c>
      <c r="BD2985">
        <v>1</v>
      </c>
      <c r="BE2985" t="str">
        <f t="shared" si="140"/>
        <v xml:space="preserve">N215T   </v>
      </c>
      <c r="BF2985">
        <v>1</v>
      </c>
      <c r="BH2985">
        <v>0</v>
      </c>
      <c r="BI2985">
        <v>0</v>
      </c>
      <c r="BJ2985">
        <v>0</v>
      </c>
      <c r="BK2985">
        <v>2475</v>
      </c>
      <c r="BL2985">
        <v>375</v>
      </c>
      <c r="BM2985" t="s">
        <v>119</v>
      </c>
      <c r="BN2985">
        <v>1</v>
      </c>
      <c r="BO2985">
        <v>1</v>
      </c>
      <c r="BP2985">
        <v>1</v>
      </c>
      <c r="BQ2985">
        <v>0</v>
      </c>
      <c r="BT2985">
        <v>0</v>
      </c>
      <c r="BU2985">
        <v>0</v>
      </c>
      <c r="BV2985">
        <v>0</v>
      </c>
      <c r="CC2985" t="str">
        <f>"19:24:39.336"</f>
        <v>19:24:39.336</v>
      </c>
      <c r="CD2985" t="str">
        <f>"333515268"</f>
        <v>333515268</v>
      </c>
      <c r="CQ2985">
        <v>0</v>
      </c>
      <c r="CR2985">
        <v>2</v>
      </c>
      <c r="CS2985">
        <v>0</v>
      </c>
      <c r="CT2985">
        <v>2</v>
      </c>
      <c r="CU2985">
        <v>0</v>
      </c>
      <c r="CV2985">
        <v>6</v>
      </c>
      <c r="CW2985" t="s">
        <v>120</v>
      </c>
      <c r="CX2985">
        <v>257</v>
      </c>
      <c r="CY2985">
        <v>0</v>
      </c>
      <c r="CZ2985" t="s">
        <v>615</v>
      </c>
      <c r="DA2985" t="s">
        <v>616</v>
      </c>
      <c r="DD2985">
        <v>16204333</v>
      </c>
      <c r="DE2985" t="s">
        <v>123</v>
      </c>
    </row>
    <row r="2986" spans="1:109" x14ac:dyDescent="0.3">
      <c r="A2986" t="str">
        <f>"19:24:40.727"</f>
        <v>19:24:40.727</v>
      </c>
      <c r="B2986" t="s">
        <v>110</v>
      </c>
      <c r="C2986" t="str">
        <f t="shared" si="138"/>
        <v>ffdfd3c0</v>
      </c>
      <c r="D2986" t="s">
        <v>111</v>
      </c>
      <c r="E2986">
        <v>18</v>
      </c>
      <c r="F2986">
        <v>1018</v>
      </c>
      <c r="G2986" t="s">
        <v>112</v>
      </c>
      <c r="J2986" t="s">
        <v>113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R2986" t="s">
        <v>114</v>
      </c>
      <c r="S2986" t="str">
        <f>"19:24:40.469"</f>
        <v>19:24:40.469</v>
      </c>
      <c r="T2986" t="str">
        <f>"19:24:40.367"</f>
        <v>19:24:40.367</v>
      </c>
      <c r="U2986" t="str">
        <f t="shared" si="139"/>
        <v>a1cdbe</v>
      </c>
      <c r="V2986">
        <v>0</v>
      </c>
      <c r="W2986">
        <v>0</v>
      </c>
      <c r="X2986">
        <v>1</v>
      </c>
      <c r="Y2986">
        <v>0</v>
      </c>
      <c r="Z2986">
        <v>0</v>
      </c>
      <c r="AB2986">
        <v>0</v>
      </c>
      <c r="AC2986">
        <v>9</v>
      </c>
      <c r="AD2986">
        <v>3</v>
      </c>
      <c r="AE2986">
        <v>0</v>
      </c>
      <c r="AF2986">
        <v>9</v>
      </c>
      <c r="AG2986" t="s">
        <v>158</v>
      </c>
      <c r="AH2986">
        <v>0</v>
      </c>
      <c r="AI2986">
        <v>3</v>
      </c>
      <c r="AJ2986">
        <v>1</v>
      </c>
      <c r="AK2986">
        <v>0</v>
      </c>
      <c r="AL2986" t="s">
        <v>5617</v>
      </c>
      <c r="AM2986">
        <v>46.983998</v>
      </c>
      <c r="AN2986" t="s">
        <v>5618</v>
      </c>
      <c r="AO2986">
        <v>-123.513665</v>
      </c>
      <c r="AP2986">
        <v>100</v>
      </c>
      <c r="AQ2986">
        <v>2100</v>
      </c>
      <c r="AR2986" t="s">
        <v>118</v>
      </c>
      <c r="AS2986">
        <v>-79</v>
      </c>
      <c r="AT2986">
        <v>13</v>
      </c>
      <c r="AU2986">
        <v>64</v>
      </c>
      <c r="BC2986">
        <v>1200</v>
      </c>
      <c r="BD2986">
        <v>1</v>
      </c>
      <c r="BE2986" t="str">
        <f t="shared" si="140"/>
        <v xml:space="preserve">N215T   </v>
      </c>
      <c r="BF2986">
        <v>1</v>
      </c>
      <c r="BH2986">
        <v>0</v>
      </c>
      <c r="BI2986">
        <v>0</v>
      </c>
      <c r="BJ2986">
        <v>0</v>
      </c>
      <c r="BK2986">
        <v>2475</v>
      </c>
      <c r="BL2986">
        <v>375</v>
      </c>
      <c r="BM2986" t="s">
        <v>119</v>
      </c>
      <c r="BN2986">
        <v>1</v>
      </c>
      <c r="BO2986">
        <v>1</v>
      </c>
      <c r="BP2986">
        <v>1</v>
      </c>
      <c r="BQ2986">
        <v>0</v>
      </c>
      <c r="BT2986">
        <v>0</v>
      </c>
      <c r="BU2986">
        <v>0</v>
      </c>
      <c r="BV2986">
        <v>0</v>
      </c>
      <c r="CC2986" t="str">
        <f>"19:24:40.477"</f>
        <v>19:24:40.477</v>
      </c>
      <c r="CD2986" t="str">
        <f>"473402913"</f>
        <v>473402913</v>
      </c>
      <c r="CQ2986">
        <v>0</v>
      </c>
      <c r="CR2986">
        <v>2</v>
      </c>
      <c r="CS2986">
        <v>0</v>
      </c>
      <c r="CT2986">
        <v>2</v>
      </c>
      <c r="CU2986">
        <v>0</v>
      </c>
      <c r="CV2986">
        <v>6</v>
      </c>
      <c r="CW2986" t="s">
        <v>120</v>
      </c>
      <c r="CX2986">
        <v>257</v>
      </c>
      <c r="CY2986">
        <v>0</v>
      </c>
      <c r="CZ2986" t="s">
        <v>615</v>
      </c>
      <c r="DA2986" t="s">
        <v>616</v>
      </c>
      <c r="DD2986">
        <v>16204909</v>
      </c>
      <c r="DE2986" t="s">
        <v>123</v>
      </c>
    </row>
    <row r="2987" spans="1:109" x14ac:dyDescent="0.3">
      <c r="A2987" t="str">
        <f>"19:24:41.680"</f>
        <v>19:24:41.680</v>
      </c>
      <c r="B2987" t="s">
        <v>110</v>
      </c>
      <c r="C2987" t="str">
        <f t="shared" si="138"/>
        <v>ffdfd3c0</v>
      </c>
      <c r="D2987" t="s">
        <v>111</v>
      </c>
      <c r="E2987">
        <v>18</v>
      </c>
      <c r="F2987">
        <v>1018</v>
      </c>
      <c r="G2987" t="s">
        <v>112</v>
      </c>
      <c r="J2987" t="s">
        <v>113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R2987" t="s">
        <v>114</v>
      </c>
      <c r="S2987" t="str">
        <f>"19:24:41.492"</f>
        <v>19:24:41.492</v>
      </c>
      <c r="T2987" t="str">
        <f>"19:24:41.391"</f>
        <v>19:24:41.391</v>
      </c>
      <c r="U2987" t="str">
        <f t="shared" si="139"/>
        <v>a1cdbe</v>
      </c>
      <c r="V2987">
        <v>0</v>
      </c>
      <c r="W2987">
        <v>0</v>
      </c>
      <c r="X2987">
        <v>1</v>
      </c>
      <c r="Y2987">
        <v>0</v>
      </c>
      <c r="Z2987">
        <v>0</v>
      </c>
      <c r="AB2987">
        <v>0</v>
      </c>
      <c r="AC2987">
        <v>9</v>
      </c>
      <c r="AD2987">
        <v>3</v>
      </c>
      <c r="AE2987">
        <v>0</v>
      </c>
      <c r="AF2987">
        <v>9</v>
      </c>
      <c r="AG2987" t="s">
        <v>158</v>
      </c>
      <c r="AH2987">
        <v>0</v>
      </c>
      <c r="AI2987">
        <v>3</v>
      </c>
      <c r="AJ2987">
        <v>1</v>
      </c>
      <c r="AK2987">
        <v>0</v>
      </c>
      <c r="AL2987" t="s">
        <v>5619</v>
      </c>
      <c r="AM2987">
        <v>46.984062000000002</v>
      </c>
      <c r="AN2987" t="s">
        <v>5620</v>
      </c>
      <c r="AO2987">
        <v>-123.514223</v>
      </c>
      <c r="AP2987">
        <v>100</v>
      </c>
      <c r="AQ2987">
        <v>2100</v>
      </c>
      <c r="AR2987" t="s">
        <v>118</v>
      </c>
      <c r="AS2987">
        <v>-79</v>
      </c>
      <c r="AT2987">
        <v>13</v>
      </c>
      <c r="AU2987">
        <v>64</v>
      </c>
      <c r="BC2987">
        <v>1200</v>
      </c>
      <c r="BD2987">
        <v>1</v>
      </c>
      <c r="BE2987" t="str">
        <f t="shared" si="140"/>
        <v xml:space="preserve">N215T   </v>
      </c>
      <c r="BF2987">
        <v>1</v>
      </c>
      <c r="BH2987">
        <v>0</v>
      </c>
      <c r="BI2987">
        <v>0</v>
      </c>
      <c r="BJ2987">
        <v>0</v>
      </c>
      <c r="BK2987">
        <v>2475</v>
      </c>
      <c r="BL2987">
        <v>375</v>
      </c>
      <c r="BM2987" t="s">
        <v>119</v>
      </c>
      <c r="BN2987">
        <v>1</v>
      </c>
      <c r="BO2987">
        <v>1</v>
      </c>
      <c r="BP2987">
        <v>1</v>
      </c>
      <c r="BQ2987">
        <v>0</v>
      </c>
      <c r="BT2987">
        <v>0</v>
      </c>
      <c r="BU2987">
        <v>0</v>
      </c>
      <c r="BV2987">
        <v>0</v>
      </c>
      <c r="CC2987" t="str">
        <f>"19:24:41.492"</f>
        <v>19:24:41.492</v>
      </c>
      <c r="CD2987" t="str">
        <f>"493302398"</f>
        <v>493302398</v>
      </c>
      <c r="CQ2987">
        <v>0</v>
      </c>
      <c r="CR2987">
        <v>2</v>
      </c>
      <c r="CS2987">
        <v>0</v>
      </c>
      <c r="CT2987">
        <v>2</v>
      </c>
      <c r="CU2987">
        <v>0</v>
      </c>
      <c r="CV2987">
        <v>6</v>
      </c>
      <c r="CW2987" t="s">
        <v>120</v>
      </c>
      <c r="CX2987">
        <v>257</v>
      </c>
      <c r="CY2987">
        <v>0</v>
      </c>
      <c r="CZ2987" t="s">
        <v>615</v>
      </c>
      <c r="DA2987" t="s">
        <v>616</v>
      </c>
      <c r="DD2987">
        <v>16205492</v>
      </c>
      <c r="DE2987" t="s">
        <v>123</v>
      </c>
    </row>
    <row r="2988" spans="1:109" x14ac:dyDescent="0.3">
      <c r="A2988" t="str">
        <f>"19:24:42.586"</f>
        <v>19:24:42.586</v>
      </c>
      <c r="B2988" t="s">
        <v>110</v>
      </c>
      <c r="C2988" t="str">
        <f t="shared" si="138"/>
        <v>ffdfd3c0</v>
      </c>
      <c r="D2988" t="s">
        <v>111</v>
      </c>
      <c r="E2988">
        <v>18</v>
      </c>
      <c r="F2988">
        <v>1018</v>
      </c>
      <c r="G2988" t="s">
        <v>112</v>
      </c>
      <c r="J2988" t="s">
        <v>113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R2988" t="s">
        <v>114</v>
      </c>
      <c r="S2988" t="str">
        <f>"19:24:42.359"</f>
        <v>19:24:42.359</v>
      </c>
      <c r="T2988" t="str">
        <f>"19:24:41.961"</f>
        <v>19:24:41.961</v>
      </c>
      <c r="U2988" t="str">
        <f t="shared" si="139"/>
        <v>a1cdbe</v>
      </c>
      <c r="V2988">
        <v>0</v>
      </c>
      <c r="W2988">
        <v>0</v>
      </c>
      <c r="X2988">
        <v>1</v>
      </c>
      <c r="Y2988">
        <v>0</v>
      </c>
      <c r="Z2988">
        <v>0</v>
      </c>
      <c r="AB2988">
        <v>0</v>
      </c>
      <c r="AC2988">
        <v>9</v>
      </c>
      <c r="AD2988">
        <v>3</v>
      </c>
      <c r="AE2988">
        <v>0</v>
      </c>
      <c r="AF2988">
        <v>9</v>
      </c>
      <c r="AG2988" t="s">
        <v>158</v>
      </c>
      <c r="AH2988">
        <v>0</v>
      </c>
      <c r="AI2988">
        <v>3</v>
      </c>
      <c r="AJ2988">
        <v>1</v>
      </c>
      <c r="AK2988">
        <v>0</v>
      </c>
      <c r="AL2988" t="s">
        <v>5621</v>
      </c>
      <c r="AM2988">
        <v>46.984127000000001</v>
      </c>
      <c r="AN2988" t="s">
        <v>5622</v>
      </c>
      <c r="AO2988">
        <v>-123.514695</v>
      </c>
      <c r="AP2988">
        <v>100</v>
      </c>
      <c r="AQ2988">
        <v>2100</v>
      </c>
      <c r="AR2988" t="s">
        <v>118</v>
      </c>
      <c r="AS2988">
        <v>-79</v>
      </c>
      <c r="AT2988">
        <v>12</v>
      </c>
      <c r="AU2988">
        <v>64</v>
      </c>
      <c r="BC2988">
        <v>1200</v>
      </c>
      <c r="BD2988">
        <v>1</v>
      </c>
      <c r="BE2988" t="str">
        <f t="shared" si="140"/>
        <v xml:space="preserve">N215T   </v>
      </c>
      <c r="BF2988">
        <v>1</v>
      </c>
      <c r="BH2988">
        <v>0</v>
      </c>
      <c r="BI2988">
        <v>0</v>
      </c>
      <c r="BJ2988">
        <v>0</v>
      </c>
      <c r="BK2988">
        <v>2475</v>
      </c>
      <c r="BL2988">
        <v>375</v>
      </c>
      <c r="BM2988" t="s">
        <v>119</v>
      </c>
      <c r="BN2988">
        <v>1</v>
      </c>
      <c r="BO2988">
        <v>1</v>
      </c>
      <c r="BP2988">
        <v>1</v>
      </c>
      <c r="BQ2988">
        <v>0</v>
      </c>
      <c r="BT2988">
        <v>0</v>
      </c>
      <c r="BU2988">
        <v>0</v>
      </c>
      <c r="BV2988">
        <v>0</v>
      </c>
      <c r="CC2988" t="str">
        <f>"19:24:42.359"</f>
        <v>19:24:42.359</v>
      </c>
      <c r="CD2988" t="str">
        <f>"363216667"</f>
        <v>363216667</v>
      </c>
      <c r="CQ2988">
        <v>0</v>
      </c>
      <c r="CR2988">
        <v>2</v>
      </c>
      <c r="CS2988">
        <v>0</v>
      </c>
      <c r="CT2988">
        <v>2</v>
      </c>
      <c r="CU2988">
        <v>0</v>
      </c>
      <c r="CV2988">
        <v>6</v>
      </c>
      <c r="CW2988" t="s">
        <v>120</v>
      </c>
      <c r="CX2988">
        <v>257</v>
      </c>
      <c r="CY2988">
        <v>0</v>
      </c>
      <c r="CZ2988" t="s">
        <v>615</v>
      </c>
      <c r="DA2988" t="s">
        <v>616</v>
      </c>
      <c r="DD2988">
        <v>16205984</v>
      </c>
      <c r="DE2988" t="s">
        <v>123</v>
      </c>
    </row>
    <row r="2989" spans="1:109" x14ac:dyDescent="0.3">
      <c r="A2989" t="str">
        <f>"19:24:43.594"</f>
        <v>19:24:43.594</v>
      </c>
      <c r="B2989" t="s">
        <v>110</v>
      </c>
      <c r="C2989" t="str">
        <f t="shared" si="138"/>
        <v>ffdfd3c0</v>
      </c>
      <c r="D2989" t="s">
        <v>111</v>
      </c>
      <c r="E2989">
        <v>18</v>
      </c>
      <c r="F2989">
        <v>1018</v>
      </c>
      <c r="G2989" t="s">
        <v>112</v>
      </c>
      <c r="J2989" t="s">
        <v>113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R2989" t="s">
        <v>114</v>
      </c>
      <c r="S2989" t="str">
        <f>"19:24:43.320"</f>
        <v>19:24:43.320</v>
      </c>
      <c r="T2989" t="str">
        <f>"19:24:43.117"</f>
        <v>19:24:43.117</v>
      </c>
      <c r="U2989" t="str">
        <f t="shared" si="139"/>
        <v>a1cdbe</v>
      </c>
      <c r="V2989">
        <v>0</v>
      </c>
      <c r="W2989">
        <v>0</v>
      </c>
      <c r="X2989">
        <v>1</v>
      </c>
      <c r="Y2989">
        <v>0</v>
      </c>
      <c r="Z2989">
        <v>0</v>
      </c>
      <c r="AB2989">
        <v>0</v>
      </c>
      <c r="AC2989">
        <v>9</v>
      </c>
      <c r="AD2989">
        <v>3</v>
      </c>
      <c r="AE2989">
        <v>0</v>
      </c>
      <c r="AF2989">
        <v>9</v>
      </c>
      <c r="AG2989" t="s">
        <v>158</v>
      </c>
      <c r="AH2989">
        <v>0</v>
      </c>
      <c r="AI2989">
        <v>3</v>
      </c>
      <c r="AJ2989">
        <v>1</v>
      </c>
      <c r="AK2989">
        <v>0</v>
      </c>
      <c r="AL2989" t="s">
        <v>5623</v>
      </c>
      <c r="AM2989">
        <v>46.984169000000001</v>
      </c>
      <c r="AN2989" t="s">
        <v>5624</v>
      </c>
      <c r="AO2989">
        <v>-123.51516700000001</v>
      </c>
      <c r="AP2989">
        <v>100</v>
      </c>
      <c r="AQ2989">
        <v>2100</v>
      </c>
      <c r="AR2989" t="s">
        <v>118</v>
      </c>
      <c r="AS2989">
        <v>-79</v>
      </c>
      <c r="AT2989">
        <v>12</v>
      </c>
      <c r="AU2989">
        <v>64</v>
      </c>
      <c r="BC2989">
        <v>1200</v>
      </c>
      <c r="BD2989">
        <v>1</v>
      </c>
      <c r="BE2989" t="str">
        <f t="shared" si="140"/>
        <v xml:space="preserve">N215T   </v>
      </c>
      <c r="BF2989">
        <v>1</v>
      </c>
      <c r="BH2989">
        <v>0</v>
      </c>
      <c r="BI2989">
        <v>0</v>
      </c>
      <c r="BJ2989">
        <v>0</v>
      </c>
      <c r="BK2989">
        <v>2475</v>
      </c>
      <c r="BL2989">
        <v>375</v>
      </c>
      <c r="BM2989" t="s">
        <v>119</v>
      </c>
      <c r="BN2989">
        <v>1</v>
      </c>
      <c r="BO2989">
        <v>1</v>
      </c>
      <c r="BP2989">
        <v>1</v>
      </c>
      <c r="BQ2989">
        <v>0</v>
      </c>
      <c r="BT2989">
        <v>0</v>
      </c>
      <c r="BU2989">
        <v>0</v>
      </c>
      <c r="BV2989">
        <v>0</v>
      </c>
      <c r="CC2989" t="str">
        <f>"19:24:43.320"</f>
        <v>19:24:43.320</v>
      </c>
      <c r="CD2989" t="str">
        <f>"323122054"</f>
        <v>323122054</v>
      </c>
      <c r="CQ2989">
        <v>0</v>
      </c>
      <c r="CR2989">
        <v>2</v>
      </c>
      <c r="CS2989">
        <v>0</v>
      </c>
      <c r="CT2989">
        <v>2</v>
      </c>
      <c r="CU2989">
        <v>0</v>
      </c>
      <c r="CV2989">
        <v>6</v>
      </c>
      <c r="CW2989" t="s">
        <v>120</v>
      </c>
      <c r="CX2989">
        <v>257</v>
      </c>
      <c r="CY2989">
        <v>0</v>
      </c>
      <c r="CZ2989" t="s">
        <v>615</v>
      </c>
      <c r="DA2989" t="s">
        <v>616</v>
      </c>
      <c r="DD2989">
        <v>16206474</v>
      </c>
      <c r="DE2989" t="s">
        <v>123</v>
      </c>
    </row>
    <row r="2990" spans="1:109" x14ac:dyDescent="0.3">
      <c r="A2990" t="str">
        <f>"19:24:44.445"</f>
        <v>19:24:44.445</v>
      </c>
      <c r="B2990" t="s">
        <v>110</v>
      </c>
      <c r="C2990" t="str">
        <f t="shared" si="138"/>
        <v>ffdfd3c0</v>
      </c>
      <c r="D2990" t="s">
        <v>111</v>
      </c>
      <c r="E2990">
        <v>18</v>
      </c>
      <c r="F2990">
        <v>1018</v>
      </c>
      <c r="G2990" t="s">
        <v>112</v>
      </c>
      <c r="J2990" t="s">
        <v>113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R2990" t="s">
        <v>114</v>
      </c>
      <c r="S2990" t="str">
        <f>"19:24:44.203"</f>
        <v>19:24:44.203</v>
      </c>
      <c r="T2990" t="str">
        <f>"19:24:44.102"</f>
        <v>19:24:44.102</v>
      </c>
      <c r="U2990" t="str">
        <f t="shared" si="139"/>
        <v>a1cdbe</v>
      </c>
      <c r="V2990">
        <v>0</v>
      </c>
      <c r="W2990">
        <v>0</v>
      </c>
      <c r="X2990">
        <v>1</v>
      </c>
      <c r="Y2990">
        <v>0</v>
      </c>
      <c r="Z2990">
        <v>0</v>
      </c>
      <c r="AB2990">
        <v>0</v>
      </c>
      <c r="AC2990">
        <v>9</v>
      </c>
      <c r="AD2990">
        <v>3</v>
      </c>
      <c r="AE2990">
        <v>0</v>
      </c>
      <c r="AF2990">
        <v>9</v>
      </c>
      <c r="AG2990" t="s">
        <v>158</v>
      </c>
      <c r="AH2990">
        <v>0</v>
      </c>
      <c r="AI2990">
        <v>3</v>
      </c>
      <c r="AJ2990">
        <v>1</v>
      </c>
      <c r="AK2990">
        <v>0</v>
      </c>
      <c r="AL2990" t="s">
        <v>5625</v>
      </c>
      <c r="AM2990">
        <v>46.984191000000003</v>
      </c>
      <c r="AN2990" t="s">
        <v>5626</v>
      </c>
      <c r="AO2990">
        <v>-123.515618</v>
      </c>
      <c r="AP2990">
        <v>100</v>
      </c>
      <c r="AQ2990">
        <v>2100</v>
      </c>
      <c r="AR2990" t="s">
        <v>118</v>
      </c>
      <c r="AS2990">
        <v>-79</v>
      </c>
      <c r="AT2990">
        <v>12</v>
      </c>
      <c r="AU2990">
        <v>64</v>
      </c>
      <c r="BC2990">
        <v>1200</v>
      </c>
      <c r="BD2990">
        <v>1</v>
      </c>
      <c r="BE2990" t="str">
        <f t="shared" si="140"/>
        <v xml:space="preserve">N215T   </v>
      </c>
      <c r="BF2990">
        <v>1</v>
      </c>
      <c r="BH2990">
        <v>0</v>
      </c>
      <c r="BI2990">
        <v>0</v>
      </c>
      <c r="BJ2990">
        <v>0</v>
      </c>
      <c r="BK2990">
        <v>2475</v>
      </c>
      <c r="BL2990">
        <v>375</v>
      </c>
      <c r="BM2990" t="s">
        <v>119</v>
      </c>
      <c r="BN2990">
        <v>1</v>
      </c>
      <c r="BO2990">
        <v>1</v>
      </c>
      <c r="BP2990">
        <v>1</v>
      </c>
      <c r="BQ2990">
        <v>0</v>
      </c>
      <c r="BT2990">
        <v>0</v>
      </c>
      <c r="BU2990">
        <v>0</v>
      </c>
      <c r="BV2990">
        <v>0</v>
      </c>
      <c r="CC2990" t="str">
        <f>"19:24:44.211"</f>
        <v>19:24:44.211</v>
      </c>
      <c r="CD2990" t="str">
        <f>"208034834"</f>
        <v>208034834</v>
      </c>
      <c r="CQ2990">
        <v>0</v>
      </c>
      <c r="CR2990">
        <v>2</v>
      </c>
      <c r="CS2990">
        <v>0</v>
      </c>
      <c r="CT2990">
        <v>2</v>
      </c>
      <c r="CU2990">
        <v>0</v>
      </c>
      <c r="CV2990">
        <v>6</v>
      </c>
      <c r="CW2990" t="s">
        <v>120</v>
      </c>
      <c r="CX2990">
        <v>257</v>
      </c>
      <c r="CY2990">
        <v>0</v>
      </c>
      <c r="CZ2990" t="s">
        <v>615</v>
      </c>
      <c r="DA2990" t="s">
        <v>616</v>
      </c>
      <c r="DD2990">
        <v>16206866</v>
      </c>
      <c r="DE2990" t="s">
        <v>123</v>
      </c>
    </row>
    <row r="2991" spans="1:109" x14ac:dyDescent="0.3">
      <c r="A2991" t="str">
        <f>"19:24:45.555"</f>
        <v>19:24:45.555</v>
      </c>
      <c r="B2991" t="s">
        <v>110</v>
      </c>
      <c r="C2991" t="str">
        <f t="shared" si="138"/>
        <v>ffdfd3c0</v>
      </c>
      <c r="D2991" t="s">
        <v>111</v>
      </c>
      <c r="E2991">
        <v>18</v>
      </c>
      <c r="F2991">
        <v>1018</v>
      </c>
      <c r="G2991" t="s">
        <v>112</v>
      </c>
      <c r="J2991" t="s">
        <v>113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R2991" t="s">
        <v>114</v>
      </c>
      <c r="S2991" t="str">
        <f>"19:24:45.328"</f>
        <v>19:24:45.328</v>
      </c>
      <c r="T2991" t="str">
        <f>"19:24:45.125"</f>
        <v>19:24:45.125</v>
      </c>
      <c r="U2991" t="str">
        <f t="shared" si="139"/>
        <v>a1cdbe</v>
      </c>
      <c r="V2991">
        <v>0</v>
      </c>
      <c r="W2991">
        <v>0</v>
      </c>
      <c r="X2991">
        <v>1</v>
      </c>
      <c r="Y2991">
        <v>0</v>
      </c>
      <c r="Z2991">
        <v>0</v>
      </c>
      <c r="AB2991">
        <v>0</v>
      </c>
      <c r="AC2991">
        <v>9</v>
      </c>
      <c r="AD2991">
        <v>3</v>
      </c>
      <c r="AE2991">
        <v>0</v>
      </c>
      <c r="AF2991">
        <v>9</v>
      </c>
      <c r="AG2991" t="s">
        <v>158</v>
      </c>
      <c r="AH2991">
        <v>0</v>
      </c>
      <c r="AI2991">
        <v>3</v>
      </c>
      <c r="AJ2991">
        <v>1</v>
      </c>
      <c r="AK2991">
        <v>0</v>
      </c>
      <c r="AL2991" t="s">
        <v>5627</v>
      </c>
      <c r="AM2991">
        <v>46.984276999999999</v>
      </c>
      <c r="AN2991" t="s">
        <v>5628</v>
      </c>
      <c r="AO2991">
        <v>-123.516262</v>
      </c>
      <c r="AP2991">
        <v>100</v>
      </c>
      <c r="AQ2991">
        <v>2100</v>
      </c>
      <c r="AR2991" t="s">
        <v>118</v>
      </c>
      <c r="AS2991">
        <v>-79</v>
      </c>
      <c r="AT2991">
        <v>11</v>
      </c>
      <c r="AU2991">
        <v>64</v>
      </c>
      <c r="BC2991">
        <v>1200</v>
      </c>
      <c r="BD2991">
        <v>1</v>
      </c>
      <c r="BE2991" t="str">
        <f t="shared" si="140"/>
        <v xml:space="preserve">N215T   </v>
      </c>
      <c r="BF2991">
        <v>1</v>
      </c>
      <c r="BH2991">
        <v>0</v>
      </c>
      <c r="BI2991">
        <v>0</v>
      </c>
      <c r="BJ2991">
        <v>0</v>
      </c>
      <c r="BK2991">
        <v>2475</v>
      </c>
      <c r="BL2991">
        <v>375</v>
      </c>
      <c r="BM2991" t="s">
        <v>119</v>
      </c>
      <c r="BN2991">
        <v>1</v>
      </c>
      <c r="BO2991">
        <v>1</v>
      </c>
      <c r="BP2991">
        <v>1</v>
      </c>
      <c r="BQ2991">
        <v>0</v>
      </c>
      <c r="BT2991">
        <v>0</v>
      </c>
      <c r="BU2991">
        <v>0</v>
      </c>
      <c r="BV2991">
        <v>0</v>
      </c>
      <c r="CC2991" t="str">
        <f>"19:24:45.336"</f>
        <v>19:24:45.336</v>
      </c>
      <c r="CD2991" t="str">
        <f>"332923958"</f>
        <v>332923958</v>
      </c>
      <c r="CQ2991">
        <v>0</v>
      </c>
      <c r="CR2991">
        <v>2</v>
      </c>
      <c r="CS2991">
        <v>0</v>
      </c>
      <c r="CT2991">
        <v>2</v>
      </c>
      <c r="CU2991">
        <v>0</v>
      </c>
      <c r="CV2991">
        <v>6</v>
      </c>
      <c r="CW2991" t="s">
        <v>120</v>
      </c>
      <c r="CX2991">
        <v>257</v>
      </c>
      <c r="CY2991">
        <v>0</v>
      </c>
      <c r="CZ2991" t="s">
        <v>615</v>
      </c>
      <c r="DA2991" t="s">
        <v>616</v>
      </c>
      <c r="DD2991">
        <v>16207439</v>
      </c>
      <c r="DE2991" t="s">
        <v>123</v>
      </c>
    </row>
    <row r="2992" spans="1:109" x14ac:dyDescent="0.3">
      <c r="A2992" t="str">
        <f>"19:24:46.664"</f>
        <v>19:24:46.664</v>
      </c>
      <c r="B2992" t="s">
        <v>110</v>
      </c>
      <c r="C2992" t="str">
        <f t="shared" si="138"/>
        <v>ffdfd3c0</v>
      </c>
      <c r="D2992" t="s">
        <v>111</v>
      </c>
      <c r="E2992">
        <v>18</v>
      </c>
      <c r="F2992">
        <v>1018</v>
      </c>
      <c r="G2992" t="s">
        <v>112</v>
      </c>
      <c r="J2992" t="s">
        <v>113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R2992" t="s">
        <v>114</v>
      </c>
      <c r="S2992" t="str">
        <f>"19:24:46.438"</f>
        <v>19:24:46.438</v>
      </c>
      <c r="T2992" t="str">
        <f>"19:24:46.438"</f>
        <v>19:24:46.438</v>
      </c>
      <c r="U2992" t="str">
        <f t="shared" si="139"/>
        <v>a1cdbe</v>
      </c>
      <c r="V2992">
        <v>0</v>
      </c>
      <c r="W2992">
        <v>0</v>
      </c>
      <c r="X2992">
        <v>1</v>
      </c>
      <c r="Y2992">
        <v>0</v>
      </c>
      <c r="Z2992">
        <v>0</v>
      </c>
      <c r="AB2992">
        <v>0</v>
      </c>
      <c r="AC2992">
        <v>9</v>
      </c>
      <c r="AD2992">
        <v>3</v>
      </c>
      <c r="AE2992">
        <v>0</v>
      </c>
      <c r="AF2992">
        <v>9</v>
      </c>
      <c r="AG2992" t="s">
        <v>158</v>
      </c>
      <c r="AH2992">
        <v>0</v>
      </c>
      <c r="AI2992">
        <v>3</v>
      </c>
      <c r="AJ2992">
        <v>1</v>
      </c>
      <c r="AK2992">
        <v>0</v>
      </c>
      <c r="AL2992" t="s">
        <v>5629</v>
      </c>
      <c r="AM2992">
        <v>46.984319999999997</v>
      </c>
      <c r="AN2992" t="s">
        <v>5630</v>
      </c>
      <c r="AO2992">
        <v>-123.516819</v>
      </c>
      <c r="AP2992">
        <v>100</v>
      </c>
      <c r="AQ2992">
        <v>2100</v>
      </c>
      <c r="AR2992" t="s">
        <v>118</v>
      </c>
      <c r="AS2992">
        <v>-78</v>
      </c>
      <c r="AT2992">
        <v>11</v>
      </c>
      <c r="AU2992">
        <v>64</v>
      </c>
      <c r="BC2992">
        <v>1200</v>
      </c>
      <c r="BD2992">
        <v>1</v>
      </c>
      <c r="BE2992" t="str">
        <f t="shared" si="140"/>
        <v xml:space="preserve">N215T   </v>
      </c>
      <c r="BF2992">
        <v>1</v>
      </c>
      <c r="BH2992">
        <v>0</v>
      </c>
      <c r="BI2992">
        <v>0</v>
      </c>
      <c r="BJ2992">
        <v>0</v>
      </c>
      <c r="BK2992">
        <v>2475</v>
      </c>
      <c r="BL2992">
        <v>375</v>
      </c>
      <c r="BM2992" t="s">
        <v>119</v>
      </c>
      <c r="BN2992">
        <v>1</v>
      </c>
      <c r="BO2992">
        <v>1</v>
      </c>
      <c r="BP2992">
        <v>1</v>
      </c>
      <c r="BQ2992">
        <v>0</v>
      </c>
      <c r="BT2992">
        <v>0</v>
      </c>
      <c r="BU2992">
        <v>0</v>
      </c>
      <c r="BV2992">
        <v>0</v>
      </c>
      <c r="CC2992" t="str">
        <f>"19:24:46.445"</f>
        <v>19:24:46.445</v>
      </c>
      <c r="CD2992" t="str">
        <f>"442814569"</f>
        <v>442814569</v>
      </c>
      <c r="CQ2992">
        <v>0</v>
      </c>
      <c r="CR2992">
        <v>2</v>
      </c>
      <c r="CS2992">
        <v>0</v>
      </c>
      <c r="CT2992">
        <v>2</v>
      </c>
      <c r="CU2992">
        <v>0</v>
      </c>
      <c r="CV2992">
        <v>6</v>
      </c>
      <c r="CW2992" t="s">
        <v>120</v>
      </c>
      <c r="CX2992">
        <v>257</v>
      </c>
      <c r="CY2992">
        <v>0</v>
      </c>
      <c r="CZ2992" t="s">
        <v>615</v>
      </c>
      <c r="DA2992" t="s">
        <v>616</v>
      </c>
      <c r="DD2992">
        <v>16208057</v>
      </c>
      <c r="DE2992" t="s">
        <v>123</v>
      </c>
    </row>
    <row r="2993" spans="1:109" x14ac:dyDescent="0.3">
      <c r="A2993" t="str">
        <f>"19:24:47.664"</f>
        <v>19:24:47.664</v>
      </c>
      <c r="B2993" t="s">
        <v>110</v>
      </c>
      <c r="C2993" t="str">
        <f t="shared" si="138"/>
        <v>ffdfd3c0</v>
      </c>
      <c r="D2993" t="s">
        <v>111</v>
      </c>
      <c r="E2993">
        <v>18</v>
      </c>
      <c r="F2993">
        <v>1018</v>
      </c>
      <c r="G2993" t="s">
        <v>112</v>
      </c>
      <c r="J2993" t="s">
        <v>113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R2993" t="s">
        <v>114</v>
      </c>
      <c r="S2993" t="str">
        <f>"19:24:47.414"</f>
        <v>19:24:47.414</v>
      </c>
      <c r="T2993" t="str">
        <f>"19:24:46.914"</f>
        <v>19:24:46.914</v>
      </c>
      <c r="U2993" t="str">
        <f t="shared" si="139"/>
        <v>a1cdbe</v>
      </c>
      <c r="V2993">
        <v>0</v>
      </c>
      <c r="W2993">
        <v>0</v>
      </c>
      <c r="X2993">
        <v>1</v>
      </c>
      <c r="Y2993">
        <v>0</v>
      </c>
      <c r="Z2993">
        <v>0</v>
      </c>
      <c r="AB2993">
        <v>0</v>
      </c>
      <c r="AC2993">
        <v>9</v>
      </c>
      <c r="AD2993">
        <v>3</v>
      </c>
      <c r="AE2993">
        <v>0</v>
      </c>
      <c r="AF2993">
        <v>9</v>
      </c>
      <c r="AG2993" t="s">
        <v>158</v>
      </c>
      <c r="AH2993">
        <v>0</v>
      </c>
      <c r="AI2993">
        <v>3</v>
      </c>
      <c r="AJ2993">
        <v>1</v>
      </c>
      <c r="AK2993">
        <v>0</v>
      </c>
      <c r="AL2993" t="s">
        <v>5631</v>
      </c>
      <c r="AM2993">
        <v>46.984383999999999</v>
      </c>
      <c r="AN2993" t="s">
        <v>5632</v>
      </c>
      <c r="AO2993">
        <v>-123.517313</v>
      </c>
      <c r="AP2993">
        <v>100</v>
      </c>
      <c r="AQ2993">
        <v>2100</v>
      </c>
      <c r="AR2993" t="s">
        <v>118</v>
      </c>
      <c r="AS2993">
        <v>-78</v>
      </c>
      <c r="AT2993">
        <v>11</v>
      </c>
      <c r="AU2993">
        <v>64</v>
      </c>
      <c r="BC2993">
        <v>1200</v>
      </c>
      <c r="BD2993">
        <v>1</v>
      </c>
      <c r="BE2993" t="str">
        <f t="shared" si="140"/>
        <v xml:space="preserve">N215T   </v>
      </c>
      <c r="BF2993">
        <v>1</v>
      </c>
      <c r="BH2993">
        <v>0</v>
      </c>
      <c r="BI2993">
        <v>0</v>
      </c>
      <c r="BJ2993">
        <v>0</v>
      </c>
      <c r="BK2993">
        <v>2475</v>
      </c>
      <c r="BL2993">
        <v>375</v>
      </c>
      <c r="BM2993" t="s">
        <v>119</v>
      </c>
      <c r="BN2993">
        <v>1</v>
      </c>
      <c r="BO2993">
        <v>1</v>
      </c>
      <c r="BP2993">
        <v>1</v>
      </c>
      <c r="BQ2993">
        <v>0</v>
      </c>
      <c r="BT2993">
        <v>0</v>
      </c>
      <c r="BU2993">
        <v>0</v>
      </c>
      <c r="BV2993">
        <v>0</v>
      </c>
      <c r="CC2993" t="str">
        <f>"19:24:47.414"</f>
        <v>19:24:47.414</v>
      </c>
      <c r="CD2993" t="str">
        <f>"417718479"</f>
        <v>417718479</v>
      </c>
      <c r="CQ2993">
        <v>0</v>
      </c>
      <c r="CR2993">
        <v>2</v>
      </c>
      <c r="CS2993">
        <v>0</v>
      </c>
      <c r="CT2993">
        <v>2</v>
      </c>
      <c r="CU2993">
        <v>0</v>
      </c>
      <c r="CV2993">
        <v>6</v>
      </c>
      <c r="CW2993" t="s">
        <v>120</v>
      </c>
      <c r="CX2993">
        <v>257</v>
      </c>
      <c r="CY2993">
        <v>0</v>
      </c>
      <c r="CZ2993" t="s">
        <v>615</v>
      </c>
      <c r="DA2993" t="s">
        <v>616</v>
      </c>
      <c r="DD2993">
        <v>16208551</v>
      </c>
      <c r="DE2993" t="s">
        <v>123</v>
      </c>
    </row>
    <row r="2994" spans="1:109" x14ac:dyDescent="0.3">
      <c r="A2994" t="str">
        <f>"19:24:48.773"</f>
        <v>19:24:48.773</v>
      </c>
      <c r="B2994" t="s">
        <v>110</v>
      </c>
      <c r="C2994" t="str">
        <f t="shared" si="138"/>
        <v>ffdfd3c0</v>
      </c>
      <c r="D2994" t="s">
        <v>111</v>
      </c>
      <c r="E2994">
        <v>18</v>
      </c>
      <c r="F2994">
        <v>1018</v>
      </c>
      <c r="G2994" t="s">
        <v>112</v>
      </c>
      <c r="J2994" t="s">
        <v>113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R2994" t="s">
        <v>114</v>
      </c>
      <c r="S2994" t="str">
        <f>"19:24:48.523"</f>
        <v>19:24:48.523</v>
      </c>
      <c r="T2994" t="str">
        <f>"19:24:48.523"</f>
        <v>19:24:48.523</v>
      </c>
      <c r="U2994" t="str">
        <f t="shared" si="139"/>
        <v>a1cdbe</v>
      </c>
      <c r="V2994">
        <v>0</v>
      </c>
      <c r="W2994">
        <v>0</v>
      </c>
      <c r="X2994">
        <v>1</v>
      </c>
      <c r="Y2994">
        <v>0</v>
      </c>
      <c r="Z2994">
        <v>0</v>
      </c>
      <c r="AB2994">
        <v>0</v>
      </c>
      <c r="AC2994">
        <v>9</v>
      </c>
      <c r="AD2994">
        <v>3</v>
      </c>
      <c r="AE2994">
        <v>0</v>
      </c>
      <c r="AF2994">
        <v>9</v>
      </c>
      <c r="AG2994" t="s">
        <v>158</v>
      </c>
      <c r="AH2994">
        <v>0</v>
      </c>
      <c r="AI2994">
        <v>3</v>
      </c>
      <c r="AJ2994">
        <v>1</v>
      </c>
      <c r="AK2994">
        <v>0</v>
      </c>
      <c r="AL2994" t="s">
        <v>5633</v>
      </c>
      <c r="AM2994">
        <v>46.984406</v>
      </c>
      <c r="AN2994" t="s">
        <v>5634</v>
      </c>
      <c r="AO2994">
        <v>-123.517914</v>
      </c>
      <c r="AP2994">
        <v>100</v>
      </c>
      <c r="AQ2994">
        <v>2100</v>
      </c>
      <c r="AR2994" t="s">
        <v>118</v>
      </c>
      <c r="AS2994">
        <v>-78</v>
      </c>
      <c r="AT2994">
        <v>11</v>
      </c>
      <c r="AU2994">
        <v>128</v>
      </c>
      <c r="BC2994">
        <v>1200</v>
      </c>
      <c r="BD2994">
        <v>1</v>
      </c>
      <c r="BE2994" t="str">
        <f t="shared" si="140"/>
        <v xml:space="preserve">N215T   </v>
      </c>
      <c r="BF2994">
        <v>1</v>
      </c>
      <c r="BH2994">
        <v>0</v>
      </c>
      <c r="BI2994">
        <v>0</v>
      </c>
      <c r="BJ2994">
        <v>0</v>
      </c>
      <c r="BK2994">
        <v>2475</v>
      </c>
      <c r="BL2994">
        <v>375</v>
      </c>
      <c r="BM2994" t="s">
        <v>119</v>
      </c>
      <c r="BN2994">
        <v>1</v>
      </c>
      <c r="BO2994">
        <v>1</v>
      </c>
      <c r="BP2994">
        <v>1</v>
      </c>
      <c r="BQ2994">
        <v>0</v>
      </c>
      <c r="BT2994">
        <v>0</v>
      </c>
      <c r="BU2994">
        <v>0</v>
      </c>
      <c r="BV2994">
        <v>0</v>
      </c>
      <c r="CC2994" t="str">
        <f>"19:24:48.531"</f>
        <v>19:24:48.531</v>
      </c>
      <c r="CD2994" t="str">
        <f>"527609082"</f>
        <v>527609082</v>
      </c>
      <c r="CQ2994">
        <v>0</v>
      </c>
      <c r="CR2994">
        <v>2</v>
      </c>
      <c r="CS2994">
        <v>0</v>
      </c>
      <c r="CT2994">
        <v>2</v>
      </c>
      <c r="CU2994">
        <v>0</v>
      </c>
      <c r="CV2994">
        <v>6</v>
      </c>
      <c r="CW2994" t="s">
        <v>120</v>
      </c>
      <c r="CX2994">
        <v>257</v>
      </c>
      <c r="CY2994">
        <v>0</v>
      </c>
      <c r="CZ2994" t="s">
        <v>615</v>
      </c>
      <c r="DA2994" t="s">
        <v>616</v>
      </c>
      <c r="DD2994">
        <v>16209115</v>
      </c>
      <c r="DE2994" t="s">
        <v>123</v>
      </c>
    </row>
    <row r="2995" spans="1:109" x14ac:dyDescent="0.3">
      <c r="A2995" t="str">
        <f>"19:24:49.625"</f>
        <v>19:24:49.625</v>
      </c>
      <c r="B2995" t="s">
        <v>110</v>
      </c>
      <c r="C2995" t="str">
        <f t="shared" si="138"/>
        <v>ffdfd3c0</v>
      </c>
      <c r="D2995" t="s">
        <v>111</v>
      </c>
      <c r="E2995">
        <v>18</v>
      </c>
      <c r="F2995">
        <v>1018</v>
      </c>
      <c r="G2995" t="s">
        <v>112</v>
      </c>
      <c r="J2995" t="s">
        <v>113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R2995" t="s">
        <v>114</v>
      </c>
      <c r="S2995" t="str">
        <f>"19:24:49.422"</f>
        <v>19:24:49.422</v>
      </c>
      <c r="T2995" t="str">
        <f>"19:24:49.023"</f>
        <v>19:24:49.023</v>
      </c>
      <c r="U2995" t="str">
        <f t="shared" si="139"/>
        <v>a1cdbe</v>
      </c>
      <c r="V2995">
        <v>0</v>
      </c>
      <c r="W2995">
        <v>0</v>
      </c>
      <c r="X2995">
        <v>1</v>
      </c>
      <c r="Y2995">
        <v>0</v>
      </c>
      <c r="Z2995">
        <v>0</v>
      </c>
      <c r="AB2995">
        <v>0</v>
      </c>
      <c r="AC2995">
        <v>9</v>
      </c>
      <c r="AD2995">
        <v>3</v>
      </c>
      <c r="AE2995">
        <v>0</v>
      </c>
      <c r="AF2995">
        <v>9</v>
      </c>
      <c r="AG2995" t="s">
        <v>158</v>
      </c>
      <c r="AH2995">
        <v>0</v>
      </c>
      <c r="AI2995">
        <v>3</v>
      </c>
      <c r="AJ2995">
        <v>1</v>
      </c>
      <c r="AK2995">
        <v>0</v>
      </c>
      <c r="AL2995" t="s">
        <v>907</v>
      </c>
      <c r="AM2995">
        <v>46.984470000000002</v>
      </c>
      <c r="AN2995" t="s">
        <v>5635</v>
      </c>
      <c r="AO2995">
        <v>-123.51836400000001</v>
      </c>
      <c r="AP2995">
        <v>100</v>
      </c>
      <c r="AQ2995">
        <v>2100</v>
      </c>
      <c r="AR2995" t="s">
        <v>118</v>
      </c>
      <c r="AS2995">
        <v>-78</v>
      </c>
      <c r="AT2995">
        <v>11</v>
      </c>
      <c r="AU2995">
        <v>64</v>
      </c>
      <c r="BC2995">
        <v>1200</v>
      </c>
      <c r="BD2995">
        <v>1</v>
      </c>
      <c r="BE2995" t="str">
        <f t="shared" si="140"/>
        <v xml:space="preserve">N215T   </v>
      </c>
      <c r="BF2995">
        <v>1</v>
      </c>
      <c r="BH2995">
        <v>0</v>
      </c>
      <c r="BI2995">
        <v>0</v>
      </c>
      <c r="BJ2995">
        <v>0</v>
      </c>
      <c r="BK2995">
        <v>2475</v>
      </c>
      <c r="BL2995">
        <v>375</v>
      </c>
      <c r="BM2995" t="s">
        <v>119</v>
      </c>
      <c r="BN2995">
        <v>1</v>
      </c>
      <c r="BO2995">
        <v>1</v>
      </c>
      <c r="BP2995">
        <v>1</v>
      </c>
      <c r="BQ2995">
        <v>0</v>
      </c>
      <c r="BT2995">
        <v>0</v>
      </c>
      <c r="BU2995">
        <v>0</v>
      </c>
      <c r="BV2995">
        <v>0</v>
      </c>
      <c r="CC2995" t="str">
        <f>"19:24:49.430"</f>
        <v>19:24:49.430</v>
      </c>
      <c r="CD2995" t="str">
        <f>"427520382"</f>
        <v>427520382</v>
      </c>
      <c r="CQ2995">
        <v>0</v>
      </c>
      <c r="CR2995">
        <v>2</v>
      </c>
      <c r="CS2995">
        <v>0</v>
      </c>
      <c r="CT2995">
        <v>2</v>
      </c>
      <c r="CU2995">
        <v>0</v>
      </c>
      <c r="CV2995">
        <v>6</v>
      </c>
      <c r="CW2995" t="s">
        <v>120</v>
      </c>
      <c r="CX2995">
        <v>257</v>
      </c>
      <c r="CY2995">
        <v>0</v>
      </c>
      <c r="CZ2995" t="s">
        <v>615</v>
      </c>
      <c r="DA2995" t="s">
        <v>616</v>
      </c>
      <c r="DD2995">
        <v>16209531</v>
      </c>
      <c r="DE2995" t="s">
        <v>123</v>
      </c>
    </row>
    <row r="2996" spans="1:109" x14ac:dyDescent="0.3">
      <c r="A2996" t="str">
        <f>"19:24:50.680"</f>
        <v>19:24:50.680</v>
      </c>
      <c r="B2996" t="s">
        <v>110</v>
      </c>
      <c r="C2996" t="str">
        <f t="shared" si="138"/>
        <v>ffdfd3c0</v>
      </c>
      <c r="D2996" t="s">
        <v>111</v>
      </c>
      <c r="E2996">
        <v>18</v>
      </c>
      <c r="F2996">
        <v>1018</v>
      </c>
      <c r="G2996" t="s">
        <v>112</v>
      </c>
      <c r="J2996" t="s">
        <v>113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R2996" t="s">
        <v>114</v>
      </c>
      <c r="S2996" t="str">
        <f>"19:24:50.445"</f>
        <v>19:24:50.445</v>
      </c>
      <c r="T2996" t="str">
        <f>"19:24:50.344"</f>
        <v>19:24:50.344</v>
      </c>
      <c r="U2996" t="str">
        <f t="shared" si="139"/>
        <v>a1cdbe</v>
      </c>
      <c r="V2996">
        <v>0</v>
      </c>
      <c r="W2996">
        <v>0</v>
      </c>
      <c r="X2996">
        <v>1</v>
      </c>
      <c r="Y2996">
        <v>0</v>
      </c>
      <c r="Z2996">
        <v>0</v>
      </c>
      <c r="AB2996">
        <v>0</v>
      </c>
      <c r="AC2996">
        <v>9</v>
      </c>
      <c r="AD2996">
        <v>3</v>
      </c>
      <c r="AE2996">
        <v>0</v>
      </c>
      <c r="AF2996">
        <v>9</v>
      </c>
      <c r="AG2996" t="s">
        <v>158</v>
      </c>
      <c r="AH2996">
        <v>0</v>
      </c>
      <c r="AI2996">
        <v>3</v>
      </c>
      <c r="AJ2996">
        <v>1</v>
      </c>
      <c r="AK2996">
        <v>0</v>
      </c>
      <c r="AL2996" t="s">
        <v>5636</v>
      </c>
      <c r="AM2996">
        <v>46.984533999999996</v>
      </c>
      <c r="AN2996" t="s">
        <v>5637</v>
      </c>
      <c r="AO2996">
        <v>-123.518944</v>
      </c>
      <c r="AP2996">
        <v>100</v>
      </c>
      <c r="AQ2996">
        <v>2100</v>
      </c>
      <c r="AR2996" t="s">
        <v>118</v>
      </c>
      <c r="AS2996">
        <v>-78</v>
      </c>
      <c r="AT2996">
        <v>11</v>
      </c>
      <c r="AU2996">
        <v>128</v>
      </c>
      <c r="BC2996">
        <v>1200</v>
      </c>
      <c r="BD2996">
        <v>1</v>
      </c>
      <c r="BE2996" t="str">
        <f t="shared" si="140"/>
        <v xml:space="preserve">N215T   </v>
      </c>
      <c r="BF2996">
        <v>1</v>
      </c>
      <c r="BH2996">
        <v>0</v>
      </c>
      <c r="BI2996">
        <v>0</v>
      </c>
      <c r="BJ2996">
        <v>0</v>
      </c>
      <c r="BK2996">
        <v>2475</v>
      </c>
      <c r="BL2996">
        <v>375</v>
      </c>
      <c r="BM2996" t="s">
        <v>119</v>
      </c>
      <c r="BN2996">
        <v>1</v>
      </c>
      <c r="BO2996">
        <v>1</v>
      </c>
      <c r="BP2996">
        <v>1</v>
      </c>
      <c r="BQ2996">
        <v>0</v>
      </c>
      <c r="BT2996">
        <v>0</v>
      </c>
      <c r="BU2996">
        <v>0</v>
      </c>
      <c r="BV2996">
        <v>0</v>
      </c>
      <c r="CC2996" t="str">
        <f>"19:24:50.445"</f>
        <v>19:24:50.445</v>
      </c>
      <c r="CD2996" t="str">
        <f>"447419861"</f>
        <v>447419861</v>
      </c>
      <c r="CQ2996">
        <v>0</v>
      </c>
      <c r="CR2996">
        <v>2</v>
      </c>
      <c r="CS2996">
        <v>0</v>
      </c>
      <c r="CT2996">
        <v>2</v>
      </c>
      <c r="CU2996">
        <v>0</v>
      </c>
      <c r="CV2996">
        <v>6</v>
      </c>
      <c r="CW2996" t="s">
        <v>120</v>
      </c>
      <c r="CX2996">
        <v>257</v>
      </c>
      <c r="CY2996">
        <v>0</v>
      </c>
      <c r="CZ2996" t="s">
        <v>615</v>
      </c>
      <c r="DA2996" t="s">
        <v>616</v>
      </c>
      <c r="DD2996">
        <v>16210052</v>
      </c>
      <c r="DE2996" t="s">
        <v>123</v>
      </c>
    </row>
    <row r="2997" spans="1:109" x14ac:dyDescent="0.3">
      <c r="A2997" t="str">
        <f>"19:24:51.688"</f>
        <v>19:24:51.688</v>
      </c>
      <c r="B2997" t="s">
        <v>110</v>
      </c>
      <c r="C2997" t="str">
        <f t="shared" si="138"/>
        <v>ffdfd3c0</v>
      </c>
      <c r="D2997" t="s">
        <v>111</v>
      </c>
      <c r="E2997">
        <v>18</v>
      </c>
      <c r="F2997">
        <v>1018</v>
      </c>
      <c r="G2997" t="s">
        <v>112</v>
      </c>
      <c r="J2997" t="s">
        <v>113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R2997" t="s">
        <v>114</v>
      </c>
      <c r="S2997" t="str">
        <f>"19:24:51.461"</f>
        <v>19:24:51.461</v>
      </c>
      <c r="T2997" t="str">
        <f>"19:24:51.461"</f>
        <v>19:24:51.461</v>
      </c>
      <c r="U2997" t="str">
        <f t="shared" si="139"/>
        <v>a1cdbe</v>
      </c>
      <c r="V2997">
        <v>0</v>
      </c>
      <c r="W2997">
        <v>0</v>
      </c>
      <c r="X2997">
        <v>1</v>
      </c>
      <c r="Y2997">
        <v>0</v>
      </c>
      <c r="Z2997">
        <v>0</v>
      </c>
      <c r="AB2997">
        <v>0</v>
      </c>
      <c r="AC2997">
        <v>9</v>
      </c>
      <c r="AD2997">
        <v>3</v>
      </c>
      <c r="AE2997">
        <v>0</v>
      </c>
      <c r="AF2997">
        <v>9</v>
      </c>
      <c r="AG2997" t="s">
        <v>158</v>
      </c>
      <c r="AH2997">
        <v>0</v>
      </c>
      <c r="AI2997">
        <v>3</v>
      </c>
      <c r="AJ2997">
        <v>1</v>
      </c>
      <c r="AK2997">
        <v>0</v>
      </c>
      <c r="AL2997" t="s">
        <v>5638</v>
      </c>
      <c r="AM2997">
        <v>46.984577000000002</v>
      </c>
      <c r="AN2997" t="s">
        <v>5639</v>
      </c>
      <c r="AO2997">
        <v>-123.519502</v>
      </c>
      <c r="AP2997">
        <v>100</v>
      </c>
      <c r="AQ2997">
        <v>2100</v>
      </c>
      <c r="AR2997" t="s">
        <v>118</v>
      </c>
      <c r="AS2997">
        <v>-78</v>
      </c>
      <c r="AT2997">
        <v>11</v>
      </c>
      <c r="AU2997">
        <v>128</v>
      </c>
      <c r="BC2997">
        <v>1200</v>
      </c>
      <c r="BD2997">
        <v>1</v>
      </c>
      <c r="BE2997" t="str">
        <f t="shared" si="140"/>
        <v xml:space="preserve">N215T   </v>
      </c>
      <c r="BF2997">
        <v>1</v>
      </c>
      <c r="BH2997">
        <v>0</v>
      </c>
      <c r="BI2997">
        <v>0</v>
      </c>
      <c r="BJ2997">
        <v>0</v>
      </c>
      <c r="BK2997">
        <v>2475</v>
      </c>
      <c r="BL2997">
        <v>375</v>
      </c>
      <c r="BM2997" t="s">
        <v>119</v>
      </c>
      <c r="BN2997">
        <v>1</v>
      </c>
      <c r="BO2997">
        <v>1</v>
      </c>
      <c r="BP2997">
        <v>1</v>
      </c>
      <c r="BQ2997">
        <v>0</v>
      </c>
      <c r="BT2997">
        <v>0</v>
      </c>
      <c r="BU2997">
        <v>0</v>
      </c>
      <c r="BV2997">
        <v>0</v>
      </c>
      <c r="CC2997" t="str">
        <f>"19:24:51.469"</f>
        <v>19:24:51.469</v>
      </c>
      <c r="CD2997" t="str">
        <f>"467319333"</f>
        <v>467319333</v>
      </c>
      <c r="CQ2997">
        <v>0</v>
      </c>
      <c r="CR2997">
        <v>2</v>
      </c>
      <c r="CS2997">
        <v>0</v>
      </c>
      <c r="CT2997">
        <v>2</v>
      </c>
      <c r="CU2997">
        <v>0</v>
      </c>
      <c r="CV2997">
        <v>6</v>
      </c>
      <c r="CW2997" t="s">
        <v>120</v>
      </c>
      <c r="CX2997">
        <v>257</v>
      </c>
      <c r="CY2997">
        <v>0</v>
      </c>
      <c r="CZ2997" t="s">
        <v>615</v>
      </c>
      <c r="DA2997" t="s">
        <v>616</v>
      </c>
      <c r="DD2997">
        <v>16210637</v>
      </c>
      <c r="DE2997" t="s">
        <v>123</v>
      </c>
    </row>
    <row r="2998" spans="1:109" x14ac:dyDescent="0.3">
      <c r="A2998" t="str">
        <f>"19:24:52.594"</f>
        <v>19:24:52.594</v>
      </c>
      <c r="B2998" t="s">
        <v>110</v>
      </c>
      <c r="C2998" t="str">
        <f t="shared" si="138"/>
        <v>ffdfd3c0</v>
      </c>
      <c r="D2998" t="s">
        <v>111</v>
      </c>
      <c r="E2998">
        <v>18</v>
      </c>
      <c r="F2998">
        <v>1018</v>
      </c>
      <c r="G2998" t="s">
        <v>112</v>
      </c>
      <c r="J2998" t="s">
        <v>113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R2998" t="s">
        <v>114</v>
      </c>
      <c r="S2998" t="str">
        <f>"19:24:52.375"</f>
        <v>19:24:52.375</v>
      </c>
      <c r="T2998" t="str">
        <f>"19:24:52.375"</f>
        <v>19:24:52.375</v>
      </c>
      <c r="U2998" t="str">
        <f t="shared" si="139"/>
        <v>a1cdbe</v>
      </c>
      <c r="V2998">
        <v>0</v>
      </c>
      <c r="W2998">
        <v>0</v>
      </c>
      <c r="X2998">
        <v>1</v>
      </c>
      <c r="Y2998">
        <v>0</v>
      </c>
      <c r="Z2998">
        <v>0</v>
      </c>
      <c r="AB2998">
        <v>0</v>
      </c>
      <c r="AC2998">
        <v>9</v>
      </c>
      <c r="AD2998">
        <v>3</v>
      </c>
      <c r="AE2998">
        <v>0</v>
      </c>
      <c r="AF2998">
        <v>9</v>
      </c>
      <c r="AG2998" t="s">
        <v>158</v>
      </c>
      <c r="AH2998">
        <v>0</v>
      </c>
      <c r="AI2998">
        <v>3</v>
      </c>
      <c r="AJ2998">
        <v>1</v>
      </c>
      <c r="AK2998">
        <v>0</v>
      </c>
      <c r="AL2998" t="s">
        <v>5640</v>
      </c>
      <c r="AM2998">
        <v>46.984642000000001</v>
      </c>
      <c r="AN2998" t="s">
        <v>5641</v>
      </c>
      <c r="AO2998">
        <v>-123.519974</v>
      </c>
      <c r="AP2998">
        <v>100</v>
      </c>
      <c r="AQ2998">
        <v>2100</v>
      </c>
      <c r="AR2998" t="s">
        <v>118</v>
      </c>
      <c r="AS2998">
        <v>-78</v>
      </c>
      <c r="AT2998">
        <v>11</v>
      </c>
      <c r="AU2998">
        <v>64</v>
      </c>
      <c r="BC2998">
        <v>1200</v>
      </c>
      <c r="BD2998">
        <v>1</v>
      </c>
      <c r="BE2998" t="str">
        <f t="shared" si="140"/>
        <v xml:space="preserve">N215T   </v>
      </c>
      <c r="BF2998">
        <v>1</v>
      </c>
      <c r="BH2998">
        <v>0</v>
      </c>
      <c r="BI2998">
        <v>0</v>
      </c>
      <c r="BJ2998">
        <v>0</v>
      </c>
      <c r="BK2998">
        <v>2475</v>
      </c>
      <c r="BL2998">
        <v>375</v>
      </c>
      <c r="BM2998" t="s">
        <v>119</v>
      </c>
      <c r="BN2998">
        <v>1</v>
      </c>
      <c r="BO2998">
        <v>1</v>
      </c>
      <c r="BP2998">
        <v>1</v>
      </c>
      <c r="BQ2998">
        <v>0</v>
      </c>
      <c r="BT2998">
        <v>0</v>
      </c>
      <c r="BU2998">
        <v>0</v>
      </c>
      <c r="BV2998">
        <v>0</v>
      </c>
      <c r="CC2998" t="str">
        <f>"19:24:52.383"</f>
        <v>19:24:52.383</v>
      </c>
      <c r="CD2998" t="str">
        <f>"382229164"</f>
        <v>382229164</v>
      </c>
      <c r="CQ2998">
        <v>0</v>
      </c>
      <c r="CR2998">
        <v>2</v>
      </c>
      <c r="CS2998">
        <v>0</v>
      </c>
      <c r="CT2998">
        <v>2</v>
      </c>
      <c r="CU2998">
        <v>0</v>
      </c>
      <c r="CV2998">
        <v>6</v>
      </c>
      <c r="CW2998" t="s">
        <v>120</v>
      </c>
      <c r="CX2998">
        <v>257</v>
      </c>
      <c r="CY2998">
        <v>0</v>
      </c>
      <c r="CZ2998" t="s">
        <v>615</v>
      </c>
      <c r="DA2998" t="s">
        <v>616</v>
      </c>
      <c r="DD2998">
        <v>16211093</v>
      </c>
      <c r="DE2998" t="s">
        <v>123</v>
      </c>
    </row>
    <row r="2999" spans="1:109" x14ac:dyDescent="0.3">
      <c r="A2999" t="str">
        <f>"19:24:53.500"</f>
        <v>19:24:53.500</v>
      </c>
      <c r="B2999" t="s">
        <v>110</v>
      </c>
      <c r="C2999" t="str">
        <f t="shared" si="138"/>
        <v>ffdfd3c0</v>
      </c>
      <c r="D2999" t="s">
        <v>111</v>
      </c>
      <c r="E2999">
        <v>18</v>
      </c>
      <c r="F2999">
        <v>1018</v>
      </c>
      <c r="G2999" t="s">
        <v>112</v>
      </c>
      <c r="J2999" t="s">
        <v>113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R2999" t="s">
        <v>114</v>
      </c>
      <c r="S2999" t="str">
        <f>"19:24:53.297"</f>
        <v>19:24:53.297</v>
      </c>
      <c r="T2999" t="str">
        <f>"19:24:52.898"</f>
        <v>19:24:52.898</v>
      </c>
      <c r="U2999" t="str">
        <f t="shared" si="139"/>
        <v>a1cdbe</v>
      </c>
      <c r="V2999">
        <v>0</v>
      </c>
      <c r="W2999">
        <v>0</v>
      </c>
      <c r="X2999">
        <v>1</v>
      </c>
      <c r="Y2999">
        <v>0</v>
      </c>
      <c r="Z2999">
        <v>0</v>
      </c>
      <c r="AB2999">
        <v>0</v>
      </c>
      <c r="AC2999">
        <v>9</v>
      </c>
      <c r="AD2999">
        <v>3</v>
      </c>
      <c r="AE2999">
        <v>0</v>
      </c>
      <c r="AF2999">
        <v>9</v>
      </c>
      <c r="AG2999" t="s">
        <v>158</v>
      </c>
      <c r="AH2999">
        <v>0</v>
      </c>
      <c r="AI2999">
        <v>3</v>
      </c>
      <c r="AJ2999">
        <v>1</v>
      </c>
      <c r="AK2999">
        <v>0</v>
      </c>
      <c r="AL2999" t="s">
        <v>5642</v>
      </c>
      <c r="AM2999">
        <v>46.984684000000001</v>
      </c>
      <c r="AN2999" t="s">
        <v>5643</v>
      </c>
      <c r="AO2999">
        <v>-123.52044600000001</v>
      </c>
      <c r="AP2999">
        <v>100</v>
      </c>
      <c r="AQ2999">
        <v>2100</v>
      </c>
      <c r="AR2999" t="s">
        <v>118</v>
      </c>
      <c r="AS2999">
        <v>-78</v>
      </c>
      <c r="AT2999">
        <v>11</v>
      </c>
      <c r="AU2999">
        <v>64</v>
      </c>
      <c r="BC2999">
        <v>1200</v>
      </c>
      <c r="BD2999">
        <v>1</v>
      </c>
      <c r="BE2999" t="str">
        <f t="shared" si="140"/>
        <v xml:space="preserve">N215T   </v>
      </c>
      <c r="BF2999">
        <v>1</v>
      </c>
      <c r="BH2999">
        <v>0</v>
      </c>
      <c r="BI2999">
        <v>0</v>
      </c>
      <c r="BJ2999">
        <v>0</v>
      </c>
      <c r="BK2999">
        <v>2500</v>
      </c>
      <c r="BL2999">
        <v>400</v>
      </c>
      <c r="BM2999" t="s">
        <v>119</v>
      </c>
      <c r="BN2999">
        <v>1</v>
      </c>
      <c r="BO2999">
        <v>1</v>
      </c>
      <c r="BP2999">
        <v>1</v>
      </c>
      <c r="BQ2999">
        <v>0</v>
      </c>
      <c r="BT2999">
        <v>0</v>
      </c>
      <c r="BU2999">
        <v>0</v>
      </c>
      <c r="BV2999">
        <v>0</v>
      </c>
      <c r="CC2999" t="str">
        <f>"19:24:53.297"</f>
        <v>19:24:53.297</v>
      </c>
      <c r="CD2999" t="str">
        <f>"297138989"</f>
        <v>297138989</v>
      </c>
      <c r="CQ2999">
        <v>0</v>
      </c>
      <c r="CR2999">
        <v>2</v>
      </c>
      <c r="CS2999">
        <v>0</v>
      </c>
      <c r="CT2999">
        <v>2</v>
      </c>
      <c r="CU2999">
        <v>0</v>
      </c>
      <c r="CV2999">
        <v>6</v>
      </c>
      <c r="CW2999" t="s">
        <v>120</v>
      </c>
      <c r="CX2999">
        <v>257</v>
      </c>
      <c r="CY2999">
        <v>0</v>
      </c>
      <c r="CZ2999" t="s">
        <v>615</v>
      </c>
      <c r="DA2999" t="s">
        <v>616</v>
      </c>
      <c r="DD2999">
        <v>16211515</v>
      </c>
      <c r="DE2999" t="s">
        <v>123</v>
      </c>
    </row>
    <row r="3000" spans="1:109" x14ac:dyDescent="0.3">
      <c r="A3000" t="str">
        <f>"19:24:54.703"</f>
        <v>19:24:54.703</v>
      </c>
      <c r="B3000" t="s">
        <v>110</v>
      </c>
      <c r="C3000" t="str">
        <f t="shared" si="138"/>
        <v>ffdfd3c0</v>
      </c>
      <c r="D3000" t="s">
        <v>111</v>
      </c>
      <c r="E3000">
        <v>18</v>
      </c>
      <c r="F3000">
        <v>1018</v>
      </c>
      <c r="G3000" t="s">
        <v>112</v>
      </c>
      <c r="J3000" t="s">
        <v>113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R3000" t="s">
        <v>114</v>
      </c>
      <c r="S3000" t="str">
        <f>"19:24:54.477"</f>
        <v>19:24:54.477</v>
      </c>
      <c r="T3000" t="str">
        <f>"19:24:54.477"</f>
        <v>19:24:54.477</v>
      </c>
      <c r="U3000" t="str">
        <f t="shared" si="139"/>
        <v>a1cdbe</v>
      </c>
      <c r="V3000">
        <v>0</v>
      </c>
      <c r="W3000">
        <v>0</v>
      </c>
      <c r="X3000">
        <v>1</v>
      </c>
      <c r="Y3000">
        <v>0</v>
      </c>
      <c r="Z3000">
        <v>0</v>
      </c>
      <c r="AB3000">
        <v>0</v>
      </c>
      <c r="AC3000">
        <v>9</v>
      </c>
      <c r="AD3000">
        <v>3</v>
      </c>
      <c r="AE3000">
        <v>0</v>
      </c>
      <c r="AF3000">
        <v>9</v>
      </c>
      <c r="AG3000" t="s">
        <v>158</v>
      </c>
      <c r="AH3000">
        <v>0</v>
      </c>
      <c r="AI3000">
        <v>3</v>
      </c>
      <c r="AJ3000">
        <v>1</v>
      </c>
      <c r="AK3000">
        <v>0</v>
      </c>
      <c r="AL3000" t="s">
        <v>5644</v>
      </c>
      <c r="AM3000">
        <v>46.984726999999999</v>
      </c>
      <c r="AN3000" t="s">
        <v>5645</v>
      </c>
      <c r="AO3000">
        <v>-123.521068</v>
      </c>
      <c r="AP3000">
        <v>100</v>
      </c>
      <c r="AQ3000">
        <v>2100</v>
      </c>
      <c r="AR3000" t="s">
        <v>118</v>
      </c>
      <c r="AS3000">
        <v>-78</v>
      </c>
      <c r="AT3000">
        <v>11</v>
      </c>
      <c r="AU3000">
        <v>64</v>
      </c>
      <c r="BC3000">
        <v>1200</v>
      </c>
      <c r="BD3000">
        <v>1</v>
      </c>
      <c r="BE3000" t="str">
        <f t="shared" si="140"/>
        <v xml:space="preserve">N215T   </v>
      </c>
      <c r="BF3000">
        <v>1</v>
      </c>
      <c r="BH3000">
        <v>0</v>
      </c>
      <c r="BI3000">
        <v>0</v>
      </c>
      <c r="BJ3000">
        <v>0</v>
      </c>
      <c r="BK3000">
        <v>2500</v>
      </c>
      <c r="BL3000">
        <v>400</v>
      </c>
      <c r="BM3000" t="s">
        <v>119</v>
      </c>
      <c r="BN3000">
        <v>1</v>
      </c>
      <c r="BO3000">
        <v>1</v>
      </c>
      <c r="BP3000">
        <v>1</v>
      </c>
      <c r="BQ3000">
        <v>0</v>
      </c>
      <c r="BT3000">
        <v>0</v>
      </c>
      <c r="BU3000">
        <v>0</v>
      </c>
      <c r="BV3000">
        <v>0</v>
      </c>
      <c r="CC3000" t="str">
        <f>"19:24:54.484"</f>
        <v>19:24:54.484</v>
      </c>
      <c r="CD3000" t="str">
        <f>"482022206"</f>
        <v>482022206</v>
      </c>
      <c r="CQ3000">
        <v>0</v>
      </c>
      <c r="CR3000">
        <v>2</v>
      </c>
      <c r="CS3000">
        <v>0</v>
      </c>
      <c r="CT3000">
        <v>2</v>
      </c>
      <c r="CU3000">
        <v>0</v>
      </c>
      <c r="CV3000">
        <v>6</v>
      </c>
      <c r="CW3000" t="s">
        <v>120</v>
      </c>
      <c r="CX3000">
        <v>257</v>
      </c>
      <c r="CY3000">
        <v>0</v>
      </c>
      <c r="CZ3000" t="s">
        <v>615</v>
      </c>
      <c r="DA3000" t="s">
        <v>616</v>
      </c>
      <c r="DD3000">
        <v>16212105</v>
      </c>
      <c r="DE3000" t="s">
        <v>123</v>
      </c>
    </row>
    <row r="3001" spans="1:109" x14ac:dyDescent="0.3">
      <c r="A3001" t="str">
        <f>"19:24:55.813"</f>
        <v>19:24:55.813</v>
      </c>
      <c r="B3001" t="s">
        <v>110</v>
      </c>
      <c r="C3001" t="str">
        <f t="shared" si="138"/>
        <v>ffdfd3c0</v>
      </c>
      <c r="D3001" t="s">
        <v>111</v>
      </c>
      <c r="E3001">
        <v>18</v>
      </c>
      <c r="F3001">
        <v>1018</v>
      </c>
      <c r="G3001" t="s">
        <v>112</v>
      </c>
      <c r="J3001" t="s">
        <v>113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R3001" t="s">
        <v>114</v>
      </c>
      <c r="S3001" t="str">
        <f>"19:24:55.531"</f>
        <v>19:24:55.531</v>
      </c>
      <c r="T3001" t="str">
        <f>"19:24:55.133"</f>
        <v>19:24:55.133</v>
      </c>
      <c r="U3001" t="str">
        <f t="shared" si="139"/>
        <v>a1cdbe</v>
      </c>
      <c r="V3001">
        <v>0</v>
      </c>
      <c r="W3001">
        <v>0</v>
      </c>
      <c r="X3001">
        <v>1</v>
      </c>
      <c r="Y3001">
        <v>0</v>
      </c>
      <c r="Z3001">
        <v>0</v>
      </c>
      <c r="AB3001">
        <v>0</v>
      </c>
      <c r="AC3001">
        <v>9</v>
      </c>
      <c r="AD3001">
        <v>3</v>
      </c>
      <c r="AE3001">
        <v>0</v>
      </c>
      <c r="AF3001">
        <v>9</v>
      </c>
      <c r="AG3001" t="s">
        <v>158</v>
      </c>
      <c r="AH3001">
        <v>0</v>
      </c>
      <c r="AI3001">
        <v>3</v>
      </c>
      <c r="AJ3001">
        <v>1</v>
      </c>
      <c r="AK3001">
        <v>0</v>
      </c>
      <c r="AL3001" t="s">
        <v>905</v>
      </c>
      <c r="AM3001">
        <v>46.984791999999999</v>
      </c>
      <c r="AN3001" t="s">
        <v>5646</v>
      </c>
      <c r="AO3001">
        <v>-123.52160499999999</v>
      </c>
      <c r="AP3001">
        <v>100</v>
      </c>
      <c r="AQ3001">
        <v>2100</v>
      </c>
      <c r="AR3001" t="s">
        <v>118</v>
      </c>
      <c r="AS3001">
        <v>-77</v>
      </c>
      <c r="AT3001">
        <v>11</v>
      </c>
      <c r="AU3001">
        <v>64</v>
      </c>
      <c r="BC3001">
        <v>1200</v>
      </c>
      <c r="BD3001">
        <v>1</v>
      </c>
      <c r="BE3001" t="str">
        <f t="shared" si="140"/>
        <v xml:space="preserve">N215T   </v>
      </c>
      <c r="BF3001">
        <v>1</v>
      </c>
      <c r="BH3001">
        <v>0</v>
      </c>
      <c r="BI3001">
        <v>0</v>
      </c>
      <c r="BJ3001">
        <v>0</v>
      </c>
      <c r="BK3001">
        <v>2500</v>
      </c>
      <c r="BL3001">
        <v>400</v>
      </c>
      <c r="BM3001" t="s">
        <v>119</v>
      </c>
      <c r="BN3001">
        <v>1</v>
      </c>
      <c r="BO3001">
        <v>1</v>
      </c>
      <c r="BP3001">
        <v>1</v>
      </c>
      <c r="BQ3001">
        <v>0</v>
      </c>
      <c r="BT3001">
        <v>0</v>
      </c>
      <c r="BU3001">
        <v>0</v>
      </c>
      <c r="BV3001">
        <v>0</v>
      </c>
      <c r="CC3001" t="str">
        <f>"19:24:55.531"</f>
        <v>19:24:55.531</v>
      </c>
      <c r="CD3001" t="str">
        <f>"531918738"</f>
        <v>531918738</v>
      </c>
      <c r="CQ3001">
        <v>0</v>
      </c>
      <c r="CR3001">
        <v>2</v>
      </c>
      <c r="CS3001">
        <v>0</v>
      </c>
      <c r="CT3001">
        <v>2</v>
      </c>
      <c r="CU3001">
        <v>0</v>
      </c>
      <c r="CV3001">
        <v>6</v>
      </c>
      <c r="CW3001" t="s">
        <v>120</v>
      </c>
      <c r="CX3001">
        <v>257</v>
      </c>
      <c r="CY3001">
        <v>0</v>
      </c>
      <c r="CZ3001" t="s">
        <v>615</v>
      </c>
      <c r="DA3001" t="s">
        <v>616</v>
      </c>
      <c r="DD3001">
        <v>16212635</v>
      </c>
      <c r="DE3001" t="s">
        <v>123</v>
      </c>
    </row>
    <row r="3002" spans="1:109" x14ac:dyDescent="0.3">
      <c r="A3002" t="str">
        <f>"19:24:56.664"</f>
        <v>19:24:56.664</v>
      </c>
      <c r="B3002" t="s">
        <v>110</v>
      </c>
      <c r="C3002" t="str">
        <f t="shared" si="138"/>
        <v>ffdfd3c0</v>
      </c>
      <c r="D3002" t="s">
        <v>111</v>
      </c>
      <c r="E3002">
        <v>18</v>
      </c>
      <c r="F3002">
        <v>1018</v>
      </c>
      <c r="G3002" t="s">
        <v>112</v>
      </c>
      <c r="J3002" t="s">
        <v>113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R3002" t="s">
        <v>114</v>
      </c>
      <c r="S3002" t="str">
        <f>"19:24:56.430"</f>
        <v>19:24:56.430</v>
      </c>
      <c r="T3002" t="str">
        <f>"19:24:56.031"</f>
        <v>19:24:56.031</v>
      </c>
      <c r="U3002" t="str">
        <f t="shared" si="139"/>
        <v>a1cdbe</v>
      </c>
      <c r="V3002">
        <v>0</v>
      </c>
      <c r="W3002">
        <v>0</v>
      </c>
      <c r="X3002">
        <v>1</v>
      </c>
      <c r="Y3002">
        <v>0</v>
      </c>
      <c r="Z3002">
        <v>0</v>
      </c>
      <c r="AB3002">
        <v>0</v>
      </c>
      <c r="AC3002">
        <v>9</v>
      </c>
      <c r="AD3002">
        <v>3</v>
      </c>
      <c r="AE3002">
        <v>0</v>
      </c>
      <c r="AF3002">
        <v>9</v>
      </c>
      <c r="AG3002" t="s">
        <v>158</v>
      </c>
      <c r="AH3002">
        <v>0</v>
      </c>
      <c r="AI3002">
        <v>3</v>
      </c>
      <c r="AJ3002">
        <v>1</v>
      </c>
      <c r="AK3002">
        <v>0</v>
      </c>
      <c r="AL3002" t="s">
        <v>5647</v>
      </c>
      <c r="AM3002">
        <v>46.984813000000003</v>
      </c>
      <c r="AN3002" t="s">
        <v>5648</v>
      </c>
      <c r="AO3002">
        <v>-123.522034</v>
      </c>
      <c r="AP3002">
        <v>100</v>
      </c>
      <c r="AQ3002">
        <v>2100</v>
      </c>
      <c r="AR3002" t="s">
        <v>118</v>
      </c>
      <c r="AS3002">
        <v>-77</v>
      </c>
      <c r="AT3002">
        <v>12</v>
      </c>
      <c r="AU3002">
        <v>64</v>
      </c>
      <c r="BC3002">
        <v>1200</v>
      </c>
      <c r="BD3002">
        <v>1</v>
      </c>
      <c r="BE3002" t="str">
        <f t="shared" si="140"/>
        <v xml:space="preserve">N215T   </v>
      </c>
      <c r="BF3002">
        <v>1</v>
      </c>
      <c r="BH3002">
        <v>0</v>
      </c>
      <c r="BI3002">
        <v>0</v>
      </c>
      <c r="BJ3002">
        <v>0</v>
      </c>
      <c r="BK3002">
        <v>2500</v>
      </c>
      <c r="BL3002">
        <v>400</v>
      </c>
      <c r="BM3002" t="s">
        <v>119</v>
      </c>
      <c r="BN3002">
        <v>1</v>
      </c>
      <c r="BO3002">
        <v>1</v>
      </c>
      <c r="BP3002">
        <v>1</v>
      </c>
      <c r="BQ3002">
        <v>0</v>
      </c>
      <c r="BT3002">
        <v>0</v>
      </c>
      <c r="BU3002">
        <v>0</v>
      </c>
      <c r="BV3002">
        <v>0</v>
      </c>
      <c r="CC3002" t="str">
        <f>"19:24:56.430"</f>
        <v>19:24:56.430</v>
      </c>
      <c r="CD3002" t="str">
        <f>"431830075"</f>
        <v>431830075</v>
      </c>
      <c r="CQ3002">
        <v>0</v>
      </c>
      <c r="CR3002">
        <v>2</v>
      </c>
      <c r="CS3002">
        <v>0</v>
      </c>
      <c r="CT3002">
        <v>2</v>
      </c>
      <c r="CU3002">
        <v>0</v>
      </c>
      <c r="CV3002">
        <v>6</v>
      </c>
      <c r="CW3002" t="s">
        <v>120</v>
      </c>
      <c r="CX3002">
        <v>257</v>
      </c>
      <c r="CY3002">
        <v>0</v>
      </c>
      <c r="CZ3002" t="s">
        <v>615</v>
      </c>
      <c r="DA3002" t="s">
        <v>616</v>
      </c>
      <c r="DD3002">
        <v>16213140</v>
      </c>
      <c r="DE3002" t="s">
        <v>123</v>
      </c>
    </row>
    <row r="3003" spans="1:109" x14ac:dyDescent="0.3">
      <c r="A3003" t="str">
        <f>"19:24:57.672"</f>
        <v>19:24:57.672</v>
      </c>
      <c r="B3003" t="s">
        <v>110</v>
      </c>
      <c r="C3003" t="str">
        <f t="shared" si="138"/>
        <v>ffdfd3c0</v>
      </c>
      <c r="D3003" t="s">
        <v>111</v>
      </c>
      <c r="E3003">
        <v>18</v>
      </c>
      <c r="F3003">
        <v>1018</v>
      </c>
      <c r="G3003" t="s">
        <v>112</v>
      </c>
      <c r="J3003" t="s">
        <v>113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R3003" t="s">
        <v>114</v>
      </c>
      <c r="S3003" t="str">
        <f>"19:24:57.430"</f>
        <v>19:24:57.430</v>
      </c>
      <c r="T3003" t="str">
        <f>"19:24:56.930"</f>
        <v>19:24:56.930</v>
      </c>
      <c r="U3003" t="str">
        <f t="shared" si="139"/>
        <v>a1cdbe</v>
      </c>
      <c r="V3003">
        <v>0</v>
      </c>
      <c r="W3003">
        <v>0</v>
      </c>
      <c r="X3003">
        <v>1</v>
      </c>
      <c r="Y3003">
        <v>0</v>
      </c>
      <c r="Z3003">
        <v>0</v>
      </c>
      <c r="AB3003">
        <v>0</v>
      </c>
      <c r="AC3003">
        <v>9</v>
      </c>
      <c r="AD3003">
        <v>3</v>
      </c>
      <c r="AE3003">
        <v>0</v>
      </c>
      <c r="AF3003">
        <v>9</v>
      </c>
      <c r="AG3003" t="s">
        <v>158</v>
      </c>
      <c r="AH3003">
        <v>0</v>
      </c>
      <c r="AI3003">
        <v>3</v>
      </c>
      <c r="AJ3003">
        <v>1</v>
      </c>
      <c r="AK3003">
        <v>0</v>
      </c>
      <c r="AL3003" t="s">
        <v>5649</v>
      </c>
      <c r="AM3003">
        <v>46.984898999999999</v>
      </c>
      <c r="AN3003" t="s">
        <v>5650</v>
      </c>
      <c r="AO3003">
        <v>-123.522592</v>
      </c>
      <c r="AP3003">
        <v>100</v>
      </c>
      <c r="AQ3003">
        <v>2100</v>
      </c>
      <c r="AR3003" t="s">
        <v>118</v>
      </c>
      <c r="AS3003">
        <v>-77</v>
      </c>
      <c r="AT3003">
        <v>12</v>
      </c>
      <c r="AU3003">
        <v>64</v>
      </c>
      <c r="BC3003">
        <v>1200</v>
      </c>
      <c r="BD3003">
        <v>1</v>
      </c>
      <c r="BE3003" t="str">
        <f t="shared" si="140"/>
        <v xml:space="preserve">N215T   </v>
      </c>
      <c r="BF3003">
        <v>1</v>
      </c>
      <c r="BH3003">
        <v>0</v>
      </c>
      <c r="BI3003">
        <v>0</v>
      </c>
      <c r="BJ3003">
        <v>0</v>
      </c>
      <c r="BK3003">
        <v>2500</v>
      </c>
      <c r="BL3003">
        <v>400</v>
      </c>
      <c r="BM3003" t="s">
        <v>119</v>
      </c>
      <c r="BN3003">
        <v>1</v>
      </c>
      <c r="BO3003">
        <v>1</v>
      </c>
      <c r="BP3003">
        <v>1</v>
      </c>
      <c r="BQ3003">
        <v>0</v>
      </c>
      <c r="BT3003">
        <v>0</v>
      </c>
      <c r="BU3003">
        <v>0</v>
      </c>
      <c r="BV3003">
        <v>0</v>
      </c>
      <c r="CC3003" t="str">
        <f>"19:24:57.438"</f>
        <v>19:24:57.438</v>
      </c>
      <c r="CD3003" t="str">
        <f>"436777256"</f>
        <v>436777256</v>
      </c>
      <c r="CQ3003">
        <v>0</v>
      </c>
      <c r="CR3003">
        <v>2</v>
      </c>
      <c r="CS3003">
        <v>0</v>
      </c>
      <c r="CT3003">
        <v>2</v>
      </c>
      <c r="CU3003">
        <v>0</v>
      </c>
      <c r="CV3003">
        <v>4</v>
      </c>
      <c r="CW3003" t="s">
        <v>120</v>
      </c>
      <c r="CX3003">
        <v>261</v>
      </c>
      <c r="CY3003">
        <v>2</v>
      </c>
      <c r="CZ3003" t="s">
        <v>121</v>
      </c>
      <c r="DA3003" t="s">
        <v>122</v>
      </c>
      <c r="DD3003">
        <v>16132586</v>
      </c>
      <c r="DE3003" t="s">
        <v>123</v>
      </c>
    </row>
    <row r="3004" spans="1:109" x14ac:dyDescent="0.3">
      <c r="A3004" t="str">
        <f>"19:24:58.625"</f>
        <v>19:24:58.625</v>
      </c>
      <c r="B3004" t="s">
        <v>110</v>
      </c>
      <c r="C3004" t="str">
        <f t="shared" si="138"/>
        <v>ffdfd3c0</v>
      </c>
      <c r="D3004" t="s">
        <v>111</v>
      </c>
      <c r="E3004">
        <v>18</v>
      </c>
      <c r="F3004">
        <v>1018</v>
      </c>
      <c r="G3004" t="s">
        <v>112</v>
      </c>
      <c r="J3004" t="s">
        <v>113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R3004" t="s">
        <v>114</v>
      </c>
      <c r="S3004" t="str">
        <f>"19:24:58.391"</f>
        <v>19:24:58.391</v>
      </c>
      <c r="T3004" t="str">
        <f>"19:24:58.094"</f>
        <v>19:24:58.094</v>
      </c>
      <c r="U3004" t="str">
        <f t="shared" si="139"/>
        <v>a1cdbe</v>
      </c>
      <c r="V3004">
        <v>0</v>
      </c>
      <c r="W3004">
        <v>0</v>
      </c>
      <c r="X3004">
        <v>1</v>
      </c>
      <c r="Y3004">
        <v>0</v>
      </c>
      <c r="Z3004">
        <v>0</v>
      </c>
      <c r="AB3004">
        <v>0</v>
      </c>
      <c r="AC3004">
        <v>9</v>
      </c>
      <c r="AD3004">
        <v>3</v>
      </c>
      <c r="AE3004">
        <v>0</v>
      </c>
      <c r="AF3004">
        <v>9</v>
      </c>
      <c r="AG3004" t="s">
        <v>158</v>
      </c>
      <c r="AH3004">
        <v>0</v>
      </c>
      <c r="AI3004">
        <v>3</v>
      </c>
      <c r="AJ3004">
        <v>1</v>
      </c>
      <c r="AK3004">
        <v>0</v>
      </c>
      <c r="AL3004" t="s">
        <v>5651</v>
      </c>
      <c r="AM3004">
        <v>46.984963</v>
      </c>
      <c r="AN3004" t="s">
        <v>5652</v>
      </c>
      <c r="AO3004">
        <v>-123.523128</v>
      </c>
      <c r="AP3004">
        <v>100</v>
      </c>
      <c r="AQ3004">
        <v>2100</v>
      </c>
      <c r="AR3004" t="s">
        <v>118</v>
      </c>
      <c r="AS3004">
        <v>-77</v>
      </c>
      <c r="AT3004">
        <v>12</v>
      </c>
      <c r="AU3004">
        <v>0</v>
      </c>
      <c r="BC3004">
        <v>1200</v>
      </c>
      <c r="BD3004">
        <v>1</v>
      </c>
      <c r="BE3004" t="str">
        <f t="shared" si="140"/>
        <v xml:space="preserve">N215T   </v>
      </c>
      <c r="BF3004">
        <v>1</v>
      </c>
      <c r="BH3004">
        <v>0</v>
      </c>
      <c r="BI3004">
        <v>0</v>
      </c>
      <c r="BJ3004">
        <v>0</v>
      </c>
      <c r="BK3004">
        <v>2500</v>
      </c>
      <c r="BL3004">
        <v>400</v>
      </c>
      <c r="BM3004" t="s">
        <v>119</v>
      </c>
      <c r="BN3004">
        <v>1</v>
      </c>
      <c r="BO3004">
        <v>1</v>
      </c>
      <c r="BP3004">
        <v>1</v>
      </c>
      <c r="BQ3004">
        <v>0</v>
      </c>
      <c r="BT3004">
        <v>0</v>
      </c>
      <c r="BU3004">
        <v>0</v>
      </c>
      <c r="BV3004">
        <v>0</v>
      </c>
      <c r="CC3004" t="str">
        <f>"19:24:58.398"</f>
        <v>19:24:58.398</v>
      </c>
      <c r="CD3004" t="str">
        <f>"396636404"</f>
        <v>396636404</v>
      </c>
      <c r="CQ3004">
        <v>0</v>
      </c>
      <c r="CR3004">
        <v>2</v>
      </c>
      <c r="CS3004">
        <v>0</v>
      </c>
      <c r="CT3004">
        <v>2</v>
      </c>
      <c r="CU3004">
        <v>0</v>
      </c>
      <c r="CV3004">
        <v>6</v>
      </c>
      <c r="CW3004" t="s">
        <v>120</v>
      </c>
      <c r="CX3004">
        <v>257</v>
      </c>
      <c r="CY3004">
        <v>0</v>
      </c>
      <c r="CZ3004" t="s">
        <v>615</v>
      </c>
      <c r="DA3004" t="s">
        <v>616</v>
      </c>
      <c r="DD3004">
        <v>16214084</v>
      </c>
      <c r="DE3004" t="s">
        <v>123</v>
      </c>
    </row>
    <row r="3005" spans="1:109" x14ac:dyDescent="0.3">
      <c r="A3005" t="str">
        <f>"19:24:59.781"</f>
        <v>19:24:59.781</v>
      </c>
      <c r="B3005" t="s">
        <v>110</v>
      </c>
      <c r="C3005" t="str">
        <f t="shared" si="138"/>
        <v>ffdfd3c0</v>
      </c>
      <c r="D3005" t="s">
        <v>111</v>
      </c>
      <c r="E3005">
        <v>18</v>
      </c>
      <c r="F3005">
        <v>1018</v>
      </c>
      <c r="G3005" t="s">
        <v>112</v>
      </c>
      <c r="J3005" t="s">
        <v>113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R3005" t="s">
        <v>114</v>
      </c>
      <c r="S3005" t="str">
        <f>"19:24:59.531"</f>
        <v>19:24:59.531</v>
      </c>
      <c r="T3005" t="str">
        <f>"19:24:59.531"</f>
        <v>19:24:59.531</v>
      </c>
      <c r="U3005" t="str">
        <f t="shared" si="139"/>
        <v>a1cdbe</v>
      </c>
      <c r="V3005">
        <v>0</v>
      </c>
      <c r="W3005">
        <v>0</v>
      </c>
      <c r="X3005">
        <v>1</v>
      </c>
      <c r="Y3005">
        <v>0</v>
      </c>
      <c r="Z3005">
        <v>0</v>
      </c>
      <c r="AB3005">
        <v>0</v>
      </c>
      <c r="AC3005">
        <v>9</v>
      </c>
      <c r="AD3005">
        <v>3</v>
      </c>
      <c r="AE3005">
        <v>0</v>
      </c>
      <c r="AF3005">
        <v>9</v>
      </c>
      <c r="AG3005" t="s">
        <v>158</v>
      </c>
      <c r="AH3005">
        <v>0</v>
      </c>
      <c r="AI3005">
        <v>3</v>
      </c>
      <c r="AJ3005">
        <v>1</v>
      </c>
      <c r="AK3005">
        <v>0</v>
      </c>
      <c r="AL3005" t="s">
        <v>5653</v>
      </c>
      <c r="AM3005">
        <v>46.984985000000002</v>
      </c>
      <c r="AN3005" t="s">
        <v>5654</v>
      </c>
      <c r="AO3005">
        <v>-123.523729</v>
      </c>
      <c r="AP3005">
        <v>100</v>
      </c>
      <c r="AQ3005">
        <v>2100</v>
      </c>
      <c r="AR3005" t="s">
        <v>118</v>
      </c>
      <c r="AS3005">
        <v>-77</v>
      </c>
      <c r="AT3005">
        <v>13</v>
      </c>
      <c r="AU3005">
        <v>0</v>
      </c>
      <c r="BC3005">
        <v>1200</v>
      </c>
      <c r="BD3005">
        <v>1</v>
      </c>
      <c r="BE3005" t="str">
        <f t="shared" si="140"/>
        <v xml:space="preserve">N215T   </v>
      </c>
      <c r="BF3005">
        <v>1</v>
      </c>
      <c r="BH3005">
        <v>0</v>
      </c>
      <c r="BI3005">
        <v>0</v>
      </c>
      <c r="BJ3005">
        <v>0</v>
      </c>
      <c r="BK3005">
        <v>2500</v>
      </c>
      <c r="BL3005">
        <v>400</v>
      </c>
      <c r="BM3005" t="s">
        <v>119</v>
      </c>
      <c r="BN3005">
        <v>1</v>
      </c>
      <c r="BO3005">
        <v>1</v>
      </c>
      <c r="BP3005">
        <v>1</v>
      </c>
      <c r="BQ3005">
        <v>0</v>
      </c>
      <c r="BT3005">
        <v>0</v>
      </c>
      <c r="BU3005">
        <v>0</v>
      </c>
      <c r="BV3005">
        <v>0</v>
      </c>
      <c r="CC3005" t="str">
        <f>"19:24:59.539"</f>
        <v>19:24:59.539</v>
      </c>
      <c r="CD3005" t="str">
        <f>"536524047"</f>
        <v>536524047</v>
      </c>
      <c r="CQ3005">
        <v>0</v>
      </c>
      <c r="CR3005">
        <v>2</v>
      </c>
      <c r="CS3005">
        <v>0</v>
      </c>
      <c r="CT3005">
        <v>2</v>
      </c>
      <c r="CU3005">
        <v>0</v>
      </c>
      <c r="CV3005">
        <v>6</v>
      </c>
      <c r="CW3005" t="s">
        <v>120</v>
      </c>
      <c r="CX3005">
        <v>257</v>
      </c>
      <c r="CY3005">
        <v>0</v>
      </c>
      <c r="CZ3005" t="s">
        <v>615</v>
      </c>
      <c r="DA3005" t="s">
        <v>616</v>
      </c>
      <c r="DD3005">
        <v>16214643</v>
      </c>
      <c r="DE3005" t="s">
        <v>123</v>
      </c>
    </row>
    <row r="3006" spans="1:109" x14ac:dyDescent="0.3">
      <c r="A3006" t="str">
        <f>"19:25:00.789"</f>
        <v>19:25:00.789</v>
      </c>
      <c r="B3006" t="s">
        <v>110</v>
      </c>
      <c r="C3006" t="str">
        <f t="shared" si="138"/>
        <v>ffdfd3c0</v>
      </c>
      <c r="D3006" t="s">
        <v>111</v>
      </c>
      <c r="E3006">
        <v>18</v>
      </c>
      <c r="F3006">
        <v>1018</v>
      </c>
      <c r="G3006" t="s">
        <v>112</v>
      </c>
      <c r="J3006" t="s">
        <v>113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R3006" t="s">
        <v>114</v>
      </c>
      <c r="S3006" t="str">
        <f>"19:25:00.523"</f>
        <v>19:25:00.523</v>
      </c>
      <c r="T3006" t="str">
        <f>"19:25:00.023"</f>
        <v>19:25:00.023</v>
      </c>
      <c r="U3006" t="str">
        <f t="shared" si="139"/>
        <v>a1cdbe</v>
      </c>
      <c r="V3006">
        <v>0</v>
      </c>
      <c r="W3006">
        <v>0</v>
      </c>
      <c r="X3006">
        <v>1</v>
      </c>
      <c r="Y3006">
        <v>0</v>
      </c>
      <c r="Z3006">
        <v>0</v>
      </c>
      <c r="AB3006">
        <v>0</v>
      </c>
      <c r="AC3006">
        <v>9</v>
      </c>
      <c r="AD3006">
        <v>3</v>
      </c>
      <c r="AE3006">
        <v>0</v>
      </c>
      <c r="AF3006">
        <v>9</v>
      </c>
      <c r="AG3006" t="s">
        <v>158</v>
      </c>
      <c r="AH3006">
        <v>0</v>
      </c>
      <c r="AI3006">
        <v>3</v>
      </c>
      <c r="AJ3006">
        <v>1</v>
      </c>
      <c r="AK3006">
        <v>0</v>
      </c>
      <c r="AL3006" t="s">
        <v>5655</v>
      </c>
      <c r="AM3006">
        <v>46.985092000000002</v>
      </c>
      <c r="AN3006" t="s">
        <v>5656</v>
      </c>
      <c r="AO3006">
        <v>-123.52422199999999</v>
      </c>
      <c r="AP3006">
        <v>100</v>
      </c>
      <c r="AQ3006">
        <v>2100</v>
      </c>
      <c r="AR3006" t="s">
        <v>118</v>
      </c>
      <c r="AS3006">
        <v>-77</v>
      </c>
      <c r="AT3006">
        <v>13</v>
      </c>
      <c r="AU3006">
        <v>0</v>
      </c>
      <c r="BC3006">
        <v>1200</v>
      </c>
      <c r="BD3006">
        <v>1</v>
      </c>
      <c r="BE3006" t="str">
        <f t="shared" si="140"/>
        <v xml:space="preserve">N215T   </v>
      </c>
      <c r="BF3006">
        <v>1</v>
      </c>
      <c r="BH3006">
        <v>0</v>
      </c>
      <c r="BI3006">
        <v>0</v>
      </c>
      <c r="BJ3006">
        <v>0</v>
      </c>
      <c r="BK3006">
        <v>2500</v>
      </c>
      <c r="BL3006">
        <v>400</v>
      </c>
      <c r="BM3006" t="s">
        <v>119</v>
      </c>
      <c r="BN3006">
        <v>1</v>
      </c>
      <c r="BO3006">
        <v>1</v>
      </c>
      <c r="BP3006">
        <v>1</v>
      </c>
      <c r="BQ3006">
        <v>0</v>
      </c>
      <c r="BT3006">
        <v>0</v>
      </c>
      <c r="BU3006">
        <v>0</v>
      </c>
      <c r="BV3006">
        <v>0</v>
      </c>
      <c r="CC3006" t="str">
        <f>"19:25:00.523"</f>
        <v>19:25:00.523</v>
      </c>
      <c r="CD3006" t="str">
        <f>"526426488"</f>
        <v>526426488</v>
      </c>
      <c r="CQ3006">
        <v>0</v>
      </c>
      <c r="CR3006">
        <v>2</v>
      </c>
      <c r="CS3006">
        <v>0</v>
      </c>
      <c r="CT3006">
        <v>2</v>
      </c>
      <c r="CU3006">
        <v>0</v>
      </c>
      <c r="CV3006">
        <v>6</v>
      </c>
      <c r="CW3006" t="s">
        <v>120</v>
      </c>
      <c r="CX3006">
        <v>257</v>
      </c>
      <c r="CY3006">
        <v>0</v>
      </c>
      <c r="CZ3006" t="s">
        <v>615</v>
      </c>
      <c r="DA3006" t="s">
        <v>616</v>
      </c>
      <c r="DD3006">
        <v>16215151</v>
      </c>
      <c r="DE3006" t="s">
        <v>123</v>
      </c>
    </row>
    <row r="3007" spans="1:109" x14ac:dyDescent="0.3">
      <c r="A3007" t="str">
        <f>"19:25:01.797"</f>
        <v>19:25:01.797</v>
      </c>
      <c r="B3007" t="s">
        <v>110</v>
      </c>
      <c r="C3007" t="str">
        <f t="shared" si="138"/>
        <v>ffdfd3c0</v>
      </c>
      <c r="D3007" t="s">
        <v>111</v>
      </c>
      <c r="E3007">
        <v>18</v>
      </c>
      <c r="F3007">
        <v>1018</v>
      </c>
      <c r="G3007" t="s">
        <v>112</v>
      </c>
      <c r="J3007" t="s">
        <v>113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R3007" t="s">
        <v>114</v>
      </c>
      <c r="S3007" t="str">
        <f>"19:25:01.555"</f>
        <v>19:25:01.555</v>
      </c>
      <c r="T3007" t="str">
        <f>"19:25:01.156"</f>
        <v>19:25:01.156</v>
      </c>
      <c r="U3007" t="str">
        <f t="shared" si="139"/>
        <v>a1cdbe</v>
      </c>
      <c r="V3007">
        <v>0</v>
      </c>
      <c r="W3007">
        <v>0</v>
      </c>
      <c r="X3007">
        <v>1</v>
      </c>
      <c r="Y3007">
        <v>0</v>
      </c>
      <c r="Z3007">
        <v>0</v>
      </c>
      <c r="AB3007">
        <v>0</v>
      </c>
      <c r="AC3007">
        <v>9</v>
      </c>
      <c r="AD3007">
        <v>3</v>
      </c>
      <c r="AE3007">
        <v>0</v>
      </c>
      <c r="AF3007">
        <v>9</v>
      </c>
      <c r="AG3007" t="s">
        <v>158</v>
      </c>
      <c r="AH3007">
        <v>0</v>
      </c>
      <c r="AI3007">
        <v>3</v>
      </c>
      <c r="AJ3007">
        <v>1</v>
      </c>
      <c r="AK3007">
        <v>0</v>
      </c>
      <c r="AL3007" t="s">
        <v>5657</v>
      </c>
      <c r="AM3007">
        <v>46.985135</v>
      </c>
      <c r="AN3007" t="s">
        <v>5658</v>
      </c>
      <c r="AO3007">
        <v>-123.52478000000001</v>
      </c>
      <c r="AP3007">
        <v>100</v>
      </c>
      <c r="AQ3007">
        <v>2100</v>
      </c>
      <c r="AR3007" t="s">
        <v>118</v>
      </c>
      <c r="AS3007">
        <v>-77</v>
      </c>
      <c r="AT3007">
        <v>13</v>
      </c>
      <c r="AU3007">
        <v>0</v>
      </c>
      <c r="BC3007">
        <v>1200</v>
      </c>
      <c r="BD3007">
        <v>1</v>
      </c>
      <c r="BE3007" t="str">
        <f t="shared" si="140"/>
        <v xml:space="preserve">N215T   </v>
      </c>
      <c r="BF3007">
        <v>1</v>
      </c>
      <c r="BH3007">
        <v>0</v>
      </c>
      <c r="BI3007">
        <v>0</v>
      </c>
      <c r="BJ3007">
        <v>0</v>
      </c>
      <c r="BK3007">
        <v>2500</v>
      </c>
      <c r="BL3007">
        <v>400</v>
      </c>
      <c r="BM3007" t="s">
        <v>119</v>
      </c>
      <c r="BN3007">
        <v>1</v>
      </c>
      <c r="BO3007">
        <v>1</v>
      </c>
      <c r="BP3007">
        <v>1</v>
      </c>
      <c r="BQ3007">
        <v>0</v>
      </c>
      <c r="BT3007">
        <v>0</v>
      </c>
      <c r="BU3007">
        <v>0</v>
      </c>
      <c r="BV3007">
        <v>0</v>
      </c>
      <c r="CC3007" t="str">
        <f>"19:25:01.563"</f>
        <v>19:25:01.563</v>
      </c>
      <c r="CD3007" t="str">
        <f>"561324498"</f>
        <v>561324498</v>
      </c>
      <c r="CQ3007">
        <v>0</v>
      </c>
      <c r="CR3007">
        <v>2</v>
      </c>
      <c r="CS3007">
        <v>0</v>
      </c>
      <c r="CT3007">
        <v>2</v>
      </c>
      <c r="CU3007">
        <v>0</v>
      </c>
      <c r="CV3007">
        <v>6</v>
      </c>
      <c r="CW3007" t="s">
        <v>120</v>
      </c>
      <c r="CX3007">
        <v>257</v>
      </c>
      <c r="CY3007">
        <v>0</v>
      </c>
      <c r="CZ3007" t="s">
        <v>615</v>
      </c>
      <c r="DA3007" t="s">
        <v>616</v>
      </c>
      <c r="DD3007">
        <v>16215691</v>
      </c>
      <c r="DE3007" t="s">
        <v>123</v>
      </c>
    </row>
    <row r="3008" spans="1:109" x14ac:dyDescent="0.3">
      <c r="A3008" t="str">
        <f>"19:25:02.750"</f>
        <v>19:25:02.750</v>
      </c>
      <c r="B3008" t="s">
        <v>110</v>
      </c>
      <c r="C3008" t="str">
        <f t="shared" si="138"/>
        <v>ffdfd3c0</v>
      </c>
      <c r="D3008" t="s">
        <v>111</v>
      </c>
      <c r="E3008">
        <v>18</v>
      </c>
      <c r="F3008">
        <v>1018</v>
      </c>
      <c r="G3008" t="s">
        <v>112</v>
      </c>
      <c r="J3008" t="s">
        <v>113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R3008" t="s">
        <v>114</v>
      </c>
      <c r="S3008" t="str">
        <f>"19:25:02.516"</f>
        <v>19:25:02.516</v>
      </c>
      <c r="T3008" t="str">
        <f>"19:25:02.117"</f>
        <v>19:25:02.117</v>
      </c>
      <c r="U3008" t="str">
        <f t="shared" si="139"/>
        <v>a1cdbe</v>
      </c>
      <c r="V3008">
        <v>0</v>
      </c>
      <c r="W3008">
        <v>0</v>
      </c>
      <c r="X3008">
        <v>1</v>
      </c>
      <c r="Y3008">
        <v>0</v>
      </c>
      <c r="Z3008">
        <v>0</v>
      </c>
      <c r="AB3008">
        <v>0</v>
      </c>
      <c r="AC3008">
        <v>9</v>
      </c>
      <c r="AD3008">
        <v>3</v>
      </c>
      <c r="AE3008">
        <v>0</v>
      </c>
      <c r="AF3008">
        <v>9</v>
      </c>
      <c r="AG3008" t="s">
        <v>158</v>
      </c>
      <c r="AH3008">
        <v>0</v>
      </c>
      <c r="AI3008">
        <v>3</v>
      </c>
      <c r="AJ3008">
        <v>1</v>
      </c>
      <c r="AK3008">
        <v>0</v>
      </c>
      <c r="AL3008" t="s">
        <v>903</v>
      </c>
      <c r="AM3008">
        <v>46.985177999999998</v>
      </c>
      <c r="AN3008" t="s">
        <v>5659</v>
      </c>
      <c r="AO3008">
        <v>-123.52525199999999</v>
      </c>
      <c r="AP3008">
        <v>100</v>
      </c>
      <c r="AQ3008">
        <v>2100</v>
      </c>
      <c r="AR3008" t="s">
        <v>118</v>
      </c>
      <c r="AS3008">
        <v>-78</v>
      </c>
      <c r="AT3008">
        <v>13</v>
      </c>
      <c r="AU3008">
        <v>0</v>
      </c>
      <c r="BC3008">
        <v>1200</v>
      </c>
      <c r="BD3008">
        <v>1</v>
      </c>
      <c r="BE3008" t="str">
        <f t="shared" si="140"/>
        <v xml:space="preserve">N215T   </v>
      </c>
      <c r="BF3008">
        <v>1</v>
      </c>
      <c r="BH3008">
        <v>0</v>
      </c>
      <c r="BI3008">
        <v>0</v>
      </c>
      <c r="BJ3008">
        <v>0</v>
      </c>
      <c r="BK3008">
        <v>2500</v>
      </c>
      <c r="BL3008">
        <v>400</v>
      </c>
      <c r="BM3008" t="s">
        <v>119</v>
      </c>
      <c r="BN3008">
        <v>1</v>
      </c>
      <c r="BO3008">
        <v>1</v>
      </c>
      <c r="BP3008">
        <v>1</v>
      </c>
      <c r="BQ3008">
        <v>0</v>
      </c>
      <c r="BT3008">
        <v>0</v>
      </c>
      <c r="BU3008">
        <v>0</v>
      </c>
      <c r="BV3008">
        <v>0</v>
      </c>
      <c r="CC3008" t="str">
        <f>"19:25:02.523"</f>
        <v>19:25:02.523</v>
      </c>
      <c r="CD3008" t="str">
        <f>"521229891"</f>
        <v>521229891</v>
      </c>
      <c r="CQ3008">
        <v>0</v>
      </c>
      <c r="CR3008">
        <v>2</v>
      </c>
      <c r="CS3008">
        <v>0</v>
      </c>
      <c r="CT3008">
        <v>2</v>
      </c>
      <c r="CU3008">
        <v>0</v>
      </c>
      <c r="CV3008">
        <v>6</v>
      </c>
      <c r="CW3008" t="s">
        <v>120</v>
      </c>
      <c r="CX3008">
        <v>257</v>
      </c>
      <c r="CY3008">
        <v>0</v>
      </c>
      <c r="CZ3008" t="s">
        <v>615</v>
      </c>
      <c r="DA3008" t="s">
        <v>616</v>
      </c>
      <c r="DD3008">
        <v>16216163</v>
      </c>
      <c r="DE3008" t="s">
        <v>123</v>
      </c>
    </row>
    <row r="3009" spans="1:109" x14ac:dyDescent="0.3">
      <c r="A3009" t="str">
        <f>"19:25:03.656"</f>
        <v>19:25:03.656</v>
      </c>
      <c r="B3009" t="s">
        <v>110</v>
      </c>
      <c r="C3009" t="str">
        <f t="shared" si="138"/>
        <v>ffdfd3c0</v>
      </c>
      <c r="D3009" t="s">
        <v>111</v>
      </c>
      <c r="E3009">
        <v>18</v>
      </c>
      <c r="F3009">
        <v>1018</v>
      </c>
      <c r="G3009" t="s">
        <v>112</v>
      </c>
      <c r="J3009" t="s">
        <v>113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R3009" t="s">
        <v>114</v>
      </c>
      <c r="S3009" t="str">
        <f>"19:25:03.414"</f>
        <v>19:25:03.414</v>
      </c>
      <c r="T3009" t="str">
        <f>"19:25:03.117"</f>
        <v>19:25:03.117</v>
      </c>
      <c r="U3009" t="str">
        <f t="shared" si="139"/>
        <v>a1cdbe</v>
      </c>
      <c r="V3009">
        <v>0</v>
      </c>
      <c r="W3009">
        <v>0</v>
      </c>
      <c r="X3009">
        <v>1</v>
      </c>
      <c r="Y3009">
        <v>0</v>
      </c>
      <c r="Z3009">
        <v>0</v>
      </c>
      <c r="AB3009">
        <v>0</v>
      </c>
      <c r="AC3009">
        <v>9</v>
      </c>
      <c r="AD3009">
        <v>3</v>
      </c>
      <c r="AE3009">
        <v>0</v>
      </c>
      <c r="AF3009">
        <v>9</v>
      </c>
      <c r="AG3009" t="s">
        <v>158</v>
      </c>
      <c r="AH3009">
        <v>0</v>
      </c>
      <c r="AI3009">
        <v>3</v>
      </c>
      <c r="AJ3009">
        <v>1</v>
      </c>
      <c r="AK3009">
        <v>0</v>
      </c>
      <c r="AL3009" t="s">
        <v>5660</v>
      </c>
      <c r="AM3009">
        <v>46.985264000000001</v>
      </c>
      <c r="AN3009" t="s">
        <v>5661</v>
      </c>
      <c r="AO3009">
        <v>-123.525767</v>
      </c>
      <c r="AP3009">
        <v>100</v>
      </c>
      <c r="AQ3009">
        <v>2100</v>
      </c>
      <c r="AR3009" t="s">
        <v>118</v>
      </c>
      <c r="AS3009">
        <v>-78</v>
      </c>
      <c r="AT3009">
        <v>13</v>
      </c>
      <c r="AU3009">
        <v>0</v>
      </c>
      <c r="BC3009">
        <v>1200</v>
      </c>
      <c r="BD3009">
        <v>1</v>
      </c>
      <c r="BE3009" t="str">
        <f t="shared" si="140"/>
        <v xml:space="preserve">N215T   </v>
      </c>
      <c r="BF3009">
        <v>1</v>
      </c>
      <c r="BH3009">
        <v>0</v>
      </c>
      <c r="BI3009">
        <v>0</v>
      </c>
      <c r="BJ3009">
        <v>0</v>
      </c>
      <c r="BK3009">
        <v>2500</v>
      </c>
      <c r="BL3009">
        <v>400</v>
      </c>
      <c r="BM3009" t="s">
        <v>119</v>
      </c>
      <c r="BN3009">
        <v>1</v>
      </c>
      <c r="BO3009">
        <v>1</v>
      </c>
      <c r="BP3009">
        <v>1</v>
      </c>
      <c r="BQ3009">
        <v>0</v>
      </c>
      <c r="BT3009">
        <v>0</v>
      </c>
      <c r="BU3009">
        <v>0</v>
      </c>
      <c r="BV3009">
        <v>0</v>
      </c>
      <c r="CC3009" t="str">
        <f>"19:25:03.422"</f>
        <v>19:25:03.422</v>
      </c>
      <c r="CD3009" t="str">
        <f>"421141195"</f>
        <v>421141195</v>
      </c>
      <c r="CQ3009">
        <v>0</v>
      </c>
      <c r="CR3009">
        <v>2</v>
      </c>
      <c r="CS3009">
        <v>0</v>
      </c>
      <c r="CT3009">
        <v>2</v>
      </c>
      <c r="CU3009">
        <v>0</v>
      </c>
      <c r="CV3009">
        <v>6</v>
      </c>
      <c r="CW3009" t="s">
        <v>120</v>
      </c>
      <c r="CX3009">
        <v>257</v>
      </c>
      <c r="CY3009">
        <v>0</v>
      </c>
      <c r="CZ3009" t="s">
        <v>615</v>
      </c>
      <c r="DA3009" t="s">
        <v>616</v>
      </c>
      <c r="DD3009">
        <v>16216563</v>
      </c>
      <c r="DE3009" t="s">
        <v>123</v>
      </c>
    </row>
    <row r="3010" spans="1:109" x14ac:dyDescent="0.3">
      <c r="A3010" t="str">
        <f>"19:25:04.664"</f>
        <v>19:25:04.664</v>
      </c>
      <c r="B3010" t="s">
        <v>110</v>
      </c>
      <c r="C3010" t="str">
        <f t="shared" ref="C3010:C3073" si="141">"ffdfd3c0"</f>
        <v>ffdfd3c0</v>
      </c>
      <c r="D3010" t="s">
        <v>111</v>
      </c>
      <c r="E3010">
        <v>18</v>
      </c>
      <c r="F3010">
        <v>1018</v>
      </c>
      <c r="G3010" t="s">
        <v>112</v>
      </c>
      <c r="J3010" t="s">
        <v>113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R3010" t="s">
        <v>114</v>
      </c>
      <c r="S3010" t="str">
        <f>"19:25:04.422"</f>
        <v>19:25:04.422</v>
      </c>
      <c r="T3010" t="str">
        <f>"19:25:04.422"</f>
        <v>19:25:04.422</v>
      </c>
      <c r="U3010" t="str">
        <f t="shared" ref="U3010:U3073" si="142">"a1cdbe"</f>
        <v>a1cdbe</v>
      </c>
      <c r="V3010">
        <v>0</v>
      </c>
      <c r="W3010">
        <v>0</v>
      </c>
      <c r="X3010">
        <v>1</v>
      </c>
      <c r="Y3010">
        <v>0</v>
      </c>
      <c r="Z3010">
        <v>0</v>
      </c>
      <c r="AB3010">
        <v>0</v>
      </c>
      <c r="AC3010">
        <v>9</v>
      </c>
      <c r="AD3010">
        <v>3</v>
      </c>
      <c r="AE3010">
        <v>0</v>
      </c>
      <c r="AF3010">
        <v>9</v>
      </c>
      <c r="AG3010" t="s">
        <v>158</v>
      </c>
      <c r="AH3010">
        <v>0</v>
      </c>
      <c r="AI3010">
        <v>3</v>
      </c>
      <c r="AJ3010">
        <v>1</v>
      </c>
      <c r="AK3010">
        <v>0</v>
      </c>
      <c r="AL3010" t="s">
        <v>5662</v>
      </c>
      <c r="AM3010">
        <v>46.985328000000003</v>
      </c>
      <c r="AN3010" t="s">
        <v>5663</v>
      </c>
      <c r="AO3010">
        <v>-123.52628199999999</v>
      </c>
      <c r="AP3010">
        <v>100</v>
      </c>
      <c r="AQ3010">
        <v>2100</v>
      </c>
      <c r="AR3010" t="s">
        <v>118</v>
      </c>
      <c r="AS3010">
        <v>-78</v>
      </c>
      <c r="AT3010">
        <v>12</v>
      </c>
      <c r="AU3010">
        <v>0</v>
      </c>
      <c r="BC3010">
        <v>1200</v>
      </c>
      <c r="BD3010">
        <v>1</v>
      </c>
      <c r="BE3010" t="str">
        <f t="shared" ref="BE3010:BE3073" si="143">"N215T   "</f>
        <v xml:space="preserve">N215T   </v>
      </c>
      <c r="BF3010">
        <v>1</v>
      </c>
      <c r="BH3010">
        <v>0</v>
      </c>
      <c r="BI3010">
        <v>0</v>
      </c>
      <c r="BJ3010">
        <v>0</v>
      </c>
      <c r="BK3010">
        <v>2500</v>
      </c>
      <c r="BL3010">
        <v>400</v>
      </c>
      <c r="BM3010" t="s">
        <v>119</v>
      </c>
      <c r="BN3010">
        <v>1</v>
      </c>
      <c r="BO3010">
        <v>1</v>
      </c>
      <c r="BP3010">
        <v>1</v>
      </c>
      <c r="BQ3010">
        <v>0</v>
      </c>
      <c r="BT3010">
        <v>0</v>
      </c>
      <c r="BU3010">
        <v>0</v>
      </c>
      <c r="BV3010">
        <v>0</v>
      </c>
      <c r="CC3010" t="str">
        <f>"19:25:04.430"</f>
        <v>19:25:04.430</v>
      </c>
      <c r="CD3010" t="str">
        <f>"426042152"</f>
        <v>426042152</v>
      </c>
      <c r="CQ3010">
        <v>0</v>
      </c>
      <c r="CR3010">
        <v>2</v>
      </c>
      <c r="CS3010">
        <v>0</v>
      </c>
      <c r="CT3010">
        <v>2</v>
      </c>
      <c r="CU3010">
        <v>0</v>
      </c>
      <c r="CV3010">
        <v>6</v>
      </c>
      <c r="CW3010" t="s">
        <v>120</v>
      </c>
      <c r="CX3010">
        <v>257</v>
      </c>
      <c r="CY3010">
        <v>0</v>
      </c>
      <c r="CZ3010" t="s">
        <v>615</v>
      </c>
      <c r="DA3010" t="s">
        <v>616</v>
      </c>
      <c r="DD3010">
        <v>16217056</v>
      </c>
      <c r="DE3010" t="s">
        <v>123</v>
      </c>
    </row>
    <row r="3011" spans="1:109" x14ac:dyDescent="0.3">
      <c r="A3011" t="str">
        <f>"19:25:05.617"</f>
        <v>19:25:05.617</v>
      </c>
      <c r="B3011" t="s">
        <v>110</v>
      </c>
      <c r="C3011" t="str">
        <f t="shared" si="141"/>
        <v>ffdfd3c0</v>
      </c>
      <c r="D3011" t="s">
        <v>111</v>
      </c>
      <c r="E3011">
        <v>18</v>
      </c>
      <c r="F3011">
        <v>1018</v>
      </c>
      <c r="G3011" t="s">
        <v>112</v>
      </c>
      <c r="J3011" t="s">
        <v>113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R3011" t="s">
        <v>114</v>
      </c>
      <c r="S3011" t="str">
        <f>"19:25:05.383"</f>
        <v>19:25:05.383</v>
      </c>
      <c r="T3011" t="str">
        <f>"19:25:04.984"</f>
        <v>19:25:04.984</v>
      </c>
      <c r="U3011" t="str">
        <f t="shared" si="142"/>
        <v>a1cdbe</v>
      </c>
      <c r="V3011">
        <v>0</v>
      </c>
      <c r="W3011">
        <v>0</v>
      </c>
      <c r="X3011">
        <v>1</v>
      </c>
      <c r="Y3011">
        <v>0</v>
      </c>
      <c r="Z3011">
        <v>0</v>
      </c>
      <c r="AB3011">
        <v>0</v>
      </c>
      <c r="AC3011">
        <v>9</v>
      </c>
      <c r="AD3011">
        <v>3</v>
      </c>
      <c r="AE3011">
        <v>0</v>
      </c>
      <c r="AF3011">
        <v>9</v>
      </c>
      <c r="AG3011" t="s">
        <v>158</v>
      </c>
      <c r="AH3011">
        <v>0</v>
      </c>
      <c r="AI3011">
        <v>3</v>
      </c>
      <c r="AJ3011">
        <v>1</v>
      </c>
      <c r="AK3011">
        <v>0</v>
      </c>
      <c r="AL3011" t="s">
        <v>5664</v>
      </c>
      <c r="AM3011">
        <v>46.985349999999997</v>
      </c>
      <c r="AN3011" t="s">
        <v>5665</v>
      </c>
      <c r="AO3011">
        <v>-123.526754</v>
      </c>
      <c r="AP3011">
        <v>100</v>
      </c>
      <c r="AQ3011">
        <v>2100</v>
      </c>
      <c r="AR3011" t="s">
        <v>118</v>
      </c>
      <c r="AS3011">
        <v>-78</v>
      </c>
      <c r="AT3011">
        <v>12</v>
      </c>
      <c r="AU3011">
        <v>0</v>
      </c>
      <c r="BC3011">
        <v>1200</v>
      </c>
      <c r="BD3011">
        <v>1</v>
      </c>
      <c r="BE3011" t="str">
        <f t="shared" si="143"/>
        <v xml:space="preserve">N215T   </v>
      </c>
      <c r="BF3011">
        <v>1</v>
      </c>
      <c r="BH3011">
        <v>0</v>
      </c>
      <c r="BI3011">
        <v>0</v>
      </c>
      <c r="BJ3011">
        <v>0</v>
      </c>
      <c r="BK3011">
        <v>2500</v>
      </c>
      <c r="BL3011">
        <v>400</v>
      </c>
      <c r="BM3011" t="s">
        <v>119</v>
      </c>
      <c r="BN3011">
        <v>1</v>
      </c>
      <c r="BO3011">
        <v>1</v>
      </c>
      <c r="BP3011">
        <v>1</v>
      </c>
      <c r="BQ3011">
        <v>0</v>
      </c>
      <c r="BT3011">
        <v>0</v>
      </c>
      <c r="BU3011">
        <v>0</v>
      </c>
      <c r="BV3011">
        <v>0</v>
      </c>
      <c r="CC3011" t="str">
        <f>"19:25:05.383"</f>
        <v>19:25:05.383</v>
      </c>
      <c r="CD3011" t="str">
        <f>"385947544"</f>
        <v>385947544</v>
      </c>
      <c r="CQ3011">
        <v>0</v>
      </c>
      <c r="CR3011">
        <v>2</v>
      </c>
      <c r="CS3011">
        <v>0</v>
      </c>
      <c r="CT3011">
        <v>2</v>
      </c>
      <c r="CU3011">
        <v>0</v>
      </c>
      <c r="CV3011">
        <v>6</v>
      </c>
      <c r="CW3011" t="s">
        <v>120</v>
      </c>
      <c r="CX3011">
        <v>257</v>
      </c>
      <c r="CY3011">
        <v>0</v>
      </c>
      <c r="CZ3011" t="s">
        <v>615</v>
      </c>
      <c r="DA3011" t="s">
        <v>616</v>
      </c>
      <c r="DD3011">
        <v>16217571</v>
      </c>
      <c r="DE3011" t="s">
        <v>123</v>
      </c>
    </row>
    <row r="3012" spans="1:109" x14ac:dyDescent="0.3">
      <c r="A3012" t="str">
        <f>"19:25:06.523"</f>
        <v>19:25:06.523</v>
      </c>
      <c r="B3012" t="s">
        <v>110</v>
      </c>
      <c r="C3012" t="str">
        <f t="shared" si="141"/>
        <v>ffdfd3c0</v>
      </c>
      <c r="D3012" t="s">
        <v>111</v>
      </c>
      <c r="E3012">
        <v>18</v>
      </c>
      <c r="F3012">
        <v>1018</v>
      </c>
      <c r="G3012" t="s">
        <v>112</v>
      </c>
      <c r="J3012" t="s">
        <v>113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R3012" t="s">
        <v>114</v>
      </c>
      <c r="S3012" t="str">
        <f>"19:25:06.281"</f>
        <v>19:25:06.281</v>
      </c>
      <c r="T3012" t="str">
        <f>"19:25:06.078"</f>
        <v>19:25:06.078</v>
      </c>
      <c r="U3012" t="str">
        <f t="shared" si="142"/>
        <v>a1cdbe</v>
      </c>
      <c r="V3012">
        <v>0</v>
      </c>
      <c r="W3012">
        <v>0</v>
      </c>
      <c r="X3012">
        <v>1</v>
      </c>
      <c r="Y3012">
        <v>0</v>
      </c>
      <c r="Z3012">
        <v>0</v>
      </c>
      <c r="AB3012">
        <v>0</v>
      </c>
      <c r="AC3012">
        <v>9</v>
      </c>
      <c r="AD3012">
        <v>3</v>
      </c>
      <c r="AE3012">
        <v>0</v>
      </c>
      <c r="AF3012">
        <v>9</v>
      </c>
      <c r="AG3012" t="s">
        <v>158</v>
      </c>
      <c r="AH3012">
        <v>0</v>
      </c>
      <c r="AI3012">
        <v>3</v>
      </c>
      <c r="AJ3012">
        <v>1</v>
      </c>
      <c r="AK3012">
        <v>0</v>
      </c>
      <c r="AL3012" t="s">
        <v>5666</v>
      </c>
      <c r="AM3012">
        <v>46.985413999999999</v>
      </c>
      <c r="AN3012" t="s">
        <v>5667</v>
      </c>
      <c r="AO3012">
        <v>-123.527248</v>
      </c>
      <c r="AP3012">
        <v>100</v>
      </c>
      <c r="AQ3012">
        <v>2100</v>
      </c>
      <c r="AR3012" t="s">
        <v>118</v>
      </c>
      <c r="AS3012">
        <v>-78</v>
      </c>
      <c r="AT3012">
        <v>12</v>
      </c>
      <c r="AU3012">
        <v>0</v>
      </c>
      <c r="BC3012">
        <v>1200</v>
      </c>
      <c r="BD3012">
        <v>1</v>
      </c>
      <c r="BE3012" t="str">
        <f t="shared" si="143"/>
        <v xml:space="preserve">N215T   </v>
      </c>
      <c r="BF3012">
        <v>1</v>
      </c>
      <c r="BH3012">
        <v>0</v>
      </c>
      <c r="BI3012">
        <v>0</v>
      </c>
      <c r="BJ3012">
        <v>0</v>
      </c>
      <c r="BK3012">
        <v>2500</v>
      </c>
      <c r="BL3012">
        <v>400</v>
      </c>
      <c r="BM3012" t="s">
        <v>119</v>
      </c>
      <c r="BN3012">
        <v>1</v>
      </c>
      <c r="BO3012">
        <v>1</v>
      </c>
      <c r="BP3012">
        <v>1</v>
      </c>
      <c r="BQ3012">
        <v>0</v>
      </c>
      <c r="BT3012">
        <v>0</v>
      </c>
      <c r="BU3012">
        <v>0</v>
      </c>
      <c r="BV3012">
        <v>0</v>
      </c>
      <c r="CC3012" t="str">
        <f>"19:25:06.289"</f>
        <v>19:25:06.289</v>
      </c>
      <c r="CD3012" t="str">
        <f>"285858855"</f>
        <v>285858855</v>
      </c>
      <c r="CQ3012">
        <v>0</v>
      </c>
      <c r="CR3012">
        <v>2</v>
      </c>
      <c r="CS3012">
        <v>0</v>
      </c>
      <c r="CT3012">
        <v>2</v>
      </c>
      <c r="CU3012">
        <v>0</v>
      </c>
      <c r="CV3012">
        <v>6</v>
      </c>
      <c r="CW3012" t="s">
        <v>120</v>
      </c>
      <c r="CX3012">
        <v>257</v>
      </c>
      <c r="CY3012">
        <v>0</v>
      </c>
      <c r="CZ3012" t="s">
        <v>615</v>
      </c>
      <c r="DA3012" t="s">
        <v>616</v>
      </c>
      <c r="DD3012">
        <v>16218028</v>
      </c>
      <c r="DE3012" t="s">
        <v>123</v>
      </c>
    </row>
    <row r="3013" spans="1:109" x14ac:dyDescent="0.3">
      <c r="A3013" t="str">
        <f>"19:25:07.625"</f>
        <v>19:25:07.625</v>
      </c>
      <c r="B3013" t="s">
        <v>110</v>
      </c>
      <c r="C3013" t="str">
        <f t="shared" si="141"/>
        <v>ffdfd3c0</v>
      </c>
      <c r="D3013" t="s">
        <v>111</v>
      </c>
      <c r="E3013">
        <v>18</v>
      </c>
      <c r="F3013">
        <v>1018</v>
      </c>
      <c r="G3013" t="s">
        <v>112</v>
      </c>
      <c r="J3013" t="s">
        <v>113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R3013" t="s">
        <v>114</v>
      </c>
      <c r="S3013" t="str">
        <f>"19:25:07.422"</f>
        <v>19:25:07.422</v>
      </c>
      <c r="T3013" t="str">
        <f>"19:25:07.023"</f>
        <v>19:25:07.023</v>
      </c>
      <c r="U3013" t="str">
        <f t="shared" si="142"/>
        <v>a1cdbe</v>
      </c>
      <c r="V3013">
        <v>0</v>
      </c>
      <c r="W3013">
        <v>0</v>
      </c>
      <c r="X3013">
        <v>1</v>
      </c>
      <c r="Y3013">
        <v>0</v>
      </c>
      <c r="Z3013">
        <v>0</v>
      </c>
      <c r="AB3013">
        <v>0</v>
      </c>
      <c r="AC3013">
        <v>9</v>
      </c>
      <c r="AD3013">
        <v>3</v>
      </c>
      <c r="AE3013">
        <v>0</v>
      </c>
      <c r="AF3013">
        <v>9</v>
      </c>
      <c r="AG3013" t="s">
        <v>158</v>
      </c>
      <c r="AH3013">
        <v>0</v>
      </c>
      <c r="AI3013">
        <v>3</v>
      </c>
      <c r="AJ3013">
        <v>1</v>
      </c>
      <c r="AK3013">
        <v>0</v>
      </c>
      <c r="AL3013" t="s">
        <v>5668</v>
      </c>
      <c r="AM3013">
        <v>46.985456999999997</v>
      </c>
      <c r="AN3013" t="s">
        <v>5669</v>
      </c>
      <c r="AO3013">
        <v>-123.52786999999999</v>
      </c>
      <c r="AP3013">
        <v>100</v>
      </c>
      <c r="AQ3013">
        <v>2100</v>
      </c>
      <c r="AR3013" t="s">
        <v>118</v>
      </c>
      <c r="AS3013">
        <v>-78</v>
      </c>
      <c r="AT3013">
        <v>12</v>
      </c>
      <c r="AU3013">
        <v>0</v>
      </c>
      <c r="BC3013">
        <v>1200</v>
      </c>
      <c r="BD3013">
        <v>1</v>
      </c>
      <c r="BE3013" t="str">
        <f t="shared" si="143"/>
        <v xml:space="preserve">N215T   </v>
      </c>
      <c r="BF3013">
        <v>1</v>
      </c>
      <c r="BH3013">
        <v>0</v>
      </c>
      <c r="BI3013">
        <v>0</v>
      </c>
      <c r="BJ3013">
        <v>0</v>
      </c>
      <c r="BK3013">
        <v>2500</v>
      </c>
      <c r="BL3013">
        <v>400</v>
      </c>
      <c r="BM3013" t="s">
        <v>119</v>
      </c>
      <c r="BN3013">
        <v>1</v>
      </c>
      <c r="BO3013">
        <v>1</v>
      </c>
      <c r="BP3013">
        <v>1</v>
      </c>
      <c r="BQ3013">
        <v>0</v>
      </c>
      <c r="BT3013">
        <v>0</v>
      </c>
      <c r="BU3013">
        <v>0</v>
      </c>
      <c r="BV3013">
        <v>0</v>
      </c>
      <c r="CC3013" t="str">
        <f>"19:25:07.422"</f>
        <v>19:25:07.422</v>
      </c>
      <c r="CD3013" t="str">
        <f>"425746497"</f>
        <v>425746497</v>
      </c>
      <c r="CQ3013">
        <v>0</v>
      </c>
      <c r="CR3013">
        <v>2</v>
      </c>
      <c r="CS3013">
        <v>0</v>
      </c>
      <c r="CT3013">
        <v>2</v>
      </c>
      <c r="CU3013">
        <v>0</v>
      </c>
      <c r="CV3013">
        <v>6</v>
      </c>
      <c r="CW3013" t="s">
        <v>120</v>
      </c>
      <c r="CX3013">
        <v>257</v>
      </c>
      <c r="CY3013">
        <v>0</v>
      </c>
      <c r="CZ3013" t="s">
        <v>615</v>
      </c>
      <c r="DA3013" t="s">
        <v>616</v>
      </c>
      <c r="DD3013">
        <v>16218621</v>
      </c>
      <c r="DE3013" t="s">
        <v>123</v>
      </c>
    </row>
    <row r="3014" spans="1:109" x14ac:dyDescent="0.3">
      <c r="A3014" t="str">
        <f>"19:25:08.781"</f>
        <v>19:25:08.781</v>
      </c>
      <c r="B3014" t="s">
        <v>110</v>
      </c>
      <c r="C3014" t="str">
        <f t="shared" si="141"/>
        <v>ffdfd3c0</v>
      </c>
      <c r="D3014" t="s">
        <v>111</v>
      </c>
      <c r="E3014">
        <v>18</v>
      </c>
      <c r="F3014">
        <v>1018</v>
      </c>
      <c r="G3014" t="s">
        <v>112</v>
      </c>
      <c r="J3014" t="s">
        <v>113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R3014" t="s">
        <v>114</v>
      </c>
      <c r="S3014" t="str">
        <f>"19:25:08.531"</f>
        <v>19:25:08.531</v>
      </c>
      <c r="T3014" t="str">
        <f>"19:25:08.031"</f>
        <v>19:25:08.031</v>
      </c>
      <c r="U3014" t="str">
        <f t="shared" si="142"/>
        <v>a1cdbe</v>
      </c>
      <c r="V3014">
        <v>0</v>
      </c>
      <c r="W3014">
        <v>0</v>
      </c>
      <c r="X3014">
        <v>1</v>
      </c>
      <c r="Y3014">
        <v>0</v>
      </c>
      <c r="Z3014">
        <v>0</v>
      </c>
      <c r="AB3014">
        <v>0</v>
      </c>
      <c r="AC3014">
        <v>9</v>
      </c>
      <c r="AD3014">
        <v>3</v>
      </c>
      <c r="AE3014">
        <v>0</v>
      </c>
      <c r="AF3014">
        <v>9</v>
      </c>
      <c r="AG3014" t="s">
        <v>158</v>
      </c>
      <c r="AH3014">
        <v>0</v>
      </c>
      <c r="AI3014">
        <v>3</v>
      </c>
      <c r="AJ3014">
        <v>1</v>
      </c>
      <c r="AK3014">
        <v>0</v>
      </c>
      <c r="AL3014" t="s">
        <v>901</v>
      </c>
      <c r="AM3014">
        <v>46.985543</v>
      </c>
      <c r="AN3014" t="s">
        <v>5670</v>
      </c>
      <c r="AO3014">
        <v>-123.52842800000001</v>
      </c>
      <c r="AP3014">
        <v>100</v>
      </c>
      <c r="AQ3014">
        <v>2100</v>
      </c>
      <c r="AR3014" t="s">
        <v>118</v>
      </c>
      <c r="AS3014">
        <v>-78</v>
      </c>
      <c r="AT3014">
        <v>12</v>
      </c>
      <c r="AU3014">
        <v>0</v>
      </c>
      <c r="BC3014">
        <v>1200</v>
      </c>
      <c r="BD3014">
        <v>1</v>
      </c>
      <c r="BE3014" t="str">
        <f t="shared" si="143"/>
        <v xml:space="preserve">N215T   </v>
      </c>
      <c r="BF3014">
        <v>1</v>
      </c>
      <c r="BH3014">
        <v>0</v>
      </c>
      <c r="BI3014">
        <v>0</v>
      </c>
      <c r="BJ3014">
        <v>0</v>
      </c>
      <c r="BK3014">
        <v>2500</v>
      </c>
      <c r="BL3014">
        <v>400</v>
      </c>
      <c r="BM3014" t="s">
        <v>119</v>
      </c>
      <c r="BN3014">
        <v>1</v>
      </c>
      <c r="BO3014">
        <v>1</v>
      </c>
      <c r="BP3014">
        <v>1</v>
      </c>
      <c r="BQ3014">
        <v>0</v>
      </c>
      <c r="BT3014">
        <v>0</v>
      </c>
      <c r="BU3014">
        <v>0</v>
      </c>
      <c r="BV3014">
        <v>0</v>
      </c>
      <c r="CC3014" t="str">
        <f>"19:25:08.539"</f>
        <v>19:25:08.539</v>
      </c>
      <c r="CD3014" t="str">
        <f>"535637112"</f>
        <v>535637112</v>
      </c>
      <c r="CQ3014">
        <v>0</v>
      </c>
      <c r="CR3014">
        <v>2</v>
      </c>
      <c r="CS3014">
        <v>0</v>
      </c>
      <c r="CT3014">
        <v>2</v>
      </c>
      <c r="CU3014">
        <v>0</v>
      </c>
      <c r="CV3014">
        <v>6</v>
      </c>
      <c r="CW3014" t="s">
        <v>120</v>
      </c>
      <c r="CX3014">
        <v>257</v>
      </c>
      <c r="CY3014">
        <v>0</v>
      </c>
      <c r="CZ3014" t="s">
        <v>615</v>
      </c>
      <c r="DA3014" t="s">
        <v>616</v>
      </c>
      <c r="DD3014">
        <v>16219181</v>
      </c>
      <c r="DE3014" t="s">
        <v>123</v>
      </c>
    </row>
    <row r="3015" spans="1:109" x14ac:dyDescent="0.3">
      <c r="A3015" t="str">
        <f>"19:25:09.844"</f>
        <v>19:25:09.844</v>
      </c>
      <c r="B3015" t="s">
        <v>110</v>
      </c>
      <c r="C3015" t="str">
        <f t="shared" si="141"/>
        <v>ffdfd3c0</v>
      </c>
      <c r="D3015" t="s">
        <v>111</v>
      </c>
      <c r="E3015">
        <v>18</v>
      </c>
      <c r="F3015">
        <v>1018</v>
      </c>
      <c r="G3015" t="s">
        <v>112</v>
      </c>
      <c r="J3015" t="s">
        <v>113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R3015" t="s">
        <v>114</v>
      </c>
      <c r="S3015" t="str">
        <f>"19:25:09.625"</f>
        <v>19:25:09.625</v>
      </c>
      <c r="T3015" t="str">
        <f>"19:25:09.625"</f>
        <v>19:25:09.625</v>
      </c>
      <c r="U3015" t="str">
        <f t="shared" si="142"/>
        <v>a1cdbe</v>
      </c>
      <c r="V3015">
        <v>0</v>
      </c>
      <c r="W3015">
        <v>0</v>
      </c>
      <c r="X3015">
        <v>1</v>
      </c>
      <c r="Y3015">
        <v>0</v>
      </c>
      <c r="Z3015">
        <v>0</v>
      </c>
      <c r="AB3015">
        <v>0</v>
      </c>
      <c r="AC3015">
        <v>9</v>
      </c>
      <c r="AD3015">
        <v>3</v>
      </c>
      <c r="AE3015">
        <v>0</v>
      </c>
      <c r="AF3015">
        <v>9</v>
      </c>
      <c r="AG3015" t="s">
        <v>158</v>
      </c>
      <c r="AH3015">
        <v>0</v>
      </c>
      <c r="AI3015">
        <v>3</v>
      </c>
      <c r="AJ3015">
        <v>1</v>
      </c>
      <c r="AK3015">
        <v>0</v>
      </c>
      <c r="AL3015" t="s">
        <v>5671</v>
      </c>
      <c r="AM3015">
        <v>46.985585999999998</v>
      </c>
      <c r="AN3015" t="s">
        <v>5672</v>
      </c>
      <c r="AO3015">
        <v>-123.52902899999999</v>
      </c>
      <c r="AP3015">
        <v>100</v>
      </c>
      <c r="AQ3015">
        <v>2100</v>
      </c>
      <c r="AR3015" t="s">
        <v>118</v>
      </c>
      <c r="AS3015">
        <v>-78</v>
      </c>
      <c r="AT3015">
        <v>13</v>
      </c>
      <c r="AU3015">
        <v>0</v>
      </c>
      <c r="BC3015">
        <v>1200</v>
      </c>
      <c r="BD3015">
        <v>1</v>
      </c>
      <c r="BE3015" t="str">
        <f t="shared" si="143"/>
        <v xml:space="preserve">N215T   </v>
      </c>
      <c r="BF3015">
        <v>1</v>
      </c>
      <c r="BH3015">
        <v>0</v>
      </c>
      <c r="BI3015">
        <v>0</v>
      </c>
      <c r="BJ3015">
        <v>0</v>
      </c>
      <c r="BK3015">
        <v>2500</v>
      </c>
      <c r="BL3015">
        <v>400</v>
      </c>
      <c r="BM3015" t="s">
        <v>119</v>
      </c>
      <c r="BN3015">
        <v>1</v>
      </c>
      <c r="BO3015">
        <v>1</v>
      </c>
      <c r="BP3015">
        <v>1</v>
      </c>
      <c r="BQ3015">
        <v>0</v>
      </c>
      <c r="BT3015">
        <v>0</v>
      </c>
      <c r="BU3015">
        <v>0</v>
      </c>
      <c r="BV3015">
        <v>0</v>
      </c>
      <c r="CC3015" t="str">
        <f>"19:25:09.633"</f>
        <v>19:25:09.633</v>
      </c>
      <c r="CD3015" t="str">
        <f>"630529198"</f>
        <v>630529198</v>
      </c>
      <c r="CQ3015">
        <v>0</v>
      </c>
      <c r="CR3015">
        <v>2</v>
      </c>
      <c r="CS3015">
        <v>0</v>
      </c>
      <c r="CT3015">
        <v>2</v>
      </c>
      <c r="CU3015">
        <v>0</v>
      </c>
      <c r="CV3015">
        <v>6</v>
      </c>
      <c r="CW3015" t="s">
        <v>120</v>
      </c>
      <c r="CX3015">
        <v>257</v>
      </c>
      <c r="CY3015">
        <v>0</v>
      </c>
      <c r="CZ3015" t="s">
        <v>615</v>
      </c>
      <c r="DA3015" t="s">
        <v>616</v>
      </c>
      <c r="DD3015">
        <v>16219735</v>
      </c>
      <c r="DE3015" t="s">
        <v>123</v>
      </c>
    </row>
    <row r="3016" spans="1:109" x14ac:dyDescent="0.3">
      <c r="A3016" t="str">
        <f>"19:25:11.000"</f>
        <v>19:25:11.000</v>
      </c>
      <c r="B3016" t="s">
        <v>110</v>
      </c>
      <c r="C3016" t="str">
        <f t="shared" si="141"/>
        <v>ffdfd3c0</v>
      </c>
      <c r="D3016" t="s">
        <v>111</v>
      </c>
      <c r="E3016">
        <v>18</v>
      </c>
      <c r="F3016">
        <v>1018</v>
      </c>
      <c r="G3016" t="s">
        <v>112</v>
      </c>
      <c r="J3016" t="s">
        <v>113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R3016" t="s">
        <v>114</v>
      </c>
      <c r="S3016" t="str">
        <f>"19:25:10.766"</f>
        <v>19:25:10.766</v>
      </c>
      <c r="T3016" t="str">
        <f>"19:25:10.664"</f>
        <v>19:25:10.664</v>
      </c>
      <c r="U3016" t="str">
        <f t="shared" si="142"/>
        <v>a1cdbe</v>
      </c>
      <c r="V3016">
        <v>0</v>
      </c>
      <c r="W3016">
        <v>0</v>
      </c>
      <c r="X3016">
        <v>1</v>
      </c>
      <c r="Y3016">
        <v>0</v>
      </c>
      <c r="Z3016">
        <v>0</v>
      </c>
      <c r="AB3016">
        <v>0</v>
      </c>
      <c r="AC3016">
        <v>9</v>
      </c>
      <c r="AD3016">
        <v>3</v>
      </c>
      <c r="AE3016">
        <v>0</v>
      </c>
      <c r="AF3016">
        <v>9</v>
      </c>
      <c r="AG3016" t="s">
        <v>158</v>
      </c>
      <c r="AH3016">
        <v>0</v>
      </c>
      <c r="AI3016">
        <v>3</v>
      </c>
      <c r="AJ3016">
        <v>1</v>
      </c>
      <c r="AK3016">
        <v>0</v>
      </c>
      <c r="AL3016" t="s">
        <v>5673</v>
      </c>
      <c r="AM3016">
        <v>46.985692999999998</v>
      </c>
      <c r="AN3016" t="s">
        <v>5674</v>
      </c>
      <c r="AO3016">
        <v>-123.529651</v>
      </c>
      <c r="AP3016">
        <v>100</v>
      </c>
      <c r="AQ3016">
        <v>2100</v>
      </c>
      <c r="AR3016" t="s">
        <v>118</v>
      </c>
      <c r="AS3016">
        <v>-78</v>
      </c>
      <c r="AT3016">
        <v>14</v>
      </c>
      <c r="AU3016">
        <v>0</v>
      </c>
      <c r="BC3016">
        <v>1200</v>
      </c>
      <c r="BD3016">
        <v>1</v>
      </c>
      <c r="BE3016" t="str">
        <f t="shared" si="143"/>
        <v xml:space="preserve">N215T   </v>
      </c>
      <c r="BF3016">
        <v>1</v>
      </c>
      <c r="BH3016">
        <v>0</v>
      </c>
      <c r="BI3016">
        <v>0</v>
      </c>
      <c r="BJ3016">
        <v>0</v>
      </c>
      <c r="BK3016">
        <v>2500</v>
      </c>
      <c r="BL3016">
        <v>400</v>
      </c>
      <c r="BM3016" t="s">
        <v>119</v>
      </c>
      <c r="BN3016">
        <v>1</v>
      </c>
      <c r="BO3016">
        <v>1</v>
      </c>
      <c r="BP3016">
        <v>1</v>
      </c>
      <c r="BQ3016">
        <v>0</v>
      </c>
      <c r="BT3016">
        <v>0</v>
      </c>
      <c r="BU3016">
        <v>0</v>
      </c>
      <c r="BV3016">
        <v>0</v>
      </c>
      <c r="CC3016" t="str">
        <f>"19:25:10.773"</f>
        <v>19:25:10.773</v>
      </c>
      <c r="CD3016" t="str">
        <f>"770416860"</f>
        <v>770416860</v>
      </c>
      <c r="CQ3016">
        <v>0</v>
      </c>
      <c r="CR3016">
        <v>2</v>
      </c>
      <c r="CS3016">
        <v>0</v>
      </c>
      <c r="CT3016">
        <v>2</v>
      </c>
      <c r="CU3016">
        <v>0</v>
      </c>
      <c r="CV3016">
        <v>6</v>
      </c>
      <c r="CW3016" t="s">
        <v>120</v>
      </c>
      <c r="CX3016">
        <v>257</v>
      </c>
      <c r="CY3016">
        <v>0</v>
      </c>
      <c r="CZ3016" t="s">
        <v>615</v>
      </c>
      <c r="DA3016" t="s">
        <v>616</v>
      </c>
      <c r="DD3016">
        <v>16220338</v>
      </c>
      <c r="DE3016" t="s">
        <v>123</v>
      </c>
    </row>
    <row r="3017" spans="1:109" x14ac:dyDescent="0.3">
      <c r="A3017" t="str">
        <f>"19:25:12.000"</f>
        <v>19:25:12.000</v>
      </c>
      <c r="B3017" t="s">
        <v>110</v>
      </c>
      <c r="C3017" t="str">
        <f t="shared" si="141"/>
        <v>ffdfd3c0</v>
      </c>
      <c r="D3017" t="s">
        <v>111</v>
      </c>
      <c r="E3017">
        <v>18</v>
      </c>
      <c r="F3017">
        <v>1018</v>
      </c>
      <c r="G3017" t="s">
        <v>112</v>
      </c>
      <c r="J3017" t="s">
        <v>113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R3017" t="s">
        <v>114</v>
      </c>
      <c r="S3017" t="str">
        <f>"19:25:11.758"</f>
        <v>19:25:11.758</v>
      </c>
      <c r="T3017" t="str">
        <f>"19:25:11.555"</f>
        <v>19:25:11.555</v>
      </c>
      <c r="U3017" t="str">
        <f t="shared" si="142"/>
        <v>a1cdbe</v>
      </c>
      <c r="V3017">
        <v>0</v>
      </c>
      <c r="W3017">
        <v>0</v>
      </c>
      <c r="X3017">
        <v>1</v>
      </c>
      <c r="Y3017">
        <v>0</v>
      </c>
      <c r="Z3017">
        <v>0</v>
      </c>
      <c r="AB3017">
        <v>0</v>
      </c>
      <c r="AC3017">
        <v>9</v>
      </c>
      <c r="AD3017">
        <v>3</v>
      </c>
      <c r="AE3017">
        <v>0</v>
      </c>
      <c r="AF3017">
        <v>9</v>
      </c>
      <c r="AG3017" t="s">
        <v>158</v>
      </c>
      <c r="AH3017">
        <v>0</v>
      </c>
      <c r="AI3017">
        <v>3</v>
      </c>
      <c r="AJ3017">
        <v>1</v>
      </c>
      <c r="AK3017">
        <v>0</v>
      </c>
      <c r="AL3017" t="s">
        <v>5675</v>
      </c>
      <c r="AM3017">
        <v>46.985736000000003</v>
      </c>
      <c r="AN3017" t="s">
        <v>5676</v>
      </c>
      <c r="AO3017">
        <v>-123.530123</v>
      </c>
      <c r="AP3017">
        <v>100</v>
      </c>
      <c r="AQ3017">
        <v>2100</v>
      </c>
      <c r="AR3017" t="s">
        <v>118</v>
      </c>
      <c r="AS3017">
        <v>-78</v>
      </c>
      <c r="AT3017">
        <v>15</v>
      </c>
      <c r="AU3017">
        <v>0</v>
      </c>
      <c r="BC3017">
        <v>1200</v>
      </c>
      <c r="BD3017">
        <v>1</v>
      </c>
      <c r="BE3017" t="str">
        <f t="shared" si="143"/>
        <v xml:space="preserve">N215T   </v>
      </c>
      <c r="BF3017">
        <v>1</v>
      </c>
      <c r="BH3017">
        <v>0</v>
      </c>
      <c r="BI3017">
        <v>0</v>
      </c>
      <c r="BJ3017">
        <v>0</v>
      </c>
      <c r="BK3017">
        <v>2475</v>
      </c>
      <c r="BL3017">
        <v>375</v>
      </c>
      <c r="BM3017" t="s">
        <v>119</v>
      </c>
      <c r="BN3017">
        <v>1</v>
      </c>
      <c r="BO3017">
        <v>1</v>
      </c>
      <c r="BP3017">
        <v>1</v>
      </c>
      <c r="BQ3017">
        <v>0</v>
      </c>
      <c r="BT3017">
        <v>0</v>
      </c>
      <c r="BU3017">
        <v>0</v>
      </c>
      <c r="BV3017">
        <v>0</v>
      </c>
      <c r="CC3017" t="str">
        <f>"19:25:11.758"</f>
        <v>19:25:11.758</v>
      </c>
      <c r="CD3017" t="str">
        <f>"760319290"</f>
        <v>760319290</v>
      </c>
      <c r="CQ3017">
        <v>0</v>
      </c>
      <c r="CR3017">
        <v>2</v>
      </c>
      <c r="CS3017">
        <v>0</v>
      </c>
      <c r="CT3017">
        <v>2</v>
      </c>
      <c r="CU3017">
        <v>0</v>
      </c>
      <c r="CV3017">
        <v>6</v>
      </c>
      <c r="CW3017" t="s">
        <v>120</v>
      </c>
      <c r="CX3017">
        <v>257</v>
      </c>
      <c r="CY3017">
        <v>0</v>
      </c>
      <c r="CZ3017" t="s">
        <v>615</v>
      </c>
      <c r="DA3017" t="s">
        <v>616</v>
      </c>
      <c r="DD3017">
        <v>16220825</v>
      </c>
      <c r="DE3017" t="s">
        <v>123</v>
      </c>
    </row>
    <row r="3018" spans="1:109" x14ac:dyDescent="0.3">
      <c r="A3018" t="str">
        <f>"19:25:12.906"</f>
        <v>19:25:12.906</v>
      </c>
      <c r="B3018" t="s">
        <v>110</v>
      </c>
      <c r="C3018" t="str">
        <f t="shared" si="141"/>
        <v>ffdfd3c0</v>
      </c>
      <c r="D3018" t="s">
        <v>111</v>
      </c>
      <c r="E3018">
        <v>18</v>
      </c>
      <c r="F3018">
        <v>1018</v>
      </c>
      <c r="G3018" t="s">
        <v>112</v>
      </c>
      <c r="J3018" t="s">
        <v>113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R3018" t="s">
        <v>114</v>
      </c>
      <c r="S3018" t="str">
        <f>"19:25:12.656"</f>
        <v>19:25:12.656</v>
      </c>
      <c r="T3018" t="str">
        <f>"19:25:12.555"</f>
        <v>19:25:12.555</v>
      </c>
      <c r="U3018" t="str">
        <f t="shared" si="142"/>
        <v>a1cdbe</v>
      </c>
      <c r="V3018">
        <v>0</v>
      </c>
      <c r="W3018">
        <v>0</v>
      </c>
      <c r="X3018">
        <v>1</v>
      </c>
      <c r="Y3018">
        <v>0</v>
      </c>
      <c r="Z3018">
        <v>0</v>
      </c>
      <c r="AB3018">
        <v>0</v>
      </c>
      <c r="AC3018">
        <v>9</v>
      </c>
      <c r="AD3018">
        <v>3</v>
      </c>
      <c r="AE3018">
        <v>0</v>
      </c>
      <c r="AF3018">
        <v>9</v>
      </c>
      <c r="AG3018" t="s">
        <v>158</v>
      </c>
      <c r="AH3018">
        <v>0</v>
      </c>
      <c r="AI3018">
        <v>3</v>
      </c>
      <c r="AJ3018">
        <v>1</v>
      </c>
      <c r="AK3018">
        <v>0</v>
      </c>
      <c r="AL3018" t="s">
        <v>5677</v>
      </c>
      <c r="AM3018">
        <v>46.985779000000001</v>
      </c>
      <c r="AN3018" t="s">
        <v>5678</v>
      </c>
      <c r="AO3018">
        <v>-123.53061700000001</v>
      </c>
      <c r="AP3018">
        <v>100</v>
      </c>
      <c r="AQ3018">
        <v>2100</v>
      </c>
      <c r="AR3018" t="s">
        <v>118</v>
      </c>
      <c r="AS3018">
        <v>-78</v>
      </c>
      <c r="AT3018">
        <v>15</v>
      </c>
      <c r="AU3018">
        <v>-64</v>
      </c>
      <c r="BC3018">
        <v>1200</v>
      </c>
      <c r="BD3018">
        <v>1</v>
      </c>
      <c r="BE3018" t="str">
        <f t="shared" si="143"/>
        <v xml:space="preserve">N215T   </v>
      </c>
      <c r="BF3018">
        <v>1</v>
      </c>
      <c r="BH3018">
        <v>0</v>
      </c>
      <c r="BI3018">
        <v>0</v>
      </c>
      <c r="BJ3018">
        <v>0</v>
      </c>
      <c r="BK3018">
        <v>2500</v>
      </c>
      <c r="BL3018">
        <v>400</v>
      </c>
      <c r="BM3018" t="s">
        <v>119</v>
      </c>
      <c r="BN3018">
        <v>1</v>
      </c>
      <c r="BO3018">
        <v>1</v>
      </c>
      <c r="BP3018">
        <v>1</v>
      </c>
      <c r="BQ3018">
        <v>0</v>
      </c>
      <c r="BT3018">
        <v>0</v>
      </c>
      <c r="BU3018">
        <v>0</v>
      </c>
      <c r="BV3018">
        <v>0</v>
      </c>
      <c r="CC3018" t="str">
        <f>"19:25:12.664"</f>
        <v>19:25:12.664</v>
      </c>
      <c r="CD3018" t="str">
        <f>"660230616"</f>
        <v>660230616</v>
      </c>
      <c r="CQ3018">
        <v>0</v>
      </c>
      <c r="CR3018">
        <v>2</v>
      </c>
      <c r="CS3018">
        <v>0</v>
      </c>
      <c r="CT3018">
        <v>2</v>
      </c>
      <c r="CU3018">
        <v>0</v>
      </c>
      <c r="CV3018">
        <v>6</v>
      </c>
      <c r="CW3018" t="s">
        <v>120</v>
      </c>
      <c r="CX3018">
        <v>257</v>
      </c>
      <c r="CY3018">
        <v>0</v>
      </c>
      <c r="CZ3018" t="s">
        <v>615</v>
      </c>
      <c r="DA3018" t="s">
        <v>616</v>
      </c>
      <c r="DD3018">
        <v>16221271</v>
      </c>
      <c r="DE3018" t="s">
        <v>123</v>
      </c>
    </row>
    <row r="3019" spans="1:109" x14ac:dyDescent="0.3">
      <c r="A3019" t="str">
        <f>"19:25:13.914"</f>
        <v>19:25:13.914</v>
      </c>
      <c r="B3019" t="s">
        <v>110</v>
      </c>
      <c r="C3019" t="str">
        <f t="shared" si="141"/>
        <v>ffdfd3c0</v>
      </c>
      <c r="D3019" t="s">
        <v>111</v>
      </c>
      <c r="E3019">
        <v>18</v>
      </c>
      <c r="F3019">
        <v>1018</v>
      </c>
      <c r="G3019" t="s">
        <v>112</v>
      </c>
      <c r="J3019" t="s">
        <v>113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R3019" t="s">
        <v>114</v>
      </c>
      <c r="S3019" t="str">
        <f>"19:25:13.633"</f>
        <v>19:25:13.633</v>
      </c>
      <c r="T3019" t="str">
        <f>"19:25:13.133"</f>
        <v>19:25:13.133</v>
      </c>
      <c r="U3019" t="str">
        <f t="shared" si="142"/>
        <v>a1cdbe</v>
      </c>
      <c r="V3019">
        <v>0</v>
      </c>
      <c r="W3019">
        <v>0</v>
      </c>
      <c r="X3019">
        <v>1</v>
      </c>
      <c r="Y3019">
        <v>0</v>
      </c>
      <c r="Z3019">
        <v>0</v>
      </c>
      <c r="AB3019">
        <v>0</v>
      </c>
      <c r="AC3019">
        <v>9</v>
      </c>
      <c r="AD3019">
        <v>3</v>
      </c>
      <c r="AE3019">
        <v>0</v>
      </c>
      <c r="AF3019">
        <v>9</v>
      </c>
      <c r="AG3019" t="s">
        <v>158</v>
      </c>
      <c r="AH3019">
        <v>0</v>
      </c>
      <c r="AI3019">
        <v>3</v>
      </c>
      <c r="AJ3019">
        <v>1</v>
      </c>
      <c r="AK3019">
        <v>0</v>
      </c>
      <c r="AL3019" t="s">
        <v>5679</v>
      </c>
      <c r="AM3019">
        <v>46.985864999999997</v>
      </c>
      <c r="AN3019" t="s">
        <v>5680</v>
      </c>
      <c r="AO3019">
        <v>-123.531175</v>
      </c>
      <c r="AP3019">
        <v>100</v>
      </c>
      <c r="AQ3019">
        <v>2100</v>
      </c>
      <c r="AR3019" t="s">
        <v>118</v>
      </c>
      <c r="AS3019">
        <v>-78</v>
      </c>
      <c r="AT3019">
        <v>15</v>
      </c>
      <c r="AU3019">
        <v>-64</v>
      </c>
      <c r="BC3019">
        <v>1200</v>
      </c>
      <c r="BD3019">
        <v>1</v>
      </c>
      <c r="BE3019" t="str">
        <f t="shared" si="143"/>
        <v xml:space="preserve">N215T   </v>
      </c>
      <c r="BF3019">
        <v>1</v>
      </c>
      <c r="BH3019">
        <v>0</v>
      </c>
      <c r="BI3019">
        <v>0</v>
      </c>
      <c r="BJ3019">
        <v>0</v>
      </c>
      <c r="BK3019">
        <v>2500</v>
      </c>
      <c r="BL3019">
        <v>400</v>
      </c>
      <c r="BM3019" t="s">
        <v>119</v>
      </c>
      <c r="BN3019">
        <v>1</v>
      </c>
      <c r="BO3019">
        <v>1</v>
      </c>
      <c r="BP3019">
        <v>1</v>
      </c>
      <c r="BQ3019">
        <v>0</v>
      </c>
      <c r="BT3019">
        <v>0</v>
      </c>
      <c r="BU3019">
        <v>0</v>
      </c>
      <c r="BV3019">
        <v>0</v>
      </c>
      <c r="CC3019" t="str">
        <f>"19:25:13.633"</f>
        <v>19:25:13.633</v>
      </c>
      <c r="CD3019" t="str">
        <f>"635134535"</f>
        <v>635134535</v>
      </c>
      <c r="CQ3019">
        <v>0</v>
      </c>
      <c r="CR3019">
        <v>2</v>
      </c>
      <c r="CS3019">
        <v>0</v>
      </c>
      <c r="CT3019">
        <v>2</v>
      </c>
      <c r="CU3019">
        <v>0</v>
      </c>
      <c r="CV3019">
        <v>6</v>
      </c>
      <c r="CW3019" t="s">
        <v>120</v>
      </c>
      <c r="CX3019">
        <v>257</v>
      </c>
      <c r="CY3019">
        <v>0</v>
      </c>
      <c r="CZ3019" t="s">
        <v>615</v>
      </c>
      <c r="DA3019" t="s">
        <v>616</v>
      </c>
      <c r="DD3019">
        <v>16221784</v>
      </c>
      <c r="DE3019" t="s">
        <v>123</v>
      </c>
    </row>
    <row r="3020" spans="1:109" x14ac:dyDescent="0.3">
      <c r="A3020" t="str">
        <f>"19:25:14.867"</f>
        <v>19:25:14.867</v>
      </c>
      <c r="B3020" t="s">
        <v>110</v>
      </c>
      <c r="C3020" t="str">
        <f t="shared" si="141"/>
        <v>ffdfd3c0</v>
      </c>
      <c r="D3020" t="s">
        <v>111</v>
      </c>
      <c r="E3020">
        <v>18</v>
      </c>
      <c r="F3020">
        <v>1018</v>
      </c>
      <c r="G3020" t="s">
        <v>112</v>
      </c>
      <c r="J3020" t="s">
        <v>113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R3020" t="s">
        <v>114</v>
      </c>
      <c r="S3020" t="str">
        <f>"19:25:14.648"</f>
        <v>19:25:14.648</v>
      </c>
      <c r="T3020" t="str">
        <f>"19:25:14.250"</f>
        <v>19:25:14.250</v>
      </c>
      <c r="U3020" t="str">
        <f t="shared" si="142"/>
        <v>a1cdbe</v>
      </c>
      <c r="V3020">
        <v>0</v>
      </c>
      <c r="W3020">
        <v>0</v>
      </c>
      <c r="X3020">
        <v>1</v>
      </c>
      <c r="Y3020">
        <v>0</v>
      </c>
      <c r="Z3020">
        <v>0</v>
      </c>
      <c r="AB3020">
        <v>0</v>
      </c>
      <c r="AC3020">
        <v>9</v>
      </c>
      <c r="AD3020">
        <v>3</v>
      </c>
      <c r="AE3020">
        <v>0</v>
      </c>
      <c r="AF3020">
        <v>9</v>
      </c>
      <c r="AG3020" t="s">
        <v>158</v>
      </c>
      <c r="AH3020">
        <v>0</v>
      </c>
      <c r="AI3020">
        <v>3</v>
      </c>
      <c r="AJ3020">
        <v>1</v>
      </c>
      <c r="AK3020">
        <v>0</v>
      </c>
      <c r="AL3020" t="s">
        <v>899</v>
      </c>
      <c r="AM3020">
        <v>46.985971999999997</v>
      </c>
      <c r="AN3020" t="s">
        <v>5681</v>
      </c>
      <c r="AO3020">
        <v>-123.53169</v>
      </c>
      <c r="AP3020">
        <v>100</v>
      </c>
      <c r="AQ3020">
        <v>2100</v>
      </c>
      <c r="AR3020" t="s">
        <v>118</v>
      </c>
      <c r="AS3020">
        <v>-79</v>
      </c>
      <c r="AT3020">
        <v>16</v>
      </c>
      <c r="AU3020">
        <v>-64</v>
      </c>
      <c r="BC3020">
        <v>1200</v>
      </c>
      <c r="BD3020">
        <v>1</v>
      </c>
      <c r="BE3020" t="str">
        <f t="shared" si="143"/>
        <v xml:space="preserve">N215T   </v>
      </c>
      <c r="BF3020">
        <v>1</v>
      </c>
      <c r="BH3020">
        <v>0</v>
      </c>
      <c r="BI3020">
        <v>0</v>
      </c>
      <c r="BJ3020">
        <v>0</v>
      </c>
      <c r="BK3020">
        <v>2500</v>
      </c>
      <c r="BL3020">
        <v>400</v>
      </c>
      <c r="BM3020" t="s">
        <v>119</v>
      </c>
      <c r="BN3020">
        <v>1</v>
      </c>
      <c r="BO3020">
        <v>1</v>
      </c>
      <c r="BP3020">
        <v>1</v>
      </c>
      <c r="BQ3020">
        <v>0</v>
      </c>
      <c r="BT3020">
        <v>0</v>
      </c>
      <c r="BU3020">
        <v>0</v>
      </c>
      <c r="BV3020">
        <v>0</v>
      </c>
      <c r="CC3020" t="str">
        <f>"19:25:14.656"</f>
        <v>19:25:14.656</v>
      </c>
      <c r="CD3020" t="str">
        <f>"655034016"</f>
        <v>655034016</v>
      </c>
      <c r="CQ3020">
        <v>0</v>
      </c>
      <c r="CR3020">
        <v>2</v>
      </c>
      <c r="CS3020">
        <v>0</v>
      </c>
      <c r="CT3020">
        <v>2</v>
      </c>
      <c r="CU3020">
        <v>0</v>
      </c>
      <c r="CV3020">
        <v>6</v>
      </c>
      <c r="CW3020" t="s">
        <v>120</v>
      </c>
      <c r="CX3020">
        <v>257</v>
      </c>
      <c r="CY3020">
        <v>0</v>
      </c>
      <c r="CZ3020" t="s">
        <v>615</v>
      </c>
      <c r="DA3020" t="s">
        <v>616</v>
      </c>
      <c r="DD3020">
        <v>16222335</v>
      </c>
      <c r="DE3020" t="s">
        <v>123</v>
      </c>
    </row>
    <row r="3021" spans="1:109" x14ac:dyDescent="0.3">
      <c r="A3021" t="str">
        <f>"19:25:15.922"</f>
        <v>19:25:15.922</v>
      </c>
      <c r="B3021" t="s">
        <v>110</v>
      </c>
      <c r="C3021" t="str">
        <f t="shared" si="141"/>
        <v>ffdfd3c0</v>
      </c>
      <c r="D3021" t="s">
        <v>111</v>
      </c>
      <c r="E3021">
        <v>18</v>
      </c>
      <c r="F3021">
        <v>1018</v>
      </c>
      <c r="G3021" t="s">
        <v>112</v>
      </c>
      <c r="J3021" t="s">
        <v>113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R3021" t="s">
        <v>114</v>
      </c>
      <c r="S3021" t="str">
        <f>"19:25:15.672"</f>
        <v>19:25:15.672</v>
      </c>
      <c r="T3021" t="str">
        <f>"19:25:15.672"</f>
        <v>19:25:15.672</v>
      </c>
      <c r="U3021" t="str">
        <f t="shared" si="142"/>
        <v>a1cdbe</v>
      </c>
      <c r="V3021">
        <v>0</v>
      </c>
      <c r="W3021">
        <v>0</v>
      </c>
      <c r="X3021">
        <v>1</v>
      </c>
      <c r="Y3021">
        <v>0</v>
      </c>
      <c r="Z3021">
        <v>0</v>
      </c>
      <c r="AB3021">
        <v>0</v>
      </c>
      <c r="AC3021">
        <v>9</v>
      </c>
      <c r="AD3021">
        <v>3</v>
      </c>
      <c r="AE3021">
        <v>0</v>
      </c>
      <c r="AF3021">
        <v>9</v>
      </c>
      <c r="AG3021" t="s">
        <v>158</v>
      </c>
      <c r="AH3021">
        <v>0</v>
      </c>
      <c r="AI3021">
        <v>3</v>
      </c>
      <c r="AJ3021">
        <v>1</v>
      </c>
      <c r="AK3021">
        <v>0</v>
      </c>
      <c r="AL3021" t="s">
        <v>5682</v>
      </c>
      <c r="AM3021">
        <v>46.986015000000002</v>
      </c>
      <c r="AN3021" t="s">
        <v>5683</v>
      </c>
      <c r="AO3021">
        <v>-123.532205</v>
      </c>
      <c r="AP3021">
        <v>100</v>
      </c>
      <c r="AQ3021">
        <v>2100</v>
      </c>
      <c r="AR3021" t="s">
        <v>118</v>
      </c>
      <c r="AS3021">
        <v>-79</v>
      </c>
      <c r="AT3021">
        <v>16</v>
      </c>
      <c r="AU3021">
        <v>-64</v>
      </c>
      <c r="BC3021">
        <v>1200</v>
      </c>
      <c r="BD3021">
        <v>1</v>
      </c>
      <c r="BE3021" t="str">
        <f t="shared" si="143"/>
        <v xml:space="preserve">N215T   </v>
      </c>
      <c r="BF3021">
        <v>1</v>
      </c>
      <c r="BH3021">
        <v>0</v>
      </c>
      <c r="BI3021">
        <v>0</v>
      </c>
      <c r="BJ3021">
        <v>0</v>
      </c>
      <c r="BK3021">
        <v>2500</v>
      </c>
      <c r="BL3021">
        <v>400</v>
      </c>
      <c r="BM3021" t="s">
        <v>119</v>
      </c>
      <c r="BN3021">
        <v>1</v>
      </c>
      <c r="BO3021">
        <v>1</v>
      </c>
      <c r="BP3021">
        <v>1</v>
      </c>
      <c r="BQ3021">
        <v>0</v>
      </c>
      <c r="BT3021">
        <v>0</v>
      </c>
      <c r="BU3021">
        <v>0</v>
      </c>
      <c r="BV3021">
        <v>0</v>
      </c>
      <c r="CC3021" t="str">
        <f>"19:25:15.672"</f>
        <v>19:25:15.672</v>
      </c>
      <c r="CD3021" t="str">
        <f>"674933495"</f>
        <v>674933495</v>
      </c>
      <c r="CQ3021">
        <v>0</v>
      </c>
      <c r="CR3021">
        <v>2</v>
      </c>
      <c r="CS3021">
        <v>0</v>
      </c>
      <c r="CT3021">
        <v>2</v>
      </c>
      <c r="CU3021">
        <v>0</v>
      </c>
      <c r="CV3021">
        <v>6</v>
      </c>
      <c r="CW3021" t="s">
        <v>120</v>
      </c>
      <c r="CX3021">
        <v>257</v>
      </c>
      <c r="CY3021">
        <v>0</v>
      </c>
      <c r="CZ3021" t="s">
        <v>615</v>
      </c>
      <c r="DA3021" t="s">
        <v>616</v>
      </c>
      <c r="DD3021">
        <v>16222839</v>
      </c>
      <c r="DE3021" t="s">
        <v>123</v>
      </c>
    </row>
    <row r="3022" spans="1:109" x14ac:dyDescent="0.3">
      <c r="A3022" t="str">
        <f>"19:25:16.781"</f>
        <v>19:25:16.781</v>
      </c>
      <c r="B3022" t="s">
        <v>110</v>
      </c>
      <c r="C3022" t="str">
        <f t="shared" si="141"/>
        <v>ffdfd3c0</v>
      </c>
      <c r="D3022" t="s">
        <v>111</v>
      </c>
      <c r="E3022">
        <v>18</v>
      </c>
      <c r="F3022">
        <v>1018</v>
      </c>
      <c r="G3022" t="s">
        <v>112</v>
      </c>
      <c r="J3022" t="s">
        <v>113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R3022" t="s">
        <v>114</v>
      </c>
      <c r="S3022" t="str">
        <f>"19:25:16.555"</f>
        <v>19:25:16.555</v>
      </c>
      <c r="T3022" t="str">
        <f>"19:25:16.156"</f>
        <v>19:25:16.156</v>
      </c>
      <c r="U3022" t="str">
        <f t="shared" si="142"/>
        <v>a1cdbe</v>
      </c>
      <c r="V3022">
        <v>0</v>
      </c>
      <c r="W3022">
        <v>0</v>
      </c>
      <c r="X3022">
        <v>1</v>
      </c>
      <c r="Y3022">
        <v>0</v>
      </c>
      <c r="Z3022">
        <v>0</v>
      </c>
      <c r="AB3022">
        <v>0</v>
      </c>
      <c r="AC3022">
        <v>9</v>
      </c>
      <c r="AD3022">
        <v>3</v>
      </c>
      <c r="AE3022">
        <v>0</v>
      </c>
      <c r="AF3022">
        <v>9</v>
      </c>
      <c r="AG3022" t="s">
        <v>158</v>
      </c>
      <c r="AH3022">
        <v>0</v>
      </c>
      <c r="AI3022">
        <v>3</v>
      </c>
      <c r="AJ3022">
        <v>1</v>
      </c>
      <c r="AK3022">
        <v>0</v>
      </c>
      <c r="AL3022" t="s">
        <v>5684</v>
      </c>
      <c r="AM3022">
        <v>46.986100999999998</v>
      </c>
      <c r="AN3022" t="s">
        <v>5685</v>
      </c>
      <c r="AO3022">
        <v>-123.532741</v>
      </c>
      <c r="AP3022">
        <v>100</v>
      </c>
      <c r="AQ3022">
        <v>2100</v>
      </c>
      <c r="AR3022" t="s">
        <v>118</v>
      </c>
      <c r="AS3022">
        <v>-79</v>
      </c>
      <c r="AT3022">
        <v>16</v>
      </c>
      <c r="AU3022">
        <v>-64</v>
      </c>
      <c r="BC3022">
        <v>1200</v>
      </c>
      <c r="BD3022">
        <v>1</v>
      </c>
      <c r="BE3022" t="str">
        <f t="shared" si="143"/>
        <v xml:space="preserve">N215T   </v>
      </c>
      <c r="BF3022">
        <v>1</v>
      </c>
      <c r="BH3022">
        <v>0</v>
      </c>
      <c r="BI3022">
        <v>0</v>
      </c>
      <c r="BJ3022">
        <v>0</v>
      </c>
      <c r="BK3022">
        <v>2475</v>
      </c>
      <c r="BL3022">
        <v>375</v>
      </c>
      <c r="BM3022" t="s">
        <v>119</v>
      </c>
      <c r="BN3022">
        <v>1</v>
      </c>
      <c r="BO3022">
        <v>1</v>
      </c>
      <c r="BP3022">
        <v>1</v>
      </c>
      <c r="BQ3022">
        <v>0</v>
      </c>
      <c r="BT3022">
        <v>0</v>
      </c>
      <c r="BU3022">
        <v>0</v>
      </c>
      <c r="BV3022">
        <v>0</v>
      </c>
      <c r="CC3022" t="str">
        <f>"19:25:16.563"</f>
        <v>19:25:16.563</v>
      </c>
      <c r="CD3022" t="str">
        <f>"559846289"</f>
        <v>559846289</v>
      </c>
      <c r="CQ3022">
        <v>0</v>
      </c>
      <c r="CR3022">
        <v>2</v>
      </c>
      <c r="CS3022">
        <v>0</v>
      </c>
      <c r="CT3022">
        <v>2</v>
      </c>
      <c r="CU3022">
        <v>0</v>
      </c>
      <c r="CV3022">
        <v>6</v>
      </c>
      <c r="CW3022" t="s">
        <v>120</v>
      </c>
      <c r="CX3022">
        <v>257</v>
      </c>
      <c r="CY3022">
        <v>0</v>
      </c>
      <c r="CZ3022" t="s">
        <v>615</v>
      </c>
      <c r="DA3022" t="s">
        <v>616</v>
      </c>
      <c r="DD3022">
        <v>16223273</v>
      </c>
      <c r="DE3022" t="s">
        <v>123</v>
      </c>
    </row>
    <row r="3023" spans="1:109" x14ac:dyDescent="0.3">
      <c r="A3023" t="str">
        <f>"19:25:17.938"</f>
        <v>19:25:17.938</v>
      </c>
      <c r="B3023" t="s">
        <v>110</v>
      </c>
      <c r="C3023" t="str">
        <f t="shared" si="141"/>
        <v>ffdfd3c0</v>
      </c>
      <c r="D3023" t="s">
        <v>111</v>
      </c>
      <c r="E3023">
        <v>18</v>
      </c>
      <c r="F3023">
        <v>1018</v>
      </c>
      <c r="G3023" t="s">
        <v>112</v>
      </c>
      <c r="J3023" t="s">
        <v>113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R3023" t="s">
        <v>114</v>
      </c>
      <c r="S3023" t="str">
        <f>"19:25:17.695"</f>
        <v>19:25:17.695</v>
      </c>
      <c r="T3023" t="str">
        <f>"19:25:17.695"</f>
        <v>19:25:17.695</v>
      </c>
      <c r="U3023" t="str">
        <f t="shared" si="142"/>
        <v>a1cdbe</v>
      </c>
      <c r="V3023">
        <v>0</v>
      </c>
      <c r="W3023">
        <v>0</v>
      </c>
      <c r="X3023">
        <v>1</v>
      </c>
      <c r="Y3023">
        <v>0</v>
      </c>
      <c r="Z3023">
        <v>0</v>
      </c>
      <c r="AB3023">
        <v>0</v>
      </c>
      <c r="AC3023">
        <v>9</v>
      </c>
      <c r="AD3023">
        <v>3</v>
      </c>
      <c r="AE3023">
        <v>0</v>
      </c>
      <c r="AF3023">
        <v>9</v>
      </c>
      <c r="AG3023" t="s">
        <v>158</v>
      </c>
      <c r="AH3023">
        <v>0</v>
      </c>
      <c r="AI3023">
        <v>3</v>
      </c>
      <c r="AJ3023">
        <v>1</v>
      </c>
      <c r="AK3023">
        <v>0</v>
      </c>
      <c r="AL3023" t="s">
        <v>5686</v>
      </c>
      <c r="AM3023">
        <v>46.986187000000001</v>
      </c>
      <c r="AN3023" t="s">
        <v>5687</v>
      </c>
      <c r="AO3023">
        <v>-123.533299</v>
      </c>
      <c r="AP3023">
        <v>100</v>
      </c>
      <c r="AQ3023">
        <v>2100</v>
      </c>
      <c r="AR3023" t="s">
        <v>118</v>
      </c>
      <c r="AS3023">
        <v>-79</v>
      </c>
      <c r="AT3023">
        <v>17</v>
      </c>
      <c r="AU3023">
        <v>-64</v>
      </c>
      <c r="BC3023">
        <v>1200</v>
      </c>
      <c r="BD3023">
        <v>1</v>
      </c>
      <c r="BE3023" t="str">
        <f t="shared" si="143"/>
        <v xml:space="preserve">N215T   </v>
      </c>
      <c r="BF3023">
        <v>1</v>
      </c>
      <c r="BH3023">
        <v>0</v>
      </c>
      <c r="BI3023">
        <v>0</v>
      </c>
      <c r="BJ3023">
        <v>0</v>
      </c>
      <c r="BK3023">
        <v>2475</v>
      </c>
      <c r="BL3023">
        <v>375</v>
      </c>
      <c r="BM3023" t="s">
        <v>119</v>
      </c>
      <c r="BN3023">
        <v>1</v>
      </c>
      <c r="BO3023">
        <v>1</v>
      </c>
      <c r="BP3023">
        <v>1</v>
      </c>
      <c r="BQ3023">
        <v>0</v>
      </c>
      <c r="BT3023">
        <v>0</v>
      </c>
      <c r="BU3023">
        <v>0</v>
      </c>
      <c r="BV3023">
        <v>0</v>
      </c>
      <c r="CC3023" t="str">
        <f>"19:25:17.703"</f>
        <v>19:25:17.703</v>
      </c>
      <c r="CD3023" t="str">
        <f>"699733956"</f>
        <v>699733956</v>
      </c>
      <c r="CQ3023">
        <v>0</v>
      </c>
      <c r="CR3023">
        <v>2</v>
      </c>
      <c r="CS3023">
        <v>0</v>
      </c>
      <c r="CT3023">
        <v>2</v>
      </c>
      <c r="CU3023">
        <v>0</v>
      </c>
      <c r="CV3023">
        <v>6</v>
      </c>
      <c r="CW3023" t="s">
        <v>120</v>
      </c>
      <c r="CX3023">
        <v>257</v>
      </c>
      <c r="CY3023">
        <v>0</v>
      </c>
      <c r="CZ3023" t="s">
        <v>615</v>
      </c>
      <c r="DA3023" t="s">
        <v>616</v>
      </c>
      <c r="DD3023">
        <v>16223826</v>
      </c>
      <c r="DE3023" t="s">
        <v>123</v>
      </c>
    </row>
    <row r="3024" spans="1:109" x14ac:dyDescent="0.3">
      <c r="A3024" t="str">
        <f>"19:25:18.891"</f>
        <v>19:25:18.891</v>
      </c>
      <c r="B3024" t="s">
        <v>110</v>
      </c>
      <c r="C3024" t="str">
        <f t="shared" si="141"/>
        <v>ffdfd3c0</v>
      </c>
      <c r="D3024" t="s">
        <v>111</v>
      </c>
      <c r="E3024">
        <v>18</v>
      </c>
      <c r="F3024">
        <v>1018</v>
      </c>
      <c r="G3024" t="s">
        <v>112</v>
      </c>
      <c r="J3024" t="s">
        <v>113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R3024" t="s">
        <v>114</v>
      </c>
      <c r="S3024" t="str">
        <f>"19:25:18.656"</f>
        <v>19:25:18.656</v>
      </c>
      <c r="T3024" t="str">
        <f>"19:25:18.656"</f>
        <v>19:25:18.656</v>
      </c>
      <c r="U3024" t="str">
        <f t="shared" si="142"/>
        <v>a1cdbe</v>
      </c>
      <c r="V3024">
        <v>0</v>
      </c>
      <c r="W3024">
        <v>0</v>
      </c>
      <c r="X3024">
        <v>1</v>
      </c>
      <c r="Y3024">
        <v>0</v>
      </c>
      <c r="Z3024">
        <v>0</v>
      </c>
      <c r="AB3024">
        <v>0</v>
      </c>
      <c r="AC3024">
        <v>9</v>
      </c>
      <c r="AD3024">
        <v>3</v>
      </c>
      <c r="AE3024">
        <v>0</v>
      </c>
      <c r="AF3024">
        <v>9</v>
      </c>
      <c r="AG3024" t="s">
        <v>158</v>
      </c>
      <c r="AH3024">
        <v>0</v>
      </c>
      <c r="AI3024">
        <v>3</v>
      </c>
      <c r="AJ3024">
        <v>1</v>
      </c>
      <c r="AK3024">
        <v>0</v>
      </c>
      <c r="AL3024" t="s">
        <v>5688</v>
      </c>
      <c r="AM3024">
        <v>46.986251000000003</v>
      </c>
      <c r="AN3024" t="s">
        <v>5689</v>
      </c>
      <c r="AO3024">
        <v>-123.533857</v>
      </c>
      <c r="AP3024">
        <v>100</v>
      </c>
      <c r="AQ3024">
        <v>2100</v>
      </c>
      <c r="AR3024" t="s">
        <v>118</v>
      </c>
      <c r="AS3024">
        <v>-79</v>
      </c>
      <c r="AT3024">
        <v>16</v>
      </c>
      <c r="AU3024">
        <v>0</v>
      </c>
      <c r="BC3024">
        <v>1200</v>
      </c>
      <c r="BD3024">
        <v>1</v>
      </c>
      <c r="BE3024" t="str">
        <f t="shared" si="143"/>
        <v xml:space="preserve">N215T   </v>
      </c>
      <c r="BF3024">
        <v>1</v>
      </c>
      <c r="BH3024">
        <v>0</v>
      </c>
      <c r="BI3024">
        <v>0</v>
      </c>
      <c r="BJ3024">
        <v>0</v>
      </c>
      <c r="BK3024">
        <v>2475</v>
      </c>
      <c r="BL3024">
        <v>375</v>
      </c>
      <c r="BM3024" t="s">
        <v>119</v>
      </c>
      <c r="BN3024">
        <v>1</v>
      </c>
      <c r="BO3024">
        <v>1</v>
      </c>
      <c r="BP3024">
        <v>1</v>
      </c>
      <c r="BQ3024">
        <v>0</v>
      </c>
      <c r="BT3024">
        <v>0</v>
      </c>
      <c r="BU3024">
        <v>0</v>
      </c>
      <c r="BV3024">
        <v>0</v>
      </c>
      <c r="CC3024" t="str">
        <f>"19:25:18.656"</f>
        <v>19:25:18.656</v>
      </c>
      <c r="CD3024" t="str">
        <f>"659639352"</f>
        <v>659639352</v>
      </c>
      <c r="CQ3024">
        <v>0</v>
      </c>
      <c r="CR3024">
        <v>2</v>
      </c>
      <c r="CS3024">
        <v>0</v>
      </c>
      <c r="CT3024">
        <v>2</v>
      </c>
      <c r="CU3024">
        <v>0</v>
      </c>
      <c r="CV3024">
        <v>6</v>
      </c>
      <c r="CW3024" t="s">
        <v>120</v>
      </c>
      <c r="CX3024">
        <v>257</v>
      </c>
      <c r="CY3024">
        <v>0</v>
      </c>
      <c r="CZ3024" t="s">
        <v>615</v>
      </c>
      <c r="DA3024" t="s">
        <v>616</v>
      </c>
      <c r="DD3024">
        <v>16224335</v>
      </c>
      <c r="DE3024" t="s">
        <v>123</v>
      </c>
    </row>
    <row r="3025" spans="1:109" x14ac:dyDescent="0.3">
      <c r="A3025" t="str">
        <f>"19:25:19.844"</f>
        <v>19:25:19.844</v>
      </c>
      <c r="B3025" t="s">
        <v>110</v>
      </c>
      <c r="C3025" t="str">
        <f t="shared" si="141"/>
        <v>ffdfd3c0</v>
      </c>
      <c r="D3025" t="s">
        <v>111</v>
      </c>
      <c r="E3025">
        <v>18</v>
      </c>
      <c r="F3025">
        <v>1018</v>
      </c>
      <c r="G3025" t="s">
        <v>112</v>
      </c>
      <c r="J3025" t="s">
        <v>113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R3025" t="s">
        <v>114</v>
      </c>
      <c r="S3025" t="str">
        <f>"19:25:19.602"</f>
        <v>19:25:19.602</v>
      </c>
      <c r="T3025" t="str">
        <f>"19:25:19.203"</f>
        <v>19:25:19.203</v>
      </c>
      <c r="U3025" t="str">
        <f t="shared" si="142"/>
        <v>a1cdbe</v>
      </c>
      <c r="V3025">
        <v>0</v>
      </c>
      <c r="W3025">
        <v>0</v>
      </c>
      <c r="X3025">
        <v>1</v>
      </c>
      <c r="Y3025">
        <v>0</v>
      </c>
      <c r="Z3025">
        <v>0</v>
      </c>
      <c r="AB3025">
        <v>0</v>
      </c>
      <c r="AC3025">
        <v>9</v>
      </c>
      <c r="AD3025">
        <v>3</v>
      </c>
      <c r="AE3025">
        <v>0</v>
      </c>
      <c r="AF3025">
        <v>9</v>
      </c>
      <c r="AG3025" t="s">
        <v>158</v>
      </c>
      <c r="AH3025">
        <v>0</v>
      </c>
      <c r="AI3025">
        <v>3</v>
      </c>
      <c r="AJ3025">
        <v>1</v>
      </c>
      <c r="AK3025">
        <v>0</v>
      </c>
      <c r="AL3025" t="s">
        <v>897</v>
      </c>
      <c r="AM3025">
        <v>46.986336999999999</v>
      </c>
      <c r="AN3025" t="s">
        <v>5690</v>
      </c>
      <c r="AO3025">
        <v>-123.534329</v>
      </c>
      <c r="AP3025">
        <v>100</v>
      </c>
      <c r="AQ3025">
        <v>2100</v>
      </c>
      <c r="AR3025" t="s">
        <v>118</v>
      </c>
      <c r="AS3025">
        <v>-79</v>
      </c>
      <c r="AT3025">
        <v>16</v>
      </c>
      <c r="AU3025">
        <v>0</v>
      </c>
      <c r="BC3025">
        <v>1200</v>
      </c>
      <c r="BD3025">
        <v>1</v>
      </c>
      <c r="BE3025" t="str">
        <f t="shared" si="143"/>
        <v xml:space="preserve">N215T   </v>
      </c>
      <c r="BF3025">
        <v>1</v>
      </c>
      <c r="BH3025">
        <v>0</v>
      </c>
      <c r="BI3025">
        <v>0</v>
      </c>
      <c r="BJ3025">
        <v>0</v>
      </c>
      <c r="BK3025">
        <v>2475</v>
      </c>
      <c r="BL3025">
        <v>375</v>
      </c>
      <c r="BM3025" t="s">
        <v>119</v>
      </c>
      <c r="BN3025">
        <v>1</v>
      </c>
      <c r="BO3025">
        <v>1</v>
      </c>
      <c r="BP3025">
        <v>1</v>
      </c>
      <c r="BQ3025">
        <v>0</v>
      </c>
      <c r="BT3025">
        <v>0</v>
      </c>
      <c r="BU3025">
        <v>0</v>
      </c>
      <c r="BV3025">
        <v>0</v>
      </c>
      <c r="CC3025" t="str">
        <f>"19:25:19.602"</f>
        <v>19:25:19.602</v>
      </c>
      <c r="CD3025" t="str">
        <f>"604546230"</f>
        <v>604546230</v>
      </c>
      <c r="CQ3025">
        <v>0</v>
      </c>
      <c r="CR3025">
        <v>2</v>
      </c>
      <c r="CS3025">
        <v>0</v>
      </c>
      <c r="CT3025">
        <v>2</v>
      </c>
      <c r="CU3025">
        <v>0</v>
      </c>
      <c r="CV3025">
        <v>6</v>
      </c>
      <c r="CW3025" t="s">
        <v>120</v>
      </c>
      <c r="CX3025">
        <v>257</v>
      </c>
      <c r="CY3025">
        <v>0</v>
      </c>
      <c r="CZ3025" t="s">
        <v>615</v>
      </c>
      <c r="DA3025" t="s">
        <v>616</v>
      </c>
      <c r="DD3025">
        <v>16224840</v>
      </c>
      <c r="DE3025" t="s">
        <v>123</v>
      </c>
    </row>
    <row r="3026" spans="1:109" x14ac:dyDescent="0.3">
      <c r="A3026" t="str">
        <f>"19:25:20.852"</f>
        <v>19:25:20.852</v>
      </c>
      <c r="B3026" t="s">
        <v>110</v>
      </c>
      <c r="C3026" t="str">
        <f t="shared" si="141"/>
        <v>ffdfd3c0</v>
      </c>
      <c r="D3026" t="s">
        <v>111</v>
      </c>
      <c r="E3026">
        <v>18</v>
      </c>
      <c r="F3026">
        <v>1018</v>
      </c>
      <c r="G3026" t="s">
        <v>112</v>
      </c>
      <c r="J3026" t="s">
        <v>113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R3026" t="s">
        <v>114</v>
      </c>
      <c r="S3026" t="str">
        <f>"19:25:20.594"</f>
        <v>19:25:20.594</v>
      </c>
      <c r="T3026" t="str">
        <f>"19:25:20.391"</f>
        <v>19:25:20.391</v>
      </c>
      <c r="U3026" t="str">
        <f t="shared" si="142"/>
        <v>a1cdbe</v>
      </c>
      <c r="V3026">
        <v>0</v>
      </c>
      <c r="W3026">
        <v>0</v>
      </c>
      <c r="X3026">
        <v>1</v>
      </c>
      <c r="Y3026">
        <v>0</v>
      </c>
      <c r="Z3026">
        <v>0</v>
      </c>
      <c r="AB3026">
        <v>0</v>
      </c>
      <c r="AC3026">
        <v>9</v>
      </c>
      <c r="AD3026">
        <v>3</v>
      </c>
      <c r="AE3026">
        <v>0</v>
      </c>
      <c r="AF3026">
        <v>9</v>
      </c>
      <c r="AG3026" t="s">
        <v>158</v>
      </c>
      <c r="AH3026">
        <v>0</v>
      </c>
      <c r="AI3026">
        <v>3</v>
      </c>
      <c r="AJ3026">
        <v>1</v>
      </c>
      <c r="AK3026">
        <v>0</v>
      </c>
      <c r="AL3026" t="s">
        <v>5691</v>
      </c>
      <c r="AM3026">
        <v>46.986379999999997</v>
      </c>
      <c r="AN3026" t="s">
        <v>5692</v>
      </c>
      <c r="AO3026">
        <v>-123.53484400000001</v>
      </c>
      <c r="AP3026">
        <v>100</v>
      </c>
      <c r="AQ3026">
        <v>2100</v>
      </c>
      <c r="AR3026" t="s">
        <v>118</v>
      </c>
      <c r="AS3026">
        <v>-79</v>
      </c>
      <c r="AT3026">
        <v>16</v>
      </c>
      <c r="AU3026">
        <v>64</v>
      </c>
      <c r="BC3026">
        <v>1200</v>
      </c>
      <c r="BD3026">
        <v>1</v>
      </c>
      <c r="BE3026" t="str">
        <f t="shared" si="143"/>
        <v xml:space="preserve">N215T   </v>
      </c>
      <c r="BF3026">
        <v>1</v>
      </c>
      <c r="BH3026">
        <v>0</v>
      </c>
      <c r="BI3026">
        <v>0</v>
      </c>
      <c r="BJ3026">
        <v>0</v>
      </c>
      <c r="BK3026">
        <v>2475</v>
      </c>
      <c r="BL3026">
        <v>375</v>
      </c>
      <c r="BM3026" t="s">
        <v>119</v>
      </c>
      <c r="BN3026">
        <v>1</v>
      </c>
      <c r="BO3026">
        <v>1</v>
      </c>
      <c r="BP3026">
        <v>1</v>
      </c>
      <c r="BQ3026">
        <v>0</v>
      </c>
      <c r="BT3026">
        <v>0</v>
      </c>
      <c r="BU3026">
        <v>0</v>
      </c>
      <c r="BV3026">
        <v>0</v>
      </c>
      <c r="CC3026" t="str">
        <f>"19:25:20.594"</f>
        <v>19:25:20.594</v>
      </c>
      <c r="CD3026" t="str">
        <f>"594448679"</f>
        <v>594448679</v>
      </c>
      <c r="CQ3026">
        <v>0</v>
      </c>
      <c r="CR3026">
        <v>2</v>
      </c>
      <c r="CS3026">
        <v>0</v>
      </c>
      <c r="CT3026">
        <v>2</v>
      </c>
      <c r="CU3026">
        <v>0</v>
      </c>
      <c r="CV3026">
        <v>6</v>
      </c>
      <c r="CW3026" t="s">
        <v>120</v>
      </c>
      <c r="CX3026">
        <v>257</v>
      </c>
      <c r="CY3026">
        <v>0</v>
      </c>
      <c r="CZ3026" t="s">
        <v>615</v>
      </c>
      <c r="DA3026" t="s">
        <v>616</v>
      </c>
      <c r="DD3026">
        <v>16225344</v>
      </c>
      <c r="DE3026" t="s">
        <v>123</v>
      </c>
    </row>
    <row r="3027" spans="1:109" x14ac:dyDescent="0.3">
      <c r="A3027" t="str">
        <f>"19:25:21.805"</f>
        <v>19:25:21.805</v>
      </c>
      <c r="B3027" t="s">
        <v>110</v>
      </c>
      <c r="C3027" t="str">
        <f t="shared" si="141"/>
        <v>ffdfd3c0</v>
      </c>
      <c r="D3027" t="s">
        <v>111</v>
      </c>
      <c r="E3027">
        <v>18</v>
      </c>
      <c r="F3027">
        <v>1018</v>
      </c>
      <c r="G3027" t="s">
        <v>112</v>
      </c>
      <c r="J3027" t="s">
        <v>113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R3027" t="s">
        <v>114</v>
      </c>
      <c r="S3027" t="str">
        <f>"19:25:21.523"</f>
        <v>19:25:21.523</v>
      </c>
      <c r="T3027" t="str">
        <f>"19:25:21.320"</f>
        <v>19:25:21.320</v>
      </c>
      <c r="U3027" t="str">
        <f t="shared" si="142"/>
        <v>a1cdbe</v>
      </c>
      <c r="V3027">
        <v>0</v>
      </c>
      <c r="W3027">
        <v>0</v>
      </c>
      <c r="X3027">
        <v>1</v>
      </c>
      <c r="Y3027">
        <v>0</v>
      </c>
      <c r="Z3027">
        <v>0</v>
      </c>
      <c r="AB3027">
        <v>0</v>
      </c>
      <c r="AC3027">
        <v>9</v>
      </c>
      <c r="AD3027">
        <v>3</v>
      </c>
      <c r="AE3027">
        <v>0</v>
      </c>
      <c r="AF3027">
        <v>9</v>
      </c>
      <c r="AG3027" t="s">
        <v>158</v>
      </c>
      <c r="AH3027">
        <v>0</v>
      </c>
      <c r="AI3027">
        <v>3</v>
      </c>
      <c r="AJ3027">
        <v>1</v>
      </c>
      <c r="AK3027">
        <v>0</v>
      </c>
      <c r="AL3027" t="s">
        <v>5693</v>
      </c>
      <c r="AM3027">
        <v>46.986486999999997</v>
      </c>
      <c r="AN3027" t="s">
        <v>5694</v>
      </c>
      <c r="AO3027">
        <v>-123.535337</v>
      </c>
      <c r="AP3027">
        <v>100</v>
      </c>
      <c r="AQ3027">
        <v>2100</v>
      </c>
      <c r="AR3027" t="s">
        <v>118</v>
      </c>
      <c r="AS3027">
        <v>-79</v>
      </c>
      <c r="AT3027">
        <v>16</v>
      </c>
      <c r="AU3027">
        <v>128</v>
      </c>
      <c r="BC3027">
        <v>1200</v>
      </c>
      <c r="BD3027">
        <v>1</v>
      </c>
      <c r="BE3027" t="str">
        <f t="shared" si="143"/>
        <v xml:space="preserve">N215T   </v>
      </c>
      <c r="BF3027">
        <v>1</v>
      </c>
      <c r="BH3027">
        <v>0</v>
      </c>
      <c r="BI3027">
        <v>0</v>
      </c>
      <c r="BJ3027">
        <v>0</v>
      </c>
      <c r="BK3027">
        <v>2475</v>
      </c>
      <c r="BL3027">
        <v>375</v>
      </c>
      <c r="BM3027" t="s">
        <v>119</v>
      </c>
      <c r="BN3027">
        <v>1</v>
      </c>
      <c r="BO3027">
        <v>1</v>
      </c>
      <c r="BP3027">
        <v>1</v>
      </c>
      <c r="BQ3027">
        <v>0</v>
      </c>
      <c r="BT3027">
        <v>0</v>
      </c>
      <c r="BU3027">
        <v>0</v>
      </c>
      <c r="BV3027">
        <v>0</v>
      </c>
      <c r="CC3027" t="str">
        <f>"19:25:21.523"</f>
        <v>19:25:21.523</v>
      </c>
      <c r="CD3027" t="str">
        <f>"524357031"</f>
        <v>524357031</v>
      </c>
      <c r="CQ3027">
        <v>0</v>
      </c>
      <c r="CR3027">
        <v>2</v>
      </c>
      <c r="CS3027">
        <v>0</v>
      </c>
      <c r="CT3027">
        <v>2</v>
      </c>
      <c r="CU3027">
        <v>0</v>
      </c>
      <c r="CV3027">
        <v>6</v>
      </c>
      <c r="CW3027" t="s">
        <v>120</v>
      </c>
      <c r="CX3027">
        <v>257</v>
      </c>
      <c r="CY3027">
        <v>0</v>
      </c>
      <c r="CZ3027" t="s">
        <v>615</v>
      </c>
      <c r="DA3027" t="s">
        <v>616</v>
      </c>
      <c r="DD3027">
        <v>16225829</v>
      </c>
      <c r="DE3027" t="s">
        <v>123</v>
      </c>
    </row>
    <row r="3028" spans="1:109" x14ac:dyDescent="0.3">
      <c r="A3028" t="str">
        <f>"19:25:22.859"</f>
        <v>19:25:22.859</v>
      </c>
      <c r="B3028" t="s">
        <v>110</v>
      </c>
      <c r="C3028" t="str">
        <f t="shared" si="141"/>
        <v>ffdfd3c0</v>
      </c>
      <c r="D3028" t="s">
        <v>111</v>
      </c>
      <c r="E3028">
        <v>18</v>
      </c>
      <c r="F3028">
        <v>1018</v>
      </c>
      <c r="G3028" t="s">
        <v>112</v>
      </c>
      <c r="J3028" t="s">
        <v>113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R3028" t="s">
        <v>114</v>
      </c>
      <c r="S3028" t="str">
        <f>"19:25:22.617"</f>
        <v>19:25:22.617</v>
      </c>
      <c r="T3028" t="str">
        <f>"19:25:22.219"</f>
        <v>19:25:22.219</v>
      </c>
      <c r="U3028" t="str">
        <f t="shared" si="142"/>
        <v>a1cdbe</v>
      </c>
      <c r="V3028">
        <v>0</v>
      </c>
      <c r="W3028">
        <v>0</v>
      </c>
      <c r="X3028">
        <v>1</v>
      </c>
      <c r="Y3028">
        <v>0</v>
      </c>
      <c r="Z3028">
        <v>0</v>
      </c>
      <c r="AB3028">
        <v>0</v>
      </c>
      <c r="AC3028">
        <v>9</v>
      </c>
      <c r="AD3028">
        <v>3</v>
      </c>
      <c r="AE3028">
        <v>0</v>
      </c>
      <c r="AF3028">
        <v>9</v>
      </c>
      <c r="AG3028" t="s">
        <v>158</v>
      </c>
      <c r="AH3028">
        <v>0</v>
      </c>
      <c r="AI3028">
        <v>3</v>
      </c>
      <c r="AJ3028">
        <v>1</v>
      </c>
      <c r="AK3028">
        <v>0</v>
      </c>
      <c r="AL3028" t="s">
        <v>5695</v>
      </c>
      <c r="AM3028">
        <v>46.986530000000002</v>
      </c>
      <c r="AN3028" t="s">
        <v>5696</v>
      </c>
      <c r="AO3028">
        <v>-123.535917</v>
      </c>
      <c r="AP3028">
        <v>100</v>
      </c>
      <c r="AQ3028">
        <v>2100</v>
      </c>
      <c r="AR3028" t="s">
        <v>118</v>
      </c>
      <c r="AS3028">
        <v>-79</v>
      </c>
      <c r="AT3028">
        <v>15</v>
      </c>
      <c r="AU3028">
        <v>128</v>
      </c>
      <c r="BC3028">
        <v>1200</v>
      </c>
      <c r="BD3028">
        <v>1</v>
      </c>
      <c r="BE3028" t="str">
        <f t="shared" si="143"/>
        <v xml:space="preserve">N215T   </v>
      </c>
      <c r="BF3028">
        <v>1</v>
      </c>
      <c r="BH3028">
        <v>0</v>
      </c>
      <c r="BI3028">
        <v>0</v>
      </c>
      <c r="BJ3028">
        <v>0</v>
      </c>
      <c r="BK3028">
        <v>2475</v>
      </c>
      <c r="BL3028">
        <v>375</v>
      </c>
      <c r="BM3028" t="s">
        <v>119</v>
      </c>
      <c r="BN3028">
        <v>1</v>
      </c>
      <c r="BO3028">
        <v>1</v>
      </c>
      <c r="BP3028">
        <v>1</v>
      </c>
      <c r="BQ3028">
        <v>0</v>
      </c>
      <c r="BT3028">
        <v>0</v>
      </c>
      <c r="BU3028">
        <v>0</v>
      </c>
      <c r="BV3028">
        <v>0</v>
      </c>
      <c r="CC3028" t="str">
        <f>"19:25:22.617"</f>
        <v>19:25:22.617</v>
      </c>
      <c r="CD3028" t="str">
        <f>"619249124"</f>
        <v>619249124</v>
      </c>
      <c r="CQ3028">
        <v>0</v>
      </c>
      <c r="CR3028">
        <v>2</v>
      </c>
      <c r="CS3028">
        <v>0</v>
      </c>
      <c r="CT3028">
        <v>2</v>
      </c>
      <c r="CU3028">
        <v>0</v>
      </c>
      <c r="CV3028">
        <v>6</v>
      </c>
      <c r="CW3028" t="s">
        <v>120</v>
      </c>
      <c r="CX3028">
        <v>257</v>
      </c>
      <c r="CY3028">
        <v>0</v>
      </c>
      <c r="CZ3028" t="s">
        <v>615</v>
      </c>
      <c r="DA3028" t="s">
        <v>616</v>
      </c>
      <c r="DD3028">
        <v>16226363</v>
      </c>
      <c r="DE3028" t="s">
        <v>123</v>
      </c>
    </row>
    <row r="3029" spans="1:109" x14ac:dyDescent="0.3">
      <c r="A3029" t="str">
        <f>"19:25:23.813"</f>
        <v>19:25:23.813</v>
      </c>
      <c r="B3029" t="s">
        <v>110</v>
      </c>
      <c r="C3029" t="str">
        <f t="shared" si="141"/>
        <v>ffdfd3c0</v>
      </c>
      <c r="D3029" t="s">
        <v>111</v>
      </c>
      <c r="E3029">
        <v>18</v>
      </c>
      <c r="F3029">
        <v>1018</v>
      </c>
      <c r="G3029" t="s">
        <v>112</v>
      </c>
      <c r="J3029" t="s">
        <v>113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R3029" t="s">
        <v>114</v>
      </c>
      <c r="S3029" t="str">
        <f>"19:25:23.594"</f>
        <v>19:25:23.594</v>
      </c>
      <c r="T3029" t="str">
        <f>"19:25:23.195"</f>
        <v>19:25:23.195</v>
      </c>
      <c r="U3029" t="str">
        <f t="shared" si="142"/>
        <v>a1cdbe</v>
      </c>
      <c r="V3029">
        <v>0</v>
      </c>
      <c r="W3029">
        <v>0</v>
      </c>
      <c r="X3029">
        <v>1</v>
      </c>
      <c r="Y3029">
        <v>0</v>
      </c>
      <c r="Z3029">
        <v>0</v>
      </c>
      <c r="AB3029">
        <v>0</v>
      </c>
      <c r="AC3029">
        <v>9</v>
      </c>
      <c r="AD3029">
        <v>3</v>
      </c>
      <c r="AE3029">
        <v>0</v>
      </c>
      <c r="AF3029">
        <v>9</v>
      </c>
      <c r="AG3029" t="s">
        <v>158</v>
      </c>
      <c r="AH3029">
        <v>0</v>
      </c>
      <c r="AI3029">
        <v>3</v>
      </c>
      <c r="AJ3029">
        <v>1</v>
      </c>
      <c r="AK3029">
        <v>0</v>
      </c>
      <c r="AL3029" t="s">
        <v>5697</v>
      </c>
      <c r="AM3029">
        <v>46.986593999999997</v>
      </c>
      <c r="AN3029" t="s">
        <v>5698</v>
      </c>
      <c r="AO3029">
        <v>-123.53645299999999</v>
      </c>
      <c r="AP3029">
        <v>100</v>
      </c>
      <c r="AQ3029">
        <v>2100</v>
      </c>
      <c r="AR3029" t="s">
        <v>118</v>
      </c>
      <c r="AS3029">
        <v>-78</v>
      </c>
      <c r="AT3029">
        <v>15</v>
      </c>
      <c r="AU3029">
        <v>64</v>
      </c>
      <c r="BC3029">
        <v>1200</v>
      </c>
      <c r="BD3029">
        <v>1</v>
      </c>
      <c r="BE3029" t="str">
        <f t="shared" si="143"/>
        <v xml:space="preserve">N215T   </v>
      </c>
      <c r="BF3029">
        <v>1</v>
      </c>
      <c r="BH3029">
        <v>0</v>
      </c>
      <c r="BI3029">
        <v>0</v>
      </c>
      <c r="BJ3029">
        <v>0</v>
      </c>
      <c r="BK3029">
        <v>2500</v>
      </c>
      <c r="BL3029">
        <v>400</v>
      </c>
      <c r="BM3029" t="s">
        <v>119</v>
      </c>
      <c r="BN3029">
        <v>1</v>
      </c>
      <c r="BO3029">
        <v>1</v>
      </c>
      <c r="BP3029">
        <v>1</v>
      </c>
      <c r="BQ3029">
        <v>0</v>
      </c>
      <c r="BT3029">
        <v>0</v>
      </c>
      <c r="BU3029">
        <v>0</v>
      </c>
      <c r="BV3029">
        <v>0</v>
      </c>
      <c r="CC3029" t="str">
        <f>"19:25:23.594"</f>
        <v>19:25:23.594</v>
      </c>
      <c r="CD3029" t="str">
        <f>"594153049"</f>
        <v>594153049</v>
      </c>
      <c r="CQ3029">
        <v>0</v>
      </c>
      <c r="CR3029">
        <v>2</v>
      </c>
      <c r="CS3029">
        <v>0</v>
      </c>
      <c r="CT3029">
        <v>2</v>
      </c>
      <c r="CU3029">
        <v>0</v>
      </c>
      <c r="CV3029">
        <v>6</v>
      </c>
      <c r="CW3029" t="s">
        <v>120</v>
      </c>
      <c r="CX3029">
        <v>257</v>
      </c>
      <c r="CY3029">
        <v>0</v>
      </c>
      <c r="CZ3029" t="s">
        <v>615</v>
      </c>
      <c r="DA3029" t="s">
        <v>616</v>
      </c>
      <c r="DD3029">
        <v>16226894</v>
      </c>
      <c r="DE3029" t="s">
        <v>123</v>
      </c>
    </row>
    <row r="3030" spans="1:109" x14ac:dyDescent="0.3">
      <c r="A3030" t="str">
        <f>"19:25:24.867"</f>
        <v>19:25:24.867</v>
      </c>
      <c r="B3030" t="s">
        <v>110</v>
      </c>
      <c r="C3030" t="str">
        <f t="shared" si="141"/>
        <v>ffdfd3c0</v>
      </c>
      <c r="D3030" t="s">
        <v>111</v>
      </c>
      <c r="E3030">
        <v>18</v>
      </c>
      <c r="F3030">
        <v>1018</v>
      </c>
      <c r="G3030" t="s">
        <v>112</v>
      </c>
      <c r="J3030" t="s">
        <v>113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R3030" t="s">
        <v>114</v>
      </c>
      <c r="S3030" t="str">
        <f>"19:25:24.609"</f>
        <v>19:25:24.609</v>
      </c>
      <c r="T3030" t="str">
        <f>"19:25:24.211"</f>
        <v>19:25:24.211</v>
      </c>
      <c r="U3030" t="str">
        <f t="shared" si="142"/>
        <v>a1cdbe</v>
      </c>
      <c r="V3030">
        <v>0</v>
      </c>
      <c r="W3030">
        <v>0</v>
      </c>
      <c r="X3030">
        <v>1</v>
      </c>
      <c r="Y3030">
        <v>0</v>
      </c>
      <c r="Z3030">
        <v>0</v>
      </c>
      <c r="AB3030">
        <v>0</v>
      </c>
      <c r="AC3030">
        <v>9</v>
      </c>
      <c r="AD3030">
        <v>3</v>
      </c>
      <c r="AE3030">
        <v>0</v>
      </c>
      <c r="AF3030">
        <v>9</v>
      </c>
      <c r="AG3030" t="s">
        <v>158</v>
      </c>
      <c r="AH3030">
        <v>0</v>
      </c>
      <c r="AI3030">
        <v>3</v>
      </c>
      <c r="AJ3030">
        <v>1</v>
      </c>
      <c r="AK3030">
        <v>0</v>
      </c>
      <c r="AL3030" t="s">
        <v>5699</v>
      </c>
      <c r="AM3030">
        <v>46.986659000000003</v>
      </c>
      <c r="AN3030" t="s">
        <v>5700</v>
      </c>
      <c r="AO3030">
        <v>-123.536968</v>
      </c>
      <c r="AP3030">
        <v>100</v>
      </c>
      <c r="AQ3030">
        <v>2100</v>
      </c>
      <c r="AR3030" t="s">
        <v>118</v>
      </c>
      <c r="AS3030">
        <v>-78</v>
      </c>
      <c r="AT3030">
        <v>15</v>
      </c>
      <c r="AU3030">
        <v>64</v>
      </c>
      <c r="BC3030">
        <v>1200</v>
      </c>
      <c r="BD3030">
        <v>1</v>
      </c>
      <c r="BE3030" t="str">
        <f t="shared" si="143"/>
        <v xml:space="preserve">N215T   </v>
      </c>
      <c r="BF3030">
        <v>1</v>
      </c>
      <c r="BH3030">
        <v>0</v>
      </c>
      <c r="BI3030">
        <v>0</v>
      </c>
      <c r="BJ3030">
        <v>0</v>
      </c>
      <c r="BK3030">
        <v>2500</v>
      </c>
      <c r="BL3030">
        <v>400</v>
      </c>
      <c r="BM3030" t="s">
        <v>119</v>
      </c>
      <c r="BN3030">
        <v>1</v>
      </c>
      <c r="BO3030">
        <v>1</v>
      </c>
      <c r="BP3030">
        <v>1</v>
      </c>
      <c r="BQ3030">
        <v>0</v>
      </c>
      <c r="BT3030">
        <v>0</v>
      </c>
      <c r="BU3030">
        <v>0</v>
      </c>
      <c r="BV3030">
        <v>0</v>
      </c>
      <c r="CC3030" t="str">
        <f>"19:25:24.617"</f>
        <v>19:25:24.617</v>
      </c>
      <c r="CD3030" t="str">
        <f>"614052532"</f>
        <v>614052532</v>
      </c>
      <c r="CQ3030">
        <v>0</v>
      </c>
      <c r="CR3030">
        <v>2</v>
      </c>
      <c r="CS3030">
        <v>0</v>
      </c>
      <c r="CT3030">
        <v>2</v>
      </c>
      <c r="CU3030">
        <v>0</v>
      </c>
      <c r="CV3030">
        <v>6</v>
      </c>
      <c r="CW3030" t="s">
        <v>120</v>
      </c>
      <c r="CX3030">
        <v>257</v>
      </c>
      <c r="CY3030">
        <v>0</v>
      </c>
      <c r="CZ3030" t="s">
        <v>615</v>
      </c>
      <c r="DA3030" t="s">
        <v>616</v>
      </c>
      <c r="DD3030">
        <v>16227461</v>
      </c>
      <c r="DE3030" t="s">
        <v>123</v>
      </c>
    </row>
    <row r="3031" spans="1:109" x14ac:dyDescent="0.3">
      <c r="A3031" t="str">
        <f>"19:25:25.875"</f>
        <v>19:25:25.875</v>
      </c>
      <c r="B3031" t="s">
        <v>110</v>
      </c>
      <c r="C3031" t="str">
        <f t="shared" si="141"/>
        <v>ffdfd3c0</v>
      </c>
      <c r="D3031" t="s">
        <v>111</v>
      </c>
      <c r="E3031">
        <v>18</v>
      </c>
      <c r="F3031">
        <v>1018</v>
      </c>
      <c r="G3031" t="s">
        <v>112</v>
      </c>
      <c r="J3031" t="s">
        <v>113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R3031" t="s">
        <v>114</v>
      </c>
      <c r="S3031" t="str">
        <f>"19:25:25.648"</f>
        <v>19:25:25.648</v>
      </c>
      <c r="T3031" t="str">
        <f>"19:25:25.148"</f>
        <v>19:25:25.148</v>
      </c>
      <c r="U3031" t="str">
        <f t="shared" si="142"/>
        <v>a1cdbe</v>
      </c>
      <c r="V3031">
        <v>0</v>
      </c>
      <c r="W3031">
        <v>0</v>
      </c>
      <c r="X3031">
        <v>1</v>
      </c>
      <c r="Y3031">
        <v>0</v>
      </c>
      <c r="Z3031">
        <v>0</v>
      </c>
      <c r="AB3031">
        <v>0</v>
      </c>
      <c r="AC3031">
        <v>9</v>
      </c>
      <c r="AD3031">
        <v>3</v>
      </c>
      <c r="AE3031">
        <v>0</v>
      </c>
      <c r="AF3031">
        <v>9</v>
      </c>
      <c r="AG3031" t="s">
        <v>158</v>
      </c>
      <c r="AH3031">
        <v>0</v>
      </c>
      <c r="AI3031">
        <v>3</v>
      </c>
      <c r="AJ3031">
        <v>1</v>
      </c>
      <c r="AK3031">
        <v>0</v>
      </c>
      <c r="AL3031" t="s">
        <v>5701</v>
      </c>
      <c r="AM3031">
        <v>46.986744000000002</v>
      </c>
      <c r="AN3031" t="s">
        <v>5702</v>
      </c>
      <c r="AO3031">
        <v>-123.537548</v>
      </c>
      <c r="AP3031">
        <v>100</v>
      </c>
      <c r="AQ3031">
        <v>2100</v>
      </c>
      <c r="AR3031" t="s">
        <v>118</v>
      </c>
      <c r="AS3031">
        <v>-78</v>
      </c>
      <c r="AT3031">
        <v>15</v>
      </c>
      <c r="AU3031">
        <v>64</v>
      </c>
      <c r="BC3031">
        <v>1200</v>
      </c>
      <c r="BD3031">
        <v>1</v>
      </c>
      <c r="BE3031" t="str">
        <f t="shared" si="143"/>
        <v xml:space="preserve">N215T   </v>
      </c>
      <c r="BF3031">
        <v>1</v>
      </c>
      <c r="BH3031">
        <v>0</v>
      </c>
      <c r="BI3031">
        <v>0</v>
      </c>
      <c r="BJ3031">
        <v>0</v>
      </c>
      <c r="BK3031">
        <v>2500</v>
      </c>
      <c r="BL3031">
        <v>400</v>
      </c>
      <c r="BM3031" t="s">
        <v>119</v>
      </c>
      <c r="BN3031">
        <v>1</v>
      </c>
      <c r="BO3031">
        <v>1</v>
      </c>
      <c r="BP3031">
        <v>1</v>
      </c>
      <c r="BQ3031">
        <v>0</v>
      </c>
      <c r="BT3031">
        <v>0</v>
      </c>
      <c r="BU3031">
        <v>0</v>
      </c>
      <c r="BV3031">
        <v>0</v>
      </c>
      <c r="CC3031" t="str">
        <f>"19:25:25.648"</f>
        <v>19:25:25.648</v>
      </c>
      <c r="CD3031" t="str">
        <f>"648950541"</f>
        <v>648950541</v>
      </c>
      <c r="CQ3031">
        <v>0</v>
      </c>
      <c r="CR3031">
        <v>2</v>
      </c>
      <c r="CS3031">
        <v>0</v>
      </c>
      <c r="CT3031">
        <v>2</v>
      </c>
      <c r="CU3031">
        <v>0</v>
      </c>
      <c r="CV3031">
        <v>6</v>
      </c>
      <c r="CW3031" t="s">
        <v>120</v>
      </c>
      <c r="CX3031">
        <v>257</v>
      </c>
      <c r="CY3031">
        <v>0</v>
      </c>
      <c r="CZ3031" t="s">
        <v>615</v>
      </c>
      <c r="DA3031" t="s">
        <v>616</v>
      </c>
      <c r="DD3031">
        <v>16227963</v>
      </c>
      <c r="DE3031" t="s">
        <v>123</v>
      </c>
    </row>
    <row r="3032" spans="1:109" x14ac:dyDescent="0.3">
      <c r="A3032" t="str">
        <f>"19:25:26.930"</f>
        <v>19:25:26.930</v>
      </c>
      <c r="B3032" t="s">
        <v>110</v>
      </c>
      <c r="C3032" t="str">
        <f t="shared" si="141"/>
        <v>ffdfd3c0</v>
      </c>
      <c r="D3032" t="s">
        <v>111</v>
      </c>
      <c r="E3032">
        <v>18</v>
      </c>
      <c r="F3032">
        <v>1018</v>
      </c>
      <c r="G3032" t="s">
        <v>112</v>
      </c>
      <c r="J3032" t="s">
        <v>113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R3032" t="s">
        <v>114</v>
      </c>
      <c r="S3032" t="str">
        <f>"19:25:26.680"</f>
        <v>19:25:26.680</v>
      </c>
      <c r="T3032" t="str">
        <f>"19:25:26.281"</f>
        <v>19:25:26.281</v>
      </c>
      <c r="U3032" t="str">
        <f t="shared" si="142"/>
        <v>a1cdbe</v>
      </c>
      <c r="V3032">
        <v>0</v>
      </c>
      <c r="W3032">
        <v>0</v>
      </c>
      <c r="X3032">
        <v>1</v>
      </c>
      <c r="Y3032">
        <v>0</v>
      </c>
      <c r="Z3032">
        <v>0</v>
      </c>
      <c r="AB3032">
        <v>0</v>
      </c>
      <c r="AC3032">
        <v>9</v>
      </c>
      <c r="AD3032">
        <v>3</v>
      </c>
      <c r="AE3032">
        <v>0</v>
      </c>
      <c r="AF3032">
        <v>9</v>
      </c>
      <c r="AG3032" t="s">
        <v>158</v>
      </c>
      <c r="AH3032">
        <v>0</v>
      </c>
      <c r="AI3032">
        <v>3</v>
      </c>
      <c r="AJ3032">
        <v>1</v>
      </c>
      <c r="AK3032">
        <v>0</v>
      </c>
      <c r="AL3032" t="s">
        <v>5703</v>
      </c>
      <c r="AM3032">
        <v>46.986809000000001</v>
      </c>
      <c r="AN3032" t="s">
        <v>5704</v>
      </c>
      <c r="AO3032">
        <v>-123.538084</v>
      </c>
      <c r="AP3032">
        <v>100</v>
      </c>
      <c r="AQ3032">
        <v>2100</v>
      </c>
      <c r="AR3032" t="s">
        <v>118</v>
      </c>
      <c r="AS3032">
        <v>-78</v>
      </c>
      <c r="AT3032">
        <v>15</v>
      </c>
      <c r="AU3032">
        <v>0</v>
      </c>
      <c r="BC3032">
        <v>1200</v>
      </c>
      <c r="BD3032">
        <v>1</v>
      </c>
      <c r="BE3032" t="str">
        <f t="shared" si="143"/>
        <v xml:space="preserve">N215T   </v>
      </c>
      <c r="BF3032">
        <v>1</v>
      </c>
      <c r="BH3032">
        <v>0</v>
      </c>
      <c r="BI3032">
        <v>0</v>
      </c>
      <c r="BJ3032">
        <v>0</v>
      </c>
      <c r="BK3032">
        <v>2500</v>
      </c>
      <c r="BL3032">
        <v>400</v>
      </c>
      <c r="BM3032" t="s">
        <v>119</v>
      </c>
      <c r="BN3032">
        <v>1</v>
      </c>
      <c r="BO3032">
        <v>1</v>
      </c>
      <c r="BP3032">
        <v>1</v>
      </c>
      <c r="BQ3032">
        <v>0</v>
      </c>
      <c r="BT3032">
        <v>0</v>
      </c>
      <c r="BU3032">
        <v>0</v>
      </c>
      <c r="BV3032">
        <v>0</v>
      </c>
      <c r="CC3032" t="str">
        <f>"19:25:26.688"</f>
        <v>19:25:26.688</v>
      </c>
      <c r="CD3032" t="str">
        <f>"683848547"</f>
        <v>683848547</v>
      </c>
      <c r="CQ3032">
        <v>0</v>
      </c>
      <c r="CR3032">
        <v>2</v>
      </c>
      <c r="CS3032">
        <v>0</v>
      </c>
      <c r="CT3032">
        <v>2</v>
      </c>
      <c r="CU3032">
        <v>0</v>
      </c>
      <c r="CV3032">
        <v>6</v>
      </c>
      <c r="CW3032" t="s">
        <v>120</v>
      </c>
      <c r="CX3032">
        <v>257</v>
      </c>
      <c r="CY3032">
        <v>0</v>
      </c>
      <c r="CZ3032" t="s">
        <v>615</v>
      </c>
      <c r="DA3032" t="s">
        <v>616</v>
      </c>
      <c r="DD3032">
        <v>16228504</v>
      </c>
      <c r="DE3032" t="s">
        <v>123</v>
      </c>
    </row>
    <row r="3033" spans="1:109" x14ac:dyDescent="0.3">
      <c r="A3033" t="str">
        <f>"19:25:27.891"</f>
        <v>19:25:27.891</v>
      </c>
      <c r="B3033" t="s">
        <v>110</v>
      </c>
      <c r="C3033" t="str">
        <f t="shared" si="141"/>
        <v>ffdfd3c0</v>
      </c>
      <c r="D3033" t="s">
        <v>111</v>
      </c>
      <c r="E3033">
        <v>18</v>
      </c>
      <c r="F3033">
        <v>1018</v>
      </c>
      <c r="G3033" t="s">
        <v>112</v>
      </c>
      <c r="J3033" t="s">
        <v>113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R3033" t="s">
        <v>114</v>
      </c>
      <c r="S3033" t="str">
        <f>"19:25:27.609"</f>
        <v>19:25:27.609</v>
      </c>
      <c r="T3033" t="str">
        <f>"19:25:27.313"</f>
        <v>19:25:27.313</v>
      </c>
      <c r="U3033" t="str">
        <f t="shared" si="142"/>
        <v>a1cdbe</v>
      </c>
      <c r="V3033">
        <v>0</v>
      </c>
      <c r="W3033">
        <v>0</v>
      </c>
      <c r="X3033">
        <v>1</v>
      </c>
      <c r="Y3033">
        <v>0</v>
      </c>
      <c r="Z3033">
        <v>0</v>
      </c>
      <c r="AB3033">
        <v>0</v>
      </c>
      <c r="AC3033">
        <v>9</v>
      </c>
      <c r="AD3033">
        <v>3</v>
      </c>
      <c r="AE3033">
        <v>0</v>
      </c>
      <c r="AF3033">
        <v>9</v>
      </c>
      <c r="AG3033" t="s">
        <v>158</v>
      </c>
      <c r="AH3033">
        <v>0</v>
      </c>
      <c r="AI3033">
        <v>3</v>
      </c>
      <c r="AJ3033">
        <v>1</v>
      </c>
      <c r="AK3033">
        <v>0</v>
      </c>
      <c r="AL3033" t="s">
        <v>5705</v>
      </c>
      <c r="AM3033">
        <v>46.986873000000003</v>
      </c>
      <c r="AN3033" t="s">
        <v>5706</v>
      </c>
      <c r="AO3033">
        <v>-123.538578</v>
      </c>
      <c r="AP3033">
        <v>100</v>
      </c>
      <c r="AQ3033">
        <v>2100</v>
      </c>
      <c r="AR3033" t="s">
        <v>118</v>
      </c>
      <c r="AS3033">
        <v>-78</v>
      </c>
      <c r="AT3033">
        <v>15</v>
      </c>
      <c r="AU3033">
        <v>0</v>
      </c>
      <c r="BC3033">
        <v>1200</v>
      </c>
      <c r="BD3033">
        <v>1</v>
      </c>
      <c r="BE3033" t="str">
        <f t="shared" si="143"/>
        <v xml:space="preserve">N215T   </v>
      </c>
      <c r="BF3033">
        <v>1</v>
      </c>
      <c r="BH3033">
        <v>0</v>
      </c>
      <c r="BI3033">
        <v>0</v>
      </c>
      <c r="BJ3033">
        <v>0</v>
      </c>
      <c r="BK3033">
        <v>2500</v>
      </c>
      <c r="BL3033">
        <v>400</v>
      </c>
      <c r="BM3033" t="s">
        <v>119</v>
      </c>
      <c r="BN3033">
        <v>1</v>
      </c>
      <c r="BO3033">
        <v>1</v>
      </c>
      <c r="BP3033">
        <v>1</v>
      </c>
      <c r="BQ3033">
        <v>0</v>
      </c>
      <c r="BT3033">
        <v>0</v>
      </c>
      <c r="BU3033">
        <v>0</v>
      </c>
      <c r="BV3033">
        <v>0</v>
      </c>
      <c r="CC3033" t="str">
        <f>"19:25:27.617"</f>
        <v>19:25:27.617</v>
      </c>
      <c r="CD3033" t="str">
        <f>"613756899"</f>
        <v>613756899</v>
      </c>
      <c r="CQ3033">
        <v>0</v>
      </c>
      <c r="CR3033">
        <v>2</v>
      </c>
      <c r="CS3033">
        <v>0</v>
      </c>
      <c r="CT3033">
        <v>2</v>
      </c>
      <c r="CU3033">
        <v>0</v>
      </c>
      <c r="CV3033">
        <v>6</v>
      </c>
      <c r="CW3033" t="s">
        <v>120</v>
      </c>
      <c r="CX3033">
        <v>257</v>
      </c>
      <c r="CY3033">
        <v>0</v>
      </c>
      <c r="CZ3033" t="s">
        <v>615</v>
      </c>
      <c r="DA3033" t="s">
        <v>616</v>
      </c>
      <c r="DD3033">
        <v>16228994</v>
      </c>
      <c r="DE3033" t="s">
        <v>123</v>
      </c>
    </row>
    <row r="3034" spans="1:109" x14ac:dyDescent="0.3">
      <c r="A3034" t="str">
        <f>"19:25:28.891"</f>
        <v>19:25:28.891</v>
      </c>
      <c r="B3034" t="s">
        <v>110</v>
      </c>
      <c r="C3034" t="str">
        <f t="shared" si="141"/>
        <v>ffdfd3c0</v>
      </c>
      <c r="D3034" t="s">
        <v>111</v>
      </c>
      <c r="E3034">
        <v>18</v>
      </c>
      <c r="F3034">
        <v>1018</v>
      </c>
      <c r="G3034" t="s">
        <v>112</v>
      </c>
      <c r="J3034" t="s">
        <v>113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R3034" t="s">
        <v>114</v>
      </c>
      <c r="S3034" t="str">
        <f>"19:25:28.648"</f>
        <v>19:25:28.648</v>
      </c>
      <c r="T3034" t="str">
        <f>"19:25:28.547"</f>
        <v>19:25:28.547</v>
      </c>
      <c r="U3034" t="str">
        <f t="shared" si="142"/>
        <v>a1cdbe</v>
      </c>
      <c r="V3034">
        <v>0</v>
      </c>
      <c r="W3034">
        <v>0</v>
      </c>
      <c r="X3034">
        <v>1</v>
      </c>
      <c r="Y3034">
        <v>0</v>
      </c>
      <c r="Z3034">
        <v>0</v>
      </c>
      <c r="AB3034">
        <v>0</v>
      </c>
      <c r="AC3034">
        <v>9</v>
      </c>
      <c r="AD3034">
        <v>3</v>
      </c>
      <c r="AE3034">
        <v>0</v>
      </c>
      <c r="AF3034">
        <v>9</v>
      </c>
      <c r="AG3034" t="s">
        <v>158</v>
      </c>
      <c r="AH3034">
        <v>0</v>
      </c>
      <c r="AI3034">
        <v>3</v>
      </c>
      <c r="AJ3034">
        <v>1</v>
      </c>
      <c r="AK3034">
        <v>0</v>
      </c>
      <c r="AL3034" t="s">
        <v>5707</v>
      </c>
      <c r="AM3034">
        <v>46.986938000000002</v>
      </c>
      <c r="AN3034" t="s">
        <v>5708</v>
      </c>
      <c r="AO3034">
        <v>-123.539157</v>
      </c>
      <c r="AP3034">
        <v>100</v>
      </c>
      <c r="AQ3034">
        <v>2100</v>
      </c>
      <c r="AR3034" t="s">
        <v>118</v>
      </c>
      <c r="AS3034">
        <v>-78</v>
      </c>
      <c r="AT3034">
        <v>15</v>
      </c>
      <c r="AU3034">
        <v>0</v>
      </c>
      <c r="BC3034">
        <v>1200</v>
      </c>
      <c r="BD3034">
        <v>1</v>
      </c>
      <c r="BE3034" t="str">
        <f t="shared" si="143"/>
        <v xml:space="preserve">N215T   </v>
      </c>
      <c r="BF3034">
        <v>1</v>
      </c>
      <c r="BH3034">
        <v>0</v>
      </c>
      <c r="BI3034">
        <v>0</v>
      </c>
      <c r="BJ3034">
        <v>0</v>
      </c>
      <c r="BK3034">
        <v>2500</v>
      </c>
      <c r="BL3034">
        <v>400</v>
      </c>
      <c r="BM3034" t="s">
        <v>119</v>
      </c>
      <c r="BN3034">
        <v>1</v>
      </c>
      <c r="BO3034">
        <v>1</v>
      </c>
      <c r="BP3034">
        <v>1</v>
      </c>
      <c r="BQ3034">
        <v>0</v>
      </c>
      <c r="BT3034">
        <v>0</v>
      </c>
      <c r="BU3034">
        <v>0</v>
      </c>
      <c r="BV3034">
        <v>0</v>
      </c>
      <c r="CC3034" t="str">
        <f>"19:25:28.648"</f>
        <v>19:25:28.648</v>
      </c>
      <c r="CD3034" t="str">
        <f>"648654903"</f>
        <v>648654903</v>
      </c>
      <c r="CQ3034">
        <v>0</v>
      </c>
      <c r="CR3034">
        <v>2</v>
      </c>
      <c r="CS3034">
        <v>0</v>
      </c>
      <c r="CT3034">
        <v>2</v>
      </c>
      <c r="CU3034">
        <v>0</v>
      </c>
      <c r="CV3034">
        <v>6</v>
      </c>
      <c r="CW3034" t="s">
        <v>120</v>
      </c>
      <c r="CX3034">
        <v>257</v>
      </c>
      <c r="CY3034">
        <v>0</v>
      </c>
      <c r="CZ3034" t="s">
        <v>615</v>
      </c>
      <c r="DA3034" t="s">
        <v>616</v>
      </c>
      <c r="DD3034">
        <v>16229560</v>
      </c>
      <c r="DE3034" t="s">
        <v>123</v>
      </c>
    </row>
    <row r="3035" spans="1:109" x14ac:dyDescent="0.3">
      <c r="A3035" t="str">
        <f>"19:25:30.047"</f>
        <v>19:25:30.047</v>
      </c>
      <c r="B3035" t="s">
        <v>110</v>
      </c>
      <c r="C3035" t="str">
        <f t="shared" si="141"/>
        <v>ffdfd3c0</v>
      </c>
      <c r="D3035" t="s">
        <v>111</v>
      </c>
      <c r="E3035">
        <v>18</v>
      </c>
      <c r="F3035">
        <v>1018</v>
      </c>
      <c r="G3035" t="s">
        <v>112</v>
      </c>
      <c r="J3035" t="s">
        <v>113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R3035" t="s">
        <v>114</v>
      </c>
      <c r="S3035" t="str">
        <f>"19:25:29.797"</f>
        <v>19:25:29.797</v>
      </c>
      <c r="T3035" t="str">
        <f>"19:25:29.695"</f>
        <v>19:25:29.695</v>
      </c>
      <c r="U3035" t="str">
        <f t="shared" si="142"/>
        <v>a1cdbe</v>
      </c>
      <c r="V3035">
        <v>0</v>
      </c>
      <c r="W3035">
        <v>0</v>
      </c>
      <c r="X3035">
        <v>1</v>
      </c>
      <c r="Y3035">
        <v>0</v>
      </c>
      <c r="Z3035">
        <v>0</v>
      </c>
      <c r="AB3035">
        <v>0</v>
      </c>
      <c r="AC3035">
        <v>9</v>
      </c>
      <c r="AD3035">
        <v>3</v>
      </c>
      <c r="AE3035">
        <v>0</v>
      </c>
      <c r="AF3035">
        <v>9</v>
      </c>
      <c r="AG3035" t="s">
        <v>158</v>
      </c>
      <c r="AH3035">
        <v>0</v>
      </c>
      <c r="AI3035">
        <v>3</v>
      </c>
      <c r="AJ3035">
        <v>1</v>
      </c>
      <c r="AK3035">
        <v>0</v>
      </c>
      <c r="AL3035" t="s">
        <v>893</v>
      </c>
      <c r="AM3035">
        <v>46.987045000000002</v>
      </c>
      <c r="AN3035" t="s">
        <v>5709</v>
      </c>
      <c r="AO3035">
        <v>-123.539715</v>
      </c>
      <c r="AP3035">
        <v>100</v>
      </c>
      <c r="AQ3035">
        <v>2100</v>
      </c>
      <c r="AR3035" t="s">
        <v>118</v>
      </c>
      <c r="AS3035">
        <v>-78</v>
      </c>
      <c r="AT3035">
        <v>16</v>
      </c>
      <c r="AU3035">
        <v>0</v>
      </c>
      <c r="BC3035">
        <v>1200</v>
      </c>
      <c r="BD3035">
        <v>1</v>
      </c>
      <c r="BE3035" t="str">
        <f t="shared" si="143"/>
        <v xml:space="preserve">N215T   </v>
      </c>
      <c r="BF3035">
        <v>1</v>
      </c>
      <c r="BH3035">
        <v>0</v>
      </c>
      <c r="BI3035">
        <v>0</v>
      </c>
      <c r="BJ3035">
        <v>0</v>
      </c>
      <c r="BK3035">
        <v>2500</v>
      </c>
      <c r="BL3035">
        <v>400</v>
      </c>
      <c r="BM3035" t="s">
        <v>119</v>
      </c>
      <c r="BN3035">
        <v>1</v>
      </c>
      <c r="BO3035">
        <v>1</v>
      </c>
      <c r="BP3035">
        <v>1</v>
      </c>
      <c r="BQ3035">
        <v>0</v>
      </c>
      <c r="BT3035">
        <v>0</v>
      </c>
      <c r="BU3035">
        <v>0</v>
      </c>
      <c r="BV3035">
        <v>0</v>
      </c>
      <c r="CC3035" t="str">
        <f>"19:25:29.805"</f>
        <v>19:25:29.805</v>
      </c>
      <c r="CD3035" t="str">
        <f>"803541094"</f>
        <v>803541094</v>
      </c>
      <c r="CQ3035">
        <v>0</v>
      </c>
      <c r="CR3035">
        <v>2</v>
      </c>
      <c r="CS3035">
        <v>0</v>
      </c>
      <c r="CT3035">
        <v>2</v>
      </c>
      <c r="CU3035">
        <v>0</v>
      </c>
      <c r="CV3035">
        <v>6</v>
      </c>
      <c r="CW3035" t="s">
        <v>120</v>
      </c>
      <c r="CX3035">
        <v>257</v>
      </c>
      <c r="CY3035">
        <v>0</v>
      </c>
      <c r="CZ3035" t="s">
        <v>615</v>
      </c>
      <c r="DA3035" t="s">
        <v>616</v>
      </c>
      <c r="DD3035">
        <v>16230109</v>
      </c>
      <c r="DE3035" t="s">
        <v>123</v>
      </c>
    </row>
    <row r="3036" spans="1:109" x14ac:dyDescent="0.3">
      <c r="A3036" t="str">
        <f>"19:25:30.852"</f>
        <v>19:25:30.852</v>
      </c>
      <c r="B3036" t="s">
        <v>110</v>
      </c>
      <c r="C3036" t="str">
        <f t="shared" si="141"/>
        <v>ffdfd3c0</v>
      </c>
      <c r="D3036" t="s">
        <v>111</v>
      </c>
      <c r="E3036">
        <v>18</v>
      </c>
      <c r="F3036">
        <v>1018</v>
      </c>
      <c r="G3036" t="s">
        <v>112</v>
      </c>
      <c r="J3036" t="s">
        <v>113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R3036" t="s">
        <v>114</v>
      </c>
      <c r="S3036" t="str">
        <f>"19:25:30.641"</f>
        <v>19:25:30.641</v>
      </c>
      <c r="T3036" t="str">
        <f>"19:25:30.641"</f>
        <v>19:25:30.641</v>
      </c>
      <c r="U3036" t="str">
        <f t="shared" si="142"/>
        <v>a1cdbe</v>
      </c>
      <c r="V3036">
        <v>0</v>
      </c>
      <c r="W3036">
        <v>0</v>
      </c>
      <c r="X3036">
        <v>1</v>
      </c>
      <c r="Y3036">
        <v>0</v>
      </c>
      <c r="Z3036">
        <v>0</v>
      </c>
      <c r="AB3036">
        <v>0</v>
      </c>
      <c r="AC3036">
        <v>9</v>
      </c>
      <c r="AD3036">
        <v>3</v>
      </c>
      <c r="AE3036">
        <v>0</v>
      </c>
      <c r="AF3036">
        <v>9</v>
      </c>
      <c r="AG3036" t="s">
        <v>158</v>
      </c>
      <c r="AH3036">
        <v>0</v>
      </c>
      <c r="AI3036">
        <v>3</v>
      </c>
      <c r="AJ3036">
        <v>1</v>
      </c>
      <c r="AK3036">
        <v>0</v>
      </c>
      <c r="AL3036" t="s">
        <v>5710</v>
      </c>
      <c r="AM3036">
        <v>46.987088</v>
      </c>
      <c r="AN3036" t="s">
        <v>5711</v>
      </c>
      <c r="AO3036">
        <v>-123.54020800000001</v>
      </c>
      <c r="AP3036">
        <v>100</v>
      </c>
      <c r="AQ3036">
        <v>2100</v>
      </c>
      <c r="AR3036" t="s">
        <v>118</v>
      </c>
      <c r="AS3036">
        <v>-78</v>
      </c>
      <c r="AT3036">
        <v>16</v>
      </c>
      <c r="AU3036">
        <v>0</v>
      </c>
      <c r="BC3036">
        <v>1200</v>
      </c>
      <c r="BD3036">
        <v>1</v>
      </c>
      <c r="BE3036" t="str">
        <f t="shared" si="143"/>
        <v xml:space="preserve">N215T   </v>
      </c>
      <c r="BF3036">
        <v>1</v>
      </c>
      <c r="BH3036">
        <v>0</v>
      </c>
      <c r="BI3036">
        <v>0</v>
      </c>
      <c r="BJ3036">
        <v>0</v>
      </c>
      <c r="BK3036">
        <v>2500</v>
      </c>
      <c r="BL3036">
        <v>400</v>
      </c>
      <c r="BM3036" t="s">
        <v>119</v>
      </c>
      <c r="BN3036">
        <v>1</v>
      </c>
      <c r="BO3036">
        <v>1</v>
      </c>
      <c r="BP3036">
        <v>1</v>
      </c>
      <c r="BQ3036">
        <v>0</v>
      </c>
      <c r="BT3036">
        <v>0</v>
      </c>
      <c r="BU3036">
        <v>0</v>
      </c>
      <c r="BV3036">
        <v>0</v>
      </c>
      <c r="CC3036" t="str">
        <f>"19:25:30.641"</f>
        <v>19:25:30.641</v>
      </c>
      <c r="CD3036" t="str">
        <f>"643458305"</f>
        <v>643458305</v>
      </c>
      <c r="CQ3036">
        <v>0</v>
      </c>
      <c r="CR3036">
        <v>2</v>
      </c>
      <c r="CS3036">
        <v>0</v>
      </c>
      <c r="CT3036">
        <v>2</v>
      </c>
      <c r="CU3036">
        <v>0</v>
      </c>
      <c r="CV3036">
        <v>6</v>
      </c>
      <c r="CW3036" t="s">
        <v>120</v>
      </c>
      <c r="CX3036">
        <v>257</v>
      </c>
      <c r="CY3036">
        <v>0</v>
      </c>
      <c r="CZ3036" t="s">
        <v>615</v>
      </c>
      <c r="DA3036" t="s">
        <v>616</v>
      </c>
      <c r="DD3036">
        <v>16230549</v>
      </c>
      <c r="DE3036" t="s">
        <v>123</v>
      </c>
    </row>
    <row r="3037" spans="1:109" x14ac:dyDescent="0.3">
      <c r="A3037" t="str">
        <f>"19:25:32.016"</f>
        <v>19:25:32.016</v>
      </c>
      <c r="B3037" t="s">
        <v>110</v>
      </c>
      <c r="C3037" t="str">
        <f t="shared" si="141"/>
        <v>ffdfd3c0</v>
      </c>
      <c r="D3037" t="s">
        <v>111</v>
      </c>
      <c r="E3037">
        <v>18</v>
      </c>
      <c r="F3037">
        <v>1018</v>
      </c>
      <c r="G3037" t="s">
        <v>112</v>
      </c>
      <c r="J3037" t="s">
        <v>113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R3037" t="s">
        <v>114</v>
      </c>
      <c r="S3037" t="str">
        <f>"19:25:31.797"</f>
        <v>19:25:31.797</v>
      </c>
      <c r="T3037" t="str">
        <f>"19:25:31.594"</f>
        <v>19:25:31.594</v>
      </c>
      <c r="U3037" t="str">
        <f t="shared" si="142"/>
        <v>a1cdbe</v>
      </c>
      <c r="V3037">
        <v>0</v>
      </c>
      <c r="W3037">
        <v>0</v>
      </c>
      <c r="X3037">
        <v>1</v>
      </c>
      <c r="Y3037">
        <v>0</v>
      </c>
      <c r="Z3037">
        <v>0</v>
      </c>
      <c r="AB3037">
        <v>0</v>
      </c>
      <c r="AC3037">
        <v>9</v>
      </c>
      <c r="AD3037">
        <v>3</v>
      </c>
      <c r="AE3037">
        <v>0</v>
      </c>
      <c r="AF3037">
        <v>9</v>
      </c>
      <c r="AG3037" t="s">
        <v>158</v>
      </c>
      <c r="AH3037">
        <v>0</v>
      </c>
      <c r="AI3037">
        <v>3</v>
      </c>
      <c r="AJ3037">
        <v>1</v>
      </c>
      <c r="AK3037">
        <v>0</v>
      </c>
      <c r="AL3037" t="s">
        <v>5712</v>
      </c>
      <c r="AM3037">
        <v>46.987174000000003</v>
      </c>
      <c r="AN3037" t="s">
        <v>5713</v>
      </c>
      <c r="AO3037">
        <v>-123.540766</v>
      </c>
      <c r="AP3037">
        <v>100</v>
      </c>
      <c r="AQ3037">
        <v>2100</v>
      </c>
      <c r="AR3037" t="s">
        <v>118</v>
      </c>
      <c r="AS3037">
        <v>-78</v>
      </c>
      <c r="AT3037">
        <v>16</v>
      </c>
      <c r="AU3037">
        <v>0</v>
      </c>
      <c r="BC3037">
        <v>1200</v>
      </c>
      <c r="BD3037">
        <v>1</v>
      </c>
      <c r="BE3037" t="str">
        <f t="shared" si="143"/>
        <v xml:space="preserve">N215T   </v>
      </c>
      <c r="BF3037">
        <v>1</v>
      </c>
      <c r="BH3037">
        <v>0</v>
      </c>
      <c r="BI3037">
        <v>0</v>
      </c>
      <c r="BJ3037">
        <v>0</v>
      </c>
      <c r="BK3037">
        <v>2500</v>
      </c>
      <c r="BL3037">
        <v>400</v>
      </c>
      <c r="BM3037" t="s">
        <v>119</v>
      </c>
      <c r="BN3037">
        <v>1</v>
      </c>
      <c r="BO3037">
        <v>1</v>
      </c>
      <c r="BP3037">
        <v>1</v>
      </c>
      <c r="BQ3037">
        <v>0</v>
      </c>
      <c r="BT3037">
        <v>0</v>
      </c>
      <c r="BU3037">
        <v>0</v>
      </c>
      <c r="BV3037">
        <v>0</v>
      </c>
      <c r="CC3037" t="str">
        <f>"19:25:31.797"</f>
        <v>19:25:31.797</v>
      </c>
      <c r="CD3037" t="str">
        <f>"798344483"</f>
        <v>798344483</v>
      </c>
      <c r="CQ3037">
        <v>0</v>
      </c>
      <c r="CR3037">
        <v>2</v>
      </c>
      <c r="CS3037">
        <v>0</v>
      </c>
      <c r="CT3037">
        <v>2</v>
      </c>
      <c r="CU3037">
        <v>0</v>
      </c>
      <c r="CV3037">
        <v>6</v>
      </c>
      <c r="CW3037" t="s">
        <v>120</v>
      </c>
      <c r="CX3037">
        <v>257</v>
      </c>
      <c r="CY3037">
        <v>0</v>
      </c>
      <c r="CZ3037" t="s">
        <v>615</v>
      </c>
      <c r="DA3037" t="s">
        <v>616</v>
      </c>
      <c r="DD3037">
        <v>16231136</v>
      </c>
      <c r="DE3037" t="s">
        <v>123</v>
      </c>
    </row>
    <row r="3038" spans="1:109" x14ac:dyDescent="0.3">
      <c r="A3038" t="str">
        <f>"19:25:32.961"</f>
        <v>19:25:32.961</v>
      </c>
      <c r="B3038" t="s">
        <v>110</v>
      </c>
      <c r="C3038" t="str">
        <f t="shared" si="141"/>
        <v>ffdfd3c0</v>
      </c>
      <c r="D3038" t="s">
        <v>111</v>
      </c>
      <c r="E3038">
        <v>18</v>
      </c>
      <c r="F3038">
        <v>1018</v>
      </c>
      <c r="G3038" t="s">
        <v>112</v>
      </c>
      <c r="J3038" t="s">
        <v>113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R3038" t="s">
        <v>114</v>
      </c>
      <c r="S3038" t="str">
        <f>"19:25:32.742"</f>
        <v>19:25:32.742</v>
      </c>
      <c r="T3038" t="str">
        <f>"19:25:32.641"</f>
        <v>19:25:32.641</v>
      </c>
      <c r="U3038" t="str">
        <f t="shared" si="142"/>
        <v>a1cdbe</v>
      </c>
      <c r="V3038">
        <v>0</v>
      </c>
      <c r="W3038">
        <v>0</v>
      </c>
      <c r="X3038">
        <v>1</v>
      </c>
      <c r="Y3038">
        <v>0</v>
      </c>
      <c r="Z3038">
        <v>0</v>
      </c>
      <c r="AB3038">
        <v>0</v>
      </c>
      <c r="AC3038">
        <v>9</v>
      </c>
      <c r="AD3038">
        <v>3</v>
      </c>
      <c r="AE3038">
        <v>0</v>
      </c>
      <c r="AF3038">
        <v>9</v>
      </c>
      <c r="AG3038" t="s">
        <v>158</v>
      </c>
      <c r="AH3038">
        <v>0</v>
      </c>
      <c r="AI3038">
        <v>3</v>
      </c>
      <c r="AJ3038">
        <v>1</v>
      </c>
      <c r="AK3038">
        <v>0</v>
      </c>
      <c r="AL3038" t="s">
        <v>5714</v>
      </c>
      <c r="AM3038">
        <v>46.987259000000002</v>
      </c>
      <c r="AN3038" t="s">
        <v>5715</v>
      </c>
      <c r="AO3038">
        <v>-123.54125999999999</v>
      </c>
      <c r="AP3038">
        <v>100</v>
      </c>
      <c r="AQ3038">
        <v>2100</v>
      </c>
      <c r="AR3038" t="s">
        <v>118</v>
      </c>
      <c r="AS3038">
        <v>-77</v>
      </c>
      <c r="AT3038">
        <v>17</v>
      </c>
      <c r="AU3038">
        <v>0</v>
      </c>
      <c r="BC3038">
        <v>1200</v>
      </c>
      <c r="BD3038">
        <v>1</v>
      </c>
      <c r="BE3038" t="str">
        <f t="shared" si="143"/>
        <v xml:space="preserve">N215T   </v>
      </c>
      <c r="BF3038">
        <v>1</v>
      </c>
      <c r="BH3038">
        <v>0</v>
      </c>
      <c r="BI3038">
        <v>0</v>
      </c>
      <c r="BJ3038">
        <v>0</v>
      </c>
      <c r="BK3038">
        <v>2500</v>
      </c>
      <c r="BL3038">
        <v>400</v>
      </c>
      <c r="BM3038" t="s">
        <v>119</v>
      </c>
      <c r="BN3038">
        <v>1</v>
      </c>
      <c r="BO3038">
        <v>1</v>
      </c>
      <c r="BP3038">
        <v>1</v>
      </c>
      <c r="BQ3038">
        <v>0</v>
      </c>
      <c r="BT3038">
        <v>0</v>
      </c>
      <c r="BU3038">
        <v>0</v>
      </c>
      <c r="BV3038">
        <v>0</v>
      </c>
      <c r="CC3038" t="str">
        <f>"19:25:32.742"</f>
        <v>19:25:32.742</v>
      </c>
      <c r="CD3038" t="str">
        <f>"743251370"</f>
        <v>743251370</v>
      </c>
      <c r="CQ3038">
        <v>0</v>
      </c>
      <c r="CR3038">
        <v>2</v>
      </c>
      <c r="CS3038">
        <v>0</v>
      </c>
      <c r="CT3038">
        <v>2</v>
      </c>
      <c r="CU3038">
        <v>0</v>
      </c>
      <c r="CV3038">
        <v>6</v>
      </c>
      <c r="CW3038" t="s">
        <v>120</v>
      </c>
      <c r="CX3038">
        <v>257</v>
      </c>
      <c r="CY3038">
        <v>0</v>
      </c>
      <c r="CZ3038" t="s">
        <v>615</v>
      </c>
      <c r="DA3038" t="s">
        <v>616</v>
      </c>
      <c r="DD3038">
        <v>16231649</v>
      </c>
      <c r="DE3038" t="s">
        <v>123</v>
      </c>
    </row>
    <row r="3039" spans="1:109" x14ac:dyDescent="0.3">
      <c r="A3039" t="str">
        <f>"19:25:33.969"</f>
        <v>19:25:33.969</v>
      </c>
      <c r="B3039" t="s">
        <v>110</v>
      </c>
      <c r="C3039" t="str">
        <f t="shared" si="141"/>
        <v>ffdfd3c0</v>
      </c>
      <c r="D3039" t="s">
        <v>111</v>
      </c>
      <c r="E3039">
        <v>18</v>
      </c>
      <c r="F3039">
        <v>1018</v>
      </c>
      <c r="G3039" t="s">
        <v>112</v>
      </c>
      <c r="J3039" t="s">
        <v>113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R3039" t="s">
        <v>114</v>
      </c>
      <c r="S3039" t="str">
        <f>"19:25:33.711"</f>
        <v>19:25:33.711</v>
      </c>
      <c r="T3039" t="str">
        <f>"19:25:33.711"</f>
        <v>19:25:33.711</v>
      </c>
      <c r="U3039" t="str">
        <f t="shared" si="142"/>
        <v>a1cdbe</v>
      </c>
      <c r="V3039">
        <v>0</v>
      </c>
      <c r="W3039">
        <v>0</v>
      </c>
      <c r="X3039">
        <v>1</v>
      </c>
      <c r="Y3039">
        <v>0</v>
      </c>
      <c r="Z3039">
        <v>0</v>
      </c>
      <c r="AB3039">
        <v>0</v>
      </c>
      <c r="AC3039">
        <v>9</v>
      </c>
      <c r="AD3039">
        <v>3</v>
      </c>
      <c r="AE3039">
        <v>0</v>
      </c>
      <c r="AF3039">
        <v>9</v>
      </c>
      <c r="AG3039" t="s">
        <v>158</v>
      </c>
      <c r="AH3039">
        <v>0</v>
      </c>
      <c r="AI3039">
        <v>3</v>
      </c>
      <c r="AJ3039">
        <v>1</v>
      </c>
      <c r="AK3039">
        <v>0</v>
      </c>
      <c r="AL3039" t="s">
        <v>5716</v>
      </c>
      <c r="AM3039">
        <v>46.987344999999998</v>
      </c>
      <c r="AN3039" t="s">
        <v>5717</v>
      </c>
      <c r="AO3039">
        <v>-123.54181800000001</v>
      </c>
      <c r="AP3039">
        <v>100</v>
      </c>
      <c r="AQ3039">
        <v>2100</v>
      </c>
      <c r="AR3039" t="s">
        <v>118</v>
      </c>
      <c r="AS3039">
        <v>-77</v>
      </c>
      <c r="AT3039">
        <v>17</v>
      </c>
      <c r="AU3039">
        <v>0</v>
      </c>
      <c r="BC3039">
        <v>1200</v>
      </c>
      <c r="BD3039">
        <v>1</v>
      </c>
      <c r="BE3039" t="str">
        <f t="shared" si="143"/>
        <v xml:space="preserve">N215T   </v>
      </c>
      <c r="BF3039">
        <v>1</v>
      </c>
      <c r="BH3039">
        <v>0</v>
      </c>
      <c r="BI3039">
        <v>0</v>
      </c>
      <c r="BJ3039">
        <v>0</v>
      </c>
      <c r="BK3039">
        <v>2500</v>
      </c>
      <c r="BL3039">
        <v>400</v>
      </c>
      <c r="BM3039" t="s">
        <v>119</v>
      </c>
      <c r="BN3039">
        <v>1</v>
      </c>
      <c r="BO3039">
        <v>1</v>
      </c>
      <c r="BP3039">
        <v>1</v>
      </c>
      <c r="BQ3039">
        <v>0</v>
      </c>
      <c r="BT3039">
        <v>0</v>
      </c>
      <c r="BU3039">
        <v>0</v>
      </c>
      <c r="BV3039">
        <v>0</v>
      </c>
      <c r="CC3039" t="str">
        <f>"19:25:33.719"</f>
        <v>19:25:33.719</v>
      </c>
      <c r="CD3039" t="str">
        <f>"718155303"</f>
        <v>718155303</v>
      </c>
      <c r="CQ3039">
        <v>0</v>
      </c>
      <c r="CR3039">
        <v>2</v>
      </c>
      <c r="CS3039">
        <v>0</v>
      </c>
      <c r="CT3039">
        <v>2</v>
      </c>
      <c r="CU3039">
        <v>0</v>
      </c>
      <c r="CV3039">
        <v>6</v>
      </c>
      <c r="CW3039" t="s">
        <v>120</v>
      </c>
      <c r="CX3039">
        <v>257</v>
      </c>
      <c r="CY3039">
        <v>0</v>
      </c>
      <c r="CZ3039" t="s">
        <v>615</v>
      </c>
      <c r="DA3039" t="s">
        <v>616</v>
      </c>
      <c r="DD3039">
        <v>16232161</v>
      </c>
      <c r="DE3039" t="s">
        <v>123</v>
      </c>
    </row>
    <row r="3040" spans="1:109" x14ac:dyDescent="0.3">
      <c r="A3040" t="str">
        <f>"19:25:34.922"</f>
        <v>19:25:34.922</v>
      </c>
      <c r="B3040" t="s">
        <v>110</v>
      </c>
      <c r="C3040" t="str">
        <f t="shared" si="141"/>
        <v>ffdfd3c0</v>
      </c>
      <c r="D3040" t="s">
        <v>111</v>
      </c>
      <c r="E3040">
        <v>18</v>
      </c>
      <c r="F3040">
        <v>1018</v>
      </c>
      <c r="G3040" t="s">
        <v>112</v>
      </c>
      <c r="J3040" t="s">
        <v>113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R3040" t="s">
        <v>114</v>
      </c>
      <c r="S3040" t="str">
        <f>"19:25:34.688"</f>
        <v>19:25:34.688</v>
      </c>
      <c r="T3040" t="str">
        <f>"19:25:34.289"</f>
        <v>19:25:34.289</v>
      </c>
      <c r="U3040" t="str">
        <f t="shared" si="142"/>
        <v>a1cdbe</v>
      </c>
      <c r="V3040">
        <v>0</v>
      </c>
      <c r="W3040">
        <v>0</v>
      </c>
      <c r="X3040">
        <v>1</v>
      </c>
      <c r="Y3040">
        <v>0</v>
      </c>
      <c r="Z3040">
        <v>0</v>
      </c>
      <c r="AB3040">
        <v>0</v>
      </c>
      <c r="AC3040">
        <v>9</v>
      </c>
      <c r="AD3040">
        <v>3</v>
      </c>
      <c r="AE3040">
        <v>0</v>
      </c>
      <c r="AF3040">
        <v>9</v>
      </c>
      <c r="AG3040" t="s">
        <v>158</v>
      </c>
      <c r="AH3040">
        <v>0</v>
      </c>
      <c r="AI3040">
        <v>3</v>
      </c>
      <c r="AJ3040">
        <v>1</v>
      </c>
      <c r="AK3040">
        <v>0</v>
      </c>
      <c r="AL3040" t="s">
        <v>5718</v>
      </c>
      <c r="AM3040">
        <v>46.987409999999997</v>
      </c>
      <c r="AN3040" t="s">
        <v>5719</v>
      </c>
      <c r="AO3040">
        <v>-123.542247</v>
      </c>
      <c r="AP3040">
        <v>100</v>
      </c>
      <c r="AQ3040">
        <v>2100</v>
      </c>
      <c r="AR3040" t="s">
        <v>118</v>
      </c>
      <c r="AS3040">
        <v>-77</v>
      </c>
      <c r="AT3040">
        <v>17</v>
      </c>
      <c r="AU3040">
        <v>0</v>
      </c>
      <c r="BC3040">
        <v>1200</v>
      </c>
      <c r="BD3040">
        <v>1</v>
      </c>
      <c r="BE3040" t="str">
        <f t="shared" si="143"/>
        <v xml:space="preserve">N215T   </v>
      </c>
      <c r="BF3040">
        <v>1</v>
      </c>
      <c r="BH3040">
        <v>0</v>
      </c>
      <c r="BI3040">
        <v>0</v>
      </c>
      <c r="BJ3040">
        <v>0</v>
      </c>
      <c r="BK3040">
        <v>2500</v>
      </c>
      <c r="BL3040">
        <v>400</v>
      </c>
      <c r="BM3040" t="s">
        <v>119</v>
      </c>
      <c r="BN3040">
        <v>1</v>
      </c>
      <c r="BO3040">
        <v>1</v>
      </c>
      <c r="BP3040">
        <v>1</v>
      </c>
      <c r="BQ3040">
        <v>0</v>
      </c>
      <c r="BT3040">
        <v>0</v>
      </c>
      <c r="BU3040">
        <v>0</v>
      </c>
      <c r="BV3040">
        <v>0</v>
      </c>
      <c r="CC3040" t="str">
        <f>"19:25:34.695"</f>
        <v>19:25:34.695</v>
      </c>
      <c r="CD3040" t="str">
        <f>"693059218"</f>
        <v>693059218</v>
      </c>
      <c r="CQ3040">
        <v>0</v>
      </c>
      <c r="CR3040">
        <v>2</v>
      </c>
      <c r="CS3040">
        <v>0</v>
      </c>
      <c r="CT3040">
        <v>2</v>
      </c>
      <c r="CU3040">
        <v>0</v>
      </c>
      <c r="CV3040">
        <v>6</v>
      </c>
      <c r="CW3040" t="s">
        <v>120</v>
      </c>
      <c r="CX3040">
        <v>257</v>
      </c>
      <c r="CY3040">
        <v>0</v>
      </c>
      <c r="CZ3040" t="s">
        <v>615</v>
      </c>
      <c r="DA3040" t="s">
        <v>616</v>
      </c>
      <c r="DD3040">
        <v>16232671</v>
      </c>
      <c r="DE3040" t="s">
        <v>123</v>
      </c>
    </row>
    <row r="3041" spans="1:109" x14ac:dyDescent="0.3">
      <c r="A3041" t="str">
        <f>"19:25:35.984"</f>
        <v>19:25:35.984</v>
      </c>
      <c r="B3041" t="s">
        <v>110</v>
      </c>
      <c r="C3041" t="str">
        <f t="shared" si="141"/>
        <v>ffdfd3c0</v>
      </c>
      <c r="D3041" t="s">
        <v>111</v>
      </c>
      <c r="E3041">
        <v>18</v>
      </c>
      <c r="F3041">
        <v>1018</v>
      </c>
      <c r="G3041" t="s">
        <v>112</v>
      </c>
      <c r="J3041" t="s">
        <v>113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R3041" t="s">
        <v>114</v>
      </c>
      <c r="S3041" t="str">
        <f>"19:25:35.727"</f>
        <v>19:25:35.727</v>
      </c>
      <c r="T3041" t="str">
        <f>"19:25:35.328"</f>
        <v>19:25:35.328</v>
      </c>
      <c r="U3041" t="str">
        <f t="shared" si="142"/>
        <v>a1cdbe</v>
      </c>
      <c r="V3041">
        <v>0</v>
      </c>
      <c r="W3041">
        <v>0</v>
      </c>
      <c r="X3041">
        <v>1</v>
      </c>
      <c r="Y3041">
        <v>0</v>
      </c>
      <c r="Z3041">
        <v>0</v>
      </c>
      <c r="AB3041">
        <v>0</v>
      </c>
      <c r="AC3041">
        <v>9</v>
      </c>
      <c r="AD3041">
        <v>3</v>
      </c>
      <c r="AE3041">
        <v>0</v>
      </c>
      <c r="AF3041">
        <v>9</v>
      </c>
      <c r="AG3041" t="s">
        <v>158</v>
      </c>
      <c r="AH3041">
        <v>0</v>
      </c>
      <c r="AI3041">
        <v>3</v>
      </c>
      <c r="AJ3041">
        <v>1</v>
      </c>
      <c r="AK3041">
        <v>0</v>
      </c>
      <c r="AL3041" t="s">
        <v>5720</v>
      </c>
      <c r="AM3041">
        <v>46.987516999999997</v>
      </c>
      <c r="AN3041" t="s">
        <v>5721</v>
      </c>
      <c r="AO3041">
        <v>-123.54284800000001</v>
      </c>
      <c r="AP3041">
        <v>100</v>
      </c>
      <c r="AQ3041">
        <v>2100</v>
      </c>
      <c r="AR3041" t="s">
        <v>118</v>
      </c>
      <c r="AS3041">
        <v>-77</v>
      </c>
      <c r="AT3041">
        <v>17</v>
      </c>
      <c r="AU3041">
        <v>0</v>
      </c>
      <c r="BC3041">
        <v>1200</v>
      </c>
      <c r="BD3041">
        <v>1</v>
      </c>
      <c r="BE3041" t="str">
        <f t="shared" si="143"/>
        <v xml:space="preserve">N215T   </v>
      </c>
      <c r="BF3041">
        <v>1</v>
      </c>
      <c r="BH3041">
        <v>0</v>
      </c>
      <c r="BI3041">
        <v>0</v>
      </c>
      <c r="BJ3041">
        <v>0</v>
      </c>
      <c r="BK3041">
        <v>2500</v>
      </c>
      <c r="BL3041">
        <v>400</v>
      </c>
      <c r="BM3041" t="s">
        <v>119</v>
      </c>
      <c r="BN3041">
        <v>1</v>
      </c>
      <c r="BO3041">
        <v>1</v>
      </c>
      <c r="BP3041">
        <v>1</v>
      </c>
      <c r="BQ3041">
        <v>0</v>
      </c>
      <c r="BT3041">
        <v>0</v>
      </c>
      <c r="BU3041">
        <v>0</v>
      </c>
      <c r="BV3041">
        <v>0</v>
      </c>
      <c r="CC3041" t="str">
        <f>"19:25:35.727"</f>
        <v>19:25:35.727</v>
      </c>
      <c r="CD3041" t="str">
        <f>"727957220"</f>
        <v>727957220</v>
      </c>
      <c r="CQ3041">
        <v>0</v>
      </c>
      <c r="CR3041">
        <v>2</v>
      </c>
      <c r="CS3041">
        <v>0</v>
      </c>
      <c r="CT3041">
        <v>2</v>
      </c>
      <c r="CU3041">
        <v>0</v>
      </c>
      <c r="CV3041">
        <v>6</v>
      </c>
      <c r="CW3041" t="s">
        <v>120</v>
      </c>
      <c r="CX3041">
        <v>257</v>
      </c>
      <c r="CY3041">
        <v>0</v>
      </c>
      <c r="CZ3041" t="s">
        <v>615</v>
      </c>
      <c r="DA3041" t="s">
        <v>616</v>
      </c>
      <c r="DD3041">
        <v>16233250</v>
      </c>
      <c r="DE3041" t="s">
        <v>123</v>
      </c>
    </row>
    <row r="3042" spans="1:109" x14ac:dyDescent="0.3">
      <c r="A3042" t="str">
        <f>"19:25:37.039"</f>
        <v>19:25:37.039</v>
      </c>
      <c r="B3042" t="s">
        <v>110</v>
      </c>
      <c r="C3042" t="str">
        <f t="shared" si="141"/>
        <v>ffdfd3c0</v>
      </c>
      <c r="D3042" t="s">
        <v>111</v>
      </c>
      <c r="E3042">
        <v>18</v>
      </c>
      <c r="F3042">
        <v>1018</v>
      </c>
      <c r="G3042" t="s">
        <v>112</v>
      </c>
      <c r="J3042" t="s">
        <v>113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R3042" t="s">
        <v>114</v>
      </c>
      <c r="S3042" t="str">
        <f>"19:25:36.836"</f>
        <v>19:25:36.836</v>
      </c>
      <c r="T3042" t="str">
        <f>"19:25:36.734"</f>
        <v>19:25:36.734</v>
      </c>
      <c r="U3042" t="str">
        <f t="shared" si="142"/>
        <v>a1cdbe</v>
      </c>
      <c r="V3042">
        <v>0</v>
      </c>
      <c r="W3042">
        <v>0</v>
      </c>
      <c r="X3042">
        <v>1</v>
      </c>
      <c r="Y3042">
        <v>0</v>
      </c>
      <c r="Z3042">
        <v>0</v>
      </c>
      <c r="AB3042">
        <v>0</v>
      </c>
      <c r="AC3042">
        <v>9</v>
      </c>
      <c r="AD3042">
        <v>3</v>
      </c>
      <c r="AE3042">
        <v>0</v>
      </c>
      <c r="AF3042">
        <v>9</v>
      </c>
      <c r="AG3042" t="s">
        <v>158</v>
      </c>
      <c r="AH3042">
        <v>0</v>
      </c>
      <c r="AI3042">
        <v>3</v>
      </c>
      <c r="AJ3042">
        <v>1</v>
      </c>
      <c r="AK3042">
        <v>0</v>
      </c>
      <c r="AL3042" t="s">
        <v>5722</v>
      </c>
      <c r="AM3042">
        <v>46.987603</v>
      </c>
      <c r="AN3042" t="s">
        <v>5723</v>
      </c>
      <c r="AO3042">
        <v>-123.543384</v>
      </c>
      <c r="AP3042">
        <v>100</v>
      </c>
      <c r="AQ3042">
        <v>2100</v>
      </c>
      <c r="AR3042" t="s">
        <v>118</v>
      </c>
      <c r="AS3042">
        <v>-77</v>
      </c>
      <c r="AT3042">
        <v>17</v>
      </c>
      <c r="AU3042">
        <v>-64</v>
      </c>
      <c r="BC3042">
        <v>1200</v>
      </c>
      <c r="BD3042">
        <v>1</v>
      </c>
      <c r="BE3042" t="str">
        <f t="shared" si="143"/>
        <v xml:space="preserve">N215T   </v>
      </c>
      <c r="BF3042">
        <v>1</v>
      </c>
      <c r="BH3042">
        <v>0</v>
      </c>
      <c r="BI3042">
        <v>0</v>
      </c>
      <c r="BJ3042">
        <v>0</v>
      </c>
      <c r="BK3042">
        <v>2500</v>
      </c>
      <c r="BL3042">
        <v>400</v>
      </c>
      <c r="BM3042" t="s">
        <v>119</v>
      </c>
      <c r="BN3042">
        <v>1</v>
      </c>
      <c r="BO3042">
        <v>1</v>
      </c>
      <c r="BP3042">
        <v>1</v>
      </c>
      <c r="BQ3042">
        <v>0</v>
      </c>
      <c r="BT3042">
        <v>0</v>
      </c>
      <c r="BU3042">
        <v>0</v>
      </c>
      <c r="BV3042">
        <v>0</v>
      </c>
      <c r="CC3042" t="str">
        <f>"19:25:36.836"</f>
        <v>19:25:36.836</v>
      </c>
      <c r="CD3042" t="str">
        <f>"837847839"</f>
        <v>837847839</v>
      </c>
      <c r="CQ3042">
        <v>0</v>
      </c>
      <c r="CR3042">
        <v>2</v>
      </c>
      <c r="CS3042">
        <v>0</v>
      </c>
      <c r="CT3042">
        <v>2</v>
      </c>
      <c r="CU3042">
        <v>0</v>
      </c>
      <c r="CV3042">
        <v>6</v>
      </c>
      <c r="CW3042" t="s">
        <v>120</v>
      </c>
      <c r="CX3042">
        <v>257</v>
      </c>
      <c r="CY3042">
        <v>0</v>
      </c>
      <c r="CZ3042" t="s">
        <v>615</v>
      </c>
      <c r="DA3042" t="s">
        <v>616</v>
      </c>
      <c r="DD3042">
        <v>16233841</v>
      </c>
      <c r="DE3042" t="s">
        <v>123</v>
      </c>
    </row>
    <row r="3043" spans="1:109" x14ac:dyDescent="0.3">
      <c r="A3043" t="str">
        <f>"19:25:37.992"</f>
        <v>19:25:37.992</v>
      </c>
      <c r="B3043" t="s">
        <v>110</v>
      </c>
      <c r="C3043" t="str">
        <f t="shared" si="141"/>
        <v>ffdfd3c0</v>
      </c>
      <c r="D3043" t="s">
        <v>111</v>
      </c>
      <c r="E3043">
        <v>18</v>
      </c>
      <c r="F3043">
        <v>1018</v>
      </c>
      <c r="G3043" t="s">
        <v>112</v>
      </c>
      <c r="J3043" t="s">
        <v>113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R3043" t="s">
        <v>114</v>
      </c>
      <c r="S3043" t="str">
        <f>"19:25:37.766"</f>
        <v>19:25:37.766</v>
      </c>
      <c r="T3043" t="str">
        <f>"19:25:37.766"</f>
        <v>19:25:37.766</v>
      </c>
      <c r="U3043" t="str">
        <f t="shared" si="142"/>
        <v>a1cdbe</v>
      </c>
      <c r="V3043">
        <v>0</v>
      </c>
      <c r="W3043">
        <v>0</v>
      </c>
      <c r="X3043">
        <v>1</v>
      </c>
      <c r="Y3043">
        <v>0</v>
      </c>
      <c r="Z3043">
        <v>0</v>
      </c>
      <c r="AB3043">
        <v>0</v>
      </c>
      <c r="AC3043">
        <v>9</v>
      </c>
      <c r="AD3043">
        <v>3</v>
      </c>
      <c r="AE3043">
        <v>0</v>
      </c>
      <c r="AF3043">
        <v>9</v>
      </c>
      <c r="AG3043" t="s">
        <v>158</v>
      </c>
      <c r="AH3043">
        <v>0</v>
      </c>
      <c r="AI3043">
        <v>3</v>
      </c>
      <c r="AJ3043">
        <v>1</v>
      </c>
      <c r="AK3043">
        <v>0</v>
      </c>
      <c r="AL3043" t="s">
        <v>5724</v>
      </c>
      <c r="AM3043">
        <v>46.987645999999998</v>
      </c>
      <c r="AN3043" t="s">
        <v>5725</v>
      </c>
      <c r="AO3043">
        <v>-123.54385600000001</v>
      </c>
      <c r="AP3043">
        <v>100</v>
      </c>
      <c r="AQ3043">
        <v>2100</v>
      </c>
      <c r="AR3043" t="s">
        <v>118</v>
      </c>
      <c r="AS3043">
        <v>-77</v>
      </c>
      <c r="AT3043">
        <v>17</v>
      </c>
      <c r="AU3043">
        <v>-64</v>
      </c>
      <c r="BC3043">
        <v>1200</v>
      </c>
      <c r="BD3043">
        <v>1</v>
      </c>
      <c r="BE3043" t="str">
        <f t="shared" si="143"/>
        <v xml:space="preserve">N215T   </v>
      </c>
      <c r="BF3043">
        <v>1</v>
      </c>
      <c r="BH3043">
        <v>0</v>
      </c>
      <c r="BI3043">
        <v>0</v>
      </c>
      <c r="BJ3043">
        <v>0</v>
      </c>
      <c r="BK3043">
        <v>2500</v>
      </c>
      <c r="BL3043">
        <v>400</v>
      </c>
      <c r="BM3043" t="s">
        <v>119</v>
      </c>
      <c r="BN3043">
        <v>1</v>
      </c>
      <c r="BO3043">
        <v>1</v>
      </c>
      <c r="BP3043">
        <v>1</v>
      </c>
      <c r="BQ3043">
        <v>0</v>
      </c>
      <c r="BT3043">
        <v>0</v>
      </c>
      <c r="BU3043">
        <v>0</v>
      </c>
      <c r="BV3043">
        <v>0</v>
      </c>
      <c r="CC3043" t="str">
        <f>"19:25:37.766"</f>
        <v>19:25:37.766</v>
      </c>
      <c r="CD3043" t="str">
        <f>"767756201"</f>
        <v>767756201</v>
      </c>
      <c r="CQ3043">
        <v>0</v>
      </c>
      <c r="CR3043">
        <v>2</v>
      </c>
      <c r="CS3043">
        <v>0</v>
      </c>
      <c r="CT3043">
        <v>2</v>
      </c>
      <c r="CU3043">
        <v>0</v>
      </c>
      <c r="CV3043">
        <v>6</v>
      </c>
      <c r="CW3043" t="s">
        <v>120</v>
      </c>
      <c r="CX3043">
        <v>257</v>
      </c>
      <c r="CY3043">
        <v>0</v>
      </c>
      <c r="CZ3043" t="s">
        <v>615</v>
      </c>
      <c r="DA3043" t="s">
        <v>616</v>
      </c>
      <c r="DD3043">
        <v>16234339</v>
      </c>
      <c r="DE3043" t="s">
        <v>123</v>
      </c>
    </row>
    <row r="3044" spans="1:109" x14ac:dyDescent="0.3">
      <c r="A3044" t="str">
        <f>"19:25:38.898"</f>
        <v>19:25:38.898</v>
      </c>
      <c r="B3044" t="s">
        <v>110</v>
      </c>
      <c r="C3044" t="str">
        <f t="shared" si="141"/>
        <v>ffdfd3c0</v>
      </c>
      <c r="D3044" t="s">
        <v>111</v>
      </c>
      <c r="E3044">
        <v>18</v>
      </c>
      <c r="F3044">
        <v>1018</v>
      </c>
      <c r="G3044" t="s">
        <v>112</v>
      </c>
      <c r="J3044" t="s">
        <v>113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R3044" t="s">
        <v>114</v>
      </c>
      <c r="S3044" t="str">
        <f>"19:25:38.680"</f>
        <v>19:25:38.680</v>
      </c>
      <c r="T3044" t="str">
        <f>"19:25:38.180"</f>
        <v>19:25:38.180</v>
      </c>
      <c r="U3044" t="str">
        <f t="shared" si="142"/>
        <v>a1cdbe</v>
      </c>
      <c r="V3044">
        <v>0</v>
      </c>
      <c r="W3044">
        <v>0</v>
      </c>
      <c r="X3044">
        <v>1</v>
      </c>
      <c r="Y3044">
        <v>0</v>
      </c>
      <c r="Z3044">
        <v>0</v>
      </c>
      <c r="AB3044">
        <v>0</v>
      </c>
      <c r="AC3044">
        <v>9</v>
      </c>
      <c r="AD3044">
        <v>3</v>
      </c>
      <c r="AE3044">
        <v>0</v>
      </c>
      <c r="AF3044">
        <v>9</v>
      </c>
      <c r="AG3044" t="s">
        <v>158</v>
      </c>
      <c r="AH3044">
        <v>0</v>
      </c>
      <c r="AI3044">
        <v>3</v>
      </c>
      <c r="AJ3044">
        <v>1</v>
      </c>
      <c r="AK3044">
        <v>0</v>
      </c>
      <c r="AL3044" t="s">
        <v>5726</v>
      </c>
      <c r="AM3044">
        <v>46.987730999999997</v>
      </c>
      <c r="AN3044" t="s">
        <v>5727</v>
      </c>
      <c r="AO3044">
        <v>-123.54434999999999</v>
      </c>
      <c r="AP3044">
        <v>100</v>
      </c>
      <c r="AQ3044">
        <v>2100</v>
      </c>
      <c r="AR3044" t="s">
        <v>118</v>
      </c>
      <c r="AS3044">
        <v>-78</v>
      </c>
      <c r="AT3044">
        <v>16</v>
      </c>
      <c r="AU3044">
        <v>-64</v>
      </c>
      <c r="BC3044">
        <v>1200</v>
      </c>
      <c r="BD3044">
        <v>1</v>
      </c>
      <c r="BE3044" t="str">
        <f t="shared" si="143"/>
        <v xml:space="preserve">N215T   </v>
      </c>
      <c r="BF3044">
        <v>1</v>
      </c>
      <c r="BH3044">
        <v>0</v>
      </c>
      <c r="BI3044">
        <v>0</v>
      </c>
      <c r="BJ3044">
        <v>0</v>
      </c>
      <c r="BK3044">
        <v>2500</v>
      </c>
      <c r="BL3044">
        <v>400</v>
      </c>
      <c r="BM3044" t="s">
        <v>119</v>
      </c>
      <c r="BN3044">
        <v>1</v>
      </c>
      <c r="BO3044">
        <v>1</v>
      </c>
      <c r="BP3044">
        <v>1</v>
      </c>
      <c r="BQ3044">
        <v>0</v>
      </c>
      <c r="BT3044">
        <v>0</v>
      </c>
      <c r="BU3044">
        <v>0</v>
      </c>
      <c r="BV3044">
        <v>0</v>
      </c>
      <c r="CC3044" t="str">
        <f>"19:25:38.680"</f>
        <v>19:25:38.680</v>
      </c>
      <c r="CD3044" t="str">
        <f>"682666022"</f>
        <v>682666022</v>
      </c>
      <c r="CQ3044">
        <v>0</v>
      </c>
      <c r="CR3044">
        <v>2</v>
      </c>
      <c r="CS3044">
        <v>0</v>
      </c>
      <c r="CT3044">
        <v>2</v>
      </c>
      <c r="CU3044">
        <v>0</v>
      </c>
      <c r="CV3044">
        <v>6</v>
      </c>
      <c r="CW3044" t="s">
        <v>120</v>
      </c>
      <c r="CX3044">
        <v>257</v>
      </c>
      <c r="CY3044">
        <v>0</v>
      </c>
      <c r="CZ3044" t="s">
        <v>615</v>
      </c>
      <c r="DA3044" t="s">
        <v>616</v>
      </c>
      <c r="DD3044">
        <v>16234800</v>
      </c>
      <c r="DE3044" t="s">
        <v>123</v>
      </c>
    </row>
    <row r="3045" spans="1:109" x14ac:dyDescent="0.3">
      <c r="A3045" t="str">
        <f>"19:25:40.102"</f>
        <v>19:25:40.102</v>
      </c>
      <c r="B3045" t="s">
        <v>110</v>
      </c>
      <c r="C3045" t="str">
        <f t="shared" si="141"/>
        <v>ffdfd3c0</v>
      </c>
      <c r="D3045" t="s">
        <v>111</v>
      </c>
      <c r="E3045">
        <v>18</v>
      </c>
      <c r="F3045">
        <v>1018</v>
      </c>
      <c r="G3045" t="s">
        <v>112</v>
      </c>
      <c r="J3045" t="s">
        <v>113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R3045" t="s">
        <v>114</v>
      </c>
      <c r="S3045" t="str">
        <f>"19:25:39.836"</f>
        <v>19:25:39.836</v>
      </c>
      <c r="T3045" t="str">
        <f>"19:25:39.734"</f>
        <v>19:25:39.734</v>
      </c>
      <c r="U3045" t="str">
        <f t="shared" si="142"/>
        <v>a1cdbe</v>
      </c>
      <c r="V3045">
        <v>0</v>
      </c>
      <c r="W3045">
        <v>0</v>
      </c>
      <c r="X3045">
        <v>1</v>
      </c>
      <c r="Y3045">
        <v>0</v>
      </c>
      <c r="Z3045">
        <v>0</v>
      </c>
      <c r="AB3045">
        <v>0</v>
      </c>
      <c r="AC3045">
        <v>9</v>
      </c>
      <c r="AD3045">
        <v>3</v>
      </c>
      <c r="AE3045">
        <v>0</v>
      </c>
      <c r="AF3045">
        <v>9</v>
      </c>
      <c r="AG3045" t="s">
        <v>158</v>
      </c>
      <c r="AH3045">
        <v>0</v>
      </c>
      <c r="AI3045">
        <v>3</v>
      </c>
      <c r="AJ3045">
        <v>1</v>
      </c>
      <c r="AK3045">
        <v>0</v>
      </c>
      <c r="AL3045" t="s">
        <v>5728</v>
      </c>
      <c r="AM3045">
        <v>46.987817</v>
      </c>
      <c r="AN3045" t="s">
        <v>5729</v>
      </c>
      <c r="AO3045">
        <v>-123.54499300000001</v>
      </c>
      <c r="AP3045">
        <v>100</v>
      </c>
      <c r="AQ3045">
        <v>2100</v>
      </c>
      <c r="AR3045" t="s">
        <v>118</v>
      </c>
      <c r="AS3045">
        <v>-78</v>
      </c>
      <c r="AT3045">
        <v>16</v>
      </c>
      <c r="AU3045">
        <v>0</v>
      </c>
      <c r="BC3045">
        <v>1200</v>
      </c>
      <c r="BD3045">
        <v>1</v>
      </c>
      <c r="BE3045" t="str">
        <f t="shared" si="143"/>
        <v xml:space="preserve">N215T   </v>
      </c>
      <c r="BF3045">
        <v>1</v>
      </c>
      <c r="BH3045">
        <v>0</v>
      </c>
      <c r="BI3045">
        <v>0</v>
      </c>
      <c r="BJ3045">
        <v>0</v>
      </c>
      <c r="BK3045">
        <v>2500</v>
      </c>
      <c r="BL3045">
        <v>400</v>
      </c>
      <c r="BM3045" t="s">
        <v>119</v>
      </c>
      <c r="BN3045">
        <v>1</v>
      </c>
      <c r="BO3045">
        <v>1</v>
      </c>
      <c r="BP3045">
        <v>1</v>
      </c>
      <c r="BQ3045">
        <v>0</v>
      </c>
      <c r="BT3045">
        <v>0</v>
      </c>
      <c r="BU3045">
        <v>0</v>
      </c>
      <c r="BV3045">
        <v>0</v>
      </c>
      <c r="CC3045" t="str">
        <f>"19:25:39.836"</f>
        <v>19:25:39.836</v>
      </c>
      <c r="CD3045" t="str">
        <f>"837552203"</f>
        <v>837552203</v>
      </c>
      <c r="CQ3045">
        <v>0</v>
      </c>
      <c r="CR3045">
        <v>2</v>
      </c>
      <c r="CS3045">
        <v>0</v>
      </c>
      <c r="CT3045">
        <v>2</v>
      </c>
      <c r="CU3045">
        <v>0</v>
      </c>
      <c r="CV3045">
        <v>6</v>
      </c>
      <c r="CW3045" t="s">
        <v>120</v>
      </c>
      <c r="CX3045">
        <v>257</v>
      </c>
      <c r="CY3045">
        <v>0</v>
      </c>
      <c r="CZ3045" t="s">
        <v>615</v>
      </c>
      <c r="DA3045" t="s">
        <v>616</v>
      </c>
      <c r="DD3045">
        <v>16235353</v>
      </c>
      <c r="DE3045" t="s">
        <v>123</v>
      </c>
    </row>
    <row r="3046" spans="1:109" x14ac:dyDescent="0.3">
      <c r="A3046" t="str">
        <f>"19:25:41.008"</f>
        <v>19:25:41.008</v>
      </c>
      <c r="B3046" t="s">
        <v>110</v>
      </c>
      <c r="C3046" t="str">
        <f t="shared" si="141"/>
        <v>ffdfd3c0</v>
      </c>
      <c r="D3046" t="s">
        <v>111</v>
      </c>
      <c r="E3046">
        <v>18</v>
      </c>
      <c r="F3046">
        <v>1018</v>
      </c>
      <c r="G3046" t="s">
        <v>112</v>
      </c>
      <c r="J3046" t="s">
        <v>113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R3046" t="s">
        <v>114</v>
      </c>
      <c r="S3046" t="str">
        <f>"19:25:40.797"</f>
        <v>19:25:40.797</v>
      </c>
      <c r="T3046" t="str">
        <f>"19:25:40.797"</f>
        <v>19:25:40.797</v>
      </c>
      <c r="U3046" t="str">
        <f t="shared" si="142"/>
        <v>a1cdbe</v>
      </c>
      <c r="V3046">
        <v>0</v>
      </c>
      <c r="W3046">
        <v>0</v>
      </c>
      <c r="X3046">
        <v>1</v>
      </c>
      <c r="Y3046">
        <v>0</v>
      </c>
      <c r="Z3046">
        <v>0</v>
      </c>
      <c r="AB3046">
        <v>0</v>
      </c>
      <c r="AC3046">
        <v>9</v>
      </c>
      <c r="AD3046">
        <v>3</v>
      </c>
      <c r="AE3046">
        <v>0</v>
      </c>
      <c r="AF3046">
        <v>9</v>
      </c>
      <c r="AG3046" t="s">
        <v>158</v>
      </c>
      <c r="AH3046">
        <v>0</v>
      </c>
      <c r="AI3046">
        <v>3</v>
      </c>
      <c r="AJ3046">
        <v>1</v>
      </c>
      <c r="AK3046">
        <v>0</v>
      </c>
      <c r="AL3046" t="s">
        <v>5730</v>
      </c>
      <c r="AM3046">
        <v>46.987881999999999</v>
      </c>
      <c r="AN3046" t="s">
        <v>5731</v>
      </c>
      <c r="AO3046">
        <v>-123.545444</v>
      </c>
      <c r="AP3046">
        <v>100</v>
      </c>
      <c r="AQ3046">
        <v>2100</v>
      </c>
      <c r="AR3046" t="s">
        <v>118</v>
      </c>
      <c r="AS3046">
        <v>-78</v>
      </c>
      <c r="AT3046">
        <v>15</v>
      </c>
      <c r="AU3046">
        <v>0</v>
      </c>
      <c r="BC3046">
        <v>1200</v>
      </c>
      <c r="BD3046">
        <v>1</v>
      </c>
      <c r="BE3046" t="str">
        <f t="shared" si="143"/>
        <v xml:space="preserve">N215T   </v>
      </c>
      <c r="BF3046">
        <v>1</v>
      </c>
      <c r="BH3046">
        <v>0</v>
      </c>
      <c r="BI3046">
        <v>0</v>
      </c>
      <c r="BJ3046">
        <v>0</v>
      </c>
      <c r="BK3046">
        <v>2500</v>
      </c>
      <c r="BL3046">
        <v>400</v>
      </c>
      <c r="BM3046" t="s">
        <v>119</v>
      </c>
      <c r="BN3046">
        <v>1</v>
      </c>
      <c r="BO3046">
        <v>1</v>
      </c>
      <c r="BP3046">
        <v>1</v>
      </c>
      <c r="BQ3046">
        <v>0</v>
      </c>
      <c r="BT3046">
        <v>0</v>
      </c>
      <c r="BU3046">
        <v>0</v>
      </c>
      <c r="BV3046">
        <v>0</v>
      </c>
      <c r="CC3046" t="str">
        <f>"19:25:40.797"</f>
        <v>19:25:40.797</v>
      </c>
      <c r="CD3046" t="str">
        <f>"797457608"</f>
        <v>797457608</v>
      </c>
      <c r="CQ3046">
        <v>0</v>
      </c>
      <c r="CR3046">
        <v>2</v>
      </c>
      <c r="CS3046">
        <v>0</v>
      </c>
      <c r="CT3046">
        <v>2</v>
      </c>
      <c r="CU3046">
        <v>0</v>
      </c>
      <c r="CV3046">
        <v>6</v>
      </c>
      <c r="CW3046" t="s">
        <v>120</v>
      </c>
      <c r="CX3046">
        <v>257</v>
      </c>
      <c r="CY3046">
        <v>0</v>
      </c>
      <c r="CZ3046" t="s">
        <v>615</v>
      </c>
      <c r="DA3046" t="s">
        <v>616</v>
      </c>
      <c r="DD3046">
        <v>16235860</v>
      </c>
      <c r="DE3046" t="s">
        <v>123</v>
      </c>
    </row>
    <row r="3047" spans="1:109" x14ac:dyDescent="0.3">
      <c r="A3047" t="str">
        <f>"19:25:42.211"</f>
        <v>19:25:42.211</v>
      </c>
      <c r="B3047" t="s">
        <v>110</v>
      </c>
      <c r="C3047" t="str">
        <f t="shared" si="141"/>
        <v>ffdfd3c0</v>
      </c>
      <c r="D3047" t="s">
        <v>111</v>
      </c>
      <c r="E3047">
        <v>18</v>
      </c>
      <c r="F3047">
        <v>1018</v>
      </c>
      <c r="G3047" t="s">
        <v>112</v>
      </c>
      <c r="J3047" t="s">
        <v>113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R3047" t="s">
        <v>114</v>
      </c>
      <c r="S3047" t="str">
        <f>"19:25:41.945"</f>
        <v>19:25:41.945</v>
      </c>
      <c r="T3047" t="str">
        <f>"19:25:41.742"</f>
        <v>19:25:41.742</v>
      </c>
      <c r="U3047" t="str">
        <f t="shared" si="142"/>
        <v>a1cdbe</v>
      </c>
      <c r="V3047">
        <v>0</v>
      </c>
      <c r="W3047">
        <v>0</v>
      </c>
      <c r="X3047">
        <v>1</v>
      </c>
      <c r="Y3047">
        <v>0</v>
      </c>
      <c r="Z3047">
        <v>0</v>
      </c>
      <c r="AB3047">
        <v>0</v>
      </c>
      <c r="AC3047">
        <v>9</v>
      </c>
      <c r="AD3047">
        <v>3</v>
      </c>
      <c r="AE3047">
        <v>0</v>
      </c>
      <c r="AF3047">
        <v>9</v>
      </c>
      <c r="AG3047" t="s">
        <v>158</v>
      </c>
      <c r="AH3047">
        <v>0</v>
      </c>
      <c r="AI3047">
        <v>3</v>
      </c>
      <c r="AJ3047">
        <v>1</v>
      </c>
      <c r="AK3047">
        <v>0</v>
      </c>
      <c r="AL3047" t="s">
        <v>5732</v>
      </c>
      <c r="AM3047">
        <v>46.987966999999998</v>
      </c>
      <c r="AN3047" t="s">
        <v>5733</v>
      </c>
      <c r="AO3047">
        <v>-123.546066</v>
      </c>
      <c r="AP3047">
        <v>100</v>
      </c>
      <c r="AQ3047">
        <v>2100</v>
      </c>
      <c r="AR3047" t="s">
        <v>118</v>
      </c>
      <c r="AS3047">
        <v>-78</v>
      </c>
      <c r="AT3047">
        <v>15</v>
      </c>
      <c r="AU3047">
        <v>0</v>
      </c>
      <c r="BC3047">
        <v>1200</v>
      </c>
      <c r="BD3047">
        <v>1</v>
      </c>
      <c r="BE3047" t="str">
        <f t="shared" si="143"/>
        <v xml:space="preserve">N215T   </v>
      </c>
      <c r="BF3047">
        <v>1</v>
      </c>
      <c r="BH3047">
        <v>0</v>
      </c>
      <c r="BI3047">
        <v>0</v>
      </c>
      <c r="BJ3047">
        <v>0</v>
      </c>
      <c r="BK3047">
        <v>2500</v>
      </c>
      <c r="BL3047">
        <v>400</v>
      </c>
      <c r="BM3047" t="s">
        <v>119</v>
      </c>
      <c r="BN3047">
        <v>1</v>
      </c>
      <c r="BO3047">
        <v>1</v>
      </c>
      <c r="BP3047">
        <v>1</v>
      </c>
      <c r="BQ3047">
        <v>0</v>
      </c>
      <c r="BT3047">
        <v>0</v>
      </c>
      <c r="BU3047">
        <v>0</v>
      </c>
      <c r="BV3047">
        <v>0</v>
      </c>
      <c r="CC3047" t="str">
        <f>"19:25:41.953"</f>
        <v>19:25:41.953</v>
      </c>
      <c r="CD3047" t="str">
        <f>"952343796"</f>
        <v>952343796</v>
      </c>
      <c r="CQ3047">
        <v>0</v>
      </c>
      <c r="CR3047">
        <v>2</v>
      </c>
      <c r="CS3047">
        <v>0</v>
      </c>
      <c r="CT3047">
        <v>2</v>
      </c>
      <c r="CU3047">
        <v>0</v>
      </c>
      <c r="CV3047">
        <v>6</v>
      </c>
      <c r="CW3047" t="s">
        <v>120</v>
      </c>
      <c r="CX3047">
        <v>257</v>
      </c>
      <c r="CY3047">
        <v>0</v>
      </c>
      <c r="CZ3047" t="s">
        <v>615</v>
      </c>
      <c r="DA3047" t="s">
        <v>616</v>
      </c>
      <c r="DD3047">
        <v>16236510</v>
      </c>
      <c r="DE3047" t="s">
        <v>123</v>
      </c>
    </row>
    <row r="3048" spans="1:109" x14ac:dyDescent="0.3">
      <c r="A3048" t="str">
        <f>"19:25:43.219"</f>
        <v>19:25:43.219</v>
      </c>
      <c r="B3048" t="s">
        <v>110</v>
      </c>
      <c r="C3048" t="str">
        <f t="shared" si="141"/>
        <v>ffdfd3c0</v>
      </c>
      <c r="D3048" t="s">
        <v>111</v>
      </c>
      <c r="E3048">
        <v>18</v>
      </c>
      <c r="F3048">
        <v>1018</v>
      </c>
      <c r="G3048" t="s">
        <v>112</v>
      </c>
      <c r="J3048" t="s">
        <v>113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R3048" t="s">
        <v>114</v>
      </c>
      <c r="S3048" t="str">
        <f>"19:25:42.953"</f>
        <v>19:25:42.953</v>
      </c>
      <c r="T3048" t="str">
        <f>"19:25:42.750"</f>
        <v>19:25:42.750</v>
      </c>
      <c r="U3048" t="str">
        <f t="shared" si="142"/>
        <v>a1cdbe</v>
      </c>
      <c r="V3048">
        <v>0</v>
      </c>
      <c r="W3048">
        <v>0</v>
      </c>
      <c r="X3048">
        <v>1</v>
      </c>
      <c r="Y3048">
        <v>0</v>
      </c>
      <c r="Z3048">
        <v>0</v>
      </c>
      <c r="AB3048">
        <v>0</v>
      </c>
      <c r="AC3048">
        <v>9</v>
      </c>
      <c r="AD3048">
        <v>3</v>
      </c>
      <c r="AE3048">
        <v>0</v>
      </c>
      <c r="AF3048">
        <v>9</v>
      </c>
      <c r="AG3048" t="s">
        <v>158</v>
      </c>
      <c r="AH3048">
        <v>0</v>
      </c>
      <c r="AI3048">
        <v>3</v>
      </c>
      <c r="AJ3048">
        <v>1</v>
      </c>
      <c r="AK3048">
        <v>0</v>
      </c>
      <c r="AL3048" t="s">
        <v>5734</v>
      </c>
      <c r="AM3048">
        <v>46.988010000000003</v>
      </c>
      <c r="AN3048" t="s">
        <v>5735</v>
      </c>
      <c r="AO3048">
        <v>-123.546603</v>
      </c>
      <c r="AP3048">
        <v>100</v>
      </c>
      <c r="AQ3048">
        <v>2100</v>
      </c>
      <c r="AR3048" t="s">
        <v>118</v>
      </c>
      <c r="AS3048">
        <v>-78</v>
      </c>
      <c r="AT3048">
        <v>15</v>
      </c>
      <c r="AU3048">
        <v>0</v>
      </c>
      <c r="BC3048">
        <v>1200</v>
      </c>
      <c r="BD3048">
        <v>1</v>
      </c>
      <c r="BE3048" t="str">
        <f t="shared" si="143"/>
        <v xml:space="preserve">N215T   </v>
      </c>
      <c r="BF3048">
        <v>1</v>
      </c>
      <c r="BH3048">
        <v>0</v>
      </c>
      <c r="BI3048">
        <v>0</v>
      </c>
      <c r="BJ3048">
        <v>0</v>
      </c>
      <c r="BK3048">
        <v>2500</v>
      </c>
      <c r="BL3048">
        <v>400</v>
      </c>
      <c r="BM3048" t="s">
        <v>119</v>
      </c>
      <c r="BN3048">
        <v>1</v>
      </c>
      <c r="BO3048">
        <v>1</v>
      </c>
      <c r="BP3048">
        <v>1</v>
      </c>
      <c r="BQ3048">
        <v>0</v>
      </c>
      <c r="BT3048">
        <v>0</v>
      </c>
      <c r="BU3048">
        <v>0</v>
      </c>
      <c r="BV3048">
        <v>0</v>
      </c>
      <c r="CC3048" t="str">
        <f>"19:25:42.961"</f>
        <v>19:25:42.961</v>
      </c>
      <c r="CD3048" t="str">
        <f>"957244752"</f>
        <v>957244752</v>
      </c>
      <c r="CQ3048">
        <v>0</v>
      </c>
      <c r="CR3048">
        <v>2</v>
      </c>
      <c r="CS3048">
        <v>0</v>
      </c>
      <c r="CT3048">
        <v>2</v>
      </c>
      <c r="CU3048">
        <v>0</v>
      </c>
      <c r="CV3048">
        <v>6</v>
      </c>
      <c r="CW3048" t="s">
        <v>120</v>
      </c>
      <c r="CX3048">
        <v>257</v>
      </c>
      <c r="CY3048">
        <v>0</v>
      </c>
      <c r="CZ3048" t="s">
        <v>615</v>
      </c>
      <c r="DA3048" t="s">
        <v>616</v>
      </c>
      <c r="DD3048">
        <v>16237046</v>
      </c>
      <c r="DE3048" t="s">
        <v>123</v>
      </c>
    </row>
    <row r="3049" spans="1:109" x14ac:dyDescent="0.3">
      <c r="A3049" t="str">
        <f>"19:25:44.023"</f>
        <v>19:25:44.023</v>
      </c>
      <c r="B3049" t="s">
        <v>110</v>
      </c>
      <c r="C3049" t="str">
        <f t="shared" si="141"/>
        <v>ffdfd3c0</v>
      </c>
      <c r="D3049" t="s">
        <v>111</v>
      </c>
      <c r="E3049">
        <v>18</v>
      </c>
      <c r="F3049">
        <v>1018</v>
      </c>
      <c r="G3049" t="s">
        <v>112</v>
      </c>
      <c r="J3049" t="s">
        <v>113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R3049" t="s">
        <v>114</v>
      </c>
      <c r="S3049" t="str">
        <f>"19:25:43.820"</f>
        <v>19:25:43.820</v>
      </c>
      <c r="T3049" t="str">
        <f>"19:25:43.820"</f>
        <v>19:25:43.820</v>
      </c>
      <c r="U3049" t="str">
        <f t="shared" si="142"/>
        <v>a1cdbe</v>
      </c>
      <c r="V3049">
        <v>0</v>
      </c>
      <c r="W3049">
        <v>0</v>
      </c>
      <c r="X3049">
        <v>1</v>
      </c>
      <c r="Y3049">
        <v>0</v>
      </c>
      <c r="Z3049">
        <v>0</v>
      </c>
      <c r="AB3049">
        <v>0</v>
      </c>
      <c r="AC3049">
        <v>9</v>
      </c>
      <c r="AD3049">
        <v>3</v>
      </c>
      <c r="AE3049">
        <v>0</v>
      </c>
      <c r="AF3049">
        <v>9</v>
      </c>
      <c r="AG3049" t="s">
        <v>158</v>
      </c>
      <c r="AH3049">
        <v>0</v>
      </c>
      <c r="AI3049">
        <v>3</v>
      </c>
      <c r="AJ3049">
        <v>1</v>
      </c>
      <c r="AK3049">
        <v>0</v>
      </c>
      <c r="AL3049" t="s">
        <v>5736</v>
      </c>
      <c r="AM3049">
        <v>46.988053000000001</v>
      </c>
      <c r="AN3049" t="s">
        <v>5737</v>
      </c>
      <c r="AO3049">
        <v>-123.547096</v>
      </c>
      <c r="AP3049">
        <v>100</v>
      </c>
      <c r="AQ3049">
        <v>2100</v>
      </c>
      <c r="AR3049" t="s">
        <v>118</v>
      </c>
      <c r="AS3049">
        <v>-78</v>
      </c>
      <c r="AT3049">
        <v>14</v>
      </c>
      <c r="AU3049">
        <v>0</v>
      </c>
      <c r="BC3049">
        <v>1200</v>
      </c>
      <c r="BD3049">
        <v>1</v>
      </c>
      <c r="BE3049" t="str">
        <f t="shared" si="143"/>
        <v xml:space="preserve">N215T   </v>
      </c>
      <c r="BF3049">
        <v>1</v>
      </c>
      <c r="BH3049">
        <v>0</v>
      </c>
      <c r="BI3049">
        <v>0</v>
      </c>
      <c r="BJ3049">
        <v>0</v>
      </c>
      <c r="BK3049">
        <v>2500</v>
      </c>
      <c r="BL3049">
        <v>400</v>
      </c>
      <c r="BM3049" t="s">
        <v>119</v>
      </c>
      <c r="BN3049">
        <v>1</v>
      </c>
      <c r="BO3049">
        <v>1</v>
      </c>
      <c r="BP3049">
        <v>1</v>
      </c>
      <c r="BQ3049">
        <v>0</v>
      </c>
      <c r="BT3049">
        <v>0</v>
      </c>
      <c r="BU3049">
        <v>0</v>
      </c>
      <c r="BV3049">
        <v>0</v>
      </c>
      <c r="CC3049" t="str">
        <f>"19:25:43.828"</f>
        <v>19:25:43.828</v>
      </c>
      <c r="CD3049" t="str">
        <f>"827159016"</f>
        <v>827159016</v>
      </c>
      <c r="CQ3049">
        <v>0</v>
      </c>
      <c r="CR3049">
        <v>2</v>
      </c>
      <c r="CS3049">
        <v>0</v>
      </c>
      <c r="CT3049">
        <v>2</v>
      </c>
      <c r="CU3049">
        <v>0</v>
      </c>
      <c r="CV3049">
        <v>6</v>
      </c>
      <c r="CW3049" t="s">
        <v>120</v>
      </c>
      <c r="CX3049">
        <v>257</v>
      </c>
      <c r="CY3049">
        <v>0</v>
      </c>
      <c r="CZ3049" t="s">
        <v>615</v>
      </c>
      <c r="DA3049" t="s">
        <v>616</v>
      </c>
      <c r="DD3049">
        <v>16237477</v>
      </c>
      <c r="DE3049" t="s">
        <v>123</v>
      </c>
    </row>
    <row r="3050" spans="1:109" x14ac:dyDescent="0.3">
      <c r="A3050" t="str">
        <f>"19:25:44.977"</f>
        <v>19:25:44.977</v>
      </c>
      <c r="B3050" t="s">
        <v>110</v>
      </c>
      <c r="C3050" t="str">
        <f t="shared" si="141"/>
        <v>ffdfd3c0</v>
      </c>
      <c r="D3050" t="s">
        <v>111</v>
      </c>
      <c r="E3050">
        <v>18</v>
      </c>
      <c r="F3050">
        <v>1018</v>
      </c>
      <c r="G3050" t="s">
        <v>112</v>
      </c>
      <c r="J3050" t="s">
        <v>113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R3050" t="s">
        <v>114</v>
      </c>
      <c r="S3050" t="str">
        <f>"19:25:44.734"</f>
        <v>19:25:44.734</v>
      </c>
      <c r="T3050" t="str">
        <f>"19:25:44.336"</f>
        <v>19:25:44.336</v>
      </c>
      <c r="U3050" t="str">
        <f t="shared" si="142"/>
        <v>a1cdbe</v>
      </c>
      <c r="V3050">
        <v>0</v>
      </c>
      <c r="W3050">
        <v>0</v>
      </c>
      <c r="X3050">
        <v>1</v>
      </c>
      <c r="Y3050">
        <v>0</v>
      </c>
      <c r="Z3050">
        <v>0</v>
      </c>
      <c r="AB3050">
        <v>0</v>
      </c>
      <c r="AC3050">
        <v>9</v>
      </c>
      <c r="AD3050">
        <v>3</v>
      </c>
      <c r="AE3050">
        <v>0</v>
      </c>
      <c r="AF3050">
        <v>9</v>
      </c>
      <c r="AG3050" t="s">
        <v>158</v>
      </c>
      <c r="AH3050">
        <v>0</v>
      </c>
      <c r="AI3050">
        <v>3</v>
      </c>
      <c r="AJ3050">
        <v>1</v>
      </c>
      <c r="AK3050">
        <v>0</v>
      </c>
      <c r="AL3050" t="s">
        <v>5738</v>
      </c>
      <c r="AM3050">
        <v>46.988160999999998</v>
      </c>
      <c r="AN3050" t="s">
        <v>5739</v>
      </c>
      <c r="AO3050">
        <v>-123.547568</v>
      </c>
      <c r="AP3050">
        <v>100</v>
      </c>
      <c r="AQ3050">
        <v>2100</v>
      </c>
      <c r="AR3050" t="s">
        <v>118</v>
      </c>
      <c r="AS3050">
        <v>-78</v>
      </c>
      <c r="AT3050">
        <v>14</v>
      </c>
      <c r="AU3050">
        <v>0</v>
      </c>
      <c r="BC3050">
        <v>1200</v>
      </c>
      <c r="BD3050">
        <v>1</v>
      </c>
      <c r="BE3050" t="str">
        <f t="shared" si="143"/>
        <v xml:space="preserve">N215T   </v>
      </c>
      <c r="BF3050">
        <v>1</v>
      </c>
      <c r="BH3050">
        <v>0</v>
      </c>
      <c r="BI3050">
        <v>0</v>
      </c>
      <c r="BJ3050">
        <v>0</v>
      </c>
      <c r="BK3050">
        <v>2500</v>
      </c>
      <c r="BL3050">
        <v>400</v>
      </c>
      <c r="BM3050" t="s">
        <v>119</v>
      </c>
      <c r="BN3050">
        <v>1</v>
      </c>
      <c r="BO3050">
        <v>1</v>
      </c>
      <c r="BP3050">
        <v>1</v>
      </c>
      <c r="BQ3050">
        <v>0</v>
      </c>
      <c r="BT3050">
        <v>0</v>
      </c>
      <c r="BU3050">
        <v>0</v>
      </c>
      <c r="BV3050">
        <v>0</v>
      </c>
      <c r="CC3050" t="str">
        <f>"19:25:44.742"</f>
        <v>19:25:44.742</v>
      </c>
      <c r="CD3050" t="str">
        <f>"742068842"</f>
        <v>742068842</v>
      </c>
      <c r="CQ3050">
        <v>0</v>
      </c>
      <c r="CR3050">
        <v>2</v>
      </c>
      <c r="CS3050">
        <v>0</v>
      </c>
      <c r="CT3050">
        <v>2</v>
      </c>
      <c r="CU3050">
        <v>0</v>
      </c>
      <c r="CV3050">
        <v>6</v>
      </c>
      <c r="CW3050" t="s">
        <v>120</v>
      </c>
      <c r="CX3050">
        <v>257</v>
      </c>
      <c r="CY3050">
        <v>0</v>
      </c>
      <c r="CZ3050" t="s">
        <v>615</v>
      </c>
      <c r="DA3050" t="s">
        <v>616</v>
      </c>
      <c r="DD3050">
        <v>16237960</v>
      </c>
      <c r="DE3050" t="s">
        <v>123</v>
      </c>
    </row>
    <row r="3051" spans="1:109" x14ac:dyDescent="0.3">
      <c r="A3051" t="str">
        <f>"19:25:45.938"</f>
        <v>19:25:45.938</v>
      </c>
      <c r="B3051" t="s">
        <v>110</v>
      </c>
      <c r="C3051" t="str">
        <f t="shared" si="141"/>
        <v>ffdfd3c0</v>
      </c>
      <c r="D3051" t="s">
        <v>111</v>
      </c>
      <c r="E3051">
        <v>18</v>
      </c>
      <c r="F3051">
        <v>1018</v>
      </c>
      <c r="G3051" t="s">
        <v>112</v>
      </c>
      <c r="J3051" t="s">
        <v>113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R3051" t="s">
        <v>114</v>
      </c>
      <c r="S3051" t="str">
        <f>"19:25:45.672"</f>
        <v>19:25:45.672</v>
      </c>
      <c r="T3051" t="str">
        <f>"19:25:45.273"</f>
        <v>19:25:45.273</v>
      </c>
      <c r="U3051" t="str">
        <f t="shared" si="142"/>
        <v>a1cdbe</v>
      </c>
      <c r="V3051">
        <v>0</v>
      </c>
      <c r="W3051">
        <v>0</v>
      </c>
      <c r="X3051">
        <v>1</v>
      </c>
      <c r="Y3051">
        <v>0</v>
      </c>
      <c r="Z3051">
        <v>0</v>
      </c>
      <c r="AB3051">
        <v>0</v>
      </c>
      <c r="AC3051">
        <v>9</v>
      </c>
      <c r="AD3051">
        <v>3</v>
      </c>
      <c r="AE3051">
        <v>0</v>
      </c>
      <c r="AF3051">
        <v>9</v>
      </c>
      <c r="AG3051" t="s">
        <v>158</v>
      </c>
      <c r="AH3051">
        <v>0</v>
      </c>
      <c r="AI3051">
        <v>3</v>
      </c>
      <c r="AJ3051">
        <v>1</v>
      </c>
      <c r="AK3051">
        <v>0</v>
      </c>
      <c r="AL3051" t="s">
        <v>5740</v>
      </c>
      <c r="AM3051">
        <v>46.988204000000003</v>
      </c>
      <c r="AN3051" t="s">
        <v>5741</v>
      </c>
      <c r="AO3051">
        <v>-123.548062</v>
      </c>
      <c r="AP3051">
        <v>100</v>
      </c>
      <c r="AQ3051">
        <v>2100</v>
      </c>
      <c r="AR3051" t="s">
        <v>118</v>
      </c>
      <c r="AS3051">
        <v>-78</v>
      </c>
      <c r="AT3051">
        <v>14</v>
      </c>
      <c r="AU3051">
        <v>0</v>
      </c>
      <c r="BC3051">
        <v>1200</v>
      </c>
      <c r="BD3051">
        <v>1</v>
      </c>
      <c r="BE3051" t="str">
        <f t="shared" si="143"/>
        <v xml:space="preserve">N215T   </v>
      </c>
      <c r="BF3051">
        <v>1</v>
      </c>
      <c r="BH3051">
        <v>0</v>
      </c>
      <c r="BI3051">
        <v>0</v>
      </c>
      <c r="BJ3051">
        <v>0</v>
      </c>
      <c r="BK3051">
        <v>2500</v>
      </c>
      <c r="BL3051">
        <v>400</v>
      </c>
      <c r="BM3051" t="s">
        <v>119</v>
      </c>
      <c r="BN3051">
        <v>1</v>
      </c>
      <c r="BO3051">
        <v>1</v>
      </c>
      <c r="BP3051">
        <v>1</v>
      </c>
      <c r="BQ3051">
        <v>0</v>
      </c>
      <c r="BT3051">
        <v>0</v>
      </c>
      <c r="BU3051">
        <v>0</v>
      </c>
      <c r="BV3051">
        <v>0</v>
      </c>
      <c r="CC3051" t="str">
        <f>"19:25:45.672"</f>
        <v>19:25:45.672</v>
      </c>
      <c r="CD3051" t="str">
        <f>"671977195"</f>
        <v>671977195</v>
      </c>
      <c r="CQ3051">
        <v>0</v>
      </c>
      <c r="CR3051">
        <v>2</v>
      </c>
      <c r="CS3051">
        <v>0</v>
      </c>
      <c r="CT3051">
        <v>2</v>
      </c>
      <c r="CU3051">
        <v>0</v>
      </c>
      <c r="CV3051">
        <v>6</v>
      </c>
      <c r="CW3051" t="s">
        <v>120</v>
      </c>
      <c r="CX3051">
        <v>257</v>
      </c>
      <c r="CY3051">
        <v>0</v>
      </c>
      <c r="CZ3051" t="s">
        <v>615</v>
      </c>
      <c r="DA3051" t="s">
        <v>616</v>
      </c>
      <c r="DD3051">
        <v>16238468</v>
      </c>
      <c r="DE3051" t="s">
        <v>123</v>
      </c>
    </row>
    <row r="3052" spans="1:109" x14ac:dyDescent="0.3">
      <c r="A3052" t="str">
        <f>"19:25:46.891"</f>
        <v>19:25:46.891</v>
      </c>
      <c r="B3052" t="s">
        <v>110</v>
      </c>
      <c r="C3052" t="str">
        <f t="shared" si="141"/>
        <v>ffdfd3c0</v>
      </c>
      <c r="D3052" t="s">
        <v>111</v>
      </c>
      <c r="E3052">
        <v>18</v>
      </c>
      <c r="F3052">
        <v>1018</v>
      </c>
      <c r="G3052" t="s">
        <v>112</v>
      </c>
      <c r="J3052" t="s">
        <v>113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R3052" t="s">
        <v>114</v>
      </c>
      <c r="S3052" t="str">
        <f>"19:25:46.641"</f>
        <v>19:25:46.641</v>
      </c>
      <c r="T3052" t="str">
        <f>"19:25:46.641"</f>
        <v>19:25:46.641</v>
      </c>
      <c r="U3052" t="str">
        <f t="shared" si="142"/>
        <v>a1cdbe</v>
      </c>
      <c r="V3052">
        <v>0</v>
      </c>
      <c r="W3052">
        <v>0</v>
      </c>
      <c r="X3052">
        <v>1</v>
      </c>
      <c r="Y3052">
        <v>0</v>
      </c>
      <c r="Z3052">
        <v>0</v>
      </c>
      <c r="AB3052">
        <v>0</v>
      </c>
      <c r="AC3052">
        <v>9</v>
      </c>
      <c r="AD3052">
        <v>3</v>
      </c>
      <c r="AE3052">
        <v>0</v>
      </c>
      <c r="AF3052">
        <v>9</v>
      </c>
      <c r="AG3052" t="s">
        <v>158</v>
      </c>
      <c r="AH3052">
        <v>0</v>
      </c>
      <c r="AI3052">
        <v>3</v>
      </c>
      <c r="AJ3052">
        <v>1</v>
      </c>
      <c r="AK3052">
        <v>0</v>
      </c>
      <c r="AL3052" t="s">
        <v>5742</v>
      </c>
      <c r="AM3052">
        <v>46.988245999999997</v>
      </c>
      <c r="AN3052" t="s">
        <v>5743</v>
      </c>
      <c r="AO3052">
        <v>-123.548512</v>
      </c>
      <c r="AP3052">
        <v>100</v>
      </c>
      <c r="AQ3052">
        <v>2100</v>
      </c>
      <c r="AR3052" t="s">
        <v>118</v>
      </c>
      <c r="AS3052">
        <v>-78</v>
      </c>
      <c r="AT3052">
        <v>13</v>
      </c>
      <c r="AU3052">
        <v>0</v>
      </c>
      <c r="BC3052">
        <v>1200</v>
      </c>
      <c r="BD3052">
        <v>1</v>
      </c>
      <c r="BE3052" t="str">
        <f t="shared" si="143"/>
        <v xml:space="preserve">N215T   </v>
      </c>
      <c r="BF3052">
        <v>1</v>
      </c>
      <c r="BH3052">
        <v>0</v>
      </c>
      <c r="BI3052">
        <v>0</v>
      </c>
      <c r="BJ3052">
        <v>0</v>
      </c>
      <c r="BK3052">
        <v>2500</v>
      </c>
      <c r="BL3052">
        <v>400</v>
      </c>
      <c r="BM3052" t="s">
        <v>119</v>
      </c>
      <c r="BN3052">
        <v>1</v>
      </c>
      <c r="BO3052">
        <v>1</v>
      </c>
      <c r="BP3052">
        <v>1</v>
      </c>
      <c r="BQ3052">
        <v>0</v>
      </c>
      <c r="BT3052">
        <v>0</v>
      </c>
      <c r="BU3052">
        <v>0</v>
      </c>
      <c r="BV3052">
        <v>0</v>
      </c>
      <c r="CC3052" t="str">
        <f>"19:25:46.648"</f>
        <v>19:25:46.648</v>
      </c>
      <c r="CD3052" t="str">
        <f>"646881104"</f>
        <v>646881104</v>
      </c>
      <c r="CQ3052">
        <v>0</v>
      </c>
      <c r="CR3052">
        <v>2</v>
      </c>
      <c r="CS3052">
        <v>0</v>
      </c>
      <c r="CT3052">
        <v>2</v>
      </c>
      <c r="CU3052">
        <v>0</v>
      </c>
      <c r="CV3052">
        <v>6</v>
      </c>
      <c r="CW3052" t="s">
        <v>120</v>
      </c>
      <c r="CX3052">
        <v>257</v>
      </c>
      <c r="CY3052">
        <v>0</v>
      </c>
      <c r="CZ3052" t="s">
        <v>615</v>
      </c>
      <c r="DA3052" t="s">
        <v>616</v>
      </c>
      <c r="DD3052">
        <v>16239015</v>
      </c>
      <c r="DE3052" t="s">
        <v>123</v>
      </c>
    </row>
    <row r="3053" spans="1:109" x14ac:dyDescent="0.3">
      <c r="A3053" t="str">
        <f>"19:25:48.047"</f>
        <v>19:25:48.047</v>
      </c>
      <c r="B3053" t="s">
        <v>110</v>
      </c>
      <c r="C3053" t="str">
        <f t="shared" si="141"/>
        <v>ffdfd3c0</v>
      </c>
      <c r="D3053" t="s">
        <v>111</v>
      </c>
      <c r="E3053">
        <v>18</v>
      </c>
      <c r="F3053">
        <v>1018</v>
      </c>
      <c r="G3053" t="s">
        <v>112</v>
      </c>
      <c r="J3053" t="s">
        <v>113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R3053" t="s">
        <v>114</v>
      </c>
      <c r="S3053" t="str">
        <f>"19:25:47.828"</f>
        <v>19:25:47.828</v>
      </c>
      <c r="T3053" t="str">
        <f>"19:25:47.828"</f>
        <v>19:25:47.828</v>
      </c>
      <c r="U3053" t="str">
        <f t="shared" si="142"/>
        <v>a1cdbe</v>
      </c>
      <c r="V3053">
        <v>0</v>
      </c>
      <c r="W3053">
        <v>0</v>
      </c>
      <c r="X3053">
        <v>1</v>
      </c>
      <c r="Y3053">
        <v>0</v>
      </c>
      <c r="Z3053">
        <v>0</v>
      </c>
      <c r="AB3053">
        <v>0</v>
      </c>
      <c r="AC3053">
        <v>9</v>
      </c>
      <c r="AD3053">
        <v>3</v>
      </c>
      <c r="AE3053">
        <v>0</v>
      </c>
      <c r="AF3053">
        <v>9</v>
      </c>
      <c r="AG3053" t="s">
        <v>158</v>
      </c>
      <c r="AH3053">
        <v>0</v>
      </c>
      <c r="AI3053">
        <v>3</v>
      </c>
      <c r="AJ3053">
        <v>1</v>
      </c>
      <c r="AK3053">
        <v>0</v>
      </c>
      <c r="AL3053" t="s">
        <v>5744</v>
      </c>
      <c r="AM3053">
        <v>46.988332</v>
      </c>
      <c r="AN3053" t="s">
        <v>5745</v>
      </c>
      <c r="AO3053">
        <v>-123.549156</v>
      </c>
      <c r="AP3053">
        <v>100</v>
      </c>
      <c r="AQ3053">
        <v>2100</v>
      </c>
      <c r="AR3053" t="s">
        <v>118</v>
      </c>
      <c r="AS3053">
        <v>-78</v>
      </c>
      <c r="AT3053">
        <v>13</v>
      </c>
      <c r="AU3053">
        <v>0</v>
      </c>
      <c r="BC3053">
        <v>1200</v>
      </c>
      <c r="BD3053">
        <v>1</v>
      </c>
      <c r="BE3053" t="str">
        <f t="shared" si="143"/>
        <v xml:space="preserve">N215T   </v>
      </c>
      <c r="BF3053">
        <v>1</v>
      </c>
      <c r="BH3053">
        <v>0</v>
      </c>
      <c r="BI3053">
        <v>0</v>
      </c>
      <c r="BJ3053">
        <v>0</v>
      </c>
      <c r="BK3053">
        <v>2500</v>
      </c>
      <c r="BL3053">
        <v>400</v>
      </c>
      <c r="BM3053" t="s">
        <v>119</v>
      </c>
      <c r="BN3053">
        <v>1</v>
      </c>
      <c r="BO3053">
        <v>1</v>
      </c>
      <c r="BP3053">
        <v>1</v>
      </c>
      <c r="BQ3053">
        <v>0</v>
      </c>
      <c r="BT3053">
        <v>0</v>
      </c>
      <c r="BU3053">
        <v>0</v>
      </c>
      <c r="BV3053">
        <v>0</v>
      </c>
      <c r="CC3053" t="str">
        <f>"19:25:47.828"</f>
        <v>19:25:47.828</v>
      </c>
      <c r="CD3053" t="str">
        <f>"831764324"</f>
        <v>831764324</v>
      </c>
      <c r="CQ3053">
        <v>0</v>
      </c>
      <c r="CR3053">
        <v>2</v>
      </c>
      <c r="CS3053">
        <v>0</v>
      </c>
      <c r="CT3053">
        <v>2</v>
      </c>
      <c r="CU3053">
        <v>0</v>
      </c>
      <c r="CV3053">
        <v>6</v>
      </c>
      <c r="CW3053" t="s">
        <v>120</v>
      </c>
      <c r="CX3053">
        <v>257</v>
      </c>
      <c r="CY3053">
        <v>0</v>
      </c>
      <c r="CZ3053" t="s">
        <v>615</v>
      </c>
      <c r="DA3053" t="s">
        <v>616</v>
      </c>
      <c r="DD3053">
        <v>16239664</v>
      </c>
      <c r="DE3053" t="s">
        <v>123</v>
      </c>
    </row>
    <row r="3054" spans="1:109" x14ac:dyDescent="0.3">
      <c r="A3054" t="str">
        <f>"19:25:48.953"</f>
        <v>19:25:48.953</v>
      </c>
      <c r="B3054" t="s">
        <v>110</v>
      </c>
      <c r="C3054" t="str">
        <f t="shared" si="141"/>
        <v>ffdfd3c0</v>
      </c>
      <c r="D3054" t="s">
        <v>111</v>
      </c>
      <c r="E3054">
        <v>18</v>
      </c>
      <c r="F3054">
        <v>1018</v>
      </c>
      <c r="G3054" t="s">
        <v>112</v>
      </c>
      <c r="J3054" t="s">
        <v>113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R3054" t="s">
        <v>114</v>
      </c>
      <c r="S3054" t="str">
        <f>"19:25:48.742"</f>
        <v>19:25:48.742</v>
      </c>
      <c r="T3054" t="str">
        <f>"19:25:48.242"</f>
        <v>19:25:48.242</v>
      </c>
      <c r="U3054" t="str">
        <f t="shared" si="142"/>
        <v>a1cdbe</v>
      </c>
      <c r="V3054">
        <v>0</v>
      </c>
      <c r="W3054">
        <v>0</v>
      </c>
      <c r="X3054">
        <v>1</v>
      </c>
      <c r="Y3054">
        <v>0</v>
      </c>
      <c r="Z3054">
        <v>0</v>
      </c>
      <c r="AB3054">
        <v>0</v>
      </c>
      <c r="AC3054">
        <v>9</v>
      </c>
      <c r="AD3054">
        <v>3</v>
      </c>
      <c r="AE3054">
        <v>0</v>
      </c>
      <c r="AF3054">
        <v>9</v>
      </c>
      <c r="AG3054" t="s">
        <v>158</v>
      </c>
      <c r="AH3054">
        <v>0</v>
      </c>
      <c r="AI3054">
        <v>3</v>
      </c>
      <c r="AJ3054">
        <v>1</v>
      </c>
      <c r="AK3054">
        <v>0</v>
      </c>
      <c r="AL3054" t="s">
        <v>5746</v>
      </c>
      <c r="AM3054">
        <v>46.988374999999998</v>
      </c>
      <c r="AN3054" t="s">
        <v>5747</v>
      </c>
      <c r="AO3054">
        <v>-123.54965</v>
      </c>
      <c r="AP3054">
        <v>100</v>
      </c>
      <c r="AQ3054">
        <v>2100</v>
      </c>
      <c r="AR3054" t="s">
        <v>118</v>
      </c>
      <c r="AS3054">
        <v>-78</v>
      </c>
      <c r="AT3054">
        <v>13</v>
      </c>
      <c r="AU3054">
        <v>0</v>
      </c>
      <c r="BC3054">
        <v>1200</v>
      </c>
      <c r="BD3054">
        <v>1</v>
      </c>
      <c r="BE3054" t="str">
        <f t="shared" si="143"/>
        <v xml:space="preserve">N215T   </v>
      </c>
      <c r="BF3054">
        <v>1</v>
      </c>
      <c r="BH3054">
        <v>0</v>
      </c>
      <c r="BI3054">
        <v>0</v>
      </c>
      <c r="BJ3054">
        <v>0</v>
      </c>
      <c r="BK3054">
        <v>2500</v>
      </c>
      <c r="BL3054">
        <v>400</v>
      </c>
      <c r="BM3054" t="s">
        <v>119</v>
      </c>
      <c r="BN3054">
        <v>1</v>
      </c>
      <c r="BO3054">
        <v>1</v>
      </c>
      <c r="BP3054">
        <v>1</v>
      </c>
      <c r="BQ3054">
        <v>0</v>
      </c>
      <c r="BT3054">
        <v>0</v>
      </c>
      <c r="BU3054">
        <v>0</v>
      </c>
      <c r="BV3054">
        <v>0</v>
      </c>
      <c r="CC3054" t="str">
        <f>"19:25:48.750"</f>
        <v>19:25:48.750</v>
      </c>
      <c r="CD3054" t="str">
        <f>"746674167"</f>
        <v>746674167</v>
      </c>
      <c r="CQ3054">
        <v>0</v>
      </c>
      <c r="CR3054">
        <v>2</v>
      </c>
      <c r="CS3054">
        <v>0</v>
      </c>
      <c r="CT3054">
        <v>2</v>
      </c>
      <c r="CU3054">
        <v>0</v>
      </c>
      <c r="CV3054">
        <v>6</v>
      </c>
      <c r="CW3054" t="s">
        <v>120</v>
      </c>
      <c r="CX3054">
        <v>257</v>
      </c>
      <c r="CY3054">
        <v>0</v>
      </c>
      <c r="CZ3054" t="s">
        <v>615</v>
      </c>
      <c r="DA3054" t="s">
        <v>616</v>
      </c>
      <c r="DD3054">
        <v>16240133</v>
      </c>
      <c r="DE3054" t="s">
        <v>123</v>
      </c>
    </row>
    <row r="3055" spans="1:109" x14ac:dyDescent="0.3">
      <c r="A3055" t="str">
        <f>"19:25:49.859"</f>
        <v>19:25:49.859</v>
      </c>
      <c r="B3055" t="s">
        <v>110</v>
      </c>
      <c r="C3055" t="str">
        <f t="shared" si="141"/>
        <v>ffdfd3c0</v>
      </c>
      <c r="D3055" t="s">
        <v>111</v>
      </c>
      <c r="E3055">
        <v>18</v>
      </c>
      <c r="F3055">
        <v>1018</v>
      </c>
      <c r="G3055" t="s">
        <v>112</v>
      </c>
      <c r="J3055" t="s">
        <v>113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R3055" t="s">
        <v>114</v>
      </c>
      <c r="S3055" t="str">
        <f>"19:25:49.641"</f>
        <v>19:25:49.641</v>
      </c>
      <c r="T3055" t="str">
        <f>"19:25:49.344"</f>
        <v>19:25:49.344</v>
      </c>
      <c r="U3055" t="str">
        <f t="shared" si="142"/>
        <v>a1cdbe</v>
      </c>
      <c r="V3055">
        <v>0</v>
      </c>
      <c r="W3055">
        <v>0</v>
      </c>
      <c r="X3055">
        <v>1</v>
      </c>
      <c r="Y3055">
        <v>0</v>
      </c>
      <c r="Z3055">
        <v>0</v>
      </c>
      <c r="AB3055">
        <v>0</v>
      </c>
      <c r="AC3055">
        <v>9</v>
      </c>
      <c r="AD3055">
        <v>3</v>
      </c>
      <c r="AE3055">
        <v>0</v>
      </c>
      <c r="AF3055">
        <v>9</v>
      </c>
      <c r="AG3055" t="s">
        <v>158</v>
      </c>
      <c r="AH3055">
        <v>0</v>
      </c>
      <c r="AI3055">
        <v>3</v>
      </c>
      <c r="AJ3055">
        <v>1</v>
      </c>
      <c r="AK3055">
        <v>0</v>
      </c>
      <c r="AL3055" t="s">
        <v>885</v>
      </c>
      <c r="AM3055">
        <v>46.988439999999997</v>
      </c>
      <c r="AN3055" t="s">
        <v>5748</v>
      </c>
      <c r="AO3055">
        <v>-123.550122</v>
      </c>
      <c r="AP3055">
        <v>100</v>
      </c>
      <c r="AQ3055">
        <v>2100</v>
      </c>
      <c r="AR3055" t="s">
        <v>118</v>
      </c>
      <c r="AS3055">
        <v>-78</v>
      </c>
      <c r="AT3055">
        <v>13</v>
      </c>
      <c r="AU3055">
        <v>-64</v>
      </c>
      <c r="BC3055">
        <v>1200</v>
      </c>
      <c r="BD3055">
        <v>1</v>
      </c>
      <c r="BE3055" t="str">
        <f t="shared" si="143"/>
        <v xml:space="preserve">N215T   </v>
      </c>
      <c r="BF3055">
        <v>1</v>
      </c>
      <c r="BH3055">
        <v>0</v>
      </c>
      <c r="BI3055">
        <v>0</v>
      </c>
      <c r="BJ3055">
        <v>0</v>
      </c>
      <c r="BK3055">
        <v>2500</v>
      </c>
      <c r="BL3055">
        <v>400</v>
      </c>
      <c r="BM3055" t="s">
        <v>119</v>
      </c>
      <c r="BN3055">
        <v>1</v>
      </c>
      <c r="BO3055">
        <v>1</v>
      </c>
      <c r="BP3055">
        <v>1</v>
      </c>
      <c r="BQ3055">
        <v>0</v>
      </c>
      <c r="BT3055">
        <v>0</v>
      </c>
      <c r="BU3055">
        <v>0</v>
      </c>
      <c r="BV3055">
        <v>0</v>
      </c>
      <c r="CC3055" t="str">
        <f>"19:25:49.648"</f>
        <v>19:25:49.648</v>
      </c>
      <c r="CD3055" t="str">
        <f>"646585466"</f>
        <v>646585466</v>
      </c>
      <c r="CQ3055">
        <v>0</v>
      </c>
      <c r="CR3055">
        <v>2</v>
      </c>
      <c r="CS3055">
        <v>0</v>
      </c>
      <c r="CT3055">
        <v>2</v>
      </c>
      <c r="CU3055">
        <v>0</v>
      </c>
      <c r="CV3055">
        <v>6</v>
      </c>
      <c r="CW3055" t="s">
        <v>120</v>
      </c>
      <c r="CX3055">
        <v>257</v>
      </c>
      <c r="CY3055">
        <v>0</v>
      </c>
      <c r="CZ3055" t="s">
        <v>615</v>
      </c>
      <c r="DA3055" t="s">
        <v>616</v>
      </c>
      <c r="DD3055">
        <v>16240588</v>
      </c>
      <c r="DE3055" t="s">
        <v>123</v>
      </c>
    </row>
    <row r="3056" spans="1:109" x14ac:dyDescent="0.3">
      <c r="A3056" t="str">
        <f>"19:25:51.016"</f>
        <v>19:25:51.016</v>
      </c>
      <c r="B3056" t="s">
        <v>110</v>
      </c>
      <c r="C3056" t="str">
        <f t="shared" si="141"/>
        <v>ffdfd3c0</v>
      </c>
      <c r="D3056" t="s">
        <v>111</v>
      </c>
      <c r="E3056">
        <v>18</v>
      </c>
      <c r="F3056">
        <v>1018</v>
      </c>
      <c r="G3056" t="s">
        <v>112</v>
      </c>
      <c r="J3056" t="s">
        <v>113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R3056" t="s">
        <v>114</v>
      </c>
      <c r="S3056" t="str">
        <f>"19:25:50.766"</f>
        <v>19:25:50.766</v>
      </c>
      <c r="T3056" t="str">
        <f>"19:25:50.367"</f>
        <v>19:25:50.367</v>
      </c>
      <c r="U3056" t="str">
        <f t="shared" si="142"/>
        <v>a1cdbe</v>
      </c>
      <c r="V3056">
        <v>0</v>
      </c>
      <c r="W3056">
        <v>0</v>
      </c>
      <c r="X3056">
        <v>1</v>
      </c>
      <c r="Y3056">
        <v>0</v>
      </c>
      <c r="Z3056">
        <v>0</v>
      </c>
      <c r="AB3056">
        <v>0</v>
      </c>
      <c r="AC3056">
        <v>9</v>
      </c>
      <c r="AD3056">
        <v>3</v>
      </c>
      <c r="AE3056">
        <v>0</v>
      </c>
      <c r="AF3056">
        <v>9</v>
      </c>
      <c r="AG3056" t="s">
        <v>158</v>
      </c>
      <c r="AH3056">
        <v>0</v>
      </c>
      <c r="AI3056">
        <v>3</v>
      </c>
      <c r="AJ3056">
        <v>1</v>
      </c>
      <c r="AK3056">
        <v>0</v>
      </c>
      <c r="AL3056" t="s">
        <v>5749</v>
      </c>
      <c r="AM3056">
        <v>46.988525000000003</v>
      </c>
      <c r="AN3056" t="s">
        <v>5750</v>
      </c>
      <c r="AO3056">
        <v>-123.55074399999999</v>
      </c>
      <c r="AP3056">
        <v>100</v>
      </c>
      <c r="AQ3056">
        <v>2100</v>
      </c>
      <c r="AR3056" t="s">
        <v>118</v>
      </c>
      <c r="AS3056">
        <v>-78</v>
      </c>
      <c r="AT3056">
        <v>13</v>
      </c>
      <c r="AU3056">
        <v>0</v>
      </c>
      <c r="BC3056">
        <v>1200</v>
      </c>
      <c r="BD3056">
        <v>1</v>
      </c>
      <c r="BE3056" t="str">
        <f t="shared" si="143"/>
        <v xml:space="preserve">N215T   </v>
      </c>
      <c r="BF3056">
        <v>1</v>
      </c>
      <c r="BH3056">
        <v>0</v>
      </c>
      <c r="BI3056">
        <v>0</v>
      </c>
      <c r="BJ3056">
        <v>0</v>
      </c>
      <c r="BK3056">
        <v>2500</v>
      </c>
      <c r="BL3056">
        <v>400</v>
      </c>
      <c r="BM3056" t="s">
        <v>119</v>
      </c>
      <c r="BN3056">
        <v>1</v>
      </c>
      <c r="BO3056">
        <v>1</v>
      </c>
      <c r="BP3056">
        <v>1</v>
      </c>
      <c r="BQ3056">
        <v>0</v>
      </c>
      <c r="BT3056">
        <v>0</v>
      </c>
      <c r="BU3056">
        <v>0</v>
      </c>
      <c r="BV3056">
        <v>0</v>
      </c>
      <c r="CC3056" t="str">
        <f>"19:25:50.773"</f>
        <v>19:25:50.773</v>
      </c>
      <c r="CD3056" t="str">
        <f>"771474604"</f>
        <v>771474604</v>
      </c>
      <c r="CQ3056">
        <v>0</v>
      </c>
      <c r="CR3056">
        <v>2</v>
      </c>
      <c r="CS3056">
        <v>0</v>
      </c>
      <c r="CT3056">
        <v>2</v>
      </c>
      <c r="CU3056">
        <v>0</v>
      </c>
      <c r="CV3056">
        <v>6</v>
      </c>
      <c r="CW3056" t="s">
        <v>120</v>
      </c>
      <c r="CX3056">
        <v>257</v>
      </c>
      <c r="CY3056">
        <v>0</v>
      </c>
      <c r="CZ3056" t="s">
        <v>615</v>
      </c>
      <c r="DA3056" t="s">
        <v>616</v>
      </c>
      <c r="DD3056">
        <v>16241197</v>
      </c>
      <c r="DE3056" t="s">
        <v>123</v>
      </c>
    </row>
    <row r="3057" spans="1:109" x14ac:dyDescent="0.3">
      <c r="A3057" t="str">
        <f>"19:25:52.070"</f>
        <v>19:25:52.070</v>
      </c>
      <c r="B3057" t="s">
        <v>110</v>
      </c>
      <c r="C3057" t="str">
        <f t="shared" si="141"/>
        <v>ffdfd3c0</v>
      </c>
      <c r="D3057" t="s">
        <v>111</v>
      </c>
      <c r="E3057">
        <v>18</v>
      </c>
      <c r="F3057">
        <v>1018</v>
      </c>
      <c r="G3057" t="s">
        <v>112</v>
      </c>
      <c r="J3057" t="s">
        <v>113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R3057" t="s">
        <v>114</v>
      </c>
      <c r="S3057" t="str">
        <f>"19:25:51.859"</f>
        <v>19:25:51.859</v>
      </c>
      <c r="T3057" t="str">
        <f>"19:25:51.859"</f>
        <v>19:25:51.859</v>
      </c>
      <c r="U3057" t="str">
        <f t="shared" si="142"/>
        <v>a1cdbe</v>
      </c>
      <c r="V3057">
        <v>0</v>
      </c>
      <c r="W3057">
        <v>0</v>
      </c>
      <c r="X3057">
        <v>1</v>
      </c>
      <c r="Y3057">
        <v>0</v>
      </c>
      <c r="Z3057">
        <v>0</v>
      </c>
      <c r="AB3057">
        <v>0</v>
      </c>
      <c r="AC3057">
        <v>9</v>
      </c>
      <c r="AD3057">
        <v>3</v>
      </c>
      <c r="AE3057">
        <v>0</v>
      </c>
      <c r="AF3057">
        <v>9</v>
      </c>
      <c r="AG3057" t="s">
        <v>158</v>
      </c>
      <c r="AH3057">
        <v>0</v>
      </c>
      <c r="AI3057">
        <v>3</v>
      </c>
      <c r="AJ3057">
        <v>1</v>
      </c>
      <c r="AK3057">
        <v>0</v>
      </c>
      <c r="AL3057" t="s">
        <v>5751</v>
      </c>
      <c r="AM3057">
        <v>46.988568000000001</v>
      </c>
      <c r="AN3057" t="s">
        <v>5752</v>
      </c>
      <c r="AO3057">
        <v>-123.551323</v>
      </c>
      <c r="AP3057">
        <v>100</v>
      </c>
      <c r="AQ3057">
        <v>2100</v>
      </c>
      <c r="AR3057" t="s">
        <v>118</v>
      </c>
      <c r="AS3057">
        <v>-78</v>
      </c>
      <c r="AT3057">
        <v>14</v>
      </c>
      <c r="AU3057">
        <v>-64</v>
      </c>
      <c r="BC3057">
        <v>1200</v>
      </c>
      <c r="BD3057">
        <v>1</v>
      </c>
      <c r="BE3057" t="str">
        <f t="shared" si="143"/>
        <v xml:space="preserve">N215T   </v>
      </c>
      <c r="BF3057">
        <v>1</v>
      </c>
      <c r="BH3057">
        <v>0</v>
      </c>
      <c r="BI3057">
        <v>0</v>
      </c>
      <c r="BJ3057">
        <v>0</v>
      </c>
      <c r="BK3057">
        <v>2500</v>
      </c>
      <c r="BL3057">
        <v>400</v>
      </c>
      <c r="BM3057" t="s">
        <v>119</v>
      </c>
      <c r="BN3057">
        <v>1</v>
      </c>
      <c r="BO3057">
        <v>1</v>
      </c>
      <c r="BP3057">
        <v>1</v>
      </c>
      <c r="BQ3057">
        <v>0</v>
      </c>
      <c r="BT3057">
        <v>0</v>
      </c>
      <c r="BU3057">
        <v>0</v>
      </c>
      <c r="BV3057">
        <v>0</v>
      </c>
      <c r="CC3057" t="str">
        <f>"19:25:51.867"</f>
        <v>19:25:51.867</v>
      </c>
      <c r="CD3057" t="str">
        <f>"866366684"</f>
        <v>866366684</v>
      </c>
      <c r="CQ3057">
        <v>0</v>
      </c>
      <c r="CR3057">
        <v>2</v>
      </c>
      <c r="CS3057">
        <v>0</v>
      </c>
      <c r="CT3057">
        <v>2</v>
      </c>
      <c r="CU3057">
        <v>0</v>
      </c>
      <c r="CV3057">
        <v>6</v>
      </c>
      <c r="CW3057" t="s">
        <v>120</v>
      </c>
      <c r="CX3057">
        <v>257</v>
      </c>
      <c r="CY3057">
        <v>0</v>
      </c>
      <c r="CZ3057" t="s">
        <v>615</v>
      </c>
      <c r="DA3057" t="s">
        <v>616</v>
      </c>
      <c r="DD3057">
        <v>16241785</v>
      </c>
      <c r="DE3057" t="s">
        <v>123</v>
      </c>
    </row>
    <row r="3058" spans="1:109" x14ac:dyDescent="0.3">
      <c r="A3058" t="str">
        <f>"19:25:53.031"</f>
        <v>19:25:53.031</v>
      </c>
      <c r="B3058" t="s">
        <v>110</v>
      </c>
      <c r="C3058" t="str">
        <f t="shared" si="141"/>
        <v>ffdfd3c0</v>
      </c>
      <c r="D3058" t="s">
        <v>111</v>
      </c>
      <c r="E3058">
        <v>18</v>
      </c>
      <c r="F3058">
        <v>1018</v>
      </c>
      <c r="G3058" t="s">
        <v>112</v>
      </c>
      <c r="J3058" t="s">
        <v>113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R3058" t="s">
        <v>114</v>
      </c>
      <c r="S3058" t="str">
        <f>"19:25:52.750"</f>
        <v>19:25:52.750</v>
      </c>
      <c r="T3058" t="str">
        <f>"19:25:52.352"</f>
        <v>19:25:52.352</v>
      </c>
      <c r="U3058" t="str">
        <f t="shared" si="142"/>
        <v>a1cdbe</v>
      </c>
      <c r="V3058">
        <v>0</v>
      </c>
      <c r="W3058">
        <v>0</v>
      </c>
      <c r="X3058">
        <v>1</v>
      </c>
      <c r="Y3058">
        <v>0</v>
      </c>
      <c r="Z3058">
        <v>0</v>
      </c>
      <c r="AB3058">
        <v>0</v>
      </c>
      <c r="AC3058">
        <v>9</v>
      </c>
      <c r="AD3058">
        <v>3</v>
      </c>
      <c r="AE3058">
        <v>0</v>
      </c>
      <c r="AF3058">
        <v>9</v>
      </c>
      <c r="AG3058" t="s">
        <v>158</v>
      </c>
      <c r="AH3058">
        <v>0</v>
      </c>
      <c r="AI3058">
        <v>3</v>
      </c>
      <c r="AJ3058">
        <v>1</v>
      </c>
      <c r="AK3058">
        <v>0</v>
      </c>
      <c r="AL3058" t="s">
        <v>5753</v>
      </c>
      <c r="AM3058">
        <v>46.988610999999999</v>
      </c>
      <c r="AN3058" t="s">
        <v>5754</v>
      </c>
      <c r="AO3058">
        <v>-123.55175300000001</v>
      </c>
      <c r="AP3058">
        <v>100</v>
      </c>
      <c r="AQ3058">
        <v>2100</v>
      </c>
      <c r="AR3058" t="s">
        <v>118</v>
      </c>
      <c r="AS3058">
        <v>-78</v>
      </c>
      <c r="AT3058">
        <v>14</v>
      </c>
      <c r="AU3058">
        <v>-64</v>
      </c>
      <c r="BC3058">
        <v>1200</v>
      </c>
      <c r="BD3058">
        <v>1</v>
      </c>
      <c r="BE3058" t="str">
        <f t="shared" si="143"/>
        <v xml:space="preserve">N215T   </v>
      </c>
      <c r="BF3058">
        <v>1</v>
      </c>
      <c r="BH3058">
        <v>0</v>
      </c>
      <c r="BI3058">
        <v>0</v>
      </c>
      <c r="BJ3058">
        <v>0</v>
      </c>
      <c r="BK3058">
        <v>2475</v>
      </c>
      <c r="BL3058">
        <v>375</v>
      </c>
      <c r="BM3058" t="s">
        <v>119</v>
      </c>
      <c r="BN3058">
        <v>1</v>
      </c>
      <c r="BO3058">
        <v>1</v>
      </c>
      <c r="BP3058">
        <v>1</v>
      </c>
      <c r="BQ3058">
        <v>0</v>
      </c>
      <c r="BT3058">
        <v>0</v>
      </c>
      <c r="BU3058">
        <v>0</v>
      </c>
      <c r="BV3058">
        <v>0</v>
      </c>
      <c r="CC3058" t="str">
        <f>"19:25:52.750"</f>
        <v>19:25:52.750</v>
      </c>
      <c r="CD3058" t="str">
        <f>"751331013"</f>
        <v>751331013</v>
      </c>
      <c r="CQ3058">
        <v>0</v>
      </c>
      <c r="CR3058">
        <v>2</v>
      </c>
      <c r="CS3058">
        <v>0</v>
      </c>
      <c r="CT3058">
        <v>2</v>
      </c>
      <c r="CU3058">
        <v>0</v>
      </c>
      <c r="CV3058">
        <v>2</v>
      </c>
      <c r="CW3058" t="s">
        <v>120</v>
      </c>
      <c r="CX3058">
        <v>261</v>
      </c>
      <c r="CY3058">
        <v>3</v>
      </c>
      <c r="CZ3058" t="s">
        <v>121</v>
      </c>
      <c r="DA3058" t="s">
        <v>122</v>
      </c>
      <c r="DD3058">
        <v>3915002</v>
      </c>
      <c r="DE3058" t="s">
        <v>123</v>
      </c>
    </row>
    <row r="3059" spans="1:109" x14ac:dyDescent="0.3">
      <c r="A3059" t="str">
        <f>"19:25:53.883"</f>
        <v>19:25:53.883</v>
      </c>
      <c r="B3059" t="s">
        <v>110</v>
      </c>
      <c r="C3059" t="str">
        <f t="shared" si="141"/>
        <v>ffdfd3c0</v>
      </c>
      <c r="D3059" t="s">
        <v>111</v>
      </c>
      <c r="E3059">
        <v>18</v>
      </c>
      <c r="F3059">
        <v>1018</v>
      </c>
      <c r="G3059" t="s">
        <v>112</v>
      </c>
      <c r="J3059" t="s">
        <v>113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R3059" t="s">
        <v>114</v>
      </c>
      <c r="S3059" t="str">
        <f>"19:25:53.617"</f>
        <v>19:25:53.617</v>
      </c>
      <c r="T3059" t="str">
        <f>"19:25:53.516"</f>
        <v>19:25:53.516</v>
      </c>
      <c r="U3059" t="str">
        <f t="shared" si="142"/>
        <v>a1cdbe</v>
      </c>
      <c r="V3059">
        <v>0</v>
      </c>
      <c r="W3059">
        <v>0</v>
      </c>
      <c r="X3059">
        <v>1</v>
      </c>
      <c r="Y3059">
        <v>0</v>
      </c>
      <c r="Z3059">
        <v>0</v>
      </c>
      <c r="AB3059">
        <v>0</v>
      </c>
      <c r="AC3059">
        <v>9</v>
      </c>
      <c r="AD3059">
        <v>3</v>
      </c>
      <c r="AE3059">
        <v>0</v>
      </c>
      <c r="AF3059">
        <v>9</v>
      </c>
      <c r="AG3059" t="s">
        <v>158</v>
      </c>
      <c r="AH3059">
        <v>0</v>
      </c>
      <c r="AI3059">
        <v>3</v>
      </c>
      <c r="AJ3059">
        <v>1</v>
      </c>
      <c r="AK3059">
        <v>0</v>
      </c>
      <c r="AL3059" t="s">
        <v>5755</v>
      </c>
      <c r="AM3059">
        <v>46.988719000000003</v>
      </c>
      <c r="AN3059" t="s">
        <v>5756</v>
      </c>
      <c r="AO3059">
        <v>-123.552246</v>
      </c>
      <c r="AP3059">
        <v>100</v>
      </c>
      <c r="AQ3059">
        <v>2100</v>
      </c>
      <c r="AR3059" t="s">
        <v>118</v>
      </c>
      <c r="AS3059">
        <v>-78</v>
      </c>
      <c r="AT3059">
        <v>14</v>
      </c>
      <c r="AU3059">
        <v>-64</v>
      </c>
      <c r="BC3059">
        <v>1200</v>
      </c>
      <c r="BD3059">
        <v>1</v>
      </c>
      <c r="BE3059" t="str">
        <f t="shared" si="143"/>
        <v xml:space="preserve">N215T   </v>
      </c>
      <c r="BF3059">
        <v>1</v>
      </c>
      <c r="BH3059">
        <v>0</v>
      </c>
      <c r="BI3059">
        <v>0</v>
      </c>
      <c r="BJ3059">
        <v>0</v>
      </c>
      <c r="BK3059">
        <v>2475</v>
      </c>
      <c r="BL3059">
        <v>375</v>
      </c>
      <c r="BM3059" t="s">
        <v>119</v>
      </c>
      <c r="BN3059">
        <v>1</v>
      </c>
      <c r="BO3059">
        <v>1</v>
      </c>
      <c r="BP3059">
        <v>1</v>
      </c>
      <c r="BQ3059">
        <v>0</v>
      </c>
      <c r="BT3059">
        <v>0</v>
      </c>
      <c r="BU3059">
        <v>0</v>
      </c>
      <c r="BV3059">
        <v>0</v>
      </c>
      <c r="CC3059" t="str">
        <f>"19:25:53.625"</f>
        <v>19:25:53.625</v>
      </c>
      <c r="CD3059" t="str">
        <f>"621193745"</f>
        <v>621193745</v>
      </c>
      <c r="CQ3059">
        <v>0</v>
      </c>
      <c r="CR3059">
        <v>2</v>
      </c>
      <c r="CS3059">
        <v>0</v>
      </c>
      <c r="CT3059">
        <v>2</v>
      </c>
      <c r="CU3059">
        <v>0</v>
      </c>
      <c r="CV3059">
        <v>6</v>
      </c>
      <c r="CW3059" t="s">
        <v>120</v>
      </c>
      <c r="CX3059">
        <v>257</v>
      </c>
      <c r="CY3059">
        <v>0</v>
      </c>
      <c r="CZ3059" t="s">
        <v>615</v>
      </c>
      <c r="DA3059" t="s">
        <v>616</v>
      </c>
      <c r="DD3059">
        <v>16242611</v>
      </c>
      <c r="DE3059" t="s">
        <v>123</v>
      </c>
    </row>
    <row r="3060" spans="1:109" x14ac:dyDescent="0.3">
      <c r="A3060" t="str">
        <f>"19:25:54.984"</f>
        <v>19:25:54.984</v>
      </c>
      <c r="B3060" t="s">
        <v>110</v>
      </c>
      <c r="C3060" t="str">
        <f t="shared" si="141"/>
        <v>ffdfd3c0</v>
      </c>
      <c r="D3060" t="s">
        <v>111</v>
      </c>
      <c r="E3060">
        <v>18</v>
      </c>
      <c r="F3060">
        <v>1018</v>
      </c>
      <c r="G3060" t="s">
        <v>112</v>
      </c>
      <c r="J3060" t="s">
        <v>113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R3060" t="s">
        <v>114</v>
      </c>
      <c r="S3060" t="str">
        <f>"19:25:54.742"</f>
        <v>19:25:54.742</v>
      </c>
      <c r="T3060" t="str">
        <f>"19:25:54.445"</f>
        <v>19:25:54.445</v>
      </c>
      <c r="U3060" t="str">
        <f t="shared" si="142"/>
        <v>a1cdbe</v>
      </c>
      <c r="V3060">
        <v>0</v>
      </c>
      <c r="W3060">
        <v>0</v>
      </c>
      <c r="X3060">
        <v>1</v>
      </c>
      <c r="Y3060">
        <v>0</v>
      </c>
      <c r="Z3060">
        <v>0</v>
      </c>
      <c r="AB3060">
        <v>0</v>
      </c>
      <c r="AC3060">
        <v>9</v>
      </c>
      <c r="AD3060">
        <v>3</v>
      </c>
      <c r="AE3060">
        <v>0</v>
      </c>
      <c r="AF3060">
        <v>9</v>
      </c>
      <c r="AG3060" t="s">
        <v>158</v>
      </c>
      <c r="AH3060">
        <v>0</v>
      </c>
      <c r="AI3060">
        <v>3</v>
      </c>
      <c r="AJ3060">
        <v>1</v>
      </c>
      <c r="AK3060">
        <v>0</v>
      </c>
      <c r="AL3060" t="s">
        <v>5757</v>
      </c>
      <c r="AM3060">
        <v>46.988760999999997</v>
      </c>
      <c r="AN3060" t="s">
        <v>5758</v>
      </c>
      <c r="AO3060">
        <v>-123.55280399999999</v>
      </c>
      <c r="AP3060">
        <v>100</v>
      </c>
      <c r="AQ3060">
        <v>2100</v>
      </c>
      <c r="AR3060" t="s">
        <v>118</v>
      </c>
      <c r="AS3060">
        <v>-79</v>
      </c>
      <c r="AT3060">
        <v>15</v>
      </c>
      <c r="AU3060">
        <v>-128</v>
      </c>
      <c r="BC3060">
        <v>1200</v>
      </c>
      <c r="BD3060">
        <v>1</v>
      </c>
      <c r="BE3060" t="str">
        <f t="shared" si="143"/>
        <v xml:space="preserve">N215T   </v>
      </c>
      <c r="BF3060">
        <v>1</v>
      </c>
      <c r="BH3060">
        <v>0</v>
      </c>
      <c r="BI3060">
        <v>0</v>
      </c>
      <c r="BJ3060">
        <v>0</v>
      </c>
      <c r="BK3060">
        <v>2475</v>
      </c>
      <c r="BL3060">
        <v>375</v>
      </c>
      <c r="BM3060" t="s">
        <v>119</v>
      </c>
      <c r="BN3060">
        <v>1</v>
      </c>
      <c r="BO3060">
        <v>1</v>
      </c>
      <c r="BP3060">
        <v>1</v>
      </c>
      <c r="BQ3060">
        <v>0</v>
      </c>
      <c r="BT3060">
        <v>0</v>
      </c>
      <c r="BU3060">
        <v>0</v>
      </c>
      <c r="BV3060">
        <v>0</v>
      </c>
      <c r="CC3060" t="str">
        <f>"19:25:54.742"</f>
        <v>19:25:54.742</v>
      </c>
      <c r="CD3060" t="str">
        <f>"746082882"</f>
        <v>746082882</v>
      </c>
      <c r="CQ3060">
        <v>0</v>
      </c>
      <c r="CR3060">
        <v>2</v>
      </c>
      <c r="CS3060">
        <v>0</v>
      </c>
      <c r="CT3060">
        <v>2</v>
      </c>
      <c r="CU3060">
        <v>0</v>
      </c>
      <c r="CV3060">
        <v>6</v>
      </c>
      <c r="CW3060" t="s">
        <v>120</v>
      </c>
      <c r="CX3060">
        <v>257</v>
      </c>
      <c r="CY3060">
        <v>0</v>
      </c>
      <c r="CZ3060" t="s">
        <v>615</v>
      </c>
      <c r="DA3060" t="s">
        <v>616</v>
      </c>
      <c r="DD3060">
        <v>16243165</v>
      </c>
      <c r="DE3060" t="s">
        <v>123</v>
      </c>
    </row>
    <row r="3061" spans="1:109" x14ac:dyDescent="0.3">
      <c r="A3061" t="str">
        <f>"19:25:55.938"</f>
        <v>19:25:55.938</v>
      </c>
      <c r="B3061" t="s">
        <v>110</v>
      </c>
      <c r="C3061" t="str">
        <f t="shared" si="141"/>
        <v>ffdfd3c0</v>
      </c>
      <c r="D3061" t="s">
        <v>111</v>
      </c>
      <c r="E3061">
        <v>18</v>
      </c>
      <c r="F3061">
        <v>1018</v>
      </c>
      <c r="G3061" t="s">
        <v>112</v>
      </c>
      <c r="J3061" t="s">
        <v>113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R3061" t="s">
        <v>114</v>
      </c>
      <c r="S3061" t="str">
        <f>"19:25:55.750"</f>
        <v>19:25:55.750</v>
      </c>
      <c r="T3061" t="str">
        <f>"19:25:55.750"</f>
        <v>19:25:55.750</v>
      </c>
      <c r="U3061" t="str">
        <f t="shared" si="142"/>
        <v>a1cdbe</v>
      </c>
      <c r="V3061">
        <v>0</v>
      </c>
      <c r="W3061">
        <v>0</v>
      </c>
      <c r="X3061">
        <v>1</v>
      </c>
      <c r="Y3061">
        <v>0</v>
      </c>
      <c r="Z3061">
        <v>0</v>
      </c>
      <c r="AB3061">
        <v>0</v>
      </c>
      <c r="AC3061">
        <v>9</v>
      </c>
      <c r="AD3061">
        <v>3</v>
      </c>
      <c r="AE3061">
        <v>0</v>
      </c>
      <c r="AF3061">
        <v>9</v>
      </c>
      <c r="AG3061" t="s">
        <v>158</v>
      </c>
      <c r="AH3061">
        <v>0</v>
      </c>
      <c r="AI3061">
        <v>3</v>
      </c>
      <c r="AJ3061">
        <v>1</v>
      </c>
      <c r="AK3061">
        <v>0</v>
      </c>
      <c r="AL3061" t="s">
        <v>5759</v>
      </c>
      <c r="AM3061">
        <v>46.988847</v>
      </c>
      <c r="AN3061" t="s">
        <v>5760</v>
      </c>
      <c r="AO3061">
        <v>-123.553383</v>
      </c>
      <c r="AP3061">
        <v>100</v>
      </c>
      <c r="AQ3061">
        <v>2100</v>
      </c>
      <c r="AR3061" t="s">
        <v>118</v>
      </c>
      <c r="AS3061">
        <v>-79</v>
      </c>
      <c r="AT3061">
        <v>15</v>
      </c>
      <c r="AU3061">
        <v>-128</v>
      </c>
      <c r="BC3061">
        <v>1200</v>
      </c>
      <c r="BD3061">
        <v>1</v>
      </c>
      <c r="BE3061" t="str">
        <f t="shared" si="143"/>
        <v xml:space="preserve">N215T   </v>
      </c>
      <c r="BF3061">
        <v>1</v>
      </c>
      <c r="BH3061">
        <v>0</v>
      </c>
      <c r="BI3061">
        <v>0</v>
      </c>
      <c r="BJ3061">
        <v>0</v>
      </c>
      <c r="BK3061">
        <v>2475</v>
      </c>
      <c r="BL3061">
        <v>375</v>
      </c>
      <c r="BM3061" t="s">
        <v>119</v>
      </c>
      <c r="BN3061">
        <v>1</v>
      </c>
      <c r="BO3061">
        <v>1</v>
      </c>
      <c r="BP3061">
        <v>1</v>
      </c>
      <c r="BQ3061">
        <v>0</v>
      </c>
      <c r="BT3061">
        <v>0</v>
      </c>
      <c r="BU3061">
        <v>0</v>
      </c>
      <c r="BV3061">
        <v>0</v>
      </c>
      <c r="CC3061" t="str">
        <f>"19:25:55.750"</f>
        <v>19:25:55.750</v>
      </c>
      <c r="CD3061" t="str">
        <f>"750983831"</f>
        <v>750983831</v>
      </c>
      <c r="CQ3061">
        <v>0</v>
      </c>
      <c r="CR3061">
        <v>2</v>
      </c>
      <c r="CS3061">
        <v>0</v>
      </c>
      <c r="CT3061">
        <v>2</v>
      </c>
      <c r="CU3061">
        <v>0</v>
      </c>
      <c r="CV3061">
        <v>6</v>
      </c>
      <c r="CW3061" t="s">
        <v>120</v>
      </c>
      <c r="CX3061">
        <v>257</v>
      </c>
      <c r="CY3061">
        <v>0</v>
      </c>
      <c r="CZ3061" t="s">
        <v>615</v>
      </c>
      <c r="DA3061" t="s">
        <v>616</v>
      </c>
      <c r="DD3061">
        <v>16243742</v>
      </c>
      <c r="DE3061" t="s">
        <v>123</v>
      </c>
    </row>
    <row r="3062" spans="1:109" x14ac:dyDescent="0.3">
      <c r="A3062" t="str">
        <f>"19:25:56.992"</f>
        <v>19:25:56.992</v>
      </c>
      <c r="B3062" t="s">
        <v>110</v>
      </c>
      <c r="C3062" t="str">
        <f t="shared" si="141"/>
        <v>ffdfd3c0</v>
      </c>
      <c r="D3062" t="s">
        <v>111</v>
      </c>
      <c r="E3062">
        <v>18</v>
      </c>
      <c r="F3062">
        <v>1018</v>
      </c>
      <c r="G3062" t="s">
        <v>112</v>
      </c>
      <c r="J3062" t="s">
        <v>113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R3062" t="s">
        <v>114</v>
      </c>
      <c r="S3062" t="str">
        <f>"19:25:56.719"</f>
        <v>19:25:56.719</v>
      </c>
      <c r="T3062" t="str">
        <f>"19:25:56.320"</f>
        <v>19:25:56.320</v>
      </c>
      <c r="U3062" t="str">
        <f t="shared" si="142"/>
        <v>a1cdbe</v>
      </c>
      <c r="V3062">
        <v>0</v>
      </c>
      <c r="W3062">
        <v>0</v>
      </c>
      <c r="X3062">
        <v>1</v>
      </c>
      <c r="Y3062">
        <v>0</v>
      </c>
      <c r="Z3062">
        <v>0</v>
      </c>
      <c r="AB3062">
        <v>0</v>
      </c>
      <c r="AC3062">
        <v>9</v>
      </c>
      <c r="AD3062">
        <v>3</v>
      </c>
      <c r="AE3062">
        <v>0</v>
      </c>
      <c r="AF3062">
        <v>9</v>
      </c>
      <c r="AG3062" t="s">
        <v>158</v>
      </c>
      <c r="AH3062">
        <v>0</v>
      </c>
      <c r="AI3062">
        <v>3</v>
      </c>
      <c r="AJ3062">
        <v>1</v>
      </c>
      <c r="AK3062">
        <v>0</v>
      </c>
      <c r="AL3062" t="s">
        <v>5761</v>
      </c>
      <c r="AM3062">
        <v>46.988889999999998</v>
      </c>
      <c r="AN3062" t="s">
        <v>5762</v>
      </c>
      <c r="AO3062">
        <v>-123.553855</v>
      </c>
      <c r="AP3062">
        <v>100</v>
      </c>
      <c r="AQ3062">
        <v>2100</v>
      </c>
      <c r="AR3062" t="s">
        <v>118</v>
      </c>
      <c r="AS3062">
        <v>-79</v>
      </c>
      <c r="AT3062">
        <v>15</v>
      </c>
      <c r="AU3062">
        <v>-128</v>
      </c>
      <c r="BC3062">
        <v>1200</v>
      </c>
      <c r="BD3062">
        <v>1</v>
      </c>
      <c r="BE3062" t="str">
        <f t="shared" si="143"/>
        <v xml:space="preserve">N215T   </v>
      </c>
      <c r="BF3062">
        <v>1</v>
      </c>
      <c r="BH3062">
        <v>0</v>
      </c>
      <c r="BI3062">
        <v>0</v>
      </c>
      <c r="BJ3062">
        <v>0</v>
      </c>
      <c r="BK3062">
        <v>2475</v>
      </c>
      <c r="BL3062">
        <v>375</v>
      </c>
      <c r="BM3062" t="s">
        <v>119</v>
      </c>
      <c r="BN3062">
        <v>1</v>
      </c>
      <c r="BO3062">
        <v>1</v>
      </c>
      <c r="BP3062">
        <v>1</v>
      </c>
      <c r="BQ3062">
        <v>0</v>
      </c>
      <c r="BT3062">
        <v>0</v>
      </c>
      <c r="BU3062">
        <v>0</v>
      </c>
      <c r="BV3062">
        <v>0</v>
      </c>
      <c r="CC3062" t="str">
        <f>"19:25:56.727"</f>
        <v>19:25:56.727</v>
      </c>
      <c r="CD3062" t="str">
        <f>"725887750"</f>
        <v>725887750</v>
      </c>
      <c r="CQ3062">
        <v>0</v>
      </c>
      <c r="CR3062">
        <v>2</v>
      </c>
      <c r="CS3062">
        <v>0</v>
      </c>
      <c r="CT3062">
        <v>2</v>
      </c>
      <c r="CU3062">
        <v>0</v>
      </c>
      <c r="CV3062">
        <v>6</v>
      </c>
      <c r="CW3062" t="s">
        <v>120</v>
      </c>
      <c r="CX3062">
        <v>257</v>
      </c>
      <c r="CY3062">
        <v>0</v>
      </c>
      <c r="CZ3062" t="s">
        <v>615</v>
      </c>
      <c r="DA3062" t="s">
        <v>616</v>
      </c>
      <c r="DD3062">
        <v>16244257</v>
      </c>
      <c r="DE3062" t="s">
        <v>123</v>
      </c>
    </row>
    <row r="3063" spans="1:109" x14ac:dyDescent="0.3">
      <c r="A3063" t="str">
        <f>"19:25:58.102"</f>
        <v>19:25:58.102</v>
      </c>
      <c r="B3063" t="s">
        <v>110</v>
      </c>
      <c r="C3063" t="str">
        <f t="shared" si="141"/>
        <v>ffdfd3c0</v>
      </c>
      <c r="D3063" t="s">
        <v>111</v>
      </c>
      <c r="E3063">
        <v>18</v>
      </c>
      <c r="F3063">
        <v>1018</v>
      </c>
      <c r="G3063" t="s">
        <v>112</v>
      </c>
      <c r="J3063" t="s">
        <v>113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R3063" t="s">
        <v>114</v>
      </c>
      <c r="S3063" t="str">
        <f>"19:25:57.828"</f>
        <v>19:25:57.828</v>
      </c>
      <c r="T3063" t="str">
        <f>"19:25:57.828"</f>
        <v>19:25:57.828</v>
      </c>
      <c r="U3063" t="str">
        <f t="shared" si="142"/>
        <v>a1cdbe</v>
      </c>
      <c r="V3063">
        <v>0</v>
      </c>
      <c r="W3063">
        <v>0</v>
      </c>
      <c r="X3063">
        <v>1</v>
      </c>
      <c r="Y3063">
        <v>0</v>
      </c>
      <c r="Z3063">
        <v>0</v>
      </c>
      <c r="AB3063">
        <v>0</v>
      </c>
      <c r="AC3063">
        <v>9</v>
      </c>
      <c r="AD3063">
        <v>3</v>
      </c>
      <c r="AE3063">
        <v>0</v>
      </c>
      <c r="AF3063">
        <v>9</v>
      </c>
      <c r="AG3063" t="s">
        <v>158</v>
      </c>
      <c r="AH3063">
        <v>0</v>
      </c>
      <c r="AI3063">
        <v>3</v>
      </c>
      <c r="AJ3063">
        <v>1</v>
      </c>
      <c r="AK3063">
        <v>0</v>
      </c>
      <c r="AL3063" t="s">
        <v>5763</v>
      </c>
      <c r="AM3063">
        <v>46.988996999999998</v>
      </c>
      <c r="AN3063" t="s">
        <v>5764</v>
      </c>
      <c r="AO3063">
        <v>-123.55449900000001</v>
      </c>
      <c r="AP3063">
        <v>100</v>
      </c>
      <c r="AQ3063">
        <v>2100</v>
      </c>
      <c r="AR3063" t="s">
        <v>118</v>
      </c>
      <c r="AS3063">
        <v>-79</v>
      </c>
      <c r="AT3063">
        <v>15</v>
      </c>
      <c r="AU3063">
        <v>-64</v>
      </c>
      <c r="BC3063">
        <v>1200</v>
      </c>
      <c r="BD3063">
        <v>1</v>
      </c>
      <c r="BE3063" t="str">
        <f t="shared" si="143"/>
        <v xml:space="preserve">N215T   </v>
      </c>
      <c r="BF3063">
        <v>1</v>
      </c>
      <c r="BH3063">
        <v>0</v>
      </c>
      <c r="BI3063">
        <v>0</v>
      </c>
      <c r="BJ3063">
        <v>0</v>
      </c>
      <c r="BK3063">
        <v>2475</v>
      </c>
      <c r="BL3063">
        <v>375</v>
      </c>
      <c r="BM3063" t="s">
        <v>119</v>
      </c>
      <c r="BN3063">
        <v>1</v>
      </c>
      <c r="BO3063">
        <v>1</v>
      </c>
      <c r="BP3063">
        <v>1</v>
      </c>
      <c r="BQ3063">
        <v>0</v>
      </c>
      <c r="BT3063">
        <v>0</v>
      </c>
      <c r="BU3063">
        <v>0</v>
      </c>
      <c r="BV3063">
        <v>0</v>
      </c>
      <c r="CC3063" t="str">
        <f>"19:25:57.836"</f>
        <v>19:25:57.836</v>
      </c>
      <c r="CD3063" t="str">
        <f>"835778364"</f>
        <v>835778364</v>
      </c>
      <c r="CQ3063">
        <v>0</v>
      </c>
      <c r="CR3063">
        <v>2</v>
      </c>
      <c r="CS3063">
        <v>0</v>
      </c>
      <c r="CT3063">
        <v>2</v>
      </c>
      <c r="CU3063">
        <v>0</v>
      </c>
      <c r="CV3063">
        <v>6</v>
      </c>
      <c r="CW3063" t="s">
        <v>120</v>
      </c>
      <c r="CX3063">
        <v>257</v>
      </c>
      <c r="CY3063">
        <v>0</v>
      </c>
      <c r="CZ3063" t="s">
        <v>615</v>
      </c>
      <c r="DA3063" t="s">
        <v>616</v>
      </c>
      <c r="DD3063">
        <v>16244815</v>
      </c>
      <c r="DE3063" t="s">
        <v>123</v>
      </c>
    </row>
    <row r="3064" spans="1:109" x14ac:dyDescent="0.3">
      <c r="A3064" t="str">
        <f>"19:25:59.109"</f>
        <v>19:25:59.109</v>
      </c>
      <c r="B3064" t="s">
        <v>110</v>
      </c>
      <c r="C3064" t="str">
        <f t="shared" si="141"/>
        <v>ffdfd3c0</v>
      </c>
      <c r="D3064" t="s">
        <v>111</v>
      </c>
      <c r="E3064">
        <v>18</v>
      </c>
      <c r="F3064">
        <v>1018</v>
      </c>
      <c r="G3064" t="s">
        <v>112</v>
      </c>
      <c r="J3064" t="s">
        <v>113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R3064" t="s">
        <v>114</v>
      </c>
      <c r="S3064" t="str">
        <f>"19:25:58.883"</f>
        <v>19:25:58.883</v>
      </c>
      <c r="T3064" t="str">
        <f>"19:25:58.781"</f>
        <v>19:25:58.781</v>
      </c>
      <c r="U3064" t="str">
        <f t="shared" si="142"/>
        <v>a1cdbe</v>
      </c>
      <c r="V3064">
        <v>0</v>
      </c>
      <c r="W3064">
        <v>0</v>
      </c>
      <c r="X3064">
        <v>1</v>
      </c>
      <c r="Y3064">
        <v>0</v>
      </c>
      <c r="Z3064">
        <v>0</v>
      </c>
      <c r="AB3064">
        <v>0</v>
      </c>
      <c r="AC3064">
        <v>9</v>
      </c>
      <c r="AD3064">
        <v>3</v>
      </c>
      <c r="AE3064">
        <v>0</v>
      </c>
      <c r="AF3064">
        <v>9</v>
      </c>
      <c r="AG3064" t="s">
        <v>158</v>
      </c>
      <c r="AH3064">
        <v>0</v>
      </c>
      <c r="AI3064">
        <v>3</v>
      </c>
      <c r="AJ3064">
        <v>1</v>
      </c>
      <c r="AK3064">
        <v>0</v>
      </c>
      <c r="AL3064" t="s">
        <v>5765</v>
      </c>
      <c r="AM3064">
        <v>46.989083000000001</v>
      </c>
      <c r="AN3064" t="s">
        <v>5766</v>
      </c>
      <c r="AO3064">
        <v>-123.55505700000001</v>
      </c>
      <c r="AP3064">
        <v>100</v>
      </c>
      <c r="AQ3064">
        <v>2100</v>
      </c>
      <c r="AR3064" t="s">
        <v>118</v>
      </c>
      <c r="AS3064">
        <v>-79</v>
      </c>
      <c r="AT3064">
        <v>15</v>
      </c>
      <c r="AU3064">
        <v>-64</v>
      </c>
      <c r="BC3064">
        <v>1200</v>
      </c>
      <c r="BD3064">
        <v>1</v>
      </c>
      <c r="BE3064" t="str">
        <f t="shared" si="143"/>
        <v xml:space="preserve">N215T   </v>
      </c>
      <c r="BF3064">
        <v>1</v>
      </c>
      <c r="BH3064">
        <v>0</v>
      </c>
      <c r="BI3064">
        <v>0</v>
      </c>
      <c r="BJ3064">
        <v>0</v>
      </c>
      <c r="BK3064">
        <v>2475</v>
      </c>
      <c r="BL3064">
        <v>375</v>
      </c>
      <c r="BM3064" t="s">
        <v>119</v>
      </c>
      <c r="BN3064">
        <v>1</v>
      </c>
      <c r="BO3064">
        <v>1</v>
      </c>
      <c r="BP3064">
        <v>1</v>
      </c>
      <c r="BQ3064">
        <v>0</v>
      </c>
      <c r="BT3064">
        <v>0</v>
      </c>
      <c r="BU3064">
        <v>0</v>
      </c>
      <c r="BV3064">
        <v>0</v>
      </c>
      <c r="CC3064" t="str">
        <f>"19:25:58.883"</f>
        <v>19:25:58.883</v>
      </c>
      <c r="CD3064" t="str">
        <f>"885674897"</f>
        <v>885674897</v>
      </c>
      <c r="CQ3064">
        <v>0</v>
      </c>
      <c r="CR3064">
        <v>2</v>
      </c>
      <c r="CS3064">
        <v>0</v>
      </c>
      <c r="CT3064">
        <v>2</v>
      </c>
      <c r="CU3064">
        <v>0</v>
      </c>
      <c r="CV3064">
        <v>6</v>
      </c>
      <c r="CW3064" t="s">
        <v>120</v>
      </c>
      <c r="CX3064">
        <v>257</v>
      </c>
      <c r="CY3064">
        <v>0</v>
      </c>
      <c r="CZ3064" t="s">
        <v>615</v>
      </c>
      <c r="DA3064" t="s">
        <v>616</v>
      </c>
      <c r="DD3064">
        <v>16245332</v>
      </c>
      <c r="DE3064" t="s">
        <v>123</v>
      </c>
    </row>
    <row r="3065" spans="1:109" x14ac:dyDescent="0.3">
      <c r="A3065" t="str">
        <f>"19:26:00.109"</f>
        <v>19:26:00.109</v>
      </c>
      <c r="B3065" t="s">
        <v>110</v>
      </c>
      <c r="C3065" t="str">
        <f t="shared" si="141"/>
        <v>ffdfd3c0</v>
      </c>
      <c r="D3065" t="s">
        <v>111</v>
      </c>
      <c r="E3065">
        <v>18</v>
      </c>
      <c r="F3065">
        <v>1018</v>
      </c>
      <c r="G3065" t="s">
        <v>112</v>
      </c>
      <c r="J3065" t="s">
        <v>113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R3065" t="s">
        <v>114</v>
      </c>
      <c r="S3065" t="str">
        <f>"19:25:59.859"</f>
        <v>19:25:59.859</v>
      </c>
      <c r="T3065" t="str">
        <f>"19:25:59.758"</f>
        <v>19:25:59.758</v>
      </c>
      <c r="U3065" t="str">
        <f t="shared" si="142"/>
        <v>a1cdbe</v>
      </c>
      <c r="V3065">
        <v>0</v>
      </c>
      <c r="W3065">
        <v>0</v>
      </c>
      <c r="X3065">
        <v>1</v>
      </c>
      <c r="Y3065">
        <v>0</v>
      </c>
      <c r="Z3065">
        <v>0</v>
      </c>
      <c r="AB3065">
        <v>0</v>
      </c>
      <c r="AC3065">
        <v>9</v>
      </c>
      <c r="AD3065">
        <v>3</v>
      </c>
      <c r="AE3065">
        <v>0</v>
      </c>
      <c r="AF3065">
        <v>9</v>
      </c>
      <c r="AG3065" t="s">
        <v>158</v>
      </c>
      <c r="AH3065">
        <v>0</v>
      </c>
      <c r="AI3065">
        <v>3</v>
      </c>
      <c r="AJ3065">
        <v>1</v>
      </c>
      <c r="AK3065">
        <v>0</v>
      </c>
      <c r="AL3065" t="s">
        <v>5767</v>
      </c>
      <c r="AM3065">
        <v>46.989125999999999</v>
      </c>
      <c r="AN3065" t="s">
        <v>5768</v>
      </c>
      <c r="AO3065">
        <v>-123.55555099999999</v>
      </c>
      <c r="AP3065">
        <v>100</v>
      </c>
      <c r="AQ3065">
        <v>2100</v>
      </c>
      <c r="AR3065" t="s">
        <v>118</v>
      </c>
      <c r="AS3065">
        <v>-79</v>
      </c>
      <c r="AT3065">
        <v>15</v>
      </c>
      <c r="AU3065">
        <v>0</v>
      </c>
      <c r="BC3065">
        <v>1200</v>
      </c>
      <c r="BD3065">
        <v>1</v>
      </c>
      <c r="BE3065" t="str">
        <f t="shared" si="143"/>
        <v xml:space="preserve">N215T   </v>
      </c>
      <c r="BF3065">
        <v>1</v>
      </c>
      <c r="BH3065">
        <v>0</v>
      </c>
      <c r="BI3065">
        <v>0</v>
      </c>
      <c r="BJ3065">
        <v>0</v>
      </c>
      <c r="BK3065">
        <v>2475</v>
      </c>
      <c r="BL3065">
        <v>375</v>
      </c>
      <c r="BM3065" t="s">
        <v>119</v>
      </c>
      <c r="BN3065">
        <v>1</v>
      </c>
      <c r="BO3065">
        <v>1</v>
      </c>
      <c r="BP3065">
        <v>1</v>
      </c>
      <c r="BQ3065">
        <v>0</v>
      </c>
      <c r="BT3065">
        <v>0</v>
      </c>
      <c r="BU3065">
        <v>0</v>
      </c>
      <c r="BV3065">
        <v>0</v>
      </c>
      <c r="CC3065" t="str">
        <f>"19:25:59.859"</f>
        <v>19:25:59.859</v>
      </c>
      <c r="CD3065" t="str">
        <f>"860578818"</f>
        <v>860578818</v>
      </c>
      <c r="CQ3065">
        <v>0</v>
      </c>
      <c r="CR3065">
        <v>2</v>
      </c>
      <c r="CS3065">
        <v>0</v>
      </c>
      <c r="CT3065">
        <v>2</v>
      </c>
      <c r="CU3065">
        <v>0</v>
      </c>
      <c r="CV3065">
        <v>6</v>
      </c>
      <c r="CW3065" t="s">
        <v>120</v>
      </c>
      <c r="CX3065">
        <v>257</v>
      </c>
      <c r="CY3065">
        <v>0</v>
      </c>
      <c r="CZ3065" t="s">
        <v>615</v>
      </c>
      <c r="DA3065" t="s">
        <v>616</v>
      </c>
      <c r="DD3065">
        <v>16245854</v>
      </c>
      <c r="DE3065" t="s">
        <v>123</v>
      </c>
    </row>
    <row r="3066" spans="1:109" x14ac:dyDescent="0.3">
      <c r="A3066" t="str">
        <f>"19:26:01.219"</f>
        <v>19:26:01.219</v>
      </c>
      <c r="B3066" t="s">
        <v>110</v>
      </c>
      <c r="C3066" t="str">
        <f t="shared" si="141"/>
        <v>ffdfd3c0</v>
      </c>
      <c r="D3066" t="s">
        <v>111</v>
      </c>
      <c r="E3066">
        <v>18</v>
      </c>
      <c r="F3066">
        <v>1018</v>
      </c>
      <c r="G3066" t="s">
        <v>112</v>
      </c>
      <c r="J3066" t="s">
        <v>113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R3066" t="s">
        <v>114</v>
      </c>
      <c r="S3066" t="str">
        <f>"19:26:00.969"</f>
        <v>19:26:00.969</v>
      </c>
      <c r="T3066" t="str">
        <f>"19:26:00.672"</f>
        <v>19:26:00.672</v>
      </c>
      <c r="U3066" t="str">
        <f t="shared" si="142"/>
        <v>a1cdbe</v>
      </c>
      <c r="V3066">
        <v>0</v>
      </c>
      <c r="W3066">
        <v>0</v>
      </c>
      <c r="X3066">
        <v>1</v>
      </c>
      <c r="Y3066">
        <v>0</v>
      </c>
      <c r="Z3066">
        <v>0</v>
      </c>
      <c r="AB3066">
        <v>0</v>
      </c>
      <c r="AC3066">
        <v>9</v>
      </c>
      <c r="AD3066">
        <v>3</v>
      </c>
      <c r="AE3066">
        <v>0</v>
      </c>
      <c r="AF3066">
        <v>9</v>
      </c>
      <c r="AG3066" t="s">
        <v>158</v>
      </c>
      <c r="AH3066">
        <v>0</v>
      </c>
      <c r="AI3066">
        <v>3</v>
      </c>
      <c r="AJ3066">
        <v>1</v>
      </c>
      <c r="AK3066">
        <v>0</v>
      </c>
      <c r="AL3066" t="s">
        <v>5769</v>
      </c>
      <c r="AM3066">
        <v>46.989232999999999</v>
      </c>
      <c r="AN3066" t="s">
        <v>5770</v>
      </c>
      <c r="AO3066">
        <v>-123.556194</v>
      </c>
      <c r="AP3066">
        <v>100</v>
      </c>
      <c r="AQ3066">
        <v>2100</v>
      </c>
      <c r="AR3066" t="s">
        <v>118</v>
      </c>
      <c r="AS3066">
        <v>-79</v>
      </c>
      <c r="AT3066">
        <v>15</v>
      </c>
      <c r="AU3066">
        <v>0</v>
      </c>
      <c r="BC3066">
        <v>1200</v>
      </c>
      <c r="BD3066">
        <v>1</v>
      </c>
      <c r="BE3066" t="str">
        <f t="shared" si="143"/>
        <v xml:space="preserve">N215T   </v>
      </c>
      <c r="BF3066">
        <v>1</v>
      </c>
      <c r="BH3066">
        <v>0</v>
      </c>
      <c r="BI3066">
        <v>0</v>
      </c>
      <c r="BJ3066">
        <v>0</v>
      </c>
      <c r="BK3066">
        <v>2475</v>
      </c>
      <c r="BL3066">
        <v>375</v>
      </c>
      <c r="BM3066" t="s">
        <v>119</v>
      </c>
      <c r="BN3066">
        <v>1</v>
      </c>
      <c r="BO3066">
        <v>1</v>
      </c>
      <c r="BP3066">
        <v>1</v>
      </c>
      <c r="BQ3066">
        <v>0</v>
      </c>
      <c r="BT3066">
        <v>0</v>
      </c>
      <c r="BU3066">
        <v>0</v>
      </c>
      <c r="BV3066">
        <v>0</v>
      </c>
      <c r="CC3066" t="str">
        <f>"19:26:00.969"</f>
        <v>19:26:00.969</v>
      </c>
      <c r="CD3066" t="str">
        <f>"970469430"</f>
        <v>970469430</v>
      </c>
      <c r="CQ3066">
        <v>0</v>
      </c>
      <c r="CR3066">
        <v>2</v>
      </c>
      <c r="CS3066">
        <v>0</v>
      </c>
      <c r="CT3066">
        <v>2</v>
      </c>
      <c r="CU3066">
        <v>0</v>
      </c>
      <c r="CV3066">
        <v>6</v>
      </c>
      <c r="CW3066" t="s">
        <v>120</v>
      </c>
      <c r="CX3066">
        <v>257</v>
      </c>
      <c r="CY3066">
        <v>0</v>
      </c>
      <c r="CZ3066" t="s">
        <v>615</v>
      </c>
      <c r="DA3066" t="s">
        <v>616</v>
      </c>
      <c r="DD3066">
        <v>16246475</v>
      </c>
      <c r="DE3066" t="s">
        <v>123</v>
      </c>
    </row>
    <row r="3067" spans="1:109" x14ac:dyDescent="0.3">
      <c r="A3067" t="str">
        <f>"19:26:02.125"</f>
        <v>19:26:02.125</v>
      </c>
      <c r="B3067" t="s">
        <v>110</v>
      </c>
      <c r="C3067" t="str">
        <f t="shared" si="141"/>
        <v>ffdfd3c0</v>
      </c>
      <c r="D3067" t="s">
        <v>111</v>
      </c>
      <c r="E3067">
        <v>18</v>
      </c>
      <c r="F3067">
        <v>1018</v>
      </c>
      <c r="G3067" t="s">
        <v>112</v>
      </c>
      <c r="J3067" t="s">
        <v>113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R3067" t="s">
        <v>114</v>
      </c>
      <c r="S3067" t="str">
        <f>"19:26:01.867"</f>
        <v>19:26:01.867</v>
      </c>
      <c r="T3067" t="str">
        <f>"19:26:01.570"</f>
        <v>19:26:01.570</v>
      </c>
      <c r="U3067" t="str">
        <f t="shared" si="142"/>
        <v>a1cdbe</v>
      </c>
      <c r="V3067">
        <v>0</v>
      </c>
      <c r="W3067">
        <v>0</v>
      </c>
      <c r="X3067">
        <v>1</v>
      </c>
      <c r="Y3067">
        <v>0</v>
      </c>
      <c r="Z3067">
        <v>0</v>
      </c>
      <c r="AB3067">
        <v>0</v>
      </c>
      <c r="AC3067">
        <v>9</v>
      </c>
      <c r="AD3067">
        <v>3</v>
      </c>
      <c r="AE3067">
        <v>0</v>
      </c>
      <c r="AF3067">
        <v>9</v>
      </c>
      <c r="AG3067" t="s">
        <v>158</v>
      </c>
      <c r="AH3067">
        <v>0</v>
      </c>
      <c r="AI3067">
        <v>3</v>
      </c>
      <c r="AJ3067">
        <v>1</v>
      </c>
      <c r="AK3067">
        <v>0</v>
      </c>
      <c r="AL3067" t="s">
        <v>5771</v>
      </c>
      <c r="AM3067">
        <v>46.989275999999997</v>
      </c>
      <c r="AN3067" t="s">
        <v>5772</v>
      </c>
      <c r="AO3067">
        <v>-123.55668799999999</v>
      </c>
      <c r="AP3067">
        <v>100</v>
      </c>
      <c r="AQ3067">
        <v>2100</v>
      </c>
      <c r="AR3067" t="s">
        <v>118</v>
      </c>
      <c r="AS3067">
        <v>-79</v>
      </c>
      <c r="AT3067">
        <v>15</v>
      </c>
      <c r="AU3067">
        <v>64</v>
      </c>
      <c r="BC3067">
        <v>1200</v>
      </c>
      <c r="BD3067">
        <v>1</v>
      </c>
      <c r="BE3067" t="str">
        <f t="shared" si="143"/>
        <v xml:space="preserve">N215T   </v>
      </c>
      <c r="BF3067">
        <v>1</v>
      </c>
      <c r="BH3067">
        <v>0</v>
      </c>
      <c r="BI3067">
        <v>0</v>
      </c>
      <c r="BJ3067">
        <v>0</v>
      </c>
      <c r="BK3067">
        <v>2475</v>
      </c>
      <c r="BL3067">
        <v>375</v>
      </c>
      <c r="BM3067" t="s">
        <v>119</v>
      </c>
      <c r="BN3067">
        <v>1</v>
      </c>
      <c r="BO3067">
        <v>1</v>
      </c>
      <c r="BP3067">
        <v>1</v>
      </c>
      <c r="BQ3067">
        <v>0</v>
      </c>
      <c r="BT3067">
        <v>0</v>
      </c>
      <c r="BU3067">
        <v>0</v>
      </c>
      <c r="BV3067">
        <v>0</v>
      </c>
      <c r="CC3067" t="str">
        <f>"19:26:01.867"</f>
        <v>19:26:01.867</v>
      </c>
      <c r="CD3067" t="str">
        <f>"870380733"</f>
        <v>870380733</v>
      </c>
      <c r="CQ3067">
        <v>0</v>
      </c>
      <c r="CR3067">
        <v>2</v>
      </c>
      <c r="CS3067">
        <v>0</v>
      </c>
      <c r="CT3067">
        <v>2</v>
      </c>
      <c r="CU3067">
        <v>0</v>
      </c>
      <c r="CV3067">
        <v>6</v>
      </c>
      <c r="CW3067" t="s">
        <v>120</v>
      </c>
      <c r="CX3067">
        <v>257</v>
      </c>
      <c r="CY3067">
        <v>0</v>
      </c>
      <c r="CZ3067" t="s">
        <v>615</v>
      </c>
      <c r="DA3067" t="s">
        <v>616</v>
      </c>
      <c r="DD3067">
        <v>16246944</v>
      </c>
      <c r="DE3067" t="s">
        <v>123</v>
      </c>
    </row>
    <row r="3068" spans="1:109" x14ac:dyDescent="0.3">
      <c r="A3068" t="str">
        <f>"19:26:03.180"</f>
        <v>19:26:03.180</v>
      </c>
      <c r="B3068" t="s">
        <v>110</v>
      </c>
      <c r="C3068" t="str">
        <f t="shared" si="141"/>
        <v>ffdfd3c0</v>
      </c>
      <c r="D3068" t="s">
        <v>111</v>
      </c>
      <c r="E3068">
        <v>18</v>
      </c>
      <c r="F3068">
        <v>1018</v>
      </c>
      <c r="G3068" t="s">
        <v>112</v>
      </c>
      <c r="J3068" t="s">
        <v>113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R3068" t="s">
        <v>114</v>
      </c>
      <c r="S3068" t="str">
        <f>"19:26:02.930"</f>
        <v>19:26:02.930</v>
      </c>
      <c r="T3068" t="str">
        <f>"19:26:02.727"</f>
        <v>19:26:02.727</v>
      </c>
      <c r="U3068" t="str">
        <f t="shared" si="142"/>
        <v>a1cdbe</v>
      </c>
      <c r="V3068">
        <v>0</v>
      </c>
      <c r="W3068">
        <v>0</v>
      </c>
      <c r="X3068">
        <v>1</v>
      </c>
      <c r="Y3068">
        <v>0</v>
      </c>
      <c r="Z3068">
        <v>0</v>
      </c>
      <c r="AB3068">
        <v>0</v>
      </c>
      <c r="AC3068">
        <v>9</v>
      </c>
      <c r="AD3068">
        <v>3</v>
      </c>
      <c r="AE3068">
        <v>0</v>
      </c>
      <c r="AF3068">
        <v>9</v>
      </c>
      <c r="AG3068" t="s">
        <v>158</v>
      </c>
      <c r="AH3068">
        <v>0</v>
      </c>
      <c r="AI3068">
        <v>3</v>
      </c>
      <c r="AJ3068">
        <v>1</v>
      </c>
      <c r="AK3068">
        <v>0</v>
      </c>
      <c r="AL3068" t="s">
        <v>5773</v>
      </c>
      <c r="AM3068">
        <v>46.989341000000003</v>
      </c>
      <c r="AN3068" t="s">
        <v>5774</v>
      </c>
      <c r="AO3068">
        <v>-123.557181</v>
      </c>
      <c r="AP3068">
        <v>100</v>
      </c>
      <c r="AQ3068">
        <v>2100</v>
      </c>
      <c r="AR3068" t="s">
        <v>118</v>
      </c>
      <c r="AS3068">
        <v>-79</v>
      </c>
      <c r="AT3068">
        <v>15</v>
      </c>
      <c r="AU3068">
        <v>64</v>
      </c>
      <c r="BC3068">
        <v>1200</v>
      </c>
      <c r="BD3068">
        <v>1</v>
      </c>
      <c r="BE3068" t="str">
        <f t="shared" si="143"/>
        <v xml:space="preserve">N215T   </v>
      </c>
      <c r="BF3068">
        <v>1</v>
      </c>
      <c r="BH3068">
        <v>0</v>
      </c>
      <c r="BI3068">
        <v>0</v>
      </c>
      <c r="BJ3068">
        <v>0</v>
      </c>
      <c r="BK3068">
        <v>2475</v>
      </c>
      <c r="BL3068">
        <v>375</v>
      </c>
      <c r="BM3068" t="s">
        <v>119</v>
      </c>
      <c r="BN3068">
        <v>1</v>
      </c>
      <c r="BO3068">
        <v>1</v>
      </c>
      <c r="BP3068">
        <v>1</v>
      </c>
      <c r="BQ3068">
        <v>0</v>
      </c>
      <c r="BT3068">
        <v>0</v>
      </c>
      <c r="BU3068">
        <v>0</v>
      </c>
      <c r="BV3068">
        <v>0</v>
      </c>
      <c r="CC3068" t="str">
        <f>"19:26:02.938"</f>
        <v>19:26:02.938</v>
      </c>
      <c r="CD3068" t="str">
        <f>"935275785"</f>
        <v>935275785</v>
      </c>
      <c r="CQ3068">
        <v>0</v>
      </c>
      <c r="CR3068">
        <v>2</v>
      </c>
      <c r="CS3068">
        <v>0</v>
      </c>
      <c r="CT3068">
        <v>2</v>
      </c>
      <c r="CU3068">
        <v>0</v>
      </c>
      <c r="CV3068">
        <v>6</v>
      </c>
      <c r="CW3068" t="s">
        <v>120</v>
      </c>
      <c r="CX3068">
        <v>257</v>
      </c>
      <c r="CY3068">
        <v>0</v>
      </c>
      <c r="CZ3068" t="s">
        <v>615</v>
      </c>
      <c r="DA3068" t="s">
        <v>616</v>
      </c>
      <c r="DD3068">
        <v>16247478</v>
      </c>
      <c r="DE3068" t="s">
        <v>123</v>
      </c>
    </row>
    <row r="3069" spans="1:109" x14ac:dyDescent="0.3">
      <c r="A3069" t="str">
        <f>"19:26:04.086"</f>
        <v>19:26:04.086</v>
      </c>
      <c r="B3069" t="s">
        <v>110</v>
      </c>
      <c r="C3069" t="str">
        <f t="shared" si="141"/>
        <v>ffdfd3c0</v>
      </c>
      <c r="D3069" t="s">
        <v>111</v>
      </c>
      <c r="E3069">
        <v>18</v>
      </c>
      <c r="F3069">
        <v>1018</v>
      </c>
      <c r="G3069" t="s">
        <v>112</v>
      </c>
      <c r="J3069" t="s">
        <v>113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R3069" t="s">
        <v>114</v>
      </c>
      <c r="S3069" t="str">
        <f>"19:26:03.859"</f>
        <v>19:26:03.859</v>
      </c>
      <c r="T3069" t="str">
        <f>"19:26:03.758"</f>
        <v>19:26:03.758</v>
      </c>
      <c r="U3069" t="str">
        <f t="shared" si="142"/>
        <v>a1cdbe</v>
      </c>
      <c r="V3069">
        <v>0</v>
      </c>
      <c r="W3069">
        <v>0</v>
      </c>
      <c r="X3069">
        <v>1</v>
      </c>
      <c r="Y3069">
        <v>0</v>
      </c>
      <c r="Z3069">
        <v>0</v>
      </c>
      <c r="AB3069">
        <v>0</v>
      </c>
      <c r="AC3069">
        <v>9</v>
      </c>
      <c r="AD3069">
        <v>3</v>
      </c>
      <c r="AE3069">
        <v>0</v>
      </c>
      <c r="AF3069">
        <v>9</v>
      </c>
      <c r="AG3069" t="s">
        <v>158</v>
      </c>
      <c r="AH3069">
        <v>0</v>
      </c>
      <c r="AI3069">
        <v>3</v>
      </c>
      <c r="AJ3069">
        <v>1</v>
      </c>
      <c r="AK3069">
        <v>0</v>
      </c>
      <c r="AL3069" t="s">
        <v>5775</v>
      </c>
      <c r="AM3069">
        <v>46.989404999999998</v>
      </c>
      <c r="AN3069" t="s">
        <v>5776</v>
      </c>
      <c r="AO3069">
        <v>-123.557675</v>
      </c>
      <c r="AP3069">
        <v>100</v>
      </c>
      <c r="AQ3069">
        <v>2100</v>
      </c>
      <c r="AR3069" t="s">
        <v>118</v>
      </c>
      <c r="AS3069">
        <v>-78</v>
      </c>
      <c r="AT3069">
        <v>15</v>
      </c>
      <c r="AU3069">
        <v>64</v>
      </c>
      <c r="BC3069">
        <v>1200</v>
      </c>
      <c r="BD3069">
        <v>1</v>
      </c>
      <c r="BE3069" t="str">
        <f t="shared" si="143"/>
        <v xml:space="preserve">N215T   </v>
      </c>
      <c r="BF3069">
        <v>1</v>
      </c>
      <c r="BH3069">
        <v>0</v>
      </c>
      <c r="BI3069">
        <v>0</v>
      </c>
      <c r="BJ3069">
        <v>0</v>
      </c>
      <c r="BK3069">
        <v>2475</v>
      </c>
      <c r="BL3069">
        <v>375</v>
      </c>
      <c r="BM3069" t="s">
        <v>119</v>
      </c>
      <c r="BN3069">
        <v>1</v>
      </c>
      <c r="BO3069">
        <v>1</v>
      </c>
      <c r="BP3069">
        <v>1</v>
      </c>
      <c r="BQ3069">
        <v>0</v>
      </c>
      <c r="BT3069">
        <v>0</v>
      </c>
      <c r="BU3069">
        <v>0</v>
      </c>
      <c r="BV3069">
        <v>0</v>
      </c>
      <c r="CC3069" t="str">
        <f>"19:26:03.867"</f>
        <v>19:26:03.867</v>
      </c>
      <c r="CD3069" t="str">
        <f>"865184141"</f>
        <v>865184141</v>
      </c>
      <c r="CQ3069">
        <v>0</v>
      </c>
      <c r="CR3069">
        <v>2</v>
      </c>
      <c r="CS3069">
        <v>0</v>
      </c>
      <c r="CT3069">
        <v>2</v>
      </c>
      <c r="CU3069">
        <v>0</v>
      </c>
      <c r="CV3069">
        <v>6</v>
      </c>
      <c r="CW3069" t="s">
        <v>120</v>
      </c>
      <c r="CX3069">
        <v>257</v>
      </c>
      <c r="CY3069">
        <v>0</v>
      </c>
      <c r="CZ3069" t="s">
        <v>615</v>
      </c>
      <c r="DA3069" t="s">
        <v>616</v>
      </c>
      <c r="DD3069">
        <v>16247948</v>
      </c>
      <c r="DE3069" t="s">
        <v>123</v>
      </c>
    </row>
    <row r="3070" spans="1:109" x14ac:dyDescent="0.3">
      <c r="A3070" t="str">
        <f>"19:26:05.094"</f>
        <v>19:26:05.094</v>
      </c>
      <c r="B3070" t="s">
        <v>110</v>
      </c>
      <c r="C3070" t="str">
        <f t="shared" si="141"/>
        <v>ffdfd3c0</v>
      </c>
      <c r="D3070" t="s">
        <v>111</v>
      </c>
      <c r="E3070">
        <v>18</v>
      </c>
      <c r="F3070">
        <v>1018</v>
      </c>
      <c r="G3070" t="s">
        <v>112</v>
      </c>
      <c r="J3070" t="s">
        <v>113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R3070" t="s">
        <v>114</v>
      </c>
      <c r="S3070" t="str">
        <f>"19:26:04.852"</f>
        <v>19:26:04.852</v>
      </c>
      <c r="T3070" t="str">
        <f>"19:26:04.352"</f>
        <v>19:26:04.352</v>
      </c>
      <c r="U3070" t="str">
        <f t="shared" si="142"/>
        <v>a1cdbe</v>
      </c>
      <c r="V3070">
        <v>0</v>
      </c>
      <c r="W3070">
        <v>0</v>
      </c>
      <c r="X3070">
        <v>1</v>
      </c>
      <c r="Y3070">
        <v>0</v>
      </c>
      <c r="Z3070">
        <v>0</v>
      </c>
      <c r="AB3070">
        <v>0</v>
      </c>
      <c r="AC3070">
        <v>9</v>
      </c>
      <c r="AD3070">
        <v>3</v>
      </c>
      <c r="AE3070">
        <v>0</v>
      </c>
      <c r="AF3070">
        <v>9</v>
      </c>
      <c r="AG3070" t="s">
        <v>158</v>
      </c>
      <c r="AH3070">
        <v>0</v>
      </c>
      <c r="AI3070">
        <v>3</v>
      </c>
      <c r="AJ3070">
        <v>1</v>
      </c>
      <c r="AK3070">
        <v>0</v>
      </c>
      <c r="AL3070" t="s">
        <v>5777</v>
      </c>
      <c r="AM3070">
        <v>46.989491000000001</v>
      </c>
      <c r="AN3070" t="s">
        <v>5778</v>
      </c>
      <c r="AO3070">
        <v>-123.558211</v>
      </c>
      <c r="AP3070">
        <v>100</v>
      </c>
      <c r="AQ3070">
        <v>2100</v>
      </c>
      <c r="AR3070" t="s">
        <v>118</v>
      </c>
      <c r="AS3070">
        <v>-78</v>
      </c>
      <c r="AT3070">
        <v>15</v>
      </c>
      <c r="AU3070">
        <v>64</v>
      </c>
      <c r="BC3070">
        <v>1200</v>
      </c>
      <c r="BD3070">
        <v>1</v>
      </c>
      <c r="BE3070" t="str">
        <f t="shared" si="143"/>
        <v xml:space="preserve">N215T   </v>
      </c>
      <c r="BF3070">
        <v>1</v>
      </c>
      <c r="BH3070">
        <v>0</v>
      </c>
      <c r="BI3070">
        <v>0</v>
      </c>
      <c r="BJ3070">
        <v>0</v>
      </c>
      <c r="BK3070">
        <v>2475</v>
      </c>
      <c r="BL3070">
        <v>375</v>
      </c>
      <c r="BM3070" t="s">
        <v>119</v>
      </c>
      <c r="BN3070">
        <v>1</v>
      </c>
      <c r="BO3070">
        <v>1</v>
      </c>
      <c r="BP3070">
        <v>1</v>
      </c>
      <c r="BQ3070">
        <v>0</v>
      </c>
      <c r="BT3070">
        <v>0</v>
      </c>
      <c r="BU3070">
        <v>0</v>
      </c>
      <c r="BV3070">
        <v>0</v>
      </c>
      <c r="CC3070" t="str">
        <f>"19:26:04.852"</f>
        <v>19:26:04.852</v>
      </c>
      <c r="CD3070" t="str">
        <f>"855086581"</f>
        <v>855086581</v>
      </c>
      <c r="CQ3070">
        <v>0</v>
      </c>
      <c r="CR3070">
        <v>2</v>
      </c>
      <c r="CS3070">
        <v>0</v>
      </c>
      <c r="CT3070">
        <v>2</v>
      </c>
      <c r="CU3070">
        <v>0</v>
      </c>
      <c r="CV3070">
        <v>6</v>
      </c>
      <c r="CW3070" t="s">
        <v>120</v>
      </c>
      <c r="CX3070">
        <v>257</v>
      </c>
      <c r="CY3070">
        <v>0</v>
      </c>
      <c r="CZ3070" t="s">
        <v>615</v>
      </c>
      <c r="DA3070" t="s">
        <v>616</v>
      </c>
      <c r="DD3070">
        <v>16248488</v>
      </c>
      <c r="DE3070" t="s">
        <v>123</v>
      </c>
    </row>
    <row r="3071" spans="1:109" x14ac:dyDescent="0.3">
      <c r="A3071" t="str">
        <f>"19:26:06.148"</f>
        <v>19:26:06.148</v>
      </c>
      <c r="B3071" t="s">
        <v>110</v>
      </c>
      <c r="C3071" t="str">
        <f t="shared" si="141"/>
        <v>ffdfd3c0</v>
      </c>
      <c r="D3071" t="s">
        <v>111</v>
      </c>
      <c r="E3071">
        <v>18</v>
      </c>
      <c r="F3071">
        <v>1018</v>
      </c>
      <c r="G3071" t="s">
        <v>112</v>
      </c>
      <c r="J3071" t="s">
        <v>113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R3071" t="s">
        <v>114</v>
      </c>
      <c r="S3071" t="str">
        <f>"19:26:05.898"</f>
        <v>19:26:05.898</v>
      </c>
      <c r="T3071" t="str">
        <f>"19:26:05.898"</f>
        <v>19:26:05.898</v>
      </c>
      <c r="U3071" t="str">
        <f t="shared" si="142"/>
        <v>a1cdbe</v>
      </c>
      <c r="V3071">
        <v>0</v>
      </c>
      <c r="W3071">
        <v>0</v>
      </c>
      <c r="X3071">
        <v>1</v>
      </c>
      <c r="Y3071">
        <v>0</v>
      </c>
      <c r="Z3071">
        <v>0</v>
      </c>
      <c r="AB3071">
        <v>0</v>
      </c>
      <c r="AC3071">
        <v>9</v>
      </c>
      <c r="AD3071">
        <v>3</v>
      </c>
      <c r="AE3071">
        <v>0</v>
      </c>
      <c r="AF3071">
        <v>9</v>
      </c>
      <c r="AG3071" t="s">
        <v>158</v>
      </c>
      <c r="AH3071">
        <v>0</v>
      </c>
      <c r="AI3071">
        <v>3</v>
      </c>
      <c r="AJ3071">
        <v>1</v>
      </c>
      <c r="AK3071">
        <v>0</v>
      </c>
      <c r="AL3071" t="s">
        <v>5779</v>
      </c>
      <c r="AM3071">
        <v>46.989555000000003</v>
      </c>
      <c r="AN3071" t="s">
        <v>5780</v>
      </c>
      <c r="AO3071">
        <v>-123.558791</v>
      </c>
      <c r="AP3071">
        <v>100</v>
      </c>
      <c r="AQ3071">
        <v>2100</v>
      </c>
      <c r="AR3071" t="s">
        <v>118</v>
      </c>
      <c r="AS3071">
        <v>-78</v>
      </c>
      <c r="AT3071">
        <v>15</v>
      </c>
      <c r="AU3071">
        <v>0</v>
      </c>
      <c r="BC3071">
        <v>1200</v>
      </c>
      <c r="BD3071">
        <v>1</v>
      </c>
      <c r="BE3071" t="str">
        <f t="shared" si="143"/>
        <v xml:space="preserve">N215T   </v>
      </c>
      <c r="BF3071">
        <v>1</v>
      </c>
      <c r="BH3071">
        <v>0</v>
      </c>
      <c r="BI3071">
        <v>0</v>
      </c>
      <c r="BJ3071">
        <v>0</v>
      </c>
      <c r="BK3071">
        <v>2475</v>
      </c>
      <c r="BL3071">
        <v>375</v>
      </c>
      <c r="BM3071" t="s">
        <v>119</v>
      </c>
      <c r="BN3071">
        <v>1</v>
      </c>
      <c r="BO3071">
        <v>1</v>
      </c>
      <c r="BP3071">
        <v>1</v>
      </c>
      <c r="BQ3071">
        <v>0</v>
      </c>
      <c r="BT3071">
        <v>0</v>
      </c>
      <c r="BU3071">
        <v>0</v>
      </c>
      <c r="BV3071">
        <v>0</v>
      </c>
      <c r="CC3071" t="str">
        <f>"19:26:05.906"</f>
        <v>19:26:05.906</v>
      </c>
      <c r="CD3071" t="str">
        <f>"904983112"</f>
        <v>904983112</v>
      </c>
      <c r="CQ3071">
        <v>0</v>
      </c>
      <c r="CR3071">
        <v>2</v>
      </c>
      <c r="CS3071">
        <v>0</v>
      </c>
      <c r="CT3071">
        <v>2</v>
      </c>
      <c r="CU3071">
        <v>0</v>
      </c>
      <c r="CV3071">
        <v>6</v>
      </c>
      <c r="CW3071" t="s">
        <v>120</v>
      </c>
      <c r="CX3071">
        <v>257</v>
      </c>
      <c r="CY3071">
        <v>0</v>
      </c>
      <c r="CZ3071" t="s">
        <v>615</v>
      </c>
      <c r="DA3071" t="s">
        <v>616</v>
      </c>
      <c r="DD3071">
        <v>16249042</v>
      </c>
      <c r="DE3071" t="s">
        <v>123</v>
      </c>
    </row>
    <row r="3072" spans="1:109" x14ac:dyDescent="0.3">
      <c r="A3072" t="str">
        <f>"19:26:07.000"</f>
        <v>19:26:07.000</v>
      </c>
      <c r="B3072" t="s">
        <v>110</v>
      </c>
      <c r="C3072" t="str">
        <f t="shared" si="141"/>
        <v>ffdfd3c0</v>
      </c>
      <c r="D3072" t="s">
        <v>111</v>
      </c>
      <c r="E3072">
        <v>18</v>
      </c>
      <c r="F3072">
        <v>1018</v>
      </c>
      <c r="G3072" t="s">
        <v>112</v>
      </c>
      <c r="J3072" t="s">
        <v>113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R3072" t="s">
        <v>114</v>
      </c>
      <c r="S3072" t="str">
        <f>"19:26:06.773"</f>
        <v>19:26:06.773</v>
      </c>
      <c r="T3072" t="str">
        <f>"19:26:06.773"</f>
        <v>19:26:06.773</v>
      </c>
      <c r="U3072" t="str">
        <f t="shared" si="142"/>
        <v>a1cdbe</v>
      </c>
      <c r="V3072">
        <v>0</v>
      </c>
      <c r="W3072">
        <v>0</v>
      </c>
      <c r="X3072">
        <v>1</v>
      </c>
      <c r="Y3072">
        <v>0</v>
      </c>
      <c r="Z3072">
        <v>0</v>
      </c>
      <c r="AB3072">
        <v>0</v>
      </c>
      <c r="AC3072">
        <v>9</v>
      </c>
      <c r="AD3072">
        <v>3</v>
      </c>
      <c r="AE3072">
        <v>0</v>
      </c>
      <c r="AF3072">
        <v>9</v>
      </c>
      <c r="AG3072" t="s">
        <v>158</v>
      </c>
      <c r="AH3072">
        <v>0</v>
      </c>
      <c r="AI3072">
        <v>3</v>
      </c>
      <c r="AJ3072">
        <v>1</v>
      </c>
      <c r="AK3072">
        <v>0</v>
      </c>
      <c r="AL3072" t="s">
        <v>5781</v>
      </c>
      <c r="AM3072">
        <v>46.989576999999997</v>
      </c>
      <c r="AN3072" t="s">
        <v>5782</v>
      </c>
      <c r="AO3072">
        <v>-123.559241</v>
      </c>
      <c r="AP3072">
        <v>100</v>
      </c>
      <c r="AQ3072">
        <v>2100</v>
      </c>
      <c r="AR3072" t="s">
        <v>118</v>
      </c>
      <c r="AS3072">
        <v>-78</v>
      </c>
      <c r="AT3072">
        <v>15</v>
      </c>
      <c r="AU3072">
        <v>0</v>
      </c>
      <c r="BC3072">
        <v>1200</v>
      </c>
      <c r="BD3072">
        <v>1</v>
      </c>
      <c r="BE3072" t="str">
        <f t="shared" si="143"/>
        <v xml:space="preserve">N215T   </v>
      </c>
      <c r="BF3072">
        <v>1</v>
      </c>
      <c r="BH3072">
        <v>0</v>
      </c>
      <c r="BI3072">
        <v>0</v>
      </c>
      <c r="BJ3072">
        <v>0</v>
      </c>
      <c r="BK3072">
        <v>2475</v>
      </c>
      <c r="BL3072">
        <v>375</v>
      </c>
      <c r="BM3072" t="s">
        <v>119</v>
      </c>
      <c r="BN3072">
        <v>1</v>
      </c>
      <c r="BO3072">
        <v>1</v>
      </c>
      <c r="BP3072">
        <v>1</v>
      </c>
      <c r="BQ3072">
        <v>0</v>
      </c>
      <c r="BT3072">
        <v>0</v>
      </c>
      <c r="BU3072">
        <v>0</v>
      </c>
      <c r="BV3072">
        <v>0</v>
      </c>
      <c r="CC3072" t="str">
        <f>"19:26:06.773"</f>
        <v>19:26:06.773</v>
      </c>
      <c r="CD3072" t="str">
        <f>"774897371"</f>
        <v>774897371</v>
      </c>
      <c r="CQ3072">
        <v>0</v>
      </c>
      <c r="CR3072">
        <v>2</v>
      </c>
      <c r="CS3072">
        <v>0</v>
      </c>
      <c r="CT3072">
        <v>2</v>
      </c>
      <c r="CU3072">
        <v>0</v>
      </c>
      <c r="CV3072">
        <v>6</v>
      </c>
      <c r="CW3072" t="s">
        <v>120</v>
      </c>
      <c r="CX3072">
        <v>257</v>
      </c>
      <c r="CY3072">
        <v>0</v>
      </c>
      <c r="CZ3072" t="s">
        <v>615</v>
      </c>
      <c r="DA3072" t="s">
        <v>616</v>
      </c>
      <c r="DD3072">
        <v>16249517</v>
      </c>
      <c r="DE3072" t="s">
        <v>123</v>
      </c>
    </row>
    <row r="3073" spans="1:109" x14ac:dyDescent="0.3">
      <c r="A3073" t="str">
        <f>"19:26:08.008"</f>
        <v>19:26:08.008</v>
      </c>
      <c r="B3073" t="s">
        <v>110</v>
      </c>
      <c r="C3073" t="str">
        <f t="shared" si="141"/>
        <v>ffdfd3c0</v>
      </c>
      <c r="D3073" t="s">
        <v>111</v>
      </c>
      <c r="E3073">
        <v>18</v>
      </c>
      <c r="F3073">
        <v>1018</v>
      </c>
      <c r="G3073" t="s">
        <v>112</v>
      </c>
      <c r="J3073" t="s">
        <v>113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R3073" t="s">
        <v>114</v>
      </c>
      <c r="S3073" t="str">
        <f>"19:26:07.773"</f>
        <v>19:26:07.773</v>
      </c>
      <c r="T3073" t="str">
        <f>"19:26:07.570"</f>
        <v>19:26:07.570</v>
      </c>
      <c r="U3073" t="str">
        <f t="shared" si="142"/>
        <v>a1cdbe</v>
      </c>
      <c r="V3073">
        <v>0</v>
      </c>
      <c r="W3073">
        <v>0</v>
      </c>
      <c r="X3073">
        <v>1</v>
      </c>
      <c r="Y3073">
        <v>0</v>
      </c>
      <c r="Z3073">
        <v>0</v>
      </c>
      <c r="AB3073">
        <v>0</v>
      </c>
      <c r="AC3073">
        <v>9</v>
      </c>
      <c r="AD3073">
        <v>3</v>
      </c>
      <c r="AE3073">
        <v>0</v>
      </c>
      <c r="AF3073">
        <v>9</v>
      </c>
      <c r="AG3073" t="s">
        <v>158</v>
      </c>
      <c r="AH3073">
        <v>0</v>
      </c>
      <c r="AI3073">
        <v>3</v>
      </c>
      <c r="AJ3073">
        <v>1</v>
      </c>
      <c r="AK3073">
        <v>0</v>
      </c>
      <c r="AL3073" t="s">
        <v>5783</v>
      </c>
      <c r="AM3073">
        <v>46.989640999999999</v>
      </c>
      <c r="AN3073" t="s">
        <v>5784</v>
      </c>
      <c r="AO3073">
        <v>-123.55977799999999</v>
      </c>
      <c r="AP3073">
        <v>100</v>
      </c>
      <c r="AQ3073">
        <v>2100</v>
      </c>
      <c r="AR3073" t="s">
        <v>118</v>
      </c>
      <c r="AS3073">
        <v>-78</v>
      </c>
      <c r="AT3073">
        <v>15</v>
      </c>
      <c r="AU3073">
        <v>64</v>
      </c>
      <c r="BC3073">
        <v>1200</v>
      </c>
      <c r="BD3073">
        <v>1</v>
      </c>
      <c r="BE3073" t="str">
        <f t="shared" si="143"/>
        <v xml:space="preserve">N215T   </v>
      </c>
      <c r="BF3073">
        <v>1</v>
      </c>
      <c r="BH3073">
        <v>0</v>
      </c>
      <c r="BI3073">
        <v>0</v>
      </c>
      <c r="BJ3073">
        <v>0</v>
      </c>
      <c r="BK3073">
        <v>2475</v>
      </c>
      <c r="BL3073">
        <v>375</v>
      </c>
      <c r="BM3073" t="s">
        <v>119</v>
      </c>
      <c r="BN3073">
        <v>1</v>
      </c>
      <c r="BO3073">
        <v>1</v>
      </c>
      <c r="BP3073">
        <v>1</v>
      </c>
      <c r="BQ3073">
        <v>0</v>
      </c>
      <c r="BT3073">
        <v>0</v>
      </c>
      <c r="BU3073">
        <v>0</v>
      </c>
      <c r="BV3073">
        <v>0</v>
      </c>
      <c r="CC3073" t="str">
        <f>"19:26:07.781"</f>
        <v>19:26:07.781</v>
      </c>
      <c r="CD3073" t="str">
        <f>"779798337"</f>
        <v>779798337</v>
      </c>
      <c r="CQ3073">
        <v>0</v>
      </c>
      <c r="CR3073">
        <v>2</v>
      </c>
      <c r="CS3073">
        <v>0</v>
      </c>
      <c r="CT3073">
        <v>2</v>
      </c>
      <c r="CU3073">
        <v>0</v>
      </c>
      <c r="CV3073">
        <v>6</v>
      </c>
      <c r="CW3073" t="s">
        <v>120</v>
      </c>
      <c r="CX3073">
        <v>257</v>
      </c>
      <c r="CY3073">
        <v>0</v>
      </c>
      <c r="CZ3073" t="s">
        <v>615</v>
      </c>
      <c r="DA3073" t="s">
        <v>616</v>
      </c>
      <c r="DD3073">
        <v>16250036</v>
      </c>
      <c r="DE3073" t="s">
        <v>123</v>
      </c>
    </row>
    <row r="3074" spans="1:109" x14ac:dyDescent="0.3">
      <c r="A3074" t="str">
        <f>"19:26:09.109"</f>
        <v>19:26:09.109</v>
      </c>
      <c r="B3074" t="s">
        <v>110</v>
      </c>
      <c r="C3074" t="str">
        <f t="shared" ref="C3074:C3137" si="144">"ffdfd3c0"</f>
        <v>ffdfd3c0</v>
      </c>
      <c r="D3074" t="s">
        <v>111</v>
      </c>
      <c r="E3074">
        <v>18</v>
      </c>
      <c r="F3074">
        <v>1018</v>
      </c>
      <c r="G3074" t="s">
        <v>112</v>
      </c>
      <c r="J3074" t="s">
        <v>113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R3074" t="s">
        <v>114</v>
      </c>
      <c r="S3074" t="str">
        <f>"19:26:08.859"</f>
        <v>19:26:08.859</v>
      </c>
      <c r="T3074" t="str">
        <f>"19:26:08.758"</f>
        <v>19:26:08.758</v>
      </c>
      <c r="U3074" t="str">
        <f t="shared" ref="U3074:U3137" si="145">"a1cdbe"</f>
        <v>a1cdbe</v>
      </c>
      <c r="V3074">
        <v>0</v>
      </c>
      <c r="W3074">
        <v>0</v>
      </c>
      <c r="X3074">
        <v>1</v>
      </c>
      <c r="Y3074">
        <v>0</v>
      </c>
      <c r="Z3074">
        <v>0</v>
      </c>
      <c r="AB3074">
        <v>0</v>
      </c>
      <c r="AC3074">
        <v>9</v>
      </c>
      <c r="AD3074">
        <v>3</v>
      </c>
      <c r="AE3074">
        <v>0</v>
      </c>
      <c r="AF3074">
        <v>9</v>
      </c>
      <c r="AG3074" t="s">
        <v>158</v>
      </c>
      <c r="AH3074">
        <v>0</v>
      </c>
      <c r="AI3074">
        <v>3</v>
      </c>
      <c r="AJ3074">
        <v>1</v>
      </c>
      <c r="AK3074">
        <v>0</v>
      </c>
      <c r="AL3074" t="s">
        <v>5785</v>
      </c>
      <c r="AM3074">
        <v>46.98977</v>
      </c>
      <c r="AN3074" t="s">
        <v>5786</v>
      </c>
      <c r="AO3074">
        <v>-123.560357</v>
      </c>
      <c r="AP3074">
        <v>100</v>
      </c>
      <c r="AQ3074">
        <v>2100</v>
      </c>
      <c r="AR3074" t="s">
        <v>118</v>
      </c>
      <c r="AS3074">
        <v>-78</v>
      </c>
      <c r="AT3074">
        <v>15</v>
      </c>
      <c r="AU3074">
        <v>64</v>
      </c>
      <c r="BC3074">
        <v>1200</v>
      </c>
      <c r="BD3074">
        <v>1</v>
      </c>
      <c r="BE3074" t="str">
        <f t="shared" ref="BE3074:BE3137" si="146">"N215T   "</f>
        <v xml:space="preserve">N215T   </v>
      </c>
      <c r="BF3074">
        <v>1</v>
      </c>
      <c r="BH3074">
        <v>0</v>
      </c>
      <c r="BI3074">
        <v>0</v>
      </c>
      <c r="BJ3074">
        <v>0</v>
      </c>
      <c r="BK3074">
        <v>2475</v>
      </c>
      <c r="BL3074">
        <v>375</v>
      </c>
      <c r="BM3074" t="s">
        <v>119</v>
      </c>
      <c r="BN3074">
        <v>1</v>
      </c>
      <c r="BO3074">
        <v>1</v>
      </c>
      <c r="BP3074">
        <v>1</v>
      </c>
      <c r="BQ3074">
        <v>0</v>
      </c>
      <c r="BT3074">
        <v>0</v>
      </c>
      <c r="BU3074">
        <v>0</v>
      </c>
      <c r="BV3074">
        <v>0</v>
      </c>
      <c r="CC3074" t="str">
        <f>"19:26:08.859"</f>
        <v>19:26:08.859</v>
      </c>
      <c r="CD3074" t="str">
        <f>"859691914"</f>
        <v>859691914</v>
      </c>
      <c r="CQ3074">
        <v>0</v>
      </c>
      <c r="CR3074">
        <v>2</v>
      </c>
      <c r="CS3074">
        <v>0</v>
      </c>
      <c r="CT3074">
        <v>2</v>
      </c>
      <c r="CU3074">
        <v>0</v>
      </c>
      <c r="CV3074">
        <v>6</v>
      </c>
      <c r="CW3074" t="s">
        <v>120</v>
      </c>
      <c r="CX3074">
        <v>257</v>
      </c>
      <c r="CY3074">
        <v>0</v>
      </c>
      <c r="CZ3074" t="s">
        <v>615</v>
      </c>
      <c r="DA3074" t="s">
        <v>616</v>
      </c>
      <c r="DD3074">
        <v>16250592</v>
      </c>
      <c r="DE3074" t="s">
        <v>123</v>
      </c>
    </row>
    <row r="3075" spans="1:109" x14ac:dyDescent="0.3">
      <c r="A3075" t="str">
        <f>"19:26:10.016"</f>
        <v>19:26:10.016</v>
      </c>
      <c r="B3075" t="s">
        <v>110</v>
      </c>
      <c r="C3075" t="str">
        <f t="shared" si="144"/>
        <v>ffdfd3c0</v>
      </c>
      <c r="D3075" t="s">
        <v>111</v>
      </c>
      <c r="E3075">
        <v>18</v>
      </c>
      <c r="F3075">
        <v>1018</v>
      </c>
      <c r="G3075" t="s">
        <v>112</v>
      </c>
      <c r="J3075" t="s">
        <v>113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R3075" t="s">
        <v>114</v>
      </c>
      <c r="S3075" t="str">
        <f>"19:26:09.773"</f>
        <v>19:26:09.773</v>
      </c>
      <c r="T3075" t="str">
        <f>"19:26:09.273"</f>
        <v>19:26:09.273</v>
      </c>
      <c r="U3075" t="str">
        <f t="shared" si="145"/>
        <v>a1cdbe</v>
      </c>
      <c r="V3075">
        <v>0</v>
      </c>
      <c r="W3075">
        <v>0</v>
      </c>
      <c r="X3075">
        <v>1</v>
      </c>
      <c r="Y3075">
        <v>0</v>
      </c>
      <c r="Z3075">
        <v>0</v>
      </c>
      <c r="AB3075">
        <v>0</v>
      </c>
      <c r="AC3075">
        <v>9</v>
      </c>
      <c r="AD3075">
        <v>3</v>
      </c>
      <c r="AE3075">
        <v>0</v>
      </c>
      <c r="AF3075">
        <v>9</v>
      </c>
      <c r="AG3075" t="s">
        <v>158</v>
      </c>
      <c r="AH3075">
        <v>0</v>
      </c>
      <c r="AI3075">
        <v>3</v>
      </c>
      <c r="AJ3075">
        <v>1</v>
      </c>
      <c r="AK3075">
        <v>0</v>
      </c>
      <c r="AL3075" t="s">
        <v>5787</v>
      </c>
      <c r="AM3075">
        <v>46.989834000000002</v>
      </c>
      <c r="AN3075" t="s">
        <v>5788</v>
      </c>
      <c r="AO3075">
        <v>-123.560829</v>
      </c>
      <c r="AP3075">
        <v>100</v>
      </c>
      <c r="AQ3075">
        <v>2100</v>
      </c>
      <c r="AR3075" t="s">
        <v>118</v>
      </c>
      <c r="AS3075">
        <v>-78</v>
      </c>
      <c r="AT3075">
        <v>15</v>
      </c>
      <c r="AU3075">
        <v>64</v>
      </c>
      <c r="BC3075">
        <v>1200</v>
      </c>
      <c r="BD3075">
        <v>1</v>
      </c>
      <c r="BE3075" t="str">
        <f t="shared" si="146"/>
        <v xml:space="preserve">N215T   </v>
      </c>
      <c r="BF3075">
        <v>1</v>
      </c>
      <c r="BH3075">
        <v>0</v>
      </c>
      <c r="BI3075">
        <v>0</v>
      </c>
      <c r="BJ3075">
        <v>0</v>
      </c>
      <c r="BK3075">
        <v>2475</v>
      </c>
      <c r="BL3075">
        <v>375</v>
      </c>
      <c r="BM3075" t="s">
        <v>119</v>
      </c>
      <c r="BN3075">
        <v>1</v>
      </c>
      <c r="BO3075">
        <v>1</v>
      </c>
      <c r="BP3075">
        <v>1</v>
      </c>
      <c r="BQ3075">
        <v>0</v>
      </c>
      <c r="BT3075">
        <v>0</v>
      </c>
      <c r="BU3075">
        <v>0</v>
      </c>
      <c r="BV3075">
        <v>0</v>
      </c>
      <c r="CC3075" t="str">
        <f>"19:26:09.773"</f>
        <v>19:26:09.773</v>
      </c>
      <c r="CD3075" t="str">
        <f>"774601740"</f>
        <v>774601740</v>
      </c>
      <c r="CQ3075">
        <v>0</v>
      </c>
      <c r="CR3075">
        <v>2</v>
      </c>
      <c r="CS3075">
        <v>0</v>
      </c>
      <c r="CT3075">
        <v>2</v>
      </c>
      <c r="CU3075">
        <v>0</v>
      </c>
      <c r="CV3075">
        <v>6</v>
      </c>
      <c r="CW3075" t="s">
        <v>120</v>
      </c>
      <c r="CX3075">
        <v>257</v>
      </c>
      <c r="CY3075">
        <v>0</v>
      </c>
      <c r="CZ3075" t="s">
        <v>615</v>
      </c>
      <c r="DA3075" t="s">
        <v>616</v>
      </c>
      <c r="DD3075">
        <v>16251121</v>
      </c>
      <c r="DE3075" t="s">
        <v>123</v>
      </c>
    </row>
    <row r="3076" spans="1:109" x14ac:dyDescent="0.3">
      <c r="A3076" t="str">
        <f>"19:26:11.023"</f>
        <v>19:26:11.023</v>
      </c>
      <c r="B3076" t="s">
        <v>110</v>
      </c>
      <c r="C3076" t="str">
        <f t="shared" si="144"/>
        <v>ffdfd3c0</v>
      </c>
      <c r="D3076" t="s">
        <v>111</v>
      </c>
      <c r="E3076">
        <v>18</v>
      </c>
      <c r="F3076">
        <v>1018</v>
      </c>
      <c r="G3076" t="s">
        <v>112</v>
      </c>
      <c r="J3076" t="s">
        <v>113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R3076" t="s">
        <v>114</v>
      </c>
      <c r="S3076" t="str">
        <f>"19:26:10.820"</f>
        <v>19:26:10.820</v>
      </c>
      <c r="T3076" t="str">
        <f>"19:26:10.820"</f>
        <v>19:26:10.820</v>
      </c>
      <c r="U3076" t="str">
        <f t="shared" si="145"/>
        <v>a1cdbe</v>
      </c>
      <c r="V3076">
        <v>0</v>
      </c>
      <c r="W3076">
        <v>0</v>
      </c>
      <c r="X3076">
        <v>1</v>
      </c>
      <c r="Y3076">
        <v>0</v>
      </c>
      <c r="Z3076">
        <v>0</v>
      </c>
      <c r="AB3076">
        <v>0</v>
      </c>
      <c r="AC3076">
        <v>9</v>
      </c>
      <c r="AD3076">
        <v>3</v>
      </c>
      <c r="AE3076">
        <v>0</v>
      </c>
      <c r="AF3076">
        <v>9</v>
      </c>
      <c r="AG3076" t="s">
        <v>158</v>
      </c>
      <c r="AH3076">
        <v>0</v>
      </c>
      <c r="AI3076">
        <v>3</v>
      </c>
      <c r="AJ3076">
        <v>1</v>
      </c>
      <c r="AK3076">
        <v>0</v>
      </c>
      <c r="AL3076" t="s">
        <v>5789</v>
      </c>
      <c r="AM3076">
        <v>46.989899000000001</v>
      </c>
      <c r="AN3076" t="s">
        <v>5790</v>
      </c>
      <c r="AO3076">
        <v>-123.561387</v>
      </c>
      <c r="AP3076">
        <v>100</v>
      </c>
      <c r="AQ3076">
        <v>2100</v>
      </c>
      <c r="AR3076" t="s">
        <v>118</v>
      </c>
      <c r="AS3076">
        <v>-77</v>
      </c>
      <c r="AT3076">
        <v>16</v>
      </c>
      <c r="AU3076">
        <v>128</v>
      </c>
      <c r="BC3076">
        <v>1200</v>
      </c>
      <c r="BD3076">
        <v>1</v>
      </c>
      <c r="BE3076" t="str">
        <f t="shared" si="146"/>
        <v xml:space="preserve">N215T   </v>
      </c>
      <c r="BF3076">
        <v>1</v>
      </c>
      <c r="BH3076">
        <v>0</v>
      </c>
      <c r="BI3076">
        <v>0</v>
      </c>
      <c r="BJ3076">
        <v>0</v>
      </c>
      <c r="BK3076">
        <v>2500</v>
      </c>
      <c r="BL3076">
        <v>400</v>
      </c>
      <c r="BM3076" t="s">
        <v>119</v>
      </c>
      <c r="BN3076">
        <v>1</v>
      </c>
      <c r="BO3076">
        <v>1</v>
      </c>
      <c r="BP3076">
        <v>1</v>
      </c>
      <c r="BQ3076">
        <v>0</v>
      </c>
      <c r="BT3076">
        <v>0</v>
      </c>
      <c r="BU3076">
        <v>0</v>
      </c>
      <c r="BV3076">
        <v>0</v>
      </c>
      <c r="CC3076" t="str">
        <f>"19:26:10.828"</f>
        <v>19:26:10.828</v>
      </c>
      <c r="CD3076" t="str">
        <f>"824498260"</f>
        <v>824498260</v>
      </c>
      <c r="CQ3076">
        <v>0</v>
      </c>
      <c r="CR3076">
        <v>2</v>
      </c>
      <c r="CS3076">
        <v>0</v>
      </c>
      <c r="CT3076">
        <v>2</v>
      </c>
      <c r="CU3076">
        <v>0</v>
      </c>
      <c r="CV3076">
        <v>6</v>
      </c>
      <c r="CW3076" t="s">
        <v>120</v>
      </c>
      <c r="CX3076">
        <v>257</v>
      </c>
      <c r="CY3076">
        <v>0</v>
      </c>
      <c r="CZ3076" t="s">
        <v>615</v>
      </c>
      <c r="DA3076" t="s">
        <v>616</v>
      </c>
      <c r="DD3076">
        <v>16251692</v>
      </c>
      <c r="DE3076" t="s">
        <v>123</v>
      </c>
    </row>
    <row r="3077" spans="1:109" x14ac:dyDescent="0.3">
      <c r="A3077" t="str">
        <f>"19:26:12.125"</f>
        <v>19:26:12.125</v>
      </c>
      <c r="B3077" t="s">
        <v>110</v>
      </c>
      <c r="C3077" t="str">
        <f t="shared" si="144"/>
        <v>ffdfd3c0</v>
      </c>
      <c r="D3077" t="s">
        <v>111</v>
      </c>
      <c r="E3077">
        <v>18</v>
      </c>
      <c r="F3077">
        <v>1018</v>
      </c>
      <c r="G3077" t="s">
        <v>112</v>
      </c>
      <c r="J3077" t="s">
        <v>113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R3077" t="s">
        <v>114</v>
      </c>
      <c r="S3077" t="str">
        <f>"19:26:11.859"</f>
        <v>19:26:11.859</v>
      </c>
      <c r="T3077" t="str">
        <f>"19:26:11.859"</f>
        <v>19:26:11.859</v>
      </c>
      <c r="U3077" t="str">
        <f t="shared" si="145"/>
        <v>a1cdbe</v>
      </c>
      <c r="V3077">
        <v>0</v>
      </c>
      <c r="W3077">
        <v>0</v>
      </c>
      <c r="X3077">
        <v>1</v>
      </c>
      <c r="Y3077">
        <v>0</v>
      </c>
      <c r="Z3077">
        <v>0</v>
      </c>
      <c r="AB3077">
        <v>0</v>
      </c>
      <c r="AC3077">
        <v>9</v>
      </c>
      <c r="AD3077">
        <v>3</v>
      </c>
      <c r="AE3077">
        <v>0</v>
      </c>
      <c r="AF3077">
        <v>9</v>
      </c>
      <c r="AG3077" t="s">
        <v>158</v>
      </c>
      <c r="AH3077">
        <v>0</v>
      </c>
      <c r="AI3077">
        <v>3</v>
      </c>
      <c r="AJ3077">
        <v>1</v>
      </c>
      <c r="AK3077">
        <v>0</v>
      </c>
      <c r="AL3077" t="s">
        <v>5791</v>
      </c>
      <c r="AM3077">
        <v>46.989963000000003</v>
      </c>
      <c r="AN3077" t="s">
        <v>5792</v>
      </c>
      <c r="AO3077">
        <v>-123.561902</v>
      </c>
      <c r="AP3077">
        <v>100</v>
      </c>
      <c r="AQ3077">
        <v>2100</v>
      </c>
      <c r="AR3077" t="s">
        <v>118</v>
      </c>
      <c r="AS3077">
        <v>-77</v>
      </c>
      <c r="AT3077">
        <v>16</v>
      </c>
      <c r="AU3077">
        <v>128</v>
      </c>
      <c r="BC3077">
        <v>1200</v>
      </c>
      <c r="BD3077">
        <v>1</v>
      </c>
      <c r="BE3077" t="str">
        <f t="shared" si="146"/>
        <v xml:space="preserve">N215T   </v>
      </c>
      <c r="BF3077">
        <v>1</v>
      </c>
      <c r="BH3077">
        <v>0</v>
      </c>
      <c r="BI3077">
        <v>0</v>
      </c>
      <c r="BJ3077">
        <v>0</v>
      </c>
      <c r="BK3077">
        <v>2500</v>
      </c>
      <c r="BL3077">
        <v>400</v>
      </c>
      <c r="BM3077" t="s">
        <v>119</v>
      </c>
      <c r="BN3077">
        <v>1</v>
      </c>
      <c r="BO3077">
        <v>1</v>
      </c>
      <c r="BP3077">
        <v>1</v>
      </c>
      <c r="BQ3077">
        <v>0</v>
      </c>
      <c r="BT3077">
        <v>0</v>
      </c>
      <c r="BU3077">
        <v>0</v>
      </c>
      <c r="BV3077">
        <v>0</v>
      </c>
      <c r="CC3077" t="str">
        <f>"19:26:11.859"</f>
        <v>19:26:11.859</v>
      </c>
      <c r="CD3077" t="str">
        <f>"859396280"</f>
        <v>859396280</v>
      </c>
      <c r="CQ3077">
        <v>0</v>
      </c>
      <c r="CR3077">
        <v>2</v>
      </c>
      <c r="CS3077">
        <v>0</v>
      </c>
      <c r="CT3077">
        <v>2</v>
      </c>
      <c r="CU3077">
        <v>0</v>
      </c>
      <c r="CV3077">
        <v>6</v>
      </c>
      <c r="CW3077" t="s">
        <v>120</v>
      </c>
      <c r="CX3077">
        <v>257</v>
      </c>
      <c r="CY3077">
        <v>0</v>
      </c>
      <c r="CZ3077" t="s">
        <v>615</v>
      </c>
      <c r="DA3077" t="s">
        <v>616</v>
      </c>
      <c r="DD3077">
        <v>16252247</v>
      </c>
      <c r="DE3077" t="s">
        <v>123</v>
      </c>
    </row>
    <row r="3078" spans="1:109" x14ac:dyDescent="0.3">
      <c r="A3078" t="str">
        <f>"19:26:13.133"</f>
        <v>19:26:13.133</v>
      </c>
      <c r="B3078" t="s">
        <v>110</v>
      </c>
      <c r="C3078" t="str">
        <f t="shared" si="144"/>
        <v>ffdfd3c0</v>
      </c>
      <c r="D3078" t="s">
        <v>111</v>
      </c>
      <c r="E3078">
        <v>18</v>
      </c>
      <c r="F3078">
        <v>1018</v>
      </c>
      <c r="G3078" t="s">
        <v>112</v>
      </c>
      <c r="J3078" t="s">
        <v>113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R3078" t="s">
        <v>114</v>
      </c>
      <c r="S3078" t="str">
        <f>"19:26:12.891"</f>
        <v>19:26:12.891</v>
      </c>
      <c r="T3078" t="str">
        <f>"19:26:12.492"</f>
        <v>19:26:12.492</v>
      </c>
      <c r="U3078" t="str">
        <f t="shared" si="145"/>
        <v>a1cdbe</v>
      </c>
      <c r="V3078">
        <v>0</v>
      </c>
      <c r="W3078">
        <v>0</v>
      </c>
      <c r="X3078">
        <v>1</v>
      </c>
      <c r="Y3078">
        <v>0</v>
      </c>
      <c r="Z3078">
        <v>0</v>
      </c>
      <c r="AB3078">
        <v>0</v>
      </c>
      <c r="AC3078">
        <v>9</v>
      </c>
      <c r="AD3078">
        <v>3</v>
      </c>
      <c r="AE3078">
        <v>0</v>
      </c>
      <c r="AF3078">
        <v>9</v>
      </c>
      <c r="AG3078" t="s">
        <v>158</v>
      </c>
      <c r="AH3078">
        <v>0</v>
      </c>
      <c r="AI3078">
        <v>3</v>
      </c>
      <c r="AJ3078">
        <v>1</v>
      </c>
      <c r="AK3078">
        <v>0</v>
      </c>
      <c r="AL3078" t="s">
        <v>5793</v>
      </c>
      <c r="AM3078">
        <v>46.990026999999998</v>
      </c>
      <c r="AN3078" t="s">
        <v>5794</v>
      </c>
      <c r="AO3078">
        <v>-123.562417</v>
      </c>
      <c r="AP3078">
        <v>100</v>
      </c>
      <c r="AQ3078">
        <v>2100</v>
      </c>
      <c r="AR3078" t="s">
        <v>118</v>
      </c>
      <c r="AS3078">
        <v>-77</v>
      </c>
      <c r="AT3078">
        <v>16</v>
      </c>
      <c r="AU3078">
        <v>128</v>
      </c>
      <c r="BC3078">
        <v>1200</v>
      </c>
      <c r="BD3078">
        <v>1</v>
      </c>
      <c r="BE3078" t="str">
        <f t="shared" si="146"/>
        <v xml:space="preserve">N215T   </v>
      </c>
      <c r="BF3078">
        <v>1</v>
      </c>
      <c r="BH3078">
        <v>0</v>
      </c>
      <c r="BI3078">
        <v>0</v>
      </c>
      <c r="BJ3078">
        <v>0</v>
      </c>
      <c r="BK3078">
        <v>2500</v>
      </c>
      <c r="BL3078">
        <v>400</v>
      </c>
      <c r="BM3078" t="s">
        <v>119</v>
      </c>
      <c r="BN3078">
        <v>1</v>
      </c>
      <c r="BO3078">
        <v>1</v>
      </c>
      <c r="BP3078">
        <v>1</v>
      </c>
      <c r="BQ3078">
        <v>0</v>
      </c>
      <c r="BT3078">
        <v>0</v>
      </c>
      <c r="BU3078">
        <v>0</v>
      </c>
      <c r="BV3078">
        <v>0</v>
      </c>
      <c r="CC3078" t="str">
        <f>"19:26:12.891"</f>
        <v>19:26:12.891</v>
      </c>
      <c r="CD3078" t="str">
        <f>"894294289"</f>
        <v>894294289</v>
      </c>
      <c r="CQ3078">
        <v>0</v>
      </c>
      <c r="CR3078">
        <v>2</v>
      </c>
      <c r="CS3078">
        <v>0</v>
      </c>
      <c r="CT3078">
        <v>2</v>
      </c>
      <c r="CU3078">
        <v>0</v>
      </c>
      <c r="CV3078">
        <v>6</v>
      </c>
      <c r="CW3078" t="s">
        <v>120</v>
      </c>
      <c r="CX3078">
        <v>257</v>
      </c>
      <c r="CY3078">
        <v>0</v>
      </c>
      <c r="CZ3078" t="s">
        <v>615</v>
      </c>
      <c r="DA3078" t="s">
        <v>616</v>
      </c>
      <c r="DD3078">
        <v>16252786</v>
      </c>
      <c r="DE3078" t="s">
        <v>123</v>
      </c>
    </row>
    <row r="3079" spans="1:109" x14ac:dyDescent="0.3">
      <c r="A3079" t="str">
        <f>"19:26:14.086"</f>
        <v>19:26:14.086</v>
      </c>
      <c r="B3079" t="s">
        <v>110</v>
      </c>
      <c r="C3079" t="str">
        <f t="shared" si="144"/>
        <v>ffdfd3c0</v>
      </c>
      <c r="D3079" t="s">
        <v>111</v>
      </c>
      <c r="E3079">
        <v>18</v>
      </c>
      <c r="F3079">
        <v>1018</v>
      </c>
      <c r="G3079" t="s">
        <v>112</v>
      </c>
      <c r="J3079" t="s">
        <v>113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R3079" t="s">
        <v>114</v>
      </c>
      <c r="S3079" t="str">
        <f>"19:26:13.867"</f>
        <v>19:26:13.867</v>
      </c>
      <c r="T3079" t="str">
        <f>"19:26:13.469"</f>
        <v>19:26:13.469</v>
      </c>
      <c r="U3079" t="str">
        <f t="shared" si="145"/>
        <v>a1cdbe</v>
      </c>
      <c r="V3079">
        <v>0</v>
      </c>
      <c r="W3079">
        <v>0</v>
      </c>
      <c r="X3079">
        <v>1</v>
      </c>
      <c r="Y3079">
        <v>0</v>
      </c>
      <c r="Z3079">
        <v>0</v>
      </c>
      <c r="AB3079">
        <v>0</v>
      </c>
      <c r="AC3079">
        <v>9</v>
      </c>
      <c r="AD3079">
        <v>3</v>
      </c>
      <c r="AE3079">
        <v>0</v>
      </c>
      <c r="AF3079">
        <v>9</v>
      </c>
      <c r="AG3079" t="s">
        <v>158</v>
      </c>
      <c r="AH3079">
        <v>0</v>
      </c>
      <c r="AI3079">
        <v>3</v>
      </c>
      <c r="AJ3079">
        <v>1</v>
      </c>
      <c r="AK3079">
        <v>0</v>
      </c>
      <c r="AL3079" t="s">
        <v>5795</v>
      </c>
      <c r="AM3079">
        <v>46.990113000000001</v>
      </c>
      <c r="AN3079" t="s">
        <v>5796</v>
      </c>
      <c r="AO3079">
        <v>-123.56295299999999</v>
      </c>
      <c r="AP3079">
        <v>100</v>
      </c>
      <c r="AQ3079">
        <v>2100</v>
      </c>
      <c r="AR3079" t="s">
        <v>118</v>
      </c>
      <c r="AS3079">
        <v>-76</v>
      </c>
      <c r="AT3079">
        <v>16</v>
      </c>
      <c r="AU3079">
        <v>128</v>
      </c>
      <c r="BC3079">
        <v>1200</v>
      </c>
      <c r="BD3079">
        <v>1</v>
      </c>
      <c r="BE3079" t="str">
        <f t="shared" si="146"/>
        <v xml:space="preserve">N215T   </v>
      </c>
      <c r="BF3079">
        <v>1</v>
      </c>
      <c r="BH3079">
        <v>0</v>
      </c>
      <c r="BI3079">
        <v>0</v>
      </c>
      <c r="BJ3079">
        <v>0</v>
      </c>
      <c r="BK3079">
        <v>2500</v>
      </c>
      <c r="BL3079">
        <v>400</v>
      </c>
      <c r="BM3079" t="s">
        <v>119</v>
      </c>
      <c r="BN3079">
        <v>1</v>
      </c>
      <c r="BO3079">
        <v>1</v>
      </c>
      <c r="BP3079">
        <v>1</v>
      </c>
      <c r="BQ3079">
        <v>0</v>
      </c>
      <c r="BT3079">
        <v>0</v>
      </c>
      <c r="BU3079">
        <v>0</v>
      </c>
      <c r="BV3079">
        <v>0</v>
      </c>
      <c r="CC3079" t="str">
        <f>"19:26:13.867"</f>
        <v>19:26:13.867</v>
      </c>
      <c r="CD3079" t="str">
        <f>"869198219"</f>
        <v>869198219</v>
      </c>
      <c r="CQ3079">
        <v>0</v>
      </c>
      <c r="CR3079">
        <v>2</v>
      </c>
      <c r="CS3079">
        <v>0</v>
      </c>
      <c r="CT3079">
        <v>2</v>
      </c>
      <c r="CU3079">
        <v>0</v>
      </c>
      <c r="CV3079">
        <v>6</v>
      </c>
      <c r="CW3079" t="s">
        <v>120</v>
      </c>
      <c r="CX3079">
        <v>257</v>
      </c>
      <c r="CY3079">
        <v>0</v>
      </c>
      <c r="CZ3079" t="s">
        <v>615</v>
      </c>
      <c r="DA3079" t="s">
        <v>616</v>
      </c>
      <c r="DD3079">
        <v>16253292</v>
      </c>
      <c r="DE3079" t="s">
        <v>123</v>
      </c>
    </row>
    <row r="3080" spans="1:109" x14ac:dyDescent="0.3">
      <c r="A3080" t="str">
        <f>"19:26:14.992"</f>
        <v>19:26:14.992</v>
      </c>
      <c r="B3080" t="s">
        <v>110</v>
      </c>
      <c r="C3080" t="str">
        <f t="shared" si="144"/>
        <v>ffdfd3c0</v>
      </c>
      <c r="D3080" t="s">
        <v>111</v>
      </c>
      <c r="E3080">
        <v>18</v>
      </c>
      <c r="F3080">
        <v>1018</v>
      </c>
      <c r="G3080" t="s">
        <v>112</v>
      </c>
      <c r="J3080" t="s">
        <v>113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R3080" t="s">
        <v>114</v>
      </c>
      <c r="S3080" t="str">
        <f>"19:26:14.750"</f>
        <v>19:26:14.750</v>
      </c>
      <c r="T3080" t="str">
        <f>"19:26:14.547"</f>
        <v>19:26:14.547</v>
      </c>
      <c r="U3080" t="str">
        <f t="shared" si="145"/>
        <v>a1cdbe</v>
      </c>
      <c r="V3080">
        <v>0</v>
      </c>
      <c r="W3080">
        <v>0</v>
      </c>
      <c r="X3080">
        <v>1</v>
      </c>
      <c r="Y3080">
        <v>0</v>
      </c>
      <c r="Z3080">
        <v>0</v>
      </c>
      <c r="AB3080">
        <v>0</v>
      </c>
      <c r="AC3080">
        <v>9</v>
      </c>
      <c r="AD3080">
        <v>3</v>
      </c>
      <c r="AE3080">
        <v>0</v>
      </c>
      <c r="AF3080">
        <v>9</v>
      </c>
      <c r="AG3080" t="s">
        <v>158</v>
      </c>
      <c r="AH3080">
        <v>0</v>
      </c>
      <c r="AI3080">
        <v>3</v>
      </c>
      <c r="AJ3080">
        <v>1</v>
      </c>
      <c r="AK3080">
        <v>0</v>
      </c>
      <c r="AL3080" t="s">
        <v>5797</v>
      </c>
      <c r="AM3080">
        <v>46.990178</v>
      </c>
      <c r="AN3080" t="s">
        <v>5798</v>
      </c>
      <c r="AO3080">
        <v>-123.563447</v>
      </c>
      <c r="AP3080">
        <v>100</v>
      </c>
      <c r="AQ3080">
        <v>2100</v>
      </c>
      <c r="AR3080" t="s">
        <v>118</v>
      </c>
      <c r="AS3080">
        <v>-76</v>
      </c>
      <c r="AT3080">
        <v>16</v>
      </c>
      <c r="AU3080">
        <v>128</v>
      </c>
      <c r="BC3080">
        <v>1200</v>
      </c>
      <c r="BD3080">
        <v>1</v>
      </c>
      <c r="BE3080" t="str">
        <f t="shared" si="146"/>
        <v xml:space="preserve">N215T   </v>
      </c>
      <c r="BF3080">
        <v>1</v>
      </c>
      <c r="BH3080">
        <v>0</v>
      </c>
      <c r="BI3080">
        <v>0</v>
      </c>
      <c r="BJ3080">
        <v>0</v>
      </c>
      <c r="BK3080">
        <v>2500</v>
      </c>
      <c r="BL3080">
        <v>400</v>
      </c>
      <c r="BM3080" t="s">
        <v>119</v>
      </c>
      <c r="BN3080">
        <v>1</v>
      </c>
      <c r="BO3080">
        <v>1</v>
      </c>
      <c r="BP3080">
        <v>1</v>
      </c>
      <c r="BQ3080">
        <v>0</v>
      </c>
      <c r="BT3080">
        <v>0</v>
      </c>
      <c r="BU3080">
        <v>0</v>
      </c>
      <c r="BV3080">
        <v>0</v>
      </c>
      <c r="CC3080" t="str">
        <f>"19:26:14.758"</f>
        <v>19:26:14.758</v>
      </c>
      <c r="CD3080" t="str">
        <f>"754111005"</f>
        <v>754111005</v>
      </c>
      <c r="CQ3080">
        <v>0</v>
      </c>
      <c r="CR3080">
        <v>2</v>
      </c>
      <c r="CS3080">
        <v>0</v>
      </c>
      <c r="CT3080">
        <v>2</v>
      </c>
      <c r="CU3080">
        <v>0</v>
      </c>
      <c r="CV3080">
        <v>6</v>
      </c>
      <c r="CW3080" t="s">
        <v>120</v>
      </c>
      <c r="CX3080">
        <v>257</v>
      </c>
      <c r="CY3080">
        <v>0</v>
      </c>
      <c r="CZ3080" t="s">
        <v>615</v>
      </c>
      <c r="DA3080" t="s">
        <v>616</v>
      </c>
      <c r="DD3080">
        <v>16253786</v>
      </c>
      <c r="DE3080" t="s">
        <v>123</v>
      </c>
    </row>
    <row r="3081" spans="1:109" x14ac:dyDescent="0.3">
      <c r="A3081" t="str">
        <f>"19:26:16.094"</f>
        <v>19:26:16.094</v>
      </c>
      <c r="B3081" t="s">
        <v>110</v>
      </c>
      <c r="C3081" t="str">
        <f t="shared" si="144"/>
        <v>ffdfd3c0</v>
      </c>
      <c r="D3081" t="s">
        <v>111</v>
      </c>
      <c r="E3081">
        <v>18</v>
      </c>
      <c r="F3081">
        <v>1018</v>
      </c>
      <c r="G3081" t="s">
        <v>112</v>
      </c>
      <c r="J3081" t="s">
        <v>113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R3081" t="s">
        <v>114</v>
      </c>
      <c r="S3081" t="str">
        <f>"19:26:15.875"</f>
        <v>19:26:15.875</v>
      </c>
      <c r="T3081" t="str">
        <f>"19:26:15.477"</f>
        <v>19:26:15.477</v>
      </c>
      <c r="U3081" t="str">
        <f t="shared" si="145"/>
        <v>a1cdbe</v>
      </c>
      <c r="V3081">
        <v>0</v>
      </c>
      <c r="W3081">
        <v>0</v>
      </c>
      <c r="X3081">
        <v>1</v>
      </c>
      <c r="Y3081">
        <v>0</v>
      </c>
      <c r="Z3081">
        <v>0</v>
      </c>
      <c r="AB3081">
        <v>0</v>
      </c>
      <c r="AC3081">
        <v>9</v>
      </c>
      <c r="AD3081">
        <v>3</v>
      </c>
      <c r="AE3081">
        <v>0</v>
      </c>
      <c r="AF3081">
        <v>9</v>
      </c>
      <c r="AG3081" t="s">
        <v>158</v>
      </c>
      <c r="AH3081">
        <v>0</v>
      </c>
      <c r="AI3081">
        <v>3</v>
      </c>
      <c r="AJ3081">
        <v>1</v>
      </c>
      <c r="AK3081">
        <v>0</v>
      </c>
      <c r="AL3081" t="s">
        <v>5799</v>
      </c>
      <c r="AM3081">
        <v>46.990242000000002</v>
      </c>
      <c r="AN3081" t="s">
        <v>5800</v>
      </c>
      <c r="AO3081">
        <v>-123.56400499999999</v>
      </c>
      <c r="AP3081">
        <v>100</v>
      </c>
      <c r="AQ3081">
        <v>2100</v>
      </c>
      <c r="AR3081" t="s">
        <v>118</v>
      </c>
      <c r="AS3081">
        <v>-76</v>
      </c>
      <c r="AT3081">
        <v>16</v>
      </c>
      <c r="AU3081">
        <v>64</v>
      </c>
      <c r="BC3081">
        <v>1200</v>
      </c>
      <c r="BD3081">
        <v>1</v>
      </c>
      <c r="BE3081" t="str">
        <f t="shared" si="146"/>
        <v xml:space="preserve">N215T   </v>
      </c>
      <c r="BF3081">
        <v>1</v>
      </c>
      <c r="BH3081">
        <v>0</v>
      </c>
      <c r="BI3081">
        <v>0</v>
      </c>
      <c r="BJ3081">
        <v>0</v>
      </c>
      <c r="BK3081">
        <v>2500</v>
      </c>
      <c r="BL3081">
        <v>400</v>
      </c>
      <c r="BM3081" t="s">
        <v>119</v>
      </c>
      <c r="BN3081">
        <v>1</v>
      </c>
      <c r="BO3081">
        <v>1</v>
      </c>
      <c r="BP3081">
        <v>1</v>
      </c>
      <c r="BQ3081">
        <v>0</v>
      </c>
      <c r="BT3081">
        <v>0</v>
      </c>
      <c r="BU3081">
        <v>0</v>
      </c>
      <c r="BV3081">
        <v>0</v>
      </c>
      <c r="CC3081" t="str">
        <f>"19:26:15.883"</f>
        <v>19:26:15.883</v>
      </c>
      <c r="CD3081" t="str">
        <f>"879000150"</f>
        <v>879000150</v>
      </c>
      <c r="CQ3081">
        <v>0</v>
      </c>
      <c r="CR3081">
        <v>2</v>
      </c>
      <c r="CS3081">
        <v>0</v>
      </c>
      <c r="CT3081">
        <v>2</v>
      </c>
      <c r="CU3081">
        <v>0</v>
      </c>
      <c r="CV3081">
        <v>6</v>
      </c>
      <c r="CW3081" t="s">
        <v>120</v>
      </c>
      <c r="CX3081">
        <v>257</v>
      </c>
      <c r="CY3081">
        <v>0</v>
      </c>
      <c r="CZ3081" t="s">
        <v>615</v>
      </c>
      <c r="DA3081" t="s">
        <v>616</v>
      </c>
      <c r="DD3081">
        <v>16254396</v>
      </c>
      <c r="DE3081" t="s">
        <v>123</v>
      </c>
    </row>
    <row r="3082" spans="1:109" x14ac:dyDescent="0.3">
      <c r="A3082" t="str">
        <f>"19:26:17.102"</f>
        <v>19:26:17.102</v>
      </c>
      <c r="B3082" t="s">
        <v>110</v>
      </c>
      <c r="C3082" t="str">
        <f t="shared" si="144"/>
        <v>ffdfd3c0</v>
      </c>
      <c r="D3082" t="s">
        <v>111</v>
      </c>
      <c r="E3082">
        <v>18</v>
      </c>
      <c r="F3082">
        <v>1018</v>
      </c>
      <c r="G3082" t="s">
        <v>112</v>
      </c>
      <c r="J3082" t="s">
        <v>113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R3082" t="s">
        <v>114</v>
      </c>
      <c r="S3082" t="str">
        <f>"19:26:16.852"</f>
        <v>19:26:16.852</v>
      </c>
      <c r="T3082" t="str">
        <f>"19:26:16.555"</f>
        <v>19:26:16.555</v>
      </c>
      <c r="U3082" t="str">
        <f t="shared" si="145"/>
        <v>a1cdbe</v>
      </c>
      <c r="V3082">
        <v>0</v>
      </c>
      <c r="W3082">
        <v>0</v>
      </c>
      <c r="X3082">
        <v>1</v>
      </c>
      <c r="Y3082">
        <v>0</v>
      </c>
      <c r="Z3082">
        <v>0</v>
      </c>
      <c r="AB3082">
        <v>0</v>
      </c>
      <c r="AC3082">
        <v>9</v>
      </c>
      <c r="AD3082">
        <v>3</v>
      </c>
      <c r="AE3082">
        <v>0</v>
      </c>
      <c r="AF3082">
        <v>9</v>
      </c>
      <c r="AG3082" t="s">
        <v>158</v>
      </c>
      <c r="AH3082">
        <v>0</v>
      </c>
      <c r="AI3082">
        <v>3</v>
      </c>
      <c r="AJ3082">
        <v>1</v>
      </c>
      <c r="AK3082">
        <v>0</v>
      </c>
      <c r="AL3082" t="s">
        <v>5801</v>
      </c>
      <c r="AM3082">
        <v>46.990349000000002</v>
      </c>
      <c r="AN3082" t="s">
        <v>5802</v>
      </c>
      <c r="AO3082">
        <v>-123.564477</v>
      </c>
      <c r="AP3082">
        <v>100</v>
      </c>
      <c r="AQ3082">
        <v>2100</v>
      </c>
      <c r="AR3082" t="s">
        <v>118</v>
      </c>
      <c r="AS3082">
        <v>-76</v>
      </c>
      <c r="AT3082">
        <v>16</v>
      </c>
      <c r="AU3082">
        <v>0</v>
      </c>
      <c r="BC3082">
        <v>1200</v>
      </c>
      <c r="BD3082">
        <v>1</v>
      </c>
      <c r="BE3082" t="str">
        <f t="shared" si="146"/>
        <v xml:space="preserve">N215T   </v>
      </c>
      <c r="BF3082">
        <v>1</v>
      </c>
      <c r="BH3082">
        <v>0</v>
      </c>
      <c r="BI3082">
        <v>0</v>
      </c>
      <c r="BJ3082">
        <v>0</v>
      </c>
      <c r="BK3082">
        <v>2500</v>
      </c>
      <c r="BL3082">
        <v>400</v>
      </c>
      <c r="BM3082" t="s">
        <v>119</v>
      </c>
      <c r="BN3082">
        <v>1</v>
      </c>
      <c r="BO3082">
        <v>1</v>
      </c>
      <c r="BP3082">
        <v>1</v>
      </c>
      <c r="BQ3082">
        <v>0</v>
      </c>
      <c r="BT3082">
        <v>0</v>
      </c>
      <c r="BU3082">
        <v>0</v>
      </c>
      <c r="BV3082">
        <v>0</v>
      </c>
      <c r="CC3082" t="str">
        <f>"19:26:16.852"</f>
        <v>19:26:16.852</v>
      </c>
      <c r="CD3082" t="str">
        <f>"853904076"</f>
        <v>853904076</v>
      </c>
      <c r="CQ3082">
        <v>0</v>
      </c>
      <c r="CR3082">
        <v>2</v>
      </c>
      <c r="CS3082">
        <v>0</v>
      </c>
      <c r="CT3082">
        <v>2</v>
      </c>
      <c r="CU3082">
        <v>0</v>
      </c>
      <c r="CV3082">
        <v>6</v>
      </c>
      <c r="CW3082" t="s">
        <v>120</v>
      </c>
      <c r="CX3082">
        <v>257</v>
      </c>
      <c r="CY3082">
        <v>0</v>
      </c>
      <c r="CZ3082" t="s">
        <v>615</v>
      </c>
      <c r="DA3082" t="s">
        <v>616</v>
      </c>
      <c r="DD3082">
        <v>16254863</v>
      </c>
      <c r="DE3082" t="s">
        <v>123</v>
      </c>
    </row>
    <row r="3083" spans="1:109" x14ac:dyDescent="0.3">
      <c r="A3083" t="str">
        <f>"19:26:18.008"</f>
        <v>19:26:18.008</v>
      </c>
      <c r="B3083" t="s">
        <v>110</v>
      </c>
      <c r="C3083" t="str">
        <f t="shared" si="144"/>
        <v>ffdfd3c0</v>
      </c>
      <c r="D3083" t="s">
        <v>111</v>
      </c>
      <c r="E3083">
        <v>18</v>
      </c>
      <c r="F3083">
        <v>1018</v>
      </c>
      <c r="G3083" t="s">
        <v>112</v>
      </c>
      <c r="J3083" t="s">
        <v>113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R3083" t="s">
        <v>114</v>
      </c>
      <c r="S3083" t="str">
        <f>"19:26:17.766"</f>
        <v>19:26:17.766</v>
      </c>
      <c r="T3083" t="str">
        <f>"19:26:17.367"</f>
        <v>19:26:17.367</v>
      </c>
      <c r="U3083" t="str">
        <f t="shared" si="145"/>
        <v>a1cdbe</v>
      </c>
      <c r="V3083">
        <v>0</v>
      </c>
      <c r="W3083">
        <v>0</v>
      </c>
      <c r="X3083">
        <v>1</v>
      </c>
      <c r="Y3083">
        <v>0</v>
      </c>
      <c r="Z3083">
        <v>0</v>
      </c>
      <c r="AB3083">
        <v>0</v>
      </c>
      <c r="AC3083">
        <v>9</v>
      </c>
      <c r="AD3083">
        <v>3</v>
      </c>
      <c r="AE3083">
        <v>0</v>
      </c>
      <c r="AF3083">
        <v>9</v>
      </c>
      <c r="AG3083" t="s">
        <v>158</v>
      </c>
      <c r="AH3083">
        <v>0</v>
      </c>
      <c r="AI3083">
        <v>3</v>
      </c>
      <c r="AJ3083">
        <v>1</v>
      </c>
      <c r="AK3083">
        <v>0</v>
      </c>
      <c r="AL3083" t="s">
        <v>5803</v>
      </c>
      <c r="AM3083">
        <v>46.990392</v>
      </c>
      <c r="AN3083" t="s">
        <v>5804</v>
      </c>
      <c r="AO3083">
        <v>-123.56492799999999</v>
      </c>
      <c r="AP3083">
        <v>100</v>
      </c>
      <c r="AQ3083">
        <v>2100</v>
      </c>
      <c r="AR3083" t="s">
        <v>118</v>
      </c>
      <c r="AS3083">
        <v>-76</v>
      </c>
      <c r="AT3083">
        <v>16</v>
      </c>
      <c r="AU3083">
        <v>0</v>
      </c>
      <c r="BC3083">
        <v>1200</v>
      </c>
      <c r="BD3083">
        <v>1</v>
      </c>
      <c r="BE3083" t="str">
        <f t="shared" si="146"/>
        <v xml:space="preserve">N215T   </v>
      </c>
      <c r="BF3083">
        <v>1</v>
      </c>
      <c r="BH3083">
        <v>0</v>
      </c>
      <c r="BI3083">
        <v>0</v>
      </c>
      <c r="BJ3083">
        <v>0</v>
      </c>
      <c r="BK3083">
        <v>2500</v>
      </c>
      <c r="BL3083">
        <v>400</v>
      </c>
      <c r="BM3083" t="s">
        <v>119</v>
      </c>
      <c r="BN3083">
        <v>1</v>
      </c>
      <c r="BO3083">
        <v>1</v>
      </c>
      <c r="BP3083">
        <v>1</v>
      </c>
      <c r="BQ3083">
        <v>0</v>
      </c>
      <c r="BT3083">
        <v>0</v>
      </c>
      <c r="BU3083">
        <v>0</v>
      </c>
      <c r="BV3083">
        <v>0</v>
      </c>
      <c r="CC3083" t="str">
        <f>"19:26:17.766"</f>
        <v>19:26:17.766</v>
      </c>
      <c r="CD3083" t="str">
        <f>"768813907"</f>
        <v>768813907</v>
      </c>
      <c r="CQ3083">
        <v>0</v>
      </c>
      <c r="CR3083">
        <v>2</v>
      </c>
      <c r="CS3083">
        <v>0</v>
      </c>
      <c r="CT3083">
        <v>2</v>
      </c>
      <c r="CU3083">
        <v>0</v>
      </c>
      <c r="CV3083">
        <v>6</v>
      </c>
      <c r="CW3083" t="s">
        <v>120</v>
      </c>
      <c r="CX3083">
        <v>257</v>
      </c>
      <c r="CY3083">
        <v>0</v>
      </c>
      <c r="CZ3083" t="s">
        <v>615</v>
      </c>
      <c r="DA3083" t="s">
        <v>616</v>
      </c>
      <c r="DD3083">
        <v>16255321</v>
      </c>
      <c r="DE3083" t="s">
        <v>123</v>
      </c>
    </row>
    <row r="3084" spans="1:109" x14ac:dyDescent="0.3">
      <c r="A3084" t="str">
        <f>"19:26:19.109"</f>
        <v>19:26:19.109</v>
      </c>
      <c r="B3084" t="s">
        <v>110</v>
      </c>
      <c r="C3084" t="str">
        <f t="shared" si="144"/>
        <v>ffdfd3c0</v>
      </c>
      <c r="D3084" t="s">
        <v>111</v>
      </c>
      <c r="E3084">
        <v>18</v>
      </c>
      <c r="F3084">
        <v>1018</v>
      </c>
      <c r="G3084" t="s">
        <v>112</v>
      </c>
      <c r="J3084" t="s">
        <v>113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R3084" t="s">
        <v>114</v>
      </c>
      <c r="S3084" t="str">
        <f>"19:26:18.844"</f>
        <v>19:26:18.844</v>
      </c>
      <c r="T3084" t="str">
        <f>"19:26:18.547"</f>
        <v>19:26:18.547</v>
      </c>
      <c r="U3084" t="str">
        <f t="shared" si="145"/>
        <v>a1cdbe</v>
      </c>
      <c r="V3084">
        <v>0</v>
      </c>
      <c r="W3084">
        <v>0</v>
      </c>
      <c r="X3084">
        <v>1</v>
      </c>
      <c r="Y3084">
        <v>0</v>
      </c>
      <c r="Z3084">
        <v>0</v>
      </c>
      <c r="AB3084">
        <v>0</v>
      </c>
      <c r="AC3084">
        <v>9</v>
      </c>
      <c r="AD3084">
        <v>3</v>
      </c>
      <c r="AE3084">
        <v>0</v>
      </c>
      <c r="AF3084">
        <v>9</v>
      </c>
      <c r="AG3084" t="s">
        <v>158</v>
      </c>
      <c r="AH3084">
        <v>0</v>
      </c>
      <c r="AI3084">
        <v>3</v>
      </c>
      <c r="AJ3084">
        <v>1</v>
      </c>
      <c r="AK3084">
        <v>0</v>
      </c>
      <c r="AL3084" t="s">
        <v>5805</v>
      </c>
      <c r="AM3084">
        <v>46.990499</v>
      </c>
      <c r="AN3084" t="s">
        <v>5806</v>
      </c>
      <c r="AO3084">
        <v>-123.565507</v>
      </c>
      <c r="AP3084">
        <v>100</v>
      </c>
      <c r="AQ3084">
        <v>2100</v>
      </c>
      <c r="AR3084" t="s">
        <v>118</v>
      </c>
      <c r="AS3084">
        <v>-76</v>
      </c>
      <c r="AT3084">
        <v>16</v>
      </c>
      <c r="AU3084">
        <v>0</v>
      </c>
      <c r="BC3084">
        <v>1200</v>
      </c>
      <c r="BD3084">
        <v>1</v>
      </c>
      <c r="BE3084" t="str">
        <f t="shared" si="146"/>
        <v xml:space="preserve">N215T   </v>
      </c>
      <c r="BF3084">
        <v>1</v>
      </c>
      <c r="BH3084">
        <v>0</v>
      </c>
      <c r="BI3084">
        <v>0</v>
      </c>
      <c r="BJ3084">
        <v>0</v>
      </c>
      <c r="BK3084">
        <v>2500</v>
      </c>
      <c r="BL3084">
        <v>400</v>
      </c>
      <c r="BM3084" t="s">
        <v>119</v>
      </c>
      <c r="BN3084">
        <v>1</v>
      </c>
      <c r="BO3084">
        <v>1</v>
      </c>
      <c r="BP3084">
        <v>1</v>
      </c>
      <c r="BQ3084">
        <v>0</v>
      </c>
      <c r="BT3084">
        <v>0</v>
      </c>
      <c r="BU3084">
        <v>0</v>
      </c>
      <c r="BV3084">
        <v>0</v>
      </c>
      <c r="CC3084" t="str">
        <f>"19:26:18.852"</f>
        <v>19:26:18.852</v>
      </c>
      <c r="CD3084" t="str">
        <f>"848761440"</f>
        <v>848761440</v>
      </c>
      <c r="CQ3084">
        <v>0</v>
      </c>
      <c r="CR3084">
        <v>2</v>
      </c>
      <c r="CS3084">
        <v>0</v>
      </c>
      <c r="CT3084">
        <v>2</v>
      </c>
      <c r="CU3084">
        <v>0</v>
      </c>
      <c r="CV3084">
        <v>4</v>
      </c>
      <c r="CW3084" t="s">
        <v>120</v>
      </c>
      <c r="CX3084">
        <v>261</v>
      </c>
      <c r="CY3084">
        <v>3</v>
      </c>
      <c r="CZ3084" t="s">
        <v>121</v>
      </c>
      <c r="DA3084" t="s">
        <v>122</v>
      </c>
      <c r="DD3084">
        <v>3919494</v>
      </c>
      <c r="DE3084" t="s">
        <v>123</v>
      </c>
    </row>
    <row r="3085" spans="1:109" x14ac:dyDescent="0.3">
      <c r="A3085" t="str">
        <f>"19:26:20.172"</f>
        <v>19:26:20.172</v>
      </c>
      <c r="B3085" t="s">
        <v>110</v>
      </c>
      <c r="C3085" t="str">
        <f t="shared" si="144"/>
        <v>ffdfd3c0</v>
      </c>
      <c r="D3085" t="s">
        <v>111</v>
      </c>
      <c r="E3085">
        <v>18</v>
      </c>
      <c r="F3085">
        <v>1018</v>
      </c>
      <c r="G3085" t="s">
        <v>112</v>
      </c>
      <c r="J3085" t="s">
        <v>113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R3085" t="s">
        <v>114</v>
      </c>
      <c r="S3085" t="str">
        <f>"19:26:19.922"</f>
        <v>19:26:19.922</v>
      </c>
      <c r="T3085" t="str">
        <f>"19:26:19.922"</f>
        <v>19:26:19.922</v>
      </c>
      <c r="U3085" t="str">
        <f t="shared" si="145"/>
        <v>a1cdbe</v>
      </c>
      <c r="V3085">
        <v>0</v>
      </c>
      <c r="W3085">
        <v>0</v>
      </c>
      <c r="X3085">
        <v>1</v>
      </c>
      <c r="Y3085">
        <v>0</v>
      </c>
      <c r="Z3085">
        <v>0</v>
      </c>
      <c r="AB3085">
        <v>0</v>
      </c>
      <c r="AC3085">
        <v>9</v>
      </c>
      <c r="AD3085">
        <v>3</v>
      </c>
      <c r="AE3085">
        <v>0</v>
      </c>
      <c r="AF3085">
        <v>9</v>
      </c>
      <c r="AG3085" t="s">
        <v>158</v>
      </c>
      <c r="AH3085">
        <v>0</v>
      </c>
      <c r="AI3085">
        <v>3</v>
      </c>
      <c r="AJ3085">
        <v>1</v>
      </c>
      <c r="AK3085">
        <v>0</v>
      </c>
      <c r="AL3085" t="s">
        <v>5807</v>
      </c>
      <c r="AM3085">
        <v>46.990563999999999</v>
      </c>
      <c r="AN3085" t="s">
        <v>5808</v>
      </c>
      <c r="AO3085">
        <v>-123.56604299999999</v>
      </c>
      <c r="AP3085">
        <v>100</v>
      </c>
      <c r="AQ3085">
        <v>2100</v>
      </c>
      <c r="AR3085" t="s">
        <v>118</v>
      </c>
      <c r="AS3085">
        <v>-77</v>
      </c>
      <c r="AT3085">
        <v>16</v>
      </c>
      <c r="AU3085">
        <v>0</v>
      </c>
      <c r="BC3085">
        <v>1200</v>
      </c>
      <c r="BD3085">
        <v>1</v>
      </c>
      <c r="BE3085" t="str">
        <f t="shared" si="146"/>
        <v xml:space="preserve">N215T   </v>
      </c>
      <c r="BF3085">
        <v>1</v>
      </c>
      <c r="BH3085">
        <v>0</v>
      </c>
      <c r="BI3085">
        <v>0</v>
      </c>
      <c r="BJ3085">
        <v>0</v>
      </c>
      <c r="BK3085">
        <v>2500</v>
      </c>
      <c r="BL3085">
        <v>400</v>
      </c>
      <c r="BM3085" t="s">
        <v>119</v>
      </c>
      <c r="BN3085">
        <v>1</v>
      </c>
      <c r="BO3085">
        <v>1</v>
      </c>
      <c r="BP3085">
        <v>1</v>
      </c>
      <c r="BQ3085">
        <v>0</v>
      </c>
      <c r="BT3085">
        <v>0</v>
      </c>
      <c r="BU3085">
        <v>0</v>
      </c>
      <c r="BV3085">
        <v>0</v>
      </c>
      <c r="CC3085" t="str">
        <f>"19:26:19.930"</f>
        <v>19:26:19.930</v>
      </c>
      <c r="CD3085" t="str">
        <f>"928601071"</f>
        <v>928601071</v>
      </c>
      <c r="CQ3085">
        <v>0</v>
      </c>
      <c r="CR3085">
        <v>2</v>
      </c>
      <c r="CS3085">
        <v>0</v>
      </c>
      <c r="CT3085">
        <v>2</v>
      </c>
      <c r="CU3085">
        <v>0</v>
      </c>
      <c r="CV3085">
        <v>6</v>
      </c>
      <c r="CW3085" t="s">
        <v>120</v>
      </c>
      <c r="CX3085">
        <v>257</v>
      </c>
      <c r="CY3085">
        <v>0</v>
      </c>
      <c r="CZ3085" t="s">
        <v>615</v>
      </c>
      <c r="DA3085" t="s">
        <v>616</v>
      </c>
      <c r="DD3085">
        <v>16256499</v>
      </c>
      <c r="DE3085" t="s">
        <v>123</v>
      </c>
    </row>
    <row r="3086" spans="1:109" x14ac:dyDescent="0.3">
      <c r="A3086" t="str">
        <f>"19:26:21.273"</f>
        <v>19:26:21.273</v>
      </c>
      <c r="B3086" t="s">
        <v>110</v>
      </c>
      <c r="C3086" t="str">
        <f t="shared" si="144"/>
        <v>ffdfd3c0</v>
      </c>
      <c r="D3086" t="s">
        <v>111</v>
      </c>
      <c r="E3086">
        <v>18</v>
      </c>
      <c r="F3086">
        <v>1018</v>
      </c>
      <c r="G3086" t="s">
        <v>112</v>
      </c>
      <c r="J3086" t="s">
        <v>113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R3086" t="s">
        <v>114</v>
      </c>
      <c r="S3086" t="str">
        <f>"19:26:21.008"</f>
        <v>19:26:21.008</v>
      </c>
      <c r="T3086" t="str">
        <f>"19:26:21.008"</f>
        <v>19:26:21.008</v>
      </c>
      <c r="U3086" t="str">
        <f t="shared" si="145"/>
        <v>a1cdbe</v>
      </c>
      <c r="V3086">
        <v>0</v>
      </c>
      <c r="W3086">
        <v>0</v>
      </c>
      <c r="X3086">
        <v>1</v>
      </c>
      <c r="Y3086">
        <v>0</v>
      </c>
      <c r="Z3086">
        <v>0</v>
      </c>
      <c r="AB3086">
        <v>0</v>
      </c>
      <c r="AC3086">
        <v>9</v>
      </c>
      <c r="AD3086">
        <v>3</v>
      </c>
      <c r="AE3086">
        <v>0</v>
      </c>
      <c r="AF3086">
        <v>9</v>
      </c>
      <c r="AG3086" t="s">
        <v>158</v>
      </c>
      <c r="AH3086">
        <v>0</v>
      </c>
      <c r="AI3086">
        <v>3</v>
      </c>
      <c r="AJ3086">
        <v>1</v>
      </c>
      <c r="AK3086">
        <v>0</v>
      </c>
      <c r="AL3086" t="s">
        <v>5809</v>
      </c>
      <c r="AM3086">
        <v>46.990628000000001</v>
      </c>
      <c r="AN3086" t="s">
        <v>5810</v>
      </c>
      <c r="AO3086">
        <v>-123.56662300000001</v>
      </c>
      <c r="AP3086">
        <v>100</v>
      </c>
      <c r="AQ3086">
        <v>2100</v>
      </c>
      <c r="AR3086" t="s">
        <v>118</v>
      </c>
      <c r="AS3086">
        <v>-77</v>
      </c>
      <c r="AT3086">
        <v>16</v>
      </c>
      <c r="AU3086">
        <v>-64</v>
      </c>
      <c r="BC3086">
        <v>1200</v>
      </c>
      <c r="BD3086">
        <v>1</v>
      </c>
      <c r="BE3086" t="str">
        <f t="shared" si="146"/>
        <v xml:space="preserve">N215T   </v>
      </c>
      <c r="BF3086">
        <v>1</v>
      </c>
      <c r="BH3086">
        <v>0</v>
      </c>
      <c r="BI3086">
        <v>0</v>
      </c>
      <c r="BJ3086">
        <v>0</v>
      </c>
      <c r="BK3086">
        <v>2500</v>
      </c>
      <c r="BL3086">
        <v>400</v>
      </c>
      <c r="BM3086" t="s">
        <v>119</v>
      </c>
      <c r="BN3086">
        <v>1</v>
      </c>
      <c r="BO3086">
        <v>1</v>
      </c>
      <c r="BP3086">
        <v>1</v>
      </c>
      <c r="BQ3086">
        <v>0</v>
      </c>
      <c r="BT3086">
        <v>0</v>
      </c>
      <c r="BU3086">
        <v>0</v>
      </c>
      <c r="BV3086">
        <v>0</v>
      </c>
      <c r="CC3086" t="str">
        <f>"19:26:21.008"</f>
        <v>19:26:21.008</v>
      </c>
      <c r="CD3086" t="str">
        <f>"008494637"</f>
        <v>008494637</v>
      </c>
      <c r="CQ3086">
        <v>0</v>
      </c>
      <c r="CR3086">
        <v>2</v>
      </c>
      <c r="CS3086">
        <v>0</v>
      </c>
      <c r="CT3086">
        <v>2</v>
      </c>
      <c r="CU3086">
        <v>0</v>
      </c>
      <c r="CV3086">
        <v>6</v>
      </c>
      <c r="CW3086" t="s">
        <v>120</v>
      </c>
      <c r="CX3086">
        <v>257</v>
      </c>
      <c r="CY3086">
        <v>0</v>
      </c>
      <c r="CZ3086" t="s">
        <v>615</v>
      </c>
      <c r="DA3086" t="s">
        <v>616</v>
      </c>
      <c r="DD3086">
        <v>16257055</v>
      </c>
      <c r="DE3086" t="s">
        <v>123</v>
      </c>
    </row>
    <row r="3087" spans="1:109" x14ac:dyDescent="0.3">
      <c r="A3087" t="str">
        <f>"19:26:22.133"</f>
        <v>19:26:22.133</v>
      </c>
      <c r="B3087" t="s">
        <v>110</v>
      </c>
      <c r="C3087" t="str">
        <f t="shared" si="144"/>
        <v>ffdfd3c0</v>
      </c>
      <c r="D3087" t="s">
        <v>111</v>
      </c>
      <c r="E3087">
        <v>18</v>
      </c>
      <c r="F3087">
        <v>1018</v>
      </c>
      <c r="G3087" t="s">
        <v>112</v>
      </c>
      <c r="J3087" t="s">
        <v>113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R3087" t="s">
        <v>114</v>
      </c>
      <c r="S3087" t="str">
        <f>"19:26:21.906"</f>
        <v>19:26:21.906</v>
      </c>
      <c r="T3087" t="str">
        <f>"19:26:21.508"</f>
        <v>19:26:21.508</v>
      </c>
      <c r="U3087" t="str">
        <f t="shared" si="145"/>
        <v>a1cdbe</v>
      </c>
      <c r="V3087">
        <v>0</v>
      </c>
      <c r="W3087">
        <v>0</v>
      </c>
      <c r="X3087">
        <v>1</v>
      </c>
      <c r="Y3087">
        <v>0</v>
      </c>
      <c r="Z3087">
        <v>0</v>
      </c>
      <c r="AB3087">
        <v>0</v>
      </c>
      <c r="AC3087">
        <v>9</v>
      </c>
      <c r="AD3087">
        <v>3</v>
      </c>
      <c r="AE3087">
        <v>0</v>
      </c>
      <c r="AF3087">
        <v>9</v>
      </c>
      <c r="AG3087" t="s">
        <v>158</v>
      </c>
      <c r="AH3087">
        <v>0</v>
      </c>
      <c r="AI3087">
        <v>3</v>
      </c>
      <c r="AJ3087">
        <v>1</v>
      </c>
      <c r="AK3087">
        <v>0</v>
      </c>
      <c r="AL3087" t="s">
        <v>5811</v>
      </c>
      <c r="AM3087">
        <v>46.990713999999997</v>
      </c>
      <c r="AN3087" t="s">
        <v>5812</v>
      </c>
      <c r="AO3087">
        <v>-123.567116</v>
      </c>
      <c r="AP3087">
        <v>100</v>
      </c>
      <c r="AQ3087">
        <v>2100</v>
      </c>
      <c r="AR3087" t="s">
        <v>118</v>
      </c>
      <c r="AS3087">
        <v>-77</v>
      </c>
      <c r="AT3087">
        <v>16</v>
      </c>
      <c r="AU3087">
        <v>-64</v>
      </c>
      <c r="BC3087">
        <v>1200</v>
      </c>
      <c r="BD3087">
        <v>1</v>
      </c>
      <c r="BE3087" t="str">
        <f t="shared" si="146"/>
        <v xml:space="preserve">N215T   </v>
      </c>
      <c r="BF3087">
        <v>1</v>
      </c>
      <c r="BH3087">
        <v>0</v>
      </c>
      <c r="BI3087">
        <v>0</v>
      </c>
      <c r="BJ3087">
        <v>0</v>
      </c>
      <c r="BK3087">
        <v>2500</v>
      </c>
      <c r="BL3087">
        <v>400</v>
      </c>
      <c r="BM3087" t="s">
        <v>119</v>
      </c>
      <c r="BN3087">
        <v>1</v>
      </c>
      <c r="BO3087">
        <v>1</v>
      </c>
      <c r="BP3087">
        <v>1</v>
      </c>
      <c r="BQ3087">
        <v>0</v>
      </c>
      <c r="BT3087">
        <v>0</v>
      </c>
      <c r="BU3087">
        <v>0</v>
      </c>
      <c r="BV3087">
        <v>0</v>
      </c>
      <c r="CC3087" t="str">
        <f>"19:26:21.906"</f>
        <v>19:26:21.906</v>
      </c>
      <c r="CD3087" t="str">
        <f>"908405947"</f>
        <v>908405947</v>
      </c>
      <c r="CQ3087">
        <v>0</v>
      </c>
      <c r="CR3087">
        <v>2</v>
      </c>
      <c r="CS3087">
        <v>0</v>
      </c>
      <c r="CT3087">
        <v>2</v>
      </c>
      <c r="CU3087">
        <v>0</v>
      </c>
      <c r="CV3087">
        <v>6</v>
      </c>
      <c r="CW3087" t="s">
        <v>120</v>
      </c>
      <c r="CX3087">
        <v>257</v>
      </c>
      <c r="CY3087">
        <v>0</v>
      </c>
      <c r="CZ3087" t="s">
        <v>615</v>
      </c>
      <c r="DA3087" t="s">
        <v>616</v>
      </c>
      <c r="DD3087">
        <v>16257517</v>
      </c>
      <c r="DE3087" t="s">
        <v>123</v>
      </c>
    </row>
    <row r="3088" spans="1:109" x14ac:dyDescent="0.3">
      <c r="A3088" t="str">
        <f>"19:26:23.031"</f>
        <v>19:26:23.031</v>
      </c>
      <c r="B3088" t="s">
        <v>110</v>
      </c>
      <c r="C3088" t="str">
        <f t="shared" si="144"/>
        <v>ffdfd3c0</v>
      </c>
      <c r="D3088" t="s">
        <v>111</v>
      </c>
      <c r="E3088">
        <v>18</v>
      </c>
      <c r="F3088">
        <v>1018</v>
      </c>
      <c r="G3088" t="s">
        <v>112</v>
      </c>
      <c r="J3088" t="s">
        <v>113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R3088" t="s">
        <v>114</v>
      </c>
      <c r="S3088" t="str">
        <f>"19:26:22.773"</f>
        <v>19:26:22.773</v>
      </c>
      <c r="T3088" t="str">
        <f>"19:26:22.477"</f>
        <v>19:26:22.477</v>
      </c>
      <c r="U3088" t="str">
        <f t="shared" si="145"/>
        <v>a1cdbe</v>
      </c>
      <c r="V3088">
        <v>0</v>
      </c>
      <c r="W3088">
        <v>0</v>
      </c>
      <c r="X3088">
        <v>1</v>
      </c>
      <c r="Y3088">
        <v>0</v>
      </c>
      <c r="Z3088">
        <v>0</v>
      </c>
      <c r="AB3088">
        <v>0</v>
      </c>
      <c r="AC3088">
        <v>9</v>
      </c>
      <c r="AD3088">
        <v>3</v>
      </c>
      <c r="AE3088">
        <v>0</v>
      </c>
      <c r="AF3088">
        <v>9</v>
      </c>
      <c r="AG3088" t="s">
        <v>158</v>
      </c>
      <c r="AH3088">
        <v>0</v>
      </c>
      <c r="AI3088">
        <v>3</v>
      </c>
      <c r="AJ3088">
        <v>1</v>
      </c>
      <c r="AK3088">
        <v>0</v>
      </c>
      <c r="AL3088" t="s">
        <v>5813</v>
      </c>
      <c r="AM3088">
        <v>46.990777999999999</v>
      </c>
      <c r="AN3088" t="s">
        <v>5814</v>
      </c>
      <c r="AO3088">
        <v>-123.567567</v>
      </c>
      <c r="AP3088">
        <v>100</v>
      </c>
      <c r="AQ3088">
        <v>2100</v>
      </c>
      <c r="AR3088" t="s">
        <v>118</v>
      </c>
      <c r="AS3088">
        <v>-77</v>
      </c>
      <c r="AT3088">
        <v>16</v>
      </c>
      <c r="AU3088">
        <v>-64</v>
      </c>
      <c r="BC3088">
        <v>1200</v>
      </c>
      <c r="BD3088">
        <v>1</v>
      </c>
      <c r="BE3088" t="str">
        <f t="shared" si="146"/>
        <v xml:space="preserve">N215T   </v>
      </c>
      <c r="BF3088">
        <v>1</v>
      </c>
      <c r="BH3088">
        <v>0</v>
      </c>
      <c r="BI3088">
        <v>0</v>
      </c>
      <c r="BJ3088">
        <v>0</v>
      </c>
      <c r="BK3088">
        <v>2500</v>
      </c>
      <c r="BL3088">
        <v>400</v>
      </c>
      <c r="BM3088" t="s">
        <v>119</v>
      </c>
      <c r="BN3088">
        <v>1</v>
      </c>
      <c r="BO3088">
        <v>1</v>
      </c>
      <c r="BP3088">
        <v>1</v>
      </c>
      <c r="BQ3088">
        <v>0</v>
      </c>
      <c r="BT3088">
        <v>0</v>
      </c>
      <c r="BU3088">
        <v>0</v>
      </c>
      <c r="BV3088">
        <v>0</v>
      </c>
      <c r="CC3088" t="str">
        <f>"19:26:22.781"</f>
        <v>19:26:22.781</v>
      </c>
      <c r="CD3088" t="str">
        <f>"778320217"</f>
        <v>778320217</v>
      </c>
      <c r="CQ3088">
        <v>0</v>
      </c>
      <c r="CR3088">
        <v>2</v>
      </c>
      <c r="CS3088">
        <v>0</v>
      </c>
      <c r="CT3088">
        <v>2</v>
      </c>
      <c r="CU3088">
        <v>0</v>
      </c>
      <c r="CV3088">
        <v>6</v>
      </c>
      <c r="CW3088" t="s">
        <v>120</v>
      </c>
      <c r="CX3088">
        <v>257</v>
      </c>
      <c r="CY3088">
        <v>0</v>
      </c>
      <c r="CZ3088" t="s">
        <v>615</v>
      </c>
      <c r="DA3088" t="s">
        <v>616</v>
      </c>
      <c r="DD3088">
        <v>16257964</v>
      </c>
      <c r="DE3088" t="s">
        <v>123</v>
      </c>
    </row>
    <row r="3089" spans="1:109" x14ac:dyDescent="0.3">
      <c r="A3089" t="str">
        <f>"19:26:23.938"</f>
        <v>19:26:23.938</v>
      </c>
      <c r="B3089" t="s">
        <v>110</v>
      </c>
      <c r="C3089" t="str">
        <f t="shared" si="144"/>
        <v>ffdfd3c0</v>
      </c>
      <c r="D3089" t="s">
        <v>111</v>
      </c>
      <c r="E3089">
        <v>18</v>
      </c>
      <c r="F3089">
        <v>1018</v>
      </c>
      <c r="G3089" t="s">
        <v>112</v>
      </c>
      <c r="J3089" t="s">
        <v>113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R3089" t="s">
        <v>114</v>
      </c>
      <c r="S3089" t="str">
        <f>"19:26:23.703"</f>
        <v>19:26:23.703</v>
      </c>
      <c r="T3089" t="str">
        <f>"19:26:23.305"</f>
        <v>19:26:23.305</v>
      </c>
      <c r="U3089" t="str">
        <f t="shared" si="145"/>
        <v>a1cdbe</v>
      </c>
      <c r="V3089">
        <v>0</v>
      </c>
      <c r="W3089">
        <v>0</v>
      </c>
      <c r="X3089">
        <v>1</v>
      </c>
      <c r="Y3089">
        <v>0</v>
      </c>
      <c r="Z3089">
        <v>0</v>
      </c>
      <c r="AB3089">
        <v>0</v>
      </c>
      <c r="AC3089">
        <v>9</v>
      </c>
      <c r="AD3089">
        <v>3</v>
      </c>
      <c r="AE3089">
        <v>0</v>
      </c>
      <c r="AF3089">
        <v>9</v>
      </c>
      <c r="AG3089" t="s">
        <v>158</v>
      </c>
      <c r="AH3089">
        <v>0</v>
      </c>
      <c r="AI3089">
        <v>3</v>
      </c>
      <c r="AJ3089">
        <v>1</v>
      </c>
      <c r="AK3089">
        <v>0</v>
      </c>
      <c r="AL3089" t="s">
        <v>5815</v>
      </c>
      <c r="AM3089">
        <v>46.990864000000002</v>
      </c>
      <c r="AN3089" t="s">
        <v>5816</v>
      </c>
      <c r="AO3089">
        <v>-123.568039</v>
      </c>
      <c r="AP3089">
        <v>100</v>
      </c>
      <c r="AQ3089">
        <v>2100</v>
      </c>
      <c r="AR3089" t="s">
        <v>118</v>
      </c>
      <c r="AS3089">
        <v>-77</v>
      </c>
      <c r="AT3089">
        <v>16</v>
      </c>
      <c r="AU3089">
        <v>-64</v>
      </c>
      <c r="BC3089">
        <v>1200</v>
      </c>
      <c r="BD3089">
        <v>1</v>
      </c>
      <c r="BE3089" t="str">
        <f t="shared" si="146"/>
        <v xml:space="preserve">N215T   </v>
      </c>
      <c r="BF3089">
        <v>1</v>
      </c>
      <c r="BH3089">
        <v>0</v>
      </c>
      <c r="BI3089">
        <v>0</v>
      </c>
      <c r="BJ3089">
        <v>0</v>
      </c>
      <c r="BK3089">
        <v>2500</v>
      </c>
      <c r="BL3089">
        <v>400</v>
      </c>
      <c r="BM3089" t="s">
        <v>119</v>
      </c>
      <c r="BN3089">
        <v>1</v>
      </c>
      <c r="BO3089">
        <v>1</v>
      </c>
      <c r="BP3089">
        <v>1</v>
      </c>
      <c r="BQ3089">
        <v>0</v>
      </c>
      <c r="BT3089">
        <v>0</v>
      </c>
      <c r="BU3089">
        <v>0</v>
      </c>
      <c r="BV3089">
        <v>0</v>
      </c>
      <c r="CC3089" t="str">
        <f>"19:26:23.711"</f>
        <v>19:26:23.711</v>
      </c>
      <c r="CD3089" t="str">
        <f>"708228572"</f>
        <v>708228572</v>
      </c>
      <c r="CQ3089">
        <v>0</v>
      </c>
      <c r="CR3089">
        <v>2</v>
      </c>
      <c r="CS3089">
        <v>0</v>
      </c>
      <c r="CT3089">
        <v>2</v>
      </c>
      <c r="CU3089">
        <v>0</v>
      </c>
      <c r="CV3089">
        <v>6</v>
      </c>
      <c r="CW3089" t="s">
        <v>120</v>
      </c>
      <c r="CX3089">
        <v>257</v>
      </c>
      <c r="CY3089">
        <v>0</v>
      </c>
      <c r="CZ3089" t="s">
        <v>615</v>
      </c>
      <c r="DA3089" t="s">
        <v>616</v>
      </c>
      <c r="DD3089">
        <v>16258496</v>
      </c>
      <c r="DE3089" t="s">
        <v>123</v>
      </c>
    </row>
    <row r="3090" spans="1:109" x14ac:dyDescent="0.3">
      <c r="A3090" t="str">
        <f>"19:26:25.094"</f>
        <v>19:26:25.094</v>
      </c>
      <c r="B3090" t="s">
        <v>110</v>
      </c>
      <c r="C3090" t="str">
        <f t="shared" si="144"/>
        <v>ffdfd3c0</v>
      </c>
      <c r="D3090" t="s">
        <v>111</v>
      </c>
      <c r="E3090">
        <v>18</v>
      </c>
      <c r="F3090">
        <v>1018</v>
      </c>
      <c r="G3090" t="s">
        <v>112</v>
      </c>
      <c r="J3090" t="s">
        <v>113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R3090" t="s">
        <v>114</v>
      </c>
      <c r="S3090" t="str">
        <f>"19:26:24.859"</f>
        <v>19:26:24.859</v>
      </c>
      <c r="T3090" t="str">
        <f>"19:26:24.859"</f>
        <v>19:26:24.859</v>
      </c>
      <c r="U3090" t="str">
        <f t="shared" si="145"/>
        <v>a1cdbe</v>
      </c>
      <c r="V3090">
        <v>0</v>
      </c>
      <c r="W3090">
        <v>0</v>
      </c>
      <c r="X3090">
        <v>1</v>
      </c>
      <c r="Y3090">
        <v>0</v>
      </c>
      <c r="Z3090">
        <v>0</v>
      </c>
      <c r="AB3090">
        <v>0</v>
      </c>
      <c r="AC3090">
        <v>9</v>
      </c>
      <c r="AD3090">
        <v>3</v>
      </c>
      <c r="AE3090">
        <v>0</v>
      </c>
      <c r="AF3090">
        <v>9</v>
      </c>
      <c r="AG3090" t="s">
        <v>158</v>
      </c>
      <c r="AH3090">
        <v>0</v>
      </c>
      <c r="AI3090">
        <v>3</v>
      </c>
      <c r="AJ3090">
        <v>1</v>
      </c>
      <c r="AK3090">
        <v>0</v>
      </c>
      <c r="AL3090" t="s">
        <v>5817</v>
      </c>
      <c r="AM3090">
        <v>46.990907</v>
      </c>
      <c r="AN3090" t="s">
        <v>5818</v>
      </c>
      <c r="AO3090">
        <v>-123.56866100000001</v>
      </c>
      <c r="AP3090">
        <v>100</v>
      </c>
      <c r="AQ3090">
        <v>2100</v>
      </c>
      <c r="AR3090" t="s">
        <v>118</v>
      </c>
      <c r="AS3090">
        <v>-78</v>
      </c>
      <c r="AT3090">
        <v>16</v>
      </c>
      <c r="AU3090">
        <v>-64</v>
      </c>
      <c r="BC3090">
        <v>1200</v>
      </c>
      <c r="BD3090">
        <v>1</v>
      </c>
      <c r="BE3090" t="str">
        <f t="shared" si="146"/>
        <v xml:space="preserve">N215T   </v>
      </c>
      <c r="BF3090">
        <v>1</v>
      </c>
      <c r="BH3090">
        <v>0</v>
      </c>
      <c r="BI3090">
        <v>0</v>
      </c>
      <c r="BJ3090">
        <v>0</v>
      </c>
      <c r="BK3090">
        <v>2475</v>
      </c>
      <c r="BL3090">
        <v>375</v>
      </c>
      <c r="BM3090" t="s">
        <v>119</v>
      </c>
      <c r="BN3090">
        <v>1</v>
      </c>
      <c r="BO3090">
        <v>1</v>
      </c>
      <c r="BP3090">
        <v>1</v>
      </c>
      <c r="BQ3090">
        <v>0</v>
      </c>
      <c r="BT3090">
        <v>0</v>
      </c>
      <c r="BU3090">
        <v>0</v>
      </c>
      <c r="BV3090">
        <v>0</v>
      </c>
      <c r="CC3090" t="str">
        <f>"19:26:24.859"</f>
        <v>19:26:24.859</v>
      </c>
      <c r="CD3090" t="str">
        <f>"863114765"</f>
        <v>863114765</v>
      </c>
      <c r="CQ3090">
        <v>0</v>
      </c>
      <c r="CR3090">
        <v>2</v>
      </c>
      <c r="CS3090">
        <v>0</v>
      </c>
      <c r="CT3090">
        <v>2</v>
      </c>
      <c r="CU3090">
        <v>0</v>
      </c>
      <c r="CV3090">
        <v>6</v>
      </c>
      <c r="CW3090" t="s">
        <v>120</v>
      </c>
      <c r="CX3090">
        <v>257</v>
      </c>
      <c r="CY3090">
        <v>0</v>
      </c>
      <c r="CZ3090" t="s">
        <v>615</v>
      </c>
      <c r="DA3090" t="s">
        <v>616</v>
      </c>
      <c r="DD3090">
        <v>16259098</v>
      </c>
      <c r="DE3090" t="s">
        <v>123</v>
      </c>
    </row>
    <row r="3091" spans="1:109" x14ac:dyDescent="0.3">
      <c r="A3091" t="str">
        <f>"19:26:26.148"</f>
        <v>19:26:26.148</v>
      </c>
      <c r="B3091" t="s">
        <v>110</v>
      </c>
      <c r="C3091" t="str">
        <f t="shared" si="144"/>
        <v>ffdfd3c0</v>
      </c>
      <c r="D3091" t="s">
        <v>111</v>
      </c>
      <c r="E3091">
        <v>18</v>
      </c>
      <c r="F3091">
        <v>1018</v>
      </c>
      <c r="G3091" t="s">
        <v>112</v>
      </c>
      <c r="J3091" t="s">
        <v>113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R3091" t="s">
        <v>114</v>
      </c>
      <c r="S3091" t="str">
        <f>"19:26:25.906"</f>
        <v>19:26:25.906</v>
      </c>
      <c r="T3091" t="str">
        <f>"19:26:25.406"</f>
        <v>19:26:25.406</v>
      </c>
      <c r="U3091" t="str">
        <f t="shared" si="145"/>
        <v>a1cdbe</v>
      </c>
      <c r="V3091">
        <v>0</v>
      </c>
      <c r="W3091">
        <v>0</v>
      </c>
      <c r="X3091">
        <v>1</v>
      </c>
      <c r="Y3091">
        <v>0</v>
      </c>
      <c r="Z3091">
        <v>0</v>
      </c>
      <c r="AB3091">
        <v>0</v>
      </c>
      <c r="AC3091">
        <v>9</v>
      </c>
      <c r="AD3091">
        <v>3</v>
      </c>
      <c r="AE3091">
        <v>0</v>
      </c>
      <c r="AF3091">
        <v>9</v>
      </c>
      <c r="AG3091" t="s">
        <v>158</v>
      </c>
      <c r="AH3091">
        <v>0</v>
      </c>
      <c r="AI3091">
        <v>3</v>
      </c>
      <c r="AJ3091">
        <v>1</v>
      </c>
      <c r="AK3091">
        <v>0</v>
      </c>
      <c r="AL3091" t="s">
        <v>5819</v>
      </c>
      <c r="AM3091">
        <v>46.990993000000003</v>
      </c>
      <c r="AN3091" t="s">
        <v>5820</v>
      </c>
      <c r="AO3091">
        <v>-123.569219</v>
      </c>
      <c r="AP3091">
        <v>100</v>
      </c>
      <c r="AQ3091">
        <v>2100</v>
      </c>
      <c r="AR3091" t="s">
        <v>118</v>
      </c>
      <c r="AS3091">
        <v>-78</v>
      </c>
      <c r="AT3091">
        <v>16</v>
      </c>
      <c r="AU3091">
        <v>0</v>
      </c>
      <c r="BC3091">
        <v>1200</v>
      </c>
      <c r="BD3091">
        <v>1</v>
      </c>
      <c r="BE3091" t="str">
        <f t="shared" si="146"/>
        <v xml:space="preserve">N215T   </v>
      </c>
      <c r="BF3091">
        <v>1</v>
      </c>
      <c r="BH3091">
        <v>0</v>
      </c>
      <c r="BI3091">
        <v>0</v>
      </c>
      <c r="BJ3091">
        <v>0</v>
      </c>
      <c r="BK3091">
        <v>2475</v>
      </c>
      <c r="BL3091">
        <v>375</v>
      </c>
      <c r="BM3091" t="s">
        <v>119</v>
      </c>
      <c r="BN3091">
        <v>1</v>
      </c>
      <c r="BO3091">
        <v>1</v>
      </c>
      <c r="BP3091">
        <v>1</v>
      </c>
      <c r="BQ3091">
        <v>0</v>
      </c>
      <c r="BT3091">
        <v>0</v>
      </c>
      <c r="BU3091">
        <v>0</v>
      </c>
      <c r="BV3091">
        <v>0</v>
      </c>
      <c r="CC3091" t="str">
        <f>"19:26:25.914"</f>
        <v>19:26:25.914</v>
      </c>
      <c r="CD3091" t="str">
        <f>"913011290"</f>
        <v>913011290</v>
      </c>
      <c r="CQ3091">
        <v>0</v>
      </c>
      <c r="CR3091">
        <v>2</v>
      </c>
      <c r="CS3091">
        <v>0</v>
      </c>
      <c r="CT3091">
        <v>2</v>
      </c>
      <c r="CU3091">
        <v>0</v>
      </c>
      <c r="CV3091">
        <v>6</v>
      </c>
      <c r="CW3091" t="s">
        <v>120</v>
      </c>
      <c r="CX3091">
        <v>257</v>
      </c>
      <c r="CY3091">
        <v>0</v>
      </c>
      <c r="CZ3091" t="s">
        <v>615</v>
      </c>
      <c r="DA3091" t="s">
        <v>616</v>
      </c>
      <c r="DD3091">
        <v>16259600</v>
      </c>
      <c r="DE3091" t="s">
        <v>123</v>
      </c>
    </row>
    <row r="3092" spans="1:109" x14ac:dyDescent="0.3">
      <c r="A3092" t="str">
        <f>"19:26:27.156"</f>
        <v>19:26:27.156</v>
      </c>
      <c r="B3092" t="s">
        <v>110</v>
      </c>
      <c r="C3092" t="str">
        <f t="shared" si="144"/>
        <v>ffdfd3c0</v>
      </c>
      <c r="D3092" t="s">
        <v>111</v>
      </c>
      <c r="E3092">
        <v>18</v>
      </c>
      <c r="F3092">
        <v>1018</v>
      </c>
      <c r="G3092" t="s">
        <v>112</v>
      </c>
      <c r="J3092" t="s">
        <v>113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R3092" t="s">
        <v>114</v>
      </c>
      <c r="S3092" t="str">
        <f>"19:26:26.914"</f>
        <v>19:26:26.914</v>
      </c>
      <c r="T3092" t="str">
        <f>"19:26:26.516"</f>
        <v>19:26:26.516</v>
      </c>
      <c r="U3092" t="str">
        <f t="shared" si="145"/>
        <v>a1cdbe</v>
      </c>
      <c r="V3092">
        <v>0</v>
      </c>
      <c r="W3092">
        <v>0</v>
      </c>
      <c r="X3092">
        <v>1</v>
      </c>
      <c r="Y3092">
        <v>0</v>
      </c>
      <c r="Z3092">
        <v>0</v>
      </c>
      <c r="AB3092">
        <v>0</v>
      </c>
      <c r="AC3092">
        <v>9</v>
      </c>
      <c r="AD3092">
        <v>3</v>
      </c>
      <c r="AE3092">
        <v>0</v>
      </c>
      <c r="AF3092">
        <v>9</v>
      </c>
      <c r="AG3092" t="s">
        <v>158</v>
      </c>
      <c r="AH3092">
        <v>0</v>
      </c>
      <c r="AI3092">
        <v>3</v>
      </c>
      <c r="AJ3092">
        <v>1</v>
      </c>
      <c r="AK3092">
        <v>0</v>
      </c>
      <c r="AL3092" t="s">
        <v>5821</v>
      </c>
      <c r="AM3092">
        <v>46.991078999999999</v>
      </c>
      <c r="AN3092" t="s">
        <v>5822</v>
      </c>
      <c r="AO3092">
        <v>-123.569756</v>
      </c>
      <c r="AP3092">
        <v>100</v>
      </c>
      <c r="AQ3092">
        <v>2100</v>
      </c>
      <c r="AR3092" t="s">
        <v>118</v>
      </c>
      <c r="AS3092">
        <v>-78</v>
      </c>
      <c r="AT3092">
        <v>17</v>
      </c>
      <c r="AU3092">
        <v>0</v>
      </c>
      <c r="BC3092">
        <v>1200</v>
      </c>
      <c r="BD3092">
        <v>1</v>
      </c>
      <c r="BE3092" t="str">
        <f t="shared" si="146"/>
        <v xml:space="preserve">N215T   </v>
      </c>
      <c r="BF3092">
        <v>1</v>
      </c>
      <c r="BH3092">
        <v>0</v>
      </c>
      <c r="BI3092">
        <v>0</v>
      </c>
      <c r="BJ3092">
        <v>0</v>
      </c>
      <c r="BK3092">
        <v>2475</v>
      </c>
      <c r="BL3092">
        <v>375</v>
      </c>
      <c r="BM3092" t="s">
        <v>119</v>
      </c>
      <c r="BN3092">
        <v>1</v>
      </c>
      <c r="BO3092">
        <v>1</v>
      </c>
      <c r="BP3092">
        <v>1</v>
      </c>
      <c r="BQ3092">
        <v>0</v>
      </c>
      <c r="BT3092">
        <v>0</v>
      </c>
      <c r="BU3092">
        <v>0</v>
      </c>
      <c r="BV3092">
        <v>0</v>
      </c>
      <c r="CC3092" t="str">
        <f>"19:26:26.914"</f>
        <v>19:26:26.914</v>
      </c>
      <c r="CD3092" t="str">
        <f>"917912256"</f>
        <v>917912256</v>
      </c>
      <c r="CQ3092">
        <v>0</v>
      </c>
      <c r="CR3092">
        <v>2</v>
      </c>
      <c r="CS3092">
        <v>0</v>
      </c>
      <c r="CT3092">
        <v>2</v>
      </c>
      <c r="CU3092">
        <v>0</v>
      </c>
      <c r="CV3092">
        <v>6</v>
      </c>
      <c r="CW3092" t="s">
        <v>120</v>
      </c>
      <c r="CX3092">
        <v>257</v>
      </c>
      <c r="CY3092">
        <v>0</v>
      </c>
      <c r="CZ3092" t="s">
        <v>615</v>
      </c>
      <c r="DA3092" t="s">
        <v>616</v>
      </c>
      <c r="DD3092">
        <v>16260084</v>
      </c>
      <c r="DE3092" t="s">
        <v>123</v>
      </c>
    </row>
    <row r="3093" spans="1:109" x14ac:dyDescent="0.3">
      <c r="A3093" t="str">
        <f>"19:26:28.063"</f>
        <v>19:26:28.063</v>
      </c>
      <c r="B3093" t="s">
        <v>110</v>
      </c>
      <c r="C3093" t="str">
        <f t="shared" si="144"/>
        <v>ffdfd3c0</v>
      </c>
      <c r="D3093" t="s">
        <v>111</v>
      </c>
      <c r="E3093">
        <v>18</v>
      </c>
      <c r="F3093">
        <v>1018</v>
      </c>
      <c r="G3093" t="s">
        <v>112</v>
      </c>
      <c r="J3093" t="s">
        <v>113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R3093" t="s">
        <v>114</v>
      </c>
      <c r="S3093" t="str">
        <f>"19:26:27.797"</f>
        <v>19:26:27.797</v>
      </c>
      <c r="T3093" t="str">
        <f>"19:26:27.594"</f>
        <v>19:26:27.594</v>
      </c>
      <c r="U3093" t="str">
        <f t="shared" si="145"/>
        <v>a1cdbe</v>
      </c>
      <c r="V3093">
        <v>0</v>
      </c>
      <c r="W3093">
        <v>0</v>
      </c>
      <c r="X3093">
        <v>1</v>
      </c>
      <c r="Y3093">
        <v>0</v>
      </c>
      <c r="Z3093">
        <v>0</v>
      </c>
      <c r="AB3093">
        <v>0</v>
      </c>
      <c r="AC3093">
        <v>9</v>
      </c>
      <c r="AD3093">
        <v>3</v>
      </c>
      <c r="AE3093">
        <v>0</v>
      </c>
      <c r="AF3093">
        <v>9</v>
      </c>
      <c r="AG3093" t="s">
        <v>158</v>
      </c>
      <c r="AH3093">
        <v>0</v>
      </c>
      <c r="AI3093">
        <v>3</v>
      </c>
      <c r="AJ3093">
        <v>1</v>
      </c>
      <c r="AK3093">
        <v>0</v>
      </c>
      <c r="AL3093" t="s">
        <v>5823</v>
      </c>
      <c r="AM3093">
        <v>46.991121999999997</v>
      </c>
      <c r="AN3093" t="s">
        <v>5824</v>
      </c>
      <c r="AO3093">
        <v>-123.570206</v>
      </c>
      <c r="AP3093">
        <v>100</v>
      </c>
      <c r="AQ3093">
        <v>2100</v>
      </c>
      <c r="AR3093" t="s">
        <v>118</v>
      </c>
      <c r="AS3093">
        <v>-78</v>
      </c>
      <c r="AT3093">
        <v>17</v>
      </c>
      <c r="AU3093">
        <v>0</v>
      </c>
      <c r="BC3093">
        <v>1200</v>
      </c>
      <c r="BD3093">
        <v>1</v>
      </c>
      <c r="BE3093" t="str">
        <f t="shared" si="146"/>
        <v xml:space="preserve">N215T   </v>
      </c>
      <c r="BF3093">
        <v>1</v>
      </c>
      <c r="BH3093">
        <v>0</v>
      </c>
      <c r="BI3093">
        <v>0</v>
      </c>
      <c r="BJ3093">
        <v>0</v>
      </c>
      <c r="BK3093">
        <v>2475</v>
      </c>
      <c r="BL3093">
        <v>375</v>
      </c>
      <c r="BM3093" t="s">
        <v>119</v>
      </c>
      <c r="BN3093">
        <v>1</v>
      </c>
      <c r="BO3093">
        <v>1</v>
      </c>
      <c r="BP3093">
        <v>1</v>
      </c>
      <c r="BQ3093">
        <v>0</v>
      </c>
      <c r="BT3093">
        <v>0</v>
      </c>
      <c r="BU3093">
        <v>0</v>
      </c>
      <c r="BV3093">
        <v>0</v>
      </c>
      <c r="CC3093" t="str">
        <f>"19:26:27.805"</f>
        <v>19:26:27.805</v>
      </c>
      <c r="CD3093" t="str">
        <f>"802825053"</f>
        <v>802825053</v>
      </c>
      <c r="CQ3093">
        <v>0</v>
      </c>
      <c r="CR3093">
        <v>2</v>
      </c>
      <c r="CS3093">
        <v>0</v>
      </c>
      <c r="CT3093">
        <v>2</v>
      </c>
      <c r="CU3093">
        <v>0</v>
      </c>
      <c r="CV3093">
        <v>6</v>
      </c>
      <c r="CW3093" t="s">
        <v>120</v>
      </c>
      <c r="CX3093">
        <v>257</v>
      </c>
      <c r="CY3093">
        <v>0</v>
      </c>
      <c r="CZ3093" t="s">
        <v>615</v>
      </c>
      <c r="DA3093" t="s">
        <v>616</v>
      </c>
      <c r="DD3093">
        <v>16260577</v>
      </c>
      <c r="DE3093" t="s">
        <v>123</v>
      </c>
    </row>
    <row r="3094" spans="1:109" x14ac:dyDescent="0.3">
      <c r="A3094" t="str">
        <f>"19:26:29.063"</f>
        <v>19:26:29.063</v>
      </c>
      <c r="B3094" t="s">
        <v>110</v>
      </c>
      <c r="C3094" t="str">
        <f t="shared" si="144"/>
        <v>ffdfd3c0</v>
      </c>
      <c r="D3094" t="s">
        <v>111</v>
      </c>
      <c r="E3094">
        <v>18</v>
      </c>
      <c r="F3094">
        <v>1018</v>
      </c>
      <c r="G3094" t="s">
        <v>112</v>
      </c>
      <c r="J3094" t="s">
        <v>113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R3094" t="s">
        <v>114</v>
      </c>
      <c r="S3094" t="str">
        <f>"19:26:28.836"</f>
        <v>19:26:28.836</v>
      </c>
      <c r="T3094" t="str">
        <f>"19:26:28.438"</f>
        <v>19:26:28.438</v>
      </c>
      <c r="U3094" t="str">
        <f t="shared" si="145"/>
        <v>a1cdbe</v>
      </c>
      <c r="V3094">
        <v>0</v>
      </c>
      <c r="W3094">
        <v>0</v>
      </c>
      <c r="X3094">
        <v>1</v>
      </c>
      <c r="Y3094">
        <v>0</v>
      </c>
      <c r="Z3094">
        <v>0</v>
      </c>
      <c r="AB3094">
        <v>0</v>
      </c>
      <c r="AC3094">
        <v>9</v>
      </c>
      <c r="AD3094">
        <v>3</v>
      </c>
      <c r="AE3094">
        <v>0</v>
      </c>
      <c r="AF3094">
        <v>9</v>
      </c>
      <c r="AG3094" t="s">
        <v>158</v>
      </c>
      <c r="AH3094">
        <v>0</v>
      </c>
      <c r="AI3094">
        <v>3</v>
      </c>
      <c r="AJ3094">
        <v>1</v>
      </c>
      <c r="AK3094">
        <v>0</v>
      </c>
      <c r="AL3094" t="s">
        <v>5825</v>
      </c>
      <c r="AM3094">
        <v>46.991228999999997</v>
      </c>
      <c r="AN3094" t="s">
        <v>5826</v>
      </c>
      <c r="AO3094">
        <v>-123.57072100000001</v>
      </c>
      <c r="AP3094">
        <v>100</v>
      </c>
      <c r="AQ3094">
        <v>2100</v>
      </c>
      <c r="AR3094" t="s">
        <v>118</v>
      </c>
      <c r="AS3094">
        <v>-78</v>
      </c>
      <c r="AT3094">
        <v>17</v>
      </c>
      <c r="AU3094">
        <v>0</v>
      </c>
      <c r="BC3094">
        <v>1200</v>
      </c>
      <c r="BD3094">
        <v>1</v>
      </c>
      <c r="BE3094" t="str">
        <f t="shared" si="146"/>
        <v xml:space="preserve">N215T   </v>
      </c>
      <c r="BF3094">
        <v>1</v>
      </c>
      <c r="BH3094">
        <v>0</v>
      </c>
      <c r="BI3094">
        <v>0</v>
      </c>
      <c r="BJ3094">
        <v>0</v>
      </c>
      <c r="BK3094">
        <v>2475</v>
      </c>
      <c r="BL3094">
        <v>375</v>
      </c>
      <c r="BM3094" t="s">
        <v>119</v>
      </c>
      <c r="BN3094">
        <v>1</v>
      </c>
      <c r="BO3094">
        <v>1</v>
      </c>
      <c r="BP3094">
        <v>1</v>
      </c>
      <c r="BQ3094">
        <v>0</v>
      </c>
      <c r="BT3094">
        <v>0</v>
      </c>
      <c r="BU3094">
        <v>0</v>
      </c>
      <c r="BV3094">
        <v>0</v>
      </c>
      <c r="CC3094" t="str">
        <f>"19:26:28.836"</f>
        <v>19:26:28.836</v>
      </c>
      <c r="CD3094" t="str">
        <f>"837723061"</f>
        <v>837723061</v>
      </c>
      <c r="CQ3094">
        <v>0</v>
      </c>
      <c r="CR3094">
        <v>2</v>
      </c>
      <c r="CS3094">
        <v>0</v>
      </c>
      <c r="CT3094">
        <v>2</v>
      </c>
      <c r="CU3094">
        <v>0</v>
      </c>
      <c r="CV3094">
        <v>6</v>
      </c>
      <c r="CW3094" t="s">
        <v>120</v>
      </c>
      <c r="CX3094">
        <v>257</v>
      </c>
      <c r="CY3094">
        <v>0</v>
      </c>
      <c r="CZ3094" t="s">
        <v>615</v>
      </c>
      <c r="DA3094" t="s">
        <v>616</v>
      </c>
      <c r="DD3094">
        <v>16261118</v>
      </c>
      <c r="DE3094" t="s">
        <v>123</v>
      </c>
    </row>
    <row r="3095" spans="1:109" x14ac:dyDescent="0.3">
      <c r="A3095" t="str">
        <f>"19:26:30.070"</f>
        <v>19:26:30.070</v>
      </c>
      <c r="B3095" t="s">
        <v>110</v>
      </c>
      <c r="C3095" t="str">
        <f t="shared" si="144"/>
        <v>ffdfd3c0</v>
      </c>
      <c r="D3095" t="s">
        <v>111</v>
      </c>
      <c r="E3095">
        <v>18</v>
      </c>
      <c r="F3095">
        <v>1018</v>
      </c>
      <c r="G3095" t="s">
        <v>112</v>
      </c>
      <c r="J3095" t="s">
        <v>113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R3095" t="s">
        <v>114</v>
      </c>
      <c r="S3095" t="str">
        <f>"19:26:29.867"</f>
        <v>19:26:29.867</v>
      </c>
      <c r="T3095" t="str">
        <f>"19:26:29.570"</f>
        <v>19:26:29.570</v>
      </c>
      <c r="U3095" t="str">
        <f t="shared" si="145"/>
        <v>a1cdbe</v>
      </c>
      <c r="V3095">
        <v>0</v>
      </c>
      <c r="W3095">
        <v>0</v>
      </c>
      <c r="X3095">
        <v>1</v>
      </c>
      <c r="Y3095">
        <v>0</v>
      </c>
      <c r="Z3095">
        <v>0</v>
      </c>
      <c r="AB3095">
        <v>0</v>
      </c>
      <c r="AC3095">
        <v>9</v>
      </c>
      <c r="AD3095">
        <v>3</v>
      </c>
      <c r="AE3095">
        <v>0</v>
      </c>
      <c r="AF3095">
        <v>9</v>
      </c>
      <c r="AG3095" t="s">
        <v>158</v>
      </c>
      <c r="AH3095">
        <v>0</v>
      </c>
      <c r="AI3095">
        <v>3</v>
      </c>
      <c r="AJ3095">
        <v>1</v>
      </c>
      <c r="AK3095">
        <v>0</v>
      </c>
      <c r="AL3095" t="s">
        <v>869</v>
      </c>
      <c r="AM3095">
        <v>46.991315</v>
      </c>
      <c r="AN3095" t="s">
        <v>5827</v>
      </c>
      <c r="AO3095">
        <v>-123.571258</v>
      </c>
      <c r="AP3095">
        <v>100</v>
      </c>
      <c r="AQ3095">
        <v>2100</v>
      </c>
      <c r="AR3095" t="s">
        <v>118</v>
      </c>
      <c r="AS3095">
        <v>-78</v>
      </c>
      <c r="AT3095">
        <v>17</v>
      </c>
      <c r="AU3095">
        <v>0</v>
      </c>
      <c r="BC3095">
        <v>1200</v>
      </c>
      <c r="BD3095">
        <v>1</v>
      </c>
      <c r="BE3095" t="str">
        <f t="shared" si="146"/>
        <v xml:space="preserve">N215T   </v>
      </c>
      <c r="BF3095">
        <v>1</v>
      </c>
      <c r="BH3095">
        <v>0</v>
      </c>
      <c r="BI3095">
        <v>0</v>
      </c>
      <c r="BJ3095">
        <v>0</v>
      </c>
      <c r="BK3095">
        <v>2475</v>
      </c>
      <c r="BL3095">
        <v>375</v>
      </c>
      <c r="BM3095" t="s">
        <v>119</v>
      </c>
      <c r="BN3095">
        <v>1</v>
      </c>
      <c r="BO3095">
        <v>1</v>
      </c>
      <c r="BP3095">
        <v>1</v>
      </c>
      <c r="BQ3095">
        <v>0</v>
      </c>
      <c r="BT3095">
        <v>0</v>
      </c>
      <c r="BU3095">
        <v>0</v>
      </c>
      <c r="BV3095">
        <v>0</v>
      </c>
      <c r="CC3095" t="str">
        <f>"19:26:29.875"</f>
        <v>19:26:29.875</v>
      </c>
      <c r="CD3095" t="str">
        <f>"872621069"</f>
        <v>872621069</v>
      </c>
      <c r="CQ3095">
        <v>0</v>
      </c>
      <c r="CR3095">
        <v>2</v>
      </c>
      <c r="CS3095">
        <v>0</v>
      </c>
      <c r="CT3095">
        <v>2</v>
      </c>
      <c r="CU3095">
        <v>0</v>
      </c>
      <c r="CV3095">
        <v>6</v>
      </c>
      <c r="CW3095" t="s">
        <v>120</v>
      </c>
      <c r="CX3095">
        <v>257</v>
      </c>
      <c r="CY3095">
        <v>0</v>
      </c>
      <c r="CZ3095" t="s">
        <v>615</v>
      </c>
      <c r="DA3095" t="s">
        <v>616</v>
      </c>
      <c r="DD3095">
        <v>16261639</v>
      </c>
      <c r="DE3095" t="s">
        <v>123</v>
      </c>
    </row>
    <row r="3096" spans="1:109" x14ac:dyDescent="0.3">
      <c r="A3096" t="str">
        <f>"19:26:31.125"</f>
        <v>19:26:31.125</v>
      </c>
      <c r="B3096" t="s">
        <v>110</v>
      </c>
      <c r="C3096" t="str">
        <f t="shared" si="144"/>
        <v>ffdfd3c0</v>
      </c>
      <c r="D3096" t="s">
        <v>111</v>
      </c>
      <c r="E3096">
        <v>18</v>
      </c>
      <c r="F3096">
        <v>1018</v>
      </c>
      <c r="G3096" t="s">
        <v>112</v>
      </c>
      <c r="J3096" t="s">
        <v>113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R3096" t="s">
        <v>114</v>
      </c>
      <c r="S3096" t="str">
        <f>"19:26:30.922"</f>
        <v>19:26:30.922</v>
      </c>
      <c r="T3096" t="str">
        <f>"19:26:30.625"</f>
        <v>19:26:30.625</v>
      </c>
      <c r="U3096" t="str">
        <f t="shared" si="145"/>
        <v>a1cdbe</v>
      </c>
      <c r="V3096">
        <v>0</v>
      </c>
      <c r="W3096">
        <v>0</v>
      </c>
      <c r="X3096">
        <v>1</v>
      </c>
      <c r="Y3096">
        <v>0</v>
      </c>
      <c r="Z3096">
        <v>0</v>
      </c>
      <c r="AB3096">
        <v>0</v>
      </c>
      <c r="AC3096">
        <v>9</v>
      </c>
      <c r="AD3096">
        <v>3</v>
      </c>
      <c r="AE3096">
        <v>0</v>
      </c>
      <c r="AF3096">
        <v>9</v>
      </c>
      <c r="AG3096" t="s">
        <v>158</v>
      </c>
      <c r="AH3096">
        <v>0</v>
      </c>
      <c r="AI3096">
        <v>3</v>
      </c>
      <c r="AJ3096">
        <v>1</v>
      </c>
      <c r="AK3096">
        <v>0</v>
      </c>
      <c r="AL3096" t="s">
        <v>5828</v>
      </c>
      <c r="AM3096">
        <v>46.991357999999998</v>
      </c>
      <c r="AN3096" t="s">
        <v>5829</v>
      </c>
      <c r="AO3096">
        <v>-123.571815</v>
      </c>
      <c r="AP3096">
        <v>100</v>
      </c>
      <c r="AQ3096">
        <v>2100</v>
      </c>
      <c r="AR3096" t="s">
        <v>118</v>
      </c>
      <c r="AS3096">
        <v>-78</v>
      </c>
      <c r="AT3096">
        <v>16</v>
      </c>
      <c r="AU3096">
        <v>0</v>
      </c>
      <c r="BC3096">
        <v>1200</v>
      </c>
      <c r="BD3096">
        <v>1</v>
      </c>
      <c r="BE3096" t="str">
        <f t="shared" si="146"/>
        <v xml:space="preserve">N215T   </v>
      </c>
      <c r="BF3096">
        <v>1</v>
      </c>
      <c r="BH3096">
        <v>0</v>
      </c>
      <c r="BI3096">
        <v>0</v>
      </c>
      <c r="BJ3096">
        <v>0</v>
      </c>
      <c r="BK3096">
        <v>2500</v>
      </c>
      <c r="BL3096">
        <v>400</v>
      </c>
      <c r="BM3096" t="s">
        <v>119</v>
      </c>
      <c r="BN3096">
        <v>1</v>
      </c>
      <c r="BO3096">
        <v>1</v>
      </c>
      <c r="BP3096">
        <v>1</v>
      </c>
      <c r="BQ3096">
        <v>0</v>
      </c>
      <c r="BT3096">
        <v>0</v>
      </c>
      <c r="BU3096">
        <v>0</v>
      </c>
      <c r="BV3096">
        <v>0</v>
      </c>
      <c r="CC3096" t="str">
        <f>"19:26:30.922"</f>
        <v>19:26:30.922</v>
      </c>
      <c r="CD3096" t="str">
        <f>"922517606"</f>
        <v>922517606</v>
      </c>
      <c r="CQ3096">
        <v>0</v>
      </c>
      <c r="CR3096">
        <v>2</v>
      </c>
      <c r="CS3096">
        <v>0</v>
      </c>
      <c r="CT3096">
        <v>2</v>
      </c>
      <c r="CU3096">
        <v>0</v>
      </c>
      <c r="CV3096">
        <v>6</v>
      </c>
      <c r="CW3096" t="s">
        <v>120</v>
      </c>
      <c r="CX3096">
        <v>257</v>
      </c>
      <c r="CY3096">
        <v>0</v>
      </c>
      <c r="CZ3096" t="s">
        <v>615</v>
      </c>
      <c r="DA3096" t="s">
        <v>616</v>
      </c>
      <c r="DD3096">
        <v>16262161</v>
      </c>
      <c r="DE3096" t="s">
        <v>123</v>
      </c>
    </row>
    <row r="3097" spans="1:109" x14ac:dyDescent="0.3">
      <c r="A3097" t="str">
        <f>"19:26:32.281"</f>
        <v>19:26:32.281</v>
      </c>
      <c r="B3097" t="s">
        <v>110</v>
      </c>
      <c r="C3097" t="str">
        <f t="shared" si="144"/>
        <v>ffdfd3c0</v>
      </c>
      <c r="D3097" t="s">
        <v>111</v>
      </c>
      <c r="E3097">
        <v>18</v>
      </c>
      <c r="F3097">
        <v>1018</v>
      </c>
      <c r="G3097" t="s">
        <v>112</v>
      </c>
      <c r="J3097" t="s">
        <v>113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R3097" t="s">
        <v>114</v>
      </c>
      <c r="S3097" t="str">
        <f>"19:26:32.047"</f>
        <v>19:26:32.047</v>
      </c>
      <c r="T3097" t="str">
        <f>"19:26:31.547"</f>
        <v>19:26:31.547</v>
      </c>
      <c r="U3097" t="str">
        <f t="shared" si="145"/>
        <v>a1cdbe</v>
      </c>
      <c r="V3097">
        <v>0</v>
      </c>
      <c r="W3097">
        <v>0</v>
      </c>
      <c r="X3097">
        <v>1</v>
      </c>
      <c r="Y3097">
        <v>0</v>
      </c>
      <c r="Z3097">
        <v>0</v>
      </c>
      <c r="AB3097">
        <v>0</v>
      </c>
      <c r="AC3097">
        <v>9</v>
      </c>
      <c r="AD3097">
        <v>3</v>
      </c>
      <c r="AE3097">
        <v>0</v>
      </c>
      <c r="AF3097">
        <v>9</v>
      </c>
      <c r="AG3097" t="s">
        <v>158</v>
      </c>
      <c r="AH3097">
        <v>0</v>
      </c>
      <c r="AI3097">
        <v>3</v>
      </c>
      <c r="AJ3097">
        <v>1</v>
      </c>
      <c r="AK3097">
        <v>0</v>
      </c>
      <c r="AL3097" t="s">
        <v>5830</v>
      </c>
      <c r="AM3097">
        <v>46.991464999999998</v>
      </c>
      <c r="AN3097" t="s">
        <v>5831</v>
      </c>
      <c r="AO3097">
        <v>-123.57243800000001</v>
      </c>
      <c r="AP3097">
        <v>100</v>
      </c>
      <c r="AQ3097">
        <v>2100</v>
      </c>
      <c r="AR3097" t="s">
        <v>118</v>
      </c>
      <c r="AS3097">
        <v>-78</v>
      </c>
      <c r="AT3097">
        <v>16</v>
      </c>
      <c r="AU3097">
        <v>0</v>
      </c>
      <c r="BC3097">
        <v>1200</v>
      </c>
      <c r="BD3097">
        <v>1</v>
      </c>
      <c r="BE3097" t="str">
        <f t="shared" si="146"/>
        <v xml:space="preserve">N215T   </v>
      </c>
      <c r="BF3097">
        <v>1</v>
      </c>
      <c r="BH3097">
        <v>0</v>
      </c>
      <c r="BI3097">
        <v>0</v>
      </c>
      <c r="BJ3097">
        <v>0</v>
      </c>
      <c r="BK3097">
        <v>2500</v>
      </c>
      <c r="BL3097">
        <v>400</v>
      </c>
      <c r="BM3097" t="s">
        <v>119</v>
      </c>
      <c r="BN3097">
        <v>1</v>
      </c>
      <c r="BO3097">
        <v>1</v>
      </c>
      <c r="BP3097">
        <v>1</v>
      </c>
      <c r="BQ3097">
        <v>0</v>
      </c>
      <c r="BT3097">
        <v>0</v>
      </c>
      <c r="BU3097">
        <v>0</v>
      </c>
      <c r="BV3097">
        <v>0</v>
      </c>
      <c r="CC3097" t="str">
        <f>"19:26:32.047"</f>
        <v>19:26:32.047</v>
      </c>
      <c r="CD3097" t="str">
        <f>"047406748"</f>
        <v>047406748</v>
      </c>
      <c r="CQ3097">
        <v>0</v>
      </c>
      <c r="CR3097">
        <v>2</v>
      </c>
      <c r="CS3097">
        <v>0</v>
      </c>
      <c r="CT3097">
        <v>2</v>
      </c>
      <c r="CU3097">
        <v>0</v>
      </c>
      <c r="CV3097">
        <v>6</v>
      </c>
      <c r="CW3097" t="s">
        <v>120</v>
      </c>
      <c r="CX3097">
        <v>257</v>
      </c>
      <c r="CY3097">
        <v>0</v>
      </c>
      <c r="CZ3097" t="s">
        <v>615</v>
      </c>
      <c r="DA3097" t="s">
        <v>616</v>
      </c>
      <c r="DD3097">
        <v>16262720</v>
      </c>
      <c r="DE3097" t="s">
        <v>123</v>
      </c>
    </row>
    <row r="3098" spans="1:109" x14ac:dyDescent="0.3">
      <c r="A3098" t="str">
        <f>"19:26:33.336"</f>
        <v>19:26:33.336</v>
      </c>
      <c r="B3098" t="s">
        <v>110</v>
      </c>
      <c r="C3098" t="str">
        <f t="shared" si="144"/>
        <v>ffdfd3c0</v>
      </c>
      <c r="D3098" t="s">
        <v>111</v>
      </c>
      <c r="E3098">
        <v>18</v>
      </c>
      <c r="F3098">
        <v>1018</v>
      </c>
      <c r="G3098" t="s">
        <v>112</v>
      </c>
      <c r="J3098" t="s">
        <v>113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R3098" t="s">
        <v>114</v>
      </c>
      <c r="S3098" t="str">
        <f>"19:26:33.094"</f>
        <v>19:26:33.094</v>
      </c>
      <c r="T3098" t="str">
        <f>"19:26:33.094"</f>
        <v>19:26:33.094</v>
      </c>
      <c r="U3098" t="str">
        <f t="shared" si="145"/>
        <v>a1cdbe</v>
      </c>
      <c r="V3098">
        <v>0</v>
      </c>
      <c r="W3098">
        <v>0</v>
      </c>
      <c r="X3098">
        <v>1</v>
      </c>
      <c r="Y3098">
        <v>0</v>
      </c>
      <c r="Z3098">
        <v>0</v>
      </c>
      <c r="AB3098">
        <v>0</v>
      </c>
      <c r="AC3098">
        <v>9</v>
      </c>
      <c r="AD3098">
        <v>3</v>
      </c>
      <c r="AE3098">
        <v>0</v>
      </c>
      <c r="AF3098">
        <v>9</v>
      </c>
      <c r="AG3098" t="s">
        <v>158</v>
      </c>
      <c r="AH3098">
        <v>0</v>
      </c>
      <c r="AI3098">
        <v>3</v>
      </c>
      <c r="AJ3098">
        <v>1</v>
      </c>
      <c r="AK3098">
        <v>0</v>
      </c>
      <c r="AL3098" t="s">
        <v>5832</v>
      </c>
      <c r="AM3098">
        <v>46.991551000000001</v>
      </c>
      <c r="AN3098" t="s">
        <v>5833</v>
      </c>
      <c r="AO3098">
        <v>-123.572953</v>
      </c>
      <c r="AP3098">
        <v>100</v>
      </c>
      <c r="AQ3098">
        <v>2100</v>
      </c>
      <c r="AR3098" t="s">
        <v>118</v>
      </c>
      <c r="AS3098">
        <v>-78</v>
      </c>
      <c r="AT3098">
        <v>15</v>
      </c>
      <c r="AU3098">
        <v>0</v>
      </c>
      <c r="BC3098">
        <v>1200</v>
      </c>
      <c r="BD3098">
        <v>1</v>
      </c>
      <c r="BE3098" t="str">
        <f t="shared" si="146"/>
        <v xml:space="preserve">N215T   </v>
      </c>
      <c r="BF3098">
        <v>1</v>
      </c>
      <c r="BH3098">
        <v>0</v>
      </c>
      <c r="BI3098">
        <v>0</v>
      </c>
      <c r="BJ3098">
        <v>0</v>
      </c>
      <c r="BK3098">
        <v>2500</v>
      </c>
      <c r="BL3098">
        <v>400</v>
      </c>
      <c r="BM3098" t="s">
        <v>119</v>
      </c>
      <c r="BN3098">
        <v>1</v>
      </c>
      <c r="BO3098">
        <v>1</v>
      </c>
      <c r="BP3098">
        <v>1</v>
      </c>
      <c r="BQ3098">
        <v>0</v>
      </c>
      <c r="BT3098">
        <v>0</v>
      </c>
      <c r="BU3098">
        <v>0</v>
      </c>
      <c r="BV3098">
        <v>0</v>
      </c>
      <c r="CC3098" t="str">
        <f>"19:26:33.094"</f>
        <v>19:26:33.094</v>
      </c>
      <c r="CD3098" t="str">
        <f>"097303278"</f>
        <v>097303278</v>
      </c>
      <c r="CQ3098">
        <v>0</v>
      </c>
      <c r="CR3098">
        <v>2</v>
      </c>
      <c r="CS3098">
        <v>0</v>
      </c>
      <c r="CT3098">
        <v>2</v>
      </c>
      <c r="CU3098">
        <v>0</v>
      </c>
      <c r="CV3098">
        <v>6</v>
      </c>
      <c r="CW3098" t="s">
        <v>120</v>
      </c>
      <c r="CX3098">
        <v>257</v>
      </c>
      <c r="CY3098">
        <v>0</v>
      </c>
      <c r="CZ3098" t="s">
        <v>615</v>
      </c>
      <c r="DA3098" t="s">
        <v>616</v>
      </c>
      <c r="DD3098">
        <v>16263289</v>
      </c>
      <c r="DE3098" t="s">
        <v>123</v>
      </c>
    </row>
    <row r="3099" spans="1:109" x14ac:dyDescent="0.3">
      <c r="A3099" t="str">
        <f>"19:26:34.195"</f>
        <v>19:26:34.195</v>
      </c>
      <c r="B3099" t="s">
        <v>110</v>
      </c>
      <c r="C3099" t="str">
        <f t="shared" si="144"/>
        <v>ffdfd3c0</v>
      </c>
      <c r="D3099" t="s">
        <v>111</v>
      </c>
      <c r="E3099">
        <v>18</v>
      </c>
      <c r="F3099">
        <v>1018</v>
      </c>
      <c r="G3099" t="s">
        <v>112</v>
      </c>
      <c r="J3099" t="s">
        <v>113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R3099" t="s">
        <v>114</v>
      </c>
      <c r="S3099" t="str">
        <f>"19:26:33.945"</f>
        <v>19:26:33.945</v>
      </c>
      <c r="T3099" t="str">
        <f>"19:26:33.945"</f>
        <v>19:26:33.945</v>
      </c>
      <c r="U3099" t="str">
        <f t="shared" si="145"/>
        <v>a1cdbe</v>
      </c>
      <c r="V3099">
        <v>0</v>
      </c>
      <c r="W3099">
        <v>0</v>
      </c>
      <c r="X3099">
        <v>1</v>
      </c>
      <c r="Y3099">
        <v>0</v>
      </c>
      <c r="Z3099">
        <v>0</v>
      </c>
      <c r="AB3099">
        <v>0</v>
      </c>
      <c r="AC3099">
        <v>9</v>
      </c>
      <c r="AD3099">
        <v>3</v>
      </c>
      <c r="AE3099">
        <v>0</v>
      </c>
      <c r="AF3099">
        <v>9</v>
      </c>
      <c r="AG3099" t="s">
        <v>158</v>
      </c>
      <c r="AH3099">
        <v>0</v>
      </c>
      <c r="AI3099">
        <v>3</v>
      </c>
      <c r="AJ3099">
        <v>1</v>
      </c>
      <c r="AK3099">
        <v>0</v>
      </c>
      <c r="AL3099" t="s">
        <v>5834</v>
      </c>
      <c r="AM3099">
        <v>46.991593999999999</v>
      </c>
      <c r="AN3099" t="s">
        <v>5835</v>
      </c>
      <c r="AO3099">
        <v>-123.573403</v>
      </c>
      <c r="AP3099">
        <v>100</v>
      </c>
      <c r="AQ3099">
        <v>2100</v>
      </c>
      <c r="AR3099" t="s">
        <v>118</v>
      </c>
      <c r="AS3099">
        <v>-78</v>
      </c>
      <c r="AT3099">
        <v>14</v>
      </c>
      <c r="AU3099">
        <v>0</v>
      </c>
      <c r="BC3099">
        <v>1200</v>
      </c>
      <c r="BD3099">
        <v>1</v>
      </c>
      <c r="BE3099" t="str">
        <f t="shared" si="146"/>
        <v xml:space="preserve">N215T   </v>
      </c>
      <c r="BF3099">
        <v>1</v>
      </c>
      <c r="BH3099">
        <v>0</v>
      </c>
      <c r="BI3099">
        <v>0</v>
      </c>
      <c r="BJ3099">
        <v>0</v>
      </c>
      <c r="BK3099">
        <v>2475</v>
      </c>
      <c r="BL3099">
        <v>375</v>
      </c>
      <c r="BM3099" t="s">
        <v>119</v>
      </c>
      <c r="BN3099">
        <v>1</v>
      </c>
      <c r="BO3099">
        <v>1</v>
      </c>
      <c r="BP3099">
        <v>1</v>
      </c>
      <c r="BQ3099">
        <v>0</v>
      </c>
      <c r="BT3099">
        <v>0</v>
      </c>
      <c r="BU3099">
        <v>0</v>
      </c>
      <c r="BV3099">
        <v>0</v>
      </c>
      <c r="CC3099" t="str">
        <f>"19:26:33.953"</f>
        <v>19:26:33.953</v>
      </c>
      <c r="CD3099" t="str">
        <f>"952219029"</f>
        <v>952219029</v>
      </c>
      <c r="CQ3099">
        <v>0</v>
      </c>
      <c r="CR3099">
        <v>2</v>
      </c>
      <c r="CS3099">
        <v>0</v>
      </c>
      <c r="CT3099">
        <v>2</v>
      </c>
      <c r="CU3099">
        <v>0</v>
      </c>
      <c r="CV3099">
        <v>6</v>
      </c>
      <c r="CW3099" t="s">
        <v>120</v>
      </c>
      <c r="CX3099">
        <v>257</v>
      </c>
      <c r="CY3099">
        <v>0</v>
      </c>
      <c r="CZ3099" t="s">
        <v>615</v>
      </c>
      <c r="DA3099" t="s">
        <v>616</v>
      </c>
      <c r="DD3099">
        <v>16263706</v>
      </c>
      <c r="DE3099" t="s">
        <v>123</v>
      </c>
    </row>
    <row r="3100" spans="1:109" x14ac:dyDescent="0.3">
      <c r="A3100" t="str">
        <f>"19:26:35.047"</f>
        <v>19:26:35.047</v>
      </c>
      <c r="B3100" t="s">
        <v>110</v>
      </c>
      <c r="C3100" t="str">
        <f t="shared" si="144"/>
        <v>ffdfd3c0</v>
      </c>
      <c r="D3100" t="s">
        <v>111</v>
      </c>
      <c r="E3100">
        <v>18</v>
      </c>
      <c r="F3100">
        <v>1018</v>
      </c>
      <c r="G3100" t="s">
        <v>112</v>
      </c>
      <c r="J3100" t="s">
        <v>113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R3100" t="s">
        <v>114</v>
      </c>
      <c r="S3100" t="str">
        <f>"19:26:34.836"</f>
        <v>19:26:34.836</v>
      </c>
      <c r="T3100" t="str">
        <f>"19:26:34.539"</f>
        <v>19:26:34.539</v>
      </c>
      <c r="U3100" t="str">
        <f t="shared" si="145"/>
        <v>a1cdbe</v>
      </c>
      <c r="V3100">
        <v>0</v>
      </c>
      <c r="W3100">
        <v>0</v>
      </c>
      <c r="X3100">
        <v>1</v>
      </c>
      <c r="Y3100">
        <v>0</v>
      </c>
      <c r="Z3100">
        <v>0</v>
      </c>
      <c r="AB3100">
        <v>0</v>
      </c>
      <c r="AC3100">
        <v>9</v>
      </c>
      <c r="AD3100">
        <v>3</v>
      </c>
      <c r="AE3100">
        <v>0</v>
      </c>
      <c r="AF3100">
        <v>9</v>
      </c>
      <c r="AG3100" t="s">
        <v>158</v>
      </c>
      <c r="AH3100">
        <v>0</v>
      </c>
      <c r="AI3100">
        <v>3</v>
      </c>
      <c r="AJ3100">
        <v>1</v>
      </c>
      <c r="AK3100">
        <v>0</v>
      </c>
      <c r="AL3100" t="s">
        <v>867</v>
      </c>
      <c r="AM3100">
        <v>46.991680000000002</v>
      </c>
      <c r="AN3100" t="s">
        <v>5836</v>
      </c>
      <c r="AO3100">
        <v>-123.573875</v>
      </c>
      <c r="AP3100">
        <v>100</v>
      </c>
      <c r="AQ3100">
        <v>2100</v>
      </c>
      <c r="AR3100" t="s">
        <v>118</v>
      </c>
      <c r="AS3100">
        <v>-78</v>
      </c>
      <c r="AT3100">
        <v>14</v>
      </c>
      <c r="AU3100">
        <v>0</v>
      </c>
      <c r="BC3100">
        <v>1200</v>
      </c>
      <c r="BD3100">
        <v>1</v>
      </c>
      <c r="BE3100" t="str">
        <f t="shared" si="146"/>
        <v xml:space="preserve">N215T   </v>
      </c>
      <c r="BF3100">
        <v>1</v>
      </c>
      <c r="BH3100">
        <v>0</v>
      </c>
      <c r="BI3100">
        <v>0</v>
      </c>
      <c r="BJ3100">
        <v>0</v>
      </c>
      <c r="BK3100">
        <v>2475</v>
      </c>
      <c r="BL3100">
        <v>375</v>
      </c>
      <c r="BM3100" t="s">
        <v>119</v>
      </c>
      <c r="BN3100">
        <v>1</v>
      </c>
      <c r="BO3100">
        <v>1</v>
      </c>
      <c r="BP3100">
        <v>1</v>
      </c>
      <c r="BQ3100">
        <v>0</v>
      </c>
      <c r="BT3100">
        <v>0</v>
      </c>
      <c r="BU3100">
        <v>0</v>
      </c>
      <c r="BV3100">
        <v>0</v>
      </c>
      <c r="CC3100" t="str">
        <f>"19:26:34.836"</f>
        <v>19:26:34.836</v>
      </c>
      <c r="CD3100" t="str">
        <f>"837187144"</f>
        <v>837187144</v>
      </c>
      <c r="CQ3100">
        <v>0</v>
      </c>
      <c r="CR3100">
        <v>2</v>
      </c>
      <c r="CS3100">
        <v>0</v>
      </c>
      <c r="CT3100">
        <v>2</v>
      </c>
      <c r="CU3100">
        <v>0</v>
      </c>
      <c r="CV3100">
        <v>4</v>
      </c>
      <c r="CW3100" t="s">
        <v>120</v>
      </c>
      <c r="CX3100">
        <v>261</v>
      </c>
      <c r="CY3100">
        <v>2</v>
      </c>
      <c r="CZ3100" t="s">
        <v>121</v>
      </c>
      <c r="DA3100" t="s">
        <v>122</v>
      </c>
      <c r="DD3100">
        <v>16192834</v>
      </c>
      <c r="DE3100" t="s">
        <v>123</v>
      </c>
    </row>
    <row r="3101" spans="1:109" x14ac:dyDescent="0.3">
      <c r="A3101" t="str">
        <f>"19:26:36.156"</f>
        <v>19:26:36.156</v>
      </c>
      <c r="B3101" t="s">
        <v>110</v>
      </c>
      <c r="C3101" t="str">
        <f t="shared" si="144"/>
        <v>ffdfd3c0</v>
      </c>
      <c r="D3101" t="s">
        <v>111</v>
      </c>
      <c r="E3101">
        <v>18</v>
      </c>
      <c r="F3101">
        <v>1018</v>
      </c>
      <c r="G3101" t="s">
        <v>112</v>
      </c>
      <c r="J3101" t="s">
        <v>113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R3101" t="s">
        <v>114</v>
      </c>
      <c r="S3101" t="str">
        <f>"19:26:35.883"</f>
        <v>19:26:35.883</v>
      </c>
      <c r="T3101" t="str">
        <f>"19:26:35.484"</f>
        <v>19:26:35.484</v>
      </c>
      <c r="U3101" t="str">
        <f t="shared" si="145"/>
        <v>a1cdbe</v>
      </c>
      <c r="V3101">
        <v>0</v>
      </c>
      <c r="W3101">
        <v>0</v>
      </c>
      <c r="X3101">
        <v>1</v>
      </c>
      <c r="Y3101">
        <v>0</v>
      </c>
      <c r="Z3101">
        <v>0</v>
      </c>
      <c r="AB3101">
        <v>0</v>
      </c>
      <c r="AC3101">
        <v>9</v>
      </c>
      <c r="AD3101">
        <v>3</v>
      </c>
      <c r="AE3101">
        <v>0</v>
      </c>
      <c r="AF3101">
        <v>9</v>
      </c>
      <c r="AG3101" t="s">
        <v>158</v>
      </c>
      <c r="AH3101">
        <v>0</v>
      </c>
      <c r="AI3101">
        <v>3</v>
      </c>
      <c r="AJ3101">
        <v>1</v>
      </c>
      <c r="AK3101">
        <v>0</v>
      </c>
      <c r="AL3101" t="s">
        <v>5837</v>
      </c>
      <c r="AM3101">
        <v>46.991743999999997</v>
      </c>
      <c r="AN3101" t="s">
        <v>5838</v>
      </c>
      <c r="AO3101">
        <v>-123.574433</v>
      </c>
      <c r="AP3101">
        <v>100</v>
      </c>
      <c r="AQ3101">
        <v>2100</v>
      </c>
      <c r="AR3101" t="s">
        <v>118</v>
      </c>
      <c r="AS3101">
        <v>-78</v>
      </c>
      <c r="AT3101">
        <v>14</v>
      </c>
      <c r="AU3101">
        <v>0</v>
      </c>
      <c r="BC3101">
        <v>1200</v>
      </c>
      <c r="BD3101">
        <v>1</v>
      </c>
      <c r="BE3101" t="str">
        <f t="shared" si="146"/>
        <v xml:space="preserve">N215T   </v>
      </c>
      <c r="BF3101">
        <v>1</v>
      </c>
      <c r="BH3101">
        <v>0</v>
      </c>
      <c r="BI3101">
        <v>0</v>
      </c>
      <c r="BJ3101">
        <v>0</v>
      </c>
      <c r="BK3101">
        <v>2475</v>
      </c>
      <c r="BL3101">
        <v>375</v>
      </c>
      <c r="BM3101" t="s">
        <v>119</v>
      </c>
      <c r="BN3101">
        <v>1</v>
      </c>
      <c r="BO3101">
        <v>1</v>
      </c>
      <c r="BP3101">
        <v>1</v>
      </c>
      <c r="BQ3101">
        <v>0</v>
      </c>
      <c r="BT3101">
        <v>0</v>
      </c>
      <c r="BU3101">
        <v>0</v>
      </c>
      <c r="BV3101">
        <v>0</v>
      </c>
      <c r="CC3101" t="str">
        <f>"19:26:35.891"</f>
        <v>19:26:35.891</v>
      </c>
      <c r="CD3101" t="str">
        <f>"887028354"</f>
        <v>887028354</v>
      </c>
      <c r="CQ3101">
        <v>0</v>
      </c>
      <c r="CR3101">
        <v>2</v>
      </c>
      <c r="CS3101">
        <v>0</v>
      </c>
      <c r="CT3101">
        <v>2</v>
      </c>
      <c r="CU3101">
        <v>0</v>
      </c>
      <c r="CV3101">
        <v>6</v>
      </c>
      <c r="CW3101" t="s">
        <v>120</v>
      </c>
      <c r="CX3101">
        <v>257</v>
      </c>
      <c r="CY3101">
        <v>0</v>
      </c>
      <c r="CZ3101" t="s">
        <v>615</v>
      </c>
      <c r="DA3101" t="s">
        <v>616</v>
      </c>
      <c r="DD3101">
        <v>16264687</v>
      </c>
      <c r="DE3101" t="s">
        <v>123</v>
      </c>
    </row>
    <row r="3102" spans="1:109" x14ac:dyDescent="0.3">
      <c r="A3102" t="str">
        <f>"19:26:37.258"</f>
        <v>19:26:37.258</v>
      </c>
      <c r="B3102" t="s">
        <v>110</v>
      </c>
      <c r="C3102" t="str">
        <f t="shared" si="144"/>
        <v>ffdfd3c0</v>
      </c>
      <c r="D3102" t="s">
        <v>111</v>
      </c>
      <c r="E3102">
        <v>18</v>
      </c>
      <c r="F3102">
        <v>1018</v>
      </c>
      <c r="G3102" t="s">
        <v>112</v>
      </c>
      <c r="J3102" t="s">
        <v>113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R3102" t="s">
        <v>114</v>
      </c>
      <c r="S3102" t="str">
        <f>"19:26:37.008"</f>
        <v>19:26:37.008</v>
      </c>
      <c r="T3102" t="str">
        <f>"19:26:36.906"</f>
        <v>19:26:36.906</v>
      </c>
      <c r="U3102" t="str">
        <f t="shared" si="145"/>
        <v>a1cdbe</v>
      </c>
      <c r="V3102">
        <v>0</v>
      </c>
      <c r="W3102">
        <v>0</v>
      </c>
      <c r="X3102">
        <v>1</v>
      </c>
      <c r="Y3102">
        <v>0</v>
      </c>
      <c r="Z3102">
        <v>0</v>
      </c>
      <c r="AB3102">
        <v>0</v>
      </c>
      <c r="AC3102">
        <v>9</v>
      </c>
      <c r="AD3102">
        <v>3</v>
      </c>
      <c r="AE3102">
        <v>0</v>
      </c>
      <c r="AF3102">
        <v>9</v>
      </c>
      <c r="AG3102" t="s">
        <v>158</v>
      </c>
      <c r="AH3102">
        <v>0</v>
      </c>
      <c r="AI3102">
        <v>3</v>
      </c>
      <c r="AJ3102">
        <v>1</v>
      </c>
      <c r="AK3102">
        <v>0</v>
      </c>
      <c r="AL3102" t="s">
        <v>5839</v>
      </c>
      <c r="AM3102">
        <v>46.991787000000002</v>
      </c>
      <c r="AN3102" t="s">
        <v>5840</v>
      </c>
      <c r="AO3102">
        <v>-123.575056</v>
      </c>
      <c r="AP3102">
        <v>100</v>
      </c>
      <c r="AQ3102">
        <v>2100</v>
      </c>
      <c r="AR3102" t="s">
        <v>118</v>
      </c>
      <c r="AS3102">
        <v>-78</v>
      </c>
      <c r="AT3102">
        <v>13</v>
      </c>
      <c r="AU3102">
        <v>0</v>
      </c>
      <c r="BC3102">
        <v>1200</v>
      </c>
      <c r="BD3102">
        <v>1</v>
      </c>
      <c r="BE3102" t="str">
        <f t="shared" si="146"/>
        <v xml:space="preserve">N215T   </v>
      </c>
      <c r="BF3102">
        <v>1</v>
      </c>
      <c r="BH3102">
        <v>0</v>
      </c>
      <c r="BI3102">
        <v>0</v>
      </c>
      <c r="BJ3102">
        <v>0</v>
      </c>
      <c r="BK3102">
        <v>2500</v>
      </c>
      <c r="BL3102">
        <v>400</v>
      </c>
      <c r="BM3102" t="s">
        <v>119</v>
      </c>
      <c r="BN3102">
        <v>1</v>
      </c>
      <c r="BO3102">
        <v>1</v>
      </c>
      <c r="BP3102">
        <v>1</v>
      </c>
      <c r="BQ3102">
        <v>0</v>
      </c>
      <c r="BT3102">
        <v>0</v>
      </c>
      <c r="BU3102">
        <v>0</v>
      </c>
      <c r="BV3102">
        <v>0</v>
      </c>
      <c r="CC3102" t="str">
        <f>"19:26:37.016"</f>
        <v>19:26:37.016</v>
      </c>
      <c r="CD3102" t="str">
        <f>"011917493"</f>
        <v>011917493</v>
      </c>
      <c r="CQ3102">
        <v>0</v>
      </c>
      <c r="CR3102">
        <v>2</v>
      </c>
      <c r="CS3102">
        <v>0</v>
      </c>
      <c r="CT3102">
        <v>2</v>
      </c>
      <c r="CU3102">
        <v>0</v>
      </c>
      <c r="CV3102">
        <v>6</v>
      </c>
      <c r="CW3102" t="s">
        <v>120</v>
      </c>
      <c r="CX3102">
        <v>257</v>
      </c>
      <c r="CY3102">
        <v>0</v>
      </c>
      <c r="CZ3102" t="s">
        <v>615</v>
      </c>
      <c r="DA3102" t="s">
        <v>616</v>
      </c>
      <c r="DD3102">
        <v>16265305</v>
      </c>
      <c r="DE3102" t="s">
        <v>123</v>
      </c>
    </row>
    <row r="3103" spans="1:109" x14ac:dyDescent="0.3">
      <c r="A3103" t="str">
        <f>"19:26:38.266"</f>
        <v>19:26:38.266</v>
      </c>
      <c r="B3103" t="s">
        <v>110</v>
      </c>
      <c r="C3103" t="str">
        <f t="shared" si="144"/>
        <v>ffdfd3c0</v>
      </c>
      <c r="D3103" t="s">
        <v>111</v>
      </c>
      <c r="E3103">
        <v>18</v>
      </c>
      <c r="F3103">
        <v>1018</v>
      </c>
      <c r="G3103" t="s">
        <v>112</v>
      </c>
      <c r="J3103" t="s">
        <v>113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R3103" t="s">
        <v>114</v>
      </c>
      <c r="S3103" t="str">
        <f>"19:26:38.039"</f>
        <v>19:26:38.039</v>
      </c>
      <c r="T3103" t="str">
        <f>"19:26:37.938"</f>
        <v>19:26:37.938</v>
      </c>
      <c r="U3103" t="str">
        <f t="shared" si="145"/>
        <v>a1cdbe</v>
      </c>
      <c r="V3103">
        <v>0</v>
      </c>
      <c r="W3103">
        <v>0</v>
      </c>
      <c r="X3103">
        <v>1</v>
      </c>
      <c r="Y3103">
        <v>0</v>
      </c>
      <c r="Z3103">
        <v>0</v>
      </c>
      <c r="AB3103">
        <v>0</v>
      </c>
      <c r="AC3103">
        <v>9</v>
      </c>
      <c r="AD3103">
        <v>3</v>
      </c>
      <c r="AE3103">
        <v>0</v>
      </c>
      <c r="AF3103">
        <v>9</v>
      </c>
      <c r="AG3103" t="s">
        <v>158</v>
      </c>
      <c r="AH3103">
        <v>0</v>
      </c>
      <c r="AI3103">
        <v>3</v>
      </c>
      <c r="AJ3103">
        <v>1</v>
      </c>
      <c r="AK3103">
        <v>0</v>
      </c>
      <c r="AL3103" t="s">
        <v>5841</v>
      </c>
      <c r="AM3103">
        <v>46.991872999999998</v>
      </c>
      <c r="AN3103" t="s">
        <v>5842</v>
      </c>
      <c r="AO3103">
        <v>-123.575592</v>
      </c>
      <c r="AP3103">
        <v>100</v>
      </c>
      <c r="AQ3103">
        <v>2100</v>
      </c>
      <c r="AR3103" t="s">
        <v>118</v>
      </c>
      <c r="AS3103">
        <v>-78</v>
      </c>
      <c r="AT3103">
        <v>13</v>
      </c>
      <c r="AU3103">
        <v>0</v>
      </c>
      <c r="BC3103">
        <v>1200</v>
      </c>
      <c r="BD3103">
        <v>1</v>
      </c>
      <c r="BE3103" t="str">
        <f t="shared" si="146"/>
        <v xml:space="preserve">N215T   </v>
      </c>
      <c r="BF3103">
        <v>1</v>
      </c>
      <c r="BH3103">
        <v>0</v>
      </c>
      <c r="BI3103">
        <v>0</v>
      </c>
      <c r="BJ3103">
        <v>0</v>
      </c>
      <c r="BK3103">
        <v>2475</v>
      </c>
      <c r="BL3103">
        <v>375</v>
      </c>
      <c r="BM3103" t="s">
        <v>119</v>
      </c>
      <c r="BN3103">
        <v>1</v>
      </c>
      <c r="BO3103">
        <v>1</v>
      </c>
      <c r="BP3103">
        <v>1</v>
      </c>
      <c r="BQ3103">
        <v>0</v>
      </c>
      <c r="BT3103">
        <v>0</v>
      </c>
      <c r="BU3103">
        <v>0</v>
      </c>
      <c r="BV3103">
        <v>0</v>
      </c>
      <c r="CC3103" t="str">
        <f>"19:26:38.047"</f>
        <v>19:26:38.047</v>
      </c>
      <c r="CD3103" t="str">
        <f>"046815500"</f>
        <v>046815500</v>
      </c>
      <c r="CQ3103">
        <v>0</v>
      </c>
      <c r="CR3103">
        <v>2</v>
      </c>
      <c r="CS3103">
        <v>0</v>
      </c>
      <c r="CT3103">
        <v>2</v>
      </c>
      <c r="CU3103">
        <v>0</v>
      </c>
      <c r="CV3103">
        <v>6</v>
      </c>
      <c r="CW3103" t="s">
        <v>120</v>
      </c>
      <c r="CX3103">
        <v>257</v>
      </c>
      <c r="CY3103">
        <v>0</v>
      </c>
      <c r="CZ3103" t="s">
        <v>615</v>
      </c>
      <c r="DA3103" t="s">
        <v>616</v>
      </c>
      <c r="DD3103">
        <v>16265874</v>
      </c>
      <c r="DE3103" t="s">
        <v>123</v>
      </c>
    </row>
    <row r="3104" spans="1:109" x14ac:dyDescent="0.3">
      <c r="A3104" t="str">
        <f>"19:26:39.320"</f>
        <v>19:26:39.320</v>
      </c>
      <c r="B3104" t="s">
        <v>110</v>
      </c>
      <c r="C3104" t="str">
        <f t="shared" si="144"/>
        <v>ffdfd3c0</v>
      </c>
      <c r="D3104" t="s">
        <v>111</v>
      </c>
      <c r="E3104">
        <v>18</v>
      </c>
      <c r="F3104">
        <v>1018</v>
      </c>
      <c r="G3104" t="s">
        <v>112</v>
      </c>
      <c r="J3104" t="s">
        <v>113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R3104" t="s">
        <v>114</v>
      </c>
      <c r="S3104" t="str">
        <f>"19:26:39.094"</f>
        <v>19:26:39.094</v>
      </c>
      <c r="T3104" t="str">
        <f>"19:26:39.094"</f>
        <v>19:26:39.094</v>
      </c>
      <c r="U3104" t="str">
        <f t="shared" si="145"/>
        <v>a1cdbe</v>
      </c>
      <c r="V3104">
        <v>0</v>
      </c>
      <c r="W3104">
        <v>0</v>
      </c>
      <c r="X3104">
        <v>1</v>
      </c>
      <c r="Y3104">
        <v>0</v>
      </c>
      <c r="Z3104">
        <v>0</v>
      </c>
      <c r="AB3104">
        <v>0</v>
      </c>
      <c r="AC3104">
        <v>9</v>
      </c>
      <c r="AD3104">
        <v>3</v>
      </c>
      <c r="AE3104">
        <v>0</v>
      </c>
      <c r="AF3104">
        <v>9</v>
      </c>
      <c r="AG3104" t="s">
        <v>158</v>
      </c>
      <c r="AH3104">
        <v>0</v>
      </c>
      <c r="AI3104">
        <v>3</v>
      </c>
      <c r="AJ3104">
        <v>1</v>
      </c>
      <c r="AK3104">
        <v>0</v>
      </c>
      <c r="AL3104" t="s">
        <v>5843</v>
      </c>
      <c r="AM3104">
        <v>46.991916000000003</v>
      </c>
      <c r="AN3104" t="s">
        <v>5844</v>
      </c>
      <c r="AO3104">
        <v>-123.576128</v>
      </c>
      <c r="AP3104">
        <v>100</v>
      </c>
      <c r="AQ3104">
        <v>2100</v>
      </c>
      <c r="AR3104" t="s">
        <v>118</v>
      </c>
      <c r="AS3104">
        <v>-78</v>
      </c>
      <c r="AT3104">
        <v>13</v>
      </c>
      <c r="AU3104">
        <v>0</v>
      </c>
      <c r="BC3104">
        <v>1200</v>
      </c>
      <c r="BD3104">
        <v>1</v>
      </c>
      <c r="BE3104" t="str">
        <f t="shared" si="146"/>
        <v xml:space="preserve">N215T   </v>
      </c>
      <c r="BF3104">
        <v>1</v>
      </c>
      <c r="BH3104">
        <v>0</v>
      </c>
      <c r="BI3104">
        <v>0</v>
      </c>
      <c r="BJ3104">
        <v>0</v>
      </c>
      <c r="BK3104">
        <v>2500</v>
      </c>
      <c r="BL3104">
        <v>400</v>
      </c>
      <c r="BM3104" t="s">
        <v>119</v>
      </c>
      <c r="BN3104">
        <v>1</v>
      </c>
      <c r="BO3104">
        <v>1</v>
      </c>
      <c r="BP3104">
        <v>1</v>
      </c>
      <c r="BQ3104">
        <v>0</v>
      </c>
      <c r="BT3104">
        <v>0</v>
      </c>
      <c r="BU3104">
        <v>0</v>
      </c>
      <c r="BV3104">
        <v>0</v>
      </c>
      <c r="CC3104" t="str">
        <f>"19:26:39.094"</f>
        <v>19:26:39.094</v>
      </c>
      <c r="CD3104" t="str">
        <f>"096712032"</f>
        <v>096712032</v>
      </c>
      <c r="CQ3104">
        <v>0</v>
      </c>
      <c r="CR3104">
        <v>2</v>
      </c>
      <c r="CS3104">
        <v>0</v>
      </c>
      <c r="CT3104">
        <v>2</v>
      </c>
      <c r="CU3104">
        <v>0</v>
      </c>
      <c r="CV3104">
        <v>6</v>
      </c>
      <c r="CW3104" t="s">
        <v>120</v>
      </c>
      <c r="CX3104">
        <v>257</v>
      </c>
      <c r="CY3104">
        <v>0</v>
      </c>
      <c r="CZ3104" t="s">
        <v>615</v>
      </c>
      <c r="DA3104" t="s">
        <v>616</v>
      </c>
      <c r="DD3104">
        <v>16266370</v>
      </c>
      <c r="DE3104" t="s">
        <v>123</v>
      </c>
    </row>
    <row r="3105" spans="1:109" x14ac:dyDescent="0.3">
      <c r="A3105" t="str">
        <f>"19:26:40.375"</f>
        <v>19:26:40.375</v>
      </c>
      <c r="B3105" t="s">
        <v>110</v>
      </c>
      <c r="C3105" t="str">
        <f t="shared" si="144"/>
        <v>ffdfd3c0</v>
      </c>
      <c r="D3105" t="s">
        <v>111</v>
      </c>
      <c r="E3105">
        <v>18</v>
      </c>
      <c r="F3105">
        <v>1018</v>
      </c>
      <c r="G3105" t="s">
        <v>112</v>
      </c>
      <c r="J3105" t="s">
        <v>113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R3105" t="s">
        <v>114</v>
      </c>
      <c r="S3105" t="str">
        <f>"19:26:40.125"</f>
        <v>19:26:40.125</v>
      </c>
      <c r="T3105" t="str">
        <f>"19:26:40.125"</f>
        <v>19:26:40.125</v>
      </c>
      <c r="U3105" t="str">
        <f t="shared" si="145"/>
        <v>a1cdbe</v>
      </c>
      <c r="V3105">
        <v>0</v>
      </c>
      <c r="W3105">
        <v>0</v>
      </c>
      <c r="X3105">
        <v>1</v>
      </c>
      <c r="Y3105">
        <v>0</v>
      </c>
      <c r="Z3105">
        <v>0</v>
      </c>
      <c r="AB3105">
        <v>0</v>
      </c>
      <c r="AC3105">
        <v>9</v>
      </c>
      <c r="AD3105">
        <v>3</v>
      </c>
      <c r="AE3105">
        <v>0</v>
      </c>
      <c r="AF3105">
        <v>9</v>
      </c>
      <c r="AG3105" t="s">
        <v>158</v>
      </c>
      <c r="AH3105">
        <v>0</v>
      </c>
      <c r="AI3105">
        <v>3</v>
      </c>
      <c r="AJ3105">
        <v>1</v>
      </c>
      <c r="AK3105">
        <v>0</v>
      </c>
      <c r="AL3105" t="s">
        <v>5845</v>
      </c>
      <c r="AM3105">
        <v>46.992001999999999</v>
      </c>
      <c r="AN3105" t="s">
        <v>5846</v>
      </c>
      <c r="AO3105">
        <v>-123.576686</v>
      </c>
      <c r="AP3105">
        <v>100</v>
      </c>
      <c r="AQ3105">
        <v>2100</v>
      </c>
      <c r="AR3105" t="s">
        <v>118</v>
      </c>
      <c r="AS3105">
        <v>-78</v>
      </c>
      <c r="AT3105">
        <v>13</v>
      </c>
      <c r="AU3105">
        <v>0</v>
      </c>
      <c r="BC3105">
        <v>1200</v>
      </c>
      <c r="BD3105">
        <v>1</v>
      </c>
      <c r="BE3105" t="str">
        <f t="shared" si="146"/>
        <v xml:space="preserve">N215T   </v>
      </c>
      <c r="BF3105">
        <v>1</v>
      </c>
      <c r="BH3105">
        <v>0</v>
      </c>
      <c r="BI3105">
        <v>0</v>
      </c>
      <c r="BJ3105">
        <v>0</v>
      </c>
      <c r="BK3105">
        <v>2500</v>
      </c>
      <c r="BL3105">
        <v>400</v>
      </c>
      <c r="BM3105" t="s">
        <v>119</v>
      </c>
      <c r="BN3105">
        <v>1</v>
      </c>
      <c r="BO3105">
        <v>1</v>
      </c>
      <c r="BP3105">
        <v>1</v>
      </c>
      <c r="BQ3105">
        <v>0</v>
      </c>
      <c r="BT3105">
        <v>0</v>
      </c>
      <c r="BU3105">
        <v>0</v>
      </c>
      <c r="BV3105">
        <v>0</v>
      </c>
      <c r="CC3105" t="str">
        <f>"19:26:40.133"</f>
        <v>19:26:40.133</v>
      </c>
      <c r="CD3105" t="str">
        <f>"131610040"</f>
        <v>131610040</v>
      </c>
      <c r="CQ3105">
        <v>0</v>
      </c>
      <c r="CR3105">
        <v>2</v>
      </c>
      <c r="CS3105">
        <v>0</v>
      </c>
      <c r="CT3105">
        <v>2</v>
      </c>
      <c r="CU3105">
        <v>0</v>
      </c>
      <c r="CV3105">
        <v>6</v>
      </c>
      <c r="CW3105" t="s">
        <v>120</v>
      </c>
      <c r="CX3105">
        <v>257</v>
      </c>
      <c r="CY3105">
        <v>0</v>
      </c>
      <c r="CZ3105" t="s">
        <v>615</v>
      </c>
      <c r="DA3105" t="s">
        <v>616</v>
      </c>
      <c r="DD3105">
        <v>16266854</v>
      </c>
      <c r="DE3105" t="s">
        <v>123</v>
      </c>
    </row>
    <row r="3106" spans="1:109" x14ac:dyDescent="0.3">
      <c r="A3106" t="str">
        <f>"19:26:41.234"</f>
        <v>19:26:41.234</v>
      </c>
      <c r="B3106" t="s">
        <v>110</v>
      </c>
      <c r="C3106" t="str">
        <f t="shared" si="144"/>
        <v>ffdfd3c0</v>
      </c>
      <c r="D3106" t="s">
        <v>111</v>
      </c>
      <c r="E3106">
        <v>18</v>
      </c>
      <c r="F3106">
        <v>1018</v>
      </c>
      <c r="G3106" t="s">
        <v>112</v>
      </c>
      <c r="J3106" t="s">
        <v>113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R3106" t="s">
        <v>114</v>
      </c>
      <c r="S3106" t="str">
        <f>"19:26:41.000"</f>
        <v>19:26:41.000</v>
      </c>
      <c r="T3106" t="str">
        <f>"19:26:40.602"</f>
        <v>19:26:40.602</v>
      </c>
      <c r="U3106" t="str">
        <f t="shared" si="145"/>
        <v>a1cdbe</v>
      </c>
      <c r="V3106">
        <v>0</v>
      </c>
      <c r="W3106">
        <v>0</v>
      </c>
      <c r="X3106">
        <v>1</v>
      </c>
      <c r="Y3106">
        <v>0</v>
      </c>
      <c r="Z3106">
        <v>0</v>
      </c>
      <c r="AB3106">
        <v>0</v>
      </c>
      <c r="AC3106">
        <v>9</v>
      </c>
      <c r="AD3106">
        <v>3</v>
      </c>
      <c r="AE3106">
        <v>0</v>
      </c>
      <c r="AF3106">
        <v>9</v>
      </c>
      <c r="AG3106" t="s">
        <v>158</v>
      </c>
      <c r="AH3106">
        <v>0</v>
      </c>
      <c r="AI3106">
        <v>3</v>
      </c>
      <c r="AJ3106">
        <v>1</v>
      </c>
      <c r="AK3106">
        <v>0</v>
      </c>
      <c r="AL3106" t="s">
        <v>865</v>
      </c>
      <c r="AM3106">
        <v>46.992023000000003</v>
      </c>
      <c r="AN3106" t="s">
        <v>5847</v>
      </c>
      <c r="AO3106">
        <v>-123.57718</v>
      </c>
      <c r="AP3106">
        <v>100</v>
      </c>
      <c r="AQ3106">
        <v>2100</v>
      </c>
      <c r="AR3106" t="s">
        <v>118</v>
      </c>
      <c r="AS3106">
        <v>-78</v>
      </c>
      <c r="AT3106">
        <v>13</v>
      </c>
      <c r="AU3106">
        <v>0</v>
      </c>
      <c r="BC3106">
        <v>1200</v>
      </c>
      <c r="BD3106">
        <v>1</v>
      </c>
      <c r="BE3106" t="str">
        <f t="shared" si="146"/>
        <v xml:space="preserve">N215T   </v>
      </c>
      <c r="BF3106">
        <v>1</v>
      </c>
      <c r="BH3106">
        <v>0</v>
      </c>
      <c r="BI3106">
        <v>0</v>
      </c>
      <c r="BJ3106">
        <v>0</v>
      </c>
      <c r="BK3106">
        <v>2500</v>
      </c>
      <c r="BL3106">
        <v>400</v>
      </c>
      <c r="BM3106" t="s">
        <v>119</v>
      </c>
      <c r="BN3106">
        <v>1</v>
      </c>
      <c r="BO3106">
        <v>1</v>
      </c>
      <c r="BP3106">
        <v>1</v>
      </c>
      <c r="BQ3106">
        <v>0</v>
      </c>
      <c r="BT3106">
        <v>0</v>
      </c>
      <c r="BU3106">
        <v>0</v>
      </c>
      <c r="BV3106">
        <v>0</v>
      </c>
      <c r="CC3106" t="str">
        <f>"19:26:41.000"</f>
        <v>19:26:41.000</v>
      </c>
      <c r="CD3106" t="str">
        <f>"001524303"</f>
        <v>001524303</v>
      </c>
      <c r="CQ3106">
        <v>0</v>
      </c>
      <c r="CR3106">
        <v>2</v>
      </c>
      <c r="CS3106">
        <v>0</v>
      </c>
      <c r="CT3106">
        <v>2</v>
      </c>
      <c r="CU3106">
        <v>0</v>
      </c>
      <c r="CV3106">
        <v>6</v>
      </c>
      <c r="CW3106" t="s">
        <v>120</v>
      </c>
      <c r="CX3106">
        <v>257</v>
      </c>
      <c r="CY3106">
        <v>0</v>
      </c>
      <c r="CZ3106" t="s">
        <v>615</v>
      </c>
      <c r="DA3106" t="s">
        <v>616</v>
      </c>
      <c r="DD3106">
        <v>16267321</v>
      </c>
      <c r="DE3106" t="s">
        <v>123</v>
      </c>
    </row>
    <row r="3107" spans="1:109" x14ac:dyDescent="0.3">
      <c r="A3107" t="str">
        <f>"19:26:42.133"</f>
        <v>19:26:42.133</v>
      </c>
      <c r="B3107" t="s">
        <v>110</v>
      </c>
      <c r="C3107" t="str">
        <f t="shared" si="144"/>
        <v>ffdfd3c0</v>
      </c>
      <c r="D3107" t="s">
        <v>111</v>
      </c>
      <c r="E3107">
        <v>18</v>
      </c>
      <c r="F3107">
        <v>1018</v>
      </c>
      <c r="G3107" t="s">
        <v>112</v>
      </c>
      <c r="J3107" t="s">
        <v>113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R3107" t="s">
        <v>114</v>
      </c>
      <c r="S3107" t="str">
        <f>"19:26:41.914"</f>
        <v>19:26:41.914</v>
      </c>
      <c r="T3107" t="str">
        <f>"19:26:41.516"</f>
        <v>19:26:41.516</v>
      </c>
      <c r="U3107" t="str">
        <f t="shared" si="145"/>
        <v>a1cdbe</v>
      </c>
      <c r="V3107">
        <v>0</v>
      </c>
      <c r="W3107">
        <v>0</v>
      </c>
      <c r="X3107">
        <v>1</v>
      </c>
      <c r="Y3107">
        <v>0</v>
      </c>
      <c r="Z3107">
        <v>0</v>
      </c>
      <c r="AB3107">
        <v>0</v>
      </c>
      <c r="AC3107">
        <v>9</v>
      </c>
      <c r="AD3107">
        <v>3</v>
      </c>
      <c r="AE3107">
        <v>0</v>
      </c>
      <c r="AF3107">
        <v>9</v>
      </c>
      <c r="AG3107" t="s">
        <v>158</v>
      </c>
      <c r="AH3107">
        <v>0</v>
      </c>
      <c r="AI3107">
        <v>3</v>
      </c>
      <c r="AJ3107">
        <v>1</v>
      </c>
      <c r="AK3107">
        <v>0</v>
      </c>
      <c r="AL3107" t="s">
        <v>5848</v>
      </c>
      <c r="AM3107">
        <v>46.992108999999999</v>
      </c>
      <c r="AN3107" t="s">
        <v>5849</v>
      </c>
      <c r="AO3107">
        <v>-123.577609</v>
      </c>
      <c r="AP3107">
        <v>100</v>
      </c>
      <c r="AQ3107">
        <v>2100</v>
      </c>
      <c r="AR3107" t="s">
        <v>118</v>
      </c>
      <c r="AS3107">
        <v>-78</v>
      </c>
      <c r="AT3107">
        <v>14</v>
      </c>
      <c r="AU3107">
        <v>0</v>
      </c>
      <c r="BC3107">
        <v>1200</v>
      </c>
      <c r="BD3107">
        <v>1</v>
      </c>
      <c r="BE3107" t="str">
        <f t="shared" si="146"/>
        <v xml:space="preserve">N215T   </v>
      </c>
      <c r="BF3107">
        <v>1</v>
      </c>
      <c r="BH3107">
        <v>0</v>
      </c>
      <c r="BI3107">
        <v>0</v>
      </c>
      <c r="BJ3107">
        <v>0</v>
      </c>
      <c r="BK3107">
        <v>2500</v>
      </c>
      <c r="BL3107">
        <v>400</v>
      </c>
      <c r="BM3107" t="s">
        <v>119</v>
      </c>
      <c r="BN3107">
        <v>1</v>
      </c>
      <c r="BO3107">
        <v>1</v>
      </c>
      <c r="BP3107">
        <v>1</v>
      </c>
      <c r="BQ3107">
        <v>0</v>
      </c>
      <c r="BT3107">
        <v>0</v>
      </c>
      <c r="BU3107">
        <v>0</v>
      </c>
      <c r="BV3107">
        <v>0</v>
      </c>
      <c r="CC3107" t="str">
        <f>"19:26:41.914"</f>
        <v>19:26:41.914</v>
      </c>
      <c r="CD3107" t="str">
        <f>"916434149"</f>
        <v>916434149</v>
      </c>
      <c r="CQ3107">
        <v>0</v>
      </c>
      <c r="CR3107">
        <v>2</v>
      </c>
      <c r="CS3107">
        <v>0</v>
      </c>
      <c r="CT3107">
        <v>2</v>
      </c>
      <c r="CU3107">
        <v>0</v>
      </c>
      <c r="CV3107">
        <v>6</v>
      </c>
      <c r="CW3107" t="s">
        <v>120</v>
      </c>
      <c r="CX3107">
        <v>257</v>
      </c>
      <c r="CY3107">
        <v>0</v>
      </c>
      <c r="CZ3107" t="s">
        <v>615</v>
      </c>
      <c r="DA3107" t="s">
        <v>616</v>
      </c>
      <c r="DD3107">
        <v>16267818</v>
      </c>
      <c r="DE3107" t="s">
        <v>123</v>
      </c>
    </row>
    <row r="3108" spans="1:109" x14ac:dyDescent="0.3">
      <c r="A3108" t="str">
        <f>"19:26:43.094"</f>
        <v>19:26:43.094</v>
      </c>
      <c r="B3108" t="s">
        <v>110</v>
      </c>
      <c r="C3108" t="str">
        <f t="shared" si="144"/>
        <v>ffdfd3c0</v>
      </c>
      <c r="D3108" t="s">
        <v>111</v>
      </c>
      <c r="E3108">
        <v>18</v>
      </c>
      <c r="F3108">
        <v>1018</v>
      </c>
      <c r="G3108" t="s">
        <v>112</v>
      </c>
      <c r="J3108" t="s">
        <v>113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R3108" t="s">
        <v>114</v>
      </c>
      <c r="S3108" t="str">
        <f>"19:26:42.891"</f>
        <v>19:26:42.891</v>
      </c>
      <c r="T3108" t="str">
        <f>"19:26:42.688"</f>
        <v>19:26:42.688</v>
      </c>
      <c r="U3108" t="str">
        <f t="shared" si="145"/>
        <v>a1cdbe</v>
      </c>
      <c r="V3108">
        <v>0</v>
      </c>
      <c r="W3108">
        <v>0</v>
      </c>
      <c r="X3108">
        <v>1</v>
      </c>
      <c r="Y3108">
        <v>0</v>
      </c>
      <c r="Z3108">
        <v>0</v>
      </c>
      <c r="AB3108">
        <v>0</v>
      </c>
      <c r="AC3108">
        <v>9</v>
      </c>
      <c r="AD3108">
        <v>3</v>
      </c>
      <c r="AE3108">
        <v>0</v>
      </c>
      <c r="AF3108">
        <v>9</v>
      </c>
      <c r="AG3108" t="s">
        <v>158</v>
      </c>
      <c r="AH3108">
        <v>0</v>
      </c>
      <c r="AI3108">
        <v>3</v>
      </c>
      <c r="AJ3108">
        <v>1</v>
      </c>
      <c r="AK3108">
        <v>0</v>
      </c>
      <c r="AL3108" t="s">
        <v>5850</v>
      </c>
      <c r="AM3108">
        <v>46.992151999999997</v>
      </c>
      <c r="AN3108" t="s">
        <v>5851</v>
      </c>
      <c r="AO3108">
        <v>-123.578124</v>
      </c>
      <c r="AP3108">
        <v>100</v>
      </c>
      <c r="AQ3108">
        <v>2100</v>
      </c>
      <c r="AR3108" t="s">
        <v>118</v>
      </c>
      <c r="AS3108">
        <v>-78</v>
      </c>
      <c r="AT3108">
        <v>14</v>
      </c>
      <c r="AU3108">
        <v>0</v>
      </c>
      <c r="BC3108">
        <v>1200</v>
      </c>
      <c r="BD3108">
        <v>1</v>
      </c>
      <c r="BE3108" t="str">
        <f t="shared" si="146"/>
        <v xml:space="preserve">N215T   </v>
      </c>
      <c r="BF3108">
        <v>1</v>
      </c>
      <c r="BH3108">
        <v>0</v>
      </c>
      <c r="BI3108">
        <v>0</v>
      </c>
      <c r="BJ3108">
        <v>0</v>
      </c>
      <c r="BK3108">
        <v>2500</v>
      </c>
      <c r="BL3108">
        <v>400</v>
      </c>
      <c r="BM3108" t="s">
        <v>119</v>
      </c>
      <c r="BN3108">
        <v>1</v>
      </c>
      <c r="BO3108">
        <v>1</v>
      </c>
      <c r="BP3108">
        <v>1</v>
      </c>
      <c r="BQ3108">
        <v>0</v>
      </c>
      <c r="BT3108">
        <v>0</v>
      </c>
      <c r="BU3108">
        <v>0</v>
      </c>
      <c r="BV3108">
        <v>0</v>
      </c>
      <c r="CC3108" t="str">
        <f>"19:26:42.891"</f>
        <v>19:26:42.891</v>
      </c>
      <c r="CD3108" t="str">
        <f>"891338067"</f>
        <v>891338067</v>
      </c>
      <c r="CQ3108">
        <v>0</v>
      </c>
      <c r="CR3108">
        <v>2</v>
      </c>
      <c r="CS3108">
        <v>0</v>
      </c>
      <c r="CT3108">
        <v>2</v>
      </c>
      <c r="CU3108">
        <v>0</v>
      </c>
      <c r="CV3108">
        <v>6</v>
      </c>
      <c r="CW3108" t="s">
        <v>120</v>
      </c>
      <c r="CX3108">
        <v>257</v>
      </c>
      <c r="CY3108">
        <v>0</v>
      </c>
      <c r="CZ3108" t="s">
        <v>615</v>
      </c>
      <c r="DA3108" t="s">
        <v>616</v>
      </c>
      <c r="DD3108">
        <v>16268338</v>
      </c>
      <c r="DE3108" t="s">
        <v>123</v>
      </c>
    </row>
    <row r="3109" spans="1:109" x14ac:dyDescent="0.3">
      <c r="A3109" t="str">
        <f>"19:26:44.250"</f>
        <v>19:26:44.250</v>
      </c>
      <c r="B3109" t="s">
        <v>110</v>
      </c>
      <c r="C3109" t="str">
        <f t="shared" si="144"/>
        <v>ffdfd3c0</v>
      </c>
      <c r="D3109" t="s">
        <v>111</v>
      </c>
      <c r="E3109">
        <v>18</v>
      </c>
      <c r="F3109">
        <v>1018</v>
      </c>
      <c r="G3109" t="s">
        <v>112</v>
      </c>
      <c r="J3109" t="s">
        <v>113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R3109" t="s">
        <v>114</v>
      </c>
      <c r="S3109" t="str">
        <f>"19:26:44.039"</f>
        <v>19:26:44.039</v>
      </c>
      <c r="T3109" t="str">
        <f>"19:26:43.539"</f>
        <v>19:26:43.539</v>
      </c>
      <c r="U3109" t="str">
        <f t="shared" si="145"/>
        <v>a1cdbe</v>
      </c>
      <c r="V3109">
        <v>0</v>
      </c>
      <c r="W3109">
        <v>0</v>
      </c>
      <c r="X3109">
        <v>1</v>
      </c>
      <c r="Y3109">
        <v>0</v>
      </c>
      <c r="Z3109">
        <v>0</v>
      </c>
      <c r="AB3109">
        <v>0</v>
      </c>
      <c r="AC3109">
        <v>9</v>
      </c>
      <c r="AD3109">
        <v>3</v>
      </c>
      <c r="AE3109">
        <v>0</v>
      </c>
      <c r="AF3109">
        <v>9</v>
      </c>
      <c r="AG3109" t="s">
        <v>158</v>
      </c>
      <c r="AH3109">
        <v>0</v>
      </c>
      <c r="AI3109">
        <v>3</v>
      </c>
      <c r="AJ3109">
        <v>1</v>
      </c>
      <c r="AK3109">
        <v>0</v>
      </c>
      <c r="AL3109" t="s">
        <v>5852</v>
      </c>
      <c r="AM3109">
        <v>46.992238</v>
      </c>
      <c r="AN3109" t="s">
        <v>5853</v>
      </c>
      <c r="AO3109">
        <v>-123.578746</v>
      </c>
      <c r="AP3109">
        <v>100</v>
      </c>
      <c r="AQ3109">
        <v>2100</v>
      </c>
      <c r="AR3109" t="s">
        <v>118</v>
      </c>
      <c r="AS3109">
        <v>-78</v>
      </c>
      <c r="AT3109">
        <v>14</v>
      </c>
      <c r="AU3109">
        <v>0</v>
      </c>
      <c r="BC3109">
        <v>1200</v>
      </c>
      <c r="BD3109">
        <v>1</v>
      </c>
      <c r="BE3109" t="str">
        <f t="shared" si="146"/>
        <v xml:space="preserve">N215T   </v>
      </c>
      <c r="BF3109">
        <v>1</v>
      </c>
      <c r="BH3109">
        <v>0</v>
      </c>
      <c r="BI3109">
        <v>0</v>
      </c>
      <c r="BJ3109">
        <v>0</v>
      </c>
      <c r="BK3109">
        <v>2500</v>
      </c>
      <c r="BL3109">
        <v>400</v>
      </c>
      <c r="BM3109" t="s">
        <v>119</v>
      </c>
      <c r="BN3109">
        <v>1</v>
      </c>
      <c r="BO3109">
        <v>1</v>
      </c>
      <c r="BP3109">
        <v>1</v>
      </c>
      <c r="BQ3109">
        <v>0</v>
      </c>
      <c r="BT3109">
        <v>0</v>
      </c>
      <c r="BU3109">
        <v>0</v>
      </c>
      <c r="BV3109">
        <v>0</v>
      </c>
      <c r="CC3109" t="str">
        <f>"19:26:44.047"</f>
        <v>19:26:44.047</v>
      </c>
      <c r="CD3109" t="str">
        <f>"046224235"</f>
        <v>046224235</v>
      </c>
      <c r="CQ3109">
        <v>0</v>
      </c>
      <c r="CR3109">
        <v>2</v>
      </c>
      <c r="CS3109">
        <v>0</v>
      </c>
      <c r="CT3109">
        <v>2</v>
      </c>
      <c r="CU3109">
        <v>0</v>
      </c>
      <c r="CV3109">
        <v>6</v>
      </c>
      <c r="CW3109" t="s">
        <v>120</v>
      </c>
      <c r="CX3109">
        <v>257</v>
      </c>
      <c r="CY3109">
        <v>0</v>
      </c>
      <c r="CZ3109" t="s">
        <v>615</v>
      </c>
      <c r="DA3109" t="s">
        <v>616</v>
      </c>
      <c r="DD3109">
        <v>16268885</v>
      </c>
      <c r="DE3109" t="s">
        <v>123</v>
      </c>
    </row>
    <row r="3110" spans="1:109" x14ac:dyDescent="0.3">
      <c r="A3110" t="str">
        <f>"19:26:45.453"</f>
        <v>19:26:45.453</v>
      </c>
      <c r="B3110" t="s">
        <v>110</v>
      </c>
      <c r="C3110" t="str">
        <f t="shared" si="144"/>
        <v>ffdfd3c0</v>
      </c>
      <c r="D3110" t="s">
        <v>111</v>
      </c>
      <c r="E3110">
        <v>18</v>
      </c>
      <c r="F3110">
        <v>1018</v>
      </c>
      <c r="G3110" t="s">
        <v>112</v>
      </c>
      <c r="J3110" t="s">
        <v>113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R3110" t="s">
        <v>114</v>
      </c>
      <c r="S3110" t="str">
        <f>"19:26:45.195"</f>
        <v>19:26:45.195</v>
      </c>
      <c r="T3110" t="str">
        <f>"19:26:44.992"</f>
        <v>19:26:44.992</v>
      </c>
      <c r="U3110" t="str">
        <f t="shared" si="145"/>
        <v>a1cdbe</v>
      </c>
      <c r="V3110">
        <v>0</v>
      </c>
      <c r="W3110">
        <v>0</v>
      </c>
      <c r="X3110">
        <v>1</v>
      </c>
      <c r="Y3110">
        <v>0</v>
      </c>
      <c r="Z3110">
        <v>0</v>
      </c>
      <c r="AB3110">
        <v>0</v>
      </c>
      <c r="AC3110">
        <v>9</v>
      </c>
      <c r="AD3110">
        <v>3</v>
      </c>
      <c r="AE3110">
        <v>0</v>
      </c>
      <c r="AF3110">
        <v>9</v>
      </c>
      <c r="AG3110" t="s">
        <v>158</v>
      </c>
      <c r="AH3110">
        <v>0</v>
      </c>
      <c r="AI3110">
        <v>3</v>
      </c>
      <c r="AJ3110">
        <v>1</v>
      </c>
      <c r="AK3110">
        <v>0</v>
      </c>
      <c r="AL3110" t="s">
        <v>5854</v>
      </c>
      <c r="AM3110">
        <v>46.992322999999999</v>
      </c>
      <c r="AN3110" t="s">
        <v>5855</v>
      </c>
      <c r="AO3110">
        <v>-123.579369</v>
      </c>
      <c r="AP3110">
        <v>100</v>
      </c>
      <c r="AQ3110">
        <v>2100</v>
      </c>
      <c r="AR3110" t="s">
        <v>118</v>
      </c>
      <c r="AS3110">
        <v>-78</v>
      </c>
      <c r="AT3110">
        <v>15</v>
      </c>
      <c r="AU3110">
        <v>0</v>
      </c>
      <c r="BC3110">
        <v>1200</v>
      </c>
      <c r="BD3110">
        <v>1</v>
      </c>
      <c r="BE3110" t="str">
        <f t="shared" si="146"/>
        <v xml:space="preserve">N215T   </v>
      </c>
      <c r="BF3110">
        <v>1</v>
      </c>
      <c r="BH3110">
        <v>0</v>
      </c>
      <c r="BI3110">
        <v>0</v>
      </c>
      <c r="BJ3110">
        <v>0</v>
      </c>
      <c r="BK3110">
        <v>2500</v>
      </c>
      <c r="BL3110">
        <v>400</v>
      </c>
      <c r="BM3110" t="s">
        <v>119</v>
      </c>
      <c r="BN3110">
        <v>1</v>
      </c>
      <c r="BO3110">
        <v>1</v>
      </c>
      <c r="BP3110">
        <v>1</v>
      </c>
      <c r="BQ3110">
        <v>0</v>
      </c>
      <c r="BT3110">
        <v>0</v>
      </c>
      <c r="BU3110">
        <v>0</v>
      </c>
      <c r="BV3110">
        <v>0</v>
      </c>
      <c r="CC3110" t="str">
        <f>"19:26:45.203"</f>
        <v>19:26:45.203</v>
      </c>
      <c r="CD3110" t="str">
        <f>"201110425"</f>
        <v>201110425</v>
      </c>
      <c r="CQ3110">
        <v>0</v>
      </c>
      <c r="CR3110">
        <v>2</v>
      </c>
      <c r="CS3110">
        <v>0</v>
      </c>
      <c r="CT3110">
        <v>2</v>
      </c>
      <c r="CU3110">
        <v>0</v>
      </c>
      <c r="CV3110">
        <v>6</v>
      </c>
      <c r="CW3110" t="s">
        <v>120</v>
      </c>
      <c r="CX3110">
        <v>257</v>
      </c>
      <c r="CY3110">
        <v>0</v>
      </c>
      <c r="CZ3110" t="s">
        <v>615</v>
      </c>
      <c r="DA3110" t="s">
        <v>616</v>
      </c>
      <c r="DD3110">
        <v>16269451</v>
      </c>
      <c r="DE3110" t="s">
        <v>123</v>
      </c>
    </row>
    <row r="3111" spans="1:109" x14ac:dyDescent="0.3">
      <c r="A3111" t="str">
        <f>"19:26:46.359"</f>
        <v>19:26:46.359</v>
      </c>
      <c r="B3111" t="s">
        <v>110</v>
      </c>
      <c r="C3111" t="str">
        <f t="shared" si="144"/>
        <v>ffdfd3c0</v>
      </c>
      <c r="D3111" t="s">
        <v>111</v>
      </c>
      <c r="E3111">
        <v>18</v>
      </c>
      <c r="F3111">
        <v>1018</v>
      </c>
      <c r="G3111" t="s">
        <v>112</v>
      </c>
      <c r="J3111" t="s">
        <v>113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R3111" t="s">
        <v>114</v>
      </c>
      <c r="S3111" t="str">
        <f>"19:26:46.109"</f>
        <v>19:26:46.109</v>
      </c>
      <c r="T3111" t="str">
        <f>"19:26:46.008"</f>
        <v>19:26:46.008</v>
      </c>
      <c r="U3111" t="str">
        <f t="shared" si="145"/>
        <v>a1cdbe</v>
      </c>
      <c r="V3111">
        <v>0</v>
      </c>
      <c r="W3111">
        <v>0</v>
      </c>
      <c r="X3111">
        <v>1</v>
      </c>
      <c r="Y3111">
        <v>0</v>
      </c>
      <c r="Z3111">
        <v>0</v>
      </c>
      <c r="AB3111">
        <v>0</v>
      </c>
      <c r="AC3111">
        <v>9</v>
      </c>
      <c r="AD3111">
        <v>3</v>
      </c>
      <c r="AE3111">
        <v>0</v>
      </c>
      <c r="AF3111">
        <v>9</v>
      </c>
      <c r="AG3111" t="s">
        <v>158</v>
      </c>
      <c r="AH3111">
        <v>0</v>
      </c>
      <c r="AI3111">
        <v>3</v>
      </c>
      <c r="AJ3111">
        <v>1</v>
      </c>
      <c r="AK3111">
        <v>0</v>
      </c>
      <c r="AL3111" t="s">
        <v>863</v>
      </c>
      <c r="AM3111">
        <v>46.992365999999997</v>
      </c>
      <c r="AN3111" t="s">
        <v>5856</v>
      </c>
      <c r="AO3111">
        <v>-123.579841</v>
      </c>
      <c r="AP3111">
        <v>100</v>
      </c>
      <c r="AQ3111">
        <v>2100</v>
      </c>
      <c r="AR3111" t="s">
        <v>118</v>
      </c>
      <c r="AS3111">
        <v>-77</v>
      </c>
      <c r="AT3111">
        <v>16</v>
      </c>
      <c r="AU3111">
        <v>0</v>
      </c>
      <c r="BC3111">
        <v>1200</v>
      </c>
      <c r="BD3111">
        <v>1</v>
      </c>
      <c r="BE3111" t="str">
        <f t="shared" si="146"/>
        <v xml:space="preserve">N215T   </v>
      </c>
      <c r="BF3111">
        <v>1</v>
      </c>
      <c r="BH3111">
        <v>0</v>
      </c>
      <c r="BI3111">
        <v>0</v>
      </c>
      <c r="BJ3111">
        <v>0</v>
      </c>
      <c r="BK3111">
        <v>2500</v>
      </c>
      <c r="BL3111">
        <v>400</v>
      </c>
      <c r="BM3111" t="s">
        <v>119</v>
      </c>
      <c r="BN3111">
        <v>1</v>
      </c>
      <c r="BO3111">
        <v>1</v>
      </c>
      <c r="BP3111">
        <v>1</v>
      </c>
      <c r="BQ3111">
        <v>0</v>
      </c>
      <c r="BT3111">
        <v>0</v>
      </c>
      <c r="BU3111">
        <v>0</v>
      </c>
      <c r="BV3111">
        <v>0</v>
      </c>
      <c r="CC3111" t="str">
        <f>"19:26:46.117"</f>
        <v>19:26:46.117</v>
      </c>
      <c r="CD3111" t="str">
        <f>"116020267"</f>
        <v>116020267</v>
      </c>
      <c r="CQ3111">
        <v>0</v>
      </c>
      <c r="CR3111">
        <v>2</v>
      </c>
      <c r="CS3111">
        <v>0</v>
      </c>
      <c r="CT3111">
        <v>2</v>
      </c>
      <c r="CU3111">
        <v>0</v>
      </c>
      <c r="CV3111">
        <v>6</v>
      </c>
      <c r="CW3111" t="s">
        <v>120</v>
      </c>
      <c r="CX3111">
        <v>257</v>
      </c>
      <c r="CY3111">
        <v>0</v>
      </c>
      <c r="CZ3111" t="s">
        <v>615</v>
      </c>
      <c r="DA3111" t="s">
        <v>616</v>
      </c>
      <c r="DD3111">
        <v>16269951</v>
      </c>
      <c r="DE3111" t="s">
        <v>123</v>
      </c>
    </row>
    <row r="3112" spans="1:109" x14ac:dyDescent="0.3">
      <c r="A3112" t="str">
        <f>"19:26:47.367"</f>
        <v>19:26:47.367</v>
      </c>
      <c r="B3112" t="s">
        <v>110</v>
      </c>
      <c r="C3112" t="str">
        <f t="shared" si="144"/>
        <v>ffdfd3c0</v>
      </c>
      <c r="D3112" t="s">
        <v>111</v>
      </c>
      <c r="E3112">
        <v>18</v>
      </c>
      <c r="F3112">
        <v>1018</v>
      </c>
      <c r="G3112" t="s">
        <v>112</v>
      </c>
      <c r="J3112" t="s">
        <v>113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R3112" t="s">
        <v>114</v>
      </c>
      <c r="S3112" t="str">
        <f>"19:26:47.117"</f>
        <v>19:26:47.117</v>
      </c>
      <c r="T3112" t="str">
        <f>"19:26:47.117"</f>
        <v>19:26:47.117</v>
      </c>
      <c r="U3112" t="str">
        <f t="shared" si="145"/>
        <v>a1cdbe</v>
      </c>
      <c r="V3112">
        <v>0</v>
      </c>
      <c r="W3112">
        <v>0</v>
      </c>
      <c r="X3112">
        <v>1</v>
      </c>
      <c r="Y3112">
        <v>0</v>
      </c>
      <c r="Z3112">
        <v>0</v>
      </c>
      <c r="AB3112">
        <v>0</v>
      </c>
      <c r="AC3112">
        <v>9</v>
      </c>
      <c r="AD3112">
        <v>3</v>
      </c>
      <c r="AE3112">
        <v>0</v>
      </c>
      <c r="AF3112">
        <v>9</v>
      </c>
      <c r="AG3112" t="s">
        <v>158</v>
      </c>
      <c r="AH3112">
        <v>0</v>
      </c>
      <c r="AI3112">
        <v>3</v>
      </c>
      <c r="AJ3112">
        <v>1</v>
      </c>
      <c r="AK3112">
        <v>0</v>
      </c>
      <c r="AL3112" t="s">
        <v>5857</v>
      </c>
      <c r="AM3112">
        <v>46.992431000000003</v>
      </c>
      <c r="AN3112" t="s">
        <v>5858</v>
      </c>
      <c r="AO3112">
        <v>-123.58035599999999</v>
      </c>
      <c r="AP3112">
        <v>100</v>
      </c>
      <c r="AQ3112">
        <v>2100</v>
      </c>
      <c r="AR3112" t="s">
        <v>118</v>
      </c>
      <c r="AS3112">
        <v>-77</v>
      </c>
      <c r="AT3112">
        <v>17</v>
      </c>
      <c r="AU3112">
        <v>0</v>
      </c>
      <c r="BC3112">
        <v>1200</v>
      </c>
      <c r="BD3112">
        <v>1</v>
      </c>
      <c r="BE3112" t="str">
        <f t="shared" si="146"/>
        <v xml:space="preserve">N215T   </v>
      </c>
      <c r="BF3112">
        <v>1</v>
      </c>
      <c r="BH3112">
        <v>0</v>
      </c>
      <c r="BI3112">
        <v>0</v>
      </c>
      <c r="BJ3112">
        <v>0</v>
      </c>
      <c r="BK3112">
        <v>2500</v>
      </c>
      <c r="BL3112">
        <v>400</v>
      </c>
      <c r="BM3112" t="s">
        <v>119</v>
      </c>
      <c r="BN3112">
        <v>1</v>
      </c>
      <c r="BO3112">
        <v>1</v>
      </c>
      <c r="BP3112">
        <v>1</v>
      </c>
      <c r="BQ3112">
        <v>0</v>
      </c>
      <c r="BT3112">
        <v>0</v>
      </c>
      <c r="BU3112">
        <v>0</v>
      </c>
      <c r="BV3112">
        <v>0</v>
      </c>
      <c r="CC3112" t="str">
        <f>"19:26:47.117"</f>
        <v>19:26:47.117</v>
      </c>
      <c r="CD3112" t="str">
        <f>"120921233"</f>
        <v>120921233</v>
      </c>
      <c r="CQ3112">
        <v>0</v>
      </c>
      <c r="CR3112">
        <v>2</v>
      </c>
      <c r="CS3112">
        <v>0</v>
      </c>
      <c r="CT3112">
        <v>2</v>
      </c>
      <c r="CU3112">
        <v>0</v>
      </c>
      <c r="CV3112">
        <v>6</v>
      </c>
      <c r="CW3112" t="s">
        <v>120</v>
      </c>
      <c r="CX3112">
        <v>257</v>
      </c>
      <c r="CY3112">
        <v>0</v>
      </c>
      <c r="CZ3112" t="s">
        <v>615</v>
      </c>
      <c r="DA3112" t="s">
        <v>616</v>
      </c>
      <c r="DD3112">
        <v>16270499</v>
      </c>
      <c r="DE3112" t="s">
        <v>123</v>
      </c>
    </row>
    <row r="3113" spans="1:109" x14ac:dyDescent="0.3">
      <c r="A3113" t="str">
        <f>"19:26:48.219"</f>
        <v>19:26:48.219</v>
      </c>
      <c r="B3113" t="s">
        <v>110</v>
      </c>
      <c r="C3113" t="str">
        <f t="shared" si="144"/>
        <v>ffdfd3c0</v>
      </c>
      <c r="D3113" t="s">
        <v>111</v>
      </c>
      <c r="E3113">
        <v>18</v>
      </c>
      <c r="F3113">
        <v>1018</v>
      </c>
      <c r="G3113" t="s">
        <v>112</v>
      </c>
      <c r="J3113" t="s">
        <v>113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R3113" t="s">
        <v>114</v>
      </c>
      <c r="S3113" t="str">
        <f>"19:26:47.984"</f>
        <v>19:26:47.984</v>
      </c>
      <c r="T3113" t="str">
        <f>"19:26:47.586"</f>
        <v>19:26:47.586</v>
      </c>
      <c r="U3113" t="str">
        <f t="shared" si="145"/>
        <v>a1cdbe</v>
      </c>
      <c r="V3113">
        <v>0</v>
      </c>
      <c r="W3113">
        <v>0</v>
      </c>
      <c r="X3113">
        <v>1</v>
      </c>
      <c r="Y3113">
        <v>0</v>
      </c>
      <c r="Z3113">
        <v>0</v>
      </c>
      <c r="AB3113">
        <v>0</v>
      </c>
      <c r="AC3113">
        <v>9</v>
      </c>
      <c r="AD3113">
        <v>3</v>
      </c>
      <c r="AE3113">
        <v>0</v>
      </c>
      <c r="AF3113">
        <v>9</v>
      </c>
      <c r="AG3113" t="s">
        <v>158</v>
      </c>
      <c r="AH3113">
        <v>0</v>
      </c>
      <c r="AI3113">
        <v>3</v>
      </c>
      <c r="AJ3113">
        <v>1</v>
      </c>
      <c r="AK3113">
        <v>0</v>
      </c>
      <c r="AL3113" t="s">
        <v>5859</v>
      </c>
      <c r="AM3113">
        <v>46.992516999999999</v>
      </c>
      <c r="AN3113" t="s">
        <v>5860</v>
      </c>
      <c r="AO3113">
        <v>-123.580806</v>
      </c>
      <c r="AP3113">
        <v>100</v>
      </c>
      <c r="AQ3113">
        <v>2100</v>
      </c>
      <c r="AR3113" t="s">
        <v>118</v>
      </c>
      <c r="AS3113">
        <v>-77</v>
      </c>
      <c r="AT3113">
        <v>17</v>
      </c>
      <c r="AU3113">
        <v>0</v>
      </c>
      <c r="BC3113">
        <v>1200</v>
      </c>
      <c r="BD3113">
        <v>1</v>
      </c>
      <c r="BE3113" t="str">
        <f t="shared" si="146"/>
        <v xml:space="preserve">N215T   </v>
      </c>
      <c r="BF3113">
        <v>1</v>
      </c>
      <c r="BH3113">
        <v>0</v>
      </c>
      <c r="BI3113">
        <v>0</v>
      </c>
      <c r="BJ3113">
        <v>0</v>
      </c>
      <c r="BK3113">
        <v>2500</v>
      </c>
      <c r="BL3113">
        <v>400</v>
      </c>
      <c r="BM3113" t="s">
        <v>119</v>
      </c>
      <c r="BN3113">
        <v>1</v>
      </c>
      <c r="BO3113">
        <v>1</v>
      </c>
      <c r="BP3113">
        <v>1</v>
      </c>
      <c r="BQ3113">
        <v>0</v>
      </c>
      <c r="BT3113">
        <v>0</v>
      </c>
      <c r="BU3113">
        <v>0</v>
      </c>
      <c r="BV3113">
        <v>0</v>
      </c>
      <c r="CC3113" t="str">
        <f>"19:26:47.992"</f>
        <v>19:26:47.992</v>
      </c>
      <c r="CD3113" t="str">
        <f>"990835503"</f>
        <v>990835503</v>
      </c>
      <c r="CQ3113">
        <v>0</v>
      </c>
      <c r="CR3113">
        <v>2</v>
      </c>
      <c r="CS3113">
        <v>0</v>
      </c>
      <c r="CT3113">
        <v>2</v>
      </c>
      <c r="CU3113">
        <v>0</v>
      </c>
      <c r="CV3113">
        <v>6</v>
      </c>
      <c r="CW3113" t="s">
        <v>120</v>
      </c>
      <c r="CX3113">
        <v>257</v>
      </c>
      <c r="CY3113">
        <v>0</v>
      </c>
      <c r="CZ3113" t="s">
        <v>615</v>
      </c>
      <c r="DA3113" t="s">
        <v>616</v>
      </c>
      <c r="DD3113">
        <v>16270932</v>
      </c>
      <c r="DE3113" t="s">
        <v>123</v>
      </c>
    </row>
    <row r="3114" spans="1:109" x14ac:dyDescent="0.3">
      <c r="A3114" t="str">
        <f>"19:26:49.180"</f>
        <v>19:26:49.180</v>
      </c>
      <c r="B3114" t="s">
        <v>110</v>
      </c>
      <c r="C3114" t="str">
        <f t="shared" si="144"/>
        <v>ffdfd3c0</v>
      </c>
      <c r="D3114" t="s">
        <v>111</v>
      </c>
      <c r="E3114">
        <v>18</v>
      </c>
      <c r="F3114">
        <v>1018</v>
      </c>
      <c r="G3114" t="s">
        <v>112</v>
      </c>
      <c r="J3114" t="s">
        <v>113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R3114" t="s">
        <v>114</v>
      </c>
      <c r="S3114" t="str">
        <f>"19:26:48.945"</f>
        <v>19:26:48.945</v>
      </c>
      <c r="T3114" t="str">
        <f>"19:26:48.945"</f>
        <v>19:26:48.945</v>
      </c>
      <c r="U3114" t="str">
        <f t="shared" si="145"/>
        <v>a1cdbe</v>
      </c>
      <c r="V3114">
        <v>0</v>
      </c>
      <c r="W3114">
        <v>0</v>
      </c>
      <c r="X3114">
        <v>1</v>
      </c>
      <c r="Y3114">
        <v>0</v>
      </c>
      <c r="Z3114">
        <v>0</v>
      </c>
      <c r="AB3114">
        <v>0</v>
      </c>
      <c r="AC3114">
        <v>9</v>
      </c>
      <c r="AD3114">
        <v>3</v>
      </c>
      <c r="AE3114">
        <v>0</v>
      </c>
      <c r="AF3114">
        <v>9</v>
      </c>
      <c r="AG3114" t="s">
        <v>158</v>
      </c>
      <c r="AH3114">
        <v>0</v>
      </c>
      <c r="AI3114">
        <v>3</v>
      </c>
      <c r="AJ3114">
        <v>1</v>
      </c>
      <c r="AK3114">
        <v>0</v>
      </c>
      <c r="AL3114" t="s">
        <v>5861</v>
      </c>
      <c r="AM3114">
        <v>46.992623999999999</v>
      </c>
      <c r="AN3114" t="s">
        <v>5862</v>
      </c>
      <c r="AO3114">
        <v>-123.581321</v>
      </c>
      <c r="AP3114">
        <v>100</v>
      </c>
      <c r="AQ3114">
        <v>2100</v>
      </c>
      <c r="AR3114" t="s">
        <v>118</v>
      </c>
      <c r="AS3114">
        <v>-77</v>
      </c>
      <c r="AT3114">
        <v>18</v>
      </c>
      <c r="AU3114">
        <v>64</v>
      </c>
      <c r="BC3114">
        <v>1200</v>
      </c>
      <c r="BD3114">
        <v>1</v>
      </c>
      <c r="BE3114" t="str">
        <f t="shared" si="146"/>
        <v xml:space="preserve">N215T   </v>
      </c>
      <c r="BF3114">
        <v>1</v>
      </c>
      <c r="BH3114">
        <v>0</v>
      </c>
      <c r="BI3114">
        <v>0</v>
      </c>
      <c r="BJ3114">
        <v>0</v>
      </c>
      <c r="BK3114">
        <v>2500</v>
      </c>
      <c r="BL3114">
        <v>400</v>
      </c>
      <c r="BM3114" t="s">
        <v>119</v>
      </c>
      <c r="BN3114">
        <v>1</v>
      </c>
      <c r="BO3114">
        <v>1</v>
      </c>
      <c r="BP3114">
        <v>1</v>
      </c>
      <c r="BQ3114">
        <v>0</v>
      </c>
      <c r="BT3114">
        <v>0</v>
      </c>
      <c r="BU3114">
        <v>0</v>
      </c>
      <c r="BV3114">
        <v>0</v>
      </c>
      <c r="CC3114" t="str">
        <f>"19:26:48.953"</f>
        <v>19:26:48.953</v>
      </c>
      <c r="CD3114" t="str">
        <f>"950740908"</f>
        <v>950740908</v>
      </c>
      <c r="CQ3114">
        <v>0</v>
      </c>
      <c r="CR3114">
        <v>2</v>
      </c>
      <c r="CS3114">
        <v>0</v>
      </c>
      <c r="CT3114">
        <v>2</v>
      </c>
      <c r="CU3114">
        <v>0</v>
      </c>
      <c r="CV3114">
        <v>6</v>
      </c>
      <c r="CW3114" t="s">
        <v>120</v>
      </c>
      <c r="CX3114">
        <v>257</v>
      </c>
      <c r="CY3114">
        <v>0</v>
      </c>
      <c r="CZ3114" t="s">
        <v>615</v>
      </c>
      <c r="DA3114" t="s">
        <v>616</v>
      </c>
      <c r="DD3114">
        <v>16271386</v>
      </c>
      <c r="DE3114" t="s">
        <v>123</v>
      </c>
    </row>
    <row r="3115" spans="1:109" x14ac:dyDescent="0.3">
      <c r="A3115" t="str">
        <f>"19:26:50.031"</f>
        <v>19:26:50.031</v>
      </c>
      <c r="B3115" t="s">
        <v>110</v>
      </c>
      <c r="C3115" t="str">
        <f t="shared" si="144"/>
        <v>ffdfd3c0</v>
      </c>
      <c r="D3115" t="s">
        <v>111</v>
      </c>
      <c r="E3115">
        <v>18</v>
      </c>
      <c r="F3115">
        <v>1018</v>
      </c>
      <c r="G3115" t="s">
        <v>112</v>
      </c>
      <c r="J3115" t="s">
        <v>113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R3115" t="s">
        <v>114</v>
      </c>
      <c r="S3115" t="str">
        <f>"19:26:49.820"</f>
        <v>19:26:49.820</v>
      </c>
      <c r="T3115" t="str">
        <f>"19:26:49.523"</f>
        <v>19:26:49.523</v>
      </c>
      <c r="U3115" t="str">
        <f t="shared" si="145"/>
        <v>a1cdbe</v>
      </c>
      <c r="V3115">
        <v>0</v>
      </c>
      <c r="W3115">
        <v>0</v>
      </c>
      <c r="X3115">
        <v>1</v>
      </c>
      <c r="Y3115">
        <v>0</v>
      </c>
      <c r="Z3115">
        <v>0</v>
      </c>
      <c r="AB3115">
        <v>0</v>
      </c>
      <c r="AC3115">
        <v>9</v>
      </c>
      <c r="AD3115">
        <v>3</v>
      </c>
      <c r="AE3115">
        <v>0</v>
      </c>
      <c r="AF3115">
        <v>9</v>
      </c>
      <c r="AG3115" t="s">
        <v>158</v>
      </c>
      <c r="AH3115">
        <v>0</v>
      </c>
      <c r="AI3115">
        <v>3</v>
      </c>
      <c r="AJ3115">
        <v>1</v>
      </c>
      <c r="AK3115">
        <v>0</v>
      </c>
      <c r="AL3115" t="s">
        <v>5863</v>
      </c>
      <c r="AM3115">
        <v>46.992666999999997</v>
      </c>
      <c r="AN3115" t="s">
        <v>5864</v>
      </c>
      <c r="AO3115">
        <v>-123.58175</v>
      </c>
      <c r="AP3115">
        <v>100</v>
      </c>
      <c r="AQ3115">
        <v>2100</v>
      </c>
      <c r="AR3115" t="s">
        <v>118</v>
      </c>
      <c r="AS3115">
        <v>-76</v>
      </c>
      <c r="AT3115">
        <v>18</v>
      </c>
      <c r="AU3115">
        <v>64</v>
      </c>
      <c r="BC3115">
        <v>1200</v>
      </c>
      <c r="BD3115">
        <v>1</v>
      </c>
      <c r="BE3115" t="str">
        <f t="shared" si="146"/>
        <v xml:space="preserve">N215T   </v>
      </c>
      <c r="BF3115">
        <v>1</v>
      </c>
      <c r="BH3115">
        <v>0</v>
      </c>
      <c r="BI3115">
        <v>0</v>
      </c>
      <c r="BJ3115">
        <v>0</v>
      </c>
      <c r="BK3115">
        <v>2500</v>
      </c>
      <c r="BL3115">
        <v>400</v>
      </c>
      <c r="BM3115" t="s">
        <v>119</v>
      </c>
      <c r="BN3115">
        <v>1</v>
      </c>
      <c r="BO3115">
        <v>1</v>
      </c>
      <c r="BP3115">
        <v>1</v>
      </c>
      <c r="BQ3115">
        <v>0</v>
      </c>
      <c r="BT3115">
        <v>0</v>
      </c>
      <c r="BU3115">
        <v>0</v>
      </c>
      <c r="BV3115">
        <v>0</v>
      </c>
      <c r="CC3115" t="str">
        <f>"19:26:49.820"</f>
        <v>19:26:49.820</v>
      </c>
      <c r="CD3115" t="str">
        <f>"820655181"</f>
        <v>820655181</v>
      </c>
      <c r="CQ3115">
        <v>0</v>
      </c>
      <c r="CR3115">
        <v>2</v>
      </c>
      <c r="CS3115">
        <v>0</v>
      </c>
      <c r="CT3115">
        <v>2</v>
      </c>
      <c r="CU3115">
        <v>0</v>
      </c>
      <c r="CV3115">
        <v>6</v>
      </c>
      <c r="CW3115" t="s">
        <v>120</v>
      </c>
      <c r="CX3115">
        <v>257</v>
      </c>
      <c r="CY3115">
        <v>0</v>
      </c>
      <c r="CZ3115" t="s">
        <v>615</v>
      </c>
      <c r="DA3115" t="s">
        <v>616</v>
      </c>
      <c r="DD3115">
        <v>16271798</v>
      </c>
      <c r="DE3115" t="s">
        <v>123</v>
      </c>
    </row>
    <row r="3116" spans="1:109" x14ac:dyDescent="0.3">
      <c r="A3116" t="str">
        <f>"19:26:51.086"</f>
        <v>19:26:51.086</v>
      </c>
      <c r="B3116" t="s">
        <v>110</v>
      </c>
      <c r="C3116" t="str">
        <f t="shared" si="144"/>
        <v>ffdfd3c0</v>
      </c>
      <c r="D3116" t="s">
        <v>111</v>
      </c>
      <c r="E3116">
        <v>18</v>
      </c>
      <c r="F3116">
        <v>1018</v>
      </c>
      <c r="G3116" t="s">
        <v>112</v>
      </c>
      <c r="J3116" t="s">
        <v>113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R3116" t="s">
        <v>114</v>
      </c>
      <c r="S3116" t="str">
        <f>"19:26:50.805"</f>
        <v>19:26:50.805</v>
      </c>
      <c r="T3116" t="str">
        <f>"19:26:50.508"</f>
        <v>19:26:50.508</v>
      </c>
      <c r="U3116" t="str">
        <f t="shared" si="145"/>
        <v>a1cdbe</v>
      </c>
      <c r="V3116">
        <v>0</v>
      </c>
      <c r="W3116">
        <v>0</v>
      </c>
      <c r="X3116">
        <v>1</v>
      </c>
      <c r="Y3116">
        <v>0</v>
      </c>
      <c r="Z3116">
        <v>0</v>
      </c>
      <c r="AB3116">
        <v>0</v>
      </c>
      <c r="AC3116">
        <v>9</v>
      </c>
      <c r="AD3116">
        <v>3</v>
      </c>
      <c r="AE3116">
        <v>0</v>
      </c>
      <c r="AF3116">
        <v>9</v>
      </c>
      <c r="AG3116" t="s">
        <v>158</v>
      </c>
      <c r="AH3116">
        <v>0</v>
      </c>
      <c r="AI3116">
        <v>3</v>
      </c>
      <c r="AJ3116">
        <v>1</v>
      </c>
      <c r="AK3116">
        <v>0</v>
      </c>
      <c r="AL3116" t="s">
        <v>5865</v>
      </c>
      <c r="AM3116">
        <v>46.992773999999997</v>
      </c>
      <c r="AN3116" t="s">
        <v>5866</v>
      </c>
      <c r="AO3116">
        <v>-123.582244</v>
      </c>
      <c r="AP3116">
        <v>100</v>
      </c>
      <c r="AQ3116">
        <v>2100</v>
      </c>
      <c r="AR3116" t="s">
        <v>118</v>
      </c>
      <c r="AS3116">
        <v>-76</v>
      </c>
      <c r="AT3116">
        <v>19</v>
      </c>
      <c r="AU3116">
        <v>64</v>
      </c>
      <c r="BC3116">
        <v>1200</v>
      </c>
      <c r="BD3116">
        <v>1</v>
      </c>
      <c r="BE3116" t="str">
        <f t="shared" si="146"/>
        <v xml:space="preserve">N215T   </v>
      </c>
      <c r="BF3116">
        <v>1</v>
      </c>
      <c r="BH3116">
        <v>0</v>
      </c>
      <c r="BI3116">
        <v>0</v>
      </c>
      <c r="BJ3116">
        <v>0</v>
      </c>
      <c r="BK3116">
        <v>2500</v>
      </c>
      <c r="BL3116">
        <v>400</v>
      </c>
      <c r="BM3116" t="s">
        <v>119</v>
      </c>
      <c r="BN3116">
        <v>1</v>
      </c>
      <c r="BO3116">
        <v>1</v>
      </c>
      <c r="BP3116">
        <v>1</v>
      </c>
      <c r="BQ3116">
        <v>0</v>
      </c>
      <c r="BT3116">
        <v>0</v>
      </c>
      <c r="BU3116">
        <v>0</v>
      </c>
      <c r="BV3116">
        <v>0</v>
      </c>
      <c r="CC3116" t="str">
        <f>"19:26:50.813"</f>
        <v>19:26:50.813</v>
      </c>
      <c r="CD3116" t="str">
        <f>"810557640"</f>
        <v>810557640</v>
      </c>
      <c r="CQ3116">
        <v>0</v>
      </c>
      <c r="CR3116">
        <v>2</v>
      </c>
      <c r="CS3116">
        <v>0</v>
      </c>
      <c r="CT3116">
        <v>2</v>
      </c>
      <c r="CU3116">
        <v>0</v>
      </c>
      <c r="CV3116">
        <v>6</v>
      </c>
      <c r="CW3116" t="s">
        <v>120</v>
      </c>
      <c r="CX3116">
        <v>257</v>
      </c>
      <c r="CY3116">
        <v>0</v>
      </c>
      <c r="CZ3116" t="s">
        <v>615</v>
      </c>
      <c r="DA3116" t="s">
        <v>616</v>
      </c>
      <c r="DD3116">
        <v>16272295</v>
      </c>
      <c r="DE3116" t="s">
        <v>123</v>
      </c>
    </row>
    <row r="3117" spans="1:109" x14ac:dyDescent="0.3">
      <c r="A3117" t="str">
        <f>"19:26:52.086"</f>
        <v>19:26:52.086</v>
      </c>
      <c r="B3117" t="s">
        <v>110</v>
      </c>
      <c r="C3117" t="str">
        <f t="shared" si="144"/>
        <v>ffdfd3c0</v>
      </c>
      <c r="D3117" t="s">
        <v>111</v>
      </c>
      <c r="E3117">
        <v>18</v>
      </c>
      <c r="F3117">
        <v>1018</v>
      </c>
      <c r="G3117" t="s">
        <v>112</v>
      </c>
      <c r="J3117" t="s">
        <v>113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R3117" t="s">
        <v>114</v>
      </c>
      <c r="S3117" t="str">
        <f>"19:26:51.875"</f>
        <v>19:26:51.875</v>
      </c>
      <c r="T3117" t="str">
        <f>"19:26:51.477"</f>
        <v>19:26:51.477</v>
      </c>
      <c r="U3117" t="str">
        <f t="shared" si="145"/>
        <v>a1cdbe</v>
      </c>
      <c r="V3117">
        <v>0</v>
      </c>
      <c r="W3117">
        <v>0</v>
      </c>
      <c r="X3117">
        <v>1</v>
      </c>
      <c r="Y3117">
        <v>0</v>
      </c>
      <c r="Z3117">
        <v>0</v>
      </c>
      <c r="AB3117">
        <v>0</v>
      </c>
      <c r="AC3117">
        <v>9</v>
      </c>
      <c r="AD3117">
        <v>3</v>
      </c>
      <c r="AE3117">
        <v>0</v>
      </c>
      <c r="AF3117">
        <v>9</v>
      </c>
      <c r="AG3117" t="s">
        <v>158</v>
      </c>
      <c r="AH3117">
        <v>0</v>
      </c>
      <c r="AI3117">
        <v>3</v>
      </c>
      <c r="AJ3117">
        <v>1</v>
      </c>
      <c r="AK3117">
        <v>0</v>
      </c>
      <c r="AL3117" t="s">
        <v>5867</v>
      </c>
      <c r="AM3117">
        <v>46.99286</v>
      </c>
      <c r="AN3117" t="s">
        <v>5868</v>
      </c>
      <c r="AO3117">
        <v>-123.582802</v>
      </c>
      <c r="AP3117">
        <v>100</v>
      </c>
      <c r="AQ3117">
        <v>2100</v>
      </c>
      <c r="AR3117" t="s">
        <v>118</v>
      </c>
      <c r="AS3117">
        <v>-76</v>
      </c>
      <c r="AT3117">
        <v>20</v>
      </c>
      <c r="AU3117">
        <v>64</v>
      </c>
      <c r="BC3117">
        <v>1200</v>
      </c>
      <c r="BD3117">
        <v>1</v>
      </c>
      <c r="BE3117" t="str">
        <f t="shared" si="146"/>
        <v xml:space="preserve">N215T   </v>
      </c>
      <c r="BF3117">
        <v>1</v>
      </c>
      <c r="BH3117">
        <v>0</v>
      </c>
      <c r="BI3117">
        <v>0</v>
      </c>
      <c r="BJ3117">
        <v>0</v>
      </c>
      <c r="BK3117">
        <v>2500</v>
      </c>
      <c r="BL3117">
        <v>400</v>
      </c>
      <c r="BM3117" t="s">
        <v>119</v>
      </c>
      <c r="BN3117">
        <v>1</v>
      </c>
      <c r="BO3117">
        <v>1</v>
      </c>
      <c r="BP3117">
        <v>1</v>
      </c>
      <c r="BQ3117">
        <v>0</v>
      </c>
      <c r="BT3117">
        <v>0</v>
      </c>
      <c r="BU3117">
        <v>0</v>
      </c>
      <c r="BV3117">
        <v>0</v>
      </c>
      <c r="CC3117" t="str">
        <f>"19:26:51.875"</f>
        <v>19:26:51.875</v>
      </c>
      <c r="CD3117" t="str">
        <f>"875452700"</f>
        <v>875452700</v>
      </c>
      <c r="CQ3117">
        <v>0</v>
      </c>
      <c r="CR3117">
        <v>2</v>
      </c>
      <c r="CS3117">
        <v>0</v>
      </c>
      <c r="CT3117">
        <v>2</v>
      </c>
      <c r="CU3117">
        <v>0</v>
      </c>
      <c r="CV3117">
        <v>6</v>
      </c>
      <c r="CW3117" t="s">
        <v>120</v>
      </c>
      <c r="CX3117">
        <v>257</v>
      </c>
      <c r="CY3117">
        <v>0</v>
      </c>
      <c r="CZ3117" t="s">
        <v>615</v>
      </c>
      <c r="DA3117" t="s">
        <v>616</v>
      </c>
      <c r="DD3117">
        <v>16272878</v>
      </c>
      <c r="DE3117" t="s">
        <v>123</v>
      </c>
    </row>
    <row r="3118" spans="1:109" x14ac:dyDescent="0.3">
      <c r="A3118" t="str">
        <f>"19:26:53.148"</f>
        <v>19:26:53.148</v>
      </c>
      <c r="B3118" t="s">
        <v>110</v>
      </c>
      <c r="C3118" t="str">
        <f t="shared" si="144"/>
        <v>ffdfd3c0</v>
      </c>
      <c r="D3118" t="s">
        <v>111</v>
      </c>
      <c r="E3118">
        <v>18</v>
      </c>
      <c r="F3118">
        <v>1018</v>
      </c>
      <c r="G3118" t="s">
        <v>112</v>
      </c>
      <c r="J3118" t="s">
        <v>113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R3118" t="s">
        <v>114</v>
      </c>
      <c r="S3118" t="str">
        <f>"19:26:52.922"</f>
        <v>19:26:52.922</v>
      </c>
      <c r="T3118" t="str">
        <f>"19:26:52.523"</f>
        <v>19:26:52.523</v>
      </c>
      <c r="U3118" t="str">
        <f t="shared" si="145"/>
        <v>a1cdbe</v>
      </c>
      <c r="V3118">
        <v>0</v>
      </c>
      <c r="W3118">
        <v>0</v>
      </c>
      <c r="X3118">
        <v>1</v>
      </c>
      <c r="Y3118">
        <v>0</v>
      </c>
      <c r="Z3118">
        <v>0</v>
      </c>
      <c r="AB3118">
        <v>0</v>
      </c>
      <c r="AC3118">
        <v>9</v>
      </c>
      <c r="AD3118">
        <v>3</v>
      </c>
      <c r="AE3118">
        <v>0</v>
      </c>
      <c r="AF3118">
        <v>9</v>
      </c>
      <c r="AG3118" t="s">
        <v>158</v>
      </c>
      <c r="AH3118">
        <v>0</v>
      </c>
      <c r="AI3118">
        <v>3</v>
      </c>
      <c r="AJ3118">
        <v>1</v>
      </c>
      <c r="AK3118">
        <v>0</v>
      </c>
      <c r="AL3118" t="s">
        <v>5869</v>
      </c>
      <c r="AM3118">
        <v>46.992967</v>
      </c>
      <c r="AN3118" t="s">
        <v>5870</v>
      </c>
      <c r="AO3118">
        <v>-123.58336</v>
      </c>
      <c r="AP3118">
        <v>100</v>
      </c>
      <c r="AQ3118">
        <v>2100</v>
      </c>
      <c r="AR3118" t="s">
        <v>118</v>
      </c>
      <c r="AS3118">
        <v>-76</v>
      </c>
      <c r="AT3118">
        <v>20</v>
      </c>
      <c r="AU3118">
        <v>64</v>
      </c>
      <c r="BC3118">
        <v>1200</v>
      </c>
      <c r="BD3118">
        <v>1</v>
      </c>
      <c r="BE3118" t="str">
        <f t="shared" si="146"/>
        <v xml:space="preserve">N215T   </v>
      </c>
      <c r="BF3118">
        <v>1</v>
      </c>
      <c r="BH3118">
        <v>0</v>
      </c>
      <c r="BI3118">
        <v>0</v>
      </c>
      <c r="BJ3118">
        <v>0</v>
      </c>
      <c r="BK3118">
        <v>2500</v>
      </c>
      <c r="BL3118">
        <v>400</v>
      </c>
      <c r="BM3118" t="s">
        <v>119</v>
      </c>
      <c r="BN3118">
        <v>1</v>
      </c>
      <c r="BO3118">
        <v>1</v>
      </c>
      <c r="BP3118">
        <v>1</v>
      </c>
      <c r="BQ3118">
        <v>0</v>
      </c>
      <c r="BT3118">
        <v>0</v>
      </c>
      <c r="BU3118">
        <v>0</v>
      </c>
      <c r="BV3118">
        <v>0</v>
      </c>
      <c r="CC3118" t="str">
        <f>"19:26:52.922"</f>
        <v>19:26:52.922</v>
      </c>
      <c r="CD3118" t="str">
        <f>"925349229"</f>
        <v>925349229</v>
      </c>
      <c r="CQ3118">
        <v>0</v>
      </c>
      <c r="CR3118">
        <v>2</v>
      </c>
      <c r="CS3118">
        <v>0</v>
      </c>
      <c r="CT3118">
        <v>2</v>
      </c>
      <c r="CU3118">
        <v>0</v>
      </c>
      <c r="CV3118">
        <v>6</v>
      </c>
      <c r="CW3118" t="s">
        <v>120</v>
      </c>
      <c r="CX3118">
        <v>257</v>
      </c>
      <c r="CY3118">
        <v>0</v>
      </c>
      <c r="CZ3118" t="s">
        <v>615</v>
      </c>
      <c r="DA3118" t="s">
        <v>616</v>
      </c>
      <c r="DD3118">
        <v>16273387</v>
      </c>
      <c r="DE3118" t="s">
        <v>123</v>
      </c>
    </row>
    <row r="3119" spans="1:109" x14ac:dyDescent="0.3">
      <c r="A3119" t="str">
        <f>"19:26:54.250"</f>
        <v>19:26:54.250</v>
      </c>
      <c r="B3119" t="s">
        <v>110</v>
      </c>
      <c r="C3119" t="str">
        <f t="shared" si="144"/>
        <v>ffdfd3c0</v>
      </c>
      <c r="D3119" t="s">
        <v>111</v>
      </c>
      <c r="E3119">
        <v>18</v>
      </c>
      <c r="F3119">
        <v>1018</v>
      </c>
      <c r="G3119" t="s">
        <v>112</v>
      </c>
      <c r="J3119" t="s">
        <v>113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R3119" t="s">
        <v>114</v>
      </c>
      <c r="S3119" t="str">
        <f>"19:26:54.031"</f>
        <v>19:26:54.031</v>
      </c>
      <c r="T3119" t="str">
        <f>"19:26:53.633"</f>
        <v>19:26:53.633</v>
      </c>
      <c r="U3119" t="str">
        <f t="shared" si="145"/>
        <v>a1cdbe</v>
      </c>
      <c r="V3119">
        <v>0</v>
      </c>
      <c r="W3119">
        <v>0</v>
      </c>
      <c r="X3119">
        <v>1</v>
      </c>
      <c r="Y3119">
        <v>0</v>
      </c>
      <c r="Z3119">
        <v>0</v>
      </c>
      <c r="AB3119">
        <v>0</v>
      </c>
      <c r="AC3119">
        <v>9</v>
      </c>
      <c r="AD3119">
        <v>3</v>
      </c>
      <c r="AE3119">
        <v>0</v>
      </c>
      <c r="AF3119">
        <v>9</v>
      </c>
      <c r="AG3119" t="s">
        <v>158</v>
      </c>
      <c r="AH3119">
        <v>0</v>
      </c>
      <c r="AI3119">
        <v>3</v>
      </c>
      <c r="AJ3119">
        <v>1</v>
      </c>
      <c r="AK3119">
        <v>0</v>
      </c>
      <c r="AL3119" t="s">
        <v>859</v>
      </c>
      <c r="AM3119">
        <v>46.993053000000003</v>
      </c>
      <c r="AN3119" t="s">
        <v>5871</v>
      </c>
      <c r="AO3119">
        <v>-123.583896</v>
      </c>
      <c r="AP3119">
        <v>100</v>
      </c>
      <c r="AQ3119">
        <v>2100</v>
      </c>
      <c r="AR3119" t="s">
        <v>118</v>
      </c>
      <c r="AS3119">
        <v>-75</v>
      </c>
      <c r="AT3119">
        <v>21</v>
      </c>
      <c r="AU3119">
        <v>64</v>
      </c>
      <c r="BC3119">
        <v>1200</v>
      </c>
      <c r="BD3119">
        <v>1</v>
      </c>
      <c r="BE3119" t="str">
        <f t="shared" si="146"/>
        <v xml:space="preserve">N215T   </v>
      </c>
      <c r="BF3119">
        <v>1</v>
      </c>
      <c r="BH3119">
        <v>0</v>
      </c>
      <c r="BI3119">
        <v>0</v>
      </c>
      <c r="BJ3119">
        <v>0</v>
      </c>
      <c r="BK3119">
        <v>2500</v>
      </c>
      <c r="BL3119">
        <v>400</v>
      </c>
      <c r="BM3119" t="s">
        <v>119</v>
      </c>
      <c r="BN3119">
        <v>1</v>
      </c>
      <c r="BO3119">
        <v>1</v>
      </c>
      <c r="BP3119">
        <v>1</v>
      </c>
      <c r="BQ3119">
        <v>0</v>
      </c>
      <c r="BT3119">
        <v>0</v>
      </c>
      <c r="BU3119">
        <v>0</v>
      </c>
      <c r="BV3119">
        <v>0</v>
      </c>
      <c r="CC3119" t="str">
        <f>"19:26:54.039"</f>
        <v>19:26:54.039</v>
      </c>
      <c r="CD3119" t="str">
        <f>"035239871"</f>
        <v>035239871</v>
      </c>
      <c r="CQ3119">
        <v>0</v>
      </c>
      <c r="CR3119">
        <v>2</v>
      </c>
      <c r="CS3119">
        <v>0</v>
      </c>
      <c r="CT3119">
        <v>2</v>
      </c>
      <c r="CU3119">
        <v>0</v>
      </c>
      <c r="CV3119">
        <v>6</v>
      </c>
      <c r="CW3119" t="s">
        <v>120</v>
      </c>
      <c r="CX3119">
        <v>257</v>
      </c>
      <c r="CY3119">
        <v>0</v>
      </c>
      <c r="CZ3119" t="s">
        <v>615</v>
      </c>
      <c r="DA3119" t="s">
        <v>616</v>
      </c>
      <c r="DD3119">
        <v>16273907</v>
      </c>
      <c r="DE3119" t="s">
        <v>123</v>
      </c>
    </row>
    <row r="3120" spans="1:109" x14ac:dyDescent="0.3">
      <c r="A3120" t="str">
        <f>"19:26:55.359"</f>
        <v>19:26:55.359</v>
      </c>
      <c r="B3120" t="s">
        <v>110</v>
      </c>
      <c r="C3120" t="str">
        <f t="shared" si="144"/>
        <v>ffdfd3c0</v>
      </c>
      <c r="D3120" t="s">
        <v>111</v>
      </c>
      <c r="E3120">
        <v>18</v>
      </c>
      <c r="F3120">
        <v>1018</v>
      </c>
      <c r="G3120" t="s">
        <v>112</v>
      </c>
      <c r="J3120" t="s">
        <v>113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R3120" t="s">
        <v>114</v>
      </c>
      <c r="S3120" t="str">
        <f>"19:26:55.125"</f>
        <v>19:26:55.125</v>
      </c>
      <c r="T3120" t="str">
        <f>"19:26:54.625"</f>
        <v>19:26:54.625</v>
      </c>
      <c r="U3120" t="str">
        <f t="shared" si="145"/>
        <v>a1cdbe</v>
      </c>
      <c r="V3120">
        <v>0</v>
      </c>
      <c r="W3120">
        <v>0</v>
      </c>
      <c r="X3120">
        <v>1</v>
      </c>
      <c r="Y3120">
        <v>0</v>
      </c>
      <c r="Z3120">
        <v>0</v>
      </c>
      <c r="AB3120">
        <v>0</v>
      </c>
      <c r="AC3120">
        <v>9</v>
      </c>
      <c r="AD3120">
        <v>3</v>
      </c>
      <c r="AE3120">
        <v>0</v>
      </c>
      <c r="AF3120">
        <v>9</v>
      </c>
      <c r="AG3120" t="s">
        <v>158</v>
      </c>
      <c r="AH3120">
        <v>0</v>
      </c>
      <c r="AI3120">
        <v>3</v>
      </c>
      <c r="AJ3120">
        <v>1</v>
      </c>
      <c r="AK3120">
        <v>0</v>
      </c>
      <c r="AL3120" t="s">
        <v>5872</v>
      </c>
      <c r="AM3120">
        <v>46.993181999999997</v>
      </c>
      <c r="AN3120" t="s">
        <v>5873</v>
      </c>
      <c r="AO3120">
        <v>-123.584497</v>
      </c>
      <c r="AP3120">
        <v>100</v>
      </c>
      <c r="AQ3120">
        <v>2100</v>
      </c>
      <c r="AR3120" t="s">
        <v>118</v>
      </c>
      <c r="AS3120">
        <v>-75</v>
      </c>
      <c r="AT3120">
        <v>21</v>
      </c>
      <c r="AU3120">
        <v>128</v>
      </c>
      <c r="BC3120">
        <v>1200</v>
      </c>
      <c r="BD3120">
        <v>1</v>
      </c>
      <c r="BE3120" t="str">
        <f t="shared" si="146"/>
        <v xml:space="preserve">N215T   </v>
      </c>
      <c r="BF3120">
        <v>1</v>
      </c>
      <c r="BH3120">
        <v>0</v>
      </c>
      <c r="BI3120">
        <v>0</v>
      </c>
      <c r="BJ3120">
        <v>0</v>
      </c>
      <c r="BK3120">
        <v>2500</v>
      </c>
      <c r="BL3120">
        <v>400</v>
      </c>
      <c r="BM3120" t="s">
        <v>119</v>
      </c>
      <c r="BN3120">
        <v>1</v>
      </c>
      <c r="BO3120">
        <v>1</v>
      </c>
      <c r="BP3120">
        <v>1</v>
      </c>
      <c r="BQ3120">
        <v>0</v>
      </c>
      <c r="BT3120">
        <v>0</v>
      </c>
      <c r="BU3120">
        <v>0</v>
      </c>
      <c r="BV3120">
        <v>0</v>
      </c>
      <c r="CC3120" t="str">
        <f>"19:26:55.133"</f>
        <v>19:26:55.133</v>
      </c>
      <c r="CD3120" t="str">
        <f>"130131985"</f>
        <v>130131985</v>
      </c>
      <c r="CQ3120">
        <v>0</v>
      </c>
      <c r="CR3120">
        <v>2</v>
      </c>
      <c r="CS3120">
        <v>0</v>
      </c>
      <c r="CT3120">
        <v>2</v>
      </c>
      <c r="CU3120">
        <v>0</v>
      </c>
      <c r="CV3120">
        <v>6</v>
      </c>
      <c r="CW3120" t="s">
        <v>120</v>
      </c>
      <c r="CX3120">
        <v>257</v>
      </c>
      <c r="CY3120">
        <v>0</v>
      </c>
      <c r="CZ3120" t="s">
        <v>615</v>
      </c>
      <c r="DA3120" t="s">
        <v>616</v>
      </c>
      <c r="DD3120">
        <v>16274463</v>
      </c>
      <c r="DE3120" t="s">
        <v>123</v>
      </c>
    </row>
    <row r="3121" spans="1:109" x14ac:dyDescent="0.3">
      <c r="A3121" t="str">
        <f>"19:26:56.266"</f>
        <v>19:26:56.266</v>
      </c>
      <c r="B3121" t="s">
        <v>110</v>
      </c>
      <c r="C3121" t="str">
        <f t="shared" si="144"/>
        <v>ffdfd3c0</v>
      </c>
      <c r="D3121" t="s">
        <v>111</v>
      </c>
      <c r="E3121">
        <v>18</v>
      </c>
      <c r="F3121">
        <v>1018</v>
      </c>
      <c r="G3121" t="s">
        <v>112</v>
      </c>
      <c r="J3121" t="s">
        <v>113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R3121" t="s">
        <v>114</v>
      </c>
      <c r="S3121" t="str">
        <f>"19:26:56.055"</f>
        <v>19:26:56.055</v>
      </c>
      <c r="T3121" t="str">
        <f>"19:26:55.656"</f>
        <v>19:26:55.656</v>
      </c>
      <c r="U3121" t="str">
        <f t="shared" si="145"/>
        <v>a1cdbe</v>
      </c>
      <c r="V3121">
        <v>0</v>
      </c>
      <c r="W3121">
        <v>0</v>
      </c>
      <c r="X3121">
        <v>1</v>
      </c>
      <c r="Y3121">
        <v>0</v>
      </c>
      <c r="Z3121">
        <v>0</v>
      </c>
      <c r="AB3121">
        <v>0</v>
      </c>
      <c r="AC3121">
        <v>9</v>
      </c>
      <c r="AD3121">
        <v>3</v>
      </c>
      <c r="AE3121">
        <v>0</v>
      </c>
      <c r="AF3121">
        <v>9</v>
      </c>
      <c r="AG3121" t="s">
        <v>158</v>
      </c>
      <c r="AH3121">
        <v>0</v>
      </c>
      <c r="AI3121">
        <v>3</v>
      </c>
      <c r="AJ3121">
        <v>1</v>
      </c>
      <c r="AK3121">
        <v>0</v>
      </c>
      <c r="AL3121" t="s">
        <v>5874</v>
      </c>
      <c r="AM3121">
        <v>46.993288999999997</v>
      </c>
      <c r="AN3121" t="s">
        <v>5875</v>
      </c>
      <c r="AO3121">
        <v>-123.584926</v>
      </c>
      <c r="AP3121">
        <v>100</v>
      </c>
      <c r="AQ3121">
        <v>2100</v>
      </c>
      <c r="AR3121" t="s">
        <v>118</v>
      </c>
      <c r="AS3121">
        <v>-75</v>
      </c>
      <c r="AT3121">
        <v>21</v>
      </c>
      <c r="AU3121">
        <v>128</v>
      </c>
      <c r="BC3121">
        <v>1200</v>
      </c>
      <c r="BD3121">
        <v>1</v>
      </c>
      <c r="BE3121" t="str">
        <f t="shared" si="146"/>
        <v xml:space="preserve">N215T   </v>
      </c>
      <c r="BF3121">
        <v>1</v>
      </c>
      <c r="BH3121">
        <v>0</v>
      </c>
      <c r="BI3121">
        <v>0</v>
      </c>
      <c r="BJ3121">
        <v>0</v>
      </c>
      <c r="BK3121">
        <v>2500</v>
      </c>
      <c r="BL3121">
        <v>400</v>
      </c>
      <c r="BM3121" t="s">
        <v>119</v>
      </c>
      <c r="BN3121">
        <v>1</v>
      </c>
      <c r="BO3121">
        <v>1</v>
      </c>
      <c r="BP3121">
        <v>1</v>
      </c>
      <c r="BQ3121">
        <v>0</v>
      </c>
      <c r="BT3121">
        <v>0</v>
      </c>
      <c r="BU3121">
        <v>0</v>
      </c>
      <c r="BV3121">
        <v>0</v>
      </c>
      <c r="CC3121" t="str">
        <f>"19:26:56.063"</f>
        <v>19:26:56.063</v>
      </c>
      <c r="CD3121" t="str">
        <f>"060040337"</f>
        <v>060040337</v>
      </c>
      <c r="CQ3121">
        <v>0</v>
      </c>
      <c r="CR3121">
        <v>2</v>
      </c>
      <c r="CS3121">
        <v>0</v>
      </c>
      <c r="CT3121">
        <v>2</v>
      </c>
      <c r="CU3121">
        <v>0</v>
      </c>
      <c r="CV3121">
        <v>6</v>
      </c>
      <c r="CW3121" t="s">
        <v>120</v>
      </c>
      <c r="CX3121">
        <v>257</v>
      </c>
      <c r="CY3121">
        <v>0</v>
      </c>
      <c r="CZ3121" t="s">
        <v>615</v>
      </c>
      <c r="DA3121" t="s">
        <v>616</v>
      </c>
      <c r="DD3121">
        <v>16275025</v>
      </c>
      <c r="DE3121" t="s">
        <v>123</v>
      </c>
    </row>
    <row r="3122" spans="1:109" x14ac:dyDescent="0.3">
      <c r="A3122" t="str">
        <f>"19:26:57.422"</f>
        <v>19:26:57.422</v>
      </c>
      <c r="B3122" t="s">
        <v>110</v>
      </c>
      <c r="C3122" t="str">
        <f t="shared" si="144"/>
        <v>ffdfd3c0</v>
      </c>
      <c r="D3122" t="s">
        <v>111</v>
      </c>
      <c r="E3122">
        <v>18</v>
      </c>
      <c r="F3122">
        <v>1018</v>
      </c>
      <c r="G3122" t="s">
        <v>112</v>
      </c>
      <c r="J3122" t="s">
        <v>113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R3122" t="s">
        <v>114</v>
      </c>
      <c r="S3122" t="str">
        <f>"19:26:57.180"</f>
        <v>19:26:57.180</v>
      </c>
      <c r="T3122" t="str">
        <f>"19:26:57.180"</f>
        <v>19:26:57.180</v>
      </c>
      <c r="U3122" t="str">
        <f t="shared" si="145"/>
        <v>a1cdbe</v>
      </c>
      <c r="V3122">
        <v>0</v>
      </c>
      <c r="W3122">
        <v>0</v>
      </c>
      <c r="X3122">
        <v>1</v>
      </c>
      <c r="Y3122">
        <v>0</v>
      </c>
      <c r="Z3122">
        <v>0</v>
      </c>
      <c r="AB3122">
        <v>0</v>
      </c>
      <c r="AC3122">
        <v>9</v>
      </c>
      <c r="AD3122">
        <v>3</v>
      </c>
      <c r="AE3122">
        <v>0</v>
      </c>
      <c r="AF3122">
        <v>9</v>
      </c>
      <c r="AG3122" t="s">
        <v>158</v>
      </c>
      <c r="AH3122">
        <v>0</v>
      </c>
      <c r="AI3122">
        <v>3</v>
      </c>
      <c r="AJ3122">
        <v>1</v>
      </c>
      <c r="AK3122">
        <v>0</v>
      </c>
      <c r="AL3122" t="s">
        <v>5876</v>
      </c>
      <c r="AM3122">
        <v>46.993375</v>
      </c>
      <c r="AN3122" t="s">
        <v>5877</v>
      </c>
      <c r="AO3122">
        <v>-123.58548399999999</v>
      </c>
      <c r="AP3122">
        <v>100</v>
      </c>
      <c r="AQ3122">
        <v>2100</v>
      </c>
      <c r="AR3122" t="s">
        <v>118</v>
      </c>
      <c r="AS3122">
        <v>-74</v>
      </c>
      <c r="AT3122">
        <v>21</v>
      </c>
      <c r="AU3122">
        <v>128</v>
      </c>
      <c r="BC3122">
        <v>1200</v>
      </c>
      <c r="BD3122">
        <v>1</v>
      </c>
      <c r="BE3122" t="str">
        <f t="shared" si="146"/>
        <v xml:space="preserve">N215T   </v>
      </c>
      <c r="BF3122">
        <v>1</v>
      </c>
      <c r="BH3122">
        <v>0</v>
      </c>
      <c r="BI3122">
        <v>0</v>
      </c>
      <c r="BJ3122">
        <v>0</v>
      </c>
      <c r="BK3122">
        <v>2500</v>
      </c>
      <c r="BL3122">
        <v>400</v>
      </c>
      <c r="BM3122" t="s">
        <v>119</v>
      </c>
      <c r="BN3122">
        <v>1</v>
      </c>
      <c r="BO3122">
        <v>1</v>
      </c>
      <c r="BP3122">
        <v>1</v>
      </c>
      <c r="BQ3122">
        <v>0</v>
      </c>
      <c r="BT3122">
        <v>0</v>
      </c>
      <c r="BU3122">
        <v>0</v>
      </c>
      <c r="BV3122">
        <v>0</v>
      </c>
      <c r="CC3122" t="str">
        <f>"19:26:57.188"</f>
        <v>19:26:57.188</v>
      </c>
      <c r="CD3122" t="str">
        <f>"184929496"</f>
        <v>184929496</v>
      </c>
      <c r="CQ3122">
        <v>0</v>
      </c>
      <c r="CR3122">
        <v>2</v>
      </c>
      <c r="CS3122">
        <v>0</v>
      </c>
      <c r="CT3122">
        <v>2</v>
      </c>
      <c r="CU3122">
        <v>0</v>
      </c>
      <c r="CV3122">
        <v>6</v>
      </c>
      <c r="CW3122" t="s">
        <v>120</v>
      </c>
      <c r="CX3122">
        <v>257</v>
      </c>
      <c r="CY3122">
        <v>0</v>
      </c>
      <c r="CZ3122" t="s">
        <v>615</v>
      </c>
      <c r="DA3122" t="s">
        <v>616</v>
      </c>
      <c r="DD3122">
        <v>16275640</v>
      </c>
      <c r="DE3122" t="s">
        <v>123</v>
      </c>
    </row>
    <row r="3123" spans="1:109" x14ac:dyDescent="0.3">
      <c r="A3123" t="str">
        <f>"19:26:58.320"</f>
        <v>19:26:58.320</v>
      </c>
      <c r="B3123" t="s">
        <v>110</v>
      </c>
      <c r="C3123" t="str">
        <f t="shared" si="144"/>
        <v>ffdfd3c0</v>
      </c>
      <c r="D3123" t="s">
        <v>111</v>
      </c>
      <c r="E3123">
        <v>18</v>
      </c>
      <c r="F3123">
        <v>1018</v>
      </c>
      <c r="G3123" t="s">
        <v>112</v>
      </c>
      <c r="J3123" t="s">
        <v>113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R3123" t="s">
        <v>114</v>
      </c>
      <c r="S3123" t="str">
        <f>"19:26:58.055"</f>
        <v>19:26:58.055</v>
      </c>
      <c r="T3123" t="str">
        <f>"19:26:57.758"</f>
        <v>19:26:57.758</v>
      </c>
      <c r="U3123" t="str">
        <f t="shared" si="145"/>
        <v>a1cdbe</v>
      </c>
      <c r="V3123">
        <v>0</v>
      </c>
      <c r="W3123">
        <v>0</v>
      </c>
      <c r="X3123">
        <v>1</v>
      </c>
      <c r="Y3123">
        <v>0</v>
      </c>
      <c r="Z3123">
        <v>0</v>
      </c>
      <c r="AB3123">
        <v>0</v>
      </c>
      <c r="AC3123">
        <v>9</v>
      </c>
      <c r="AD3123">
        <v>3</v>
      </c>
      <c r="AE3123">
        <v>0</v>
      </c>
      <c r="AF3123">
        <v>9</v>
      </c>
      <c r="AG3123" t="s">
        <v>158</v>
      </c>
      <c r="AH3123">
        <v>0</v>
      </c>
      <c r="AI3123">
        <v>3</v>
      </c>
      <c r="AJ3123">
        <v>1</v>
      </c>
      <c r="AK3123">
        <v>0</v>
      </c>
      <c r="AL3123" t="s">
        <v>857</v>
      </c>
      <c r="AM3123">
        <v>46.993461000000003</v>
      </c>
      <c r="AN3123" t="s">
        <v>5878</v>
      </c>
      <c r="AO3123">
        <v>-123.585956</v>
      </c>
      <c r="AP3123">
        <v>100</v>
      </c>
      <c r="AQ3123">
        <v>2100</v>
      </c>
      <c r="AR3123" t="s">
        <v>118</v>
      </c>
      <c r="AS3123">
        <v>-74</v>
      </c>
      <c r="AT3123">
        <v>21</v>
      </c>
      <c r="AU3123">
        <v>128</v>
      </c>
      <c r="BC3123">
        <v>1200</v>
      </c>
      <c r="BD3123">
        <v>1</v>
      </c>
      <c r="BE3123" t="str">
        <f t="shared" si="146"/>
        <v xml:space="preserve">N215T   </v>
      </c>
      <c r="BF3123">
        <v>1</v>
      </c>
      <c r="BH3123">
        <v>0</v>
      </c>
      <c r="BI3123">
        <v>0</v>
      </c>
      <c r="BJ3123">
        <v>0</v>
      </c>
      <c r="BK3123">
        <v>2500</v>
      </c>
      <c r="BL3123">
        <v>400</v>
      </c>
      <c r="BM3123" t="s">
        <v>119</v>
      </c>
      <c r="BN3123">
        <v>1</v>
      </c>
      <c r="BO3123">
        <v>1</v>
      </c>
      <c r="BP3123">
        <v>1</v>
      </c>
      <c r="BQ3123">
        <v>0</v>
      </c>
      <c r="BT3123">
        <v>0</v>
      </c>
      <c r="BU3123">
        <v>0</v>
      </c>
      <c r="BV3123">
        <v>0</v>
      </c>
      <c r="CC3123" t="str">
        <f>"19:26:58.055"</f>
        <v>19:26:58.055</v>
      </c>
      <c r="CD3123" t="str">
        <f>"054843770"</f>
        <v>054843770</v>
      </c>
      <c r="CQ3123">
        <v>0</v>
      </c>
      <c r="CR3123">
        <v>2</v>
      </c>
      <c r="CS3123">
        <v>0</v>
      </c>
      <c r="CT3123">
        <v>2</v>
      </c>
      <c r="CU3123">
        <v>0</v>
      </c>
      <c r="CV3123">
        <v>6</v>
      </c>
      <c r="CW3123" t="s">
        <v>120</v>
      </c>
      <c r="CX3123">
        <v>257</v>
      </c>
      <c r="CY3123">
        <v>0</v>
      </c>
      <c r="CZ3123" t="s">
        <v>615</v>
      </c>
      <c r="DA3123" t="s">
        <v>616</v>
      </c>
      <c r="DD3123">
        <v>16276100</v>
      </c>
      <c r="DE3123" t="s">
        <v>123</v>
      </c>
    </row>
    <row r="3124" spans="1:109" x14ac:dyDescent="0.3">
      <c r="A3124" t="str">
        <f>"19:26:59.227"</f>
        <v>19:26:59.227</v>
      </c>
      <c r="B3124" t="s">
        <v>110</v>
      </c>
      <c r="C3124" t="str">
        <f t="shared" si="144"/>
        <v>ffdfd3c0</v>
      </c>
      <c r="D3124" t="s">
        <v>111</v>
      </c>
      <c r="E3124">
        <v>18</v>
      </c>
      <c r="F3124">
        <v>1018</v>
      </c>
      <c r="G3124" t="s">
        <v>112</v>
      </c>
      <c r="J3124" t="s">
        <v>113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R3124" t="s">
        <v>114</v>
      </c>
      <c r="S3124" t="str">
        <f>"19:26:58.953"</f>
        <v>19:26:58.953</v>
      </c>
      <c r="T3124" t="str">
        <f>"19:26:58.750"</f>
        <v>19:26:58.750</v>
      </c>
      <c r="U3124" t="str">
        <f t="shared" si="145"/>
        <v>a1cdbe</v>
      </c>
      <c r="V3124">
        <v>0</v>
      </c>
      <c r="W3124">
        <v>0</v>
      </c>
      <c r="X3124">
        <v>1</v>
      </c>
      <c r="Y3124">
        <v>0</v>
      </c>
      <c r="Z3124">
        <v>0</v>
      </c>
      <c r="AB3124">
        <v>0</v>
      </c>
      <c r="AC3124">
        <v>9</v>
      </c>
      <c r="AD3124">
        <v>3</v>
      </c>
      <c r="AE3124">
        <v>0</v>
      </c>
      <c r="AF3124">
        <v>9</v>
      </c>
      <c r="AG3124" t="s">
        <v>158</v>
      </c>
      <c r="AH3124">
        <v>0</v>
      </c>
      <c r="AI3124">
        <v>3</v>
      </c>
      <c r="AJ3124">
        <v>1</v>
      </c>
      <c r="AK3124">
        <v>0</v>
      </c>
      <c r="AL3124" t="s">
        <v>5879</v>
      </c>
      <c r="AM3124">
        <v>46.993568000000003</v>
      </c>
      <c r="AN3124" t="s">
        <v>5880</v>
      </c>
      <c r="AO3124">
        <v>-123.586364</v>
      </c>
      <c r="AP3124">
        <v>100</v>
      </c>
      <c r="AQ3124">
        <v>2100</v>
      </c>
      <c r="AR3124" t="s">
        <v>118</v>
      </c>
      <c r="AS3124">
        <v>-74</v>
      </c>
      <c r="AT3124">
        <v>21</v>
      </c>
      <c r="AU3124">
        <v>128</v>
      </c>
      <c r="BC3124">
        <v>1200</v>
      </c>
      <c r="BD3124">
        <v>1</v>
      </c>
      <c r="BE3124" t="str">
        <f t="shared" si="146"/>
        <v xml:space="preserve">N215T   </v>
      </c>
      <c r="BF3124">
        <v>1</v>
      </c>
      <c r="BH3124">
        <v>0</v>
      </c>
      <c r="BI3124">
        <v>0</v>
      </c>
      <c r="BJ3124">
        <v>0</v>
      </c>
      <c r="BK3124">
        <v>2500</v>
      </c>
      <c r="BL3124">
        <v>400</v>
      </c>
      <c r="BM3124" t="s">
        <v>119</v>
      </c>
      <c r="BN3124">
        <v>1</v>
      </c>
      <c r="BO3124">
        <v>1</v>
      </c>
      <c r="BP3124">
        <v>1</v>
      </c>
      <c r="BQ3124">
        <v>0</v>
      </c>
      <c r="BT3124">
        <v>0</v>
      </c>
      <c r="BU3124">
        <v>0</v>
      </c>
      <c r="BV3124">
        <v>0</v>
      </c>
      <c r="CC3124" t="str">
        <f>"19:26:58.953"</f>
        <v>19:26:58.953</v>
      </c>
      <c r="CD3124" t="str">
        <f>"954755098"</f>
        <v>954755098</v>
      </c>
      <c r="CQ3124">
        <v>0</v>
      </c>
      <c r="CR3124">
        <v>2</v>
      </c>
      <c r="CS3124">
        <v>0</v>
      </c>
      <c r="CT3124">
        <v>2</v>
      </c>
      <c r="CU3124">
        <v>0</v>
      </c>
      <c r="CV3124">
        <v>6</v>
      </c>
      <c r="CW3124" t="s">
        <v>120</v>
      </c>
      <c r="CX3124">
        <v>257</v>
      </c>
      <c r="CY3124">
        <v>0</v>
      </c>
      <c r="CZ3124" t="s">
        <v>615</v>
      </c>
      <c r="DA3124" t="s">
        <v>616</v>
      </c>
      <c r="DD3124">
        <v>16276554</v>
      </c>
      <c r="DE3124" t="s">
        <v>123</v>
      </c>
    </row>
    <row r="3125" spans="1:109" x14ac:dyDescent="0.3">
      <c r="A3125" t="str">
        <f>"19:27:00.336"</f>
        <v>19:27:00.336</v>
      </c>
      <c r="B3125" t="s">
        <v>110</v>
      </c>
      <c r="C3125" t="str">
        <f t="shared" si="144"/>
        <v>ffdfd3c0</v>
      </c>
      <c r="D3125" t="s">
        <v>111</v>
      </c>
      <c r="E3125">
        <v>18</v>
      </c>
      <c r="F3125">
        <v>1018</v>
      </c>
      <c r="G3125" t="s">
        <v>112</v>
      </c>
      <c r="J3125" t="s">
        <v>113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R3125" t="s">
        <v>114</v>
      </c>
      <c r="S3125" t="str">
        <f>"19:27:00.063"</f>
        <v>19:27:00.063</v>
      </c>
      <c r="T3125" t="str">
        <f>"19:26:59.664"</f>
        <v>19:26:59.664</v>
      </c>
      <c r="U3125" t="str">
        <f t="shared" si="145"/>
        <v>a1cdbe</v>
      </c>
      <c r="V3125">
        <v>0</v>
      </c>
      <c r="W3125">
        <v>0</v>
      </c>
      <c r="X3125">
        <v>1</v>
      </c>
      <c r="Y3125">
        <v>0</v>
      </c>
      <c r="Z3125">
        <v>0</v>
      </c>
      <c r="AB3125">
        <v>0</v>
      </c>
      <c r="AC3125">
        <v>9</v>
      </c>
      <c r="AD3125">
        <v>3</v>
      </c>
      <c r="AE3125">
        <v>0</v>
      </c>
      <c r="AF3125">
        <v>9</v>
      </c>
      <c r="AG3125" t="s">
        <v>158</v>
      </c>
      <c r="AH3125">
        <v>0</v>
      </c>
      <c r="AI3125">
        <v>3</v>
      </c>
      <c r="AJ3125">
        <v>1</v>
      </c>
      <c r="AK3125">
        <v>0</v>
      </c>
      <c r="AL3125" t="s">
        <v>5881</v>
      </c>
      <c r="AM3125">
        <v>46.993653999999999</v>
      </c>
      <c r="AN3125" t="s">
        <v>5882</v>
      </c>
      <c r="AO3125">
        <v>-123.586986</v>
      </c>
      <c r="AP3125">
        <v>100</v>
      </c>
      <c r="AQ3125">
        <v>2100</v>
      </c>
      <c r="AR3125" t="s">
        <v>118</v>
      </c>
      <c r="AS3125">
        <v>-74</v>
      </c>
      <c r="AT3125">
        <v>21</v>
      </c>
      <c r="AU3125">
        <v>64</v>
      </c>
      <c r="BC3125">
        <v>1200</v>
      </c>
      <c r="BD3125">
        <v>1</v>
      </c>
      <c r="BE3125" t="str">
        <f t="shared" si="146"/>
        <v xml:space="preserve">N215T   </v>
      </c>
      <c r="BF3125">
        <v>1</v>
      </c>
      <c r="BH3125">
        <v>0</v>
      </c>
      <c r="BI3125">
        <v>0</v>
      </c>
      <c r="BJ3125">
        <v>0</v>
      </c>
      <c r="BK3125">
        <v>2500</v>
      </c>
      <c r="BL3125">
        <v>400</v>
      </c>
      <c r="BM3125" t="s">
        <v>119</v>
      </c>
      <c r="BN3125">
        <v>1</v>
      </c>
      <c r="BO3125">
        <v>1</v>
      </c>
      <c r="BP3125">
        <v>1</v>
      </c>
      <c r="BQ3125">
        <v>0</v>
      </c>
      <c r="BT3125">
        <v>0</v>
      </c>
      <c r="BU3125">
        <v>0</v>
      </c>
      <c r="BV3125">
        <v>0</v>
      </c>
      <c r="CC3125" t="str">
        <f>"19:27:00.063"</f>
        <v>19:27:00.063</v>
      </c>
      <c r="CD3125" t="str">
        <f>"064645722"</f>
        <v>064645722</v>
      </c>
      <c r="CQ3125">
        <v>0</v>
      </c>
      <c r="CR3125">
        <v>2</v>
      </c>
      <c r="CS3125">
        <v>0</v>
      </c>
      <c r="CT3125">
        <v>2</v>
      </c>
      <c r="CU3125">
        <v>0</v>
      </c>
      <c r="CV3125">
        <v>6</v>
      </c>
      <c r="CW3125" t="s">
        <v>120</v>
      </c>
      <c r="CX3125">
        <v>257</v>
      </c>
      <c r="CY3125">
        <v>0</v>
      </c>
      <c r="CZ3125" t="s">
        <v>615</v>
      </c>
      <c r="DA3125" t="s">
        <v>616</v>
      </c>
      <c r="DD3125">
        <v>16277138</v>
      </c>
      <c r="DE3125" t="s">
        <v>123</v>
      </c>
    </row>
    <row r="3126" spans="1:109" x14ac:dyDescent="0.3">
      <c r="A3126" t="str">
        <f>"19:27:01.438"</f>
        <v>19:27:01.438</v>
      </c>
      <c r="B3126" t="s">
        <v>110</v>
      </c>
      <c r="C3126" t="str">
        <f t="shared" si="144"/>
        <v>ffdfd3c0</v>
      </c>
      <c r="D3126" t="s">
        <v>111</v>
      </c>
      <c r="E3126">
        <v>18</v>
      </c>
      <c r="F3126">
        <v>1018</v>
      </c>
      <c r="G3126" t="s">
        <v>112</v>
      </c>
      <c r="J3126" t="s">
        <v>113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R3126" t="s">
        <v>114</v>
      </c>
      <c r="S3126" t="str">
        <f>"19:27:01.203"</f>
        <v>19:27:01.203</v>
      </c>
      <c r="T3126" t="str">
        <f>"19:27:01.203"</f>
        <v>19:27:01.203</v>
      </c>
      <c r="U3126" t="str">
        <f t="shared" si="145"/>
        <v>a1cdbe</v>
      </c>
      <c r="V3126">
        <v>0</v>
      </c>
      <c r="W3126">
        <v>0</v>
      </c>
      <c r="X3126">
        <v>1</v>
      </c>
      <c r="Y3126">
        <v>0</v>
      </c>
      <c r="Z3126">
        <v>0</v>
      </c>
      <c r="AB3126">
        <v>0</v>
      </c>
      <c r="AC3126">
        <v>9</v>
      </c>
      <c r="AD3126">
        <v>3</v>
      </c>
      <c r="AE3126">
        <v>0</v>
      </c>
      <c r="AF3126">
        <v>9</v>
      </c>
      <c r="AG3126" t="s">
        <v>158</v>
      </c>
      <c r="AH3126">
        <v>0</v>
      </c>
      <c r="AI3126">
        <v>3</v>
      </c>
      <c r="AJ3126">
        <v>1</v>
      </c>
      <c r="AK3126">
        <v>0</v>
      </c>
      <c r="AL3126" t="s">
        <v>5883</v>
      </c>
      <c r="AM3126">
        <v>46.993783000000001</v>
      </c>
      <c r="AN3126" t="s">
        <v>5884</v>
      </c>
      <c r="AO3126">
        <v>-123.58748</v>
      </c>
      <c r="AP3126">
        <v>100</v>
      </c>
      <c r="AQ3126">
        <v>2100</v>
      </c>
      <c r="AR3126" t="s">
        <v>118</v>
      </c>
      <c r="AS3126">
        <v>-74</v>
      </c>
      <c r="AT3126">
        <v>20</v>
      </c>
      <c r="AU3126">
        <v>64</v>
      </c>
      <c r="BC3126">
        <v>1200</v>
      </c>
      <c r="BD3126">
        <v>1</v>
      </c>
      <c r="BE3126" t="str">
        <f t="shared" si="146"/>
        <v xml:space="preserve">N215T   </v>
      </c>
      <c r="BF3126">
        <v>1</v>
      </c>
      <c r="BH3126">
        <v>0</v>
      </c>
      <c r="BI3126">
        <v>0</v>
      </c>
      <c r="BJ3126">
        <v>0</v>
      </c>
      <c r="BK3126">
        <v>2500</v>
      </c>
      <c r="BL3126">
        <v>400</v>
      </c>
      <c r="BM3126" t="s">
        <v>119</v>
      </c>
      <c r="BN3126">
        <v>1</v>
      </c>
      <c r="BO3126">
        <v>1</v>
      </c>
      <c r="BP3126">
        <v>1</v>
      </c>
      <c r="BQ3126">
        <v>0</v>
      </c>
      <c r="BT3126">
        <v>0</v>
      </c>
      <c r="BU3126">
        <v>0</v>
      </c>
      <c r="BV3126">
        <v>0</v>
      </c>
      <c r="CC3126" t="str">
        <f>"19:27:01.203"</f>
        <v>19:27:01.203</v>
      </c>
      <c r="CD3126" t="str">
        <f>"204533394"</f>
        <v>204533394</v>
      </c>
      <c r="CQ3126">
        <v>0</v>
      </c>
      <c r="CR3126">
        <v>2</v>
      </c>
      <c r="CS3126">
        <v>0</v>
      </c>
      <c r="CT3126">
        <v>2</v>
      </c>
      <c r="CU3126">
        <v>0</v>
      </c>
      <c r="CV3126">
        <v>6</v>
      </c>
      <c r="CW3126" t="s">
        <v>120</v>
      </c>
      <c r="CX3126">
        <v>257</v>
      </c>
      <c r="CY3126">
        <v>0</v>
      </c>
      <c r="CZ3126" t="s">
        <v>615</v>
      </c>
      <c r="DA3126" t="s">
        <v>616</v>
      </c>
      <c r="DD3126">
        <v>16277787</v>
      </c>
      <c r="DE3126" t="s">
        <v>123</v>
      </c>
    </row>
    <row r="3127" spans="1:109" x14ac:dyDescent="0.3">
      <c r="A3127" t="str">
        <f>"19:27:02.398"</f>
        <v>19:27:02.398</v>
      </c>
      <c r="B3127" t="s">
        <v>110</v>
      </c>
      <c r="C3127" t="str">
        <f t="shared" si="144"/>
        <v>ffdfd3c0</v>
      </c>
      <c r="D3127" t="s">
        <v>111</v>
      </c>
      <c r="E3127">
        <v>18</v>
      </c>
      <c r="F3127">
        <v>1018</v>
      </c>
      <c r="G3127" t="s">
        <v>112</v>
      </c>
      <c r="J3127" t="s">
        <v>113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R3127" t="s">
        <v>114</v>
      </c>
      <c r="S3127" t="str">
        <f>"19:27:02.164"</f>
        <v>19:27:02.164</v>
      </c>
      <c r="T3127" t="str">
        <f>"19:27:01.664"</f>
        <v>19:27:01.664</v>
      </c>
      <c r="U3127" t="str">
        <f t="shared" si="145"/>
        <v>a1cdbe</v>
      </c>
      <c r="V3127">
        <v>0</v>
      </c>
      <c r="W3127">
        <v>0</v>
      </c>
      <c r="X3127">
        <v>1</v>
      </c>
      <c r="Y3127">
        <v>0</v>
      </c>
      <c r="Z3127">
        <v>0</v>
      </c>
      <c r="AB3127">
        <v>0</v>
      </c>
      <c r="AC3127">
        <v>9</v>
      </c>
      <c r="AD3127">
        <v>3</v>
      </c>
      <c r="AE3127">
        <v>0</v>
      </c>
      <c r="AF3127">
        <v>9</v>
      </c>
      <c r="AG3127" t="s">
        <v>158</v>
      </c>
      <c r="AH3127">
        <v>0</v>
      </c>
      <c r="AI3127">
        <v>3</v>
      </c>
      <c r="AJ3127">
        <v>1</v>
      </c>
      <c r="AK3127">
        <v>0</v>
      </c>
      <c r="AL3127" t="s">
        <v>5885</v>
      </c>
      <c r="AM3127">
        <v>46.993867999999999</v>
      </c>
      <c r="AN3127" t="s">
        <v>5886</v>
      </c>
      <c r="AO3127">
        <v>-123.588016</v>
      </c>
      <c r="AP3127">
        <v>100</v>
      </c>
      <c r="AQ3127">
        <v>2100</v>
      </c>
      <c r="AR3127" t="s">
        <v>118</v>
      </c>
      <c r="AS3127">
        <v>-74</v>
      </c>
      <c r="AT3127">
        <v>20</v>
      </c>
      <c r="AU3127">
        <v>0</v>
      </c>
      <c r="BC3127">
        <v>1200</v>
      </c>
      <c r="BD3127">
        <v>1</v>
      </c>
      <c r="BE3127" t="str">
        <f t="shared" si="146"/>
        <v xml:space="preserve">N215T   </v>
      </c>
      <c r="BF3127">
        <v>1</v>
      </c>
      <c r="BH3127">
        <v>0</v>
      </c>
      <c r="BI3127">
        <v>0</v>
      </c>
      <c r="BJ3127">
        <v>0</v>
      </c>
      <c r="BK3127">
        <v>2500</v>
      </c>
      <c r="BL3127">
        <v>400</v>
      </c>
      <c r="BM3127" t="s">
        <v>119</v>
      </c>
      <c r="BN3127">
        <v>1</v>
      </c>
      <c r="BO3127">
        <v>1</v>
      </c>
      <c r="BP3127">
        <v>1</v>
      </c>
      <c r="BQ3127">
        <v>0</v>
      </c>
      <c r="BT3127">
        <v>0</v>
      </c>
      <c r="BU3127">
        <v>0</v>
      </c>
      <c r="BV3127">
        <v>0</v>
      </c>
      <c r="CC3127" t="str">
        <f>"19:27:02.164"</f>
        <v>19:27:02.164</v>
      </c>
      <c r="CD3127" t="str">
        <f>"164438802"</f>
        <v>164438802</v>
      </c>
      <c r="CQ3127">
        <v>0</v>
      </c>
      <c r="CR3127">
        <v>2</v>
      </c>
      <c r="CS3127">
        <v>0</v>
      </c>
      <c r="CT3127">
        <v>2</v>
      </c>
      <c r="CU3127">
        <v>0</v>
      </c>
      <c r="CV3127">
        <v>6</v>
      </c>
      <c r="CW3127" t="s">
        <v>120</v>
      </c>
      <c r="CX3127">
        <v>257</v>
      </c>
      <c r="CY3127">
        <v>0</v>
      </c>
      <c r="CZ3127" t="s">
        <v>615</v>
      </c>
      <c r="DA3127" t="s">
        <v>616</v>
      </c>
      <c r="DD3127">
        <v>16278267</v>
      </c>
      <c r="DE3127" t="s">
        <v>123</v>
      </c>
    </row>
    <row r="3128" spans="1:109" x14ac:dyDescent="0.3">
      <c r="A3128" t="str">
        <f>"19:27:03.297"</f>
        <v>19:27:03.297</v>
      </c>
      <c r="B3128" t="s">
        <v>110</v>
      </c>
      <c r="C3128" t="str">
        <f t="shared" si="144"/>
        <v>ffdfd3c0</v>
      </c>
      <c r="D3128" t="s">
        <v>111</v>
      </c>
      <c r="E3128">
        <v>18</v>
      </c>
      <c r="F3128">
        <v>1018</v>
      </c>
      <c r="G3128" t="s">
        <v>112</v>
      </c>
      <c r="J3128" t="s">
        <v>113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R3128" t="s">
        <v>114</v>
      </c>
      <c r="S3128" t="str">
        <f>"19:27:03.063"</f>
        <v>19:27:03.063</v>
      </c>
      <c r="T3128" t="str">
        <f>"19:27:02.664"</f>
        <v>19:27:02.664</v>
      </c>
      <c r="U3128" t="str">
        <f t="shared" si="145"/>
        <v>a1cdbe</v>
      </c>
      <c r="V3128">
        <v>0</v>
      </c>
      <c r="W3128">
        <v>0</v>
      </c>
      <c r="X3128">
        <v>1</v>
      </c>
      <c r="Y3128">
        <v>0</v>
      </c>
      <c r="Z3128">
        <v>0</v>
      </c>
      <c r="AB3128">
        <v>0</v>
      </c>
      <c r="AC3128">
        <v>9</v>
      </c>
      <c r="AD3128">
        <v>3</v>
      </c>
      <c r="AE3128">
        <v>0</v>
      </c>
      <c r="AF3128">
        <v>9</v>
      </c>
      <c r="AG3128" t="s">
        <v>158</v>
      </c>
      <c r="AH3128">
        <v>0</v>
      </c>
      <c r="AI3128">
        <v>3</v>
      </c>
      <c r="AJ3128">
        <v>1</v>
      </c>
      <c r="AK3128">
        <v>0</v>
      </c>
      <c r="AL3128" t="s">
        <v>5887</v>
      </c>
      <c r="AM3128">
        <v>46.993932999999998</v>
      </c>
      <c r="AN3128" t="s">
        <v>5888</v>
      </c>
      <c r="AO3128">
        <v>-123.58844499999999</v>
      </c>
      <c r="AP3128">
        <v>100</v>
      </c>
      <c r="AQ3128">
        <v>2100</v>
      </c>
      <c r="AR3128" t="s">
        <v>118</v>
      </c>
      <c r="AS3128">
        <v>-74</v>
      </c>
      <c r="AT3128">
        <v>20</v>
      </c>
      <c r="AU3128">
        <v>0</v>
      </c>
      <c r="BC3128">
        <v>1200</v>
      </c>
      <c r="BD3128">
        <v>1</v>
      </c>
      <c r="BE3128" t="str">
        <f t="shared" si="146"/>
        <v xml:space="preserve">N215T   </v>
      </c>
      <c r="BF3128">
        <v>1</v>
      </c>
      <c r="BH3128">
        <v>0</v>
      </c>
      <c r="BI3128">
        <v>0</v>
      </c>
      <c r="BJ3128">
        <v>0</v>
      </c>
      <c r="BK3128">
        <v>2500</v>
      </c>
      <c r="BL3128">
        <v>400</v>
      </c>
      <c r="BM3128" t="s">
        <v>119</v>
      </c>
      <c r="BN3128">
        <v>1</v>
      </c>
      <c r="BO3128">
        <v>1</v>
      </c>
      <c r="BP3128">
        <v>1</v>
      </c>
      <c r="BQ3128">
        <v>0</v>
      </c>
      <c r="BT3128">
        <v>0</v>
      </c>
      <c r="BU3128">
        <v>0</v>
      </c>
      <c r="BV3128">
        <v>0</v>
      </c>
      <c r="CC3128" t="str">
        <f>"19:27:03.063"</f>
        <v>19:27:03.063</v>
      </c>
      <c r="CD3128" t="str">
        <f>"064350121"</f>
        <v>064350121</v>
      </c>
      <c r="CQ3128">
        <v>0</v>
      </c>
      <c r="CR3128">
        <v>2</v>
      </c>
      <c r="CS3128">
        <v>0</v>
      </c>
      <c r="CT3128">
        <v>2</v>
      </c>
      <c r="CU3128">
        <v>0</v>
      </c>
      <c r="CV3128">
        <v>6</v>
      </c>
      <c r="CW3128" t="s">
        <v>120</v>
      </c>
      <c r="CX3128">
        <v>257</v>
      </c>
      <c r="CY3128">
        <v>0</v>
      </c>
      <c r="CZ3128" t="s">
        <v>615</v>
      </c>
      <c r="DA3128" t="s">
        <v>616</v>
      </c>
      <c r="DD3128">
        <v>16278730</v>
      </c>
      <c r="DE3128" t="s">
        <v>123</v>
      </c>
    </row>
    <row r="3129" spans="1:109" x14ac:dyDescent="0.3">
      <c r="A3129" t="str">
        <f>"19:27:04.258"</f>
        <v>19:27:04.258</v>
      </c>
      <c r="B3129" t="s">
        <v>110</v>
      </c>
      <c r="C3129" t="str">
        <f t="shared" si="144"/>
        <v>ffdfd3c0</v>
      </c>
      <c r="D3129" t="s">
        <v>111</v>
      </c>
      <c r="E3129">
        <v>18</v>
      </c>
      <c r="F3129">
        <v>1018</v>
      </c>
      <c r="G3129" t="s">
        <v>112</v>
      </c>
      <c r="J3129" t="s">
        <v>113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R3129" t="s">
        <v>114</v>
      </c>
      <c r="S3129" t="str">
        <f>"19:27:04.047"</f>
        <v>19:27:04.047</v>
      </c>
      <c r="T3129" t="str">
        <f>"19:27:03.750"</f>
        <v>19:27:03.750</v>
      </c>
      <c r="U3129" t="str">
        <f t="shared" si="145"/>
        <v>a1cdbe</v>
      </c>
      <c r="V3129">
        <v>0</v>
      </c>
      <c r="W3129">
        <v>0</v>
      </c>
      <c r="X3129">
        <v>1</v>
      </c>
      <c r="Y3129">
        <v>0</v>
      </c>
      <c r="Z3129">
        <v>0</v>
      </c>
      <c r="AB3129">
        <v>0</v>
      </c>
      <c r="AC3129">
        <v>9</v>
      </c>
      <c r="AD3129">
        <v>3</v>
      </c>
      <c r="AE3129">
        <v>0</v>
      </c>
      <c r="AF3129">
        <v>9</v>
      </c>
      <c r="AG3129" t="s">
        <v>158</v>
      </c>
      <c r="AH3129">
        <v>0</v>
      </c>
      <c r="AI3129">
        <v>3</v>
      </c>
      <c r="AJ3129">
        <v>1</v>
      </c>
      <c r="AK3129">
        <v>0</v>
      </c>
      <c r="AL3129" t="s">
        <v>5889</v>
      </c>
      <c r="AM3129">
        <v>46.994019000000002</v>
      </c>
      <c r="AN3129" t="s">
        <v>5890</v>
      </c>
      <c r="AO3129">
        <v>-123.588982</v>
      </c>
      <c r="AP3129">
        <v>100</v>
      </c>
      <c r="AQ3129">
        <v>2100</v>
      </c>
      <c r="AR3129" t="s">
        <v>118</v>
      </c>
      <c r="AS3129">
        <v>-75</v>
      </c>
      <c r="AT3129">
        <v>19</v>
      </c>
      <c r="AU3129">
        <v>0</v>
      </c>
      <c r="BC3129">
        <v>1200</v>
      </c>
      <c r="BD3129">
        <v>1</v>
      </c>
      <c r="BE3129" t="str">
        <f t="shared" si="146"/>
        <v xml:space="preserve">N215T   </v>
      </c>
      <c r="BF3129">
        <v>1</v>
      </c>
      <c r="BH3129">
        <v>0</v>
      </c>
      <c r="BI3129">
        <v>0</v>
      </c>
      <c r="BJ3129">
        <v>0</v>
      </c>
      <c r="BK3129">
        <v>2500</v>
      </c>
      <c r="BL3129">
        <v>400</v>
      </c>
      <c r="BM3129" t="s">
        <v>119</v>
      </c>
      <c r="BN3129">
        <v>1</v>
      </c>
      <c r="BO3129">
        <v>1</v>
      </c>
      <c r="BP3129">
        <v>1</v>
      </c>
      <c r="BQ3129">
        <v>0</v>
      </c>
      <c r="BT3129">
        <v>0</v>
      </c>
      <c r="BU3129">
        <v>0</v>
      </c>
      <c r="BV3129">
        <v>0</v>
      </c>
      <c r="CC3129" t="str">
        <f>"19:27:04.055"</f>
        <v>19:27:04.055</v>
      </c>
      <c r="CD3129" t="str">
        <f>"054252570"</f>
        <v>054252570</v>
      </c>
      <c r="CQ3129">
        <v>0</v>
      </c>
      <c r="CR3129">
        <v>2</v>
      </c>
      <c r="CS3129">
        <v>0</v>
      </c>
      <c r="CT3129">
        <v>2</v>
      </c>
      <c r="CU3129">
        <v>0</v>
      </c>
      <c r="CV3129">
        <v>6</v>
      </c>
      <c r="CW3129" t="s">
        <v>120</v>
      </c>
      <c r="CX3129">
        <v>257</v>
      </c>
      <c r="CY3129">
        <v>0</v>
      </c>
      <c r="CZ3129" t="s">
        <v>615</v>
      </c>
      <c r="DA3129" t="s">
        <v>616</v>
      </c>
      <c r="DD3129">
        <v>16279182</v>
      </c>
      <c r="DE3129" t="s">
        <v>123</v>
      </c>
    </row>
    <row r="3130" spans="1:109" x14ac:dyDescent="0.3">
      <c r="A3130" t="str">
        <f>"19:27:05.211"</f>
        <v>19:27:05.211</v>
      </c>
      <c r="B3130" t="s">
        <v>110</v>
      </c>
      <c r="C3130" t="str">
        <f t="shared" si="144"/>
        <v>ffdfd3c0</v>
      </c>
      <c r="D3130" t="s">
        <v>111</v>
      </c>
      <c r="E3130">
        <v>18</v>
      </c>
      <c r="F3130">
        <v>1018</v>
      </c>
      <c r="G3130" t="s">
        <v>112</v>
      </c>
      <c r="J3130" t="s">
        <v>113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R3130" t="s">
        <v>114</v>
      </c>
      <c r="S3130" t="str">
        <f>"19:27:05.008"</f>
        <v>19:27:05.008</v>
      </c>
      <c r="T3130" t="str">
        <f>"19:27:04.711"</f>
        <v>19:27:04.711</v>
      </c>
      <c r="U3130" t="str">
        <f t="shared" si="145"/>
        <v>a1cdbe</v>
      </c>
      <c r="V3130">
        <v>0</v>
      </c>
      <c r="W3130">
        <v>0</v>
      </c>
      <c r="X3130">
        <v>1</v>
      </c>
      <c r="Y3130">
        <v>0</v>
      </c>
      <c r="Z3130">
        <v>0</v>
      </c>
      <c r="AB3130">
        <v>0</v>
      </c>
      <c r="AC3130">
        <v>9</v>
      </c>
      <c r="AD3130">
        <v>3</v>
      </c>
      <c r="AE3130">
        <v>0</v>
      </c>
      <c r="AF3130">
        <v>9</v>
      </c>
      <c r="AG3130" t="s">
        <v>158</v>
      </c>
      <c r="AH3130">
        <v>0</v>
      </c>
      <c r="AI3130">
        <v>3</v>
      </c>
      <c r="AJ3130">
        <v>1</v>
      </c>
      <c r="AK3130">
        <v>0</v>
      </c>
      <c r="AL3130" t="s">
        <v>5891</v>
      </c>
      <c r="AM3130">
        <v>46.994104</v>
      </c>
      <c r="AN3130" t="s">
        <v>5892</v>
      </c>
      <c r="AO3130">
        <v>-123.589432</v>
      </c>
      <c r="AP3130">
        <v>100</v>
      </c>
      <c r="AQ3130">
        <v>2100</v>
      </c>
      <c r="AR3130" t="s">
        <v>118</v>
      </c>
      <c r="AS3130">
        <v>-75</v>
      </c>
      <c r="AT3130">
        <v>19</v>
      </c>
      <c r="AU3130">
        <v>-64</v>
      </c>
      <c r="BC3130">
        <v>1200</v>
      </c>
      <c r="BD3130">
        <v>1</v>
      </c>
      <c r="BE3130" t="str">
        <f t="shared" si="146"/>
        <v xml:space="preserve">N215T   </v>
      </c>
      <c r="BF3130">
        <v>1</v>
      </c>
      <c r="BH3130">
        <v>0</v>
      </c>
      <c r="BI3130">
        <v>0</v>
      </c>
      <c r="BJ3130">
        <v>0</v>
      </c>
      <c r="BK3130">
        <v>2500</v>
      </c>
      <c r="BL3130">
        <v>400</v>
      </c>
      <c r="BM3130" t="s">
        <v>119</v>
      </c>
      <c r="BN3130">
        <v>1</v>
      </c>
      <c r="BO3130">
        <v>1</v>
      </c>
      <c r="BP3130">
        <v>1</v>
      </c>
      <c r="BQ3130">
        <v>0</v>
      </c>
      <c r="BT3130">
        <v>0</v>
      </c>
      <c r="BU3130">
        <v>0</v>
      </c>
      <c r="BV3130">
        <v>0</v>
      </c>
      <c r="CC3130" t="str">
        <f>"19:27:05.016"</f>
        <v>19:27:05.016</v>
      </c>
      <c r="CD3130" t="str">
        <f>"014157977"</f>
        <v>014157977</v>
      </c>
      <c r="CQ3130">
        <v>0</v>
      </c>
      <c r="CR3130">
        <v>2</v>
      </c>
      <c r="CS3130">
        <v>0</v>
      </c>
      <c r="CT3130">
        <v>2</v>
      </c>
      <c r="CU3130">
        <v>0</v>
      </c>
      <c r="CV3130">
        <v>6</v>
      </c>
      <c r="CW3130" t="s">
        <v>120</v>
      </c>
      <c r="CX3130">
        <v>257</v>
      </c>
      <c r="CY3130">
        <v>0</v>
      </c>
      <c r="CZ3130" t="s">
        <v>615</v>
      </c>
      <c r="DA3130" t="s">
        <v>616</v>
      </c>
      <c r="DD3130">
        <v>16279673</v>
      </c>
      <c r="DE3130" t="s">
        <v>123</v>
      </c>
    </row>
    <row r="3131" spans="1:109" x14ac:dyDescent="0.3">
      <c r="A3131" t="str">
        <f>"19:27:06.313"</f>
        <v>19:27:06.313</v>
      </c>
      <c r="B3131" t="s">
        <v>110</v>
      </c>
      <c r="C3131" t="str">
        <f t="shared" si="144"/>
        <v>ffdfd3c0</v>
      </c>
      <c r="D3131" t="s">
        <v>111</v>
      </c>
      <c r="E3131">
        <v>18</v>
      </c>
      <c r="F3131">
        <v>1018</v>
      </c>
      <c r="G3131" t="s">
        <v>112</v>
      </c>
      <c r="J3131" t="s">
        <v>113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R3131" t="s">
        <v>114</v>
      </c>
      <c r="S3131" t="str">
        <f>"19:27:06.031"</f>
        <v>19:27:06.031</v>
      </c>
      <c r="T3131" t="str">
        <f>"19:27:05.633"</f>
        <v>19:27:05.633</v>
      </c>
      <c r="U3131" t="str">
        <f t="shared" si="145"/>
        <v>a1cdbe</v>
      </c>
      <c r="V3131">
        <v>0</v>
      </c>
      <c r="W3131">
        <v>0</v>
      </c>
      <c r="X3131">
        <v>1</v>
      </c>
      <c r="Y3131">
        <v>0</v>
      </c>
      <c r="Z3131">
        <v>0</v>
      </c>
      <c r="AB3131">
        <v>0</v>
      </c>
      <c r="AC3131">
        <v>9</v>
      </c>
      <c r="AD3131">
        <v>3</v>
      </c>
      <c r="AE3131">
        <v>0</v>
      </c>
      <c r="AF3131">
        <v>9</v>
      </c>
      <c r="AG3131" t="s">
        <v>158</v>
      </c>
      <c r="AH3131">
        <v>0</v>
      </c>
      <c r="AI3131">
        <v>3</v>
      </c>
      <c r="AJ3131">
        <v>1</v>
      </c>
      <c r="AK3131">
        <v>0</v>
      </c>
      <c r="AL3131" t="s">
        <v>5893</v>
      </c>
      <c r="AM3131">
        <v>46.994211999999997</v>
      </c>
      <c r="AN3131" t="s">
        <v>5894</v>
      </c>
      <c r="AO3131">
        <v>-123.589947</v>
      </c>
      <c r="AP3131">
        <v>100</v>
      </c>
      <c r="AQ3131">
        <v>2100</v>
      </c>
      <c r="AR3131" t="s">
        <v>118</v>
      </c>
      <c r="AS3131">
        <v>-75</v>
      </c>
      <c r="AT3131">
        <v>18</v>
      </c>
      <c r="AU3131">
        <v>-64</v>
      </c>
      <c r="BC3131">
        <v>1200</v>
      </c>
      <c r="BD3131">
        <v>1</v>
      </c>
      <c r="BE3131" t="str">
        <f t="shared" si="146"/>
        <v xml:space="preserve">N215T   </v>
      </c>
      <c r="BF3131">
        <v>1</v>
      </c>
      <c r="BH3131">
        <v>0</v>
      </c>
      <c r="BI3131">
        <v>0</v>
      </c>
      <c r="BJ3131">
        <v>0</v>
      </c>
      <c r="BK3131">
        <v>2500</v>
      </c>
      <c r="BL3131">
        <v>400</v>
      </c>
      <c r="BM3131" t="s">
        <v>119</v>
      </c>
      <c r="BN3131">
        <v>1</v>
      </c>
      <c r="BO3131">
        <v>1</v>
      </c>
      <c r="BP3131">
        <v>1</v>
      </c>
      <c r="BQ3131">
        <v>0</v>
      </c>
      <c r="BT3131">
        <v>0</v>
      </c>
      <c r="BU3131">
        <v>0</v>
      </c>
      <c r="BV3131">
        <v>0</v>
      </c>
      <c r="CC3131" t="str">
        <f>"19:27:06.031"</f>
        <v>19:27:06.031</v>
      </c>
      <c r="CD3131" t="str">
        <f>"034057460"</f>
        <v>034057460</v>
      </c>
      <c r="CQ3131">
        <v>0</v>
      </c>
      <c r="CR3131">
        <v>2</v>
      </c>
      <c r="CS3131">
        <v>0</v>
      </c>
      <c r="CT3131">
        <v>2</v>
      </c>
      <c r="CU3131">
        <v>0</v>
      </c>
      <c r="CV3131">
        <v>6</v>
      </c>
      <c r="CW3131" t="s">
        <v>120</v>
      </c>
      <c r="CX3131">
        <v>257</v>
      </c>
      <c r="CY3131">
        <v>0</v>
      </c>
      <c r="CZ3131" t="s">
        <v>615</v>
      </c>
      <c r="DA3131" t="s">
        <v>616</v>
      </c>
      <c r="DD3131">
        <v>16280223</v>
      </c>
      <c r="DE3131" t="s">
        <v>123</v>
      </c>
    </row>
    <row r="3132" spans="1:109" x14ac:dyDescent="0.3">
      <c r="A3132" t="str">
        <f>"19:27:07.375"</f>
        <v>19:27:07.375</v>
      </c>
      <c r="B3132" t="s">
        <v>110</v>
      </c>
      <c r="C3132" t="str">
        <f t="shared" si="144"/>
        <v>ffdfd3c0</v>
      </c>
      <c r="D3132" t="s">
        <v>111</v>
      </c>
      <c r="E3132">
        <v>18</v>
      </c>
      <c r="F3132">
        <v>1018</v>
      </c>
      <c r="G3132" t="s">
        <v>112</v>
      </c>
      <c r="J3132" t="s">
        <v>113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R3132" t="s">
        <v>114</v>
      </c>
      <c r="S3132" t="str">
        <f>"19:27:07.156"</f>
        <v>19:27:07.156</v>
      </c>
      <c r="T3132" t="str">
        <f>"19:27:06.758"</f>
        <v>19:27:06.758</v>
      </c>
      <c r="U3132" t="str">
        <f t="shared" si="145"/>
        <v>a1cdbe</v>
      </c>
      <c r="V3132">
        <v>0</v>
      </c>
      <c r="W3132">
        <v>0</v>
      </c>
      <c r="X3132">
        <v>1</v>
      </c>
      <c r="Y3132">
        <v>0</v>
      </c>
      <c r="Z3132">
        <v>0</v>
      </c>
      <c r="AB3132">
        <v>0</v>
      </c>
      <c r="AC3132">
        <v>9</v>
      </c>
      <c r="AD3132">
        <v>3</v>
      </c>
      <c r="AE3132">
        <v>0</v>
      </c>
      <c r="AF3132">
        <v>9</v>
      </c>
      <c r="AG3132" t="s">
        <v>158</v>
      </c>
      <c r="AH3132">
        <v>0</v>
      </c>
      <c r="AI3132">
        <v>3</v>
      </c>
      <c r="AJ3132">
        <v>1</v>
      </c>
      <c r="AK3132">
        <v>0</v>
      </c>
      <c r="AL3132" t="s">
        <v>5895</v>
      </c>
      <c r="AM3132">
        <v>46.994298000000001</v>
      </c>
      <c r="AN3132" t="s">
        <v>5896</v>
      </c>
      <c r="AO3132">
        <v>-123.590569</v>
      </c>
      <c r="AP3132">
        <v>100</v>
      </c>
      <c r="AQ3132">
        <v>2100</v>
      </c>
      <c r="AR3132" t="s">
        <v>118</v>
      </c>
      <c r="AS3132">
        <v>-76</v>
      </c>
      <c r="AT3132">
        <v>18</v>
      </c>
      <c r="AU3132">
        <v>-64</v>
      </c>
      <c r="BC3132">
        <v>1200</v>
      </c>
      <c r="BD3132">
        <v>1</v>
      </c>
      <c r="BE3132" t="str">
        <f t="shared" si="146"/>
        <v xml:space="preserve">N215T   </v>
      </c>
      <c r="BF3132">
        <v>1</v>
      </c>
      <c r="BH3132">
        <v>0</v>
      </c>
      <c r="BI3132">
        <v>0</v>
      </c>
      <c r="BJ3132">
        <v>0</v>
      </c>
      <c r="BK3132">
        <v>2500</v>
      </c>
      <c r="BL3132">
        <v>400</v>
      </c>
      <c r="BM3132" t="s">
        <v>119</v>
      </c>
      <c r="BN3132">
        <v>1</v>
      </c>
      <c r="BO3132">
        <v>1</v>
      </c>
      <c r="BP3132">
        <v>1</v>
      </c>
      <c r="BQ3132">
        <v>0</v>
      </c>
      <c r="BT3132">
        <v>0</v>
      </c>
      <c r="BU3132">
        <v>0</v>
      </c>
      <c r="BV3132">
        <v>0</v>
      </c>
      <c r="CC3132" t="str">
        <f>"19:27:07.156"</f>
        <v>19:27:07.156</v>
      </c>
      <c r="CD3132" t="str">
        <f>"158946600"</f>
        <v>158946600</v>
      </c>
      <c r="CQ3132">
        <v>0</v>
      </c>
      <c r="CR3132">
        <v>2</v>
      </c>
      <c r="CS3132">
        <v>0</v>
      </c>
      <c r="CT3132">
        <v>2</v>
      </c>
      <c r="CU3132">
        <v>0</v>
      </c>
      <c r="CV3132">
        <v>6</v>
      </c>
      <c r="CW3132" t="s">
        <v>120</v>
      </c>
      <c r="CX3132">
        <v>257</v>
      </c>
      <c r="CY3132">
        <v>0</v>
      </c>
      <c r="CZ3132" t="s">
        <v>615</v>
      </c>
      <c r="DA3132" t="s">
        <v>616</v>
      </c>
      <c r="DD3132">
        <v>16280777</v>
      </c>
      <c r="DE3132" t="s">
        <v>123</v>
      </c>
    </row>
    <row r="3133" spans="1:109" x14ac:dyDescent="0.3">
      <c r="A3133" t="str">
        <f>"19:27:08.328"</f>
        <v>19:27:08.328</v>
      </c>
      <c r="B3133" t="s">
        <v>110</v>
      </c>
      <c r="C3133" t="str">
        <f t="shared" si="144"/>
        <v>ffdfd3c0</v>
      </c>
      <c r="D3133" t="s">
        <v>111</v>
      </c>
      <c r="E3133">
        <v>18</v>
      </c>
      <c r="F3133">
        <v>1018</v>
      </c>
      <c r="G3133" t="s">
        <v>112</v>
      </c>
      <c r="J3133" t="s">
        <v>113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R3133" t="s">
        <v>114</v>
      </c>
      <c r="S3133" t="str">
        <f>"19:27:08.117"</f>
        <v>19:27:08.117</v>
      </c>
      <c r="T3133" t="str">
        <f>"19:27:07.719"</f>
        <v>19:27:07.719</v>
      </c>
      <c r="U3133" t="str">
        <f t="shared" si="145"/>
        <v>a1cdbe</v>
      </c>
      <c r="V3133">
        <v>0</v>
      </c>
      <c r="W3133">
        <v>0</v>
      </c>
      <c r="X3133">
        <v>1</v>
      </c>
      <c r="Y3133">
        <v>0</v>
      </c>
      <c r="Z3133">
        <v>0</v>
      </c>
      <c r="AB3133">
        <v>0</v>
      </c>
      <c r="AC3133">
        <v>9</v>
      </c>
      <c r="AD3133">
        <v>3</v>
      </c>
      <c r="AE3133">
        <v>0</v>
      </c>
      <c r="AF3133">
        <v>9</v>
      </c>
      <c r="AG3133" t="s">
        <v>158</v>
      </c>
      <c r="AH3133">
        <v>0</v>
      </c>
      <c r="AI3133">
        <v>3</v>
      </c>
      <c r="AJ3133">
        <v>1</v>
      </c>
      <c r="AK3133">
        <v>0</v>
      </c>
      <c r="AL3133" t="s">
        <v>5897</v>
      </c>
      <c r="AM3133">
        <v>46.994382999999999</v>
      </c>
      <c r="AN3133" t="s">
        <v>5898</v>
      </c>
      <c r="AO3133">
        <v>-123.591042</v>
      </c>
      <c r="AP3133">
        <v>100</v>
      </c>
      <c r="AQ3133">
        <v>2100</v>
      </c>
      <c r="AR3133" t="s">
        <v>118</v>
      </c>
      <c r="AS3133">
        <v>-76</v>
      </c>
      <c r="AT3133">
        <v>18</v>
      </c>
      <c r="AU3133">
        <v>0</v>
      </c>
      <c r="BC3133">
        <v>1200</v>
      </c>
      <c r="BD3133">
        <v>1</v>
      </c>
      <c r="BE3133" t="str">
        <f t="shared" si="146"/>
        <v xml:space="preserve">N215T   </v>
      </c>
      <c r="BF3133">
        <v>1</v>
      </c>
      <c r="BH3133">
        <v>0</v>
      </c>
      <c r="BI3133">
        <v>0</v>
      </c>
      <c r="BJ3133">
        <v>0</v>
      </c>
      <c r="BK3133">
        <v>2500</v>
      </c>
      <c r="BL3133">
        <v>400</v>
      </c>
      <c r="BM3133" t="s">
        <v>119</v>
      </c>
      <c r="BN3133">
        <v>1</v>
      </c>
      <c r="BO3133">
        <v>1</v>
      </c>
      <c r="BP3133">
        <v>1</v>
      </c>
      <c r="BQ3133">
        <v>0</v>
      </c>
      <c r="BT3133">
        <v>0</v>
      </c>
      <c r="BU3133">
        <v>0</v>
      </c>
      <c r="BV3133">
        <v>0</v>
      </c>
      <c r="CC3133" t="str">
        <f>"19:27:08.117"</f>
        <v>19:27:08.117</v>
      </c>
      <c r="CD3133" t="str">
        <f>"118851996"</f>
        <v>118851996</v>
      </c>
      <c r="CQ3133">
        <v>0</v>
      </c>
      <c r="CR3133">
        <v>2</v>
      </c>
      <c r="CS3133">
        <v>0</v>
      </c>
      <c r="CT3133">
        <v>2</v>
      </c>
      <c r="CU3133">
        <v>0</v>
      </c>
      <c r="CV3133">
        <v>6</v>
      </c>
      <c r="CW3133" t="s">
        <v>120</v>
      </c>
      <c r="CX3133">
        <v>257</v>
      </c>
      <c r="CY3133">
        <v>0</v>
      </c>
      <c r="CZ3133" t="s">
        <v>615</v>
      </c>
      <c r="DA3133" t="s">
        <v>616</v>
      </c>
      <c r="DD3133">
        <v>16281234</v>
      </c>
      <c r="DE3133" t="s">
        <v>123</v>
      </c>
    </row>
    <row r="3134" spans="1:109" x14ac:dyDescent="0.3">
      <c r="A3134" t="str">
        <f>"19:27:09.383"</f>
        <v>19:27:09.383</v>
      </c>
      <c r="B3134" t="s">
        <v>110</v>
      </c>
      <c r="C3134" t="str">
        <f t="shared" si="144"/>
        <v>ffdfd3c0</v>
      </c>
      <c r="D3134" t="s">
        <v>111</v>
      </c>
      <c r="E3134">
        <v>18</v>
      </c>
      <c r="F3134">
        <v>1018</v>
      </c>
      <c r="G3134" t="s">
        <v>112</v>
      </c>
      <c r="J3134" t="s">
        <v>113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R3134" t="s">
        <v>114</v>
      </c>
      <c r="S3134" t="str">
        <f>"19:27:09.102"</f>
        <v>19:27:09.102</v>
      </c>
      <c r="T3134" t="str">
        <f>"19:27:08.703"</f>
        <v>19:27:08.703</v>
      </c>
      <c r="U3134" t="str">
        <f t="shared" si="145"/>
        <v>a1cdbe</v>
      </c>
      <c r="V3134">
        <v>0</v>
      </c>
      <c r="W3134">
        <v>0</v>
      </c>
      <c r="X3134">
        <v>1</v>
      </c>
      <c r="Y3134">
        <v>0</v>
      </c>
      <c r="Z3134">
        <v>0</v>
      </c>
      <c r="AB3134">
        <v>0</v>
      </c>
      <c r="AC3134">
        <v>9</v>
      </c>
      <c r="AD3134">
        <v>3</v>
      </c>
      <c r="AE3134">
        <v>0</v>
      </c>
      <c r="AF3134">
        <v>9</v>
      </c>
      <c r="AG3134" t="s">
        <v>158</v>
      </c>
      <c r="AH3134">
        <v>0</v>
      </c>
      <c r="AI3134">
        <v>3</v>
      </c>
      <c r="AJ3134">
        <v>1</v>
      </c>
      <c r="AK3134">
        <v>0</v>
      </c>
      <c r="AL3134" t="s">
        <v>5899</v>
      </c>
      <c r="AM3134">
        <v>46.994447999999998</v>
      </c>
      <c r="AN3134" t="s">
        <v>5900</v>
      </c>
      <c r="AO3134">
        <v>-123.59153499999999</v>
      </c>
      <c r="AP3134">
        <v>100</v>
      </c>
      <c r="AQ3134">
        <v>2100</v>
      </c>
      <c r="AR3134" t="s">
        <v>118</v>
      </c>
      <c r="AS3134">
        <v>-76</v>
      </c>
      <c r="AT3134">
        <v>18</v>
      </c>
      <c r="AU3134">
        <v>0</v>
      </c>
      <c r="BC3134">
        <v>1200</v>
      </c>
      <c r="BD3134">
        <v>1</v>
      </c>
      <c r="BE3134" t="str">
        <f t="shared" si="146"/>
        <v xml:space="preserve">N215T   </v>
      </c>
      <c r="BF3134">
        <v>1</v>
      </c>
      <c r="BH3134">
        <v>0</v>
      </c>
      <c r="BI3134">
        <v>0</v>
      </c>
      <c r="BJ3134">
        <v>0</v>
      </c>
      <c r="BK3134">
        <v>2500</v>
      </c>
      <c r="BL3134">
        <v>400</v>
      </c>
      <c r="BM3134" t="s">
        <v>119</v>
      </c>
      <c r="BN3134">
        <v>1</v>
      </c>
      <c r="BO3134">
        <v>1</v>
      </c>
      <c r="BP3134">
        <v>1</v>
      </c>
      <c r="BQ3134">
        <v>0</v>
      </c>
      <c r="BT3134">
        <v>0</v>
      </c>
      <c r="BU3134">
        <v>0</v>
      </c>
      <c r="BV3134">
        <v>0</v>
      </c>
      <c r="CC3134" t="str">
        <f>"19:27:09.109"</f>
        <v>19:27:09.109</v>
      </c>
      <c r="CD3134" t="str">
        <f>"108754454"</f>
        <v>108754454</v>
      </c>
      <c r="CQ3134">
        <v>0</v>
      </c>
      <c r="CR3134">
        <v>2</v>
      </c>
      <c r="CS3134">
        <v>0</v>
      </c>
      <c r="CT3134">
        <v>2</v>
      </c>
      <c r="CU3134">
        <v>0</v>
      </c>
      <c r="CV3134">
        <v>6</v>
      </c>
      <c r="CW3134" t="s">
        <v>120</v>
      </c>
      <c r="CX3134">
        <v>257</v>
      </c>
      <c r="CY3134">
        <v>0</v>
      </c>
      <c r="CZ3134" t="s">
        <v>615</v>
      </c>
      <c r="DA3134" t="s">
        <v>616</v>
      </c>
      <c r="DD3134">
        <v>16281747</v>
      </c>
      <c r="DE3134" t="s">
        <v>123</v>
      </c>
    </row>
    <row r="3135" spans="1:109" x14ac:dyDescent="0.3">
      <c r="A3135" t="str">
        <f>"19:27:10.391"</f>
        <v>19:27:10.391</v>
      </c>
      <c r="B3135" t="s">
        <v>110</v>
      </c>
      <c r="C3135" t="str">
        <f t="shared" si="144"/>
        <v>ffdfd3c0</v>
      </c>
      <c r="D3135" t="s">
        <v>111</v>
      </c>
      <c r="E3135">
        <v>18</v>
      </c>
      <c r="F3135">
        <v>1018</v>
      </c>
      <c r="G3135" t="s">
        <v>112</v>
      </c>
      <c r="J3135" t="s">
        <v>113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R3135" t="s">
        <v>114</v>
      </c>
      <c r="S3135" t="str">
        <f>"19:27:10.156"</f>
        <v>19:27:10.156</v>
      </c>
      <c r="T3135" t="str">
        <f>"19:27:10.156"</f>
        <v>19:27:10.156</v>
      </c>
      <c r="U3135" t="str">
        <f t="shared" si="145"/>
        <v>a1cdbe</v>
      </c>
      <c r="V3135">
        <v>0</v>
      </c>
      <c r="W3135">
        <v>0</v>
      </c>
      <c r="X3135">
        <v>1</v>
      </c>
      <c r="Y3135">
        <v>0</v>
      </c>
      <c r="Z3135">
        <v>0</v>
      </c>
      <c r="AB3135">
        <v>0</v>
      </c>
      <c r="AC3135">
        <v>9</v>
      </c>
      <c r="AD3135">
        <v>3</v>
      </c>
      <c r="AE3135">
        <v>0</v>
      </c>
      <c r="AF3135">
        <v>9</v>
      </c>
      <c r="AG3135" t="s">
        <v>158</v>
      </c>
      <c r="AH3135">
        <v>0</v>
      </c>
      <c r="AI3135">
        <v>3</v>
      </c>
      <c r="AJ3135">
        <v>1</v>
      </c>
      <c r="AK3135">
        <v>0</v>
      </c>
      <c r="AL3135" t="s">
        <v>5901</v>
      </c>
      <c r="AM3135">
        <v>46.994534000000002</v>
      </c>
      <c r="AN3135" t="s">
        <v>5902</v>
      </c>
      <c r="AO3135">
        <v>-123.592029</v>
      </c>
      <c r="AP3135">
        <v>100</v>
      </c>
      <c r="AQ3135">
        <v>2100</v>
      </c>
      <c r="AR3135" t="s">
        <v>118</v>
      </c>
      <c r="AS3135">
        <v>-76</v>
      </c>
      <c r="AT3135">
        <v>18</v>
      </c>
      <c r="AU3135">
        <v>0</v>
      </c>
      <c r="BC3135">
        <v>1200</v>
      </c>
      <c r="BD3135">
        <v>1</v>
      </c>
      <c r="BE3135" t="str">
        <f t="shared" si="146"/>
        <v xml:space="preserve">N215T   </v>
      </c>
      <c r="BF3135">
        <v>1</v>
      </c>
      <c r="BH3135">
        <v>0</v>
      </c>
      <c r="BI3135">
        <v>0</v>
      </c>
      <c r="BJ3135">
        <v>0</v>
      </c>
      <c r="BK3135">
        <v>2500</v>
      </c>
      <c r="BL3135">
        <v>400</v>
      </c>
      <c r="BM3135" t="s">
        <v>119</v>
      </c>
      <c r="BN3135">
        <v>1</v>
      </c>
      <c r="BO3135">
        <v>1</v>
      </c>
      <c r="BP3135">
        <v>1</v>
      </c>
      <c r="BQ3135">
        <v>0</v>
      </c>
      <c r="BT3135">
        <v>0</v>
      </c>
      <c r="BU3135">
        <v>0</v>
      </c>
      <c r="BV3135">
        <v>0</v>
      </c>
      <c r="CC3135" t="str">
        <f>"19:27:10.156"</f>
        <v>19:27:10.156</v>
      </c>
      <c r="CD3135" t="str">
        <f>"158650981"</f>
        <v>158650981</v>
      </c>
      <c r="CQ3135">
        <v>0</v>
      </c>
      <c r="CR3135">
        <v>2</v>
      </c>
      <c r="CS3135">
        <v>0</v>
      </c>
      <c r="CT3135">
        <v>2</v>
      </c>
      <c r="CU3135">
        <v>0</v>
      </c>
      <c r="CV3135">
        <v>6</v>
      </c>
      <c r="CW3135" t="s">
        <v>120</v>
      </c>
      <c r="CX3135">
        <v>257</v>
      </c>
      <c r="CY3135">
        <v>0</v>
      </c>
      <c r="CZ3135" t="s">
        <v>615</v>
      </c>
      <c r="DA3135" t="s">
        <v>616</v>
      </c>
      <c r="DD3135">
        <v>16282288</v>
      </c>
      <c r="DE3135" t="s">
        <v>123</v>
      </c>
    </row>
    <row r="3136" spans="1:109" x14ac:dyDescent="0.3">
      <c r="A3136" t="str">
        <f>"19:27:11.344"</f>
        <v>19:27:11.344</v>
      </c>
      <c r="B3136" t="s">
        <v>110</v>
      </c>
      <c r="C3136" t="str">
        <f t="shared" si="144"/>
        <v>ffdfd3c0</v>
      </c>
      <c r="D3136" t="s">
        <v>111</v>
      </c>
      <c r="E3136">
        <v>18</v>
      </c>
      <c r="F3136">
        <v>1018</v>
      </c>
      <c r="G3136" t="s">
        <v>112</v>
      </c>
      <c r="J3136" t="s">
        <v>113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R3136" t="s">
        <v>114</v>
      </c>
      <c r="S3136" t="str">
        <f>"19:27:11.102"</f>
        <v>19:27:11.102</v>
      </c>
      <c r="T3136" t="str">
        <f>"19:27:11.000"</f>
        <v>19:27:11.000</v>
      </c>
      <c r="U3136" t="str">
        <f t="shared" si="145"/>
        <v>a1cdbe</v>
      </c>
      <c r="V3136">
        <v>0</v>
      </c>
      <c r="W3136">
        <v>0</v>
      </c>
      <c r="X3136">
        <v>1</v>
      </c>
      <c r="Y3136">
        <v>0</v>
      </c>
      <c r="Z3136">
        <v>0</v>
      </c>
      <c r="AB3136">
        <v>0</v>
      </c>
      <c r="AC3136">
        <v>9</v>
      </c>
      <c r="AD3136">
        <v>3</v>
      </c>
      <c r="AE3136">
        <v>0</v>
      </c>
      <c r="AF3136">
        <v>9</v>
      </c>
      <c r="AG3136" t="s">
        <v>158</v>
      </c>
      <c r="AH3136">
        <v>0</v>
      </c>
      <c r="AI3136">
        <v>3</v>
      </c>
      <c r="AJ3136">
        <v>1</v>
      </c>
      <c r="AK3136">
        <v>0</v>
      </c>
      <c r="AL3136" t="s">
        <v>5903</v>
      </c>
      <c r="AM3136">
        <v>46.994619</v>
      </c>
      <c r="AN3136" t="s">
        <v>5904</v>
      </c>
      <c r="AO3136">
        <v>-123.592522</v>
      </c>
      <c r="AP3136">
        <v>100</v>
      </c>
      <c r="AQ3136">
        <v>2100</v>
      </c>
      <c r="AR3136" t="s">
        <v>118</v>
      </c>
      <c r="AS3136">
        <v>-76</v>
      </c>
      <c r="AT3136">
        <v>18</v>
      </c>
      <c r="AU3136">
        <v>0</v>
      </c>
      <c r="BC3136">
        <v>1200</v>
      </c>
      <c r="BD3136">
        <v>1</v>
      </c>
      <c r="BE3136" t="str">
        <f t="shared" si="146"/>
        <v xml:space="preserve">N215T   </v>
      </c>
      <c r="BF3136">
        <v>1</v>
      </c>
      <c r="BH3136">
        <v>0</v>
      </c>
      <c r="BI3136">
        <v>0</v>
      </c>
      <c r="BJ3136">
        <v>0</v>
      </c>
      <c r="BK3136">
        <v>2500</v>
      </c>
      <c r="BL3136">
        <v>400</v>
      </c>
      <c r="BM3136" t="s">
        <v>119</v>
      </c>
      <c r="BN3136">
        <v>1</v>
      </c>
      <c r="BO3136">
        <v>1</v>
      </c>
      <c r="BP3136">
        <v>1</v>
      </c>
      <c r="BQ3136">
        <v>0</v>
      </c>
      <c r="BT3136">
        <v>0</v>
      </c>
      <c r="BU3136">
        <v>0</v>
      </c>
      <c r="BV3136">
        <v>0</v>
      </c>
      <c r="CC3136" t="str">
        <f>"19:27:11.102"</f>
        <v>19:27:11.102</v>
      </c>
      <c r="CD3136" t="str">
        <f>"103557870"</f>
        <v>103557870</v>
      </c>
      <c r="CQ3136">
        <v>0</v>
      </c>
      <c r="CR3136">
        <v>2</v>
      </c>
      <c r="CS3136">
        <v>0</v>
      </c>
      <c r="CT3136">
        <v>2</v>
      </c>
      <c r="CU3136">
        <v>0</v>
      </c>
      <c r="CV3136">
        <v>6</v>
      </c>
      <c r="CW3136" t="s">
        <v>120</v>
      </c>
      <c r="CX3136">
        <v>257</v>
      </c>
      <c r="CY3136">
        <v>0</v>
      </c>
      <c r="CZ3136" t="s">
        <v>615</v>
      </c>
      <c r="DA3136" t="s">
        <v>616</v>
      </c>
      <c r="DD3136">
        <v>16282779</v>
      </c>
      <c r="DE3136" t="s">
        <v>123</v>
      </c>
    </row>
    <row r="3137" spans="1:109" x14ac:dyDescent="0.3">
      <c r="A3137" t="str">
        <f>"19:27:12.352"</f>
        <v>19:27:12.352</v>
      </c>
      <c r="B3137" t="s">
        <v>110</v>
      </c>
      <c r="C3137" t="str">
        <f t="shared" si="144"/>
        <v>ffdfd3c0</v>
      </c>
      <c r="D3137" t="s">
        <v>111</v>
      </c>
      <c r="E3137">
        <v>18</v>
      </c>
      <c r="F3137">
        <v>1018</v>
      </c>
      <c r="G3137" t="s">
        <v>112</v>
      </c>
      <c r="J3137" t="s">
        <v>113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R3137" t="s">
        <v>114</v>
      </c>
      <c r="S3137" t="str">
        <f>"19:27:12.086"</f>
        <v>19:27:12.086</v>
      </c>
      <c r="T3137" t="str">
        <f>"19:27:12.086"</f>
        <v>19:27:12.086</v>
      </c>
      <c r="U3137" t="str">
        <f t="shared" si="145"/>
        <v>a1cdbe</v>
      </c>
      <c r="V3137">
        <v>0</v>
      </c>
      <c r="W3137">
        <v>0</v>
      </c>
      <c r="X3137">
        <v>1</v>
      </c>
      <c r="Y3137">
        <v>0</v>
      </c>
      <c r="Z3137">
        <v>0</v>
      </c>
      <c r="AB3137">
        <v>0</v>
      </c>
      <c r="AC3137">
        <v>9</v>
      </c>
      <c r="AD3137">
        <v>3</v>
      </c>
      <c r="AE3137">
        <v>0</v>
      </c>
      <c r="AF3137">
        <v>9</v>
      </c>
      <c r="AG3137" t="s">
        <v>158</v>
      </c>
      <c r="AH3137">
        <v>0</v>
      </c>
      <c r="AI3137">
        <v>3</v>
      </c>
      <c r="AJ3137">
        <v>1</v>
      </c>
      <c r="AK3137">
        <v>0</v>
      </c>
      <c r="AL3137" t="s">
        <v>5905</v>
      </c>
      <c r="AM3137">
        <v>46.994705000000003</v>
      </c>
      <c r="AN3137" t="s">
        <v>5906</v>
      </c>
      <c r="AO3137">
        <v>-123.593102</v>
      </c>
      <c r="AP3137">
        <v>100</v>
      </c>
      <c r="AQ3137">
        <v>2100</v>
      </c>
      <c r="AR3137" t="s">
        <v>118</v>
      </c>
      <c r="AS3137">
        <v>-76</v>
      </c>
      <c r="AT3137">
        <v>18</v>
      </c>
      <c r="AU3137">
        <v>0</v>
      </c>
      <c r="BC3137">
        <v>1200</v>
      </c>
      <c r="BD3137">
        <v>1</v>
      </c>
      <c r="BE3137" t="str">
        <f t="shared" si="146"/>
        <v xml:space="preserve">N215T   </v>
      </c>
      <c r="BF3137">
        <v>1</v>
      </c>
      <c r="BH3137">
        <v>0</v>
      </c>
      <c r="BI3137">
        <v>0</v>
      </c>
      <c r="BJ3137">
        <v>0</v>
      </c>
      <c r="BK3137">
        <v>2500</v>
      </c>
      <c r="BL3137">
        <v>400</v>
      </c>
      <c r="BM3137" t="s">
        <v>119</v>
      </c>
      <c r="BN3137">
        <v>1</v>
      </c>
      <c r="BO3137">
        <v>1</v>
      </c>
      <c r="BP3137">
        <v>1</v>
      </c>
      <c r="BQ3137">
        <v>0</v>
      </c>
      <c r="BT3137">
        <v>0</v>
      </c>
      <c r="BU3137">
        <v>0</v>
      </c>
      <c r="BV3137">
        <v>0</v>
      </c>
      <c r="CC3137" t="str">
        <f>"19:27:12.094"</f>
        <v>19:27:12.094</v>
      </c>
      <c r="CD3137" t="str">
        <f>"093460303"</f>
        <v>093460303</v>
      </c>
      <c r="CQ3137">
        <v>0</v>
      </c>
      <c r="CR3137">
        <v>2</v>
      </c>
      <c r="CS3137">
        <v>0</v>
      </c>
      <c r="CT3137">
        <v>2</v>
      </c>
      <c r="CU3137">
        <v>0</v>
      </c>
      <c r="CV3137">
        <v>6</v>
      </c>
      <c r="CW3137" t="s">
        <v>120</v>
      </c>
      <c r="CX3137">
        <v>257</v>
      </c>
      <c r="CY3137">
        <v>0</v>
      </c>
      <c r="CZ3137" t="s">
        <v>615</v>
      </c>
      <c r="DA3137" t="s">
        <v>616</v>
      </c>
      <c r="DD3137">
        <v>16283288</v>
      </c>
      <c r="DE3137" t="s">
        <v>123</v>
      </c>
    </row>
    <row r="3138" spans="1:109" x14ac:dyDescent="0.3">
      <c r="A3138" t="str">
        <f>"19:27:13.352"</f>
        <v>19:27:13.352</v>
      </c>
      <c r="B3138" t="s">
        <v>110</v>
      </c>
      <c r="C3138" t="str">
        <f t="shared" ref="C3138:C3201" si="147">"ffdfd3c0"</f>
        <v>ffdfd3c0</v>
      </c>
      <c r="D3138" t="s">
        <v>111</v>
      </c>
      <c r="E3138">
        <v>18</v>
      </c>
      <c r="F3138">
        <v>1018</v>
      </c>
      <c r="G3138" t="s">
        <v>112</v>
      </c>
      <c r="J3138" t="s">
        <v>113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R3138" t="s">
        <v>114</v>
      </c>
      <c r="S3138" t="str">
        <f>"19:27:13.125"</f>
        <v>19:27:13.125</v>
      </c>
      <c r="T3138" t="str">
        <f>"19:27:13.125"</f>
        <v>19:27:13.125</v>
      </c>
      <c r="U3138" t="str">
        <f t="shared" ref="U3138:U3201" si="148">"a1cdbe"</f>
        <v>a1cdbe</v>
      </c>
      <c r="V3138">
        <v>0</v>
      </c>
      <c r="W3138">
        <v>0</v>
      </c>
      <c r="X3138">
        <v>1</v>
      </c>
      <c r="Y3138">
        <v>0</v>
      </c>
      <c r="Z3138">
        <v>0</v>
      </c>
      <c r="AB3138">
        <v>0</v>
      </c>
      <c r="AC3138">
        <v>9</v>
      </c>
      <c r="AD3138">
        <v>3</v>
      </c>
      <c r="AE3138">
        <v>0</v>
      </c>
      <c r="AF3138">
        <v>9</v>
      </c>
      <c r="AG3138" t="s">
        <v>158</v>
      </c>
      <c r="AH3138">
        <v>0</v>
      </c>
      <c r="AI3138">
        <v>3</v>
      </c>
      <c r="AJ3138">
        <v>1</v>
      </c>
      <c r="AK3138">
        <v>0</v>
      </c>
      <c r="AL3138" t="s">
        <v>5907</v>
      </c>
      <c r="AM3138">
        <v>46.994770000000003</v>
      </c>
      <c r="AN3138" t="s">
        <v>5908</v>
      </c>
      <c r="AO3138">
        <v>-123.59359499999999</v>
      </c>
      <c r="AP3138">
        <v>100</v>
      </c>
      <c r="AQ3138">
        <v>2100</v>
      </c>
      <c r="AR3138" t="s">
        <v>118</v>
      </c>
      <c r="AS3138">
        <v>-76</v>
      </c>
      <c r="AT3138">
        <v>18</v>
      </c>
      <c r="AU3138">
        <v>0</v>
      </c>
      <c r="BC3138">
        <v>1200</v>
      </c>
      <c r="BD3138">
        <v>1</v>
      </c>
      <c r="BE3138" t="str">
        <f t="shared" ref="BE3138:BE3201" si="149">"N215T   "</f>
        <v xml:space="preserve">N215T   </v>
      </c>
      <c r="BF3138">
        <v>1</v>
      </c>
      <c r="BH3138">
        <v>0</v>
      </c>
      <c r="BI3138">
        <v>0</v>
      </c>
      <c r="BJ3138">
        <v>0</v>
      </c>
      <c r="BK3138">
        <v>2500</v>
      </c>
      <c r="BL3138">
        <v>400</v>
      </c>
      <c r="BM3138" t="s">
        <v>119</v>
      </c>
      <c r="BN3138">
        <v>1</v>
      </c>
      <c r="BO3138">
        <v>1</v>
      </c>
      <c r="BP3138">
        <v>1</v>
      </c>
      <c r="BQ3138">
        <v>0</v>
      </c>
      <c r="BT3138">
        <v>0</v>
      </c>
      <c r="BU3138">
        <v>0</v>
      </c>
      <c r="BV3138">
        <v>0</v>
      </c>
      <c r="CC3138" t="str">
        <f>"19:27:13.125"</f>
        <v>19:27:13.125</v>
      </c>
      <c r="CD3138" t="str">
        <f>"128358332"</f>
        <v>128358332</v>
      </c>
      <c r="CQ3138">
        <v>0</v>
      </c>
      <c r="CR3138">
        <v>2</v>
      </c>
      <c r="CS3138">
        <v>0</v>
      </c>
      <c r="CT3138">
        <v>2</v>
      </c>
      <c r="CU3138">
        <v>0</v>
      </c>
      <c r="CV3138">
        <v>6</v>
      </c>
      <c r="CW3138" t="s">
        <v>120</v>
      </c>
      <c r="CX3138">
        <v>257</v>
      </c>
      <c r="CY3138">
        <v>0</v>
      </c>
      <c r="CZ3138" t="s">
        <v>615</v>
      </c>
      <c r="DA3138" t="s">
        <v>616</v>
      </c>
      <c r="DD3138">
        <v>16283816</v>
      </c>
      <c r="DE3138" t="s">
        <v>123</v>
      </c>
    </row>
    <row r="3139" spans="1:109" x14ac:dyDescent="0.3">
      <c r="A3139" t="str">
        <f>"19:27:14.305"</f>
        <v>19:27:14.305</v>
      </c>
      <c r="B3139" t="s">
        <v>110</v>
      </c>
      <c r="C3139" t="str">
        <f t="shared" si="147"/>
        <v>ffdfd3c0</v>
      </c>
      <c r="D3139" t="s">
        <v>111</v>
      </c>
      <c r="E3139">
        <v>18</v>
      </c>
      <c r="F3139">
        <v>1018</v>
      </c>
      <c r="G3139" t="s">
        <v>112</v>
      </c>
      <c r="J3139" t="s">
        <v>113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R3139" t="s">
        <v>114</v>
      </c>
      <c r="S3139" t="str">
        <f>"19:27:14.102"</f>
        <v>19:27:14.102</v>
      </c>
      <c r="T3139" t="str">
        <f>"19:27:14.102"</f>
        <v>19:27:14.102</v>
      </c>
      <c r="U3139" t="str">
        <f t="shared" si="148"/>
        <v>a1cdbe</v>
      </c>
      <c r="V3139">
        <v>0</v>
      </c>
      <c r="W3139">
        <v>0</v>
      </c>
      <c r="X3139">
        <v>1</v>
      </c>
      <c r="Y3139">
        <v>0</v>
      </c>
      <c r="Z3139">
        <v>0</v>
      </c>
      <c r="AB3139">
        <v>0</v>
      </c>
      <c r="AC3139">
        <v>9</v>
      </c>
      <c r="AD3139">
        <v>3</v>
      </c>
      <c r="AE3139">
        <v>0</v>
      </c>
      <c r="AF3139">
        <v>9</v>
      </c>
      <c r="AG3139" t="s">
        <v>158</v>
      </c>
      <c r="AH3139">
        <v>0</v>
      </c>
      <c r="AI3139">
        <v>3</v>
      </c>
      <c r="AJ3139">
        <v>1</v>
      </c>
      <c r="AK3139">
        <v>0</v>
      </c>
      <c r="AL3139" t="s">
        <v>5909</v>
      </c>
      <c r="AM3139">
        <v>46.994833999999997</v>
      </c>
      <c r="AN3139" t="s">
        <v>5910</v>
      </c>
      <c r="AO3139">
        <v>-123.594131</v>
      </c>
      <c r="AP3139">
        <v>100</v>
      </c>
      <c r="AQ3139">
        <v>2100</v>
      </c>
      <c r="AR3139" t="s">
        <v>118</v>
      </c>
      <c r="AS3139">
        <v>-76</v>
      </c>
      <c r="AT3139">
        <v>18</v>
      </c>
      <c r="AU3139">
        <v>0</v>
      </c>
      <c r="BC3139">
        <v>1200</v>
      </c>
      <c r="BD3139">
        <v>1</v>
      </c>
      <c r="BE3139" t="str">
        <f t="shared" si="149"/>
        <v xml:space="preserve">N215T   </v>
      </c>
      <c r="BF3139">
        <v>1</v>
      </c>
      <c r="BH3139">
        <v>0</v>
      </c>
      <c r="BI3139">
        <v>0</v>
      </c>
      <c r="BJ3139">
        <v>0</v>
      </c>
      <c r="BK3139">
        <v>2500</v>
      </c>
      <c r="BL3139">
        <v>400</v>
      </c>
      <c r="BM3139" t="s">
        <v>119</v>
      </c>
      <c r="BN3139">
        <v>1</v>
      </c>
      <c r="BO3139">
        <v>1</v>
      </c>
      <c r="BP3139">
        <v>1</v>
      </c>
      <c r="BQ3139">
        <v>0</v>
      </c>
      <c r="BT3139">
        <v>0</v>
      </c>
      <c r="BU3139">
        <v>0</v>
      </c>
      <c r="BV3139">
        <v>0</v>
      </c>
      <c r="CC3139" t="str">
        <f>"19:27:14.102"</f>
        <v>19:27:14.102</v>
      </c>
      <c r="CD3139" t="str">
        <f>"103262264"</f>
        <v>103262264</v>
      </c>
      <c r="CQ3139">
        <v>0</v>
      </c>
      <c r="CR3139">
        <v>2</v>
      </c>
      <c r="CS3139">
        <v>0</v>
      </c>
      <c r="CT3139">
        <v>2</v>
      </c>
      <c r="CU3139">
        <v>0</v>
      </c>
      <c r="CV3139">
        <v>6</v>
      </c>
      <c r="CW3139" t="s">
        <v>120</v>
      </c>
      <c r="CX3139">
        <v>257</v>
      </c>
      <c r="CY3139">
        <v>0</v>
      </c>
      <c r="CZ3139" t="s">
        <v>615</v>
      </c>
      <c r="DA3139" t="s">
        <v>616</v>
      </c>
      <c r="DD3139">
        <v>16284335</v>
      </c>
      <c r="DE3139" t="s">
        <v>123</v>
      </c>
    </row>
    <row r="3140" spans="1:109" x14ac:dyDescent="0.3">
      <c r="A3140" t="str">
        <f>"19:27:15.367"</f>
        <v>19:27:15.367</v>
      </c>
      <c r="B3140" t="s">
        <v>110</v>
      </c>
      <c r="C3140" t="str">
        <f t="shared" si="147"/>
        <v>ffdfd3c0</v>
      </c>
      <c r="D3140" t="s">
        <v>111</v>
      </c>
      <c r="E3140">
        <v>18</v>
      </c>
      <c r="F3140">
        <v>1018</v>
      </c>
      <c r="G3140" t="s">
        <v>112</v>
      </c>
      <c r="J3140" t="s">
        <v>113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R3140" t="s">
        <v>114</v>
      </c>
      <c r="S3140" t="str">
        <f>"19:27:15.133"</f>
        <v>19:27:15.133</v>
      </c>
      <c r="T3140" t="str">
        <f>"19:27:14.633"</f>
        <v>19:27:14.633</v>
      </c>
      <c r="U3140" t="str">
        <f t="shared" si="148"/>
        <v>a1cdbe</v>
      </c>
      <c r="V3140">
        <v>0</v>
      </c>
      <c r="W3140">
        <v>0</v>
      </c>
      <c r="X3140">
        <v>1</v>
      </c>
      <c r="Y3140">
        <v>0</v>
      </c>
      <c r="Z3140">
        <v>0</v>
      </c>
      <c r="AB3140">
        <v>0</v>
      </c>
      <c r="AC3140">
        <v>9</v>
      </c>
      <c r="AD3140">
        <v>3</v>
      </c>
      <c r="AE3140">
        <v>0</v>
      </c>
      <c r="AF3140">
        <v>9</v>
      </c>
      <c r="AG3140" t="s">
        <v>158</v>
      </c>
      <c r="AH3140">
        <v>0</v>
      </c>
      <c r="AI3140">
        <v>3</v>
      </c>
      <c r="AJ3140">
        <v>1</v>
      </c>
      <c r="AK3140">
        <v>0</v>
      </c>
      <c r="AL3140" t="s">
        <v>5911</v>
      </c>
      <c r="AM3140">
        <v>46.994940999999997</v>
      </c>
      <c r="AN3140" t="s">
        <v>5912</v>
      </c>
      <c r="AO3140">
        <v>-123.594646</v>
      </c>
      <c r="AP3140">
        <v>100</v>
      </c>
      <c r="AQ3140">
        <v>2100</v>
      </c>
      <c r="AR3140" t="s">
        <v>118</v>
      </c>
      <c r="AS3140">
        <v>-76</v>
      </c>
      <c r="AT3140">
        <v>18</v>
      </c>
      <c r="AU3140">
        <v>0</v>
      </c>
      <c r="BC3140">
        <v>1200</v>
      </c>
      <c r="BD3140">
        <v>1</v>
      </c>
      <c r="BE3140" t="str">
        <f t="shared" si="149"/>
        <v xml:space="preserve">N215T   </v>
      </c>
      <c r="BF3140">
        <v>1</v>
      </c>
      <c r="BH3140">
        <v>0</v>
      </c>
      <c r="BI3140">
        <v>0</v>
      </c>
      <c r="BJ3140">
        <v>0</v>
      </c>
      <c r="BK3140">
        <v>2500</v>
      </c>
      <c r="BL3140">
        <v>400</v>
      </c>
      <c r="BM3140" t="s">
        <v>119</v>
      </c>
      <c r="BN3140">
        <v>1</v>
      </c>
      <c r="BO3140">
        <v>1</v>
      </c>
      <c r="BP3140">
        <v>1</v>
      </c>
      <c r="BQ3140">
        <v>0</v>
      </c>
      <c r="BT3140">
        <v>0</v>
      </c>
      <c r="BU3140">
        <v>0</v>
      </c>
      <c r="BV3140">
        <v>0</v>
      </c>
      <c r="CC3140" t="str">
        <f>"19:27:15.141"</f>
        <v>19:27:15.141</v>
      </c>
      <c r="CD3140" t="str">
        <f>"138160273"</f>
        <v>138160273</v>
      </c>
      <c r="CQ3140">
        <v>0</v>
      </c>
      <c r="CR3140">
        <v>2</v>
      </c>
      <c r="CS3140">
        <v>0</v>
      </c>
      <c r="CT3140">
        <v>2</v>
      </c>
      <c r="CU3140">
        <v>0</v>
      </c>
      <c r="CV3140">
        <v>6</v>
      </c>
      <c r="CW3140" t="s">
        <v>120</v>
      </c>
      <c r="CX3140">
        <v>257</v>
      </c>
      <c r="CY3140">
        <v>0</v>
      </c>
      <c r="CZ3140" t="s">
        <v>615</v>
      </c>
      <c r="DA3140" t="s">
        <v>616</v>
      </c>
      <c r="DD3140">
        <v>16284857</v>
      </c>
      <c r="DE3140" t="s">
        <v>123</v>
      </c>
    </row>
    <row r="3141" spans="1:109" x14ac:dyDescent="0.3">
      <c r="A3141" t="str">
        <f>"19:27:16.570"</f>
        <v>19:27:16.570</v>
      </c>
      <c r="B3141" t="s">
        <v>110</v>
      </c>
      <c r="C3141" t="str">
        <f t="shared" si="147"/>
        <v>ffdfd3c0</v>
      </c>
      <c r="D3141" t="s">
        <v>111</v>
      </c>
      <c r="E3141">
        <v>18</v>
      </c>
      <c r="F3141">
        <v>1018</v>
      </c>
      <c r="G3141" t="s">
        <v>112</v>
      </c>
      <c r="J3141" t="s">
        <v>113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R3141" t="s">
        <v>114</v>
      </c>
      <c r="S3141" t="str">
        <f>"19:27:16.320"</f>
        <v>19:27:16.320</v>
      </c>
      <c r="T3141" t="str">
        <f>"19:27:16.320"</f>
        <v>19:27:16.320</v>
      </c>
      <c r="U3141" t="str">
        <f t="shared" si="148"/>
        <v>a1cdbe</v>
      </c>
      <c r="V3141">
        <v>0</v>
      </c>
      <c r="W3141">
        <v>0</v>
      </c>
      <c r="X3141">
        <v>1</v>
      </c>
      <c r="Y3141">
        <v>0</v>
      </c>
      <c r="Z3141">
        <v>0</v>
      </c>
      <c r="AB3141">
        <v>0</v>
      </c>
      <c r="AC3141">
        <v>9</v>
      </c>
      <c r="AD3141">
        <v>3</v>
      </c>
      <c r="AE3141">
        <v>0</v>
      </c>
      <c r="AF3141">
        <v>9</v>
      </c>
      <c r="AG3141" t="s">
        <v>158</v>
      </c>
      <c r="AH3141">
        <v>0</v>
      </c>
      <c r="AI3141">
        <v>3</v>
      </c>
      <c r="AJ3141">
        <v>1</v>
      </c>
      <c r="AK3141">
        <v>0</v>
      </c>
      <c r="AL3141" t="s">
        <v>5913</v>
      </c>
      <c r="AM3141">
        <v>46.995049000000002</v>
      </c>
      <c r="AN3141" t="s">
        <v>5914</v>
      </c>
      <c r="AO3141">
        <v>-123.595204</v>
      </c>
      <c r="AP3141">
        <v>100</v>
      </c>
      <c r="AQ3141">
        <v>2100</v>
      </c>
      <c r="AR3141" t="s">
        <v>118</v>
      </c>
      <c r="AS3141">
        <v>-76</v>
      </c>
      <c r="AT3141">
        <v>19</v>
      </c>
      <c r="AU3141">
        <v>0</v>
      </c>
      <c r="BC3141">
        <v>1200</v>
      </c>
      <c r="BD3141">
        <v>1</v>
      </c>
      <c r="BE3141" t="str">
        <f t="shared" si="149"/>
        <v xml:space="preserve">N215T   </v>
      </c>
      <c r="BF3141">
        <v>1</v>
      </c>
      <c r="BH3141">
        <v>0</v>
      </c>
      <c r="BI3141">
        <v>0</v>
      </c>
      <c r="BJ3141">
        <v>0</v>
      </c>
      <c r="BK3141">
        <v>2500</v>
      </c>
      <c r="BL3141">
        <v>400</v>
      </c>
      <c r="BM3141" t="s">
        <v>119</v>
      </c>
      <c r="BN3141">
        <v>1</v>
      </c>
      <c r="BO3141">
        <v>1</v>
      </c>
      <c r="BP3141">
        <v>1</v>
      </c>
      <c r="BQ3141">
        <v>0</v>
      </c>
      <c r="BT3141">
        <v>0</v>
      </c>
      <c r="BU3141">
        <v>0</v>
      </c>
      <c r="BV3141">
        <v>0</v>
      </c>
      <c r="CC3141" t="str">
        <f>"19:27:16.320"</f>
        <v>19:27:16.320</v>
      </c>
      <c r="CD3141" t="str">
        <f>"323043510"</f>
        <v>323043510</v>
      </c>
      <c r="CQ3141">
        <v>0</v>
      </c>
      <c r="CR3141">
        <v>2</v>
      </c>
      <c r="CS3141">
        <v>0</v>
      </c>
      <c r="CT3141">
        <v>2</v>
      </c>
      <c r="CU3141">
        <v>0</v>
      </c>
      <c r="CV3141">
        <v>6</v>
      </c>
      <c r="CW3141" t="s">
        <v>120</v>
      </c>
      <c r="CX3141">
        <v>257</v>
      </c>
      <c r="CY3141">
        <v>0</v>
      </c>
      <c r="CZ3141" t="s">
        <v>615</v>
      </c>
      <c r="DA3141" t="s">
        <v>616</v>
      </c>
      <c r="DD3141">
        <v>16285458</v>
      </c>
      <c r="DE3141" t="s">
        <v>123</v>
      </c>
    </row>
    <row r="3142" spans="1:109" x14ac:dyDescent="0.3">
      <c r="A3142" t="str">
        <f>"19:27:17.477"</f>
        <v>19:27:17.477</v>
      </c>
      <c r="B3142" t="s">
        <v>110</v>
      </c>
      <c r="C3142" t="str">
        <f t="shared" si="147"/>
        <v>ffdfd3c0</v>
      </c>
      <c r="D3142" t="s">
        <v>111</v>
      </c>
      <c r="E3142">
        <v>18</v>
      </c>
      <c r="F3142">
        <v>1018</v>
      </c>
      <c r="G3142" t="s">
        <v>112</v>
      </c>
      <c r="J3142" t="s">
        <v>113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R3142" t="s">
        <v>114</v>
      </c>
      <c r="S3142" t="str">
        <f>"19:27:17.250"</f>
        <v>19:27:17.250</v>
      </c>
      <c r="T3142" t="str">
        <f>"19:27:16.852"</f>
        <v>19:27:16.852</v>
      </c>
      <c r="U3142" t="str">
        <f t="shared" si="148"/>
        <v>a1cdbe</v>
      </c>
      <c r="V3142">
        <v>0</v>
      </c>
      <c r="W3142">
        <v>0</v>
      </c>
      <c r="X3142">
        <v>1</v>
      </c>
      <c r="Y3142">
        <v>0</v>
      </c>
      <c r="Z3142">
        <v>0</v>
      </c>
      <c r="AB3142">
        <v>0</v>
      </c>
      <c r="AC3142">
        <v>9</v>
      </c>
      <c r="AD3142">
        <v>3</v>
      </c>
      <c r="AE3142">
        <v>0</v>
      </c>
      <c r="AF3142">
        <v>9</v>
      </c>
      <c r="AG3142" t="s">
        <v>158</v>
      </c>
      <c r="AH3142">
        <v>0</v>
      </c>
      <c r="AI3142">
        <v>3</v>
      </c>
      <c r="AJ3142">
        <v>1</v>
      </c>
      <c r="AK3142">
        <v>0</v>
      </c>
      <c r="AL3142" t="s">
        <v>5915</v>
      </c>
      <c r="AM3142">
        <v>46.995113000000003</v>
      </c>
      <c r="AN3142" t="s">
        <v>5916</v>
      </c>
      <c r="AO3142">
        <v>-123.595719</v>
      </c>
      <c r="AP3142">
        <v>100</v>
      </c>
      <c r="AQ3142">
        <v>2100</v>
      </c>
      <c r="AR3142" t="s">
        <v>118</v>
      </c>
      <c r="AS3142">
        <v>-76</v>
      </c>
      <c r="AT3142">
        <v>19</v>
      </c>
      <c r="AU3142">
        <v>0</v>
      </c>
      <c r="BC3142">
        <v>1200</v>
      </c>
      <c r="BD3142">
        <v>1</v>
      </c>
      <c r="BE3142" t="str">
        <f t="shared" si="149"/>
        <v xml:space="preserve">N215T   </v>
      </c>
      <c r="BF3142">
        <v>1</v>
      </c>
      <c r="BH3142">
        <v>0</v>
      </c>
      <c r="BI3142">
        <v>0</v>
      </c>
      <c r="BJ3142">
        <v>0</v>
      </c>
      <c r="BK3142">
        <v>2500</v>
      </c>
      <c r="BL3142">
        <v>400</v>
      </c>
      <c r="BM3142" t="s">
        <v>119</v>
      </c>
      <c r="BN3142">
        <v>1</v>
      </c>
      <c r="BO3142">
        <v>1</v>
      </c>
      <c r="BP3142">
        <v>1</v>
      </c>
      <c r="BQ3142">
        <v>0</v>
      </c>
      <c r="BT3142">
        <v>0</v>
      </c>
      <c r="BU3142">
        <v>0</v>
      </c>
      <c r="BV3142">
        <v>0</v>
      </c>
      <c r="CC3142" t="str">
        <f>"19:27:17.250"</f>
        <v>19:27:17.250</v>
      </c>
      <c r="CD3142" t="str">
        <f>"252951876"</f>
        <v>252951876</v>
      </c>
      <c r="CQ3142">
        <v>0</v>
      </c>
      <c r="CR3142">
        <v>2</v>
      </c>
      <c r="CS3142">
        <v>0</v>
      </c>
      <c r="CT3142">
        <v>2</v>
      </c>
      <c r="CU3142">
        <v>0</v>
      </c>
      <c r="CV3142">
        <v>6</v>
      </c>
      <c r="CW3142" t="s">
        <v>120</v>
      </c>
      <c r="CX3142">
        <v>257</v>
      </c>
      <c r="CY3142">
        <v>0</v>
      </c>
      <c r="CZ3142" t="s">
        <v>615</v>
      </c>
      <c r="DA3142" t="s">
        <v>616</v>
      </c>
      <c r="DD3142">
        <v>16285904</v>
      </c>
      <c r="DE3142" t="s">
        <v>123</v>
      </c>
    </row>
    <row r="3143" spans="1:109" x14ac:dyDescent="0.3">
      <c r="A3143" t="str">
        <f>"19:27:18.531"</f>
        <v>19:27:18.531</v>
      </c>
      <c r="B3143" t="s">
        <v>110</v>
      </c>
      <c r="C3143" t="str">
        <f t="shared" si="147"/>
        <v>ffdfd3c0</v>
      </c>
      <c r="D3143" t="s">
        <v>111</v>
      </c>
      <c r="E3143">
        <v>18</v>
      </c>
      <c r="F3143">
        <v>1018</v>
      </c>
      <c r="G3143" t="s">
        <v>112</v>
      </c>
      <c r="J3143" t="s">
        <v>113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R3143" t="s">
        <v>114</v>
      </c>
      <c r="S3143" t="str">
        <f>"19:27:18.281"</f>
        <v>19:27:18.281</v>
      </c>
      <c r="T3143" t="str">
        <f>"19:27:17.883"</f>
        <v>19:27:17.883</v>
      </c>
      <c r="U3143" t="str">
        <f t="shared" si="148"/>
        <v>a1cdbe</v>
      </c>
      <c r="V3143">
        <v>0</v>
      </c>
      <c r="W3143">
        <v>0</v>
      </c>
      <c r="X3143">
        <v>1</v>
      </c>
      <c r="Y3143">
        <v>0</v>
      </c>
      <c r="Z3143">
        <v>0</v>
      </c>
      <c r="AB3143">
        <v>0</v>
      </c>
      <c r="AC3143">
        <v>9</v>
      </c>
      <c r="AD3143">
        <v>3</v>
      </c>
      <c r="AE3143">
        <v>0</v>
      </c>
      <c r="AF3143">
        <v>9</v>
      </c>
      <c r="AG3143" t="s">
        <v>158</v>
      </c>
      <c r="AH3143">
        <v>0</v>
      </c>
      <c r="AI3143">
        <v>3</v>
      </c>
      <c r="AJ3143">
        <v>1</v>
      </c>
      <c r="AK3143">
        <v>0</v>
      </c>
      <c r="AL3143" t="s">
        <v>5917</v>
      </c>
      <c r="AM3143">
        <v>46.995220000000003</v>
      </c>
      <c r="AN3143" t="s">
        <v>5918</v>
      </c>
      <c r="AO3143">
        <v>-123.596256</v>
      </c>
      <c r="AP3143">
        <v>100</v>
      </c>
      <c r="AQ3143">
        <v>2100</v>
      </c>
      <c r="AR3143" t="s">
        <v>118</v>
      </c>
      <c r="AS3143">
        <v>-76</v>
      </c>
      <c r="AT3143">
        <v>19</v>
      </c>
      <c r="AU3143">
        <v>0</v>
      </c>
      <c r="BC3143">
        <v>1200</v>
      </c>
      <c r="BD3143">
        <v>1</v>
      </c>
      <c r="BE3143" t="str">
        <f t="shared" si="149"/>
        <v xml:space="preserve">N215T   </v>
      </c>
      <c r="BF3143">
        <v>1</v>
      </c>
      <c r="BH3143">
        <v>0</v>
      </c>
      <c r="BI3143">
        <v>0</v>
      </c>
      <c r="BJ3143">
        <v>0</v>
      </c>
      <c r="BK3143">
        <v>2500</v>
      </c>
      <c r="BL3143">
        <v>400</v>
      </c>
      <c r="BM3143" t="s">
        <v>119</v>
      </c>
      <c r="BN3143">
        <v>1</v>
      </c>
      <c r="BO3143">
        <v>1</v>
      </c>
      <c r="BP3143">
        <v>1</v>
      </c>
      <c r="BQ3143">
        <v>0</v>
      </c>
      <c r="BT3143">
        <v>0</v>
      </c>
      <c r="BU3143">
        <v>0</v>
      </c>
      <c r="BV3143">
        <v>0</v>
      </c>
      <c r="CC3143" t="str">
        <f>"19:27:18.289"</f>
        <v>19:27:18.289</v>
      </c>
      <c r="CD3143" t="str">
        <f>"287849892"</f>
        <v>287849892</v>
      </c>
      <c r="CQ3143">
        <v>0</v>
      </c>
      <c r="CR3143">
        <v>2</v>
      </c>
      <c r="CS3143">
        <v>0</v>
      </c>
      <c r="CT3143">
        <v>2</v>
      </c>
      <c r="CU3143">
        <v>0</v>
      </c>
      <c r="CV3143">
        <v>6</v>
      </c>
      <c r="CW3143" t="s">
        <v>120</v>
      </c>
      <c r="CX3143">
        <v>257</v>
      </c>
      <c r="CY3143">
        <v>0</v>
      </c>
      <c r="CZ3143" t="s">
        <v>615</v>
      </c>
      <c r="DA3143" t="s">
        <v>616</v>
      </c>
      <c r="DD3143">
        <v>16286424</v>
      </c>
      <c r="DE3143" t="s">
        <v>123</v>
      </c>
    </row>
    <row r="3144" spans="1:109" x14ac:dyDescent="0.3">
      <c r="A3144" t="str">
        <f>"19:27:19.633"</f>
        <v>19:27:19.633</v>
      </c>
      <c r="B3144" t="s">
        <v>110</v>
      </c>
      <c r="C3144" t="str">
        <f t="shared" si="147"/>
        <v>ffdfd3c0</v>
      </c>
      <c r="D3144" t="s">
        <v>111</v>
      </c>
      <c r="E3144">
        <v>18</v>
      </c>
      <c r="F3144">
        <v>1018</v>
      </c>
      <c r="G3144" t="s">
        <v>112</v>
      </c>
      <c r="J3144" t="s">
        <v>113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R3144" t="s">
        <v>114</v>
      </c>
      <c r="S3144" t="str">
        <f>"19:27:19.352"</f>
        <v>19:27:19.352</v>
      </c>
      <c r="T3144" t="str">
        <f>"19:27:19.352"</f>
        <v>19:27:19.352</v>
      </c>
      <c r="U3144" t="str">
        <f t="shared" si="148"/>
        <v>a1cdbe</v>
      </c>
      <c r="V3144">
        <v>0</v>
      </c>
      <c r="W3144">
        <v>0</v>
      </c>
      <c r="X3144">
        <v>1</v>
      </c>
      <c r="Y3144">
        <v>0</v>
      </c>
      <c r="Z3144">
        <v>0</v>
      </c>
      <c r="AB3144">
        <v>0</v>
      </c>
      <c r="AC3144">
        <v>9</v>
      </c>
      <c r="AD3144">
        <v>3</v>
      </c>
      <c r="AE3144">
        <v>0</v>
      </c>
      <c r="AF3144">
        <v>9</v>
      </c>
      <c r="AG3144" t="s">
        <v>158</v>
      </c>
      <c r="AH3144">
        <v>0</v>
      </c>
      <c r="AI3144">
        <v>3</v>
      </c>
      <c r="AJ3144">
        <v>1</v>
      </c>
      <c r="AK3144">
        <v>0</v>
      </c>
      <c r="AL3144" t="s">
        <v>5919</v>
      </c>
      <c r="AM3144">
        <v>46.995305999999999</v>
      </c>
      <c r="AN3144" t="s">
        <v>5920</v>
      </c>
      <c r="AO3144">
        <v>-123.59681399999999</v>
      </c>
      <c r="AP3144">
        <v>100</v>
      </c>
      <c r="AQ3144">
        <v>2100</v>
      </c>
      <c r="AR3144" t="s">
        <v>118</v>
      </c>
      <c r="AS3144">
        <v>-76</v>
      </c>
      <c r="AT3144">
        <v>19</v>
      </c>
      <c r="AU3144">
        <v>0</v>
      </c>
      <c r="BC3144">
        <v>1200</v>
      </c>
      <c r="BD3144">
        <v>1</v>
      </c>
      <c r="BE3144" t="str">
        <f t="shared" si="149"/>
        <v xml:space="preserve">N215T   </v>
      </c>
      <c r="BF3144">
        <v>1</v>
      </c>
      <c r="BH3144">
        <v>0</v>
      </c>
      <c r="BI3144">
        <v>0</v>
      </c>
      <c r="BJ3144">
        <v>0</v>
      </c>
      <c r="BK3144">
        <v>2500</v>
      </c>
      <c r="BL3144">
        <v>400</v>
      </c>
      <c r="BM3144" t="s">
        <v>119</v>
      </c>
      <c r="BN3144">
        <v>1</v>
      </c>
      <c r="BO3144">
        <v>1</v>
      </c>
      <c r="BP3144">
        <v>1</v>
      </c>
      <c r="BQ3144">
        <v>0</v>
      </c>
      <c r="BT3144">
        <v>0</v>
      </c>
      <c r="BU3144">
        <v>0</v>
      </c>
      <c r="BV3144">
        <v>0</v>
      </c>
      <c r="CC3144" t="str">
        <f>"19:27:19.352"</f>
        <v>19:27:19.352</v>
      </c>
      <c r="CD3144" t="str">
        <f>"352744952"</f>
        <v>352744952</v>
      </c>
      <c r="CQ3144">
        <v>0</v>
      </c>
      <c r="CR3144">
        <v>2</v>
      </c>
      <c r="CS3144">
        <v>0</v>
      </c>
      <c r="CT3144">
        <v>2</v>
      </c>
      <c r="CU3144">
        <v>0</v>
      </c>
      <c r="CV3144">
        <v>6</v>
      </c>
      <c r="CW3144" t="s">
        <v>120</v>
      </c>
      <c r="CX3144">
        <v>257</v>
      </c>
      <c r="CY3144">
        <v>0</v>
      </c>
      <c r="CZ3144" t="s">
        <v>615</v>
      </c>
      <c r="DA3144" t="s">
        <v>616</v>
      </c>
      <c r="DD3144">
        <v>16286981</v>
      </c>
      <c r="DE3144" t="s">
        <v>123</v>
      </c>
    </row>
    <row r="3145" spans="1:109" x14ac:dyDescent="0.3">
      <c r="A3145" t="str">
        <f>"19:27:20.695"</f>
        <v>19:27:20.695</v>
      </c>
      <c r="B3145" t="s">
        <v>110</v>
      </c>
      <c r="C3145" t="str">
        <f t="shared" si="147"/>
        <v>ffdfd3c0</v>
      </c>
      <c r="D3145" t="s">
        <v>111</v>
      </c>
      <c r="E3145">
        <v>18</v>
      </c>
      <c r="F3145">
        <v>1018</v>
      </c>
      <c r="G3145" t="s">
        <v>112</v>
      </c>
      <c r="J3145" t="s">
        <v>113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R3145" t="s">
        <v>114</v>
      </c>
      <c r="S3145" t="str">
        <f>"19:27:20.445"</f>
        <v>19:27:20.445</v>
      </c>
      <c r="T3145" t="str">
        <f>"19:27:20.242"</f>
        <v>19:27:20.242</v>
      </c>
      <c r="U3145" t="str">
        <f t="shared" si="148"/>
        <v>a1cdbe</v>
      </c>
      <c r="V3145">
        <v>0</v>
      </c>
      <c r="W3145">
        <v>0</v>
      </c>
      <c r="X3145">
        <v>1</v>
      </c>
      <c r="Y3145">
        <v>0</v>
      </c>
      <c r="Z3145">
        <v>0</v>
      </c>
      <c r="AB3145">
        <v>0</v>
      </c>
      <c r="AC3145">
        <v>9</v>
      </c>
      <c r="AD3145">
        <v>3</v>
      </c>
      <c r="AE3145">
        <v>0</v>
      </c>
      <c r="AF3145">
        <v>9</v>
      </c>
      <c r="AG3145" t="s">
        <v>158</v>
      </c>
      <c r="AH3145">
        <v>0</v>
      </c>
      <c r="AI3145">
        <v>3</v>
      </c>
      <c r="AJ3145">
        <v>1</v>
      </c>
      <c r="AK3145">
        <v>0</v>
      </c>
      <c r="AL3145" t="s">
        <v>5921</v>
      </c>
      <c r="AM3145">
        <v>46.995392000000002</v>
      </c>
      <c r="AN3145" t="s">
        <v>5922</v>
      </c>
      <c r="AO3145">
        <v>-123.59735000000001</v>
      </c>
      <c r="AP3145">
        <v>100</v>
      </c>
      <c r="AQ3145">
        <v>2100</v>
      </c>
      <c r="AR3145" t="s">
        <v>118</v>
      </c>
      <c r="AS3145">
        <v>-76</v>
      </c>
      <c r="AT3145">
        <v>19</v>
      </c>
      <c r="AU3145">
        <v>0</v>
      </c>
      <c r="BC3145">
        <v>1200</v>
      </c>
      <c r="BD3145">
        <v>1</v>
      </c>
      <c r="BE3145" t="str">
        <f t="shared" si="149"/>
        <v xml:space="preserve">N215T   </v>
      </c>
      <c r="BF3145">
        <v>1</v>
      </c>
      <c r="BH3145">
        <v>0</v>
      </c>
      <c r="BI3145">
        <v>0</v>
      </c>
      <c r="BJ3145">
        <v>0</v>
      </c>
      <c r="BK3145">
        <v>2500</v>
      </c>
      <c r="BL3145">
        <v>400</v>
      </c>
      <c r="BM3145" t="s">
        <v>119</v>
      </c>
      <c r="BN3145">
        <v>1</v>
      </c>
      <c r="BO3145">
        <v>1</v>
      </c>
      <c r="BP3145">
        <v>1</v>
      </c>
      <c r="BQ3145">
        <v>0</v>
      </c>
      <c r="BT3145">
        <v>0</v>
      </c>
      <c r="BU3145">
        <v>0</v>
      </c>
      <c r="BV3145">
        <v>0</v>
      </c>
      <c r="CC3145" t="str">
        <f>"19:27:20.445"</f>
        <v>19:27:20.445</v>
      </c>
      <c r="CD3145" t="str">
        <f>"447637041"</f>
        <v>447637041</v>
      </c>
      <c r="CQ3145">
        <v>0</v>
      </c>
      <c r="CR3145">
        <v>2</v>
      </c>
      <c r="CS3145">
        <v>0</v>
      </c>
      <c r="CT3145">
        <v>2</v>
      </c>
      <c r="CU3145">
        <v>0</v>
      </c>
      <c r="CV3145">
        <v>6</v>
      </c>
      <c r="CW3145" t="s">
        <v>120</v>
      </c>
      <c r="CX3145">
        <v>257</v>
      </c>
      <c r="CY3145">
        <v>0</v>
      </c>
      <c r="CZ3145" t="s">
        <v>615</v>
      </c>
      <c r="DA3145" t="s">
        <v>616</v>
      </c>
      <c r="DD3145">
        <v>16287518</v>
      </c>
      <c r="DE3145" t="s">
        <v>123</v>
      </c>
    </row>
    <row r="3146" spans="1:109" x14ac:dyDescent="0.3">
      <c r="A3146" t="str">
        <f>"19:27:21.695"</f>
        <v>19:27:21.695</v>
      </c>
      <c r="B3146" t="s">
        <v>110</v>
      </c>
      <c r="C3146" t="str">
        <f t="shared" si="147"/>
        <v>ffdfd3c0</v>
      </c>
      <c r="D3146" t="s">
        <v>111</v>
      </c>
      <c r="E3146">
        <v>18</v>
      </c>
      <c r="F3146">
        <v>1018</v>
      </c>
      <c r="G3146" t="s">
        <v>112</v>
      </c>
      <c r="J3146" t="s">
        <v>113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R3146" t="s">
        <v>114</v>
      </c>
      <c r="S3146" t="str">
        <f>"19:27:21.422"</f>
        <v>19:27:21.422</v>
      </c>
      <c r="T3146" t="str">
        <f>"19:27:21.125"</f>
        <v>19:27:21.125</v>
      </c>
      <c r="U3146" t="str">
        <f t="shared" si="148"/>
        <v>a1cdbe</v>
      </c>
      <c r="V3146">
        <v>0</v>
      </c>
      <c r="W3146">
        <v>0</v>
      </c>
      <c r="X3146">
        <v>1</v>
      </c>
      <c r="Y3146">
        <v>0</v>
      </c>
      <c r="Z3146">
        <v>0</v>
      </c>
      <c r="AB3146">
        <v>0</v>
      </c>
      <c r="AC3146">
        <v>9</v>
      </c>
      <c r="AD3146">
        <v>3</v>
      </c>
      <c r="AE3146">
        <v>0</v>
      </c>
      <c r="AF3146">
        <v>9</v>
      </c>
      <c r="AG3146" t="s">
        <v>158</v>
      </c>
      <c r="AH3146">
        <v>0</v>
      </c>
      <c r="AI3146">
        <v>3</v>
      </c>
      <c r="AJ3146">
        <v>1</v>
      </c>
      <c r="AK3146">
        <v>0</v>
      </c>
      <c r="AL3146" t="s">
        <v>5923</v>
      </c>
      <c r="AM3146">
        <v>46.995455999999997</v>
      </c>
      <c r="AN3146" t="s">
        <v>5924</v>
      </c>
      <c r="AO3146">
        <v>-123.597887</v>
      </c>
      <c r="AP3146">
        <v>100</v>
      </c>
      <c r="AQ3146">
        <v>2100</v>
      </c>
      <c r="AR3146" t="s">
        <v>118</v>
      </c>
      <c r="AS3146">
        <v>-76</v>
      </c>
      <c r="AT3146">
        <v>19</v>
      </c>
      <c r="AU3146">
        <v>0</v>
      </c>
      <c r="BC3146">
        <v>1200</v>
      </c>
      <c r="BD3146">
        <v>1</v>
      </c>
      <c r="BE3146" t="str">
        <f t="shared" si="149"/>
        <v xml:space="preserve">N215T   </v>
      </c>
      <c r="BF3146">
        <v>1</v>
      </c>
      <c r="BH3146">
        <v>0</v>
      </c>
      <c r="BI3146">
        <v>0</v>
      </c>
      <c r="BJ3146">
        <v>0</v>
      </c>
      <c r="BK3146">
        <v>2500</v>
      </c>
      <c r="BL3146">
        <v>400</v>
      </c>
      <c r="BM3146" t="s">
        <v>119</v>
      </c>
      <c r="BN3146">
        <v>1</v>
      </c>
      <c r="BO3146">
        <v>1</v>
      </c>
      <c r="BP3146">
        <v>1</v>
      </c>
      <c r="BQ3146">
        <v>0</v>
      </c>
      <c r="BT3146">
        <v>0</v>
      </c>
      <c r="BU3146">
        <v>0</v>
      </c>
      <c r="BV3146">
        <v>0</v>
      </c>
      <c r="CC3146" t="str">
        <f>"19:27:21.422"</f>
        <v>19:27:21.422</v>
      </c>
      <c r="CD3146" t="str">
        <f>"422540969"</f>
        <v>422540969</v>
      </c>
      <c r="CQ3146">
        <v>0</v>
      </c>
      <c r="CR3146">
        <v>2</v>
      </c>
      <c r="CS3146">
        <v>0</v>
      </c>
      <c r="CT3146">
        <v>2</v>
      </c>
      <c r="CU3146">
        <v>0</v>
      </c>
      <c r="CV3146">
        <v>6</v>
      </c>
      <c r="CW3146" t="s">
        <v>120</v>
      </c>
      <c r="CX3146">
        <v>257</v>
      </c>
      <c r="CY3146">
        <v>0</v>
      </c>
      <c r="CZ3146" t="s">
        <v>615</v>
      </c>
      <c r="DA3146" t="s">
        <v>616</v>
      </c>
      <c r="DD3146">
        <v>16288034</v>
      </c>
      <c r="DE3146" t="s">
        <v>123</v>
      </c>
    </row>
    <row r="3147" spans="1:109" x14ac:dyDescent="0.3">
      <c r="A3147" t="str">
        <f>"19:27:22.555"</f>
        <v>19:27:22.555</v>
      </c>
      <c r="B3147" t="s">
        <v>110</v>
      </c>
      <c r="C3147" t="str">
        <f t="shared" si="147"/>
        <v>ffdfd3c0</v>
      </c>
      <c r="D3147" t="s">
        <v>111</v>
      </c>
      <c r="E3147">
        <v>18</v>
      </c>
      <c r="F3147">
        <v>1018</v>
      </c>
      <c r="G3147" t="s">
        <v>112</v>
      </c>
      <c r="J3147" t="s">
        <v>113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R3147" t="s">
        <v>114</v>
      </c>
      <c r="S3147" t="str">
        <f>"19:27:22.273"</f>
        <v>19:27:22.273</v>
      </c>
      <c r="T3147" t="str">
        <f>"19:27:22.273"</f>
        <v>19:27:22.273</v>
      </c>
      <c r="U3147" t="str">
        <f t="shared" si="148"/>
        <v>a1cdbe</v>
      </c>
      <c r="V3147">
        <v>0</v>
      </c>
      <c r="W3147">
        <v>0</v>
      </c>
      <c r="X3147">
        <v>1</v>
      </c>
      <c r="Y3147">
        <v>0</v>
      </c>
      <c r="Z3147">
        <v>0</v>
      </c>
      <c r="AB3147">
        <v>0</v>
      </c>
      <c r="AC3147">
        <v>9</v>
      </c>
      <c r="AD3147">
        <v>3</v>
      </c>
      <c r="AE3147">
        <v>0</v>
      </c>
      <c r="AF3147">
        <v>9</v>
      </c>
      <c r="AG3147" t="s">
        <v>158</v>
      </c>
      <c r="AH3147">
        <v>0</v>
      </c>
      <c r="AI3147">
        <v>3</v>
      </c>
      <c r="AJ3147">
        <v>1</v>
      </c>
      <c r="AK3147">
        <v>0</v>
      </c>
      <c r="AL3147" t="s">
        <v>845</v>
      </c>
      <c r="AM3147">
        <v>46.995564000000002</v>
      </c>
      <c r="AN3147" t="s">
        <v>5925</v>
      </c>
      <c r="AO3147">
        <v>-123.598294</v>
      </c>
      <c r="AP3147">
        <v>100</v>
      </c>
      <c r="AQ3147">
        <v>2100</v>
      </c>
      <c r="AR3147" t="s">
        <v>118</v>
      </c>
      <c r="AS3147">
        <v>-76</v>
      </c>
      <c r="AT3147">
        <v>18</v>
      </c>
      <c r="AU3147">
        <v>0</v>
      </c>
      <c r="BC3147">
        <v>1200</v>
      </c>
      <c r="BD3147">
        <v>1</v>
      </c>
      <c r="BE3147" t="str">
        <f t="shared" si="149"/>
        <v xml:space="preserve">N215T   </v>
      </c>
      <c r="BF3147">
        <v>1</v>
      </c>
      <c r="BH3147">
        <v>0</v>
      </c>
      <c r="BI3147">
        <v>0</v>
      </c>
      <c r="BJ3147">
        <v>0</v>
      </c>
      <c r="BK3147">
        <v>2500</v>
      </c>
      <c r="BL3147">
        <v>400</v>
      </c>
      <c r="BM3147" t="s">
        <v>119</v>
      </c>
      <c r="BN3147">
        <v>1</v>
      </c>
      <c r="BO3147">
        <v>1</v>
      </c>
      <c r="BP3147">
        <v>1</v>
      </c>
      <c r="BQ3147">
        <v>0</v>
      </c>
      <c r="BT3147">
        <v>0</v>
      </c>
      <c r="BU3147">
        <v>0</v>
      </c>
      <c r="BV3147">
        <v>0</v>
      </c>
      <c r="CC3147" t="str">
        <f>"19:27:22.281"</f>
        <v>19:27:22.281</v>
      </c>
      <c r="CD3147" t="str">
        <f>"277456733"</f>
        <v>277456733</v>
      </c>
      <c r="CQ3147">
        <v>0</v>
      </c>
      <c r="CR3147">
        <v>2</v>
      </c>
      <c r="CS3147">
        <v>0</v>
      </c>
      <c r="CT3147">
        <v>2</v>
      </c>
      <c r="CU3147">
        <v>0</v>
      </c>
      <c r="CV3147">
        <v>6</v>
      </c>
      <c r="CW3147" t="s">
        <v>120</v>
      </c>
      <c r="CX3147">
        <v>257</v>
      </c>
      <c r="CY3147">
        <v>0</v>
      </c>
      <c r="CZ3147" t="s">
        <v>615</v>
      </c>
      <c r="DA3147" t="s">
        <v>616</v>
      </c>
      <c r="DD3147">
        <v>16288470</v>
      </c>
      <c r="DE3147" t="s">
        <v>123</v>
      </c>
    </row>
    <row r="3148" spans="1:109" x14ac:dyDescent="0.3">
      <c r="A3148" t="str">
        <f>"19:27:23.359"</f>
        <v>19:27:23.359</v>
      </c>
      <c r="B3148" t="s">
        <v>110</v>
      </c>
      <c r="C3148" t="str">
        <f t="shared" si="147"/>
        <v>ffdfd3c0</v>
      </c>
      <c r="D3148" t="s">
        <v>111</v>
      </c>
      <c r="E3148">
        <v>18</v>
      </c>
      <c r="F3148">
        <v>1018</v>
      </c>
      <c r="G3148" t="s">
        <v>112</v>
      </c>
      <c r="J3148" t="s">
        <v>113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R3148" t="s">
        <v>114</v>
      </c>
      <c r="S3148" t="str">
        <f>"19:27:23.156"</f>
        <v>19:27:23.156</v>
      </c>
      <c r="T3148" t="str">
        <f>"19:27:22.758"</f>
        <v>19:27:22.758</v>
      </c>
      <c r="U3148" t="str">
        <f t="shared" si="148"/>
        <v>a1cdbe</v>
      </c>
      <c r="V3148">
        <v>0</v>
      </c>
      <c r="W3148">
        <v>0</v>
      </c>
      <c r="X3148">
        <v>1</v>
      </c>
      <c r="Y3148">
        <v>0</v>
      </c>
      <c r="Z3148">
        <v>0</v>
      </c>
      <c r="AB3148">
        <v>0</v>
      </c>
      <c r="AC3148">
        <v>9</v>
      </c>
      <c r="AD3148">
        <v>3</v>
      </c>
      <c r="AE3148">
        <v>0</v>
      </c>
      <c r="AF3148">
        <v>9</v>
      </c>
      <c r="AG3148" t="s">
        <v>158</v>
      </c>
      <c r="AH3148">
        <v>0</v>
      </c>
      <c r="AI3148">
        <v>3</v>
      </c>
      <c r="AJ3148">
        <v>1</v>
      </c>
      <c r="AK3148">
        <v>0</v>
      </c>
      <c r="AL3148" t="s">
        <v>5926</v>
      </c>
      <c r="AM3148">
        <v>46.995628000000004</v>
      </c>
      <c r="AN3148" t="s">
        <v>5927</v>
      </c>
      <c r="AO3148">
        <v>-123.59872300000001</v>
      </c>
      <c r="AP3148">
        <v>100</v>
      </c>
      <c r="AQ3148">
        <v>2100</v>
      </c>
      <c r="AR3148" t="s">
        <v>118</v>
      </c>
      <c r="AS3148">
        <v>-76</v>
      </c>
      <c r="AT3148">
        <v>18</v>
      </c>
      <c r="AU3148">
        <v>0</v>
      </c>
      <c r="BC3148">
        <v>1200</v>
      </c>
      <c r="BD3148">
        <v>1</v>
      </c>
      <c r="BE3148" t="str">
        <f t="shared" si="149"/>
        <v xml:space="preserve">N215T   </v>
      </c>
      <c r="BF3148">
        <v>1</v>
      </c>
      <c r="BH3148">
        <v>0</v>
      </c>
      <c r="BI3148">
        <v>0</v>
      </c>
      <c r="BJ3148">
        <v>0</v>
      </c>
      <c r="BK3148">
        <v>2500</v>
      </c>
      <c r="BL3148">
        <v>400</v>
      </c>
      <c r="BM3148" t="s">
        <v>119</v>
      </c>
      <c r="BN3148">
        <v>1</v>
      </c>
      <c r="BO3148">
        <v>1</v>
      </c>
      <c r="BP3148">
        <v>1</v>
      </c>
      <c r="BQ3148">
        <v>0</v>
      </c>
      <c r="BT3148">
        <v>0</v>
      </c>
      <c r="BU3148">
        <v>0</v>
      </c>
      <c r="BV3148">
        <v>0</v>
      </c>
      <c r="CC3148" t="str">
        <f>"19:27:23.164"</f>
        <v>19:27:23.164</v>
      </c>
      <c r="CD3148" t="str">
        <f>"162369523"</f>
        <v>162369523</v>
      </c>
      <c r="CQ3148">
        <v>0</v>
      </c>
      <c r="CR3148">
        <v>2</v>
      </c>
      <c r="CS3148">
        <v>0</v>
      </c>
      <c r="CT3148">
        <v>2</v>
      </c>
      <c r="CU3148">
        <v>0</v>
      </c>
      <c r="CV3148">
        <v>6</v>
      </c>
      <c r="CW3148" t="s">
        <v>120</v>
      </c>
      <c r="CX3148">
        <v>257</v>
      </c>
      <c r="CY3148">
        <v>0</v>
      </c>
      <c r="CZ3148" t="s">
        <v>615</v>
      </c>
      <c r="DA3148" t="s">
        <v>616</v>
      </c>
      <c r="DD3148">
        <v>16288986</v>
      </c>
      <c r="DE3148" t="s">
        <v>123</v>
      </c>
    </row>
    <row r="3149" spans="1:109" x14ac:dyDescent="0.3">
      <c r="A3149" t="str">
        <f>"19:27:24.516"</f>
        <v>19:27:24.516</v>
      </c>
      <c r="B3149" t="s">
        <v>110</v>
      </c>
      <c r="C3149" t="str">
        <f t="shared" si="147"/>
        <v>ffdfd3c0</v>
      </c>
      <c r="D3149" t="s">
        <v>111</v>
      </c>
      <c r="E3149">
        <v>18</v>
      </c>
      <c r="F3149">
        <v>1018</v>
      </c>
      <c r="G3149" t="s">
        <v>112</v>
      </c>
      <c r="J3149" t="s">
        <v>113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R3149" t="s">
        <v>114</v>
      </c>
      <c r="S3149" t="str">
        <f>"19:27:24.242"</f>
        <v>19:27:24.242</v>
      </c>
      <c r="T3149" t="str">
        <f>"19:27:24.141"</f>
        <v>19:27:24.141</v>
      </c>
      <c r="U3149" t="str">
        <f t="shared" si="148"/>
        <v>a1cdbe</v>
      </c>
      <c r="V3149">
        <v>0</v>
      </c>
      <c r="W3149">
        <v>0</v>
      </c>
      <c r="X3149">
        <v>1</v>
      </c>
      <c r="Y3149">
        <v>0</v>
      </c>
      <c r="Z3149">
        <v>0</v>
      </c>
      <c r="AB3149">
        <v>0</v>
      </c>
      <c r="AC3149">
        <v>9</v>
      </c>
      <c r="AD3149">
        <v>3</v>
      </c>
      <c r="AE3149">
        <v>0</v>
      </c>
      <c r="AF3149">
        <v>9</v>
      </c>
      <c r="AG3149" t="s">
        <v>158</v>
      </c>
      <c r="AH3149">
        <v>0</v>
      </c>
      <c r="AI3149">
        <v>3</v>
      </c>
      <c r="AJ3149">
        <v>1</v>
      </c>
      <c r="AK3149">
        <v>0</v>
      </c>
      <c r="AL3149" t="s">
        <v>5928</v>
      </c>
      <c r="AM3149">
        <v>46.995735000000003</v>
      </c>
      <c r="AN3149" t="s">
        <v>5929</v>
      </c>
      <c r="AO3149">
        <v>-123.599281</v>
      </c>
      <c r="AP3149">
        <v>100</v>
      </c>
      <c r="AQ3149">
        <v>2100</v>
      </c>
      <c r="AR3149" t="s">
        <v>118</v>
      </c>
      <c r="AS3149">
        <v>-76</v>
      </c>
      <c r="AT3149">
        <v>18</v>
      </c>
      <c r="AU3149">
        <v>0</v>
      </c>
      <c r="BC3149">
        <v>1200</v>
      </c>
      <c r="BD3149">
        <v>1</v>
      </c>
      <c r="BE3149" t="str">
        <f t="shared" si="149"/>
        <v xml:space="preserve">N215T   </v>
      </c>
      <c r="BF3149">
        <v>1</v>
      </c>
      <c r="BH3149">
        <v>0</v>
      </c>
      <c r="BI3149">
        <v>0</v>
      </c>
      <c r="BJ3149">
        <v>0</v>
      </c>
      <c r="BK3149">
        <v>2500</v>
      </c>
      <c r="BL3149">
        <v>400</v>
      </c>
      <c r="BM3149" t="s">
        <v>119</v>
      </c>
      <c r="BN3149">
        <v>1</v>
      </c>
      <c r="BO3149">
        <v>1</v>
      </c>
      <c r="BP3149">
        <v>1</v>
      </c>
      <c r="BQ3149">
        <v>0</v>
      </c>
      <c r="BT3149">
        <v>0</v>
      </c>
      <c r="BU3149">
        <v>0</v>
      </c>
      <c r="BV3149">
        <v>0</v>
      </c>
      <c r="CC3149" t="str">
        <f>"19:27:24.242"</f>
        <v>19:27:24.242</v>
      </c>
      <c r="CD3149" t="str">
        <f>"242263101"</f>
        <v>242263101</v>
      </c>
      <c r="CQ3149">
        <v>0</v>
      </c>
      <c r="CR3149">
        <v>2</v>
      </c>
      <c r="CS3149">
        <v>0</v>
      </c>
      <c r="CT3149">
        <v>2</v>
      </c>
      <c r="CU3149">
        <v>0</v>
      </c>
      <c r="CV3149">
        <v>6</v>
      </c>
      <c r="CW3149" t="s">
        <v>120</v>
      </c>
      <c r="CX3149">
        <v>257</v>
      </c>
      <c r="CY3149">
        <v>0</v>
      </c>
      <c r="CZ3149" t="s">
        <v>615</v>
      </c>
      <c r="DA3149" t="s">
        <v>616</v>
      </c>
      <c r="DD3149">
        <v>16289569</v>
      </c>
      <c r="DE3149" t="s">
        <v>123</v>
      </c>
    </row>
    <row r="3150" spans="1:109" x14ac:dyDescent="0.3">
      <c r="A3150" t="str">
        <f>"19:27:25.414"</f>
        <v>19:27:25.414</v>
      </c>
      <c r="B3150" t="s">
        <v>110</v>
      </c>
      <c r="C3150" t="str">
        <f t="shared" si="147"/>
        <v>ffdfd3c0</v>
      </c>
      <c r="D3150" t="s">
        <v>111</v>
      </c>
      <c r="E3150">
        <v>18</v>
      </c>
      <c r="F3150">
        <v>1018</v>
      </c>
      <c r="G3150" t="s">
        <v>112</v>
      </c>
      <c r="J3150" t="s">
        <v>113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R3150" t="s">
        <v>114</v>
      </c>
      <c r="S3150" t="str">
        <f>"19:27:25.211"</f>
        <v>19:27:25.211</v>
      </c>
      <c r="T3150" t="str">
        <f>"19:27:25.109"</f>
        <v>19:27:25.109</v>
      </c>
      <c r="U3150" t="str">
        <f t="shared" si="148"/>
        <v>a1cdbe</v>
      </c>
      <c r="V3150">
        <v>0</v>
      </c>
      <c r="W3150">
        <v>0</v>
      </c>
      <c r="X3150">
        <v>1</v>
      </c>
      <c r="Y3150">
        <v>0</v>
      </c>
      <c r="Z3150">
        <v>0</v>
      </c>
      <c r="AB3150">
        <v>0</v>
      </c>
      <c r="AC3150">
        <v>9</v>
      </c>
      <c r="AD3150">
        <v>3</v>
      </c>
      <c r="AE3150">
        <v>0</v>
      </c>
      <c r="AF3150">
        <v>9</v>
      </c>
      <c r="AG3150" t="s">
        <v>158</v>
      </c>
      <c r="AH3150">
        <v>0</v>
      </c>
      <c r="AI3150">
        <v>3</v>
      </c>
      <c r="AJ3150">
        <v>1</v>
      </c>
      <c r="AK3150">
        <v>0</v>
      </c>
      <c r="AL3150" t="s">
        <v>5930</v>
      </c>
      <c r="AM3150">
        <v>46.995800000000003</v>
      </c>
      <c r="AN3150" t="s">
        <v>5931</v>
      </c>
      <c r="AO3150">
        <v>-123.599839</v>
      </c>
      <c r="AP3150">
        <v>100</v>
      </c>
      <c r="AQ3150">
        <v>2100</v>
      </c>
      <c r="AR3150" t="s">
        <v>118</v>
      </c>
      <c r="AS3150">
        <v>-76</v>
      </c>
      <c r="AT3150">
        <v>18</v>
      </c>
      <c r="AU3150">
        <v>0</v>
      </c>
      <c r="BC3150">
        <v>1200</v>
      </c>
      <c r="BD3150">
        <v>1</v>
      </c>
      <c r="BE3150" t="str">
        <f t="shared" si="149"/>
        <v xml:space="preserve">N215T   </v>
      </c>
      <c r="BF3150">
        <v>1</v>
      </c>
      <c r="BH3150">
        <v>0</v>
      </c>
      <c r="BI3150">
        <v>0</v>
      </c>
      <c r="BJ3150">
        <v>0</v>
      </c>
      <c r="BK3150">
        <v>2500</v>
      </c>
      <c r="BL3150">
        <v>400</v>
      </c>
      <c r="BM3150" t="s">
        <v>119</v>
      </c>
      <c r="BN3150">
        <v>1</v>
      </c>
      <c r="BO3150">
        <v>1</v>
      </c>
      <c r="BP3150">
        <v>1</v>
      </c>
      <c r="BQ3150">
        <v>0</v>
      </c>
      <c r="BT3150">
        <v>0</v>
      </c>
      <c r="BU3150">
        <v>0</v>
      </c>
      <c r="BV3150">
        <v>0</v>
      </c>
      <c r="CC3150" t="str">
        <f>"19:27:25.219"</f>
        <v>19:27:25.219</v>
      </c>
      <c r="CD3150" t="str">
        <f>"217167029"</f>
        <v>217167029</v>
      </c>
      <c r="CQ3150">
        <v>0</v>
      </c>
      <c r="CR3150">
        <v>2</v>
      </c>
      <c r="CS3150">
        <v>0</v>
      </c>
      <c r="CT3150">
        <v>2</v>
      </c>
      <c r="CU3150">
        <v>0</v>
      </c>
      <c r="CV3150">
        <v>6</v>
      </c>
      <c r="CW3150" t="s">
        <v>120</v>
      </c>
      <c r="CX3150">
        <v>257</v>
      </c>
      <c r="CY3150">
        <v>0</v>
      </c>
      <c r="CZ3150" t="s">
        <v>615</v>
      </c>
      <c r="DA3150" t="s">
        <v>616</v>
      </c>
      <c r="DD3150">
        <v>16290081</v>
      </c>
      <c r="DE3150" t="s">
        <v>123</v>
      </c>
    </row>
    <row r="3151" spans="1:109" x14ac:dyDescent="0.3">
      <c r="A3151" t="str">
        <f>"19:27:26.375"</f>
        <v>19:27:26.375</v>
      </c>
      <c r="B3151" t="s">
        <v>110</v>
      </c>
      <c r="C3151" t="str">
        <f t="shared" si="147"/>
        <v>ffdfd3c0</v>
      </c>
      <c r="D3151" t="s">
        <v>111</v>
      </c>
      <c r="E3151">
        <v>18</v>
      </c>
      <c r="F3151">
        <v>1018</v>
      </c>
      <c r="G3151" t="s">
        <v>112</v>
      </c>
      <c r="J3151" t="s">
        <v>113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R3151" t="s">
        <v>114</v>
      </c>
      <c r="S3151" t="str">
        <f>"19:27:26.109"</f>
        <v>19:27:26.109</v>
      </c>
      <c r="T3151" t="str">
        <f>"19:27:26.109"</f>
        <v>19:27:26.109</v>
      </c>
      <c r="U3151" t="str">
        <f t="shared" si="148"/>
        <v>a1cdbe</v>
      </c>
      <c r="V3151">
        <v>0</v>
      </c>
      <c r="W3151">
        <v>0</v>
      </c>
      <c r="X3151">
        <v>1</v>
      </c>
      <c r="Y3151">
        <v>0</v>
      </c>
      <c r="Z3151">
        <v>0</v>
      </c>
      <c r="AB3151">
        <v>0</v>
      </c>
      <c r="AC3151">
        <v>9</v>
      </c>
      <c r="AD3151">
        <v>3</v>
      </c>
      <c r="AE3151">
        <v>0</v>
      </c>
      <c r="AF3151">
        <v>9</v>
      </c>
      <c r="AG3151" t="s">
        <v>158</v>
      </c>
      <c r="AH3151">
        <v>0</v>
      </c>
      <c r="AI3151">
        <v>3</v>
      </c>
      <c r="AJ3151">
        <v>1</v>
      </c>
      <c r="AK3151">
        <v>0</v>
      </c>
      <c r="AL3151" t="s">
        <v>843</v>
      </c>
      <c r="AM3151">
        <v>46.995885000000001</v>
      </c>
      <c r="AN3151" t="s">
        <v>5932</v>
      </c>
      <c r="AO3151">
        <v>-123.600247</v>
      </c>
      <c r="AP3151">
        <v>100</v>
      </c>
      <c r="AQ3151">
        <v>2100</v>
      </c>
      <c r="AR3151" t="s">
        <v>118</v>
      </c>
      <c r="AS3151">
        <v>-76</v>
      </c>
      <c r="AT3151">
        <v>18</v>
      </c>
      <c r="AU3151">
        <v>64</v>
      </c>
      <c r="BC3151">
        <v>1200</v>
      </c>
      <c r="BD3151">
        <v>1</v>
      </c>
      <c r="BE3151" t="str">
        <f t="shared" si="149"/>
        <v xml:space="preserve">N215T   </v>
      </c>
      <c r="BF3151">
        <v>1</v>
      </c>
      <c r="BH3151">
        <v>0</v>
      </c>
      <c r="BI3151">
        <v>0</v>
      </c>
      <c r="BJ3151">
        <v>0</v>
      </c>
      <c r="BK3151">
        <v>2500</v>
      </c>
      <c r="BL3151">
        <v>400</v>
      </c>
      <c r="BM3151" t="s">
        <v>119</v>
      </c>
      <c r="BN3151">
        <v>1</v>
      </c>
      <c r="BO3151">
        <v>1</v>
      </c>
      <c r="BP3151">
        <v>1</v>
      </c>
      <c r="BQ3151">
        <v>0</v>
      </c>
      <c r="BT3151">
        <v>0</v>
      </c>
      <c r="BU3151">
        <v>0</v>
      </c>
      <c r="BV3151">
        <v>0</v>
      </c>
      <c r="CC3151" t="str">
        <f>"19:27:26.117"</f>
        <v>19:27:26.117</v>
      </c>
      <c r="CD3151" t="str">
        <f>"117078347"</f>
        <v>117078347</v>
      </c>
      <c r="CQ3151">
        <v>0</v>
      </c>
      <c r="CR3151">
        <v>2</v>
      </c>
      <c r="CS3151">
        <v>0</v>
      </c>
      <c r="CT3151">
        <v>2</v>
      </c>
      <c r="CU3151">
        <v>0</v>
      </c>
      <c r="CV3151">
        <v>6</v>
      </c>
      <c r="CW3151" t="s">
        <v>120</v>
      </c>
      <c r="CX3151">
        <v>257</v>
      </c>
      <c r="CY3151">
        <v>0</v>
      </c>
      <c r="CZ3151" t="s">
        <v>615</v>
      </c>
      <c r="DA3151" t="s">
        <v>616</v>
      </c>
      <c r="DD3151">
        <v>16290519</v>
      </c>
      <c r="DE3151" t="s">
        <v>123</v>
      </c>
    </row>
    <row r="3152" spans="1:109" x14ac:dyDescent="0.3">
      <c r="A3152" t="str">
        <f>"19:27:27.484"</f>
        <v>19:27:27.484</v>
      </c>
      <c r="B3152" t="s">
        <v>110</v>
      </c>
      <c r="C3152" t="str">
        <f t="shared" si="147"/>
        <v>ffdfd3c0</v>
      </c>
      <c r="D3152" t="s">
        <v>111</v>
      </c>
      <c r="E3152">
        <v>18</v>
      </c>
      <c r="F3152">
        <v>1018</v>
      </c>
      <c r="G3152" t="s">
        <v>112</v>
      </c>
      <c r="J3152" t="s">
        <v>113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R3152" t="s">
        <v>114</v>
      </c>
      <c r="S3152" t="str">
        <f>"19:27:27.234"</f>
        <v>19:27:27.234</v>
      </c>
      <c r="T3152" t="str">
        <f>"19:27:27.133"</f>
        <v>19:27:27.133</v>
      </c>
      <c r="U3152" t="str">
        <f t="shared" si="148"/>
        <v>a1cdbe</v>
      </c>
      <c r="V3152">
        <v>0</v>
      </c>
      <c r="W3152">
        <v>0</v>
      </c>
      <c r="X3152">
        <v>1</v>
      </c>
      <c r="Y3152">
        <v>0</v>
      </c>
      <c r="Z3152">
        <v>0</v>
      </c>
      <c r="AB3152">
        <v>0</v>
      </c>
      <c r="AC3152">
        <v>9</v>
      </c>
      <c r="AD3152">
        <v>3</v>
      </c>
      <c r="AE3152">
        <v>0</v>
      </c>
      <c r="AF3152">
        <v>9</v>
      </c>
      <c r="AG3152" t="s">
        <v>158</v>
      </c>
      <c r="AH3152">
        <v>0</v>
      </c>
      <c r="AI3152">
        <v>3</v>
      </c>
      <c r="AJ3152">
        <v>1</v>
      </c>
      <c r="AK3152">
        <v>0</v>
      </c>
      <c r="AL3152" t="s">
        <v>5933</v>
      </c>
      <c r="AM3152">
        <v>46.995992999999999</v>
      </c>
      <c r="AN3152" t="s">
        <v>5934</v>
      </c>
      <c r="AO3152">
        <v>-123.600869</v>
      </c>
      <c r="AP3152">
        <v>100</v>
      </c>
      <c r="AQ3152">
        <v>2100</v>
      </c>
      <c r="AR3152" t="s">
        <v>118</v>
      </c>
      <c r="AS3152">
        <v>-76</v>
      </c>
      <c r="AT3152">
        <v>18</v>
      </c>
      <c r="AU3152">
        <v>64</v>
      </c>
      <c r="BC3152">
        <v>1200</v>
      </c>
      <c r="BD3152">
        <v>1</v>
      </c>
      <c r="BE3152" t="str">
        <f t="shared" si="149"/>
        <v xml:space="preserve">N215T   </v>
      </c>
      <c r="BF3152">
        <v>1</v>
      </c>
      <c r="BH3152">
        <v>0</v>
      </c>
      <c r="BI3152">
        <v>0</v>
      </c>
      <c r="BJ3152">
        <v>0</v>
      </c>
      <c r="BK3152">
        <v>2500</v>
      </c>
      <c r="BL3152">
        <v>400</v>
      </c>
      <c r="BM3152" t="s">
        <v>119</v>
      </c>
      <c r="BN3152">
        <v>1</v>
      </c>
      <c r="BO3152">
        <v>1</v>
      </c>
      <c r="BP3152">
        <v>1</v>
      </c>
      <c r="BQ3152">
        <v>0</v>
      </c>
      <c r="BT3152">
        <v>0</v>
      </c>
      <c r="BU3152">
        <v>0</v>
      </c>
      <c r="BV3152">
        <v>0</v>
      </c>
      <c r="CC3152" t="str">
        <f>"19:27:27.242"</f>
        <v>19:27:27.242</v>
      </c>
      <c r="CD3152" t="str">
        <f>"241967486"</f>
        <v>241967486</v>
      </c>
      <c r="CQ3152">
        <v>0</v>
      </c>
      <c r="CR3152">
        <v>2</v>
      </c>
      <c r="CS3152">
        <v>0</v>
      </c>
      <c r="CT3152">
        <v>2</v>
      </c>
      <c r="CU3152">
        <v>0</v>
      </c>
      <c r="CV3152">
        <v>6</v>
      </c>
      <c r="CW3152" t="s">
        <v>120</v>
      </c>
      <c r="CX3152">
        <v>257</v>
      </c>
      <c r="CY3152">
        <v>0</v>
      </c>
      <c r="CZ3152" t="s">
        <v>615</v>
      </c>
      <c r="DA3152" t="s">
        <v>616</v>
      </c>
      <c r="DD3152">
        <v>16291124</v>
      </c>
      <c r="DE3152" t="s">
        <v>123</v>
      </c>
    </row>
    <row r="3153" spans="1:109" x14ac:dyDescent="0.3">
      <c r="A3153" t="str">
        <f>"19:27:28.586"</f>
        <v>19:27:28.586</v>
      </c>
      <c r="B3153" t="s">
        <v>110</v>
      </c>
      <c r="C3153" t="str">
        <f t="shared" si="147"/>
        <v>ffdfd3c0</v>
      </c>
      <c r="D3153" t="s">
        <v>111</v>
      </c>
      <c r="E3153">
        <v>18</v>
      </c>
      <c r="F3153">
        <v>1018</v>
      </c>
      <c r="G3153" t="s">
        <v>112</v>
      </c>
      <c r="J3153" t="s">
        <v>113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R3153" t="s">
        <v>114</v>
      </c>
      <c r="S3153" t="str">
        <f>"19:27:28.359"</f>
        <v>19:27:28.359</v>
      </c>
      <c r="T3153" t="str">
        <f>"19:27:28.156"</f>
        <v>19:27:28.156</v>
      </c>
      <c r="U3153" t="str">
        <f t="shared" si="148"/>
        <v>a1cdbe</v>
      </c>
      <c r="V3153">
        <v>0</v>
      </c>
      <c r="W3153">
        <v>0</v>
      </c>
      <c r="X3153">
        <v>1</v>
      </c>
      <c r="Y3153">
        <v>0</v>
      </c>
      <c r="Z3153">
        <v>0</v>
      </c>
      <c r="AB3153">
        <v>0</v>
      </c>
      <c r="AC3153">
        <v>9</v>
      </c>
      <c r="AD3153">
        <v>3</v>
      </c>
      <c r="AE3153">
        <v>0</v>
      </c>
      <c r="AF3153">
        <v>9</v>
      </c>
      <c r="AG3153" t="s">
        <v>158</v>
      </c>
      <c r="AH3153">
        <v>0</v>
      </c>
      <c r="AI3153">
        <v>3</v>
      </c>
      <c r="AJ3153">
        <v>1</v>
      </c>
      <c r="AK3153">
        <v>0</v>
      </c>
      <c r="AL3153" t="s">
        <v>5935</v>
      </c>
      <c r="AM3153">
        <v>46.996077999999997</v>
      </c>
      <c r="AN3153" t="s">
        <v>5936</v>
      </c>
      <c r="AO3153">
        <v>-123.601406</v>
      </c>
      <c r="AP3153">
        <v>100</v>
      </c>
      <c r="AQ3153">
        <v>2100</v>
      </c>
      <c r="AR3153" t="s">
        <v>118</v>
      </c>
      <c r="AS3153">
        <v>-76</v>
      </c>
      <c r="AT3153">
        <v>17</v>
      </c>
      <c r="AU3153">
        <v>64</v>
      </c>
      <c r="BC3153">
        <v>1200</v>
      </c>
      <c r="BD3153">
        <v>1</v>
      </c>
      <c r="BE3153" t="str">
        <f t="shared" si="149"/>
        <v xml:space="preserve">N215T   </v>
      </c>
      <c r="BF3153">
        <v>1</v>
      </c>
      <c r="BH3153">
        <v>0</v>
      </c>
      <c r="BI3153">
        <v>0</v>
      </c>
      <c r="BJ3153">
        <v>0</v>
      </c>
      <c r="BK3153">
        <v>2500</v>
      </c>
      <c r="BL3153">
        <v>400</v>
      </c>
      <c r="BM3153" t="s">
        <v>119</v>
      </c>
      <c r="BN3153">
        <v>1</v>
      </c>
      <c r="BO3153">
        <v>1</v>
      </c>
      <c r="BP3153">
        <v>1</v>
      </c>
      <c r="BQ3153">
        <v>0</v>
      </c>
      <c r="BT3153">
        <v>0</v>
      </c>
      <c r="BU3153">
        <v>0</v>
      </c>
      <c r="BV3153">
        <v>0</v>
      </c>
      <c r="CC3153" t="str">
        <f>"19:27:28.367"</f>
        <v>19:27:28.367</v>
      </c>
      <c r="CD3153" t="str">
        <f>"366856628"</f>
        <v>366856628</v>
      </c>
      <c r="CQ3153">
        <v>0</v>
      </c>
      <c r="CR3153">
        <v>2</v>
      </c>
      <c r="CS3153">
        <v>0</v>
      </c>
      <c r="CT3153">
        <v>2</v>
      </c>
      <c r="CU3153">
        <v>0</v>
      </c>
      <c r="CV3153">
        <v>6</v>
      </c>
      <c r="CW3153" t="s">
        <v>120</v>
      </c>
      <c r="CX3153">
        <v>257</v>
      </c>
      <c r="CY3153">
        <v>0</v>
      </c>
      <c r="CZ3153" t="s">
        <v>615</v>
      </c>
      <c r="DA3153" t="s">
        <v>616</v>
      </c>
      <c r="DD3153">
        <v>16291726</v>
      </c>
      <c r="DE3153" t="s">
        <v>123</v>
      </c>
    </row>
    <row r="3154" spans="1:109" x14ac:dyDescent="0.3">
      <c r="A3154" t="str">
        <f>"19:27:29.492"</f>
        <v>19:27:29.492</v>
      </c>
      <c r="B3154" t="s">
        <v>110</v>
      </c>
      <c r="C3154" t="str">
        <f t="shared" si="147"/>
        <v>ffdfd3c0</v>
      </c>
      <c r="D3154" t="s">
        <v>111</v>
      </c>
      <c r="E3154">
        <v>18</v>
      </c>
      <c r="F3154">
        <v>1018</v>
      </c>
      <c r="G3154" t="s">
        <v>112</v>
      </c>
      <c r="J3154" t="s">
        <v>113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R3154" t="s">
        <v>114</v>
      </c>
      <c r="S3154" t="str">
        <f>"19:27:29.250"</f>
        <v>19:27:29.250</v>
      </c>
      <c r="T3154" t="str">
        <f>"19:27:29.250"</f>
        <v>19:27:29.250</v>
      </c>
      <c r="U3154" t="str">
        <f t="shared" si="148"/>
        <v>a1cdbe</v>
      </c>
      <c r="V3154">
        <v>0</v>
      </c>
      <c r="W3154">
        <v>0</v>
      </c>
      <c r="X3154">
        <v>1</v>
      </c>
      <c r="Y3154">
        <v>0</v>
      </c>
      <c r="Z3154">
        <v>0</v>
      </c>
      <c r="AB3154">
        <v>0</v>
      </c>
      <c r="AC3154">
        <v>9</v>
      </c>
      <c r="AD3154">
        <v>3</v>
      </c>
      <c r="AE3154">
        <v>0</v>
      </c>
      <c r="AF3154">
        <v>9</v>
      </c>
      <c r="AG3154" t="s">
        <v>158</v>
      </c>
      <c r="AH3154">
        <v>0</v>
      </c>
      <c r="AI3154">
        <v>3</v>
      </c>
      <c r="AJ3154">
        <v>1</v>
      </c>
      <c r="AK3154">
        <v>0</v>
      </c>
      <c r="AL3154" t="s">
        <v>5937</v>
      </c>
      <c r="AM3154">
        <v>46.996121000000002</v>
      </c>
      <c r="AN3154" t="s">
        <v>5938</v>
      </c>
      <c r="AO3154">
        <v>-123.601899</v>
      </c>
      <c r="AP3154">
        <v>100</v>
      </c>
      <c r="AQ3154">
        <v>2100</v>
      </c>
      <c r="AR3154" t="s">
        <v>118</v>
      </c>
      <c r="AS3154">
        <v>-76</v>
      </c>
      <c r="AT3154">
        <v>17</v>
      </c>
      <c r="AU3154">
        <v>64</v>
      </c>
      <c r="BC3154">
        <v>1200</v>
      </c>
      <c r="BD3154">
        <v>1</v>
      </c>
      <c r="BE3154" t="str">
        <f t="shared" si="149"/>
        <v xml:space="preserve">N215T   </v>
      </c>
      <c r="BF3154">
        <v>1</v>
      </c>
      <c r="BH3154">
        <v>0</v>
      </c>
      <c r="BI3154">
        <v>0</v>
      </c>
      <c r="BJ3154">
        <v>0</v>
      </c>
      <c r="BK3154">
        <v>2500</v>
      </c>
      <c r="BL3154">
        <v>400</v>
      </c>
      <c r="BM3154" t="s">
        <v>119</v>
      </c>
      <c r="BN3154">
        <v>1</v>
      </c>
      <c r="BO3154">
        <v>1</v>
      </c>
      <c r="BP3154">
        <v>1</v>
      </c>
      <c r="BQ3154">
        <v>0</v>
      </c>
      <c r="BT3154">
        <v>0</v>
      </c>
      <c r="BU3154">
        <v>0</v>
      </c>
      <c r="BV3154">
        <v>0</v>
      </c>
      <c r="CC3154" t="str">
        <f>"19:27:29.250"</f>
        <v>19:27:29.250</v>
      </c>
      <c r="CD3154" t="str">
        <f>"251769418"</f>
        <v>251769418</v>
      </c>
      <c r="CQ3154">
        <v>0</v>
      </c>
      <c r="CR3154">
        <v>2</v>
      </c>
      <c r="CS3154">
        <v>0</v>
      </c>
      <c r="CT3154">
        <v>2</v>
      </c>
      <c r="CU3154">
        <v>0</v>
      </c>
      <c r="CV3154">
        <v>6</v>
      </c>
      <c r="CW3154" t="s">
        <v>120</v>
      </c>
      <c r="CX3154">
        <v>257</v>
      </c>
      <c r="CY3154">
        <v>0</v>
      </c>
      <c r="CZ3154" t="s">
        <v>615</v>
      </c>
      <c r="DA3154" t="s">
        <v>616</v>
      </c>
      <c r="DD3154">
        <v>16292161</v>
      </c>
      <c r="DE3154" t="s">
        <v>123</v>
      </c>
    </row>
    <row r="3155" spans="1:109" x14ac:dyDescent="0.3">
      <c r="A3155" t="str">
        <f>"19:27:30.594"</f>
        <v>19:27:30.594</v>
      </c>
      <c r="B3155" t="s">
        <v>110</v>
      </c>
      <c r="C3155" t="str">
        <f t="shared" si="147"/>
        <v>ffdfd3c0</v>
      </c>
      <c r="D3155" t="s">
        <v>111</v>
      </c>
      <c r="E3155">
        <v>18</v>
      </c>
      <c r="F3155">
        <v>1018</v>
      </c>
      <c r="G3155" t="s">
        <v>112</v>
      </c>
      <c r="J3155" t="s">
        <v>113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R3155" t="s">
        <v>114</v>
      </c>
      <c r="S3155" t="str">
        <f>"19:27:30.359"</f>
        <v>19:27:30.359</v>
      </c>
      <c r="T3155" t="str">
        <f>"19:27:30.258"</f>
        <v>19:27:30.258</v>
      </c>
      <c r="U3155" t="str">
        <f t="shared" si="148"/>
        <v>a1cdbe</v>
      </c>
      <c r="V3155">
        <v>0</v>
      </c>
      <c r="W3155">
        <v>0</v>
      </c>
      <c r="X3155">
        <v>1</v>
      </c>
      <c r="Y3155">
        <v>0</v>
      </c>
      <c r="Z3155">
        <v>0</v>
      </c>
      <c r="AB3155">
        <v>0</v>
      </c>
      <c r="AC3155">
        <v>9</v>
      </c>
      <c r="AD3155">
        <v>3</v>
      </c>
      <c r="AE3155">
        <v>0</v>
      </c>
      <c r="AF3155">
        <v>9</v>
      </c>
      <c r="AG3155" t="s">
        <v>158</v>
      </c>
      <c r="AH3155">
        <v>0</v>
      </c>
      <c r="AI3155">
        <v>3</v>
      </c>
      <c r="AJ3155">
        <v>1</v>
      </c>
      <c r="AK3155">
        <v>0</v>
      </c>
      <c r="AL3155" t="s">
        <v>5939</v>
      </c>
      <c r="AM3155">
        <v>46.996206999999998</v>
      </c>
      <c r="AN3155" t="s">
        <v>5940</v>
      </c>
      <c r="AO3155">
        <v>-123.602436</v>
      </c>
      <c r="AP3155">
        <v>100</v>
      </c>
      <c r="AQ3155">
        <v>2100</v>
      </c>
      <c r="AR3155" t="s">
        <v>118</v>
      </c>
      <c r="AS3155">
        <v>-76</v>
      </c>
      <c r="AT3155">
        <v>17</v>
      </c>
      <c r="AU3155">
        <v>64</v>
      </c>
      <c r="BC3155">
        <v>1200</v>
      </c>
      <c r="BD3155">
        <v>1</v>
      </c>
      <c r="BE3155" t="str">
        <f t="shared" si="149"/>
        <v xml:space="preserve">N215T   </v>
      </c>
      <c r="BF3155">
        <v>1</v>
      </c>
      <c r="BH3155">
        <v>0</v>
      </c>
      <c r="BI3155">
        <v>0</v>
      </c>
      <c r="BJ3155">
        <v>0</v>
      </c>
      <c r="BK3155">
        <v>2500</v>
      </c>
      <c r="BL3155">
        <v>400</v>
      </c>
      <c r="BM3155" t="s">
        <v>119</v>
      </c>
      <c r="BN3155">
        <v>1</v>
      </c>
      <c r="BO3155">
        <v>1</v>
      </c>
      <c r="BP3155">
        <v>1</v>
      </c>
      <c r="BQ3155">
        <v>0</v>
      </c>
      <c r="BT3155">
        <v>0</v>
      </c>
      <c r="BU3155">
        <v>0</v>
      </c>
      <c r="BV3155">
        <v>0</v>
      </c>
      <c r="CC3155" t="str">
        <f>"19:27:30.359"</f>
        <v>19:27:30.359</v>
      </c>
      <c r="CD3155" t="str">
        <f>"361660035"</f>
        <v>361660035</v>
      </c>
      <c r="CQ3155">
        <v>0</v>
      </c>
      <c r="CR3155">
        <v>2</v>
      </c>
      <c r="CS3155">
        <v>0</v>
      </c>
      <c r="CT3155">
        <v>2</v>
      </c>
      <c r="CU3155">
        <v>0</v>
      </c>
      <c r="CV3155">
        <v>6</v>
      </c>
      <c r="CW3155" t="s">
        <v>120</v>
      </c>
      <c r="CX3155">
        <v>257</v>
      </c>
      <c r="CY3155">
        <v>0</v>
      </c>
      <c r="CZ3155" t="s">
        <v>615</v>
      </c>
      <c r="DA3155" t="s">
        <v>616</v>
      </c>
      <c r="DD3155">
        <v>16292693</v>
      </c>
      <c r="DE3155" t="s">
        <v>123</v>
      </c>
    </row>
    <row r="3156" spans="1:109" x14ac:dyDescent="0.3">
      <c r="A3156" t="str">
        <f>"19:27:31.648"</f>
        <v>19:27:31.648</v>
      </c>
      <c r="B3156" t="s">
        <v>110</v>
      </c>
      <c r="C3156" t="str">
        <f t="shared" si="147"/>
        <v>ffdfd3c0</v>
      </c>
      <c r="D3156" t="s">
        <v>111</v>
      </c>
      <c r="E3156">
        <v>18</v>
      </c>
      <c r="F3156">
        <v>1018</v>
      </c>
      <c r="G3156" t="s">
        <v>112</v>
      </c>
      <c r="J3156" t="s">
        <v>113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R3156" t="s">
        <v>114</v>
      </c>
      <c r="S3156" t="str">
        <f>"19:27:31.391"</f>
        <v>19:27:31.391</v>
      </c>
      <c r="T3156" t="str">
        <f>"19:27:31.391"</f>
        <v>19:27:31.391</v>
      </c>
      <c r="U3156" t="str">
        <f t="shared" si="148"/>
        <v>a1cdbe</v>
      </c>
      <c r="V3156">
        <v>0</v>
      </c>
      <c r="W3156">
        <v>0</v>
      </c>
      <c r="X3156">
        <v>1</v>
      </c>
      <c r="Y3156">
        <v>0</v>
      </c>
      <c r="Z3156">
        <v>0</v>
      </c>
      <c r="AB3156">
        <v>0</v>
      </c>
      <c r="AC3156">
        <v>9</v>
      </c>
      <c r="AD3156">
        <v>3</v>
      </c>
      <c r="AE3156">
        <v>0</v>
      </c>
      <c r="AF3156">
        <v>9</v>
      </c>
      <c r="AG3156" t="s">
        <v>158</v>
      </c>
      <c r="AH3156">
        <v>0</v>
      </c>
      <c r="AI3156">
        <v>3</v>
      </c>
      <c r="AJ3156">
        <v>1</v>
      </c>
      <c r="AK3156">
        <v>0</v>
      </c>
      <c r="AL3156" t="s">
        <v>841</v>
      </c>
      <c r="AM3156">
        <v>46.996293000000001</v>
      </c>
      <c r="AN3156" t="s">
        <v>5941</v>
      </c>
      <c r="AO3156">
        <v>-123.603015</v>
      </c>
      <c r="AP3156">
        <v>100</v>
      </c>
      <c r="AQ3156">
        <v>2100</v>
      </c>
      <c r="AR3156" t="s">
        <v>118</v>
      </c>
      <c r="AS3156">
        <v>-76</v>
      </c>
      <c r="AT3156">
        <v>16</v>
      </c>
      <c r="AU3156">
        <v>64</v>
      </c>
      <c r="BC3156">
        <v>1200</v>
      </c>
      <c r="BD3156">
        <v>1</v>
      </c>
      <c r="BE3156" t="str">
        <f t="shared" si="149"/>
        <v xml:space="preserve">N215T   </v>
      </c>
      <c r="BF3156">
        <v>1</v>
      </c>
      <c r="BH3156">
        <v>0</v>
      </c>
      <c r="BI3156">
        <v>0</v>
      </c>
      <c r="BJ3156">
        <v>0</v>
      </c>
      <c r="BK3156">
        <v>2525</v>
      </c>
      <c r="BL3156">
        <v>425</v>
      </c>
      <c r="BM3156" t="s">
        <v>119</v>
      </c>
      <c r="BN3156">
        <v>1</v>
      </c>
      <c r="BO3156">
        <v>1</v>
      </c>
      <c r="BP3156">
        <v>1</v>
      </c>
      <c r="BQ3156">
        <v>0</v>
      </c>
      <c r="BT3156">
        <v>0</v>
      </c>
      <c r="BU3156">
        <v>0</v>
      </c>
      <c r="BV3156">
        <v>0</v>
      </c>
      <c r="CC3156" t="str">
        <f>"19:27:31.398"</f>
        <v>19:27:31.398</v>
      </c>
      <c r="CD3156" t="str">
        <f>"396558042"</f>
        <v>396558042</v>
      </c>
      <c r="CQ3156">
        <v>0</v>
      </c>
      <c r="CR3156">
        <v>2</v>
      </c>
      <c r="CS3156">
        <v>0</v>
      </c>
      <c r="CT3156">
        <v>2</v>
      </c>
      <c r="CU3156">
        <v>0</v>
      </c>
      <c r="CV3156">
        <v>6</v>
      </c>
      <c r="CW3156" t="s">
        <v>120</v>
      </c>
      <c r="CX3156">
        <v>257</v>
      </c>
      <c r="CY3156">
        <v>0</v>
      </c>
      <c r="CZ3156" t="s">
        <v>615</v>
      </c>
      <c r="DA3156" t="s">
        <v>616</v>
      </c>
      <c r="DD3156">
        <v>16293260</v>
      </c>
      <c r="DE3156" t="s">
        <v>123</v>
      </c>
    </row>
    <row r="3157" spans="1:109" x14ac:dyDescent="0.3">
      <c r="A3157" t="str">
        <f>"19:27:32.609"</f>
        <v>19:27:32.609</v>
      </c>
      <c r="B3157" t="s">
        <v>110</v>
      </c>
      <c r="C3157" t="str">
        <f t="shared" si="147"/>
        <v>ffdfd3c0</v>
      </c>
      <c r="D3157" t="s">
        <v>111</v>
      </c>
      <c r="E3157">
        <v>18</v>
      </c>
      <c r="F3157">
        <v>1018</v>
      </c>
      <c r="G3157" t="s">
        <v>112</v>
      </c>
      <c r="J3157" t="s">
        <v>113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R3157" t="s">
        <v>114</v>
      </c>
      <c r="S3157" t="str">
        <f>"19:27:32.352"</f>
        <v>19:27:32.352</v>
      </c>
      <c r="T3157" t="str">
        <f>"19:27:32.352"</f>
        <v>19:27:32.352</v>
      </c>
      <c r="U3157" t="str">
        <f t="shared" si="148"/>
        <v>a1cdbe</v>
      </c>
      <c r="V3157">
        <v>0</v>
      </c>
      <c r="W3157">
        <v>0</v>
      </c>
      <c r="X3157">
        <v>1</v>
      </c>
      <c r="Y3157">
        <v>0</v>
      </c>
      <c r="Z3157">
        <v>0</v>
      </c>
      <c r="AB3157">
        <v>0</v>
      </c>
      <c r="AC3157">
        <v>9</v>
      </c>
      <c r="AD3157">
        <v>3</v>
      </c>
      <c r="AE3157">
        <v>0</v>
      </c>
      <c r="AF3157">
        <v>9</v>
      </c>
      <c r="AG3157" t="s">
        <v>158</v>
      </c>
      <c r="AH3157">
        <v>0</v>
      </c>
      <c r="AI3157">
        <v>3</v>
      </c>
      <c r="AJ3157">
        <v>1</v>
      </c>
      <c r="AK3157">
        <v>0</v>
      </c>
      <c r="AL3157" t="s">
        <v>5942</v>
      </c>
      <c r="AM3157">
        <v>46.996357000000003</v>
      </c>
      <c r="AN3157" t="s">
        <v>5943</v>
      </c>
      <c r="AO3157">
        <v>-123.603466</v>
      </c>
      <c r="AP3157">
        <v>100</v>
      </c>
      <c r="AQ3157">
        <v>2100</v>
      </c>
      <c r="AR3157" t="s">
        <v>118</v>
      </c>
      <c r="AS3157">
        <v>-76</v>
      </c>
      <c r="AT3157">
        <v>16</v>
      </c>
      <c r="AU3157">
        <v>64</v>
      </c>
      <c r="BC3157">
        <v>1200</v>
      </c>
      <c r="BD3157">
        <v>1</v>
      </c>
      <c r="BE3157" t="str">
        <f t="shared" si="149"/>
        <v xml:space="preserve">N215T   </v>
      </c>
      <c r="BF3157">
        <v>1</v>
      </c>
      <c r="BH3157">
        <v>0</v>
      </c>
      <c r="BI3157">
        <v>0</v>
      </c>
      <c r="BJ3157">
        <v>0</v>
      </c>
      <c r="BK3157">
        <v>2500</v>
      </c>
      <c r="BL3157">
        <v>400</v>
      </c>
      <c r="BM3157" t="s">
        <v>119</v>
      </c>
      <c r="BN3157">
        <v>1</v>
      </c>
      <c r="BO3157">
        <v>1</v>
      </c>
      <c r="BP3157">
        <v>1</v>
      </c>
      <c r="BQ3157">
        <v>0</v>
      </c>
      <c r="BT3157">
        <v>0</v>
      </c>
      <c r="BU3157">
        <v>0</v>
      </c>
      <c r="BV3157">
        <v>0</v>
      </c>
      <c r="CC3157" t="str">
        <f>"19:27:32.359"</f>
        <v>19:27:32.359</v>
      </c>
      <c r="CD3157" t="str">
        <f>"356463449"</f>
        <v>356463449</v>
      </c>
      <c r="CQ3157">
        <v>0</v>
      </c>
      <c r="CR3157">
        <v>2</v>
      </c>
      <c r="CS3157">
        <v>0</v>
      </c>
      <c r="CT3157">
        <v>2</v>
      </c>
      <c r="CU3157">
        <v>0</v>
      </c>
      <c r="CV3157">
        <v>6</v>
      </c>
      <c r="CW3157" t="s">
        <v>120</v>
      </c>
      <c r="CX3157">
        <v>257</v>
      </c>
      <c r="CY3157">
        <v>0</v>
      </c>
      <c r="CZ3157" t="s">
        <v>615</v>
      </c>
      <c r="DA3157" t="s">
        <v>616</v>
      </c>
      <c r="DD3157">
        <v>16293773</v>
      </c>
      <c r="DE3157" t="s">
        <v>123</v>
      </c>
    </row>
    <row r="3158" spans="1:109" x14ac:dyDescent="0.3">
      <c r="A3158" t="str">
        <f>"19:27:33.563"</f>
        <v>19:27:33.563</v>
      </c>
      <c r="B3158" t="s">
        <v>110</v>
      </c>
      <c r="C3158" t="str">
        <f t="shared" si="147"/>
        <v>ffdfd3c0</v>
      </c>
      <c r="D3158" t="s">
        <v>111</v>
      </c>
      <c r="E3158">
        <v>18</v>
      </c>
      <c r="F3158">
        <v>1018</v>
      </c>
      <c r="G3158" t="s">
        <v>112</v>
      </c>
      <c r="J3158" t="s">
        <v>113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R3158" t="s">
        <v>114</v>
      </c>
      <c r="S3158" t="str">
        <f>"19:27:33.328"</f>
        <v>19:27:33.328</v>
      </c>
      <c r="T3158" t="str">
        <f>"19:27:33.328"</f>
        <v>19:27:33.328</v>
      </c>
      <c r="U3158" t="str">
        <f t="shared" si="148"/>
        <v>a1cdbe</v>
      </c>
      <c r="V3158">
        <v>0</v>
      </c>
      <c r="W3158">
        <v>0</v>
      </c>
      <c r="X3158">
        <v>1</v>
      </c>
      <c r="Y3158">
        <v>0</v>
      </c>
      <c r="Z3158">
        <v>0</v>
      </c>
      <c r="AB3158">
        <v>0</v>
      </c>
      <c r="AC3158">
        <v>9</v>
      </c>
      <c r="AD3158">
        <v>3</v>
      </c>
      <c r="AE3158">
        <v>0</v>
      </c>
      <c r="AF3158">
        <v>9</v>
      </c>
      <c r="AG3158" t="s">
        <v>158</v>
      </c>
      <c r="AH3158">
        <v>0</v>
      </c>
      <c r="AI3158">
        <v>3</v>
      </c>
      <c r="AJ3158">
        <v>1</v>
      </c>
      <c r="AK3158">
        <v>0</v>
      </c>
      <c r="AL3158" t="s">
        <v>5944</v>
      </c>
      <c r="AM3158">
        <v>46.996442999999999</v>
      </c>
      <c r="AN3158" t="s">
        <v>5945</v>
      </c>
      <c r="AO3158">
        <v>-123.603959</v>
      </c>
      <c r="AP3158">
        <v>100</v>
      </c>
      <c r="AQ3158">
        <v>2100</v>
      </c>
      <c r="AR3158" t="s">
        <v>118</v>
      </c>
      <c r="AS3158">
        <v>-76</v>
      </c>
      <c r="AT3158">
        <v>15</v>
      </c>
      <c r="AU3158">
        <v>64</v>
      </c>
      <c r="BC3158">
        <v>1200</v>
      </c>
      <c r="BD3158">
        <v>1</v>
      </c>
      <c r="BE3158" t="str">
        <f t="shared" si="149"/>
        <v xml:space="preserve">N215T   </v>
      </c>
      <c r="BF3158">
        <v>1</v>
      </c>
      <c r="BH3158">
        <v>0</v>
      </c>
      <c r="BI3158">
        <v>0</v>
      </c>
      <c r="BJ3158">
        <v>0</v>
      </c>
      <c r="BK3158">
        <v>2525</v>
      </c>
      <c r="BL3158">
        <v>425</v>
      </c>
      <c r="BM3158" t="s">
        <v>119</v>
      </c>
      <c r="BN3158">
        <v>1</v>
      </c>
      <c r="BO3158">
        <v>1</v>
      </c>
      <c r="BP3158">
        <v>1</v>
      </c>
      <c r="BQ3158">
        <v>0</v>
      </c>
      <c r="BT3158">
        <v>0</v>
      </c>
      <c r="BU3158">
        <v>0</v>
      </c>
      <c r="BV3158">
        <v>0</v>
      </c>
      <c r="CC3158" t="str">
        <f>"19:27:33.328"</f>
        <v>19:27:33.328</v>
      </c>
      <c r="CD3158" t="str">
        <f>"331367369"</f>
        <v>331367369</v>
      </c>
      <c r="CQ3158">
        <v>0</v>
      </c>
      <c r="CR3158">
        <v>2</v>
      </c>
      <c r="CS3158">
        <v>0</v>
      </c>
      <c r="CT3158">
        <v>2</v>
      </c>
      <c r="CU3158">
        <v>0</v>
      </c>
      <c r="CV3158">
        <v>6</v>
      </c>
      <c r="CW3158" t="s">
        <v>120</v>
      </c>
      <c r="CX3158">
        <v>257</v>
      </c>
      <c r="CY3158">
        <v>0</v>
      </c>
      <c r="CZ3158" t="s">
        <v>615</v>
      </c>
      <c r="DA3158" t="s">
        <v>616</v>
      </c>
      <c r="DD3158">
        <v>16294334</v>
      </c>
      <c r="DE3158" t="s">
        <v>123</v>
      </c>
    </row>
    <row r="3159" spans="1:109" x14ac:dyDescent="0.3">
      <c r="A3159" t="str">
        <f>"19:27:34.719"</f>
        <v>19:27:34.719</v>
      </c>
      <c r="B3159" t="s">
        <v>110</v>
      </c>
      <c r="C3159" t="str">
        <f t="shared" si="147"/>
        <v>ffdfd3c0</v>
      </c>
      <c r="D3159" t="s">
        <v>111</v>
      </c>
      <c r="E3159">
        <v>18</v>
      </c>
      <c r="F3159">
        <v>1018</v>
      </c>
      <c r="G3159" t="s">
        <v>112</v>
      </c>
      <c r="J3159" t="s">
        <v>113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R3159" t="s">
        <v>114</v>
      </c>
      <c r="S3159" t="str">
        <f>"19:27:34.453"</f>
        <v>19:27:34.453</v>
      </c>
      <c r="T3159" t="str">
        <f>"19:27:34.352"</f>
        <v>19:27:34.352</v>
      </c>
      <c r="U3159" t="str">
        <f t="shared" si="148"/>
        <v>a1cdbe</v>
      </c>
      <c r="V3159">
        <v>0</v>
      </c>
      <c r="W3159">
        <v>0</v>
      </c>
      <c r="X3159">
        <v>1</v>
      </c>
      <c r="Y3159">
        <v>0</v>
      </c>
      <c r="Z3159">
        <v>0</v>
      </c>
      <c r="AB3159">
        <v>0</v>
      </c>
      <c r="AC3159">
        <v>9</v>
      </c>
      <c r="AD3159">
        <v>3</v>
      </c>
      <c r="AE3159">
        <v>0</v>
      </c>
      <c r="AF3159">
        <v>9</v>
      </c>
      <c r="AG3159" t="s">
        <v>158</v>
      </c>
      <c r="AH3159">
        <v>0</v>
      </c>
      <c r="AI3159">
        <v>3</v>
      </c>
      <c r="AJ3159">
        <v>1</v>
      </c>
      <c r="AK3159">
        <v>0</v>
      </c>
      <c r="AL3159" t="s">
        <v>5946</v>
      </c>
      <c r="AM3159">
        <v>46.996529000000002</v>
      </c>
      <c r="AN3159" t="s">
        <v>5947</v>
      </c>
      <c r="AO3159">
        <v>-123.60456000000001</v>
      </c>
      <c r="AP3159">
        <v>100</v>
      </c>
      <c r="AQ3159">
        <v>2100</v>
      </c>
      <c r="AR3159" t="s">
        <v>118</v>
      </c>
      <c r="AS3159">
        <v>-76</v>
      </c>
      <c r="AT3159">
        <v>15</v>
      </c>
      <c r="AU3159">
        <v>0</v>
      </c>
      <c r="BC3159">
        <v>1200</v>
      </c>
      <c r="BD3159">
        <v>1</v>
      </c>
      <c r="BE3159" t="str">
        <f t="shared" si="149"/>
        <v xml:space="preserve">N215T   </v>
      </c>
      <c r="BF3159">
        <v>1</v>
      </c>
      <c r="BH3159">
        <v>0</v>
      </c>
      <c r="BI3159">
        <v>0</v>
      </c>
      <c r="BJ3159">
        <v>0</v>
      </c>
      <c r="BK3159">
        <v>2500</v>
      </c>
      <c r="BL3159">
        <v>400</v>
      </c>
      <c r="BM3159" t="s">
        <v>119</v>
      </c>
      <c r="BN3159">
        <v>1</v>
      </c>
      <c r="BO3159">
        <v>1</v>
      </c>
      <c r="BP3159">
        <v>1</v>
      </c>
      <c r="BQ3159">
        <v>0</v>
      </c>
      <c r="BT3159">
        <v>0</v>
      </c>
      <c r="BU3159">
        <v>0</v>
      </c>
      <c r="BV3159">
        <v>0</v>
      </c>
      <c r="CC3159" t="str">
        <f>"19:27:34.453"</f>
        <v>19:27:34.453</v>
      </c>
      <c r="CD3159" t="str">
        <f>"456256505"</f>
        <v>456256505</v>
      </c>
      <c r="CQ3159">
        <v>0</v>
      </c>
      <c r="CR3159">
        <v>2</v>
      </c>
      <c r="CS3159">
        <v>0</v>
      </c>
      <c r="CT3159">
        <v>2</v>
      </c>
      <c r="CU3159">
        <v>0</v>
      </c>
      <c r="CV3159">
        <v>6</v>
      </c>
      <c r="CW3159" t="s">
        <v>120</v>
      </c>
      <c r="CX3159">
        <v>257</v>
      </c>
      <c r="CY3159">
        <v>0</v>
      </c>
      <c r="CZ3159" t="s">
        <v>615</v>
      </c>
      <c r="DA3159" t="s">
        <v>616</v>
      </c>
      <c r="DD3159">
        <v>16294891</v>
      </c>
      <c r="DE3159" t="s">
        <v>123</v>
      </c>
    </row>
    <row r="3160" spans="1:109" x14ac:dyDescent="0.3">
      <c r="A3160" t="str">
        <f>"19:27:35.570"</f>
        <v>19:27:35.570</v>
      </c>
      <c r="B3160" t="s">
        <v>110</v>
      </c>
      <c r="C3160" t="str">
        <f t="shared" si="147"/>
        <v>ffdfd3c0</v>
      </c>
      <c r="D3160" t="s">
        <v>111</v>
      </c>
      <c r="E3160">
        <v>18</v>
      </c>
      <c r="F3160">
        <v>1018</v>
      </c>
      <c r="G3160" t="s">
        <v>112</v>
      </c>
      <c r="J3160" t="s">
        <v>113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R3160" t="s">
        <v>114</v>
      </c>
      <c r="S3160" t="str">
        <f>"19:27:35.352"</f>
        <v>19:27:35.352</v>
      </c>
      <c r="T3160" t="str">
        <f>"19:27:34.852"</f>
        <v>19:27:34.852</v>
      </c>
      <c r="U3160" t="str">
        <f t="shared" si="148"/>
        <v>a1cdbe</v>
      </c>
      <c r="V3160">
        <v>0</v>
      </c>
      <c r="W3160">
        <v>0</v>
      </c>
      <c r="X3160">
        <v>1</v>
      </c>
      <c r="Y3160">
        <v>0</v>
      </c>
      <c r="Z3160">
        <v>0</v>
      </c>
      <c r="AB3160">
        <v>0</v>
      </c>
      <c r="AC3160">
        <v>9</v>
      </c>
      <c r="AD3160">
        <v>3</v>
      </c>
      <c r="AE3160">
        <v>0</v>
      </c>
      <c r="AF3160">
        <v>9</v>
      </c>
      <c r="AG3160" t="s">
        <v>158</v>
      </c>
      <c r="AH3160">
        <v>0</v>
      </c>
      <c r="AI3160">
        <v>3</v>
      </c>
      <c r="AJ3160">
        <v>1</v>
      </c>
      <c r="AK3160">
        <v>0</v>
      </c>
      <c r="AL3160" t="s">
        <v>5948</v>
      </c>
      <c r="AM3160">
        <v>46.996572</v>
      </c>
      <c r="AN3160" t="s">
        <v>5949</v>
      </c>
      <c r="AO3160">
        <v>-123.604989</v>
      </c>
      <c r="AP3160">
        <v>100</v>
      </c>
      <c r="AQ3160">
        <v>2100</v>
      </c>
      <c r="AR3160" t="s">
        <v>118</v>
      </c>
      <c r="AS3160">
        <v>-76</v>
      </c>
      <c r="AT3160">
        <v>15</v>
      </c>
      <c r="AU3160">
        <v>0</v>
      </c>
      <c r="BC3160">
        <v>1200</v>
      </c>
      <c r="BD3160">
        <v>1</v>
      </c>
      <c r="BE3160" t="str">
        <f t="shared" si="149"/>
        <v xml:space="preserve">N215T   </v>
      </c>
      <c r="BF3160">
        <v>1</v>
      </c>
      <c r="BH3160">
        <v>0</v>
      </c>
      <c r="BI3160">
        <v>0</v>
      </c>
      <c r="BJ3160">
        <v>0</v>
      </c>
      <c r="BK3160">
        <v>2525</v>
      </c>
      <c r="BL3160">
        <v>425</v>
      </c>
      <c r="BM3160" t="s">
        <v>119</v>
      </c>
      <c r="BN3160">
        <v>1</v>
      </c>
      <c r="BO3160">
        <v>1</v>
      </c>
      <c r="BP3160">
        <v>1</v>
      </c>
      <c r="BQ3160">
        <v>0</v>
      </c>
      <c r="BT3160">
        <v>0</v>
      </c>
      <c r="BU3160">
        <v>0</v>
      </c>
      <c r="BV3160">
        <v>0</v>
      </c>
      <c r="CC3160" t="str">
        <f>"19:27:35.359"</f>
        <v>19:27:35.359</v>
      </c>
      <c r="CD3160" t="str">
        <f>"356167822"</f>
        <v>356167822</v>
      </c>
      <c r="CQ3160">
        <v>0</v>
      </c>
      <c r="CR3160">
        <v>2</v>
      </c>
      <c r="CS3160">
        <v>0</v>
      </c>
      <c r="CT3160">
        <v>2</v>
      </c>
      <c r="CU3160">
        <v>0</v>
      </c>
      <c r="CV3160">
        <v>6</v>
      </c>
      <c r="CW3160" t="s">
        <v>120</v>
      </c>
      <c r="CX3160">
        <v>257</v>
      </c>
      <c r="CY3160">
        <v>0</v>
      </c>
      <c r="CZ3160" t="s">
        <v>615</v>
      </c>
      <c r="DA3160" t="s">
        <v>616</v>
      </c>
      <c r="DD3160">
        <v>16295306</v>
      </c>
      <c r="DE3160" t="s">
        <v>123</v>
      </c>
    </row>
    <row r="3161" spans="1:109" x14ac:dyDescent="0.3">
      <c r="A3161" t="str">
        <f>"19:27:36.578"</f>
        <v>19:27:36.578</v>
      </c>
      <c r="B3161" t="s">
        <v>110</v>
      </c>
      <c r="C3161" t="str">
        <f t="shared" si="147"/>
        <v>ffdfd3c0</v>
      </c>
      <c r="D3161" t="s">
        <v>111</v>
      </c>
      <c r="E3161">
        <v>18</v>
      </c>
      <c r="F3161">
        <v>1018</v>
      </c>
      <c r="G3161" t="s">
        <v>112</v>
      </c>
      <c r="J3161" t="s">
        <v>113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R3161" t="s">
        <v>114</v>
      </c>
      <c r="S3161" t="str">
        <f>"19:27:36.313"</f>
        <v>19:27:36.313</v>
      </c>
      <c r="T3161" t="str">
        <f>"19:27:36.313"</f>
        <v>19:27:36.313</v>
      </c>
      <c r="U3161" t="str">
        <f t="shared" si="148"/>
        <v>a1cdbe</v>
      </c>
      <c r="V3161">
        <v>0</v>
      </c>
      <c r="W3161">
        <v>0</v>
      </c>
      <c r="X3161">
        <v>1</v>
      </c>
      <c r="Y3161">
        <v>0</v>
      </c>
      <c r="Z3161">
        <v>0</v>
      </c>
      <c r="AB3161">
        <v>0</v>
      </c>
      <c r="AC3161">
        <v>9</v>
      </c>
      <c r="AD3161">
        <v>3</v>
      </c>
      <c r="AE3161">
        <v>0</v>
      </c>
      <c r="AF3161">
        <v>9</v>
      </c>
      <c r="AG3161" t="s">
        <v>158</v>
      </c>
      <c r="AH3161">
        <v>0</v>
      </c>
      <c r="AI3161">
        <v>3</v>
      </c>
      <c r="AJ3161">
        <v>1</v>
      </c>
      <c r="AK3161">
        <v>0</v>
      </c>
      <c r="AL3161" t="s">
        <v>5950</v>
      </c>
      <c r="AM3161">
        <v>46.996614999999998</v>
      </c>
      <c r="AN3161" t="s">
        <v>5951</v>
      </c>
      <c r="AO3161">
        <v>-123.60548300000001</v>
      </c>
      <c r="AP3161">
        <v>100</v>
      </c>
      <c r="AQ3161">
        <v>2100</v>
      </c>
      <c r="AR3161" t="s">
        <v>118</v>
      </c>
      <c r="AS3161">
        <v>-76</v>
      </c>
      <c r="AT3161">
        <v>15</v>
      </c>
      <c r="AU3161">
        <v>0</v>
      </c>
      <c r="BC3161">
        <v>1200</v>
      </c>
      <c r="BD3161">
        <v>1</v>
      </c>
      <c r="BE3161" t="str">
        <f t="shared" si="149"/>
        <v xml:space="preserve">N215T   </v>
      </c>
      <c r="BF3161">
        <v>1</v>
      </c>
      <c r="BH3161">
        <v>0</v>
      </c>
      <c r="BI3161">
        <v>0</v>
      </c>
      <c r="BJ3161">
        <v>0</v>
      </c>
      <c r="BK3161">
        <v>2525</v>
      </c>
      <c r="BL3161">
        <v>425</v>
      </c>
      <c r="BM3161" t="s">
        <v>119</v>
      </c>
      <c r="BN3161">
        <v>1</v>
      </c>
      <c r="BO3161">
        <v>1</v>
      </c>
      <c r="BP3161">
        <v>1</v>
      </c>
      <c r="BQ3161">
        <v>0</v>
      </c>
      <c r="BT3161">
        <v>0</v>
      </c>
      <c r="BU3161">
        <v>0</v>
      </c>
      <c r="BV3161">
        <v>0</v>
      </c>
      <c r="CC3161" t="str">
        <f>"19:27:36.313"</f>
        <v>19:27:36.313</v>
      </c>
      <c r="CD3161" t="str">
        <f>"316073215"</f>
        <v>316073215</v>
      </c>
      <c r="CQ3161">
        <v>0</v>
      </c>
      <c r="CR3161">
        <v>2</v>
      </c>
      <c r="CS3161">
        <v>0</v>
      </c>
      <c r="CT3161">
        <v>2</v>
      </c>
      <c r="CU3161">
        <v>0</v>
      </c>
      <c r="CV3161">
        <v>6</v>
      </c>
      <c r="CW3161" t="s">
        <v>120</v>
      </c>
      <c r="CX3161">
        <v>257</v>
      </c>
      <c r="CY3161">
        <v>0</v>
      </c>
      <c r="CZ3161" t="s">
        <v>615</v>
      </c>
      <c r="DA3161" t="s">
        <v>616</v>
      </c>
      <c r="DD3161">
        <v>16295808</v>
      </c>
      <c r="DE3161" t="s">
        <v>123</v>
      </c>
    </row>
    <row r="3162" spans="1:109" x14ac:dyDescent="0.3">
      <c r="A3162" t="str">
        <f>"19:27:37.484"</f>
        <v>19:27:37.484</v>
      </c>
      <c r="B3162" t="s">
        <v>110</v>
      </c>
      <c r="C3162" t="str">
        <f t="shared" si="147"/>
        <v>ffdfd3c0</v>
      </c>
      <c r="D3162" t="s">
        <v>111</v>
      </c>
      <c r="E3162">
        <v>18</v>
      </c>
      <c r="F3162">
        <v>1018</v>
      </c>
      <c r="G3162" t="s">
        <v>112</v>
      </c>
      <c r="J3162" t="s">
        <v>113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R3162" t="s">
        <v>114</v>
      </c>
      <c r="S3162" t="str">
        <f>"19:27:37.242"</f>
        <v>19:27:37.242</v>
      </c>
      <c r="T3162" t="str">
        <f>"19:27:36.844"</f>
        <v>19:27:36.844</v>
      </c>
      <c r="U3162" t="str">
        <f t="shared" si="148"/>
        <v>a1cdbe</v>
      </c>
      <c r="V3162">
        <v>0</v>
      </c>
      <c r="W3162">
        <v>0</v>
      </c>
      <c r="X3162">
        <v>1</v>
      </c>
      <c r="Y3162">
        <v>0</v>
      </c>
      <c r="Z3162">
        <v>0</v>
      </c>
      <c r="AB3162">
        <v>0</v>
      </c>
      <c r="AC3162">
        <v>9</v>
      </c>
      <c r="AD3162">
        <v>3</v>
      </c>
      <c r="AE3162">
        <v>0</v>
      </c>
      <c r="AF3162">
        <v>9</v>
      </c>
      <c r="AG3162" t="s">
        <v>158</v>
      </c>
      <c r="AH3162">
        <v>0</v>
      </c>
      <c r="AI3162">
        <v>3</v>
      </c>
      <c r="AJ3162">
        <v>1</v>
      </c>
      <c r="AK3162">
        <v>0</v>
      </c>
      <c r="AL3162" t="s">
        <v>5952</v>
      </c>
      <c r="AM3162">
        <v>46.996721999999998</v>
      </c>
      <c r="AN3162" t="s">
        <v>5953</v>
      </c>
      <c r="AO3162">
        <v>-123.60593299999999</v>
      </c>
      <c r="AP3162">
        <v>100</v>
      </c>
      <c r="AQ3162">
        <v>2100</v>
      </c>
      <c r="AR3162" t="s">
        <v>118</v>
      </c>
      <c r="AS3162">
        <v>-76</v>
      </c>
      <c r="AT3162">
        <v>15</v>
      </c>
      <c r="AU3162">
        <v>0</v>
      </c>
      <c r="BC3162">
        <v>1200</v>
      </c>
      <c r="BD3162">
        <v>1</v>
      </c>
      <c r="BE3162" t="str">
        <f t="shared" si="149"/>
        <v xml:space="preserve">N215T   </v>
      </c>
      <c r="BF3162">
        <v>1</v>
      </c>
      <c r="BH3162">
        <v>0</v>
      </c>
      <c r="BI3162">
        <v>0</v>
      </c>
      <c r="BJ3162">
        <v>0</v>
      </c>
      <c r="BK3162">
        <v>2525</v>
      </c>
      <c r="BL3162">
        <v>425</v>
      </c>
      <c r="BM3162" t="s">
        <v>119</v>
      </c>
      <c r="BN3162">
        <v>1</v>
      </c>
      <c r="BO3162">
        <v>1</v>
      </c>
      <c r="BP3162">
        <v>1</v>
      </c>
      <c r="BQ3162">
        <v>0</v>
      </c>
      <c r="BT3162">
        <v>0</v>
      </c>
      <c r="BU3162">
        <v>0</v>
      </c>
      <c r="BV3162">
        <v>0</v>
      </c>
      <c r="CC3162" t="str">
        <f>"19:27:37.242"</f>
        <v>19:27:37.242</v>
      </c>
      <c r="CD3162" t="str">
        <f>"245981566"</f>
        <v>245981566</v>
      </c>
      <c r="CQ3162">
        <v>0</v>
      </c>
      <c r="CR3162">
        <v>2</v>
      </c>
      <c r="CS3162">
        <v>0</v>
      </c>
      <c r="CT3162">
        <v>2</v>
      </c>
      <c r="CU3162">
        <v>0</v>
      </c>
      <c r="CV3162">
        <v>6</v>
      </c>
      <c r="CW3162" t="s">
        <v>120</v>
      </c>
      <c r="CX3162">
        <v>257</v>
      </c>
      <c r="CY3162">
        <v>0</v>
      </c>
      <c r="CZ3162" t="s">
        <v>615</v>
      </c>
      <c r="DA3162" t="s">
        <v>616</v>
      </c>
      <c r="DD3162">
        <v>16296315</v>
      </c>
      <c r="DE3162" t="s">
        <v>123</v>
      </c>
    </row>
    <row r="3163" spans="1:109" x14ac:dyDescent="0.3">
      <c r="A3163" t="str">
        <f>"19:27:38.492"</f>
        <v>19:27:38.492</v>
      </c>
      <c r="B3163" t="s">
        <v>110</v>
      </c>
      <c r="C3163" t="str">
        <f t="shared" si="147"/>
        <v>ffdfd3c0</v>
      </c>
      <c r="D3163" t="s">
        <v>111</v>
      </c>
      <c r="E3163">
        <v>18</v>
      </c>
      <c r="F3163">
        <v>1018</v>
      </c>
      <c r="G3163" t="s">
        <v>112</v>
      </c>
      <c r="J3163" t="s">
        <v>113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R3163" t="s">
        <v>114</v>
      </c>
      <c r="S3163" t="str">
        <f>"19:27:38.250"</f>
        <v>19:27:38.250</v>
      </c>
      <c r="T3163" t="str">
        <f>"19:27:37.852"</f>
        <v>19:27:37.852</v>
      </c>
      <c r="U3163" t="str">
        <f t="shared" si="148"/>
        <v>a1cdbe</v>
      </c>
      <c r="V3163">
        <v>0</v>
      </c>
      <c r="W3163">
        <v>0</v>
      </c>
      <c r="X3163">
        <v>1</v>
      </c>
      <c r="Y3163">
        <v>0</v>
      </c>
      <c r="Z3163">
        <v>0</v>
      </c>
      <c r="AB3163">
        <v>0</v>
      </c>
      <c r="AC3163">
        <v>9</v>
      </c>
      <c r="AD3163">
        <v>3</v>
      </c>
      <c r="AE3163">
        <v>0</v>
      </c>
      <c r="AF3163">
        <v>9</v>
      </c>
      <c r="AG3163" t="s">
        <v>158</v>
      </c>
      <c r="AH3163">
        <v>0</v>
      </c>
      <c r="AI3163">
        <v>3</v>
      </c>
      <c r="AJ3163">
        <v>1</v>
      </c>
      <c r="AK3163">
        <v>0</v>
      </c>
      <c r="AL3163" t="s">
        <v>5954</v>
      </c>
      <c r="AM3163">
        <v>46.996765000000003</v>
      </c>
      <c r="AN3163" t="s">
        <v>5955</v>
      </c>
      <c r="AO3163">
        <v>-123.60647</v>
      </c>
      <c r="AP3163">
        <v>100</v>
      </c>
      <c r="AQ3163">
        <v>2100</v>
      </c>
      <c r="AR3163" t="s">
        <v>118</v>
      </c>
      <c r="AS3163">
        <v>-76</v>
      </c>
      <c r="AT3163">
        <v>14</v>
      </c>
      <c r="AU3163">
        <v>0</v>
      </c>
      <c r="BC3163">
        <v>1200</v>
      </c>
      <c r="BD3163">
        <v>1</v>
      </c>
      <c r="BE3163" t="str">
        <f t="shared" si="149"/>
        <v xml:space="preserve">N215T   </v>
      </c>
      <c r="BF3163">
        <v>1</v>
      </c>
      <c r="BH3163">
        <v>0</v>
      </c>
      <c r="BI3163">
        <v>0</v>
      </c>
      <c r="BJ3163">
        <v>0</v>
      </c>
      <c r="BK3163">
        <v>2525</v>
      </c>
      <c r="BL3163">
        <v>425</v>
      </c>
      <c r="BM3163" t="s">
        <v>119</v>
      </c>
      <c r="BN3163">
        <v>1</v>
      </c>
      <c r="BO3163">
        <v>1</v>
      </c>
      <c r="BP3163">
        <v>1</v>
      </c>
      <c r="BQ3163">
        <v>0</v>
      </c>
      <c r="BT3163">
        <v>0</v>
      </c>
      <c r="BU3163">
        <v>0</v>
      </c>
      <c r="BV3163">
        <v>0</v>
      </c>
      <c r="CC3163" t="str">
        <f>"19:27:38.250"</f>
        <v>19:27:38.250</v>
      </c>
      <c r="CD3163" t="str">
        <f>"250882528"</f>
        <v>250882528</v>
      </c>
      <c r="CQ3163">
        <v>0</v>
      </c>
      <c r="CR3163">
        <v>2</v>
      </c>
      <c r="CS3163">
        <v>0</v>
      </c>
      <c r="CT3163">
        <v>2</v>
      </c>
      <c r="CU3163">
        <v>0</v>
      </c>
      <c r="CV3163">
        <v>6</v>
      </c>
      <c r="CW3163" t="s">
        <v>120</v>
      </c>
      <c r="CX3163">
        <v>257</v>
      </c>
      <c r="CY3163">
        <v>0</v>
      </c>
      <c r="CZ3163" t="s">
        <v>615</v>
      </c>
      <c r="DA3163" t="s">
        <v>616</v>
      </c>
      <c r="DD3163">
        <v>16296848</v>
      </c>
      <c r="DE3163" t="s">
        <v>123</v>
      </c>
    </row>
    <row r="3164" spans="1:109" x14ac:dyDescent="0.3">
      <c r="A3164" t="str">
        <f>"19:27:39.641"</f>
        <v>19:27:39.641</v>
      </c>
      <c r="B3164" t="s">
        <v>110</v>
      </c>
      <c r="C3164" t="str">
        <f t="shared" si="147"/>
        <v>ffdfd3c0</v>
      </c>
      <c r="D3164" t="s">
        <v>111</v>
      </c>
      <c r="E3164">
        <v>18</v>
      </c>
      <c r="F3164">
        <v>1018</v>
      </c>
      <c r="G3164" t="s">
        <v>112</v>
      </c>
      <c r="J3164" t="s">
        <v>113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R3164" t="s">
        <v>114</v>
      </c>
      <c r="S3164" t="str">
        <f>"19:27:39.391"</f>
        <v>19:27:39.391</v>
      </c>
      <c r="T3164" t="str">
        <f>"19:27:39.391"</f>
        <v>19:27:39.391</v>
      </c>
      <c r="U3164" t="str">
        <f t="shared" si="148"/>
        <v>a1cdbe</v>
      </c>
      <c r="V3164">
        <v>0</v>
      </c>
      <c r="W3164">
        <v>0</v>
      </c>
      <c r="X3164">
        <v>1</v>
      </c>
      <c r="Y3164">
        <v>0</v>
      </c>
      <c r="Z3164">
        <v>0</v>
      </c>
      <c r="AB3164">
        <v>0</v>
      </c>
      <c r="AC3164">
        <v>9</v>
      </c>
      <c r="AD3164">
        <v>3</v>
      </c>
      <c r="AE3164">
        <v>0</v>
      </c>
      <c r="AF3164">
        <v>9</v>
      </c>
      <c r="AG3164" t="s">
        <v>158</v>
      </c>
      <c r="AH3164">
        <v>0</v>
      </c>
      <c r="AI3164">
        <v>3</v>
      </c>
      <c r="AJ3164">
        <v>1</v>
      </c>
      <c r="AK3164">
        <v>0</v>
      </c>
      <c r="AL3164" t="s">
        <v>5956</v>
      </c>
      <c r="AM3164">
        <v>46.996850999999999</v>
      </c>
      <c r="AN3164" t="s">
        <v>5957</v>
      </c>
      <c r="AO3164">
        <v>-123.607113</v>
      </c>
      <c r="AP3164">
        <v>100</v>
      </c>
      <c r="AQ3164">
        <v>2100</v>
      </c>
      <c r="AR3164" t="s">
        <v>118</v>
      </c>
      <c r="AS3164">
        <v>-76</v>
      </c>
      <c r="AT3164">
        <v>14</v>
      </c>
      <c r="AU3164">
        <v>0</v>
      </c>
      <c r="BC3164">
        <v>1200</v>
      </c>
      <c r="BD3164">
        <v>1</v>
      </c>
      <c r="BE3164" t="str">
        <f t="shared" si="149"/>
        <v xml:space="preserve">N215T   </v>
      </c>
      <c r="BF3164">
        <v>1</v>
      </c>
      <c r="BH3164">
        <v>0</v>
      </c>
      <c r="BI3164">
        <v>0</v>
      </c>
      <c r="BJ3164">
        <v>0</v>
      </c>
      <c r="BK3164">
        <v>2525</v>
      </c>
      <c r="BL3164">
        <v>425</v>
      </c>
      <c r="BM3164" t="s">
        <v>119</v>
      </c>
      <c r="BN3164">
        <v>1</v>
      </c>
      <c r="BO3164">
        <v>1</v>
      </c>
      <c r="BP3164">
        <v>1</v>
      </c>
      <c r="BQ3164">
        <v>0</v>
      </c>
      <c r="BT3164">
        <v>0</v>
      </c>
      <c r="BU3164">
        <v>0</v>
      </c>
      <c r="BV3164">
        <v>0</v>
      </c>
      <c r="CC3164" t="str">
        <f>"19:27:39.391"</f>
        <v>19:27:39.391</v>
      </c>
      <c r="CD3164" t="str">
        <f>"390770187"</f>
        <v>390770187</v>
      </c>
      <c r="CQ3164">
        <v>0</v>
      </c>
      <c r="CR3164">
        <v>2</v>
      </c>
      <c r="CS3164">
        <v>0</v>
      </c>
      <c r="CT3164">
        <v>2</v>
      </c>
      <c r="CU3164">
        <v>0</v>
      </c>
      <c r="CV3164">
        <v>6</v>
      </c>
      <c r="CW3164" t="s">
        <v>120</v>
      </c>
      <c r="CX3164">
        <v>257</v>
      </c>
      <c r="CY3164">
        <v>0</v>
      </c>
      <c r="CZ3164" t="s">
        <v>615</v>
      </c>
      <c r="DA3164" t="s">
        <v>616</v>
      </c>
      <c r="DD3164">
        <v>16297367</v>
      </c>
      <c r="DE3164" t="s">
        <v>123</v>
      </c>
    </row>
    <row r="3165" spans="1:109" x14ac:dyDescent="0.3">
      <c r="A3165" t="str">
        <f>"19:27:40.695"</f>
        <v>19:27:40.695</v>
      </c>
      <c r="B3165" t="s">
        <v>110</v>
      </c>
      <c r="C3165" t="str">
        <f t="shared" si="147"/>
        <v>ffdfd3c0</v>
      </c>
      <c r="D3165" t="s">
        <v>111</v>
      </c>
      <c r="E3165">
        <v>18</v>
      </c>
      <c r="F3165">
        <v>1018</v>
      </c>
      <c r="G3165" t="s">
        <v>112</v>
      </c>
      <c r="J3165" t="s">
        <v>113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R3165" t="s">
        <v>114</v>
      </c>
      <c r="S3165" t="str">
        <f>"19:27:40.500"</f>
        <v>19:27:40.500</v>
      </c>
      <c r="T3165" t="str">
        <f>"19:27:40.398"</f>
        <v>19:27:40.398</v>
      </c>
      <c r="U3165" t="str">
        <f t="shared" si="148"/>
        <v>a1cdbe</v>
      </c>
      <c r="V3165">
        <v>0</v>
      </c>
      <c r="W3165">
        <v>0</v>
      </c>
      <c r="X3165">
        <v>1</v>
      </c>
      <c r="Y3165">
        <v>0</v>
      </c>
      <c r="Z3165">
        <v>0</v>
      </c>
      <c r="AB3165">
        <v>0</v>
      </c>
      <c r="AC3165">
        <v>9</v>
      </c>
      <c r="AD3165">
        <v>3</v>
      </c>
      <c r="AE3165">
        <v>0</v>
      </c>
      <c r="AF3165">
        <v>9</v>
      </c>
      <c r="AG3165" t="s">
        <v>158</v>
      </c>
      <c r="AH3165">
        <v>0</v>
      </c>
      <c r="AI3165">
        <v>3</v>
      </c>
      <c r="AJ3165">
        <v>1</v>
      </c>
      <c r="AK3165">
        <v>0</v>
      </c>
      <c r="AL3165" t="s">
        <v>5958</v>
      </c>
      <c r="AM3165">
        <v>46.996957999999999</v>
      </c>
      <c r="AN3165" t="s">
        <v>5959</v>
      </c>
      <c r="AO3165">
        <v>-123.60765000000001</v>
      </c>
      <c r="AP3165">
        <v>100</v>
      </c>
      <c r="AQ3165">
        <v>2100</v>
      </c>
      <c r="AR3165" t="s">
        <v>118</v>
      </c>
      <c r="AS3165">
        <v>-76</v>
      </c>
      <c r="AT3165">
        <v>14</v>
      </c>
      <c r="AU3165">
        <v>0</v>
      </c>
      <c r="BC3165">
        <v>1200</v>
      </c>
      <c r="BD3165">
        <v>1</v>
      </c>
      <c r="BE3165" t="str">
        <f t="shared" si="149"/>
        <v xml:space="preserve">N215T   </v>
      </c>
      <c r="BF3165">
        <v>1</v>
      </c>
      <c r="BH3165">
        <v>0</v>
      </c>
      <c r="BI3165">
        <v>0</v>
      </c>
      <c r="BJ3165">
        <v>0</v>
      </c>
      <c r="BK3165">
        <v>2525</v>
      </c>
      <c r="BL3165">
        <v>425</v>
      </c>
      <c r="BM3165" t="s">
        <v>119</v>
      </c>
      <c r="BN3165">
        <v>1</v>
      </c>
      <c r="BO3165">
        <v>1</v>
      </c>
      <c r="BP3165">
        <v>1</v>
      </c>
      <c r="BQ3165">
        <v>0</v>
      </c>
      <c r="BT3165">
        <v>0</v>
      </c>
      <c r="BU3165">
        <v>0</v>
      </c>
      <c r="BV3165">
        <v>0</v>
      </c>
      <c r="CC3165" t="str">
        <f>"19:27:40.500"</f>
        <v>19:27:40.500</v>
      </c>
      <c r="CD3165" t="str">
        <f>"500660800"</f>
        <v>500660800</v>
      </c>
      <c r="CQ3165">
        <v>0</v>
      </c>
      <c r="CR3165">
        <v>2</v>
      </c>
      <c r="CS3165">
        <v>0</v>
      </c>
      <c r="CT3165">
        <v>2</v>
      </c>
      <c r="CU3165">
        <v>0</v>
      </c>
      <c r="CV3165">
        <v>6</v>
      </c>
      <c r="CW3165" t="s">
        <v>120</v>
      </c>
      <c r="CX3165">
        <v>257</v>
      </c>
      <c r="CY3165">
        <v>0</v>
      </c>
      <c r="CZ3165" t="s">
        <v>615</v>
      </c>
      <c r="DA3165" t="s">
        <v>616</v>
      </c>
      <c r="DD3165">
        <v>16297854</v>
      </c>
      <c r="DE3165" t="s">
        <v>123</v>
      </c>
    </row>
    <row r="3166" spans="1:109" x14ac:dyDescent="0.3">
      <c r="A3166" t="str">
        <f>"19:27:41.656"</f>
        <v>19:27:41.656</v>
      </c>
      <c r="B3166" t="s">
        <v>110</v>
      </c>
      <c r="C3166" t="str">
        <f t="shared" si="147"/>
        <v>ffdfd3c0</v>
      </c>
      <c r="D3166" t="s">
        <v>111</v>
      </c>
      <c r="E3166">
        <v>18</v>
      </c>
      <c r="F3166">
        <v>1018</v>
      </c>
      <c r="G3166" t="s">
        <v>112</v>
      </c>
      <c r="J3166" t="s">
        <v>113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R3166" t="s">
        <v>114</v>
      </c>
      <c r="S3166" t="str">
        <f>"19:27:41.414"</f>
        <v>19:27:41.414</v>
      </c>
      <c r="T3166" t="str">
        <f>"19:27:41.313"</f>
        <v>19:27:41.313</v>
      </c>
      <c r="U3166" t="str">
        <f t="shared" si="148"/>
        <v>a1cdbe</v>
      </c>
      <c r="V3166">
        <v>0</v>
      </c>
      <c r="W3166">
        <v>0</v>
      </c>
      <c r="X3166">
        <v>1</v>
      </c>
      <c r="Y3166">
        <v>0</v>
      </c>
      <c r="Z3166">
        <v>0</v>
      </c>
      <c r="AB3166">
        <v>0</v>
      </c>
      <c r="AC3166">
        <v>9</v>
      </c>
      <c r="AD3166">
        <v>3</v>
      </c>
      <c r="AE3166">
        <v>0</v>
      </c>
      <c r="AF3166">
        <v>9</v>
      </c>
      <c r="AG3166" t="s">
        <v>158</v>
      </c>
      <c r="AH3166">
        <v>0</v>
      </c>
      <c r="AI3166">
        <v>3</v>
      </c>
      <c r="AJ3166">
        <v>1</v>
      </c>
      <c r="AK3166">
        <v>0</v>
      </c>
      <c r="AL3166" t="s">
        <v>837</v>
      </c>
      <c r="AM3166">
        <v>46.997000999999997</v>
      </c>
      <c r="AN3166" t="s">
        <v>5960</v>
      </c>
      <c r="AO3166">
        <v>-123.60809999999999</v>
      </c>
      <c r="AP3166">
        <v>100</v>
      </c>
      <c r="AQ3166">
        <v>2100</v>
      </c>
      <c r="AR3166" t="s">
        <v>118</v>
      </c>
      <c r="AS3166">
        <v>-76</v>
      </c>
      <c r="AT3166">
        <v>15</v>
      </c>
      <c r="AU3166">
        <v>0</v>
      </c>
      <c r="BC3166">
        <v>1200</v>
      </c>
      <c r="BD3166">
        <v>1</v>
      </c>
      <c r="BE3166" t="str">
        <f t="shared" si="149"/>
        <v xml:space="preserve">N215T   </v>
      </c>
      <c r="BF3166">
        <v>1</v>
      </c>
      <c r="BH3166">
        <v>0</v>
      </c>
      <c r="BI3166">
        <v>0</v>
      </c>
      <c r="BJ3166">
        <v>0</v>
      </c>
      <c r="BK3166">
        <v>2525</v>
      </c>
      <c r="BL3166">
        <v>425</v>
      </c>
      <c r="BM3166" t="s">
        <v>119</v>
      </c>
      <c r="BN3166">
        <v>1</v>
      </c>
      <c r="BO3166">
        <v>1</v>
      </c>
      <c r="BP3166">
        <v>1</v>
      </c>
      <c r="BQ3166">
        <v>0</v>
      </c>
      <c r="BT3166">
        <v>0</v>
      </c>
      <c r="BU3166">
        <v>0</v>
      </c>
      <c r="BV3166">
        <v>0</v>
      </c>
      <c r="CC3166" t="str">
        <f>"19:27:41.414"</f>
        <v>19:27:41.414</v>
      </c>
      <c r="CD3166" t="str">
        <f>"415570635"</f>
        <v>415570635</v>
      </c>
      <c r="CQ3166">
        <v>0</v>
      </c>
      <c r="CR3166">
        <v>2</v>
      </c>
      <c r="CS3166">
        <v>0</v>
      </c>
      <c r="CT3166">
        <v>2</v>
      </c>
      <c r="CU3166">
        <v>0</v>
      </c>
      <c r="CV3166">
        <v>6</v>
      </c>
      <c r="CW3166" t="s">
        <v>120</v>
      </c>
      <c r="CX3166">
        <v>257</v>
      </c>
      <c r="CY3166">
        <v>0</v>
      </c>
      <c r="CZ3166" t="s">
        <v>615</v>
      </c>
      <c r="DA3166" t="s">
        <v>616</v>
      </c>
      <c r="DD3166">
        <v>16298338</v>
      </c>
      <c r="DE3166" t="s">
        <v>123</v>
      </c>
    </row>
    <row r="3167" spans="1:109" x14ac:dyDescent="0.3">
      <c r="A3167" t="str">
        <f>"19:27:42.508"</f>
        <v>19:27:42.508</v>
      </c>
      <c r="B3167" t="s">
        <v>110</v>
      </c>
      <c r="C3167" t="str">
        <f t="shared" si="147"/>
        <v>ffdfd3c0</v>
      </c>
      <c r="D3167" t="s">
        <v>111</v>
      </c>
      <c r="E3167">
        <v>18</v>
      </c>
      <c r="F3167">
        <v>1018</v>
      </c>
      <c r="G3167" t="s">
        <v>112</v>
      </c>
      <c r="J3167" t="s">
        <v>113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R3167" t="s">
        <v>114</v>
      </c>
      <c r="S3167" t="str">
        <f>"19:27:42.250"</f>
        <v>19:27:42.250</v>
      </c>
      <c r="T3167" t="str">
        <f>"19:27:41.953"</f>
        <v>19:27:41.953</v>
      </c>
      <c r="U3167" t="str">
        <f t="shared" si="148"/>
        <v>a1cdbe</v>
      </c>
      <c r="V3167">
        <v>0</v>
      </c>
      <c r="W3167">
        <v>0</v>
      </c>
      <c r="X3167">
        <v>1</v>
      </c>
      <c r="Y3167">
        <v>0</v>
      </c>
      <c r="Z3167">
        <v>0</v>
      </c>
      <c r="AB3167">
        <v>0</v>
      </c>
      <c r="AC3167">
        <v>9</v>
      </c>
      <c r="AD3167">
        <v>3</v>
      </c>
      <c r="AE3167">
        <v>0</v>
      </c>
      <c r="AF3167">
        <v>9</v>
      </c>
      <c r="AG3167" t="s">
        <v>158</v>
      </c>
      <c r="AH3167">
        <v>0</v>
      </c>
      <c r="AI3167">
        <v>3</v>
      </c>
      <c r="AJ3167">
        <v>1</v>
      </c>
      <c r="AK3167">
        <v>0</v>
      </c>
      <c r="AL3167" t="s">
        <v>5961</v>
      </c>
      <c r="AM3167">
        <v>46.997044000000002</v>
      </c>
      <c r="AN3167" t="s">
        <v>5962</v>
      </c>
      <c r="AO3167">
        <v>-123.608508</v>
      </c>
      <c r="AP3167">
        <v>100</v>
      </c>
      <c r="AQ3167">
        <v>2100</v>
      </c>
      <c r="AR3167" t="s">
        <v>118</v>
      </c>
      <c r="AS3167">
        <v>-76</v>
      </c>
      <c r="AT3167">
        <v>15</v>
      </c>
      <c r="AU3167">
        <v>0</v>
      </c>
      <c r="BC3167">
        <v>1200</v>
      </c>
      <c r="BD3167">
        <v>1</v>
      </c>
      <c r="BE3167" t="str">
        <f t="shared" si="149"/>
        <v xml:space="preserve">N215T   </v>
      </c>
      <c r="BF3167">
        <v>1</v>
      </c>
      <c r="BH3167">
        <v>0</v>
      </c>
      <c r="BI3167">
        <v>0</v>
      </c>
      <c r="BJ3167">
        <v>0</v>
      </c>
      <c r="BK3167">
        <v>2525</v>
      </c>
      <c r="BL3167">
        <v>425</v>
      </c>
      <c r="BM3167" t="s">
        <v>119</v>
      </c>
      <c r="BN3167">
        <v>1</v>
      </c>
      <c r="BO3167">
        <v>1</v>
      </c>
      <c r="BP3167">
        <v>1</v>
      </c>
      <c r="BQ3167">
        <v>0</v>
      </c>
      <c r="BT3167">
        <v>0</v>
      </c>
      <c r="BU3167">
        <v>0</v>
      </c>
      <c r="BV3167">
        <v>0</v>
      </c>
      <c r="CC3167" t="str">
        <f>"19:27:42.258"</f>
        <v>19:27:42.258</v>
      </c>
      <c r="CD3167" t="str">
        <f>"255487854"</f>
        <v>255487854</v>
      </c>
      <c r="CQ3167">
        <v>0</v>
      </c>
      <c r="CR3167">
        <v>2</v>
      </c>
      <c r="CS3167">
        <v>0</v>
      </c>
      <c r="CT3167">
        <v>2</v>
      </c>
      <c r="CU3167">
        <v>0</v>
      </c>
      <c r="CV3167">
        <v>6</v>
      </c>
      <c r="CW3167" t="s">
        <v>120</v>
      </c>
      <c r="CX3167">
        <v>257</v>
      </c>
      <c r="CY3167">
        <v>0</v>
      </c>
      <c r="CZ3167" t="s">
        <v>615</v>
      </c>
      <c r="DA3167" t="s">
        <v>616</v>
      </c>
      <c r="DD3167">
        <v>16298803</v>
      </c>
      <c r="DE3167" t="s">
        <v>123</v>
      </c>
    </row>
    <row r="3168" spans="1:109" x14ac:dyDescent="0.3">
      <c r="A3168" t="str">
        <f>"19:27:43.617"</f>
        <v>19:27:43.617</v>
      </c>
      <c r="B3168" t="s">
        <v>110</v>
      </c>
      <c r="C3168" t="str">
        <f t="shared" si="147"/>
        <v>ffdfd3c0</v>
      </c>
      <c r="D3168" t="s">
        <v>111</v>
      </c>
      <c r="E3168">
        <v>18</v>
      </c>
      <c r="F3168">
        <v>1018</v>
      </c>
      <c r="G3168" t="s">
        <v>112</v>
      </c>
      <c r="J3168" t="s">
        <v>113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R3168" t="s">
        <v>114</v>
      </c>
      <c r="S3168" t="str">
        <f>"19:27:43.359"</f>
        <v>19:27:43.359</v>
      </c>
      <c r="T3168" t="str">
        <f>"19:27:43.063"</f>
        <v>19:27:43.063</v>
      </c>
      <c r="U3168" t="str">
        <f t="shared" si="148"/>
        <v>a1cdbe</v>
      </c>
      <c r="V3168">
        <v>0</v>
      </c>
      <c r="W3168">
        <v>0</v>
      </c>
      <c r="X3168">
        <v>1</v>
      </c>
      <c r="Y3168">
        <v>0</v>
      </c>
      <c r="Z3168">
        <v>0</v>
      </c>
      <c r="AB3168">
        <v>0</v>
      </c>
      <c r="AC3168">
        <v>9</v>
      </c>
      <c r="AD3168">
        <v>3</v>
      </c>
      <c r="AE3168">
        <v>0</v>
      </c>
      <c r="AF3168">
        <v>9</v>
      </c>
      <c r="AG3168" t="s">
        <v>158</v>
      </c>
      <c r="AH3168">
        <v>0</v>
      </c>
      <c r="AI3168">
        <v>3</v>
      </c>
      <c r="AJ3168">
        <v>1</v>
      </c>
      <c r="AK3168">
        <v>0</v>
      </c>
      <c r="AL3168" t="s">
        <v>5963</v>
      </c>
      <c r="AM3168">
        <v>46.997129999999999</v>
      </c>
      <c r="AN3168" t="s">
        <v>5964</v>
      </c>
      <c r="AO3168">
        <v>-123.60915199999999</v>
      </c>
      <c r="AP3168">
        <v>100</v>
      </c>
      <c r="AQ3168">
        <v>2100</v>
      </c>
      <c r="AR3168" t="s">
        <v>118</v>
      </c>
      <c r="AS3168">
        <v>-76</v>
      </c>
      <c r="AT3168">
        <v>15</v>
      </c>
      <c r="AU3168">
        <v>0</v>
      </c>
      <c r="BC3168">
        <v>1200</v>
      </c>
      <c r="BD3168">
        <v>1</v>
      </c>
      <c r="BE3168" t="str">
        <f t="shared" si="149"/>
        <v xml:space="preserve">N215T   </v>
      </c>
      <c r="BF3168">
        <v>1</v>
      </c>
      <c r="BH3168">
        <v>0</v>
      </c>
      <c r="BI3168">
        <v>0</v>
      </c>
      <c r="BJ3168">
        <v>0</v>
      </c>
      <c r="BK3168">
        <v>2500</v>
      </c>
      <c r="BL3168">
        <v>400</v>
      </c>
      <c r="BM3168" t="s">
        <v>119</v>
      </c>
      <c r="BN3168">
        <v>1</v>
      </c>
      <c r="BO3168">
        <v>1</v>
      </c>
      <c r="BP3168">
        <v>1</v>
      </c>
      <c r="BQ3168">
        <v>0</v>
      </c>
      <c r="BT3168">
        <v>0</v>
      </c>
      <c r="BU3168">
        <v>0</v>
      </c>
      <c r="BV3168">
        <v>0</v>
      </c>
      <c r="CC3168" t="str">
        <f>"19:27:43.367"</f>
        <v>19:27:43.367</v>
      </c>
      <c r="CD3168" t="str">
        <f>"365378479"</f>
        <v>365378479</v>
      </c>
      <c r="CQ3168">
        <v>0</v>
      </c>
      <c r="CR3168">
        <v>2</v>
      </c>
      <c r="CS3168">
        <v>0</v>
      </c>
      <c r="CT3168">
        <v>2</v>
      </c>
      <c r="CU3168">
        <v>0</v>
      </c>
      <c r="CV3168">
        <v>6</v>
      </c>
      <c r="CW3168" t="s">
        <v>120</v>
      </c>
      <c r="CX3168">
        <v>257</v>
      </c>
      <c r="CY3168">
        <v>0</v>
      </c>
      <c r="CZ3168" t="s">
        <v>615</v>
      </c>
      <c r="DA3168" t="s">
        <v>616</v>
      </c>
      <c r="DD3168">
        <v>16299383</v>
      </c>
      <c r="DE3168" t="s">
        <v>123</v>
      </c>
    </row>
    <row r="3169" spans="1:109" x14ac:dyDescent="0.3">
      <c r="A3169" t="str">
        <f>"19:27:44.516"</f>
        <v>19:27:44.516</v>
      </c>
      <c r="B3169" t="s">
        <v>110</v>
      </c>
      <c r="C3169" t="str">
        <f t="shared" si="147"/>
        <v>ffdfd3c0</v>
      </c>
      <c r="D3169" t="s">
        <v>111</v>
      </c>
      <c r="E3169">
        <v>18</v>
      </c>
      <c r="F3169">
        <v>1018</v>
      </c>
      <c r="G3169" t="s">
        <v>112</v>
      </c>
      <c r="J3169" t="s">
        <v>113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R3169" t="s">
        <v>114</v>
      </c>
      <c r="S3169" t="str">
        <f>"19:27:44.273"</f>
        <v>19:27:44.273</v>
      </c>
      <c r="T3169" t="str">
        <f>"19:27:43.875"</f>
        <v>19:27:43.875</v>
      </c>
      <c r="U3169" t="str">
        <f t="shared" si="148"/>
        <v>a1cdbe</v>
      </c>
      <c r="V3169">
        <v>0</v>
      </c>
      <c r="W3169">
        <v>0</v>
      </c>
      <c r="X3169">
        <v>1</v>
      </c>
      <c r="Y3169">
        <v>0</v>
      </c>
      <c r="Z3169">
        <v>0</v>
      </c>
      <c r="AB3169">
        <v>0</v>
      </c>
      <c r="AC3169">
        <v>9</v>
      </c>
      <c r="AD3169">
        <v>3</v>
      </c>
      <c r="AE3169">
        <v>0</v>
      </c>
      <c r="AF3169">
        <v>9</v>
      </c>
      <c r="AG3169" t="s">
        <v>158</v>
      </c>
      <c r="AH3169">
        <v>0</v>
      </c>
      <c r="AI3169">
        <v>3</v>
      </c>
      <c r="AJ3169">
        <v>1</v>
      </c>
      <c r="AK3169">
        <v>0</v>
      </c>
      <c r="AL3169" t="s">
        <v>5965</v>
      </c>
      <c r="AM3169">
        <v>46.997194</v>
      </c>
      <c r="AN3169" t="s">
        <v>5966</v>
      </c>
      <c r="AO3169">
        <v>-123.60958100000001</v>
      </c>
      <c r="AP3169">
        <v>100</v>
      </c>
      <c r="AQ3169">
        <v>2100</v>
      </c>
      <c r="AR3169" t="s">
        <v>118</v>
      </c>
      <c r="AS3169">
        <v>-76</v>
      </c>
      <c r="AT3169">
        <v>15</v>
      </c>
      <c r="AU3169">
        <v>-64</v>
      </c>
      <c r="BC3169">
        <v>1200</v>
      </c>
      <c r="BD3169">
        <v>1</v>
      </c>
      <c r="BE3169" t="str">
        <f t="shared" si="149"/>
        <v xml:space="preserve">N215T   </v>
      </c>
      <c r="BF3169">
        <v>1</v>
      </c>
      <c r="BH3169">
        <v>0</v>
      </c>
      <c r="BI3169">
        <v>0</v>
      </c>
      <c r="BJ3169">
        <v>0</v>
      </c>
      <c r="BK3169">
        <v>2500</v>
      </c>
      <c r="BL3169">
        <v>400</v>
      </c>
      <c r="BM3169" t="s">
        <v>119</v>
      </c>
      <c r="BN3169">
        <v>1</v>
      </c>
      <c r="BO3169">
        <v>1</v>
      </c>
      <c r="BP3169">
        <v>1</v>
      </c>
      <c r="BQ3169">
        <v>0</v>
      </c>
      <c r="BT3169">
        <v>0</v>
      </c>
      <c r="BU3169">
        <v>0</v>
      </c>
      <c r="BV3169">
        <v>0</v>
      </c>
      <c r="CC3169" t="str">
        <f>"19:27:44.281"</f>
        <v>19:27:44.281</v>
      </c>
      <c r="CD3169" t="str">
        <f>"280288312"</f>
        <v>280288312</v>
      </c>
      <c r="CQ3169">
        <v>0</v>
      </c>
      <c r="CR3169">
        <v>2</v>
      </c>
      <c r="CS3169">
        <v>0</v>
      </c>
      <c r="CT3169">
        <v>2</v>
      </c>
      <c r="CU3169">
        <v>0</v>
      </c>
      <c r="CV3169">
        <v>6</v>
      </c>
      <c r="CW3169" t="s">
        <v>120</v>
      </c>
      <c r="CX3169">
        <v>257</v>
      </c>
      <c r="CY3169">
        <v>0</v>
      </c>
      <c r="CZ3169" t="s">
        <v>615</v>
      </c>
      <c r="DA3169" t="s">
        <v>616</v>
      </c>
      <c r="DD3169">
        <v>16299841</v>
      </c>
      <c r="DE3169" t="s">
        <v>123</v>
      </c>
    </row>
    <row r="3170" spans="1:109" x14ac:dyDescent="0.3">
      <c r="A3170" t="str">
        <f>"19:27:45.523"</f>
        <v>19:27:45.523</v>
      </c>
      <c r="B3170" t="s">
        <v>110</v>
      </c>
      <c r="C3170" t="str">
        <f t="shared" si="147"/>
        <v>ffdfd3c0</v>
      </c>
      <c r="D3170" t="s">
        <v>111</v>
      </c>
      <c r="E3170">
        <v>18</v>
      </c>
      <c r="F3170">
        <v>1018</v>
      </c>
      <c r="G3170" t="s">
        <v>112</v>
      </c>
      <c r="J3170" t="s">
        <v>113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R3170" t="s">
        <v>114</v>
      </c>
      <c r="S3170" t="str">
        <f>"19:27:45.281"</f>
        <v>19:27:45.281</v>
      </c>
      <c r="T3170" t="str">
        <f>"19:27:45.281"</f>
        <v>19:27:45.281</v>
      </c>
      <c r="U3170" t="str">
        <f t="shared" si="148"/>
        <v>a1cdbe</v>
      </c>
      <c r="V3170">
        <v>0</v>
      </c>
      <c r="W3170">
        <v>0</v>
      </c>
      <c r="X3170">
        <v>1</v>
      </c>
      <c r="Y3170">
        <v>0</v>
      </c>
      <c r="Z3170">
        <v>0</v>
      </c>
      <c r="AB3170">
        <v>0</v>
      </c>
      <c r="AC3170">
        <v>9</v>
      </c>
      <c r="AD3170">
        <v>3</v>
      </c>
      <c r="AE3170">
        <v>0</v>
      </c>
      <c r="AF3170">
        <v>9</v>
      </c>
      <c r="AG3170" t="s">
        <v>158</v>
      </c>
      <c r="AH3170">
        <v>0</v>
      </c>
      <c r="AI3170">
        <v>3</v>
      </c>
      <c r="AJ3170">
        <v>1</v>
      </c>
      <c r="AK3170">
        <v>0</v>
      </c>
      <c r="AL3170" t="s">
        <v>5967</v>
      </c>
      <c r="AM3170">
        <v>46.997259</v>
      </c>
      <c r="AN3170" t="s">
        <v>5968</v>
      </c>
      <c r="AO3170">
        <v>-123.610139</v>
      </c>
      <c r="AP3170">
        <v>100</v>
      </c>
      <c r="AQ3170">
        <v>2100</v>
      </c>
      <c r="AR3170" t="s">
        <v>118</v>
      </c>
      <c r="AS3170">
        <v>-76</v>
      </c>
      <c r="AT3170">
        <v>15</v>
      </c>
      <c r="AU3170">
        <v>-64</v>
      </c>
      <c r="BC3170">
        <v>1200</v>
      </c>
      <c r="BD3170">
        <v>1</v>
      </c>
      <c r="BE3170" t="str">
        <f t="shared" si="149"/>
        <v xml:space="preserve">N215T   </v>
      </c>
      <c r="BF3170">
        <v>1</v>
      </c>
      <c r="BH3170">
        <v>0</v>
      </c>
      <c r="BI3170">
        <v>0</v>
      </c>
      <c r="BJ3170">
        <v>0</v>
      </c>
      <c r="BK3170">
        <v>2500</v>
      </c>
      <c r="BL3170">
        <v>400</v>
      </c>
      <c r="BM3170" t="s">
        <v>119</v>
      </c>
      <c r="BN3170">
        <v>1</v>
      </c>
      <c r="BO3170">
        <v>1</v>
      </c>
      <c r="BP3170">
        <v>1</v>
      </c>
      <c r="BQ3170">
        <v>0</v>
      </c>
      <c r="BT3170">
        <v>0</v>
      </c>
      <c r="BU3170">
        <v>0</v>
      </c>
      <c r="BV3170">
        <v>0</v>
      </c>
      <c r="CC3170" t="str">
        <f>"19:27:45.289"</f>
        <v>19:27:45.289</v>
      </c>
      <c r="CD3170" t="str">
        <f>"285189279"</f>
        <v>285189279</v>
      </c>
      <c r="CQ3170">
        <v>0</v>
      </c>
      <c r="CR3170">
        <v>2</v>
      </c>
      <c r="CS3170">
        <v>0</v>
      </c>
      <c r="CT3170">
        <v>2</v>
      </c>
      <c r="CU3170">
        <v>0</v>
      </c>
      <c r="CV3170">
        <v>6</v>
      </c>
      <c r="CW3170" t="s">
        <v>120</v>
      </c>
      <c r="CX3170">
        <v>257</v>
      </c>
      <c r="CY3170">
        <v>0</v>
      </c>
      <c r="CZ3170" t="s">
        <v>615</v>
      </c>
      <c r="DA3170" t="s">
        <v>616</v>
      </c>
      <c r="DD3170">
        <v>16300347</v>
      </c>
      <c r="DE3170" t="s">
        <v>123</v>
      </c>
    </row>
    <row r="3171" spans="1:109" x14ac:dyDescent="0.3">
      <c r="A3171" t="str">
        <f>"19:27:46.531"</f>
        <v>19:27:46.531</v>
      </c>
      <c r="B3171" t="s">
        <v>110</v>
      </c>
      <c r="C3171" t="str">
        <f t="shared" si="147"/>
        <v>ffdfd3c0</v>
      </c>
      <c r="D3171" t="s">
        <v>111</v>
      </c>
      <c r="E3171">
        <v>18</v>
      </c>
      <c r="F3171">
        <v>1018</v>
      </c>
      <c r="G3171" t="s">
        <v>112</v>
      </c>
      <c r="J3171" t="s">
        <v>113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R3171" t="s">
        <v>114</v>
      </c>
      <c r="S3171" t="str">
        <f>"19:27:46.305"</f>
        <v>19:27:46.305</v>
      </c>
      <c r="T3171" t="str">
        <f>"19:27:45.805"</f>
        <v>19:27:45.805</v>
      </c>
      <c r="U3171" t="str">
        <f t="shared" si="148"/>
        <v>a1cdbe</v>
      </c>
      <c r="V3171">
        <v>0</v>
      </c>
      <c r="W3171">
        <v>0</v>
      </c>
      <c r="X3171">
        <v>1</v>
      </c>
      <c r="Y3171">
        <v>0</v>
      </c>
      <c r="Z3171">
        <v>0</v>
      </c>
      <c r="AB3171">
        <v>0</v>
      </c>
      <c r="AC3171">
        <v>9</v>
      </c>
      <c r="AD3171">
        <v>3</v>
      </c>
      <c r="AE3171">
        <v>0</v>
      </c>
      <c r="AF3171">
        <v>9</v>
      </c>
      <c r="AG3171" t="s">
        <v>158</v>
      </c>
      <c r="AH3171">
        <v>0</v>
      </c>
      <c r="AI3171">
        <v>3</v>
      </c>
      <c r="AJ3171">
        <v>1</v>
      </c>
      <c r="AK3171">
        <v>0</v>
      </c>
      <c r="AL3171" t="s">
        <v>5969</v>
      </c>
      <c r="AM3171">
        <v>46.997323000000002</v>
      </c>
      <c r="AN3171" t="s">
        <v>5970</v>
      </c>
      <c r="AO3171">
        <v>-123.610632</v>
      </c>
      <c r="AP3171">
        <v>100</v>
      </c>
      <c r="AQ3171">
        <v>2100</v>
      </c>
      <c r="AR3171" t="s">
        <v>118</v>
      </c>
      <c r="AS3171">
        <v>-76</v>
      </c>
      <c r="AT3171">
        <v>16</v>
      </c>
      <c r="AU3171">
        <v>0</v>
      </c>
      <c r="BC3171">
        <v>1200</v>
      </c>
      <c r="BD3171">
        <v>1</v>
      </c>
      <c r="BE3171" t="str">
        <f t="shared" si="149"/>
        <v xml:space="preserve">N215T   </v>
      </c>
      <c r="BF3171">
        <v>1</v>
      </c>
      <c r="BH3171">
        <v>0</v>
      </c>
      <c r="BI3171">
        <v>0</v>
      </c>
      <c r="BJ3171">
        <v>0</v>
      </c>
      <c r="BK3171">
        <v>2500</v>
      </c>
      <c r="BL3171">
        <v>400</v>
      </c>
      <c r="BM3171" t="s">
        <v>119</v>
      </c>
      <c r="BN3171">
        <v>1</v>
      </c>
      <c r="BO3171">
        <v>1</v>
      </c>
      <c r="BP3171">
        <v>1</v>
      </c>
      <c r="BQ3171">
        <v>0</v>
      </c>
      <c r="BT3171">
        <v>0</v>
      </c>
      <c r="BU3171">
        <v>0</v>
      </c>
      <c r="BV3171">
        <v>0</v>
      </c>
      <c r="CC3171" t="str">
        <f>"19:27:46.305"</f>
        <v>19:27:46.305</v>
      </c>
      <c r="CD3171" t="str">
        <f>"305088767"</f>
        <v>305088767</v>
      </c>
      <c r="CQ3171">
        <v>0</v>
      </c>
      <c r="CR3171">
        <v>2</v>
      </c>
      <c r="CS3171">
        <v>0</v>
      </c>
      <c r="CT3171">
        <v>2</v>
      </c>
      <c r="CU3171">
        <v>0</v>
      </c>
      <c r="CV3171">
        <v>6</v>
      </c>
      <c r="CW3171" t="s">
        <v>120</v>
      </c>
      <c r="CX3171">
        <v>257</v>
      </c>
      <c r="CY3171">
        <v>0</v>
      </c>
      <c r="CZ3171" t="s">
        <v>615</v>
      </c>
      <c r="DA3171" t="s">
        <v>616</v>
      </c>
      <c r="DD3171">
        <v>16300920</v>
      </c>
      <c r="DE3171" t="s">
        <v>123</v>
      </c>
    </row>
    <row r="3172" spans="1:109" x14ac:dyDescent="0.3">
      <c r="A3172" t="str">
        <f>"19:27:47.539"</f>
        <v>19:27:47.539</v>
      </c>
      <c r="B3172" t="s">
        <v>110</v>
      </c>
      <c r="C3172" t="str">
        <f t="shared" si="147"/>
        <v>ffdfd3c0</v>
      </c>
      <c r="D3172" t="s">
        <v>111</v>
      </c>
      <c r="E3172">
        <v>18</v>
      </c>
      <c r="F3172">
        <v>1018</v>
      </c>
      <c r="G3172" t="s">
        <v>112</v>
      </c>
      <c r="J3172" t="s">
        <v>113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R3172" t="s">
        <v>114</v>
      </c>
      <c r="S3172" t="str">
        <f>"19:27:47.320"</f>
        <v>19:27:47.320</v>
      </c>
      <c r="T3172" t="str">
        <f>"19:27:46.922"</f>
        <v>19:27:46.922</v>
      </c>
      <c r="U3172" t="str">
        <f t="shared" si="148"/>
        <v>a1cdbe</v>
      </c>
      <c r="V3172">
        <v>0</v>
      </c>
      <c r="W3172">
        <v>0</v>
      </c>
      <c r="X3172">
        <v>1</v>
      </c>
      <c r="Y3172">
        <v>0</v>
      </c>
      <c r="Z3172">
        <v>0</v>
      </c>
      <c r="AB3172">
        <v>0</v>
      </c>
      <c r="AC3172">
        <v>9</v>
      </c>
      <c r="AD3172">
        <v>3</v>
      </c>
      <c r="AE3172">
        <v>0</v>
      </c>
      <c r="AF3172">
        <v>9</v>
      </c>
      <c r="AG3172" t="s">
        <v>158</v>
      </c>
      <c r="AH3172">
        <v>0</v>
      </c>
      <c r="AI3172">
        <v>3</v>
      </c>
      <c r="AJ3172">
        <v>1</v>
      </c>
      <c r="AK3172">
        <v>0</v>
      </c>
      <c r="AL3172" t="s">
        <v>835</v>
      </c>
      <c r="AM3172">
        <v>46.997408999999998</v>
      </c>
      <c r="AN3172" t="s">
        <v>5971</v>
      </c>
      <c r="AO3172">
        <v>-123.611169</v>
      </c>
      <c r="AP3172">
        <v>100</v>
      </c>
      <c r="AQ3172">
        <v>2100</v>
      </c>
      <c r="AR3172" t="s">
        <v>118</v>
      </c>
      <c r="AS3172">
        <v>-76</v>
      </c>
      <c r="AT3172">
        <v>16</v>
      </c>
      <c r="AU3172">
        <v>-64</v>
      </c>
      <c r="BC3172">
        <v>1200</v>
      </c>
      <c r="BD3172">
        <v>1</v>
      </c>
      <c r="BE3172" t="str">
        <f t="shared" si="149"/>
        <v xml:space="preserve">N215T   </v>
      </c>
      <c r="BF3172">
        <v>1</v>
      </c>
      <c r="BH3172">
        <v>0</v>
      </c>
      <c r="BI3172">
        <v>0</v>
      </c>
      <c r="BJ3172">
        <v>0</v>
      </c>
      <c r="BK3172">
        <v>2525</v>
      </c>
      <c r="BL3172">
        <v>425</v>
      </c>
      <c r="BM3172" t="s">
        <v>119</v>
      </c>
      <c r="BN3172">
        <v>1</v>
      </c>
      <c r="BO3172">
        <v>1</v>
      </c>
      <c r="BP3172">
        <v>1</v>
      </c>
      <c r="BQ3172">
        <v>0</v>
      </c>
      <c r="BT3172">
        <v>0</v>
      </c>
      <c r="BU3172">
        <v>0</v>
      </c>
      <c r="BV3172">
        <v>0</v>
      </c>
      <c r="CC3172" t="str">
        <f>"19:27:47.328"</f>
        <v>19:27:47.328</v>
      </c>
      <c r="CD3172" t="str">
        <f>"324988259"</f>
        <v>324988259</v>
      </c>
      <c r="CQ3172">
        <v>0</v>
      </c>
      <c r="CR3172">
        <v>2</v>
      </c>
      <c r="CS3172">
        <v>0</v>
      </c>
      <c r="CT3172">
        <v>2</v>
      </c>
      <c r="CU3172">
        <v>0</v>
      </c>
      <c r="CV3172">
        <v>6</v>
      </c>
      <c r="CW3172" t="s">
        <v>120</v>
      </c>
      <c r="CX3172">
        <v>257</v>
      </c>
      <c r="CY3172">
        <v>0</v>
      </c>
      <c r="CZ3172" t="s">
        <v>615</v>
      </c>
      <c r="DA3172" t="s">
        <v>616</v>
      </c>
      <c r="DD3172">
        <v>16301548</v>
      </c>
      <c r="DE3172" t="s">
        <v>123</v>
      </c>
    </row>
    <row r="3173" spans="1:109" x14ac:dyDescent="0.3">
      <c r="A3173" t="str">
        <f>"19:27:48.594"</f>
        <v>19:27:48.594</v>
      </c>
      <c r="B3173" t="s">
        <v>110</v>
      </c>
      <c r="C3173" t="str">
        <f t="shared" si="147"/>
        <v>ffdfd3c0</v>
      </c>
      <c r="D3173" t="s">
        <v>111</v>
      </c>
      <c r="E3173">
        <v>18</v>
      </c>
      <c r="F3173">
        <v>1018</v>
      </c>
      <c r="G3173" t="s">
        <v>112</v>
      </c>
      <c r="J3173" t="s">
        <v>113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R3173" t="s">
        <v>114</v>
      </c>
      <c r="S3173" t="str">
        <f>"19:27:48.344"</f>
        <v>19:27:48.344</v>
      </c>
      <c r="T3173" t="str">
        <f>"19:27:48.344"</f>
        <v>19:27:48.344</v>
      </c>
      <c r="U3173" t="str">
        <f t="shared" si="148"/>
        <v>a1cdbe</v>
      </c>
      <c r="V3173">
        <v>0</v>
      </c>
      <c r="W3173">
        <v>0</v>
      </c>
      <c r="X3173">
        <v>1</v>
      </c>
      <c r="Y3173">
        <v>0</v>
      </c>
      <c r="Z3173">
        <v>0</v>
      </c>
      <c r="AB3173">
        <v>0</v>
      </c>
      <c r="AC3173">
        <v>9</v>
      </c>
      <c r="AD3173">
        <v>3</v>
      </c>
      <c r="AE3173">
        <v>0</v>
      </c>
      <c r="AF3173">
        <v>9</v>
      </c>
      <c r="AG3173" t="s">
        <v>158</v>
      </c>
      <c r="AH3173">
        <v>0</v>
      </c>
      <c r="AI3173">
        <v>3</v>
      </c>
      <c r="AJ3173">
        <v>1</v>
      </c>
      <c r="AK3173">
        <v>0</v>
      </c>
      <c r="AL3173" t="s">
        <v>5972</v>
      </c>
      <c r="AM3173">
        <v>46.997495000000001</v>
      </c>
      <c r="AN3173" t="s">
        <v>5973</v>
      </c>
      <c r="AO3173">
        <v>-123.611705</v>
      </c>
      <c r="AP3173">
        <v>100</v>
      </c>
      <c r="AQ3173">
        <v>2100</v>
      </c>
      <c r="AR3173" t="s">
        <v>118</v>
      </c>
      <c r="AS3173">
        <v>-77</v>
      </c>
      <c r="AT3173">
        <v>16</v>
      </c>
      <c r="AU3173">
        <v>-64</v>
      </c>
      <c r="BC3173">
        <v>1200</v>
      </c>
      <c r="BD3173">
        <v>1</v>
      </c>
      <c r="BE3173" t="str">
        <f t="shared" si="149"/>
        <v xml:space="preserve">N215T   </v>
      </c>
      <c r="BF3173">
        <v>1</v>
      </c>
      <c r="BH3173">
        <v>0</v>
      </c>
      <c r="BI3173">
        <v>0</v>
      </c>
      <c r="BJ3173">
        <v>0</v>
      </c>
      <c r="BK3173">
        <v>2500</v>
      </c>
      <c r="BL3173">
        <v>400</v>
      </c>
      <c r="BM3173" t="s">
        <v>119</v>
      </c>
      <c r="BN3173">
        <v>1</v>
      </c>
      <c r="BO3173">
        <v>1</v>
      </c>
      <c r="BP3173">
        <v>1</v>
      </c>
      <c r="BQ3173">
        <v>0</v>
      </c>
      <c r="BT3173">
        <v>0</v>
      </c>
      <c r="BU3173">
        <v>0</v>
      </c>
      <c r="BV3173">
        <v>0</v>
      </c>
      <c r="CC3173" t="str">
        <f>"19:27:48.344"</f>
        <v>19:27:48.344</v>
      </c>
      <c r="CD3173" t="str">
        <f>"344887743"</f>
        <v>344887743</v>
      </c>
      <c r="CQ3173">
        <v>0</v>
      </c>
      <c r="CR3173">
        <v>2</v>
      </c>
      <c r="CS3173">
        <v>0</v>
      </c>
      <c r="CT3173">
        <v>2</v>
      </c>
      <c r="CU3173">
        <v>0</v>
      </c>
      <c r="CV3173">
        <v>6</v>
      </c>
      <c r="CW3173" t="s">
        <v>120</v>
      </c>
      <c r="CX3173">
        <v>257</v>
      </c>
      <c r="CY3173">
        <v>0</v>
      </c>
      <c r="CZ3173" t="s">
        <v>615</v>
      </c>
      <c r="DA3173" t="s">
        <v>616</v>
      </c>
      <c r="DD3173">
        <v>16302066</v>
      </c>
      <c r="DE3173" t="s">
        <v>123</v>
      </c>
    </row>
    <row r="3174" spans="1:109" x14ac:dyDescent="0.3">
      <c r="A3174" t="str">
        <f>"19:27:49.594"</f>
        <v>19:27:49.594</v>
      </c>
      <c r="B3174" t="s">
        <v>110</v>
      </c>
      <c r="C3174" t="str">
        <f t="shared" si="147"/>
        <v>ffdfd3c0</v>
      </c>
      <c r="D3174" t="s">
        <v>111</v>
      </c>
      <c r="E3174">
        <v>18</v>
      </c>
      <c r="F3174">
        <v>1018</v>
      </c>
      <c r="G3174" t="s">
        <v>112</v>
      </c>
      <c r="J3174" t="s">
        <v>113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R3174" t="s">
        <v>114</v>
      </c>
      <c r="S3174" t="str">
        <f>"19:27:49.359"</f>
        <v>19:27:49.359</v>
      </c>
      <c r="T3174" t="str">
        <f>"19:27:49.359"</f>
        <v>19:27:49.359</v>
      </c>
      <c r="U3174" t="str">
        <f t="shared" si="148"/>
        <v>a1cdbe</v>
      </c>
      <c r="V3174">
        <v>0</v>
      </c>
      <c r="W3174">
        <v>0</v>
      </c>
      <c r="X3174">
        <v>1</v>
      </c>
      <c r="Y3174">
        <v>0</v>
      </c>
      <c r="Z3174">
        <v>0</v>
      </c>
      <c r="AB3174">
        <v>0</v>
      </c>
      <c r="AC3174">
        <v>9</v>
      </c>
      <c r="AD3174">
        <v>3</v>
      </c>
      <c r="AE3174">
        <v>0</v>
      </c>
      <c r="AF3174">
        <v>9</v>
      </c>
      <c r="AG3174" t="s">
        <v>158</v>
      </c>
      <c r="AH3174">
        <v>0</v>
      </c>
      <c r="AI3174">
        <v>3</v>
      </c>
      <c r="AJ3174">
        <v>1</v>
      </c>
      <c r="AK3174">
        <v>0</v>
      </c>
      <c r="AL3174" t="s">
        <v>5974</v>
      </c>
      <c r="AM3174">
        <v>46.997559000000003</v>
      </c>
      <c r="AN3174" t="s">
        <v>5975</v>
      </c>
      <c r="AO3174">
        <v>-123.612177</v>
      </c>
      <c r="AP3174">
        <v>100</v>
      </c>
      <c r="AQ3174">
        <v>2100</v>
      </c>
      <c r="AR3174" t="s">
        <v>118</v>
      </c>
      <c r="AS3174">
        <v>-77</v>
      </c>
      <c r="AT3174">
        <v>17</v>
      </c>
      <c r="AU3174">
        <v>-64</v>
      </c>
      <c r="BC3174">
        <v>1200</v>
      </c>
      <c r="BD3174">
        <v>1</v>
      </c>
      <c r="BE3174" t="str">
        <f t="shared" si="149"/>
        <v xml:space="preserve">N215T   </v>
      </c>
      <c r="BF3174">
        <v>1</v>
      </c>
      <c r="BH3174">
        <v>0</v>
      </c>
      <c r="BI3174">
        <v>0</v>
      </c>
      <c r="BJ3174">
        <v>0</v>
      </c>
      <c r="BK3174">
        <v>2500</v>
      </c>
      <c r="BL3174">
        <v>400</v>
      </c>
      <c r="BM3174" t="s">
        <v>119</v>
      </c>
      <c r="BN3174">
        <v>1</v>
      </c>
      <c r="BO3174">
        <v>1</v>
      </c>
      <c r="BP3174">
        <v>1</v>
      </c>
      <c r="BQ3174">
        <v>0</v>
      </c>
      <c r="BT3174">
        <v>0</v>
      </c>
      <c r="BU3174">
        <v>0</v>
      </c>
      <c r="BV3174">
        <v>0</v>
      </c>
      <c r="CC3174" t="str">
        <f>"19:27:49.367"</f>
        <v>19:27:49.367</v>
      </c>
      <c r="CD3174" t="str">
        <f>"364787236"</f>
        <v>364787236</v>
      </c>
      <c r="CQ3174">
        <v>0</v>
      </c>
      <c r="CR3174">
        <v>2</v>
      </c>
      <c r="CS3174">
        <v>0</v>
      </c>
      <c r="CT3174">
        <v>2</v>
      </c>
      <c r="CU3174">
        <v>0</v>
      </c>
      <c r="CV3174">
        <v>6</v>
      </c>
      <c r="CW3174" t="s">
        <v>120</v>
      </c>
      <c r="CX3174">
        <v>257</v>
      </c>
      <c r="CY3174">
        <v>0</v>
      </c>
      <c r="CZ3174" t="s">
        <v>615</v>
      </c>
      <c r="DA3174" t="s">
        <v>616</v>
      </c>
      <c r="DD3174">
        <v>16302559</v>
      </c>
      <c r="DE3174" t="s">
        <v>123</v>
      </c>
    </row>
    <row r="3175" spans="1:109" x14ac:dyDescent="0.3">
      <c r="A3175" t="str">
        <f>"19:27:50.648"</f>
        <v>19:27:50.648</v>
      </c>
      <c r="B3175" t="s">
        <v>110</v>
      </c>
      <c r="C3175" t="str">
        <f t="shared" si="147"/>
        <v>ffdfd3c0</v>
      </c>
      <c r="D3175" t="s">
        <v>111</v>
      </c>
      <c r="E3175">
        <v>18</v>
      </c>
      <c r="F3175">
        <v>1018</v>
      </c>
      <c r="G3175" t="s">
        <v>112</v>
      </c>
      <c r="J3175" t="s">
        <v>113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R3175" t="s">
        <v>114</v>
      </c>
      <c r="S3175" t="str">
        <f>"19:27:50.383"</f>
        <v>19:27:50.383</v>
      </c>
      <c r="T3175" t="str">
        <f>"19:27:50.383"</f>
        <v>19:27:50.383</v>
      </c>
      <c r="U3175" t="str">
        <f t="shared" si="148"/>
        <v>a1cdbe</v>
      </c>
      <c r="V3175">
        <v>0</v>
      </c>
      <c r="W3175">
        <v>0</v>
      </c>
      <c r="X3175">
        <v>1</v>
      </c>
      <c r="Y3175">
        <v>0</v>
      </c>
      <c r="Z3175">
        <v>0</v>
      </c>
      <c r="AB3175">
        <v>0</v>
      </c>
      <c r="AC3175">
        <v>9</v>
      </c>
      <c r="AD3175">
        <v>3</v>
      </c>
      <c r="AE3175">
        <v>0</v>
      </c>
      <c r="AF3175">
        <v>9</v>
      </c>
      <c r="AG3175" t="s">
        <v>158</v>
      </c>
      <c r="AH3175">
        <v>0</v>
      </c>
      <c r="AI3175">
        <v>3</v>
      </c>
      <c r="AJ3175">
        <v>1</v>
      </c>
      <c r="AK3175">
        <v>0</v>
      </c>
      <c r="AL3175" t="s">
        <v>5976</v>
      </c>
      <c r="AM3175">
        <v>46.997644999999999</v>
      </c>
      <c r="AN3175" t="s">
        <v>5977</v>
      </c>
      <c r="AO3175">
        <v>-123.612735</v>
      </c>
      <c r="AP3175">
        <v>100</v>
      </c>
      <c r="AQ3175">
        <v>2100</v>
      </c>
      <c r="AR3175" t="s">
        <v>118</v>
      </c>
      <c r="AS3175">
        <v>-77</v>
      </c>
      <c r="AT3175">
        <v>17</v>
      </c>
      <c r="AU3175">
        <v>-64</v>
      </c>
      <c r="BC3175">
        <v>1200</v>
      </c>
      <c r="BD3175">
        <v>1</v>
      </c>
      <c r="BE3175" t="str">
        <f t="shared" si="149"/>
        <v xml:space="preserve">N215T   </v>
      </c>
      <c r="BF3175">
        <v>1</v>
      </c>
      <c r="BH3175">
        <v>0</v>
      </c>
      <c r="BI3175">
        <v>0</v>
      </c>
      <c r="BJ3175">
        <v>0</v>
      </c>
      <c r="BK3175">
        <v>2500</v>
      </c>
      <c r="BL3175">
        <v>400</v>
      </c>
      <c r="BM3175" t="s">
        <v>119</v>
      </c>
      <c r="BN3175">
        <v>1</v>
      </c>
      <c r="BO3175">
        <v>1</v>
      </c>
      <c r="BP3175">
        <v>1</v>
      </c>
      <c r="BQ3175">
        <v>0</v>
      </c>
      <c r="BT3175">
        <v>0</v>
      </c>
      <c r="BU3175">
        <v>0</v>
      </c>
      <c r="BV3175">
        <v>0</v>
      </c>
      <c r="CC3175" t="str">
        <f>"19:27:50.383"</f>
        <v>19:27:50.383</v>
      </c>
      <c r="CD3175" t="str">
        <f>"384686719"</f>
        <v>384686719</v>
      </c>
      <c r="CQ3175">
        <v>0</v>
      </c>
      <c r="CR3175">
        <v>2</v>
      </c>
      <c r="CS3175">
        <v>0</v>
      </c>
      <c r="CT3175">
        <v>2</v>
      </c>
      <c r="CU3175">
        <v>0</v>
      </c>
      <c r="CV3175">
        <v>6</v>
      </c>
      <c r="CW3175" t="s">
        <v>120</v>
      </c>
      <c r="CX3175">
        <v>257</v>
      </c>
      <c r="CY3175">
        <v>0</v>
      </c>
      <c r="CZ3175" t="s">
        <v>615</v>
      </c>
      <c r="DA3175" t="s">
        <v>616</v>
      </c>
      <c r="DD3175">
        <v>16303058</v>
      </c>
      <c r="DE3175" t="s">
        <v>123</v>
      </c>
    </row>
    <row r="3176" spans="1:109" x14ac:dyDescent="0.3">
      <c r="A3176" t="str">
        <f>"19:27:51.555"</f>
        <v>19:27:51.555</v>
      </c>
      <c r="B3176" t="s">
        <v>110</v>
      </c>
      <c r="C3176" t="str">
        <f t="shared" si="147"/>
        <v>ffdfd3c0</v>
      </c>
      <c r="D3176" t="s">
        <v>111</v>
      </c>
      <c r="E3176">
        <v>18</v>
      </c>
      <c r="F3176">
        <v>1018</v>
      </c>
      <c r="G3176" t="s">
        <v>112</v>
      </c>
      <c r="J3176" t="s">
        <v>113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R3176" t="s">
        <v>114</v>
      </c>
      <c r="S3176" t="str">
        <f>"19:27:51.313"</f>
        <v>19:27:51.313</v>
      </c>
      <c r="T3176" t="str">
        <f>"19:27:50.914"</f>
        <v>19:27:50.914</v>
      </c>
      <c r="U3176" t="str">
        <f t="shared" si="148"/>
        <v>a1cdbe</v>
      </c>
      <c r="V3176">
        <v>0</v>
      </c>
      <c r="W3176">
        <v>0</v>
      </c>
      <c r="X3176">
        <v>1</v>
      </c>
      <c r="Y3176">
        <v>0</v>
      </c>
      <c r="Z3176">
        <v>0</v>
      </c>
      <c r="AB3176">
        <v>0</v>
      </c>
      <c r="AC3176">
        <v>9</v>
      </c>
      <c r="AD3176">
        <v>3</v>
      </c>
      <c r="AE3176">
        <v>0</v>
      </c>
      <c r="AF3176">
        <v>9</v>
      </c>
      <c r="AG3176" t="s">
        <v>158</v>
      </c>
      <c r="AH3176">
        <v>0</v>
      </c>
      <c r="AI3176">
        <v>3</v>
      </c>
      <c r="AJ3176">
        <v>1</v>
      </c>
      <c r="AK3176">
        <v>0</v>
      </c>
      <c r="AL3176" t="s">
        <v>5978</v>
      </c>
      <c r="AM3176">
        <v>46.997731000000002</v>
      </c>
      <c r="AN3176" t="s">
        <v>5979</v>
      </c>
      <c r="AO3176">
        <v>-123.613229</v>
      </c>
      <c r="AP3176">
        <v>100</v>
      </c>
      <c r="AQ3176">
        <v>2100</v>
      </c>
      <c r="AR3176" t="s">
        <v>118</v>
      </c>
      <c r="AS3176">
        <v>-77</v>
      </c>
      <c r="AT3176">
        <v>17</v>
      </c>
      <c r="AU3176">
        <v>-64</v>
      </c>
      <c r="BC3176">
        <v>1200</v>
      </c>
      <c r="BD3176">
        <v>1</v>
      </c>
      <c r="BE3176" t="str">
        <f t="shared" si="149"/>
        <v xml:space="preserve">N215T   </v>
      </c>
      <c r="BF3176">
        <v>1</v>
      </c>
      <c r="BH3176">
        <v>0</v>
      </c>
      <c r="BI3176">
        <v>0</v>
      </c>
      <c r="BJ3176">
        <v>0</v>
      </c>
      <c r="BK3176">
        <v>2500</v>
      </c>
      <c r="BL3176">
        <v>400</v>
      </c>
      <c r="BM3176" t="s">
        <v>119</v>
      </c>
      <c r="BN3176">
        <v>1</v>
      </c>
      <c r="BO3176">
        <v>1</v>
      </c>
      <c r="BP3176">
        <v>1</v>
      </c>
      <c r="BQ3176">
        <v>0</v>
      </c>
      <c r="BT3176">
        <v>0</v>
      </c>
      <c r="BU3176">
        <v>0</v>
      </c>
      <c r="BV3176">
        <v>0</v>
      </c>
      <c r="CC3176" t="str">
        <f>"19:27:51.313"</f>
        <v>19:27:51.313</v>
      </c>
      <c r="CD3176" t="str">
        <f>"314595081"</f>
        <v>314595081</v>
      </c>
      <c r="CQ3176">
        <v>0</v>
      </c>
      <c r="CR3176">
        <v>2</v>
      </c>
      <c r="CS3176">
        <v>0</v>
      </c>
      <c r="CT3176">
        <v>2</v>
      </c>
      <c r="CU3176">
        <v>0</v>
      </c>
      <c r="CV3176">
        <v>6</v>
      </c>
      <c r="CW3176" t="s">
        <v>120</v>
      </c>
      <c r="CX3176">
        <v>257</v>
      </c>
      <c r="CY3176">
        <v>0</v>
      </c>
      <c r="CZ3176" t="s">
        <v>615</v>
      </c>
      <c r="DA3176" t="s">
        <v>616</v>
      </c>
      <c r="DD3176">
        <v>16303585</v>
      </c>
      <c r="DE3176" t="s">
        <v>123</v>
      </c>
    </row>
    <row r="3177" spans="1:109" x14ac:dyDescent="0.3">
      <c r="A3177" t="str">
        <f>"19:27:52.414"</f>
        <v>19:27:52.414</v>
      </c>
      <c r="B3177" t="s">
        <v>110</v>
      </c>
      <c r="C3177" t="str">
        <f t="shared" si="147"/>
        <v>ffdfd3c0</v>
      </c>
      <c r="D3177" t="s">
        <v>111</v>
      </c>
      <c r="E3177">
        <v>18</v>
      </c>
      <c r="F3177">
        <v>1018</v>
      </c>
      <c r="G3177" t="s">
        <v>112</v>
      </c>
      <c r="J3177" t="s">
        <v>113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R3177" t="s">
        <v>114</v>
      </c>
      <c r="S3177" t="str">
        <f>"19:27:52.195"</f>
        <v>19:27:52.195</v>
      </c>
      <c r="T3177" t="str">
        <f>"19:27:51.797"</f>
        <v>19:27:51.797</v>
      </c>
      <c r="U3177" t="str">
        <f t="shared" si="148"/>
        <v>a1cdbe</v>
      </c>
      <c r="V3177">
        <v>0</v>
      </c>
      <c r="W3177">
        <v>0</v>
      </c>
      <c r="X3177">
        <v>1</v>
      </c>
      <c r="Y3177">
        <v>0</v>
      </c>
      <c r="Z3177">
        <v>0</v>
      </c>
      <c r="AB3177">
        <v>0</v>
      </c>
      <c r="AC3177">
        <v>9</v>
      </c>
      <c r="AD3177">
        <v>3</v>
      </c>
      <c r="AE3177">
        <v>0</v>
      </c>
      <c r="AF3177">
        <v>9</v>
      </c>
      <c r="AG3177" t="s">
        <v>158</v>
      </c>
      <c r="AH3177">
        <v>0</v>
      </c>
      <c r="AI3177">
        <v>3</v>
      </c>
      <c r="AJ3177">
        <v>1</v>
      </c>
      <c r="AK3177">
        <v>0</v>
      </c>
      <c r="AL3177" t="s">
        <v>833</v>
      </c>
      <c r="AM3177">
        <v>46.997795000000004</v>
      </c>
      <c r="AN3177" t="s">
        <v>5980</v>
      </c>
      <c r="AO3177">
        <v>-123.613658</v>
      </c>
      <c r="AP3177">
        <v>100</v>
      </c>
      <c r="AQ3177">
        <v>2100</v>
      </c>
      <c r="AR3177" t="s">
        <v>118</v>
      </c>
      <c r="AS3177">
        <v>-77</v>
      </c>
      <c r="AT3177">
        <v>17</v>
      </c>
      <c r="AU3177">
        <v>0</v>
      </c>
      <c r="BC3177">
        <v>1200</v>
      </c>
      <c r="BD3177">
        <v>1</v>
      </c>
      <c r="BE3177" t="str">
        <f t="shared" si="149"/>
        <v xml:space="preserve">N215T   </v>
      </c>
      <c r="BF3177">
        <v>1</v>
      </c>
      <c r="BH3177">
        <v>0</v>
      </c>
      <c r="BI3177">
        <v>0</v>
      </c>
      <c r="BJ3177">
        <v>0</v>
      </c>
      <c r="BK3177">
        <v>2500</v>
      </c>
      <c r="BL3177">
        <v>400</v>
      </c>
      <c r="BM3177" t="s">
        <v>119</v>
      </c>
      <c r="BN3177">
        <v>1</v>
      </c>
      <c r="BO3177">
        <v>1</v>
      </c>
      <c r="BP3177">
        <v>1</v>
      </c>
      <c r="BQ3177">
        <v>0</v>
      </c>
      <c r="BT3177">
        <v>0</v>
      </c>
      <c r="BU3177">
        <v>0</v>
      </c>
      <c r="BV3177">
        <v>0</v>
      </c>
      <c r="CC3177" t="str">
        <f>"19:27:52.203"</f>
        <v>19:27:52.203</v>
      </c>
      <c r="CD3177" t="str">
        <f>"199507878"</f>
        <v>199507878</v>
      </c>
      <c r="CQ3177">
        <v>0</v>
      </c>
      <c r="CR3177">
        <v>2</v>
      </c>
      <c r="CS3177">
        <v>0</v>
      </c>
      <c r="CT3177">
        <v>2</v>
      </c>
      <c r="CU3177">
        <v>0</v>
      </c>
      <c r="CV3177">
        <v>6</v>
      </c>
      <c r="CW3177" t="s">
        <v>120</v>
      </c>
      <c r="CX3177">
        <v>257</v>
      </c>
      <c r="CY3177">
        <v>0</v>
      </c>
      <c r="CZ3177" t="s">
        <v>615</v>
      </c>
      <c r="DA3177" t="s">
        <v>616</v>
      </c>
      <c r="DD3177">
        <v>16304044</v>
      </c>
      <c r="DE3177" t="s">
        <v>123</v>
      </c>
    </row>
    <row r="3178" spans="1:109" x14ac:dyDescent="0.3">
      <c r="A3178" t="str">
        <f>"19:27:53.320"</f>
        <v>19:27:53.320</v>
      </c>
      <c r="B3178" t="s">
        <v>110</v>
      </c>
      <c r="C3178" t="str">
        <f t="shared" si="147"/>
        <v>ffdfd3c0</v>
      </c>
      <c r="D3178" t="s">
        <v>111</v>
      </c>
      <c r="E3178">
        <v>18</v>
      </c>
      <c r="F3178">
        <v>1018</v>
      </c>
      <c r="G3178" t="s">
        <v>112</v>
      </c>
      <c r="J3178" t="s">
        <v>113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R3178" t="s">
        <v>114</v>
      </c>
      <c r="S3178" t="str">
        <f>"19:27:53.063"</f>
        <v>19:27:53.063</v>
      </c>
      <c r="T3178" t="str">
        <f>"19:27:52.766"</f>
        <v>19:27:52.766</v>
      </c>
      <c r="U3178" t="str">
        <f t="shared" si="148"/>
        <v>a1cdbe</v>
      </c>
      <c r="V3178">
        <v>0</v>
      </c>
      <c r="W3178">
        <v>0</v>
      </c>
      <c r="X3178">
        <v>1</v>
      </c>
      <c r="Y3178">
        <v>0</v>
      </c>
      <c r="Z3178">
        <v>0</v>
      </c>
      <c r="AB3178">
        <v>0</v>
      </c>
      <c r="AC3178">
        <v>9</v>
      </c>
      <c r="AD3178">
        <v>3</v>
      </c>
      <c r="AE3178">
        <v>0</v>
      </c>
      <c r="AF3178">
        <v>9</v>
      </c>
      <c r="AG3178" t="s">
        <v>158</v>
      </c>
      <c r="AH3178">
        <v>0</v>
      </c>
      <c r="AI3178">
        <v>3</v>
      </c>
      <c r="AJ3178">
        <v>1</v>
      </c>
      <c r="AK3178">
        <v>0</v>
      </c>
      <c r="AL3178" t="s">
        <v>5981</v>
      </c>
      <c r="AM3178">
        <v>46.997838000000002</v>
      </c>
      <c r="AN3178" t="s">
        <v>5982</v>
      </c>
      <c r="AO3178">
        <v>-123.61415100000001</v>
      </c>
      <c r="AP3178">
        <v>100</v>
      </c>
      <c r="AQ3178">
        <v>2100</v>
      </c>
      <c r="AR3178" t="s">
        <v>118</v>
      </c>
      <c r="AS3178">
        <v>-77</v>
      </c>
      <c r="AT3178">
        <v>17</v>
      </c>
      <c r="AU3178">
        <v>0</v>
      </c>
      <c r="BC3178">
        <v>1200</v>
      </c>
      <c r="BD3178">
        <v>1</v>
      </c>
      <c r="BE3178" t="str">
        <f t="shared" si="149"/>
        <v xml:space="preserve">N215T   </v>
      </c>
      <c r="BF3178">
        <v>1</v>
      </c>
      <c r="BH3178">
        <v>0</v>
      </c>
      <c r="BI3178">
        <v>0</v>
      </c>
      <c r="BJ3178">
        <v>0</v>
      </c>
      <c r="BK3178">
        <v>2500</v>
      </c>
      <c r="BL3178">
        <v>400</v>
      </c>
      <c r="BM3178" t="s">
        <v>119</v>
      </c>
      <c r="BN3178">
        <v>1</v>
      </c>
      <c r="BO3178">
        <v>1</v>
      </c>
      <c r="BP3178">
        <v>1</v>
      </c>
      <c r="BQ3178">
        <v>0</v>
      </c>
      <c r="BT3178">
        <v>0</v>
      </c>
      <c r="BU3178">
        <v>0</v>
      </c>
      <c r="BV3178">
        <v>0</v>
      </c>
      <c r="CC3178" t="str">
        <f>"19:27:53.070"</f>
        <v>19:27:53.070</v>
      </c>
      <c r="CD3178" t="str">
        <f>"069422086"</f>
        <v>069422086</v>
      </c>
      <c r="CQ3178">
        <v>0</v>
      </c>
      <c r="CR3178">
        <v>2</v>
      </c>
      <c r="CS3178">
        <v>0</v>
      </c>
      <c r="CT3178">
        <v>2</v>
      </c>
      <c r="CU3178">
        <v>0</v>
      </c>
      <c r="CV3178">
        <v>6</v>
      </c>
      <c r="CW3178" t="s">
        <v>120</v>
      </c>
      <c r="CX3178">
        <v>257</v>
      </c>
      <c r="CY3178">
        <v>0</v>
      </c>
      <c r="CZ3178" t="s">
        <v>615</v>
      </c>
      <c r="DA3178" t="s">
        <v>616</v>
      </c>
      <c r="DD3178">
        <v>16304467</v>
      </c>
      <c r="DE3178" t="s">
        <v>123</v>
      </c>
    </row>
    <row r="3179" spans="1:109" x14ac:dyDescent="0.3">
      <c r="A3179" t="str">
        <f>"19:27:54.375"</f>
        <v>19:27:54.375</v>
      </c>
      <c r="B3179" t="s">
        <v>110</v>
      </c>
      <c r="C3179" t="str">
        <f t="shared" si="147"/>
        <v>ffdfd3c0</v>
      </c>
      <c r="D3179" t="s">
        <v>111</v>
      </c>
      <c r="E3179">
        <v>18</v>
      </c>
      <c r="F3179">
        <v>1018</v>
      </c>
      <c r="G3179" t="s">
        <v>112</v>
      </c>
      <c r="J3179" t="s">
        <v>113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R3179" t="s">
        <v>114</v>
      </c>
      <c r="S3179" t="str">
        <f>"19:27:54.172"</f>
        <v>19:27:54.172</v>
      </c>
      <c r="T3179" t="str">
        <f>"19:27:54.172"</f>
        <v>19:27:54.172</v>
      </c>
      <c r="U3179" t="str">
        <f t="shared" si="148"/>
        <v>a1cdbe</v>
      </c>
      <c r="V3179">
        <v>0</v>
      </c>
      <c r="W3179">
        <v>0</v>
      </c>
      <c r="X3179">
        <v>1</v>
      </c>
      <c r="Y3179">
        <v>0</v>
      </c>
      <c r="Z3179">
        <v>0</v>
      </c>
      <c r="AB3179">
        <v>0</v>
      </c>
      <c r="AC3179">
        <v>9</v>
      </c>
      <c r="AD3179">
        <v>3</v>
      </c>
      <c r="AE3179">
        <v>0</v>
      </c>
      <c r="AF3179">
        <v>9</v>
      </c>
      <c r="AG3179" t="s">
        <v>158</v>
      </c>
      <c r="AH3179">
        <v>0</v>
      </c>
      <c r="AI3179">
        <v>3</v>
      </c>
      <c r="AJ3179">
        <v>1</v>
      </c>
      <c r="AK3179">
        <v>0</v>
      </c>
      <c r="AL3179" t="s">
        <v>5983</v>
      </c>
      <c r="AM3179">
        <v>46.997923999999998</v>
      </c>
      <c r="AN3179" t="s">
        <v>5984</v>
      </c>
      <c r="AO3179">
        <v>-123.614709</v>
      </c>
      <c r="AP3179">
        <v>100</v>
      </c>
      <c r="AQ3179">
        <v>2100</v>
      </c>
      <c r="AR3179" t="s">
        <v>118</v>
      </c>
      <c r="AS3179">
        <v>-77</v>
      </c>
      <c r="AT3179">
        <v>17</v>
      </c>
      <c r="AU3179">
        <v>0</v>
      </c>
      <c r="BC3179">
        <v>1200</v>
      </c>
      <c r="BD3179">
        <v>1</v>
      </c>
      <c r="BE3179" t="str">
        <f t="shared" si="149"/>
        <v xml:space="preserve">N215T   </v>
      </c>
      <c r="BF3179">
        <v>1</v>
      </c>
      <c r="BH3179">
        <v>0</v>
      </c>
      <c r="BI3179">
        <v>0</v>
      </c>
      <c r="BJ3179">
        <v>0</v>
      </c>
      <c r="BK3179">
        <v>2500</v>
      </c>
      <c r="BL3179">
        <v>400</v>
      </c>
      <c r="BM3179" t="s">
        <v>119</v>
      </c>
      <c r="BN3179">
        <v>1</v>
      </c>
      <c r="BO3179">
        <v>1</v>
      </c>
      <c r="BP3179">
        <v>1</v>
      </c>
      <c r="BQ3179">
        <v>0</v>
      </c>
      <c r="BT3179">
        <v>0</v>
      </c>
      <c r="BU3179">
        <v>0</v>
      </c>
      <c r="BV3179">
        <v>0</v>
      </c>
      <c r="CC3179" t="str">
        <f>"19:27:54.180"</f>
        <v>19:27:54.180</v>
      </c>
      <c r="CD3179" t="str">
        <f>"179312778"</f>
        <v>179312778</v>
      </c>
      <c r="CQ3179">
        <v>0</v>
      </c>
      <c r="CR3179">
        <v>2</v>
      </c>
      <c r="CS3179">
        <v>0</v>
      </c>
      <c r="CT3179">
        <v>2</v>
      </c>
      <c r="CU3179">
        <v>0</v>
      </c>
      <c r="CV3179">
        <v>6</v>
      </c>
      <c r="CW3179" t="s">
        <v>120</v>
      </c>
      <c r="CX3179">
        <v>257</v>
      </c>
      <c r="CY3179">
        <v>0</v>
      </c>
      <c r="CZ3179" t="s">
        <v>615</v>
      </c>
      <c r="DA3179" t="s">
        <v>616</v>
      </c>
      <c r="DD3179">
        <v>16305009</v>
      </c>
      <c r="DE3179" t="s">
        <v>123</v>
      </c>
    </row>
    <row r="3180" spans="1:109" x14ac:dyDescent="0.3">
      <c r="A3180" t="str">
        <f>"19:27:55.531"</f>
        <v>19:27:55.531</v>
      </c>
      <c r="B3180" t="s">
        <v>110</v>
      </c>
      <c r="C3180" t="str">
        <f t="shared" si="147"/>
        <v>ffdfd3c0</v>
      </c>
      <c r="D3180" t="s">
        <v>111</v>
      </c>
      <c r="E3180">
        <v>18</v>
      </c>
      <c r="F3180">
        <v>1018</v>
      </c>
      <c r="G3180" t="s">
        <v>112</v>
      </c>
      <c r="J3180" t="s">
        <v>113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R3180" t="s">
        <v>114</v>
      </c>
      <c r="S3180" t="str">
        <f>"19:27:55.289"</f>
        <v>19:27:55.289</v>
      </c>
      <c r="T3180" t="str">
        <f>"19:27:55.289"</f>
        <v>19:27:55.289</v>
      </c>
      <c r="U3180" t="str">
        <f t="shared" si="148"/>
        <v>a1cdbe</v>
      </c>
      <c r="V3180">
        <v>0</v>
      </c>
      <c r="W3180">
        <v>0</v>
      </c>
      <c r="X3180">
        <v>1</v>
      </c>
      <c r="Y3180">
        <v>0</v>
      </c>
      <c r="Z3180">
        <v>0</v>
      </c>
      <c r="AB3180">
        <v>0</v>
      </c>
      <c r="AC3180">
        <v>9</v>
      </c>
      <c r="AD3180">
        <v>3</v>
      </c>
      <c r="AE3180">
        <v>0</v>
      </c>
      <c r="AF3180">
        <v>9</v>
      </c>
      <c r="AG3180" t="s">
        <v>158</v>
      </c>
      <c r="AH3180">
        <v>0</v>
      </c>
      <c r="AI3180">
        <v>3</v>
      </c>
      <c r="AJ3180">
        <v>1</v>
      </c>
      <c r="AK3180">
        <v>0</v>
      </c>
      <c r="AL3180" t="s">
        <v>5985</v>
      </c>
      <c r="AM3180">
        <v>46.998052999999999</v>
      </c>
      <c r="AN3180" t="s">
        <v>5986</v>
      </c>
      <c r="AO3180">
        <v>-123.615289</v>
      </c>
      <c r="AP3180">
        <v>100</v>
      </c>
      <c r="AQ3180">
        <v>2100</v>
      </c>
      <c r="AR3180" t="s">
        <v>118</v>
      </c>
      <c r="AS3180">
        <v>-77</v>
      </c>
      <c r="AT3180">
        <v>17</v>
      </c>
      <c r="AU3180">
        <v>0</v>
      </c>
      <c r="BC3180">
        <v>1200</v>
      </c>
      <c r="BD3180">
        <v>1</v>
      </c>
      <c r="BE3180" t="str">
        <f t="shared" si="149"/>
        <v xml:space="preserve">N215T   </v>
      </c>
      <c r="BF3180">
        <v>1</v>
      </c>
      <c r="BH3180">
        <v>0</v>
      </c>
      <c r="BI3180">
        <v>0</v>
      </c>
      <c r="BJ3180">
        <v>0</v>
      </c>
      <c r="BK3180">
        <v>2500</v>
      </c>
      <c r="BL3180">
        <v>400</v>
      </c>
      <c r="BM3180" t="s">
        <v>119</v>
      </c>
      <c r="BN3180">
        <v>1</v>
      </c>
      <c r="BO3180">
        <v>1</v>
      </c>
      <c r="BP3180">
        <v>1</v>
      </c>
      <c r="BQ3180">
        <v>0</v>
      </c>
      <c r="BT3180">
        <v>0</v>
      </c>
      <c r="BU3180">
        <v>0</v>
      </c>
      <c r="BV3180">
        <v>0</v>
      </c>
      <c r="CC3180" t="str">
        <f>"19:27:55.289"</f>
        <v>19:27:55.289</v>
      </c>
      <c r="CD3180" t="str">
        <f>"289203396"</f>
        <v>289203396</v>
      </c>
      <c r="CQ3180">
        <v>0</v>
      </c>
      <c r="CR3180">
        <v>2</v>
      </c>
      <c r="CS3180">
        <v>0</v>
      </c>
      <c r="CT3180">
        <v>2</v>
      </c>
      <c r="CU3180">
        <v>0</v>
      </c>
      <c r="CV3180">
        <v>6</v>
      </c>
      <c r="CW3180" t="s">
        <v>120</v>
      </c>
      <c r="CX3180">
        <v>257</v>
      </c>
      <c r="CY3180">
        <v>0</v>
      </c>
      <c r="CZ3180" t="s">
        <v>615</v>
      </c>
      <c r="DA3180" t="s">
        <v>616</v>
      </c>
      <c r="DD3180">
        <v>16305594</v>
      </c>
      <c r="DE3180" t="s">
        <v>123</v>
      </c>
    </row>
    <row r="3181" spans="1:109" x14ac:dyDescent="0.3">
      <c r="A3181" t="str">
        <f>"19:27:56.531"</f>
        <v>19:27:56.531</v>
      </c>
      <c r="B3181" t="s">
        <v>110</v>
      </c>
      <c r="C3181" t="str">
        <f t="shared" si="147"/>
        <v>ffdfd3c0</v>
      </c>
      <c r="D3181" t="s">
        <v>111</v>
      </c>
      <c r="E3181">
        <v>18</v>
      </c>
      <c r="F3181">
        <v>1018</v>
      </c>
      <c r="G3181" t="s">
        <v>112</v>
      </c>
      <c r="J3181" t="s">
        <v>113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R3181" t="s">
        <v>114</v>
      </c>
      <c r="S3181" t="str">
        <f>"19:27:56.273"</f>
        <v>19:27:56.273</v>
      </c>
      <c r="T3181" t="str">
        <f>"19:27:55.773"</f>
        <v>19:27:55.773</v>
      </c>
      <c r="U3181" t="str">
        <f t="shared" si="148"/>
        <v>a1cdbe</v>
      </c>
      <c r="V3181">
        <v>0</v>
      </c>
      <c r="W3181">
        <v>0</v>
      </c>
      <c r="X3181">
        <v>1</v>
      </c>
      <c r="Y3181">
        <v>0</v>
      </c>
      <c r="Z3181">
        <v>0</v>
      </c>
      <c r="AB3181">
        <v>0</v>
      </c>
      <c r="AC3181">
        <v>9</v>
      </c>
      <c r="AD3181">
        <v>3</v>
      </c>
      <c r="AE3181">
        <v>0</v>
      </c>
      <c r="AF3181">
        <v>9</v>
      </c>
      <c r="AG3181" t="s">
        <v>158</v>
      </c>
      <c r="AH3181">
        <v>0</v>
      </c>
      <c r="AI3181">
        <v>3</v>
      </c>
      <c r="AJ3181">
        <v>1</v>
      </c>
      <c r="AK3181">
        <v>0</v>
      </c>
      <c r="AL3181" t="s">
        <v>5987</v>
      </c>
      <c r="AM3181">
        <v>46.998117000000001</v>
      </c>
      <c r="AN3181" t="s">
        <v>5988</v>
      </c>
      <c r="AO3181">
        <v>-123.615847</v>
      </c>
      <c r="AP3181">
        <v>100</v>
      </c>
      <c r="AQ3181">
        <v>2100</v>
      </c>
      <c r="AR3181" t="s">
        <v>118</v>
      </c>
      <c r="AS3181">
        <v>-77</v>
      </c>
      <c r="AT3181">
        <v>17</v>
      </c>
      <c r="AU3181">
        <v>0</v>
      </c>
      <c r="BC3181">
        <v>1200</v>
      </c>
      <c r="BD3181">
        <v>1</v>
      </c>
      <c r="BE3181" t="str">
        <f t="shared" si="149"/>
        <v xml:space="preserve">N215T   </v>
      </c>
      <c r="BF3181">
        <v>1</v>
      </c>
      <c r="BH3181">
        <v>0</v>
      </c>
      <c r="BI3181">
        <v>0</v>
      </c>
      <c r="BJ3181">
        <v>0</v>
      </c>
      <c r="BK3181">
        <v>2525</v>
      </c>
      <c r="BL3181">
        <v>425</v>
      </c>
      <c r="BM3181" t="s">
        <v>119</v>
      </c>
      <c r="BN3181">
        <v>1</v>
      </c>
      <c r="BO3181">
        <v>1</v>
      </c>
      <c r="BP3181">
        <v>1</v>
      </c>
      <c r="BQ3181">
        <v>0</v>
      </c>
      <c r="BT3181">
        <v>0</v>
      </c>
      <c r="BU3181">
        <v>0</v>
      </c>
      <c r="BV3181">
        <v>0</v>
      </c>
      <c r="CC3181" t="str">
        <f>"19:27:56.281"</f>
        <v>19:27:56.281</v>
      </c>
      <c r="CD3181" t="str">
        <f>"279105855"</f>
        <v>279105855</v>
      </c>
      <c r="CQ3181">
        <v>0</v>
      </c>
      <c r="CR3181">
        <v>2</v>
      </c>
      <c r="CS3181">
        <v>0</v>
      </c>
      <c r="CT3181">
        <v>2</v>
      </c>
      <c r="CU3181">
        <v>0</v>
      </c>
      <c r="CV3181">
        <v>6</v>
      </c>
      <c r="CW3181" t="s">
        <v>120</v>
      </c>
      <c r="CX3181">
        <v>257</v>
      </c>
      <c r="CY3181">
        <v>0</v>
      </c>
      <c r="CZ3181" t="s">
        <v>615</v>
      </c>
      <c r="DA3181" t="s">
        <v>616</v>
      </c>
      <c r="DD3181">
        <v>16306170</v>
      </c>
      <c r="DE3181" t="s">
        <v>123</v>
      </c>
    </row>
    <row r="3182" spans="1:109" x14ac:dyDescent="0.3">
      <c r="A3182" t="str">
        <f>"19:27:57.586"</f>
        <v>19:27:57.586</v>
      </c>
      <c r="B3182" t="s">
        <v>110</v>
      </c>
      <c r="C3182" t="str">
        <f t="shared" si="147"/>
        <v>ffdfd3c0</v>
      </c>
      <c r="D3182" t="s">
        <v>111</v>
      </c>
      <c r="E3182">
        <v>18</v>
      </c>
      <c r="F3182">
        <v>1018</v>
      </c>
      <c r="G3182" t="s">
        <v>112</v>
      </c>
      <c r="J3182" t="s">
        <v>113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R3182" t="s">
        <v>114</v>
      </c>
      <c r="S3182" t="str">
        <f>"19:27:57.367"</f>
        <v>19:27:57.367</v>
      </c>
      <c r="T3182" t="str">
        <f>"19:27:56.867"</f>
        <v>19:27:56.867</v>
      </c>
      <c r="U3182" t="str">
        <f t="shared" si="148"/>
        <v>a1cdbe</v>
      </c>
      <c r="V3182">
        <v>0</v>
      </c>
      <c r="W3182">
        <v>0</v>
      </c>
      <c r="X3182">
        <v>1</v>
      </c>
      <c r="Y3182">
        <v>0</v>
      </c>
      <c r="Z3182">
        <v>0</v>
      </c>
      <c r="AB3182">
        <v>0</v>
      </c>
      <c r="AC3182">
        <v>9</v>
      </c>
      <c r="AD3182">
        <v>3</v>
      </c>
      <c r="AE3182">
        <v>0</v>
      </c>
      <c r="AF3182">
        <v>9</v>
      </c>
      <c r="AG3182" t="s">
        <v>158</v>
      </c>
      <c r="AH3182">
        <v>0</v>
      </c>
      <c r="AI3182">
        <v>3</v>
      </c>
      <c r="AJ3182">
        <v>1</v>
      </c>
      <c r="AK3182">
        <v>0</v>
      </c>
      <c r="AL3182" t="s">
        <v>5989</v>
      </c>
      <c r="AM3182">
        <v>46.998202999999997</v>
      </c>
      <c r="AN3182" t="s">
        <v>5990</v>
      </c>
      <c r="AO3182">
        <v>-123.616405</v>
      </c>
      <c r="AP3182">
        <v>100</v>
      </c>
      <c r="AQ3182">
        <v>2100</v>
      </c>
      <c r="AR3182" t="s">
        <v>118</v>
      </c>
      <c r="AS3182">
        <v>-77</v>
      </c>
      <c r="AT3182">
        <v>17</v>
      </c>
      <c r="AU3182">
        <v>0</v>
      </c>
      <c r="BC3182">
        <v>1200</v>
      </c>
      <c r="BD3182">
        <v>1</v>
      </c>
      <c r="BE3182" t="str">
        <f t="shared" si="149"/>
        <v xml:space="preserve">N215T   </v>
      </c>
      <c r="BF3182">
        <v>1</v>
      </c>
      <c r="BH3182">
        <v>0</v>
      </c>
      <c r="BI3182">
        <v>0</v>
      </c>
      <c r="BJ3182">
        <v>0</v>
      </c>
      <c r="BK3182">
        <v>2500</v>
      </c>
      <c r="BL3182">
        <v>400</v>
      </c>
      <c r="BM3182" t="s">
        <v>119</v>
      </c>
      <c r="BN3182">
        <v>1</v>
      </c>
      <c r="BO3182">
        <v>1</v>
      </c>
      <c r="BP3182">
        <v>1</v>
      </c>
      <c r="BQ3182">
        <v>0</v>
      </c>
      <c r="BT3182">
        <v>0</v>
      </c>
      <c r="BU3182">
        <v>0</v>
      </c>
      <c r="BV3182">
        <v>0</v>
      </c>
      <c r="CC3182" t="str">
        <f>"19:27:57.375"</f>
        <v>19:27:57.375</v>
      </c>
      <c r="CD3182" t="str">
        <f>"373997962"</f>
        <v>373997962</v>
      </c>
      <c r="CQ3182">
        <v>0</v>
      </c>
      <c r="CR3182">
        <v>2</v>
      </c>
      <c r="CS3182">
        <v>0</v>
      </c>
      <c r="CT3182">
        <v>2</v>
      </c>
      <c r="CU3182">
        <v>0</v>
      </c>
      <c r="CV3182">
        <v>6</v>
      </c>
      <c r="CW3182" t="s">
        <v>120</v>
      </c>
      <c r="CX3182">
        <v>257</v>
      </c>
      <c r="CY3182">
        <v>0</v>
      </c>
      <c r="CZ3182" t="s">
        <v>615</v>
      </c>
      <c r="DA3182" t="s">
        <v>616</v>
      </c>
      <c r="DD3182">
        <v>16306736</v>
      </c>
      <c r="DE3182" t="s">
        <v>123</v>
      </c>
    </row>
    <row r="3183" spans="1:109" x14ac:dyDescent="0.3">
      <c r="A3183" t="str">
        <f>"19:27:58.742"</f>
        <v>19:27:58.742</v>
      </c>
      <c r="B3183" t="s">
        <v>110</v>
      </c>
      <c r="C3183" t="str">
        <f t="shared" si="147"/>
        <v>ffdfd3c0</v>
      </c>
      <c r="D3183" t="s">
        <v>111</v>
      </c>
      <c r="E3183">
        <v>18</v>
      </c>
      <c r="F3183">
        <v>1018</v>
      </c>
      <c r="G3183" t="s">
        <v>112</v>
      </c>
      <c r="J3183" t="s">
        <v>113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R3183" t="s">
        <v>114</v>
      </c>
      <c r="S3183" t="str">
        <f>"19:27:58.508"</f>
        <v>19:27:58.508</v>
      </c>
      <c r="T3183" t="str">
        <f>"19:27:58.508"</f>
        <v>19:27:58.508</v>
      </c>
      <c r="U3183" t="str">
        <f t="shared" si="148"/>
        <v>a1cdbe</v>
      </c>
      <c r="V3183">
        <v>0</v>
      </c>
      <c r="W3183">
        <v>0</v>
      </c>
      <c r="X3183">
        <v>1</v>
      </c>
      <c r="Y3183">
        <v>0</v>
      </c>
      <c r="Z3183">
        <v>0</v>
      </c>
      <c r="AB3183">
        <v>0</v>
      </c>
      <c r="AC3183">
        <v>9</v>
      </c>
      <c r="AD3183">
        <v>3</v>
      </c>
      <c r="AE3183">
        <v>0</v>
      </c>
      <c r="AF3183">
        <v>9</v>
      </c>
      <c r="AG3183" t="s">
        <v>158</v>
      </c>
      <c r="AH3183">
        <v>0</v>
      </c>
      <c r="AI3183">
        <v>3</v>
      </c>
      <c r="AJ3183">
        <v>1</v>
      </c>
      <c r="AK3183">
        <v>0</v>
      </c>
      <c r="AL3183" t="s">
        <v>5991</v>
      </c>
      <c r="AM3183">
        <v>46.998266999999998</v>
      </c>
      <c r="AN3183" t="s">
        <v>5992</v>
      </c>
      <c r="AO3183">
        <v>-123.61700500000001</v>
      </c>
      <c r="AP3183">
        <v>100</v>
      </c>
      <c r="AQ3183">
        <v>2100</v>
      </c>
      <c r="AR3183" t="s">
        <v>118</v>
      </c>
      <c r="AS3183">
        <v>-77</v>
      </c>
      <c r="AT3183">
        <v>16</v>
      </c>
      <c r="AU3183">
        <v>0</v>
      </c>
      <c r="BC3183">
        <v>1200</v>
      </c>
      <c r="BD3183">
        <v>1</v>
      </c>
      <c r="BE3183" t="str">
        <f t="shared" si="149"/>
        <v xml:space="preserve">N215T   </v>
      </c>
      <c r="BF3183">
        <v>1</v>
      </c>
      <c r="BH3183">
        <v>0</v>
      </c>
      <c r="BI3183">
        <v>0</v>
      </c>
      <c r="BJ3183">
        <v>0</v>
      </c>
      <c r="BK3183">
        <v>2525</v>
      </c>
      <c r="BL3183">
        <v>425</v>
      </c>
      <c r="BM3183" t="s">
        <v>119</v>
      </c>
      <c r="BN3183">
        <v>1</v>
      </c>
      <c r="BO3183">
        <v>1</v>
      </c>
      <c r="BP3183">
        <v>1</v>
      </c>
      <c r="BQ3183">
        <v>0</v>
      </c>
      <c r="BT3183">
        <v>0</v>
      </c>
      <c r="BU3183">
        <v>0</v>
      </c>
      <c r="BV3183">
        <v>0</v>
      </c>
      <c r="CC3183" t="str">
        <f>"19:27:58.516"</f>
        <v>19:27:58.516</v>
      </c>
      <c r="CD3183" t="str">
        <f>"513885630"</f>
        <v>513885630</v>
      </c>
      <c r="CQ3183">
        <v>0</v>
      </c>
      <c r="CR3183">
        <v>2</v>
      </c>
      <c r="CS3183">
        <v>0</v>
      </c>
      <c r="CT3183">
        <v>2</v>
      </c>
      <c r="CU3183">
        <v>0</v>
      </c>
      <c r="CV3183">
        <v>6</v>
      </c>
      <c r="CW3183" t="s">
        <v>120</v>
      </c>
      <c r="CX3183">
        <v>257</v>
      </c>
      <c r="CY3183">
        <v>0</v>
      </c>
      <c r="CZ3183" t="s">
        <v>615</v>
      </c>
      <c r="DA3183" t="s">
        <v>616</v>
      </c>
      <c r="DD3183">
        <v>16307292</v>
      </c>
      <c r="DE3183" t="s">
        <v>123</v>
      </c>
    </row>
    <row r="3184" spans="1:109" x14ac:dyDescent="0.3">
      <c r="A3184" t="str">
        <f>"19:27:59.648"</f>
        <v>19:27:59.648</v>
      </c>
      <c r="B3184" t="s">
        <v>110</v>
      </c>
      <c r="C3184" t="str">
        <f t="shared" si="147"/>
        <v>ffdfd3c0</v>
      </c>
      <c r="D3184" t="s">
        <v>111</v>
      </c>
      <c r="E3184">
        <v>18</v>
      </c>
      <c r="F3184">
        <v>1018</v>
      </c>
      <c r="G3184" t="s">
        <v>112</v>
      </c>
      <c r="J3184" t="s">
        <v>113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R3184" t="s">
        <v>114</v>
      </c>
      <c r="S3184" t="str">
        <f>"19:27:59.406"</f>
        <v>19:27:59.406</v>
      </c>
      <c r="T3184" t="str">
        <f>"19:27:59.008"</f>
        <v>19:27:59.008</v>
      </c>
      <c r="U3184" t="str">
        <f t="shared" si="148"/>
        <v>a1cdbe</v>
      </c>
      <c r="V3184">
        <v>0</v>
      </c>
      <c r="W3184">
        <v>0</v>
      </c>
      <c r="X3184">
        <v>1</v>
      </c>
      <c r="Y3184">
        <v>0</v>
      </c>
      <c r="Z3184">
        <v>0</v>
      </c>
      <c r="AB3184">
        <v>0</v>
      </c>
      <c r="AC3184">
        <v>9</v>
      </c>
      <c r="AD3184">
        <v>3</v>
      </c>
      <c r="AE3184">
        <v>0</v>
      </c>
      <c r="AF3184">
        <v>9</v>
      </c>
      <c r="AG3184" t="s">
        <v>158</v>
      </c>
      <c r="AH3184">
        <v>0</v>
      </c>
      <c r="AI3184">
        <v>3</v>
      </c>
      <c r="AJ3184">
        <v>1</v>
      </c>
      <c r="AK3184">
        <v>0</v>
      </c>
      <c r="AL3184" t="s">
        <v>5993</v>
      </c>
      <c r="AM3184">
        <v>46.998353000000002</v>
      </c>
      <c r="AN3184" t="s">
        <v>5994</v>
      </c>
      <c r="AO3184">
        <v>-123.617456</v>
      </c>
      <c r="AP3184">
        <v>100</v>
      </c>
      <c r="AQ3184">
        <v>2100</v>
      </c>
      <c r="AR3184" t="s">
        <v>118</v>
      </c>
      <c r="AS3184">
        <v>-77</v>
      </c>
      <c r="AT3184">
        <v>16</v>
      </c>
      <c r="AU3184">
        <v>0</v>
      </c>
      <c r="BC3184">
        <v>1200</v>
      </c>
      <c r="BD3184">
        <v>1</v>
      </c>
      <c r="BE3184" t="str">
        <f t="shared" si="149"/>
        <v xml:space="preserve">N215T   </v>
      </c>
      <c r="BF3184">
        <v>1</v>
      </c>
      <c r="BH3184">
        <v>0</v>
      </c>
      <c r="BI3184">
        <v>0</v>
      </c>
      <c r="BJ3184">
        <v>0</v>
      </c>
      <c r="BK3184">
        <v>2525</v>
      </c>
      <c r="BL3184">
        <v>425</v>
      </c>
      <c r="BM3184" t="s">
        <v>119</v>
      </c>
      <c r="BN3184">
        <v>1</v>
      </c>
      <c r="BO3184">
        <v>1</v>
      </c>
      <c r="BP3184">
        <v>1</v>
      </c>
      <c r="BQ3184">
        <v>0</v>
      </c>
      <c r="BT3184">
        <v>0</v>
      </c>
      <c r="BU3184">
        <v>0</v>
      </c>
      <c r="BV3184">
        <v>0</v>
      </c>
      <c r="CC3184" t="str">
        <f>"19:27:59.414"</f>
        <v>19:27:59.414</v>
      </c>
      <c r="CD3184" t="str">
        <f>"413796948"</f>
        <v>413796948</v>
      </c>
      <c r="CQ3184">
        <v>0</v>
      </c>
      <c r="CR3184">
        <v>2</v>
      </c>
      <c r="CS3184">
        <v>0</v>
      </c>
      <c r="CT3184">
        <v>2</v>
      </c>
      <c r="CU3184">
        <v>0</v>
      </c>
      <c r="CV3184">
        <v>6</v>
      </c>
      <c r="CW3184" t="s">
        <v>120</v>
      </c>
      <c r="CX3184">
        <v>257</v>
      </c>
      <c r="CY3184">
        <v>0</v>
      </c>
      <c r="CZ3184" t="s">
        <v>615</v>
      </c>
      <c r="DA3184" t="s">
        <v>616</v>
      </c>
      <c r="DD3184">
        <v>16307751</v>
      </c>
      <c r="DE3184" t="s">
        <v>123</v>
      </c>
    </row>
    <row r="3185" spans="1:109" x14ac:dyDescent="0.3">
      <c r="A3185" t="str">
        <f>"19:28:00.508"</f>
        <v>19:28:00.508</v>
      </c>
      <c r="B3185" t="s">
        <v>110</v>
      </c>
      <c r="C3185" t="str">
        <f t="shared" si="147"/>
        <v>ffdfd3c0</v>
      </c>
      <c r="D3185" t="s">
        <v>111</v>
      </c>
      <c r="E3185">
        <v>18</v>
      </c>
      <c r="F3185">
        <v>1018</v>
      </c>
      <c r="G3185" t="s">
        <v>112</v>
      </c>
      <c r="J3185" t="s">
        <v>113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R3185" t="s">
        <v>114</v>
      </c>
      <c r="S3185" t="str">
        <f>"19:28:00.297"</f>
        <v>19:28:00.297</v>
      </c>
      <c r="T3185" t="str">
        <f>"19:28:00.000"</f>
        <v>19:28:00.000</v>
      </c>
      <c r="U3185" t="str">
        <f t="shared" si="148"/>
        <v>a1cdbe</v>
      </c>
      <c r="V3185">
        <v>0</v>
      </c>
      <c r="W3185">
        <v>0</v>
      </c>
      <c r="X3185">
        <v>1</v>
      </c>
      <c r="Y3185">
        <v>0</v>
      </c>
      <c r="Z3185">
        <v>0</v>
      </c>
      <c r="AB3185">
        <v>0</v>
      </c>
      <c r="AC3185">
        <v>9</v>
      </c>
      <c r="AD3185">
        <v>3</v>
      </c>
      <c r="AE3185">
        <v>0</v>
      </c>
      <c r="AF3185">
        <v>9</v>
      </c>
      <c r="AG3185" t="s">
        <v>158</v>
      </c>
      <c r="AH3185">
        <v>0</v>
      </c>
      <c r="AI3185">
        <v>3</v>
      </c>
      <c r="AJ3185">
        <v>1</v>
      </c>
      <c r="AK3185">
        <v>0</v>
      </c>
      <c r="AL3185" t="s">
        <v>5995</v>
      </c>
      <c r="AM3185">
        <v>46.998396</v>
      </c>
      <c r="AN3185" t="s">
        <v>5996</v>
      </c>
      <c r="AO3185">
        <v>-123.617885</v>
      </c>
      <c r="AP3185">
        <v>100</v>
      </c>
      <c r="AQ3185">
        <v>2100</v>
      </c>
      <c r="AR3185" t="s">
        <v>118</v>
      </c>
      <c r="AS3185">
        <v>-77</v>
      </c>
      <c r="AT3185">
        <v>16</v>
      </c>
      <c r="AU3185">
        <v>64</v>
      </c>
      <c r="BC3185">
        <v>1200</v>
      </c>
      <c r="BD3185">
        <v>1</v>
      </c>
      <c r="BE3185" t="str">
        <f t="shared" si="149"/>
        <v xml:space="preserve">N215T   </v>
      </c>
      <c r="BF3185">
        <v>1</v>
      </c>
      <c r="BH3185">
        <v>0</v>
      </c>
      <c r="BI3185">
        <v>0</v>
      </c>
      <c r="BJ3185">
        <v>0</v>
      </c>
      <c r="BK3185">
        <v>2525</v>
      </c>
      <c r="BL3185">
        <v>425</v>
      </c>
      <c r="BM3185" t="s">
        <v>119</v>
      </c>
      <c r="BN3185">
        <v>1</v>
      </c>
      <c r="BO3185">
        <v>1</v>
      </c>
      <c r="BP3185">
        <v>1</v>
      </c>
      <c r="BQ3185">
        <v>0</v>
      </c>
      <c r="BT3185">
        <v>0</v>
      </c>
      <c r="BU3185">
        <v>0</v>
      </c>
      <c r="BV3185">
        <v>0</v>
      </c>
      <c r="CC3185" t="str">
        <f>"19:28:00.297"</f>
        <v>19:28:00.297</v>
      </c>
      <c r="CD3185" t="str">
        <f>"298709744"</f>
        <v>298709744</v>
      </c>
      <c r="CQ3185">
        <v>0</v>
      </c>
      <c r="CR3185">
        <v>2</v>
      </c>
      <c r="CS3185">
        <v>0</v>
      </c>
      <c r="CT3185">
        <v>2</v>
      </c>
      <c r="CU3185">
        <v>0</v>
      </c>
      <c r="CV3185">
        <v>6</v>
      </c>
      <c r="CW3185" t="s">
        <v>120</v>
      </c>
      <c r="CX3185">
        <v>257</v>
      </c>
      <c r="CY3185">
        <v>0</v>
      </c>
      <c r="CZ3185" t="s">
        <v>615</v>
      </c>
      <c r="DA3185" t="s">
        <v>616</v>
      </c>
      <c r="DD3185">
        <v>16308181</v>
      </c>
      <c r="DE3185" t="s">
        <v>123</v>
      </c>
    </row>
    <row r="3186" spans="1:109" x14ac:dyDescent="0.3">
      <c r="A3186" t="str">
        <f>"19:28:01.563"</f>
        <v>19:28:01.563</v>
      </c>
      <c r="B3186" t="s">
        <v>110</v>
      </c>
      <c r="C3186" t="str">
        <f t="shared" si="147"/>
        <v>ffdfd3c0</v>
      </c>
      <c r="D3186" t="s">
        <v>111</v>
      </c>
      <c r="E3186">
        <v>18</v>
      </c>
      <c r="F3186">
        <v>1018</v>
      </c>
      <c r="G3186" t="s">
        <v>112</v>
      </c>
      <c r="J3186" t="s">
        <v>113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R3186" t="s">
        <v>114</v>
      </c>
      <c r="S3186" t="str">
        <f>"19:28:01.313"</f>
        <v>19:28:01.313</v>
      </c>
      <c r="T3186" t="str">
        <f>"19:28:00.914"</f>
        <v>19:28:00.914</v>
      </c>
      <c r="U3186" t="str">
        <f t="shared" si="148"/>
        <v>a1cdbe</v>
      </c>
      <c r="V3186">
        <v>0</v>
      </c>
      <c r="W3186">
        <v>0</v>
      </c>
      <c r="X3186">
        <v>1</v>
      </c>
      <c r="Y3186">
        <v>0</v>
      </c>
      <c r="Z3186">
        <v>0</v>
      </c>
      <c r="AB3186">
        <v>0</v>
      </c>
      <c r="AC3186">
        <v>9</v>
      </c>
      <c r="AD3186">
        <v>3</v>
      </c>
      <c r="AE3186">
        <v>0</v>
      </c>
      <c r="AF3186">
        <v>9</v>
      </c>
      <c r="AG3186" t="s">
        <v>158</v>
      </c>
      <c r="AH3186">
        <v>0</v>
      </c>
      <c r="AI3186">
        <v>3</v>
      </c>
      <c r="AJ3186">
        <v>1</v>
      </c>
      <c r="AK3186">
        <v>0</v>
      </c>
      <c r="AL3186" t="s">
        <v>5997</v>
      </c>
      <c r="AM3186">
        <v>46.998502999999999</v>
      </c>
      <c r="AN3186" t="s">
        <v>5998</v>
      </c>
      <c r="AO3186">
        <v>-123.618443</v>
      </c>
      <c r="AP3186">
        <v>100</v>
      </c>
      <c r="AQ3186">
        <v>2100</v>
      </c>
      <c r="AR3186" t="s">
        <v>118</v>
      </c>
      <c r="AS3186">
        <v>-77</v>
      </c>
      <c r="AT3186">
        <v>15</v>
      </c>
      <c r="AU3186">
        <v>64</v>
      </c>
      <c r="BC3186">
        <v>1200</v>
      </c>
      <c r="BD3186">
        <v>1</v>
      </c>
      <c r="BE3186" t="str">
        <f t="shared" si="149"/>
        <v xml:space="preserve">N215T   </v>
      </c>
      <c r="BF3186">
        <v>1</v>
      </c>
      <c r="BH3186">
        <v>0</v>
      </c>
      <c r="BI3186">
        <v>0</v>
      </c>
      <c r="BJ3186">
        <v>0</v>
      </c>
      <c r="BK3186">
        <v>2525</v>
      </c>
      <c r="BL3186">
        <v>425</v>
      </c>
      <c r="BM3186" t="s">
        <v>119</v>
      </c>
      <c r="BN3186">
        <v>1</v>
      </c>
      <c r="BO3186">
        <v>1</v>
      </c>
      <c r="BP3186">
        <v>1</v>
      </c>
      <c r="BQ3186">
        <v>0</v>
      </c>
      <c r="BT3186">
        <v>0</v>
      </c>
      <c r="BU3186">
        <v>0</v>
      </c>
      <c r="BV3186">
        <v>0</v>
      </c>
      <c r="CC3186" t="str">
        <f>"19:28:01.320"</f>
        <v>19:28:01.320</v>
      </c>
      <c r="CD3186" t="str">
        <f>"318609233"</f>
        <v>318609233</v>
      </c>
      <c r="CQ3186">
        <v>0</v>
      </c>
      <c r="CR3186">
        <v>2</v>
      </c>
      <c r="CS3186">
        <v>0</v>
      </c>
      <c r="CT3186">
        <v>2</v>
      </c>
      <c r="CU3186">
        <v>0</v>
      </c>
      <c r="CV3186">
        <v>6</v>
      </c>
      <c r="CW3186" t="s">
        <v>120</v>
      </c>
      <c r="CX3186">
        <v>257</v>
      </c>
      <c r="CY3186">
        <v>0</v>
      </c>
      <c r="CZ3186" t="s">
        <v>615</v>
      </c>
      <c r="DA3186" t="s">
        <v>616</v>
      </c>
      <c r="DD3186">
        <v>16308694</v>
      </c>
      <c r="DE3186" t="s">
        <v>123</v>
      </c>
    </row>
    <row r="3187" spans="1:109" x14ac:dyDescent="0.3">
      <c r="A3187" t="str">
        <f>"19:28:02.664"</f>
        <v>19:28:02.664</v>
      </c>
      <c r="B3187" t="s">
        <v>110</v>
      </c>
      <c r="C3187" t="str">
        <f t="shared" si="147"/>
        <v>ffdfd3c0</v>
      </c>
      <c r="D3187" t="s">
        <v>111</v>
      </c>
      <c r="E3187">
        <v>18</v>
      </c>
      <c r="F3187">
        <v>1018</v>
      </c>
      <c r="G3187" t="s">
        <v>112</v>
      </c>
      <c r="J3187" t="s">
        <v>113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R3187" t="s">
        <v>114</v>
      </c>
      <c r="S3187" t="str">
        <f>"19:28:02.383"</f>
        <v>19:28:02.383</v>
      </c>
      <c r="T3187" t="str">
        <f>"19:28:01.984"</f>
        <v>19:28:01.984</v>
      </c>
      <c r="U3187" t="str">
        <f t="shared" si="148"/>
        <v>a1cdbe</v>
      </c>
      <c r="V3187">
        <v>0</v>
      </c>
      <c r="W3187">
        <v>0</v>
      </c>
      <c r="X3187">
        <v>1</v>
      </c>
      <c r="Y3187">
        <v>0</v>
      </c>
      <c r="Z3187">
        <v>0</v>
      </c>
      <c r="AB3187">
        <v>0</v>
      </c>
      <c r="AC3187">
        <v>9</v>
      </c>
      <c r="AD3187">
        <v>3</v>
      </c>
      <c r="AE3187">
        <v>0</v>
      </c>
      <c r="AF3187">
        <v>9</v>
      </c>
      <c r="AG3187" t="s">
        <v>158</v>
      </c>
      <c r="AH3187">
        <v>0</v>
      </c>
      <c r="AI3187">
        <v>3</v>
      </c>
      <c r="AJ3187">
        <v>1</v>
      </c>
      <c r="AK3187">
        <v>0</v>
      </c>
      <c r="AL3187" t="s">
        <v>829</v>
      </c>
      <c r="AM3187">
        <v>46.998545999999997</v>
      </c>
      <c r="AN3187" t="s">
        <v>5999</v>
      </c>
      <c r="AO3187">
        <v>-123.618979</v>
      </c>
      <c r="AP3187">
        <v>100</v>
      </c>
      <c r="AQ3187">
        <v>2100</v>
      </c>
      <c r="AR3187" t="s">
        <v>118</v>
      </c>
      <c r="AS3187">
        <v>-76</v>
      </c>
      <c r="AT3187">
        <v>15</v>
      </c>
      <c r="AU3187">
        <v>64</v>
      </c>
      <c r="BC3187">
        <v>1200</v>
      </c>
      <c r="BD3187">
        <v>1</v>
      </c>
      <c r="BE3187" t="str">
        <f t="shared" si="149"/>
        <v xml:space="preserve">N215T   </v>
      </c>
      <c r="BF3187">
        <v>1</v>
      </c>
      <c r="BH3187">
        <v>0</v>
      </c>
      <c r="BI3187">
        <v>0</v>
      </c>
      <c r="BJ3187">
        <v>0</v>
      </c>
      <c r="BK3187">
        <v>2525</v>
      </c>
      <c r="BL3187">
        <v>425</v>
      </c>
      <c r="BM3187" t="s">
        <v>119</v>
      </c>
      <c r="BN3187">
        <v>1</v>
      </c>
      <c r="BO3187">
        <v>1</v>
      </c>
      <c r="BP3187">
        <v>1</v>
      </c>
      <c r="BQ3187">
        <v>0</v>
      </c>
      <c r="BT3187">
        <v>0</v>
      </c>
      <c r="BU3187">
        <v>0</v>
      </c>
      <c r="BV3187">
        <v>0</v>
      </c>
      <c r="CC3187" t="str">
        <f>"19:28:02.383"</f>
        <v>19:28:02.383</v>
      </c>
      <c r="CD3187" t="str">
        <f>"383504290"</f>
        <v>383504290</v>
      </c>
      <c r="CQ3187">
        <v>0</v>
      </c>
      <c r="CR3187">
        <v>2</v>
      </c>
      <c r="CS3187">
        <v>0</v>
      </c>
      <c r="CT3187">
        <v>2</v>
      </c>
      <c r="CU3187">
        <v>0</v>
      </c>
      <c r="CV3187">
        <v>6</v>
      </c>
      <c r="CW3187" t="s">
        <v>120</v>
      </c>
      <c r="CX3187">
        <v>257</v>
      </c>
      <c r="CY3187">
        <v>0</v>
      </c>
      <c r="CZ3187" t="s">
        <v>615</v>
      </c>
      <c r="DA3187" t="s">
        <v>616</v>
      </c>
      <c r="DD3187">
        <v>16309181</v>
      </c>
      <c r="DE3187" t="s">
        <v>123</v>
      </c>
    </row>
    <row r="3188" spans="1:109" x14ac:dyDescent="0.3">
      <c r="A3188" t="str">
        <f>"19:28:03.719"</f>
        <v>19:28:03.719</v>
      </c>
      <c r="B3188" t="s">
        <v>110</v>
      </c>
      <c r="C3188" t="str">
        <f t="shared" si="147"/>
        <v>ffdfd3c0</v>
      </c>
      <c r="D3188" t="s">
        <v>111</v>
      </c>
      <c r="E3188">
        <v>18</v>
      </c>
      <c r="F3188">
        <v>1018</v>
      </c>
      <c r="G3188" t="s">
        <v>112</v>
      </c>
      <c r="J3188" t="s">
        <v>113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R3188" t="s">
        <v>114</v>
      </c>
      <c r="S3188" t="str">
        <f>"19:28:03.508"</f>
        <v>19:28:03.508</v>
      </c>
      <c r="T3188" t="str">
        <f>"19:28:03.508"</f>
        <v>19:28:03.508</v>
      </c>
      <c r="U3188" t="str">
        <f t="shared" si="148"/>
        <v>a1cdbe</v>
      </c>
      <c r="V3188">
        <v>0</v>
      </c>
      <c r="W3188">
        <v>0</v>
      </c>
      <c r="X3188">
        <v>1</v>
      </c>
      <c r="Y3188">
        <v>0</v>
      </c>
      <c r="Z3188">
        <v>0</v>
      </c>
      <c r="AB3188">
        <v>0</v>
      </c>
      <c r="AC3188">
        <v>9</v>
      </c>
      <c r="AD3188">
        <v>3</v>
      </c>
      <c r="AE3188">
        <v>0</v>
      </c>
      <c r="AF3188">
        <v>9</v>
      </c>
      <c r="AG3188" t="s">
        <v>158</v>
      </c>
      <c r="AH3188">
        <v>0</v>
      </c>
      <c r="AI3188">
        <v>3</v>
      </c>
      <c r="AJ3188">
        <v>1</v>
      </c>
      <c r="AK3188">
        <v>0</v>
      </c>
      <c r="AL3188" t="s">
        <v>6000</v>
      </c>
      <c r="AM3188">
        <v>46.998632000000001</v>
      </c>
      <c r="AN3188" t="s">
        <v>6001</v>
      </c>
      <c r="AO3188">
        <v>-123.61958</v>
      </c>
      <c r="AP3188">
        <v>100</v>
      </c>
      <c r="AQ3188">
        <v>2100</v>
      </c>
      <c r="AR3188" t="s">
        <v>118</v>
      </c>
      <c r="AS3188">
        <v>-76</v>
      </c>
      <c r="AT3188">
        <v>14</v>
      </c>
      <c r="AU3188">
        <v>128</v>
      </c>
      <c r="BC3188">
        <v>1200</v>
      </c>
      <c r="BD3188">
        <v>1</v>
      </c>
      <c r="BE3188" t="str">
        <f t="shared" si="149"/>
        <v xml:space="preserve">N215T   </v>
      </c>
      <c r="BF3188">
        <v>1</v>
      </c>
      <c r="BH3188">
        <v>0</v>
      </c>
      <c r="BI3188">
        <v>0</v>
      </c>
      <c r="BJ3188">
        <v>0</v>
      </c>
      <c r="BK3188">
        <v>2525</v>
      </c>
      <c r="BL3188">
        <v>425</v>
      </c>
      <c r="BM3188" t="s">
        <v>119</v>
      </c>
      <c r="BN3188">
        <v>1</v>
      </c>
      <c r="BO3188">
        <v>1</v>
      </c>
      <c r="BP3188">
        <v>1</v>
      </c>
      <c r="BQ3188">
        <v>0</v>
      </c>
      <c r="BT3188">
        <v>0</v>
      </c>
      <c r="BU3188">
        <v>0</v>
      </c>
      <c r="BV3188">
        <v>0</v>
      </c>
      <c r="CC3188" t="str">
        <f>"19:28:03.508"</f>
        <v>19:28:03.508</v>
      </c>
      <c r="CD3188" t="str">
        <f>"508393421"</f>
        <v>508393421</v>
      </c>
      <c r="CQ3188">
        <v>0</v>
      </c>
      <c r="CR3188">
        <v>2</v>
      </c>
      <c r="CS3188">
        <v>0</v>
      </c>
      <c r="CT3188">
        <v>2</v>
      </c>
      <c r="CU3188">
        <v>0</v>
      </c>
      <c r="CV3188">
        <v>6</v>
      </c>
      <c r="CW3188" t="s">
        <v>120</v>
      </c>
      <c r="CX3188">
        <v>257</v>
      </c>
      <c r="CY3188">
        <v>0</v>
      </c>
      <c r="CZ3188" t="s">
        <v>615</v>
      </c>
      <c r="DA3188" t="s">
        <v>616</v>
      </c>
      <c r="DD3188">
        <v>16309699</v>
      </c>
      <c r="DE3188" t="s">
        <v>123</v>
      </c>
    </row>
    <row r="3189" spans="1:109" x14ac:dyDescent="0.3">
      <c r="A3189" t="str">
        <f>"19:28:04.680"</f>
        <v>19:28:04.680</v>
      </c>
      <c r="B3189" t="s">
        <v>110</v>
      </c>
      <c r="C3189" t="str">
        <f t="shared" si="147"/>
        <v>ffdfd3c0</v>
      </c>
      <c r="D3189" t="s">
        <v>111</v>
      </c>
      <c r="E3189">
        <v>18</v>
      </c>
      <c r="F3189">
        <v>1018</v>
      </c>
      <c r="G3189" t="s">
        <v>112</v>
      </c>
      <c r="J3189" t="s">
        <v>113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R3189" t="s">
        <v>114</v>
      </c>
      <c r="S3189" t="str">
        <f>"19:28:04.453"</f>
        <v>19:28:04.453</v>
      </c>
      <c r="T3189" t="str">
        <f>"19:28:04.453"</f>
        <v>19:28:04.453</v>
      </c>
      <c r="U3189" t="str">
        <f t="shared" si="148"/>
        <v>a1cdbe</v>
      </c>
      <c r="V3189">
        <v>0</v>
      </c>
      <c r="W3189">
        <v>0</v>
      </c>
      <c r="X3189">
        <v>1</v>
      </c>
      <c r="Y3189">
        <v>0</v>
      </c>
      <c r="Z3189">
        <v>0</v>
      </c>
      <c r="AB3189">
        <v>0</v>
      </c>
      <c r="AC3189">
        <v>9</v>
      </c>
      <c r="AD3189">
        <v>3</v>
      </c>
      <c r="AE3189">
        <v>0</v>
      </c>
      <c r="AF3189">
        <v>9</v>
      </c>
      <c r="AG3189" t="s">
        <v>158</v>
      </c>
      <c r="AH3189">
        <v>0</v>
      </c>
      <c r="AI3189">
        <v>3</v>
      </c>
      <c r="AJ3189">
        <v>1</v>
      </c>
      <c r="AK3189">
        <v>0</v>
      </c>
      <c r="AL3189" t="s">
        <v>6002</v>
      </c>
      <c r="AM3189">
        <v>46.998696000000002</v>
      </c>
      <c r="AN3189" t="s">
        <v>6003</v>
      </c>
      <c r="AO3189">
        <v>-123.62009500000001</v>
      </c>
      <c r="AP3189">
        <v>100</v>
      </c>
      <c r="AQ3189">
        <v>2100</v>
      </c>
      <c r="AR3189" t="s">
        <v>118</v>
      </c>
      <c r="AS3189">
        <v>-76</v>
      </c>
      <c r="AT3189">
        <v>13</v>
      </c>
      <c r="AU3189">
        <v>64</v>
      </c>
      <c r="BC3189">
        <v>1200</v>
      </c>
      <c r="BD3189">
        <v>1</v>
      </c>
      <c r="BE3189" t="str">
        <f t="shared" si="149"/>
        <v xml:space="preserve">N215T   </v>
      </c>
      <c r="BF3189">
        <v>1</v>
      </c>
      <c r="BH3189">
        <v>0</v>
      </c>
      <c r="BI3189">
        <v>0</v>
      </c>
      <c r="BJ3189">
        <v>0</v>
      </c>
      <c r="BK3189">
        <v>2525</v>
      </c>
      <c r="BL3189">
        <v>425</v>
      </c>
      <c r="BM3189" t="s">
        <v>119</v>
      </c>
      <c r="BN3189">
        <v>1</v>
      </c>
      <c r="BO3189">
        <v>1</v>
      </c>
      <c r="BP3189">
        <v>1</v>
      </c>
      <c r="BQ3189">
        <v>0</v>
      </c>
      <c r="BT3189">
        <v>0</v>
      </c>
      <c r="BU3189">
        <v>0</v>
      </c>
      <c r="BV3189">
        <v>0</v>
      </c>
      <c r="CC3189" t="str">
        <f>"19:28:04.453"</f>
        <v>19:28:04.453</v>
      </c>
      <c r="CD3189" t="str">
        <f>"453300303"</f>
        <v>453300303</v>
      </c>
      <c r="CQ3189">
        <v>0</v>
      </c>
      <c r="CR3189">
        <v>2</v>
      </c>
      <c r="CS3189">
        <v>0</v>
      </c>
      <c r="CT3189">
        <v>2</v>
      </c>
      <c r="CU3189">
        <v>0</v>
      </c>
      <c r="CV3189">
        <v>6</v>
      </c>
      <c r="CW3189" t="s">
        <v>120</v>
      </c>
      <c r="CX3189">
        <v>257</v>
      </c>
      <c r="CY3189">
        <v>0</v>
      </c>
      <c r="CZ3189" t="s">
        <v>615</v>
      </c>
      <c r="DA3189" t="s">
        <v>616</v>
      </c>
      <c r="DD3189">
        <v>16310135</v>
      </c>
      <c r="DE3189" t="s">
        <v>123</v>
      </c>
    </row>
    <row r="3190" spans="1:109" x14ac:dyDescent="0.3">
      <c r="A3190" t="str">
        <f>"19:28:05.781"</f>
        <v>19:28:05.781</v>
      </c>
      <c r="B3190" t="s">
        <v>110</v>
      </c>
      <c r="C3190" t="str">
        <f t="shared" si="147"/>
        <v>ffdfd3c0</v>
      </c>
      <c r="D3190" t="s">
        <v>111</v>
      </c>
      <c r="E3190">
        <v>18</v>
      </c>
      <c r="F3190">
        <v>1018</v>
      </c>
      <c r="G3190" t="s">
        <v>112</v>
      </c>
      <c r="J3190" t="s">
        <v>113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R3190" t="s">
        <v>114</v>
      </c>
      <c r="S3190" t="str">
        <f>"19:28:05.547"</f>
        <v>19:28:05.547</v>
      </c>
      <c r="T3190" t="str">
        <f>"19:28:05.547"</f>
        <v>19:28:05.547</v>
      </c>
      <c r="U3190" t="str">
        <f t="shared" si="148"/>
        <v>a1cdbe</v>
      </c>
      <c r="V3190">
        <v>0</v>
      </c>
      <c r="W3190">
        <v>0</v>
      </c>
      <c r="X3190">
        <v>1</v>
      </c>
      <c r="Y3190">
        <v>0</v>
      </c>
      <c r="Z3190">
        <v>0</v>
      </c>
      <c r="AB3190">
        <v>0</v>
      </c>
      <c r="AC3190">
        <v>9</v>
      </c>
      <c r="AD3190">
        <v>3</v>
      </c>
      <c r="AE3190">
        <v>0</v>
      </c>
      <c r="AF3190">
        <v>9</v>
      </c>
      <c r="AG3190" t="s">
        <v>158</v>
      </c>
      <c r="AH3190">
        <v>0</v>
      </c>
      <c r="AI3190">
        <v>3</v>
      </c>
      <c r="AJ3190">
        <v>1</v>
      </c>
      <c r="AK3190">
        <v>0</v>
      </c>
      <c r="AL3190" t="s">
        <v>6004</v>
      </c>
      <c r="AM3190">
        <v>46.998739</v>
      </c>
      <c r="AN3190" t="s">
        <v>6005</v>
      </c>
      <c r="AO3190">
        <v>-123.620632</v>
      </c>
      <c r="AP3190">
        <v>100</v>
      </c>
      <c r="AQ3190">
        <v>2100</v>
      </c>
      <c r="AR3190" t="s">
        <v>118</v>
      </c>
      <c r="AS3190">
        <v>-76</v>
      </c>
      <c r="AT3190">
        <v>12</v>
      </c>
      <c r="AU3190">
        <v>64</v>
      </c>
      <c r="BC3190">
        <v>1200</v>
      </c>
      <c r="BD3190">
        <v>1</v>
      </c>
      <c r="BE3190" t="str">
        <f t="shared" si="149"/>
        <v xml:space="preserve">N215T   </v>
      </c>
      <c r="BF3190">
        <v>1</v>
      </c>
      <c r="BH3190">
        <v>0</v>
      </c>
      <c r="BI3190">
        <v>0</v>
      </c>
      <c r="BJ3190">
        <v>0</v>
      </c>
      <c r="BK3190">
        <v>2525</v>
      </c>
      <c r="BL3190">
        <v>425</v>
      </c>
      <c r="BM3190" t="s">
        <v>119</v>
      </c>
      <c r="BN3190">
        <v>1</v>
      </c>
      <c r="BO3190">
        <v>1</v>
      </c>
      <c r="BP3190">
        <v>1</v>
      </c>
      <c r="BQ3190">
        <v>0</v>
      </c>
      <c r="BT3190">
        <v>0</v>
      </c>
      <c r="BU3190">
        <v>0</v>
      </c>
      <c r="BV3190">
        <v>0</v>
      </c>
      <c r="CC3190" t="str">
        <f>"19:28:05.547"</f>
        <v>19:28:05.547</v>
      </c>
      <c r="CD3190" t="str">
        <f>"548192391"</f>
        <v>548192391</v>
      </c>
      <c r="CQ3190">
        <v>0</v>
      </c>
      <c r="CR3190">
        <v>2</v>
      </c>
      <c r="CS3190">
        <v>0</v>
      </c>
      <c r="CT3190">
        <v>2</v>
      </c>
      <c r="CU3190">
        <v>0</v>
      </c>
      <c r="CV3190">
        <v>6</v>
      </c>
      <c r="CW3190" t="s">
        <v>120</v>
      </c>
      <c r="CX3190">
        <v>257</v>
      </c>
      <c r="CY3190">
        <v>0</v>
      </c>
      <c r="CZ3190" t="s">
        <v>615</v>
      </c>
      <c r="DA3190" t="s">
        <v>616</v>
      </c>
      <c r="DD3190">
        <v>16310702</v>
      </c>
      <c r="DE3190" t="s">
        <v>123</v>
      </c>
    </row>
    <row r="3191" spans="1:109" x14ac:dyDescent="0.3">
      <c r="A3191" t="str">
        <f>"19:28:06.789"</f>
        <v>19:28:06.789</v>
      </c>
      <c r="B3191" t="s">
        <v>110</v>
      </c>
      <c r="C3191" t="str">
        <f t="shared" si="147"/>
        <v>ffdfd3c0</v>
      </c>
      <c r="D3191" t="s">
        <v>111</v>
      </c>
      <c r="E3191">
        <v>18</v>
      </c>
      <c r="F3191">
        <v>1018</v>
      </c>
      <c r="G3191" t="s">
        <v>112</v>
      </c>
      <c r="J3191" t="s">
        <v>113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R3191" t="s">
        <v>114</v>
      </c>
      <c r="S3191" t="str">
        <f>"19:28:06.547"</f>
        <v>19:28:06.547</v>
      </c>
      <c r="T3191" t="str">
        <f>"19:28:06.547"</f>
        <v>19:28:06.547</v>
      </c>
      <c r="U3191" t="str">
        <f t="shared" si="148"/>
        <v>a1cdbe</v>
      </c>
      <c r="V3191">
        <v>0</v>
      </c>
      <c r="W3191">
        <v>0</v>
      </c>
      <c r="X3191">
        <v>1</v>
      </c>
      <c r="Y3191">
        <v>0</v>
      </c>
      <c r="Z3191">
        <v>0</v>
      </c>
      <c r="AB3191">
        <v>0</v>
      </c>
      <c r="AC3191">
        <v>9</v>
      </c>
      <c r="AD3191">
        <v>3</v>
      </c>
      <c r="AE3191">
        <v>0</v>
      </c>
      <c r="AF3191">
        <v>9</v>
      </c>
      <c r="AG3191" t="s">
        <v>158</v>
      </c>
      <c r="AH3191">
        <v>0</v>
      </c>
      <c r="AI3191">
        <v>3</v>
      </c>
      <c r="AJ3191">
        <v>1</v>
      </c>
      <c r="AK3191">
        <v>0</v>
      </c>
      <c r="AL3191" t="s">
        <v>6006</v>
      </c>
      <c r="AM3191">
        <v>46.998804</v>
      </c>
      <c r="AN3191" t="s">
        <v>6007</v>
      </c>
      <c r="AO3191">
        <v>-123.62112500000001</v>
      </c>
      <c r="AP3191">
        <v>100</v>
      </c>
      <c r="AQ3191">
        <v>2100</v>
      </c>
      <c r="AR3191" t="s">
        <v>118</v>
      </c>
      <c r="AS3191">
        <v>-76</v>
      </c>
      <c r="AT3191">
        <v>11</v>
      </c>
      <c r="AU3191">
        <v>64</v>
      </c>
      <c r="BC3191">
        <v>1200</v>
      </c>
      <c r="BD3191">
        <v>1</v>
      </c>
      <c r="BE3191" t="str">
        <f t="shared" si="149"/>
        <v xml:space="preserve">N215T   </v>
      </c>
      <c r="BF3191">
        <v>1</v>
      </c>
      <c r="BH3191">
        <v>0</v>
      </c>
      <c r="BI3191">
        <v>0</v>
      </c>
      <c r="BJ3191">
        <v>0</v>
      </c>
      <c r="BK3191">
        <v>2525</v>
      </c>
      <c r="BL3191">
        <v>425</v>
      </c>
      <c r="BM3191" t="s">
        <v>119</v>
      </c>
      <c r="BN3191">
        <v>1</v>
      </c>
      <c r="BO3191">
        <v>1</v>
      </c>
      <c r="BP3191">
        <v>1</v>
      </c>
      <c r="BQ3191">
        <v>0</v>
      </c>
      <c r="BT3191">
        <v>0</v>
      </c>
      <c r="BU3191">
        <v>0</v>
      </c>
      <c r="BV3191">
        <v>0</v>
      </c>
      <c r="CC3191" t="str">
        <f>"19:28:06.555"</f>
        <v>19:28:06.555</v>
      </c>
      <c r="CD3191" t="str">
        <f>"553093324"</f>
        <v>553093324</v>
      </c>
      <c r="CQ3191">
        <v>0</v>
      </c>
      <c r="CR3191">
        <v>2</v>
      </c>
      <c r="CS3191">
        <v>0</v>
      </c>
      <c r="CT3191">
        <v>2</v>
      </c>
      <c r="CU3191">
        <v>0</v>
      </c>
      <c r="CV3191">
        <v>6</v>
      </c>
      <c r="CW3191" t="s">
        <v>120</v>
      </c>
      <c r="CX3191">
        <v>257</v>
      </c>
      <c r="CY3191">
        <v>0</v>
      </c>
      <c r="CZ3191" t="s">
        <v>615</v>
      </c>
      <c r="DA3191" t="s">
        <v>616</v>
      </c>
      <c r="DD3191">
        <v>16311222</v>
      </c>
      <c r="DE3191" t="s">
        <v>123</v>
      </c>
    </row>
    <row r="3192" spans="1:109" x14ac:dyDescent="0.3">
      <c r="A3192" t="str">
        <f>"19:28:07.742"</f>
        <v>19:28:07.742</v>
      </c>
      <c r="B3192" t="s">
        <v>110</v>
      </c>
      <c r="C3192" t="str">
        <f t="shared" si="147"/>
        <v>ffdfd3c0</v>
      </c>
      <c r="D3192" t="s">
        <v>111</v>
      </c>
      <c r="E3192">
        <v>18</v>
      </c>
      <c r="F3192">
        <v>1018</v>
      </c>
      <c r="G3192" t="s">
        <v>112</v>
      </c>
      <c r="J3192" t="s">
        <v>113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R3192" t="s">
        <v>114</v>
      </c>
      <c r="S3192" t="str">
        <f>"19:28:07.461"</f>
        <v>19:28:07.461</v>
      </c>
      <c r="T3192" t="str">
        <f>"19:28:07.461"</f>
        <v>19:28:07.461</v>
      </c>
      <c r="U3192" t="str">
        <f t="shared" si="148"/>
        <v>a1cdbe</v>
      </c>
      <c r="V3192">
        <v>0</v>
      </c>
      <c r="W3192">
        <v>0</v>
      </c>
      <c r="X3192">
        <v>1</v>
      </c>
      <c r="Y3192">
        <v>0</v>
      </c>
      <c r="Z3192">
        <v>0</v>
      </c>
      <c r="AB3192">
        <v>0</v>
      </c>
      <c r="AC3192">
        <v>9</v>
      </c>
      <c r="AD3192">
        <v>3</v>
      </c>
      <c r="AE3192">
        <v>0</v>
      </c>
      <c r="AF3192">
        <v>9</v>
      </c>
      <c r="AG3192" t="s">
        <v>158</v>
      </c>
      <c r="AH3192">
        <v>0</v>
      </c>
      <c r="AI3192">
        <v>3</v>
      </c>
      <c r="AJ3192">
        <v>1</v>
      </c>
      <c r="AK3192">
        <v>0</v>
      </c>
      <c r="AL3192" t="s">
        <v>6008</v>
      </c>
      <c r="AM3192">
        <v>46.998868000000002</v>
      </c>
      <c r="AN3192" t="s">
        <v>6009</v>
      </c>
      <c r="AO3192">
        <v>-123.621619</v>
      </c>
      <c r="AP3192">
        <v>100</v>
      </c>
      <c r="AQ3192">
        <v>2100</v>
      </c>
      <c r="AR3192" t="s">
        <v>118</v>
      </c>
      <c r="AS3192">
        <v>-76</v>
      </c>
      <c r="AT3192">
        <v>11</v>
      </c>
      <c r="AU3192">
        <v>64</v>
      </c>
      <c r="BC3192">
        <v>1200</v>
      </c>
      <c r="BD3192">
        <v>1</v>
      </c>
      <c r="BE3192" t="str">
        <f t="shared" si="149"/>
        <v xml:space="preserve">N215T   </v>
      </c>
      <c r="BF3192">
        <v>1</v>
      </c>
      <c r="BH3192">
        <v>0</v>
      </c>
      <c r="BI3192">
        <v>0</v>
      </c>
      <c r="BJ3192">
        <v>0</v>
      </c>
      <c r="BK3192">
        <v>2525</v>
      </c>
      <c r="BL3192">
        <v>425</v>
      </c>
      <c r="BM3192" t="s">
        <v>119</v>
      </c>
      <c r="BN3192">
        <v>1</v>
      </c>
      <c r="BO3192">
        <v>1</v>
      </c>
      <c r="BP3192">
        <v>1</v>
      </c>
      <c r="BQ3192">
        <v>0</v>
      </c>
      <c r="BT3192">
        <v>0</v>
      </c>
      <c r="BU3192">
        <v>0</v>
      </c>
      <c r="BV3192">
        <v>0</v>
      </c>
      <c r="CC3192" t="str">
        <f>"19:28:07.469"</f>
        <v>19:28:07.469</v>
      </c>
      <c r="CD3192" t="str">
        <f>"468003195"</f>
        <v>468003195</v>
      </c>
      <c r="CQ3192">
        <v>0</v>
      </c>
      <c r="CR3192">
        <v>2</v>
      </c>
      <c r="CS3192">
        <v>0</v>
      </c>
      <c r="CT3192">
        <v>2</v>
      </c>
      <c r="CU3192">
        <v>0</v>
      </c>
      <c r="CV3192">
        <v>6</v>
      </c>
      <c r="CW3192" t="s">
        <v>120</v>
      </c>
      <c r="CX3192">
        <v>257</v>
      </c>
      <c r="CY3192">
        <v>0</v>
      </c>
      <c r="CZ3192" t="s">
        <v>615</v>
      </c>
      <c r="DA3192" t="s">
        <v>616</v>
      </c>
      <c r="DD3192">
        <v>16311679</v>
      </c>
      <c r="DE3192" t="s">
        <v>123</v>
      </c>
    </row>
    <row r="3193" spans="1:109" x14ac:dyDescent="0.3">
      <c r="A3193" t="str">
        <f>"19:28:08.648"</f>
        <v>19:28:08.648</v>
      </c>
      <c r="B3193" t="s">
        <v>110</v>
      </c>
      <c r="C3193" t="str">
        <f t="shared" si="147"/>
        <v>ffdfd3c0</v>
      </c>
      <c r="D3193" t="s">
        <v>111</v>
      </c>
      <c r="E3193">
        <v>18</v>
      </c>
      <c r="F3193">
        <v>1018</v>
      </c>
      <c r="G3193" t="s">
        <v>112</v>
      </c>
      <c r="J3193" t="s">
        <v>113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R3193" t="s">
        <v>114</v>
      </c>
      <c r="S3193" t="str">
        <f>"19:28:08.367"</f>
        <v>19:28:08.367</v>
      </c>
      <c r="T3193" t="str">
        <f>"19:28:08.367"</f>
        <v>19:28:08.367</v>
      </c>
      <c r="U3193" t="str">
        <f t="shared" si="148"/>
        <v>a1cdbe</v>
      </c>
      <c r="V3193">
        <v>0</v>
      </c>
      <c r="W3193">
        <v>0</v>
      </c>
      <c r="X3193">
        <v>1</v>
      </c>
      <c r="Y3193">
        <v>0</v>
      </c>
      <c r="Z3193">
        <v>0</v>
      </c>
      <c r="AB3193">
        <v>0</v>
      </c>
      <c r="AC3193">
        <v>9</v>
      </c>
      <c r="AD3193">
        <v>3</v>
      </c>
      <c r="AE3193">
        <v>0</v>
      </c>
      <c r="AF3193">
        <v>9</v>
      </c>
      <c r="AG3193" t="s">
        <v>158</v>
      </c>
      <c r="AH3193">
        <v>0</v>
      </c>
      <c r="AI3193">
        <v>3</v>
      </c>
      <c r="AJ3193">
        <v>1</v>
      </c>
      <c r="AK3193">
        <v>0</v>
      </c>
      <c r="AL3193" t="s">
        <v>6008</v>
      </c>
      <c r="AM3193">
        <v>46.998868000000002</v>
      </c>
      <c r="AN3193" t="s">
        <v>6010</v>
      </c>
      <c r="AO3193">
        <v>-123.622069</v>
      </c>
      <c r="AP3193">
        <v>100</v>
      </c>
      <c r="AQ3193">
        <v>2100</v>
      </c>
      <c r="AR3193" t="s">
        <v>118</v>
      </c>
      <c r="AS3193">
        <v>-76</v>
      </c>
      <c r="AT3193">
        <v>11</v>
      </c>
      <c r="AU3193">
        <v>64</v>
      </c>
      <c r="BC3193">
        <v>1200</v>
      </c>
      <c r="BD3193">
        <v>1</v>
      </c>
      <c r="BE3193" t="str">
        <f t="shared" si="149"/>
        <v xml:space="preserve">N215T   </v>
      </c>
      <c r="BF3193">
        <v>1</v>
      </c>
      <c r="BH3193">
        <v>0</v>
      </c>
      <c r="BI3193">
        <v>0</v>
      </c>
      <c r="BJ3193">
        <v>0</v>
      </c>
      <c r="BK3193">
        <v>2525</v>
      </c>
      <c r="BL3193">
        <v>425</v>
      </c>
      <c r="BM3193" t="s">
        <v>119</v>
      </c>
      <c r="BN3193">
        <v>1</v>
      </c>
      <c r="BO3193">
        <v>1</v>
      </c>
      <c r="BP3193">
        <v>1</v>
      </c>
      <c r="BQ3193">
        <v>0</v>
      </c>
      <c r="BT3193">
        <v>0</v>
      </c>
      <c r="BU3193">
        <v>0</v>
      </c>
      <c r="BV3193">
        <v>0</v>
      </c>
      <c r="CC3193" t="str">
        <f>"19:28:08.367"</f>
        <v>19:28:08.367</v>
      </c>
      <c r="CD3193" t="str">
        <f>"367914507"</f>
        <v>367914507</v>
      </c>
      <c r="CQ3193">
        <v>0</v>
      </c>
      <c r="CR3193">
        <v>2</v>
      </c>
      <c r="CS3193">
        <v>0</v>
      </c>
      <c r="CT3193">
        <v>2</v>
      </c>
      <c r="CU3193">
        <v>0</v>
      </c>
      <c r="CV3193">
        <v>6</v>
      </c>
      <c r="CW3193" t="s">
        <v>120</v>
      </c>
      <c r="CX3193">
        <v>257</v>
      </c>
      <c r="CY3193">
        <v>0</v>
      </c>
      <c r="CZ3193" t="s">
        <v>615</v>
      </c>
      <c r="DA3193" t="s">
        <v>616</v>
      </c>
      <c r="DD3193">
        <v>16312132</v>
      </c>
      <c r="DE3193" t="s">
        <v>123</v>
      </c>
    </row>
    <row r="3194" spans="1:109" x14ac:dyDescent="0.3">
      <c r="A3194" t="str">
        <f>"19:28:09.555"</f>
        <v>19:28:09.555</v>
      </c>
      <c r="B3194" t="s">
        <v>110</v>
      </c>
      <c r="C3194" t="str">
        <f t="shared" si="147"/>
        <v>ffdfd3c0</v>
      </c>
      <c r="D3194" t="s">
        <v>111</v>
      </c>
      <c r="E3194">
        <v>18</v>
      </c>
      <c r="F3194">
        <v>1018</v>
      </c>
      <c r="G3194" t="s">
        <v>112</v>
      </c>
      <c r="J3194" t="s">
        <v>113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R3194" t="s">
        <v>114</v>
      </c>
      <c r="S3194" t="str">
        <f>"19:28:09.320"</f>
        <v>19:28:09.320</v>
      </c>
      <c r="T3194" t="str">
        <f>"19:28:09.320"</f>
        <v>19:28:09.320</v>
      </c>
      <c r="U3194" t="str">
        <f t="shared" si="148"/>
        <v>a1cdbe</v>
      </c>
      <c r="V3194">
        <v>0</v>
      </c>
      <c r="W3194">
        <v>0</v>
      </c>
      <c r="X3194">
        <v>1</v>
      </c>
      <c r="Y3194">
        <v>0</v>
      </c>
      <c r="Z3194">
        <v>0</v>
      </c>
      <c r="AB3194">
        <v>0</v>
      </c>
      <c r="AC3194">
        <v>9</v>
      </c>
      <c r="AD3194">
        <v>3</v>
      </c>
      <c r="AE3194">
        <v>0</v>
      </c>
      <c r="AF3194">
        <v>9</v>
      </c>
      <c r="AG3194" t="s">
        <v>158</v>
      </c>
      <c r="AH3194">
        <v>0</v>
      </c>
      <c r="AI3194">
        <v>3</v>
      </c>
      <c r="AJ3194">
        <v>1</v>
      </c>
      <c r="AK3194">
        <v>0</v>
      </c>
      <c r="AL3194" t="s">
        <v>827</v>
      </c>
      <c r="AM3194">
        <v>46.998911</v>
      </c>
      <c r="AN3194" t="s">
        <v>6011</v>
      </c>
      <c r="AO3194">
        <v>-123.622563</v>
      </c>
      <c r="AP3194">
        <v>100</v>
      </c>
      <c r="AQ3194">
        <v>2100</v>
      </c>
      <c r="AR3194" t="s">
        <v>118</v>
      </c>
      <c r="AS3194">
        <v>-76</v>
      </c>
      <c r="AT3194">
        <v>10</v>
      </c>
      <c r="AU3194">
        <v>0</v>
      </c>
      <c r="BC3194">
        <v>1200</v>
      </c>
      <c r="BD3194">
        <v>1</v>
      </c>
      <c r="BE3194" t="str">
        <f t="shared" si="149"/>
        <v xml:space="preserve">N215T   </v>
      </c>
      <c r="BF3194">
        <v>1</v>
      </c>
      <c r="BH3194">
        <v>0</v>
      </c>
      <c r="BI3194">
        <v>0</v>
      </c>
      <c r="BJ3194">
        <v>0</v>
      </c>
      <c r="BK3194">
        <v>2525</v>
      </c>
      <c r="BL3194">
        <v>425</v>
      </c>
      <c r="BM3194" t="s">
        <v>119</v>
      </c>
      <c r="BN3194">
        <v>1</v>
      </c>
      <c r="BO3194">
        <v>1</v>
      </c>
      <c r="BP3194">
        <v>1</v>
      </c>
      <c r="BQ3194">
        <v>0</v>
      </c>
      <c r="BT3194">
        <v>0</v>
      </c>
      <c r="BU3194">
        <v>0</v>
      </c>
      <c r="BV3194">
        <v>0</v>
      </c>
      <c r="CC3194" t="str">
        <f>"19:28:09.328"</f>
        <v>19:28:09.328</v>
      </c>
      <c r="CD3194" t="str">
        <f>"327819900"</f>
        <v>327819900</v>
      </c>
      <c r="CQ3194">
        <v>0</v>
      </c>
      <c r="CR3194">
        <v>2</v>
      </c>
      <c r="CS3194">
        <v>0</v>
      </c>
      <c r="CT3194">
        <v>2</v>
      </c>
      <c r="CU3194">
        <v>0</v>
      </c>
      <c r="CV3194">
        <v>6</v>
      </c>
      <c r="CW3194" t="s">
        <v>120</v>
      </c>
      <c r="CX3194">
        <v>257</v>
      </c>
      <c r="CY3194">
        <v>0</v>
      </c>
      <c r="CZ3194" t="s">
        <v>615</v>
      </c>
      <c r="DA3194" t="s">
        <v>616</v>
      </c>
      <c r="DD3194">
        <v>16312631</v>
      </c>
      <c r="DE3194" t="s">
        <v>123</v>
      </c>
    </row>
    <row r="3195" spans="1:109" x14ac:dyDescent="0.3">
      <c r="A3195" t="str">
        <f>"19:28:10.609"</f>
        <v>19:28:10.609</v>
      </c>
      <c r="B3195" t="s">
        <v>110</v>
      </c>
      <c r="C3195" t="str">
        <f t="shared" si="147"/>
        <v>ffdfd3c0</v>
      </c>
      <c r="D3195" t="s">
        <v>111</v>
      </c>
      <c r="E3195">
        <v>18</v>
      </c>
      <c r="F3195">
        <v>1018</v>
      </c>
      <c r="G3195" t="s">
        <v>112</v>
      </c>
      <c r="J3195" t="s">
        <v>113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R3195" t="s">
        <v>114</v>
      </c>
      <c r="S3195" t="str">
        <f>"19:28:10.391"</f>
        <v>19:28:10.391</v>
      </c>
      <c r="T3195" t="str">
        <f>"19:28:10.289"</f>
        <v>19:28:10.289</v>
      </c>
      <c r="U3195" t="str">
        <f t="shared" si="148"/>
        <v>a1cdbe</v>
      </c>
      <c r="V3195">
        <v>0</v>
      </c>
      <c r="W3195">
        <v>0</v>
      </c>
      <c r="X3195">
        <v>1</v>
      </c>
      <c r="Y3195">
        <v>0</v>
      </c>
      <c r="Z3195">
        <v>0</v>
      </c>
      <c r="AB3195">
        <v>0</v>
      </c>
      <c r="AC3195">
        <v>9</v>
      </c>
      <c r="AD3195">
        <v>3</v>
      </c>
      <c r="AE3195">
        <v>0</v>
      </c>
      <c r="AF3195">
        <v>9</v>
      </c>
      <c r="AG3195" t="s">
        <v>158</v>
      </c>
      <c r="AH3195">
        <v>0</v>
      </c>
      <c r="AI3195">
        <v>3</v>
      </c>
      <c r="AJ3195">
        <v>1</v>
      </c>
      <c r="AK3195">
        <v>0</v>
      </c>
      <c r="AL3195" t="s">
        <v>6012</v>
      </c>
      <c r="AM3195">
        <v>46.998953999999998</v>
      </c>
      <c r="AN3195" t="s">
        <v>6013</v>
      </c>
      <c r="AO3195">
        <v>-123.623099</v>
      </c>
      <c r="AP3195">
        <v>100</v>
      </c>
      <c r="AQ3195">
        <v>2100</v>
      </c>
      <c r="AR3195" t="s">
        <v>118</v>
      </c>
      <c r="AS3195">
        <v>-76</v>
      </c>
      <c r="AT3195">
        <v>10</v>
      </c>
      <c r="AU3195">
        <v>0</v>
      </c>
      <c r="BC3195">
        <v>1200</v>
      </c>
      <c r="BD3195">
        <v>1</v>
      </c>
      <c r="BE3195" t="str">
        <f t="shared" si="149"/>
        <v xml:space="preserve">N215T   </v>
      </c>
      <c r="BF3195">
        <v>1</v>
      </c>
      <c r="BH3195">
        <v>0</v>
      </c>
      <c r="BI3195">
        <v>0</v>
      </c>
      <c r="BJ3195">
        <v>0</v>
      </c>
      <c r="BK3195">
        <v>2525</v>
      </c>
      <c r="BL3195">
        <v>425</v>
      </c>
      <c r="BM3195" t="s">
        <v>119</v>
      </c>
      <c r="BN3195">
        <v>1</v>
      </c>
      <c r="BO3195">
        <v>1</v>
      </c>
      <c r="BP3195">
        <v>1</v>
      </c>
      <c r="BQ3195">
        <v>0</v>
      </c>
      <c r="BT3195">
        <v>0</v>
      </c>
      <c r="BU3195">
        <v>0</v>
      </c>
      <c r="BV3195">
        <v>0</v>
      </c>
      <c r="CC3195" t="str">
        <f>"19:28:10.391"</f>
        <v>19:28:10.391</v>
      </c>
      <c r="CD3195" t="str">
        <f>"392714956"</f>
        <v>392714956</v>
      </c>
      <c r="CQ3195">
        <v>0</v>
      </c>
      <c r="CR3195">
        <v>2</v>
      </c>
      <c r="CS3195">
        <v>0</v>
      </c>
      <c r="CT3195">
        <v>2</v>
      </c>
      <c r="CU3195">
        <v>0</v>
      </c>
      <c r="CV3195">
        <v>6</v>
      </c>
      <c r="CW3195" t="s">
        <v>120</v>
      </c>
      <c r="CX3195">
        <v>257</v>
      </c>
      <c r="CY3195">
        <v>0</v>
      </c>
      <c r="CZ3195" t="s">
        <v>615</v>
      </c>
      <c r="DA3195" t="s">
        <v>616</v>
      </c>
      <c r="DD3195">
        <v>16313172</v>
      </c>
      <c r="DE3195" t="s">
        <v>123</v>
      </c>
    </row>
    <row r="3196" spans="1:109" x14ac:dyDescent="0.3">
      <c r="A3196" t="str">
        <f>"19:28:11.719"</f>
        <v>19:28:11.719</v>
      </c>
      <c r="B3196" t="s">
        <v>110</v>
      </c>
      <c r="C3196" t="str">
        <f t="shared" si="147"/>
        <v>ffdfd3c0</v>
      </c>
      <c r="D3196" t="s">
        <v>111</v>
      </c>
      <c r="E3196">
        <v>18</v>
      </c>
      <c r="F3196">
        <v>1018</v>
      </c>
      <c r="G3196" t="s">
        <v>112</v>
      </c>
      <c r="J3196" t="s">
        <v>113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R3196" t="s">
        <v>114</v>
      </c>
      <c r="S3196" t="str">
        <f>"19:28:11.484"</f>
        <v>19:28:11.484</v>
      </c>
      <c r="T3196" t="str">
        <f>"19:28:11.484"</f>
        <v>19:28:11.484</v>
      </c>
      <c r="U3196" t="str">
        <f t="shared" si="148"/>
        <v>a1cdbe</v>
      </c>
      <c r="V3196">
        <v>0</v>
      </c>
      <c r="W3196">
        <v>0</v>
      </c>
      <c r="X3196">
        <v>1</v>
      </c>
      <c r="Y3196">
        <v>0</v>
      </c>
      <c r="Z3196">
        <v>0</v>
      </c>
      <c r="AB3196">
        <v>0</v>
      </c>
      <c r="AC3196">
        <v>9</v>
      </c>
      <c r="AD3196">
        <v>3</v>
      </c>
      <c r="AE3196">
        <v>0</v>
      </c>
      <c r="AF3196">
        <v>9</v>
      </c>
      <c r="AG3196" t="s">
        <v>158</v>
      </c>
      <c r="AH3196">
        <v>0</v>
      </c>
      <c r="AI3196">
        <v>3</v>
      </c>
      <c r="AJ3196">
        <v>1</v>
      </c>
      <c r="AK3196">
        <v>0</v>
      </c>
      <c r="AL3196" t="s">
        <v>6014</v>
      </c>
      <c r="AM3196">
        <v>46.999040000000001</v>
      </c>
      <c r="AN3196" t="s">
        <v>6015</v>
      </c>
      <c r="AO3196">
        <v>-123.62365699999999</v>
      </c>
      <c r="AP3196">
        <v>100</v>
      </c>
      <c r="AQ3196">
        <v>2100</v>
      </c>
      <c r="AR3196" t="s">
        <v>118</v>
      </c>
      <c r="AS3196">
        <v>-76</v>
      </c>
      <c r="AT3196">
        <v>10</v>
      </c>
      <c r="AU3196">
        <v>0</v>
      </c>
      <c r="BC3196">
        <v>1200</v>
      </c>
      <c r="BD3196">
        <v>1</v>
      </c>
      <c r="BE3196" t="str">
        <f t="shared" si="149"/>
        <v xml:space="preserve">N215T   </v>
      </c>
      <c r="BF3196">
        <v>1</v>
      </c>
      <c r="BH3196">
        <v>0</v>
      </c>
      <c r="BI3196">
        <v>0</v>
      </c>
      <c r="BJ3196">
        <v>0</v>
      </c>
      <c r="BK3196">
        <v>2525</v>
      </c>
      <c r="BL3196">
        <v>425</v>
      </c>
      <c r="BM3196" t="s">
        <v>119</v>
      </c>
      <c r="BN3196">
        <v>1</v>
      </c>
      <c r="BO3196">
        <v>1</v>
      </c>
      <c r="BP3196">
        <v>1</v>
      </c>
      <c r="BQ3196">
        <v>0</v>
      </c>
      <c r="BT3196">
        <v>0</v>
      </c>
      <c r="BU3196">
        <v>0</v>
      </c>
      <c r="BV3196">
        <v>0</v>
      </c>
      <c r="CC3196" t="str">
        <f>"19:28:11.484"</f>
        <v>19:28:11.484</v>
      </c>
      <c r="CD3196" t="str">
        <f>"487607044"</f>
        <v>487607044</v>
      </c>
      <c r="CQ3196">
        <v>0</v>
      </c>
      <c r="CR3196">
        <v>2</v>
      </c>
      <c r="CS3196">
        <v>0</v>
      </c>
      <c r="CT3196">
        <v>2</v>
      </c>
      <c r="CU3196">
        <v>0</v>
      </c>
      <c r="CV3196">
        <v>6</v>
      </c>
      <c r="CW3196" t="s">
        <v>120</v>
      </c>
      <c r="CX3196">
        <v>257</v>
      </c>
      <c r="CY3196">
        <v>0</v>
      </c>
      <c r="CZ3196" t="s">
        <v>615</v>
      </c>
      <c r="DA3196" t="s">
        <v>616</v>
      </c>
      <c r="DD3196">
        <v>16313744</v>
      </c>
      <c r="DE3196" t="s">
        <v>123</v>
      </c>
    </row>
    <row r="3197" spans="1:109" x14ac:dyDescent="0.3">
      <c r="A3197" t="str">
        <f>"19:28:12.773"</f>
        <v>19:28:12.773</v>
      </c>
      <c r="B3197" t="s">
        <v>110</v>
      </c>
      <c r="C3197" t="str">
        <f t="shared" si="147"/>
        <v>ffdfd3c0</v>
      </c>
      <c r="D3197" t="s">
        <v>111</v>
      </c>
      <c r="E3197">
        <v>18</v>
      </c>
      <c r="F3197">
        <v>1018</v>
      </c>
      <c r="G3197" t="s">
        <v>112</v>
      </c>
      <c r="J3197" t="s">
        <v>113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R3197" t="s">
        <v>114</v>
      </c>
      <c r="S3197" t="str">
        <f>"19:28:12.547"</f>
        <v>19:28:12.547</v>
      </c>
      <c r="T3197" t="str">
        <f>"19:28:12.445"</f>
        <v>19:28:12.445</v>
      </c>
      <c r="U3197" t="str">
        <f t="shared" si="148"/>
        <v>a1cdbe</v>
      </c>
      <c r="V3197">
        <v>0</v>
      </c>
      <c r="W3197">
        <v>0</v>
      </c>
      <c r="X3197">
        <v>1</v>
      </c>
      <c r="Y3197">
        <v>0</v>
      </c>
      <c r="Z3197">
        <v>0</v>
      </c>
      <c r="AB3197">
        <v>0</v>
      </c>
      <c r="AC3197">
        <v>9</v>
      </c>
      <c r="AD3197">
        <v>3</v>
      </c>
      <c r="AE3197">
        <v>0</v>
      </c>
      <c r="AF3197">
        <v>9</v>
      </c>
      <c r="AG3197" t="s">
        <v>158</v>
      </c>
      <c r="AH3197">
        <v>0</v>
      </c>
      <c r="AI3197">
        <v>3</v>
      </c>
      <c r="AJ3197">
        <v>1</v>
      </c>
      <c r="AK3197">
        <v>0</v>
      </c>
      <c r="AL3197" t="s">
        <v>6016</v>
      </c>
      <c r="AM3197">
        <v>46.999104000000003</v>
      </c>
      <c r="AN3197" t="s">
        <v>6017</v>
      </c>
      <c r="AO3197">
        <v>-123.62421500000001</v>
      </c>
      <c r="AP3197">
        <v>100</v>
      </c>
      <c r="AQ3197">
        <v>2100</v>
      </c>
      <c r="AR3197" t="s">
        <v>118</v>
      </c>
      <c r="AS3197">
        <v>-77</v>
      </c>
      <c r="AT3197">
        <v>10</v>
      </c>
      <c r="AU3197">
        <v>-64</v>
      </c>
      <c r="BC3197">
        <v>1200</v>
      </c>
      <c r="BD3197">
        <v>1</v>
      </c>
      <c r="BE3197" t="str">
        <f t="shared" si="149"/>
        <v xml:space="preserve">N215T   </v>
      </c>
      <c r="BF3197">
        <v>1</v>
      </c>
      <c r="BH3197">
        <v>0</v>
      </c>
      <c r="BI3197">
        <v>0</v>
      </c>
      <c r="BJ3197">
        <v>0</v>
      </c>
      <c r="BK3197">
        <v>2525</v>
      </c>
      <c r="BL3197">
        <v>425</v>
      </c>
      <c r="BM3197" t="s">
        <v>119</v>
      </c>
      <c r="BN3197">
        <v>1</v>
      </c>
      <c r="BO3197">
        <v>1</v>
      </c>
      <c r="BP3197">
        <v>1</v>
      </c>
      <c r="BQ3197">
        <v>0</v>
      </c>
      <c r="BT3197">
        <v>0</v>
      </c>
      <c r="BU3197">
        <v>0</v>
      </c>
      <c r="BV3197">
        <v>0</v>
      </c>
      <c r="CC3197" t="str">
        <f>"19:28:12.555"</f>
        <v>19:28:12.555</v>
      </c>
      <c r="CD3197" t="str">
        <f>"552502094"</f>
        <v>552502094</v>
      </c>
      <c r="CQ3197">
        <v>0</v>
      </c>
      <c r="CR3197">
        <v>2</v>
      </c>
      <c r="CS3197">
        <v>0</v>
      </c>
      <c r="CT3197">
        <v>2</v>
      </c>
      <c r="CU3197">
        <v>0</v>
      </c>
      <c r="CV3197">
        <v>6</v>
      </c>
      <c r="CW3197" t="s">
        <v>120</v>
      </c>
      <c r="CX3197">
        <v>257</v>
      </c>
      <c r="CY3197">
        <v>0</v>
      </c>
      <c r="CZ3197" t="s">
        <v>615</v>
      </c>
      <c r="DA3197" t="s">
        <v>616</v>
      </c>
      <c r="DD3197">
        <v>16314258</v>
      </c>
      <c r="DE3197" t="s">
        <v>123</v>
      </c>
    </row>
    <row r="3198" spans="1:109" x14ac:dyDescent="0.3">
      <c r="A3198" t="str">
        <f>"19:28:13.625"</f>
        <v>19:28:13.625</v>
      </c>
      <c r="B3198" t="s">
        <v>110</v>
      </c>
      <c r="C3198" t="str">
        <f t="shared" si="147"/>
        <v>ffdfd3c0</v>
      </c>
      <c r="D3198" t="s">
        <v>111</v>
      </c>
      <c r="E3198">
        <v>18</v>
      </c>
      <c r="F3198">
        <v>1018</v>
      </c>
      <c r="G3198" t="s">
        <v>112</v>
      </c>
      <c r="J3198" t="s">
        <v>113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R3198" t="s">
        <v>114</v>
      </c>
      <c r="S3198" t="str">
        <f>"19:28:13.375"</f>
        <v>19:28:13.375</v>
      </c>
      <c r="T3198" t="str">
        <f>"19:28:13.273"</f>
        <v>19:28:13.273</v>
      </c>
      <c r="U3198" t="str">
        <f t="shared" si="148"/>
        <v>a1cdbe</v>
      </c>
      <c r="V3198">
        <v>0</v>
      </c>
      <c r="W3198">
        <v>0</v>
      </c>
      <c r="X3198">
        <v>2</v>
      </c>
      <c r="Y3198">
        <v>0</v>
      </c>
      <c r="Z3198">
        <v>0</v>
      </c>
      <c r="AB3198">
        <v>0</v>
      </c>
      <c r="AC3198">
        <v>9</v>
      </c>
      <c r="AD3198">
        <v>3</v>
      </c>
      <c r="AE3198">
        <v>0</v>
      </c>
      <c r="AF3198">
        <v>9</v>
      </c>
      <c r="AG3198" t="s">
        <v>158</v>
      </c>
      <c r="AH3198">
        <v>0</v>
      </c>
      <c r="AI3198">
        <v>3</v>
      </c>
      <c r="AJ3198">
        <v>1</v>
      </c>
      <c r="AK3198">
        <v>0</v>
      </c>
      <c r="AL3198" t="s">
        <v>6018</v>
      </c>
      <c r="AM3198">
        <v>46.999147000000001</v>
      </c>
      <c r="AN3198" t="s">
        <v>6019</v>
      </c>
      <c r="AO3198">
        <v>-123.624644</v>
      </c>
      <c r="AP3198">
        <v>100</v>
      </c>
      <c r="AQ3198">
        <v>2100</v>
      </c>
      <c r="AR3198" t="s">
        <v>118</v>
      </c>
      <c r="AS3198">
        <v>-77</v>
      </c>
      <c r="AT3198">
        <v>10</v>
      </c>
      <c r="AU3198">
        <v>-64</v>
      </c>
      <c r="BC3198">
        <v>1200</v>
      </c>
      <c r="BD3198">
        <v>1</v>
      </c>
      <c r="BE3198" t="str">
        <f t="shared" si="149"/>
        <v xml:space="preserve">N215T   </v>
      </c>
      <c r="BF3198">
        <v>1</v>
      </c>
      <c r="BH3198">
        <v>0</v>
      </c>
      <c r="BI3198">
        <v>0</v>
      </c>
      <c r="BJ3198">
        <v>0</v>
      </c>
      <c r="BK3198">
        <v>2525</v>
      </c>
      <c r="BL3198">
        <v>425</v>
      </c>
      <c r="BM3198" t="s">
        <v>119</v>
      </c>
      <c r="BN3198">
        <v>1</v>
      </c>
      <c r="BO3198">
        <v>1</v>
      </c>
      <c r="BP3198">
        <v>1</v>
      </c>
      <c r="BQ3198">
        <v>0</v>
      </c>
      <c r="BT3198">
        <v>0</v>
      </c>
      <c r="BU3198">
        <v>0</v>
      </c>
      <c r="BV3198">
        <v>0</v>
      </c>
      <c r="CC3198" t="str">
        <f>"19:28:13.375"</f>
        <v>19:28:13.375</v>
      </c>
      <c r="CD3198" t="str">
        <f>"377420795"</f>
        <v>377420795</v>
      </c>
      <c r="CQ3198">
        <v>0</v>
      </c>
      <c r="CR3198">
        <v>2</v>
      </c>
      <c r="CS3198">
        <v>0</v>
      </c>
      <c r="CT3198">
        <v>2</v>
      </c>
      <c r="CU3198">
        <v>0</v>
      </c>
      <c r="CV3198">
        <v>6</v>
      </c>
      <c r="CW3198" t="s">
        <v>120</v>
      </c>
      <c r="CX3198">
        <v>257</v>
      </c>
      <c r="CY3198">
        <v>0</v>
      </c>
      <c r="CZ3198" t="s">
        <v>615</v>
      </c>
      <c r="DA3198" t="s">
        <v>616</v>
      </c>
      <c r="DD3198">
        <v>16314670</v>
      </c>
      <c r="DE3198" t="s">
        <v>123</v>
      </c>
    </row>
    <row r="3199" spans="1:109" x14ac:dyDescent="0.3">
      <c r="A3199" t="str">
        <f>"19:28:14.734"</f>
        <v>19:28:14.734</v>
      </c>
      <c r="B3199" t="s">
        <v>110</v>
      </c>
      <c r="C3199" t="str">
        <f t="shared" si="147"/>
        <v>ffdfd3c0</v>
      </c>
      <c r="D3199" t="s">
        <v>111</v>
      </c>
      <c r="E3199">
        <v>18</v>
      </c>
      <c r="F3199">
        <v>1018</v>
      </c>
      <c r="G3199" t="s">
        <v>112</v>
      </c>
      <c r="J3199" t="s">
        <v>113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R3199" t="s">
        <v>114</v>
      </c>
      <c r="S3199" t="str">
        <f>"19:28:14.453"</f>
        <v>19:28:14.453</v>
      </c>
      <c r="T3199" t="str">
        <f>"19:28:14.250"</f>
        <v>19:28:14.250</v>
      </c>
      <c r="U3199" t="str">
        <f t="shared" si="148"/>
        <v>a1cdbe</v>
      </c>
      <c r="V3199">
        <v>0</v>
      </c>
      <c r="W3199">
        <v>0</v>
      </c>
      <c r="X3199">
        <v>2</v>
      </c>
      <c r="Y3199">
        <v>0</v>
      </c>
      <c r="Z3199">
        <v>0</v>
      </c>
      <c r="AB3199">
        <v>0</v>
      </c>
      <c r="AC3199">
        <v>9</v>
      </c>
      <c r="AD3199">
        <v>3</v>
      </c>
      <c r="AE3199">
        <v>0</v>
      </c>
      <c r="AF3199">
        <v>9</v>
      </c>
      <c r="AG3199" t="s">
        <v>158</v>
      </c>
      <c r="AH3199">
        <v>0</v>
      </c>
      <c r="AI3199">
        <v>3</v>
      </c>
      <c r="AJ3199">
        <v>1</v>
      </c>
      <c r="AK3199">
        <v>0</v>
      </c>
      <c r="AL3199" t="s">
        <v>6020</v>
      </c>
      <c r="AM3199">
        <v>46.999189999999999</v>
      </c>
      <c r="AN3199" t="s">
        <v>6021</v>
      </c>
      <c r="AO3199">
        <v>-123.62524500000001</v>
      </c>
      <c r="AP3199">
        <v>100</v>
      </c>
      <c r="AQ3199">
        <v>2100</v>
      </c>
      <c r="AR3199" t="s">
        <v>118</v>
      </c>
      <c r="AS3199">
        <v>-77</v>
      </c>
      <c r="AT3199">
        <v>11</v>
      </c>
      <c r="AU3199">
        <v>-128</v>
      </c>
      <c r="BC3199">
        <v>1200</v>
      </c>
      <c r="BD3199">
        <v>1</v>
      </c>
      <c r="BE3199" t="str">
        <f t="shared" si="149"/>
        <v xml:space="preserve">N215T   </v>
      </c>
      <c r="BF3199">
        <v>1</v>
      </c>
      <c r="BH3199">
        <v>0</v>
      </c>
      <c r="BI3199">
        <v>0</v>
      </c>
      <c r="BJ3199">
        <v>0</v>
      </c>
      <c r="BK3199">
        <v>2525</v>
      </c>
      <c r="BL3199">
        <v>425</v>
      </c>
      <c r="BM3199" t="s">
        <v>119</v>
      </c>
      <c r="BN3199">
        <v>1</v>
      </c>
      <c r="BO3199">
        <v>1</v>
      </c>
      <c r="BP3199">
        <v>1</v>
      </c>
      <c r="BQ3199">
        <v>0</v>
      </c>
      <c r="BT3199">
        <v>0</v>
      </c>
      <c r="BU3199">
        <v>0</v>
      </c>
      <c r="BV3199">
        <v>0</v>
      </c>
      <c r="CC3199" t="str">
        <f>"19:28:14.461"</f>
        <v>19:28:14.461</v>
      </c>
      <c r="CD3199" t="str">
        <f>"457314355"</f>
        <v>457314355</v>
      </c>
      <c r="CQ3199">
        <v>0</v>
      </c>
      <c r="CR3199">
        <v>2</v>
      </c>
      <c r="CS3199">
        <v>0</v>
      </c>
      <c r="CT3199">
        <v>2</v>
      </c>
      <c r="CU3199">
        <v>0</v>
      </c>
      <c r="CV3199">
        <v>6</v>
      </c>
      <c r="CW3199" t="s">
        <v>120</v>
      </c>
      <c r="CX3199">
        <v>257</v>
      </c>
      <c r="CY3199">
        <v>0</v>
      </c>
      <c r="CZ3199" t="s">
        <v>615</v>
      </c>
      <c r="DA3199" t="s">
        <v>616</v>
      </c>
      <c r="DD3199">
        <v>16315237</v>
      </c>
      <c r="DE3199" t="s">
        <v>123</v>
      </c>
    </row>
    <row r="3200" spans="1:109" x14ac:dyDescent="0.3">
      <c r="A3200" t="str">
        <f>"19:28:15.836"</f>
        <v>19:28:15.836</v>
      </c>
      <c r="B3200" t="s">
        <v>110</v>
      </c>
      <c r="C3200" t="str">
        <f t="shared" si="147"/>
        <v>ffdfd3c0</v>
      </c>
      <c r="D3200" t="s">
        <v>111</v>
      </c>
      <c r="E3200">
        <v>18</v>
      </c>
      <c r="F3200">
        <v>1018</v>
      </c>
      <c r="G3200" t="s">
        <v>112</v>
      </c>
      <c r="J3200" t="s">
        <v>113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R3200" t="s">
        <v>114</v>
      </c>
      <c r="S3200" t="str">
        <f>"19:28:15.594"</f>
        <v>19:28:15.594</v>
      </c>
      <c r="T3200" t="str">
        <f>"19:28:15.391"</f>
        <v>19:28:15.391</v>
      </c>
      <c r="U3200" t="str">
        <f t="shared" si="148"/>
        <v>a1cdbe</v>
      </c>
      <c r="V3200">
        <v>0</v>
      </c>
      <c r="W3200">
        <v>0</v>
      </c>
      <c r="X3200">
        <v>2</v>
      </c>
      <c r="Y3200">
        <v>0</v>
      </c>
      <c r="Z3200">
        <v>0</v>
      </c>
      <c r="AB3200">
        <v>0</v>
      </c>
      <c r="AC3200">
        <v>9</v>
      </c>
      <c r="AD3200">
        <v>3</v>
      </c>
      <c r="AE3200">
        <v>0</v>
      </c>
      <c r="AF3200">
        <v>9</v>
      </c>
      <c r="AG3200" t="s">
        <v>158</v>
      </c>
      <c r="AH3200">
        <v>0</v>
      </c>
      <c r="AI3200">
        <v>3</v>
      </c>
      <c r="AJ3200">
        <v>1</v>
      </c>
      <c r="AK3200">
        <v>0</v>
      </c>
      <c r="AL3200" t="s">
        <v>6022</v>
      </c>
      <c r="AM3200">
        <v>46.999232999999997</v>
      </c>
      <c r="AN3200" t="s">
        <v>6023</v>
      </c>
      <c r="AO3200">
        <v>-123.625782</v>
      </c>
      <c r="AP3200">
        <v>100</v>
      </c>
      <c r="AQ3200">
        <v>2100</v>
      </c>
      <c r="AR3200" t="s">
        <v>118</v>
      </c>
      <c r="AS3200">
        <v>-77</v>
      </c>
      <c r="AT3200">
        <v>11</v>
      </c>
      <c r="AU3200">
        <v>-128</v>
      </c>
      <c r="BC3200">
        <v>1200</v>
      </c>
      <c r="BD3200">
        <v>1</v>
      </c>
      <c r="BE3200" t="str">
        <f t="shared" si="149"/>
        <v xml:space="preserve">N215T   </v>
      </c>
      <c r="BF3200">
        <v>1</v>
      </c>
      <c r="BH3200">
        <v>0</v>
      </c>
      <c r="BI3200">
        <v>0</v>
      </c>
      <c r="BJ3200">
        <v>0</v>
      </c>
      <c r="BK3200">
        <v>2525</v>
      </c>
      <c r="BL3200">
        <v>425</v>
      </c>
      <c r="BM3200" t="s">
        <v>119</v>
      </c>
      <c r="BN3200">
        <v>1</v>
      </c>
      <c r="BO3200">
        <v>1</v>
      </c>
      <c r="BP3200">
        <v>1</v>
      </c>
      <c r="BQ3200">
        <v>0</v>
      </c>
      <c r="BT3200">
        <v>0</v>
      </c>
      <c r="BU3200">
        <v>0</v>
      </c>
      <c r="BV3200">
        <v>0</v>
      </c>
      <c r="CC3200" t="str">
        <f>"19:28:15.594"</f>
        <v>19:28:15.594</v>
      </c>
      <c r="CD3200" t="str">
        <f>"597202022"</f>
        <v>597202022</v>
      </c>
      <c r="CQ3200">
        <v>0</v>
      </c>
      <c r="CR3200">
        <v>2</v>
      </c>
      <c r="CS3200">
        <v>0</v>
      </c>
      <c r="CT3200">
        <v>2</v>
      </c>
      <c r="CU3200">
        <v>0</v>
      </c>
      <c r="CV3200">
        <v>6</v>
      </c>
      <c r="CW3200" t="s">
        <v>120</v>
      </c>
      <c r="CX3200">
        <v>257</v>
      </c>
      <c r="CY3200">
        <v>0</v>
      </c>
      <c r="CZ3200" t="s">
        <v>615</v>
      </c>
      <c r="DA3200" t="s">
        <v>616</v>
      </c>
      <c r="DD3200">
        <v>16315800</v>
      </c>
      <c r="DE3200" t="s">
        <v>123</v>
      </c>
    </row>
    <row r="3201" spans="1:109" x14ac:dyDescent="0.3">
      <c r="A3201" t="str">
        <f>"19:28:16.844"</f>
        <v>19:28:16.844</v>
      </c>
      <c r="B3201" t="s">
        <v>110</v>
      </c>
      <c r="C3201" t="str">
        <f t="shared" si="147"/>
        <v>ffdfd3c0</v>
      </c>
      <c r="D3201" t="s">
        <v>111</v>
      </c>
      <c r="E3201">
        <v>18</v>
      </c>
      <c r="F3201">
        <v>1018</v>
      </c>
      <c r="G3201" t="s">
        <v>112</v>
      </c>
      <c r="J3201" t="s">
        <v>113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R3201" t="s">
        <v>114</v>
      </c>
      <c r="S3201" t="str">
        <f>"19:28:16.609"</f>
        <v>19:28:16.609</v>
      </c>
      <c r="T3201" t="str">
        <f>"19:28:16.313"</f>
        <v>19:28:16.313</v>
      </c>
      <c r="U3201" t="str">
        <f t="shared" si="148"/>
        <v>a1cdbe</v>
      </c>
      <c r="V3201">
        <v>0</v>
      </c>
      <c r="W3201">
        <v>0</v>
      </c>
      <c r="X3201">
        <v>2</v>
      </c>
      <c r="Y3201">
        <v>0</v>
      </c>
      <c r="Z3201">
        <v>0</v>
      </c>
      <c r="AB3201">
        <v>0</v>
      </c>
      <c r="AC3201">
        <v>9</v>
      </c>
      <c r="AD3201">
        <v>3</v>
      </c>
      <c r="AE3201">
        <v>0</v>
      </c>
      <c r="AF3201">
        <v>9</v>
      </c>
      <c r="AG3201" t="s">
        <v>158</v>
      </c>
      <c r="AH3201">
        <v>0</v>
      </c>
      <c r="AI3201">
        <v>3</v>
      </c>
      <c r="AJ3201">
        <v>1</v>
      </c>
      <c r="AK3201">
        <v>0</v>
      </c>
      <c r="AL3201" t="s">
        <v>825</v>
      </c>
      <c r="AM3201">
        <v>46.999276000000002</v>
      </c>
      <c r="AN3201" t="s">
        <v>6024</v>
      </c>
      <c r="AO3201">
        <v>-123.626339</v>
      </c>
      <c r="AP3201">
        <v>100</v>
      </c>
      <c r="AQ3201">
        <v>2100</v>
      </c>
      <c r="AR3201" t="s">
        <v>118</v>
      </c>
      <c r="AS3201">
        <v>-77</v>
      </c>
      <c r="AT3201">
        <v>11</v>
      </c>
      <c r="AU3201">
        <v>-128</v>
      </c>
      <c r="BC3201">
        <v>1200</v>
      </c>
      <c r="BD3201">
        <v>1</v>
      </c>
      <c r="BE3201" t="str">
        <f t="shared" si="149"/>
        <v xml:space="preserve">N215T   </v>
      </c>
      <c r="BF3201">
        <v>1</v>
      </c>
      <c r="BH3201">
        <v>0</v>
      </c>
      <c r="BI3201">
        <v>0</v>
      </c>
      <c r="BJ3201">
        <v>0</v>
      </c>
      <c r="BK3201">
        <v>2525</v>
      </c>
      <c r="BL3201">
        <v>425</v>
      </c>
      <c r="BM3201" t="s">
        <v>119</v>
      </c>
      <c r="BN3201">
        <v>1</v>
      </c>
      <c r="BO3201">
        <v>1</v>
      </c>
      <c r="BP3201">
        <v>1</v>
      </c>
      <c r="BQ3201">
        <v>0</v>
      </c>
      <c r="BT3201">
        <v>0</v>
      </c>
      <c r="BU3201">
        <v>0</v>
      </c>
      <c r="BV3201">
        <v>0</v>
      </c>
      <c r="CC3201" t="str">
        <f>"19:28:16.617"</f>
        <v>19:28:16.617</v>
      </c>
      <c r="CD3201" t="str">
        <f>"617101505"</f>
        <v>617101505</v>
      </c>
      <c r="CQ3201">
        <v>0</v>
      </c>
      <c r="CR3201">
        <v>2</v>
      </c>
      <c r="CS3201">
        <v>0</v>
      </c>
      <c r="CT3201">
        <v>2</v>
      </c>
      <c r="CU3201">
        <v>0</v>
      </c>
      <c r="CV3201">
        <v>6</v>
      </c>
      <c r="CW3201" t="s">
        <v>120</v>
      </c>
      <c r="CX3201">
        <v>257</v>
      </c>
      <c r="CY3201">
        <v>0</v>
      </c>
      <c r="CZ3201" t="s">
        <v>615</v>
      </c>
      <c r="DA3201" t="s">
        <v>616</v>
      </c>
      <c r="DD3201">
        <v>16316263</v>
      </c>
      <c r="DE3201" t="s">
        <v>123</v>
      </c>
    </row>
    <row r="3202" spans="1:109" x14ac:dyDescent="0.3">
      <c r="A3202" t="str">
        <f>"19:28:17.898"</f>
        <v>19:28:17.898</v>
      </c>
      <c r="B3202" t="s">
        <v>110</v>
      </c>
      <c r="C3202" t="str">
        <f t="shared" ref="C3202:C3265" si="150">"ffdfd3c0"</f>
        <v>ffdfd3c0</v>
      </c>
      <c r="D3202" t="s">
        <v>111</v>
      </c>
      <c r="E3202">
        <v>18</v>
      </c>
      <c r="F3202">
        <v>1018</v>
      </c>
      <c r="G3202" t="s">
        <v>112</v>
      </c>
      <c r="J3202" t="s">
        <v>113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R3202" t="s">
        <v>114</v>
      </c>
      <c r="S3202" t="str">
        <f>"19:28:17.617"</f>
        <v>19:28:17.617</v>
      </c>
      <c r="T3202" t="str">
        <f>"19:28:17.516"</f>
        <v>19:28:17.516</v>
      </c>
      <c r="U3202" t="str">
        <f t="shared" ref="U3202:U3265" si="151">"a1cdbe"</f>
        <v>a1cdbe</v>
      </c>
      <c r="V3202">
        <v>0</v>
      </c>
      <c r="W3202">
        <v>0</v>
      </c>
      <c r="X3202">
        <v>2</v>
      </c>
      <c r="Y3202">
        <v>0</v>
      </c>
      <c r="Z3202">
        <v>0</v>
      </c>
      <c r="AB3202">
        <v>0</v>
      </c>
      <c r="AC3202">
        <v>9</v>
      </c>
      <c r="AD3202">
        <v>3</v>
      </c>
      <c r="AE3202">
        <v>0</v>
      </c>
      <c r="AF3202">
        <v>9</v>
      </c>
      <c r="AG3202" t="s">
        <v>158</v>
      </c>
      <c r="AH3202">
        <v>0</v>
      </c>
      <c r="AI3202">
        <v>3</v>
      </c>
      <c r="AJ3202">
        <v>1</v>
      </c>
      <c r="AK3202">
        <v>0</v>
      </c>
      <c r="AL3202" t="s">
        <v>6025</v>
      </c>
      <c r="AM3202">
        <v>46.999319</v>
      </c>
      <c r="AN3202" t="s">
        <v>6026</v>
      </c>
      <c r="AO3202">
        <v>-123.626876</v>
      </c>
      <c r="AP3202">
        <v>100</v>
      </c>
      <c r="AQ3202">
        <v>2100</v>
      </c>
      <c r="AR3202" t="s">
        <v>118</v>
      </c>
      <c r="AS3202">
        <v>-78</v>
      </c>
      <c r="AT3202">
        <v>12</v>
      </c>
      <c r="AU3202">
        <v>-192</v>
      </c>
      <c r="BC3202">
        <v>1200</v>
      </c>
      <c r="BD3202">
        <v>1</v>
      </c>
      <c r="BE3202" t="str">
        <f t="shared" ref="BE3202:BE3265" si="152">"N215T   "</f>
        <v xml:space="preserve">N215T   </v>
      </c>
      <c r="BF3202">
        <v>1</v>
      </c>
      <c r="BH3202">
        <v>0</v>
      </c>
      <c r="BI3202">
        <v>0</v>
      </c>
      <c r="BJ3202">
        <v>0</v>
      </c>
      <c r="BK3202">
        <v>2500</v>
      </c>
      <c r="BL3202">
        <v>400</v>
      </c>
      <c r="BM3202" t="s">
        <v>119</v>
      </c>
      <c r="BN3202">
        <v>1</v>
      </c>
      <c r="BO3202">
        <v>1</v>
      </c>
      <c r="BP3202">
        <v>1</v>
      </c>
      <c r="BQ3202">
        <v>0</v>
      </c>
      <c r="BT3202">
        <v>0</v>
      </c>
      <c r="BU3202">
        <v>0</v>
      </c>
      <c r="BV3202">
        <v>0</v>
      </c>
      <c r="CC3202" t="str">
        <f>"19:28:17.625"</f>
        <v>19:28:17.625</v>
      </c>
      <c r="CD3202" t="str">
        <f>"622002470"</f>
        <v>622002470</v>
      </c>
      <c r="CQ3202">
        <v>0</v>
      </c>
      <c r="CR3202">
        <v>2</v>
      </c>
      <c r="CS3202">
        <v>0</v>
      </c>
      <c r="CT3202">
        <v>2</v>
      </c>
      <c r="CU3202">
        <v>0</v>
      </c>
      <c r="CV3202">
        <v>6</v>
      </c>
      <c r="CW3202" t="s">
        <v>120</v>
      </c>
      <c r="CX3202">
        <v>257</v>
      </c>
      <c r="CY3202">
        <v>0</v>
      </c>
      <c r="CZ3202" t="s">
        <v>615</v>
      </c>
      <c r="DA3202" t="s">
        <v>616</v>
      </c>
      <c r="DD3202">
        <v>16316764</v>
      </c>
      <c r="DE3202" t="s">
        <v>123</v>
      </c>
    </row>
    <row r="3203" spans="1:109" x14ac:dyDescent="0.3">
      <c r="A3203" t="str">
        <f>"19:28:18.758"</f>
        <v>19:28:18.758</v>
      </c>
      <c r="B3203" t="s">
        <v>110</v>
      </c>
      <c r="C3203" t="str">
        <f t="shared" si="150"/>
        <v>ffdfd3c0</v>
      </c>
      <c r="D3203" t="s">
        <v>111</v>
      </c>
      <c r="E3203">
        <v>18</v>
      </c>
      <c r="F3203">
        <v>1018</v>
      </c>
      <c r="G3203" t="s">
        <v>112</v>
      </c>
      <c r="J3203" t="s">
        <v>113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R3203" t="s">
        <v>114</v>
      </c>
      <c r="S3203" t="str">
        <f>"19:28:18.516"</f>
        <v>19:28:18.516</v>
      </c>
      <c r="T3203" t="str">
        <f>"19:28:18.516"</f>
        <v>19:28:18.516</v>
      </c>
      <c r="U3203" t="str">
        <f t="shared" si="151"/>
        <v>a1cdbe</v>
      </c>
      <c r="V3203">
        <v>0</v>
      </c>
      <c r="W3203">
        <v>0</v>
      </c>
      <c r="X3203">
        <v>2</v>
      </c>
      <c r="Y3203">
        <v>0</v>
      </c>
      <c r="Z3203">
        <v>0</v>
      </c>
      <c r="AB3203">
        <v>0</v>
      </c>
      <c r="AC3203">
        <v>9</v>
      </c>
      <c r="AD3203">
        <v>3</v>
      </c>
      <c r="AE3203">
        <v>0</v>
      </c>
      <c r="AF3203">
        <v>9</v>
      </c>
      <c r="AG3203" t="s">
        <v>158</v>
      </c>
      <c r="AH3203">
        <v>0</v>
      </c>
      <c r="AI3203">
        <v>3</v>
      </c>
      <c r="AJ3203">
        <v>1</v>
      </c>
      <c r="AK3203">
        <v>0</v>
      </c>
      <c r="AL3203" t="s">
        <v>6027</v>
      </c>
      <c r="AM3203">
        <v>46.999383000000002</v>
      </c>
      <c r="AN3203" t="s">
        <v>6028</v>
      </c>
      <c r="AO3203">
        <v>-123.627369</v>
      </c>
      <c r="AP3203">
        <v>100</v>
      </c>
      <c r="AQ3203">
        <v>2100</v>
      </c>
      <c r="AR3203" t="s">
        <v>118</v>
      </c>
      <c r="AS3203">
        <v>-78</v>
      </c>
      <c r="AT3203">
        <v>12</v>
      </c>
      <c r="AU3203">
        <v>-192</v>
      </c>
      <c r="BC3203">
        <v>1200</v>
      </c>
      <c r="BD3203">
        <v>1</v>
      </c>
      <c r="BE3203" t="str">
        <f t="shared" si="152"/>
        <v xml:space="preserve">N215T   </v>
      </c>
      <c r="BF3203">
        <v>1</v>
      </c>
      <c r="BH3203">
        <v>0</v>
      </c>
      <c r="BI3203">
        <v>0</v>
      </c>
      <c r="BJ3203">
        <v>0</v>
      </c>
      <c r="BK3203">
        <v>2500</v>
      </c>
      <c r="BL3203">
        <v>400</v>
      </c>
      <c r="BM3203" t="s">
        <v>119</v>
      </c>
      <c r="BN3203">
        <v>1</v>
      </c>
      <c r="BO3203">
        <v>1</v>
      </c>
      <c r="BP3203">
        <v>1</v>
      </c>
      <c r="BQ3203">
        <v>0</v>
      </c>
      <c r="BT3203">
        <v>0</v>
      </c>
      <c r="BU3203">
        <v>0</v>
      </c>
      <c r="BV3203">
        <v>0</v>
      </c>
      <c r="CC3203" t="str">
        <f>"19:28:18.523"</f>
        <v>19:28:18.523</v>
      </c>
      <c r="CD3203" t="str">
        <f>"521913776"</f>
        <v>521913776</v>
      </c>
      <c r="CQ3203">
        <v>0</v>
      </c>
      <c r="CR3203">
        <v>2</v>
      </c>
      <c r="CS3203">
        <v>0</v>
      </c>
      <c r="CT3203">
        <v>2</v>
      </c>
      <c r="CU3203">
        <v>0</v>
      </c>
      <c r="CV3203">
        <v>6</v>
      </c>
      <c r="CW3203" t="s">
        <v>120</v>
      </c>
      <c r="CX3203">
        <v>257</v>
      </c>
      <c r="CY3203">
        <v>0</v>
      </c>
      <c r="CZ3203" t="s">
        <v>615</v>
      </c>
      <c r="DA3203" t="s">
        <v>616</v>
      </c>
      <c r="DD3203">
        <v>16317240</v>
      </c>
      <c r="DE3203" t="s">
        <v>123</v>
      </c>
    </row>
    <row r="3204" spans="1:109" x14ac:dyDescent="0.3">
      <c r="A3204" t="str">
        <f>"19:28:19.711"</f>
        <v>19:28:19.711</v>
      </c>
      <c r="B3204" t="s">
        <v>110</v>
      </c>
      <c r="C3204" t="str">
        <f t="shared" si="150"/>
        <v>ffdfd3c0</v>
      </c>
      <c r="D3204" t="s">
        <v>111</v>
      </c>
      <c r="E3204">
        <v>18</v>
      </c>
      <c r="F3204">
        <v>1018</v>
      </c>
      <c r="G3204" t="s">
        <v>112</v>
      </c>
      <c r="J3204" t="s">
        <v>113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R3204" t="s">
        <v>114</v>
      </c>
      <c r="S3204" t="str">
        <f>"19:28:19.461"</f>
        <v>19:28:19.461</v>
      </c>
      <c r="T3204" t="str">
        <f>"19:28:19.063"</f>
        <v>19:28:19.063</v>
      </c>
      <c r="U3204" t="str">
        <f t="shared" si="151"/>
        <v>a1cdbe</v>
      </c>
      <c r="V3204">
        <v>0</v>
      </c>
      <c r="W3204">
        <v>0</v>
      </c>
      <c r="X3204">
        <v>2</v>
      </c>
      <c r="Y3204">
        <v>0</v>
      </c>
      <c r="Z3204">
        <v>0</v>
      </c>
      <c r="AB3204">
        <v>0</v>
      </c>
      <c r="AC3204">
        <v>9</v>
      </c>
      <c r="AD3204">
        <v>3</v>
      </c>
      <c r="AE3204">
        <v>0</v>
      </c>
      <c r="AF3204">
        <v>9</v>
      </c>
      <c r="AG3204" t="s">
        <v>158</v>
      </c>
      <c r="AH3204">
        <v>0</v>
      </c>
      <c r="AI3204">
        <v>3</v>
      </c>
      <c r="AJ3204">
        <v>1</v>
      </c>
      <c r="AK3204">
        <v>0</v>
      </c>
      <c r="AL3204" t="s">
        <v>6029</v>
      </c>
      <c r="AM3204">
        <v>46.999468999999998</v>
      </c>
      <c r="AN3204" t="s">
        <v>6030</v>
      </c>
      <c r="AO3204">
        <v>-123.62788399999999</v>
      </c>
      <c r="AP3204">
        <v>100</v>
      </c>
      <c r="AQ3204">
        <v>2100</v>
      </c>
      <c r="AR3204" t="s">
        <v>118</v>
      </c>
      <c r="AS3204">
        <v>-78</v>
      </c>
      <c r="AT3204">
        <v>12</v>
      </c>
      <c r="AU3204">
        <v>-192</v>
      </c>
      <c r="BC3204">
        <v>1200</v>
      </c>
      <c r="BD3204">
        <v>1</v>
      </c>
      <c r="BE3204" t="str">
        <f t="shared" si="152"/>
        <v xml:space="preserve">N215T   </v>
      </c>
      <c r="BF3204">
        <v>1</v>
      </c>
      <c r="BH3204">
        <v>0</v>
      </c>
      <c r="BI3204">
        <v>0</v>
      </c>
      <c r="BJ3204">
        <v>0</v>
      </c>
      <c r="BK3204">
        <v>2500</v>
      </c>
      <c r="BL3204">
        <v>400</v>
      </c>
      <c r="BM3204" t="s">
        <v>119</v>
      </c>
      <c r="BN3204">
        <v>1</v>
      </c>
      <c r="BO3204">
        <v>1</v>
      </c>
      <c r="BP3204">
        <v>1</v>
      </c>
      <c r="BQ3204">
        <v>0</v>
      </c>
      <c r="BT3204">
        <v>0</v>
      </c>
      <c r="BU3204">
        <v>0</v>
      </c>
      <c r="BV3204">
        <v>0</v>
      </c>
      <c r="CC3204" t="str">
        <f>"19:28:19.469"</f>
        <v>19:28:19.469</v>
      </c>
      <c r="CD3204" t="str">
        <f>"466820664"</f>
        <v>466820664</v>
      </c>
      <c r="CQ3204">
        <v>0</v>
      </c>
      <c r="CR3204">
        <v>2</v>
      </c>
      <c r="CS3204">
        <v>0</v>
      </c>
      <c r="CT3204">
        <v>2</v>
      </c>
      <c r="CU3204">
        <v>0</v>
      </c>
      <c r="CV3204">
        <v>6</v>
      </c>
      <c r="CW3204" t="s">
        <v>120</v>
      </c>
      <c r="CX3204">
        <v>257</v>
      </c>
      <c r="CY3204">
        <v>0</v>
      </c>
      <c r="CZ3204" t="s">
        <v>615</v>
      </c>
      <c r="DA3204" t="s">
        <v>616</v>
      </c>
      <c r="DD3204">
        <v>16317726</v>
      </c>
      <c r="DE3204" t="s">
        <v>123</v>
      </c>
    </row>
    <row r="3205" spans="1:109" x14ac:dyDescent="0.3">
      <c r="A3205" t="str">
        <f>"19:28:20.711"</f>
        <v>19:28:20.711</v>
      </c>
      <c r="B3205" t="s">
        <v>110</v>
      </c>
      <c r="C3205" t="str">
        <f t="shared" si="150"/>
        <v>ffdfd3c0</v>
      </c>
      <c r="D3205" t="s">
        <v>111</v>
      </c>
      <c r="E3205">
        <v>18</v>
      </c>
      <c r="F3205">
        <v>1018</v>
      </c>
      <c r="G3205" t="s">
        <v>112</v>
      </c>
      <c r="J3205" t="s">
        <v>113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R3205" t="s">
        <v>114</v>
      </c>
      <c r="S3205" t="str">
        <f>"19:28:20.500"</f>
        <v>19:28:20.500</v>
      </c>
      <c r="T3205" t="str">
        <f>"19:28:20.102"</f>
        <v>19:28:20.102</v>
      </c>
      <c r="U3205" t="str">
        <f t="shared" si="151"/>
        <v>a1cdbe</v>
      </c>
      <c r="V3205">
        <v>0</v>
      </c>
      <c r="W3205">
        <v>0</v>
      </c>
      <c r="X3205">
        <v>2</v>
      </c>
      <c r="Y3205">
        <v>0</v>
      </c>
      <c r="Z3205">
        <v>0</v>
      </c>
      <c r="AB3205">
        <v>0</v>
      </c>
      <c r="AC3205">
        <v>9</v>
      </c>
      <c r="AD3205">
        <v>3</v>
      </c>
      <c r="AE3205">
        <v>0</v>
      </c>
      <c r="AF3205">
        <v>9</v>
      </c>
      <c r="AG3205" t="s">
        <v>158</v>
      </c>
      <c r="AH3205">
        <v>0</v>
      </c>
      <c r="AI3205">
        <v>3</v>
      </c>
      <c r="AJ3205">
        <v>1</v>
      </c>
      <c r="AK3205">
        <v>0</v>
      </c>
      <c r="AL3205" t="s">
        <v>6031</v>
      </c>
      <c r="AM3205">
        <v>46.999512000000003</v>
      </c>
      <c r="AN3205" t="s">
        <v>6032</v>
      </c>
      <c r="AO3205">
        <v>-123.628399</v>
      </c>
      <c r="AP3205">
        <v>100</v>
      </c>
      <c r="AQ3205">
        <v>2100</v>
      </c>
      <c r="AR3205" t="s">
        <v>118</v>
      </c>
      <c r="AS3205">
        <v>-79</v>
      </c>
      <c r="AT3205">
        <v>12</v>
      </c>
      <c r="AU3205">
        <v>-256</v>
      </c>
      <c r="BC3205">
        <v>1200</v>
      </c>
      <c r="BD3205">
        <v>1</v>
      </c>
      <c r="BE3205" t="str">
        <f t="shared" si="152"/>
        <v xml:space="preserve">N215T   </v>
      </c>
      <c r="BF3205">
        <v>1</v>
      </c>
      <c r="BH3205">
        <v>0</v>
      </c>
      <c r="BI3205">
        <v>0</v>
      </c>
      <c r="BJ3205">
        <v>0</v>
      </c>
      <c r="BK3205">
        <v>2500</v>
      </c>
      <c r="BL3205">
        <v>400</v>
      </c>
      <c r="BM3205" t="s">
        <v>119</v>
      </c>
      <c r="BN3205">
        <v>1</v>
      </c>
      <c r="BO3205">
        <v>1</v>
      </c>
      <c r="BP3205">
        <v>1</v>
      </c>
      <c r="BQ3205">
        <v>0</v>
      </c>
      <c r="BT3205">
        <v>0</v>
      </c>
      <c r="BU3205">
        <v>0</v>
      </c>
      <c r="BV3205">
        <v>0</v>
      </c>
      <c r="CC3205" t="str">
        <f>"19:28:20.500"</f>
        <v>19:28:20.500</v>
      </c>
      <c r="CD3205" t="str">
        <f>"501718660"</f>
        <v>501718660</v>
      </c>
      <c r="CQ3205">
        <v>0</v>
      </c>
      <c r="CR3205">
        <v>2</v>
      </c>
      <c r="CS3205">
        <v>0</v>
      </c>
      <c r="CT3205">
        <v>2</v>
      </c>
      <c r="CU3205">
        <v>0</v>
      </c>
      <c r="CV3205">
        <v>6</v>
      </c>
      <c r="CW3205" t="s">
        <v>120</v>
      </c>
      <c r="CX3205">
        <v>257</v>
      </c>
      <c r="CY3205">
        <v>0</v>
      </c>
      <c r="CZ3205" t="s">
        <v>615</v>
      </c>
      <c r="DA3205" t="s">
        <v>616</v>
      </c>
      <c r="DD3205">
        <v>16318206</v>
      </c>
      <c r="DE3205" t="s">
        <v>123</v>
      </c>
    </row>
    <row r="3206" spans="1:109" x14ac:dyDescent="0.3">
      <c r="A3206" t="str">
        <f>"19:28:21.727"</f>
        <v>19:28:21.727</v>
      </c>
      <c r="B3206" t="s">
        <v>110</v>
      </c>
      <c r="C3206" t="str">
        <f t="shared" si="150"/>
        <v>ffdfd3c0</v>
      </c>
      <c r="D3206" t="s">
        <v>111</v>
      </c>
      <c r="E3206">
        <v>18</v>
      </c>
      <c r="F3206">
        <v>1018</v>
      </c>
      <c r="G3206" t="s">
        <v>112</v>
      </c>
      <c r="J3206" t="s">
        <v>113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R3206" t="s">
        <v>114</v>
      </c>
      <c r="S3206" t="str">
        <f>"19:28:21.445"</f>
        <v>19:28:21.445</v>
      </c>
      <c r="T3206" t="str">
        <f>"19:28:21.148"</f>
        <v>19:28:21.148</v>
      </c>
      <c r="U3206" t="str">
        <f t="shared" si="151"/>
        <v>a1cdbe</v>
      </c>
      <c r="V3206">
        <v>0</v>
      </c>
      <c r="W3206">
        <v>0</v>
      </c>
      <c r="X3206">
        <v>2</v>
      </c>
      <c r="Y3206">
        <v>0</v>
      </c>
      <c r="Z3206">
        <v>0</v>
      </c>
      <c r="AB3206">
        <v>0</v>
      </c>
      <c r="AC3206">
        <v>9</v>
      </c>
      <c r="AD3206">
        <v>3</v>
      </c>
      <c r="AE3206">
        <v>0</v>
      </c>
      <c r="AF3206">
        <v>9</v>
      </c>
      <c r="AG3206" t="s">
        <v>158</v>
      </c>
      <c r="AH3206">
        <v>0</v>
      </c>
      <c r="AI3206">
        <v>3</v>
      </c>
      <c r="AJ3206">
        <v>1</v>
      </c>
      <c r="AK3206">
        <v>0</v>
      </c>
      <c r="AL3206" t="s">
        <v>6033</v>
      </c>
      <c r="AM3206">
        <v>46.999555000000001</v>
      </c>
      <c r="AN3206" t="s">
        <v>6034</v>
      </c>
      <c r="AO3206">
        <v>-123.628936</v>
      </c>
      <c r="AP3206">
        <v>100</v>
      </c>
      <c r="AQ3206">
        <v>2100</v>
      </c>
      <c r="AR3206" t="s">
        <v>118</v>
      </c>
      <c r="AS3206">
        <v>-79</v>
      </c>
      <c r="AT3206">
        <v>12</v>
      </c>
      <c r="AU3206">
        <v>-256</v>
      </c>
      <c r="BC3206">
        <v>1200</v>
      </c>
      <c r="BD3206">
        <v>1</v>
      </c>
      <c r="BE3206" t="str">
        <f t="shared" si="152"/>
        <v xml:space="preserve">N215T   </v>
      </c>
      <c r="BF3206">
        <v>1</v>
      </c>
      <c r="BH3206">
        <v>0</v>
      </c>
      <c r="BI3206">
        <v>0</v>
      </c>
      <c r="BJ3206">
        <v>0</v>
      </c>
      <c r="BK3206">
        <v>2500</v>
      </c>
      <c r="BL3206">
        <v>400</v>
      </c>
      <c r="BM3206" t="s">
        <v>119</v>
      </c>
      <c r="BN3206">
        <v>1</v>
      </c>
      <c r="BO3206">
        <v>1</v>
      </c>
      <c r="BP3206">
        <v>1</v>
      </c>
      <c r="BQ3206">
        <v>0</v>
      </c>
      <c r="BT3206">
        <v>0</v>
      </c>
      <c r="BU3206">
        <v>0</v>
      </c>
      <c r="BV3206">
        <v>0</v>
      </c>
      <c r="CC3206" t="str">
        <f>"19:28:21.445"</f>
        <v>19:28:21.445</v>
      </c>
      <c r="CD3206" t="str">
        <f>"446625534"</f>
        <v>446625534</v>
      </c>
      <c r="CQ3206">
        <v>0</v>
      </c>
      <c r="CR3206">
        <v>2</v>
      </c>
      <c r="CS3206">
        <v>0</v>
      </c>
      <c r="CT3206">
        <v>2</v>
      </c>
      <c r="CU3206">
        <v>0</v>
      </c>
      <c r="CV3206">
        <v>6</v>
      </c>
      <c r="CW3206" t="s">
        <v>120</v>
      </c>
      <c r="CX3206">
        <v>257</v>
      </c>
      <c r="CY3206">
        <v>0</v>
      </c>
      <c r="CZ3206" t="s">
        <v>615</v>
      </c>
      <c r="DA3206" t="s">
        <v>616</v>
      </c>
      <c r="DD3206">
        <v>16318674</v>
      </c>
      <c r="DE3206" t="s">
        <v>123</v>
      </c>
    </row>
    <row r="3207" spans="1:109" x14ac:dyDescent="0.3">
      <c r="A3207" t="str">
        <f>"19:28:22.672"</f>
        <v>19:28:22.672</v>
      </c>
      <c r="B3207" t="s">
        <v>110</v>
      </c>
      <c r="C3207" t="str">
        <f t="shared" si="150"/>
        <v>ffdfd3c0</v>
      </c>
      <c r="D3207" t="s">
        <v>111</v>
      </c>
      <c r="E3207">
        <v>18</v>
      </c>
      <c r="F3207">
        <v>1018</v>
      </c>
      <c r="G3207" t="s">
        <v>112</v>
      </c>
      <c r="J3207" t="s">
        <v>113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R3207" t="s">
        <v>114</v>
      </c>
      <c r="S3207" t="str">
        <f>"19:28:22.445"</f>
        <v>19:28:22.445</v>
      </c>
      <c r="T3207" t="str">
        <f>"19:28:22.445"</f>
        <v>19:28:22.445</v>
      </c>
      <c r="U3207" t="str">
        <f t="shared" si="151"/>
        <v>a1cdbe</v>
      </c>
      <c r="V3207">
        <v>0</v>
      </c>
      <c r="W3207">
        <v>0</v>
      </c>
      <c r="X3207">
        <v>2</v>
      </c>
      <c r="Y3207">
        <v>0</v>
      </c>
      <c r="Z3207">
        <v>0</v>
      </c>
      <c r="AB3207">
        <v>0</v>
      </c>
      <c r="AC3207">
        <v>9</v>
      </c>
      <c r="AD3207">
        <v>3</v>
      </c>
      <c r="AE3207">
        <v>0</v>
      </c>
      <c r="AF3207">
        <v>9</v>
      </c>
      <c r="AG3207" t="s">
        <v>158</v>
      </c>
      <c r="AH3207">
        <v>0</v>
      </c>
      <c r="AI3207">
        <v>3</v>
      </c>
      <c r="AJ3207">
        <v>1</v>
      </c>
      <c r="AK3207">
        <v>0</v>
      </c>
      <c r="AL3207" t="s">
        <v>6035</v>
      </c>
      <c r="AM3207">
        <v>46.999597999999999</v>
      </c>
      <c r="AN3207" t="s">
        <v>6036</v>
      </c>
      <c r="AO3207">
        <v>-123.629429</v>
      </c>
      <c r="AP3207">
        <v>100</v>
      </c>
      <c r="AQ3207">
        <v>2100</v>
      </c>
      <c r="AR3207" t="s">
        <v>118</v>
      </c>
      <c r="AS3207">
        <v>-80</v>
      </c>
      <c r="AT3207">
        <v>12</v>
      </c>
      <c r="AU3207">
        <v>-192</v>
      </c>
      <c r="BC3207">
        <v>1200</v>
      </c>
      <c r="BD3207">
        <v>1</v>
      </c>
      <c r="BE3207" t="str">
        <f t="shared" si="152"/>
        <v xml:space="preserve">N215T   </v>
      </c>
      <c r="BF3207">
        <v>1</v>
      </c>
      <c r="BH3207">
        <v>0</v>
      </c>
      <c r="BI3207">
        <v>0</v>
      </c>
      <c r="BJ3207">
        <v>0</v>
      </c>
      <c r="BK3207">
        <v>2500</v>
      </c>
      <c r="BL3207">
        <v>400</v>
      </c>
      <c r="BM3207" t="s">
        <v>119</v>
      </c>
      <c r="BN3207">
        <v>1</v>
      </c>
      <c r="BO3207">
        <v>1</v>
      </c>
      <c r="BP3207">
        <v>1</v>
      </c>
      <c r="BQ3207">
        <v>0</v>
      </c>
      <c r="BT3207">
        <v>0</v>
      </c>
      <c r="BU3207">
        <v>0</v>
      </c>
      <c r="BV3207">
        <v>0</v>
      </c>
      <c r="CC3207" t="str">
        <f>"19:28:22.453"</f>
        <v>19:28:22.453</v>
      </c>
      <c r="CD3207" t="str">
        <f>"451526497"</f>
        <v>451526497</v>
      </c>
      <c r="CQ3207">
        <v>0</v>
      </c>
      <c r="CR3207">
        <v>2</v>
      </c>
      <c r="CS3207">
        <v>0</v>
      </c>
      <c r="CT3207">
        <v>2</v>
      </c>
      <c r="CU3207">
        <v>0</v>
      </c>
      <c r="CV3207">
        <v>6</v>
      </c>
      <c r="CW3207" t="s">
        <v>120</v>
      </c>
      <c r="CX3207">
        <v>257</v>
      </c>
      <c r="CY3207">
        <v>0</v>
      </c>
      <c r="CZ3207" t="s">
        <v>615</v>
      </c>
      <c r="DA3207" t="s">
        <v>616</v>
      </c>
      <c r="DD3207">
        <v>16319157</v>
      </c>
      <c r="DE3207" t="s">
        <v>123</v>
      </c>
    </row>
    <row r="3208" spans="1:109" x14ac:dyDescent="0.3">
      <c r="A3208" t="str">
        <f>"19:28:23.633"</f>
        <v>19:28:23.633</v>
      </c>
      <c r="B3208" t="s">
        <v>110</v>
      </c>
      <c r="C3208" t="str">
        <f t="shared" si="150"/>
        <v>ffdfd3c0</v>
      </c>
      <c r="D3208" t="s">
        <v>111</v>
      </c>
      <c r="E3208">
        <v>18</v>
      </c>
      <c r="F3208">
        <v>1018</v>
      </c>
      <c r="G3208" t="s">
        <v>112</v>
      </c>
      <c r="J3208" t="s">
        <v>113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R3208" t="s">
        <v>114</v>
      </c>
      <c r="S3208" t="str">
        <f>"19:28:23.391"</f>
        <v>19:28:23.391</v>
      </c>
      <c r="T3208" t="str">
        <f>"19:28:22.992"</f>
        <v>19:28:22.992</v>
      </c>
      <c r="U3208" t="str">
        <f t="shared" si="151"/>
        <v>a1cdbe</v>
      </c>
      <c r="V3208">
        <v>0</v>
      </c>
      <c r="W3208">
        <v>0</v>
      </c>
      <c r="X3208">
        <v>2</v>
      </c>
      <c r="Y3208">
        <v>0</v>
      </c>
      <c r="Z3208">
        <v>0</v>
      </c>
      <c r="AB3208">
        <v>0</v>
      </c>
      <c r="AC3208">
        <v>9</v>
      </c>
      <c r="AD3208">
        <v>3</v>
      </c>
      <c r="AE3208">
        <v>0</v>
      </c>
      <c r="AF3208">
        <v>9</v>
      </c>
      <c r="AG3208" t="s">
        <v>158</v>
      </c>
      <c r="AH3208">
        <v>0</v>
      </c>
      <c r="AI3208">
        <v>3</v>
      </c>
      <c r="AJ3208">
        <v>1</v>
      </c>
      <c r="AK3208">
        <v>0</v>
      </c>
      <c r="AL3208" t="s">
        <v>823</v>
      </c>
      <c r="AM3208">
        <v>46.999662000000001</v>
      </c>
      <c r="AN3208" t="s">
        <v>6037</v>
      </c>
      <c r="AO3208">
        <v>-123.629987</v>
      </c>
      <c r="AP3208">
        <v>100</v>
      </c>
      <c r="AQ3208">
        <v>2100</v>
      </c>
      <c r="AR3208" t="s">
        <v>118</v>
      </c>
      <c r="AS3208">
        <v>-80</v>
      </c>
      <c r="AT3208">
        <v>12</v>
      </c>
      <c r="AU3208">
        <v>-192</v>
      </c>
      <c r="BC3208">
        <v>1200</v>
      </c>
      <c r="BD3208">
        <v>1</v>
      </c>
      <c r="BE3208" t="str">
        <f t="shared" si="152"/>
        <v xml:space="preserve">N215T   </v>
      </c>
      <c r="BF3208">
        <v>1</v>
      </c>
      <c r="BH3208">
        <v>0</v>
      </c>
      <c r="BI3208">
        <v>0</v>
      </c>
      <c r="BJ3208">
        <v>0</v>
      </c>
      <c r="BK3208">
        <v>2500</v>
      </c>
      <c r="BL3208">
        <v>400</v>
      </c>
      <c r="BM3208" t="s">
        <v>119</v>
      </c>
      <c r="BN3208">
        <v>1</v>
      </c>
      <c r="BO3208">
        <v>1</v>
      </c>
      <c r="BP3208">
        <v>1</v>
      </c>
      <c r="BQ3208">
        <v>0</v>
      </c>
      <c r="BT3208">
        <v>0</v>
      </c>
      <c r="BU3208">
        <v>0</v>
      </c>
      <c r="BV3208">
        <v>0</v>
      </c>
      <c r="CC3208" t="str">
        <f>"19:28:23.398"</f>
        <v>19:28:23.398</v>
      </c>
      <c r="CD3208" t="str">
        <f>"396433375"</f>
        <v>396433375</v>
      </c>
      <c r="CQ3208">
        <v>0</v>
      </c>
      <c r="CR3208">
        <v>2</v>
      </c>
      <c r="CS3208">
        <v>0</v>
      </c>
      <c r="CT3208">
        <v>2</v>
      </c>
      <c r="CU3208">
        <v>0</v>
      </c>
      <c r="CV3208">
        <v>6</v>
      </c>
      <c r="CW3208" t="s">
        <v>120</v>
      </c>
      <c r="CX3208">
        <v>257</v>
      </c>
      <c r="CY3208">
        <v>0</v>
      </c>
      <c r="CZ3208" t="s">
        <v>615</v>
      </c>
      <c r="DA3208" t="s">
        <v>616</v>
      </c>
      <c r="DD3208">
        <v>16319669</v>
      </c>
      <c r="DE3208" t="s">
        <v>123</v>
      </c>
    </row>
    <row r="3209" spans="1:109" x14ac:dyDescent="0.3">
      <c r="A3209" t="str">
        <f>"19:28:24.688"</f>
        <v>19:28:24.688</v>
      </c>
      <c r="B3209" t="s">
        <v>110</v>
      </c>
      <c r="C3209" t="str">
        <f t="shared" si="150"/>
        <v>ffdfd3c0</v>
      </c>
      <c r="D3209" t="s">
        <v>111</v>
      </c>
      <c r="E3209">
        <v>18</v>
      </c>
      <c r="F3209">
        <v>1018</v>
      </c>
      <c r="G3209" t="s">
        <v>112</v>
      </c>
      <c r="J3209" t="s">
        <v>113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R3209" t="s">
        <v>114</v>
      </c>
      <c r="S3209" t="str">
        <f>"19:28:24.430"</f>
        <v>19:28:24.430</v>
      </c>
      <c r="T3209" t="str">
        <f>"19:28:24.133"</f>
        <v>19:28:24.133</v>
      </c>
      <c r="U3209" t="str">
        <f t="shared" si="151"/>
        <v>a1cdbe</v>
      </c>
      <c r="V3209">
        <v>0</v>
      </c>
      <c r="W3209">
        <v>0</v>
      </c>
      <c r="X3209">
        <v>2</v>
      </c>
      <c r="Y3209">
        <v>0</v>
      </c>
      <c r="Z3209">
        <v>0</v>
      </c>
      <c r="AB3209">
        <v>0</v>
      </c>
      <c r="AC3209">
        <v>9</v>
      </c>
      <c r="AD3209">
        <v>3</v>
      </c>
      <c r="AE3209">
        <v>0</v>
      </c>
      <c r="AF3209">
        <v>9</v>
      </c>
      <c r="AG3209" t="s">
        <v>158</v>
      </c>
      <c r="AH3209">
        <v>0</v>
      </c>
      <c r="AI3209">
        <v>3</v>
      </c>
      <c r="AJ3209">
        <v>1</v>
      </c>
      <c r="AK3209">
        <v>0</v>
      </c>
      <c r="AL3209" t="s">
        <v>6038</v>
      </c>
      <c r="AM3209">
        <v>46.999747999999997</v>
      </c>
      <c r="AN3209" t="s">
        <v>6039</v>
      </c>
      <c r="AO3209">
        <v>-123.63052399999999</v>
      </c>
      <c r="AP3209">
        <v>100</v>
      </c>
      <c r="AQ3209">
        <v>2100</v>
      </c>
      <c r="AR3209" t="s">
        <v>118</v>
      </c>
      <c r="AS3209">
        <v>-80</v>
      </c>
      <c r="AT3209">
        <v>12</v>
      </c>
      <c r="AU3209">
        <v>-128</v>
      </c>
      <c r="BC3209">
        <v>1200</v>
      </c>
      <c r="BD3209">
        <v>1</v>
      </c>
      <c r="BE3209" t="str">
        <f t="shared" si="152"/>
        <v xml:space="preserve">N215T   </v>
      </c>
      <c r="BF3209">
        <v>1</v>
      </c>
      <c r="BH3209">
        <v>0</v>
      </c>
      <c r="BI3209">
        <v>0</v>
      </c>
      <c r="BJ3209">
        <v>0</v>
      </c>
      <c r="BK3209">
        <v>2500</v>
      </c>
      <c r="BL3209">
        <v>400</v>
      </c>
      <c r="BM3209" t="s">
        <v>119</v>
      </c>
      <c r="BN3209">
        <v>1</v>
      </c>
      <c r="BO3209">
        <v>1</v>
      </c>
      <c r="BP3209">
        <v>1</v>
      </c>
      <c r="BQ3209">
        <v>0</v>
      </c>
      <c r="BT3209">
        <v>0</v>
      </c>
      <c r="BU3209">
        <v>0</v>
      </c>
      <c r="BV3209">
        <v>0</v>
      </c>
      <c r="CC3209" t="str">
        <f>"19:28:24.430"</f>
        <v>19:28:24.430</v>
      </c>
      <c r="CD3209" t="str">
        <f>"431331375"</f>
        <v>431331375</v>
      </c>
      <c r="CQ3209">
        <v>0</v>
      </c>
      <c r="CR3209">
        <v>2</v>
      </c>
      <c r="CS3209">
        <v>0</v>
      </c>
      <c r="CT3209">
        <v>2</v>
      </c>
      <c r="CU3209">
        <v>0</v>
      </c>
      <c r="CV3209">
        <v>6</v>
      </c>
      <c r="CW3209" t="s">
        <v>120</v>
      </c>
      <c r="CX3209">
        <v>257</v>
      </c>
      <c r="CY3209">
        <v>0</v>
      </c>
      <c r="CZ3209" t="s">
        <v>615</v>
      </c>
      <c r="DA3209" t="s">
        <v>616</v>
      </c>
      <c r="DD3209">
        <v>16320206</v>
      </c>
      <c r="DE3209" t="s">
        <v>123</v>
      </c>
    </row>
    <row r="3210" spans="1:109" x14ac:dyDescent="0.3">
      <c r="A3210" t="str">
        <f>"19:28:25.688"</f>
        <v>19:28:25.688</v>
      </c>
      <c r="B3210" t="s">
        <v>110</v>
      </c>
      <c r="C3210" t="str">
        <f t="shared" si="150"/>
        <v>ffdfd3c0</v>
      </c>
      <c r="D3210" t="s">
        <v>111</v>
      </c>
      <c r="E3210">
        <v>18</v>
      </c>
      <c r="F3210">
        <v>1018</v>
      </c>
      <c r="G3210" t="s">
        <v>112</v>
      </c>
      <c r="J3210" t="s">
        <v>113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R3210" t="s">
        <v>114</v>
      </c>
      <c r="S3210" t="str">
        <f>"19:28:25.461"</f>
        <v>19:28:25.461</v>
      </c>
      <c r="T3210" t="str">
        <f>"19:28:25.164"</f>
        <v>19:28:25.164</v>
      </c>
      <c r="U3210" t="str">
        <f t="shared" si="151"/>
        <v>a1cdbe</v>
      </c>
      <c r="V3210">
        <v>0</v>
      </c>
      <c r="W3210">
        <v>0</v>
      </c>
      <c r="X3210">
        <v>2</v>
      </c>
      <c r="Y3210">
        <v>0</v>
      </c>
      <c r="Z3210">
        <v>0</v>
      </c>
      <c r="AB3210">
        <v>0</v>
      </c>
      <c r="AC3210">
        <v>9</v>
      </c>
      <c r="AD3210">
        <v>3</v>
      </c>
      <c r="AE3210">
        <v>0</v>
      </c>
      <c r="AF3210">
        <v>9</v>
      </c>
      <c r="AG3210" t="s">
        <v>158</v>
      </c>
      <c r="AH3210">
        <v>0</v>
      </c>
      <c r="AI3210">
        <v>3</v>
      </c>
      <c r="AJ3210">
        <v>1</v>
      </c>
      <c r="AK3210">
        <v>0</v>
      </c>
      <c r="AL3210" t="s">
        <v>6038</v>
      </c>
      <c r="AM3210">
        <v>46.999747999999997</v>
      </c>
      <c r="AN3210" t="s">
        <v>6040</v>
      </c>
      <c r="AO3210">
        <v>-123.631124</v>
      </c>
      <c r="AP3210">
        <v>100</v>
      </c>
      <c r="AQ3210">
        <v>2100</v>
      </c>
      <c r="AR3210" t="s">
        <v>118</v>
      </c>
      <c r="AS3210">
        <v>-81</v>
      </c>
      <c r="AT3210">
        <v>11</v>
      </c>
      <c r="AU3210">
        <v>-128</v>
      </c>
      <c r="BC3210">
        <v>1200</v>
      </c>
      <c r="BD3210">
        <v>1</v>
      </c>
      <c r="BE3210" t="str">
        <f t="shared" si="152"/>
        <v xml:space="preserve">N215T   </v>
      </c>
      <c r="BF3210">
        <v>1</v>
      </c>
      <c r="BH3210">
        <v>0</v>
      </c>
      <c r="BI3210">
        <v>0</v>
      </c>
      <c r="BJ3210">
        <v>0</v>
      </c>
      <c r="BK3210">
        <v>2500</v>
      </c>
      <c r="BL3210">
        <v>400</v>
      </c>
      <c r="BM3210" t="s">
        <v>119</v>
      </c>
      <c r="BN3210">
        <v>1</v>
      </c>
      <c r="BO3210">
        <v>1</v>
      </c>
      <c r="BP3210">
        <v>1</v>
      </c>
      <c r="BQ3210">
        <v>0</v>
      </c>
      <c r="BT3210">
        <v>0</v>
      </c>
      <c r="BU3210">
        <v>0</v>
      </c>
      <c r="BV3210">
        <v>0</v>
      </c>
      <c r="CC3210" t="str">
        <f>"19:28:25.469"</f>
        <v>19:28:25.469</v>
      </c>
      <c r="CD3210" t="str">
        <f>"466229383"</f>
        <v>466229383</v>
      </c>
      <c r="CQ3210">
        <v>0</v>
      </c>
      <c r="CR3210">
        <v>2</v>
      </c>
      <c r="CS3210">
        <v>0</v>
      </c>
      <c r="CT3210">
        <v>2</v>
      </c>
      <c r="CU3210">
        <v>0</v>
      </c>
      <c r="CV3210">
        <v>6</v>
      </c>
      <c r="CW3210" t="s">
        <v>120</v>
      </c>
      <c r="CX3210">
        <v>257</v>
      </c>
      <c r="CY3210">
        <v>0</v>
      </c>
      <c r="CZ3210" t="s">
        <v>615</v>
      </c>
      <c r="DA3210" t="s">
        <v>616</v>
      </c>
      <c r="DD3210">
        <v>16320682</v>
      </c>
      <c r="DE3210" t="s">
        <v>123</v>
      </c>
    </row>
    <row r="3211" spans="1:109" x14ac:dyDescent="0.3">
      <c r="A3211" t="str">
        <f>"19:28:26.852"</f>
        <v>19:28:26.852</v>
      </c>
      <c r="B3211" t="s">
        <v>110</v>
      </c>
      <c r="C3211" t="str">
        <f t="shared" si="150"/>
        <v>ffdfd3c0</v>
      </c>
      <c r="D3211" t="s">
        <v>111</v>
      </c>
      <c r="E3211">
        <v>18</v>
      </c>
      <c r="F3211">
        <v>1018</v>
      </c>
      <c r="G3211" t="s">
        <v>112</v>
      </c>
      <c r="J3211" t="s">
        <v>113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R3211" t="s">
        <v>114</v>
      </c>
      <c r="S3211" t="str">
        <f>"19:28:26.648"</f>
        <v>19:28:26.648</v>
      </c>
      <c r="T3211" t="str">
        <f>"19:28:26.547"</f>
        <v>19:28:26.547</v>
      </c>
      <c r="U3211" t="str">
        <f t="shared" si="151"/>
        <v>a1cdbe</v>
      </c>
      <c r="V3211">
        <v>0</v>
      </c>
      <c r="W3211">
        <v>0</v>
      </c>
      <c r="X3211">
        <v>2</v>
      </c>
      <c r="Y3211">
        <v>0</v>
      </c>
      <c r="Z3211">
        <v>0</v>
      </c>
      <c r="AB3211">
        <v>0</v>
      </c>
      <c r="AC3211">
        <v>9</v>
      </c>
      <c r="AD3211">
        <v>3</v>
      </c>
      <c r="AE3211">
        <v>0</v>
      </c>
      <c r="AF3211">
        <v>9</v>
      </c>
      <c r="AG3211" t="s">
        <v>158</v>
      </c>
      <c r="AH3211">
        <v>0</v>
      </c>
      <c r="AI3211">
        <v>3</v>
      </c>
      <c r="AJ3211">
        <v>1</v>
      </c>
      <c r="AK3211">
        <v>0</v>
      </c>
      <c r="AL3211" t="s">
        <v>6041</v>
      </c>
      <c r="AM3211">
        <v>46.999834</v>
      </c>
      <c r="AN3211" t="s">
        <v>6042</v>
      </c>
      <c r="AO3211">
        <v>-123.631747</v>
      </c>
      <c r="AP3211">
        <v>100</v>
      </c>
      <c r="AQ3211">
        <v>2100</v>
      </c>
      <c r="AR3211" t="s">
        <v>118</v>
      </c>
      <c r="AS3211">
        <v>-81</v>
      </c>
      <c r="AT3211">
        <v>11</v>
      </c>
      <c r="AU3211">
        <v>-128</v>
      </c>
      <c r="BC3211">
        <v>1200</v>
      </c>
      <c r="BD3211">
        <v>1</v>
      </c>
      <c r="BE3211" t="str">
        <f t="shared" si="152"/>
        <v xml:space="preserve">N215T   </v>
      </c>
      <c r="BF3211">
        <v>1</v>
      </c>
      <c r="BH3211">
        <v>0</v>
      </c>
      <c r="BI3211">
        <v>0</v>
      </c>
      <c r="BJ3211">
        <v>0</v>
      </c>
      <c r="BK3211">
        <v>2500</v>
      </c>
      <c r="BL3211">
        <v>400</v>
      </c>
      <c r="BM3211" t="s">
        <v>119</v>
      </c>
      <c r="BN3211">
        <v>1</v>
      </c>
      <c r="BO3211">
        <v>1</v>
      </c>
      <c r="BP3211">
        <v>1</v>
      </c>
      <c r="BQ3211">
        <v>0</v>
      </c>
      <c r="BT3211">
        <v>0</v>
      </c>
      <c r="BU3211">
        <v>0</v>
      </c>
      <c r="BV3211">
        <v>0</v>
      </c>
      <c r="CC3211" t="str">
        <f>"19:28:26.648"</f>
        <v>19:28:26.648</v>
      </c>
      <c r="CD3211" t="str">
        <f>"651112615"</f>
        <v>651112615</v>
      </c>
      <c r="CQ3211">
        <v>0</v>
      </c>
      <c r="CR3211">
        <v>2</v>
      </c>
      <c r="CS3211">
        <v>0</v>
      </c>
      <c r="CT3211">
        <v>2</v>
      </c>
      <c r="CU3211">
        <v>0</v>
      </c>
      <c r="CV3211">
        <v>6</v>
      </c>
      <c r="CW3211" t="s">
        <v>120</v>
      </c>
      <c r="CX3211">
        <v>257</v>
      </c>
      <c r="CY3211">
        <v>0</v>
      </c>
      <c r="CZ3211" t="s">
        <v>615</v>
      </c>
      <c r="DA3211" t="s">
        <v>616</v>
      </c>
      <c r="DD3211">
        <v>16321250</v>
      </c>
      <c r="DE3211" t="s">
        <v>123</v>
      </c>
    </row>
    <row r="3212" spans="1:109" x14ac:dyDescent="0.3">
      <c r="A3212" t="str">
        <f>"19:28:27.852"</f>
        <v>19:28:27.852</v>
      </c>
      <c r="B3212" t="s">
        <v>110</v>
      </c>
      <c r="C3212" t="str">
        <f t="shared" si="150"/>
        <v>ffdfd3c0</v>
      </c>
      <c r="D3212" t="s">
        <v>111</v>
      </c>
      <c r="E3212">
        <v>18</v>
      </c>
      <c r="F3212">
        <v>1018</v>
      </c>
      <c r="G3212" t="s">
        <v>112</v>
      </c>
      <c r="J3212" t="s">
        <v>113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R3212" t="s">
        <v>114</v>
      </c>
      <c r="S3212" t="str">
        <f>"19:28:27.641"</f>
        <v>19:28:27.641</v>
      </c>
      <c r="T3212" t="str">
        <f>"19:28:27.438"</f>
        <v>19:28:27.438</v>
      </c>
      <c r="U3212" t="str">
        <f t="shared" si="151"/>
        <v>a1cdbe</v>
      </c>
      <c r="V3212">
        <v>0</v>
      </c>
      <c r="W3212">
        <v>0</v>
      </c>
      <c r="X3212">
        <v>2</v>
      </c>
      <c r="Y3212">
        <v>0</v>
      </c>
      <c r="Z3212">
        <v>0</v>
      </c>
      <c r="AB3212">
        <v>0</v>
      </c>
      <c r="AC3212">
        <v>9</v>
      </c>
      <c r="AD3212">
        <v>3</v>
      </c>
      <c r="AE3212">
        <v>0</v>
      </c>
      <c r="AF3212">
        <v>9</v>
      </c>
      <c r="AG3212" t="s">
        <v>158</v>
      </c>
      <c r="AH3212">
        <v>0</v>
      </c>
      <c r="AI3212">
        <v>3</v>
      </c>
      <c r="AJ3212">
        <v>1</v>
      </c>
      <c r="AK3212">
        <v>0</v>
      </c>
      <c r="AL3212" t="s">
        <v>6043</v>
      </c>
      <c r="AM3212">
        <v>46.999876</v>
      </c>
      <c r="AN3212" t="s">
        <v>6044</v>
      </c>
      <c r="AO3212">
        <v>-123.632305</v>
      </c>
      <c r="AP3212">
        <v>100</v>
      </c>
      <c r="AQ3212">
        <v>2100</v>
      </c>
      <c r="AR3212" t="s">
        <v>118</v>
      </c>
      <c r="AS3212">
        <v>-81</v>
      </c>
      <c r="AT3212">
        <v>11</v>
      </c>
      <c r="AU3212">
        <v>-128</v>
      </c>
      <c r="BC3212">
        <v>1200</v>
      </c>
      <c r="BD3212">
        <v>1</v>
      </c>
      <c r="BE3212" t="str">
        <f t="shared" si="152"/>
        <v xml:space="preserve">N215T   </v>
      </c>
      <c r="BF3212">
        <v>1</v>
      </c>
      <c r="BH3212">
        <v>0</v>
      </c>
      <c r="BI3212">
        <v>0</v>
      </c>
      <c r="BJ3212">
        <v>0</v>
      </c>
      <c r="BK3212">
        <v>2475</v>
      </c>
      <c r="BL3212">
        <v>375</v>
      </c>
      <c r="BM3212" t="s">
        <v>119</v>
      </c>
      <c r="BN3212">
        <v>1</v>
      </c>
      <c r="BO3212">
        <v>1</v>
      </c>
      <c r="BP3212">
        <v>1</v>
      </c>
      <c r="BQ3212">
        <v>0</v>
      </c>
      <c r="BT3212">
        <v>0</v>
      </c>
      <c r="BU3212">
        <v>0</v>
      </c>
      <c r="BV3212">
        <v>0</v>
      </c>
      <c r="CC3212" t="str">
        <f>"19:28:27.641"</f>
        <v>19:28:27.641</v>
      </c>
      <c r="CD3212" t="str">
        <f>"641015051"</f>
        <v>641015051</v>
      </c>
      <c r="CQ3212">
        <v>0</v>
      </c>
      <c r="CR3212">
        <v>2</v>
      </c>
      <c r="CS3212">
        <v>0</v>
      </c>
      <c r="CT3212">
        <v>2</v>
      </c>
      <c r="CU3212">
        <v>0</v>
      </c>
      <c r="CV3212">
        <v>6</v>
      </c>
      <c r="CW3212" t="s">
        <v>120</v>
      </c>
      <c r="CX3212">
        <v>257</v>
      </c>
      <c r="CY3212">
        <v>0</v>
      </c>
      <c r="CZ3212" t="s">
        <v>615</v>
      </c>
      <c r="DA3212" t="s">
        <v>616</v>
      </c>
      <c r="DD3212">
        <v>16321731</v>
      </c>
      <c r="DE3212" t="s">
        <v>123</v>
      </c>
    </row>
    <row r="3213" spans="1:109" x14ac:dyDescent="0.3">
      <c r="A3213" t="str">
        <f>"19:28:28.805"</f>
        <v>19:28:28.805</v>
      </c>
      <c r="B3213" t="s">
        <v>110</v>
      </c>
      <c r="C3213" t="str">
        <f t="shared" si="150"/>
        <v>ffdfd3c0</v>
      </c>
      <c r="D3213" t="s">
        <v>111</v>
      </c>
      <c r="E3213">
        <v>18</v>
      </c>
      <c r="F3213">
        <v>1018</v>
      </c>
      <c r="G3213" t="s">
        <v>112</v>
      </c>
      <c r="J3213" t="s">
        <v>113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R3213" t="s">
        <v>114</v>
      </c>
      <c r="S3213" t="str">
        <f>"19:28:28.570"</f>
        <v>19:28:28.570</v>
      </c>
      <c r="T3213" t="str">
        <f>"19:28:28.469"</f>
        <v>19:28:28.469</v>
      </c>
      <c r="U3213" t="str">
        <f t="shared" si="151"/>
        <v>a1cdbe</v>
      </c>
      <c r="V3213">
        <v>0</v>
      </c>
      <c r="W3213">
        <v>0</v>
      </c>
      <c r="X3213">
        <v>2</v>
      </c>
      <c r="Y3213">
        <v>0</v>
      </c>
      <c r="Z3213">
        <v>0</v>
      </c>
      <c r="AB3213">
        <v>0</v>
      </c>
      <c r="AC3213">
        <v>9</v>
      </c>
      <c r="AD3213">
        <v>3</v>
      </c>
      <c r="AE3213">
        <v>0</v>
      </c>
      <c r="AF3213">
        <v>9</v>
      </c>
      <c r="AG3213" t="s">
        <v>158</v>
      </c>
      <c r="AH3213">
        <v>0</v>
      </c>
      <c r="AI3213">
        <v>3</v>
      </c>
      <c r="AJ3213">
        <v>1</v>
      </c>
      <c r="AK3213">
        <v>0</v>
      </c>
      <c r="AL3213" t="s">
        <v>6045</v>
      </c>
      <c r="AM3213">
        <v>46.999941</v>
      </c>
      <c r="AN3213" t="s">
        <v>6046</v>
      </c>
      <c r="AO3213">
        <v>-123.632734</v>
      </c>
      <c r="AP3213">
        <v>100</v>
      </c>
      <c r="AQ3213">
        <v>2100</v>
      </c>
      <c r="AR3213" t="s">
        <v>118</v>
      </c>
      <c r="AS3213">
        <v>-81</v>
      </c>
      <c r="AT3213">
        <v>11</v>
      </c>
      <c r="AU3213">
        <v>-64</v>
      </c>
      <c r="BC3213">
        <v>1200</v>
      </c>
      <c r="BD3213">
        <v>1</v>
      </c>
      <c r="BE3213" t="str">
        <f t="shared" si="152"/>
        <v xml:space="preserve">N215T   </v>
      </c>
      <c r="BF3213">
        <v>1</v>
      </c>
      <c r="BH3213">
        <v>0</v>
      </c>
      <c r="BI3213">
        <v>0</v>
      </c>
      <c r="BJ3213">
        <v>0</v>
      </c>
      <c r="BK3213">
        <v>2475</v>
      </c>
      <c r="BL3213">
        <v>375</v>
      </c>
      <c r="BM3213" t="s">
        <v>119</v>
      </c>
      <c r="BN3213">
        <v>1</v>
      </c>
      <c r="BO3213">
        <v>1</v>
      </c>
      <c r="BP3213">
        <v>1</v>
      </c>
      <c r="BQ3213">
        <v>0</v>
      </c>
      <c r="BT3213">
        <v>0</v>
      </c>
      <c r="BU3213">
        <v>0</v>
      </c>
      <c r="BV3213">
        <v>0</v>
      </c>
      <c r="CC3213" t="str">
        <f>"19:28:28.570"</f>
        <v>19:28:28.570</v>
      </c>
      <c r="CD3213" t="str">
        <f>"570923391"</f>
        <v>570923391</v>
      </c>
      <c r="CQ3213">
        <v>0</v>
      </c>
      <c r="CR3213">
        <v>2</v>
      </c>
      <c r="CS3213">
        <v>0</v>
      </c>
      <c r="CT3213">
        <v>2</v>
      </c>
      <c r="CU3213">
        <v>0</v>
      </c>
      <c r="CV3213">
        <v>6</v>
      </c>
      <c r="CW3213" t="s">
        <v>120</v>
      </c>
      <c r="CX3213">
        <v>257</v>
      </c>
      <c r="CY3213">
        <v>0</v>
      </c>
      <c r="CZ3213" t="s">
        <v>615</v>
      </c>
      <c r="DA3213" t="s">
        <v>616</v>
      </c>
      <c r="DD3213">
        <v>16322204</v>
      </c>
      <c r="DE3213" t="s">
        <v>123</v>
      </c>
    </row>
    <row r="3214" spans="1:109" x14ac:dyDescent="0.3">
      <c r="A3214" t="str">
        <f>"19:28:29.859"</f>
        <v>19:28:29.859</v>
      </c>
      <c r="B3214" t="s">
        <v>110</v>
      </c>
      <c r="C3214" t="str">
        <f t="shared" si="150"/>
        <v>ffdfd3c0</v>
      </c>
      <c r="D3214" t="s">
        <v>111</v>
      </c>
      <c r="E3214">
        <v>18</v>
      </c>
      <c r="F3214">
        <v>1018</v>
      </c>
      <c r="G3214" t="s">
        <v>112</v>
      </c>
      <c r="J3214" t="s">
        <v>113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R3214" t="s">
        <v>114</v>
      </c>
      <c r="S3214" t="str">
        <f>"19:28:29.602"</f>
        <v>19:28:29.602</v>
      </c>
      <c r="T3214" t="str">
        <f>"19:28:29.500"</f>
        <v>19:28:29.500</v>
      </c>
      <c r="U3214" t="str">
        <f t="shared" si="151"/>
        <v>a1cdbe</v>
      </c>
      <c r="V3214">
        <v>0</v>
      </c>
      <c r="W3214">
        <v>0</v>
      </c>
      <c r="X3214">
        <v>2</v>
      </c>
      <c r="Y3214">
        <v>0</v>
      </c>
      <c r="Z3214">
        <v>0</v>
      </c>
      <c r="AB3214">
        <v>0</v>
      </c>
      <c r="AC3214">
        <v>9</v>
      </c>
      <c r="AD3214">
        <v>3</v>
      </c>
      <c r="AE3214">
        <v>0</v>
      </c>
      <c r="AF3214">
        <v>9</v>
      </c>
      <c r="AG3214" t="s">
        <v>158</v>
      </c>
      <c r="AH3214">
        <v>0</v>
      </c>
      <c r="AI3214">
        <v>3</v>
      </c>
      <c r="AJ3214">
        <v>1</v>
      </c>
      <c r="AK3214">
        <v>0</v>
      </c>
      <c r="AL3214" t="s">
        <v>821</v>
      </c>
      <c r="AM3214">
        <v>46.999961999999996</v>
      </c>
      <c r="AN3214" t="s">
        <v>6047</v>
      </c>
      <c r="AO3214">
        <v>-123.633335</v>
      </c>
      <c r="AP3214">
        <v>100</v>
      </c>
      <c r="AQ3214">
        <v>2100</v>
      </c>
      <c r="AR3214" t="s">
        <v>118</v>
      </c>
      <c r="AS3214">
        <v>-81</v>
      </c>
      <c r="AT3214">
        <v>11</v>
      </c>
      <c r="AU3214">
        <v>-64</v>
      </c>
      <c r="BC3214">
        <v>1200</v>
      </c>
      <c r="BD3214">
        <v>1</v>
      </c>
      <c r="BE3214" t="str">
        <f t="shared" si="152"/>
        <v xml:space="preserve">N215T   </v>
      </c>
      <c r="BF3214">
        <v>1</v>
      </c>
      <c r="BH3214">
        <v>0</v>
      </c>
      <c r="BI3214">
        <v>0</v>
      </c>
      <c r="BJ3214">
        <v>0</v>
      </c>
      <c r="BK3214">
        <v>2475</v>
      </c>
      <c r="BL3214">
        <v>375</v>
      </c>
      <c r="BM3214" t="s">
        <v>119</v>
      </c>
      <c r="BN3214">
        <v>1</v>
      </c>
      <c r="BO3214">
        <v>1</v>
      </c>
      <c r="BP3214">
        <v>1</v>
      </c>
      <c r="BQ3214">
        <v>0</v>
      </c>
      <c r="BT3214">
        <v>0</v>
      </c>
      <c r="BU3214">
        <v>0</v>
      </c>
      <c r="BV3214">
        <v>0</v>
      </c>
      <c r="CC3214" t="str">
        <f>"19:28:29.609"</f>
        <v>19:28:29.609</v>
      </c>
      <c r="CD3214" t="str">
        <f>"605821395"</f>
        <v>605821395</v>
      </c>
      <c r="CQ3214">
        <v>0</v>
      </c>
      <c r="CR3214">
        <v>2</v>
      </c>
      <c r="CS3214">
        <v>0</v>
      </c>
      <c r="CT3214">
        <v>2</v>
      </c>
      <c r="CU3214">
        <v>0</v>
      </c>
      <c r="CV3214">
        <v>6</v>
      </c>
      <c r="CW3214" t="s">
        <v>120</v>
      </c>
      <c r="CX3214">
        <v>257</v>
      </c>
      <c r="CY3214">
        <v>0</v>
      </c>
      <c r="CZ3214" t="s">
        <v>615</v>
      </c>
      <c r="DA3214" t="s">
        <v>616</v>
      </c>
      <c r="DD3214">
        <v>16322681</v>
      </c>
      <c r="DE3214" t="s">
        <v>123</v>
      </c>
    </row>
    <row r="3215" spans="1:109" x14ac:dyDescent="0.3">
      <c r="A3215" t="str">
        <f>"19:28:30.867"</f>
        <v>19:28:30.867</v>
      </c>
      <c r="B3215" t="s">
        <v>110</v>
      </c>
      <c r="C3215" t="str">
        <f t="shared" si="150"/>
        <v>ffdfd3c0</v>
      </c>
      <c r="D3215" t="s">
        <v>111</v>
      </c>
      <c r="E3215">
        <v>18</v>
      </c>
      <c r="F3215">
        <v>1018</v>
      </c>
      <c r="G3215" t="s">
        <v>112</v>
      </c>
      <c r="J3215" t="s">
        <v>113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R3215" t="s">
        <v>114</v>
      </c>
      <c r="S3215" t="str">
        <f>"19:28:30.625"</f>
        <v>19:28:30.625</v>
      </c>
      <c r="T3215" t="str">
        <f>"19:28:30.422"</f>
        <v>19:28:30.422</v>
      </c>
      <c r="U3215" t="str">
        <f t="shared" si="151"/>
        <v>a1cdbe</v>
      </c>
      <c r="V3215">
        <v>0</v>
      </c>
      <c r="W3215">
        <v>0</v>
      </c>
      <c r="X3215">
        <v>2</v>
      </c>
      <c r="Y3215">
        <v>0</v>
      </c>
      <c r="Z3215">
        <v>0</v>
      </c>
      <c r="AB3215">
        <v>0</v>
      </c>
      <c r="AC3215">
        <v>9</v>
      </c>
      <c r="AD3215">
        <v>3</v>
      </c>
      <c r="AE3215">
        <v>0</v>
      </c>
      <c r="AF3215">
        <v>9</v>
      </c>
      <c r="AG3215" t="s">
        <v>158</v>
      </c>
      <c r="AH3215">
        <v>0</v>
      </c>
      <c r="AI3215">
        <v>3</v>
      </c>
      <c r="AJ3215">
        <v>1</v>
      </c>
      <c r="AK3215">
        <v>0</v>
      </c>
      <c r="AL3215" t="s">
        <v>6048</v>
      </c>
      <c r="AM3215">
        <v>47.000027000000003</v>
      </c>
      <c r="AN3215" t="s">
        <v>6049</v>
      </c>
      <c r="AO3215">
        <v>-123.63393499999999</v>
      </c>
      <c r="AP3215">
        <v>100</v>
      </c>
      <c r="AQ3215">
        <v>2100</v>
      </c>
      <c r="AR3215" t="s">
        <v>118</v>
      </c>
      <c r="AS3215">
        <v>-81</v>
      </c>
      <c r="AT3215">
        <v>12</v>
      </c>
      <c r="AU3215">
        <v>-64</v>
      </c>
      <c r="BC3215">
        <v>1200</v>
      </c>
      <c r="BD3215">
        <v>1</v>
      </c>
      <c r="BE3215" t="str">
        <f t="shared" si="152"/>
        <v xml:space="preserve">N215T   </v>
      </c>
      <c r="BF3215">
        <v>1</v>
      </c>
      <c r="BH3215">
        <v>0</v>
      </c>
      <c r="BI3215">
        <v>0</v>
      </c>
      <c r="BJ3215">
        <v>0</v>
      </c>
      <c r="BK3215">
        <v>2475</v>
      </c>
      <c r="BL3215">
        <v>375</v>
      </c>
      <c r="BM3215" t="s">
        <v>119</v>
      </c>
      <c r="BN3215">
        <v>1</v>
      </c>
      <c r="BO3215">
        <v>1</v>
      </c>
      <c r="BP3215">
        <v>1</v>
      </c>
      <c r="BQ3215">
        <v>0</v>
      </c>
      <c r="BT3215">
        <v>0</v>
      </c>
      <c r="BU3215">
        <v>0</v>
      </c>
      <c r="BV3215">
        <v>0</v>
      </c>
      <c r="CC3215" t="str">
        <f>"19:28:30.625"</f>
        <v>19:28:30.625</v>
      </c>
      <c r="CD3215" t="str">
        <f>"625720873"</f>
        <v>625720873</v>
      </c>
      <c r="CQ3215">
        <v>0</v>
      </c>
      <c r="CR3215">
        <v>2</v>
      </c>
      <c r="CS3215">
        <v>0</v>
      </c>
      <c r="CT3215">
        <v>2</v>
      </c>
      <c r="CU3215">
        <v>0</v>
      </c>
      <c r="CV3215">
        <v>6</v>
      </c>
      <c r="CW3215" t="s">
        <v>120</v>
      </c>
      <c r="CX3215">
        <v>257</v>
      </c>
      <c r="CY3215">
        <v>0</v>
      </c>
      <c r="CZ3215" t="s">
        <v>615</v>
      </c>
      <c r="DA3215" t="s">
        <v>616</v>
      </c>
      <c r="DD3215">
        <v>16323167</v>
      </c>
      <c r="DE3215" t="s">
        <v>123</v>
      </c>
    </row>
    <row r="3216" spans="1:109" x14ac:dyDescent="0.3">
      <c r="A3216" t="str">
        <f>"19:28:31.773"</f>
        <v>19:28:31.773</v>
      </c>
      <c r="B3216" t="s">
        <v>110</v>
      </c>
      <c r="C3216" t="str">
        <f t="shared" si="150"/>
        <v>ffdfd3c0</v>
      </c>
      <c r="D3216" t="s">
        <v>111</v>
      </c>
      <c r="E3216">
        <v>18</v>
      </c>
      <c r="F3216">
        <v>1018</v>
      </c>
      <c r="G3216" t="s">
        <v>112</v>
      </c>
      <c r="J3216" t="s">
        <v>113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R3216" t="s">
        <v>114</v>
      </c>
      <c r="S3216" t="str">
        <f>"19:28:31.539"</f>
        <v>19:28:31.539</v>
      </c>
      <c r="T3216" t="str">
        <f>"19:28:31.438"</f>
        <v>19:28:31.438</v>
      </c>
      <c r="U3216" t="str">
        <f t="shared" si="151"/>
        <v>a1cdbe</v>
      </c>
      <c r="V3216">
        <v>0</v>
      </c>
      <c r="W3216">
        <v>0</v>
      </c>
      <c r="X3216">
        <v>2</v>
      </c>
      <c r="Y3216">
        <v>0</v>
      </c>
      <c r="Z3216">
        <v>0</v>
      </c>
      <c r="AB3216">
        <v>0</v>
      </c>
      <c r="AC3216">
        <v>9</v>
      </c>
      <c r="AD3216">
        <v>3</v>
      </c>
      <c r="AE3216">
        <v>0</v>
      </c>
      <c r="AF3216">
        <v>9</v>
      </c>
      <c r="AG3216" t="s">
        <v>158</v>
      </c>
      <c r="AH3216">
        <v>0</v>
      </c>
      <c r="AI3216">
        <v>3</v>
      </c>
      <c r="AJ3216">
        <v>1</v>
      </c>
      <c r="AK3216">
        <v>0</v>
      </c>
      <c r="AL3216" t="s">
        <v>6050</v>
      </c>
      <c r="AM3216">
        <v>47.000070000000001</v>
      </c>
      <c r="AN3216" t="s">
        <v>6051</v>
      </c>
      <c r="AO3216">
        <v>-123.634429</v>
      </c>
      <c r="AP3216">
        <v>100</v>
      </c>
      <c r="AQ3216">
        <v>2100</v>
      </c>
      <c r="AR3216" t="s">
        <v>118</v>
      </c>
      <c r="AS3216">
        <v>-81</v>
      </c>
      <c r="AT3216">
        <v>12</v>
      </c>
      <c r="AU3216">
        <v>-64</v>
      </c>
      <c r="BC3216">
        <v>1200</v>
      </c>
      <c r="BD3216">
        <v>1</v>
      </c>
      <c r="BE3216" t="str">
        <f t="shared" si="152"/>
        <v xml:space="preserve">N215T   </v>
      </c>
      <c r="BF3216">
        <v>1</v>
      </c>
      <c r="BH3216">
        <v>0</v>
      </c>
      <c r="BI3216">
        <v>0</v>
      </c>
      <c r="BJ3216">
        <v>0</v>
      </c>
      <c r="BK3216">
        <v>2475</v>
      </c>
      <c r="BL3216">
        <v>375</v>
      </c>
      <c r="BM3216" t="s">
        <v>119</v>
      </c>
      <c r="BN3216">
        <v>1</v>
      </c>
      <c r="BO3216">
        <v>1</v>
      </c>
      <c r="BP3216">
        <v>1</v>
      </c>
      <c r="BQ3216">
        <v>0</v>
      </c>
      <c r="BT3216">
        <v>0</v>
      </c>
      <c r="BU3216">
        <v>0</v>
      </c>
      <c r="BV3216">
        <v>0</v>
      </c>
      <c r="CC3216" t="str">
        <f>"19:28:31.539"</f>
        <v>19:28:31.539</v>
      </c>
      <c r="CD3216" t="str">
        <f>"540630713"</f>
        <v>540630713</v>
      </c>
      <c r="CQ3216">
        <v>0</v>
      </c>
      <c r="CR3216">
        <v>2</v>
      </c>
      <c r="CS3216">
        <v>0</v>
      </c>
      <c r="CT3216">
        <v>2</v>
      </c>
      <c r="CU3216">
        <v>0</v>
      </c>
      <c r="CV3216">
        <v>6</v>
      </c>
      <c r="CW3216" t="s">
        <v>120</v>
      </c>
      <c r="CX3216">
        <v>257</v>
      </c>
      <c r="CY3216">
        <v>0</v>
      </c>
      <c r="CZ3216" t="s">
        <v>615</v>
      </c>
      <c r="DA3216" t="s">
        <v>616</v>
      </c>
      <c r="DD3216">
        <v>16323594</v>
      </c>
      <c r="DE3216" t="s">
        <v>123</v>
      </c>
    </row>
    <row r="3217" spans="1:109" x14ac:dyDescent="0.3">
      <c r="A3217" t="str">
        <f>"19:28:32.781"</f>
        <v>19:28:32.781</v>
      </c>
      <c r="B3217" t="s">
        <v>110</v>
      </c>
      <c r="C3217" t="str">
        <f t="shared" si="150"/>
        <v>ffdfd3c0</v>
      </c>
      <c r="D3217" t="s">
        <v>111</v>
      </c>
      <c r="E3217">
        <v>18</v>
      </c>
      <c r="F3217">
        <v>1018</v>
      </c>
      <c r="G3217" t="s">
        <v>112</v>
      </c>
      <c r="J3217" t="s">
        <v>113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R3217" t="s">
        <v>114</v>
      </c>
      <c r="S3217" t="str">
        <f>"19:28:32.539"</f>
        <v>19:28:32.539</v>
      </c>
      <c r="T3217" t="str">
        <f>"19:28:32.539"</f>
        <v>19:28:32.539</v>
      </c>
      <c r="U3217" t="str">
        <f t="shared" si="151"/>
        <v>a1cdbe</v>
      </c>
      <c r="V3217">
        <v>0</v>
      </c>
      <c r="W3217">
        <v>0</v>
      </c>
      <c r="X3217">
        <v>2</v>
      </c>
      <c r="Y3217">
        <v>0</v>
      </c>
      <c r="Z3217">
        <v>0</v>
      </c>
      <c r="AB3217">
        <v>0</v>
      </c>
      <c r="AC3217">
        <v>9</v>
      </c>
      <c r="AD3217">
        <v>3</v>
      </c>
      <c r="AE3217">
        <v>0</v>
      </c>
      <c r="AF3217">
        <v>9</v>
      </c>
      <c r="AG3217" t="s">
        <v>158</v>
      </c>
      <c r="AH3217">
        <v>0</v>
      </c>
      <c r="AI3217">
        <v>3</v>
      </c>
      <c r="AJ3217">
        <v>1</v>
      </c>
      <c r="AK3217">
        <v>0</v>
      </c>
      <c r="AL3217" t="s">
        <v>6052</v>
      </c>
      <c r="AM3217">
        <v>47.000154999999999</v>
      </c>
      <c r="AN3217" t="s">
        <v>6053</v>
      </c>
      <c r="AO3217">
        <v>-123.634987</v>
      </c>
      <c r="AP3217">
        <v>100</v>
      </c>
      <c r="AQ3217">
        <v>2100</v>
      </c>
      <c r="AR3217" t="s">
        <v>118</v>
      </c>
      <c r="AS3217">
        <v>-81</v>
      </c>
      <c r="AT3217">
        <v>12</v>
      </c>
      <c r="AU3217">
        <v>-64</v>
      </c>
      <c r="BC3217">
        <v>1200</v>
      </c>
      <c r="BD3217">
        <v>1</v>
      </c>
      <c r="BE3217" t="str">
        <f t="shared" si="152"/>
        <v xml:space="preserve">N215T   </v>
      </c>
      <c r="BF3217">
        <v>1</v>
      </c>
      <c r="BH3217">
        <v>0</v>
      </c>
      <c r="BI3217">
        <v>0</v>
      </c>
      <c r="BJ3217">
        <v>0</v>
      </c>
      <c r="BK3217">
        <v>2475</v>
      </c>
      <c r="BL3217">
        <v>375</v>
      </c>
      <c r="BM3217" t="s">
        <v>119</v>
      </c>
      <c r="BN3217">
        <v>1</v>
      </c>
      <c r="BO3217">
        <v>1</v>
      </c>
      <c r="BP3217">
        <v>1</v>
      </c>
      <c r="BQ3217">
        <v>0</v>
      </c>
      <c r="BT3217">
        <v>0</v>
      </c>
      <c r="BU3217">
        <v>0</v>
      </c>
      <c r="BV3217">
        <v>0</v>
      </c>
      <c r="CC3217" t="str">
        <f>"19:28:32.547"</f>
        <v>19:28:32.547</v>
      </c>
      <c r="CD3217" t="str">
        <f>"545531674"</f>
        <v>545531674</v>
      </c>
      <c r="CQ3217">
        <v>0</v>
      </c>
      <c r="CR3217">
        <v>2</v>
      </c>
      <c r="CS3217">
        <v>0</v>
      </c>
      <c r="CT3217">
        <v>2</v>
      </c>
      <c r="CU3217">
        <v>0</v>
      </c>
      <c r="CV3217">
        <v>6</v>
      </c>
      <c r="CW3217" t="s">
        <v>120</v>
      </c>
      <c r="CX3217">
        <v>257</v>
      </c>
      <c r="CY3217">
        <v>0</v>
      </c>
      <c r="CZ3217" t="s">
        <v>615</v>
      </c>
      <c r="DA3217" t="s">
        <v>616</v>
      </c>
      <c r="DD3217">
        <v>16324088</v>
      </c>
      <c r="DE3217" t="s">
        <v>123</v>
      </c>
    </row>
    <row r="3218" spans="1:109" x14ac:dyDescent="0.3">
      <c r="A3218" t="str">
        <f>"19:28:33.789"</f>
        <v>19:28:33.789</v>
      </c>
      <c r="B3218" t="s">
        <v>110</v>
      </c>
      <c r="C3218" t="str">
        <f t="shared" si="150"/>
        <v>ffdfd3c0</v>
      </c>
      <c r="D3218" t="s">
        <v>111</v>
      </c>
      <c r="E3218">
        <v>18</v>
      </c>
      <c r="F3218">
        <v>1018</v>
      </c>
      <c r="G3218" t="s">
        <v>112</v>
      </c>
      <c r="J3218" t="s">
        <v>113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R3218" t="s">
        <v>114</v>
      </c>
      <c r="S3218" t="str">
        <f>"19:28:33.531"</f>
        <v>19:28:33.531</v>
      </c>
      <c r="T3218" t="str">
        <f>"19:28:33.531"</f>
        <v>19:28:33.531</v>
      </c>
      <c r="U3218" t="str">
        <f t="shared" si="151"/>
        <v>a1cdbe</v>
      </c>
      <c r="V3218">
        <v>0</v>
      </c>
      <c r="W3218">
        <v>0</v>
      </c>
      <c r="X3218">
        <v>2</v>
      </c>
      <c r="Y3218">
        <v>0</v>
      </c>
      <c r="Z3218">
        <v>0</v>
      </c>
      <c r="AB3218">
        <v>0</v>
      </c>
      <c r="AC3218">
        <v>9</v>
      </c>
      <c r="AD3218">
        <v>3</v>
      </c>
      <c r="AE3218">
        <v>0</v>
      </c>
      <c r="AF3218">
        <v>9</v>
      </c>
      <c r="AG3218" t="s">
        <v>158</v>
      </c>
      <c r="AH3218">
        <v>0</v>
      </c>
      <c r="AI3218">
        <v>3</v>
      </c>
      <c r="AJ3218">
        <v>1</v>
      </c>
      <c r="AK3218">
        <v>0</v>
      </c>
      <c r="AL3218" t="s">
        <v>6054</v>
      </c>
      <c r="AM3218">
        <v>47.000219999999999</v>
      </c>
      <c r="AN3218" t="s">
        <v>6055</v>
      </c>
      <c r="AO3218">
        <v>-123.63548</v>
      </c>
      <c r="AP3218">
        <v>100</v>
      </c>
      <c r="AQ3218">
        <v>2100</v>
      </c>
      <c r="AR3218" t="s">
        <v>118</v>
      </c>
      <c r="AS3218">
        <v>-81</v>
      </c>
      <c r="AT3218">
        <v>12</v>
      </c>
      <c r="AU3218">
        <v>-64</v>
      </c>
      <c r="BC3218">
        <v>1200</v>
      </c>
      <c r="BD3218">
        <v>1</v>
      </c>
      <c r="BE3218" t="str">
        <f t="shared" si="152"/>
        <v xml:space="preserve">N215T   </v>
      </c>
      <c r="BF3218">
        <v>1</v>
      </c>
      <c r="BH3218">
        <v>0</v>
      </c>
      <c r="BI3218">
        <v>0</v>
      </c>
      <c r="BJ3218">
        <v>0</v>
      </c>
      <c r="BK3218">
        <v>2475</v>
      </c>
      <c r="BL3218">
        <v>375</v>
      </c>
      <c r="BM3218" t="s">
        <v>119</v>
      </c>
      <c r="BN3218">
        <v>1</v>
      </c>
      <c r="BO3218">
        <v>1</v>
      </c>
      <c r="BP3218">
        <v>1</v>
      </c>
      <c r="BQ3218">
        <v>0</v>
      </c>
      <c r="BT3218">
        <v>0</v>
      </c>
      <c r="BU3218">
        <v>0</v>
      </c>
      <c r="BV3218">
        <v>0</v>
      </c>
      <c r="CC3218" t="str">
        <f>"19:28:33.539"</f>
        <v>19:28:33.539</v>
      </c>
      <c r="CD3218" t="str">
        <f>"535434107"</f>
        <v>535434107</v>
      </c>
      <c r="CQ3218">
        <v>0</v>
      </c>
      <c r="CR3218">
        <v>2</v>
      </c>
      <c r="CS3218">
        <v>0</v>
      </c>
      <c r="CT3218">
        <v>2</v>
      </c>
      <c r="CU3218">
        <v>0</v>
      </c>
      <c r="CV3218">
        <v>6</v>
      </c>
      <c r="CW3218" t="s">
        <v>120</v>
      </c>
      <c r="CX3218">
        <v>257</v>
      </c>
      <c r="CY3218">
        <v>0</v>
      </c>
      <c r="CZ3218" t="s">
        <v>615</v>
      </c>
      <c r="DA3218" t="s">
        <v>616</v>
      </c>
      <c r="DD3218">
        <v>16324593</v>
      </c>
      <c r="DE3218" t="s">
        <v>123</v>
      </c>
    </row>
    <row r="3219" spans="1:109" x14ac:dyDescent="0.3">
      <c r="A3219" t="str">
        <f>"19:28:34.641"</f>
        <v>19:28:34.641</v>
      </c>
      <c r="B3219" t="s">
        <v>110</v>
      </c>
      <c r="C3219" t="str">
        <f t="shared" si="150"/>
        <v>ffdfd3c0</v>
      </c>
      <c r="D3219" t="s">
        <v>111</v>
      </c>
      <c r="E3219">
        <v>18</v>
      </c>
      <c r="F3219">
        <v>1018</v>
      </c>
      <c r="G3219" t="s">
        <v>112</v>
      </c>
      <c r="J3219" t="s">
        <v>113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R3219" t="s">
        <v>114</v>
      </c>
      <c r="S3219" t="str">
        <f>"19:28:34.414"</f>
        <v>19:28:34.414</v>
      </c>
      <c r="T3219" t="str">
        <f>"19:28:34.414"</f>
        <v>19:28:34.414</v>
      </c>
      <c r="U3219" t="str">
        <f t="shared" si="151"/>
        <v>a1cdbe</v>
      </c>
      <c r="V3219">
        <v>0</v>
      </c>
      <c r="W3219">
        <v>0</v>
      </c>
      <c r="X3219">
        <v>2</v>
      </c>
      <c r="Y3219">
        <v>0</v>
      </c>
      <c r="Z3219">
        <v>0</v>
      </c>
      <c r="AB3219">
        <v>0</v>
      </c>
      <c r="AC3219">
        <v>9</v>
      </c>
      <c r="AD3219">
        <v>3</v>
      </c>
      <c r="AE3219">
        <v>0</v>
      </c>
      <c r="AF3219">
        <v>9</v>
      </c>
      <c r="AG3219" t="s">
        <v>158</v>
      </c>
      <c r="AH3219">
        <v>0</v>
      </c>
      <c r="AI3219">
        <v>3</v>
      </c>
      <c r="AJ3219">
        <v>1</v>
      </c>
      <c r="AK3219">
        <v>0</v>
      </c>
      <c r="AL3219" t="s">
        <v>6056</v>
      </c>
      <c r="AM3219">
        <v>47.000241000000003</v>
      </c>
      <c r="AN3219" t="s">
        <v>6057</v>
      </c>
      <c r="AO3219">
        <v>-123.636017</v>
      </c>
      <c r="AP3219">
        <v>100</v>
      </c>
      <c r="AQ3219">
        <v>2100</v>
      </c>
      <c r="AR3219" t="s">
        <v>118</v>
      </c>
      <c r="AS3219">
        <v>-81</v>
      </c>
      <c r="AT3219">
        <v>12</v>
      </c>
      <c r="AU3219">
        <v>-64</v>
      </c>
      <c r="BC3219">
        <v>1200</v>
      </c>
      <c r="BD3219">
        <v>1</v>
      </c>
      <c r="BE3219" t="str">
        <f t="shared" si="152"/>
        <v xml:space="preserve">N215T   </v>
      </c>
      <c r="BF3219">
        <v>1</v>
      </c>
      <c r="BH3219">
        <v>0</v>
      </c>
      <c r="BI3219">
        <v>0</v>
      </c>
      <c r="BJ3219">
        <v>0</v>
      </c>
      <c r="BK3219">
        <v>2475</v>
      </c>
      <c r="BL3219">
        <v>375</v>
      </c>
      <c r="BM3219" t="s">
        <v>119</v>
      </c>
      <c r="BN3219">
        <v>1</v>
      </c>
      <c r="BO3219">
        <v>1</v>
      </c>
      <c r="BP3219">
        <v>1</v>
      </c>
      <c r="BQ3219">
        <v>0</v>
      </c>
      <c r="BT3219">
        <v>0</v>
      </c>
      <c r="BU3219">
        <v>0</v>
      </c>
      <c r="BV3219">
        <v>0</v>
      </c>
      <c r="CC3219" t="str">
        <f>"19:28:34.422"</f>
        <v>19:28:34.422</v>
      </c>
      <c r="CD3219" t="str">
        <f>"420346891"</f>
        <v>420346891</v>
      </c>
      <c r="CQ3219">
        <v>0</v>
      </c>
      <c r="CR3219">
        <v>2</v>
      </c>
      <c r="CS3219">
        <v>0</v>
      </c>
      <c r="CT3219">
        <v>2</v>
      </c>
      <c r="CU3219">
        <v>0</v>
      </c>
      <c r="CV3219">
        <v>6</v>
      </c>
      <c r="CW3219" t="s">
        <v>120</v>
      </c>
      <c r="CX3219">
        <v>257</v>
      </c>
      <c r="CY3219">
        <v>0</v>
      </c>
      <c r="CZ3219" t="s">
        <v>615</v>
      </c>
      <c r="DA3219" t="s">
        <v>616</v>
      </c>
      <c r="DD3219">
        <v>16325045</v>
      </c>
      <c r="DE3219" t="s">
        <v>123</v>
      </c>
    </row>
    <row r="3220" spans="1:109" x14ac:dyDescent="0.3">
      <c r="A3220" t="str">
        <f>"19:28:35.641"</f>
        <v>19:28:35.641</v>
      </c>
      <c r="B3220" t="s">
        <v>110</v>
      </c>
      <c r="C3220" t="str">
        <f t="shared" si="150"/>
        <v>ffdfd3c0</v>
      </c>
      <c r="D3220" t="s">
        <v>111</v>
      </c>
      <c r="E3220">
        <v>18</v>
      </c>
      <c r="F3220">
        <v>1018</v>
      </c>
      <c r="G3220" t="s">
        <v>112</v>
      </c>
      <c r="J3220" t="s">
        <v>113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R3220" t="s">
        <v>114</v>
      </c>
      <c r="S3220" t="str">
        <f>"19:28:35.422"</f>
        <v>19:28:35.422</v>
      </c>
      <c r="T3220" t="str">
        <f>"19:28:35.422"</f>
        <v>19:28:35.422</v>
      </c>
      <c r="U3220" t="str">
        <f t="shared" si="151"/>
        <v>a1cdbe</v>
      </c>
      <c r="V3220">
        <v>0</v>
      </c>
      <c r="W3220">
        <v>0</v>
      </c>
      <c r="X3220">
        <v>2</v>
      </c>
      <c r="Y3220">
        <v>0</v>
      </c>
      <c r="Z3220">
        <v>0</v>
      </c>
      <c r="AB3220">
        <v>0</v>
      </c>
      <c r="AC3220">
        <v>9</v>
      </c>
      <c r="AD3220">
        <v>3</v>
      </c>
      <c r="AE3220">
        <v>0</v>
      </c>
      <c r="AF3220">
        <v>9</v>
      </c>
      <c r="AG3220" t="s">
        <v>158</v>
      </c>
      <c r="AH3220">
        <v>0</v>
      </c>
      <c r="AI3220">
        <v>3</v>
      </c>
      <c r="AJ3220">
        <v>1</v>
      </c>
      <c r="AK3220">
        <v>0</v>
      </c>
      <c r="AL3220" t="s">
        <v>6058</v>
      </c>
      <c r="AM3220">
        <v>47.000306000000002</v>
      </c>
      <c r="AN3220" t="s">
        <v>6059</v>
      </c>
      <c r="AO3220">
        <v>-123.63655300000001</v>
      </c>
      <c r="AP3220">
        <v>100</v>
      </c>
      <c r="AQ3220">
        <v>2100</v>
      </c>
      <c r="AR3220" t="s">
        <v>118</v>
      </c>
      <c r="AS3220">
        <v>-81</v>
      </c>
      <c r="AT3220">
        <v>12</v>
      </c>
      <c r="AU3220">
        <v>-64</v>
      </c>
      <c r="BC3220">
        <v>1200</v>
      </c>
      <c r="BD3220">
        <v>1</v>
      </c>
      <c r="BE3220" t="str">
        <f t="shared" si="152"/>
        <v xml:space="preserve">N215T   </v>
      </c>
      <c r="BF3220">
        <v>1</v>
      </c>
      <c r="BH3220">
        <v>0</v>
      </c>
      <c r="BI3220">
        <v>0</v>
      </c>
      <c r="BJ3220">
        <v>0</v>
      </c>
      <c r="BK3220">
        <v>2475</v>
      </c>
      <c r="BL3220">
        <v>375</v>
      </c>
      <c r="BM3220" t="s">
        <v>119</v>
      </c>
      <c r="BN3220">
        <v>1</v>
      </c>
      <c r="BO3220">
        <v>1</v>
      </c>
      <c r="BP3220">
        <v>1</v>
      </c>
      <c r="BQ3220">
        <v>0</v>
      </c>
      <c r="BT3220">
        <v>0</v>
      </c>
      <c r="BU3220">
        <v>0</v>
      </c>
      <c r="BV3220">
        <v>0</v>
      </c>
      <c r="CC3220" t="str">
        <f>"19:28:35.422"</f>
        <v>19:28:35.422</v>
      </c>
      <c r="CD3220" t="str">
        <f>"425247856"</f>
        <v>425247856</v>
      </c>
      <c r="CQ3220">
        <v>0</v>
      </c>
      <c r="CR3220">
        <v>2</v>
      </c>
      <c r="CS3220">
        <v>0</v>
      </c>
      <c r="CT3220">
        <v>2</v>
      </c>
      <c r="CU3220">
        <v>0</v>
      </c>
      <c r="CV3220">
        <v>6</v>
      </c>
      <c r="CW3220" t="s">
        <v>120</v>
      </c>
      <c r="CX3220">
        <v>257</v>
      </c>
      <c r="CY3220">
        <v>0</v>
      </c>
      <c r="CZ3220" t="s">
        <v>615</v>
      </c>
      <c r="DA3220" t="s">
        <v>616</v>
      </c>
      <c r="DD3220">
        <v>16325531</v>
      </c>
      <c r="DE3220" t="s">
        <v>123</v>
      </c>
    </row>
    <row r="3221" spans="1:109" x14ac:dyDescent="0.3">
      <c r="A3221" t="str">
        <f>"19:28:36.703"</f>
        <v>19:28:36.703</v>
      </c>
      <c r="B3221" t="s">
        <v>110</v>
      </c>
      <c r="C3221" t="str">
        <f t="shared" si="150"/>
        <v>ffdfd3c0</v>
      </c>
      <c r="D3221" t="s">
        <v>111</v>
      </c>
      <c r="E3221">
        <v>18</v>
      </c>
      <c r="F3221">
        <v>1018</v>
      </c>
      <c r="G3221" t="s">
        <v>112</v>
      </c>
      <c r="J3221" t="s">
        <v>113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R3221" t="s">
        <v>114</v>
      </c>
      <c r="S3221" t="str">
        <f>"19:28:36.484"</f>
        <v>19:28:36.484</v>
      </c>
      <c r="T3221" t="str">
        <f>"19:28:36.383"</f>
        <v>19:28:36.383</v>
      </c>
      <c r="U3221" t="str">
        <f t="shared" si="151"/>
        <v>a1cdbe</v>
      </c>
      <c r="V3221">
        <v>0</v>
      </c>
      <c r="W3221">
        <v>0</v>
      </c>
      <c r="X3221">
        <v>2</v>
      </c>
      <c r="Y3221">
        <v>0</v>
      </c>
      <c r="Z3221">
        <v>0</v>
      </c>
      <c r="AB3221">
        <v>0</v>
      </c>
      <c r="AC3221">
        <v>9</v>
      </c>
      <c r="AD3221">
        <v>3</v>
      </c>
      <c r="AE3221">
        <v>0</v>
      </c>
      <c r="AF3221">
        <v>9</v>
      </c>
      <c r="AG3221" t="s">
        <v>158</v>
      </c>
      <c r="AH3221">
        <v>0</v>
      </c>
      <c r="AI3221">
        <v>3</v>
      </c>
      <c r="AJ3221">
        <v>1</v>
      </c>
      <c r="AK3221">
        <v>0</v>
      </c>
      <c r="AL3221" t="s">
        <v>6060</v>
      </c>
      <c r="AM3221">
        <v>47.000391</v>
      </c>
      <c r="AN3221" t="s">
        <v>6061</v>
      </c>
      <c r="AO3221">
        <v>-123.637111</v>
      </c>
      <c r="AP3221">
        <v>100</v>
      </c>
      <c r="AQ3221">
        <v>2100</v>
      </c>
      <c r="AR3221" t="s">
        <v>118</v>
      </c>
      <c r="AS3221">
        <v>-81</v>
      </c>
      <c r="AT3221">
        <v>12</v>
      </c>
      <c r="AU3221">
        <v>-64</v>
      </c>
      <c r="BC3221">
        <v>1200</v>
      </c>
      <c r="BD3221">
        <v>1</v>
      </c>
      <c r="BE3221" t="str">
        <f t="shared" si="152"/>
        <v xml:space="preserve">N215T   </v>
      </c>
      <c r="BF3221">
        <v>1</v>
      </c>
      <c r="BH3221">
        <v>0</v>
      </c>
      <c r="BI3221">
        <v>0</v>
      </c>
      <c r="BJ3221">
        <v>0</v>
      </c>
      <c r="BK3221">
        <v>2475</v>
      </c>
      <c r="BL3221">
        <v>375</v>
      </c>
      <c r="BM3221" t="s">
        <v>119</v>
      </c>
      <c r="BN3221">
        <v>1</v>
      </c>
      <c r="BO3221">
        <v>1</v>
      </c>
      <c r="BP3221">
        <v>1</v>
      </c>
      <c r="BQ3221">
        <v>0</v>
      </c>
      <c r="BT3221">
        <v>0</v>
      </c>
      <c r="BU3221">
        <v>0</v>
      </c>
      <c r="BV3221">
        <v>0</v>
      </c>
      <c r="CC3221" t="str">
        <f>"19:28:36.492"</f>
        <v>19:28:36.492</v>
      </c>
      <c r="CD3221" t="str">
        <f>"490142898"</f>
        <v>490142898</v>
      </c>
      <c r="CQ3221">
        <v>0</v>
      </c>
      <c r="CR3221">
        <v>2</v>
      </c>
      <c r="CS3221">
        <v>0</v>
      </c>
      <c r="CT3221">
        <v>2</v>
      </c>
      <c r="CU3221">
        <v>0</v>
      </c>
      <c r="CV3221">
        <v>6</v>
      </c>
      <c r="CW3221" t="s">
        <v>120</v>
      </c>
      <c r="CX3221">
        <v>257</v>
      </c>
      <c r="CY3221">
        <v>0</v>
      </c>
      <c r="CZ3221" t="s">
        <v>615</v>
      </c>
      <c r="DA3221" t="s">
        <v>616</v>
      </c>
      <c r="DD3221">
        <v>16326078</v>
      </c>
      <c r="DE3221" t="s">
        <v>123</v>
      </c>
    </row>
    <row r="3222" spans="1:109" x14ac:dyDescent="0.3">
      <c r="A3222" t="str">
        <f>"19:28:37.805"</f>
        <v>19:28:37.805</v>
      </c>
      <c r="B3222" t="s">
        <v>110</v>
      </c>
      <c r="C3222" t="str">
        <f t="shared" si="150"/>
        <v>ffdfd3c0</v>
      </c>
      <c r="D3222" t="s">
        <v>111</v>
      </c>
      <c r="E3222">
        <v>18</v>
      </c>
      <c r="F3222">
        <v>1018</v>
      </c>
      <c r="G3222" t="s">
        <v>112</v>
      </c>
      <c r="J3222" t="s">
        <v>113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R3222" t="s">
        <v>114</v>
      </c>
      <c r="S3222" t="str">
        <f>"19:28:37.563"</f>
        <v>19:28:37.563</v>
      </c>
      <c r="T3222" t="str">
        <f>"19:28:37.461"</f>
        <v>19:28:37.461</v>
      </c>
      <c r="U3222" t="str">
        <f t="shared" si="151"/>
        <v>a1cdbe</v>
      </c>
      <c r="V3222">
        <v>0</v>
      </c>
      <c r="W3222">
        <v>0</v>
      </c>
      <c r="X3222">
        <v>2</v>
      </c>
      <c r="Y3222">
        <v>0</v>
      </c>
      <c r="Z3222">
        <v>0</v>
      </c>
      <c r="AB3222">
        <v>0</v>
      </c>
      <c r="AC3222">
        <v>9</v>
      </c>
      <c r="AD3222">
        <v>3</v>
      </c>
      <c r="AE3222">
        <v>0</v>
      </c>
      <c r="AF3222">
        <v>9</v>
      </c>
      <c r="AG3222" t="s">
        <v>158</v>
      </c>
      <c r="AH3222">
        <v>0</v>
      </c>
      <c r="AI3222">
        <v>3</v>
      </c>
      <c r="AJ3222">
        <v>1</v>
      </c>
      <c r="AK3222">
        <v>0</v>
      </c>
      <c r="AL3222" t="s">
        <v>6062</v>
      </c>
      <c r="AM3222">
        <v>47.000433999999998</v>
      </c>
      <c r="AN3222" t="s">
        <v>6063</v>
      </c>
      <c r="AO3222">
        <v>-123.637669</v>
      </c>
      <c r="AP3222">
        <v>100</v>
      </c>
      <c r="AQ3222">
        <v>2100</v>
      </c>
      <c r="AR3222" t="s">
        <v>118</v>
      </c>
      <c r="AS3222">
        <v>-81</v>
      </c>
      <c r="AT3222">
        <v>12</v>
      </c>
      <c r="AU3222">
        <v>-64</v>
      </c>
      <c r="BC3222">
        <v>1200</v>
      </c>
      <c r="BD3222">
        <v>1</v>
      </c>
      <c r="BE3222" t="str">
        <f t="shared" si="152"/>
        <v xml:space="preserve">N215T   </v>
      </c>
      <c r="BF3222">
        <v>1</v>
      </c>
      <c r="BH3222">
        <v>0</v>
      </c>
      <c r="BI3222">
        <v>0</v>
      </c>
      <c r="BJ3222">
        <v>0</v>
      </c>
      <c r="BK3222">
        <v>2475</v>
      </c>
      <c r="BL3222">
        <v>375</v>
      </c>
      <c r="BM3222" t="s">
        <v>119</v>
      </c>
      <c r="BN3222">
        <v>1</v>
      </c>
      <c r="BO3222">
        <v>1</v>
      </c>
      <c r="BP3222">
        <v>1</v>
      </c>
      <c r="BQ3222">
        <v>0</v>
      </c>
      <c r="BT3222">
        <v>0</v>
      </c>
      <c r="BU3222">
        <v>0</v>
      </c>
      <c r="BV3222">
        <v>0</v>
      </c>
      <c r="CC3222" t="str">
        <f>"19:28:37.570"</f>
        <v>19:28:37.570</v>
      </c>
      <c r="CD3222" t="str">
        <f>"570036476"</f>
        <v>570036476</v>
      </c>
      <c r="CQ3222">
        <v>0</v>
      </c>
      <c r="CR3222">
        <v>2</v>
      </c>
      <c r="CS3222">
        <v>0</v>
      </c>
      <c r="CT3222">
        <v>2</v>
      </c>
      <c r="CU3222">
        <v>0</v>
      </c>
      <c r="CV3222">
        <v>6</v>
      </c>
      <c r="CW3222" t="s">
        <v>120</v>
      </c>
      <c r="CX3222">
        <v>257</v>
      </c>
      <c r="CY3222">
        <v>0</v>
      </c>
      <c r="CZ3222" t="s">
        <v>615</v>
      </c>
      <c r="DA3222" t="s">
        <v>616</v>
      </c>
      <c r="DD3222">
        <v>16326648</v>
      </c>
      <c r="DE3222" t="s">
        <v>123</v>
      </c>
    </row>
    <row r="3223" spans="1:109" x14ac:dyDescent="0.3">
      <c r="A3223" t="str">
        <f>"19:28:38.859"</f>
        <v>19:28:38.859</v>
      </c>
      <c r="B3223" t="s">
        <v>110</v>
      </c>
      <c r="C3223" t="str">
        <f t="shared" si="150"/>
        <v>ffdfd3c0</v>
      </c>
      <c r="D3223" t="s">
        <v>111</v>
      </c>
      <c r="E3223">
        <v>18</v>
      </c>
      <c r="F3223">
        <v>1018</v>
      </c>
      <c r="G3223" t="s">
        <v>112</v>
      </c>
      <c r="J3223" t="s">
        <v>113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R3223" t="s">
        <v>114</v>
      </c>
      <c r="S3223" t="str">
        <f>"19:28:38.617"</f>
        <v>19:28:38.617</v>
      </c>
      <c r="T3223" t="str">
        <f>"19:28:38.516"</f>
        <v>19:28:38.516</v>
      </c>
      <c r="U3223" t="str">
        <f t="shared" si="151"/>
        <v>a1cdbe</v>
      </c>
      <c r="V3223">
        <v>0</v>
      </c>
      <c r="W3223">
        <v>0</v>
      </c>
      <c r="X3223">
        <v>2</v>
      </c>
      <c r="Y3223">
        <v>0</v>
      </c>
      <c r="Z3223">
        <v>0</v>
      </c>
      <c r="AB3223">
        <v>0</v>
      </c>
      <c r="AC3223">
        <v>9</v>
      </c>
      <c r="AD3223">
        <v>3</v>
      </c>
      <c r="AE3223">
        <v>0</v>
      </c>
      <c r="AF3223">
        <v>9</v>
      </c>
      <c r="AG3223" t="s">
        <v>158</v>
      </c>
      <c r="AH3223">
        <v>0</v>
      </c>
      <c r="AI3223">
        <v>3</v>
      </c>
      <c r="AJ3223">
        <v>1</v>
      </c>
      <c r="AK3223">
        <v>0</v>
      </c>
      <c r="AL3223" t="s">
        <v>6064</v>
      </c>
      <c r="AM3223">
        <v>47.000498999999998</v>
      </c>
      <c r="AN3223" t="s">
        <v>6065</v>
      </c>
      <c r="AO3223">
        <v>-123.638227</v>
      </c>
      <c r="AP3223">
        <v>100</v>
      </c>
      <c r="AQ3223">
        <v>2100</v>
      </c>
      <c r="AR3223" t="s">
        <v>118</v>
      </c>
      <c r="AS3223">
        <v>-80</v>
      </c>
      <c r="AT3223">
        <v>12</v>
      </c>
      <c r="AU3223">
        <v>-64</v>
      </c>
      <c r="BC3223">
        <v>1200</v>
      </c>
      <c r="BD3223">
        <v>1</v>
      </c>
      <c r="BE3223" t="str">
        <f t="shared" si="152"/>
        <v xml:space="preserve">N215T   </v>
      </c>
      <c r="BF3223">
        <v>1</v>
      </c>
      <c r="BH3223">
        <v>0</v>
      </c>
      <c r="BI3223">
        <v>0</v>
      </c>
      <c r="BJ3223">
        <v>0</v>
      </c>
      <c r="BK3223">
        <v>2475</v>
      </c>
      <c r="BL3223">
        <v>375</v>
      </c>
      <c r="BM3223" t="s">
        <v>119</v>
      </c>
      <c r="BN3223">
        <v>1</v>
      </c>
      <c r="BO3223">
        <v>1</v>
      </c>
      <c r="BP3223">
        <v>1</v>
      </c>
      <c r="BQ3223">
        <v>0</v>
      </c>
      <c r="BT3223">
        <v>0</v>
      </c>
      <c r="BU3223">
        <v>0</v>
      </c>
      <c r="BV3223">
        <v>0</v>
      </c>
      <c r="CC3223" t="str">
        <f>"19:28:38.617"</f>
        <v>19:28:38.617</v>
      </c>
      <c r="CD3223" t="str">
        <f>"619933003"</f>
        <v>619933003</v>
      </c>
      <c r="CQ3223">
        <v>0</v>
      </c>
      <c r="CR3223">
        <v>2</v>
      </c>
      <c r="CS3223">
        <v>0</v>
      </c>
      <c r="CT3223">
        <v>2</v>
      </c>
      <c r="CU3223">
        <v>0</v>
      </c>
      <c r="CV3223">
        <v>6</v>
      </c>
      <c r="CW3223" t="s">
        <v>120</v>
      </c>
      <c r="CX3223">
        <v>257</v>
      </c>
      <c r="CY3223">
        <v>0</v>
      </c>
      <c r="CZ3223" t="s">
        <v>615</v>
      </c>
      <c r="DA3223" t="s">
        <v>616</v>
      </c>
      <c r="DD3223">
        <v>16327200</v>
      </c>
      <c r="DE3223" t="s">
        <v>123</v>
      </c>
    </row>
    <row r="3224" spans="1:109" x14ac:dyDescent="0.3">
      <c r="A3224" t="str">
        <f>"19:28:39.867"</f>
        <v>19:28:39.867</v>
      </c>
      <c r="B3224" t="s">
        <v>110</v>
      </c>
      <c r="C3224" t="str">
        <f t="shared" si="150"/>
        <v>ffdfd3c0</v>
      </c>
      <c r="D3224" t="s">
        <v>111</v>
      </c>
      <c r="E3224">
        <v>18</v>
      </c>
      <c r="F3224">
        <v>1018</v>
      </c>
      <c r="G3224" t="s">
        <v>112</v>
      </c>
      <c r="J3224" t="s">
        <v>113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R3224" t="s">
        <v>114</v>
      </c>
      <c r="S3224" t="str">
        <f>"19:28:39.664"</f>
        <v>19:28:39.664</v>
      </c>
      <c r="T3224" t="str">
        <f>"19:28:39.664"</f>
        <v>19:28:39.664</v>
      </c>
      <c r="U3224" t="str">
        <f t="shared" si="151"/>
        <v>a1cdbe</v>
      </c>
      <c r="V3224">
        <v>0</v>
      </c>
      <c r="W3224">
        <v>0</v>
      </c>
      <c r="X3224">
        <v>2</v>
      </c>
      <c r="Y3224">
        <v>0</v>
      </c>
      <c r="Z3224">
        <v>0</v>
      </c>
      <c r="AB3224">
        <v>0</v>
      </c>
      <c r="AC3224">
        <v>9</v>
      </c>
      <c r="AD3224">
        <v>3</v>
      </c>
      <c r="AE3224">
        <v>0</v>
      </c>
      <c r="AF3224">
        <v>9</v>
      </c>
      <c r="AG3224" t="s">
        <v>158</v>
      </c>
      <c r="AH3224">
        <v>0</v>
      </c>
      <c r="AI3224">
        <v>3</v>
      </c>
      <c r="AJ3224">
        <v>1</v>
      </c>
      <c r="AK3224">
        <v>0</v>
      </c>
      <c r="AL3224" t="s">
        <v>6066</v>
      </c>
      <c r="AM3224">
        <v>47.000563</v>
      </c>
      <c r="AN3224" t="s">
        <v>6067</v>
      </c>
      <c r="AO3224">
        <v>-123.638828</v>
      </c>
      <c r="AP3224">
        <v>100</v>
      </c>
      <c r="AQ3224">
        <v>2100</v>
      </c>
      <c r="AR3224" t="s">
        <v>118</v>
      </c>
      <c r="AS3224">
        <v>-80</v>
      </c>
      <c r="AT3224">
        <v>12</v>
      </c>
      <c r="AU3224">
        <v>0</v>
      </c>
      <c r="BC3224">
        <v>1200</v>
      </c>
      <c r="BD3224">
        <v>1</v>
      </c>
      <c r="BE3224" t="str">
        <f t="shared" si="152"/>
        <v xml:space="preserve">N215T   </v>
      </c>
      <c r="BF3224">
        <v>1</v>
      </c>
      <c r="BH3224">
        <v>0</v>
      </c>
      <c r="BI3224">
        <v>0</v>
      </c>
      <c r="BJ3224">
        <v>0</v>
      </c>
      <c r="BK3224">
        <v>2475</v>
      </c>
      <c r="BL3224">
        <v>375</v>
      </c>
      <c r="BM3224" t="s">
        <v>119</v>
      </c>
      <c r="BN3224">
        <v>1</v>
      </c>
      <c r="BO3224">
        <v>1</v>
      </c>
      <c r="BP3224">
        <v>1</v>
      </c>
      <c r="BQ3224">
        <v>0</v>
      </c>
      <c r="BT3224">
        <v>0</v>
      </c>
      <c r="BU3224">
        <v>0</v>
      </c>
      <c r="BV3224">
        <v>0</v>
      </c>
      <c r="CC3224" t="str">
        <f>"19:28:39.672"</f>
        <v>19:28:39.672</v>
      </c>
      <c r="CD3224" t="str">
        <f>"669829530"</f>
        <v>669829530</v>
      </c>
      <c r="CQ3224">
        <v>0</v>
      </c>
      <c r="CR3224">
        <v>2</v>
      </c>
      <c r="CS3224">
        <v>0</v>
      </c>
      <c r="CT3224">
        <v>2</v>
      </c>
      <c r="CU3224">
        <v>0</v>
      </c>
      <c r="CV3224">
        <v>6</v>
      </c>
      <c r="CW3224" t="s">
        <v>120</v>
      </c>
      <c r="CX3224">
        <v>257</v>
      </c>
      <c r="CY3224">
        <v>0</v>
      </c>
      <c r="CZ3224" t="s">
        <v>615</v>
      </c>
      <c r="DA3224" t="s">
        <v>616</v>
      </c>
      <c r="DD3224">
        <v>16327706</v>
      </c>
      <c r="DE3224" t="s">
        <v>123</v>
      </c>
    </row>
    <row r="3225" spans="1:109" x14ac:dyDescent="0.3">
      <c r="A3225" t="str">
        <f>"19:28:40.773"</f>
        <v>19:28:40.773</v>
      </c>
      <c r="B3225" t="s">
        <v>110</v>
      </c>
      <c r="C3225" t="str">
        <f t="shared" si="150"/>
        <v>ffdfd3c0</v>
      </c>
      <c r="D3225" t="s">
        <v>111</v>
      </c>
      <c r="E3225">
        <v>18</v>
      </c>
      <c r="F3225">
        <v>1018</v>
      </c>
      <c r="G3225" t="s">
        <v>112</v>
      </c>
      <c r="J3225" t="s">
        <v>113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R3225" t="s">
        <v>114</v>
      </c>
      <c r="S3225" t="str">
        <f>"19:28:40.555"</f>
        <v>19:28:40.555</v>
      </c>
      <c r="T3225" t="str">
        <f>"19:28:40.156"</f>
        <v>19:28:40.156</v>
      </c>
      <c r="U3225" t="str">
        <f t="shared" si="151"/>
        <v>a1cdbe</v>
      </c>
      <c r="V3225">
        <v>0</v>
      </c>
      <c r="W3225">
        <v>0</v>
      </c>
      <c r="X3225">
        <v>2</v>
      </c>
      <c r="Y3225">
        <v>0</v>
      </c>
      <c r="Z3225">
        <v>0</v>
      </c>
      <c r="AB3225">
        <v>0</v>
      </c>
      <c r="AC3225">
        <v>9</v>
      </c>
      <c r="AD3225">
        <v>3</v>
      </c>
      <c r="AE3225">
        <v>0</v>
      </c>
      <c r="AF3225">
        <v>9</v>
      </c>
      <c r="AG3225" t="s">
        <v>158</v>
      </c>
      <c r="AH3225">
        <v>0</v>
      </c>
      <c r="AI3225">
        <v>3</v>
      </c>
      <c r="AJ3225">
        <v>1</v>
      </c>
      <c r="AK3225">
        <v>0</v>
      </c>
      <c r="AL3225" t="s">
        <v>6068</v>
      </c>
      <c r="AM3225">
        <v>47.000585000000001</v>
      </c>
      <c r="AN3225" t="s">
        <v>6069</v>
      </c>
      <c r="AO3225">
        <v>-123.63930000000001</v>
      </c>
      <c r="AP3225">
        <v>100</v>
      </c>
      <c r="AQ3225">
        <v>2100</v>
      </c>
      <c r="AR3225" t="s">
        <v>118</v>
      </c>
      <c r="AS3225">
        <v>-80</v>
      </c>
      <c r="AT3225">
        <v>12</v>
      </c>
      <c r="AU3225">
        <v>0</v>
      </c>
      <c r="BC3225">
        <v>1200</v>
      </c>
      <c r="BD3225">
        <v>1</v>
      </c>
      <c r="BE3225" t="str">
        <f t="shared" si="152"/>
        <v xml:space="preserve">N215T   </v>
      </c>
      <c r="BF3225">
        <v>1</v>
      </c>
      <c r="BH3225">
        <v>0</v>
      </c>
      <c r="BI3225">
        <v>0</v>
      </c>
      <c r="BJ3225">
        <v>0</v>
      </c>
      <c r="BK3225">
        <v>2475</v>
      </c>
      <c r="BL3225">
        <v>375</v>
      </c>
      <c r="BM3225" t="s">
        <v>119</v>
      </c>
      <c r="BN3225">
        <v>1</v>
      </c>
      <c r="BO3225">
        <v>1</v>
      </c>
      <c r="BP3225">
        <v>1</v>
      </c>
      <c r="BQ3225">
        <v>0</v>
      </c>
      <c r="BT3225">
        <v>0</v>
      </c>
      <c r="BU3225">
        <v>0</v>
      </c>
      <c r="BV3225">
        <v>0</v>
      </c>
      <c r="CC3225" t="str">
        <f>"19:28:40.555"</f>
        <v>19:28:40.555</v>
      </c>
      <c r="CD3225" t="str">
        <f>"554742314"</f>
        <v>554742314</v>
      </c>
      <c r="CQ3225">
        <v>0</v>
      </c>
      <c r="CR3225">
        <v>2</v>
      </c>
      <c r="CS3225">
        <v>0</v>
      </c>
      <c r="CT3225">
        <v>2</v>
      </c>
      <c r="CU3225">
        <v>0</v>
      </c>
      <c r="CV3225">
        <v>6</v>
      </c>
      <c r="CW3225" t="s">
        <v>120</v>
      </c>
      <c r="CX3225">
        <v>257</v>
      </c>
      <c r="CY3225">
        <v>0</v>
      </c>
      <c r="CZ3225" t="s">
        <v>615</v>
      </c>
      <c r="DA3225" t="s">
        <v>616</v>
      </c>
      <c r="DD3225">
        <v>16328118</v>
      </c>
      <c r="DE3225" t="s">
        <v>123</v>
      </c>
    </row>
    <row r="3226" spans="1:109" x14ac:dyDescent="0.3">
      <c r="A3226" t="str">
        <f>"19:28:41.727"</f>
        <v>19:28:41.727</v>
      </c>
      <c r="B3226" t="s">
        <v>110</v>
      </c>
      <c r="C3226" t="str">
        <f t="shared" si="150"/>
        <v>ffdfd3c0</v>
      </c>
      <c r="D3226" t="s">
        <v>111</v>
      </c>
      <c r="E3226">
        <v>18</v>
      </c>
      <c r="F3226">
        <v>1018</v>
      </c>
      <c r="G3226" t="s">
        <v>112</v>
      </c>
      <c r="J3226" t="s">
        <v>113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R3226" t="s">
        <v>114</v>
      </c>
      <c r="S3226" t="str">
        <f>"19:28:41.492"</f>
        <v>19:28:41.492</v>
      </c>
      <c r="T3226" t="str">
        <f>"19:28:41.289"</f>
        <v>19:28:41.289</v>
      </c>
      <c r="U3226" t="str">
        <f t="shared" si="151"/>
        <v>a1cdbe</v>
      </c>
      <c r="V3226">
        <v>0</v>
      </c>
      <c r="W3226">
        <v>0</v>
      </c>
      <c r="X3226">
        <v>2</v>
      </c>
      <c r="Y3226">
        <v>0</v>
      </c>
      <c r="Z3226">
        <v>0</v>
      </c>
      <c r="AB3226">
        <v>0</v>
      </c>
      <c r="AC3226">
        <v>9</v>
      </c>
      <c r="AD3226">
        <v>3</v>
      </c>
      <c r="AE3226">
        <v>0</v>
      </c>
      <c r="AF3226">
        <v>9</v>
      </c>
      <c r="AG3226" t="s">
        <v>158</v>
      </c>
      <c r="AH3226">
        <v>0</v>
      </c>
      <c r="AI3226">
        <v>3</v>
      </c>
      <c r="AJ3226">
        <v>1</v>
      </c>
      <c r="AK3226">
        <v>0</v>
      </c>
      <c r="AL3226" t="s">
        <v>6070</v>
      </c>
      <c r="AM3226">
        <v>47.00067</v>
      </c>
      <c r="AN3226" t="s">
        <v>6071</v>
      </c>
      <c r="AO3226">
        <v>-123.639858</v>
      </c>
      <c r="AP3226">
        <v>100</v>
      </c>
      <c r="AQ3226">
        <v>2100</v>
      </c>
      <c r="AR3226" t="s">
        <v>118</v>
      </c>
      <c r="AS3226">
        <v>-80</v>
      </c>
      <c r="AT3226">
        <v>13</v>
      </c>
      <c r="AU3226">
        <v>64</v>
      </c>
      <c r="BC3226">
        <v>1200</v>
      </c>
      <c r="BD3226">
        <v>1</v>
      </c>
      <c r="BE3226" t="str">
        <f t="shared" si="152"/>
        <v xml:space="preserve">N215T   </v>
      </c>
      <c r="BF3226">
        <v>1</v>
      </c>
      <c r="BH3226">
        <v>0</v>
      </c>
      <c r="BI3226">
        <v>0</v>
      </c>
      <c r="BJ3226">
        <v>0</v>
      </c>
      <c r="BK3226">
        <v>2475</v>
      </c>
      <c r="BL3226">
        <v>375</v>
      </c>
      <c r="BM3226" t="s">
        <v>119</v>
      </c>
      <c r="BN3226">
        <v>1</v>
      </c>
      <c r="BO3226">
        <v>1</v>
      </c>
      <c r="BP3226">
        <v>1</v>
      </c>
      <c r="BQ3226">
        <v>0</v>
      </c>
      <c r="BT3226">
        <v>0</v>
      </c>
      <c r="BU3226">
        <v>0</v>
      </c>
      <c r="BV3226">
        <v>0</v>
      </c>
      <c r="CC3226" t="str">
        <f>"19:28:41.500"</f>
        <v>19:28:41.500</v>
      </c>
      <c r="CD3226" t="str">
        <f>"499649182"</f>
        <v>499649182</v>
      </c>
      <c r="CQ3226">
        <v>0</v>
      </c>
      <c r="CR3226">
        <v>2</v>
      </c>
      <c r="CS3226">
        <v>0</v>
      </c>
      <c r="CT3226">
        <v>2</v>
      </c>
      <c r="CU3226">
        <v>0</v>
      </c>
      <c r="CV3226">
        <v>6</v>
      </c>
      <c r="CW3226" t="s">
        <v>120</v>
      </c>
      <c r="CX3226">
        <v>257</v>
      </c>
      <c r="CY3226">
        <v>0</v>
      </c>
      <c r="CZ3226" t="s">
        <v>615</v>
      </c>
      <c r="DA3226" t="s">
        <v>616</v>
      </c>
      <c r="DD3226">
        <v>16328583</v>
      </c>
      <c r="DE3226" t="s">
        <v>123</v>
      </c>
    </row>
    <row r="3227" spans="1:109" x14ac:dyDescent="0.3">
      <c r="A3227" t="str">
        <f>"19:28:42.781"</f>
        <v>19:28:42.781</v>
      </c>
      <c r="B3227" t="s">
        <v>110</v>
      </c>
      <c r="C3227" t="str">
        <f t="shared" si="150"/>
        <v>ffdfd3c0</v>
      </c>
      <c r="D3227" t="s">
        <v>111</v>
      </c>
      <c r="E3227">
        <v>18</v>
      </c>
      <c r="F3227">
        <v>1018</v>
      </c>
      <c r="G3227" t="s">
        <v>112</v>
      </c>
      <c r="J3227" t="s">
        <v>113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R3227" t="s">
        <v>114</v>
      </c>
      <c r="S3227" t="str">
        <f>"19:28:42.516"</f>
        <v>19:28:42.516</v>
      </c>
      <c r="T3227" t="str">
        <f>"19:28:42.313"</f>
        <v>19:28:42.313</v>
      </c>
      <c r="U3227" t="str">
        <f t="shared" si="151"/>
        <v>a1cdbe</v>
      </c>
      <c r="V3227">
        <v>0</v>
      </c>
      <c r="W3227">
        <v>0</v>
      </c>
      <c r="X3227">
        <v>2</v>
      </c>
      <c r="Y3227">
        <v>0</v>
      </c>
      <c r="Z3227">
        <v>0</v>
      </c>
      <c r="AB3227">
        <v>0</v>
      </c>
      <c r="AC3227">
        <v>9</v>
      </c>
      <c r="AD3227">
        <v>3</v>
      </c>
      <c r="AE3227">
        <v>0</v>
      </c>
      <c r="AF3227">
        <v>9</v>
      </c>
      <c r="AG3227" t="s">
        <v>158</v>
      </c>
      <c r="AH3227">
        <v>0</v>
      </c>
      <c r="AI3227">
        <v>3</v>
      </c>
      <c r="AJ3227">
        <v>1</v>
      </c>
      <c r="AK3227">
        <v>0</v>
      </c>
      <c r="AL3227" t="s">
        <v>6072</v>
      </c>
      <c r="AM3227">
        <v>47.000692000000001</v>
      </c>
      <c r="AN3227" t="s">
        <v>6073</v>
      </c>
      <c r="AO3227">
        <v>-123.640416</v>
      </c>
      <c r="AP3227">
        <v>100</v>
      </c>
      <c r="AQ3227">
        <v>2100</v>
      </c>
      <c r="AR3227" t="s">
        <v>118</v>
      </c>
      <c r="AS3227">
        <v>-79</v>
      </c>
      <c r="AT3227">
        <v>13</v>
      </c>
      <c r="AU3227">
        <v>64</v>
      </c>
      <c r="BC3227">
        <v>1200</v>
      </c>
      <c r="BD3227">
        <v>1</v>
      </c>
      <c r="BE3227" t="str">
        <f t="shared" si="152"/>
        <v xml:space="preserve">N215T   </v>
      </c>
      <c r="BF3227">
        <v>1</v>
      </c>
      <c r="BH3227">
        <v>0</v>
      </c>
      <c r="BI3227">
        <v>0</v>
      </c>
      <c r="BJ3227">
        <v>0</v>
      </c>
      <c r="BK3227">
        <v>2475</v>
      </c>
      <c r="BL3227">
        <v>375</v>
      </c>
      <c r="BM3227" t="s">
        <v>119</v>
      </c>
      <c r="BN3227">
        <v>1</v>
      </c>
      <c r="BO3227">
        <v>1</v>
      </c>
      <c r="BP3227">
        <v>1</v>
      </c>
      <c r="BQ3227">
        <v>0</v>
      </c>
      <c r="BT3227">
        <v>0</v>
      </c>
      <c r="BU3227">
        <v>0</v>
      </c>
      <c r="BV3227">
        <v>0</v>
      </c>
      <c r="CC3227" t="str">
        <f>"19:28:42.523"</f>
        <v>19:28:42.523</v>
      </c>
      <c r="CD3227" t="str">
        <f>"519548667"</f>
        <v>519548667</v>
      </c>
      <c r="CQ3227">
        <v>0</v>
      </c>
      <c r="CR3227">
        <v>2</v>
      </c>
      <c r="CS3227">
        <v>0</v>
      </c>
      <c r="CT3227">
        <v>2</v>
      </c>
      <c r="CU3227">
        <v>0</v>
      </c>
      <c r="CV3227">
        <v>6</v>
      </c>
      <c r="CW3227" t="s">
        <v>120</v>
      </c>
      <c r="CX3227">
        <v>257</v>
      </c>
      <c r="CY3227">
        <v>0</v>
      </c>
      <c r="CZ3227" t="s">
        <v>615</v>
      </c>
      <c r="DA3227" t="s">
        <v>616</v>
      </c>
      <c r="DD3227">
        <v>16329136</v>
      </c>
      <c r="DE3227" t="s">
        <v>123</v>
      </c>
    </row>
    <row r="3228" spans="1:109" x14ac:dyDescent="0.3">
      <c r="A3228" t="str">
        <f>"19:28:43.688"</f>
        <v>19:28:43.688</v>
      </c>
      <c r="B3228" t="s">
        <v>110</v>
      </c>
      <c r="C3228" t="str">
        <f t="shared" si="150"/>
        <v>ffdfd3c0</v>
      </c>
      <c r="D3228" t="s">
        <v>111</v>
      </c>
      <c r="E3228">
        <v>18</v>
      </c>
      <c r="F3228">
        <v>1018</v>
      </c>
      <c r="G3228" t="s">
        <v>112</v>
      </c>
      <c r="J3228" t="s">
        <v>113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R3228" t="s">
        <v>114</v>
      </c>
      <c r="S3228" t="str">
        <f>"19:28:43.430"</f>
        <v>19:28:43.430</v>
      </c>
      <c r="T3228" t="str">
        <f>"19:28:43.227"</f>
        <v>19:28:43.227</v>
      </c>
      <c r="U3228" t="str">
        <f t="shared" si="151"/>
        <v>a1cdbe</v>
      </c>
      <c r="V3228">
        <v>0</v>
      </c>
      <c r="W3228">
        <v>0</v>
      </c>
      <c r="X3228">
        <v>2</v>
      </c>
      <c r="Y3228">
        <v>0</v>
      </c>
      <c r="Z3228">
        <v>0</v>
      </c>
      <c r="AB3228">
        <v>0</v>
      </c>
      <c r="AC3228">
        <v>9</v>
      </c>
      <c r="AD3228">
        <v>3</v>
      </c>
      <c r="AE3228">
        <v>0</v>
      </c>
      <c r="AF3228">
        <v>9</v>
      </c>
      <c r="AG3228" t="s">
        <v>158</v>
      </c>
      <c r="AH3228">
        <v>0</v>
      </c>
      <c r="AI3228">
        <v>3</v>
      </c>
      <c r="AJ3228">
        <v>1</v>
      </c>
      <c r="AK3228">
        <v>0</v>
      </c>
      <c r="AL3228" t="s">
        <v>6074</v>
      </c>
      <c r="AM3228">
        <v>47.000777999999997</v>
      </c>
      <c r="AN3228" t="s">
        <v>6075</v>
      </c>
      <c r="AO3228">
        <v>-123.640845</v>
      </c>
      <c r="AP3228">
        <v>100</v>
      </c>
      <c r="AQ3228">
        <v>2100</v>
      </c>
      <c r="AR3228" t="s">
        <v>118</v>
      </c>
      <c r="AS3228">
        <v>-79</v>
      </c>
      <c r="AT3228">
        <v>13</v>
      </c>
      <c r="AU3228">
        <v>64</v>
      </c>
      <c r="BC3228">
        <v>1200</v>
      </c>
      <c r="BD3228">
        <v>1</v>
      </c>
      <c r="BE3228" t="str">
        <f t="shared" si="152"/>
        <v xml:space="preserve">N215T   </v>
      </c>
      <c r="BF3228">
        <v>1</v>
      </c>
      <c r="BH3228">
        <v>0</v>
      </c>
      <c r="BI3228">
        <v>0</v>
      </c>
      <c r="BJ3228">
        <v>0</v>
      </c>
      <c r="BK3228">
        <v>2475</v>
      </c>
      <c r="BL3228">
        <v>375</v>
      </c>
      <c r="BM3228" t="s">
        <v>119</v>
      </c>
      <c r="BN3228">
        <v>1</v>
      </c>
      <c r="BO3228">
        <v>1</v>
      </c>
      <c r="BP3228">
        <v>1</v>
      </c>
      <c r="BQ3228">
        <v>0</v>
      </c>
      <c r="BT3228">
        <v>0</v>
      </c>
      <c r="BU3228">
        <v>0</v>
      </c>
      <c r="BV3228">
        <v>0</v>
      </c>
      <c r="CC3228" t="str">
        <f>"19:28:43.438"</f>
        <v>19:28:43.438</v>
      </c>
      <c r="CD3228" t="str">
        <f>"434458505"</f>
        <v>434458505</v>
      </c>
      <c r="CQ3228">
        <v>0</v>
      </c>
      <c r="CR3228">
        <v>2</v>
      </c>
      <c r="CS3228">
        <v>0</v>
      </c>
      <c r="CT3228">
        <v>2</v>
      </c>
      <c r="CU3228">
        <v>0</v>
      </c>
      <c r="CV3228">
        <v>6</v>
      </c>
      <c r="CW3228" t="s">
        <v>120</v>
      </c>
      <c r="CX3228">
        <v>257</v>
      </c>
      <c r="CY3228">
        <v>0</v>
      </c>
      <c r="CZ3228" t="s">
        <v>615</v>
      </c>
      <c r="DA3228" t="s">
        <v>616</v>
      </c>
      <c r="DD3228">
        <v>16329577</v>
      </c>
      <c r="DE3228" t="s">
        <v>123</v>
      </c>
    </row>
    <row r="3229" spans="1:109" x14ac:dyDescent="0.3">
      <c r="A3229" t="str">
        <f>"19:28:44.797"</f>
        <v>19:28:44.797</v>
      </c>
      <c r="B3229" t="s">
        <v>110</v>
      </c>
      <c r="C3229" t="str">
        <f t="shared" si="150"/>
        <v>ffdfd3c0</v>
      </c>
      <c r="D3229" t="s">
        <v>111</v>
      </c>
      <c r="E3229">
        <v>18</v>
      </c>
      <c r="F3229">
        <v>1018</v>
      </c>
      <c r="G3229" t="s">
        <v>112</v>
      </c>
      <c r="J3229" t="s">
        <v>113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R3229" t="s">
        <v>114</v>
      </c>
      <c r="S3229" t="str">
        <f>"19:28:44.602"</f>
        <v>19:28:44.602</v>
      </c>
      <c r="T3229" t="str">
        <f>"19:28:44.500"</f>
        <v>19:28:44.500</v>
      </c>
      <c r="U3229" t="str">
        <f t="shared" si="151"/>
        <v>a1cdbe</v>
      </c>
      <c r="V3229">
        <v>0</v>
      </c>
      <c r="W3229">
        <v>0</v>
      </c>
      <c r="X3229">
        <v>2</v>
      </c>
      <c r="Y3229">
        <v>0</v>
      </c>
      <c r="Z3229">
        <v>0</v>
      </c>
      <c r="AB3229">
        <v>0</v>
      </c>
      <c r="AC3229">
        <v>9</v>
      </c>
      <c r="AD3229">
        <v>3</v>
      </c>
      <c r="AE3229">
        <v>0</v>
      </c>
      <c r="AF3229">
        <v>9</v>
      </c>
      <c r="AG3229" t="s">
        <v>158</v>
      </c>
      <c r="AH3229">
        <v>0</v>
      </c>
      <c r="AI3229">
        <v>3</v>
      </c>
      <c r="AJ3229">
        <v>1</v>
      </c>
      <c r="AK3229">
        <v>0</v>
      </c>
      <c r="AL3229" t="s">
        <v>6076</v>
      </c>
      <c r="AM3229">
        <v>47.000821000000002</v>
      </c>
      <c r="AN3229" t="s">
        <v>6077</v>
      </c>
      <c r="AO3229">
        <v>-123.64146700000001</v>
      </c>
      <c r="AP3229">
        <v>100</v>
      </c>
      <c r="AQ3229">
        <v>2100</v>
      </c>
      <c r="AR3229" t="s">
        <v>118</v>
      </c>
      <c r="AS3229">
        <v>-78</v>
      </c>
      <c r="AT3229">
        <v>13</v>
      </c>
      <c r="AU3229">
        <v>128</v>
      </c>
      <c r="BC3229">
        <v>1200</v>
      </c>
      <c r="BD3229">
        <v>1</v>
      </c>
      <c r="BE3229" t="str">
        <f t="shared" si="152"/>
        <v xml:space="preserve">N215T   </v>
      </c>
      <c r="BF3229">
        <v>1</v>
      </c>
      <c r="BH3229">
        <v>0</v>
      </c>
      <c r="BI3229">
        <v>0</v>
      </c>
      <c r="BJ3229">
        <v>0</v>
      </c>
      <c r="BK3229">
        <v>2475</v>
      </c>
      <c r="BL3229">
        <v>375</v>
      </c>
      <c r="BM3229" t="s">
        <v>119</v>
      </c>
      <c r="BN3229">
        <v>1</v>
      </c>
      <c r="BO3229">
        <v>1</v>
      </c>
      <c r="BP3229">
        <v>1</v>
      </c>
      <c r="BQ3229">
        <v>0</v>
      </c>
      <c r="BT3229">
        <v>0</v>
      </c>
      <c r="BU3229">
        <v>0</v>
      </c>
      <c r="BV3229">
        <v>0</v>
      </c>
      <c r="CC3229" t="str">
        <f>"19:28:44.602"</f>
        <v>19:28:44.602</v>
      </c>
      <c r="CD3229" t="str">
        <f>"604343202"</f>
        <v>604343202</v>
      </c>
      <c r="CQ3229">
        <v>0</v>
      </c>
      <c r="CR3229">
        <v>2</v>
      </c>
      <c r="CS3229">
        <v>0</v>
      </c>
      <c r="CT3229">
        <v>2</v>
      </c>
      <c r="CU3229">
        <v>0</v>
      </c>
      <c r="CV3229">
        <v>6</v>
      </c>
      <c r="CW3229" t="s">
        <v>120</v>
      </c>
      <c r="CX3229">
        <v>257</v>
      </c>
      <c r="CY3229">
        <v>0</v>
      </c>
      <c r="CZ3229" t="s">
        <v>615</v>
      </c>
      <c r="DA3229" t="s">
        <v>616</v>
      </c>
      <c r="DD3229">
        <v>16330146</v>
      </c>
      <c r="DE3229" t="s">
        <v>123</v>
      </c>
    </row>
    <row r="3230" spans="1:109" x14ac:dyDescent="0.3">
      <c r="A3230" t="str">
        <f>"19:28:45.852"</f>
        <v>19:28:45.852</v>
      </c>
      <c r="B3230" t="s">
        <v>110</v>
      </c>
      <c r="C3230" t="str">
        <f t="shared" si="150"/>
        <v>ffdfd3c0</v>
      </c>
      <c r="D3230" t="s">
        <v>111</v>
      </c>
      <c r="E3230">
        <v>18</v>
      </c>
      <c r="F3230">
        <v>1018</v>
      </c>
      <c r="G3230" t="s">
        <v>112</v>
      </c>
      <c r="J3230" t="s">
        <v>113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R3230" t="s">
        <v>114</v>
      </c>
      <c r="S3230" t="str">
        <f>"19:28:45.594"</f>
        <v>19:28:45.594</v>
      </c>
      <c r="T3230" t="str">
        <f>"19:28:45.594"</f>
        <v>19:28:45.594</v>
      </c>
      <c r="U3230" t="str">
        <f t="shared" si="151"/>
        <v>a1cdbe</v>
      </c>
      <c r="V3230">
        <v>0</v>
      </c>
      <c r="W3230">
        <v>0</v>
      </c>
      <c r="X3230">
        <v>2</v>
      </c>
      <c r="Y3230">
        <v>0</v>
      </c>
      <c r="Z3230">
        <v>0</v>
      </c>
      <c r="AB3230">
        <v>0</v>
      </c>
      <c r="AC3230">
        <v>9</v>
      </c>
      <c r="AD3230">
        <v>3</v>
      </c>
      <c r="AE3230">
        <v>0</v>
      </c>
      <c r="AF3230">
        <v>9</v>
      </c>
      <c r="AG3230" t="s">
        <v>158</v>
      </c>
      <c r="AH3230">
        <v>0</v>
      </c>
      <c r="AI3230">
        <v>3</v>
      </c>
      <c r="AJ3230">
        <v>1</v>
      </c>
      <c r="AK3230">
        <v>0</v>
      </c>
      <c r="AL3230" t="s">
        <v>6078</v>
      </c>
      <c r="AM3230">
        <v>47.000884999999997</v>
      </c>
      <c r="AN3230" t="s">
        <v>6079</v>
      </c>
      <c r="AO3230">
        <v>-123.641982</v>
      </c>
      <c r="AP3230">
        <v>100</v>
      </c>
      <c r="AQ3230">
        <v>2100</v>
      </c>
      <c r="AR3230" t="s">
        <v>118</v>
      </c>
      <c r="AS3230">
        <v>-78</v>
      </c>
      <c r="AT3230">
        <v>13</v>
      </c>
      <c r="AU3230">
        <v>128</v>
      </c>
      <c r="BC3230">
        <v>1200</v>
      </c>
      <c r="BD3230">
        <v>1</v>
      </c>
      <c r="BE3230" t="str">
        <f t="shared" si="152"/>
        <v xml:space="preserve">N215T   </v>
      </c>
      <c r="BF3230">
        <v>1</v>
      </c>
      <c r="BH3230">
        <v>0</v>
      </c>
      <c r="BI3230">
        <v>0</v>
      </c>
      <c r="BJ3230">
        <v>0</v>
      </c>
      <c r="BK3230">
        <v>2475</v>
      </c>
      <c r="BL3230">
        <v>375</v>
      </c>
      <c r="BM3230" t="s">
        <v>119</v>
      </c>
      <c r="BN3230">
        <v>1</v>
      </c>
      <c r="BO3230">
        <v>1</v>
      </c>
      <c r="BP3230">
        <v>1</v>
      </c>
      <c r="BQ3230">
        <v>0</v>
      </c>
      <c r="BT3230">
        <v>0</v>
      </c>
      <c r="BU3230">
        <v>0</v>
      </c>
      <c r="BV3230">
        <v>0</v>
      </c>
      <c r="CC3230" t="str">
        <f>"19:28:45.594"</f>
        <v>19:28:45.594</v>
      </c>
      <c r="CD3230" t="str">
        <f>"594245638"</f>
        <v>594245638</v>
      </c>
      <c r="CQ3230">
        <v>0</v>
      </c>
      <c r="CR3230">
        <v>2</v>
      </c>
      <c r="CS3230">
        <v>0</v>
      </c>
      <c r="CT3230">
        <v>2</v>
      </c>
      <c r="CU3230">
        <v>0</v>
      </c>
      <c r="CV3230">
        <v>6</v>
      </c>
      <c r="CW3230" t="s">
        <v>120</v>
      </c>
      <c r="CX3230">
        <v>257</v>
      </c>
      <c r="CY3230">
        <v>0</v>
      </c>
      <c r="CZ3230" t="s">
        <v>615</v>
      </c>
      <c r="DA3230" t="s">
        <v>616</v>
      </c>
      <c r="DD3230">
        <v>16330632</v>
      </c>
      <c r="DE3230" t="s">
        <v>123</v>
      </c>
    </row>
    <row r="3231" spans="1:109" x14ac:dyDescent="0.3">
      <c r="A3231" t="str">
        <f>"19:28:46.906"</f>
        <v>19:28:46.906</v>
      </c>
      <c r="B3231" t="s">
        <v>110</v>
      </c>
      <c r="C3231" t="str">
        <f t="shared" si="150"/>
        <v>ffdfd3c0</v>
      </c>
      <c r="D3231" t="s">
        <v>111</v>
      </c>
      <c r="E3231">
        <v>18</v>
      </c>
      <c r="F3231">
        <v>1018</v>
      </c>
      <c r="G3231" t="s">
        <v>112</v>
      </c>
      <c r="J3231" t="s">
        <v>113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R3231" t="s">
        <v>114</v>
      </c>
      <c r="S3231" t="str">
        <f>"19:28:46.625"</f>
        <v>19:28:46.625</v>
      </c>
      <c r="T3231" t="str">
        <f>"19:28:46.227"</f>
        <v>19:28:46.227</v>
      </c>
      <c r="U3231" t="str">
        <f t="shared" si="151"/>
        <v>a1cdbe</v>
      </c>
      <c r="V3231">
        <v>0</v>
      </c>
      <c r="W3231">
        <v>0</v>
      </c>
      <c r="X3231">
        <v>2</v>
      </c>
      <c r="Y3231">
        <v>0</v>
      </c>
      <c r="Z3231">
        <v>0</v>
      </c>
      <c r="AB3231">
        <v>0</v>
      </c>
      <c r="AC3231">
        <v>9</v>
      </c>
      <c r="AD3231">
        <v>3</v>
      </c>
      <c r="AE3231">
        <v>0</v>
      </c>
      <c r="AF3231">
        <v>9</v>
      </c>
      <c r="AG3231" t="s">
        <v>158</v>
      </c>
      <c r="AH3231">
        <v>0</v>
      </c>
      <c r="AI3231">
        <v>3</v>
      </c>
      <c r="AJ3231">
        <v>1</v>
      </c>
      <c r="AK3231">
        <v>0</v>
      </c>
      <c r="AL3231" t="s">
        <v>6080</v>
      </c>
      <c r="AM3231">
        <v>47.000948999999999</v>
      </c>
      <c r="AN3231" t="s">
        <v>6081</v>
      </c>
      <c r="AO3231">
        <v>-123.64254</v>
      </c>
      <c r="AP3231">
        <v>100</v>
      </c>
      <c r="AQ3231">
        <v>2100</v>
      </c>
      <c r="AR3231" t="s">
        <v>118</v>
      </c>
      <c r="AS3231">
        <v>-78</v>
      </c>
      <c r="AT3231">
        <v>13</v>
      </c>
      <c r="AU3231">
        <v>192</v>
      </c>
      <c r="BC3231">
        <v>1200</v>
      </c>
      <c r="BD3231">
        <v>1</v>
      </c>
      <c r="BE3231" t="str">
        <f t="shared" si="152"/>
        <v xml:space="preserve">N215T   </v>
      </c>
      <c r="BF3231">
        <v>1</v>
      </c>
      <c r="BH3231">
        <v>0</v>
      </c>
      <c r="BI3231">
        <v>0</v>
      </c>
      <c r="BJ3231">
        <v>0</v>
      </c>
      <c r="BK3231">
        <v>2475</v>
      </c>
      <c r="BL3231">
        <v>375</v>
      </c>
      <c r="BM3231" t="s">
        <v>119</v>
      </c>
      <c r="BN3231">
        <v>1</v>
      </c>
      <c r="BO3231">
        <v>1</v>
      </c>
      <c r="BP3231">
        <v>1</v>
      </c>
      <c r="BQ3231">
        <v>0</v>
      </c>
      <c r="BT3231">
        <v>0</v>
      </c>
      <c r="BU3231">
        <v>0</v>
      </c>
      <c r="BV3231">
        <v>0</v>
      </c>
      <c r="CC3231" t="str">
        <f>"19:28:46.633"</f>
        <v>19:28:46.633</v>
      </c>
      <c r="CD3231" t="str">
        <f>"629143647"</f>
        <v>629143647</v>
      </c>
      <c r="CQ3231">
        <v>0</v>
      </c>
      <c r="CR3231">
        <v>2</v>
      </c>
      <c r="CS3231">
        <v>0</v>
      </c>
      <c r="CT3231">
        <v>2</v>
      </c>
      <c r="CU3231">
        <v>0</v>
      </c>
      <c r="CV3231">
        <v>6</v>
      </c>
      <c r="CW3231" t="s">
        <v>120</v>
      </c>
      <c r="CX3231">
        <v>257</v>
      </c>
      <c r="CY3231">
        <v>0</v>
      </c>
      <c r="CZ3231" t="s">
        <v>615</v>
      </c>
      <c r="DA3231" t="s">
        <v>616</v>
      </c>
      <c r="DD3231">
        <v>16331216</v>
      </c>
      <c r="DE3231" t="s">
        <v>123</v>
      </c>
    </row>
    <row r="3232" spans="1:109" x14ac:dyDescent="0.3">
      <c r="A3232" t="str">
        <f>"19:28:47.867"</f>
        <v>19:28:47.867</v>
      </c>
      <c r="B3232" t="s">
        <v>110</v>
      </c>
      <c r="C3232" t="str">
        <f t="shared" si="150"/>
        <v>ffdfd3c0</v>
      </c>
      <c r="D3232" t="s">
        <v>111</v>
      </c>
      <c r="E3232">
        <v>18</v>
      </c>
      <c r="F3232">
        <v>1018</v>
      </c>
      <c r="G3232" t="s">
        <v>112</v>
      </c>
      <c r="J3232" t="s">
        <v>113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R3232" t="s">
        <v>114</v>
      </c>
      <c r="S3232" t="str">
        <f>"19:28:47.633"</f>
        <v>19:28:47.633</v>
      </c>
      <c r="T3232" t="str">
        <f>"19:28:47.633"</f>
        <v>19:28:47.633</v>
      </c>
      <c r="U3232" t="str">
        <f t="shared" si="151"/>
        <v>a1cdbe</v>
      </c>
      <c r="V3232">
        <v>0</v>
      </c>
      <c r="W3232">
        <v>0</v>
      </c>
      <c r="X3232">
        <v>2</v>
      </c>
      <c r="Y3232">
        <v>0</v>
      </c>
      <c r="Z3232">
        <v>0</v>
      </c>
      <c r="AB3232">
        <v>0</v>
      </c>
      <c r="AC3232">
        <v>9</v>
      </c>
      <c r="AD3232">
        <v>3</v>
      </c>
      <c r="AE3232">
        <v>0</v>
      </c>
      <c r="AF3232">
        <v>9</v>
      </c>
      <c r="AG3232" t="s">
        <v>158</v>
      </c>
      <c r="AH3232">
        <v>0</v>
      </c>
      <c r="AI3232">
        <v>3</v>
      </c>
      <c r="AJ3232">
        <v>1</v>
      </c>
      <c r="AK3232">
        <v>0</v>
      </c>
      <c r="AL3232" t="s">
        <v>6082</v>
      </c>
      <c r="AM3232">
        <v>47.001013999999998</v>
      </c>
      <c r="AN3232" t="s">
        <v>6083</v>
      </c>
      <c r="AO3232">
        <v>-123.64309799999999</v>
      </c>
      <c r="AP3232">
        <v>100</v>
      </c>
      <c r="AQ3232">
        <v>2100</v>
      </c>
      <c r="AR3232" t="s">
        <v>118</v>
      </c>
      <c r="AS3232">
        <v>-77</v>
      </c>
      <c r="AT3232">
        <v>13</v>
      </c>
      <c r="AU3232">
        <v>192</v>
      </c>
      <c r="BC3232">
        <v>1200</v>
      </c>
      <c r="BD3232">
        <v>1</v>
      </c>
      <c r="BE3232" t="str">
        <f t="shared" si="152"/>
        <v xml:space="preserve">N215T   </v>
      </c>
      <c r="BF3232">
        <v>1</v>
      </c>
      <c r="BH3232">
        <v>0</v>
      </c>
      <c r="BI3232">
        <v>0</v>
      </c>
      <c r="BJ3232">
        <v>0</v>
      </c>
      <c r="BK3232">
        <v>2475</v>
      </c>
      <c r="BL3232">
        <v>375</v>
      </c>
      <c r="BM3232" t="s">
        <v>119</v>
      </c>
      <c r="BN3232">
        <v>1</v>
      </c>
      <c r="BO3232">
        <v>1</v>
      </c>
      <c r="BP3232">
        <v>1</v>
      </c>
      <c r="BQ3232">
        <v>0</v>
      </c>
      <c r="BT3232">
        <v>0</v>
      </c>
      <c r="BU3232">
        <v>0</v>
      </c>
      <c r="BV3232">
        <v>0</v>
      </c>
      <c r="CC3232" t="str">
        <f>"19:28:47.633"</f>
        <v>19:28:47.633</v>
      </c>
      <c r="CD3232" t="str">
        <f>"634044605"</f>
        <v>634044605</v>
      </c>
      <c r="CQ3232">
        <v>0</v>
      </c>
      <c r="CR3232">
        <v>2</v>
      </c>
      <c r="CS3232">
        <v>0</v>
      </c>
      <c r="CT3232">
        <v>2</v>
      </c>
      <c r="CU3232">
        <v>0</v>
      </c>
      <c r="CV3232">
        <v>6</v>
      </c>
      <c r="CW3232" t="s">
        <v>120</v>
      </c>
      <c r="CX3232">
        <v>257</v>
      </c>
      <c r="CY3232">
        <v>0</v>
      </c>
      <c r="CZ3232" t="s">
        <v>615</v>
      </c>
      <c r="DA3232" t="s">
        <v>616</v>
      </c>
      <c r="DD3232">
        <v>16331729</v>
      </c>
      <c r="DE3232" t="s">
        <v>123</v>
      </c>
    </row>
    <row r="3233" spans="1:109" x14ac:dyDescent="0.3">
      <c r="A3233" t="str">
        <f>"19:28:48.766"</f>
        <v>19:28:48.766</v>
      </c>
      <c r="B3233" t="s">
        <v>110</v>
      </c>
      <c r="C3233" t="str">
        <f t="shared" si="150"/>
        <v>ffdfd3c0</v>
      </c>
      <c r="D3233" t="s">
        <v>111</v>
      </c>
      <c r="E3233">
        <v>18</v>
      </c>
      <c r="F3233">
        <v>1018</v>
      </c>
      <c r="G3233" t="s">
        <v>112</v>
      </c>
      <c r="J3233" t="s">
        <v>113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R3233" t="s">
        <v>114</v>
      </c>
      <c r="S3233" t="str">
        <f>"19:28:48.531"</f>
        <v>19:28:48.531</v>
      </c>
      <c r="T3233" t="str">
        <f>"19:28:48.430"</f>
        <v>19:28:48.430</v>
      </c>
      <c r="U3233" t="str">
        <f t="shared" si="151"/>
        <v>a1cdbe</v>
      </c>
      <c r="V3233">
        <v>0</v>
      </c>
      <c r="W3233">
        <v>0</v>
      </c>
      <c r="X3233">
        <v>2</v>
      </c>
      <c r="Y3233">
        <v>0</v>
      </c>
      <c r="Z3233">
        <v>0</v>
      </c>
      <c r="AB3233">
        <v>0</v>
      </c>
      <c r="AC3233">
        <v>9</v>
      </c>
      <c r="AD3233">
        <v>3</v>
      </c>
      <c r="AE3233">
        <v>0</v>
      </c>
      <c r="AF3233">
        <v>9</v>
      </c>
      <c r="AG3233" t="s">
        <v>158</v>
      </c>
      <c r="AH3233">
        <v>0</v>
      </c>
      <c r="AI3233">
        <v>3</v>
      </c>
      <c r="AJ3233">
        <v>1</v>
      </c>
      <c r="AK3233">
        <v>0</v>
      </c>
      <c r="AL3233" t="s">
        <v>6084</v>
      </c>
      <c r="AM3233">
        <v>47.001078</v>
      </c>
      <c r="AN3233" t="s">
        <v>6085</v>
      </c>
      <c r="AO3233">
        <v>-123.64357</v>
      </c>
      <c r="AP3233">
        <v>100</v>
      </c>
      <c r="AQ3233">
        <v>2100</v>
      </c>
      <c r="AR3233" t="s">
        <v>118</v>
      </c>
      <c r="AS3233">
        <v>-76</v>
      </c>
      <c r="AT3233">
        <v>13</v>
      </c>
      <c r="AU3233">
        <v>192</v>
      </c>
      <c r="BC3233">
        <v>1200</v>
      </c>
      <c r="BD3233">
        <v>1</v>
      </c>
      <c r="BE3233" t="str">
        <f t="shared" si="152"/>
        <v xml:space="preserve">N215T   </v>
      </c>
      <c r="BF3233">
        <v>1</v>
      </c>
      <c r="BH3233">
        <v>0</v>
      </c>
      <c r="BI3233">
        <v>0</v>
      </c>
      <c r="BJ3233">
        <v>0</v>
      </c>
      <c r="BK3233">
        <v>2500</v>
      </c>
      <c r="BL3233">
        <v>400</v>
      </c>
      <c r="BM3233" t="s">
        <v>119</v>
      </c>
      <c r="BN3233">
        <v>1</v>
      </c>
      <c r="BO3233">
        <v>1</v>
      </c>
      <c r="BP3233">
        <v>1</v>
      </c>
      <c r="BQ3233">
        <v>0</v>
      </c>
      <c r="BT3233">
        <v>0</v>
      </c>
      <c r="BU3233">
        <v>0</v>
      </c>
      <c r="BV3233">
        <v>0</v>
      </c>
      <c r="CC3233" t="str">
        <f>"19:28:48.531"</f>
        <v>19:28:48.531</v>
      </c>
      <c r="CD3233" t="str">
        <f>"534022732"</f>
        <v>534022732</v>
      </c>
      <c r="CQ3233">
        <v>0</v>
      </c>
      <c r="CR3233">
        <v>2</v>
      </c>
      <c r="CS3233">
        <v>0</v>
      </c>
      <c r="CT3233">
        <v>2</v>
      </c>
      <c r="CU3233">
        <v>0</v>
      </c>
      <c r="CV3233">
        <v>3</v>
      </c>
      <c r="CW3233" t="s">
        <v>120</v>
      </c>
      <c r="CX3233">
        <v>261</v>
      </c>
      <c r="CY3233">
        <v>2</v>
      </c>
      <c r="CZ3233" t="s">
        <v>121</v>
      </c>
      <c r="DA3233" t="s">
        <v>122</v>
      </c>
      <c r="DD3233">
        <v>16273801</v>
      </c>
      <c r="DE3233" t="s">
        <v>123</v>
      </c>
    </row>
    <row r="3234" spans="1:109" x14ac:dyDescent="0.3">
      <c r="A3234" t="str">
        <f>"19:28:49.719"</f>
        <v>19:28:49.719</v>
      </c>
      <c r="B3234" t="s">
        <v>110</v>
      </c>
      <c r="C3234" t="str">
        <f t="shared" si="150"/>
        <v>ffdfd3c0</v>
      </c>
      <c r="D3234" t="s">
        <v>111</v>
      </c>
      <c r="E3234">
        <v>18</v>
      </c>
      <c r="F3234">
        <v>1018</v>
      </c>
      <c r="G3234" t="s">
        <v>112</v>
      </c>
      <c r="J3234" t="s">
        <v>113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R3234" t="s">
        <v>114</v>
      </c>
      <c r="S3234" t="str">
        <f>"19:28:49.508"</f>
        <v>19:28:49.508</v>
      </c>
      <c r="T3234" t="str">
        <f>"19:28:49.508"</f>
        <v>19:28:49.508</v>
      </c>
      <c r="U3234" t="str">
        <f t="shared" si="151"/>
        <v>a1cdbe</v>
      </c>
      <c r="V3234">
        <v>0</v>
      </c>
      <c r="W3234">
        <v>0</v>
      </c>
      <c r="X3234">
        <v>2</v>
      </c>
      <c r="Y3234">
        <v>0</v>
      </c>
      <c r="Z3234">
        <v>0</v>
      </c>
      <c r="AB3234">
        <v>0</v>
      </c>
      <c r="AC3234">
        <v>9</v>
      </c>
      <c r="AD3234">
        <v>3</v>
      </c>
      <c r="AE3234">
        <v>0</v>
      </c>
      <c r="AF3234">
        <v>9</v>
      </c>
      <c r="AG3234" t="s">
        <v>158</v>
      </c>
      <c r="AH3234">
        <v>0</v>
      </c>
      <c r="AI3234">
        <v>3</v>
      </c>
      <c r="AJ3234">
        <v>1</v>
      </c>
      <c r="AK3234">
        <v>0</v>
      </c>
      <c r="AL3234" t="s">
        <v>6086</v>
      </c>
      <c r="AM3234">
        <v>47.001142999999999</v>
      </c>
      <c r="AN3234" t="s">
        <v>6087</v>
      </c>
      <c r="AO3234">
        <v>-123.644021</v>
      </c>
      <c r="AP3234">
        <v>100</v>
      </c>
      <c r="AQ3234">
        <v>2100</v>
      </c>
      <c r="AR3234" t="s">
        <v>118</v>
      </c>
      <c r="AS3234">
        <v>-76</v>
      </c>
      <c r="AT3234">
        <v>13</v>
      </c>
      <c r="AU3234">
        <v>128</v>
      </c>
      <c r="BC3234">
        <v>1200</v>
      </c>
      <c r="BD3234">
        <v>1</v>
      </c>
      <c r="BE3234" t="str">
        <f t="shared" si="152"/>
        <v xml:space="preserve">N215T   </v>
      </c>
      <c r="BF3234">
        <v>1</v>
      </c>
      <c r="BH3234">
        <v>0</v>
      </c>
      <c r="BI3234">
        <v>0</v>
      </c>
      <c r="BJ3234">
        <v>0</v>
      </c>
      <c r="BK3234">
        <v>2475</v>
      </c>
      <c r="BL3234">
        <v>375</v>
      </c>
      <c r="BM3234" t="s">
        <v>119</v>
      </c>
      <c r="BN3234">
        <v>1</v>
      </c>
      <c r="BO3234">
        <v>1</v>
      </c>
      <c r="BP3234">
        <v>1</v>
      </c>
      <c r="BQ3234">
        <v>0</v>
      </c>
      <c r="BT3234">
        <v>0</v>
      </c>
      <c r="BU3234">
        <v>0</v>
      </c>
      <c r="BV3234">
        <v>0</v>
      </c>
      <c r="CC3234" t="str">
        <f>"19:28:49.508"</f>
        <v>19:28:49.508</v>
      </c>
      <c r="CD3234" t="str">
        <f>"508859833"</f>
        <v>508859833</v>
      </c>
      <c r="CQ3234">
        <v>0</v>
      </c>
      <c r="CR3234">
        <v>2</v>
      </c>
      <c r="CS3234">
        <v>0</v>
      </c>
      <c r="CT3234">
        <v>2</v>
      </c>
      <c r="CU3234">
        <v>0</v>
      </c>
      <c r="CV3234">
        <v>6</v>
      </c>
      <c r="CW3234" t="s">
        <v>120</v>
      </c>
      <c r="CX3234">
        <v>257</v>
      </c>
      <c r="CY3234">
        <v>0</v>
      </c>
      <c r="CZ3234" t="s">
        <v>615</v>
      </c>
      <c r="DA3234" t="s">
        <v>616</v>
      </c>
      <c r="DD3234">
        <v>16332613</v>
      </c>
      <c r="DE3234" t="s">
        <v>123</v>
      </c>
    </row>
    <row r="3235" spans="1:109" x14ac:dyDescent="0.3">
      <c r="A3235" t="str">
        <f>"19:28:50.727"</f>
        <v>19:28:50.727</v>
      </c>
      <c r="B3235" t="s">
        <v>110</v>
      </c>
      <c r="C3235" t="str">
        <f t="shared" si="150"/>
        <v>ffdfd3c0</v>
      </c>
      <c r="D3235" t="s">
        <v>111</v>
      </c>
      <c r="E3235">
        <v>18</v>
      </c>
      <c r="F3235">
        <v>1018</v>
      </c>
      <c r="G3235" t="s">
        <v>112</v>
      </c>
      <c r="J3235" t="s">
        <v>113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R3235" t="s">
        <v>114</v>
      </c>
      <c r="S3235" t="str">
        <f>"19:28:50.477"</f>
        <v>19:28:50.477</v>
      </c>
      <c r="T3235" t="str">
        <f>"19:28:50.078"</f>
        <v>19:28:50.078</v>
      </c>
      <c r="U3235" t="str">
        <f t="shared" si="151"/>
        <v>a1cdbe</v>
      </c>
      <c r="V3235">
        <v>0</v>
      </c>
      <c r="W3235">
        <v>0</v>
      </c>
      <c r="X3235">
        <v>2</v>
      </c>
      <c r="Y3235">
        <v>0</v>
      </c>
      <c r="Z3235">
        <v>0</v>
      </c>
      <c r="AB3235">
        <v>0</v>
      </c>
      <c r="AC3235">
        <v>9</v>
      </c>
      <c r="AD3235">
        <v>3</v>
      </c>
      <c r="AE3235">
        <v>0</v>
      </c>
      <c r="AF3235">
        <v>9</v>
      </c>
      <c r="AG3235" t="s">
        <v>158</v>
      </c>
      <c r="AH3235">
        <v>0</v>
      </c>
      <c r="AI3235">
        <v>3</v>
      </c>
      <c r="AJ3235">
        <v>1</v>
      </c>
      <c r="AK3235">
        <v>0</v>
      </c>
      <c r="AL3235" t="s">
        <v>6088</v>
      </c>
      <c r="AM3235">
        <v>47.001207000000001</v>
      </c>
      <c r="AN3235" t="s">
        <v>6089</v>
      </c>
      <c r="AO3235">
        <v>-123.644536</v>
      </c>
      <c r="AP3235">
        <v>100</v>
      </c>
      <c r="AQ3235">
        <v>2100</v>
      </c>
      <c r="AR3235" t="s">
        <v>118</v>
      </c>
      <c r="AS3235">
        <v>-76</v>
      </c>
      <c r="AT3235">
        <v>13</v>
      </c>
      <c r="AU3235">
        <v>128</v>
      </c>
      <c r="BC3235">
        <v>1200</v>
      </c>
      <c r="BD3235">
        <v>1</v>
      </c>
      <c r="BE3235" t="str">
        <f t="shared" si="152"/>
        <v xml:space="preserve">N215T   </v>
      </c>
      <c r="BF3235">
        <v>1</v>
      </c>
      <c r="BH3235">
        <v>0</v>
      </c>
      <c r="BI3235">
        <v>0</v>
      </c>
      <c r="BJ3235">
        <v>0</v>
      </c>
      <c r="BK3235">
        <v>2500</v>
      </c>
      <c r="BL3235">
        <v>400</v>
      </c>
      <c r="BM3235" t="s">
        <v>119</v>
      </c>
      <c r="BN3235">
        <v>1</v>
      </c>
      <c r="BO3235">
        <v>1</v>
      </c>
      <c r="BP3235">
        <v>1</v>
      </c>
      <c r="BQ3235">
        <v>0</v>
      </c>
      <c r="BT3235">
        <v>0</v>
      </c>
      <c r="BU3235">
        <v>0</v>
      </c>
      <c r="BV3235">
        <v>0</v>
      </c>
      <c r="CC3235" t="str">
        <f>"19:28:50.484"</f>
        <v>19:28:50.484</v>
      </c>
      <c r="CD3235" t="str">
        <f>"483763753"</f>
        <v>483763753</v>
      </c>
      <c r="CQ3235">
        <v>0</v>
      </c>
      <c r="CR3235">
        <v>2</v>
      </c>
      <c r="CS3235">
        <v>0</v>
      </c>
      <c r="CT3235">
        <v>2</v>
      </c>
      <c r="CU3235">
        <v>0</v>
      </c>
      <c r="CV3235">
        <v>6</v>
      </c>
      <c r="CW3235" t="s">
        <v>120</v>
      </c>
      <c r="CX3235">
        <v>257</v>
      </c>
      <c r="CY3235">
        <v>0</v>
      </c>
      <c r="CZ3235" t="s">
        <v>615</v>
      </c>
      <c r="DA3235" t="s">
        <v>616</v>
      </c>
      <c r="DD3235">
        <v>16333072</v>
      </c>
      <c r="DE3235" t="s">
        <v>123</v>
      </c>
    </row>
    <row r="3236" spans="1:109" x14ac:dyDescent="0.3">
      <c r="A3236" t="str">
        <f>"19:28:51.680"</f>
        <v>19:28:51.680</v>
      </c>
      <c r="B3236" t="s">
        <v>110</v>
      </c>
      <c r="C3236" t="str">
        <f t="shared" si="150"/>
        <v>ffdfd3c0</v>
      </c>
      <c r="D3236" t="s">
        <v>111</v>
      </c>
      <c r="E3236">
        <v>18</v>
      </c>
      <c r="F3236">
        <v>1018</v>
      </c>
      <c r="G3236" t="s">
        <v>112</v>
      </c>
      <c r="J3236" t="s">
        <v>113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R3236" t="s">
        <v>114</v>
      </c>
      <c r="S3236" t="str">
        <f>"19:28:51.469"</f>
        <v>19:28:51.469</v>
      </c>
      <c r="T3236" t="str">
        <f>"19:28:51.266"</f>
        <v>19:28:51.266</v>
      </c>
      <c r="U3236" t="str">
        <f t="shared" si="151"/>
        <v>a1cdbe</v>
      </c>
      <c r="V3236">
        <v>0</v>
      </c>
      <c r="W3236">
        <v>0</v>
      </c>
      <c r="X3236">
        <v>2</v>
      </c>
      <c r="Y3236">
        <v>0</v>
      </c>
      <c r="Z3236">
        <v>0</v>
      </c>
      <c r="AB3236">
        <v>0</v>
      </c>
      <c r="AC3236">
        <v>9</v>
      </c>
      <c r="AD3236">
        <v>3</v>
      </c>
      <c r="AE3236">
        <v>0</v>
      </c>
      <c r="AF3236">
        <v>9</v>
      </c>
      <c r="AG3236" t="s">
        <v>158</v>
      </c>
      <c r="AH3236">
        <v>0</v>
      </c>
      <c r="AI3236">
        <v>3</v>
      </c>
      <c r="AJ3236">
        <v>1</v>
      </c>
      <c r="AK3236">
        <v>0</v>
      </c>
      <c r="AL3236" t="s">
        <v>6090</v>
      </c>
      <c r="AM3236">
        <v>47.001271000000003</v>
      </c>
      <c r="AN3236" t="s">
        <v>6091</v>
      </c>
      <c r="AO3236">
        <v>-123.645072</v>
      </c>
      <c r="AP3236">
        <v>100</v>
      </c>
      <c r="AQ3236">
        <v>2100</v>
      </c>
      <c r="AR3236" t="s">
        <v>118</v>
      </c>
      <c r="AS3236">
        <v>-76</v>
      </c>
      <c r="AT3236">
        <v>13</v>
      </c>
      <c r="AU3236">
        <v>64</v>
      </c>
      <c r="BC3236">
        <v>1200</v>
      </c>
      <c r="BD3236">
        <v>1</v>
      </c>
      <c r="BE3236" t="str">
        <f t="shared" si="152"/>
        <v xml:space="preserve">N215T   </v>
      </c>
      <c r="BF3236">
        <v>1</v>
      </c>
      <c r="BH3236">
        <v>0</v>
      </c>
      <c r="BI3236">
        <v>0</v>
      </c>
      <c r="BJ3236">
        <v>0</v>
      </c>
      <c r="BK3236">
        <v>2500</v>
      </c>
      <c r="BL3236">
        <v>400</v>
      </c>
      <c r="BM3236" t="s">
        <v>119</v>
      </c>
      <c r="BN3236">
        <v>1</v>
      </c>
      <c r="BO3236">
        <v>1</v>
      </c>
      <c r="BP3236">
        <v>1</v>
      </c>
      <c r="BQ3236">
        <v>0</v>
      </c>
      <c r="BT3236">
        <v>0</v>
      </c>
      <c r="BU3236">
        <v>0</v>
      </c>
      <c r="BV3236">
        <v>0</v>
      </c>
      <c r="CC3236" t="str">
        <f>"19:28:51.477"</f>
        <v>19:28:51.477</v>
      </c>
      <c r="CD3236" t="str">
        <f>"473666199"</f>
        <v>473666199</v>
      </c>
      <c r="CQ3236">
        <v>0</v>
      </c>
      <c r="CR3236">
        <v>2</v>
      </c>
      <c r="CS3236">
        <v>0</v>
      </c>
      <c r="CT3236">
        <v>2</v>
      </c>
      <c r="CU3236">
        <v>0</v>
      </c>
      <c r="CV3236">
        <v>6</v>
      </c>
      <c r="CW3236" t="s">
        <v>120</v>
      </c>
      <c r="CX3236">
        <v>257</v>
      </c>
      <c r="CY3236">
        <v>0</v>
      </c>
      <c r="CZ3236" t="s">
        <v>615</v>
      </c>
      <c r="DA3236" t="s">
        <v>616</v>
      </c>
      <c r="DD3236">
        <v>16333573</v>
      </c>
      <c r="DE3236" t="s">
        <v>123</v>
      </c>
    </row>
    <row r="3237" spans="1:109" x14ac:dyDescent="0.3">
      <c r="A3237" t="str">
        <f>"19:28:52.836"</f>
        <v>19:28:52.836</v>
      </c>
      <c r="B3237" t="s">
        <v>110</v>
      </c>
      <c r="C3237" t="str">
        <f t="shared" si="150"/>
        <v>ffdfd3c0</v>
      </c>
      <c r="D3237" t="s">
        <v>111</v>
      </c>
      <c r="E3237">
        <v>18</v>
      </c>
      <c r="F3237">
        <v>1018</v>
      </c>
      <c r="G3237" t="s">
        <v>112</v>
      </c>
      <c r="J3237" t="s">
        <v>113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R3237" t="s">
        <v>114</v>
      </c>
      <c r="S3237" t="str">
        <f>"19:28:52.594"</f>
        <v>19:28:52.594</v>
      </c>
      <c r="T3237" t="str">
        <f>"19:28:52.297"</f>
        <v>19:28:52.297</v>
      </c>
      <c r="U3237" t="str">
        <f t="shared" si="151"/>
        <v>a1cdbe</v>
      </c>
      <c r="V3237">
        <v>0</v>
      </c>
      <c r="W3237">
        <v>0</v>
      </c>
      <c r="X3237">
        <v>2</v>
      </c>
      <c r="Y3237">
        <v>0</v>
      </c>
      <c r="Z3237">
        <v>0</v>
      </c>
      <c r="AB3237">
        <v>0</v>
      </c>
      <c r="AC3237">
        <v>9</v>
      </c>
      <c r="AD3237">
        <v>3</v>
      </c>
      <c r="AE3237">
        <v>0</v>
      </c>
      <c r="AF3237">
        <v>9</v>
      </c>
      <c r="AG3237" t="s">
        <v>158</v>
      </c>
      <c r="AH3237">
        <v>0</v>
      </c>
      <c r="AI3237">
        <v>3</v>
      </c>
      <c r="AJ3237">
        <v>1</v>
      </c>
      <c r="AK3237">
        <v>0</v>
      </c>
      <c r="AL3237" t="s">
        <v>813</v>
      </c>
      <c r="AM3237">
        <v>47.001336000000002</v>
      </c>
      <c r="AN3237" t="s">
        <v>6092</v>
      </c>
      <c r="AO3237">
        <v>-123.64563</v>
      </c>
      <c r="AP3237">
        <v>100</v>
      </c>
      <c r="AQ3237">
        <v>2100</v>
      </c>
      <c r="AR3237" t="s">
        <v>118</v>
      </c>
      <c r="AS3237">
        <v>-76</v>
      </c>
      <c r="AT3237">
        <v>13</v>
      </c>
      <c r="AU3237">
        <v>0</v>
      </c>
      <c r="BC3237">
        <v>1200</v>
      </c>
      <c r="BD3237">
        <v>1</v>
      </c>
      <c r="BE3237" t="str">
        <f t="shared" si="152"/>
        <v xml:space="preserve">N215T   </v>
      </c>
      <c r="BF3237">
        <v>1</v>
      </c>
      <c r="BH3237">
        <v>0</v>
      </c>
      <c r="BI3237">
        <v>0</v>
      </c>
      <c r="BJ3237">
        <v>0</v>
      </c>
      <c r="BK3237">
        <v>2500</v>
      </c>
      <c r="BL3237">
        <v>400</v>
      </c>
      <c r="BM3237" t="s">
        <v>119</v>
      </c>
      <c r="BN3237">
        <v>1</v>
      </c>
      <c r="BO3237">
        <v>1</v>
      </c>
      <c r="BP3237">
        <v>1</v>
      </c>
      <c r="BQ3237">
        <v>0</v>
      </c>
      <c r="BT3237">
        <v>0</v>
      </c>
      <c r="BU3237">
        <v>0</v>
      </c>
      <c r="BV3237">
        <v>0</v>
      </c>
      <c r="CC3237" t="str">
        <f>"19:28:52.602"</f>
        <v>19:28:52.602</v>
      </c>
      <c r="CD3237" t="str">
        <f>"598555342"</f>
        <v>598555342</v>
      </c>
      <c r="CQ3237">
        <v>0</v>
      </c>
      <c r="CR3237">
        <v>2</v>
      </c>
      <c r="CS3237">
        <v>0</v>
      </c>
      <c r="CT3237">
        <v>2</v>
      </c>
      <c r="CU3237">
        <v>0</v>
      </c>
      <c r="CV3237">
        <v>6</v>
      </c>
      <c r="CW3237" t="s">
        <v>120</v>
      </c>
      <c r="CX3237">
        <v>257</v>
      </c>
      <c r="CY3237">
        <v>0</v>
      </c>
      <c r="CZ3237" t="s">
        <v>615</v>
      </c>
      <c r="DA3237" t="s">
        <v>616</v>
      </c>
      <c r="DD3237">
        <v>16334095</v>
      </c>
      <c r="DE3237" t="s">
        <v>123</v>
      </c>
    </row>
    <row r="3238" spans="1:109" x14ac:dyDescent="0.3">
      <c r="A3238" t="str">
        <f>"19:28:53.992"</f>
        <v>19:28:53.992</v>
      </c>
      <c r="B3238" t="s">
        <v>110</v>
      </c>
      <c r="C3238" t="str">
        <f t="shared" si="150"/>
        <v>ffdfd3c0</v>
      </c>
      <c r="D3238" t="s">
        <v>111</v>
      </c>
      <c r="E3238">
        <v>18</v>
      </c>
      <c r="F3238">
        <v>1018</v>
      </c>
      <c r="G3238" t="s">
        <v>112</v>
      </c>
      <c r="J3238" t="s">
        <v>113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R3238" t="s">
        <v>114</v>
      </c>
      <c r="S3238" t="str">
        <f>"19:28:53.750"</f>
        <v>19:28:53.750</v>
      </c>
      <c r="T3238" t="str">
        <f>"19:28:53.750"</f>
        <v>19:28:53.750</v>
      </c>
      <c r="U3238" t="str">
        <f t="shared" si="151"/>
        <v>a1cdbe</v>
      </c>
      <c r="V3238">
        <v>0</v>
      </c>
      <c r="W3238">
        <v>0</v>
      </c>
      <c r="X3238">
        <v>2</v>
      </c>
      <c r="Y3238">
        <v>0</v>
      </c>
      <c r="Z3238">
        <v>0</v>
      </c>
      <c r="AB3238">
        <v>0</v>
      </c>
      <c r="AC3238">
        <v>9</v>
      </c>
      <c r="AD3238">
        <v>3</v>
      </c>
      <c r="AE3238">
        <v>0</v>
      </c>
      <c r="AF3238">
        <v>9</v>
      </c>
      <c r="AG3238" t="s">
        <v>158</v>
      </c>
      <c r="AH3238">
        <v>0</v>
      </c>
      <c r="AI3238">
        <v>3</v>
      </c>
      <c r="AJ3238">
        <v>1</v>
      </c>
      <c r="AK3238">
        <v>0</v>
      </c>
      <c r="AL3238" t="s">
        <v>6093</v>
      </c>
      <c r="AM3238">
        <v>47.001379</v>
      </c>
      <c r="AN3238" t="s">
        <v>6094</v>
      </c>
      <c r="AO3238">
        <v>-123.646188</v>
      </c>
      <c r="AP3238">
        <v>100</v>
      </c>
      <c r="AQ3238">
        <v>2100</v>
      </c>
      <c r="AR3238" t="s">
        <v>118</v>
      </c>
      <c r="AS3238">
        <v>-76</v>
      </c>
      <c r="AT3238">
        <v>12</v>
      </c>
      <c r="AU3238">
        <v>0</v>
      </c>
      <c r="BC3238">
        <v>1200</v>
      </c>
      <c r="BD3238">
        <v>1</v>
      </c>
      <c r="BE3238" t="str">
        <f t="shared" si="152"/>
        <v xml:space="preserve">N215T   </v>
      </c>
      <c r="BF3238">
        <v>1</v>
      </c>
      <c r="BH3238">
        <v>0</v>
      </c>
      <c r="BI3238">
        <v>0</v>
      </c>
      <c r="BJ3238">
        <v>0</v>
      </c>
      <c r="BK3238">
        <v>2500</v>
      </c>
      <c r="BL3238">
        <v>400</v>
      </c>
      <c r="BM3238" t="s">
        <v>119</v>
      </c>
      <c r="BN3238">
        <v>1</v>
      </c>
      <c r="BO3238">
        <v>1</v>
      </c>
      <c r="BP3238">
        <v>1</v>
      </c>
      <c r="BQ3238">
        <v>0</v>
      </c>
      <c r="BT3238">
        <v>0</v>
      </c>
      <c r="BU3238">
        <v>0</v>
      </c>
      <c r="BV3238">
        <v>0</v>
      </c>
      <c r="CC3238" t="str">
        <f>"19:28:53.750"</f>
        <v>19:28:53.750</v>
      </c>
      <c r="CD3238" t="str">
        <f>"753441522"</f>
        <v>753441522</v>
      </c>
      <c r="CQ3238">
        <v>0</v>
      </c>
      <c r="CR3238">
        <v>2</v>
      </c>
      <c r="CS3238">
        <v>0</v>
      </c>
      <c r="CT3238">
        <v>2</v>
      </c>
      <c r="CU3238">
        <v>0</v>
      </c>
      <c r="CV3238">
        <v>6</v>
      </c>
      <c r="CW3238" t="s">
        <v>120</v>
      </c>
      <c r="CX3238">
        <v>257</v>
      </c>
      <c r="CY3238">
        <v>0</v>
      </c>
      <c r="CZ3238" t="s">
        <v>615</v>
      </c>
      <c r="DA3238" t="s">
        <v>616</v>
      </c>
      <c r="DD3238">
        <v>16334616</v>
      </c>
      <c r="DE3238" t="s">
        <v>123</v>
      </c>
    </row>
    <row r="3239" spans="1:109" x14ac:dyDescent="0.3">
      <c r="A3239" t="str">
        <f>"19:28:55.000"</f>
        <v>19:28:55.000</v>
      </c>
      <c r="B3239" t="s">
        <v>110</v>
      </c>
      <c r="C3239" t="str">
        <f t="shared" si="150"/>
        <v>ffdfd3c0</v>
      </c>
      <c r="D3239" t="s">
        <v>111</v>
      </c>
      <c r="E3239">
        <v>18</v>
      </c>
      <c r="F3239">
        <v>1018</v>
      </c>
      <c r="G3239" t="s">
        <v>112</v>
      </c>
      <c r="J3239" t="s">
        <v>113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R3239" t="s">
        <v>114</v>
      </c>
      <c r="S3239" t="str">
        <f>"19:28:54.797"</f>
        <v>19:28:54.797</v>
      </c>
      <c r="T3239" t="str">
        <f>"19:28:54.695"</f>
        <v>19:28:54.695</v>
      </c>
      <c r="U3239" t="str">
        <f t="shared" si="151"/>
        <v>a1cdbe</v>
      </c>
      <c r="V3239">
        <v>0</v>
      </c>
      <c r="W3239">
        <v>0</v>
      </c>
      <c r="X3239">
        <v>2</v>
      </c>
      <c r="Y3239">
        <v>0</v>
      </c>
      <c r="Z3239">
        <v>0</v>
      </c>
      <c r="AB3239">
        <v>0</v>
      </c>
      <c r="AC3239">
        <v>9</v>
      </c>
      <c r="AD3239">
        <v>3</v>
      </c>
      <c r="AE3239">
        <v>0</v>
      </c>
      <c r="AF3239">
        <v>9</v>
      </c>
      <c r="AG3239" t="s">
        <v>158</v>
      </c>
      <c r="AH3239">
        <v>0</v>
      </c>
      <c r="AI3239">
        <v>3</v>
      </c>
      <c r="AJ3239">
        <v>1</v>
      </c>
      <c r="AK3239">
        <v>0</v>
      </c>
      <c r="AL3239" t="s">
        <v>6095</v>
      </c>
      <c r="AM3239">
        <v>47.001443000000002</v>
      </c>
      <c r="AN3239" t="s">
        <v>6096</v>
      </c>
      <c r="AO3239">
        <v>-123.64672400000001</v>
      </c>
      <c r="AP3239">
        <v>100</v>
      </c>
      <c r="AQ3239">
        <v>2100</v>
      </c>
      <c r="AR3239" t="s">
        <v>118</v>
      </c>
      <c r="AS3239">
        <v>-76</v>
      </c>
      <c r="AT3239">
        <v>12</v>
      </c>
      <c r="AU3239">
        <v>0</v>
      </c>
      <c r="BC3239">
        <v>1200</v>
      </c>
      <c r="BD3239">
        <v>1</v>
      </c>
      <c r="BE3239" t="str">
        <f t="shared" si="152"/>
        <v xml:space="preserve">N215T   </v>
      </c>
      <c r="BF3239">
        <v>1</v>
      </c>
      <c r="BH3239">
        <v>0</v>
      </c>
      <c r="BI3239">
        <v>0</v>
      </c>
      <c r="BJ3239">
        <v>0</v>
      </c>
      <c r="BK3239">
        <v>2475</v>
      </c>
      <c r="BL3239">
        <v>375</v>
      </c>
      <c r="BM3239" t="s">
        <v>119</v>
      </c>
      <c r="BN3239">
        <v>1</v>
      </c>
      <c r="BO3239">
        <v>1</v>
      </c>
      <c r="BP3239">
        <v>1</v>
      </c>
      <c r="BQ3239">
        <v>0</v>
      </c>
      <c r="BT3239">
        <v>0</v>
      </c>
      <c r="BU3239">
        <v>0</v>
      </c>
      <c r="BV3239">
        <v>0</v>
      </c>
      <c r="CC3239" t="str">
        <f>"19:28:54.805"</f>
        <v>19:28:54.805</v>
      </c>
      <c r="CD3239" t="str">
        <f>"803338044"</f>
        <v>803338044</v>
      </c>
      <c r="CQ3239">
        <v>0</v>
      </c>
      <c r="CR3239">
        <v>2</v>
      </c>
      <c r="CS3239">
        <v>0</v>
      </c>
      <c r="CT3239">
        <v>2</v>
      </c>
      <c r="CU3239">
        <v>0</v>
      </c>
      <c r="CV3239">
        <v>6</v>
      </c>
      <c r="CW3239" t="s">
        <v>120</v>
      </c>
      <c r="CX3239">
        <v>257</v>
      </c>
      <c r="CY3239">
        <v>0</v>
      </c>
      <c r="CZ3239" t="s">
        <v>615</v>
      </c>
      <c r="DA3239" t="s">
        <v>616</v>
      </c>
      <c r="DD3239">
        <v>16335111</v>
      </c>
      <c r="DE3239" t="s">
        <v>123</v>
      </c>
    </row>
    <row r="3240" spans="1:109" x14ac:dyDescent="0.3">
      <c r="A3240" t="str">
        <f>"19:28:55.953"</f>
        <v>19:28:55.953</v>
      </c>
      <c r="B3240" t="s">
        <v>110</v>
      </c>
      <c r="C3240" t="str">
        <f t="shared" si="150"/>
        <v>ffdfd3c0</v>
      </c>
      <c r="D3240" t="s">
        <v>111</v>
      </c>
      <c r="E3240">
        <v>18</v>
      </c>
      <c r="F3240">
        <v>1018</v>
      </c>
      <c r="G3240" t="s">
        <v>112</v>
      </c>
      <c r="J3240" t="s">
        <v>113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R3240" t="s">
        <v>114</v>
      </c>
      <c r="S3240" t="str">
        <f>"19:28:55.688"</f>
        <v>19:28:55.688</v>
      </c>
      <c r="T3240" t="str">
        <f>"19:28:55.484"</f>
        <v>19:28:55.484</v>
      </c>
      <c r="U3240" t="str">
        <f t="shared" si="151"/>
        <v>a1cdbe</v>
      </c>
      <c r="V3240">
        <v>0</v>
      </c>
      <c r="W3240">
        <v>0</v>
      </c>
      <c r="X3240">
        <v>2</v>
      </c>
      <c r="Y3240">
        <v>0</v>
      </c>
      <c r="Z3240">
        <v>0</v>
      </c>
      <c r="AB3240">
        <v>0</v>
      </c>
      <c r="AC3240">
        <v>9</v>
      </c>
      <c r="AD3240">
        <v>3</v>
      </c>
      <c r="AE3240">
        <v>0</v>
      </c>
      <c r="AF3240">
        <v>9</v>
      </c>
      <c r="AG3240" t="s">
        <v>158</v>
      </c>
      <c r="AH3240">
        <v>0</v>
      </c>
      <c r="AI3240">
        <v>3</v>
      </c>
      <c r="AJ3240">
        <v>1</v>
      </c>
      <c r="AK3240">
        <v>0</v>
      </c>
      <c r="AL3240" t="s">
        <v>6097</v>
      </c>
      <c r="AM3240">
        <v>47.001486</v>
      </c>
      <c r="AN3240" t="s">
        <v>6098</v>
      </c>
      <c r="AO3240">
        <v>-123.647218</v>
      </c>
      <c r="AP3240">
        <v>100</v>
      </c>
      <c r="AQ3240">
        <v>2100</v>
      </c>
      <c r="AR3240" t="s">
        <v>118</v>
      </c>
      <c r="AS3240">
        <v>-76</v>
      </c>
      <c r="AT3240">
        <v>11</v>
      </c>
      <c r="AU3240">
        <v>0</v>
      </c>
      <c r="BC3240">
        <v>1200</v>
      </c>
      <c r="BD3240">
        <v>1</v>
      </c>
      <c r="BE3240" t="str">
        <f t="shared" si="152"/>
        <v xml:space="preserve">N215T   </v>
      </c>
      <c r="BF3240">
        <v>1</v>
      </c>
      <c r="BH3240">
        <v>0</v>
      </c>
      <c r="BI3240">
        <v>0</v>
      </c>
      <c r="BJ3240">
        <v>0</v>
      </c>
      <c r="BK3240">
        <v>2500</v>
      </c>
      <c r="BL3240">
        <v>400</v>
      </c>
      <c r="BM3240" t="s">
        <v>119</v>
      </c>
      <c r="BN3240">
        <v>1</v>
      </c>
      <c r="BO3240">
        <v>1</v>
      </c>
      <c r="BP3240">
        <v>1</v>
      </c>
      <c r="BQ3240">
        <v>0</v>
      </c>
      <c r="BT3240">
        <v>0</v>
      </c>
      <c r="BU3240">
        <v>0</v>
      </c>
      <c r="BV3240">
        <v>0</v>
      </c>
      <c r="CC3240" t="str">
        <f>"19:28:55.688"</f>
        <v>19:28:55.688</v>
      </c>
      <c r="CD3240" t="str">
        <f>"688250838"</f>
        <v>688250838</v>
      </c>
      <c r="CQ3240">
        <v>0</v>
      </c>
      <c r="CR3240">
        <v>2</v>
      </c>
      <c r="CS3240">
        <v>0</v>
      </c>
      <c r="CT3240">
        <v>2</v>
      </c>
      <c r="CU3240">
        <v>0</v>
      </c>
      <c r="CV3240">
        <v>6</v>
      </c>
      <c r="CW3240" t="s">
        <v>120</v>
      </c>
      <c r="CX3240">
        <v>257</v>
      </c>
      <c r="CY3240">
        <v>0</v>
      </c>
      <c r="CZ3240" t="s">
        <v>615</v>
      </c>
      <c r="DA3240" t="s">
        <v>616</v>
      </c>
      <c r="DD3240">
        <v>16335549</v>
      </c>
      <c r="DE3240" t="s">
        <v>123</v>
      </c>
    </row>
    <row r="3241" spans="1:109" x14ac:dyDescent="0.3">
      <c r="A3241" t="str">
        <f>"19:28:57.008"</f>
        <v>19:28:57.008</v>
      </c>
      <c r="B3241" t="s">
        <v>110</v>
      </c>
      <c r="C3241" t="str">
        <f t="shared" si="150"/>
        <v>ffdfd3c0</v>
      </c>
      <c r="D3241" t="s">
        <v>111</v>
      </c>
      <c r="E3241">
        <v>18</v>
      </c>
      <c r="F3241">
        <v>1018</v>
      </c>
      <c r="G3241" t="s">
        <v>112</v>
      </c>
      <c r="J3241" t="s">
        <v>113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R3241" t="s">
        <v>114</v>
      </c>
      <c r="S3241" t="str">
        <f>"19:28:56.781"</f>
        <v>19:28:56.781</v>
      </c>
      <c r="T3241" t="str">
        <f>"19:28:56.578"</f>
        <v>19:28:56.578</v>
      </c>
      <c r="U3241" t="str">
        <f t="shared" si="151"/>
        <v>a1cdbe</v>
      </c>
      <c r="V3241">
        <v>0</v>
      </c>
      <c r="W3241">
        <v>0</v>
      </c>
      <c r="X3241">
        <v>2</v>
      </c>
      <c r="Y3241">
        <v>0</v>
      </c>
      <c r="Z3241">
        <v>0</v>
      </c>
      <c r="AB3241">
        <v>0</v>
      </c>
      <c r="AC3241">
        <v>9</v>
      </c>
      <c r="AD3241">
        <v>3</v>
      </c>
      <c r="AE3241">
        <v>0</v>
      </c>
      <c r="AF3241">
        <v>9</v>
      </c>
      <c r="AG3241" t="s">
        <v>158</v>
      </c>
      <c r="AH3241">
        <v>0</v>
      </c>
      <c r="AI3241">
        <v>3</v>
      </c>
      <c r="AJ3241">
        <v>1</v>
      </c>
      <c r="AK3241">
        <v>0</v>
      </c>
      <c r="AL3241" t="s">
        <v>6099</v>
      </c>
      <c r="AM3241">
        <v>47.001572000000003</v>
      </c>
      <c r="AN3241" t="s">
        <v>6100</v>
      </c>
      <c r="AO3241">
        <v>-123.64775400000001</v>
      </c>
      <c r="AP3241">
        <v>100</v>
      </c>
      <c r="AQ3241">
        <v>2100</v>
      </c>
      <c r="AR3241" t="s">
        <v>118</v>
      </c>
      <c r="AS3241">
        <v>-76</v>
      </c>
      <c r="AT3241">
        <v>11</v>
      </c>
      <c r="AU3241">
        <v>0</v>
      </c>
      <c r="BC3241">
        <v>1200</v>
      </c>
      <c r="BD3241">
        <v>1</v>
      </c>
      <c r="BE3241" t="str">
        <f t="shared" si="152"/>
        <v xml:space="preserve">N215T   </v>
      </c>
      <c r="BF3241">
        <v>1</v>
      </c>
      <c r="BH3241">
        <v>0</v>
      </c>
      <c r="BI3241">
        <v>0</v>
      </c>
      <c r="BJ3241">
        <v>0</v>
      </c>
      <c r="BK3241">
        <v>2500</v>
      </c>
      <c r="BL3241">
        <v>400</v>
      </c>
      <c r="BM3241" t="s">
        <v>119</v>
      </c>
      <c r="BN3241">
        <v>1</v>
      </c>
      <c r="BO3241">
        <v>1</v>
      </c>
      <c r="BP3241">
        <v>1</v>
      </c>
      <c r="BQ3241">
        <v>0</v>
      </c>
      <c r="BT3241">
        <v>0</v>
      </c>
      <c r="BU3241">
        <v>0</v>
      </c>
      <c r="BV3241">
        <v>0</v>
      </c>
      <c r="CC3241" t="str">
        <f>"19:28:56.781"</f>
        <v>19:28:56.781</v>
      </c>
      <c r="CD3241" t="str">
        <f>"783142921"</f>
        <v>783142921</v>
      </c>
      <c r="CQ3241">
        <v>0</v>
      </c>
      <c r="CR3241">
        <v>2</v>
      </c>
      <c r="CS3241">
        <v>0</v>
      </c>
      <c r="CT3241">
        <v>2</v>
      </c>
      <c r="CU3241">
        <v>0</v>
      </c>
      <c r="CV3241">
        <v>6</v>
      </c>
      <c r="CW3241" t="s">
        <v>120</v>
      </c>
      <c r="CX3241">
        <v>257</v>
      </c>
      <c r="CY3241">
        <v>0</v>
      </c>
      <c r="CZ3241" t="s">
        <v>615</v>
      </c>
      <c r="DA3241" t="s">
        <v>616</v>
      </c>
      <c r="DD3241">
        <v>16336122</v>
      </c>
      <c r="DE3241" t="s">
        <v>123</v>
      </c>
    </row>
    <row r="3242" spans="1:109" x14ac:dyDescent="0.3">
      <c r="A3242" t="str">
        <f>"19:28:57.961"</f>
        <v>19:28:57.961</v>
      </c>
      <c r="B3242" t="s">
        <v>110</v>
      </c>
      <c r="C3242" t="str">
        <f t="shared" si="150"/>
        <v>ffdfd3c0</v>
      </c>
      <c r="D3242" t="s">
        <v>111</v>
      </c>
      <c r="E3242">
        <v>18</v>
      </c>
      <c r="F3242">
        <v>1018</v>
      </c>
      <c r="G3242" t="s">
        <v>112</v>
      </c>
      <c r="J3242" t="s">
        <v>113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R3242" t="s">
        <v>114</v>
      </c>
      <c r="S3242" t="str">
        <f>"19:28:57.742"</f>
        <v>19:28:57.742</v>
      </c>
      <c r="T3242" t="str">
        <f>"19:28:57.539"</f>
        <v>19:28:57.539</v>
      </c>
      <c r="U3242" t="str">
        <f t="shared" si="151"/>
        <v>a1cdbe</v>
      </c>
      <c r="V3242">
        <v>0</v>
      </c>
      <c r="W3242">
        <v>0</v>
      </c>
      <c r="X3242">
        <v>2</v>
      </c>
      <c r="Y3242">
        <v>0</v>
      </c>
      <c r="Z3242">
        <v>0</v>
      </c>
      <c r="AB3242">
        <v>0</v>
      </c>
      <c r="AC3242">
        <v>9</v>
      </c>
      <c r="AD3242">
        <v>3</v>
      </c>
      <c r="AE3242">
        <v>0</v>
      </c>
      <c r="AF3242">
        <v>9</v>
      </c>
      <c r="AG3242" t="s">
        <v>158</v>
      </c>
      <c r="AH3242">
        <v>0</v>
      </c>
      <c r="AI3242">
        <v>3</v>
      </c>
      <c r="AJ3242">
        <v>1</v>
      </c>
      <c r="AK3242">
        <v>0</v>
      </c>
      <c r="AL3242" t="s">
        <v>6101</v>
      </c>
      <c r="AM3242">
        <v>47.001615000000001</v>
      </c>
      <c r="AN3242" t="s">
        <v>6102</v>
      </c>
      <c r="AO3242">
        <v>-123.648312</v>
      </c>
      <c r="AP3242">
        <v>100</v>
      </c>
      <c r="AQ3242">
        <v>2100</v>
      </c>
      <c r="AR3242" t="s">
        <v>118</v>
      </c>
      <c r="AS3242">
        <v>-76</v>
      </c>
      <c r="AT3242">
        <v>10</v>
      </c>
      <c r="AU3242">
        <v>0</v>
      </c>
      <c r="BC3242">
        <v>1200</v>
      </c>
      <c r="BD3242">
        <v>1</v>
      </c>
      <c r="BE3242" t="str">
        <f t="shared" si="152"/>
        <v xml:space="preserve">N215T   </v>
      </c>
      <c r="BF3242">
        <v>1</v>
      </c>
      <c r="BH3242">
        <v>0</v>
      </c>
      <c r="BI3242">
        <v>0</v>
      </c>
      <c r="BJ3242">
        <v>0</v>
      </c>
      <c r="BK3242">
        <v>2500</v>
      </c>
      <c r="BL3242">
        <v>400</v>
      </c>
      <c r="BM3242" t="s">
        <v>119</v>
      </c>
      <c r="BN3242">
        <v>1</v>
      </c>
      <c r="BO3242">
        <v>1</v>
      </c>
      <c r="BP3242">
        <v>1</v>
      </c>
      <c r="BQ3242">
        <v>0</v>
      </c>
      <c r="BT3242">
        <v>0</v>
      </c>
      <c r="BU3242">
        <v>0</v>
      </c>
      <c r="BV3242">
        <v>0</v>
      </c>
      <c r="CC3242" t="str">
        <f>"19:28:57.742"</f>
        <v>19:28:57.742</v>
      </c>
      <c r="CD3242" t="str">
        <f>"743048315"</f>
        <v>743048315</v>
      </c>
      <c r="CQ3242">
        <v>0</v>
      </c>
      <c r="CR3242">
        <v>2</v>
      </c>
      <c r="CS3242">
        <v>0</v>
      </c>
      <c r="CT3242">
        <v>2</v>
      </c>
      <c r="CU3242">
        <v>0</v>
      </c>
      <c r="CV3242">
        <v>6</v>
      </c>
      <c r="CW3242" t="s">
        <v>120</v>
      </c>
      <c r="CX3242">
        <v>257</v>
      </c>
      <c r="CY3242">
        <v>0</v>
      </c>
      <c r="CZ3242" t="s">
        <v>615</v>
      </c>
      <c r="DA3242" t="s">
        <v>616</v>
      </c>
      <c r="DD3242">
        <v>16336567</v>
      </c>
      <c r="DE3242" t="s">
        <v>123</v>
      </c>
    </row>
    <row r="3243" spans="1:109" x14ac:dyDescent="0.3">
      <c r="A3243" t="str">
        <f>"19:28:58.922"</f>
        <v>19:28:58.922</v>
      </c>
      <c r="B3243" t="s">
        <v>110</v>
      </c>
      <c r="C3243" t="str">
        <f t="shared" si="150"/>
        <v>ffdfd3c0</v>
      </c>
      <c r="D3243" t="s">
        <v>111</v>
      </c>
      <c r="E3243">
        <v>18</v>
      </c>
      <c r="F3243">
        <v>1018</v>
      </c>
      <c r="G3243" t="s">
        <v>112</v>
      </c>
      <c r="J3243" t="s">
        <v>113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R3243" t="s">
        <v>114</v>
      </c>
      <c r="S3243" t="str">
        <f>"19:28:58.695"</f>
        <v>19:28:58.695</v>
      </c>
      <c r="T3243" t="str">
        <f>"19:28:58.594"</f>
        <v>19:28:58.594</v>
      </c>
      <c r="U3243" t="str">
        <f t="shared" si="151"/>
        <v>a1cdbe</v>
      </c>
      <c r="V3243">
        <v>0</v>
      </c>
      <c r="W3243">
        <v>0</v>
      </c>
      <c r="X3243">
        <v>2</v>
      </c>
      <c r="Y3243">
        <v>0</v>
      </c>
      <c r="Z3243">
        <v>0</v>
      </c>
      <c r="AB3243">
        <v>0</v>
      </c>
      <c r="AC3243">
        <v>9</v>
      </c>
      <c r="AD3243">
        <v>3</v>
      </c>
      <c r="AE3243">
        <v>0</v>
      </c>
      <c r="AF3243">
        <v>9</v>
      </c>
      <c r="AG3243" t="s">
        <v>158</v>
      </c>
      <c r="AH3243">
        <v>0</v>
      </c>
      <c r="AI3243">
        <v>3</v>
      </c>
      <c r="AJ3243">
        <v>1</v>
      </c>
      <c r="AK3243">
        <v>0</v>
      </c>
      <c r="AL3243" t="s">
        <v>6103</v>
      </c>
      <c r="AM3243">
        <v>47.001657000000002</v>
      </c>
      <c r="AN3243" t="s">
        <v>6104</v>
      </c>
      <c r="AO3243">
        <v>-123.64880599999999</v>
      </c>
      <c r="AP3243">
        <v>100</v>
      </c>
      <c r="AQ3243">
        <v>2100</v>
      </c>
      <c r="AR3243" t="s">
        <v>118</v>
      </c>
      <c r="AS3243">
        <v>-77</v>
      </c>
      <c r="AT3243">
        <v>10</v>
      </c>
      <c r="AU3243">
        <v>-64</v>
      </c>
      <c r="BC3243">
        <v>1200</v>
      </c>
      <c r="BD3243">
        <v>1</v>
      </c>
      <c r="BE3243" t="str">
        <f t="shared" si="152"/>
        <v xml:space="preserve">N215T   </v>
      </c>
      <c r="BF3243">
        <v>1</v>
      </c>
      <c r="BH3243">
        <v>0</v>
      </c>
      <c r="BI3243">
        <v>0</v>
      </c>
      <c r="BJ3243">
        <v>0</v>
      </c>
      <c r="BK3243">
        <v>2500</v>
      </c>
      <c r="BL3243">
        <v>400</v>
      </c>
      <c r="BM3243" t="s">
        <v>119</v>
      </c>
      <c r="BN3243">
        <v>1</v>
      </c>
      <c r="BO3243">
        <v>1</v>
      </c>
      <c r="BP3243">
        <v>1</v>
      </c>
      <c r="BQ3243">
        <v>0</v>
      </c>
      <c r="BT3243">
        <v>0</v>
      </c>
      <c r="BU3243">
        <v>0</v>
      </c>
      <c r="BV3243">
        <v>0</v>
      </c>
      <c r="CC3243" t="str">
        <f>"19:28:58.703"</f>
        <v>19:28:58.703</v>
      </c>
      <c r="CD3243" t="str">
        <f>"702953713"</f>
        <v>702953713</v>
      </c>
      <c r="CQ3243">
        <v>0</v>
      </c>
      <c r="CR3243">
        <v>2</v>
      </c>
      <c r="CS3243">
        <v>0</v>
      </c>
      <c r="CT3243">
        <v>2</v>
      </c>
      <c r="CU3243">
        <v>0</v>
      </c>
      <c r="CV3243">
        <v>6</v>
      </c>
      <c r="CW3243" t="s">
        <v>120</v>
      </c>
      <c r="CX3243">
        <v>257</v>
      </c>
      <c r="CY3243">
        <v>0</v>
      </c>
      <c r="CZ3243" t="s">
        <v>615</v>
      </c>
      <c r="DA3243" t="s">
        <v>616</v>
      </c>
      <c r="DD3243">
        <v>16337036</v>
      </c>
      <c r="DE3243" t="s">
        <v>123</v>
      </c>
    </row>
    <row r="3244" spans="1:109" x14ac:dyDescent="0.3">
      <c r="A3244" t="str">
        <f>"19:28:59.922"</f>
        <v>19:28:59.922</v>
      </c>
      <c r="B3244" t="s">
        <v>110</v>
      </c>
      <c r="C3244" t="str">
        <f t="shared" si="150"/>
        <v>ffdfd3c0</v>
      </c>
      <c r="D3244" t="s">
        <v>111</v>
      </c>
      <c r="E3244">
        <v>18</v>
      </c>
      <c r="F3244">
        <v>1018</v>
      </c>
      <c r="G3244" t="s">
        <v>112</v>
      </c>
      <c r="J3244" t="s">
        <v>113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R3244" t="s">
        <v>114</v>
      </c>
      <c r="S3244" t="str">
        <f>"19:28:59.672"</f>
        <v>19:28:59.672</v>
      </c>
      <c r="T3244" t="str">
        <f>"19:28:59.672"</f>
        <v>19:28:59.672</v>
      </c>
      <c r="U3244" t="str">
        <f t="shared" si="151"/>
        <v>a1cdbe</v>
      </c>
      <c r="V3244">
        <v>0</v>
      </c>
      <c r="W3244">
        <v>0</v>
      </c>
      <c r="X3244">
        <v>2</v>
      </c>
      <c r="Y3244">
        <v>0</v>
      </c>
      <c r="Z3244">
        <v>0</v>
      </c>
      <c r="AB3244">
        <v>0</v>
      </c>
      <c r="AC3244">
        <v>9</v>
      </c>
      <c r="AD3244">
        <v>3</v>
      </c>
      <c r="AE3244">
        <v>0</v>
      </c>
      <c r="AF3244">
        <v>9</v>
      </c>
      <c r="AG3244" t="s">
        <v>158</v>
      </c>
      <c r="AH3244">
        <v>0</v>
      </c>
      <c r="AI3244">
        <v>3</v>
      </c>
      <c r="AJ3244">
        <v>1</v>
      </c>
      <c r="AK3244">
        <v>0</v>
      </c>
      <c r="AL3244" t="s">
        <v>811</v>
      </c>
      <c r="AM3244">
        <v>47.0017</v>
      </c>
      <c r="AN3244" t="s">
        <v>6105</v>
      </c>
      <c r="AO3244">
        <v>-123.649278</v>
      </c>
      <c r="AP3244">
        <v>100</v>
      </c>
      <c r="AQ3244">
        <v>2100</v>
      </c>
      <c r="AR3244" t="s">
        <v>118</v>
      </c>
      <c r="AS3244">
        <v>-77</v>
      </c>
      <c r="AT3244">
        <v>9</v>
      </c>
      <c r="AU3244">
        <v>-64</v>
      </c>
      <c r="BC3244">
        <v>1200</v>
      </c>
      <c r="BD3244">
        <v>1</v>
      </c>
      <c r="BE3244" t="str">
        <f t="shared" si="152"/>
        <v xml:space="preserve">N215T   </v>
      </c>
      <c r="BF3244">
        <v>1</v>
      </c>
      <c r="BH3244">
        <v>0</v>
      </c>
      <c r="BI3244">
        <v>0</v>
      </c>
      <c r="BJ3244">
        <v>0</v>
      </c>
      <c r="BK3244">
        <v>2500</v>
      </c>
      <c r="BL3244">
        <v>400</v>
      </c>
      <c r="BM3244" t="s">
        <v>119</v>
      </c>
      <c r="BN3244">
        <v>1</v>
      </c>
      <c r="BO3244">
        <v>1</v>
      </c>
      <c r="BP3244">
        <v>1</v>
      </c>
      <c r="BQ3244">
        <v>0</v>
      </c>
      <c r="BT3244">
        <v>0</v>
      </c>
      <c r="BU3244">
        <v>0</v>
      </c>
      <c r="BV3244">
        <v>0</v>
      </c>
      <c r="CC3244" t="str">
        <f>"19:28:59.680"</f>
        <v>19:28:59.680</v>
      </c>
      <c r="CD3244" t="str">
        <f>"677857626"</f>
        <v>677857626</v>
      </c>
      <c r="CQ3244">
        <v>0</v>
      </c>
      <c r="CR3244">
        <v>2</v>
      </c>
      <c r="CS3244">
        <v>0</v>
      </c>
      <c r="CT3244">
        <v>2</v>
      </c>
      <c r="CU3244">
        <v>0</v>
      </c>
      <c r="CV3244">
        <v>6</v>
      </c>
      <c r="CW3244" t="s">
        <v>120</v>
      </c>
      <c r="CX3244">
        <v>257</v>
      </c>
      <c r="CY3244">
        <v>0</v>
      </c>
      <c r="CZ3244" t="s">
        <v>615</v>
      </c>
      <c r="DA3244" t="s">
        <v>616</v>
      </c>
      <c r="DD3244">
        <v>16337530</v>
      </c>
      <c r="DE3244" t="s">
        <v>123</v>
      </c>
    </row>
    <row r="3245" spans="1:109" x14ac:dyDescent="0.3">
      <c r="A3245" t="str">
        <f>"19:29:00.984"</f>
        <v>19:29:00.984</v>
      </c>
      <c r="B3245" t="s">
        <v>110</v>
      </c>
      <c r="C3245" t="str">
        <f t="shared" si="150"/>
        <v>ffdfd3c0</v>
      </c>
      <c r="D3245" t="s">
        <v>111</v>
      </c>
      <c r="E3245">
        <v>18</v>
      </c>
      <c r="F3245">
        <v>1018</v>
      </c>
      <c r="G3245" t="s">
        <v>112</v>
      </c>
      <c r="J3245" t="s">
        <v>113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R3245" t="s">
        <v>114</v>
      </c>
      <c r="S3245" t="str">
        <f>"19:29:00.750"</f>
        <v>19:29:00.750</v>
      </c>
      <c r="T3245" t="str">
        <f>"19:29:00.750"</f>
        <v>19:29:00.750</v>
      </c>
      <c r="U3245" t="str">
        <f t="shared" si="151"/>
        <v>a1cdbe</v>
      </c>
      <c r="V3245">
        <v>0</v>
      </c>
      <c r="W3245">
        <v>0</v>
      </c>
      <c r="X3245">
        <v>2</v>
      </c>
      <c r="Y3245">
        <v>0</v>
      </c>
      <c r="Z3245">
        <v>0</v>
      </c>
      <c r="AB3245">
        <v>0</v>
      </c>
      <c r="AC3245">
        <v>9</v>
      </c>
      <c r="AD3245">
        <v>3</v>
      </c>
      <c r="AE3245">
        <v>0</v>
      </c>
      <c r="AF3245">
        <v>9</v>
      </c>
      <c r="AG3245" t="s">
        <v>158</v>
      </c>
      <c r="AH3245">
        <v>0</v>
      </c>
      <c r="AI3245">
        <v>3</v>
      </c>
      <c r="AJ3245">
        <v>1</v>
      </c>
      <c r="AK3245">
        <v>0</v>
      </c>
      <c r="AL3245" t="s">
        <v>811</v>
      </c>
      <c r="AM3245">
        <v>47.0017</v>
      </c>
      <c r="AN3245" t="s">
        <v>6106</v>
      </c>
      <c r="AO3245">
        <v>-123.64981400000001</v>
      </c>
      <c r="AP3245">
        <v>100</v>
      </c>
      <c r="AQ3245">
        <v>2100</v>
      </c>
      <c r="AR3245" t="s">
        <v>118</v>
      </c>
      <c r="AS3245">
        <v>-77</v>
      </c>
      <c r="AT3245">
        <v>9</v>
      </c>
      <c r="AU3245">
        <v>-64</v>
      </c>
      <c r="BC3245">
        <v>1200</v>
      </c>
      <c r="BD3245">
        <v>1</v>
      </c>
      <c r="BE3245" t="str">
        <f t="shared" si="152"/>
        <v xml:space="preserve">N215T   </v>
      </c>
      <c r="BF3245">
        <v>1</v>
      </c>
      <c r="BH3245">
        <v>0</v>
      </c>
      <c r="BI3245">
        <v>0</v>
      </c>
      <c r="BJ3245">
        <v>0</v>
      </c>
      <c r="BK3245">
        <v>2500</v>
      </c>
      <c r="BL3245">
        <v>400</v>
      </c>
      <c r="BM3245" t="s">
        <v>119</v>
      </c>
      <c r="BN3245">
        <v>1</v>
      </c>
      <c r="BO3245">
        <v>1</v>
      </c>
      <c r="BP3245">
        <v>1</v>
      </c>
      <c r="BQ3245">
        <v>0</v>
      </c>
      <c r="BT3245">
        <v>0</v>
      </c>
      <c r="BU3245">
        <v>0</v>
      </c>
      <c r="BV3245">
        <v>0</v>
      </c>
      <c r="CC3245" t="str">
        <f>"19:29:00.758"</f>
        <v>19:29:00.758</v>
      </c>
      <c r="CD3245" t="str">
        <f>"757751200"</f>
        <v>757751200</v>
      </c>
      <c r="CQ3245">
        <v>0</v>
      </c>
      <c r="CR3245">
        <v>2</v>
      </c>
      <c r="CS3245">
        <v>0</v>
      </c>
      <c r="CT3245">
        <v>2</v>
      </c>
      <c r="CU3245">
        <v>0</v>
      </c>
      <c r="CV3245">
        <v>6</v>
      </c>
      <c r="CW3245" t="s">
        <v>120</v>
      </c>
      <c r="CX3245">
        <v>257</v>
      </c>
      <c r="CY3245">
        <v>0</v>
      </c>
      <c r="CZ3245" t="s">
        <v>615</v>
      </c>
      <c r="DA3245" t="s">
        <v>616</v>
      </c>
      <c r="DD3245">
        <v>16338089</v>
      </c>
      <c r="DE3245" t="s">
        <v>123</v>
      </c>
    </row>
    <row r="3246" spans="1:109" x14ac:dyDescent="0.3">
      <c r="A3246" t="str">
        <f>"19:29:01.984"</f>
        <v>19:29:01.984</v>
      </c>
      <c r="B3246" t="s">
        <v>110</v>
      </c>
      <c r="C3246" t="str">
        <f t="shared" si="150"/>
        <v>ffdfd3c0</v>
      </c>
      <c r="D3246" t="s">
        <v>111</v>
      </c>
      <c r="E3246">
        <v>18</v>
      </c>
      <c r="F3246">
        <v>1018</v>
      </c>
      <c r="G3246" t="s">
        <v>112</v>
      </c>
      <c r="J3246" t="s">
        <v>113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R3246" t="s">
        <v>114</v>
      </c>
      <c r="S3246" t="str">
        <f>"19:29:01.711"</f>
        <v>19:29:01.711</v>
      </c>
      <c r="T3246" t="str">
        <f>"19:29:01.711"</f>
        <v>19:29:01.711</v>
      </c>
      <c r="U3246" t="str">
        <f t="shared" si="151"/>
        <v>a1cdbe</v>
      </c>
      <c r="V3246">
        <v>0</v>
      </c>
      <c r="W3246">
        <v>0</v>
      </c>
      <c r="X3246">
        <v>2</v>
      </c>
      <c r="Y3246">
        <v>0</v>
      </c>
      <c r="Z3246">
        <v>0</v>
      </c>
      <c r="AB3246">
        <v>0</v>
      </c>
      <c r="AC3246">
        <v>9</v>
      </c>
      <c r="AD3246">
        <v>3</v>
      </c>
      <c r="AE3246">
        <v>0</v>
      </c>
      <c r="AF3246">
        <v>9</v>
      </c>
      <c r="AG3246" t="s">
        <v>158</v>
      </c>
      <c r="AH3246">
        <v>0</v>
      </c>
      <c r="AI3246">
        <v>3</v>
      </c>
      <c r="AJ3246">
        <v>1</v>
      </c>
      <c r="AK3246">
        <v>0</v>
      </c>
      <c r="AL3246" t="s">
        <v>6107</v>
      </c>
      <c r="AM3246">
        <v>47.001764999999999</v>
      </c>
      <c r="AN3246" t="s">
        <v>6108</v>
      </c>
      <c r="AO3246">
        <v>-123.650372</v>
      </c>
      <c r="AP3246">
        <v>100</v>
      </c>
      <c r="AQ3246">
        <v>2100</v>
      </c>
      <c r="AR3246" t="s">
        <v>118</v>
      </c>
      <c r="AS3246">
        <v>-77</v>
      </c>
      <c r="AT3246">
        <v>9</v>
      </c>
      <c r="AU3246">
        <v>-64</v>
      </c>
      <c r="BC3246">
        <v>1200</v>
      </c>
      <c r="BD3246">
        <v>1</v>
      </c>
      <c r="BE3246" t="str">
        <f t="shared" si="152"/>
        <v xml:space="preserve">N215T   </v>
      </c>
      <c r="BF3246">
        <v>1</v>
      </c>
      <c r="BH3246">
        <v>0</v>
      </c>
      <c r="BI3246">
        <v>0</v>
      </c>
      <c r="BJ3246">
        <v>0</v>
      </c>
      <c r="BK3246">
        <v>2500</v>
      </c>
      <c r="BL3246">
        <v>400</v>
      </c>
      <c r="BM3246" t="s">
        <v>119</v>
      </c>
      <c r="BN3246">
        <v>1</v>
      </c>
      <c r="BO3246">
        <v>1</v>
      </c>
      <c r="BP3246">
        <v>1</v>
      </c>
      <c r="BQ3246">
        <v>0</v>
      </c>
      <c r="BT3246">
        <v>0</v>
      </c>
      <c r="BU3246">
        <v>0</v>
      </c>
      <c r="BV3246">
        <v>0</v>
      </c>
      <c r="CC3246" t="str">
        <f>"19:29:01.719"</f>
        <v>19:29:01.719</v>
      </c>
      <c r="CD3246" t="str">
        <f>"717656586"</f>
        <v>717656586</v>
      </c>
      <c r="CQ3246">
        <v>0</v>
      </c>
      <c r="CR3246">
        <v>2</v>
      </c>
      <c r="CS3246">
        <v>0</v>
      </c>
      <c r="CT3246">
        <v>2</v>
      </c>
      <c r="CU3246">
        <v>0</v>
      </c>
      <c r="CV3246">
        <v>6</v>
      </c>
      <c r="CW3246" t="s">
        <v>120</v>
      </c>
      <c r="CX3246">
        <v>257</v>
      </c>
      <c r="CY3246">
        <v>0</v>
      </c>
      <c r="CZ3246" t="s">
        <v>615</v>
      </c>
      <c r="DA3246" t="s">
        <v>616</v>
      </c>
      <c r="DD3246">
        <v>16338563</v>
      </c>
      <c r="DE3246" t="s">
        <v>123</v>
      </c>
    </row>
    <row r="3247" spans="1:109" x14ac:dyDescent="0.3">
      <c r="A3247" t="str">
        <f>"19:29:02.891"</f>
        <v>19:29:02.891</v>
      </c>
      <c r="B3247" t="s">
        <v>110</v>
      </c>
      <c r="C3247" t="str">
        <f t="shared" si="150"/>
        <v>ffdfd3c0</v>
      </c>
      <c r="D3247" t="s">
        <v>111</v>
      </c>
      <c r="E3247">
        <v>18</v>
      </c>
      <c r="F3247">
        <v>1018</v>
      </c>
      <c r="G3247" t="s">
        <v>112</v>
      </c>
      <c r="J3247" t="s">
        <v>113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R3247" t="s">
        <v>114</v>
      </c>
      <c r="S3247" t="str">
        <f>"19:29:02.641"</f>
        <v>19:29:02.641</v>
      </c>
      <c r="T3247" t="str">
        <f>"19:29:02.242"</f>
        <v>19:29:02.242</v>
      </c>
      <c r="U3247" t="str">
        <f t="shared" si="151"/>
        <v>a1cdbe</v>
      </c>
      <c r="V3247">
        <v>0</v>
      </c>
      <c r="W3247">
        <v>0</v>
      </c>
      <c r="X3247">
        <v>2</v>
      </c>
      <c r="Y3247">
        <v>0</v>
      </c>
      <c r="Z3247">
        <v>0</v>
      </c>
      <c r="AB3247">
        <v>0</v>
      </c>
      <c r="AC3247">
        <v>9</v>
      </c>
      <c r="AD3247">
        <v>3</v>
      </c>
      <c r="AE3247">
        <v>0</v>
      </c>
      <c r="AF3247">
        <v>9</v>
      </c>
      <c r="AG3247" t="s">
        <v>158</v>
      </c>
      <c r="AH3247">
        <v>0</v>
      </c>
      <c r="AI3247">
        <v>3</v>
      </c>
      <c r="AJ3247">
        <v>1</v>
      </c>
      <c r="AK3247">
        <v>0</v>
      </c>
      <c r="AL3247" t="s">
        <v>6109</v>
      </c>
      <c r="AM3247">
        <v>47.001786000000003</v>
      </c>
      <c r="AN3247" t="s">
        <v>6110</v>
      </c>
      <c r="AO3247">
        <v>-123.65084400000001</v>
      </c>
      <c r="AP3247">
        <v>100</v>
      </c>
      <c r="AQ3247">
        <v>2100</v>
      </c>
      <c r="AR3247" t="s">
        <v>118</v>
      </c>
      <c r="AS3247">
        <v>-78</v>
      </c>
      <c r="AT3247">
        <v>9</v>
      </c>
      <c r="AU3247">
        <v>-64</v>
      </c>
      <c r="BC3247">
        <v>1200</v>
      </c>
      <c r="BD3247">
        <v>1</v>
      </c>
      <c r="BE3247" t="str">
        <f t="shared" si="152"/>
        <v xml:space="preserve">N215T   </v>
      </c>
      <c r="BF3247">
        <v>1</v>
      </c>
      <c r="BH3247">
        <v>0</v>
      </c>
      <c r="BI3247">
        <v>0</v>
      </c>
      <c r="BJ3247">
        <v>0</v>
      </c>
      <c r="BK3247">
        <v>2500</v>
      </c>
      <c r="BL3247">
        <v>400</v>
      </c>
      <c r="BM3247" t="s">
        <v>119</v>
      </c>
      <c r="BN3247">
        <v>1</v>
      </c>
      <c r="BO3247">
        <v>1</v>
      </c>
      <c r="BP3247">
        <v>1</v>
      </c>
      <c r="BQ3247">
        <v>0</v>
      </c>
      <c r="BT3247">
        <v>0</v>
      </c>
      <c r="BU3247">
        <v>0</v>
      </c>
      <c r="BV3247">
        <v>0</v>
      </c>
      <c r="CC3247" t="str">
        <f>"19:29:02.648"</f>
        <v>19:29:02.648</v>
      </c>
      <c r="CD3247" t="str">
        <f>"647564929"</f>
        <v>647564929</v>
      </c>
      <c r="CQ3247">
        <v>0</v>
      </c>
      <c r="CR3247">
        <v>2</v>
      </c>
      <c r="CS3247">
        <v>0</v>
      </c>
      <c r="CT3247">
        <v>2</v>
      </c>
      <c r="CU3247">
        <v>0</v>
      </c>
      <c r="CV3247">
        <v>6</v>
      </c>
      <c r="CW3247" t="s">
        <v>120</v>
      </c>
      <c r="CX3247">
        <v>257</v>
      </c>
      <c r="CY3247">
        <v>0</v>
      </c>
      <c r="CZ3247" t="s">
        <v>615</v>
      </c>
      <c r="DA3247" t="s">
        <v>616</v>
      </c>
      <c r="DD3247">
        <v>16339004</v>
      </c>
      <c r="DE3247" t="s">
        <v>123</v>
      </c>
    </row>
    <row r="3248" spans="1:109" x14ac:dyDescent="0.3">
      <c r="A3248" t="str">
        <f>"19:29:03.844"</f>
        <v>19:29:03.844</v>
      </c>
      <c r="B3248" t="s">
        <v>110</v>
      </c>
      <c r="C3248" t="str">
        <f t="shared" si="150"/>
        <v>ffdfd3c0</v>
      </c>
      <c r="D3248" t="s">
        <v>111</v>
      </c>
      <c r="E3248">
        <v>18</v>
      </c>
      <c r="F3248">
        <v>1018</v>
      </c>
      <c r="G3248" t="s">
        <v>112</v>
      </c>
      <c r="J3248" t="s">
        <v>113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R3248" t="s">
        <v>114</v>
      </c>
      <c r="S3248" t="str">
        <f>"19:29:03.617"</f>
        <v>19:29:03.617</v>
      </c>
      <c r="T3248" t="str">
        <f>"19:29:03.117"</f>
        <v>19:29:03.117</v>
      </c>
      <c r="U3248" t="str">
        <f t="shared" si="151"/>
        <v>a1cdbe</v>
      </c>
      <c r="V3248">
        <v>0</v>
      </c>
      <c r="W3248">
        <v>0</v>
      </c>
      <c r="X3248">
        <v>2</v>
      </c>
      <c r="Y3248">
        <v>0</v>
      </c>
      <c r="Z3248">
        <v>0</v>
      </c>
      <c r="AB3248">
        <v>0</v>
      </c>
      <c r="AC3248">
        <v>9</v>
      </c>
      <c r="AD3248">
        <v>3</v>
      </c>
      <c r="AE3248">
        <v>0</v>
      </c>
      <c r="AF3248">
        <v>9</v>
      </c>
      <c r="AG3248" t="s">
        <v>158</v>
      </c>
      <c r="AH3248">
        <v>0</v>
      </c>
      <c r="AI3248">
        <v>3</v>
      </c>
      <c r="AJ3248">
        <v>1</v>
      </c>
      <c r="AK3248">
        <v>0</v>
      </c>
      <c r="AL3248" t="s">
        <v>6111</v>
      </c>
      <c r="AM3248">
        <v>47.001851000000002</v>
      </c>
      <c r="AN3248" t="s">
        <v>6112</v>
      </c>
      <c r="AO3248">
        <v>-123.651338</v>
      </c>
      <c r="AP3248">
        <v>100</v>
      </c>
      <c r="AQ3248">
        <v>2100</v>
      </c>
      <c r="AR3248" t="s">
        <v>118</v>
      </c>
      <c r="AS3248">
        <v>-78</v>
      </c>
      <c r="AT3248">
        <v>9</v>
      </c>
      <c r="AU3248">
        <v>-64</v>
      </c>
      <c r="BC3248">
        <v>1200</v>
      </c>
      <c r="BD3248">
        <v>1</v>
      </c>
      <c r="BE3248" t="str">
        <f t="shared" si="152"/>
        <v xml:space="preserve">N215T   </v>
      </c>
      <c r="BF3248">
        <v>1</v>
      </c>
      <c r="BH3248">
        <v>0</v>
      </c>
      <c r="BI3248">
        <v>0</v>
      </c>
      <c r="BJ3248">
        <v>0</v>
      </c>
      <c r="BK3248">
        <v>2475</v>
      </c>
      <c r="BL3248">
        <v>375</v>
      </c>
      <c r="BM3248" t="s">
        <v>119</v>
      </c>
      <c r="BN3248">
        <v>1</v>
      </c>
      <c r="BO3248">
        <v>1</v>
      </c>
      <c r="BP3248">
        <v>1</v>
      </c>
      <c r="BQ3248">
        <v>0</v>
      </c>
      <c r="BT3248">
        <v>0</v>
      </c>
      <c r="BU3248">
        <v>0</v>
      </c>
      <c r="BV3248">
        <v>0</v>
      </c>
      <c r="CC3248" t="str">
        <f>"19:29:03.625"</f>
        <v>19:29:03.625</v>
      </c>
      <c r="CD3248" t="str">
        <f>"622468851"</f>
        <v>622468851</v>
      </c>
      <c r="CQ3248">
        <v>0</v>
      </c>
      <c r="CR3248">
        <v>2</v>
      </c>
      <c r="CS3248">
        <v>0</v>
      </c>
      <c r="CT3248">
        <v>2</v>
      </c>
      <c r="CU3248">
        <v>0</v>
      </c>
      <c r="CV3248">
        <v>6</v>
      </c>
      <c r="CW3248" t="s">
        <v>120</v>
      </c>
      <c r="CX3248">
        <v>257</v>
      </c>
      <c r="CY3248">
        <v>0</v>
      </c>
      <c r="CZ3248" t="s">
        <v>615</v>
      </c>
      <c r="DA3248" t="s">
        <v>616</v>
      </c>
      <c r="DD3248">
        <v>16339483</v>
      </c>
      <c r="DE3248" t="s">
        <v>123</v>
      </c>
    </row>
    <row r="3249" spans="1:109" x14ac:dyDescent="0.3">
      <c r="A3249" t="str">
        <f>"19:29:04.898"</f>
        <v>19:29:04.898</v>
      </c>
      <c r="B3249" t="s">
        <v>110</v>
      </c>
      <c r="C3249" t="str">
        <f t="shared" si="150"/>
        <v>ffdfd3c0</v>
      </c>
      <c r="D3249" t="s">
        <v>111</v>
      </c>
      <c r="E3249">
        <v>18</v>
      </c>
      <c r="F3249">
        <v>1018</v>
      </c>
      <c r="G3249" t="s">
        <v>112</v>
      </c>
      <c r="J3249" t="s">
        <v>113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R3249" t="s">
        <v>114</v>
      </c>
      <c r="S3249" t="str">
        <f>"19:29:04.672"</f>
        <v>19:29:04.672</v>
      </c>
      <c r="T3249" t="str">
        <f>"19:29:04.672"</f>
        <v>19:29:04.672</v>
      </c>
      <c r="U3249" t="str">
        <f t="shared" si="151"/>
        <v>a1cdbe</v>
      </c>
      <c r="V3249">
        <v>0</v>
      </c>
      <c r="W3249">
        <v>0</v>
      </c>
      <c r="X3249">
        <v>2</v>
      </c>
      <c r="Y3249">
        <v>0</v>
      </c>
      <c r="Z3249">
        <v>0</v>
      </c>
      <c r="AB3249">
        <v>0</v>
      </c>
      <c r="AC3249">
        <v>9</v>
      </c>
      <c r="AD3249">
        <v>3</v>
      </c>
      <c r="AE3249">
        <v>0</v>
      </c>
      <c r="AF3249">
        <v>9</v>
      </c>
      <c r="AG3249" t="s">
        <v>158</v>
      </c>
      <c r="AH3249">
        <v>0</v>
      </c>
      <c r="AI3249">
        <v>3</v>
      </c>
      <c r="AJ3249">
        <v>1</v>
      </c>
      <c r="AK3249">
        <v>0</v>
      </c>
      <c r="AL3249" t="s">
        <v>6113</v>
      </c>
      <c r="AM3249">
        <v>47.001894</v>
      </c>
      <c r="AN3249" t="s">
        <v>6114</v>
      </c>
      <c r="AO3249">
        <v>-123.65189599999999</v>
      </c>
      <c r="AP3249">
        <v>100</v>
      </c>
      <c r="AQ3249">
        <v>2100</v>
      </c>
      <c r="AR3249" t="s">
        <v>118</v>
      </c>
      <c r="AS3249">
        <v>-78</v>
      </c>
      <c r="AT3249">
        <v>9</v>
      </c>
      <c r="AU3249">
        <v>-64</v>
      </c>
      <c r="BC3249">
        <v>1200</v>
      </c>
      <c r="BD3249">
        <v>1</v>
      </c>
      <c r="BE3249" t="str">
        <f t="shared" si="152"/>
        <v xml:space="preserve">N215T   </v>
      </c>
      <c r="BF3249">
        <v>1</v>
      </c>
      <c r="BH3249">
        <v>0</v>
      </c>
      <c r="BI3249">
        <v>0</v>
      </c>
      <c r="BJ3249">
        <v>0</v>
      </c>
      <c r="BK3249">
        <v>2475</v>
      </c>
      <c r="BL3249">
        <v>375</v>
      </c>
      <c r="BM3249" t="s">
        <v>119</v>
      </c>
      <c r="BN3249">
        <v>1</v>
      </c>
      <c r="BO3249">
        <v>1</v>
      </c>
      <c r="BP3249">
        <v>1</v>
      </c>
      <c r="BQ3249">
        <v>0</v>
      </c>
      <c r="BT3249">
        <v>0</v>
      </c>
      <c r="BU3249">
        <v>0</v>
      </c>
      <c r="BV3249">
        <v>0</v>
      </c>
      <c r="CC3249" t="str">
        <f>"19:29:04.672"</f>
        <v>19:29:04.672</v>
      </c>
      <c r="CD3249" t="str">
        <f>"672365371"</f>
        <v>672365371</v>
      </c>
      <c r="CQ3249">
        <v>0</v>
      </c>
      <c r="CR3249">
        <v>2</v>
      </c>
      <c r="CS3249">
        <v>0</v>
      </c>
      <c r="CT3249">
        <v>2</v>
      </c>
      <c r="CU3249">
        <v>0</v>
      </c>
      <c r="CV3249">
        <v>6</v>
      </c>
      <c r="CW3249" t="s">
        <v>120</v>
      </c>
      <c r="CX3249">
        <v>257</v>
      </c>
      <c r="CY3249">
        <v>0</v>
      </c>
      <c r="CZ3249" t="s">
        <v>615</v>
      </c>
      <c r="DA3249" t="s">
        <v>616</v>
      </c>
      <c r="DD3249">
        <v>16339989</v>
      </c>
      <c r="DE3249" t="s">
        <v>123</v>
      </c>
    </row>
    <row r="3250" spans="1:109" x14ac:dyDescent="0.3">
      <c r="A3250" t="str">
        <f>"19:29:05.961"</f>
        <v>19:29:05.961</v>
      </c>
      <c r="B3250" t="s">
        <v>110</v>
      </c>
      <c r="C3250" t="str">
        <f t="shared" si="150"/>
        <v>ffdfd3c0</v>
      </c>
      <c r="D3250" t="s">
        <v>111</v>
      </c>
      <c r="E3250">
        <v>18</v>
      </c>
      <c r="F3250">
        <v>1018</v>
      </c>
      <c r="G3250" t="s">
        <v>112</v>
      </c>
      <c r="J3250" t="s">
        <v>113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R3250" t="s">
        <v>114</v>
      </c>
      <c r="S3250" t="str">
        <f>"19:29:05.766"</f>
        <v>19:29:05.766</v>
      </c>
      <c r="T3250" t="str">
        <f>"19:29:05.664"</f>
        <v>19:29:05.664</v>
      </c>
      <c r="U3250" t="str">
        <f t="shared" si="151"/>
        <v>a1cdbe</v>
      </c>
      <c r="V3250">
        <v>0</v>
      </c>
      <c r="W3250">
        <v>0</v>
      </c>
      <c r="X3250">
        <v>2</v>
      </c>
      <c r="Y3250">
        <v>0</v>
      </c>
      <c r="Z3250">
        <v>0</v>
      </c>
      <c r="AB3250">
        <v>0</v>
      </c>
      <c r="AC3250">
        <v>9</v>
      </c>
      <c r="AD3250">
        <v>3</v>
      </c>
      <c r="AE3250">
        <v>0</v>
      </c>
      <c r="AF3250">
        <v>9</v>
      </c>
      <c r="AG3250" t="s">
        <v>158</v>
      </c>
      <c r="AH3250">
        <v>0</v>
      </c>
      <c r="AI3250">
        <v>3</v>
      </c>
      <c r="AJ3250">
        <v>1</v>
      </c>
      <c r="AK3250">
        <v>0</v>
      </c>
      <c r="AL3250" t="s">
        <v>6115</v>
      </c>
      <c r="AM3250">
        <v>47.001936000000001</v>
      </c>
      <c r="AN3250" t="s">
        <v>6116</v>
      </c>
      <c r="AO3250">
        <v>-123.65245299999999</v>
      </c>
      <c r="AP3250">
        <v>100</v>
      </c>
      <c r="AQ3250">
        <v>2100</v>
      </c>
      <c r="AR3250" t="s">
        <v>118</v>
      </c>
      <c r="AS3250">
        <v>-78</v>
      </c>
      <c r="AT3250">
        <v>9</v>
      </c>
      <c r="AU3250">
        <v>-64</v>
      </c>
      <c r="BC3250">
        <v>1200</v>
      </c>
      <c r="BD3250">
        <v>1</v>
      </c>
      <c r="BE3250" t="str">
        <f t="shared" si="152"/>
        <v xml:space="preserve">N215T   </v>
      </c>
      <c r="BF3250">
        <v>1</v>
      </c>
      <c r="BH3250">
        <v>0</v>
      </c>
      <c r="BI3250">
        <v>0</v>
      </c>
      <c r="BJ3250">
        <v>0</v>
      </c>
      <c r="BK3250">
        <v>2475</v>
      </c>
      <c r="BL3250">
        <v>375</v>
      </c>
      <c r="BM3250" t="s">
        <v>119</v>
      </c>
      <c r="BN3250">
        <v>1</v>
      </c>
      <c r="BO3250">
        <v>1</v>
      </c>
      <c r="BP3250">
        <v>1</v>
      </c>
      <c r="BQ3250">
        <v>0</v>
      </c>
      <c r="BT3250">
        <v>0</v>
      </c>
      <c r="BU3250">
        <v>0</v>
      </c>
      <c r="BV3250">
        <v>0</v>
      </c>
      <c r="CC3250" t="str">
        <f>"19:29:05.766"</f>
        <v>19:29:05.766</v>
      </c>
      <c r="CD3250" t="str">
        <f>"767257463"</f>
        <v>767257463</v>
      </c>
      <c r="CQ3250">
        <v>0</v>
      </c>
      <c r="CR3250">
        <v>2</v>
      </c>
      <c r="CS3250">
        <v>0</v>
      </c>
      <c r="CT3250">
        <v>2</v>
      </c>
      <c r="CU3250">
        <v>0</v>
      </c>
      <c r="CV3250">
        <v>6</v>
      </c>
      <c r="CW3250" t="s">
        <v>120</v>
      </c>
      <c r="CX3250">
        <v>257</v>
      </c>
      <c r="CY3250">
        <v>0</v>
      </c>
      <c r="CZ3250" t="s">
        <v>615</v>
      </c>
      <c r="DA3250" t="s">
        <v>616</v>
      </c>
      <c r="DD3250">
        <v>16340531</v>
      </c>
      <c r="DE3250" t="s">
        <v>123</v>
      </c>
    </row>
    <row r="3251" spans="1:109" x14ac:dyDescent="0.3">
      <c r="A3251" t="str">
        <f>"19:29:07.063"</f>
        <v>19:29:07.063</v>
      </c>
      <c r="B3251" t="s">
        <v>110</v>
      </c>
      <c r="C3251" t="str">
        <f t="shared" si="150"/>
        <v>ffdfd3c0</v>
      </c>
      <c r="D3251" t="s">
        <v>111</v>
      </c>
      <c r="E3251">
        <v>18</v>
      </c>
      <c r="F3251">
        <v>1018</v>
      </c>
      <c r="G3251" t="s">
        <v>112</v>
      </c>
      <c r="J3251" t="s">
        <v>113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R3251" t="s">
        <v>114</v>
      </c>
      <c r="S3251" t="str">
        <f>"19:29:06.797"</f>
        <v>19:29:06.797</v>
      </c>
      <c r="T3251" t="str">
        <f>"19:29:06.695"</f>
        <v>19:29:06.695</v>
      </c>
      <c r="U3251" t="str">
        <f t="shared" si="151"/>
        <v>a1cdbe</v>
      </c>
      <c r="V3251">
        <v>0</v>
      </c>
      <c r="W3251">
        <v>0</v>
      </c>
      <c r="X3251">
        <v>2</v>
      </c>
      <c r="Y3251">
        <v>0</v>
      </c>
      <c r="Z3251">
        <v>0</v>
      </c>
      <c r="AB3251">
        <v>0</v>
      </c>
      <c r="AC3251">
        <v>9</v>
      </c>
      <c r="AD3251">
        <v>3</v>
      </c>
      <c r="AE3251">
        <v>0</v>
      </c>
      <c r="AF3251">
        <v>9</v>
      </c>
      <c r="AG3251" t="s">
        <v>158</v>
      </c>
      <c r="AH3251">
        <v>0</v>
      </c>
      <c r="AI3251">
        <v>3</v>
      </c>
      <c r="AJ3251">
        <v>1</v>
      </c>
      <c r="AK3251">
        <v>0</v>
      </c>
      <c r="AL3251" t="s">
        <v>6117</v>
      </c>
      <c r="AM3251">
        <v>47.001978999999999</v>
      </c>
      <c r="AN3251" t="s">
        <v>6118</v>
      </c>
      <c r="AO3251">
        <v>-123.653054</v>
      </c>
      <c r="AP3251">
        <v>100</v>
      </c>
      <c r="AQ3251">
        <v>2100</v>
      </c>
      <c r="AR3251" t="s">
        <v>118</v>
      </c>
      <c r="AS3251">
        <v>-78</v>
      </c>
      <c r="AT3251">
        <v>9</v>
      </c>
      <c r="AU3251">
        <v>0</v>
      </c>
      <c r="BC3251">
        <v>1200</v>
      </c>
      <c r="BD3251">
        <v>1</v>
      </c>
      <c r="BE3251" t="str">
        <f t="shared" si="152"/>
        <v xml:space="preserve">N215T   </v>
      </c>
      <c r="BF3251">
        <v>1</v>
      </c>
      <c r="BH3251">
        <v>0</v>
      </c>
      <c r="BI3251">
        <v>0</v>
      </c>
      <c r="BJ3251">
        <v>0</v>
      </c>
      <c r="BK3251">
        <v>2475</v>
      </c>
      <c r="BL3251">
        <v>375</v>
      </c>
      <c r="BM3251" t="s">
        <v>119</v>
      </c>
      <c r="BN3251">
        <v>1</v>
      </c>
      <c r="BO3251">
        <v>1</v>
      </c>
      <c r="BP3251">
        <v>1</v>
      </c>
      <c r="BQ3251">
        <v>0</v>
      </c>
      <c r="BT3251">
        <v>0</v>
      </c>
      <c r="BU3251">
        <v>0</v>
      </c>
      <c r="BV3251">
        <v>0</v>
      </c>
      <c r="CC3251" t="str">
        <f>"19:29:06.805"</f>
        <v>19:29:06.805</v>
      </c>
      <c r="CD3251" t="str">
        <f>"802155452"</f>
        <v>802155452</v>
      </c>
      <c r="CQ3251">
        <v>0</v>
      </c>
      <c r="CR3251">
        <v>2</v>
      </c>
      <c r="CS3251">
        <v>0</v>
      </c>
      <c r="CT3251">
        <v>2</v>
      </c>
      <c r="CU3251">
        <v>0</v>
      </c>
      <c r="CV3251">
        <v>6</v>
      </c>
      <c r="CW3251" t="s">
        <v>120</v>
      </c>
      <c r="CX3251">
        <v>257</v>
      </c>
      <c r="CY3251">
        <v>0</v>
      </c>
      <c r="CZ3251" t="s">
        <v>615</v>
      </c>
      <c r="DA3251" t="s">
        <v>616</v>
      </c>
      <c r="DD3251">
        <v>16341081</v>
      </c>
      <c r="DE3251" t="s">
        <v>123</v>
      </c>
    </row>
    <row r="3252" spans="1:109" x14ac:dyDescent="0.3">
      <c r="A3252" t="str">
        <f>"19:29:07.922"</f>
        <v>19:29:07.922</v>
      </c>
      <c r="B3252" t="s">
        <v>110</v>
      </c>
      <c r="C3252" t="str">
        <f t="shared" si="150"/>
        <v>ffdfd3c0</v>
      </c>
      <c r="D3252" t="s">
        <v>111</v>
      </c>
      <c r="E3252">
        <v>18</v>
      </c>
      <c r="F3252">
        <v>1018</v>
      </c>
      <c r="G3252" t="s">
        <v>112</v>
      </c>
      <c r="J3252" t="s">
        <v>113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R3252" t="s">
        <v>114</v>
      </c>
      <c r="S3252" t="str">
        <f>"19:29:07.672"</f>
        <v>19:29:07.672</v>
      </c>
      <c r="T3252" t="str">
        <f>"19:29:07.375"</f>
        <v>19:29:07.375</v>
      </c>
      <c r="U3252" t="str">
        <f t="shared" si="151"/>
        <v>a1cdbe</v>
      </c>
      <c r="V3252">
        <v>0</v>
      </c>
      <c r="W3252">
        <v>0</v>
      </c>
      <c r="X3252">
        <v>2</v>
      </c>
      <c r="Y3252">
        <v>0</v>
      </c>
      <c r="Z3252">
        <v>0</v>
      </c>
      <c r="AB3252">
        <v>0</v>
      </c>
      <c r="AC3252">
        <v>9</v>
      </c>
      <c r="AD3252">
        <v>3</v>
      </c>
      <c r="AE3252">
        <v>0</v>
      </c>
      <c r="AF3252">
        <v>9</v>
      </c>
      <c r="AG3252" t="s">
        <v>158</v>
      </c>
      <c r="AH3252">
        <v>0</v>
      </c>
      <c r="AI3252">
        <v>3</v>
      </c>
      <c r="AJ3252">
        <v>1</v>
      </c>
      <c r="AK3252">
        <v>0</v>
      </c>
      <c r="AL3252" t="s">
        <v>809</v>
      </c>
      <c r="AM3252">
        <v>47.002021999999997</v>
      </c>
      <c r="AN3252" t="s">
        <v>6119</v>
      </c>
      <c r="AO3252">
        <v>-123.653462</v>
      </c>
      <c r="AP3252">
        <v>100</v>
      </c>
      <c r="AQ3252">
        <v>2100</v>
      </c>
      <c r="AR3252" t="s">
        <v>118</v>
      </c>
      <c r="AS3252">
        <v>-78</v>
      </c>
      <c r="AT3252">
        <v>9</v>
      </c>
      <c r="AU3252">
        <v>0</v>
      </c>
      <c r="BC3252">
        <v>1200</v>
      </c>
      <c r="BD3252">
        <v>1</v>
      </c>
      <c r="BE3252" t="str">
        <f t="shared" si="152"/>
        <v xml:space="preserve">N215T   </v>
      </c>
      <c r="BF3252">
        <v>1</v>
      </c>
      <c r="BH3252">
        <v>0</v>
      </c>
      <c r="BI3252">
        <v>0</v>
      </c>
      <c r="BJ3252">
        <v>0</v>
      </c>
      <c r="BK3252">
        <v>2475</v>
      </c>
      <c r="BL3252">
        <v>375</v>
      </c>
      <c r="BM3252" t="s">
        <v>119</v>
      </c>
      <c r="BN3252">
        <v>1</v>
      </c>
      <c r="BO3252">
        <v>1</v>
      </c>
      <c r="BP3252">
        <v>1</v>
      </c>
      <c r="BQ3252">
        <v>0</v>
      </c>
      <c r="BT3252">
        <v>0</v>
      </c>
      <c r="BU3252">
        <v>0</v>
      </c>
      <c r="BV3252">
        <v>0</v>
      </c>
      <c r="CC3252" t="str">
        <f>"19:29:07.672"</f>
        <v>19:29:07.672</v>
      </c>
      <c r="CD3252" t="str">
        <f>"672069717"</f>
        <v>672069717</v>
      </c>
      <c r="CQ3252">
        <v>0</v>
      </c>
      <c r="CR3252">
        <v>2</v>
      </c>
      <c r="CS3252">
        <v>0</v>
      </c>
      <c r="CT3252">
        <v>2</v>
      </c>
      <c r="CU3252">
        <v>0</v>
      </c>
      <c r="CV3252">
        <v>6</v>
      </c>
      <c r="CW3252" t="s">
        <v>120</v>
      </c>
      <c r="CX3252">
        <v>257</v>
      </c>
      <c r="CY3252">
        <v>0</v>
      </c>
      <c r="CZ3252" t="s">
        <v>615</v>
      </c>
      <c r="DA3252" t="s">
        <v>616</v>
      </c>
      <c r="DD3252">
        <v>16341485</v>
      </c>
      <c r="DE3252" t="s">
        <v>123</v>
      </c>
    </row>
    <row r="3253" spans="1:109" x14ac:dyDescent="0.3">
      <c r="A3253" t="str">
        <f>"19:29:08.977"</f>
        <v>19:29:08.977</v>
      </c>
      <c r="B3253" t="s">
        <v>110</v>
      </c>
      <c r="C3253" t="str">
        <f t="shared" si="150"/>
        <v>ffdfd3c0</v>
      </c>
      <c r="D3253" t="s">
        <v>111</v>
      </c>
      <c r="E3253">
        <v>18</v>
      </c>
      <c r="F3253">
        <v>1018</v>
      </c>
      <c r="G3253" t="s">
        <v>112</v>
      </c>
      <c r="J3253" t="s">
        <v>113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R3253" t="s">
        <v>114</v>
      </c>
      <c r="S3253" t="str">
        <f>"19:29:08.734"</f>
        <v>19:29:08.734</v>
      </c>
      <c r="T3253" t="str">
        <f>"19:29:08.336"</f>
        <v>19:29:08.336</v>
      </c>
      <c r="U3253" t="str">
        <f t="shared" si="151"/>
        <v>a1cdbe</v>
      </c>
      <c r="V3253">
        <v>0</v>
      </c>
      <c r="W3253">
        <v>0</v>
      </c>
      <c r="X3253">
        <v>2</v>
      </c>
      <c r="Y3253">
        <v>0</v>
      </c>
      <c r="Z3253">
        <v>0</v>
      </c>
      <c r="AB3253">
        <v>0</v>
      </c>
      <c r="AC3253">
        <v>9</v>
      </c>
      <c r="AD3253">
        <v>3</v>
      </c>
      <c r="AE3253">
        <v>0</v>
      </c>
      <c r="AF3253">
        <v>9</v>
      </c>
      <c r="AG3253" t="s">
        <v>158</v>
      </c>
      <c r="AH3253">
        <v>0</v>
      </c>
      <c r="AI3253">
        <v>3</v>
      </c>
      <c r="AJ3253">
        <v>1</v>
      </c>
      <c r="AK3253">
        <v>0</v>
      </c>
      <c r="AL3253" t="s">
        <v>809</v>
      </c>
      <c r="AM3253">
        <v>47.002021999999997</v>
      </c>
      <c r="AN3253" t="s">
        <v>6120</v>
      </c>
      <c r="AO3253">
        <v>-123.654084</v>
      </c>
      <c r="AP3253">
        <v>100</v>
      </c>
      <c r="AQ3253">
        <v>2100</v>
      </c>
      <c r="AR3253" t="s">
        <v>118</v>
      </c>
      <c r="AS3253">
        <v>-78</v>
      </c>
      <c r="AT3253">
        <v>9</v>
      </c>
      <c r="AU3253">
        <v>0</v>
      </c>
      <c r="BC3253">
        <v>1200</v>
      </c>
      <c r="BD3253">
        <v>1</v>
      </c>
      <c r="BE3253" t="str">
        <f t="shared" si="152"/>
        <v xml:space="preserve">N215T   </v>
      </c>
      <c r="BF3253">
        <v>1</v>
      </c>
      <c r="BH3253">
        <v>0</v>
      </c>
      <c r="BI3253">
        <v>0</v>
      </c>
      <c r="BJ3253">
        <v>0</v>
      </c>
      <c r="BK3253">
        <v>2475</v>
      </c>
      <c r="BL3253">
        <v>375</v>
      </c>
      <c r="BM3253" t="s">
        <v>119</v>
      </c>
      <c r="BN3253">
        <v>1</v>
      </c>
      <c r="BO3253">
        <v>1</v>
      </c>
      <c r="BP3253">
        <v>1</v>
      </c>
      <c r="BQ3253">
        <v>0</v>
      </c>
      <c r="BT3253">
        <v>0</v>
      </c>
      <c r="BU3253">
        <v>0</v>
      </c>
      <c r="BV3253">
        <v>0</v>
      </c>
      <c r="CC3253" t="str">
        <f>"19:29:08.734"</f>
        <v>19:29:08.734</v>
      </c>
      <c r="CD3253" t="str">
        <f>"736964770"</f>
        <v>736964770</v>
      </c>
      <c r="CQ3253">
        <v>0</v>
      </c>
      <c r="CR3253">
        <v>2</v>
      </c>
      <c r="CS3253">
        <v>0</v>
      </c>
      <c r="CT3253">
        <v>2</v>
      </c>
      <c r="CU3253">
        <v>0</v>
      </c>
      <c r="CV3253">
        <v>6</v>
      </c>
      <c r="CW3253" t="s">
        <v>120</v>
      </c>
      <c r="CX3253">
        <v>257</v>
      </c>
      <c r="CY3253">
        <v>0</v>
      </c>
      <c r="CZ3253" t="s">
        <v>615</v>
      </c>
      <c r="DA3253" t="s">
        <v>616</v>
      </c>
      <c r="DD3253">
        <v>16342013</v>
      </c>
      <c r="DE3253" t="s">
        <v>123</v>
      </c>
    </row>
    <row r="3254" spans="1:109" x14ac:dyDescent="0.3">
      <c r="A3254" t="str">
        <f>"19:29:09.875"</f>
        <v>19:29:09.875</v>
      </c>
      <c r="B3254" t="s">
        <v>110</v>
      </c>
      <c r="C3254" t="str">
        <f t="shared" si="150"/>
        <v>ffdfd3c0</v>
      </c>
      <c r="D3254" t="s">
        <v>111</v>
      </c>
      <c r="E3254">
        <v>18</v>
      </c>
      <c r="F3254">
        <v>1018</v>
      </c>
      <c r="G3254" t="s">
        <v>112</v>
      </c>
      <c r="J3254" t="s">
        <v>113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R3254" t="s">
        <v>114</v>
      </c>
      <c r="S3254" t="str">
        <f>"19:29:09.680"</f>
        <v>19:29:09.680</v>
      </c>
      <c r="T3254" t="str">
        <f>"19:29:09.383"</f>
        <v>19:29:09.383</v>
      </c>
      <c r="U3254" t="str">
        <f t="shared" si="151"/>
        <v>a1cdbe</v>
      </c>
      <c r="V3254">
        <v>0</v>
      </c>
      <c r="W3254">
        <v>0</v>
      </c>
      <c r="X3254">
        <v>2</v>
      </c>
      <c r="Y3254">
        <v>0</v>
      </c>
      <c r="Z3254">
        <v>0</v>
      </c>
      <c r="AB3254">
        <v>0</v>
      </c>
      <c r="AC3254">
        <v>9</v>
      </c>
      <c r="AD3254">
        <v>3</v>
      </c>
      <c r="AE3254">
        <v>0</v>
      </c>
      <c r="AF3254">
        <v>9</v>
      </c>
      <c r="AG3254" t="s">
        <v>158</v>
      </c>
      <c r="AH3254">
        <v>0</v>
      </c>
      <c r="AI3254">
        <v>3</v>
      </c>
      <c r="AJ3254">
        <v>1</v>
      </c>
      <c r="AK3254">
        <v>0</v>
      </c>
      <c r="AL3254" t="s">
        <v>6121</v>
      </c>
      <c r="AM3254">
        <v>47.002065000000002</v>
      </c>
      <c r="AN3254" t="s">
        <v>6122</v>
      </c>
      <c r="AO3254">
        <v>-123.654556</v>
      </c>
      <c r="AP3254">
        <v>100</v>
      </c>
      <c r="AQ3254">
        <v>2100</v>
      </c>
      <c r="AR3254" t="s">
        <v>118</v>
      </c>
      <c r="AS3254">
        <v>-78</v>
      </c>
      <c r="AT3254">
        <v>9</v>
      </c>
      <c r="AU3254">
        <v>0</v>
      </c>
      <c r="BC3254">
        <v>1200</v>
      </c>
      <c r="BD3254">
        <v>1</v>
      </c>
      <c r="BE3254" t="str">
        <f t="shared" si="152"/>
        <v xml:space="preserve">N215T   </v>
      </c>
      <c r="BF3254">
        <v>1</v>
      </c>
      <c r="BH3254">
        <v>0</v>
      </c>
      <c r="BI3254">
        <v>0</v>
      </c>
      <c r="BJ3254">
        <v>0</v>
      </c>
      <c r="BK3254">
        <v>2475</v>
      </c>
      <c r="BL3254">
        <v>375</v>
      </c>
      <c r="BM3254" t="s">
        <v>119</v>
      </c>
      <c r="BN3254">
        <v>1</v>
      </c>
      <c r="BO3254">
        <v>1</v>
      </c>
      <c r="BP3254">
        <v>1</v>
      </c>
      <c r="BQ3254">
        <v>0</v>
      </c>
      <c r="BT3254">
        <v>0</v>
      </c>
      <c r="BU3254">
        <v>0</v>
      </c>
      <c r="BV3254">
        <v>0</v>
      </c>
      <c r="CC3254" t="str">
        <f>"19:29:09.680"</f>
        <v>19:29:09.680</v>
      </c>
      <c r="CD3254" t="str">
        <f>"681871638"</f>
        <v>681871638</v>
      </c>
      <c r="CQ3254">
        <v>0</v>
      </c>
      <c r="CR3254">
        <v>2</v>
      </c>
      <c r="CS3254">
        <v>0</v>
      </c>
      <c r="CT3254">
        <v>2</v>
      </c>
      <c r="CU3254">
        <v>0</v>
      </c>
      <c r="CV3254">
        <v>6</v>
      </c>
      <c r="CW3254" t="s">
        <v>120</v>
      </c>
      <c r="CX3254">
        <v>257</v>
      </c>
      <c r="CY3254">
        <v>0</v>
      </c>
      <c r="CZ3254" t="s">
        <v>615</v>
      </c>
      <c r="DA3254" t="s">
        <v>616</v>
      </c>
      <c r="DD3254">
        <v>16342524</v>
      </c>
      <c r="DE3254" t="s">
        <v>123</v>
      </c>
    </row>
    <row r="3255" spans="1:109" x14ac:dyDescent="0.3">
      <c r="A3255" t="str">
        <f>"19:29:10.883"</f>
        <v>19:29:10.883</v>
      </c>
      <c r="B3255" t="s">
        <v>110</v>
      </c>
      <c r="C3255" t="str">
        <f t="shared" si="150"/>
        <v>ffdfd3c0</v>
      </c>
      <c r="D3255" t="s">
        <v>111</v>
      </c>
      <c r="E3255">
        <v>18</v>
      </c>
      <c r="F3255">
        <v>1018</v>
      </c>
      <c r="G3255" t="s">
        <v>112</v>
      </c>
      <c r="J3255" t="s">
        <v>113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R3255" t="s">
        <v>114</v>
      </c>
      <c r="S3255" t="str">
        <f>"19:29:10.641"</f>
        <v>19:29:10.641</v>
      </c>
      <c r="T3255" t="str">
        <f>"19:29:10.344"</f>
        <v>19:29:10.344</v>
      </c>
      <c r="U3255" t="str">
        <f t="shared" si="151"/>
        <v>a1cdbe</v>
      </c>
      <c r="V3255">
        <v>0</v>
      </c>
      <c r="W3255">
        <v>0</v>
      </c>
      <c r="X3255">
        <v>2</v>
      </c>
      <c r="Y3255">
        <v>0</v>
      </c>
      <c r="Z3255">
        <v>0</v>
      </c>
      <c r="AB3255">
        <v>0</v>
      </c>
      <c r="AC3255">
        <v>9</v>
      </c>
      <c r="AD3255">
        <v>3</v>
      </c>
      <c r="AE3255">
        <v>0</v>
      </c>
      <c r="AF3255">
        <v>9</v>
      </c>
      <c r="AG3255" t="s">
        <v>158</v>
      </c>
      <c r="AH3255">
        <v>0</v>
      </c>
      <c r="AI3255">
        <v>3</v>
      </c>
      <c r="AJ3255">
        <v>1</v>
      </c>
      <c r="AK3255">
        <v>0</v>
      </c>
      <c r="AL3255" t="s">
        <v>6123</v>
      </c>
      <c r="AM3255">
        <v>47.002108</v>
      </c>
      <c r="AN3255" t="s">
        <v>6124</v>
      </c>
      <c r="AO3255">
        <v>-123.65507100000001</v>
      </c>
      <c r="AP3255">
        <v>100</v>
      </c>
      <c r="AQ3255">
        <v>2100</v>
      </c>
      <c r="AR3255" t="s">
        <v>118</v>
      </c>
      <c r="AS3255">
        <v>-78</v>
      </c>
      <c r="AT3255">
        <v>8</v>
      </c>
      <c r="AU3255">
        <v>-64</v>
      </c>
      <c r="BC3255">
        <v>1200</v>
      </c>
      <c r="BD3255">
        <v>1</v>
      </c>
      <c r="BE3255" t="str">
        <f t="shared" si="152"/>
        <v xml:space="preserve">N215T   </v>
      </c>
      <c r="BF3255">
        <v>1</v>
      </c>
      <c r="BH3255">
        <v>0</v>
      </c>
      <c r="BI3255">
        <v>0</v>
      </c>
      <c r="BJ3255">
        <v>0</v>
      </c>
      <c r="BK3255">
        <v>2475</v>
      </c>
      <c r="BL3255">
        <v>375</v>
      </c>
      <c r="BM3255" t="s">
        <v>119</v>
      </c>
      <c r="BN3255">
        <v>1</v>
      </c>
      <c r="BO3255">
        <v>1</v>
      </c>
      <c r="BP3255">
        <v>1</v>
      </c>
      <c r="BQ3255">
        <v>0</v>
      </c>
      <c r="BT3255">
        <v>0</v>
      </c>
      <c r="BU3255">
        <v>0</v>
      </c>
      <c r="BV3255">
        <v>0</v>
      </c>
      <c r="CC3255" t="str">
        <f>"19:29:10.641"</f>
        <v>19:29:10.641</v>
      </c>
      <c r="CD3255" t="str">
        <f>"641777027"</f>
        <v>641777027</v>
      </c>
      <c r="CQ3255">
        <v>0</v>
      </c>
      <c r="CR3255">
        <v>2</v>
      </c>
      <c r="CS3255">
        <v>0</v>
      </c>
      <c r="CT3255">
        <v>2</v>
      </c>
      <c r="CU3255">
        <v>0</v>
      </c>
      <c r="CV3255">
        <v>6</v>
      </c>
      <c r="CW3255" t="s">
        <v>120</v>
      </c>
      <c r="CX3255">
        <v>257</v>
      </c>
      <c r="CY3255">
        <v>0</v>
      </c>
      <c r="CZ3255" t="s">
        <v>615</v>
      </c>
      <c r="DA3255" t="s">
        <v>616</v>
      </c>
      <c r="DD3255">
        <v>16343009</v>
      </c>
      <c r="DE3255" t="s">
        <v>123</v>
      </c>
    </row>
    <row r="3256" spans="1:109" x14ac:dyDescent="0.3">
      <c r="A3256" t="str">
        <f>"19:29:11.742"</f>
        <v>19:29:11.742</v>
      </c>
      <c r="B3256" t="s">
        <v>110</v>
      </c>
      <c r="C3256" t="str">
        <f t="shared" si="150"/>
        <v>ffdfd3c0</v>
      </c>
      <c r="D3256" t="s">
        <v>111</v>
      </c>
      <c r="E3256">
        <v>18</v>
      </c>
      <c r="F3256">
        <v>1018</v>
      </c>
      <c r="G3256" t="s">
        <v>112</v>
      </c>
      <c r="J3256" t="s">
        <v>113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R3256" t="s">
        <v>114</v>
      </c>
      <c r="S3256" t="str">
        <f>"19:29:11.477"</f>
        <v>19:29:11.477</v>
      </c>
      <c r="T3256" t="str">
        <f>"19:29:11.375"</f>
        <v>19:29:11.375</v>
      </c>
      <c r="U3256" t="str">
        <f t="shared" si="151"/>
        <v>a1cdbe</v>
      </c>
      <c r="V3256">
        <v>0</v>
      </c>
      <c r="W3256">
        <v>0</v>
      </c>
      <c r="X3256">
        <v>2</v>
      </c>
      <c r="Y3256">
        <v>0</v>
      </c>
      <c r="Z3256">
        <v>0</v>
      </c>
      <c r="AB3256">
        <v>0</v>
      </c>
      <c r="AC3256">
        <v>9</v>
      </c>
      <c r="AD3256">
        <v>3</v>
      </c>
      <c r="AE3256">
        <v>0</v>
      </c>
      <c r="AF3256">
        <v>9</v>
      </c>
      <c r="AG3256" t="s">
        <v>158</v>
      </c>
      <c r="AH3256">
        <v>0</v>
      </c>
      <c r="AI3256">
        <v>3</v>
      </c>
      <c r="AJ3256">
        <v>1</v>
      </c>
      <c r="AK3256">
        <v>0</v>
      </c>
      <c r="AL3256" t="s">
        <v>6125</v>
      </c>
      <c r="AM3256">
        <v>47.002172000000002</v>
      </c>
      <c r="AN3256" t="s">
        <v>6126</v>
      </c>
      <c r="AO3256">
        <v>-123.655479</v>
      </c>
      <c r="AP3256">
        <v>100</v>
      </c>
      <c r="AQ3256">
        <v>2100</v>
      </c>
      <c r="AR3256" t="s">
        <v>118</v>
      </c>
      <c r="AS3256">
        <v>-78</v>
      </c>
      <c r="AT3256">
        <v>8</v>
      </c>
      <c r="AU3256">
        <v>-64</v>
      </c>
      <c r="BC3256">
        <v>1200</v>
      </c>
      <c r="BD3256">
        <v>1</v>
      </c>
      <c r="BE3256" t="str">
        <f t="shared" si="152"/>
        <v xml:space="preserve">N215T   </v>
      </c>
      <c r="BF3256">
        <v>1</v>
      </c>
      <c r="BH3256">
        <v>0</v>
      </c>
      <c r="BI3256">
        <v>0</v>
      </c>
      <c r="BJ3256">
        <v>0</v>
      </c>
      <c r="BK3256">
        <v>2475</v>
      </c>
      <c r="BL3256">
        <v>375</v>
      </c>
      <c r="BM3256" t="s">
        <v>119</v>
      </c>
      <c r="BN3256">
        <v>1</v>
      </c>
      <c r="BO3256">
        <v>1</v>
      </c>
      <c r="BP3256">
        <v>1</v>
      </c>
      <c r="BQ3256">
        <v>0</v>
      </c>
      <c r="BT3256">
        <v>0</v>
      </c>
      <c r="BU3256">
        <v>0</v>
      </c>
      <c r="BV3256">
        <v>0</v>
      </c>
      <c r="CC3256" t="str">
        <f>"19:29:11.484"</f>
        <v>19:29:11.484</v>
      </c>
      <c r="CD3256" t="str">
        <f>"481694252"</f>
        <v>481694252</v>
      </c>
      <c r="CQ3256">
        <v>0</v>
      </c>
      <c r="CR3256">
        <v>2</v>
      </c>
      <c r="CS3256">
        <v>0</v>
      </c>
      <c r="CT3256">
        <v>2</v>
      </c>
      <c r="CU3256">
        <v>0</v>
      </c>
      <c r="CV3256">
        <v>6</v>
      </c>
      <c r="CW3256" t="s">
        <v>120</v>
      </c>
      <c r="CX3256">
        <v>257</v>
      </c>
      <c r="CY3256">
        <v>0</v>
      </c>
      <c r="CZ3256" t="s">
        <v>615</v>
      </c>
      <c r="DA3256" t="s">
        <v>616</v>
      </c>
      <c r="DD3256">
        <v>16343418</v>
      </c>
      <c r="DE3256" t="s">
        <v>123</v>
      </c>
    </row>
    <row r="3257" spans="1:109" x14ac:dyDescent="0.3">
      <c r="A3257" t="str">
        <f>"19:29:12.844"</f>
        <v>19:29:12.844</v>
      </c>
      <c r="B3257" t="s">
        <v>110</v>
      </c>
      <c r="C3257" t="str">
        <f t="shared" si="150"/>
        <v>ffdfd3c0</v>
      </c>
      <c r="D3257" t="s">
        <v>111</v>
      </c>
      <c r="E3257">
        <v>18</v>
      </c>
      <c r="F3257">
        <v>1018</v>
      </c>
      <c r="G3257" t="s">
        <v>112</v>
      </c>
      <c r="J3257" t="s">
        <v>113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R3257" t="s">
        <v>114</v>
      </c>
      <c r="S3257" t="str">
        <f>"19:29:12.617"</f>
        <v>19:29:12.617</v>
      </c>
      <c r="T3257" t="str">
        <f>"19:29:12.414"</f>
        <v>19:29:12.414</v>
      </c>
      <c r="U3257" t="str">
        <f t="shared" si="151"/>
        <v>a1cdbe</v>
      </c>
      <c r="V3257">
        <v>0</v>
      </c>
      <c r="W3257">
        <v>0</v>
      </c>
      <c r="X3257">
        <v>2</v>
      </c>
      <c r="Y3257">
        <v>0</v>
      </c>
      <c r="Z3257">
        <v>0</v>
      </c>
      <c r="AB3257">
        <v>0</v>
      </c>
      <c r="AC3257">
        <v>9</v>
      </c>
      <c r="AD3257">
        <v>3</v>
      </c>
      <c r="AE3257">
        <v>0</v>
      </c>
      <c r="AF3257">
        <v>9</v>
      </c>
      <c r="AG3257" t="s">
        <v>158</v>
      </c>
      <c r="AH3257">
        <v>0</v>
      </c>
      <c r="AI3257">
        <v>3</v>
      </c>
      <c r="AJ3257">
        <v>1</v>
      </c>
      <c r="AK3257">
        <v>0</v>
      </c>
      <c r="AL3257" t="s">
        <v>6127</v>
      </c>
      <c r="AM3257">
        <v>47.002215</v>
      </c>
      <c r="AN3257" t="s">
        <v>6128</v>
      </c>
      <c r="AO3257">
        <v>-123.65612299999999</v>
      </c>
      <c r="AP3257">
        <v>100</v>
      </c>
      <c r="AQ3257">
        <v>2100</v>
      </c>
      <c r="AR3257" t="s">
        <v>118</v>
      </c>
      <c r="AS3257">
        <v>-78</v>
      </c>
      <c r="AT3257">
        <v>8</v>
      </c>
      <c r="AU3257">
        <v>0</v>
      </c>
      <c r="BC3257">
        <v>1200</v>
      </c>
      <c r="BD3257">
        <v>1</v>
      </c>
      <c r="BE3257" t="str">
        <f t="shared" si="152"/>
        <v xml:space="preserve">N215T   </v>
      </c>
      <c r="BF3257">
        <v>1</v>
      </c>
      <c r="BH3257">
        <v>0</v>
      </c>
      <c r="BI3257">
        <v>0</v>
      </c>
      <c r="BJ3257">
        <v>0</v>
      </c>
      <c r="BK3257">
        <v>2475</v>
      </c>
      <c r="BL3257">
        <v>375</v>
      </c>
      <c r="BM3257" t="s">
        <v>119</v>
      </c>
      <c r="BN3257">
        <v>1</v>
      </c>
      <c r="BO3257">
        <v>1</v>
      </c>
      <c r="BP3257">
        <v>1</v>
      </c>
      <c r="BQ3257">
        <v>0</v>
      </c>
      <c r="BT3257">
        <v>0</v>
      </c>
      <c r="BU3257">
        <v>0</v>
      </c>
      <c r="BV3257">
        <v>0</v>
      </c>
      <c r="CC3257" t="str">
        <f>"19:29:12.625"</f>
        <v>19:29:12.625</v>
      </c>
      <c r="CD3257" t="str">
        <f>"621581893"</f>
        <v>621581893</v>
      </c>
      <c r="CQ3257">
        <v>0</v>
      </c>
      <c r="CR3257">
        <v>2</v>
      </c>
      <c r="CS3257">
        <v>0</v>
      </c>
      <c r="CT3257">
        <v>2</v>
      </c>
      <c r="CU3257">
        <v>0</v>
      </c>
      <c r="CV3257">
        <v>6</v>
      </c>
      <c r="CW3257" t="s">
        <v>120</v>
      </c>
      <c r="CX3257">
        <v>257</v>
      </c>
      <c r="CY3257">
        <v>0</v>
      </c>
      <c r="CZ3257" t="s">
        <v>615</v>
      </c>
      <c r="DA3257" t="s">
        <v>616</v>
      </c>
      <c r="DD3257">
        <v>16343942</v>
      </c>
      <c r="DE3257" t="s">
        <v>123</v>
      </c>
    </row>
    <row r="3258" spans="1:109" x14ac:dyDescent="0.3">
      <c r="A3258" t="str">
        <f>"19:29:14.000"</f>
        <v>19:29:14.000</v>
      </c>
      <c r="B3258" t="s">
        <v>110</v>
      </c>
      <c r="C3258" t="str">
        <f t="shared" si="150"/>
        <v>ffdfd3c0</v>
      </c>
      <c r="D3258" t="s">
        <v>111</v>
      </c>
      <c r="E3258">
        <v>18</v>
      </c>
      <c r="F3258">
        <v>1018</v>
      </c>
      <c r="G3258" t="s">
        <v>112</v>
      </c>
      <c r="J3258" t="s">
        <v>113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R3258" t="s">
        <v>114</v>
      </c>
      <c r="S3258" t="str">
        <f>"19:29:13.742"</f>
        <v>19:29:13.742</v>
      </c>
      <c r="T3258" t="str">
        <f>"19:29:13.344"</f>
        <v>19:29:13.344</v>
      </c>
      <c r="U3258" t="str">
        <f t="shared" si="151"/>
        <v>a1cdbe</v>
      </c>
      <c r="V3258">
        <v>0</v>
      </c>
      <c r="W3258">
        <v>0</v>
      </c>
      <c r="X3258">
        <v>2</v>
      </c>
      <c r="Y3258">
        <v>0</v>
      </c>
      <c r="Z3258">
        <v>0</v>
      </c>
      <c r="AB3258">
        <v>0</v>
      </c>
      <c r="AC3258">
        <v>9</v>
      </c>
      <c r="AD3258">
        <v>3</v>
      </c>
      <c r="AE3258">
        <v>0</v>
      </c>
      <c r="AF3258">
        <v>9</v>
      </c>
      <c r="AG3258" t="s">
        <v>158</v>
      </c>
      <c r="AH3258">
        <v>0</v>
      </c>
      <c r="AI3258">
        <v>3</v>
      </c>
      <c r="AJ3258">
        <v>1</v>
      </c>
      <c r="AK3258">
        <v>0</v>
      </c>
      <c r="AL3258" t="s">
        <v>6127</v>
      </c>
      <c r="AM3258">
        <v>47.002215</v>
      </c>
      <c r="AN3258" t="s">
        <v>6129</v>
      </c>
      <c r="AO3258">
        <v>-123.65668100000001</v>
      </c>
      <c r="AP3258">
        <v>100</v>
      </c>
      <c r="AQ3258">
        <v>2100</v>
      </c>
      <c r="AR3258" t="s">
        <v>118</v>
      </c>
      <c r="AS3258">
        <v>-78</v>
      </c>
      <c r="AT3258">
        <v>8</v>
      </c>
      <c r="AU3258">
        <v>0</v>
      </c>
      <c r="BC3258">
        <v>1200</v>
      </c>
      <c r="BD3258">
        <v>1</v>
      </c>
      <c r="BE3258" t="str">
        <f t="shared" si="152"/>
        <v xml:space="preserve">N215T   </v>
      </c>
      <c r="BF3258">
        <v>1</v>
      </c>
      <c r="BH3258">
        <v>0</v>
      </c>
      <c r="BI3258">
        <v>0</v>
      </c>
      <c r="BJ3258">
        <v>0</v>
      </c>
      <c r="BK3258">
        <v>2475</v>
      </c>
      <c r="BL3258">
        <v>375</v>
      </c>
      <c r="BM3258" t="s">
        <v>119</v>
      </c>
      <c r="BN3258">
        <v>1</v>
      </c>
      <c r="BO3258">
        <v>1</v>
      </c>
      <c r="BP3258">
        <v>1</v>
      </c>
      <c r="BQ3258">
        <v>0</v>
      </c>
      <c r="BT3258">
        <v>0</v>
      </c>
      <c r="BU3258">
        <v>0</v>
      </c>
      <c r="BV3258">
        <v>0</v>
      </c>
      <c r="CC3258" t="str">
        <f>"19:29:13.750"</f>
        <v>19:29:13.750</v>
      </c>
      <c r="CD3258" t="str">
        <f>"746471033"</f>
        <v>746471033</v>
      </c>
      <c r="CQ3258">
        <v>0</v>
      </c>
      <c r="CR3258">
        <v>2</v>
      </c>
      <c r="CS3258">
        <v>0</v>
      </c>
      <c r="CT3258">
        <v>2</v>
      </c>
      <c r="CU3258">
        <v>0</v>
      </c>
      <c r="CV3258">
        <v>6</v>
      </c>
      <c r="CW3258" t="s">
        <v>120</v>
      </c>
      <c r="CX3258">
        <v>257</v>
      </c>
      <c r="CY3258">
        <v>0</v>
      </c>
      <c r="CZ3258" t="s">
        <v>615</v>
      </c>
      <c r="DA3258" t="s">
        <v>616</v>
      </c>
      <c r="DD3258">
        <v>16344476</v>
      </c>
      <c r="DE3258" t="s">
        <v>123</v>
      </c>
    </row>
    <row r="3259" spans="1:109" x14ac:dyDescent="0.3">
      <c r="A3259" t="str">
        <f>"19:29:15.055"</f>
        <v>19:29:15.055</v>
      </c>
      <c r="B3259" t="s">
        <v>110</v>
      </c>
      <c r="C3259" t="str">
        <f t="shared" si="150"/>
        <v>ffdfd3c0</v>
      </c>
      <c r="D3259" t="s">
        <v>111</v>
      </c>
      <c r="E3259">
        <v>18</v>
      </c>
      <c r="F3259">
        <v>1018</v>
      </c>
      <c r="G3259" t="s">
        <v>112</v>
      </c>
      <c r="J3259" t="s">
        <v>113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R3259" t="s">
        <v>114</v>
      </c>
      <c r="S3259" t="str">
        <f>"19:29:14.789"</f>
        <v>19:29:14.789</v>
      </c>
      <c r="T3259" t="str">
        <f>"19:29:14.789"</f>
        <v>19:29:14.789</v>
      </c>
      <c r="U3259" t="str">
        <f t="shared" si="151"/>
        <v>a1cdbe</v>
      </c>
      <c r="V3259">
        <v>0</v>
      </c>
      <c r="W3259">
        <v>0</v>
      </c>
      <c r="X3259">
        <v>2</v>
      </c>
      <c r="Y3259">
        <v>0</v>
      </c>
      <c r="Z3259">
        <v>0</v>
      </c>
      <c r="AB3259">
        <v>0</v>
      </c>
      <c r="AC3259">
        <v>9</v>
      </c>
      <c r="AD3259">
        <v>3</v>
      </c>
      <c r="AE3259">
        <v>0</v>
      </c>
      <c r="AF3259">
        <v>9</v>
      </c>
      <c r="AG3259" t="s">
        <v>158</v>
      </c>
      <c r="AH3259">
        <v>0</v>
      </c>
      <c r="AI3259">
        <v>3</v>
      </c>
      <c r="AJ3259">
        <v>1</v>
      </c>
      <c r="AK3259">
        <v>0</v>
      </c>
      <c r="AL3259" t="s">
        <v>6130</v>
      </c>
      <c r="AM3259">
        <v>47.002257999999998</v>
      </c>
      <c r="AN3259" t="s">
        <v>6131</v>
      </c>
      <c r="AO3259">
        <v>-123.65723800000001</v>
      </c>
      <c r="AP3259">
        <v>100</v>
      </c>
      <c r="AQ3259">
        <v>2100</v>
      </c>
      <c r="AR3259" t="s">
        <v>118</v>
      </c>
      <c r="AS3259">
        <v>-78</v>
      </c>
      <c r="AT3259">
        <v>8</v>
      </c>
      <c r="AU3259">
        <v>0</v>
      </c>
      <c r="BC3259">
        <v>1200</v>
      </c>
      <c r="BD3259">
        <v>1</v>
      </c>
      <c r="BE3259" t="str">
        <f t="shared" si="152"/>
        <v xml:space="preserve">N215T   </v>
      </c>
      <c r="BF3259">
        <v>1</v>
      </c>
      <c r="BH3259">
        <v>0</v>
      </c>
      <c r="BI3259">
        <v>0</v>
      </c>
      <c r="BJ3259">
        <v>0</v>
      </c>
      <c r="BK3259">
        <v>2475</v>
      </c>
      <c r="BL3259">
        <v>375</v>
      </c>
      <c r="BM3259" t="s">
        <v>119</v>
      </c>
      <c r="BN3259">
        <v>1</v>
      </c>
      <c r="BO3259">
        <v>1</v>
      </c>
      <c r="BP3259">
        <v>1</v>
      </c>
      <c r="BQ3259">
        <v>0</v>
      </c>
      <c r="BT3259">
        <v>0</v>
      </c>
      <c r="BU3259">
        <v>0</v>
      </c>
      <c r="BV3259">
        <v>0</v>
      </c>
      <c r="CC3259" t="str">
        <f>"19:29:14.797"</f>
        <v>19:29:14.797</v>
      </c>
      <c r="CD3259" t="str">
        <f>"796367541"</f>
        <v>796367541</v>
      </c>
      <c r="CQ3259">
        <v>0</v>
      </c>
      <c r="CR3259">
        <v>2</v>
      </c>
      <c r="CS3259">
        <v>0</v>
      </c>
      <c r="CT3259">
        <v>2</v>
      </c>
      <c r="CU3259">
        <v>0</v>
      </c>
      <c r="CV3259">
        <v>6</v>
      </c>
      <c r="CW3259" t="s">
        <v>120</v>
      </c>
      <c r="CX3259">
        <v>257</v>
      </c>
      <c r="CY3259">
        <v>0</v>
      </c>
      <c r="CZ3259" t="s">
        <v>615</v>
      </c>
      <c r="DA3259" t="s">
        <v>616</v>
      </c>
      <c r="DD3259">
        <v>16345012</v>
      </c>
      <c r="DE3259" t="s">
        <v>123</v>
      </c>
    </row>
    <row r="3260" spans="1:109" x14ac:dyDescent="0.3">
      <c r="A3260" t="str">
        <f>"19:29:16.008"</f>
        <v>19:29:16.008</v>
      </c>
      <c r="B3260" t="s">
        <v>110</v>
      </c>
      <c r="C3260" t="str">
        <f t="shared" si="150"/>
        <v>ffdfd3c0</v>
      </c>
      <c r="D3260" t="s">
        <v>111</v>
      </c>
      <c r="E3260">
        <v>18</v>
      </c>
      <c r="F3260">
        <v>1018</v>
      </c>
      <c r="G3260" t="s">
        <v>112</v>
      </c>
      <c r="J3260" t="s">
        <v>113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R3260" t="s">
        <v>114</v>
      </c>
      <c r="S3260" t="str">
        <f>"19:29:15.750"</f>
        <v>19:29:15.750</v>
      </c>
      <c r="T3260" t="str">
        <f>"19:29:15.352"</f>
        <v>19:29:15.352</v>
      </c>
      <c r="U3260" t="str">
        <f t="shared" si="151"/>
        <v>a1cdbe</v>
      </c>
      <c r="V3260">
        <v>0</v>
      </c>
      <c r="W3260">
        <v>0</v>
      </c>
      <c r="X3260">
        <v>2</v>
      </c>
      <c r="Y3260">
        <v>0</v>
      </c>
      <c r="Z3260">
        <v>0</v>
      </c>
      <c r="AB3260">
        <v>0</v>
      </c>
      <c r="AC3260">
        <v>9</v>
      </c>
      <c r="AD3260">
        <v>3</v>
      </c>
      <c r="AE3260">
        <v>0</v>
      </c>
      <c r="AF3260">
        <v>9</v>
      </c>
      <c r="AG3260" t="s">
        <v>158</v>
      </c>
      <c r="AH3260">
        <v>0</v>
      </c>
      <c r="AI3260">
        <v>3</v>
      </c>
      <c r="AJ3260">
        <v>1</v>
      </c>
      <c r="AK3260">
        <v>0</v>
      </c>
      <c r="AL3260" t="s">
        <v>6132</v>
      </c>
      <c r="AM3260">
        <v>47.002301000000003</v>
      </c>
      <c r="AN3260" t="s">
        <v>6133</v>
      </c>
      <c r="AO3260">
        <v>-123.657753</v>
      </c>
      <c r="AP3260">
        <v>100</v>
      </c>
      <c r="AQ3260">
        <v>2100</v>
      </c>
      <c r="AR3260" t="s">
        <v>118</v>
      </c>
      <c r="AS3260">
        <v>-78</v>
      </c>
      <c r="AT3260">
        <v>8</v>
      </c>
      <c r="AU3260">
        <v>0</v>
      </c>
      <c r="BC3260">
        <v>1200</v>
      </c>
      <c r="BD3260">
        <v>1</v>
      </c>
      <c r="BE3260" t="str">
        <f t="shared" si="152"/>
        <v xml:space="preserve">N215T   </v>
      </c>
      <c r="BF3260">
        <v>1</v>
      </c>
      <c r="BH3260">
        <v>0</v>
      </c>
      <c r="BI3260">
        <v>0</v>
      </c>
      <c r="BJ3260">
        <v>0</v>
      </c>
      <c r="BK3260">
        <v>2475</v>
      </c>
      <c r="BL3260">
        <v>375</v>
      </c>
      <c r="BM3260" t="s">
        <v>119</v>
      </c>
      <c r="BN3260">
        <v>1</v>
      </c>
      <c r="BO3260">
        <v>1</v>
      </c>
      <c r="BP3260">
        <v>1</v>
      </c>
      <c r="BQ3260">
        <v>0</v>
      </c>
      <c r="BT3260">
        <v>0</v>
      </c>
      <c r="BU3260">
        <v>0</v>
      </c>
      <c r="BV3260">
        <v>0</v>
      </c>
      <c r="CC3260" t="str">
        <f>"19:29:15.758"</f>
        <v>19:29:15.758</v>
      </c>
      <c r="CD3260" t="str">
        <f>"756272929"</f>
        <v>756272929</v>
      </c>
      <c r="CQ3260">
        <v>0</v>
      </c>
      <c r="CR3260">
        <v>2</v>
      </c>
      <c r="CS3260">
        <v>0</v>
      </c>
      <c r="CT3260">
        <v>2</v>
      </c>
      <c r="CU3260">
        <v>0</v>
      </c>
      <c r="CV3260">
        <v>6</v>
      </c>
      <c r="CW3260" t="s">
        <v>120</v>
      </c>
      <c r="CX3260">
        <v>257</v>
      </c>
      <c r="CY3260">
        <v>0</v>
      </c>
      <c r="CZ3260" t="s">
        <v>615</v>
      </c>
      <c r="DA3260" t="s">
        <v>616</v>
      </c>
      <c r="DD3260">
        <v>16345470</v>
      </c>
      <c r="DE3260" t="s">
        <v>123</v>
      </c>
    </row>
    <row r="3261" spans="1:109" x14ac:dyDescent="0.3">
      <c r="A3261" t="str">
        <f>"19:29:16.969"</f>
        <v>19:29:16.969</v>
      </c>
      <c r="B3261" t="s">
        <v>110</v>
      </c>
      <c r="C3261" t="str">
        <f t="shared" si="150"/>
        <v>ffdfd3c0</v>
      </c>
      <c r="D3261" t="s">
        <v>111</v>
      </c>
      <c r="E3261">
        <v>18</v>
      </c>
      <c r="F3261">
        <v>1018</v>
      </c>
      <c r="G3261" t="s">
        <v>112</v>
      </c>
      <c r="J3261" t="s">
        <v>113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R3261" t="s">
        <v>114</v>
      </c>
      <c r="S3261" t="str">
        <f>"19:29:16.727"</f>
        <v>19:29:16.727</v>
      </c>
      <c r="T3261" t="str">
        <f>"19:29:16.727"</f>
        <v>19:29:16.727</v>
      </c>
      <c r="U3261" t="str">
        <f t="shared" si="151"/>
        <v>a1cdbe</v>
      </c>
      <c r="V3261">
        <v>0</v>
      </c>
      <c r="W3261">
        <v>0</v>
      </c>
      <c r="X3261">
        <v>2</v>
      </c>
      <c r="Y3261">
        <v>0</v>
      </c>
      <c r="Z3261">
        <v>0</v>
      </c>
      <c r="AB3261">
        <v>0</v>
      </c>
      <c r="AC3261">
        <v>9</v>
      </c>
      <c r="AD3261">
        <v>3</v>
      </c>
      <c r="AE3261">
        <v>0</v>
      </c>
      <c r="AF3261">
        <v>9</v>
      </c>
      <c r="AG3261" t="s">
        <v>158</v>
      </c>
      <c r="AH3261">
        <v>0</v>
      </c>
      <c r="AI3261">
        <v>3</v>
      </c>
      <c r="AJ3261">
        <v>1</v>
      </c>
      <c r="AK3261">
        <v>0</v>
      </c>
      <c r="AL3261" t="s">
        <v>6134</v>
      </c>
      <c r="AM3261">
        <v>47.002344000000001</v>
      </c>
      <c r="AN3261" t="s">
        <v>6135</v>
      </c>
      <c r="AO3261">
        <v>-123.658311</v>
      </c>
      <c r="AP3261">
        <v>100</v>
      </c>
      <c r="AQ3261">
        <v>2100</v>
      </c>
      <c r="AR3261" t="s">
        <v>118</v>
      </c>
      <c r="AS3261">
        <v>-78</v>
      </c>
      <c r="AT3261">
        <v>8</v>
      </c>
      <c r="AU3261">
        <v>64</v>
      </c>
      <c r="BC3261">
        <v>1200</v>
      </c>
      <c r="BD3261">
        <v>1</v>
      </c>
      <c r="BE3261" t="str">
        <f t="shared" si="152"/>
        <v xml:space="preserve">N215T   </v>
      </c>
      <c r="BF3261">
        <v>1</v>
      </c>
      <c r="BH3261">
        <v>0</v>
      </c>
      <c r="BI3261">
        <v>0</v>
      </c>
      <c r="BJ3261">
        <v>0</v>
      </c>
      <c r="BK3261">
        <v>2475</v>
      </c>
      <c r="BL3261">
        <v>375</v>
      </c>
      <c r="BM3261" t="s">
        <v>119</v>
      </c>
      <c r="BN3261">
        <v>1</v>
      </c>
      <c r="BO3261">
        <v>1</v>
      </c>
      <c r="BP3261">
        <v>1</v>
      </c>
      <c r="BQ3261">
        <v>0</v>
      </c>
      <c r="BT3261">
        <v>0</v>
      </c>
      <c r="BU3261">
        <v>0</v>
      </c>
      <c r="BV3261">
        <v>0</v>
      </c>
      <c r="CC3261" t="str">
        <f>"19:29:16.734"</f>
        <v>19:29:16.734</v>
      </c>
      <c r="CD3261" t="str">
        <f>"731176841"</f>
        <v>731176841</v>
      </c>
      <c r="CQ3261">
        <v>0</v>
      </c>
      <c r="CR3261">
        <v>2</v>
      </c>
      <c r="CS3261">
        <v>0</v>
      </c>
      <c r="CT3261">
        <v>2</v>
      </c>
      <c r="CU3261">
        <v>0</v>
      </c>
      <c r="CV3261">
        <v>6</v>
      </c>
      <c r="CW3261" t="s">
        <v>120</v>
      </c>
      <c r="CX3261">
        <v>257</v>
      </c>
      <c r="CY3261">
        <v>0</v>
      </c>
      <c r="CZ3261" t="s">
        <v>615</v>
      </c>
      <c r="DA3261" t="s">
        <v>616</v>
      </c>
      <c r="DD3261">
        <v>16345932</v>
      </c>
      <c r="DE3261" t="s">
        <v>123</v>
      </c>
    </row>
    <row r="3262" spans="1:109" x14ac:dyDescent="0.3">
      <c r="A3262" t="str">
        <f>"19:29:17.875"</f>
        <v>19:29:17.875</v>
      </c>
      <c r="B3262" t="s">
        <v>110</v>
      </c>
      <c r="C3262" t="str">
        <f t="shared" si="150"/>
        <v>ffdfd3c0</v>
      </c>
      <c r="D3262" t="s">
        <v>111</v>
      </c>
      <c r="E3262">
        <v>18</v>
      </c>
      <c r="F3262">
        <v>1018</v>
      </c>
      <c r="G3262" t="s">
        <v>112</v>
      </c>
      <c r="J3262" t="s">
        <v>113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R3262" t="s">
        <v>114</v>
      </c>
      <c r="S3262" t="str">
        <f>"19:29:17.641"</f>
        <v>19:29:17.641</v>
      </c>
      <c r="T3262" t="str">
        <f>"19:29:17.242"</f>
        <v>19:29:17.242</v>
      </c>
      <c r="U3262" t="str">
        <f t="shared" si="151"/>
        <v>a1cdbe</v>
      </c>
      <c r="V3262">
        <v>0</v>
      </c>
      <c r="W3262">
        <v>0</v>
      </c>
      <c r="X3262">
        <v>2</v>
      </c>
      <c r="Y3262">
        <v>0</v>
      </c>
      <c r="Z3262">
        <v>0</v>
      </c>
      <c r="AB3262">
        <v>0</v>
      </c>
      <c r="AC3262">
        <v>9</v>
      </c>
      <c r="AD3262">
        <v>3</v>
      </c>
      <c r="AE3262">
        <v>0</v>
      </c>
      <c r="AF3262">
        <v>9</v>
      </c>
      <c r="AG3262" t="s">
        <v>158</v>
      </c>
      <c r="AH3262">
        <v>0</v>
      </c>
      <c r="AI3262">
        <v>3</v>
      </c>
      <c r="AJ3262">
        <v>1</v>
      </c>
      <c r="AK3262">
        <v>0</v>
      </c>
      <c r="AL3262" t="s">
        <v>807</v>
      </c>
      <c r="AM3262">
        <v>47.002386999999999</v>
      </c>
      <c r="AN3262" t="s">
        <v>6136</v>
      </c>
      <c r="AO3262">
        <v>-123.65874100000001</v>
      </c>
      <c r="AP3262">
        <v>100</v>
      </c>
      <c r="AQ3262">
        <v>2100</v>
      </c>
      <c r="AR3262" t="s">
        <v>118</v>
      </c>
      <c r="AS3262">
        <v>-78</v>
      </c>
      <c r="AT3262">
        <v>8</v>
      </c>
      <c r="AU3262">
        <v>64</v>
      </c>
      <c r="BC3262">
        <v>1200</v>
      </c>
      <c r="BD3262">
        <v>1</v>
      </c>
      <c r="BE3262" t="str">
        <f t="shared" si="152"/>
        <v xml:space="preserve">N215T   </v>
      </c>
      <c r="BF3262">
        <v>1</v>
      </c>
      <c r="BH3262">
        <v>0</v>
      </c>
      <c r="BI3262">
        <v>0</v>
      </c>
      <c r="BJ3262">
        <v>0</v>
      </c>
      <c r="BK3262">
        <v>2475</v>
      </c>
      <c r="BL3262">
        <v>375</v>
      </c>
      <c r="BM3262" t="s">
        <v>119</v>
      </c>
      <c r="BN3262">
        <v>1</v>
      </c>
      <c r="BO3262">
        <v>1</v>
      </c>
      <c r="BP3262">
        <v>1</v>
      </c>
      <c r="BQ3262">
        <v>0</v>
      </c>
      <c r="BT3262">
        <v>0</v>
      </c>
      <c r="BU3262">
        <v>0</v>
      </c>
      <c r="BV3262">
        <v>0</v>
      </c>
      <c r="CC3262" t="str">
        <f>"19:29:17.648"</f>
        <v>19:29:17.648</v>
      </c>
      <c r="CD3262" t="str">
        <f>"646086665"</f>
        <v>646086665</v>
      </c>
      <c r="CQ3262">
        <v>0</v>
      </c>
      <c r="CR3262">
        <v>2</v>
      </c>
      <c r="CS3262">
        <v>0</v>
      </c>
      <c r="CT3262">
        <v>2</v>
      </c>
      <c r="CU3262">
        <v>0</v>
      </c>
      <c r="CV3262">
        <v>6</v>
      </c>
      <c r="CW3262" t="s">
        <v>120</v>
      </c>
      <c r="CX3262">
        <v>257</v>
      </c>
      <c r="CY3262">
        <v>0</v>
      </c>
      <c r="CZ3262" t="s">
        <v>615</v>
      </c>
      <c r="DA3262" t="s">
        <v>616</v>
      </c>
      <c r="DD3262">
        <v>16346371</v>
      </c>
      <c r="DE3262" t="s">
        <v>123</v>
      </c>
    </row>
    <row r="3263" spans="1:109" x14ac:dyDescent="0.3">
      <c r="A3263" t="str">
        <f>"19:29:19.078"</f>
        <v>19:29:19.078</v>
      </c>
      <c r="B3263" t="s">
        <v>110</v>
      </c>
      <c r="C3263" t="str">
        <f t="shared" si="150"/>
        <v>ffdfd3c0</v>
      </c>
      <c r="D3263" t="s">
        <v>111</v>
      </c>
      <c r="E3263">
        <v>18</v>
      </c>
      <c r="F3263">
        <v>1018</v>
      </c>
      <c r="G3263" t="s">
        <v>112</v>
      </c>
      <c r="J3263" t="s">
        <v>113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R3263" t="s">
        <v>114</v>
      </c>
      <c r="S3263" t="str">
        <f>"19:29:18.797"</f>
        <v>19:29:18.797</v>
      </c>
      <c r="T3263" t="str">
        <f>"19:29:18.297"</f>
        <v>19:29:18.297</v>
      </c>
      <c r="U3263" t="str">
        <f t="shared" si="151"/>
        <v>a1cdbe</v>
      </c>
      <c r="V3263">
        <v>0</v>
      </c>
      <c r="W3263">
        <v>0</v>
      </c>
      <c r="X3263">
        <v>2</v>
      </c>
      <c r="Y3263">
        <v>0</v>
      </c>
      <c r="Z3263">
        <v>0</v>
      </c>
      <c r="AB3263">
        <v>0</v>
      </c>
      <c r="AC3263">
        <v>9</v>
      </c>
      <c r="AD3263">
        <v>3</v>
      </c>
      <c r="AE3263">
        <v>0</v>
      </c>
      <c r="AF3263">
        <v>9</v>
      </c>
      <c r="AG3263" t="s">
        <v>158</v>
      </c>
      <c r="AH3263">
        <v>0</v>
      </c>
      <c r="AI3263">
        <v>3</v>
      </c>
      <c r="AJ3263">
        <v>1</v>
      </c>
      <c r="AK3263">
        <v>0</v>
      </c>
      <c r="AL3263" t="s">
        <v>6137</v>
      </c>
      <c r="AM3263">
        <v>47.002451000000001</v>
      </c>
      <c r="AN3263" t="s">
        <v>6138</v>
      </c>
      <c r="AO3263">
        <v>-123.659363</v>
      </c>
      <c r="AP3263">
        <v>100</v>
      </c>
      <c r="AQ3263">
        <v>2100</v>
      </c>
      <c r="AR3263" t="s">
        <v>118</v>
      </c>
      <c r="AS3263">
        <v>-77</v>
      </c>
      <c r="AT3263">
        <v>8</v>
      </c>
      <c r="AU3263">
        <v>64</v>
      </c>
      <c r="BC3263">
        <v>1200</v>
      </c>
      <c r="BD3263">
        <v>1</v>
      </c>
      <c r="BE3263" t="str">
        <f t="shared" si="152"/>
        <v xml:space="preserve">N215T   </v>
      </c>
      <c r="BF3263">
        <v>1</v>
      </c>
      <c r="BH3263">
        <v>0</v>
      </c>
      <c r="BI3263">
        <v>0</v>
      </c>
      <c r="BJ3263">
        <v>0</v>
      </c>
      <c r="BK3263">
        <v>2475</v>
      </c>
      <c r="BL3263">
        <v>375</v>
      </c>
      <c r="BM3263" t="s">
        <v>119</v>
      </c>
      <c r="BN3263">
        <v>1</v>
      </c>
      <c r="BO3263">
        <v>1</v>
      </c>
      <c r="BP3263">
        <v>1</v>
      </c>
      <c r="BQ3263">
        <v>0</v>
      </c>
      <c r="BT3263">
        <v>0</v>
      </c>
      <c r="BU3263">
        <v>0</v>
      </c>
      <c r="BV3263">
        <v>0</v>
      </c>
      <c r="CC3263" t="str">
        <f>"19:29:18.805"</f>
        <v>19:29:18.805</v>
      </c>
      <c r="CD3263" t="str">
        <f>"800972843"</f>
        <v>800972843</v>
      </c>
      <c r="CQ3263">
        <v>0</v>
      </c>
      <c r="CR3263">
        <v>2</v>
      </c>
      <c r="CS3263">
        <v>0</v>
      </c>
      <c r="CT3263">
        <v>2</v>
      </c>
      <c r="CU3263">
        <v>0</v>
      </c>
      <c r="CV3263">
        <v>6</v>
      </c>
      <c r="CW3263" t="s">
        <v>120</v>
      </c>
      <c r="CX3263">
        <v>257</v>
      </c>
      <c r="CY3263">
        <v>0</v>
      </c>
      <c r="CZ3263" t="s">
        <v>615</v>
      </c>
      <c r="DA3263" t="s">
        <v>616</v>
      </c>
      <c r="DD3263">
        <v>16346951</v>
      </c>
      <c r="DE3263" t="s">
        <v>123</v>
      </c>
    </row>
    <row r="3264" spans="1:109" x14ac:dyDescent="0.3">
      <c r="A3264" t="str">
        <f>"19:29:20.086"</f>
        <v>19:29:20.086</v>
      </c>
      <c r="B3264" t="s">
        <v>110</v>
      </c>
      <c r="C3264" t="str">
        <f t="shared" si="150"/>
        <v>ffdfd3c0</v>
      </c>
      <c r="D3264" t="s">
        <v>111</v>
      </c>
      <c r="E3264">
        <v>18</v>
      </c>
      <c r="F3264">
        <v>1018</v>
      </c>
      <c r="G3264" t="s">
        <v>112</v>
      </c>
      <c r="J3264" t="s">
        <v>113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R3264" t="s">
        <v>114</v>
      </c>
      <c r="S3264" t="str">
        <f>"19:29:19.844"</f>
        <v>19:29:19.844</v>
      </c>
      <c r="T3264" t="str">
        <f>"19:29:19.742"</f>
        <v>19:29:19.742</v>
      </c>
      <c r="U3264" t="str">
        <f t="shared" si="151"/>
        <v>a1cdbe</v>
      </c>
      <c r="V3264">
        <v>0</v>
      </c>
      <c r="W3264">
        <v>0</v>
      </c>
      <c r="X3264">
        <v>2</v>
      </c>
      <c r="Y3264">
        <v>0</v>
      </c>
      <c r="Z3264">
        <v>0</v>
      </c>
      <c r="AB3264">
        <v>0</v>
      </c>
      <c r="AC3264">
        <v>9</v>
      </c>
      <c r="AD3264">
        <v>3</v>
      </c>
      <c r="AE3264">
        <v>0</v>
      </c>
      <c r="AF3264">
        <v>9</v>
      </c>
      <c r="AG3264" t="s">
        <v>158</v>
      </c>
      <c r="AH3264">
        <v>0</v>
      </c>
      <c r="AI3264">
        <v>3</v>
      </c>
      <c r="AJ3264">
        <v>1</v>
      </c>
      <c r="AK3264">
        <v>0</v>
      </c>
      <c r="AL3264" t="s">
        <v>6139</v>
      </c>
      <c r="AM3264">
        <v>47.002493999999999</v>
      </c>
      <c r="AN3264" t="s">
        <v>6140</v>
      </c>
      <c r="AO3264">
        <v>-123.659921</v>
      </c>
      <c r="AP3264">
        <v>100</v>
      </c>
      <c r="AQ3264">
        <v>2100</v>
      </c>
      <c r="AR3264" t="s">
        <v>118</v>
      </c>
      <c r="AS3264">
        <v>-77</v>
      </c>
      <c r="AT3264">
        <v>8</v>
      </c>
      <c r="AU3264">
        <v>64</v>
      </c>
      <c r="BC3264">
        <v>1200</v>
      </c>
      <c r="BD3264">
        <v>1</v>
      </c>
      <c r="BE3264" t="str">
        <f t="shared" si="152"/>
        <v xml:space="preserve">N215T   </v>
      </c>
      <c r="BF3264">
        <v>1</v>
      </c>
      <c r="BH3264">
        <v>0</v>
      </c>
      <c r="BI3264">
        <v>0</v>
      </c>
      <c r="BJ3264">
        <v>0</v>
      </c>
      <c r="BK3264">
        <v>2475</v>
      </c>
      <c r="BL3264">
        <v>375</v>
      </c>
      <c r="BM3264" t="s">
        <v>119</v>
      </c>
      <c r="BN3264">
        <v>1</v>
      </c>
      <c r="BO3264">
        <v>1</v>
      </c>
      <c r="BP3264">
        <v>1</v>
      </c>
      <c r="BQ3264">
        <v>0</v>
      </c>
      <c r="BT3264">
        <v>0</v>
      </c>
      <c r="BU3264">
        <v>0</v>
      </c>
      <c r="BV3264">
        <v>0</v>
      </c>
      <c r="CC3264" t="str">
        <f>"19:29:19.852"</f>
        <v>19:29:19.852</v>
      </c>
      <c r="CD3264" t="str">
        <f>"850869363"</f>
        <v>850869363</v>
      </c>
      <c r="CQ3264">
        <v>0</v>
      </c>
      <c r="CR3264">
        <v>2</v>
      </c>
      <c r="CS3264">
        <v>0</v>
      </c>
      <c r="CT3264">
        <v>2</v>
      </c>
      <c r="CU3264">
        <v>0</v>
      </c>
      <c r="CV3264">
        <v>6</v>
      </c>
      <c r="CW3264" t="s">
        <v>120</v>
      </c>
      <c r="CX3264">
        <v>257</v>
      </c>
      <c r="CY3264">
        <v>0</v>
      </c>
      <c r="CZ3264" t="s">
        <v>615</v>
      </c>
      <c r="DA3264" t="s">
        <v>616</v>
      </c>
      <c r="DD3264">
        <v>16347498</v>
      </c>
      <c r="DE3264" t="s">
        <v>123</v>
      </c>
    </row>
    <row r="3265" spans="1:109" x14ac:dyDescent="0.3">
      <c r="A3265" t="str">
        <f>"19:29:21.086"</f>
        <v>19:29:21.086</v>
      </c>
      <c r="B3265" t="s">
        <v>110</v>
      </c>
      <c r="C3265" t="str">
        <f t="shared" si="150"/>
        <v>ffdfd3c0</v>
      </c>
      <c r="D3265" t="s">
        <v>111</v>
      </c>
      <c r="E3265">
        <v>18</v>
      </c>
      <c r="F3265">
        <v>1018</v>
      </c>
      <c r="G3265" t="s">
        <v>112</v>
      </c>
      <c r="J3265" t="s">
        <v>113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R3265" t="s">
        <v>114</v>
      </c>
      <c r="S3265" t="str">
        <f>"19:29:20.867"</f>
        <v>19:29:20.867</v>
      </c>
      <c r="T3265" t="str">
        <f>"19:29:20.867"</f>
        <v>19:29:20.867</v>
      </c>
      <c r="U3265" t="str">
        <f t="shared" si="151"/>
        <v>a1cdbe</v>
      </c>
      <c r="V3265">
        <v>0</v>
      </c>
      <c r="W3265">
        <v>0</v>
      </c>
      <c r="X3265">
        <v>2</v>
      </c>
      <c r="Y3265">
        <v>0</v>
      </c>
      <c r="Z3265">
        <v>0</v>
      </c>
      <c r="AB3265">
        <v>0</v>
      </c>
      <c r="AC3265">
        <v>9</v>
      </c>
      <c r="AD3265">
        <v>3</v>
      </c>
      <c r="AE3265">
        <v>0</v>
      </c>
      <c r="AF3265">
        <v>9</v>
      </c>
      <c r="AG3265" t="s">
        <v>158</v>
      </c>
      <c r="AH3265">
        <v>0</v>
      </c>
      <c r="AI3265">
        <v>3</v>
      </c>
      <c r="AJ3265">
        <v>1</v>
      </c>
      <c r="AK3265">
        <v>0</v>
      </c>
      <c r="AL3265" t="s">
        <v>6139</v>
      </c>
      <c r="AM3265">
        <v>47.002493999999999</v>
      </c>
      <c r="AN3265" t="s">
        <v>6141</v>
      </c>
      <c r="AO3265">
        <v>-123.66045699999999</v>
      </c>
      <c r="AP3265">
        <v>100</v>
      </c>
      <c r="AQ3265">
        <v>2100</v>
      </c>
      <c r="AR3265" t="s">
        <v>118</v>
      </c>
      <c r="AS3265">
        <v>-77</v>
      </c>
      <c r="AT3265">
        <v>8</v>
      </c>
      <c r="AU3265">
        <v>64</v>
      </c>
      <c r="BC3265">
        <v>1200</v>
      </c>
      <c r="BD3265">
        <v>1</v>
      </c>
      <c r="BE3265" t="str">
        <f t="shared" si="152"/>
        <v xml:space="preserve">N215T   </v>
      </c>
      <c r="BF3265">
        <v>1</v>
      </c>
      <c r="BH3265">
        <v>0</v>
      </c>
      <c r="BI3265">
        <v>0</v>
      </c>
      <c r="BJ3265">
        <v>0</v>
      </c>
      <c r="BK3265">
        <v>2475</v>
      </c>
      <c r="BL3265">
        <v>375</v>
      </c>
      <c r="BM3265" t="s">
        <v>119</v>
      </c>
      <c r="BN3265">
        <v>1</v>
      </c>
      <c r="BO3265">
        <v>1</v>
      </c>
      <c r="BP3265">
        <v>1</v>
      </c>
      <c r="BQ3265">
        <v>0</v>
      </c>
      <c r="BT3265">
        <v>0</v>
      </c>
      <c r="BU3265">
        <v>0</v>
      </c>
      <c r="BV3265">
        <v>0</v>
      </c>
      <c r="CC3265" t="str">
        <f>"19:29:20.867"</f>
        <v>19:29:20.867</v>
      </c>
      <c r="CD3265" t="str">
        <f>"870768842"</f>
        <v>870768842</v>
      </c>
      <c r="CQ3265">
        <v>0</v>
      </c>
      <c r="CR3265">
        <v>2</v>
      </c>
      <c r="CS3265">
        <v>0</v>
      </c>
      <c r="CT3265">
        <v>2</v>
      </c>
      <c r="CU3265">
        <v>0</v>
      </c>
      <c r="CV3265">
        <v>6</v>
      </c>
      <c r="CW3265" t="s">
        <v>120</v>
      </c>
      <c r="CX3265">
        <v>257</v>
      </c>
      <c r="CY3265">
        <v>0</v>
      </c>
      <c r="CZ3265" t="s">
        <v>615</v>
      </c>
      <c r="DA3265" t="s">
        <v>616</v>
      </c>
      <c r="DD3265">
        <v>16348005</v>
      </c>
      <c r="DE3265" t="s">
        <v>123</v>
      </c>
    </row>
    <row r="3266" spans="1:109" x14ac:dyDescent="0.3">
      <c r="A3266" t="str">
        <f>"19:29:22.047"</f>
        <v>19:29:22.047</v>
      </c>
      <c r="B3266" t="s">
        <v>110</v>
      </c>
      <c r="C3266" t="str">
        <f t="shared" ref="C3266:C3329" si="153">"ffdfd3c0"</f>
        <v>ffdfd3c0</v>
      </c>
      <c r="D3266" t="s">
        <v>111</v>
      </c>
      <c r="E3266">
        <v>18</v>
      </c>
      <c r="F3266">
        <v>1018</v>
      </c>
      <c r="G3266" t="s">
        <v>112</v>
      </c>
      <c r="J3266" t="s">
        <v>113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R3266" t="s">
        <v>114</v>
      </c>
      <c r="S3266" t="str">
        <f>"19:29:21.813"</f>
        <v>19:29:21.813</v>
      </c>
      <c r="T3266" t="str">
        <f>"19:29:21.414"</f>
        <v>19:29:21.414</v>
      </c>
      <c r="U3266" t="str">
        <f t="shared" ref="U3266:U3329" si="154">"a1cdbe"</f>
        <v>a1cdbe</v>
      </c>
      <c r="V3266">
        <v>0</v>
      </c>
      <c r="W3266">
        <v>0</v>
      </c>
      <c r="X3266">
        <v>2</v>
      </c>
      <c r="Y3266">
        <v>0</v>
      </c>
      <c r="Z3266">
        <v>0</v>
      </c>
      <c r="AB3266">
        <v>0</v>
      </c>
      <c r="AC3266">
        <v>9</v>
      </c>
      <c r="AD3266">
        <v>3</v>
      </c>
      <c r="AE3266">
        <v>0</v>
      </c>
      <c r="AF3266">
        <v>9</v>
      </c>
      <c r="AG3266" t="s">
        <v>158</v>
      </c>
      <c r="AH3266">
        <v>0</v>
      </c>
      <c r="AI3266">
        <v>3</v>
      </c>
      <c r="AJ3266">
        <v>1</v>
      </c>
      <c r="AK3266">
        <v>0</v>
      </c>
      <c r="AL3266" t="s">
        <v>6142</v>
      </c>
      <c r="AM3266">
        <v>47.002536999999997</v>
      </c>
      <c r="AN3266" t="s">
        <v>6143</v>
      </c>
      <c r="AO3266">
        <v>-123.66090800000001</v>
      </c>
      <c r="AP3266">
        <v>100</v>
      </c>
      <c r="AQ3266">
        <v>2100</v>
      </c>
      <c r="AR3266" t="s">
        <v>118</v>
      </c>
      <c r="AS3266">
        <v>-77</v>
      </c>
      <c r="AT3266">
        <v>8</v>
      </c>
      <c r="AU3266">
        <v>64</v>
      </c>
      <c r="BC3266">
        <v>1200</v>
      </c>
      <c r="BD3266">
        <v>1</v>
      </c>
      <c r="BE3266" t="str">
        <f t="shared" ref="BE3266:BE3329" si="155">"N215T   "</f>
        <v xml:space="preserve">N215T   </v>
      </c>
      <c r="BF3266">
        <v>1</v>
      </c>
      <c r="BH3266">
        <v>0</v>
      </c>
      <c r="BI3266">
        <v>0</v>
      </c>
      <c r="BJ3266">
        <v>0</v>
      </c>
      <c r="BK3266">
        <v>2475</v>
      </c>
      <c r="BL3266">
        <v>375</v>
      </c>
      <c r="BM3266" t="s">
        <v>119</v>
      </c>
      <c r="BN3266">
        <v>1</v>
      </c>
      <c r="BO3266">
        <v>1</v>
      </c>
      <c r="BP3266">
        <v>1</v>
      </c>
      <c r="BQ3266">
        <v>0</v>
      </c>
      <c r="BT3266">
        <v>0</v>
      </c>
      <c r="BU3266">
        <v>0</v>
      </c>
      <c r="BV3266">
        <v>0</v>
      </c>
      <c r="CC3266" t="str">
        <f>"19:29:21.813"</f>
        <v>19:29:21.813</v>
      </c>
      <c r="CD3266" t="str">
        <f>"815675711"</f>
        <v>815675711</v>
      </c>
      <c r="CQ3266">
        <v>0</v>
      </c>
      <c r="CR3266">
        <v>2</v>
      </c>
      <c r="CS3266">
        <v>0</v>
      </c>
      <c r="CT3266">
        <v>2</v>
      </c>
      <c r="CU3266">
        <v>0</v>
      </c>
      <c r="CV3266">
        <v>6</v>
      </c>
      <c r="CW3266" t="s">
        <v>120</v>
      </c>
      <c r="CX3266">
        <v>257</v>
      </c>
      <c r="CY3266">
        <v>0</v>
      </c>
      <c r="CZ3266" t="s">
        <v>615</v>
      </c>
      <c r="DA3266" t="s">
        <v>616</v>
      </c>
      <c r="DD3266">
        <v>16348436</v>
      </c>
      <c r="DE3266" t="s">
        <v>123</v>
      </c>
    </row>
    <row r="3267" spans="1:109" x14ac:dyDescent="0.3">
      <c r="A3267" t="str">
        <f>"19:29:23.000"</f>
        <v>19:29:23.000</v>
      </c>
      <c r="B3267" t="s">
        <v>110</v>
      </c>
      <c r="C3267" t="str">
        <f t="shared" si="153"/>
        <v>ffdfd3c0</v>
      </c>
      <c r="D3267" t="s">
        <v>111</v>
      </c>
      <c r="E3267">
        <v>18</v>
      </c>
      <c r="F3267">
        <v>1018</v>
      </c>
      <c r="G3267" t="s">
        <v>112</v>
      </c>
      <c r="J3267" t="s">
        <v>113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R3267" t="s">
        <v>114</v>
      </c>
      <c r="S3267" t="str">
        <f>"19:29:22.742"</f>
        <v>19:29:22.742</v>
      </c>
      <c r="T3267" t="str">
        <f>"19:29:22.344"</f>
        <v>19:29:22.344</v>
      </c>
      <c r="U3267" t="str">
        <f t="shared" si="154"/>
        <v>a1cdbe</v>
      </c>
      <c r="V3267">
        <v>0</v>
      </c>
      <c r="W3267">
        <v>0</v>
      </c>
      <c r="X3267">
        <v>2</v>
      </c>
      <c r="Y3267">
        <v>0</v>
      </c>
      <c r="Z3267">
        <v>0</v>
      </c>
      <c r="AB3267">
        <v>0</v>
      </c>
      <c r="AC3267">
        <v>9</v>
      </c>
      <c r="AD3267">
        <v>3</v>
      </c>
      <c r="AE3267">
        <v>0</v>
      </c>
      <c r="AF3267">
        <v>9</v>
      </c>
      <c r="AG3267" t="s">
        <v>158</v>
      </c>
      <c r="AH3267">
        <v>0</v>
      </c>
      <c r="AI3267">
        <v>3</v>
      </c>
      <c r="AJ3267">
        <v>1</v>
      </c>
      <c r="AK3267">
        <v>0</v>
      </c>
      <c r="AL3267" t="s">
        <v>6144</v>
      </c>
      <c r="AM3267">
        <v>47.002580000000002</v>
      </c>
      <c r="AN3267" t="s">
        <v>6145</v>
      </c>
      <c r="AO3267">
        <v>-123.661401</v>
      </c>
      <c r="AP3267">
        <v>100</v>
      </c>
      <c r="AQ3267">
        <v>2100</v>
      </c>
      <c r="AR3267" t="s">
        <v>118</v>
      </c>
      <c r="AS3267">
        <v>-77</v>
      </c>
      <c r="AT3267">
        <v>8</v>
      </c>
      <c r="AU3267">
        <v>64</v>
      </c>
      <c r="BC3267">
        <v>1200</v>
      </c>
      <c r="BD3267">
        <v>1</v>
      </c>
      <c r="BE3267" t="str">
        <f t="shared" si="155"/>
        <v xml:space="preserve">N215T   </v>
      </c>
      <c r="BF3267">
        <v>1</v>
      </c>
      <c r="BH3267">
        <v>0</v>
      </c>
      <c r="BI3267">
        <v>0</v>
      </c>
      <c r="BJ3267">
        <v>0</v>
      </c>
      <c r="BK3267">
        <v>2475</v>
      </c>
      <c r="BL3267">
        <v>375</v>
      </c>
      <c r="BM3267" t="s">
        <v>119</v>
      </c>
      <c r="BN3267">
        <v>1</v>
      </c>
      <c r="BO3267">
        <v>1</v>
      </c>
      <c r="BP3267">
        <v>1</v>
      </c>
      <c r="BQ3267">
        <v>0</v>
      </c>
      <c r="BT3267">
        <v>0</v>
      </c>
      <c r="BU3267">
        <v>0</v>
      </c>
      <c r="BV3267">
        <v>0</v>
      </c>
      <c r="CC3267" t="str">
        <f>"19:29:22.742"</f>
        <v>19:29:22.742</v>
      </c>
      <c r="CD3267" t="str">
        <f>"745654301"</f>
        <v>745654301</v>
      </c>
      <c r="CQ3267">
        <v>0</v>
      </c>
      <c r="CR3267">
        <v>2</v>
      </c>
      <c r="CS3267">
        <v>0</v>
      </c>
      <c r="CT3267">
        <v>2</v>
      </c>
      <c r="CU3267">
        <v>0</v>
      </c>
      <c r="CV3267">
        <v>4</v>
      </c>
      <c r="CW3267" t="s">
        <v>120</v>
      </c>
      <c r="CX3267">
        <v>261</v>
      </c>
      <c r="CY3267">
        <v>3</v>
      </c>
      <c r="CZ3267" t="s">
        <v>121</v>
      </c>
      <c r="DA3267" t="s">
        <v>122</v>
      </c>
      <c r="DD3267">
        <v>3951214</v>
      </c>
      <c r="DE3267" t="s">
        <v>123</v>
      </c>
    </row>
    <row r="3268" spans="1:109" x14ac:dyDescent="0.3">
      <c r="A3268" t="str">
        <f>"19:29:23.852"</f>
        <v>19:29:23.852</v>
      </c>
      <c r="B3268" t="s">
        <v>110</v>
      </c>
      <c r="C3268" t="str">
        <f t="shared" si="153"/>
        <v>ffdfd3c0</v>
      </c>
      <c r="D3268" t="s">
        <v>111</v>
      </c>
      <c r="E3268">
        <v>18</v>
      </c>
      <c r="F3268">
        <v>1018</v>
      </c>
      <c r="G3268" t="s">
        <v>112</v>
      </c>
      <c r="J3268" t="s">
        <v>113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R3268" t="s">
        <v>114</v>
      </c>
      <c r="S3268" t="str">
        <f>"19:29:23.625"</f>
        <v>19:29:23.625</v>
      </c>
      <c r="T3268" t="str">
        <f>"19:29:23.422"</f>
        <v>19:29:23.422</v>
      </c>
      <c r="U3268" t="str">
        <f t="shared" si="154"/>
        <v>a1cdbe</v>
      </c>
      <c r="V3268">
        <v>0</v>
      </c>
      <c r="W3268">
        <v>0</v>
      </c>
      <c r="X3268">
        <v>2</v>
      </c>
      <c r="Y3268">
        <v>0</v>
      </c>
      <c r="Z3268">
        <v>0</v>
      </c>
      <c r="AB3268">
        <v>0</v>
      </c>
      <c r="AC3268">
        <v>9</v>
      </c>
      <c r="AD3268">
        <v>3</v>
      </c>
      <c r="AE3268">
        <v>0</v>
      </c>
      <c r="AF3268">
        <v>9</v>
      </c>
      <c r="AG3268" t="s">
        <v>158</v>
      </c>
      <c r="AH3268">
        <v>0</v>
      </c>
      <c r="AI3268">
        <v>3</v>
      </c>
      <c r="AJ3268">
        <v>1</v>
      </c>
      <c r="AK3268">
        <v>0</v>
      </c>
      <c r="AL3268" t="s">
        <v>6146</v>
      </c>
      <c r="AM3268">
        <v>47.002623</v>
      </c>
      <c r="AN3268" t="s">
        <v>6147</v>
      </c>
      <c r="AO3268">
        <v>-123.661895</v>
      </c>
      <c r="AP3268">
        <v>100</v>
      </c>
      <c r="AQ3268">
        <v>2100</v>
      </c>
      <c r="AR3268" t="s">
        <v>118</v>
      </c>
      <c r="AS3268">
        <v>-77</v>
      </c>
      <c r="AT3268">
        <v>8</v>
      </c>
      <c r="AU3268">
        <v>0</v>
      </c>
      <c r="BC3268">
        <v>1200</v>
      </c>
      <c r="BD3268">
        <v>1</v>
      </c>
      <c r="BE3268" t="str">
        <f t="shared" si="155"/>
        <v xml:space="preserve">N215T   </v>
      </c>
      <c r="BF3268">
        <v>1</v>
      </c>
      <c r="BH3268">
        <v>0</v>
      </c>
      <c r="BI3268">
        <v>0</v>
      </c>
      <c r="BJ3268">
        <v>0</v>
      </c>
      <c r="BK3268">
        <v>2475</v>
      </c>
      <c r="BL3268">
        <v>375</v>
      </c>
      <c r="BM3268" t="s">
        <v>119</v>
      </c>
      <c r="BN3268">
        <v>1</v>
      </c>
      <c r="BO3268">
        <v>1</v>
      </c>
      <c r="BP3268">
        <v>1</v>
      </c>
      <c r="BQ3268">
        <v>0</v>
      </c>
      <c r="BT3268">
        <v>0</v>
      </c>
      <c r="BU3268">
        <v>0</v>
      </c>
      <c r="BV3268">
        <v>0</v>
      </c>
      <c r="CC3268" t="str">
        <f>"19:29:23.633"</f>
        <v>19:29:23.633</v>
      </c>
      <c r="CD3268" t="str">
        <f>"630496807"</f>
        <v>630496807</v>
      </c>
      <c r="CQ3268">
        <v>0</v>
      </c>
      <c r="CR3268">
        <v>2</v>
      </c>
      <c r="CS3268">
        <v>0</v>
      </c>
      <c r="CT3268">
        <v>2</v>
      </c>
      <c r="CU3268">
        <v>0</v>
      </c>
      <c r="CV3268">
        <v>6</v>
      </c>
      <c r="CW3268" t="s">
        <v>120</v>
      </c>
      <c r="CX3268">
        <v>257</v>
      </c>
      <c r="CY3268">
        <v>0</v>
      </c>
      <c r="CZ3268" t="s">
        <v>615</v>
      </c>
      <c r="DA3268" t="s">
        <v>616</v>
      </c>
      <c r="DD3268">
        <v>16349393</v>
      </c>
      <c r="DE3268" t="s">
        <v>123</v>
      </c>
    </row>
    <row r="3269" spans="1:109" x14ac:dyDescent="0.3">
      <c r="A3269" t="str">
        <f>"19:29:24.961"</f>
        <v>19:29:24.961</v>
      </c>
      <c r="B3269" t="s">
        <v>110</v>
      </c>
      <c r="C3269" t="str">
        <f t="shared" si="153"/>
        <v>ffdfd3c0</v>
      </c>
      <c r="D3269" t="s">
        <v>111</v>
      </c>
      <c r="E3269">
        <v>18</v>
      </c>
      <c r="F3269">
        <v>1018</v>
      </c>
      <c r="G3269" t="s">
        <v>112</v>
      </c>
      <c r="J3269" t="s">
        <v>113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R3269" t="s">
        <v>114</v>
      </c>
      <c r="S3269" t="str">
        <f>"19:29:24.734"</f>
        <v>19:29:24.734</v>
      </c>
      <c r="T3269" t="str">
        <f>"19:29:24.438"</f>
        <v>19:29:24.438</v>
      </c>
      <c r="U3269" t="str">
        <f t="shared" si="154"/>
        <v>a1cdbe</v>
      </c>
      <c r="V3269">
        <v>0</v>
      </c>
      <c r="W3269">
        <v>0</v>
      </c>
      <c r="X3269">
        <v>2</v>
      </c>
      <c r="Y3269">
        <v>0</v>
      </c>
      <c r="Z3269">
        <v>0</v>
      </c>
      <c r="AB3269">
        <v>0</v>
      </c>
      <c r="AC3269">
        <v>9</v>
      </c>
      <c r="AD3269">
        <v>3</v>
      </c>
      <c r="AE3269">
        <v>0</v>
      </c>
      <c r="AF3269">
        <v>9</v>
      </c>
      <c r="AG3269" t="s">
        <v>158</v>
      </c>
      <c r="AH3269">
        <v>0</v>
      </c>
      <c r="AI3269">
        <v>3</v>
      </c>
      <c r="AJ3269">
        <v>1</v>
      </c>
      <c r="AK3269">
        <v>0</v>
      </c>
      <c r="AL3269" t="s">
        <v>6146</v>
      </c>
      <c r="AM3269">
        <v>47.002623</v>
      </c>
      <c r="AN3269" t="s">
        <v>6148</v>
      </c>
      <c r="AO3269">
        <v>-123.662453</v>
      </c>
      <c r="AP3269">
        <v>100</v>
      </c>
      <c r="AQ3269">
        <v>2100</v>
      </c>
      <c r="AR3269" t="s">
        <v>118</v>
      </c>
      <c r="AS3269">
        <v>-77</v>
      </c>
      <c r="AT3269">
        <v>8</v>
      </c>
      <c r="AU3269">
        <v>0</v>
      </c>
      <c r="BC3269">
        <v>1200</v>
      </c>
      <c r="BD3269">
        <v>1</v>
      </c>
      <c r="BE3269" t="str">
        <f t="shared" si="155"/>
        <v xml:space="preserve">N215T   </v>
      </c>
      <c r="BF3269">
        <v>1</v>
      </c>
      <c r="BH3269">
        <v>0</v>
      </c>
      <c r="BI3269">
        <v>0</v>
      </c>
      <c r="BJ3269">
        <v>0</v>
      </c>
      <c r="BK3269">
        <v>2475</v>
      </c>
      <c r="BL3269">
        <v>375</v>
      </c>
      <c r="BM3269" t="s">
        <v>119</v>
      </c>
      <c r="BN3269">
        <v>1</v>
      </c>
      <c r="BO3269">
        <v>1</v>
      </c>
      <c r="BP3269">
        <v>1</v>
      </c>
      <c r="BQ3269">
        <v>0</v>
      </c>
      <c r="BT3269">
        <v>0</v>
      </c>
      <c r="BU3269">
        <v>0</v>
      </c>
      <c r="BV3269">
        <v>0</v>
      </c>
      <c r="CC3269" t="str">
        <f>"19:29:24.742"</f>
        <v>19:29:24.742</v>
      </c>
      <c r="CD3269" t="str">
        <f>"740387459"</f>
        <v>740387459</v>
      </c>
      <c r="CQ3269">
        <v>0</v>
      </c>
      <c r="CR3269">
        <v>2</v>
      </c>
      <c r="CS3269">
        <v>0</v>
      </c>
      <c r="CT3269">
        <v>2</v>
      </c>
      <c r="CU3269">
        <v>0</v>
      </c>
      <c r="CV3269">
        <v>6</v>
      </c>
      <c r="CW3269" t="s">
        <v>120</v>
      </c>
      <c r="CX3269">
        <v>257</v>
      </c>
      <c r="CY3269">
        <v>0</v>
      </c>
      <c r="CZ3269" t="s">
        <v>615</v>
      </c>
      <c r="DA3269" t="s">
        <v>616</v>
      </c>
      <c r="DD3269">
        <v>16349960</v>
      </c>
      <c r="DE3269" t="s">
        <v>123</v>
      </c>
    </row>
    <row r="3270" spans="1:109" x14ac:dyDescent="0.3">
      <c r="A3270" t="str">
        <f>"19:29:26.016"</f>
        <v>19:29:26.016</v>
      </c>
      <c r="B3270" t="s">
        <v>110</v>
      </c>
      <c r="C3270" t="str">
        <f t="shared" si="153"/>
        <v>ffdfd3c0</v>
      </c>
      <c r="D3270" t="s">
        <v>111</v>
      </c>
      <c r="E3270">
        <v>18</v>
      </c>
      <c r="F3270">
        <v>1018</v>
      </c>
      <c r="G3270" t="s">
        <v>112</v>
      </c>
      <c r="J3270" t="s">
        <v>113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R3270" t="s">
        <v>114</v>
      </c>
      <c r="S3270" t="str">
        <f>"19:29:25.805"</f>
        <v>19:29:25.805</v>
      </c>
      <c r="T3270" t="str">
        <f>"19:29:25.305"</f>
        <v>19:29:25.305</v>
      </c>
      <c r="U3270" t="str">
        <f t="shared" si="154"/>
        <v>a1cdbe</v>
      </c>
      <c r="V3270">
        <v>0</v>
      </c>
      <c r="W3270">
        <v>0</v>
      </c>
      <c r="X3270">
        <v>2</v>
      </c>
      <c r="Y3270">
        <v>0</v>
      </c>
      <c r="Z3270">
        <v>0</v>
      </c>
      <c r="AB3270">
        <v>0</v>
      </c>
      <c r="AC3270">
        <v>9</v>
      </c>
      <c r="AD3270">
        <v>3</v>
      </c>
      <c r="AE3270">
        <v>0</v>
      </c>
      <c r="AF3270">
        <v>9</v>
      </c>
      <c r="AG3270" t="s">
        <v>158</v>
      </c>
      <c r="AH3270">
        <v>0</v>
      </c>
      <c r="AI3270">
        <v>3</v>
      </c>
      <c r="AJ3270">
        <v>1</v>
      </c>
      <c r="AK3270">
        <v>0</v>
      </c>
      <c r="AL3270" t="s">
        <v>6149</v>
      </c>
      <c r="AM3270">
        <v>47.002687000000002</v>
      </c>
      <c r="AN3270" t="s">
        <v>6150</v>
      </c>
      <c r="AO3270">
        <v>-123.663032</v>
      </c>
      <c r="AP3270">
        <v>100</v>
      </c>
      <c r="AQ3270">
        <v>2100</v>
      </c>
      <c r="AR3270" t="s">
        <v>118</v>
      </c>
      <c r="AS3270">
        <v>-77</v>
      </c>
      <c r="AT3270">
        <v>8</v>
      </c>
      <c r="AU3270">
        <v>0</v>
      </c>
      <c r="BC3270">
        <v>1200</v>
      </c>
      <c r="BD3270">
        <v>1</v>
      </c>
      <c r="BE3270" t="str">
        <f t="shared" si="155"/>
        <v xml:space="preserve">N215T   </v>
      </c>
      <c r="BF3270">
        <v>1</v>
      </c>
      <c r="BH3270">
        <v>0</v>
      </c>
      <c r="BI3270">
        <v>0</v>
      </c>
      <c r="BJ3270">
        <v>0</v>
      </c>
      <c r="BK3270">
        <v>2475</v>
      </c>
      <c r="BL3270">
        <v>375</v>
      </c>
      <c r="BM3270" t="s">
        <v>119</v>
      </c>
      <c r="BN3270">
        <v>1</v>
      </c>
      <c r="BO3270">
        <v>1</v>
      </c>
      <c r="BP3270">
        <v>1</v>
      </c>
      <c r="BQ3270">
        <v>0</v>
      </c>
      <c r="BT3270">
        <v>0</v>
      </c>
      <c r="BU3270">
        <v>0</v>
      </c>
      <c r="BV3270">
        <v>0</v>
      </c>
      <c r="CC3270" t="str">
        <f>"19:29:25.805"</f>
        <v>19:29:25.805</v>
      </c>
      <c r="CD3270" t="str">
        <f>"805282503"</f>
        <v>805282503</v>
      </c>
      <c r="CQ3270">
        <v>0</v>
      </c>
      <c r="CR3270">
        <v>2</v>
      </c>
      <c r="CS3270">
        <v>0</v>
      </c>
      <c r="CT3270">
        <v>2</v>
      </c>
      <c r="CU3270">
        <v>0</v>
      </c>
      <c r="CV3270">
        <v>6</v>
      </c>
      <c r="CW3270" t="s">
        <v>120</v>
      </c>
      <c r="CX3270">
        <v>257</v>
      </c>
      <c r="CY3270">
        <v>0</v>
      </c>
      <c r="CZ3270" t="s">
        <v>615</v>
      </c>
      <c r="DA3270" t="s">
        <v>616</v>
      </c>
      <c r="DD3270">
        <v>16350475</v>
      </c>
      <c r="DE3270" t="s">
        <v>123</v>
      </c>
    </row>
    <row r="3271" spans="1:109" x14ac:dyDescent="0.3">
      <c r="A3271" t="str">
        <f>"19:29:27.023"</f>
        <v>19:29:27.023</v>
      </c>
      <c r="B3271" t="s">
        <v>110</v>
      </c>
      <c r="C3271" t="str">
        <f t="shared" si="153"/>
        <v>ffdfd3c0</v>
      </c>
      <c r="D3271" t="s">
        <v>111</v>
      </c>
      <c r="E3271">
        <v>18</v>
      </c>
      <c r="F3271">
        <v>1018</v>
      </c>
      <c r="G3271" t="s">
        <v>112</v>
      </c>
      <c r="J3271" t="s">
        <v>113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R3271" t="s">
        <v>114</v>
      </c>
      <c r="S3271" t="str">
        <f>"19:29:26.820"</f>
        <v>19:29:26.820</v>
      </c>
      <c r="T3271" t="str">
        <f>"19:29:26.422"</f>
        <v>19:29:26.422</v>
      </c>
      <c r="U3271" t="str">
        <f t="shared" si="154"/>
        <v>a1cdbe</v>
      </c>
      <c r="V3271">
        <v>0</v>
      </c>
      <c r="W3271">
        <v>0</v>
      </c>
      <c r="X3271">
        <v>2</v>
      </c>
      <c r="Y3271">
        <v>0</v>
      </c>
      <c r="Z3271">
        <v>0</v>
      </c>
      <c r="AB3271">
        <v>0</v>
      </c>
      <c r="AC3271">
        <v>9</v>
      </c>
      <c r="AD3271">
        <v>3</v>
      </c>
      <c r="AE3271">
        <v>0</v>
      </c>
      <c r="AF3271">
        <v>9</v>
      </c>
      <c r="AG3271" t="s">
        <v>158</v>
      </c>
      <c r="AH3271">
        <v>0</v>
      </c>
      <c r="AI3271">
        <v>3</v>
      </c>
      <c r="AJ3271">
        <v>1</v>
      </c>
      <c r="AK3271">
        <v>0</v>
      </c>
      <c r="AL3271" t="s">
        <v>6151</v>
      </c>
      <c r="AM3271">
        <v>47.002709000000003</v>
      </c>
      <c r="AN3271" t="s">
        <v>6152</v>
      </c>
      <c r="AO3271">
        <v>-123.66354699999999</v>
      </c>
      <c r="AP3271">
        <v>100</v>
      </c>
      <c r="AQ3271">
        <v>2100</v>
      </c>
      <c r="AR3271" t="s">
        <v>118</v>
      </c>
      <c r="AS3271">
        <v>-77</v>
      </c>
      <c r="AT3271">
        <v>8</v>
      </c>
      <c r="AU3271">
        <v>0</v>
      </c>
      <c r="BC3271">
        <v>1200</v>
      </c>
      <c r="BD3271">
        <v>1</v>
      </c>
      <c r="BE3271" t="str">
        <f t="shared" si="155"/>
        <v xml:space="preserve">N215T   </v>
      </c>
      <c r="BF3271">
        <v>1</v>
      </c>
      <c r="BH3271">
        <v>0</v>
      </c>
      <c r="BI3271">
        <v>0</v>
      </c>
      <c r="BJ3271">
        <v>0</v>
      </c>
      <c r="BK3271">
        <v>2475</v>
      </c>
      <c r="BL3271">
        <v>375</v>
      </c>
      <c r="BM3271" t="s">
        <v>119</v>
      </c>
      <c r="BN3271">
        <v>1</v>
      </c>
      <c r="BO3271">
        <v>1</v>
      </c>
      <c r="BP3271">
        <v>1</v>
      </c>
      <c r="BQ3271">
        <v>0</v>
      </c>
      <c r="BT3271">
        <v>0</v>
      </c>
      <c r="BU3271">
        <v>0</v>
      </c>
      <c r="BV3271">
        <v>0</v>
      </c>
      <c r="CC3271" t="str">
        <f>"19:29:26.828"</f>
        <v>19:29:26.828</v>
      </c>
      <c r="CD3271" t="str">
        <f>"825181973"</f>
        <v>825181973</v>
      </c>
      <c r="CQ3271">
        <v>0</v>
      </c>
      <c r="CR3271">
        <v>2</v>
      </c>
      <c r="CS3271">
        <v>0</v>
      </c>
      <c r="CT3271">
        <v>2</v>
      </c>
      <c r="CU3271">
        <v>0</v>
      </c>
      <c r="CV3271">
        <v>6</v>
      </c>
      <c r="CW3271" t="s">
        <v>120</v>
      </c>
      <c r="CX3271">
        <v>257</v>
      </c>
      <c r="CY3271">
        <v>0</v>
      </c>
      <c r="CZ3271" t="s">
        <v>615</v>
      </c>
      <c r="DA3271" t="s">
        <v>616</v>
      </c>
      <c r="DD3271">
        <v>16351003</v>
      </c>
      <c r="DE3271" t="s">
        <v>123</v>
      </c>
    </row>
    <row r="3272" spans="1:109" x14ac:dyDescent="0.3">
      <c r="A3272" t="str">
        <f>"19:29:28.125"</f>
        <v>19:29:28.125</v>
      </c>
      <c r="B3272" t="s">
        <v>110</v>
      </c>
      <c r="C3272" t="str">
        <f t="shared" si="153"/>
        <v>ffdfd3c0</v>
      </c>
      <c r="D3272" t="s">
        <v>111</v>
      </c>
      <c r="E3272">
        <v>18</v>
      </c>
      <c r="F3272">
        <v>1018</v>
      </c>
      <c r="G3272" t="s">
        <v>112</v>
      </c>
      <c r="J3272" t="s">
        <v>113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R3272" t="s">
        <v>114</v>
      </c>
      <c r="S3272" t="str">
        <f>"19:29:27.883"</f>
        <v>19:29:27.883</v>
      </c>
      <c r="T3272" t="str">
        <f>"19:29:27.484"</f>
        <v>19:29:27.484</v>
      </c>
      <c r="U3272" t="str">
        <f t="shared" si="154"/>
        <v>a1cdbe</v>
      </c>
      <c r="V3272">
        <v>0</v>
      </c>
      <c r="W3272">
        <v>0</v>
      </c>
      <c r="X3272">
        <v>2</v>
      </c>
      <c r="Y3272">
        <v>0</v>
      </c>
      <c r="Z3272">
        <v>0</v>
      </c>
      <c r="AB3272">
        <v>0</v>
      </c>
      <c r="AC3272">
        <v>9</v>
      </c>
      <c r="AD3272">
        <v>3</v>
      </c>
      <c r="AE3272">
        <v>0</v>
      </c>
      <c r="AF3272">
        <v>9</v>
      </c>
      <c r="AG3272" t="s">
        <v>158</v>
      </c>
      <c r="AH3272">
        <v>0</v>
      </c>
      <c r="AI3272">
        <v>3</v>
      </c>
      <c r="AJ3272">
        <v>1</v>
      </c>
      <c r="AK3272">
        <v>0</v>
      </c>
      <c r="AL3272" t="s">
        <v>6153</v>
      </c>
      <c r="AM3272">
        <v>47.002772999999998</v>
      </c>
      <c r="AN3272" t="s">
        <v>6154</v>
      </c>
      <c r="AO3272">
        <v>-123.66408300000001</v>
      </c>
      <c r="AP3272">
        <v>100</v>
      </c>
      <c r="AQ3272">
        <v>2100</v>
      </c>
      <c r="AR3272" t="s">
        <v>118</v>
      </c>
      <c r="AS3272">
        <v>-77</v>
      </c>
      <c r="AT3272">
        <v>8</v>
      </c>
      <c r="AU3272">
        <v>0</v>
      </c>
      <c r="BC3272">
        <v>1200</v>
      </c>
      <c r="BD3272">
        <v>1</v>
      </c>
      <c r="BE3272" t="str">
        <f t="shared" si="155"/>
        <v xml:space="preserve">N215T   </v>
      </c>
      <c r="BF3272">
        <v>1</v>
      </c>
      <c r="BH3272">
        <v>0</v>
      </c>
      <c r="BI3272">
        <v>0</v>
      </c>
      <c r="BJ3272">
        <v>0</v>
      </c>
      <c r="BK3272">
        <v>2475</v>
      </c>
      <c r="BL3272">
        <v>375</v>
      </c>
      <c r="BM3272" t="s">
        <v>119</v>
      </c>
      <c r="BN3272">
        <v>1</v>
      </c>
      <c r="BO3272">
        <v>1</v>
      </c>
      <c r="BP3272">
        <v>1</v>
      </c>
      <c r="BQ3272">
        <v>0</v>
      </c>
      <c r="BT3272">
        <v>0</v>
      </c>
      <c r="BU3272">
        <v>0</v>
      </c>
      <c r="BV3272">
        <v>0</v>
      </c>
      <c r="CC3272" t="str">
        <f>"19:29:27.891"</f>
        <v>19:29:27.891</v>
      </c>
      <c r="CD3272" t="str">
        <f>"890077020"</f>
        <v>890077020</v>
      </c>
      <c r="CQ3272">
        <v>0</v>
      </c>
      <c r="CR3272">
        <v>2</v>
      </c>
      <c r="CS3272">
        <v>0</v>
      </c>
      <c r="CT3272">
        <v>2</v>
      </c>
      <c r="CU3272">
        <v>0</v>
      </c>
      <c r="CV3272">
        <v>6</v>
      </c>
      <c r="CW3272" t="s">
        <v>120</v>
      </c>
      <c r="CX3272">
        <v>257</v>
      </c>
      <c r="CY3272">
        <v>0</v>
      </c>
      <c r="CZ3272" t="s">
        <v>615</v>
      </c>
      <c r="DA3272" t="s">
        <v>616</v>
      </c>
      <c r="DD3272">
        <v>16351581</v>
      </c>
      <c r="DE3272" t="s">
        <v>123</v>
      </c>
    </row>
    <row r="3273" spans="1:109" x14ac:dyDescent="0.3">
      <c r="A3273" t="str">
        <f>"19:29:29.031"</f>
        <v>19:29:29.031</v>
      </c>
      <c r="B3273" t="s">
        <v>110</v>
      </c>
      <c r="C3273" t="str">
        <f t="shared" si="153"/>
        <v>ffdfd3c0</v>
      </c>
      <c r="D3273" t="s">
        <v>111</v>
      </c>
      <c r="E3273">
        <v>18</v>
      </c>
      <c r="F3273">
        <v>1018</v>
      </c>
      <c r="G3273" t="s">
        <v>112</v>
      </c>
      <c r="J3273" t="s">
        <v>113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R3273" t="s">
        <v>114</v>
      </c>
      <c r="S3273" t="str">
        <f>"19:29:28.813"</f>
        <v>19:29:28.813</v>
      </c>
      <c r="T3273" t="str">
        <f>"19:29:28.609"</f>
        <v>19:29:28.609</v>
      </c>
      <c r="U3273" t="str">
        <f t="shared" si="154"/>
        <v>a1cdbe</v>
      </c>
      <c r="V3273">
        <v>0</v>
      </c>
      <c r="W3273">
        <v>0</v>
      </c>
      <c r="X3273">
        <v>2</v>
      </c>
      <c r="Y3273">
        <v>0</v>
      </c>
      <c r="Z3273">
        <v>0</v>
      </c>
      <c r="AB3273">
        <v>0</v>
      </c>
      <c r="AC3273">
        <v>9</v>
      </c>
      <c r="AD3273">
        <v>3</v>
      </c>
      <c r="AE3273">
        <v>0</v>
      </c>
      <c r="AF3273">
        <v>9</v>
      </c>
      <c r="AG3273" t="s">
        <v>158</v>
      </c>
      <c r="AH3273">
        <v>0</v>
      </c>
      <c r="AI3273">
        <v>3</v>
      </c>
      <c r="AJ3273">
        <v>1</v>
      </c>
      <c r="AK3273">
        <v>0</v>
      </c>
      <c r="AL3273" t="s">
        <v>6155</v>
      </c>
      <c r="AM3273">
        <v>47.002816000000003</v>
      </c>
      <c r="AN3273" t="s">
        <v>6156</v>
      </c>
      <c r="AO3273">
        <v>-123.66457699999999</v>
      </c>
      <c r="AP3273">
        <v>100</v>
      </c>
      <c r="AQ3273">
        <v>2100</v>
      </c>
      <c r="AR3273" t="s">
        <v>118</v>
      </c>
      <c r="AS3273">
        <v>-77</v>
      </c>
      <c r="AT3273">
        <v>8</v>
      </c>
      <c r="AU3273">
        <v>0</v>
      </c>
      <c r="BC3273">
        <v>1200</v>
      </c>
      <c r="BD3273">
        <v>1</v>
      </c>
      <c r="BE3273" t="str">
        <f t="shared" si="155"/>
        <v xml:space="preserve">N215T   </v>
      </c>
      <c r="BF3273">
        <v>1</v>
      </c>
      <c r="BH3273">
        <v>0</v>
      </c>
      <c r="BI3273">
        <v>0</v>
      </c>
      <c r="BJ3273">
        <v>0</v>
      </c>
      <c r="BK3273">
        <v>2475</v>
      </c>
      <c r="BL3273">
        <v>375</v>
      </c>
      <c r="BM3273" t="s">
        <v>119</v>
      </c>
      <c r="BN3273">
        <v>1</v>
      </c>
      <c r="BO3273">
        <v>1</v>
      </c>
      <c r="BP3273">
        <v>1</v>
      </c>
      <c r="BQ3273">
        <v>0</v>
      </c>
      <c r="BT3273">
        <v>0</v>
      </c>
      <c r="BU3273">
        <v>0</v>
      </c>
      <c r="BV3273">
        <v>0</v>
      </c>
      <c r="CC3273" t="str">
        <f>"19:29:28.820"</f>
        <v>19:29:28.820</v>
      </c>
      <c r="CD3273" t="str">
        <f>"819985372"</f>
        <v>819985372</v>
      </c>
      <c r="CQ3273">
        <v>0</v>
      </c>
      <c r="CR3273">
        <v>2</v>
      </c>
      <c r="CS3273">
        <v>0</v>
      </c>
      <c r="CT3273">
        <v>2</v>
      </c>
      <c r="CU3273">
        <v>0</v>
      </c>
      <c r="CV3273">
        <v>6</v>
      </c>
      <c r="CW3273" t="s">
        <v>120</v>
      </c>
      <c r="CX3273">
        <v>257</v>
      </c>
      <c r="CY3273">
        <v>0</v>
      </c>
      <c r="CZ3273" t="s">
        <v>615</v>
      </c>
      <c r="DA3273" t="s">
        <v>616</v>
      </c>
      <c r="DD3273">
        <v>16352069</v>
      </c>
      <c r="DE3273" t="s">
        <v>123</v>
      </c>
    </row>
    <row r="3274" spans="1:109" x14ac:dyDescent="0.3">
      <c r="A3274" t="str">
        <f>"19:29:30.086"</f>
        <v>19:29:30.086</v>
      </c>
      <c r="B3274" t="s">
        <v>110</v>
      </c>
      <c r="C3274" t="str">
        <f t="shared" si="153"/>
        <v>ffdfd3c0</v>
      </c>
      <c r="D3274" t="s">
        <v>111</v>
      </c>
      <c r="E3274">
        <v>18</v>
      </c>
      <c r="F3274">
        <v>1018</v>
      </c>
      <c r="G3274" t="s">
        <v>112</v>
      </c>
      <c r="J3274" t="s">
        <v>113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R3274" t="s">
        <v>114</v>
      </c>
      <c r="S3274" t="str">
        <f>"19:29:29.883"</f>
        <v>19:29:29.883</v>
      </c>
      <c r="T3274" t="str">
        <f>"19:29:29.883"</f>
        <v>19:29:29.883</v>
      </c>
      <c r="U3274" t="str">
        <f t="shared" si="154"/>
        <v>a1cdbe</v>
      </c>
      <c r="V3274">
        <v>0</v>
      </c>
      <c r="W3274">
        <v>0</v>
      </c>
      <c r="X3274">
        <v>2</v>
      </c>
      <c r="Y3274">
        <v>0</v>
      </c>
      <c r="Z3274">
        <v>0</v>
      </c>
      <c r="AB3274">
        <v>0</v>
      </c>
      <c r="AC3274">
        <v>9</v>
      </c>
      <c r="AD3274">
        <v>3</v>
      </c>
      <c r="AE3274">
        <v>0</v>
      </c>
      <c r="AF3274">
        <v>9</v>
      </c>
      <c r="AG3274" t="s">
        <v>158</v>
      </c>
      <c r="AH3274">
        <v>0</v>
      </c>
      <c r="AI3274">
        <v>3</v>
      </c>
      <c r="AJ3274">
        <v>1</v>
      </c>
      <c r="AK3274">
        <v>0</v>
      </c>
      <c r="AL3274" t="s">
        <v>6155</v>
      </c>
      <c r="AM3274">
        <v>47.002816000000003</v>
      </c>
      <c r="AN3274" t="s">
        <v>6157</v>
      </c>
      <c r="AO3274">
        <v>-123.66513500000001</v>
      </c>
      <c r="AP3274">
        <v>100</v>
      </c>
      <c r="AQ3274">
        <v>2100</v>
      </c>
      <c r="AR3274" t="s">
        <v>118</v>
      </c>
      <c r="AS3274">
        <v>-77</v>
      </c>
      <c r="AT3274">
        <v>8</v>
      </c>
      <c r="AU3274">
        <v>0</v>
      </c>
      <c r="BC3274">
        <v>1200</v>
      </c>
      <c r="BD3274">
        <v>1</v>
      </c>
      <c r="BE3274" t="str">
        <f t="shared" si="155"/>
        <v xml:space="preserve">N215T   </v>
      </c>
      <c r="BF3274">
        <v>1</v>
      </c>
      <c r="BH3274">
        <v>0</v>
      </c>
      <c r="BI3274">
        <v>0</v>
      </c>
      <c r="BJ3274">
        <v>0</v>
      </c>
      <c r="BK3274">
        <v>2475</v>
      </c>
      <c r="BL3274">
        <v>375</v>
      </c>
      <c r="BM3274" t="s">
        <v>119</v>
      </c>
      <c r="BN3274">
        <v>1</v>
      </c>
      <c r="BO3274">
        <v>1</v>
      </c>
      <c r="BP3274">
        <v>1</v>
      </c>
      <c r="BQ3274">
        <v>0</v>
      </c>
      <c r="BT3274">
        <v>0</v>
      </c>
      <c r="BU3274">
        <v>0</v>
      </c>
      <c r="BV3274">
        <v>0</v>
      </c>
      <c r="CC3274" t="str">
        <f>"19:29:29.883"</f>
        <v>19:29:29.883</v>
      </c>
      <c r="CD3274" t="str">
        <f>"884880425"</f>
        <v>884880425</v>
      </c>
      <c r="CQ3274">
        <v>0</v>
      </c>
      <c r="CR3274">
        <v>2</v>
      </c>
      <c r="CS3274">
        <v>0</v>
      </c>
      <c r="CT3274">
        <v>2</v>
      </c>
      <c r="CU3274">
        <v>0</v>
      </c>
      <c r="CV3274">
        <v>6</v>
      </c>
      <c r="CW3274" t="s">
        <v>120</v>
      </c>
      <c r="CX3274">
        <v>257</v>
      </c>
      <c r="CY3274">
        <v>0</v>
      </c>
      <c r="CZ3274" t="s">
        <v>615</v>
      </c>
      <c r="DA3274" t="s">
        <v>616</v>
      </c>
      <c r="DD3274">
        <v>16352563</v>
      </c>
      <c r="DE3274" t="s">
        <v>123</v>
      </c>
    </row>
    <row r="3275" spans="1:109" x14ac:dyDescent="0.3">
      <c r="A3275" t="str">
        <f>"19:29:30.992"</f>
        <v>19:29:30.992</v>
      </c>
      <c r="B3275" t="s">
        <v>110</v>
      </c>
      <c r="C3275" t="str">
        <f t="shared" si="153"/>
        <v>ffdfd3c0</v>
      </c>
      <c r="D3275" t="s">
        <v>111</v>
      </c>
      <c r="E3275">
        <v>18</v>
      </c>
      <c r="F3275">
        <v>1018</v>
      </c>
      <c r="G3275" t="s">
        <v>112</v>
      </c>
      <c r="J3275" t="s">
        <v>113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R3275" t="s">
        <v>114</v>
      </c>
      <c r="S3275" t="str">
        <f>"19:29:30.734"</f>
        <v>19:29:30.734</v>
      </c>
      <c r="T3275" t="str">
        <f>"19:29:30.336"</f>
        <v>19:29:30.336</v>
      </c>
      <c r="U3275" t="str">
        <f t="shared" si="154"/>
        <v>a1cdbe</v>
      </c>
      <c r="V3275">
        <v>0</v>
      </c>
      <c r="W3275">
        <v>0</v>
      </c>
      <c r="X3275">
        <v>2</v>
      </c>
      <c r="Y3275">
        <v>0</v>
      </c>
      <c r="Z3275">
        <v>0</v>
      </c>
      <c r="AB3275">
        <v>0</v>
      </c>
      <c r="AC3275">
        <v>9</v>
      </c>
      <c r="AD3275">
        <v>3</v>
      </c>
      <c r="AE3275">
        <v>0</v>
      </c>
      <c r="AF3275">
        <v>9</v>
      </c>
      <c r="AG3275" t="s">
        <v>158</v>
      </c>
      <c r="AH3275">
        <v>0</v>
      </c>
      <c r="AI3275">
        <v>3</v>
      </c>
      <c r="AJ3275">
        <v>1</v>
      </c>
      <c r="AK3275">
        <v>0</v>
      </c>
      <c r="AL3275" t="s">
        <v>6158</v>
      </c>
      <c r="AM3275">
        <v>47.002859000000001</v>
      </c>
      <c r="AN3275" t="s">
        <v>6159</v>
      </c>
      <c r="AO3275">
        <v>-123.665564</v>
      </c>
      <c r="AP3275">
        <v>100</v>
      </c>
      <c r="AQ3275">
        <v>2100</v>
      </c>
      <c r="AR3275" t="s">
        <v>118</v>
      </c>
      <c r="AS3275">
        <v>-77</v>
      </c>
      <c r="AT3275">
        <v>8</v>
      </c>
      <c r="AU3275">
        <v>0</v>
      </c>
      <c r="BC3275">
        <v>1200</v>
      </c>
      <c r="BD3275">
        <v>1</v>
      </c>
      <c r="BE3275" t="str">
        <f t="shared" si="155"/>
        <v xml:space="preserve">N215T   </v>
      </c>
      <c r="BF3275">
        <v>1</v>
      </c>
      <c r="BH3275">
        <v>0</v>
      </c>
      <c r="BI3275">
        <v>0</v>
      </c>
      <c r="BJ3275">
        <v>0</v>
      </c>
      <c r="BK3275">
        <v>2475</v>
      </c>
      <c r="BL3275">
        <v>375</v>
      </c>
      <c r="BM3275" t="s">
        <v>119</v>
      </c>
      <c r="BN3275">
        <v>1</v>
      </c>
      <c r="BO3275">
        <v>1</v>
      </c>
      <c r="BP3275">
        <v>1</v>
      </c>
      <c r="BQ3275">
        <v>0</v>
      </c>
      <c r="BT3275">
        <v>0</v>
      </c>
      <c r="BU3275">
        <v>0</v>
      </c>
      <c r="BV3275">
        <v>0</v>
      </c>
      <c r="CC3275" t="str">
        <f>"19:29:30.742"</f>
        <v>19:29:30.742</v>
      </c>
      <c r="CD3275" t="str">
        <f>"739796155"</f>
        <v>739796155</v>
      </c>
      <c r="CQ3275">
        <v>0</v>
      </c>
      <c r="CR3275">
        <v>2</v>
      </c>
      <c r="CS3275">
        <v>0</v>
      </c>
      <c r="CT3275">
        <v>2</v>
      </c>
      <c r="CU3275">
        <v>0</v>
      </c>
      <c r="CV3275">
        <v>6</v>
      </c>
      <c r="CW3275" t="s">
        <v>120</v>
      </c>
      <c r="CX3275">
        <v>257</v>
      </c>
      <c r="CY3275">
        <v>0</v>
      </c>
      <c r="CZ3275" t="s">
        <v>615</v>
      </c>
      <c r="DA3275" t="s">
        <v>616</v>
      </c>
      <c r="DD3275">
        <v>16352981</v>
      </c>
      <c r="DE3275" t="s">
        <v>123</v>
      </c>
    </row>
    <row r="3276" spans="1:109" x14ac:dyDescent="0.3">
      <c r="A3276" t="str">
        <f>"19:29:31.945"</f>
        <v>19:29:31.945</v>
      </c>
      <c r="B3276" t="s">
        <v>110</v>
      </c>
      <c r="C3276" t="str">
        <f t="shared" si="153"/>
        <v>ffdfd3c0</v>
      </c>
      <c r="D3276" t="s">
        <v>111</v>
      </c>
      <c r="E3276">
        <v>18</v>
      </c>
      <c r="F3276">
        <v>1018</v>
      </c>
      <c r="G3276" t="s">
        <v>112</v>
      </c>
      <c r="J3276" t="s">
        <v>113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R3276" t="s">
        <v>114</v>
      </c>
      <c r="S3276" t="str">
        <f>"19:29:31.695"</f>
        <v>19:29:31.695</v>
      </c>
      <c r="T3276" t="str">
        <f>"19:29:31.297"</f>
        <v>19:29:31.297</v>
      </c>
      <c r="U3276" t="str">
        <f t="shared" si="154"/>
        <v>a1cdbe</v>
      </c>
      <c r="V3276">
        <v>0</v>
      </c>
      <c r="W3276">
        <v>0</v>
      </c>
      <c r="X3276">
        <v>2</v>
      </c>
      <c r="Y3276">
        <v>0</v>
      </c>
      <c r="Z3276">
        <v>0</v>
      </c>
      <c r="AB3276">
        <v>0</v>
      </c>
      <c r="AC3276">
        <v>9</v>
      </c>
      <c r="AD3276">
        <v>3</v>
      </c>
      <c r="AE3276">
        <v>0</v>
      </c>
      <c r="AF3276">
        <v>9</v>
      </c>
      <c r="AG3276" t="s">
        <v>158</v>
      </c>
      <c r="AH3276">
        <v>0</v>
      </c>
      <c r="AI3276">
        <v>3</v>
      </c>
      <c r="AJ3276">
        <v>1</v>
      </c>
      <c r="AK3276">
        <v>0</v>
      </c>
      <c r="AL3276" t="s">
        <v>6160</v>
      </c>
      <c r="AM3276">
        <v>47.002901999999999</v>
      </c>
      <c r="AN3276" t="s">
        <v>6161</v>
      </c>
      <c r="AO3276">
        <v>-123.666101</v>
      </c>
      <c r="AP3276">
        <v>100</v>
      </c>
      <c r="AQ3276">
        <v>2100</v>
      </c>
      <c r="AR3276" t="s">
        <v>118</v>
      </c>
      <c r="AS3276">
        <v>-77</v>
      </c>
      <c r="AT3276">
        <v>8</v>
      </c>
      <c r="AU3276">
        <v>0</v>
      </c>
      <c r="BC3276">
        <v>1200</v>
      </c>
      <c r="BD3276">
        <v>1</v>
      </c>
      <c r="BE3276" t="str">
        <f t="shared" si="155"/>
        <v xml:space="preserve">N215T   </v>
      </c>
      <c r="BF3276">
        <v>1</v>
      </c>
      <c r="BH3276">
        <v>0</v>
      </c>
      <c r="BI3276">
        <v>0</v>
      </c>
      <c r="BJ3276">
        <v>0</v>
      </c>
      <c r="BK3276">
        <v>2475</v>
      </c>
      <c r="BL3276">
        <v>375</v>
      </c>
      <c r="BM3276" t="s">
        <v>119</v>
      </c>
      <c r="BN3276">
        <v>1</v>
      </c>
      <c r="BO3276">
        <v>1</v>
      </c>
      <c r="BP3276">
        <v>1</v>
      </c>
      <c r="BQ3276">
        <v>0</v>
      </c>
      <c r="BT3276">
        <v>0</v>
      </c>
      <c r="BU3276">
        <v>0</v>
      </c>
      <c r="BV3276">
        <v>0</v>
      </c>
      <c r="CC3276" t="str">
        <f>"19:29:31.703"</f>
        <v>19:29:31.703</v>
      </c>
      <c r="CD3276" t="str">
        <f>"699701548"</f>
        <v>699701548</v>
      </c>
      <c r="CQ3276">
        <v>0</v>
      </c>
      <c r="CR3276">
        <v>2</v>
      </c>
      <c r="CS3276">
        <v>0</v>
      </c>
      <c r="CT3276">
        <v>2</v>
      </c>
      <c r="CU3276">
        <v>0</v>
      </c>
      <c r="CV3276">
        <v>6</v>
      </c>
      <c r="CW3276" t="s">
        <v>120</v>
      </c>
      <c r="CX3276">
        <v>257</v>
      </c>
      <c r="CY3276">
        <v>0</v>
      </c>
      <c r="CZ3276" t="s">
        <v>615</v>
      </c>
      <c r="DA3276" t="s">
        <v>616</v>
      </c>
      <c r="DD3276">
        <v>16353461</v>
      </c>
      <c r="DE3276" t="s">
        <v>123</v>
      </c>
    </row>
    <row r="3277" spans="1:109" x14ac:dyDescent="0.3">
      <c r="A3277" t="str">
        <f>"19:29:32.953"</f>
        <v>19:29:32.953</v>
      </c>
      <c r="B3277" t="s">
        <v>110</v>
      </c>
      <c r="C3277" t="str">
        <f t="shared" si="153"/>
        <v>ffdfd3c0</v>
      </c>
      <c r="D3277" t="s">
        <v>111</v>
      </c>
      <c r="E3277">
        <v>18</v>
      </c>
      <c r="F3277">
        <v>1018</v>
      </c>
      <c r="G3277" t="s">
        <v>112</v>
      </c>
      <c r="J3277" t="s">
        <v>113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R3277" t="s">
        <v>114</v>
      </c>
      <c r="S3277" t="str">
        <f>"19:29:32.734"</f>
        <v>19:29:32.734</v>
      </c>
      <c r="T3277" t="str">
        <f>"19:29:32.336"</f>
        <v>19:29:32.336</v>
      </c>
      <c r="U3277" t="str">
        <f t="shared" si="154"/>
        <v>a1cdbe</v>
      </c>
      <c r="V3277">
        <v>0</v>
      </c>
      <c r="W3277">
        <v>0</v>
      </c>
      <c r="X3277">
        <v>2</v>
      </c>
      <c r="Y3277">
        <v>0</v>
      </c>
      <c r="Z3277">
        <v>0</v>
      </c>
      <c r="AB3277">
        <v>0</v>
      </c>
      <c r="AC3277">
        <v>9</v>
      </c>
      <c r="AD3277">
        <v>3</v>
      </c>
      <c r="AE3277">
        <v>0</v>
      </c>
      <c r="AF3277">
        <v>9</v>
      </c>
      <c r="AG3277" t="s">
        <v>158</v>
      </c>
      <c r="AH3277">
        <v>0</v>
      </c>
      <c r="AI3277">
        <v>3</v>
      </c>
      <c r="AJ3277">
        <v>1</v>
      </c>
      <c r="AK3277">
        <v>0</v>
      </c>
      <c r="AL3277" t="s">
        <v>6162</v>
      </c>
      <c r="AM3277">
        <v>47.002966000000001</v>
      </c>
      <c r="AN3277" t="s">
        <v>6163</v>
      </c>
      <c r="AO3277">
        <v>-123.66661499999999</v>
      </c>
      <c r="AP3277">
        <v>100</v>
      </c>
      <c r="AQ3277">
        <v>2100</v>
      </c>
      <c r="AR3277" t="s">
        <v>118</v>
      </c>
      <c r="AS3277">
        <v>-77</v>
      </c>
      <c r="AT3277">
        <v>8</v>
      </c>
      <c r="AU3277">
        <v>0</v>
      </c>
      <c r="BC3277">
        <v>1200</v>
      </c>
      <c r="BD3277">
        <v>1</v>
      </c>
      <c r="BE3277" t="str">
        <f t="shared" si="155"/>
        <v xml:space="preserve">N215T   </v>
      </c>
      <c r="BF3277">
        <v>1</v>
      </c>
      <c r="BH3277">
        <v>0</v>
      </c>
      <c r="BI3277">
        <v>0</v>
      </c>
      <c r="BJ3277">
        <v>0</v>
      </c>
      <c r="BK3277">
        <v>2475</v>
      </c>
      <c r="BL3277">
        <v>375</v>
      </c>
      <c r="BM3277" t="s">
        <v>119</v>
      </c>
      <c r="BN3277">
        <v>1</v>
      </c>
      <c r="BO3277">
        <v>1</v>
      </c>
      <c r="BP3277">
        <v>1</v>
      </c>
      <c r="BQ3277">
        <v>0</v>
      </c>
      <c r="BT3277">
        <v>0</v>
      </c>
      <c r="BU3277">
        <v>0</v>
      </c>
      <c r="BV3277">
        <v>0</v>
      </c>
      <c r="CC3277" t="str">
        <f>"19:29:32.734"</f>
        <v>19:29:32.734</v>
      </c>
      <c r="CD3277" t="str">
        <f>"734599548"</f>
        <v>734599548</v>
      </c>
      <c r="CQ3277">
        <v>0</v>
      </c>
      <c r="CR3277">
        <v>2</v>
      </c>
      <c r="CS3277">
        <v>0</v>
      </c>
      <c r="CT3277">
        <v>2</v>
      </c>
      <c r="CU3277">
        <v>0</v>
      </c>
      <c r="CV3277">
        <v>6</v>
      </c>
      <c r="CW3277" t="s">
        <v>120</v>
      </c>
      <c r="CX3277">
        <v>257</v>
      </c>
      <c r="CY3277">
        <v>0</v>
      </c>
      <c r="CZ3277" t="s">
        <v>615</v>
      </c>
      <c r="DA3277" t="s">
        <v>616</v>
      </c>
      <c r="DD3277">
        <v>16354031</v>
      </c>
      <c r="DE3277" t="s">
        <v>123</v>
      </c>
    </row>
    <row r="3278" spans="1:109" x14ac:dyDescent="0.3">
      <c r="A3278" t="str">
        <f>"19:29:34.055"</f>
        <v>19:29:34.055</v>
      </c>
      <c r="B3278" t="s">
        <v>110</v>
      </c>
      <c r="C3278" t="str">
        <f t="shared" si="153"/>
        <v>ffdfd3c0</v>
      </c>
      <c r="D3278" t="s">
        <v>111</v>
      </c>
      <c r="E3278">
        <v>18</v>
      </c>
      <c r="F3278">
        <v>1018</v>
      </c>
      <c r="G3278" t="s">
        <v>112</v>
      </c>
      <c r="J3278" t="s">
        <v>113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R3278" t="s">
        <v>114</v>
      </c>
      <c r="S3278" t="str">
        <f>"19:29:33.797"</f>
        <v>19:29:33.797</v>
      </c>
      <c r="T3278" t="str">
        <f>"19:29:33.797"</f>
        <v>19:29:33.797</v>
      </c>
      <c r="U3278" t="str">
        <f t="shared" si="154"/>
        <v>a1cdbe</v>
      </c>
      <c r="V3278">
        <v>0</v>
      </c>
      <c r="W3278">
        <v>0</v>
      </c>
      <c r="X3278">
        <v>2</v>
      </c>
      <c r="Y3278">
        <v>0</v>
      </c>
      <c r="Z3278">
        <v>0</v>
      </c>
      <c r="AB3278">
        <v>0</v>
      </c>
      <c r="AC3278">
        <v>9</v>
      </c>
      <c r="AD3278">
        <v>3</v>
      </c>
      <c r="AE3278">
        <v>0</v>
      </c>
      <c r="AF3278">
        <v>9</v>
      </c>
      <c r="AG3278" t="s">
        <v>158</v>
      </c>
      <c r="AH3278">
        <v>0</v>
      </c>
      <c r="AI3278">
        <v>3</v>
      </c>
      <c r="AJ3278">
        <v>1</v>
      </c>
      <c r="AK3278">
        <v>0</v>
      </c>
      <c r="AL3278" t="s">
        <v>6164</v>
      </c>
      <c r="AM3278">
        <v>47.003008999999999</v>
      </c>
      <c r="AN3278" t="s">
        <v>6165</v>
      </c>
      <c r="AO3278">
        <v>-123.66717300000001</v>
      </c>
      <c r="AP3278">
        <v>100</v>
      </c>
      <c r="AQ3278">
        <v>2100</v>
      </c>
      <c r="AR3278" t="s">
        <v>118</v>
      </c>
      <c r="AS3278">
        <v>-77</v>
      </c>
      <c r="AT3278">
        <v>9</v>
      </c>
      <c r="AU3278">
        <v>0</v>
      </c>
      <c r="BC3278">
        <v>1200</v>
      </c>
      <c r="BD3278">
        <v>1</v>
      </c>
      <c r="BE3278" t="str">
        <f t="shared" si="155"/>
        <v xml:space="preserve">N215T   </v>
      </c>
      <c r="BF3278">
        <v>1</v>
      </c>
      <c r="BH3278">
        <v>0</v>
      </c>
      <c r="BI3278">
        <v>0</v>
      </c>
      <c r="BJ3278">
        <v>0</v>
      </c>
      <c r="BK3278">
        <v>2475</v>
      </c>
      <c r="BL3278">
        <v>375</v>
      </c>
      <c r="BM3278" t="s">
        <v>119</v>
      </c>
      <c r="BN3278">
        <v>1</v>
      </c>
      <c r="BO3278">
        <v>1</v>
      </c>
      <c r="BP3278">
        <v>1</v>
      </c>
      <c r="BQ3278">
        <v>0</v>
      </c>
      <c r="BT3278">
        <v>0</v>
      </c>
      <c r="BU3278">
        <v>0</v>
      </c>
      <c r="BV3278">
        <v>0</v>
      </c>
      <c r="CC3278" t="str">
        <f>"19:29:33.797"</f>
        <v>19:29:33.797</v>
      </c>
      <c r="CD3278" t="str">
        <f>"799494597"</f>
        <v>799494597</v>
      </c>
      <c r="CQ3278">
        <v>0</v>
      </c>
      <c r="CR3278">
        <v>2</v>
      </c>
      <c r="CS3278">
        <v>0</v>
      </c>
      <c r="CT3278">
        <v>2</v>
      </c>
      <c r="CU3278">
        <v>0</v>
      </c>
      <c r="CV3278">
        <v>6</v>
      </c>
      <c r="CW3278" t="s">
        <v>120</v>
      </c>
      <c r="CX3278">
        <v>257</v>
      </c>
      <c r="CY3278">
        <v>0</v>
      </c>
      <c r="CZ3278" t="s">
        <v>615</v>
      </c>
      <c r="DA3278" t="s">
        <v>616</v>
      </c>
      <c r="DD3278">
        <v>16354571</v>
      </c>
      <c r="DE3278" t="s">
        <v>123</v>
      </c>
    </row>
    <row r="3279" spans="1:109" x14ac:dyDescent="0.3">
      <c r="A3279" t="str">
        <f>"19:29:35.016"</f>
        <v>19:29:35.016</v>
      </c>
      <c r="B3279" t="s">
        <v>110</v>
      </c>
      <c r="C3279" t="str">
        <f t="shared" si="153"/>
        <v>ffdfd3c0</v>
      </c>
      <c r="D3279" t="s">
        <v>111</v>
      </c>
      <c r="E3279">
        <v>18</v>
      </c>
      <c r="F3279">
        <v>1018</v>
      </c>
      <c r="G3279" t="s">
        <v>112</v>
      </c>
      <c r="J3279" t="s">
        <v>113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R3279" t="s">
        <v>114</v>
      </c>
      <c r="S3279" t="str">
        <f>"19:29:34.773"</f>
        <v>19:29:34.773</v>
      </c>
      <c r="T3279" t="str">
        <f>"19:29:34.773"</f>
        <v>19:29:34.773</v>
      </c>
      <c r="U3279" t="str">
        <f t="shared" si="154"/>
        <v>a1cdbe</v>
      </c>
      <c r="V3279">
        <v>0</v>
      </c>
      <c r="W3279">
        <v>0</v>
      </c>
      <c r="X3279">
        <v>2</v>
      </c>
      <c r="Y3279">
        <v>0</v>
      </c>
      <c r="Z3279">
        <v>0</v>
      </c>
      <c r="AB3279">
        <v>0</v>
      </c>
      <c r="AC3279">
        <v>9</v>
      </c>
      <c r="AD3279">
        <v>3</v>
      </c>
      <c r="AE3279">
        <v>0</v>
      </c>
      <c r="AF3279">
        <v>9</v>
      </c>
      <c r="AG3279" t="s">
        <v>158</v>
      </c>
      <c r="AH3279">
        <v>0</v>
      </c>
      <c r="AI3279">
        <v>3</v>
      </c>
      <c r="AJ3279">
        <v>1</v>
      </c>
      <c r="AK3279">
        <v>0</v>
      </c>
      <c r="AL3279" t="s">
        <v>6166</v>
      </c>
      <c r="AM3279">
        <v>47.003031</v>
      </c>
      <c r="AN3279" t="s">
        <v>6167</v>
      </c>
      <c r="AO3279">
        <v>-123.667731</v>
      </c>
      <c r="AP3279">
        <v>100</v>
      </c>
      <c r="AQ3279">
        <v>2100</v>
      </c>
      <c r="AR3279" t="s">
        <v>118</v>
      </c>
      <c r="AS3279">
        <v>-77</v>
      </c>
      <c r="AT3279">
        <v>9</v>
      </c>
      <c r="AU3279">
        <v>64</v>
      </c>
      <c r="BC3279">
        <v>1200</v>
      </c>
      <c r="BD3279">
        <v>1</v>
      </c>
      <c r="BE3279" t="str">
        <f t="shared" si="155"/>
        <v xml:space="preserve">N215T   </v>
      </c>
      <c r="BF3279">
        <v>1</v>
      </c>
      <c r="BH3279">
        <v>0</v>
      </c>
      <c r="BI3279">
        <v>0</v>
      </c>
      <c r="BJ3279">
        <v>0</v>
      </c>
      <c r="BK3279">
        <v>2475</v>
      </c>
      <c r="BL3279">
        <v>375</v>
      </c>
      <c r="BM3279" t="s">
        <v>119</v>
      </c>
      <c r="BN3279">
        <v>1</v>
      </c>
      <c r="BO3279">
        <v>1</v>
      </c>
      <c r="BP3279">
        <v>1</v>
      </c>
      <c r="BQ3279">
        <v>0</v>
      </c>
      <c r="BT3279">
        <v>0</v>
      </c>
      <c r="BU3279">
        <v>0</v>
      </c>
      <c r="BV3279">
        <v>0</v>
      </c>
      <c r="CC3279" t="str">
        <f>"19:29:34.773"</f>
        <v>19:29:34.773</v>
      </c>
      <c r="CD3279" t="str">
        <f>"774398516"</f>
        <v>774398516</v>
      </c>
      <c r="CQ3279">
        <v>0</v>
      </c>
      <c r="CR3279">
        <v>2</v>
      </c>
      <c r="CS3279">
        <v>0</v>
      </c>
      <c r="CT3279">
        <v>2</v>
      </c>
      <c r="CU3279">
        <v>0</v>
      </c>
      <c r="CV3279">
        <v>6</v>
      </c>
      <c r="CW3279" t="s">
        <v>120</v>
      </c>
      <c r="CX3279">
        <v>257</v>
      </c>
      <c r="CY3279">
        <v>0</v>
      </c>
      <c r="CZ3279" t="s">
        <v>615</v>
      </c>
      <c r="DA3279" t="s">
        <v>616</v>
      </c>
      <c r="DD3279">
        <v>16355025</v>
      </c>
      <c r="DE3279" t="s">
        <v>123</v>
      </c>
    </row>
    <row r="3280" spans="1:109" x14ac:dyDescent="0.3">
      <c r="A3280" t="str">
        <f>"19:29:36.016"</f>
        <v>19:29:36.016</v>
      </c>
      <c r="B3280" t="s">
        <v>110</v>
      </c>
      <c r="C3280" t="str">
        <f t="shared" si="153"/>
        <v>ffdfd3c0</v>
      </c>
      <c r="D3280" t="s">
        <v>111</v>
      </c>
      <c r="E3280">
        <v>18</v>
      </c>
      <c r="F3280">
        <v>1018</v>
      </c>
      <c r="G3280" t="s">
        <v>112</v>
      </c>
      <c r="J3280" t="s">
        <v>113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R3280" t="s">
        <v>114</v>
      </c>
      <c r="S3280" t="str">
        <f>"19:29:35.805"</f>
        <v>19:29:35.805</v>
      </c>
      <c r="T3280" t="str">
        <f>"19:29:35.305"</f>
        <v>19:29:35.305</v>
      </c>
      <c r="U3280" t="str">
        <f t="shared" si="154"/>
        <v>a1cdbe</v>
      </c>
      <c r="V3280">
        <v>0</v>
      </c>
      <c r="W3280">
        <v>0</v>
      </c>
      <c r="X3280">
        <v>2</v>
      </c>
      <c r="Y3280">
        <v>0</v>
      </c>
      <c r="Z3280">
        <v>0</v>
      </c>
      <c r="AB3280">
        <v>0</v>
      </c>
      <c r="AC3280">
        <v>9</v>
      </c>
      <c r="AD3280">
        <v>3</v>
      </c>
      <c r="AE3280">
        <v>0</v>
      </c>
      <c r="AF3280">
        <v>9</v>
      </c>
      <c r="AG3280" t="s">
        <v>158</v>
      </c>
      <c r="AH3280">
        <v>0</v>
      </c>
      <c r="AI3280">
        <v>3</v>
      </c>
      <c r="AJ3280">
        <v>1</v>
      </c>
      <c r="AK3280">
        <v>0</v>
      </c>
      <c r="AL3280" t="s">
        <v>6168</v>
      </c>
      <c r="AM3280">
        <v>47.003051999999997</v>
      </c>
      <c r="AN3280" t="s">
        <v>6169</v>
      </c>
      <c r="AO3280">
        <v>-123.668246</v>
      </c>
      <c r="AP3280">
        <v>100</v>
      </c>
      <c r="AQ3280">
        <v>2100</v>
      </c>
      <c r="AR3280" t="s">
        <v>118</v>
      </c>
      <c r="AS3280">
        <v>-77</v>
      </c>
      <c r="AT3280">
        <v>9</v>
      </c>
      <c r="AU3280">
        <v>64</v>
      </c>
      <c r="BC3280">
        <v>1200</v>
      </c>
      <c r="BD3280">
        <v>1</v>
      </c>
      <c r="BE3280" t="str">
        <f t="shared" si="155"/>
        <v xml:space="preserve">N215T   </v>
      </c>
      <c r="BF3280">
        <v>1</v>
      </c>
      <c r="BH3280">
        <v>0</v>
      </c>
      <c r="BI3280">
        <v>0</v>
      </c>
      <c r="BJ3280">
        <v>0</v>
      </c>
      <c r="BK3280">
        <v>2475</v>
      </c>
      <c r="BL3280">
        <v>375</v>
      </c>
      <c r="BM3280" t="s">
        <v>119</v>
      </c>
      <c r="BN3280">
        <v>1</v>
      </c>
      <c r="BO3280">
        <v>1</v>
      </c>
      <c r="BP3280">
        <v>1</v>
      </c>
      <c r="BQ3280">
        <v>0</v>
      </c>
      <c r="BT3280">
        <v>0</v>
      </c>
      <c r="BU3280">
        <v>0</v>
      </c>
      <c r="BV3280">
        <v>0</v>
      </c>
      <c r="CC3280" t="str">
        <f>"19:29:35.813"</f>
        <v>19:29:35.813</v>
      </c>
      <c r="CD3280" t="str">
        <f>"809296510"</f>
        <v>809296510</v>
      </c>
      <c r="CQ3280">
        <v>0</v>
      </c>
      <c r="CR3280">
        <v>2</v>
      </c>
      <c r="CS3280">
        <v>0</v>
      </c>
      <c r="CT3280">
        <v>2</v>
      </c>
      <c r="CU3280">
        <v>0</v>
      </c>
      <c r="CV3280">
        <v>6</v>
      </c>
      <c r="CW3280" t="s">
        <v>120</v>
      </c>
      <c r="CX3280">
        <v>257</v>
      </c>
      <c r="CY3280">
        <v>0</v>
      </c>
      <c r="CZ3280" t="s">
        <v>615</v>
      </c>
      <c r="DA3280" t="s">
        <v>616</v>
      </c>
      <c r="DD3280">
        <v>16355544</v>
      </c>
      <c r="DE3280" t="s">
        <v>123</v>
      </c>
    </row>
    <row r="3281" spans="1:109" x14ac:dyDescent="0.3">
      <c r="A3281" t="str">
        <f>"19:29:37.070"</f>
        <v>19:29:37.070</v>
      </c>
      <c r="B3281" t="s">
        <v>110</v>
      </c>
      <c r="C3281" t="str">
        <f t="shared" si="153"/>
        <v>ffdfd3c0</v>
      </c>
      <c r="D3281" t="s">
        <v>111</v>
      </c>
      <c r="E3281">
        <v>18</v>
      </c>
      <c r="F3281">
        <v>1018</v>
      </c>
      <c r="G3281" t="s">
        <v>112</v>
      </c>
      <c r="J3281" t="s">
        <v>113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R3281" t="s">
        <v>114</v>
      </c>
      <c r="S3281" t="str">
        <f>"19:29:36.844"</f>
        <v>19:29:36.844</v>
      </c>
      <c r="T3281" t="str">
        <f>"19:29:36.844"</f>
        <v>19:29:36.844</v>
      </c>
      <c r="U3281" t="str">
        <f t="shared" si="154"/>
        <v>a1cdbe</v>
      </c>
      <c r="V3281">
        <v>0</v>
      </c>
      <c r="W3281">
        <v>0</v>
      </c>
      <c r="X3281">
        <v>2</v>
      </c>
      <c r="Y3281">
        <v>0</v>
      </c>
      <c r="Z3281">
        <v>0</v>
      </c>
      <c r="AB3281">
        <v>0</v>
      </c>
      <c r="AC3281">
        <v>9</v>
      </c>
      <c r="AD3281">
        <v>3</v>
      </c>
      <c r="AE3281">
        <v>0</v>
      </c>
      <c r="AF3281">
        <v>9</v>
      </c>
      <c r="AG3281" t="s">
        <v>158</v>
      </c>
      <c r="AH3281">
        <v>0</v>
      </c>
      <c r="AI3281">
        <v>3</v>
      </c>
      <c r="AJ3281">
        <v>1</v>
      </c>
      <c r="AK3281">
        <v>0</v>
      </c>
      <c r="AL3281" t="s">
        <v>6170</v>
      </c>
      <c r="AM3281">
        <v>47.003138</v>
      </c>
      <c r="AN3281" t="s">
        <v>6171</v>
      </c>
      <c r="AO3281">
        <v>-123.668761</v>
      </c>
      <c r="AP3281">
        <v>100</v>
      </c>
      <c r="AQ3281">
        <v>2100</v>
      </c>
      <c r="AR3281" t="s">
        <v>118</v>
      </c>
      <c r="AS3281">
        <v>-77</v>
      </c>
      <c r="AT3281">
        <v>9</v>
      </c>
      <c r="AU3281">
        <v>64</v>
      </c>
      <c r="BC3281">
        <v>1200</v>
      </c>
      <c r="BD3281">
        <v>1</v>
      </c>
      <c r="BE3281" t="str">
        <f t="shared" si="155"/>
        <v xml:space="preserve">N215T   </v>
      </c>
      <c r="BF3281">
        <v>1</v>
      </c>
      <c r="BH3281">
        <v>0</v>
      </c>
      <c r="BI3281">
        <v>0</v>
      </c>
      <c r="BJ3281">
        <v>0</v>
      </c>
      <c r="BK3281">
        <v>2500</v>
      </c>
      <c r="BL3281">
        <v>400</v>
      </c>
      <c r="BM3281" t="s">
        <v>119</v>
      </c>
      <c r="BN3281">
        <v>1</v>
      </c>
      <c r="BO3281">
        <v>1</v>
      </c>
      <c r="BP3281">
        <v>1</v>
      </c>
      <c r="BQ3281">
        <v>0</v>
      </c>
      <c r="BT3281">
        <v>0</v>
      </c>
      <c r="BU3281">
        <v>0</v>
      </c>
      <c r="BV3281">
        <v>0</v>
      </c>
      <c r="CC3281" t="str">
        <f>"19:29:36.844"</f>
        <v>19:29:36.844</v>
      </c>
      <c r="CD3281" t="str">
        <f>"844194518"</f>
        <v>844194518</v>
      </c>
      <c r="CQ3281">
        <v>0</v>
      </c>
      <c r="CR3281">
        <v>2</v>
      </c>
      <c r="CS3281">
        <v>0</v>
      </c>
      <c r="CT3281">
        <v>2</v>
      </c>
      <c r="CU3281">
        <v>0</v>
      </c>
      <c r="CV3281">
        <v>6</v>
      </c>
      <c r="CW3281" t="s">
        <v>120</v>
      </c>
      <c r="CX3281">
        <v>257</v>
      </c>
      <c r="CY3281">
        <v>0</v>
      </c>
      <c r="CZ3281" t="s">
        <v>615</v>
      </c>
      <c r="DA3281" t="s">
        <v>616</v>
      </c>
      <c r="DD3281">
        <v>16356100</v>
      </c>
      <c r="DE3281" t="s">
        <v>123</v>
      </c>
    </row>
    <row r="3282" spans="1:109" x14ac:dyDescent="0.3">
      <c r="A3282" t="str">
        <f>"19:29:38.227"</f>
        <v>19:29:38.227</v>
      </c>
      <c r="B3282" t="s">
        <v>110</v>
      </c>
      <c r="C3282" t="str">
        <f t="shared" si="153"/>
        <v>ffdfd3c0</v>
      </c>
      <c r="D3282" t="s">
        <v>111</v>
      </c>
      <c r="E3282">
        <v>18</v>
      </c>
      <c r="F3282">
        <v>1018</v>
      </c>
      <c r="G3282" t="s">
        <v>112</v>
      </c>
      <c r="J3282" t="s">
        <v>113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R3282" t="s">
        <v>114</v>
      </c>
      <c r="S3282" t="str">
        <f>"19:29:37.977"</f>
        <v>19:29:37.977</v>
      </c>
      <c r="T3282" t="str">
        <f>"19:29:37.773"</f>
        <v>19:29:37.773</v>
      </c>
      <c r="U3282" t="str">
        <f t="shared" si="154"/>
        <v>a1cdbe</v>
      </c>
      <c r="V3282">
        <v>0</v>
      </c>
      <c r="W3282">
        <v>0</v>
      </c>
      <c r="X3282">
        <v>2</v>
      </c>
      <c r="Y3282">
        <v>0</v>
      </c>
      <c r="Z3282">
        <v>0</v>
      </c>
      <c r="AB3282">
        <v>0</v>
      </c>
      <c r="AC3282">
        <v>9</v>
      </c>
      <c r="AD3282">
        <v>3</v>
      </c>
      <c r="AE3282">
        <v>0</v>
      </c>
      <c r="AF3282">
        <v>9</v>
      </c>
      <c r="AG3282" t="s">
        <v>158</v>
      </c>
      <c r="AH3282">
        <v>0</v>
      </c>
      <c r="AI3282">
        <v>3</v>
      </c>
      <c r="AJ3282">
        <v>1</v>
      </c>
      <c r="AK3282">
        <v>0</v>
      </c>
      <c r="AL3282" t="s">
        <v>6172</v>
      </c>
      <c r="AM3282">
        <v>47.003180999999998</v>
      </c>
      <c r="AN3282" t="s">
        <v>6173</v>
      </c>
      <c r="AO3282">
        <v>-123.66938399999999</v>
      </c>
      <c r="AP3282">
        <v>100</v>
      </c>
      <c r="AQ3282">
        <v>2100</v>
      </c>
      <c r="AR3282" t="s">
        <v>118</v>
      </c>
      <c r="AS3282">
        <v>-77</v>
      </c>
      <c r="AT3282">
        <v>9</v>
      </c>
      <c r="AU3282">
        <v>64</v>
      </c>
      <c r="BC3282">
        <v>1200</v>
      </c>
      <c r="BD3282">
        <v>1</v>
      </c>
      <c r="BE3282" t="str">
        <f t="shared" si="155"/>
        <v xml:space="preserve">N215T   </v>
      </c>
      <c r="BF3282">
        <v>1</v>
      </c>
      <c r="BH3282">
        <v>0</v>
      </c>
      <c r="BI3282">
        <v>0</v>
      </c>
      <c r="BJ3282">
        <v>0</v>
      </c>
      <c r="BK3282">
        <v>2500</v>
      </c>
      <c r="BL3282">
        <v>400</v>
      </c>
      <c r="BM3282" t="s">
        <v>119</v>
      </c>
      <c r="BN3282">
        <v>1</v>
      </c>
      <c r="BO3282">
        <v>1</v>
      </c>
      <c r="BP3282">
        <v>1</v>
      </c>
      <c r="BQ3282">
        <v>0</v>
      </c>
      <c r="BT3282">
        <v>0</v>
      </c>
      <c r="BU3282">
        <v>0</v>
      </c>
      <c r="BV3282">
        <v>0</v>
      </c>
      <c r="CC3282" t="str">
        <f>"19:29:37.984"</f>
        <v>19:29:37.984</v>
      </c>
      <c r="CD3282" t="str">
        <f>"984082166"</f>
        <v>984082166</v>
      </c>
      <c r="CQ3282">
        <v>0</v>
      </c>
      <c r="CR3282">
        <v>2</v>
      </c>
      <c r="CS3282">
        <v>0</v>
      </c>
      <c r="CT3282">
        <v>2</v>
      </c>
      <c r="CU3282">
        <v>0</v>
      </c>
      <c r="CV3282">
        <v>6</v>
      </c>
      <c r="CW3282" t="s">
        <v>120</v>
      </c>
      <c r="CX3282">
        <v>257</v>
      </c>
      <c r="CY3282">
        <v>0</v>
      </c>
      <c r="CZ3282" t="s">
        <v>615</v>
      </c>
      <c r="DA3282" t="s">
        <v>616</v>
      </c>
      <c r="DD3282">
        <v>16356707</v>
      </c>
      <c r="DE3282" t="s">
        <v>123</v>
      </c>
    </row>
    <row r="3283" spans="1:109" x14ac:dyDescent="0.3">
      <c r="A3283" t="str">
        <f>"19:29:39.086"</f>
        <v>19:29:39.086</v>
      </c>
      <c r="B3283" t="s">
        <v>110</v>
      </c>
      <c r="C3283" t="str">
        <f t="shared" si="153"/>
        <v>ffdfd3c0</v>
      </c>
      <c r="D3283" t="s">
        <v>111</v>
      </c>
      <c r="E3283">
        <v>18</v>
      </c>
      <c r="F3283">
        <v>1018</v>
      </c>
      <c r="G3283" t="s">
        <v>112</v>
      </c>
      <c r="J3283" t="s">
        <v>113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R3283" t="s">
        <v>114</v>
      </c>
      <c r="S3283" t="str">
        <f>"19:29:38.867"</f>
        <v>19:29:38.867</v>
      </c>
      <c r="T3283" t="str">
        <f>"19:29:38.664"</f>
        <v>19:29:38.664</v>
      </c>
      <c r="U3283" t="str">
        <f t="shared" si="154"/>
        <v>a1cdbe</v>
      </c>
      <c r="V3283">
        <v>0</v>
      </c>
      <c r="W3283">
        <v>0</v>
      </c>
      <c r="X3283">
        <v>2</v>
      </c>
      <c r="Y3283">
        <v>0</v>
      </c>
      <c r="Z3283">
        <v>0</v>
      </c>
      <c r="AB3283">
        <v>0</v>
      </c>
      <c r="AC3283">
        <v>9</v>
      </c>
      <c r="AD3283">
        <v>3</v>
      </c>
      <c r="AE3283">
        <v>0</v>
      </c>
      <c r="AF3283">
        <v>9</v>
      </c>
      <c r="AG3283" t="s">
        <v>158</v>
      </c>
      <c r="AH3283">
        <v>0</v>
      </c>
      <c r="AI3283">
        <v>3</v>
      </c>
      <c r="AJ3283">
        <v>1</v>
      </c>
      <c r="AK3283">
        <v>0</v>
      </c>
      <c r="AL3283" t="s">
        <v>6174</v>
      </c>
      <c r="AM3283">
        <v>47.003224000000003</v>
      </c>
      <c r="AN3283" t="s">
        <v>6175</v>
      </c>
      <c r="AO3283">
        <v>-123.669791</v>
      </c>
      <c r="AP3283">
        <v>100</v>
      </c>
      <c r="AQ3283">
        <v>2100</v>
      </c>
      <c r="AR3283" t="s">
        <v>118</v>
      </c>
      <c r="AS3283">
        <v>-77</v>
      </c>
      <c r="AT3283">
        <v>9</v>
      </c>
      <c r="AU3283">
        <v>64</v>
      </c>
      <c r="BC3283">
        <v>1200</v>
      </c>
      <c r="BD3283">
        <v>1</v>
      </c>
      <c r="BE3283" t="str">
        <f t="shared" si="155"/>
        <v xml:space="preserve">N215T   </v>
      </c>
      <c r="BF3283">
        <v>1</v>
      </c>
      <c r="BH3283">
        <v>0</v>
      </c>
      <c r="BI3283">
        <v>0</v>
      </c>
      <c r="BJ3283">
        <v>0</v>
      </c>
      <c r="BK3283">
        <v>2500</v>
      </c>
      <c r="BL3283">
        <v>400</v>
      </c>
      <c r="BM3283" t="s">
        <v>119</v>
      </c>
      <c r="BN3283">
        <v>1</v>
      </c>
      <c r="BO3283">
        <v>1</v>
      </c>
      <c r="BP3283">
        <v>1</v>
      </c>
      <c r="BQ3283">
        <v>0</v>
      </c>
      <c r="BT3283">
        <v>0</v>
      </c>
      <c r="BU3283">
        <v>0</v>
      </c>
      <c r="BV3283">
        <v>0</v>
      </c>
      <c r="CC3283" t="str">
        <f>"19:29:38.867"</f>
        <v>19:29:38.867</v>
      </c>
      <c r="CD3283" t="str">
        <f>"868994962"</f>
        <v>868994962</v>
      </c>
      <c r="CQ3283">
        <v>0</v>
      </c>
      <c r="CR3283">
        <v>2</v>
      </c>
      <c r="CS3283">
        <v>0</v>
      </c>
      <c r="CT3283">
        <v>2</v>
      </c>
      <c r="CU3283">
        <v>0</v>
      </c>
      <c r="CV3283">
        <v>6</v>
      </c>
      <c r="CW3283" t="s">
        <v>120</v>
      </c>
      <c r="CX3283">
        <v>257</v>
      </c>
      <c r="CY3283">
        <v>0</v>
      </c>
      <c r="CZ3283" t="s">
        <v>615</v>
      </c>
      <c r="DA3283" t="s">
        <v>616</v>
      </c>
      <c r="DD3283">
        <v>16357143</v>
      </c>
      <c r="DE3283" t="s">
        <v>123</v>
      </c>
    </row>
    <row r="3284" spans="1:109" x14ac:dyDescent="0.3">
      <c r="A3284" t="str">
        <f>"19:29:40.188"</f>
        <v>19:29:40.188</v>
      </c>
      <c r="B3284" t="s">
        <v>110</v>
      </c>
      <c r="C3284" t="str">
        <f t="shared" si="153"/>
        <v>ffdfd3c0</v>
      </c>
      <c r="D3284" t="s">
        <v>111</v>
      </c>
      <c r="E3284">
        <v>18</v>
      </c>
      <c r="F3284">
        <v>1018</v>
      </c>
      <c r="G3284" t="s">
        <v>112</v>
      </c>
      <c r="J3284" t="s">
        <v>113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R3284" t="s">
        <v>114</v>
      </c>
      <c r="S3284" t="str">
        <f>"19:29:39.961"</f>
        <v>19:29:39.961</v>
      </c>
      <c r="T3284" t="str">
        <f>"19:29:39.664"</f>
        <v>19:29:39.664</v>
      </c>
      <c r="U3284" t="str">
        <f t="shared" si="154"/>
        <v>a1cdbe</v>
      </c>
      <c r="V3284">
        <v>0</v>
      </c>
      <c r="W3284">
        <v>0</v>
      </c>
      <c r="X3284">
        <v>2</v>
      </c>
      <c r="Y3284">
        <v>0</v>
      </c>
      <c r="Z3284">
        <v>0</v>
      </c>
      <c r="AB3284">
        <v>0</v>
      </c>
      <c r="AC3284">
        <v>9</v>
      </c>
      <c r="AD3284">
        <v>3</v>
      </c>
      <c r="AE3284">
        <v>0</v>
      </c>
      <c r="AF3284">
        <v>9</v>
      </c>
      <c r="AG3284" t="s">
        <v>158</v>
      </c>
      <c r="AH3284">
        <v>0</v>
      </c>
      <c r="AI3284">
        <v>3</v>
      </c>
      <c r="AJ3284">
        <v>1</v>
      </c>
      <c r="AK3284">
        <v>0</v>
      </c>
      <c r="AL3284" t="s">
        <v>6176</v>
      </c>
      <c r="AM3284">
        <v>47.003267000000001</v>
      </c>
      <c r="AN3284" t="s">
        <v>6177</v>
      </c>
      <c r="AO3284">
        <v>-123.670413</v>
      </c>
      <c r="AP3284">
        <v>100</v>
      </c>
      <c r="AQ3284">
        <v>2100</v>
      </c>
      <c r="AR3284" t="s">
        <v>118</v>
      </c>
      <c r="AS3284">
        <v>-77</v>
      </c>
      <c r="AT3284">
        <v>10</v>
      </c>
      <c r="AU3284">
        <v>64</v>
      </c>
      <c r="BC3284">
        <v>1200</v>
      </c>
      <c r="BD3284">
        <v>1</v>
      </c>
      <c r="BE3284" t="str">
        <f t="shared" si="155"/>
        <v xml:space="preserve">N215T   </v>
      </c>
      <c r="BF3284">
        <v>1</v>
      </c>
      <c r="BH3284">
        <v>0</v>
      </c>
      <c r="BI3284">
        <v>0</v>
      </c>
      <c r="BJ3284">
        <v>0</v>
      </c>
      <c r="BK3284">
        <v>2500</v>
      </c>
      <c r="BL3284">
        <v>400</v>
      </c>
      <c r="BM3284" t="s">
        <v>119</v>
      </c>
      <c r="BN3284">
        <v>1</v>
      </c>
      <c r="BO3284">
        <v>1</v>
      </c>
      <c r="BP3284">
        <v>1</v>
      </c>
      <c r="BQ3284">
        <v>0</v>
      </c>
      <c r="BT3284">
        <v>0</v>
      </c>
      <c r="BU3284">
        <v>0</v>
      </c>
      <c r="BV3284">
        <v>0</v>
      </c>
      <c r="CC3284" t="str">
        <f>"19:29:39.961"</f>
        <v>19:29:39.961</v>
      </c>
      <c r="CD3284" t="str">
        <f>"963887057"</f>
        <v>963887057</v>
      </c>
      <c r="CQ3284">
        <v>0</v>
      </c>
      <c r="CR3284">
        <v>2</v>
      </c>
      <c r="CS3284">
        <v>0</v>
      </c>
      <c r="CT3284">
        <v>2</v>
      </c>
      <c r="CU3284">
        <v>0</v>
      </c>
      <c r="CV3284">
        <v>6</v>
      </c>
      <c r="CW3284" t="s">
        <v>120</v>
      </c>
      <c r="CX3284">
        <v>257</v>
      </c>
      <c r="CY3284">
        <v>0</v>
      </c>
      <c r="CZ3284" t="s">
        <v>615</v>
      </c>
      <c r="DA3284" t="s">
        <v>616</v>
      </c>
      <c r="DD3284">
        <v>16357625</v>
      </c>
      <c r="DE3284" t="s">
        <v>123</v>
      </c>
    </row>
    <row r="3285" spans="1:109" x14ac:dyDescent="0.3">
      <c r="A3285" t="str">
        <f>"19:29:41.148"</f>
        <v>19:29:41.148</v>
      </c>
      <c r="B3285" t="s">
        <v>110</v>
      </c>
      <c r="C3285" t="str">
        <f t="shared" si="153"/>
        <v>ffdfd3c0</v>
      </c>
      <c r="D3285" t="s">
        <v>111</v>
      </c>
      <c r="E3285">
        <v>18</v>
      </c>
      <c r="F3285">
        <v>1018</v>
      </c>
      <c r="G3285" t="s">
        <v>112</v>
      </c>
      <c r="J3285" t="s">
        <v>113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R3285" t="s">
        <v>114</v>
      </c>
      <c r="S3285" t="str">
        <f>"19:29:40.938"</f>
        <v>19:29:40.938</v>
      </c>
      <c r="T3285" t="str">
        <f>"19:29:40.641"</f>
        <v>19:29:40.641</v>
      </c>
      <c r="U3285" t="str">
        <f t="shared" si="154"/>
        <v>a1cdbe</v>
      </c>
      <c r="V3285">
        <v>0</v>
      </c>
      <c r="W3285">
        <v>0</v>
      </c>
      <c r="X3285">
        <v>2</v>
      </c>
      <c r="Y3285">
        <v>0</v>
      </c>
      <c r="Z3285">
        <v>0</v>
      </c>
      <c r="AB3285">
        <v>0</v>
      </c>
      <c r="AC3285">
        <v>9</v>
      </c>
      <c r="AD3285">
        <v>3</v>
      </c>
      <c r="AE3285">
        <v>0</v>
      </c>
      <c r="AF3285">
        <v>9</v>
      </c>
      <c r="AG3285" t="s">
        <v>158</v>
      </c>
      <c r="AH3285">
        <v>0</v>
      </c>
      <c r="AI3285">
        <v>3</v>
      </c>
      <c r="AJ3285">
        <v>1</v>
      </c>
      <c r="AK3285">
        <v>0</v>
      </c>
      <c r="AL3285" t="s">
        <v>6178</v>
      </c>
      <c r="AM3285">
        <v>47.003309999999999</v>
      </c>
      <c r="AN3285" t="s">
        <v>6179</v>
      </c>
      <c r="AO3285">
        <v>-123.670907</v>
      </c>
      <c r="AP3285">
        <v>100</v>
      </c>
      <c r="AQ3285">
        <v>2100</v>
      </c>
      <c r="AR3285" t="s">
        <v>118</v>
      </c>
      <c r="AS3285">
        <v>-76</v>
      </c>
      <c r="AT3285">
        <v>10</v>
      </c>
      <c r="AU3285">
        <v>64</v>
      </c>
      <c r="BC3285">
        <v>1200</v>
      </c>
      <c r="BD3285">
        <v>1</v>
      </c>
      <c r="BE3285" t="str">
        <f t="shared" si="155"/>
        <v xml:space="preserve">N215T   </v>
      </c>
      <c r="BF3285">
        <v>1</v>
      </c>
      <c r="BH3285">
        <v>0</v>
      </c>
      <c r="BI3285">
        <v>0</v>
      </c>
      <c r="BJ3285">
        <v>0</v>
      </c>
      <c r="BK3285">
        <v>2500</v>
      </c>
      <c r="BL3285">
        <v>400</v>
      </c>
      <c r="BM3285" t="s">
        <v>119</v>
      </c>
      <c r="BN3285">
        <v>1</v>
      </c>
      <c r="BO3285">
        <v>1</v>
      </c>
      <c r="BP3285">
        <v>1</v>
      </c>
      <c r="BQ3285">
        <v>0</v>
      </c>
      <c r="BT3285">
        <v>0</v>
      </c>
      <c r="BU3285">
        <v>0</v>
      </c>
      <c r="BV3285">
        <v>0</v>
      </c>
      <c r="CC3285" t="str">
        <f>"19:29:40.938"</f>
        <v>19:29:40.938</v>
      </c>
      <c r="CD3285" t="str">
        <f>"938790973"</f>
        <v>938790973</v>
      </c>
      <c r="CQ3285">
        <v>0</v>
      </c>
      <c r="CR3285">
        <v>2</v>
      </c>
      <c r="CS3285">
        <v>0</v>
      </c>
      <c r="CT3285">
        <v>2</v>
      </c>
      <c r="CU3285">
        <v>0</v>
      </c>
      <c r="CV3285">
        <v>6</v>
      </c>
      <c r="CW3285" t="s">
        <v>120</v>
      </c>
      <c r="CX3285">
        <v>257</v>
      </c>
      <c r="CY3285">
        <v>0</v>
      </c>
      <c r="CZ3285" t="s">
        <v>615</v>
      </c>
      <c r="DA3285" t="s">
        <v>616</v>
      </c>
      <c r="DD3285">
        <v>16358075</v>
      </c>
      <c r="DE3285" t="s">
        <v>123</v>
      </c>
    </row>
    <row r="3286" spans="1:109" x14ac:dyDescent="0.3">
      <c r="A3286" t="str">
        <f>"19:29:42.305"</f>
        <v>19:29:42.305</v>
      </c>
      <c r="B3286" t="s">
        <v>110</v>
      </c>
      <c r="C3286" t="str">
        <f t="shared" si="153"/>
        <v>ffdfd3c0</v>
      </c>
      <c r="D3286" t="s">
        <v>111</v>
      </c>
      <c r="E3286">
        <v>18</v>
      </c>
      <c r="F3286">
        <v>1018</v>
      </c>
      <c r="G3286" t="s">
        <v>112</v>
      </c>
      <c r="J3286" t="s">
        <v>113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R3286" t="s">
        <v>114</v>
      </c>
      <c r="S3286" t="str">
        <f>"19:29:42.047"</f>
        <v>19:29:42.047</v>
      </c>
      <c r="T3286" t="str">
        <f>"19:29:41.750"</f>
        <v>19:29:41.750</v>
      </c>
      <c r="U3286" t="str">
        <f t="shared" si="154"/>
        <v>a1cdbe</v>
      </c>
      <c r="V3286">
        <v>0</v>
      </c>
      <c r="W3286">
        <v>0</v>
      </c>
      <c r="X3286">
        <v>2</v>
      </c>
      <c r="Y3286">
        <v>0</v>
      </c>
      <c r="Z3286">
        <v>0</v>
      </c>
      <c r="AB3286">
        <v>0</v>
      </c>
      <c r="AC3286">
        <v>9</v>
      </c>
      <c r="AD3286">
        <v>3</v>
      </c>
      <c r="AE3286">
        <v>0</v>
      </c>
      <c r="AF3286">
        <v>9</v>
      </c>
      <c r="AG3286" t="s">
        <v>158</v>
      </c>
      <c r="AH3286">
        <v>0</v>
      </c>
      <c r="AI3286">
        <v>3</v>
      </c>
      <c r="AJ3286">
        <v>1</v>
      </c>
      <c r="AK3286">
        <v>0</v>
      </c>
      <c r="AL3286" t="s">
        <v>801</v>
      </c>
      <c r="AM3286">
        <v>47.003352999999997</v>
      </c>
      <c r="AN3286" t="s">
        <v>6180</v>
      </c>
      <c r="AO3286">
        <v>-123.671443</v>
      </c>
      <c r="AP3286">
        <v>100</v>
      </c>
      <c r="AQ3286">
        <v>2100</v>
      </c>
      <c r="AR3286" t="s">
        <v>118</v>
      </c>
      <c r="AS3286">
        <v>-76</v>
      </c>
      <c r="AT3286">
        <v>10</v>
      </c>
      <c r="AU3286">
        <v>64</v>
      </c>
      <c r="BC3286">
        <v>1200</v>
      </c>
      <c r="BD3286">
        <v>1</v>
      </c>
      <c r="BE3286" t="str">
        <f t="shared" si="155"/>
        <v xml:space="preserve">N215T   </v>
      </c>
      <c r="BF3286">
        <v>1</v>
      </c>
      <c r="BH3286">
        <v>0</v>
      </c>
      <c r="BI3286">
        <v>0</v>
      </c>
      <c r="BJ3286">
        <v>0</v>
      </c>
      <c r="BK3286">
        <v>2500</v>
      </c>
      <c r="BL3286">
        <v>400</v>
      </c>
      <c r="BM3286" t="s">
        <v>119</v>
      </c>
      <c r="BN3286">
        <v>1</v>
      </c>
      <c r="BO3286">
        <v>1</v>
      </c>
      <c r="BP3286">
        <v>1</v>
      </c>
      <c r="BQ3286">
        <v>0</v>
      </c>
      <c r="BT3286">
        <v>0</v>
      </c>
      <c r="BU3286">
        <v>0</v>
      </c>
      <c r="BV3286">
        <v>0</v>
      </c>
      <c r="CC3286" t="str">
        <f>"19:29:42.047"</f>
        <v>19:29:42.047</v>
      </c>
      <c r="CD3286" t="str">
        <f>"048681585"</f>
        <v>048681585</v>
      </c>
      <c r="CQ3286">
        <v>0</v>
      </c>
      <c r="CR3286">
        <v>2</v>
      </c>
      <c r="CS3286">
        <v>0</v>
      </c>
      <c r="CT3286">
        <v>2</v>
      </c>
      <c r="CU3286">
        <v>0</v>
      </c>
      <c r="CV3286">
        <v>6</v>
      </c>
      <c r="CW3286" t="s">
        <v>120</v>
      </c>
      <c r="CX3286">
        <v>257</v>
      </c>
      <c r="CY3286">
        <v>0</v>
      </c>
      <c r="CZ3286" t="s">
        <v>615</v>
      </c>
      <c r="DA3286" t="s">
        <v>616</v>
      </c>
      <c r="DD3286">
        <v>16358673</v>
      </c>
      <c r="DE3286" t="s">
        <v>123</v>
      </c>
    </row>
    <row r="3287" spans="1:109" x14ac:dyDescent="0.3">
      <c r="A3287" t="str">
        <f>"19:29:43.156"</f>
        <v>19:29:43.156</v>
      </c>
      <c r="B3287" t="s">
        <v>110</v>
      </c>
      <c r="C3287" t="str">
        <f t="shared" si="153"/>
        <v>ffdfd3c0</v>
      </c>
      <c r="D3287" t="s">
        <v>111</v>
      </c>
      <c r="E3287">
        <v>18</v>
      </c>
      <c r="F3287">
        <v>1018</v>
      </c>
      <c r="G3287" t="s">
        <v>112</v>
      </c>
      <c r="J3287" t="s">
        <v>113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R3287" t="s">
        <v>114</v>
      </c>
      <c r="S3287" t="str">
        <f>"19:29:42.914"</f>
        <v>19:29:42.914</v>
      </c>
      <c r="T3287" t="str">
        <f>"19:29:42.914"</f>
        <v>19:29:42.914</v>
      </c>
      <c r="U3287" t="str">
        <f t="shared" si="154"/>
        <v>a1cdbe</v>
      </c>
      <c r="V3287">
        <v>0</v>
      </c>
      <c r="W3287">
        <v>0</v>
      </c>
      <c r="X3287">
        <v>2</v>
      </c>
      <c r="Y3287">
        <v>0</v>
      </c>
      <c r="Z3287">
        <v>0</v>
      </c>
      <c r="AB3287">
        <v>0</v>
      </c>
      <c r="AC3287">
        <v>9</v>
      </c>
      <c r="AD3287">
        <v>3</v>
      </c>
      <c r="AE3287">
        <v>0</v>
      </c>
      <c r="AF3287">
        <v>9</v>
      </c>
      <c r="AG3287" t="s">
        <v>158</v>
      </c>
      <c r="AH3287">
        <v>0</v>
      </c>
      <c r="AI3287">
        <v>3</v>
      </c>
      <c r="AJ3287">
        <v>1</v>
      </c>
      <c r="AK3287">
        <v>0</v>
      </c>
      <c r="AL3287" t="s">
        <v>6181</v>
      </c>
      <c r="AM3287">
        <v>47.003396000000002</v>
      </c>
      <c r="AN3287" t="s">
        <v>6182</v>
      </c>
      <c r="AO3287">
        <v>-123.671937</v>
      </c>
      <c r="AP3287">
        <v>100</v>
      </c>
      <c r="AQ3287">
        <v>2100</v>
      </c>
      <c r="AR3287" t="s">
        <v>118</v>
      </c>
      <c r="AS3287">
        <v>-76</v>
      </c>
      <c r="AT3287">
        <v>10</v>
      </c>
      <c r="AU3287">
        <v>64</v>
      </c>
      <c r="BC3287">
        <v>1200</v>
      </c>
      <c r="BD3287">
        <v>1</v>
      </c>
      <c r="BE3287" t="str">
        <f t="shared" si="155"/>
        <v xml:space="preserve">N215T   </v>
      </c>
      <c r="BF3287">
        <v>1</v>
      </c>
      <c r="BH3287">
        <v>0</v>
      </c>
      <c r="BI3287">
        <v>0</v>
      </c>
      <c r="BJ3287">
        <v>0</v>
      </c>
      <c r="BK3287">
        <v>2500</v>
      </c>
      <c r="BL3287">
        <v>400</v>
      </c>
      <c r="BM3287" t="s">
        <v>119</v>
      </c>
      <c r="BN3287">
        <v>1</v>
      </c>
      <c r="BO3287">
        <v>1</v>
      </c>
      <c r="BP3287">
        <v>1</v>
      </c>
      <c r="BQ3287">
        <v>0</v>
      </c>
      <c r="BT3287">
        <v>0</v>
      </c>
      <c r="BU3287">
        <v>0</v>
      </c>
      <c r="BV3287">
        <v>0</v>
      </c>
      <c r="CC3287" t="str">
        <f>"19:29:42.922"</f>
        <v>19:29:42.922</v>
      </c>
      <c r="CD3287" t="str">
        <f>"918595849"</f>
        <v>918595849</v>
      </c>
      <c r="CQ3287">
        <v>0</v>
      </c>
      <c r="CR3287">
        <v>2</v>
      </c>
      <c r="CS3287">
        <v>0</v>
      </c>
      <c r="CT3287">
        <v>2</v>
      </c>
      <c r="CU3287">
        <v>0</v>
      </c>
      <c r="CV3287">
        <v>6</v>
      </c>
      <c r="CW3287" t="s">
        <v>120</v>
      </c>
      <c r="CX3287">
        <v>257</v>
      </c>
      <c r="CY3287">
        <v>0</v>
      </c>
      <c r="CZ3287" t="s">
        <v>615</v>
      </c>
      <c r="DA3287" t="s">
        <v>616</v>
      </c>
      <c r="DD3287">
        <v>16359090</v>
      </c>
      <c r="DE3287" t="s">
        <v>123</v>
      </c>
    </row>
    <row r="3288" spans="1:109" x14ac:dyDescent="0.3">
      <c r="A3288" t="str">
        <f>"19:29:44.164"</f>
        <v>19:29:44.164</v>
      </c>
      <c r="B3288" t="s">
        <v>110</v>
      </c>
      <c r="C3288" t="str">
        <f t="shared" si="153"/>
        <v>ffdfd3c0</v>
      </c>
      <c r="D3288" t="s">
        <v>111</v>
      </c>
      <c r="E3288">
        <v>18</v>
      </c>
      <c r="F3288">
        <v>1018</v>
      </c>
      <c r="G3288" t="s">
        <v>112</v>
      </c>
      <c r="J3288" t="s">
        <v>113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R3288" t="s">
        <v>114</v>
      </c>
      <c r="S3288" t="str">
        <f>"19:29:43.938"</f>
        <v>19:29:43.938</v>
      </c>
      <c r="T3288" t="str">
        <f>"19:29:43.938"</f>
        <v>19:29:43.938</v>
      </c>
      <c r="U3288" t="str">
        <f t="shared" si="154"/>
        <v>a1cdbe</v>
      </c>
      <c r="V3288">
        <v>0</v>
      </c>
      <c r="W3288">
        <v>0</v>
      </c>
      <c r="X3288">
        <v>2</v>
      </c>
      <c r="Y3288">
        <v>0</v>
      </c>
      <c r="Z3288">
        <v>0</v>
      </c>
      <c r="AB3288">
        <v>0</v>
      </c>
      <c r="AC3288">
        <v>9</v>
      </c>
      <c r="AD3288">
        <v>3</v>
      </c>
      <c r="AE3288">
        <v>0</v>
      </c>
      <c r="AF3288">
        <v>9</v>
      </c>
      <c r="AG3288" t="s">
        <v>158</v>
      </c>
      <c r="AH3288">
        <v>0</v>
      </c>
      <c r="AI3288">
        <v>3</v>
      </c>
      <c r="AJ3288">
        <v>1</v>
      </c>
      <c r="AK3288">
        <v>0</v>
      </c>
      <c r="AL3288" t="s">
        <v>6183</v>
      </c>
      <c r="AM3288">
        <v>47.003416999999999</v>
      </c>
      <c r="AN3288" t="s">
        <v>6184</v>
      </c>
      <c r="AO3288">
        <v>-123.67245200000001</v>
      </c>
      <c r="AP3288">
        <v>100</v>
      </c>
      <c r="AQ3288">
        <v>2100</v>
      </c>
      <c r="AR3288" t="s">
        <v>118</v>
      </c>
      <c r="AS3288">
        <v>-76</v>
      </c>
      <c r="AT3288">
        <v>11</v>
      </c>
      <c r="AU3288">
        <v>0</v>
      </c>
      <c r="BC3288">
        <v>1200</v>
      </c>
      <c r="BD3288">
        <v>1</v>
      </c>
      <c r="BE3288" t="str">
        <f t="shared" si="155"/>
        <v xml:space="preserve">N215T   </v>
      </c>
      <c r="BF3288">
        <v>1</v>
      </c>
      <c r="BH3288">
        <v>0</v>
      </c>
      <c r="BI3288">
        <v>0</v>
      </c>
      <c r="BJ3288">
        <v>0</v>
      </c>
      <c r="BK3288">
        <v>2500</v>
      </c>
      <c r="BL3288">
        <v>400</v>
      </c>
      <c r="BM3288" t="s">
        <v>119</v>
      </c>
      <c r="BN3288">
        <v>1</v>
      </c>
      <c r="BO3288">
        <v>1</v>
      </c>
      <c r="BP3288">
        <v>1</v>
      </c>
      <c r="BQ3288">
        <v>0</v>
      </c>
      <c r="BT3288">
        <v>0</v>
      </c>
      <c r="BU3288">
        <v>0</v>
      </c>
      <c r="BV3288">
        <v>0</v>
      </c>
      <c r="CC3288" t="str">
        <f>"19:29:43.938"</f>
        <v>19:29:43.938</v>
      </c>
      <c r="CD3288" t="str">
        <f>"938495334"</f>
        <v>938495334</v>
      </c>
      <c r="CQ3288">
        <v>0</v>
      </c>
      <c r="CR3288">
        <v>2</v>
      </c>
      <c r="CS3288">
        <v>0</v>
      </c>
      <c r="CT3288">
        <v>2</v>
      </c>
      <c r="CU3288">
        <v>0</v>
      </c>
      <c r="CV3288">
        <v>6</v>
      </c>
      <c r="CW3288" t="s">
        <v>120</v>
      </c>
      <c r="CX3288">
        <v>257</v>
      </c>
      <c r="CY3288">
        <v>0</v>
      </c>
      <c r="CZ3288" t="s">
        <v>615</v>
      </c>
      <c r="DA3288" t="s">
        <v>616</v>
      </c>
      <c r="DD3288">
        <v>16359554</v>
      </c>
      <c r="DE3288" t="s">
        <v>123</v>
      </c>
    </row>
    <row r="3289" spans="1:109" x14ac:dyDescent="0.3">
      <c r="A3289" t="str">
        <f>"19:29:45.219"</f>
        <v>19:29:45.219</v>
      </c>
      <c r="B3289" t="s">
        <v>110</v>
      </c>
      <c r="C3289" t="str">
        <f t="shared" si="153"/>
        <v>ffdfd3c0</v>
      </c>
      <c r="D3289" t="s">
        <v>111</v>
      </c>
      <c r="E3289">
        <v>18</v>
      </c>
      <c r="F3289">
        <v>1018</v>
      </c>
      <c r="G3289" t="s">
        <v>112</v>
      </c>
      <c r="J3289" t="s">
        <v>113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R3289" t="s">
        <v>114</v>
      </c>
      <c r="S3289" t="str">
        <f>"19:29:44.969"</f>
        <v>19:29:44.969</v>
      </c>
      <c r="T3289" t="str">
        <f>"19:29:44.969"</f>
        <v>19:29:44.969</v>
      </c>
      <c r="U3289" t="str">
        <f t="shared" si="154"/>
        <v>a1cdbe</v>
      </c>
      <c r="V3289">
        <v>0</v>
      </c>
      <c r="W3289">
        <v>0</v>
      </c>
      <c r="X3289">
        <v>2</v>
      </c>
      <c r="Y3289">
        <v>0</v>
      </c>
      <c r="Z3289">
        <v>0</v>
      </c>
      <c r="AB3289">
        <v>0</v>
      </c>
      <c r="AC3289">
        <v>9</v>
      </c>
      <c r="AD3289">
        <v>3</v>
      </c>
      <c r="AE3289">
        <v>0</v>
      </c>
      <c r="AF3289">
        <v>9</v>
      </c>
      <c r="AG3289" t="s">
        <v>158</v>
      </c>
      <c r="AH3289">
        <v>0</v>
      </c>
      <c r="AI3289">
        <v>3</v>
      </c>
      <c r="AJ3289">
        <v>1</v>
      </c>
      <c r="AK3289">
        <v>0</v>
      </c>
      <c r="AL3289" t="s">
        <v>6185</v>
      </c>
      <c r="AM3289">
        <v>47.003459999999997</v>
      </c>
      <c r="AN3289" t="s">
        <v>6186</v>
      </c>
      <c r="AO3289">
        <v>-123.672945</v>
      </c>
      <c r="AP3289">
        <v>100</v>
      </c>
      <c r="AQ3289">
        <v>2100</v>
      </c>
      <c r="AR3289" t="s">
        <v>118</v>
      </c>
      <c r="AS3289">
        <v>-76</v>
      </c>
      <c r="AT3289">
        <v>11</v>
      </c>
      <c r="AU3289">
        <v>64</v>
      </c>
      <c r="BC3289">
        <v>1200</v>
      </c>
      <c r="BD3289">
        <v>1</v>
      </c>
      <c r="BE3289" t="str">
        <f t="shared" si="155"/>
        <v xml:space="preserve">N215T   </v>
      </c>
      <c r="BF3289">
        <v>1</v>
      </c>
      <c r="BH3289">
        <v>0</v>
      </c>
      <c r="BI3289">
        <v>0</v>
      </c>
      <c r="BJ3289">
        <v>0</v>
      </c>
      <c r="BK3289">
        <v>2500</v>
      </c>
      <c r="BL3289">
        <v>400</v>
      </c>
      <c r="BM3289" t="s">
        <v>119</v>
      </c>
      <c r="BN3289">
        <v>1</v>
      </c>
      <c r="BO3289">
        <v>1</v>
      </c>
      <c r="BP3289">
        <v>1</v>
      </c>
      <c r="BQ3289">
        <v>0</v>
      </c>
      <c r="BT3289">
        <v>0</v>
      </c>
      <c r="BU3289">
        <v>0</v>
      </c>
      <c r="BV3289">
        <v>0</v>
      </c>
      <c r="CC3289" t="str">
        <f>"19:29:44.977"</f>
        <v>19:29:44.977</v>
      </c>
      <c r="CD3289" t="str">
        <f>"973393344"</f>
        <v>973393344</v>
      </c>
      <c r="CQ3289">
        <v>0</v>
      </c>
      <c r="CR3289">
        <v>2</v>
      </c>
      <c r="CS3289">
        <v>0</v>
      </c>
      <c r="CT3289">
        <v>2</v>
      </c>
      <c r="CU3289">
        <v>0</v>
      </c>
      <c r="CV3289">
        <v>6</v>
      </c>
      <c r="CW3289" t="s">
        <v>120</v>
      </c>
      <c r="CX3289">
        <v>257</v>
      </c>
      <c r="CY3289">
        <v>0</v>
      </c>
      <c r="CZ3289" t="s">
        <v>615</v>
      </c>
      <c r="DA3289" t="s">
        <v>616</v>
      </c>
      <c r="DD3289">
        <v>16360069</v>
      </c>
      <c r="DE3289" t="s">
        <v>123</v>
      </c>
    </row>
    <row r="3290" spans="1:109" x14ac:dyDescent="0.3">
      <c r="A3290" t="str">
        <f>"19:29:46.070"</f>
        <v>19:29:46.070</v>
      </c>
      <c r="B3290" t="s">
        <v>110</v>
      </c>
      <c r="C3290" t="str">
        <f t="shared" si="153"/>
        <v>ffdfd3c0</v>
      </c>
      <c r="D3290" t="s">
        <v>111</v>
      </c>
      <c r="E3290">
        <v>18</v>
      </c>
      <c r="F3290">
        <v>1018</v>
      </c>
      <c r="G3290" t="s">
        <v>112</v>
      </c>
      <c r="J3290" t="s">
        <v>113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R3290" t="s">
        <v>114</v>
      </c>
      <c r="S3290" t="str">
        <f>"19:29:45.852"</f>
        <v>19:29:45.852</v>
      </c>
      <c r="T3290" t="str">
        <f>"19:29:45.352"</f>
        <v>19:29:45.352</v>
      </c>
      <c r="U3290" t="str">
        <f t="shared" si="154"/>
        <v>a1cdbe</v>
      </c>
      <c r="V3290">
        <v>0</v>
      </c>
      <c r="W3290">
        <v>0</v>
      </c>
      <c r="X3290">
        <v>2</v>
      </c>
      <c r="Y3290">
        <v>0</v>
      </c>
      <c r="Z3290">
        <v>0</v>
      </c>
      <c r="AB3290">
        <v>0</v>
      </c>
      <c r="AC3290">
        <v>9</v>
      </c>
      <c r="AD3290">
        <v>3</v>
      </c>
      <c r="AE3290">
        <v>0</v>
      </c>
      <c r="AF3290">
        <v>9</v>
      </c>
      <c r="AG3290" t="s">
        <v>158</v>
      </c>
      <c r="AH3290">
        <v>0</v>
      </c>
      <c r="AI3290">
        <v>3</v>
      </c>
      <c r="AJ3290">
        <v>1</v>
      </c>
      <c r="AK3290">
        <v>0</v>
      </c>
      <c r="AL3290" t="s">
        <v>6187</v>
      </c>
      <c r="AM3290">
        <v>47.003523999999999</v>
      </c>
      <c r="AN3290" t="s">
        <v>6188</v>
      </c>
      <c r="AO3290">
        <v>-123.673439</v>
      </c>
      <c r="AP3290">
        <v>100</v>
      </c>
      <c r="AQ3290">
        <v>2100</v>
      </c>
      <c r="AR3290" t="s">
        <v>118</v>
      </c>
      <c r="AS3290">
        <v>-76</v>
      </c>
      <c r="AT3290">
        <v>11</v>
      </c>
      <c r="AU3290">
        <v>64</v>
      </c>
      <c r="BC3290">
        <v>1200</v>
      </c>
      <c r="BD3290">
        <v>1</v>
      </c>
      <c r="BE3290" t="str">
        <f t="shared" si="155"/>
        <v xml:space="preserve">N215T   </v>
      </c>
      <c r="BF3290">
        <v>1</v>
      </c>
      <c r="BH3290">
        <v>0</v>
      </c>
      <c r="BI3290">
        <v>0</v>
      </c>
      <c r="BJ3290">
        <v>0</v>
      </c>
      <c r="BK3290">
        <v>2500</v>
      </c>
      <c r="BL3290">
        <v>400</v>
      </c>
      <c r="BM3290" t="s">
        <v>119</v>
      </c>
      <c r="BN3290">
        <v>1</v>
      </c>
      <c r="BO3290">
        <v>1</v>
      </c>
      <c r="BP3290">
        <v>1</v>
      </c>
      <c r="BQ3290">
        <v>0</v>
      </c>
      <c r="BT3290">
        <v>0</v>
      </c>
      <c r="BU3290">
        <v>0</v>
      </c>
      <c r="BV3290">
        <v>0</v>
      </c>
      <c r="CC3290" t="str">
        <f>"19:29:45.859"</f>
        <v>19:29:45.859</v>
      </c>
      <c r="CD3290" t="str">
        <f>"858306138"</f>
        <v>858306138</v>
      </c>
      <c r="CQ3290">
        <v>0</v>
      </c>
      <c r="CR3290">
        <v>2</v>
      </c>
      <c r="CS3290">
        <v>0</v>
      </c>
      <c r="CT3290">
        <v>2</v>
      </c>
      <c r="CU3290">
        <v>0</v>
      </c>
      <c r="CV3290">
        <v>6</v>
      </c>
      <c r="CW3290" t="s">
        <v>120</v>
      </c>
      <c r="CX3290">
        <v>257</v>
      </c>
      <c r="CY3290">
        <v>0</v>
      </c>
      <c r="CZ3290" t="s">
        <v>615</v>
      </c>
      <c r="DA3290" t="s">
        <v>616</v>
      </c>
      <c r="DD3290">
        <v>16360511</v>
      </c>
      <c r="DE3290" t="s">
        <v>123</v>
      </c>
    </row>
    <row r="3291" spans="1:109" x14ac:dyDescent="0.3">
      <c r="A3291" t="str">
        <f>"19:29:47.180"</f>
        <v>19:29:47.180</v>
      </c>
      <c r="B3291" t="s">
        <v>110</v>
      </c>
      <c r="C3291" t="str">
        <f t="shared" si="153"/>
        <v>ffdfd3c0</v>
      </c>
      <c r="D3291" t="s">
        <v>111</v>
      </c>
      <c r="E3291">
        <v>18</v>
      </c>
      <c r="F3291">
        <v>1018</v>
      </c>
      <c r="G3291" t="s">
        <v>112</v>
      </c>
      <c r="J3291" t="s">
        <v>113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R3291" t="s">
        <v>114</v>
      </c>
      <c r="S3291" t="str">
        <f>"19:29:46.938"</f>
        <v>19:29:46.938</v>
      </c>
      <c r="T3291" t="str">
        <f>"19:29:46.938"</f>
        <v>19:29:46.938</v>
      </c>
      <c r="U3291" t="str">
        <f t="shared" si="154"/>
        <v>a1cdbe</v>
      </c>
      <c r="V3291">
        <v>0</v>
      </c>
      <c r="W3291">
        <v>0</v>
      </c>
      <c r="X3291">
        <v>2</v>
      </c>
      <c r="Y3291">
        <v>0</v>
      </c>
      <c r="Z3291">
        <v>0</v>
      </c>
      <c r="AB3291">
        <v>0</v>
      </c>
      <c r="AC3291">
        <v>9</v>
      </c>
      <c r="AD3291">
        <v>3</v>
      </c>
      <c r="AE3291">
        <v>0</v>
      </c>
      <c r="AF3291">
        <v>9</v>
      </c>
      <c r="AG3291" t="s">
        <v>158</v>
      </c>
      <c r="AH3291">
        <v>0</v>
      </c>
      <c r="AI3291">
        <v>3</v>
      </c>
      <c r="AJ3291">
        <v>1</v>
      </c>
      <c r="AK3291">
        <v>0</v>
      </c>
      <c r="AL3291" t="s">
        <v>6189</v>
      </c>
      <c r="AM3291">
        <v>47.003588999999998</v>
      </c>
      <c r="AN3291" t="s">
        <v>6190</v>
      </c>
      <c r="AO3291">
        <v>-123.673997</v>
      </c>
      <c r="AP3291">
        <v>100</v>
      </c>
      <c r="AQ3291">
        <v>2100</v>
      </c>
      <c r="AR3291" t="s">
        <v>118</v>
      </c>
      <c r="AS3291">
        <v>-76</v>
      </c>
      <c r="AT3291">
        <v>11</v>
      </c>
      <c r="AU3291">
        <v>0</v>
      </c>
      <c r="BC3291">
        <v>1200</v>
      </c>
      <c r="BD3291">
        <v>1</v>
      </c>
      <c r="BE3291" t="str">
        <f t="shared" si="155"/>
        <v xml:space="preserve">N215T   </v>
      </c>
      <c r="BF3291">
        <v>1</v>
      </c>
      <c r="BH3291">
        <v>0</v>
      </c>
      <c r="BI3291">
        <v>0</v>
      </c>
      <c r="BJ3291">
        <v>0</v>
      </c>
      <c r="BK3291">
        <v>2500</v>
      </c>
      <c r="BL3291">
        <v>400</v>
      </c>
      <c r="BM3291" t="s">
        <v>119</v>
      </c>
      <c r="BN3291">
        <v>1</v>
      </c>
      <c r="BO3291">
        <v>1</v>
      </c>
      <c r="BP3291">
        <v>1</v>
      </c>
      <c r="BQ3291">
        <v>0</v>
      </c>
      <c r="BT3291">
        <v>0</v>
      </c>
      <c r="BU3291">
        <v>0</v>
      </c>
      <c r="BV3291">
        <v>0</v>
      </c>
      <c r="CC3291" t="str">
        <f>"19:29:46.938"</f>
        <v>19:29:46.938</v>
      </c>
      <c r="CD3291" t="str">
        <f>"938199710"</f>
        <v>938199710</v>
      </c>
      <c r="CQ3291">
        <v>0</v>
      </c>
      <c r="CR3291">
        <v>2</v>
      </c>
      <c r="CS3291">
        <v>0</v>
      </c>
      <c r="CT3291">
        <v>2</v>
      </c>
      <c r="CU3291">
        <v>0</v>
      </c>
      <c r="CV3291">
        <v>6</v>
      </c>
      <c r="CW3291" t="s">
        <v>120</v>
      </c>
      <c r="CX3291">
        <v>257</v>
      </c>
      <c r="CY3291">
        <v>0</v>
      </c>
      <c r="CZ3291" t="s">
        <v>615</v>
      </c>
      <c r="DA3291" t="s">
        <v>616</v>
      </c>
      <c r="DD3291">
        <v>16361082</v>
      </c>
      <c r="DE3291" t="s">
        <v>123</v>
      </c>
    </row>
    <row r="3292" spans="1:109" x14ac:dyDescent="0.3">
      <c r="A3292" t="str">
        <f>"19:29:48.133"</f>
        <v>19:29:48.133</v>
      </c>
      <c r="B3292" t="s">
        <v>110</v>
      </c>
      <c r="C3292" t="str">
        <f t="shared" si="153"/>
        <v>ffdfd3c0</v>
      </c>
      <c r="D3292" t="s">
        <v>111</v>
      </c>
      <c r="E3292">
        <v>18</v>
      </c>
      <c r="F3292">
        <v>1018</v>
      </c>
      <c r="G3292" t="s">
        <v>112</v>
      </c>
      <c r="J3292" t="s">
        <v>113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R3292" t="s">
        <v>114</v>
      </c>
      <c r="S3292" t="str">
        <f>"19:29:47.906"</f>
        <v>19:29:47.906</v>
      </c>
      <c r="T3292" t="str">
        <f>"19:29:47.508"</f>
        <v>19:29:47.508</v>
      </c>
      <c r="U3292" t="str">
        <f t="shared" si="154"/>
        <v>a1cdbe</v>
      </c>
      <c r="V3292">
        <v>0</v>
      </c>
      <c r="W3292">
        <v>0</v>
      </c>
      <c r="X3292">
        <v>2</v>
      </c>
      <c r="Y3292">
        <v>0</v>
      </c>
      <c r="Z3292">
        <v>0</v>
      </c>
      <c r="AB3292">
        <v>0</v>
      </c>
      <c r="AC3292">
        <v>9</v>
      </c>
      <c r="AD3292">
        <v>3</v>
      </c>
      <c r="AE3292">
        <v>0</v>
      </c>
      <c r="AF3292">
        <v>9</v>
      </c>
      <c r="AG3292" t="s">
        <v>158</v>
      </c>
      <c r="AH3292">
        <v>0</v>
      </c>
      <c r="AI3292">
        <v>3</v>
      </c>
      <c r="AJ3292">
        <v>1</v>
      </c>
      <c r="AK3292">
        <v>0</v>
      </c>
      <c r="AL3292" t="s">
        <v>6191</v>
      </c>
      <c r="AM3292">
        <v>47.003653</v>
      </c>
      <c r="AN3292" t="s">
        <v>6192</v>
      </c>
      <c r="AO3292">
        <v>-123.67451200000001</v>
      </c>
      <c r="AP3292">
        <v>100</v>
      </c>
      <c r="AQ3292">
        <v>2100</v>
      </c>
      <c r="AR3292" t="s">
        <v>118</v>
      </c>
      <c r="AS3292">
        <v>-76</v>
      </c>
      <c r="AT3292">
        <v>11</v>
      </c>
      <c r="AU3292">
        <v>0</v>
      </c>
      <c r="BC3292">
        <v>1200</v>
      </c>
      <c r="BD3292">
        <v>1</v>
      </c>
      <c r="BE3292" t="str">
        <f t="shared" si="155"/>
        <v xml:space="preserve">N215T   </v>
      </c>
      <c r="BF3292">
        <v>1</v>
      </c>
      <c r="BH3292">
        <v>0</v>
      </c>
      <c r="BI3292">
        <v>0</v>
      </c>
      <c r="BJ3292">
        <v>0</v>
      </c>
      <c r="BK3292">
        <v>2500</v>
      </c>
      <c r="BL3292">
        <v>400</v>
      </c>
      <c r="BM3292" t="s">
        <v>119</v>
      </c>
      <c r="BN3292">
        <v>1</v>
      </c>
      <c r="BO3292">
        <v>1</v>
      </c>
      <c r="BP3292">
        <v>1</v>
      </c>
      <c r="BQ3292">
        <v>0</v>
      </c>
      <c r="BT3292">
        <v>0</v>
      </c>
      <c r="BU3292">
        <v>0</v>
      </c>
      <c r="BV3292">
        <v>0</v>
      </c>
      <c r="CC3292" t="str">
        <f>"19:29:47.914"</f>
        <v>19:29:47.914</v>
      </c>
      <c r="CD3292" t="str">
        <f>"913103635"</f>
        <v>913103635</v>
      </c>
      <c r="CQ3292">
        <v>0</v>
      </c>
      <c r="CR3292">
        <v>2</v>
      </c>
      <c r="CS3292">
        <v>0</v>
      </c>
      <c r="CT3292">
        <v>2</v>
      </c>
      <c r="CU3292">
        <v>0</v>
      </c>
      <c r="CV3292">
        <v>6</v>
      </c>
      <c r="CW3292" t="s">
        <v>120</v>
      </c>
      <c r="CX3292">
        <v>257</v>
      </c>
      <c r="CY3292">
        <v>0</v>
      </c>
      <c r="CZ3292" t="s">
        <v>615</v>
      </c>
      <c r="DA3292" t="s">
        <v>616</v>
      </c>
      <c r="DD3292">
        <v>16361589</v>
      </c>
      <c r="DE3292" t="s">
        <v>123</v>
      </c>
    </row>
    <row r="3293" spans="1:109" x14ac:dyDescent="0.3">
      <c r="A3293" t="str">
        <f>"19:29:49.195"</f>
        <v>19:29:49.195</v>
      </c>
      <c r="B3293" t="s">
        <v>110</v>
      </c>
      <c r="C3293" t="str">
        <f t="shared" si="153"/>
        <v>ffdfd3c0</v>
      </c>
      <c r="D3293" t="s">
        <v>111</v>
      </c>
      <c r="E3293">
        <v>18</v>
      </c>
      <c r="F3293">
        <v>1018</v>
      </c>
      <c r="G3293" t="s">
        <v>112</v>
      </c>
      <c r="J3293" t="s">
        <v>113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R3293" t="s">
        <v>114</v>
      </c>
      <c r="S3293" t="str">
        <f>"19:29:48.961"</f>
        <v>19:29:48.961</v>
      </c>
      <c r="T3293" t="str">
        <f>"19:29:48.961"</f>
        <v>19:29:48.961</v>
      </c>
      <c r="U3293" t="str">
        <f t="shared" si="154"/>
        <v>a1cdbe</v>
      </c>
      <c r="V3293">
        <v>0</v>
      </c>
      <c r="W3293">
        <v>0</v>
      </c>
      <c r="X3293">
        <v>2</v>
      </c>
      <c r="Y3293">
        <v>0</v>
      </c>
      <c r="Z3293">
        <v>0</v>
      </c>
      <c r="AB3293">
        <v>0</v>
      </c>
      <c r="AC3293">
        <v>9</v>
      </c>
      <c r="AD3293">
        <v>3</v>
      </c>
      <c r="AE3293">
        <v>0</v>
      </c>
      <c r="AF3293">
        <v>9</v>
      </c>
      <c r="AG3293" t="s">
        <v>158</v>
      </c>
      <c r="AH3293">
        <v>0</v>
      </c>
      <c r="AI3293">
        <v>3</v>
      </c>
      <c r="AJ3293">
        <v>1</v>
      </c>
      <c r="AK3293">
        <v>0</v>
      </c>
      <c r="AL3293" t="s">
        <v>6193</v>
      </c>
      <c r="AM3293">
        <v>47.003695999999998</v>
      </c>
      <c r="AN3293" t="s">
        <v>6194</v>
      </c>
      <c r="AO3293">
        <v>-123.675005</v>
      </c>
      <c r="AP3293">
        <v>100</v>
      </c>
      <c r="AQ3293">
        <v>2100</v>
      </c>
      <c r="AR3293" t="s">
        <v>118</v>
      </c>
      <c r="AS3293">
        <v>-76</v>
      </c>
      <c r="AT3293">
        <v>11</v>
      </c>
      <c r="AU3293">
        <v>0</v>
      </c>
      <c r="BC3293">
        <v>1200</v>
      </c>
      <c r="BD3293">
        <v>1</v>
      </c>
      <c r="BE3293" t="str">
        <f t="shared" si="155"/>
        <v xml:space="preserve">N215T   </v>
      </c>
      <c r="BF3293">
        <v>1</v>
      </c>
      <c r="BH3293">
        <v>0</v>
      </c>
      <c r="BI3293">
        <v>0</v>
      </c>
      <c r="BJ3293">
        <v>0</v>
      </c>
      <c r="BK3293">
        <v>2500</v>
      </c>
      <c r="BL3293">
        <v>400</v>
      </c>
      <c r="BM3293" t="s">
        <v>119</v>
      </c>
      <c r="BN3293">
        <v>1</v>
      </c>
      <c r="BO3293">
        <v>1</v>
      </c>
      <c r="BP3293">
        <v>1</v>
      </c>
      <c r="BQ3293">
        <v>0</v>
      </c>
      <c r="BT3293">
        <v>0</v>
      </c>
      <c r="BU3293">
        <v>0</v>
      </c>
      <c r="BV3293">
        <v>0</v>
      </c>
      <c r="CC3293" t="str">
        <f>"19:29:48.961"</f>
        <v>19:29:48.961</v>
      </c>
      <c r="CD3293" t="str">
        <f>"963000172"</f>
        <v>963000172</v>
      </c>
      <c r="CQ3293">
        <v>0</v>
      </c>
      <c r="CR3293">
        <v>2</v>
      </c>
      <c r="CS3293">
        <v>0</v>
      </c>
      <c r="CT3293">
        <v>2</v>
      </c>
      <c r="CU3293">
        <v>0</v>
      </c>
      <c r="CV3293">
        <v>6</v>
      </c>
      <c r="CW3293" t="s">
        <v>120</v>
      </c>
      <c r="CX3293">
        <v>257</v>
      </c>
      <c r="CY3293">
        <v>0</v>
      </c>
      <c r="CZ3293" t="s">
        <v>615</v>
      </c>
      <c r="DA3293" t="s">
        <v>616</v>
      </c>
      <c r="DD3293">
        <v>16362095</v>
      </c>
      <c r="DE3293" t="s">
        <v>123</v>
      </c>
    </row>
    <row r="3294" spans="1:109" x14ac:dyDescent="0.3">
      <c r="A3294" t="str">
        <f>"19:29:50.242"</f>
        <v>19:29:50.242</v>
      </c>
      <c r="B3294" t="s">
        <v>110</v>
      </c>
      <c r="C3294" t="str">
        <f t="shared" si="153"/>
        <v>ffdfd3c0</v>
      </c>
      <c r="D3294" t="s">
        <v>111</v>
      </c>
      <c r="E3294">
        <v>18</v>
      </c>
      <c r="F3294">
        <v>1018</v>
      </c>
      <c r="G3294" t="s">
        <v>112</v>
      </c>
      <c r="J3294" t="s">
        <v>113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R3294" t="s">
        <v>114</v>
      </c>
      <c r="S3294" t="str">
        <f>"19:29:49.992"</f>
        <v>19:29:49.992</v>
      </c>
      <c r="T3294" t="str">
        <f>"19:29:49.992"</f>
        <v>19:29:49.992</v>
      </c>
      <c r="U3294" t="str">
        <f t="shared" si="154"/>
        <v>a1cdbe</v>
      </c>
      <c r="V3294">
        <v>0</v>
      </c>
      <c r="W3294">
        <v>0</v>
      </c>
      <c r="X3294">
        <v>2</v>
      </c>
      <c r="Y3294">
        <v>0</v>
      </c>
      <c r="Z3294">
        <v>0</v>
      </c>
      <c r="AB3294">
        <v>0</v>
      </c>
      <c r="AC3294">
        <v>9</v>
      </c>
      <c r="AD3294">
        <v>3</v>
      </c>
      <c r="AE3294">
        <v>0</v>
      </c>
      <c r="AF3294">
        <v>9</v>
      </c>
      <c r="AG3294" t="s">
        <v>158</v>
      </c>
      <c r="AH3294">
        <v>0</v>
      </c>
      <c r="AI3294">
        <v>3</v>
      </c>
      <c r="AJ3294">
        <v>1</v>
      </c>
      <c r="AK3294">
        <v>0</v>
      </c>
      <c r="AL3294" t="s">
        <v>6195</v>
      </c>
      <c r="AM3294">
        <v>47.00376</v>
      </c>
      <c r="AN3294" t="s">
        <v>6196</v>
      </c>
      <c r="AO3294">
        <v>-123.675563</v>
      </c>
      <c r="AP3294">
        <v>100</v>
      </c>
      <c r="AQ3294">
        <v>2100</v>
      </c>
      <c r="AR3294" t="s">
        <v>118</v>
      </c>
      <c r="AS3294">
        <v>-76</v>
      </c>
      <c r="AT3294">
        <v>12</v>
      </c>
      <c r="AU3294">
        <v>0</v>
      </c>
      <c r="BC3294">
        <v>1200</v>
      </c>
      <c r="BD3294">
        <v>1</v>
      </c>
      <c r="BE3294" t="str">
        <f t="shared" si="155"/>
        <v xml:space="preserve">N215T   </v>
      </c>
      <c r="BF3294">
        <v>1</v>
      </c>
      <c r="BH3294">
        <v>0</v>
      </c>
      <c r="BI3294">
        <v>0</v>
      </c>
      <c r="BJ3294">
        <v>0</v>
      </c>
      <c r="BK3294">
        <v>2500</v>
      </c>
      <c r="BL3294">
        <v>400</v>
      </c>
      <c r="BM3294" t="s">
        <v>119</v>
      </c>
      <c r="BN3294">
        <v>1</v>
      </c>
      <c r="BO3294">
        <v>1</v>
      </c>
      <c r="BP3294">
        <v>1</v>
      </c>
      <c r="BQ3294">
        <v>0</v>
      </c>
      <c r="BT3294">
        <v>0</v>
      </c>
      <c r="BU3294">
        <v>0</v>
      </c>
      <c r="BV3294">
        <v>0</v>
      </c>
      <c r="CC3294" t="str">
        <f>"19:29:50.000"</f>
        <v>19:29:50.000</v>
      </c>
      <c r="CD3294" t="str">
        <f>"997898168"</f>
        <v>997898168</v>
      </c>
      <c r="CQ3294">
        <v>0</v>
      </c>
      <c r="CR3294">
        <v>2</v>
      </c>
      <c r="CS3294">
        <v>0</v>
      </c>
      <c r="CT3294">
        <v>2</v>
      </c>
      <c r="CU3294">
        <v>0</v>
      </c>
      <c r="CV3294">
        <v>6</v>
      </c>
      <c r="CW3294" t="s">
        <v>120</v>
      </c>
      <c r="CX3294">
        <v>257</v>
      </c>
      <c r="CY3294">
        <v>0</v>
      </c>
      <c r="CZ3294" t="s">
        <v>615</v>
      </c>
      <c r="DA3294" t="s">
        <v>616</v>
      </c>
      <c r="DD3294">
        <v>16362604</v>
      </c>
      <c r="DE3294" t="s">
        <v>123</v>
      </c>
    </row>
    <row r="3295" spans="1:109" x14ac:dyDescent="0.3">
      <c r="A3295" t="str">
        <f>"19:29:51.305"</f>
        <v>19:29:51.305</v>
      </c>
      <c r="B3295" t="s">
        <v>110</v>
      </c>
      <c r="C3295" t="str">
        <f t="shared" si="153"/>
        <v>ffdfd3c0</v>
      </c>
      <c r="D3295" t="s">
        <v>111</v>
      </c>
      <c r="E3295">
        <v>18</v>
      </c>
      <c r="F3295">
        <v>1018</v>
      </c>
      <c r="G3295" t="s">
        <v>112</v>
      </c>
      <c r="J3295" t="s">
        <v>113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R3295" t="s">
        <v>114</v>
      </c>
      <c r="S3295" t="str">
        <f>"19:29:51.063"</f>
        <v>19:29:51.063</v>
      </c>
      <c r="T3295" t="str">
        <f>"19:29:50.961"</f>
        <v>19:29:50.961</v>
      </c>
      <c r="U3295" t="str">
        <f t="shared" si="154"/>
        <v>a1cdbe</v>
      </c>
      <c r="V3295">
        <v>0</v>
      </c>
      <c r="W3295">
        <v>0</v>
      </c>
      <c r="X3295">
        <v>2</v>
      </c>
      <c r="Y3295">
        <v>0</v>
      </c>
      <c r="Z3295">
        <v>0</v>
      </c>
      <c r="AB3295">
        <v>0</v>
      </c>
      <c r="AC3295">
        <v>9</v>
      </c>
      <c r="AD3295">
        <v>3</v>
      </c>
      <c r="AE3295">
        <v>0</v>
      </c>
      <c r="AF3295">
        <v>9</v>
      </c>
      <c r="AG3295" t="s">
        <v>158</v>
      </c>
      <c r="AH3295">
        <v>0</v>
      </c>
      <c r="AI3295">
        <v>3</v>
      </c>
      <c r="AJ3295">
        <v>1</v>
      </c>
      <c r="AK3295">
        <v>0</v>
      </c>
      <c r="AL3295" t="s">
        <v>6197</v>
      </c>
      <c r="AM3295">
        <v>47.003802999999998</v>
      </c>
      <c r="AN3295" t="s">
        <v>6198</v>
      </c>
      <c r="AO3295">
        <v>-123.67612099999999</v>
      </c>
      <c r="AP3295">
        <v>100</v>
      </c>
      <c r="AQ3295">
        <v>2100</v>
      </c>
      <c r="AR3295" t="s">
        <v>118</v>
      </c>
      <c r="AS3295">
        <v>-76</v>
      </c>
      <c r="AT3295">
        <v>12</v>
      </c>
      <c r="AU3295">
        <v>0</v>
      </c>
      <c r="BC3295">
        <v>1200</v>
      </c>
      <c r="BD3295">
        <v>1</v>
      </c>
      <c r="BE3295" t="str">
        <f t="shared" si="155"/>
        <v xml:space="preserve">N215T   </v>
      </c>
      <c r="BF3295">
        <v>1</v>
      </c>
      <c r="BH3295">
        <v>0</v>
      </c>
      <c r="BI3295">
        <v>0</v>
      </c>
      <c r="BJ3295">
        <v>0</v>
      </c>
      <c r="BK3295">
        <v>2500</v>
      </c>
      <c r="BL3295">
        <v>400</v>
      </c>
      <c r="BM3295" t="s">
        <v>119</v>
      </c>
      <c r="BN3295">
        <v>1</v>
      </c>
      <c r="BO3295">
        <v>1</v>
      </c>
      <c r="BP3295">
        <v>1</v>
      </c>
      <c r="BQ3295">
        <v>0</v>
      </c>
      <c r="BT3295">
        <v>0</v>
      </c>
      <c r="BU3295">
        <v>0</v>
      </c>
      <c r="BV3295">
        <v>0</v>
      </c>
      <c r="CC3295" t="str">
        <f>"19:29:51.063"</f>
        <v>19:29:51.063</v>
      </c>
      <c r="CD3295" t="str">
        <f>"062793226"</f>
        <v>062793226</v>
      </c>
      <c r="CQ3295">
        <v>0</v>
      </c>
      <c r="CR3295">
        <v>2</v>
      </c>
      <c r="CS3295">
        <v>0</v>
      </c>
      <c r="CT3295">
        <v>2</v>
      </c>
      <c r="CU3295">
        <v>0</v>
      </c>
      <c r="CV3295">
        <v>6</v>
      </c>
      <c r="CW3295" t="s">
        <v>120</v>
      </c>
      <c r="CX3295">
        <v>257</v>
      </c>
      <c r="CY3295">
        <v>0</v>
      </c>
      <c r="CZ3295" t="s">
        <v>615</v>
      </c>
      <c r="DA3295" t="s">
        <v>616</v>
      </c>
      <c r="DD3295">
        <v>16363170</v>
      </c>
      <c r="DE3295" t="s">
        <v>123</v>
      </c>
    </row>
    <row r="3296" spans="1:109" x14ac:dyDescent="0.3">
      <c r="A3296" t="str">
        <f>"19:29:52.203"</f>
        <v>19:29:52.203</v>
      </c>
      <c r="B3296" t="s">
        <v>110</v>
      </c>
      <c r="C3296" t="str">
        <f t="shared" si="153"/>
        <v>ffdfd3c0</v>
      </c>
      <c r="D3296" t="s">
        <v>111</v>
      </c>
      <c r="E3296">
        <v>18</v>
      </c>
      <c r="F3296">
        <v>1018</v>
      </c>
      <c r="G3296" t="s">
        <v>112</v>
      </c>
      <c r="J3296" t="s">
        <v>113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R3296" t="s">
        <v>114</v>
      </c>
      <c r="S3296" t="str">
        <f>"19:29:51.977"</f>
        <v>19:29:51.977</v>
      </c>
      <c r="T3296" t="str">
        <f>"19:29:51.977"</f>
        <v>19:29:51.977</v>
      </c>
      <c r="U3296" t="str">
        <f t="shared" si="154"/>
        <v>a1cdbe</v>
      </c>
      <c r="V3296">
        <v>0</v>
      </c>
      <c r="W3296">
        <v>0</v>
      </c>
      <c r="X3296">
        <v>2</v>
      </c>
      <c r="Y3296">
        <v>0</v>
      </c>
      <c r="Z3296">
        <v>0</v>
      </c>
      <c r="AB3296">
        <v>0</v>
      </c>
      <c r="AC3296">
        <v>9</v>
      </c>
      <c r="AD3296">
        <v>3</v>
      </c>
      <c r="AE3296">
        <v>0</v>
      </c>
      <c r="AF3296">
        <v>9</v>
      </c>
      <c r="AG3296" t="s">
        <v>158</v>
      </c>
      <c r="AH3296">
        <v>0</v>
      </c>
      <c r="AI3296">
        <v>3</v>
      </c>
      <c r="AJ3296">
        <v>1</v>
      </c>
      <c r="AK3296">
        <v>0</v>
      </c>
      <c r="AL3296" t="s">
        <v>6199</v>
      </c>
      <c r="AM3296">
        <v>47.003867999999997</v>
      </c>
      <c r="AN3296" t="s">
        <v>6200</v>
      </c>
      <c r="AO3296">
        <v>-123.676593</v>
      </c>
      <c r="AP3296">
        <v>100</v>
      </c>
      <c r="AQ3296">
        <v>2100</v>
      </c>
      <c r="AR3296" t="s">
        <v>118</v>
      </c>
      <c r="AS3296">
        <v>-76</v>
      </c>
      <c r="AT3296">
        <v>12</v>
      </c>
      <c r="AU3296">
        <v>0</v>
      </c>
      <c r="BC3296">
        <v>1200</v>
      </c>
      <c r="BD3296">
        <v>1</v>
      </c>
      <c r="BE3296" t="str">
        <f t="shared" si="155"/>
        <v xml:space="preserve">N215T   </v>
      </c>
      <c r="BF3296">
        <v>1</v>
      </c>
      <c r="BH3296">
        <v>0</v>
      </c>
      <c r="BI3296">
        <v>0</v>
      </c>
      <c r="BJ3296">
        <v>0</v>
      </c>
      <c r="BK3296">
        <v>2500</v>
      </c>
      <c r="BL3296">
        <v>400</v>
      </c>
      <c r="BM3296" t="s">
        <v>119</v>
      </c>
      <c r="BN3296">
        <v>1</v>
      </c>
      <c r="BO3296">
        <v>1</v>
      </c>
      <c r="BP3296">
        <v>1</v>
      </c>
      <c r="BQ3296">
        <v>0</v>
      </c>
      <c r="BT3296">
        <v>0</v>
      </c>
      <c r="BU3296">
        <v>0</v>
      </c>
      <c r="BV3296">
        <v>0</v>
      </c>
      <c r="CC3296" t="str">
        <f>"19:29:51.977"</f>
        <v>19:29:51.977</v>
      </c>
      <c r="CD3296" t="str">
        <f>"977703055"</f>
        <v>977703055</v>
      </c>
      <c r="CQ3296">
        <v>0</v>
      </c>
      <c r="CR3296">
        <v>2</v>
      </c>
      <c r="CS3296">
        <v>0</v>
      </c>
      <c r="CT3296">
        <v>2</v>
      </c>
      <c r="CU3296">
        <v>0</v>
      </c>
      <c r="CV3296">
        <v>6</v>
      </c>
      <c r="CW3296" t="s">
        <v>120</v>
      </c>
      <c r="CX3296">
        <v>257</v>
      </c>
      <c r="CY3296">
        <v>0</v>
      </c>
      <c r="CZ3296" t="s">
        <v>615</v>
      </c>
      <c r="DA3296" t="s">
        <v>616</v>
      </c>
      <c r="DD3296">
        <v>16363622</v>
      </c>
      <c r="DE3296" t="s">
        <v>123</v>
      </c>
    </row>
    <row r="3297" spans="1:109" x14ac:dyDescent="0.3">
      <c r="A3297" t="str">
        <f>"19:29:53.359"</f>
        <v>19:29:53.359</v>
      </c>
      <c r="B3297" t="s">
        <v>110</v>
      </c>
      <c r="C3297" t="str">
        <f t="shared" si="153"/>
        <v>ffdfd3c0</v>
      </c>
      <c r="D3297" t="s">
        <v>111</v>
      </c>
      <c r="E3297">
        <v>18</v>
      </c>
      <c r="F3297">
        <v>1018</v>
      </c>
      <c r="G3297" t="s">
        <v>112</v>
      </c>
      <c r="J3297" t="s">
        <v>113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R3297" t="s">
        <v>114</v>
      </c>
      <c r="S3297" t="str">
        <f>"19:29:53.125"</f>
        <v>19:29:53.125</v>
      </c>
      <c r="T3297" t="str">
        <f>"19:29:53.023"</f>
        <v>19:29:53.023</v>
      </c>
      <c r="U3297" t="str">
        <f t="shared" si="154"/>
        <v>a1cdbe</v>
      </c>
      <c r="V3297">
        <v>0</v>
      </c>
      <c r="W3297">
        <v>0</v>
      </c>
      <c r="X3297">
        <v>2</v>
      </c>
      <c r="Y3297">
        <v>0</v>
      </c>
      <c r="Z3297">
        <v>0</v>
      </c>
      <c r="AB3297">
        <v>0</v>
      </c>
      <c r="AC3297">
        <v>9</v>
      </c>
      <c r="AD3297">
        <v>3</v>
      </c>
      <c r="AE3297">
        <v>0</v>
      </c>
      <c r="AF3297">
        <v>9</v>
      </c>
      <c r="AG3297" t="s">
        <v>158</v>
      </c>
      <c r="AH3297">
        <v>0</v>
      </c>
      <c r="AI3297">
        <v>3</v>
      </c>
      <c r="AJ3297">
        <v>1</v>
      </c>
      <c r="AK3297">
        <v>0</v>
      </c>
      <c r="AL3297" t="s">
        <v>6201</v>
      </c>
      <c r="AM3297">
        <v>47.003931999999999</v>
      </c>
      <c r="AN3297" t="s">
        <v>6202</v>
      </c>
      <c r="AO3297">
        <v>-123.677173</v>
      </c>
      <c r="AP3297">
        <v>100</v>
      </c>
      <c r="AQ3297">
        <v>2100</v>
      </c>
      <c r="AR3297" t="s">
        <v>118</v>
      </c>
      <c r="AS3297">
        <v>-76</v>
      </c>
      <c r="AT3297">
        <v>12</v>
      </c>
      <c r="AU3297">
        <v>64</v>
      </c>
      <c r="BC3297">
        <v>1200</v>
      </c>
      <c r="BD3297">
        <v>1</v>
      </c>
      <c r="BE3297" t="str">
        <f t="shared" si="155"/>
        <v xml:space="preserve">N215T   </v>
      </c>
      <c r="BF3297">
        <v>1</v>
      </c>
      <c r="BH3297">
        <v>0</v>
      </c>
      <c r="BI3297">
        <v>0</v>
      </c>
      <c r="BJ3297">
        <v>0</v>
      </c>
      <c r="BK3297">
        <v>2500</v>
      </c>
      <c r="BL3297">
        <v>400</v>
      </c>
      <c r="BM3297" t="s">
        <v>119</v>
      </c>
      <c r="BN3297">
        <v>1</v>
      </c>
      <c r="BO3297">
        <v>1</v>
      </c>
      <c r="BP3297">
        <v>1</v>
      </c>
      <c r="BQ3297">
        <v>0</v>
      </c>
      <c r="BT3297">
        <v>0</v>
      </c>
      <c r="BU3297">
        <v>0</v>
      </c>
      <c r="BV3297">
        <v>0</v>
      </c>
      <c r="CC3297" t="str">
        <f>"19:29:53.133"</f>
        <v>19:29:53.133</v>
      </c>
      <c r="CD3297" t="str">
        <f>"132589242"</f>
        <v>132589242</v>
      </c>
      <c r="CQ3297">
        <v>0</v>
      </c>
      <c r="CR3297">
        <v>2</v>
      </c>
      <c r="CS3297">
        <v>0</v>
      </c>
      <c r="CT3297">
        <v>2</v>
      </c>
      <c r="CU3297">
        <v>0</v>
      </c>
      <c r="CV3297">
        <v>6</v>
      </c>
      <c r="CW3297" t="s">
        <v>120</v>
      </c>
      <c r="CX3297">
        <v>257</v>
      </c>
      <c r="CY3297">
        <v>0</v>
      </c>
      <c r="CZ3297" t="s">
        <v>615</v>
      </c>
      <c r="DA3297" t="s">
        <v>616</v>
      </c>
      <c r="DD3297">
        <v>16364171</v>
      </c>
      <c r="DE3297" t="s">
        <v>123</v>
      </c>
    </row>
    <row r="3298" spans="1:109" x14ac:dyDescent="0.3">
      <c r="A3298" t="str">
        <f>"19:29:54.320"</f>
        <v>19:29:54.320</v>
      </c>
      <c r="B3298" t="s">
        <v>110</v>
      </c>
      <c r="C3298" t="str">
        <f t="shared" si="153"/>
        <v>ffdfd3c0</v>
      </c>
      <c r="D3298" t="s">
        <v>111</v>
      </c>
      <c r="E3298">
        <v>18</v>
      </c>
      <c r="F3298">
        <v>1018</v>
      </c>
      <c r="G3298" t="s">
        <v>112</v>
      </c>
      <c r="J3298" t="s">
        <v>113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R3298" t="s">
        <v>114</v>
      </c>
      <c r="S3298" t="str">
        <f>"19:29:54.102"</f>
        <v>19:29:54.102</v>
      </c>
      <c r="T3298" t="str">
        <f>"19:29:53.898"</f>
        <v>19:29:53.898</v>
      </c>
      <c r="U3298" t="str">
        <f t="shared" si="154"/>
        <v>a1cdbe</v>
      </c>
      <c r="V3298">
        <v>0</v>
      </c>
      <c r="W3298">
        <v>0</v>
      </c>
      <c r="X3298">
        <v>2</v>
      </c>
      <c r="Y3298">
        <v>0</v>
      </c>
      <c r="Z3298">
        <v>0</v>
      </c>
      <c r="AB3298">
        <v>0</v>
      </c>
      <c r="AC3298">
        <v>9</v>
      </c>
      <c r="AD3298">
        <v>3</v>
      </c>
      <c r="AE3298">
        <v>0</v>
      </c>
      <c r="AF3298">
        <v>9</v>
      </c>
      <c r="AG3298" t="s">
        <v>158</v>
      </c>
      <c r="AH3298">
        <v>0</v>
      </c>
      <c r="AI3298">
        <v>3</v>
      </c>
      <c r="AJ3298">
        <v>1</v>
      </c>
      <c r="AK3298">
        <v>0</v>
      </c>
      <c r="AL3298" t="s">
        <v>6203</v>
      </c>
      <c r="AM3298">
        <v>47.003996000000001</v>
      </c>
      <c r="AN3298" t="s">
        <v>6204</v>
      </c>
      <c r="AO3298">
        <v>-123.677688</v>
      </c>
      <c r="AP3298">
        <v>100</v>
      </c>
      <c r="AQ3298">
        <v>2100</v>
      </c>
      <c r="AR3298" t="s">
        <v>118</v>
      </c>
      <c r="AS3298">
        <v>-76</v>
      </c>
      <c r="AT3298">
        <v>12</v>
      </c>
      <c r="AU3298">
        <v>64</v>
      </c>
      <c r="BC3298">
        <v>1200</v>
      </c>
      <c r="BD3298">
        <v>1</v>
      </c>
      <c r="BE3298" t="str">
        <f t="shared" si="155"/>
        <v xml:space="preserve">N215T   </v>
      </c>
      <c r="BF3298">
        <v>1</v>
      </c>
      <c r="BH3298">
        <v>0</v>
      </c>
      <c r="BI3298">
        <v>0</v>
      </c>
      <c r="BJ3298">
        <v>0</v>
      </c>
      <c r="BK3298">
        <v>2500</v>
      </c>
      <c r="BL3298">
        <v>400</v>
      </c>
      <c r="BM3298" t="s">
        <v>119</v>
      </c>
      <c r="BN3298">
        <v>1</v>
      </c>
      <c r="BO3298">
        <v>1</v>
      </c>
      <c r="BP3298">
        <v>1</v>
      </c>
      <c r="BQ3298">
        <v>0</v>
      </c>
      <c r="BT3298">
        <v>0</v>
      </c>
      <c r="BU3298">
        <v>0</v>
      </c>
      <c r="BV3298">
        <v>0</v>
      </c>
      <c r="CC3298" t="str">
        <f>"19:29:54.109"</f>
        <v>19:29:54.109</v>
      </c>
      <c r="CD3298" t="str">
        <f>"107493165"</f>
        <v>107493165</v>
      </c>
      <c r="CQ3298">
        <v>0</v>
      </c>
      <c r="CR3298">
        <v>2</v>
      </c>
      <c r="CS3298">
        <v>0</v>
      </c>
      <c r="CT3298">
        <v>2</v>
      </c>
      <c r="CU3298">
        <v>0</v>
      </c>
      <c r="CV3298">
        <v>6</v>
      </c>
      <c r="CW3298" t="s">
        <v>120</v>
      </c>
      <c r="CX3298">
        <v>257</v>
      </c>
      <c r="CY3298">
        <v>0</v>
      </c>
      <c r="CZ3298" t="s">
        <v>615</v>
      </c>
      <c r="DA3298" t="s">
        <v>616</v>
      </c>
      <c r="DD3298">
        <v>16364633</v>
      </c>
      <c r="DE3298" t="s">
        <v>123</v>
      </c>
    </row>
    <row r="3299" spans="1:109" x14ac:dyDescent="0.3">
      <c r="A3299" t="str">
        <f>"19:29:55.172"</f>
        <v>19:29:55.172</v>
      </c>
      <c r="B3299" t="s">
        <v>110</v>
      </c>
      <c r="C3299" t="str">
        <f t="shared" si="153"/>
        <v>ffdfd3c0</v>
      </c>
      <c r="D3299" t="s">
        <v>111</v>
      </c>
      <c r="E3299">
        <v>18</v>
      </c>
      <c r="F3299">
        <v>1018</v>
      </c>
      <c r="G3299" t="s">
        <v>112</v>
      </c>
      <c r="J3299" t="s">
        <v>113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R3299" t="s">
        <v>114</v>
      </c>
      <c r="S3299" t="str">
        <f>"19:29:54.930"</f>
        <v>19:29:54.930</v>
      </c>
      <c r="T3299" t="str">
        <f>"19:29:54.828"</f>
        <v>19:29:54.828</v>
      </c>
      <c r="U3299" t="str">
        <f t="shared" si="154"/>
        <v>a1cdbe</v>
      </c>
      <c r="V3299">
        <v>0</v>
      </c>
      <c r="W3299">
        <v>0</v>
      </c>
      <c r="X3299">
        <v>2</v>
      </c>
      <c r="Y3299">
        <v>0</v>
      </c>
      <c r="Z3299">
        <v>0</v>
      </c>
      <c r="AB3299">
        <v>0</v>
      </c>
      <c r="AC3299">
        <v>9</v>
      </c>
      <c r="AD3299">
        <v>3</v>
      </c>
      <c r="AE3299">
        <v>0</v>
      </c>
      <c r="AF3299">
        <v>9</v>
      </c>
      <c r="AG3299" t="s">
        <v>158</v>
      </c>
      <c r="AH3299">
        <v>0</v>
      </c>
      <c r="AI3299">
        <v>3</v>
      </c>
      <c r="AJ3299">
        <v>1</v>
      </c>
      <c r="AK3299">
        <v>0</v>
      </c>
      <c r="AL3299" t="s">
        <v>6205</v>
      </c>
      <c r="AM3299">
        <v>47.004038999999999</v>
      </c>
      <c r="AN3299" t="s">
        <v>6206</v>
      </c>
      <c r="AO3299">
        <v>-123.678117</v>
      </c>
      <c r="AP3299">
        <v>100</v>
      </c>
      <c r="AQ3299">
        <v>2100</v>
      </c>
      <c r="AR3299" t="s">
        <v>118</v>
      </c>
      <c r="AS3299">
        <v>-76</v>
      </c>
      <c r="AT3299">
        <v>12</v>
      </c>
      <c r="AU3299">
        <v>64</v>
      </c>
      <c r="BC3299">
        <v>1200</v>
      </c>
      <c r="BD3299">
        <v>1</v>
      </c>
      <c r="BE3299" t="str">
        <f t="shared" si="155"/>
        <v xml:space="preserve">N215T   </v>
      </c>
      <c r="BF3299">
        <v>1</v>
      </c>
      <c r="BH3299">
        <v>0</v>
      </c>
      <c r="BI3299">
        <v>0</v>
      </c>
      <c r="BJ3299">
        <v>0</v>
      </c>
      <c r="BK3299">
        <v>2500</v>
      </c>
      <c r="BL3299">
        <v>400</v>
      </c>
      <c r="BM3299" t="s">
        <v>119</v>
      </c>
      <c r="BN3299">
        <v>1</v>
      </c>
      <c r="BO3299">
        <v>1</v>
      </c>
      <c r="BP3299">
        <v>1</v>
      </c>
      <c r="BQ3299">
        <v>0</v>
      </c>
      <c r="BT3299">
        <v>0</v>
      </c>
      <c r="BU3299">
        <v>0</v>
      </c>
      <c r="BV3299">
        <v>0</v>
      </c>
      <c r="CC3299" t="str">
        <f>"19:29:54.930"</f>
        <v>19:29:54.930</v>
      </c>
      <c r="CD3299" t="str">
        <f>"932411870"</f>
        <v>932411870</v>
      </c>
      <c r="CQ3299">
        <v>0</v>
      </c>
      <c r="CR3299">
        <v>2</v>
      </c>
      <c r="CS3299">
        <v>0</v>
      </c>
      <c r="CT3299">
        <v>2</v>
      </c>
      <c r="CU3299">
        <v>0</v>
      </c>
      <c r="CV3299">
        <v>6</v>
      </c>
      <c r="CW3299" t="s">
        <v>120</v>
      </c>
      <c r="CX3299">
        <v>257</v>
      </c>
      <c r="CY3299">
        <v>0</v>
      </c>
      <c r="CZ3299" t="s">
        <v>615</v>
      </c>
      <c r="DA3299" t="s">
        <v>616</v>
      </c>
      <c r="DD3299">
        <v>16365050</v>
      </c>
      <c r="DE3299" t="s">
        <v>123</v>
      </c>
    </row>
    <row r="3300" spans="1:109" x14ac:dyDescent="0.3">
      <c r="A3300" t="str">
        <f>"19:29:56.180"</f>
        <v>19:29:56.180</v>
      </c>
      <c r="B3300" t="s">
        <v>110</v>
      </c>
      <c r="C3300" t="str">
        <f t="shared" si="153"/>
        <v>ffdfd3c0</v>
      </c>
      <c r="D3300" t="s">
        <v>111</v>
      </c>
      <c r="E3300">
        <v>18</v>
      </c>
      <c r="F3300">
        <v>1018</v>
      </c>
      <c r="G3300" t="s">
        <v>112</v>
      </c>
      <c r="J3300" t="s">
        <v>113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R3300" t="s">
        <v>114</v>
      </c>
      <c r="S3300" t="str">
        <f>"19:29:55.977"</f>
        <v>19:29:55.977</v>
      </c>
      <c r="T3300" t="str">
        <f>"19:29:55.773"</f>
        <v>19:29:55.773</v>
      </c>
      <c r="U3300" t="str">
        <f t="shared" si="154"/>
        <v>a1cdbe</v>
      </c>
      <c r="V3300">
        <v>0</v>
      </c>
      <c r="W3300">
        <v>0</v>
      </c>
      <c r="X3300">
        <v>2</v>
      </c>
      <c r="Y3300">
        <v>0</v>
      </c>
      <c r="Z3300">
        <v>0</v>
      </c>
      <c r="AB3300">
        <v>0</v>
      </c>
      <c r="AC3300">
        <v>9</v>
      </c>
      <c r="AD3300">
        <v>3</v>
      </c>
      <c r="AE3300">
        <v>0</v>
      </c>
      <c r="AF3300">
        <v>9</v>
      </c>
      <c r="AG3300" t="s">
        <v>158</v>
      </c>
      <c r="AH3300">
        <v>0</v>
      </c>
      <c r="AI3300">
        <v>3</v>
      </c>
      <c r="AJ3300">
        <v>1</v>
      </c>
      <c r="AK3300">
        <v>0</v>
      </c>
      <c r="AL3300" t="s">
        <v>6207</v>
      </c>
      <c r="AM3300">
        <v>47.004081999999997</v>
      </c>
      <c r="AN3300" t="s">
        <v>6208</v>
      </c>
      <c r="AO3300">
        <v>-123.678653</v>
      </c>
      <c r="AP3300">
        <v>100</v>
      </c>
      <c r="AQ3300">
        <v>2100</v>
      </c>
      <c r="AR3300" t="s">
        <v>118</v>
      </c>
      <c r="AS3300">
        <v>-76</v>
      </c>
      <c r="AT3300">
        <v>12</v>
      </c>
      <c r="AU3300">
        <v>64</v>
      </c>
      <c r="BC3300">
        <v>1200</v>
      </c>
      <c r="BD3300">
        <v>1</v>
      </c>
      <c r="BE3300" t="str">
        <f t="shared" si="155"/>
        <v xml:space="preserve">N215T   </v>
      </c>
      <c r="BF3300">
        <v>1</v>
      </c>
      <c r="BH3300">
        <v>0</v>
      </c>
      <c r="BI3300">
        <v>0</v>
      </c>
      <c r="BJ3300">
        <v>0</v>
      </c>
      <c r="BK3300">
        <v>2500</v>
      </c>
      <c r="BL3300">
        <v>400</v>
      </c>
      <c r="BM3300" t="s">
        <v>119</v>
      </c>
      <c r="BN3300">
        <v>1</v>
      </c>
      <c r="BO3300">
        <v>1</v>
      </c>
      <c r="BP3300">
        <v>1</v>
      </c>
      <c r="BQ3300">
        <v>0</v>
      </c>
      <c r="BT3300">
        <v>0</v>
      </c>
      <c r="BU3300">
        <v>0</v>
      </c>
      <c r="BV3300">
        <v>0</v>
      </c>
      <c r="CC3300" t="str">
        <f>"19:29:55.984"</f>
        <v>19:29:55.984</v>
      </c>
      <c r="CD3300" t="str">
        <f>"982308433"</f>
        <v>982308433</v>
      </c>
      <c r="CQ3300">
        <v>0</v>
      </c>
      <c r="CR3300">
        <v>2</v>
      </c>
      <c r="CS3300">
        <v>0</v>
      </c>
      <c r="CT3300">
        <v>2</v>
      </c>
      <c r="CU3300">
        <v>0</v>
      </c>
      <c r="CV3300">
        <v>6</v>
      </c>
      <c r="CW3300" t="s">
        <v>120</v>
      </c>
      <c r="CX3300">
        <v>257</v>
      </c>
      <c r="CY3300">
        <v>0</v>
      </c>
      <c r="CZ3300" t="s">
        <v>615</v>
      </c>
      <c r="DA3300" t="s">
        <v>616</v>
      </c>
      <c r="DD3300">
        <v>16365604</v>
      </c>
      <c r="DE3300" t="s">
        <v>123</v>
      </c>
    </row>
    <row r="3301" spans="1:109" x14ac:dyDescent="0.3">
      <c r="A3301" t="str">
        <f>"19:29:57.180"</f>
        <v>19:29:57.180</v>
      </c>
      <c r="B3301" t="s">
        <v>110</v>
      </c>
      <c r="C3301" t="str">
        <f t="shared" si="153"/>
        <v>ffdfd3c0</v>
      </c>
      <c r="D3301" t="s">
        <v>111</v>
      </c>
      <c r="E3301">
        <v>18</v>
      </c>
      <c r="F3301">
        <v>1018</v>
      </c>
      <c r="G3301" t="s">
        <v>112</v>
      </c>
      <c r="J3301" t="s">
        <v>113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R3301" t="s">
        <v>114</v>
      </c>
      <c r="S3301" t="str">
        <f>"19:29:56.938"</f>
        <v>19:29:56.938</v>
      </c>
      <c r="T3301" t="str">
        <f>"19:29:56.438"</f>
        <v>19:29:56.438</v>
      </c>
      <c r="U3301" t="str">
        <f t="shared" si="154"/>
        <v>a1cdbe</v>
      </c>
      <c r="V3301">
        <v>0</v>
      </c>
      <c r="W3301">
        <v>0</v>
      </c>
      <c r="X3301">
        <v>2</v>
      </c>
      <c r="Y3301">
        <v>0</v>
      </c>
      <c r="Z3301">
        <v>0</v>
      </c>
      <c r="AB3301">
        <v>0</v>
      </c>
      <c r="AC3301">
        <v>9</v>
      </c>
      <c r="AD3301">
        <v>3</v>
      </c>
      <c r="AE3301">
        <v>0</v>
      </c>
      <c r="AF3301">
        <v>9</v>
      </c>
      <c r="AG3301" t="s">
        <v>158</v>
      </c>
      <c r="AH3301">
        <v>0</v>
      </c>
      <c r="AI3301">
        <v>3</v>
      </c>
      <c r="AJ3301">
        <v>1</v>
      </c>
      <c r="AK3301">
        <v>0</v>
      </c>
      <c r="AL3301" t="s">
        <v>797</v>
      </c>
      <c r="AM3301">
        <v>47.004125000000002</v>
      </c>
      <c r="AN3301" t="s">
        <v>6209</v>
      </c>
      <c r="AO3301">
        <v>-123.679147</v>
      </c>
      <c r="AP3301">
        <v>100</v>
      </c>
      <c r="AQ3301">
        <v>2100</v>
      </c>
      <c r="AR3301" t="s">
        <v>118</v>
      </c>
      <c r="AS3301">
        <v>-76</v>
      </c>
      <c r="AT3301">
        <v>13</v>
      </c>
      <c r="AU3301">
        <v>64</v>
      </c>
      <c r="BC3301">
        <v>1200</v>
      </c>
      <c r="BD3301">
        <v>1</v>
      </c>
      <c r="BE3301" t="str">
        <f t="shared" si="155"/>
        <v xml:space="preserve">N215T   </v>
      </c>
      <c r="BF3301">
        <v>1</v>
      </c>
      <c r="BH3301">
        <v>0</v>
      </c>
      <c r="BI3301">
        <v>0</v>
      </c>
      <c r="BJ3301">
        <v>0</v>
      </c>
      <c r="BK3301">
        <v>2500</v>
      </c>
      <c r="BL3301">
        <v>400</v>
      </c>
      <c r="BM3301" t="s">
        <v>119</v>
      </c>
      <c r="BN3301">
        <v>1</v>
      </c>
      <c r="BO3301">
        <v>1</v>
      </c>
      <c r="BP3301">
        <v>1</v>
      </c>
      <c r="BQ3301">
        <v>0</v>
      </c>
      <c r="BT3301">
        <v>0</v>
      </c>
      <c r="BU3301">
        <v>0</v>
      </c>
      <c r="BV3301">
        <v>0</v>
      </c>
      <c r="CC3301" t="str">
        <f>"19:29:56.945"</f>
        <v>19:29:56.945</v>
      </c>
      <c r="CD3301" t="str">
        <f>"942213820"</f>
        <v>942213820</v>
      </c>
      <c r="CQ3301">
        <v>0</v>
      </c>
      <c r="CR3301">
        <v>2</v>
      </c>
      <c r="CS3301">
        <v>0</v>
      </c>
      <c r="CT3301">
        <v>2</v>
      </c>
      <c r="CU3301">
        <v>0</v>
      </c>
      <c r="CV3301">
        <v>6</v>
      </c>
      <c r="CW3301" t="s">
        <v>120</v>
      </c>
      <c r="CX3301">
        <v>257</v>
      </c>
      <c r="CY3301">
        <v>0</v>
      </c>
      <c r="CZ3301" t="s">
        <v>615</v>
      </c>
      <c r="DA3301" t="s">
        <v>616</v>
      </c>
      <c r="DD3301">
        <v>16366094</v>
      </c>
      <c r="DE3301" t="s">
        <v>123</v>
      </c>
    </row>
    <row r="3302" spans="1:109" x14ac:dyDescent="0.3">
      <c r="A3302" t="str">
        <f>"19:29:58.234"</f>
        <v>19:29:58.234</v>
      </c>
      <c r="B3302" t="s">
        <v>110</v>
      </c>
      <c r="C3302" t="str">
        <f t="shared" si="153"/>
        <v>ffdfd3c0</v>
      </c>
      <c r="D3302" t="s">
        <v>111</v>
      </c>
      <c r="E3302">
        <v>18</v>
      </c>
      <c r="F3302">
        <v>1018</v>
      </c>
      <c r="G3302" t="s">
        <v>112</v>
      </c>
      <c r="J3302" t="s">
        <v>113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R3302" t="s">
        <v>114</v>
      </c>
      <c r="S3302" t="str">
        <f>"19:29:58.016"</f>
        <v>19:29:58.016</v>
      </c>
      <c r="T3302" t="str">
        <f>"19:29:57.516"</f>
        <v>19:29:57.516</v>
      </c>
      <c r="U3302" t="str">
        <f t="shared" si="154"/>
        <v>a1cdbe</v>
      </c>
      <c r="V3302">
        <v>0</v>
      </c>
      <c r="W3302">
        <v>0</v>
      </c>
      <c r="X3302">
        <v>2</v>
      </c>
      <c r="Y3302">
        <v>0</v>
      </c>
      <c r="Z3302">
        <v>0</v>
      </c>
      <c r="AB3302">
        <v>0</v>
      </c>
      <c r="AC3302">
        <v>9</v>
      </c>
      <c r="AD3302">
        <v>3</v>
      </c>
      <c r="AE3302">
        <v>0</v>
      </c>
      <c r="AF3302">
        <v>9</v>
      </c>
      <c r="AG3302" t="s">
        <v>158</v>
      </c>
      <c r="AH3302">
        <v>0</v>
      </c>
      <c r="AI3302">
        <v>3</v>
      </c>
      <c r="AJ3302">
        <v>1</v>
      </c>
      <c r="AK3302">
        <v>0</v>
      </c>
      <c r="AL3302" t="s">
        <v>6210</v>
      </c>
      <c r="AM3302">
        <v>47.004232000000002</v>
      </c>
      <c r="AN3302" t="s">
        <v>6211</v>
      </c>
      <c r="AO3302">
        <v>-123.679683</v>
      </c>
      <c r="AP3302">
        <v>100</v>
      </c>
      <c r="AQ3302">
        <v>2100</v>
      </c>
      <c r="AR3302" t="s">
        <v>118</v>
      </c>
      <c r="AS3302">
        <v>-76</v>
      </c>
      <c r="AT3302">
        <v>13</v>
      </c>
      <c r="AU3302">
        <v>64</v>
      </c>
      <c r="BC3302">
        <v>1200</v>
      </c>
      <c r="BD3302">
        <v>1</v>
      </c>
      <c r="BE3302" t="str">
        <f t="shared" si="155"/>
        <v xml:space="preserve">N215T   </v>
      </c>
      <c r="BF3302">
        <v>1</v>
      </c>
      <c r="BH3302">
        <v>0</v>
      </c>
      <c r="BI3302">
        <v>0</v>
      </c>
      <c r="BJ3302">
        <v>0</v>
      </c>
      <c r="BK3302">
        <v>2500</v>
      </c>
      <c r="BL3302">
        <v>400</v>
      </c>
      <c r="BM3302" t="s">
        <v>119</v>
      </c>
      <c r="BN3302">
        <v>1</v>
      </c>
      <c r="BO3302">
        <v>1</v>
      </c>
      <c r="BP3302">
        <v>1</v>
      </c>
      <c r="BQ3302">
        <v>0</v>
      </c>
      <c r="BT3302">
        <v>0</v>
      </c>
      <c r="BU3302">
        <v>0</v>
      </c>
      <c r="BV3302">
        <v>0</v>
      </c>
      <c r="CC3302" t="str">
        <f>"19:29:58.023"</f>
        <v>19:29:58.023</v>
      </c>
      <c r="CD3302" t="str">
        <f>"022107398"</f>
        <v>022107398</v>
      </c>
      <c r="CQ3302">
        <v>0</v>
      </c>
      <c r="CR3302">
        <v>2</v>
      </c>
      <c r="CS3302">
        <v>0</v>
      </c>
      <c r="CT3302">
        <v>2</v>
      </c>
      <c r="CU3302">
        <v>0</v>
      </c>
      <c r="CV3302">
        <v>6</v>
      </c>
      <c r="CW3302" t="s">
        <v>120</v>
      </c>
      <c r="CX3302">
        <v>257</v>
      </c>
      <c r="CY3302">
        <v>0</v>
      </c>
      <c r="CZ3302" t="s">
        <v>615</v>
      </c>
      <c r="DA3302" t="s">
        <v>616</v>
      </c>
      <c r="DD3302">
        <v>16366635</v>
      </c>
      <c r="DE3302" t="s">
        <v>123</v>
      </c>
    </row>
    <row r="3303" spans="1:109" x14ac:dyDescent="0.3">
      <c r="A3303" t="str">
        <f>"19:29:59.297"</f>
        <v>19:29:59.297</v>
      </c>
      <c r="B3303" t="s">
        <v>110</v>
      </c>
      <c r="C3303" t="str">
        <f t="shared" si="153"/>
        <v>ffdfd3c0</v>
      </c>
      <c r="D3303" t="s">
        <v>111</v>
      </c>
      <c r="E3303">
        <v>18</v>
      </c>
      <c r="F3303">
        <v>1018</v>
      </c>
      <c r="G3303" t="s">
        <v>112</v>
      </c>
      <c r="J3303" t="s">
        <v>113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R3303" t="s">
        <v>114</v>
      </c>
      <c r="S3303" t="str">
        <f>"19:29:59.070"</f>
        <v>19:29:59.070</v>
      </c>
      <c r="T3303" t="str">
        <f>"19:29:58.969"</f>
        <v>19:29:58.969</v>
      </c>
      <c r="U3303" t="str">
        <f t="shared" si="154"/>
        <v>a1cdbe</v>
      </c>
      <c r="V3303">
        <v>0</v>
      </c>
      <c r="W3303">
        <v>0</v>
      </c>
      <c r="X3303">
        <v>2</v>
      </c>
      <c r="Y3303">
        <v>0</v>
      </c>
      <c r="Z3303">
        <v>0</v>
      </c>
      <c r="AB3303">
        <v>0</v>
      </c>
      <c r="AC3303">
        <v>9</v>
      </c>
      <c r="AD3303">
        <v>3</v>
      </c>
      <c r="AE3303">
        <v>0</v>
      </c>
      <c r="AF3303">
        <v>9</v>
      </c>
      <c r="AG3303" t="s">
        <v>158</v>
      </c>
      <c r="AH3303">
        <v>0</v>
      </c>
      <c r="AI3303">
        <v>3</v>
      </c>
      <c r="AJ3303">
        <v>1</v>
      </c>
      <c r="AK3303">
        <v>0</v>
      </c>
      <c r="AL3303" t="s">
        <v>6212</v>
      </c>
      <c r="AM3303">
        <v>47.004254000000003</v>
      </c>
      <c r="AN3303" t="s">
        <v>6213</v>
      </c>
      <c r="AO3303">
        <v>-123.680284</v>
      </c>
      <c r="AP3303">
        <v>100</v>
      </c>
      <c r="AQ3303">
        <v>2100</v>
      </c>
      <c r="AR3303" t="s">
        <v>118</v>
      </c>
      <c r="AS3303">
        <v>-76</v>
      </c>
      <c r="AT3303">
        <v>13</v>
      </c>
      <c r="AU3303">
        <v>64</v>
      </c>
      <c r="BC3303">
        <v>1200</v>
      </c>
      <c r="BD3303">
        <v>1</v>
      </c>
      <c r="BE3303" t="str">
        <f t="shared" si="155"/>
        <v xml:space="preserve">N215T   </v>
      </c>
      <c r="BF3303">
        <v>1</v>
      </c>
      <c r="BH3303">
        <v>0</v>
      </c>
      <c r="BI3303">
        <v>0</v>
      </c>
      <c r="BJ3303">
        <v>0</v>
      </c>
      <c r="BK3303">
        <v>2500</v>
      </c>
      <c r="BL3303">
        <v>400</v>
      </c>
      <c r="BM3303" t="s">
        <v>119</v>
      </c>
      <c r="BN3303">
        <v>1</v>
      </c>
      <c r="BO3303">
        <v>1</v>
      </c>
      <c r="BP3303">
        <v>1</v>
      </c>
      <c r="BQ3303">
        <v>0</v>
      </c>
      <c r="BT3303">
        <v>0</v>
      </c>
      <c r="BU3303">
        <v>0</v>
      </c>
      <c r="BV3303">
        <v>0</v>
      </c>
      <c r="CC3303" t="str">
        <f>"19:29:59.070"</f>
        <v>19:29:59.070</v>
      </c>
      <c r="CD3303" t="str">
        <f>"072003923"</f>
        <v>072003923</v>
      </c>
      <c r="CQ3303">
        <v>0</v>
      </c>
      <c r="CR3303">
        <v>2</v>
      </c>
      <c r="CS3303">
        <v>0</v>
      </c>
      <c r="CT3303">
        <v>2</v>
      </c>
      <c r="CU3303">
        <v>0</v>
      </c>
      <c r="CV3303">
        <v>6</v>
      </c>
      <c r="CW3303" t="s">
        <v>120</v>
      </c>
      <c r="CX3303">
        <v>257</v>
      </c>
      <c r="CY3303">
        <v>0</v>
      </c>
      <c r="CZ3303" t="s">
        <v>615</v>
      </c>
      <c r="DA3303" t="s">
        <v>616</v>
      </c>
      <c r="DD3303">
        <v>16367154</v>
      </c>
      <c r="DE3303" t="s">
        <v>123</v>
      </c>
    </row>
    <row r="3304" spans="1:109" x14ac:dyDescent="0.3">
      <c r="A3304" t="str">
        <f>"19:30:00.297"</f>
        <v>19:30:00.297</v>
      </c>
      <c r="B3304" t="s">
        <v>110</v>
      </c>
      <c r="C3304" t="str">
        <f t="shared" si="153"/>
        <v>ffdfd3c0</v>
      </c>
      <c r="D3304" t="s">
        <v>111</v>
      </c>
      <c r="E3304">
        <v>18</v>
      </c>
      <c r="F3304">
        <v>1018</v>
      </c>
      <c r="G3304" t="s">
        <v>112</v>
      </c>
      <c r="J3304" t="s">
        <v>113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R3304" t="s">
        <v>114</v>
      </c>
      <c r="S3304" t="str">
        <f>"19:30:00.102"</f>
        <v>19:30:00.102</v>
      </c>
      <c r="T3304" t="str">
        <f>"19:30:00.000"</f>
        <v>19:30:00.000</v>
      </c>
      <c r="U3304" t="str">
        <f t="shared" si="154"/>
        <v>a1cdbe</v>
      </c>
      <c r="V3304">
        <v>0</v>
      </c>
      <c r="W3304">
        <v>0</v>
      </c>
      <c r="X3304">
        <v>2</v>
      </c>
      <c r="Y3304">
        <v>0</v>
      </c>
      <c r="Z3304">
        <v>0</v>
      </c>
      <c r="AB3304">
        <v>0</v>
      </c>
      <c r="AC3304">
        <v>9</v>
      </c>
      <c r="AD3304">
        <v>3</v>
      </c>
      <c r="AE3304">
        <v>0</v>
      </c>
      <c r="AF3304">
        <v>9</v>
      </c>
      <c r="AG3304" t="s">
        <v>158</v>
      </c>
      <c r="AH3304">
        <v>0</v>
      </c>
      <c r="AI3304">
        <v>3</v>
      </c>
      <c r="AJ3304">
        <v>1</v>
      </c>
      <c r="AK3304">
        <v>0</v>
      </c>
      <c r="AL3304" t="s">
        <v>6214</v>
      </c>
      <c r="AM3304">
        <v>47.004317999999998</v>
      </c>
      <c r="AN3304" t="s">
        <v>6215</v>
      </c>
      <c r="AO3304">
        <v>-123.680778</v>
      </c>
      <c r="AP3304">
        <v>100</v>
      </c>
      <c r="AQ3304">
        <v>2100</v>
      </c>
      <c r="AR3304" t="s">
        <v>118</v>
      </c>
      <c r="AS3304">
        <v>-76</v>
      </c>
      <c r="AT3304">
        <v>13</v>
      </c>
      <c r="AU3304">
        <v>0</v>
      </c>
      <c r="BC3304">
        <v>1200</v>
      </c>
      <c r="BD3304">
        <v>1</v>
      </c>
      <c r="BE3304" t="str">
        <f t="shared" si="155"/>
        <v xml:space="preserve">N215T   </v>
      </c>
      <c r="BF3304">
        <v>1</v>
      </c>
      <c r="BH3304">
        <v>0</v>
      </c>
      <c r="BI3304">
        <v>0</v>
      </c>
      <c r="BJ3304">
        <v>0</v>
      </c>
      <c r="BK3304">
        <v>2500</v>
      </c>
      <c r="BL3304">
        <v>400</v>
      </c>
      <c r="BM3304" t="s">
        <v>119</v>
      </c>
      <c r="BN3304">
        <v>1</v>
      </c>
      <c r="BO3304">
        <v>1</v>
      </c>
      <c r="BP3304">
        <v>1</v>
      </c>
      <c r="BQ3304">
        <v>0</v>
      </c>
      <c r="BT3304">
        <v>0</v>
      </c>
      <c r="BU3304">
        <v>0</v>
      </c>
      <c r="BV3304">
        <v>0</v>
      </c>
      <c r="CC3304" t="str">
        <f>"19:30:00.109"</f>
        <v>19:30:00.109</v>
      </c>
      <c r="CD3304" t="str">
        <f>"106901931"</f>
        <v>106901931</v>
      </c>
      <c r="CQ3304">
        <v>0</v>
      </c>
      <c r="CR3304">
        <v>2</v>
      </c>
      <c r="CS3304">
        <v>0</v>
      </c>
      <c r="CT3304">
        <v>2</v>
      </c>
      <c r="CU3304">
        <v>0</v>
      </c>
      <c r="CV3304">
        <v>6</v>
      </c>
      <c r="CW3304" t="s">
        <v>120</v>
      </c>
      <c r="CX3304">
        <v>257</v>
      </c>
      <c r="CY3304">
        <v>0</v>
      </c>
      <c r="CZ3304" t="s">
        <v>615</v>
      </c>
      <c r="DA3304" t="s">
        <v>616</v>
      </c>
      <c r="DD3304">
        <v>16367686</v>
      </c>
      <c r="DE3304" t="s">
        <v>123</v>
      </c>
    </row>
    <row r="3305" spans="1:109" x14ac:dyDescent="0.3">
      <c r="A3305" t="str">
        <f>"19:30:01.406"</f>
        <v>19:30:01.406</v>
      </c>
      <c r="B3305" t="s">
        <v>110</v>
      </c>
      <c r="C3305" t="str">
        <f t="shared" si="153"/>
        <v>ffdfd3c0</v>
      </c>
      <c r="D3305" t="s">
        <v>111</v>
      </c>
      <c r="E3305">
        <v>18</v>
      </c>
      <c r="F3305">
        <v>1018</v>
      </c>
      <c r="G3305" t="s">
        <v>112</v>
      </c>
      <c r="J3305" t="s">
        <v>113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R3305" t="s">
        <v>114</v>
      </c>
      <c r="S3305" t="str">
        <f>"19:30:01.156"</f>
        <v>19:30:01.156</v>
      </c>
      <c r="T3305" t="str">
        <f>"19:30:01.055"</f>
        <v>19:30:01.055</v>
      </c>
      <c r="U3305" t="str">
        <f t="shared" si="154"/>
        <v>a1cdbe</v>
      </c>
      <c r="V3305">
        <v>0</v>
      </c>
      <c r="W3305">
        <v>0</v>
      </c>
      <c r="X3305">
        <v>2</v>
      </c>
      <c r="Y3305">
        <v>0</v>
      </c>
      <c r="Z3305">
        <v>0</v>
      </c>
      <c r="AB3305">
        <v>0</v>
      </c>
      <c r="AC3305">
        <v>9</v>
      </c>
      <c r="AD3305">
        <v>3</v>
      </c>
      <c r="AE3305">
        <v>0</v>
      </c>
      <c r="AF3305">
        <v>9</v>
      </c>
      <c r="AG3305" t="s">
        <v>158</v>
      </c>
      <c r="AH3305">
        <v>0</v>
      </c>
      <c r="AI3305">
        <v>3</v>
      </c>
      <c r="AJ3305">
        <v>1</v>
      </c>
      <c r="AK3305">
        <v>0</v>
      </c>
      <c r="AL3305" t="s">
        <v>6216</v>
      </c>
      <c r="AM3305">
        <v>47.004404000000001</v>
      </c>
      <c r="AN3305" t="s">
        <v>6217</v>
      </c>
      <c r="AO3305">
        <v>-123.681335</v>
      </c>
      <c r="AP3305">
        <v>100</v>
      </c>
      <c r="AQ3305">
        <v>2100</v>
      </c>
      <c r="AR3305" t="s">
        <v>118</v>
      </c>
      <c r="AS3305">
        <v>-76</v>
      </c>
      <c r="AT3305">
        <v>13</v>
      </c>
      <c r="AU3305">
        <v>-64</v>
      </c>
      <c r="BC3305">
        <v>1200</v>
      </c>
      <c r="BD3305">
        <v>1</v>
      </c>
      <c r="BE3305" t="str">
        <f t="shared" si="155"/>
        <v xml:space="preserve">N215T   </v>
      </c>
      <c r="BF3305">
        <v>1</v>
      </c>
      <c r="BH3305">
        <v>0</v>
      </c>
      <c r="BI3305">
        <v>0</v>
      </c>
      <c r="BJ3305">
        <v>0</v>
      </c>
      <c r="BK3305">
        <v>2500</v>
      </c>
      <c r="BL3305">
        <v>400</v>
      </c>
      <c r="BM3305" t="s">
        <v>119</v>
      </c>
      <c r="BN3305">
        <v>1</v>
      </c>
      <c r="BO3305">
        <v>1</v>
      </c>
      <c r="BP3305">
        <v>1</v>
      </c>
      <c r="BQ3305">
        <v>0</v>
      </c>
      <c r="BT3305">
        <v>0</v>
      </c>
      <c r="BU3305">
        <v>0</v>
      </c>
      <c r="BV3305">
        <v>0</v>
      </c>
      <c r="CC3305" t="str">
        <f>"19:30:01.156"</f>
        <v>19:30:01.156</v>
      </c>
      <c r="CD3305" t="str">
        <f>"156798471"</f>
        <v>156798471</v>
      </c>
      <c r="CQ3305">
        <v>0</v>
      </c>
      <c r="CR3305">
        <v>2</v>
      </c>
      <c r="CS3305">
        <v>0</v>
      </c>
      <c r="CT3305">
        <v>2</v>
      </c>
      <c r="CU3305">
        <v>0</v>
      </c>
      <c r="CV3305">
        <v>6</v>
      </c>
      <c r="CW3305" t="s">
        <v>120</v>
      </c>
      <c r="CX3305">
        <v>257</v>
      </c>
      <c r="CY3305">
        <v>0</v>
      </c>
      <c r="CZ3305" t="s">
        <v>615</v>
      </c>
      <c r="DA3305" t="s">
        <v>616</v>
      </c>
      <c r="DD3305">
        <v>16368239</v>
      </c>
      <c r="DE3305" t="s">
        <v>123</v>
      </c>
    </row>
    <row r="3306" spans="1:109" x14ac:dyDescent="0.3">
      <c r="A3306" t="str">
        <f>"19:30:02.258"</f>
        <v>19:30:02.258</v>
      </c>
      <c r="B3306" t="s">
        <v>110</v>
      </c>
      <c r="C3306" t="str">
        <f t="shared" si="153"/>
        <v>ffdfd3c0</v>
      </c>
      <c r="D3306" t="s">
        <v>111</v>
      </c>
      <c r="E3306">
        <v>18</v>
      </c>
      <c r="F3306">
        <v>1018</v>
      </c>
      <c r="G3306" t="s">
        <v>112</v>
      </c>
      <c r="J3306" t="s">
        <v>113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R3306" t="s">
        <v>114</v>
      </c>
      <c r="S3306" t="str">
        <f>"19:30:01.977"</f>
        <v>19:30:01.977</v>
      </c>
      <c r="T3306" t="str">
        <f>"19:30:01.875"</f>
        <v>19:30:01.875</v>
      </c>
      <c r="U3306" t="str">
        <f t="shared" si="154"/>
        <v>a1cdbe</v>
      </c>
      <c r="V3306">
        <v>0</v>
      </c>
      <c r="W3306">
        <v>0</v>
      </c>
      <c r="X3306">
        <v>2</v>
      </c>
      <c r="Y3306">
        <v>0</v>
      </c>
      <c r="Z3306">
        <v>0</v>
      </c>
      <c r="AB3306">
        <v>0</v>
      </c>
      <c r="AC3306">
        <v>9</v>
      </c>
      <c r="AD3306">
        <v>3</v>
      </c>
      <c r="AE3306">
        <v>0</v>
      </c>
      <c r="AF3306">
        <v>9</v>
      </c>
      <c r="AG3306" t="s">
        <v>158</v>
      </c>
      <c r="AH3306">
        <v>0</v>
      </c>
      <c r="AI3306">
        <v>3</v>
      </c>
      <c r="AJ3306">
        <v>1</v>
      </c>
      <c r="AK3306">
        <v>0</v>
      </c>
      <c r="AL3306" t="s">
        <v>6218</v>
      </c>
      <c r="AM3306">
        <v>47.004446999999999</v>
      </c>
      <c r="AN3306" t="s">
        <v>6219</v>
      </c>
      <c r="AO3306">
        <v>-123.681743</v>
      </c>
      <c r="AP3306">
        <v>100</v>
      </c>
      <c r="AQ3306">
        <v>2100</v>
      </c>
      <c r="AR3306" t="s">
        <v>118</v>
      </c>
      <c r="AS3306">
        <v>-76</v>
      </c>
      <c r="AT3306">
        <v>13</v>
      </c>
      <c r="AU3306">
        <v>0</v>
      </c>
      <c r="BC3306">
        <v>1200</v>
      </c>
      <c r="BD3306">
        <v>1</v>
      </c>
      <c r="BE3306" t="str">
        <f t="shared" si="155"/>
        <v xml:space="preserve">N215T   </v>
      </c>
      <c r="BF3306">
        <v>1</v>
      </c>
      <c r="BH3306">
        <v>0</v>
      </c>
      <c r="BI3306">
        <v>0</v>
      </c>
      <c r="BJ3306">
        <v>0</v>
      </c>
      <c r="BK3306">
        <v>2500</v>
      </c>
      <c r="BL3306">
        <v>400</v>
      </c>
      <c r="BM3306" t="s">
        <v>119</v>
      </c>
      <c r="BN3306">
        <v>1</v>
      </c>
      <c r="BO3306">
        <v>1</v>
      </c>
      <c r="BP3306">
        <v>1</v>
      </c>
      <c r="BQ3306">
        <v>0</v>
      </c>
      <c r="BT3306">
        <v>0</v>
      </c>
      <c r="BU3306">
        <v>0</v>
      </c>
      <c r="BV3306">
        <v>0</v>
      </c>
      <c r="CC3306" t="str">
        <f>"19:30:01.984"</f>
        <v>19:30:01.984</v>
      </c>
      <c r="CD3306" t="str">
        <f>"981717175"</f>
        <v>981717175</v>
      </c>
      <c r="CQ3306">
        <v>0</v>
      </c>
      <c r="CR3306">
        <v>2</v>
      </c>
      <c r="CS3306">
        <v>0</v>
      </c>
      <c r="CT3306">
        <v>2</v>
      </c>
      <c r="CU3306">
        <v>0</v>
      </c>
      <c r="CV3306">
        <v>6</v>
      </c>
      <c r="CW3306" t="s">
        <v>120</v>
      </c>
      <c r="CX3306">
        <v>257</v>
      </c>
      <c r="CY3306">
        <v>0</v>
      </c>
      <c r="CZ3306" t="s">
        <v>615</v>
      </c>
      <c r="DA3306" t="s">
        <v>616</v>
      </c>
      <c r="DD3306">
        <v>16368611</v>
      </c>
      <c r="DE3306" t="s">
        <v>123</v>
      </c>
    </row>
    <row r="3307" spans="1:109" x14ac:dyDescent="0.3">
      <c r="A3307" t="str">
        <f>"19:30:03.117"</f>
        <v>19:30:03.117</v>
      </c>
      <c r="B3307" t="s">
        <v>110</v>
      </c>
      <c r="C3307" t="str">
        <f t="shared" si="153"/>
        <v>ffdfd3c0</v>
      </c>
      <c r="D3307" t="s">
        <v>111</v>
      </c>
      <c r="E3307">
        <v>18</v>
      </c>
      <c r="F3307">
        <v>1018</v>
      </c>
      <c r="G3307" t="s">
        <v>112</v>
      </c>
      <c r="J3307" t="s">
        <v>113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R3307" t="s">
        <v>114</v>
      </c>
      <c r="S3307" t="str">
        <f>"19:30:02.875"</f>
        <v>19:30:02.875</v>
      </c>
      <c r="T3307" t="str">
        <f>"19:30:02.875"</f>
        <v>19:30:02.875</v>
      </c>
      <c r="U3307" t="str">
        <f t="shared" si="154"/>
        <v>a1cdbe</v>
      </c>
      <c r="V3307">
        <v>0</v>
      </c>
      <c r="W3307">
        <v>0</v>
      </c>
      <c r="X3307">
        <v>2</v>
      </c>
      <c r="Y3307">
        <v>0</v>
      </c>
      <c r="Z3307">
        <v>0</v>
      </c>
      <c r="AB3307">
        <v>0</v>
      </c>
      <c r="AC3307">
        <v>9</v>
      </c>
      <c r="AD3307">
        <v>3</v>
      </c>
      <c r="AE3307">
        <v>0</v>
      </c>
      <c r="AF3307">
        <v>9</v>
      </c>
      <c r="AG3307" t="s">
        <v>158</v>
      </c>
      <c r="AH3307">
        <v>0</v>
      </c>
      <c r="AI3307">
        <v>3</v>
      </c>
      <c r="AJ3307">
        <v>1</v>
      </c>
      <c r="AK3307">
        <v>0</v>
      </c>
      <c r="AL3307" t="s">
        <v>6220</v>
      </c>
      <c r="AM3307">
        <v>47.004511000000001</v>
      </c>
      <c r="AN3307" t="s">
        <v>6221</v>
      </c>
      <c r="AO3307">
        <v>-123.682237</v>
      </c>
      <c r="AP3307">
        <v>100</v>
      </c>
      <c r="AQ3307">
        <v>2100</v>
      </c>
      <c r="AR3307" t="s">
        <v>118</v>
      </c>
      <c r="AS3307">
        <v>-76</v>
      </c>
      <c r="AT3307">
        <v>13</v>
      </c>
      <c r="AU3307">
        <v>0</v>
      </c>
      <c r="BC3307">
        <v>1200</v>
      </c>
      <c r="BD3307">
        <v>1</v>
      </c>
      <c r="BE3307" t="str">
        <f t="shared" si="155"/>
        <v xml:space="preserve">N215T   </v>
      </c>
      <c r="BF3307">
        <v>1</v>
      </c>
      <c r="BH3307">
        <v>0</v>
      </c>
      <c r="BI3307">
        <v>0</v>
      </c>
      <c r="BJ3307">
        <v>0</v>
      </c>
      <c r="BK3307">
        <v>2500</v>
      </c>
      <c r="BL3307">
        <v>400</v>
      </c>
      <c r="BM3307" t="s">
        <v>119</v>
      </c>
      <c r="BN3307">
        <v>1</v>
      </c>
      <c r="BO3307">
        <v>1</v>
      </c>
      <c r="BP3307">
        <v>1</v>
      </c>
      <c r="BQ3307">
        <v>0</v>
      </c>
      <c r="BT3307">
        <v>0</v>
      </c>
      <c r="BU3307">
        <v>0</v>
      </c>
      <c r="BV3307">
        <v>0</v>
      </c>
      <c r="CC3307" t="str">
        <f>"19:30:02.883"</f>
        <v>19:30:02.883</v>
      </c>
      <c r="CD3307" t="str">
        <f>"881628488"</f>
        <v>881628488</v>
      </c>
      <c r="CQ3307">
        <v>0</v>
      </c>
      <c r="CR3307">
        <v>2</v>
      </c>
      <c r="CS3307">
        <v>0</v>
      </c>
      <c r="CT3307">
        <v>2</v>
      </c>
      <c r="CU3307">
        <v>0</v>
      </c>
      <c r="CV3307">
        <v>6</v>
      </c>
      <c r="CW3307" t="s">
        <v>120</v>
      </c>
      <c r="CX3307">
        <v>257</v>
      </c>
      <c r="CY3307">
        <v>0</v>
      </c>
      <c r="CZ3307" t="s">
        <v>615</v>
      </c>
      <c r="DA3307" t="s">
        <v>616</v>
      </c>
      <c r="DD3307">
        <v>16369038</v>
      </c>
      <c r="DE3307" t="s">
        <v>123</v>
      </c>
    </row>
    <row r="3308" spans="1:109" x14ac:dyDescent="0.3">
      <c r="A3308" t="str">
        <f>"19:30:04.227"</f>
        <v>19:30:04.227</v>
      </c>
      <c r="B3308" t="s">
        <v>110</v>
      </c>
      <c r="C3308" t="str">
        <f t="shared" si="153"/>
        <v>ffdfd3c0</v>
      </c>
      <c r="D3308" t="s">
        <v>111</v>
      </c>
      <c r="E3308">
        <v>18</v>
      </c>
      <c r="F3308">
        <v>1018</v>
      </c>
      <c r="G3308" t="s">
        <v>112</v>
      </c>
      <c r="J3308" t="s">
        <v>113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R3308" t="s">
        <v>114</v>
      </c>
      <c r="S3308" t="str">
        <f>"19:30:04.016"</f>
        <v>19:30:04.016</v>
      </c>
      <c r="T3308" t="str">
        <f>"19:30:04.016"</f>
        <v>19:30:04.016</v>
      </c>
      <c r="U3308" t="str">
        <f t="shared" si="154"/>
        <v>a1cdbe</v>
      </c>
      <c r="V3308">
        <v>0</v>
      </c>
      <c r="W3308">
        <v>0</v>
      </c>
      <c r="X3308">
        <v>2</v>
      </c>
      <c r="Y3308">
        <v>0</v>
      </c>
      <c r="Z3308">
        <v>0</v>
      </c>
      <c r="AB3308">
        <v>0</v>
      </c>
      <c r="AC3308">
        <v>9</v>
      </c>
      <c r="AD3308">
        <v>3</v>
      </c>
      <c r="AE3308">
        <v>0</v>
      </c>
      <c r="AF3308">
        <v>9</v>
      </c>
      <c r="AG3308" t="s">
        <v>158</v>
      </c>
      <c r="AH3308">
        <v>0</v>
      </c>
      <c r="AI3308">
        <v>3</v>
      </c>
      <c r="AJ3308">
        <v>1</v>
      </c>
      <c r="AK3308">
        <v>0</v>
      </c>
      <c r="AL3308" t="s">
        <v>6222</v>
      </c>
      <c r="AM3308">
        <v>47.004596999999997</v>
      </c>
      <c r="AN3308" t="s">
        <v>6223</v>
      </c>
      <c r="AO3308">
        <v>-123.682773</v>
      </c>
      <c r="AP3308">
        <v>100</v>
      </c>
      <c r="AQ3308">
        <v>2100</v>
      </c>
      <c r="AR3308" t="s">
        <v>118</v>
      </c>
      <c r="AS3308">
        <v>-76</v>
      </c>
      <c r="AT3308">
        <v>14</v>
      </c>
      <c r="AU3308">
        <v>-64</v>
      </c>
      <c r="BC3308">
        <v>1200</v>
      </c>
      <c r="BD3308">
        <v>1</v>
      </c>
      <c r="BE3308" t="str">
        <f t="shared" si="155"/>
        <v xml:space="preserve">N215T   </v>
      </c>
      <c r="BF3308">
        <v>1</v>
      </c>
      <c r="BH3308">
        <v>0</v>
      </c>
      <c r="BI3308">
        <v>0</v>
      </c>
      <c r="BJ3308">
        <v>0</v>
      </c>
      <c r="BK3308">
        <v>2500</v>
      </c>
      <c r="BL3308">
        <v>400</v>
      </c>
      <c r="BM3308" t="s">
        <v>119</v>
      </c>
      <c r="BN3308">
        <v>1</v>
      </c>
      <c r="BO3308">
        <v>1</v>
      </c>
      <c r="BP3308">
        <v>1</v>
      </c>
      <c r="BQ3308">
        <v>0</v>
      </c>
      <c r="BT3308">
        <v>0</v>
      </c>
      <c r="BU3308">
        <v>0</v>
      </c>
      <c r="BV3308">
        <v>0</v>
      </c>
      <c r="CC3308" t="str">
        <f>"19:30:04.023"</f>
        <v>19:30:04.023</v>
      </c>
      <c r="CD3308" t="str">
        <f>"021516159"</f>
        <v>021516159</v>
      </c>
      <c r="CQ3308">
        <v>0</v>
      </c>
      <c r="CR3308">
        <v>2</v>
      </c>
      <c r="CS3308">
        <v>0</v>
      </c>
      <c r="CT3308">
        <v>2</v>
      </c>
      <c r="CU3308">
        <v>0</v>
      </c>
      <c r="CV3308">
        <v>6</v>
      </c>
      <c r="CW3308" t="s">
        <v>120</v>
      </c>
      <c r="CX3308">
        <v>257</v>
      </c>
      <c r="CY3308">
        <v>0</v>
      </c>
      <c r="CZ3308" t="s">
        <v>615</v>
      </c>
      <c r="DA3308" t="s">
        <v>616</v>
      </c>
      <c r="DD3308">
        <v>16369539</v>
      </c>
      <c r="DE3308" t="s">
        <v>123</v>
      </c>
    </row>
    <row r="3309" spans="1:109" x14ac:dyDescent="0.3">
      <c r="A3309" t="str">
        <f>"19:30:05.281"</f>
        <v>19:30:05.281</v>
      </c>
      <c r="B3309" t="s">
        <v>110</v>
      </c>
      <c r="C3309" t="str">
        <f t="shared" si="153"/>
        <v>ffdfd3c0</v>
      </c>
      <c r="D3309" t="s">
        <v>111</v>
      </c>
      <c r="E3309">
        <v>18</v>
      </c>
      <c r="F3309">
        <v>1018</v>
      </c>
      <c r="G3309" t="s">
        <v>112</v>
      </c>
      <c r="J3309" t="s">
        <v>113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R3309" t="s">
        <v>114</v>
      </c>
      <c r="S3309" t="str">
        <f>"19:30:04.992"</f>
        <v>19:30:04.992</v>
      </c>
      <c r="T3309" t="str">
        <f>"19:30:04.992"</f>
        <v>19:30:04.992</v>
      </c>
      <c r="U3309" t="str">
        <f t="shared" si="154"/>
        <v>a1cdbe</v>
      </c>
      <c r="V3309">
        <v>0</v>
      </c>
      <c r="W3309">
        <v>0</v>
      </c>
      <c r="X3309">
        <v>2</v>
      </c>
      <c r="Y3309">
        <v>0</v>
      </c>
      <c r="Z3309">
        <v>0</v>
      </c>
      <c r="AB3309">
        <v>0</v>
      </c>
      <c r="AC3309">
        <v>9</v>
      </c>
      <c r="AD3309">
        <v>3</v>
      </c>
      <c r="AE3309">
        <v>0</v>
      </c>
      <c r="AF3309">
        <v>9</v>
      </c>
      <c r="AG3309" t="s">
        <v>158</v>
      </c>
      <c r="AH3309">
        <v>0</v>
      </c>
      <c r="AI3309">
        <v>3</v>
      </c>
      <c r="AJ3309">
        <v>1</v>
      </c>
      <c r="AK3309">
        <v>0</v>
      </c>
      <c r="AL3309" t="s">
        <v>6224</v>
      </c>
      <c r="AM3309">
        <v>47.004640000000002</v>
      </c>
      <c r="AN3309" t="s">
        <v>6225</v>
      </c>
      <c r="AO3309">
        <v>-123.68331000000001</v>
      </c>
      <c r="AP3309">
        <v>100</v>
      </c>
      <c r="AQ3309">
        <v>2100</v>
      </c>
      <c r="AR3309" t="s">
        <v>118</v>
      </c>
      <c r="AS3309">
        <v>-77</v>
      </c>
      <c r="AT3309">
        <v>13</v>
      </c>
      <c r="AU3309">
        <v>-64</v>
      </c>
      <c r="BC3309">
        <v>1200</v>
      </c>
      <c r="BD3309">
        <v>1</v>
      </c>
      <c r="BE3309" t="str">
        <f t="shared" si="155"/>
        <v xml:space="preserve">N215T   </v>
      </c>
      <c r="BF3309">
        <v>1</v>
      </c>
      <c r="BH3309">
        <v>0</v>
      </c>
      <c r="BI3309">
        <v>0</v>
      </c>
      <c r="BJ3309">
        <v>0</v>
      </c>
      <c r="BK3309">
        <v>2500</v>
      </c>
      <c r="BL3309">
        <v>400</v>
      </c>
      <c r="BM3309" t="s">
        <v>119</v>
      </c>
      <c r="BN3309">
        <v>1</v>
      </c>
      <c r="BO3309">
        <v>1</v>
      </c>
      <c r="BP3309">
        <v>1</v>
      </c>
      <c r="BQ3309">
        <v>0</v>
      </c>
      <c r="BT3309">
        <v>0</v>
      </c>
      <c r="BU3309">
        <v>0</v>
      </c>
      <c r="BV3309">
        <v>0</v>
      </c>
      <c r="CC3309" t="str">
        <f>"19:30:05.000"</f>
        <v>19:30:05.000</v>
      </c>
      <c r="CD3309" t="str">
        <f>"996420071"</f>
        <v>996420071</v>
      </c>
      <c r="CQ3309">
        <v>0</v>
      </c>
      <c r="CR3309">
        <v>2</v>
      </c>
      <c r="CS3309">
        <v>0</v>
      </c>
      <c r="CT3309">
        <v>2</v>
      </c>
      <c r="CU3309">
        <v>0</v>
      </c>
      <c r="CV3309">
        <v>6</v>
      </c>
      <c r="CW3309" t="s">
        <v>120</v>
      </c>
      <c r="CX3309">
        <v>257</v>
      </c>
      <c r="CY3309">
        <v>0</v>
      </c>
      <c r="CZ3309" t="s">
        <v>615</v>
      </c>
      <c r="DA3309" t="s">
        <v>616</v>
      </c>
      <c r="DD3309">
        <v>16370001</v>
      </c>
      <c r="DE3309" t="s">
        <v>123</v>
      </c>
    </row>
    <row r="3310" spans="1:109" x14ac:dyDescent="0.3">
      <c r="A3310" t="str">
        <f>"19:30:06.281"</f>
        <v>19:30:06.281</v>
      </c>
      <c r="B3310" t="s">
        <v>110</v>
      </c>
      <c r="C3310" t="str">
        <f t="shared" si="153"/>
        <v>ffdfd3c0</v>
      </c>
      <c r="D3310" t="s">
        <v>111</v>
      </c>
      <c r="E3310">
        <v>18</v>
      </c>
      <c r="F3310">
        <v>1018</v>
      </c>
      <c r="G3310" t="s">
        <v>112</v>
      </c>
      <c r="J3310" t="s">
        <v>113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R3310" t="s">
        <v>114</v>
      </c>
      <c r="S3310" t="str">
        <f>"19:30:06.055"</f>
        <v>19:30:06.055</v>
      </c>
      <c r="T3310" t="str">
        <f>"19:30:05.852"</f>
        <v>19:30:05.852</v>
      </c>
      <c r="U3310" t="str">
        <f t="shared" si="154"/>
        <v>a1cdbe</v>
      </c>
      <c r="V3310">
        <v>0</v>
      </c>
      <c r="W3310">
        <v>0</v>
      </c>
      <c r="X3310">
        <v>2</v>
      </c>
      <c r="Y3310">
        <v>0</v>
      </c>
      <c r="Z3310">
        <v>0</v>
      </c>
      <c r="AB3310">
        <v>0</v>
      </c>
      <c r="AC3310">
        <v>9</v>
      </c>
      <c r="AD3310">
        <v>3</v>
      </c>
      <c r="AE3310">
        <v>0</v>
      </c>
      <c r="AF3310">
        <v>9</v>
      </c>
      <c r="AG3310" t="s">
        <v>158</v>
      </c>
      <c r="AH3310">
        <v>0</v>
      </c>
      <c r="AI3310">
        <v>3</v>
      </c>
      <c r="AJ3310">
        <v>1</v>
      </c>
      <c r="AK3310">
        <v>0</v>
      </c>
      <c r="AL3310" t="s">
        <v>6226</v>
      </c>
      <c r="AM3310">
        <v>47.004725999999998</v>
      </c>
      <c r="AN3310" t="s">
        <v>6227</v>
      </c>
      <c r="AO3310">
        <v>-123.68386700000001</v>
      </c>
      <c r="AP3310">
        <v>100</v>
      </c>
      <c r="AQ3310">
        <v>2100</v>
      </c>
      <c r="AR3310" t="s">
        <v>118</v>
      </c>
      <c r="AS3310">
        <v>-77</v>
      </c>
      <c r="AT3310">
        <v>13</v>
      </c>
      <c r="AU3310">
        <v>-64</v>
      </c>
      <c r="BC3310">
        <v>1200</v>
      </c>
      <c r="BD3310">
        <v>1</v>
      </c>
      <c r="BE3310" t="str">
        <f t="shared" si="155"/>
        <v xml:space="preserve">N215T   </v>
      </c>
      <c r="BF3310">
        <v>1</v>
      </c>
      <c r="BH3310">
        <v>0</v>
      </c>
      <c r="BI3310">
        <v>0</v>
      </c>
      <c r="BJ3310">
        <v>0</v>
      </c>
      <c r="BK3310">
        <v>2500</v>
      </c>
      <c r="BL3310">
        <v>400</v>
      </c>
      <c r="BM3310" t="s">
        <v>119</v>
      </c>
      <c r="BN3310">
        <v>1</v>
      </c>
      <c r="BO3310">
        <v>1</v>
      </c>
      <c r="BP3310">
        <v>1</v>
      </c>
      <c r="BQ3310">
        <v>0</v>
      </c>
      <c r="BT3310">
        <v>0</v>
      </c>
      <c r="BU3310">
        <v>0</v>
      </c>
      <c r="BV3310">
        <v>0</v>
      </c>
      <c r="CC3310" t="str">
        <f>"19:30:06.063"</f>
        <v>19:30:06.063</v>
      </c>
      <c r="CD3310" t="str">
        <f>"061315125"</f>
        <v>061315125</v>
      </c>
      <c r="CQ3310">
        <v>0</v>
      </c>
      <c r="CR3310">
        <v>2</v>
      </c>
      <c r="CS3310">
        <v>0</v>
      </c>
      <c r="CT3310">
        <v>2</v>
      </c>
      <c r="CU3310">
        <v>0</v>
      </c>
      <c r="CV3310">
        <v>6</v>
      </c>
      <c r="CW3310" t="s">
        <v>120</v>
      </c>
      <c r="CX3310">
        <v>257</v>
      </c>
      <c r="CY3310">
        <v>0</v>
      </c>
      <c r="CZ3310" t="s">
        <v>615</v>
      </c>
      <c r="DA3310" t="s">
        <v>616</v>
      </c>
      <c r="DD3310">
        <v>16370502</v>
      </c>
      <c r="DE3310" t="s">
        <v>123</v>
      </c>
    </row>
    <row r="3311" spans="1:109" x14ac:dyDescent="0.3">
      <c r="A3311" t="str">
        <f>"19:30:07.086"</f>
        <v>19:30:07.086</v>
      </c>
      <c r="B3311" t="s">
        <v>110</v>
      </c>
      <c r="C3311" t="str">
        <f t="shared" si="153"/>
        <v>ffdfd3c0</v>
      </c>
      <c r="D3311" t="s">
        <v>111</v>
      </c>
      <c r="E3311">
        <v>18</v>
      </c>
      <c r="F3311">
        <v>1018</v>
      </c>
      <c r="G3311" t="s">
        <v>112</v>
      </c>
      <c r="J3311" t="s">
        <v>113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R3311" t="s">
        <v>114</v>
      </c>
      <c r="S3311" t="str">
        <f>"19:30:06.883"</f>
        <v>19:30:06.883</v>
      </c>
      <c r="T3311" t="str">
        <f>"19:30:06.383"</f>
        <v>19:30:06.383</v>
      </c>
      <c r="U3311" t="str">
        <f t="shared" si="154"/>
        <v>a1cdbe</v>
      </c>
      <c r="V3311">
        <v>0</v>
      </c>
      <c r="W3311">
        <v>0</v>
      </c>
      <c r="X3311">
        <v>2</v>
      </c>
      <c r="Y3311">
        <v>0</v>
      </c>
      <c r="Z3311">
        <v>0</v>
      </c>
      <c r="AB3311">
        <v>0</v>
      </c>
      <c r="AC3311">
        <v>9</v>
      </c>
      <c r="AD3311">
        <v>3</v>
      </c>
      <c r="AE3311">
        <v>0</v>
      </c>
      <c r="AF3311">
        <v>9</v>
      </c>
      <c r="AG3311" t="s">
        <v>158</v>
      </c>
      <c r="AH3311">
        <v>0</v>
      </c>
      <c r="AI3311">
        <v>3</v>
      </c>
      <c r="AJ3311">
        <v>1</v>
      </c>
      <c r="AK3311">
        <v>0</v>
      </c>
      <c r="AL3311" t="s">
        <v>6228</v>
      </c>
      <c r="AM3311">
        <v>47.004769000000003</v>
      </c>
      <c r="AN3311" t="s">
        <v>6229</v>
      </c>
      <c r="AO3311">
        <v>-123.684297</v>
      </c>
      <c r="AP3311">
        <v>100</v>
      </c>
      <c r="AQ3311">
        <v>2100</v>
      </c>
      <c r="AR3311" t="s">
        <v>118</v>
      </c>
      <c r="AS3311">
        <v>-77</v>
      </c>
      <c r="AT3311">
        <v>13</v>
      </c>
      <c r="AU3311">
        <v>-64</v>
      </c>
      <c r="BC3311">
        <v>1200</v>
      </c>
      <c r="BD3311">
        <v>1</v>
      </c>
      <c r="BE3311" t="str">
        <f t="shared" si="155"/>
        <v xml:space="preserve">N215T   </v>
      </c>
      <c r="BF3311">
        <v>1</v>
      </c>
      <c r="BH3311">
        <v>0</v>
      </c>
      <c r="BI3311">
        <v>0</v>
      </c>
      <c r="BJ3311">
        <v>0</v>
      </c>
      <c r="BK3311">
        <v>2500</v>
      </c>
      <c r="BL3311">
        <v>400</v>
      </c>
      <c r="BM3311" t="s">
        <v>119</v>
      </c>
      <c r="BN3311">
        <v>1</v>
      </c>
      <c r="BO3311">
        <v>1</v>
      </c>
      <c r="BP3311">
        <v>1</v>
      </c>
      <c r="BQ3311">
        <v>0</v>
      </c>
      <c r="BT3311">
        <v>0</v>
      </c>
      <c r="BU3311">
        <v>0</v>
      </c>
      <c r="BV3311">
        <v>0</v>
      </c>
      <c r="CC3311" t="str">
        <f>"19:30:06.883"</f>
        <v>19:30:06.883</v>
      </c>
      <c r="CD3311" t="str">
        <f>"886233832"</f>
        <v>886233832</v>
      </c>
      <c r="CQ3311">
        <v>0</v>
      </c>
      <c r="CR3311">
        <v>2</v>
      </c>
      <c r="CS3311">
        <v>0</v>
      </c>
      <c r="CT3311">
        <v>2</v>
      </c>
      <c r="CU3311">
        <v>0</v>
      </c>
      <c r="CV3311">
        <v>6</v>
      </c>
      <c r="CW3311" t="s">
        <v>120</v>
      </c>
      <c r="CX3311">
        <v>257</v>
      </c>
      <c r="CY3311">
        <v>0</v>
      </c>
      <c r="CZ3311" t="s">
        <v>615</v>
      </c>
      <c r="DA3311" t="s">
        <v>616</v>
      </c>
      <c r="DD3311">
        <v>16370873</v>
      </c>
      <c r="DE3311" t="s">
        <v>123</v>
      </c>
    </row>
    <row r="3312" spans="1:109" x14ac:dyDescent="0.3">
      <c r="A3312" t="str">
        <f>"19:30:08.094"</f>
        <v>19:30:08.094</v>
      </c>
      <c r="B3312" t="s">
        <v>110</v>
      </c>
      <c r="C3312" t="str">
        <f t="shared" si="153"/>
        <v>ffdfd3c0</v>
      </c>
      <c r="D3312" t="s">
        <v>111</v>
      </c>
      <c r="E3312">
        <v>18</v>
      </c>
      <c r="F3312">
        <v>1018</v>
      </c>
      <c r="G3312" t="s">
        <v>112</v>
      </c>
      <c r="J3312" t="s">
        <v>113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R3312" t="s">
        <v>114</v>
      </c>
      <c r="S3312" t="str">
        <f>"19:30:07.859"</f>
        <v>19:30:07.859</v>
      </c>
      <c r="T3312" t="str">
        <f>"19:30:07.563"</f>
        <v>19:30:07.563</v>
      </c>
      <c r="U3312" t="str">
        <f t="shared" si="154"/>
        <v>a1cdbe</v>
      </c>
      <c r="V3312">
        <v>0</v>
      </c>
      <c r="W3312">
        <v>0</v>
      </c>
      <c r="X3312">
        <v>2</v>
      </c>
      <c r="Y3312">
        <v>0</v>
      </c>
      <c r="Z3312">
        <v>0</v>
      </c>
      <c r="AB3312">
        <v>0</v>
      </c>
      <c r="AC3312">
        <v>9</v>
      </c>
      <c r="AD3312">
        <v>3</v>
      </c>
      <c r="AE3312">
        <v>0</v>
      </c>
      <c r="AF3312">
        <v>9</v>
      </c>
      <c r="AG3312" t="s">
        <v>158</v>
      </c>
      <c r="AH3312">
        <v>0</v>
      </c>
      <c r="AI3312">
        <v>3</v>
      </c>
      <c r="AJ3312">
        <v>1</v>
      </c>
      <c r="AK3312">
        <v>0</v>
      </c>
      <c r="AL3312" t="s">
        <v>793</v>
      </c>
      <c r="AM3312">
        <v>47.004812000000001</v>
      </c>
      <c r="AN3312" t="s">
        <v>6230</v>
      </c>
      <c r="AO3312">
        <v>-123.68479000000001</v>
      </c>
      <c r="AP3312">
        <v>100</v>
      </c>
      <c r="AQ3312">
        <v>2100</v>
      </c>
      <c r="AR3312" t="s">
        <v>118</v>
      </c>
      <c r="AS3312">
        <v>-77</v>
      </c>
      <c r="AT3312">
        <v>13</v>
      </c>
      <c r="AU3312">
        <v>0</v>
      </c>
      <c r="BC3312">
        <v>1200</v>
      </c>
      <c r="BD3312">
        <v>1</v>
      </c>
      <c r="BE3312" t="str">
        <f t="shared" si="155"/>
        <v xml:space="preserve">N215T   </v>
      </c>
      <c r="BF3312">
        <v>1</v>
      </c>
      <c r="BH3312">
        <v>0</v>
      </c>
      <c r="BI3312">
        <v>0</v>
      </c>
      <c r="BJ3312">
        <v>0</v>
      </c>
      <c r="BK3312">
        <v>2500</v>
      </c>
      <c r="BL3312">
        <v>400</v>
      </c>
      <c r="BM3312" t="s">
        <v>119</v>
      </c>
      <c r="BN3312">
        <v>1</v>
      </c>
      <c r="BO3312">
        <v>1</v>
      </c>
      <c r="BP3312">
        <v>1</v>
      </c>
      <c r="BQ3312">
        <v>0</v>
      </c>
      <c r="BT3312">
        <v>0</v>
      </c>
      <c r="BU3312">
        <v>0</v>
      </c>
      <c r="BV3312">
        <v>0</v>
      </c>
      <c r="CC3312" t="str">
        <f>"19:30:07.859"</f>
        <v>19:30:07.859</v>
      </c>
      <c r="CD3312" t="str">
        <f>"861137752"</f>
        <v>861137752</v>
      </c>
      <c r="CQ3312">
        <v>0</v>
      </c>
      <c r="CR3312">
        <v>2</v>
      </c>
      <c r="CS3312">
        <v>0</v>
      </c>
      <c r="CT3312">
        <v>2</v>
      </c>
      <c r="CU3312">
        <v>0</v>
      </c>
      <c r="CV3312">
        <v>6</v>
      </c>
      <c r="CW3312" t="s">
        <v>120</v>
      </c>
      <c r="CX3312">
        <v>257</v>
      </c>
      <c r="CY3312">
        <v>0</v>
      </c>
      <c r="CZ3312" t="s">
        <v>615</v>
      </c>
      <c r="DA3312" t="s">
        <v>616</v>
      </c>
      <c r="DD3312">
        <v>16371297</v>
      </c>
      <c r="DE3312" t="s">
        <v>123</v>
      </c>
    </row>
    <row r="3313" spans="1:109" x14ac:dyDescent="0.3">
      <c r="A3313" t="str">
        <f>"19:30:09.148"</f>
        <v>19:30:09.148</v>
      </c>
      <c r="B3313" t="s">
        <v>110</v>
      </c>
      <c r="C3313" t="str">
        <f t="shared" si="153"/>
        <v>ffdfd3c0</v>
      </c>
      <c r="D3313" t="s">
        <v>111</v>
      </c>
      <c r="E3313">
        <v>18</v>
      </c>
      <c r="F3313">
        <v>1018</v>
      </c>
      <c r="G3313" t="s">
        <v>112</v>
      </c>
      <c r="J3313" t="s">
        <v>113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R3313" t="s">
        <v>114</v>
      </c>
      <c r="S3313" t="str">
        <f>"19:30:08.938"</f>
        <v>19:30:08.938</v>
      </c>
      <c r="T3313" t="str">
        <f>"19:30:08.539"</f>
        <v>19:30:08.539</v>
      </c>
      <c r="U3313" t="str">
        <f t="shared" si="154"/>
        <v>a1cdbe</v>
      </c>
      <c r="V3313">
        <v>0</v>
      </c>
      <c r="W3313">
        <v>0</v>
      </c>
      <c r="X3313">
        <v>2</v>
      </c>
      <c r="Y3313">
        <v>0</v>
      </c>
      <c r="Z3313">
        <v>0</v>
      </c>
      <c r="AB3313">
        <v>0</v>
      </c>
      <c r="AC3313">
        <v>9</v>
      </c>
      <c r="AD3313">
        <v>3</v>
      </c>
      <c r="AE3313">
        <v>0</v>
      </c>
      <c r="AF3313">
        <v>9</v>
      </c>
      <c r="AG3313" t="s">
        <v>158</v>
      </c>
      <c r="AH3313">
        <v>0</v>
      </c>
      <c r="AI3313">
        <v>3</v>
      </c>
      <c r="AJ3313">
        <v>1</v>
      </c>
      <c r="AK3313">
        <v>0</v>
      </c>
      <c r="AL3313" t="s">
        <v>6231</v>
      </c>
      <c r="AM3313">
        <v>47.004854999999999</v>
      </c>
      <c r="AN3313" t="s">
        <v>6232</v>
      </c>
      <c r="AO3313">
        <v>-123.685348</v>
      </c>
      <c r="AP3313">
        <v>100</v>
      </c>
      <c r="AQ3313">
        <v>2100</v>
      </c>
      <c r="AR3313" t="s">
        <v>118</v>
      </c>
      <c r="AS3313">
        <v>-77</v>
      </c>
      <c r="AT3313">
        <v>13</v>
      </c>
      <c r="AU3313">
        <v>0</v>
      </c>
      <c r="BC3313">
        <v>1200</v>
      </c>
      <c r="BD3313">
        <v>1</v>
      </c>
      <c r="BE3313" t="str">
        <f t="shared" si="155"/>
        <v xml:space="preserve">N215T   </v>
      </c>
      <c r="BF3313">
        <v>1</v>
      </c>
      <c r="BH3313">
        <v>0</v>
      </c>
      <c r="BI3313">
        <v>0</v>
      </c>
      <c r="BJ3313">
        <v>0</v>
      </c>
      <c r="BK3313">
        <v>2500</v>
      </c>
      <c r="BL3313">
        <v>400</v>
      </c>
      <c r="BM3313" t="s">
        <v>119</v>
      </c>
      <c r="BN3313">
        <v>1</v>
      </c>
      <c r="BO3313">
        <v>1</v>
      </c>
      <c r="BP3313">
        <v>1</v>
      </c>
      <c r="BQ3313">
        <v>0</v>
      </c>
      <c r="BT3313">
        <v>0</v>
      </c>
      <c r="BU3313">
        <v>0</v>
      </c>
      <c r="BV3313">
        <v>0</v>
      </c>
      <c r="CC3313" t="str">
        <f>"19:30:08.938"</f>
        <v>19:30:08.938</v>
      </c>
      <c r="CD3313" t="str">
        <f>"941031330"</f>
        <v>941031330</v>
      </c>
      <c r="CQ3313">
        <v>0</v>
      </c>
      <c r="CR3313">
        <v>2</v>
      </c>
      <c r="CS3313">
        <v>0</v>
      </c>
      <c r="CT3313">
        <v>2</v>
      </c>
      <c r="CU3313">
        <v>0</v>
      </c>
      <c r="CV3313">
        <v>6</v>
      </c>
      <c r="CW3313" t="s">
        <v>120</v>
      </c>
      <c r="CX3313">
        <v>257</v>
      </c>
      <c r="CY3313">
        <v>0</v>
      </c>
      <c r="CZ3313" t="s">
        <v>615</v>
      </c>
      <c r="DA3313" t="s">
        <v>616</v>
      </c>
      <c r="DD3313">
        <v>16371816</v>
      </c>
      <c r="DE3313" t="s">
        <v>123</v>
      </c>
    </row>
    <row r="3314" spans="1:109" x14ac:dyDescent="0.3">
      <c r="A3314" t="str">
        <f>"19:30:10.258"</f>
        <v>19:30:10.258</v>
      </c>
      <c r="B3314" t="s">
        <v>110</v>
      </c>
      <c r="C3314" t="str">
        <f t="shared" si="153"/>
        <v>ffdfd3c0</v>
      </c>
      <c r="D3314" t="s">
        <v>111</v>
      </c>
      <c r="E3314">
        <v>18</v>
      </c>
      <c r="F3314">
        <v>1018</v>
      </c>
      <c r="G3314" t="s">
        <v>112</v>
      </c>
      <c r="J3314" t="s">
        <v>113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R3314" t="s">
        <v>114</v>
      </c>
      <c r="S3314" t="str">
        <f>"19:30:10.000"</f>
        <v>19:30:10.000</v>
      </c>
      <c r="T3314" t="str">
        <f>"19:30:10.000"</f>
        <v>19:30:10.000</v>
      </c>
      <c r="U3314" t="str">
        <f t="shared" si="154"/>
        <v>a1cdbe</v>
      </c>
      <c r="V3314">
        <v>0</v>
      </c>
      <c r="W3314">
        <v>0</v>
      </c>
      <c r="X3314">
        <v>2</v>
      </c>
      <c r="Y3314">
        <v>0</v>
      </c>
      <c r="Z3314">
        <v>0</v>
      </c>
      <c r="AB3314">
        <v>0</v>
      </c>
      <c r="AC3314">
        <v>9</v>
      </c>
      <c r="AD3314">
        <v>3</v>
      </c>
      <c r="AE3314">
        <v>0</v>
      </c>
      <c r="AF3314">
        <v>9</v>
      </c>
      <c r="AG3314" t="s">
        <v>158</v>
      </c>
      <c r="AH3314">
        <v>0</v>
      </c>
      <c r="AI3314">
        <v>3</v>
      </c>
      <c r="AJ3314">
        <v>1</v>
      </c>
      <c r="AK3314">
        <v>0</v>
      </c>
      <c r="AL3314" t="s">
        <v>6233</v>
      </c>
      <c r="AM3314">
        <v>47.004961999999999</v>
      </c>
      <c r="AN3314" t="s">
        <v>6234</v>
      </c>
      <c r="AO3314">
        <v>-123.68592700000001</v>
      </c>
      <c r="AP3314">
        <v>100</v>
      </c>
      <c r="AQ3314">
        <v>2100</v>
      </c>
      <c r="AR3314" t="s">
        <v>118</v>
      </c>
      <c r="AS3314">
        <v>-77</v>
      </c>
      <c r="AT3314">
        <v>13</v>
      </c>
      <c r="AU3314">
        <v>-64</v>
      </c>
      <c r="BC3314">
        <v>1200</v>
      </c>
      <c r="BD3314">
        <v>1</v>
      </c>
      <c r="BE3314" t="str">
        <f t="shared" si="155"/>
        <v xml:space="preserve">N215T   </v>
      </c>
      <c r="BF3314">
        <v>1</v>
      </c>
      <c r="BH3314">
        <v>0</v>
      </c>
      <c r="BI3314">
        <v>0</v>
      </c>
      <c r="BJ3314">
        <v>0</v>
      </c>
      <c r="BK3314">
        <v>2500</v>
      </c>
      <c r="BL3314">
        <v>400</v>
      </c>
      <c r="BM3314" t="s">
        <v>119</v>
      </c>
      <c r="BN3314">
        <v>1</v>
      </c>
      <c r="BO3314">
        <v>1</v>
      </c>
      <c r="BP3314">
        <v>1</v>
      </c>
      <c r="BQ3314">
        <v>0</v>
      </c>
      <c r="BT3314">
        <v>0</v>
      </c>
      <c r="BU3314">
        <v>0</v>
      </c>
      <c r="BV3314">
        <v>0</v>
      </c>
      <c r="CC3314" t="str">
        <f>"19:30:10.008"</f>
        <v>19:30:10.008</v>
      </c>
      <c r="CD3314" t="str">
        <f>"005926394"</f>
        <v>005926394</v>
      </c>
      <c r="CQ3314">
        <v>0</v>
      </c>
      <c r="CR3314">
        <v>2</v>
      </c>
      <c r="CS3314">
        <v>0</v>
      </c>
      <c r="CT3314">
        <v>2</v>
      </c>
      <c r="CU3314">
        <v>0</v>
      </c>
      <c r="CV3314">
        <v>6</v>
      </c>
      <c r="CW3314" t="s">
        <v>120</v>
      </c>
      <c r="CX3314">
        <v>257</v>
      </c>
      <c r="CY3314">
        <v>0</v>
      </c>
      <c r="CZ3314" t="s">
        <v>615</v>
      </c>
      <c r="DA3314" t="s">
        <v>616</v>
      </c>
      <c r="DD3314">
        <v>16372333</v>
      </c>
      <c r="DE3314" t="s">
        <v>123</v>
      </c>
    </row>
    <row r="3315" spans="1:109" x14ac:dyDescent="0.3">
      <c r="A3315" t="str">
        <f>"19:30:11.359"</f>
        <v>19:30:11.359</v>
      </c>
      <c r="B3315" t="s">
        <v>110</v>
      </c>
      <c r="C3315" t="str">
        <f t="shared" si="153"/>
        <v>ffdfd3c0</v>
      </c>
      <c r="D3315" t="s">
        <v>111</v>
      </c>
      <c r="E3315">
        <v>18</v>
      </c>
      <c r="F3315">
        <v>1018</v>
      </c>
      <c r="G3315" t="s">
        <v>112</v>
      </c>
      <c r="J3315" t="s">
        <v>113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R3315" t="s">
        <v>114</v>
      </c>
      <c r="S3315" t="str">
        <f>"19:30:11.078"</f>
        <v>19:30:11.078</v>
      </c>
      <c r="T3315" t="str">
        <f>"19:30:10.578"</f>
        <v>19:30:10.578</v>
      </c>
      <c r="U3315" t="str">
        <f t="shared" si="154"/>
        <v>a1cdbe</v>
      </c>
      <c r="V3315">
        <v>0</v>
      </c>
      <c r="W3315">
        <v>0</v>
      </c>
      <c r="X3315">
        <v>2</v>
      </c>
      <c r="Y3315">
        <v>0</v>
      </c>
      <c r="Z3315">
        <v>0</v>
      </c>
      <c r="AB3315">
        <v>0</v>
      </c>
      <c r="AC3315">
        <v>9</v>
      </c>
      <c r="AD3315">
        <v>3</v>
      </c>
      <c r="AE3315">
        <v>0</v>
      </c>
      <c r="AF3315">
        <v>9</v>
      </c>
      <c r="AG3315" t="s">
        <v>158</v>
      </c>
      <c r="AH3315">
        <v>0</v>
      </c>
      <c r="AI3315">
        <v>3</v>
      </c>
      <c r="AJ3315">
        <v>1</v>
      </c>
      <c r="AK3315">
        <v>0</v>
      </c>
      <c r="AL3315" t="s">
        <v>6235</v>
      </c>
      <c r="AM3315">
        <v>47.005004999999997</v>
      </c>
      <c r="AN3315" t="s">
        <v>6236</v>
      </c>
      <c r="AO3315">
        <v>-123.686485</v>
      </c>
      <c r="AP3315">
        <v>100</v>
      </c>
      <c r="AQ3315">
        <v>2100</v>
      </c>
      <c r="AR3315" t="s">
        <v>118</v>
      </c>
      <c r="AS3315">
        <v>-77</v>
      </c>
      <c r="AT3315">
        <v>13</v>
      </c>
      <c r="AU3315">
        <v>-64</v>
      </c>
      <c r="BC3315">
        <v>1200</v>
      </c>
      <c r="BD3315">
        <v>1</v>
      </c>
      <c r="BE3315" t="str">
        <f t="shared" si="155"/>
        <v xml:space="preserve">N215T   </v>
      </c>
      <c r="BF3315">
        <v>1</v>
      </c>
      <c r="BH3315">
        <v>0</v>
      </c>
      <c r="BI3315">
        <v>0</v>
      </c>
      <c r="BJ3315">
        <v>0</v>
      </c>
      <c r="BK3315">
        <v>2500</v>
      </c>
      <c r="BL3315">
        <v>400</v>
      </c>
      <c r="BM3315" t="s">
        <v>119</v>
      </c>
      <c r="BN3315">
        <v>1</v>
      </c>
      <c r="BO3315">
        <v>1</v>
      </c>
      <c r="BP3315">
        <v>1</v>
      </c>
      <c r="BQ3315">
        <v>0</v>
      </c>
      <c r="BT3315">
        <v>0</v>
      </c>
      <c r="BU3315">
        <v>0</v>
      </c>
      <c r="BV3315">
        <v>0</v>
      </c>
      <c r="CC3315" t="str">
        <f>"19:30:11.086"</f>
        <v>19:30:11.086</v>
      </c>
      <c r="CD3315" t="str">
        <f>"085819966"</f>
        <v>085819966</v>
      </c>
      <c r="CQ3315">
        <v>0</v>
      </c>
      <c r="CR3315">
        <v>2</v>
      </c>
      <c r="CS3315">
        <v>0</v>
      </c>
      <c r="CT3315">
        <v>2</v>
      </c>
      <c r="CU3315">
        <v>0</v>
      </c>
      <c r="CV3315">
        <v>6</v>
      </c>
      <c r="CW3315" t="s">
        <v>120</v>
      </c>
      <c r="CX3315">
        <v>257</v>
      </c>
      <c r="CY3315">
        <v>0</v>
      </c>
      <c r="CZ3315" t="s">
        <v>615</v>
      </c>
      <c r="DA3315" t="s">
        <v>616</v>
      </c>
      <c r="DD3315">
        <v>16372864</v>
      </c>
      <c r="DE3315" t="s">
        <v>123</v>
      </c>
    </row>
    <row r="3316" spans="1:109" x14ac:dyDescent="0.3">
      <c r="A3316" t="str">
        <f>"19:30:12.219"</f>
        <v>19:30:12.219</v>
      </c>
      <c r="B3316" t="s">
        <v>110</v>
      </c>
      <c r="C3316" t="str">
        <f t="shared" si="153"/>
        <v>ffdfd3c0</v>
      </c>
      <c r="D3316" t="s">
        <v>111</v>
      </c>
      <c r="E3316">
        <v>18</v>
      </c>
      <c r="F3316">
        <v>1018</v>
      </c>
      <c r="G3316" t="s">
        <v>112</v>
      </c>
      <c r="J3316" t="s">
        <v>113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R3316" t="s">
        <v>114</v>
      </c>
      <c r="S3316" t="str">
        <f>"19:30:11.984"</f>
        <v>19:30:11.984</v>
      </c>
      <c r="T3316" t="str">
        <f>"19:30:11.586"</f>
        <v>19:30:11.586</v>
      </c>
      <c r="U3316" t="str">
        <f t="shared" si="154"/>
        <v>a1cdbe</v>
      </c>
      <c r="V3316">
        <v>0</v>
      </c>
      <c r="W3316">
        <v>0</v>
      </c>
      <c r="X3316">
        <v>2</v>
      </c>
      <c r="Y3316">
        <v>0</v>
      </c>
      <c r="Z3316">
        <v>0</v>
      </c>
      <c r="AB3316">
        <v>0</v>
      </c>
      <c r="AC3316">
        <v>9</v>
      </c>
      <c r="AD3316">
        <v>3</v>
      </c>
      <c r="AE3316">
        <v>0</v>
      </c>
      <c r="AF3316">
        <v>9</v>
      </c>
      <c r="AG3316" t="s">
        <v>158</v>
      </c>
      <c r="AH3316">
        <v>0</v>
      </c>
      <c r="AI3316">
        <v>3</v>
      </c>
      <c r="AJ3316">
        <v>1</v>
      </c>
      <c r="AK3316">
        <v>0</v>
      </c>
      <c r="AL3316" t="s">
        <v>6237</v>
      </c>
      <c r="AM3316">
        <v>47.005048000000002</v>
      </c>
      <c r="AN3316" t="s">
        <v>6238</v>
      </c>
      <c r="AO3316">
        <v>-123.68695700000001</v>
      </c>
      <c r="AP3316">
        <v>100</v>
      </c>
      <c r="AQ3316">
        <v>2100</v>
      </c>
      <c r="AR3316" t="s">
        <v>118</v>
      </c>
      <c r="AS3316">
        <v>-77</v>
      </c>
      <c r="AT3316">
        <v>13</v>
      </c>
      <c r="AU3316">
        <v>-64</v>
      </c>
      <c r="BC3316">
        <v>1200</v>
      </c>
      <c r="BD3316">
        <v>1</v>
      </c>
      <c r="BE3316" t="str">
        <f t="shared" si="155"/>
        <v xml:space="preserve">N215T   </v>
      </c>
      <c r="BF3316">
        <v>1</v>
      </c>
      <c r="BH3316">
        <v>0</v>
      </c>
      <c r="BI3316">
        <v>0</v>
      </c>
      <c r="BJ3316">
        <v>0</v>
      </c>
      <c r="BK3316">
        <v>2500</v>
      </c>
      <c r="BL3316">
        <v>400</v>
      </c>
      <c r="BM3316" t="s">
        <v>119</v>
      </c>
      <c r="BN3316">
        <v>1</v>
      </c>
      <c r="BO3316">
        <v>1</v>
      </c>
      <c r="BP3316">
        <v>1</v>
      </c>
      <c r="BQ3316">
        <v>0</v>
      </c>
      <c r="BT3316">
        <v>0</v>
      </c>
      <c r="BU3316">
        <v>0</v>
      </c>
      <c r="BV3316">
        <v>0</v>
      </c>
      <c r="CC3316" t="str">
        <f>"19:30:11.984"</f>
        <v>19:30:11.984</v>
      </c>
      <c r="CD3316" t="str">
        <f>"985731271"</f>
        <v>985731271</v>
      </c>
      <c r="CQ3316">
        <v>0</v>
      </c>
      <c r="CR3316">
        <v>2</v>
      </c>
      <c r="CS3316">
        <v>0</v>
      </c>
      <c r="CT3316">
        <v>2</v>
      </c>
      <c r="CU3316">
        <v>0</v>
      </c>
      <c r="CV3316">
        <v>6</v>
      </c>
      <c r="CW3316" t="s">
        <v>120</v>
      </c>
      <c r="CX3316">
        <v>257</v>
      </c>
      <c r="CY3316">
        <v>0</v>
      </c>
      <c r="CZ3316" t="s">
        <v>615</v>
      </c>
      <c r="DA3316" t="s">
        <v>616</v>
      </c>
      <c r="DD3316">
        <v>16373293</v>
      </c>
      <c r="DE3316" t="s">
        <v>123</v>
      </c>
    </row>
    <row r="3317" spans="1:109" x14ac:dyDescent="0.3">
      <c r="A3317" t="str">
        <f>"19:30:13.320"</f>
        <v>19:30:13.320</v>
      </c>
      <c r="B3317" t="s">
        <v>110</v>
      </c>
      <c r="C3317" t="str">
        <f t="shared" si="153"/>
        <v>ffdfd3c0</v>
      </c>
      <c r="D3317" t="s">
        <v>111</v>
      </c>
      <c r="E3317">
        <v>18</v>
      </c>
      <c r="F3317">
        <v>1018</v>
      </c>
      <c r="G3317" t="s">
        <v>112</v>
      </c>
      <c r="J3317" t="s">
        <v>113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R3317" t="s">
        <v>114</v>
      </c>
      <c r="S3317" t="str">
        <f>"19:30:13.078"</f>
        <v>19:30:13.078</v>
      </c>
      <c r="T3317" t="str">
        <f>"19:30:12.781"</f>
        <v>19:30:12.781</v>
      </c>
      <c r="U3317" t="str">
        <f t="shared" si="154"/>
        <v>a1cdbe</v>
      </c>
      <c r="V3317">
        <v>0</v>
      </c>
      <c r="W3317">
        <v>0</v>
      </c>
      <c r="X3317">
        <v>2</v>
      </c>
      <c r="Y3317">
        <v>0</v>
      </c>
      <c r="Z3317">
        <v>0</v>
      </c>
      <c r="AB3317">
        <v>0</v>
      </c>
      <c r="AC3317">
        <v>9</v>
      </c>
      <c r="AD3317">
        <v>3</v>
      </c>
      <c r="AE3317">
        <v>0</v>
      </c>
      <c r="AF3317">
        <v>9</v>
      </c>
      <c r="AG3317" t="s">
        <v>158</v>
      </c>
      <c r="AH3317">
        <v>0</v>
      </c>
      <c r="AI3317">
        <v>3</v>
      </c>
      <c r="AJ3317">
        <v>1</v>
      </c>
      <c r="AK3317">
        <v>0</v>
      </c>
      <c r="AL3317" t="s">
        <v>6239</v>
      </c>
      <c r="AM3317">
        <v>47.005155000000002</v>
      </c>
      <c r="AN3317" t="s">
        <v>6240</v>
      </c>
      <c r="AO3317">
        <v>-123.68753700000001</v>
      </c>
      <c r="AP3317">
        <v>100</v>
      </c>
      <c r="AQ3317">
        <v>2100</v>
      </c>
      <c r="AR3317" t="s">
        <v>118</v>
      </c>
      <c r="AS3317">
        <v>-77</v>
      </c>
      <c r="AT3317">
        <v>12</v>
      </c>
      <c r="AU3317">
        <v>-64</v>
      </c>
      <c r="BC3317">
        <v>1200</v>
      </c>
      <c r="BD3317">
        <v>1</v>
      </c>
      <c r="BE3317" t="str">
        <f t="shared" si="155"/>
        <v xml:space="preserve">N215T   </v>
      </c>
      <c r="BF3317">
        <v>1</v>
      </c>
      <c r="BH3317">
        <v>0</v>
      </c>
      <c r="BI3317">
        <v>0</v>
      </c>
      <c r="BJ3317">
        <v>0</v>
      </c>
      <c r="BK3317">
        <v>2500</v>
      </c>
      <c r="BL3317">
        <v>400</v>
      </c>
      <c r="BM3317" t="s">
        <v>119</v>
      </c>
      <c r="BN3317">
        <v>1</v>
      </c>
      <c r="BO3317">
        <v>1</v>
      </c>
      <c r="BP3317">
        <v>1</v>
      </c>
      <c r="BQ3317">
        <v>0</v>
      </c>
      <c r="BT3317">
        <v>0</v>
      </c>
      <c r="BU3317">
        <v>0</v>
      </c>
      <c r="BV3317">
        <v>0</v>
      </c>
      <c r="CC3317" t="str">
        <f>"19:30:13.078"</f>
        <v>19:30:13.078</v>
      </c>
      <c r="CD3317" t="str">
        <f>"080623365"</f>
        <v>080623365</v>
      </c>
      <c r="CQ3317">
        <v>0</v>
      </c>
      <c r="CR3317">
        <v>2</v>
      </c>
      <c r="CS3317">
        <v>0</v>
      </c>
      <c r="CT3317">
        <v>2</v>
      </c>
      <c r="CU3317">
        <v>0</v>
      </c>
      <c r="CV3317">
        <v>6</v>
      </c>
      <c r="CW3317" t="s">
        <v>120</v>
      </c>
      <c r="CX3317">
        <v>257</v>
      </c>
      <c r="CY3317">
        <v>0</v>
      </c>
      <c r="CZ3317" t="s">
        <v>615</v>
      </c>
      <c r="DA3317" t="s">
        <v>616</v>
      </c>
      <c r="DD3317">
        <v>16373785</v>
      </c>
      <c r="DE3317" t="s">
        <v>123</v>
      </c>
    </row>
    <row r="3318" spans="1:109" x14ac:dyDescent="0.3">
      <c r="A3318" t="str">
        <f>"19:30:14.328"</f>
        <v>19:30:14.328</v>
      </c>
      <c r="B3318" t="s">
        <v>110</v>
      </c>
      <c r="C3318" t="str">
        <f t="shared" si="153"/>
        <v>ffdfd3c0</v>
      </c>
      <c r="D3318" t="s">
        <v>111</v>
      </c>
      <c r="E3318">
        <v>18</v>
      </c>
      <c r="F3318">
        <v>1018</v>
      </c>
      <c r="G3318" t="s">
        <v>112</v>
      </c>
      <c r="J3318" t="s">
        <v>113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R3318" t="s">
        <v>114</v>
      </c>
      <c r="S3318" t="str">
        <f>"19:30:14.094"</f>
        <v>19:30:14.094</v>
      </c>
      <c r="T3318" t="str">
        <f>"19:30:13.891"</f>
        <v>19:30:13.891</v>
      </c>
      <c r="U3318" t="str">
        <f t="shared" si="154"/>
        <v>a1cdbe</v>
      </c>
      <c r="V3318">
        <v>0</v>
      </c>
      <c r="W3318">
        <v>0</v>
      </c>
      <c r="X3318">
        <v>2</v>
      </c>
      <c r="Y3318">
        <v>0</v>
      </c>
      <c r="Z3318">
        <v>0</v>
      </c>
      <c r="AB3318">
        <v>0</v>
      </c>
      <c r="AC3318">
        <v>9</v>
      </c>
      <c r="AD3318">
        <v>3</v>
      </c>
      <c r="AE3318">
        <v>0</v>
      </c>
      <c r="AF3318">
        <v>9</v>
      </c>
      <c r="AG3318" t="s">
        <v>158</v>
      </c>
      <c r="AH3318">
        <v>0</v>
      </c>
      <c r="AI3318">
        <v>3</v>
      </c>
      <c r="AJ3318">
        <v>1</v>
      </c>
      <c r="AK3318">
        <v>0</v>
      </c>
      <c r="AL3318" t="s">
        <v>791</v>
      </c>
      <c r="AM3318">
        <v>47.005198</v>
      </c>
      <c r="AN3318" t="s">
        <v>6241</v>
      </c>
      <c r="AO3318">
        <v>-123.688073</v>
      </c>
      <c r="AP3318">
        <v>100</v>
      </c>
      <c r="AQ3318">
        <v>2100</v>
      </c>
      <c r="AR3318" t="s">
        <v>118</v>
      </c>
      <c r="AS3318">
        <v>-78</v>
      </c>
      <c r="AT3318">
        <v>13</v>
      </c>
      <c r="AU3318">
        <v>-64</v>
      </c>
      <c r="BC3318">
        <v>1200</v>
      </c>
      <c r="BD3318">
        <v>1</v>
      </c>
      <c r="BE3318" t="str">
        <f t="shared" si="155"/>
        <v xml:space="preserve">N215T   </v>
      </c>
      <c r="BF3318">
        <v>1</v>
      </c>
      <c r="BH3318">
        <v>0</v>
      </c>
      <c r="BI3318">
        <v>0</v>
      </c>
      <c r="BJ3318">
        <v>0</v>
      </c>
      <c r="BK3318">
        <v>2500</v>
      </c>
      <c r="BL3318">
        <v>400</v>
      </c>
      <c r="BM3318" t="s">
        <v>119</v>
      </c>
      <c r="BN3318">
        <v>1</v>
      </c>
      <c r="BO3318">
        <v>1</v>
      </c>
      <c r="BP3318">
        <v>1</v>
      </c>
      <c r="BQ3318">
        <v>0</v>
      </c>
      <c r="BT3318">
        <v>0</v>
      </c>
      <c r="BU3318">
        <v>0</v>
      </c>
      <c r="BV3318">
        <v>0</v>
      </c>
      <c r="CC3318" t="str">
        <f>"19:30:14.102"</f>
        <v>19:30:14.102</v>
      </c>
      <c r="CD3318" t="str">
        <f>"100522856"</f>
        <v>100522856</v>
      </c>
      <c r="CQ3318">
        <v>0</v>
      </c>
      <c r="CR3318">
        <v>2</v>
      </c>
      <c r="CS3318">
        <v>0</v>
      </c>
      <c r="CT3318">
        <v>2</v>
      </c>
      <c r="CU3318">
        <v>0</v>
      </c>
      <c r="CV3318">
        <v>6</v>
      </c>
      <c r="CW3318" t="s">
        <v>120</v>
      </c>
      <c r="CX3318">
        <v>257</v>
      </c>
      <c r="CY3318">
        <v>0</v>
      </c>
      <c r="CZ3318" t="s">
        <v>615</v>
      </c>
      <c r="DA3318" t="s">
        <v>616</v>
      </c>
      <c r="DD3318">
        <v>16374257</v>
      </c>
      <c r="DE3318" t="s">
        <v>123</v>
      </c>
    </row>
    <row r="3319" spans="1:109" x14ac:dyDescent="0.3">
      <c r="A3319" t="str">
        <f>"19:30:15.234"</f>
        <v>19:30:15.234</v>
      </c>
      <c r="B3319" t="s">
        <v>110</v>
      </c>
      <c r="C3319" t="str">
        <f t="shared" si="153"/>
        <v>ffdfd3c0</v>
      </c>
      <c r="D3319" t="s">
        <v>111</v>
      </c>
      <c r="E3319">
        <v>18</v>
      </c>
      <c r="F3319">
        <v>1018</v>
      </c>
      <c r="G3319" t="s">
        <v>112</v>
      </c>
      <c r="J3319" t="s">
        <v>113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R3319" t="s">
        <v>114</v>
      </c>
      <c r="S3319" t="str">
        <f>"19:30:14.984"</f>
        <v>19:30:14.984</v>
      </c>
      <c r="T3319" t="str">
        <f>"19:30:14.781"</f>
        <v>19:30:14.781</v>
      </c>
      <c r="U3319" t="str">
        <f t="shared" si="154"/>
        <v>a1cdbe</v>
      </c>
      <c r="V3319">
        <v>0</v>
      </c>
      <c r="W3319">
        <v>0</v>
      </c>
      <c r="X3319">
        <v>2</v>
      </c>
      <c r="Y3319">
        <v>0</v>
      </c>
      <c r="Z3319">
        <v>0</v>
      </c>
      <c r="AB3319">
        <v>0</v>
      </c>
      <c r="AC3319">
        <v>9</v>
      </c>
      <c r="AD3319">
        <v>3</v>
      </c>
      <c r="AE3319">
        <v>0</v>
      </c>
      <c r="AF3319">
        <v>9</v>
      </c>
      <c r="AG3319" t="s">
        <v>158</v>
      </c>
      <c r="AH3319">
        <v>0</v>
      </c>
      <c r="AI3319">
        <v>3</v>
      </c>
      <c r="AJ3319">
        <v>1</v>
      </c>
      <c r="AK3319">
        <v>0</v>
      </c>
      <c r="AL3319" t="s">
        <v>6242</v>
      </c>
      <c r="AM3319">
        <v>47.005240999999998</v>
      </c>
      <c r="AN3319" t="s">
        <v>6243</v>
      </c>
      <c r="AO3319">
        <v>-123.688524</v>
      </c>
      <c r="AP3319">
        <v>100</v>
      </c>
      <c r="AQ3319">
        <v>2100</v>
      </c>
      <c r="AR3319" t="s">
        <v>118</v>
      </c>
      <c r="AS3319">
        <v>-78</v>
      </c>
      <c r="AT3319">
        <v>13</v>
      </c>
      <c r="AU3319">
        <v>-64</v>
      </c>
      <c r="BC3319">
        <v>1200</v>
      </c>
      <c r="BD3319">
        <v>1</v>
      </c>
      <c r="BE3319" t="str">
        <f t="shared" si="155"/>
        <v xml:space="preserve">N215T   </v>
      </c>
      <c r="BF3319">
        <v>1</v>
      </c>
      <c r="BH3319">
        <v>0</v>
      </c>
      <c r="BI3319">
        <v>0</v>
      </c>
      <c r="BJ3319">
        <v>0</v>
      </c>
      <c r="BK3319">
        <v>2500</v>
      </c>
      <c r="BL3319">
        <v>400</v>
      </c>
      <c r="BM3319" t="s">
        <v>119</v>
      </c>
      <c r="BN3319">
        <v>1</v>
      </c>
      <c r="BO3319">
        <v>1</v>
      </c>
      <c r="BP3319">
        <v>1</v>
      </c>
      <c r="BQ3319">
        <v>0</v>
      </c>
      <c r="BT3319">
        <v>0</v>
      </c>
      <c r="BU3319">
        <v>0</v>
      </c>
      <c r="BV3319">
        <v>0</v>
      </c>
      <c r="CC3319" t="str">
        <f>"19:30:14.984"</f>
        <v>19:30:14.984</v>
      </c>
      <c r="CD3319" t="str">
        <f>"985435631"</f>
        <v>985435631</v>
      </c>
      <c r="CQ3319">
        <v>0</v>
      </c>
      <c r="CR3319">
        <v>2</v>
      </c>
      <c r="CS3319">
        <v>0</v>
      </c>
      <c r="CT3319">
        <v>2</v>
      </c>
      <c r="CU3319">
        <v>0</v>
      </c>
      <c r="CV3319">
        <v>6</v>
      </c>
      <c r="CW3319" t="s">
        <v>120</v>
      </c>
      <c r="CX3319">
        <v>257</v>
      </c>
      <c r="CY3319">
        <v>0</v>
      </c>
      <c r="CZ3319" t="s">
        <v>615</v>
      </c>
      <c r="DA3319" t="s">
        <v>616</v>
      </c>
      <c r="DD3319">
        <v>16374689</v>
      </c>
      <c r="DE3319" t="s">
        <v>123</v>
      </c>
    </row>
    <row r="3320" spans="1:109" x14ac:dyDescent="0.3">
      <c r="A3320" t="str">
        <f>"19:30:16.336"</f>
        <v>19:30:16.336</v>
      </c>
      <c r="B3320" t="s">
        <v>110</v>
      </c>
      <c r="C3320" t="str">
        <f t="shared" si="153"/>
        <v>ffdfd3c0</v>
      </c>
      <c r="D3320" t="s">
        <v>111</v>
      </c>
      <c r="E3320">
        <v>18</v>
      </c>
      <c r="F3320">
        <v>1018</v>
      </c>
      <c r="G3320" t="s">
        <v>112</v>
      </c>
      <c r="J3320" t="s">
        <v>113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R3320" t="s">
        <v>114</v>
      </c>
      <c r="S3320" t="str">
        <f>"19:30:16.078"</f>
        <v>19:30:16.078</v>
      </c>
      <c r="T3320" t="str">
        <f>"19:30:15.875"</f>
        <v>19:30:15.875</v>
      </c>
      <c r="U3320" t="str">
        <f t="shared" si="154"/>
        <v>a1cdbe</v>
      </c>
      <c r="V3320">
        <v>0</v>
      </c>
      <c r="W3320">
        <v>0</v>
      </c>
      <c r="X3320">
        <v>2</v>
      </c>
      <c r="Y3320">
        <v>0</v>
      </c>
      <c r="Z3320">
        <v>0</v>
      </c>
      <c r="AB3320">
        <v>0</v>
      </c>
      <c r="AC3320">
        <v>9</v>
      </c>
      <c r="AD3320">
        <v>3</v>
      </c>
      <c r="AE3320">
        <v>0</v>
      </c>
      <c r="AF3320">
        <v>9</v>
      </c>
      <c r="AG3320" t="s">
        <v>158</v>
      </c>
      <c r="AH3320">
        <v>0</v>
      </c>
      <c r="AI3320">
        <v>3</v>
      </c>
      <c r="AJ3320">
        <v>1</v>
      </c>
      <c r="AK3320">
        <v>0</v>
      </c>
      <c r="AL3320" t="s">
        <v>6244</v>
      </c>
      <c r="AM3320">
        <v>47.005327000000001</v>
      </c>
      <c r="AN3320" t="s">
        <v>6245</v>
      </c>
      <c r="AO3320">
        <v>-123.689103</v>
      </c>
      <c r="AP3320">
        <v>100</v>
      </c>
      <c r="AQ3320">
        <v>2100</v>
      </c>
      <c r="AR3320" t="s">
        <v>118</v>
      </c>
      <c r="AS3320">
        <v>-78</v>
      </c>
      <c r="AT3320">
        <v>13</v>
      </c>
      <c r="AU3320">
        <v>-128</v>
      </c>
      <c r="BC3320">
        <v>1200</v>
      </c>
      <c r="BD3320">
        <v>1</v>
      </c>
      <c r="BE3320" t="str">
        <f t="shared" si="155"/>
        <v xml:space="preserve">N215T   </v>
      </c>
      <c r="BF3320">
        <v>1</v>
      </c>
      <c r="BH3320">
        <v>0</v>
      </c>
      <c r="BI3320">
        <v>0</v>
      </c>
      <c r="BJ3320">
        <v>0</v>
      </c>
      <c r="BK3320">
        <v>2475</v>
      </c>
      <c r="BL3320">
        <v>375</v>
      </c>
      <c r="BM3320" t="s">
        <v>119</v>
      </c>
      <c r="BN3320">
        <v>1</v>
      </c>
      <c r="BO3320">
        <v>1</v>
      </c>
      <c r="BP3320">
        <v>1</v>
      </c>
      <c r="BQ3320">
        <v>0</v>
      </c>
      <c r="BT3320">
        <v>0</v>
      </c>
      <c r="BU3320">
        <v>0</v>
      </c>
      <c r="BV3320">
        <v>0</v>
      </c>
      <c r="CC3320" t="str">
        <f>"19:30:16.078"</f>
        <v>19:30:16.078</v>
      </c>
      <c r="CD3320" t="str">
        <f>"080327754"</f>
        <v>080327754</v>
      </c>
      <c r="CQ3320">
        <v>0</v>
      </c>
      <c r="CR3320">
        <v>2</v>
      </c>
      <c r="CS3320">
        <v>0</v>
      </c>
      <c r="CT3320">
        <v>2</v>
      </c>
      <c r="CU3320">
        <v>0</v>
      </c>
      <c r="CV3320">
        <v>6</v>
      </c>
      <c r="CW3320" t="s">
        <v>120</v>
      </c>
      <c r="CX3320">
        <v>257</v>
      </c>
      <c r="CY3320">
        <v>0</v>
      </c>
      <c r="CZ3320" t="s">
        <v>615</v>
      </c>
      <c r="DA3320" t="s">
        <v>616</v>
      </c>
      <c r="DD3320">
        <v>16375165</v>
      </c>
      <c r="DE3320" t="s">
        <v>123</v>
      </c>
    </row>
    <row r="3321" spans="1:109" x14ac:dyDescent="0.3">
      <c r="A3321" t="str">
        <f>"19:30:17.242"</f>
        <v>19:30:17.242</v>
      </c>
      <c r="B3321" t="s">
        <v>110</v>
      </c>
      <c r="C3321" t="str">
        <f t="shared" si="153"/>
        <v>ffdfd3c0</v>
      </c>
      <c r="D3321" t="s">
        <v>111</v>
      </c>
      <c r="E3321">
        <v>18</v>
      </c>
      <c r="F3321">
        <v>1018</v>
      </c>
      <c r="G3321" t="s">
        <v>112</v>
      </c>
      <c r="J3321" t="s">
        <v>113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R3321" t="s">
        <v>114</v>
      </c>
      <c r="S3321" t="str">
        <f>"19:30:17.023"</f>
        <v>19:30:17.023</v>
      </c>
      <c r="T3321" t="str">
        <f>"19:30:16.820"</f>
        <v>19:30:16.820</v>
      </c>
      <c r="U3321" t="str">
        <f t="shared" si="154"/>
        <v>a1cdbe</v>
      </c>
      <c r="V3321">
        <v>0</v>
      </c>
      <c r="W3321">
        <v>0</v>
      </c>
      <c r="X3321">
        <v>2</v>
      </c>
      <c r="Y3321">
        <v>0</v>
      </c>
      <c r="Z3321">
        <v>0</v>
      </c>
      <c r="AB3321">
        <v>0</v>
      </c>
      <c r="AC3321">
        <v>9</v>
      </c>
      <c r="AD3321">
        <v>3</v>
      </c>
      <c r="AE3321">
        <v>0</v>
      </c>
      <c r="AF3321">
        <v>9</v>
      </c>
      <c r="AG3321" t="s">
        <v>158</v>
      </c>
      <c r="AH3321">
        <v>0</v>
      </c>
      <c r="AI3321">
        <v>3</v>
      </c>
      <c r="AJ3321">
        <v>1</v>
      </c>
      <c r="AK3321">
        <v>0</v>
      </c>
      <c r="AL3321" t="s">
        <v>6246</v>
      </c>
      <c r="AM3321">
        <v>47.005369999999999</v>
      </c>
      <c r="AN3321" t="s">
        <v>6247</v>
      </c>
      <c r="AO3321">
        <v>-123.689575</v>
      </c>
      <c r="AP3321">
        <v>100</v>
      </c>
      <c r="AQ3321">
        <v>2100</v>
      </c>
      <c r="AR3321" t="s">
        <v>118</v>
      </c>
      <c r="AS3321">
        <v>-78</v>
      </c>
      <c r="AT3321">
        <v>13</v>
      </c>
      <c r="AU3321">
        <v>-128</v>
      </c>
      <c r="BC3321">
        <v>1200</v>
      </c>
      <c r="BD3321">
        <v>1</v>
      </c>
      <c r="BE3321" t="str">
        <f t="shared" si="155"/>
        <v xml:space="preserve">N215T   </v>
      </c>
      <c r="BF3321">
        <v>1</v>
      </c>
      <c r="BH3321">
        <v>0</v>
      </c>
      <c r="BI3321">
        <v>0</v>
      </c>
      <c r="BJ3321">
        <v>0</v>
      </c>
      <c r="BK3321">
        <v>2500</v>
      </c>
      <c r="BL3321">
        <v>400</v>
      </c>
      <c r="BM3321" t="s">
        <v>119</v>
      </c>
      <c r="BN3321">
        <v>1</v>
      </c>
      <c r="BO3321">
        <v>1</v>
      </c>
      <c r="BP3321">
        <v>1</v>
      </c>
      <c r="BQ3321">
        <v>0</v>
      </c>
      <c r="BT3321">
        <v>0</v>
      </c>
      <c r="BU3321">
        <v>0</v>
      </c>
      <c r="BV3321">
        <v>0</v>
      </c>
      <c r="CC3321" t="str">
        <f>"19:30:17.023"</f>
        <v>19:30:17.023</v>
      </c>
      <c r="CD3321" t="str">
        <f>"025234635"</f>
        <v>025234635</v>
      </c>
      <c r="CQ3321">
        <v>0</v>
      </c>
      <c r="CR3321">
        <v>2</v>
      </c>
      <c r="CS3321">
        <v>0</v>
      </c>
      <c r="CT3321">
        <v>2</v>
      </c>
      <c r="CU3321">
        <v>0</v>
      </c>
      <c r="CV3321">
        <v>6</v>
      </c>
      <c r="CW3321" t="s">
        <v>120</v>
      </c>
      <c r="CX3321">
        <v>257</v>
      </c>
      <c r="CY3321">
        <v>0</v>
      </c>
      <c r="CZ3321" t="s">
        <v>615</v>
      </c>
      <c r="DA3321" t="s">
        <v>616</v>
      </c>
      <c r="DD3321">
        <v>16375575</v>
      </c>
      <c r="DE3321" t="s">
        <v>123</v>
      </c>
    </row>
    <row r="3322" spans="1:109" x14ac:dyDescent="0.3">
      <c r="A3322" t="str">
        <f>"19:30:18.250"</f>
        <v>19:30:18.250</v>
      </c>
      <c r="B3322" t="s">
        <v>110</v>
      </c>
      <c r="C3322" t="str">
        <f t="shared" si="153"/>
        <v>ffdfd3c0</v>
      </c>
      <c r="D3322" t="s">
        <v>111</v>
      </c>
      <c r="E3322">
        <v>18</v>
      </c>
      <c r="F3322">
        <v>1018</v>
      </c>
      <c r="G3322" t="s">
        <v>112</v>
      </c>
      <c r="J3322" t="s">
        <v>113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R3322" t="s">
        <v>114</v>
      </c>
      <c r="S3322" t="str">
        <f>"19:30:18.039"</f>
        <v>19:30:18.039</v>
      </c>
      <c r="T3322" t="str">
        <f>"19:30:17.836"</f>
        <v>19:30:17.836</v>
      </c>
      <c r="U3322" t="str">
        <f t="shared" si="154"/>
        <v>a1cdbe</v>
      </c>
      <c r="V3322">
        <v>0</v>
      </c>
      <c r="W3322">
        <v>0</v>
      </c>
      <c r="X3322">
        <v>2</v>
      </c>
      <c r="Y3322">
        <v>0</v>
      </c>
      <c r="Z3322">
        <v>0</v>
      </c>
      <c r="AB3322">
        <v>0</v>
      </c>
      <c r="AC3322">
        <v>9</v>
      </c>
      <c r="AD3322">
        <v>3</v>
      </c>
      <c r="AE3322">
        <v>0</v>
      </c>
      <c r="AF3322">
        <v>9</v>
      </c>
      <c r="AG3322" t="s">
        <v>158</v>
      </c>
      <c r="AH3322">
        <v>0</v>
      </c>
      <c r="AI3322">
        <v>3</v>
      </c>
      <c r="AJ3322">
        <v>1</v>
      </c>
      <c r="AK3322">
        <v>0</v>
      </c>
      <c r="AL3322" t="s">
        <v>6248</v>
      </c>
      <c r="AM3322">
        <v>47.005412999999997</v>
      </c>
      <c r="AN3322" t="s">
        <v>6249</v>
      </c>
      <c r="AO3322">
        <v>-123.690133</v>
      </c>
      <c r="AP3322">
        <v>100</v>
      </c>
      <c r="AQ3322">
        <v>2100</v>
      </c>
      <c r="AR3322" t="s">
        <v>118</v>
      </c>
      <c r="AS3322">
        <v>-79</v>
      </c>
      <c r="AT3322">
        <v>13</v>
      </c>
      <c r="AU3322">
        <v>-192</v>
      </c>
      <c r="BC3322">
        <v>1200</v>
      </c>
      <c r="BD3322">
        <v>1</v>
      </c>
      <c r="BE3322" t="str">
        <f t="shared" si="155"/>
        <v xml:space="preserve">N215T   </v>
      </c>
      <c r="BF3322">
        <v>1</v>
      </c>
      <c r="BH3322">
        <v>0</v>
      </c>
      <c r="BI3322">
        <v>0</v>
      </c>
      <c r="BJ3322">
        <v>0</v>
      </c>
      <c r="BK3322">
        <v>2475</v>
      </c>
      <c r="BL3322">
        <v>375</v>
      </c>
      <c r="BM3322" t="s">
        <v>119</v>
      </c>
      <c r="BN3322">
        <v>1</v>
      </c>
      <c r="BO3322">
        <v>1</v>
      </c>
      <c r="BP3322">
        <v>1</v>
      </c>
      <c r="BQ3322">
        <v>0</v>
      </c>
      <c r="BT3322">
        <v>0</v>
      </c>
      <c r="BU3322">
        <v>0</v>
      </c>
      <c r="BV3322">
        <v>0</v>
      </c>
      <c r="CC3322" t="str">
        <f>"19:30:18.047"</f>
        <v>19:30:18.047</v>
      </c>
      <c r="CD3322" t="str">
        <f>"045134122"</f>
        <v>045134122</v>
      </c>
      <c r="CQ3322">
        <v>0</v>
      </c>
      <c r="CR3322">
        <v>2</v>
      </c>
      <c r="CS3322">
        <v>0</v>
      </c>
      <c r="CT3322">
        <v>2</v>
      </c>
      <c r="CU3322">
        <v>0</v>
      </c>
      <c r="CV3322">
        <v>6</v>
      </c>
      <c r="CW3322" t="s">
        <v>120</v>
      </c>
      <c r="CX3322">
        <v>257</v>
      </c>
      <c r="CY3322">
        <v>0</v>
      </c>
      <c r="CZ3322" t="s">
        <v>615</v>
      </c>
      <c r="DA3322" t="s">
        <v>616</v>
      </c>
      <c r="DD3322">
        <v>16376034</v>
      </c>
      <c r="DE3322" t="s">
        <v>123</v>
      </c>
    </row>
    <row r="3323" spans="1:109" x14ac:dyDescent="0.3">
      <c r="A3323" t="str">
        <f>"19:30:19.406"</f>
        <v>19:30:19.406</v>
      </c>
      <c r="B3323" t="s">
        <v>110</v>
      </c>
      <c r="C3323" t="str">
        <f t="shared" si="153"/>
        <v>ffdfd3c0</v>
      </c>
      <c r="D3323" t="s">
        <v>111</v>
      </c>
      <c r="E3323">
        <v>18</v>
      </c>
      <c r="F3323">
        <v>1018</v>
      </c>
      <c r="G3323" t="s">
        <v>112</v>
      </c>
      <c r="J3323" t="s">
        <v>113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R3323" t="s">
        <v>114</v>
      </c>
      <c r="S3323" t="str">
        <f>"19:30:19.148"</f>
        <v>19:30:19.148</v>
      </c>
      <c r="T3323" t="str">
        <f>"19:30:18.648"</f>
        <v>19:30:18.648</v>
      </c>
      <c r="U3323" t="str">
        <f t="shared" si="154"/>
        <v>a1cdbe</v>
      </c>
      <c r="V3323">
        <v>0</v>
      </c>
      <c r="W3323">
        <v>0</v>
      </c>
      <c r="X3323">
        <v>2</v>
      </c>
      <c r="Y3323">
        <v>0</v>
      </c>
      <c r="Z3323">
        <v>0</v>
      </c>
      <c r="AB3323">
        <v>0</v>
      </c>
      <c r="AC3323">
        <v>9</v>
      </c>
      <c r="AD3323">
        <v>3</v>
      </c>
      <c r="AE3323">
        <v>0</v>
      </c>
      <c r="AF3323">
        <v>9</v>
      </c>
      <c r="AG3323" t="s">
        <v>158</v>
      </c>
      <c r="AH3323">
        <v>0</v>
      </c>
      <c r="AI3323">
        <v>3</v>
      </c>
      <c r="AJ3323">
        <v>1</v>
      </c>
      <c r="AK3323">
        <v>0</v>
      </c>
      <c r="AL3323" t="s">
        <v>6250</v>
      </c>
      <c r="AM3323">
        <v>47.005476999999999</v>
      </c>
      <c r="AN3323" t="s">
        <v>6251</v>
      </c>
      <c r="AO3323">
        <v>-123.690712</v>
      </c>
      <c r="AP3323">
        <v>100</v>
      </c>
      <c r="AQ3323">
        <v>2100</v>
      </c>
      <c r="AR3323" t="s">
        <v>118</v>
      </c>
      <c r="AS3323">
        <v>-79</v>
      </c>
      <c r="AT3323">
        <v>14</v>
      </c>
      <c r="AU3323">
        <v>-192</v>
      </c>
      <c r="BC3323">
        <v>1200</v>
      </c>
      <c r="BD3323">
        <v>1</v>
      </c>
      <c r="BE3323" t="str">
        <f t="shared" si="155"/>
        <v xml:space="preserve">N215T   </v>
      </c>
      <c r="BF3323">
        <v>1</v>
      </c>
      <c r="BH3323">
        <v>0</v>
      </c>
      <c r="BI3323">
        <v>0</v>
      </c>
      <c r="BJ3323">
        <v>0</v>
      </c>
      <c r="BK3323">
        <v>2475</v>
      </c>
      <c r="BL3323">
        <v>375</v>
      </c>
      <c r="BM3323" t="s">
        <v>119</v>
      </c>
      <c r="BN3323">
        <v>1</v>
      </c>
      <c r="BO3323">
        <v>1</v>
      </c>
      <c r="BP3323">
        <v>1</v>
      </c>
      <c r="BQ3323">
        <v>0</v>
      </c>
      <c r="BT3323">
        <v>0</v>
      </c>
      <c r="BU3323">
        <v>0</v>
      </c>
      <c r="BV3323">
        <v>0</v>
      </c>
      <c r="CC3323" t="str">
        <f>"19:30:19.156"</f>
        <v>19:30:19.156</v>
      </c>
      <c r="CD3323" t="str">
        <f>"155024729"</f>
        <v>155024729</v>
      </c>
      <c r="CQ3323">
        <v>0</v>
      </c>
      <c r="CR3323">
        <v>2</v>
      </c>
      <c r="CS3323">
        <v>0</v>
      </c>
      <c r="CT3323">
        <v>2</v>
      </c>
      <c r="CU3323">
        <v>0</v>
      </c>
      <c r="CV3323">
        <v>6</v>
      </c>
      <c r="CW3323" t="s">
        <v>120</v>
      </c>
      <c r="CX3323">
        <v>257</v>
      </c>
      <c r="CY3323">
        <v>0</v>
      </c>
      <c r="CZ3323" t="s">
        <v>615</v>
      </c>
      <c r="DA3323" t="s">
        <v>616</v>
      </c>
      <c r="DD3323">
        <v>16376591</v>
      </c>
      <c r="DE3323" t="s">
        <v>123</v>
      </c>
    </row>
    <row r="3324" spans="1:109" x14ac:dyDescent="0.3">
      <c r="A3324" t="str">
        <f>"19:30:20.508"</f>
        <v>19:30:20.508</v>
      </c>
      <c r="B3324" t="s">
        <v>110</v>
      </c>
      <c r="C3324" t="str">
        <f t="shared" si="153"/>
        <v>ffdfd3c0</v>
      </c>
      <c r="D3324" t="s">
        <v>111</v>
      </c>
      <c r="E3324">
        <v>18</v>
      </c>
      <c r="F3324">
        <v>1018</v>
      </c>
      <c r="G3324" t="s">
        <v>112</v>
      </c>
      <c r="J3324" t="s">
        <v>113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R3324" t="s">
        <v>114</v>
      </c>
      <c r="S3324" t="str">
        <f>"19:30:20.273"</f>
        <v>19:30:20.273</v>
      </c>
      <c r="T3324" t="str">
        <f>"19:30:19.875"</f>
        <v>19:30:19.875</v>
      </c>
      <c r="U3324" t="str">
        <f t="shared" si="154"/>
        <v>a1cdbe</v>
      </c>
      <c r="V3324">
        <v>0</v>
      </c>
      <c r="W3324">
        <v>0</v>
      </c>
      <c r="X3324">
        <v>2</v>
      </c>
      <c r="Y3324">
        <v>0</v>
      </c>
      <c r="Z3324">
        <v>0</v>
      </c>
      <c r="AB3324">
        <v>0</v>
      </c>
      <c r="AC3324">
        <v>9</v>
      </c>
      <c r="AD3324">
        <v>3</v>
      </c>
      <c r="AE3324">
        <v>0</v>
      </c>
      <c r="AF3324">
        <v>9</v>
      </c>
      <c r="AG3324" t="s">
        <v>158</v>
      </c>
      <c r="AH3324">
        <v>0</v>
      </c>
      <c r="AI3324">
        <v>3</v>
      </c>
      <c r="AJ3324">
        <v>1</v>
      </c>
      <c r="AK3324">
        <v>0</v>
      </c>
      <c r="AL3324" t="s">
        <v>6252</v>
      </c>
      <c r="AM3324">
        <v>47.005563000000002</v>
      </c>
      <c r="AN3324" t="s">
        <v>6253</v>
      </c>
      <c r="AO3324">
        <v>-123.691335</v>
      </c>
      <c r="AP3324">
        <v>100</v>
      </c>
      <c r="AQ3324">
        <v>2100</v>
      </c>
      <c r="AR3324" t="s">
        <v>118</v>
      </c>
      <c r="AS3324">
        <v>-79</v>
      </c>
      <c r="AT3324">
        <v>14</v>
      </c>
      <c r="AU3324">
        <v>-192</v>
      </c>
      <c r="BC3324">
        <v>1200</v>
      </c>
      <c r="BD3324">
        <v>1</v>
      </c>
      <c r="BE3324" t="str">
        <f t="shared" si="155"/>
        <v xml:space="preserve">N215T   </v>
      </c>
      <c r="BF3324">
        <v>1</v>
      </c>
      <c r="BH3324">
        <v>0</v>
      </c>
      <c r="BI3324">
        <v>0</v>
      </c>
      <c r="BJ3324">
        <v>0</v>
      </c>
      <c r="BK3324">
        <v>2475</v>
      </c>
      <c r="BL3324">
        <v>375</v>
      </c>
      <c r="BM3324" t="s">
        <v>119</v>
      </c>
      <c r="BN3324">
        <v>1</v>
      </c>
      <c r="BO3324">
        <v>1</v>
      </c>
      <c r="BP3324">
        <v>1</v>
      </c>
      <c r="BQ3324">
        <v>0</v>
      </c>
      <c r="BT3324">
        <v>0</v>
      </c>
      <c r="BU3324">
        <v>0</v>
      </c>
      <c r="BV3324">
        <v>0</v>
      </c>
      <c r="CC3324" t="str">
        <f>"19:30:20.281"</f>
        <v>19:30:20.281</v>
      </c>
      <c r="CD3324" t="str">
        <f>"279913881"</f>
        <v>279913881</v>
      </c>
      <c r="CQ3324">
        <v>0</v>
      </c>
      <c r="CR3324">
        <v>2</v>
      </c>
      <c r="CS3324">
        <v>0</v>
      </c>
      <c r="CT3324">
        <v>2</v>
      </c>
      <c r="CU3324">
        <v>0</v>
      </c>
      <c r="CV3324">
        <v>6</v>
      </c>
      <c r="CW3324" t="s">
        <v>120</v>
      </c>
      <c r="CX3324">
        <v>257</v>
      </c>
      <c r="CY3324">
        <v>0</v>
      </c>
      <c r="CZ3324" t="s">
        <v>615</v>
      </c>
      <c r="DA3324" t="s">
        <v>616</v>
      </c>
      <c r="DD3324">
        <v>16377107</v>
      </c>
      <c r="DE3324" t="s">
        <v>123</v>
      </c>
    </row>
    <row r="3325" spans="1:109" x14ac:dyDescent="0.3">
      <c r="A3325" t="str">
        <f>"19:30:21.664"</f>
        <v>19:30:21.664</v>
      </c>
      <c r="B3325" t="s">
        <v>110</v>
      </c>
      <c r="C3325" t="str">
        <f t="shared" si="153"/>
        <v>ffdfd3c0</v>
      </c>
      <c r="D3325" t="s">
        <v>111</v>
      </c>
      <c r="E3325">
        <v>18</v>
      </c>
      <c r="F3325">
        <v>1018</v>
      </c>
      <c r="G3325" t="s">
        <v>112</v>
      </c>
      <c r="J3325" t="s">
        <v>113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R3325" t="s">
        <v>114</v>
      </c>
      <c r="S3325" t="str">
        <f>"19:30:21.430"</f>
        <v>19:30:21.430</v>
      </c>
      <c r="T3325" t="str">
        <f>"19:30:21.227"</f>
        <v>19:30:21.227</v>
      </c>
      <c r="U3325" t="str">
        <f t="shared" si="154"/>
        <v>a1cdbe</v>
      </c>
      <c r="V3325">
        <v>0</v>
      </c>
      <c r="W3325">
        <v>0</v>
      </c>
      <c r="X3325">
        <v>2</v>
      </c>
      <c r="Y3325">
        <v>0</v>
      </c>
      <c r="Z3325">
        <v>0</v>
      </c>
      <c r="AB3325">
        <v>0</v>
      </c>
      <c r="AC3325">
        <v>9</v>
      </c>
      <c r="AD3325">
        <v>3</v>
      </c>
      <c r="AE3325">
        <v>0</v>
      </c>
      <c r="AF3325">
        <v>9</v>
      </c>
      <c r="AG3325" t="s">
        <v>158</v>
      </c>
      <c r="AH3325">
        <v>0</v>
      </c>
      <c r="AI3325">
        <v>3</v>
      </c>
      <c r="AJ3325">
        <v>1</v>
      </c>
      <c r="AK3325">
        <v>0</v>
      </c>
      <c r="AL3325" t="s">
        <v>6254</v>
      </c>
      <c r="AM3325">
        <v>47.005648999999998</v>
      </c>
      <c r="AN3325" t="s">
        <v>6255</v>
      </c>
      <c r="AO3325">
        <v>-123.69197800000001</v>
      </c>
      <c r="AP3325">
        <v>100</v>
      </c>
      <c r="AQ3325">
        <v>2100</v>
      </c>
      <c r="AR3325" t="s">
        <v>118</v>
      </c>
      <c r="AS3325">
        <v>-80</v>
      </c>
      <c r="AT3325">
        <v>14</v>
      </c>
      <c r="AU3325">
        <v>-128</v>
      </c>
      <c r="BC3325">
        <v>1200</v>
      </c>
      <c r="BD3325">
        <v>1</v>
      </c>
      <c r="BE3325" t="str">
        <f t="shared" si="155"/>
        <v xml:space="preserve">N215T   </v>
      </c>
      <c r="BF3325">
        <v>1</v>
      </c>
      <c r="BH3325">
        <v>0</v>
      </c>
      <c r="BI3325">
        <v>0</v>
      </c>
      <c r="BJ3325">
        <v>0</v>
      </c>
      <c r="BK3325">
        <v>2475</v>
      </c>
      <c r="BL3325">
        <v>375</v>
      </c>
      <c r="BM3325" t="s">
        <v>119</v>
      </c>
      <c r="BN3325">
        <v>1</v>
      </c>
      <c r="BO3325">
        <v>1</v>
      </c>
      <c r="BP3325">
        <v>1</v>
      </c>
      <c r="BQ3325">
        <v>0</v>
      </c>
      <c r="BT3325">
        <v>0</v>
      </c>
      <c r="BU3325">
        <v>0</v>
      </c>
      <c r="BV3325">
        <v>0</v>
      </c>
      <c r="CC3325" t="str">
        <f>"19:30:21.438"</f>
        <v>19:30:21.438</v>
      </c>
      <c r="CD3325" t="str">
        <f>"434800077"</f>
        <v>434800077</v>
      </c>
      <c r="CQ3325">
        <v>0</v>
      </c>
      <c r="CR3325">
        <v>2</v>
      </c>
      <c r="CS3325">
        <v>0</v>
      </c>
      <c r="CT3325">
        <v>2</v>
      </c>
      <c r="CU3325">
        <v>0</v>
      </c>
      <c r="CV3325">
        <v>6</v>
      </c>
      <c r="CW3325" t="s">
        <v>120</v>
      </c>
      <c r="CX3325">
        <v>257</v>
      </c>
      <c r="CY3325">
        <v>0</v>
      </c>
      <c r="CZ3325" t="s">
        <v>615</v>
      </c>
      <c r="DA3325" t="s">
        <v>616</v>
      </c>
      <c r="DD3325">
        <v>16377664</v>
      </c>
      <c r="DE3325" t="s">
        <v>123</v>
      </c>
    </row>
    <row r="3326" spans="1:109" x14ac:dyDescent="0.3">
      <c r="A3326" t="str">
        <f>"19:30:22.625"</f>
        <v>19:30:22.625</v>
      </c>
      <c r="B3326" t="s">
        <v>110</v>
      </c>
      <c r="C3326" t="str">
        <f t="shared" si="153"/>
        <v>ffdfd3c0</v>
      </c>
      <c r="D3326" t="s">
        <v>111</v>
      </c>
      <c r="E3326">
        <v>18</v>
      </c>
      <c r="F3326">
        <v>1018</v>
      </c>
      <c r="G3326" t="s">
        <v>112</v>
      </c>
      <c r="J3326" t="s">
        <v>113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R3326" t="s">
        <v>114</v>
      </c>
      <c r="S3326" t="str">
        <f>"19:30:22.406"</f>
        <v>19:30:22.406</v>
      </c>
      <c r="T3326" t="str">
        <f>"19:30:22.203"</f>
        <v>19:30:22.203</v>
      </c>
      <c r="U3326" t="str">
        <f t="shared" si="154"/>
        <v>a1cdbe</v>
      </c>
      <c r="V3326">
        <v>0</v>
      </c>
      <c r="W3326">
        <v>0</v>
      </c>
      <c r="X3326">
        <v>2</v>
      </c>
      <c r="Y3326">
        <v>0</v>
      </c>
      <c r="Z3326">
        <v>0</v>
      </c>
      <c r="AB3326">
        <v>0</v>
      </c>
      <c r="AC3326">
        <v>9</v>
      </c>
      <c r="AD3326">
        <v>3</v>
      </c>
      <c r="AE3326">
        <v>0</v>
      </c>
      <c r="AF3326">
        <v>9</v>
      </c>
      <c r="AG3326" t="s">
        <v>158</v>
      </c>
      <c r="AH3326">
        <v>0</v>
      </c>
      <c r="AI3326">
        <v>3</v>
      </c>
      <c r="AJ3326">
        <v>1</v>
      </c>
      <c r="AK3326">
        <v>0</v>
      </c>
      <c r="AL3326" t="s">
        <v>6256</v>
      </c>
      <c r="AM3326">
        <v>47.005692000000003</v>
      </c>
      <c r="AN3326" t="s">
        <v>6257</v>
      </c>
      <c r="AO3326">
        <v>-123.69245100000001</v>
      </c>
      <c r="AP3326">
        <v>100</v>
      </c>
      <c r="AQ3326">
        <v>2100</v>
      </c>
      <c r="AR3326" t="s">
        <v>118</v>
      </c>
      <c r="AS3326">
        <v>-80</v>
      </c>
      <c r="AT3326">
        <v>14</v>
      </c>
      <c r="AU3326">
        <v>-192</v>
      </c>
      <c r="BC3326">
        <v>1200</v>
      </c>
      <c r="BD3326">
        <v>1</v>
      </c>
      <c r="BE3326" t="str">
        <f t="shared" si="155"/>
        <v xml:space="preserve">N215T   </v>
      </c>
      <c r="BF3326">
        <v>1</v>
      </c>
      <c r="BH3326">
        <v>0</v>
      </c>
      <c r="BI3326">
        <v>0</v>
      </c>
      <c r="BJ3326">
        <v>0</v>
      </c>
      <c r="BK3326">
        <v>2475</v>
      </c>
      <c r="BL3326">
        <v>375</v>
      </c>
      <c r="BM3326" t="s">
        <v>119</v>
      </c>
      <c r="BN3326">
        <v>1</v>
      </c>
      <c r="BO3326">
        <v>1</v>
      </c>
      <c r="BP3326">
        <v>1</v>
      </c>
      <c r="BQ3326">
        <v>0</v>
      </c>
      <c r="BT3326">
        <v>0</v>
      </c>
      <c r="BU3326">
        <v>0</v>
      </c>
      <c r="BV3326">
        <v>0</v>
      </c>
      <c r="CC3326" t="str">
        <f>"19:30:22.406"</f>
        <v>19:30:22.406</v>
      </c>
      <c r="CD3326" t="str">
        <f>"409704003"</f>
        <v>409704003</v>
      </c>
      <c r="CQ3326">
        <v>0</v>
      </c>
      <c r="CR3326">
        <v>2</v>
      </c>
      <c r="CS3326">
        <v>0</v>
      </c>
      <c r="CT3326">
        <v>2</v>
      </c>
      <c r="CU3326">
        <v>0</v>
      </c>
      <c r="CV3326">
        <v>6</v>
      </c>
      <c r="CW3326" t="s">
        <v>120</v>
      </c>
      <c r="CX3326">
        <v>257</v>
      </c>
      <c r="CY3326">
        <v>0</v>
      </c>
      <c r="CZ3326" t="s">
        <v>615</v>
      </c>
      <c r="DA3326" t="s">
        <v>616</v>
      </c>
      <c r="DD3326">
        <v>16378121</v>
      </c>
      <c r="DE3326" t="s">
        <v>123</v>
      </c>
    </row>
    <row r="3327" spans="1:109" x14ac:dyDescent="0.3">
      <c r="A3327" t="str">
        <f>"19:30:23.477"</f>
        <v>19:30:23.477</v>
      </c>
      <c r="B3327" t="s">
        <v>110</v>
      </c>
      <c r="C3327" t="str">
        <f t="shared" si="153"/>
        <v>ffdfd3c0</v>
      </c>
      <c r="D3327" t="s">
        <v>111</v>
      </c>
      <c r="E3327">
        <v>18</v>
      </c>
      <c r="F3327">
        <v>1018</v>
      </c>
      <c r="G3327" t="s">
        <v>112</v>
      </c>
      <c r="J3327" t="s">
        <v>113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R3327" t="s">
        <v>114</v>
      </c>
      <c r="S3327" t="str">
        <f>"19:30:23.258"</f>
        <v>19:30:23.258</v>
      </c>
      <c r="T3327" t="str">
        <f>"19:30:22.758"</f>
        <v>19:30:22.758</v>
      </c>
      <c r="U3327" t="str">
        <f t="shared" si="154"/>
        <v>a1cdbe</v>
      </c>
      <c r="V3327">
        <v>0</v>
      </c>
      <c r="W3327">
        <v>0</v>
      </c>
      <c r="X3327">
        <v>2</v>
      </c>
      <c r="Y3327">
        <v>0</v>
      </c>
      <c r="Z3327">
        <v>0</v>
      </c>
      <c r="AB3327">
        <v>0</v>
      </c>
      <c r="AC3327">
        <v>9</v>
      </c>
      <c r="AD3327">
        <v>3</v>
      </c>
      <c r="AE3327">
        <v>0</v>
      </c>
      <c r="AF3327">
        <v>9</v>
      </c>
      <c r="AG3327" t="s">
        <v>158</v>
      </c>
      <c r="AH3327">
        <v>0</v>
      </c>
      <c r="AI3327">
        <v>3</v>
      </c>
      <c r="AJ3327">
        <v>1</v>
      </c>
      <c r="AK3327">
        <v>0</v>
      </c>
      <c r="AL3327" t="s">
        <v>6258</v>
      </c>
      <c r="AM3327">
        <v>47.005733999999997</v>
      </c>
      <c r="AN3327" t="s">
        <v>6259</v>
      </c>
      <c r="AO3327">
        <v>-123.692944</v>
      </c>
      <c r="AP3327">
        <v>100</v>
      </c>
      <c r="AQ3327">
        <v>2100</v>
      </c>
      <c r="AR3327" t="s">
        <v>118</v>
      </c>
      <c r="AS3327">
        <v>-80</v>
      </c>
      <c r="AT3327">
        <v>14</v>
      </c>
      <c r="AU3327">
        <v>-128</v>
      </c>
      <c r="BC3327">
        <v>1200</v>
      </c>
      <c r="BD3327">
        <v>1</v>
      </c>
      <c r="BE3327" t="str">
        <f t="shared" si="155"/>
        <v xml:space="preserve">N215T   </v>
      </c>
      <c r="BF3327">
        <v>1</v>
      </c>
      <c r="BH3327">
        <v>0</v>
      </c>
      <c r="BI3327">
        <v>0</v>
      </c>
      <c r="BJ3327">
        <v>0</v>
      </c>
      <c r="BK3327">
        <v>2475</v>
      </c>
      <c r="BL3327">
        <v>375</v>
      </c>
      <c r="BM3327" t="s">
        <v>119</v>
      </c>
      <c r="BN3327">
        <v>1</v>
      </c>
      <c r="BO3327">
        <v>1</v>
      </c>
      <c r="BP3327">
        <v>1</v>
      </c>
      <c r="BQ3327">
        <v>0</v>
      </c>
      <c r="BT3327">
        <v>0</v>
      </c>
      <c r="BU3327">
        <v>0</v>
      </c>
      <c r="BV3327">
        <v>0</v>
      </c>
      <c r="CC3327" t="str">
        <f>"19:30:23.266"</f>
        <v>19:30:23.266</v>
      </c>
      <c r="CD3327" t="str">
        <f>"264619752"</f>
        <v>264619752</v>
      </c>
      <c r="CQ3327">
        <v>0</v>
      </c>
      <c r="CR3327">
        <v>2</v>
      </c>
      <c r="CS3327">
        <v>0</v>
      </c>
      <c r="CT3327">
        <v>2</v>
      </c>
      <c r="CU3327">
        <v>0</v>
      </c>
      <c r="CV3327">
        <v>6</v>
      </c>
      <c r="CW3327" t="s">
        <v>120</v>
      </c>
      <c r="CX3327">
        <v>257</v>
      </c>
      <c r="CY3327">
        <v>0</v>
      </c>
      <c r="CZ3327" t="s">
        <v>615</v>
      </c>
      <c r="DA3327" t="s">
        <v>616</v>
      </c>
      <c r="DD3327">
        <v>16378570</v>
      </c>
      <c r="DE3327" t="s">
        <v>123</v>
      </c>
    </row>
    <row r="3328" spans="1:109" x14ac:dyDescent="0.3">
      <c r="A3328" t="str">
        <f>"19:30:24.531"</f>
        <v>19:30:24.531</v>
      </c>
      <c r="B3328" t="s">
        <v>110</v>
      </c>
      <c r="C3328" t="str">
        <f t="shared" si="153"/>
        <v>ffdfd3c0</v>
      </c>
      <c r="D3328" t="s">
        <v>111</v>
      </c>
      <c r="E3328">
        <v>18</v>
      </c>
      <c r="F3328">
        <v>1018</v>
      </c>
      <c r="G3328" t="s">
        <v>112</v>
      </c>
      <c r="J3328" t="s">
        <v>113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R3328" t="s">
        <v>114</v>
      </c>
      <c r="S3328" t="str">
        <f>"19:30:24.281"</f>
        <v>19:30:24.281</v>
      </c>
      <c r="T3328" t="str">
        <f>"19:30:24.281"</f>
        <v>19:30:24.281</v>
      </c>
      <c r="U3328" t="str">
        <f t="shared" si="154"/>
        <v>a1cdbe</v>
      </c>
      <c r="V3328">
        <v>0</v>
      </c>
      <c r="W3328">
        <v>0</v>
      </c>
      <c r="X3328">
        <v>2</v>
      </c>
      <c r="Y3328">
        <v>0</v>
      </c>
      <c r="Z3328">
        <v>0</v>
      </c>
      <c r="AB3328">
        <v>0</v>
      </c>
      <c r="AC3328">
        <v>9</v>
      </c>
      <c r="AD3328">
        <v>3</v>
      </c>
      <c r="AE3328">
        <v>0</v>
      </c>
      <c r="AF3328">
        <v>9</v>
      </c>
      <c r="AG3328" t="s">
        <v>158</v>
      </c>
      <c r="AH3328">
        <v>0</v>
      </c>
      <c r="AI3328">
        <v>3</v>
      </c>
      <c r="AJ3328">
        <v>1</v>
      </c>
      <c r="AK3328">
        <v>0</v>
      </c>
      <c r="AL3328" t="s">
        <v>787</v>
      </c>
      <c r="AM3328">
        <v>47.005842000000001</v>
      </c>
      <c r="AN3328" t="s">
        <v>6260</v>
      </c>
      <c r="AO3328">
        <v>-123.693523</v>
      </c>
      <c r="AP3328">
        <v>100</v>
      </c>
      <c r="AQ3328">
        <v>2100</v>
      </c>
      <c r="AR3328" t="s">
        <v>118</v>
      </c>
      <c r="AS3328">
        <v>-80</v>
      </c>
      <c r="AT3328">
        <v>14</v>
      </c>
      <c r="AU3328">
        <v>-128</v>
      </c>
      <c r="BC3328">
        <v>1200</v>
      </c>
      <c r="BD3328">
        <v>1</v>
      </c>
      <c r="BE3328" t="str">
        <f t="shared" si="155"/>
        <v xml:space="preserve">N215T   </v>
      </c>
      <c r="BF3328">
        <v>1</v>
      </c>
      <c r="BH3328">
        <v>0</v>
      </c>
      <c r="BI3328">
        <v>0</v>
      </c>
      <c r="BJ3328">
        <v>0</v>
      </c>
      <c r="BK3328">
        <v>2475</v>
      </c>
      <c r="BL3328">
        <v>375</v>
      </c>
      <c r="BM3328" t="s">
        <v>119</v>
      </c>
      <c r="BN3328">
        <v>1</v>
      </c>
      <c r="BO3328">
        <v>1</v>
      </c>
      <c r="BP3328">
        <v>1</v>
      </c>
      <c r="BQ3328">
        <v>0</v>
      </c>
      <c r="BT3328">
        <v>0</v>
      </c>
      <c r="BU3328">
        <v>0</v>
      </c>
      <c r="BV3328">
        <v>0</v>
      </c>
      <c r="CC3328" t="str">
        <f>"19:30:24.281"</f>
        <v>19:30:24.281</v>
      </c>
      <c r="CD3328" t="str">
        <f>"284519246"</f>
        <v>284519246</v>
      </c>
      <c r="CQ3328">
        <v>0</v>
      </c>
      <c r="CR3328">
        <v>2</v>
      </c>
      <c r="CS3328">
        <v>0</v>
      </c>
      <c r="CT3328">
        <v>2</v>
      </c>
      <c r="CU3328">
        <v>0</v>
      </c>
      <c r="CV3328">
        <v>6</v>
      </c>
      <c r="CW3328" t="s">
        <v>120</v>
      </c>
      <c r="CX3328">
        <v>257</v>
      </c>
      <c r="CY3328">
        <v>0</v>
      </c>
      <c r="CZ3328" t="s">
        <v>615</v>
      </c>
      <c r="DA3328" t="s">
        <v>616</v>
      </c>
      <c r="DD3328">
        <v>16379082</v>
      </c>
      <c r="DE3328" t="s">
        <v>123</v>
      </c>
    </row>
    <row r="3329" spans="1:109" x14ac:dyDescent="0.3">
      <c r="A3329" t="str">
        <f>"19:30:25.484"</f>
        <v>19:30:25.484</v>
      </c>
      <c r="B3329" t="s">
        <v>110</v>
      </c>
      <c r="C3329" t="str">
        <f t="shared" si="153"/>
        <v>ffdfd3c0</v>
      </c>
      <c r="D3329" t="s">
        <v>111</v>
      </c>
      <c r="E3329">
        <v>18</v>
      </c>
      <c r="F3329">
        <v>1018</v>
      </c>
      <c r="G3329" t="s">
        <v>112</v>
      </c>
      <c r="J3329" t="s">
        <v>113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R3329" t="s">
        <v>114</v>
      </c>
      <c r="S3329" t="str">
        <f>"19:30:25.242"</f>
        <v>19:30:25.242</v>
      </c>
      <c r="T3329" t="str">
        <f>"19:30:25.242"</f>
        <v>19:30:25.242</v>
      </c>
      <c r="U3329" t="str">
        <f t="shared" si="154"/>
        <v>a1cdbe</v>
      </c>
      <c r="V3329">
        <v>0</v>
      </c>
      <c r="W3329">
        <v>0</v>
      </c>
      <c r="X3329">
        <v>2</v>
      </c>
      <c r="Y3329">
        <v>0</v>
      </c>
      <c r="Z3329">
        <v>0</v>
      </c>
      <c r="AB3329">
        <v>0</v>
      </c>
      <c r="AC3329">
        <v>9</v>
      </c>
      <c r="AD3329">
        <v>3</v>
      </c>
      <c r="AE3329">
        <v>0</v>
      </c>
      <c r="AF3329">
        <v>9</v>
      </c>
      <c r="AG3329" t="s">
        <v>158</v>
      </c>
      <c r="AH3329">
        <v>0</v>
      </c>
      <c r="AI3329">
        <v>3</v>
      </c>
      <c r="AJ3329">
        <v>1</v>
      </c>
      <c r="AK3329">
        <v>0</v>
      </c>
      <c r="AL3329" t="s">
        <v>6261</v>
      </c>
      <c r="AM3329">
        <v>47.005884999999999</v>
      </c>
      <c r="AN3329" t="s">
        <v>6262</v>
      </c>
      <c r="AO3329">
        <v>-123.69403800000001</v>
      </c>
      <c r="AP3329">
        <v>100</v>
      </c>
      <c r="AQ3329">
        <v>2100</v>
      </c>
      <c r="AR3329" t="s">
        <v>118</v>
      </c>
      <c r="AS3329">
        <v>-80</v>
      </c>
      <c r="AT3329">
        <v>14</v>
      </c>
      <c r="AU3329">
        <v>-128</v>
      </c>
      <c r="BC3329">
        <v>1200</v>
      </c>
      <c r="BD3329">
        <v>1</v>
      </c>
      <c r="BE3329" t="str">
        <f t="shared" si="155"/>
        <v xml:space="preserve">N215T   </v>
      </c>
      <c r="BF3329">
        <v>1</v>
      </c>
      <c r="BH3329">
        <v>0</v>
      </c>
      <c r="BI3329">
        <v>0</v>
      </c>
      <c r="BJ3329">
        <v>0</v>
      </c>
      <c r="BK3329">
        <v>2475</v>
      </c>
      <c r="BL3329">
        <v>375</v>
      </c>
      <c r="BM3329" t="s">
        <v>119</v>
      </c>
      <c r="BN3329">
        <v>1</v>
      </c>
      <c r="BO3329">
        <v>1</v>
      </c>
      <c r="BP3329">
        <v>1</v>
      </c>
      <c r="BQ3329">
        <v>0</v>
      </c>
      <c r="BT3329">
        <v>0</v>
      </c>
      <c r="BU3329">
        <v>0</v>
      </c>
      <c r="BV3329">
        <v>0</v>
      </c>
      <c r="CC3329" t="str">
        <f>"19:30:25.242"</f>
        <v>19:30:25.242</v>
      </c>
      <c r="CD3329" t="str">
        <f>"244424653"</f>
        <v>244424653</v>
      </c>
      <c r="CQ3329">
        <v>0</v>
      </c>
      <c r="CR3329">
        <v>2</v>
      </c>
      <c r="CS3329">
        <v>0</v>
      </c>
      <c r="CT3329">
        <v>2</v>
      </c>
      <c r="CU3329">
        <v>0</v>
      </c>
      <c r="CV3329">
        <v>6</v>
      </c>
      <c r="CW3329" t="s">
        <v>120</v>
      </c>
      <c r="CX3329">
        <v>257</v>
      </c>
      <c r="CY3329">
        <v>0</v>
      </c>
      <c r="CZ3329" t="s">
        <v>615</v>
      </c>
      <c r="DA3329" t="s">
        <v>616</v>
      </c>
      <c r="DD3329">
        <v>16379515</v>
      </c>
      <c r="DE3329" t="s">
        <v>123</v>
      </c>
    </row>
    <row r="3330" spans="1:109" x14ac:dyDescent="0.3">
      <c r="A3330" t="str">
        <f>"19:30:26.289"</f>
        <v>19:30:26.289</v>
      </c>
      <c r="B3330" t="s">
        <v>110</v>
      </c>
      <c r="C3330" t="str">
        <f t="shared" ref="C3330:C3393" si="156">"ffdfd3c0"</f>
        <v>ffdfd3c0</v>
      </c>
      <c r="D3330" t="s">
        <v>111</v>
      </c>
      <c r="E3330">
        <v>18</v>
      </c>
      <c r="F3330">
        <v>1018</v>
      </c>
      <c r="G3330" t="s">
        <v>112</v>
      </c>
      <c r="J3330" t="s">
        <v>113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R3330" t="s">
        <v>114</v>
      </c>
      <c r="S3330" t="str">
        <f>"19:30:26.047"</f>
        <v>19:30:26.047</v>
      </c>
      <c r="T3330" t="str">
        <f>"19:30:25.648"</f>
        <v>19:30:25.648</v>
      </c>
      <c r="U3330" t="str">
        <f t="shared" ref="U3330:U3393" si="157">"a1cdbe"</f>
        <v>a1cdbe</v>
      </c>
      <c r="V3330">
        <v>0</v>
      </c>
      <c r="W3330">
        <v>0</v>
      </c>
      <c r="X3330">
        <v>2</v>
      </c>
      <c r="Y3330">
        <v>0</v>
      </c>
      <c r="Z3330">
        <v>0</v>
      </c>
      <c r="AB3330">
        <v>0</v>
      </c>
      <c r="AC3330">
        <v>9</v>
      </c>
      <c r="AD3330">
        <v>3</v>
      </c>
      <c r="AE3330">
        <v>0</v>
      </c>
      <c r="AF3330">
        <v>9</v>
      </c>
      <c r="AG3330" t="s">
        <v>158</v>
      </c>
      <c r="AH3330">
        <v>0</v>
      </c>
      <c r="AI3330">
        <v>3</v>
      </c>
      <c r="AJ3330">
        <v>1</v>
      </c>
      <c r="AK3330">
        <v>0</v>
      </c>
      <c r="AL3330" t="s">
        <v>6263</v>
      </c>
      <c r="AM3330">
        <v>47.005927999999997</v>
      </c>
      <c r="AN3330" t="s">
        <v>6264</v>
      </c>
      <c r="AO3330">
        <v>-123.694446</v>
      </c>
      <c r="AP3330">
        <v>100</v>
      </c>
      <c r="AQ3330">
        <v>2100</v>
      </c>
      <c r="AR3330" t="s">
        <v>118</v>
      </c>
      <c r="AS3330">
        <v>-80</v>
      </c>
      <c r="AT3330">
        <v>14</v>
      </c>
      <c r="AU3330">
        <v>-128</v>
      </c>
      <c r="BC3330">
        <v>1200</v>
      </c>
      <c r="BD3330">
        <v>1</v>
      </c>
      <c r="BE3330" t="str">
        <f t="shared" ref="BE3330:BE3393" si="158">"N215T   "</f>
        <v xml:space="preserve">N215T   </v>
      </c>
      <c r="BF3330">
        <v>1</v>
      </c>
      <c r="BH3330">
        <v>0</v>
      </c>
      <c r="BI3330">
        <v>0</v>
      </c>
      <c r="BJ3330">
        <v>0</v>
      </c>
      <c r="BK3330">
        <v>2475</v>
      </c>
      <c r="BL3330">
        <v>375</v>
      </c>
      <c r="BM3330" t="s">
        <v>119</v>
      </c>
      <c r="BN3330">
        <v>1</v>
      </c>
      <c r="BO3330">
        <v>1</v>
      </c>
      <c r="BP3330">
        <v>1</v>
      </c>
      <c r="BQ3330">
        <v>0</v>
      </c>
      <c r="BT3330">
        <v>0</v>
      </c>
      <c r="BU3330">
        <v>0</v>
      </c>
      <c r="BV3330">
        <v>0</v>
      </c>
      <c r="CC3330" t="str">
        <f>"19:30:26.055"</f>
        <v>19:30:26.055</v>
      </c>
      <c r="CD3330" t="str">
        <f>"054344848"</f>
        <v>054344848</v>
      </c>
      <c r="CQ3330">
        <v>0</v>
      </c>
      <c r="CR3330">
        <v>2</v>
      </c>
      <c r="CS3330">
        <v>0</v>
      </c>
      <c r="CT3330">
        <v>2</v>
      </c>
      <c r="CU3330">
        <v>0</v>
      </c>
      <c r="CV3330">
        <v>6</v>
      </c>
      <c r="CW3330" t="s">
        <v>120</v>
      </c>
      <c r="CX3330">
        <v>257</v>
      </c>
      <c r="CY3330">
        <v>0</v>
      </c>
      <c r="CZ3330" t="s">
        <v>615</v>
      </c>
      <c r="DA3330" t="s">
        <v>616</v>
      </c>
      <c r="DD3330">
        <v>16379864</v>
      </c>
      <c r="DE3330" t="s">
        <v>123</v>
      </c>
    </row>
    <row r="3331" spans="1:109" x14ac:dyDescent="0.3">
      <c r="A3331" t="str">
        <f>"19:30:27.352"</f>
        <v>19:30:27.352</v>
      </c>
      <c r="B3331" t="s">
        <v>110</v>
      </c>
      <c r="C3331" t="str">
        <f t="shared" si="156"/>
        <v>ffdfd3c0</v>
      </c>
      <c r="D3331" t="s">
        <v>111</v>
      </c>
      <c r="E3331">
        <v>18</v>
      </c>
      <c r="F3331">
        <v>1018</v>
      </c>
      <c r="G3331" t="s">
        <v>112</v>
      </c>
      <c r="J3331" t="s">
        <v>113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R3331" t="s">
        <v>114</v>
      </c>
      <c r="S3331" t="str">
        <f>"19:30:27.117"</f>
        <v>19:30:27.117</v>
      </c>
      <c r="T3331" t="str">
        <f>"19:30:27.016"</f>
        <v>19:30:27.016</v>
      </c>
      <c r="U3331" t="str">
        <f t="shared" si="157"/>
        <v>a1cdbe</v>
      </c>
      <c r="V3331">
        <v>0</v>
      </c>
      <c r="W3331">
        <v>0</v>
      </c>
      <c r="X3331">
        <v>2</v>
      </c>
      <c r="Y3331">
        <v>0</v>
      </c>
      <c r="Z3331">
        <v>0</v>
      </c>
      <c r="AB3331">
        <v>0</v>
      </c>
      <c r="AC3331">
        <v>9</v>
      </c>
      <c r="AD3331">
        <v>3</v>
      </c>
      <c r="AE3331">
        <v>0</v>
      </c>
      <c r="AF3331">
        <v>9</v>
      </c>
      <c r="AG3331" t="s">
        <v>158</v>
      </c>
      <c r="AH3331">
        <v>0</v>
      </c>
      <c r="AI3331">
        <v>3</v>
      </c>
      <c r="AJ3331">
        <v>1</v>
      </c>
      <c r="AK3331">
        <v>0</v>
      </c>
      <c r="AL3331" t="s">
        <v>6265</v>
      </c>
      <c r="AM3331">
        <v>47.006034999999997</v>
      </c>
      <c r="AN3331" t="s">
        <v>6266</v>
      </c>
      <c r="AO3331">
        <v>-123.69506800000001</v>
      </c>
      <c r="AP3331">
        <v>100</v>
      </c>
      <c r="AQ3331">
        <v>2100</v>
      </c>
      <c r="AR3331" t="s">
        <v>118</v>
      </c>
      <c r="AS3331">
        <v>-81</v>
      </c>
      <c r="AT3331">
        <v>14</v>
      </c>
      <c r="AU3331">
        <v>-128</v>
      </c>
      <c r="BC3331">
        <v>1200</v>
      </c>
      <c r="BD3331">
        <v>1</v>
      </c>
      <c r="BE3331" t="str">
        <f t="shared" si="158"/>
        <v xml:space="preserve">N215T   </v>
      </c>
      <c r="BF3331">
        <v>1</v>
      </c>
      <c r="BH3331">
        <v>0</v>
      </c>
      <c r="BI3331">
        <v>0</v>
      </c>
      <c r="BJ3331">
        <v>0</v>
      </c>
      <c r="BK3331">
        <v>2475</v>
      </c>
      <c r="BL3331">
        <v>375</v>
      </c>
      <c r="BM3331" t="s">
        <v>119</v>
      </c>
      <c r="BN3331">
        <v>1</v>
      </c>
      <c r="BO3331">
        <v>1</v>
      </c>
      <c r="BP3331">
        <v>1</v>
      </c>
      <c r="BQ3331">
        <v>0</v>
      </c>
      <c r="BT3331">
        <v>0</v>
      </c>
      <c r="BU3331">
        <v>0</v>
      </c>
      <c r="BV3331">
        <v>0</v>
      </c>
      <c r="CC3331" t="str">
        <f>"19:30:27.117"</f>
        <v>19:30:27.117</v>
      </c>
      <c r="CD3331" t="str">
        <f>"119239899"</f>
        <v>119239899</v>
      </c>
      <c r="CQ3331">
        <v>0</v>
      </c>
      <c r="CR3331">
        <v>2</v>
      </c>
      <c r="CS3331">
        <v>0</v>
      </c>
      <c r="CT3331">
        <v>2</v>
      </c>
      <c r="CU3331">
        <v>0</v>
      </c>
      <c r="CV3331">
        <v>6</v>
      </c>
      <c r="CW3331" t="s">
        <v>120</v>
      </c>
      <c r="CX3331">
        <v>257</v>
      </c>
      <c r="CY3331">
        <v>0</v>
      </c>
      <c r="CZ3331" t="s">
        <v>615</v>
      </c>
      <c r="DA3331" t="s">
        <v>616</v>
      </c>
      <c r="DD3331">
        <v>16380325</v>
      </c>
      <c r="DE3331" t="s">
        <v>123</v>
      </c>
    </row>
    <row r="3332" spans="1:109" x14ac:dyDescent="0.3">
      <c r="A3332" t="str">
        <f>"19:30:28.305"</f>
        <v>19:30:28.305</v>
      </c>
      <c r="B3332" t="s">
        <v>110</v>
      </c>
      <c r="C3332" t="str">
        <f t="shared" si="156"/>
        <v>ffdfd3c0</v>
      </c>
      <c r="D3332" t="s">
        <v>111</v>
      </c>
      <c r="E3332">
        <v>18</v>
      </c>
      <c r="F3332">
        <v>1018</v>
      </c>
      <c r="G3332" t="s">
        <v>112</v>
      </c>
      <c r="J3332" t="s">
        <v>113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R3332" t="s">
        <v>114</v>
      </c>
      <c r="S3332" t="str">
        <f>"19:30:28.047"</f>
        <v>19:30:28.047</v>
      </c>
      <c r="T3332" t="str">
        <f>"19:30:27.945"</f>
        <v>19:30:27.945</v>
      </c>
      <c r="U3332" t="str">
        <f t="shared" si="157"/>
        <v>a1cdbe</v>
      </c>
      <c r="V3332">
        <v>0</v>
      </c>
      <c r="W3332">
        <v>0</v>
      </c>
      <c r="X3332">
        <v>2</v>
      </c>
      <c r="Y3332">
        <v>0</v>
      </c>
      <c r="Z3332">
        <v>0</v>
      </c>
      <c r="AB3332">
        <v>0</v>
      </c>
      <c r="AC3332">
        <v>9</v>
      </c>
      <c r="AD3332">
        <v>3</v>
      </c>
      <c r="AE3332">
        <v>0</v>
      </c>
      <c r="AF3332">
        <v>9</v>
      </c>
      <c r="AG3332" t="s">
        <v>158</v>
      </c>
      <c r="AH3332">
        <v>0</v>
      </c>
      <c r="AI3332">
        <v>3</v>
      </c>
      <c r="AJ3332">
        <v>1</v>
      </c>
      <c r="AK3332">
        <v>0</v>
      </c>
      <c r="AL3332" t="s">
        <v>6267</v>
      </c>
      <c r="AM3332">
        <v>47.006056000000001</v>
      </c>
      <c r="AN3332" t="s">
        <v>6268</v>
      </c>
      <c r="AO3332">
        <v>-123.69553999999999</v>
      </c>
      <c r="AP3332">
        <v>100</v>
      </c>
      <c r="AQ3332">
        <v>2100</v>
      </c>
      <c r="AR3332" t="s">
        <v>118</v>
      </c>
      <c r="AS3332">
        <v>-81</v>
      </c>
      <c r="AT3332">
        <v>14</v>
      </c>
      <c r="AU3332">
        <v>-192</v>
      </c>
      <c r="BC3332">
        <v>1200</v>
      </c>
      <c r="BD3332">
        <v>1</v>
      </c>
      <c r="BE3332" t="str">
        <f t="shared" si="158"/>
        <v xml:space="preserve">N215T   </v>
      </c>
      <c r="BF3332">
        <v>1</v>
      </c>
      <c r="BH3332">
        <v>0</v>
      </c>
      <c r="BI3332">
        <v>0</v>
      </c>
      <c r="BJ3332">
        <v>0</v>
      </c>
      <c r="BK3332">
        <v>2475</v>
      </c>
      <c r="BL3332">
        <v>375</v>
      </c>
      <c r="BM3332" t="s">
        <v>119</v>
      </c>
      <c r="BN3332">
        <v>1</v>
      </c>
      <c r="BO3332">
        <v>1</v>
      </c>
      <c r="BP3332">
        <v>1</v>
      </c>
      <c r="BQ3332">
        <v>0</v>
      </c>
      <c r="BT3332">
        <v>0</v>
      </c>
      <c r="BU3332">
        <v>0</v>
      </c>
      <c r="BV3332">
        <v>0</v>
      </c>
      <c r="CC3332" t="str">
        <f>"19:30:28.047"</f>
        <v>19:30:28.047</v>
      </c>
      <c r="CD3332" t="str">
        <f>"049148248"</f>
        <v>049148248</v>
      </c>
      <c r="CQ3332">
        <v>0</v>
      </c>
      <c r="CR3332">
        <v>2</v>
      </c>
      <c r="CS3332">
        <v>0</v>
      </c>
      <c r="CT3332">
        <v>2</v>
      </c>
      <c r="CU3332">
        <v>0</v>
      </c>
      <c r="CV3332">
        <v>6</v>
      </c>
      <c r="CW3332" t="s">
        <v>120</v>
      </c>
      <c r="CX3332">
        <v>257</v>
      </c>
      <c r="CY3332">
        <v>0</v>
      </c>
      <c r="CZ3332" t="s">
        <v>615</v>
      </c>
      <c r="DA3332" t="s">
        <v>616</v>
      </c>
      <c r="DD3332">
        <v>16380739</v>
      </c>
      <c r="DE3332" t="s">
        <v>123</v>
      </c>
    </row>
    <row r="3333" spans="1:109" x14ac:dyDescent="0.3">
      <c r="A3333" t="str">
        <f>"19:30:29.305"</f>
        <v>19:30:29.305</v>
      </c>
      <c r="B3333" t="s">
        <v>110</v>
      </c>
      <c r="C3333" t="str">
        <f t="shared" si="156"/>
        <v>ffdfd3c0</v>
      </c>
      <c r="D3333" t="s">
        <v>111</v>
      </c>
      <c r="E3333">
        <v>18</v>
      </c>
      <c r="F3333">
        <v>1018</v>
      </c>
      <c r="G3333" t="s">
        <v>112</v>
      </c>
      <c r="J3333" t="s">
        <v>113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R3333" t="s">
        <v>114</v>
      </c>
      <c r="S3333" t="str">
        <f>"19:30:29.063"</f>
        <v>19:30:29.063</v>
      </c>
      <c r="T3333" t="str">
        <f>"19:30:29.063"</f>
        <v>19:30:29.063</v>
      </c>
      <c r="U3333" t="str">
        <f t="shared" si="157"/>
        <v>a1cdbe</v>
      </c>
      <c r="V3333">
        <v>0</v>
      </c>
      <c r="W3333">
        <v>0</v>
      </c>
      <c r="X3333">
        <v>2</v>
      </c>
      <c r="Y3333">
        <v>0</v>
      </c>
      <c r="Z3333">
        <v>0</v>
      </c>
      <c r="AB3333">
        <v>0</v>
      </c>
      <c r="AC3333">
        <v>9</v>
      </c>
      <c r="AD3333">
        <v>3</v>
      </c>
      <c r="AE3333">
        <v>0</v>
      </c>
      <c r="AF3333">
        <v>9</v>
      </c>
      <c r="AG3333" t="s">
        <v>158</v>
      </c>
      <c r="AH3333">
        <v>0</v>
      </c>
      <c r="AI3333">
        <v>3</v>
      </c>
      <c r="AJ3333">
        <v>1</v>
      </c>
      <c r="AK3333">
        <v>0</v>
      </c>
      <c r="AL3333" t="s">
        <v>6269</v>
      </c>
      <c r="AM3333">
        <v>47.006121</v>
      </c>
      <c r="AN3333" t="s">
        <v>6270</v>
      </c>
      <c r="AO3333">
        <v>-123.69611999999999</v>
      </c>
      <c r="AP3333">
        <v>100</v>
      </c>
      <c r="AQ3333">
        <v>2100</v>
      </c>
      <c r="AR3333" t="s">
        <v>118</v>
      </c>
      <c r="AS3333">
        <v>-81</v>
      </c>
      <c r="AT3333">
        <v>13</v>
      </c>
      <c r="AU3333">
        <v>-128</v>
      </c>
      <c r="BC3333">
        <v>1200</v>
      </c>
      <c r="BD3333">
        <v>1</v>
      </c>
      <c r="BE3333" t="str">
        <f t="shared" si="158"/>
        <v xml:space="preserve">N215T   </v>
      </c>
      <c r="BF3333">
        <v>1</v>
      </c>
      <c r="BH3333">
        <v>0</v>
      </c>
      <c r="BI3333">
        <v>0</v>
      </c>
      <c r="BJ3333">
        <v>0</v>
      </c>
      <c r="BK3333">
        <v>2475</v>
      </c>
      <c r="BL3333">
        <v>375</v>
      </c>
      <c r="BM3333" t="s">
        <v>119</v>
      </c>
      <c r="BN3333">
        <v>1</v>
      </c>
      <c r="BO3333">
        <v>1</v>
      </c>
      <c r="BP3333">
        <v>1</v>
      </c>
      <c r="BQ3333">
        <v>0</v>
      </c>
      <c r="BT3333">
        <v>0</v>
      </c>
      <c r="BU3333">
        <v>0</v>
      </c>
      <c r="BV3333">
        <v>0</v>
      </c>
      <c r="CC3333" t="str">
        <f>"19:30:29.070"</f>
        <v>19:30:29.070</v>
      </c>
      <c r="CD3333" t="str">
        <f>"069047736"</f>
        <v>069047736</v>
      </c>
      <c r="CQ3333">
        <v>0</v>
      </c>
      <c r="CR3333">
        <v>2</v>
      </c>
      <c r="CS3333">
        <v>0</v>
      </c>
      <c r="CT3333">
        <v>2</v>
      </c>
      <c r="CU3333">
        <v>0</v>
      </c>
      <c r="CV3333">
        <v>6</v>
      </c>
      <c r="CW3333" t="s">
        <v>120</v>
      </c>
      <c r="CX3333">
        <v>257</v>
      </c>
      <c r="CY3333">
        <v>0</v>
      </c>
      <c r="CZ3333" t="s">
        <v>615</v>
      </c>
      <c r="DA3333" t="s">
        <v>616</v>
      </c>
      <c r="DD3333">
        <v>16381213</v>
      </c>
      <c r="DE3333" t="s">
        <v>123</v>
      </c>
    </row>
    <row r="3334" spans="1:109" x14ac:dyDescent="0.3">
      <c r="A3334" t="str">
        <f>"19:30:30.266"</f>
        <v>19:30:30.266</v>
      </c>
      <c r="B3334" t="s">
        <v>110</v>
      </c>
      <c r="C3334" t="str">
        <f t="shared" si="156"/>
        <v>ffdfd3c0</v>
      </c>
      <c r="D3334" t="s">
        <v>111</v>
      </c>
      <c r="E3334">
        <v>18</v>
      </c>
      <c r="F3334">
        <v>1018</v>
      </c>
      <c r="G3334" t="s">
        <v>112</v>
      </c>
      <c r="J3334" t="s">
        <v>113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R3334" t="s">
        <v>114</v>
      </c>
      <c r="S3334" t="str">
        <f>"19:30:30.008"</f>
        <v>19:30:30.008</v>
      </c>
      <c r="T3334" t="str">
        <f>"19:30:30.008"</f>
        <v>19:30:30.008</v>
      </c>
      <c r="U3334" t="str">
        <f t="shared" si="157"/>
        <v>a1cdbe</v>
      </c>
      <c r="V3334">
        <v>0</v>
      </c>
      <c r="W3334">
        <v>0</v>
      </c>
      <c r="X3334">
        <v>2</v>
      </c>
      <c r="Y3334">
        <v>0</v>
      </c>
      <c r="Z3334">
        <v>0</v>
      </c>
      <c r="AB3334">
        <v>0</v>
      </c>
      <c r="AC3334">
        <v>9</v>
      </c>
      <c r="AD3334">
        <v>3</v>
      </c>
      <c r="AE3334">
        <v>0</v>
      </c>
      <c r="AF3334">
        <v>9</v>
      </c>
      <c r="AG3334" t="s">
        <v>158</v>
      </c>
      <c r="AH3334">
        <v>0</v>
      </c>
      <c r="AI3334">
        <v>3</v>
      </c>
      <c r="AJ3334">
        <v>1</v>
      </c>
      <c r="AK3334">
        <v>0</v>
      </c>
      <c r="AL3334" t="s">
        <v>6271</v>
      </c>
      <c r="AM3334">
        <v>47.006185000000002</v>
      </c>
      <c r="AN3334" t="s">
        <v>6272</v>
      </c>
      <c r="AO3334">
        <v>-123.696656</v>
      </c>
      <c r="AP3334">
        <v>100</v>
      </c>
      <c r="AQ3334">
        <v>2100</v>
      </c>
      <c r="AR3334" t="s">
        <v>118</v>
      </c>
      <c r="AS3334">
        <v>-81</v>
      </c>
      <c r="AT3334">
        <v>13</v>
      </c>
      <c r="AU3334">
        <v>-128</v>
      </c>
      <c r="BC3334">
        <v>1200</v>
      </c>
      <c r="BD3334">
        <v>1</v>
      </c>
      <c r="BE3334" t="str">
        <f t="shared" si="158"/>
        <v xml:space="preserve">N215T   </v>
      </c>
      <c r="BF3334">
        <v>1</v>
      </c>
      <c r="BH3334">
        <v>0</v>
      </c>
      <c r="BI3334">
        <v>0</v>
      </c>
      <c r="BJ3334">
        <v>0</v>
      </c>
      <c r="BK3334">
        <v>2450</v>
      </c>
      <c r="BL3334">
        <v>350</v>
      </c>
      <c r="BM3334" t="s">
        <v>119</v>
      </c>
      <c r="BN3334">
        <v>1</v>
      </c>
      <c r="BO3334">
        <v>1</v>
      </c>
      <c r="BP3334">
        <v>1</v>
      </c>
      <c r="BQ3334">
        <v>0</v>
      </c>
      <c r="BT3334">
        <v>0</v>
      </c>
      <c r="BU3334">
        <v>0</v>
      </c>
      <c r="BV3334">
        <v>0</v>
      </c>
      <c r="CC3334" t="str">
        <f>"19:30:30.016"</f>
        <v>19:30:30.016</v>
      </c>
      <c r="CD3334" t="str">
        <f>"013954625"</f>
        <v>013954625</v>
      </c>
      <c r="CQ3334">
        <v>0</v>
      </c>
      <c r="CR3334">
        <v>2</v>
      </c>
      <c r="CS3334">
        <v>0</v>
      </c>
      <c r="CT3334">
        <v>2</v>
      </c>
      <c r="CU3334">
        <v>0</v>
      </c>
      <c r="CV3334">
        <v>6</v>
      </c>
      <c r="CW3334" t="s">
        <v>120</v>
      </c>
      <c r="CX3334">
        <v>257</v>
      </c>
      <c r="CY3334">
        <v>0</v>
      </c>
      <c r="CZ3334" t="s">
        <v>615</v>
      </c>
      <c r="DA3334" t="s">
        <v>616</v>
      </c>
      <c r="DD3334">
        <v>16381587</v>
      </c>
      <c r="DE3334" t="s">
        <v>123</v>
      </c>
    </row>
    <row r="3335" spans="1:109" x14ac:dyDescent="0.3">
      <c r="A3335" t="str">
        <f>"19:30:31.266"</f>
        <v>19:30:31.266</v>
      </c>
      <c r="B3335" t="s">
        <v>110</v>
      </c>
      <c r="C3335" t="str">
        <f t="shared" si="156"/>
        <v>ffdfd3c0</v>
      </c>
      <c r="D3335" t="s">
        <v>111</v>
      </c>
      <c r="E3335">
        <v>18</v>
      </c>
      <c r="F3335">
        <v>1018</v>
      </c>
      <c r="G3335" t="s">
        <v>112</v>
      </c>
      <c r="J3335" t="s">
        <v>113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R3335" t="s">
        <v>114</v>
      </c>
      <c r="S3335" t="str">
        <f>"19:30:31.031"</f>
        <v>19:30:31.031</v>
      </c>
      <c r="T3335" t="str">
        <f>"19:30:30.531"</f>
        <v>19:30:30.531</v>
      </c>
      <c r="U3335" t="str">
        <f t="shared" si="157"/>
        <v>a1cdbe</v>
      </c>
      <c r="V3335">
        <v>0</v>
      </c>
      <c r="W3335">
        <v>0</v>
      </c>
      <c r="X3335">
        <v>2</v>
      </c>
      <c r="Y3335">
        <v>0</v>
      </c>
      <c r="Z3335">
        <v>0</v>
      </c>
      <c r="AB3335">
        <v>0</v>
      </c>
      <c r="AC3335">
        <v>9</v>
      </c>
      <c r="AD3335">
        <v>3</v>
      </c>
      <c r="AE3335">
        <v>0</v>
      </c>
      <c r="AF3335">
        <v>9</v>
      </c>
      <c r="AG3335" t="s">
        <v>158</v>
      </c>
      <c r="AH3335">
        <v>0</v>
      </c>
      <c r="AI3335">
        <v>3</v>
      </c>
      <c r="AJ3335">
        <v>1</v>
      </c>
      <c r="AK3335">
        <v>0</v>
      </c>
      <c r="AL3335" t="s">
        <v>6273</v>
      </c>
      <c r="AM3335">
        <v>47.006270999999998</v>
      </c>
      <c r="AN3335" t="s">
        <v>6274</v>
      </c>
      <c r="AO3335">
        <v>-123.697171</v>
      </c>
      <c r="AP3335">
        <v>100</v>
      </c>
      <c r="AQ3335">
        <v>2100</v>
      </c>
      <c r="AR3335" t="s">
        <v>118</v>
      </c>
      <c r="AS3335">
        <v>-81</v>
      </c>
      <c r="AT3335">
        <v>13</v>
      </c>
      <c r="AU3335">
        <v>-128</v>
      </c>
      <c r="BC3335">
        <v>1200</v>
      </c>
      <c r="BD3335">
        <v>1</v>
      </c>
      <c r="BE3335" t="str">
        <f t="shared" si="158"/>
        <v xml:space="preserve">N215T   </v>
      </c>
      <c r="BF3335">
        <v>1</v>
      </c>
      <c r="BH3335">
        <v>0</v>
      </c>
      <c r="BI3335">
        <v>0</v>
      </c>
      <c r="BJ3335">
        <v>0</v>
      </c>
      <c r="BK3335">
        <v>2450</v>
      </c>
      <c r="BL3335">
        <v>350</v>
      </c>
      <c r="BM3335" t="s">
        <v>119</v>
      </c>
      <c r="BN3335">
        <v>1</v>
      </c>
      <c r="BO3335">
        <v>1</v>
      </c>
      <c r="BP3335">
        <v>1</v>
      </c>
      <c r="BQ3335">
        <v>0</v>
      </c>
      <c r="BT3335">
        <v>0</v>
      </c>
      <c r="BU3335">
        <v>0</v>
      </c>
      <c r="BV3335">
        <v>0</v>
      </c>
      <c r="CC3335" t="str">
        <f>"19:30:31.031"</f>
        <v>19:30:31.031</v>
      </c>
      <c r="CD3335" t="str">
        <f>"033854121"</f>
        <v>033854121</v>
      </c>
      <c r="CQ3335">
        <v>0</v>
      </c>
      <c r="CR3335">
        <v>2</v>
      </c>
      <c r="CS3335">
        <v>0</v>
      </c>
      <c r="CT3335">
        <v>2</v>
      </c>
      <c r="CU3335">
        <v>0</v>
      </c>
      <c r="CV3335">
        <v>6</v>
      </c>
      <c r="CW3335" t="s">
        <v>120</v>
      </c>
      <c r="CX3335">
        <v>257</v>
      </c>
      <c r="CY3335">
        <v>0</v>
      </c>
      <c r="CZ3335" t="s">
        <v>615</v>
      </c>
      <c r="DA3335" t="s">
        <v>616</v>
      </c>
      <c r="DD3335">
        <v>16382044</v>
      </c>
      <c r="DE3335" t="s">
        <v>123</v>
      </c>
    </row>
    <row r="3336" spans="1:109" x14ac:dyDescent="0.3">
      <c r="A3336" t="str">
        <f>"19:30:32.320"</f>
        <v>19:30:32.320</v>
      </c>
      <c r="B3336" t="s">
        <v>110</v>
      </c>
      <c r="C3336" t="str">
        <f t="shared" si="156"/>
        <v>ffdfd3c0</v>
      </c>
      <c r="D3336" t="s">
        <v>111</v>
      </c>
      <c r="E3336">
        <v>18</v>
      </c>
      <c r="F3336">
        <v>1018</v>
      </c>
      <c r="G3336" t="s">
        <v>112</v>
      </c>
      <c r="J3336" t="s">
        <v>113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R3336" t="s">
        <v>114</v>
      </c>
      <c r="S3336" t="str">
        <f>"19:30:32.109"</f>
        <v>19:30:32.109</v>
      </c>
      <c r="T3336" t="str">
        <f>"19:30:31.711"</f>
        <v>19:30:31.711</v>
      </c>
      <c r="U3336" t="str">
        <f t="shared" si="157"/>
        <v>a1cdbe</v>
      </c>
      <c r="V3336">
        <v>0</v>
      </c>
      <c r="W3336">
        <v>0</v>
      </c>
      <c r="X3336">
        <v>2</v>
      </c>
      <c r="Y3336">
        <v>0</v>
      </c>
      <c r="Z3336">
        <v>0</v>
      </c>
      <c r="AB3336">
        <v>0</v>
      </c>
      <c r="AC3336">
        <v>9</v>
      </c>
      <c r="AD3336">
        <v>3</v>
      </c>
      <c r="AE3336">
        <v>0</v>
      </c>
      <c r="AF3336">
        <v>9</v>
      </c>
      <c r="AG3336" t="s">
        <v>158</v>
      </c>
      <c r="AH3336">
        <v>0</v>
      </c>
      <c r="AI3336">
        <v>3</v>
      </c>
      <c r="AJ3336">
        <v>1</v>
      </c>
      <c r="AK3336">
        <v>0</v>
      </c>
      <c r="AL3336" t="s">
        <v>6275</v>
      </c>
      <c r="AM3336">
        <v>47.006335</v>
      </c>
      <c r="AN3336" t="s">
        <v>6276</v>
      </c>
      <c r="AO3336">
        <v>-123.69781500000001</v>
      </c>
      <c r="AP3336">
        <v>100</v>
      </c>
      <c r="AQ3336">
        <v>2100</v>
      </c>
      <c r="AR3336" t="s">
        <v>118</v>
      </c>
      <c r="AS3336">
        <v>-81</v>
      </c>
      <c r="AT3336">
        <v>13</v>
      </c>
      <c r="AU3336">
        <v>-128</v>
      </c>
      <c r="BC3336">
        <v>1200</v>
      </c>
      <c r="BD3336">
        <v>1</v>
      </c>
      <c r="BE3336" t="str">
        <f t="shared" si="158"/>
        <v xml:space="preserve">N215T   </v>
      </c>
      <c r="BF3336">
        <v>1</v>
      </c>
      <c r="BH3336">
        <v>0</v>
      </c>
      <c r="BI3336">
        <v>0</v>
      </c>
      <c r="BJ3336">
        <v>0</v>
      </c>
      <c r="BK3336">
        <v>2450</v>
      </c>
      <c r="BL3336">
        <v>350</v>
      </c>
      <c r="BM3336" t="s">
        <v>119</v>
      </c>
      <c r="BN3336">
        <v>1</v>
      </c>
      <c r="BO3336">
        <v>1</v>
      </c>
      <c r="BP3336">
        <v>1</v>
      </c>
      <c r="BQ3336">
        <v>0</v>
      </c>
      <c r="BT3336">
        <v>0</v>
      </c>
      <c r="BU3336">
        <v>0</v>
      </c>
      <c r="BV3336">
        <v>0</v>
      </c>
      <c r="CC3336" t="str">
        <f>"19:30:32.117"</f>
        <v>19:30:32.117</v>
      </c>
      <c r="CD3336" t="str">
        <f>"113747692"</f>
        <v>113747692</v>
      </c>
      <c r="CQ3336">
        <v>0</v>
      </c>
      <c r="CR3336">
        <v>2</v>
      </c>
      <c r="CS3336">
        <v>0</v>
      </c>
      <c r="CT3336">
        <v>2</v>
      </c>
      <c r="CU3336">
        <v>0</v>
      </c>
      <c r="CV3336">
        <v>6</v>
      </c>
      <c r="CW3336" t="s">
        <v>120</v>
      </c>
      <c r="CX3336">
        <v>257</v>
      </c>
      <c r="CY3336">
        <v>0</v>
      </c>
      <c r="CZ3336" t="s">
        <v>615</v>
      </c>
      <c r="DA3336" t="s">
        <v>616</v>
      </c>
      <c r="DD3336">
        <v>16382538</v>
      </c>
      <c r="DE3336" t="s">
        <v>123</v>
      </c>
    </row>
    <row r="3337" spans="1:109" x14ac:dyDescent="0.3">
      <c r="A3337" t="str">
        <f>"19:30:33.477"</f>
        <v>19:30:33.477</v>
      </c>
      <c r="B3337" t="s">
        <v>110</v>
      </c>
      <c r="C3337" t="str">
        <f t="shared" si="156"/>
        <v>ffdfd3c0</v>
      </c>
      <c r="D3337" t="s">
        <v>111</v>
      </c>
      <c r="E3337">
        <v>18</v>
      </c>
      <c r="F3337">
        <v>1018</v>
      </c>
      <c r="G3337" t="s">
        <v>112</v>
      </c>
      <c r="J3337" t="s">
        <v>113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R3337" t="s">
        <v>114</v>
      </c>
      <c r="S3337" t="str">
        <f>"19:30:33.250"</f>
        <v>19:30:33.250</v>
      </c>
      <c r="T3337" t="str">
        <f>"19:30:32.750"</f>
        <v>19:30:32.750</v>
      </c>
      <c r="U3337" t="str">
        <f t="shared" si="157"/>
        <v>a1cdbe</v>
      </c>
      <c r="V3337">
        <v>0</v>
      </c>
      <c r="W3337">
        <v>0</v>
      </c>
      <c r="X3337">
        <v>2</v>
      </c>
      <c r="Y3337">
        <v>0</v>
      </c>
      <c r="Z3337">
        <v>0</v>
      </c>
      <c r="AB3337">
        <v>0</v>
      </c>
      <c r="AC3337">
        <v>9</v>
      </c>
      <c r="AD3337">
        <v>3</v>
      </c>
      <c r="AE3337">
        <v>0</v>
      </c>
      <c r="AF3337">
        <v>9</v>
      </c>
      <c r="AG3337" t="s">
        <v>158</v>
      </c>
      <c r="AH3337">
        <v>0</v>
      </c>
      <c r="AI3337">
        <v>3</v>
      </c>
      <c r="AJ3337">
        <v>1</v>
      </c>
      <c r="AK3337">
        <v>0</v>
      </c>
      <c r="AL3337" t="s">
        <v>6277</v>
      </c>
      <c r="AM3337">
        <v>47.006377999999998</v>
      </c>
      <c r="AN3337" t="s">
        <v>6278</v>
      </c>
      <c r="AO3337">
        <v>-123.698373</v>
      </c>
      <c r="AP3337">
        <v>100</v>
      </c>
      <c r="AQ3337">
        <v>2100</v>
      </c>
      <c r="AR3337" t="s">
        <v>118</v>
      </c>
      <c r="AS3337">
        <v>-81</v>
      </c>
      <c r="AT3337">
        <v>13</v>
      </c>
      <c r="AU3337">
        <v>-128</v>
      </c>
      <c r="BC3337">
        <v>1200</v>
      </c>
      <c r="BD3337">
        <v>1</v>
      </c>
      <c r="BE3337" t="str">
        <f t="shared" si="158"/>
        <v xml:space="preserve">N215T   </v>
      </c>
      <c r="BF3337">
        <v>1</v>
      </c>
      <c r="BH3337">
        <v>0</v>
      </c>
      <c r="BI3337">
        <v>0</v>
      </c>
      <c r="BJ3337">
        <v>0</v>
      </c>
      <c r="BK3337">
        <v>2450</v>
      </c>
      <c r="BL3337">
        <v>350</v>
      </c>
      <c r="BM3337" t="s">
        <v>119</v>
      </c>
      <c r="BN3337">
        <v>1</v>
      </c>
      <c r="BO3337">
        <v>1</v>
      </c>
      <c r="BP3337">
        <v>1</v>
      </c>
      <c r="BQ3337">
        <v>0</v>
      </c>
      <c r="BT3337">
        <v>0</v>
      </c>
      <c r="BU3337">
        <v>0</v>
      </c>
      <c r="BV3337">
        <v>0</v>
      </c>
      <c r="CC3337" t="str">
        <f>"19:30:33.250"</f>
        <v>19:30:33.250</v>
      </c>
      <c r="CD3337" t="str">
        <f>"253635357"</f>
        <v>253635357</v>
      </c>
      <c r="CQ3337">
        <v>0</v>
      </c>
      <c r="CR3337">
        <v>2</v>
      </c>
      <c r="CS3337">
        <v>0</v>
      </c>
      <c r="CT3337">
        <v>2</v>
      </c>
      <c r="CU3337">
        <v>0</v>
      </c>
      <c r="CV3337">
        <v>6</v>
      </c>
      <c r="CW3337" t="s">
        <v>120</v>
      </c>
      <c r="CX3337">
        <v>257</v>
      </c>
      <c r="CY3337">
        <v>0</v>
      </c>
      <c r="CZ3337" t="s">
        <v>615</v>
      </c>
      <c r="DA3337" t="s">
        <v>616</v>
      </c>
      <c r="DD3337">
        <v>16383082</v>
      </c>
      <c r="DE3337" t="s">
        <v>123</v>
      </c>
    </row>
    <row r="3338" spans="1:109" x14ac:dyDescent="0.3">
      <c r="A3338" t="str">
        <f>"19:30:34.492"</f>
        <v>19:30:34.492</v>
      </c>
      <c r="B3338" t="s">
        <v>110</v>
      </c>
      <c r="C3338" t="str">
        <f t="shared" si="156"/>
        <v>ffdfd3c0</v>
      </c>
      <c r="D3338" t="s">
        <v>111</v>
      </c>
      <c r="E3338">
        <v>18</v>
      </c>
      <c r="F3338">
        <v>1018</v>
      </c>
      <c r="G3338" t="s">
        <v>112</v>
      </c>
      <c r="J3338" t="s">
        <v>113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R3338" t="s">
        <v>114</v>
      </c>
      <c r="S3338" t="str">
        <f>"19:30:34.273"</f>
        <v>19:30:34.273</v>
      </c>
      <c r="T3338" t="str">
        <f>"19:30:34.273"</f>
        <v>19:30:34.273</v>
      </c>
      <c r="U3338" t="str">
        <f t="shared" si="157"/>
        <v>a1cdbe</v>
      </c>
      <c r="V3338">
        <v>0</v>
      </c>
      <c r="W3338">
        <v>0</v>
      </c>
      <c r="X3338">
        <v>2</v>
      </c>
      <c r="Y3338">
        <v>0</v>
      </c>
      <c r="Z3338">
        <v>0</v>
      </c>
      <c r="AB3338">
        <v>0</v>
      </c>
      <c r="AC3338">
        <v>9</v>
      </c>
      <c r="AD3338">
        <v>3</v>
      </c>
      <c r="AE3338">
        <v>0</v>
      </c>
      <c r="AF3338">
        <v>9</v>
      </c>
      <c r="AG3338" t="s">
        <v>158</v>
      </c>
      <c r="AH3338">
        <v>0</v>
      </c>
      <c r="AI3338">
        <v>3</v>
      </c>
      <c r="AJ3338">
        <v>1</v>
      </c>
      <c r="AK3338">
        <v>0</v>
      </c>
      <c r="AL3338" t="s">
        <v>6279</v>
      </c>
      <c r="AM3338">
        <v>47.006442999999997</v>
      </c>
      <c r="AN3338" t="s">
        <v>6280</v>
      </c>
      <c r="AO3338">
        <v>-123.69895200000001</v>
      </c>
      <c r="AP3338">
        <v>100</v>
      </c>
      <c r="AQ3338">
        <v>2100</v>
      </c>
      <c r="AR3338" t="s">
        <v>118</v>
      </c>
      <c r="AS3338">
        <v>-81</v>
      </c>
      <c r="AT3338">
        <v>13</v>
      </c>
      <c r="AU3338">
        <v>-64</v>
      </c>
      <c r="BC3338">
        <v>1200</v>
      </c>
      <c r="BD3338">
        <v>1</v>
      </c>
      <c r="BE3338" t="str">
        <f t="shared" si="158"/>
        <v xml:space="preserve">N215T   </v>
      </c>
      <c r="BF3338">
        <v>1</v>
      </c>
      <c r="BH3338">
        <v>0</v>
      </c>
      <c r="BI3338">
        <v>0</v>
      </c>
      <c r="BJ3338">
        <v>0</v>
      </c>
      <c r="BK3338">
        <v>2450</v>
      </c>
      <c r="BL3338">
        <v>350</v>
      </c>
      <c r="BM3338" t="s">
        <v>119</v>
      </c>
      <c r="BN3338">
        <v>1</v>
      </c>
      <c r="BO3338">
        <v>1</v>
      </c>
      <c r="BP3338">
        <v>1</v>
      </c>
      <c r="BQ3338">
        <v>0</v>
      </c>
      <c r="BT3338">
        <v>0</v>
      </c>
      <c r="BU3338">
        <v>0</v>
      </c>
      <c r="BV3338">
        <v>0</v>
      </c>
      <c r="CC3338" t="str">
        <f>"19:30:34.273"</f>
        <v>19:30:34.273</v>
      </c>
      <c r="CD3338" t="str">
        <f>"273534856"</f>
        <v>273534856</v>
      </c>
      <c r="CQ3338">
        <v>0</v>
      </c>
      <c r="CR3338">
        <v>2</v>
      </c>
      <c r="CS3338">
        <v>0</v>
      </c>
      <c r="CT3338">
        <v>2</v>
      </c>
      <c r="CU3338">
        <v>0</v>
      </c>
      <c r="CV3338">
        <v>6</v>
      </c>
      <c r="CW3338" t="s">
        <v>120</v>
      </c>
      <c r="CX3338">
        <v>257</v>
      </c>
      <c r="CY3338">
        <v>0</v>
      </c>
      <c r="CZ3338" t="s">
        <v>615</v>
      </c>
      <c r="DA3338" t="s">
        <v>616</v>
      </c>
      <c r="DD3338">
        <v>16383514</v>
      </c>
      <c r="DE3338" t="s">
        <v>123</v>
      </c>
    </row>
    <row r="3339" spans="1:109" x14ac:dyDescent="0.3">
      <c r="A3339" t="str">
        <f>"19:30:35.539"</f>
        <v>19:30:35.539</v>
      </c>
      <c r="B3339" t="s">
        <v>110</v>
      </c>
      <c r="C3339" t="str">
        <f t="shared" si="156"/>
        <v>ffdfd3c0</v>
      </c>
      <c r="D3339" t="s">
        <v>111</v>
      </c>
      <c r="E3339">
        <v>18</v>
      </c>
      <c r="F3339">
        <v>1018</v>
      </c>
      <c r="G3339" t="s">
        <v>112</v>
      </c>
      <c r="J3339" t="s">
        <v>113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R3339" t="s">
        <v>114</v>
      </c>
      <c r="S3339" t="str">
        <f>"19:30:35.320"</f>
        <v>19:30:35.320</v>
      </c>
      <c r="T3339" t="str">
        <f>"19:30:35.320"</f>
        <v>19:30:35.320</v>
      </c>
      <c r="U3339" t="str">
        <f t="shared" si="157"/>
        <v>a1cdbe</v>
      </c>
      <c r="V3339">
        <v>0</v>
      </c>
      <c r="W3339">
        <v>0</v>
      </c>
      <c r="X3339">
        <v>2</v>
      </c>
      <c r="Y3339">
        <v>0</v>
      </c>
      <c r="Z3339">
        <v>0</v>
      </c>
      <c r="AB3339">
        <v>0</v>
      </c>
      <c r="AC3339">
        <v>9</v>
      </c>
      <c r="AD3339">
        <v>3</v>
      </c>
      <c r="AE3339">
        <v>0</v>
      </c>
      <c r="AF3339">
        <v>9</v>
      </c>
      <c r="AG3339" t="s">
        <v>158</v>
      </c>
      <c r="AH3339">
        <v>0</v>
      </c>
      <c r="AI3339">
        <v>3</v>
      </c>
      <c r="AJ3339">
        <v>1</v>
      </c>
      <c r="AK3339">
        <v>0</v>
      </c>
      <c r="AL3339" t="s">
        <v>6281</v>
      </c>
      <c r="AM3339">
        <v>47.006506999999999</v>
      </c>
      <c r="AN3339" t="s">
        <v>6282</v>
      </c>
      <c r="AO3339">
        <v>-123.699532</v>
      </c>
      <c r="AP3339">
        <v>100</v>
      </c>
      <c r="AQ3339">
        <v>2100</v>
      </c>
      <c r="AR3339" t="s">
        <v>118</v>
      </c>
      <c r="AS3339">
        <v>-81</v>
      </c>
      <c r="AT3339">
        <v>13</v>
      </c>
      <c r="AU3339">
        <v>-64</v>
      </c>
      <c r="BC3339">
        <v>1200</v>
      </c>
      <c r="BD3339">
        <v>1</v>
      </c>
      <c r="BE3339" t="str">
        <f t="shared" si="158"/>
        <v xml:space="preserve">N215T   </v>
      </c>
      <c r="BF3339">
        <v>1</v>
      </c>
      <c r="BH3339">
        <v>0</v>
      </c>
      <c r="BI3339">
        <v>0</v>
      </c>
      <c r="BJ3339">
        <v>0</v>
      </c>
      <c r="BK3339">
        <v>2450</v>
      </c>
      <c r="BL3339">
        <v>350</v>
      </c>
      <c r="BM3339" t="s">
        <v>119</v>
      </c>
      <c r="BN3339">
        <v>1</v>
      </c>
      <c r="BO3339">
        <v>1</v>
      </c>
      <c r="BP3339">
        <v>1</v>
      </c>
      <c r="BQ3339">
        <v>0</v>
      </c>
      <c r="BT3339">
        <v>0</v>
      </c>
      <c r="BU3339">
        <v>0</v>
      </c>
      <c r="BV3339">
        <v>0</v>
      </c>
      <c r="CC3339" t="str">
        <f>"19:30:35.320"</f>
        <v>19:30:35.320</v>
      </c>
      <c r="CD3339" t="str">
        <f>"323431387"</f>
        <v>323431387</v>
      </c>
      <c r="CQ3339">
        <v>0</v>
      </c>
      <c r="CR3339">
        <v>2</v>
      </c>
      <c r="CS3339">
        <v>0</v>
      </c>
      <c r="CT3339">
        <v>2</v>
      </c>
      <c r="CU3339">
        <v>0</v>
      </c>
      <c r="CV3339">
        <v>6</v>
      </c>
      <c r="CW3339" t="s">
        <v>120</v>
      </c>
      <c r="CX3339">
        <v>257</v>
      </c>
      <c r="CY3339">
        <v>0</v>
      </c>
      <c r="CZ3339" t="s">
        <v>615</v>
      </c>
      <c r="DA3339" t="s">
        <v>616</v>
      </c>
      <c r="DD3339">
        <v>16383963</v>
      </c>
      <c r="DE3339" t="s">
        <v>123</v>
      </c>
    </row>
    <row r="3340" spans="1:109" x14ac:dyDescent="0.3">
      <c r="A3340" t="str">
        <f>"19:30:36.492"</f>
        <v>19:30:36.492</v>
      </c>
      <c r="B3340" t="s">
        <v>110</v>
      </c>
      <c r="C3340" t="str">
        <f t="shared" si="156"/>
        <v>ffdfd3c0</v>
      </c>
      <c r="D3340" t="s">
        <v>111</v>
      </c>
      <c r="E3340">
        <v>18</v>
      </c>
      <c r="F3340">
        <v>1018</v>
      </c>
      <c r="G3340" t="s">
        <v>112</v>
      </c>
      <c r="J3340" t="s">
        <v>113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R3340" t="s">
        <v>114</v>
      </c>
      <c r="S3340" t="str">
        <f>"19:30:36.281"</f>
        <v>19:30:36.281</v>
      </c>
      <c r="T3340" t="str">
        <f>"19:30:36.180"</f>
        <v>19:30:36.180</v>
      </c>
      <c r="U3340" t="str">
        <f t="shared" si="157"/>
        <v>a1cdbe</v>
      </c>
      <c r="V3340">
        <v>0</v>
      </c>
      <c r="W3340">
        <v>0</v>
      </c>
      <c r="X3340">
        <v>2</v>
      </c>
      <c r="Y3340">
        <v>0</v>
      </c>
      <c r="Z3340">
        <v>0</v>
      </c>
      <c r="AB3340">
        <v>0</v>
      </c>
      <c r="AC3340">
        <v>9</v>
      </c>
      <c r="AD3340">
        <v>3</v>
      </c>
      <c r="AE3340">
        <v>0</v>
      </c>
      <c r="AF3340">
        <v>9</v>
      </c>
      <c r="AG3340" t="s">
        <v>158</v>
      </c>
      <c r="AH3340">
        <v>0</v>
      </c>
      <c r="AI3340">
        <v>3</v>
      </c>
      <c r="AJ3340">
        <v>1</v>
      </c>
      <c r="AK3340">
        <v>0</v>
      </c>
      <c r="AL3340" t="s">
        <v>6283</v>
      </c>
      <c r="AM3340">
        <v>47.006593000000002</v>
      </c>
      <c r="AN3340" t="s">
        <v>6284</v>
      </c>
      <c r="AO3340">
        <v>-123.700068</v>
      </c>
      <c r="AP3340">
        <v>100</v>
      </c>
      <c r="AQ3340">
        <v>2100</v>
      </c>
      <c r="AR3340" t="s">
        <v>118</v>
      </c>
      <c r="AS3340">
        <v>-81</v>
      </c>
      <c r="AT3340">
        <v>13</v>
      </c>
      <c r="AU3340">
        <v>-64</v>
      </c>
      <c r="BC3340">
        <v>1200</v>
      </c>
      <c r="BD3340">
        <v>1</v>
      </c>
      <c r="BE3340" t="str">
        <f t="shared" si="158"/>
        <v xml:space="preserve">N215T   </v>
      </c>
      <c r="BF3340">
        <v>1</v>
      </c>
      <c r="BH3340">
        <v>0</v>
      </c>
      <c r="BI3340">
        <v>0</v>
      </c>
      <c r="BJ3340">
        <v>0</v>
      </c>
      <c r="BK3340">
        <v>2450</v>
      </c>
      <c r="BL3340">
        <v>350</v>
      </c>
      <c r="BM3340" t="s">
        <v>119</v>
      </c>
      <c r="BN3340">
        <v>1</v>
      </c>
      <c r="BO3340">
        <v>1</v>
      </c>
      <c r="BP3340">
        <v>1</v>
      </c>
      <c r="BQ3340">
        <v>0</v>
      </c>
      <c r="BT3340">
        <v>0</v>
      </c>
      <c r="BU3340">
        <v>0</v>
      </c>
      <c r="BV3340">
        <v>0</v>
      </c>
      <c r="CC3340" t="str">
        <f>"19:30:36.281"</f>
        <v>19:30:36.281</v>
      </c>
      <c r="CD3340" t="str">
        <f>"283336795"</f>
        <v>283336795</v>
      </c>
      <c r="CQ3340">
        <v>0</v>
      </c>
      <c r="CR3340">
        <v>2</v>
      </c>
      <c r="CS3340">
        <v>0</v>
      </c>
      <c r="CT3340">
        <v>2</v>
      </c>
      <c r="CU3340">
        <v>0</v>
      </c>
      <c r="CV3340">
        <v>6</v>
      </c>
      <c r="CW3340" t="s">
        <v>120</v>
      </c>
      <c r="CX3340">
        <v>257</v>
      </c>
      <c r="CY3340">
        <v>0</v>
      </c>
      <c r="CZ3340" t="s">
        <v>615</v>
      </c>
      <c r="DA3340" t="s">
        <v>616</v>
      </c>
      <c r="DD3340">
        <v>16384381</v>
      </c>
      <c r="DE3340" t="s">
        <v>123</v>
      </c>
    </row>
    <row r="3341" spans="1:109" x14ac:dyDescent="0.3">
      <c r="A3341" t="str">
        <f>"19:30:37.500"</f>
        <v>19:30:37.500</v>
      </c>
      <c r="B3341" t="s">
        <v>110</v>
      </c>
      <c r="C3341" t="str">
        <f t="shared" si="156"/>
        <v>ffdfd3c0</v>
      </c>
      <c r="D3341" t="s">
        <v>111</v>
      </c>
      <c r="E3341">
        <v>18</v>
      </c>
      <c r="F3341">
        <v>1018</v>
      </c>
      <c r="G3341" t="s">
        <v>112</v>
      </c>
      <c r="J3341" t="s">
        <v>113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R3341" t="s">
        <v>114</v>
      </c>
      <c r="S3341" t="str">
        <f>"19:30:37.258"</f>
        <v>19:30:37.258</v>
      </c>
      <c r="T3341" t="str">
        <f>"19:30:37.156"</f>
        <v>19:30:37.156</v>
      </c>
      <c r="U3341" t="str">
        <f t="shared" si="157"/>
        <v>a1cdbe</v>
      </c>
      <c r="V3341">
        <v>0</v>
      </c>
      <c r="W3341">
        <v>0</v>
      </c>
      <c r="X3341">
        <v>2</v>
      </c>
      <c r="Y3341">
        <v>0</v>
      </c>
      <c r="Z3341">
        <v>0</v>
      </c>
      <c r="AB3341">
        <v>0</v>
      </c>
      <c r="AC3341">
        <v>9</v>
      </c>
      <c r="AD3341">
        <v>3</v>
      </c>
      <c r="AE3341">
        <v>0</v>
      </c>
      <c r="AF3341">
        <v>9</v>
      </c>
      <c r="AG3341" t="s">
        <v>158</v>
      </c>
      <c r="AH3341">
        <v>0</v>
      </c>
      <c r="AI3341">
        <v>3</v>
      </c>
      <c r="AJ3341">
        <v>1</v>
      </c>
      <c r="AK3341">
        <v>0</v>
      </c>
      <c r="AL3341" t="s">
        <v>6285</v>
      </c>
      <c r="AM3341">
        <v>47.006613999999999</v>
      </c>
      <c r="AN3341" t="s">
        <v>6286</v>
      </c>
      <c r="AO3341">
        <v>-123.70056200000001</v>
      </c>
      <c r="AP3341">
        <v>100</v>
      </c>
      <c r="AQ3341">
        <v>2100</v>
      </c>
      <c r="AR3341" t="s">
        <v>118</v>
      </c>
      <c r="AS3341">
        <v>-81</v>
      </c>
      <c r="AT3341">
        <v>13</v>
      </c>
      <c r="AU3341">
        <v>-64</v>
      </c>
      <c r="BC3341">
        <v>1200</v>
      </c>
      <c r="BD3341">
        <v>1</v>
      </c>
      <c r="BE3341" t="str">
        <f t="shared" si="158"/>
        <v xml:space="preserve">N215T   </v>
      </c>
      <c r="BF3341">
        <v>1</v>
      </c>
      <c r="BH3341">
        <v>0</v>
      </c>
      <c r="BI3341">
        <v>0</v>
      </c>
      <c r="BJ3341">
        <v>0</v>
      </c>
      <c r="BK3341">
        <v>2450</v>
      </c>
      <c r="BL3341">
        <v>350</v>
      </c>
      <c r="BM3341" t="s">
        <v>119</v>
      </c>
      <c r="BN3341">
        <v>1</v>
      </c>
      <c r="BO3341">
        <v>1</v>
      </c>
      <c r="BP3341">
        <v>1</v>
      </c>
      <c r="BQ3341">
        <v>0</v>
      </c>
      <c r="BT3341">
        <v>0</v>
      </c>
      <c r="BU3341">
        <v>0</v>
      </c>
      <c r="BV3341">
        <v>0</v>
      </c>
      <c r="CC3341" t="str">
        <f>"19:30:37.258"</f>
        <v>19:30:37.258</v>
      </c>
      <c r="CD3341" t="str">
        <f>"258240719"</f>
        <v>258240719</v>
      </c>
      <c r="CQ3341">
        <v>0</v>
      </c>
      <c r="CR3341">
        <v>2</v>
      </c>
      <c r="CS3341">
        <v>0</v>
      </c>
      <c r="CT3341">
        <v>2</v>
      </c>
      <c r="CU3341">
        <v>0</v>
      </c>
      <c r="CV3341">
        <v>6</v>
      </c>
      <c r="CW3341" t="s">
        <v>120</v>
      </c>
      <c r="CX3341">
        <v>257</v>
      </c>
      <c r="CY3341">
        <v>0</v>
      </c>
      <c r="CZ3341" t="s">
        <v>615</v>
      </c>
      <c r="DA3341" t="s">
        <v>616</v>
      </c>
      <c r="DD3341">
        <v>16384863</v>
      </c>
      <c r="DE3341" t="s">
        <v>123</v>
      </c>
    </row>
    <row r="3342" spans="1:109" x14ac:dyDescent="0.3">
      <c r="A3342" t="str">
        <f>"19:30:38.555"</f>
        <v>19:30:38.555</v>
      </c>
      <c r="B3342" t="s">
        <v>110</v>
      </c>
      <c r="C3342" t="str">
        <f t="shared" si="156"/>
        <v>ffdfd3c0</v>
      </c>
      <c r="D3342" t="s">
        <v>111</v>
      </c>
      <c r="E3342">
        <v>18</v>
      </c>
      <c r="F3342">
        <v>1018</v>
      </c>
      <c r="G3342" t="s">
        <v>112</v>
      </c>
      <c r="J3342" t="s">
        <v>113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R3342" t="s">
        <v>114</v>
      </c>
      <c r="S3342" t="str">
        <f>"19:30:38.320"</f>
        <v>19:30:38.320</v>
      </c>
      <c r="T3342" t="str">
        <f>"19:30:38.219"</f>
        <v>19:30:38.219</v>
      </c>
      <c r="U3342" t="str">
        <f t="shared" si="157"/>
        <v>a1cdbe</v>
      </c>
      <c r="V3342">
        <v>0</v>
      </c>
      <c r="W3342">
        <v>0</v>
      </c>
      <c r="X3342">
        <v>2</v>
      </c>
      <c r="Y3342">
        <v>0</v>
      </c>
      <c r="Z3342">
        <v>0</v>
      </c>
      <c r="AB3342">
        <v>0</v>
      </c>
      <c r="AC3342">
        <v>9</v>
      </c>
      <c r="AD3342">
        <v>3</v>
      </c>
      <c r="AE3342">
        <v>0</v>
      </c>
      <c r="AF3342">
        <v>9</v>
      </c>
      <c r="AG3342" t="s">
        <v>158</v>
      </c>
      <c r="AH3342">
        <v>0</v>
      </c>
      <c r="AI3342">
        <v>3</v>
      </c>
      <c r="AJ3342">
        <v>1</v>
      </c>
      <c r="AK3342">
        <v>0</v>
      </c>
      <c r="AL3342" t="s">
        <v>6287</v>
      </c>
      <c r="AM3342">
        <v>47.006678999999998</v>
      </c>
      <c r="AN3342" t="s">
        <v>6288</v>
      </c>
      <c r="AO3342">
        <v>-123.701205</v>
      </c>
      <c r="AP3342">
        <v>100</v>
      </c>
      <c r="AQ3342">
        <v>2100</v>
      </c>
      <c r="AR3342" t="s">
        <v>118</v>
      </c>
      <c r="AS3342">
        <v>-81</v>
      </c>
      <c r="AT3342">
        <v>13</v>
      </c>
      <c r="AU3342">
        <v>-64</v>
      </c>
      <c r="BC3342">
        <v>1200</v>
      </c>
      <c r="BD3342">
        <v>1</v>
      </c>
      <c r="BE3342" t="str">
        <f t="shared" si="158"/>
        <v xml:space="preserve">N215T   </v>
      </c>
      <c r="BF3342">
        <v>1</v>
      </c>
      <c r="BH3342">
        <v>0</v>
      </c>
      <c r="BI3342">
        <v>0</v>
      </c>
      <c r="BJ3342">
        <v>0</v>
      </c>
      <c r="BK3342">
        <v>2450</v>
      </c>
      <c r="BL3342">
        <v>350</v>
      </c>
      <c r="BM3342" t="s">
        <v>119</v>
      </c>
      <c r="BN3342">
        <v>1</v>
      </c>
      <c r="BO3342">
        <v>1</v>
      </c>
      <c r="BP3342">
        <v>1</v>
      </c>
      <c r="BQ3342">
        <v>0</v>
      </c>
      <c r="BT3342">
        <v>0</v>
      </c>
      <c r="BU3342">
        <v>0</v>
      </c>
      <c r="BV3342">
        <v>0</v>
      </c>
      <c r="CC3342" t="str">
        <f>"19:30:38.320"</f>
        <v>19:30:38.320</v>
      </c>
      <c r="CD3342" t="str">
        <f>"323135786"</f>
        <v>323135786</v>
      </c>
      <c r="CQ3342">
        <v>0</v>
      </c>
      <c r="CR3342">
        <v>2</v>
      </c>
      <c r="CS3342">
        <v>0</v>
      </c>
      <c r="CT3342">
        <v>2</v>
      </c>
      <c r="CU3342">
        <v>0</v>
      </c>
      <c r="CV3342">
        <v>6</v>
      </c>
      <c r="CW3342" t="s">
        <v>120</v>
      </c>
      <c r="CX3342">
        <v>257</v>
      </c>
      <c r="CY3342">
        <v>0</v>
      </c>
      <c r="CZ3342" t="s">
        <v>615</v>
      </c>
      <c r="DA3342" t="s">
        <v>616</v>
      </c>
      <c r="DD3342">
        <v>16385322</v>
      </c>
      <c r="DE3342" t="s">
        <v>123</v>
      </c>
    </row>
    <row r="3343" spans="1:109" x14ac:dyDescent="0.3">
      <c r="A3343" t="str">
        <f>"19:30:39.414"</f>
        <v>19:30:39.414</v>
      </c>
      <c r="B3343" t="s">
        <v>110</v>
      </c>
      <c r="C3343" t="str">
        <f t="shared" si="156"/>
        <v>ffdfd3c0</v>
      </c>
      <c r="D3343" t="s">
        <v>111</v>
      </c>
      <c r="E3343">
        <v>18</v>
      </c>
      <c r="F3343">
        <v>1018</v>
      </c>
      <c r="G3343" t="s">
        <v>112</v>
      </c>
      <c r="J3343" t="s">
        <v>113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R3343" t="s">
        <v>114</v>
      </c>
      <c r="S3343" t="str">
        <f>"19:30:39.172"</f>
        <v>19:30:39.172</v>
      </c>
      <c r="T3343" t="str">
        <f>"19:30:38.773"</f>
        <v>19:30:38.773</v>
      </c>
      <c r="U3343" t="str">
        <f t="shared" si="157"/>
        <v>a1cdbe</v>
      </c>
      <c r="V3343">
        <v>0</v>
      </c>
      <c r="W3343">
        <v>0</v>
      </c>
      <c r="X3343">
        <v>2</v>
      </c>
      <c r="Y3343">
        <v>0</v>
      </c>
      <c r="Z3343">
        <v>0</v>
      </c>
      <c r="AB3343">
        <v>0</v>
      </c>
      <c r="AC3343">
        <v>9</v>
      </c>
      <c r="AD3343">
        <v>3</v>
      </c>
      <c r="AE3343">
        <v>0</v>
      </c>
      <c r="AF3343">
        <v>9</v>
      </c>
      <c r="AG3343" t="s">
        <v>158</v>
      </c>
      <c r="AH3343">
        <v>0</v>
      </c>
      <c r="AI3343">
        <v>3</v>
      </c>
      <c r="AJ3343">
        <v>1</v>
      </c>
      <c r="AK3343">
        <v>0</v>
      </c>
      <c r="AL3343" t="s">
        <v>6289</v>
      </c>
      <c r="AM3343">
        <v>47.006743</v>
      </c>
      <c r="AN3343" t="s">
        <v>6290</v>
      </c>
      <c r="AO3343">
        <v>-123.701656</v>
      </c>
      <c r="AP3343">
        <v>100</v>
      </c>
      <c r="AQ3343">
        <v>2100</v>
      </c>
      <c r="AR3343" t="s">
        <v>118</v>
      </c>
      <c r="AS3343">
        <v>-81</v>
      </c>
      <c r="AT3343">
        <v>13</v>
      </c>
      <c r="AU3343">
        <v>0</v>
      </c>
      <c r="BC3343">
        <v>1200</v>
      </c>
      <c r="BD3343">
        <v>1</v>
      </c>
      <c r="BE3343" t="str">
        <f t="shared" si="158"/>
        <v xml:space="preserve">N215T   </v>
      </c>
      <c r="BF3343">
        <v>1</v>
      </c>
      <c r="BH3343">
        <v>0</v>
      </c>
      <c r="BI3343">
        <v>0</v>
      </c>
      <c r="BJ3343">
        <v>0</v>
      </c>
      <c r="BK3343">
        <v>2450</v>
      </c>
      <c r="BL3343">
        <v>350</v>
      </c>
      <c r="BM3343" t="s">
        <v>119</v>
      </c>
      <c r="BN3343">
        <v>1</v>
      </c>
      <c r="BO3343">
        <v>1</v>
      </c>
      <c r="BP3343">
        <v>1</v>
      </c>
      <c r="BQ3343">
        <v>0</v>
      </c>
      <c r="BT3343">
        <v>0</v>
      </c>
      <c r="BU3343">
        <v>0</v>
      </c>
      <c r="BV3343">
        <v>0</v>
      </c>
      <c r="CC3343" t="str">
        <f>"19:30:39.180"</f>
        <v>19:30:39.180</v>
      </c>
      <c r="CD3343" t="str">
        <f>"178051530"</f>
        <v>178051530</v>
      </c>
      <c r="CQ3343">
        <v>0</v>
      </c>
      <c r="CR3343">
        <v>2</v>
      </c>
      <c r="CS3343">
        <v>0</v>
      </c>
      <c r="CT3343">
        <v>2</v>
      </c>
      <c r="CU3343">
        <v>0</v>
      </c>
      <c r="CV3343">
        <v>6</v>
      </c>
      <c r="CW3343" t="s">
        <v>120</v>
      </c>
      <c r="CX3343">
        <v>257</v>
      </c>
      <c r="CY3343">
        <v>0</v>
      </c>
      <c r="CZ3343" t="s">
        <v>615</v>
      </c>
      <c r="DA3343" t="s">
        <v>616</v>
      </c>
      <c r="DD3343">
        <v>16385688</v>
      </c>
      <c r="DE3343" t="s">
        <v>123</v>
      </c>
    </row>
    <row r="3344" spans="1:109" x14ac:dyDescent="0.3">
      <c r="A3344" t="str">
        <f>"19:30:40.367"</f>
        <v>19:30:40.367</v>
      </c>
      <c r="B3344" t="s">
        <v>110</v>
      </c>
      <c r="C3344" t="str">
        <f t="shared" si="156"/>
        <v>ffdfd3c0</v>
      </c>
      <c r="D3344" t="s">
        <v>111</v>
      </c>
      <c r="E3344">
        <v>18</v>
      </c>
      <c r="F3344">
        <v>1018</v>
      </c>
      <c r="G3344" t="s">
        <v>112</v>
      </c>
      <c r="J3344" t="s">
        <v>113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R3344" t="s">
        <v>114</v>
      </c>
      <c r="S3344" t="str">
        <f>"19:30:40.148"</f>
        <v>19:30:40.148</v>
      </c>
      <c r="T3344" t="str">
        <f>"19:30:40.148"</f>
        <v>19:30:40.148</v>
      </c>
      <c r="U3344" t="str">
        <f t="shared" si="157"/>
        <v>a1cdbe</v>
      </c>
      <c r="V3344">
        <v>0</v>
      </c>
      <c r="W3344">
        <v>0</v>
      </c>
      <c r="X3344">
        <v>2</v>
      </c>
      <c r="Y3344">
        <v>0</v>
      </c>
      <c r="Z3344">
        <v>0</v>
      </c>
      <c r="AB3344">
        <v>0</v>
      </c>
      <c r="AC3344">
        <v>9</v>
      </c>
      <c r="AD3344">
        <v>3</v>
      </c>
      <c r="AE3344">
        <v>0</v>
      </c>
      <c r="AF3344">
        <v>9</v>
      </c>
      <c r="AG3344" t="s">
        <v>158</v>
      </c>
      <c r="AH3344">
        <v>0</v>
      </c>
      <c r="AI3344">
        <v>3</v>
      </c>
      <c r="AJ3344">
        <v>1</v>
      </c>
      <c r="AK3344">
        <v>0</v>
      </c>
      <c r="AL3344" t="s">
        <v>781</v>
      </c>
      <c r="AM3344">
        <v>47.006829000000003</v>
      </c>
      <c r="AN3344" t="s">
        <v>6291</v>
      </c>
      <c r="AO3344">
        <v>-123.70217100000001</v>
      </c>
      <c r="AP3344">
        <v>100</v>
      </c>
      <c r="AQ3344">
        <v>2100</v>
      </c>
      <c r="AR3344" t="s">
        <v>118</v>
      </c>
      <c r="AS3344">
        <v>-81</v>
      </c>
      <c r="AT3344">
        <v>13</v>
      </c>
      <c r="AU3344">
        <v>0</v>
      </c>
      <c r="BC3344">
        <v>1200</v>
      </c>
      <c r="BD3344">
        <v>1</v>
      </c>
      <c r="BE3344" t="str">
        <f t="shared" si="158"/>
        <v xml:space="preserve">N215T   </v>
      </c>
      <c r="BF3344">
        <v>1</v>
      </c>
      <c r="BH3344">
        <v>0</v>
      </c>
      <c r="BI3344">
        <v>0</v>
      </c>
      <c r="BJ3344">
        <v>0</v>
      </c>
      <c r="BK3344">
        <v>2450</v>
      </c>
      <c r="BL3344">
        <v>350</v>
      </c>
      <c r="BM3344" t="s">
        <v>119</v>
      </c>
      <c r="BN3344">
        <v>1</v>
      </c>
      <c r="BO3344">
        <v>1</v>
      </c>
      <c r="BP3344">
        <v>1</v>
      </c>
      <c r="BQ3344">
        <v>0</v>
      </c>
      <c r="BT3344">
        <v>0</v>
      </c>
      <c r="BU3344">
        <v>0</v>
      </c>
      <c r="BV3344">
        <v>0</v>
      </c>
      <c r="CC3344" t="str">
        <f>"19:30:40.156"</f>
        <v>19:30:40.156</v>
      </c>
      <c r="CD3344" t="str">
        <f>"152955456"</f>
        <v>152955456</v>
      </c>
      <c r="CQ3344">
        <v>0</v>
      </c>
      <c r="CR3344">
        <v>2</v>
      </c>
      <c r="CS3344">
        <v>0</v>
      </c>
      <c r="CT3344">
        <v>2</v>
      </c>
      <c r="CU3344">
        <v>0</v>
      </c>
      <c r="CV3344">
        <v>6</v>
      </c>
      <c r="CW3344" t="s">
        <v>120</v>
      </c>
      <c r="CX3344">
        <v>257</v>
      </c>
      <c r="CY3344">
        <v>0</v>
      </c>
      <c r="CZ3344" t="s">
        <v>615</v>
      </c>
      <c r="DA3344" t="s">
        <v>616</v>
      </c>
      <c r="DD3344">
        <v>16386064</v>
      </c>
      <c r="DE3344" t="s">
        <v>123</v>
      </c>
    </row>
    <row r="3345" spans="1:109" x14ac:dyDescent="0.3">
      <c r="A3345" t="str">
        <f>"19:30:41.422"</f>
        <v>19:30:41.422</v>
      </c>
      <c r="B3345" t="s">
        <v>110</v>
      </c>
      <c r="C3345" t="str">
        <f t="shared" si="156"/>
        <v>ffdfd3c0</v>
      </c>
      <c r="D3345" t="s">
        <v>111</v>
      </c>
      <c r="E3345">
        <v>18</v>
      </c>
      <c r="F3345">
        <v>1018</v>
      </c>
      <c r="G3345" t="s">
        <v>112</v>
      </c>
      <c r="J3345" t="s">
        <v>113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R3345" t="s">
        <v>114</v>
      </c>
      <c r="S3345" t="str">
        <f>"19:30:41.156"</f>
        <v>19:30:41.156</v>
      </c>
      <c r="T3345" t="str">
        <f>"19:30:41.156"</f>
        <v>19:30:41.156</v>
      </c>
      <c r="U3345" t="str">
        <f t="shared" si="157"/>
        <v>a1cdbe</v>
      </c>
      <c r="V3345">
        <v>0</v>
      </c>
      <c r="W3345">
        <v>0</v>
      </c>
      <c r="X3345">
        <v>2</v>
      </c>
      <c r="Y3345">
        <v>0</v>
      </c>
      <c r="Z3345">
        <v>0</v>
      </c>
      <c r="AB3345">
        <v>0</v>
      </c>
      <c r="AC3345">
        <v>9</v>
      </c>
      <c r="AD3345">
        <v>3</v>
      </c>
      <c r="AE3345">
        <v>0</v>
      </c>
      <c r="AF3345">
        <v>9</v>
      </c>
      <c r="AG3345" t="s">
        <v>158</v>
      </c>
      <c r="AH3345">
        <v>0</v>
      </c>
      <c r="AI3345">
        <v>3</v>
      </c>
      <c r="AJ3345">
        <v>1</v>
      </c>
      <c r="AK3345">
        <v>0</v>
      </c>
      <c r="AL3345" t="s">
        <v>6292</v>
      </c>
      <c r="AM3345">
        <v>47.006872000000001</v>
      </c>
      <c r="AN3345" t="s">
        <v>6293</v>
      </c>
      <c r="AO3345">
        <v>-123.70274999999999</v>
      </c>
      <c r="AP3345">
        <v>100</v>
      </c>
      <c r="AQ3345">
        <v>2100</v>
      </c>
      <c r="AR3345" t="s">
        <v>118</v>
      </c>
      <c r="AS3345">
        <v>-80</v>
      </c>
      <c r="AT3345">
        <v>13</v>
      </c>
      <c r="AU3345">
        <v>0</v>
      </c>
      <c r="BC3345">
        <v>1200</v>
      </c>
      <c r="BD3345">
        <v>1</v>
      </c>
      <c r="BE3345" t="str">
        <f t="shared" si="158"/>
        <v xml:space="preserve">N215T   </v>
      </c>
      <c r="BF3345">
        <v>1</v>
      </c>
      <c r="BH3345">
        <v>0</v>
      </c>
      <c r="BI3345">
        <v>0</v>
      </c>
      <c r="BJ3345">
        <v>0</v>
      </c>
      <c r="BK3345">
        <v>2450</v>
      </c>
      <c r="BL3345">
        <v>350</v>
      </c>
      <c r="BM3345" t="s">
        <v>119</v>
      </c>
      <c r="BN3345">
        <v>1</v>
      </c>
      <c r="BO3345">
        <v>1</v>
      </c>
      <c r="BP3345">
        <v>1</v>
      </c>
      <c r="BQ3345">
        <v>0</v>
      </c>
      <c r="BT3345">
        <v>0</v>
      </c>
      <c r="BU3345">
        <v>0</v>
      </c>
      <c r="BV3345">
        <v>0</v>
      </c>
      <c r="CC3345" t="str">
        <f>"19:30:41.156"</f>
        <v>19:30:41.156</v>
      </c>
      <c r="CD3345" t="str">
        <f>"157856429"</f>
        <v>157856429</v>
      </c>
      <c r="CQ3345">
        <v>0</v>
      </c>
      <c r="CR3345">
        <v>2</v>
      </c>
      <c r="CS3345">
        <v>0</v>
      </c>
      <c r="CT3345">
        <v>2</v>
      </c>
      <c r="CU3345">
        <v>0</v>
      </c>
      <c r="CV3345">
        <v>6</v>
      </c>
      <c r="CW3345" t="s">
        <v>120</v>
      </c>
      <c r="CX3345">
        <v>257</v>
      </c>
      <c r="CY3345">
        <v>0</v>
      </c>
      <c r="CZ3345" t="s">
        <v>615</v>
      </c>
      <c r="DA3345" t="s">
        <v>616</v>
      </c>
      <c r="DD3345">
        <v>16386515</v>
      </c>
      <c r="DE3345" t="s">
        <v>123</v>
      </c>
    </row>
    <row r="3346" spans="1:109" x14ac:dyDescent="0.3">
      <c r="A3346" t="str">
        <f>"19:30:42.430"</f>
        <v>19:30:42.430</v>
      </c>
      <c r="B3346" t="s">
        <v>110</v>
      </c>
      <c r="C3346" t="str">
        <f t="shared" si="156"/>
        <v>ffdfd3c0</v>
      </c>
      <c r="D3346" t="s">
        <v>111</v>
      </c>
      <c r="E3346">
        <v>18</v>
      </c>
      <c r="F3346">
        <v>1018</v>
      </c>
      <c r="G3346" t="s">
        <v>112</v>
      </c>
      <c r="J3346" t="s">
        <v>113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R3346" t="s">
        <v>114</v>
      </c>
      <c r="S3346" t="str">
        <f>"19:30:42.172"</f>
        <v>19:30:42.172</v>
      </c>
      <c r="T3346" t="str">
        <f>"19:30:41.672"</f>
        <v>19:30:41.672</v>
      </c>
      <c r="U3346" t="str">
        <f t="shared" si="157"/>
        <v>a1cdbe</v>
      </c>
      <c r="V3346">
        <v>0</v>
      </c>
      <c r="W3346">
        <v>0</v>
      </c>
      <c r="X3346">
        <v>2</v>
      </c>
      <c r="Y3346">
        <v>0</v>
      </c>
      <c r="Z3346">
        <v>0</v>
      </c>
      <c r="AB3346">
        <v>0</v>
      </c>
      <c r="AC3346">
        <v>9</v>
      </c>
      <c r="AD3346">
        <v>3</v>
      </c>
      <c r="AE3346">
        <v>0</v>
      </c>
      <c r="AF3346">
        <v>9</v>
      </c>
      <c r="AG3346" t="s">
        <v>158</v>
      </c>
      <c r="AH3346">
        <v>0</v>
      </c>
      <c r="AI3346">
        <v>3</v>
      </c>
      <c r="AJ3346">
        <v>1</v>
      </c>
      <c r="AK3346">
        <v>0</v>
      </c>
      <c r="AL3346" t="s">
        <v>6294</v>
      </c>
      <c r="AM3346">
        <v>47.006914999999999</v>
      </c>
      <c r="AN3346" t="s">
        <v>6295</v>
      </c>
      <c r="AO3346">
        <v>-123.703244</v>
      </c>
      <c r="AP3346">
        <v>100</v>
      </c>
      <c r="AQ3346">
        <v>2100</v>
      </c>
      <c r="AR3346" t="s">
        <v>118</v>
      </c>
      <c r="AS3346">
        <v>-80</v>
      </c>
      <c r="AT3346">
        <v>13</v>
      </c>
      <c r="AU3346">
        <v>0</v>
      </c>
      <c r="BC3346">
        <v>1200</v>
      </c>
      <c r="BD3346">
        <v>1</v>
      </c>
      <c r="BE3346" t="str">
        <f t="shared" si="158"/>
        <v xml:space="preserve">N215T   </v>
      </c>
      <c r="BF3346">
        <v>1</v>
      </c>
      <c r="BH3346">
        <v>0</v>
      </c>
      <c r="BI3346">
        <v>0</v>
      </c>
      <c r="BJ3346">
        <v>0</v>
      </c>
      <c r="BK3346">
        <v>2450</v>
      </c>
      <c r="BL3346">
        <v>350</v>
      </c>
      <c r="BM3346" t="s">
        <v>119</v>
      </c>
      <c r="BN3346">
        <v>1</v>
      </c>
      <c r="BO3346">
        <v>1</v>
      </c>
      <c r="BP3346">
        <v>1</v>
      </c>
      <c r="BQ3346">
        <v>0</v>
      </c>
      <c r="BT3346">
        <v>0</v>
      </c>
      <c r="BU3346">
        <v>0</v>
      </c>
      <c r="BV3346">
        <v>0</v>
      </c>
      <c r="CC3346" t="str">
        <f>"19:30:42.180"</f>
        <v>19:30:42.180</v>
      </c>
      <c r="CD3346" t="str">
        <f>"177755924"</f>
        <v>177755924</v>
      </c>
      <c r="CQ3346">
        <v>0</v>
      </c>
      <c r="CR3346">
        <v>2</v>
      </c>
      <c r="CS3346">
        <v>0</v>
      </c>
      <c r="CT3346">
        <v>2</v>
      </c>
      <c r="CU3346">
        <v>0</v>
      </c>
      <c r="CV3346">
        <v>6</v>
      </c>
      <c r="CW3346" t="s">
        <v>120</v>
      </c>
      <c r="CX3346">
        <v>257</v>
      </c>
      <c r="CY3346">
        <v>0</v>
      </c>
      <c r="CZ3346" t="s">
        <v>615</v>
      </c>
      <c r="DA3346" t="s">
        <v>616</v>
      </c>
      <c r="DD3346">
        <v>16387002</v>
      </c>
      <c r="DE3346" t="s">
        <v>123</v>
      </c>
    </row>
    <row r="3347" spans="1:109" x14ac:dyDescent="0.3">
      <c r="A3347" t="str">
        <f>"19:30:43.430"</f>
        <v>19:30:43.430</v>
      </c>
      <c r="B3347" t="s">
        <v>110</v>
      </c>
      <c r="C3347" t="str">
        <f t="shared" si="156"/>
        <v>ffdfd3c0</v>
      </c>
      <c r="D3347" t="s">
        <v>111</v>
      </c>
      <c r="E3347">
        <v>18</v>
      </c>
      <c r="F3347">
        <v>1018</v>
      </c>
      <c r="G3347" t="s">
        <v>112</v>
      </c>
      <c r="J3347" t="s">
        <v>113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R3347" t="s">
        <v>114</v>
      </c>
      <c r="S3347" t="str">
        <f>"19:30:43.195"</f>
        <v>19:30:43.195</v>
      </c>
      <c r="T3347" t="str">
        <f>"19:30:42.898"</f>
        <v>19:30:42.898</v>
      </c>
      <c r="U3347" t="str">
        <f t="shared" si="157"/>
        <v>a1cdbe</v>
      </c>
      <c r="V3347">
        <v>0</v>
      </c>
      <c r="W3347">
        <v>0</v>
      </c>
      <c r="X3347">
        <v>2</v>
      </c>
      <c r="Y3347">
        <v>0</v>
      </c>
      <c r="Z3347">
        <v>0</v>
      </c>
      <c r="AB3347">
        <v>0</v>
      </c>
      <c r="AC3347">
        <v>9</v>
      </c>
      <c r="AD3347">
        <v>3</v>
      </c>
      <c r="AE3347">
        <v>0</v>
      </c>
      <c r="AF3347">
        <v>9</v>
      </c>
      <c r="AG3347" t="s">
        <v>158</v>
      </c>
      <c r="AH3347">
        <v>0</v>
      </c>
      <c r="AI3347">
        <v>3</v>
      </c>
      <c r="AJ3347">
        <v>1</v>
      </c>
      <c r="AK3347">
        <v>0</v>
      </c>
      <c r="AL3347" t="s">
        <v>6296</v>
      </c>
      <c r="AM3347">
        <v>47.006979000000001</v>
      </c>
      <c r="AN3347" t="s">
        <v>6297</v>
      </c>
      <c r="AO3347">
        <v>-123.703866</v>
      </c>
      <c r="AP3347">
        <v>100</v>
      </c>
      <c r="AQ3347">
        <v>2100</v>
      </c>
      <c r="AR3347" t="s">
        <v>118</v>
      </c>
      <c r="AS3347">
        <v>-80</v>
      </c>
      <c r="AT3347">
        <v>13</v>
      </c>
      <c r="AU3347">
        <v>-64</v>
      </c>
      <c r="BC3347">
        <v>1200</v>
      </c>
      <c r="BD3347">
        <v>1</v>
      </c>
      <c r="BE3347" t="str">
        <f t="shared" si="158"/>
        <v xml:space="preserve">N215T   </v>
      </c>
      <c r="BF3347">
        <v>1</v>
      </c>
      <c r="BH3347">
        <v>0</v>
      </c>
      <c r="BI3347">
        <v>0</v>
      </c>
      <c r="BJ3347">
        <v>0</v>
      </c>
      <c r="BK3347">
        <v>2450</v>
      </c>
      <c r="BL3347">
        <v>350</v>
      </c>
      <c r="BM3347" t="s">
        <v>119</v>
      </c>
      <c r="BN3347">
        <v>1</v>
      </c>
      <c r="BO3347">
        <v>1</v>
      </c>
      <c r="BP3347">
        <v>1</v>
      </c>
      <c r="BQ3347">
        <v>0</v>
      </c>
      <c r="BT3347">
        <v>0</v>
      </c>
      <c r="BU3347">
        <v>0</v>
      </c>
      <c r="BV3347">
        <v>0</v>
      </c>
      <c r="CC3347" t="str">
        <f>"19:30:43.195"</f>
        <v>19:30:43.195</v>
      </c>
      <c r="CD3347" t="str">
        <f>"197655410"</f>
        <v>197655410</v>
      </c>
      <c r="CQ3347">
        <v>0</v>
      </c>
      <c r="CR3347">
        <v>2</v>
      </c>
      <c r="CS3347">
        <v>0</v>
      </c>
      <c r="CT3347">
        <v>2</v>
      </c>
      <c r="CU3347">
        <v>0</v>
      </c>
      <c r="CV3347">
        <v>6</v>
      </c>
      <c r="CW3347" t="s">
        <v>120</v>
      </c>
      <c r="CX3347">
        <v>257</v>
      </c>
      <c r="CY3347">
        <v>0</v>
      </c>
      <c r="CZ3347" t="s">
        <v>615</v>
      </c>
      <c r="DA3347" t="s">
        <v>616</v>
      </c>
      <c r="DD3347">
        <v>16387456</v>
      </c>
      <c r="DE3347" t="s">
        <v>123</v>
      </c>
    </row>
    <row r="3348" spans="1:109" x14ac:dyDescent="0.3">
      <c r="A3348" t="str">
        <f>"19:30:44.539"</f>
        <v>19:30:44.539</v>
      </c>
      <c r="B3348" t="s">
        <v>110</v>
      </c>
      <c r="C3348" t="str">
        <f t="shared" si="156"/>
        <v>ffdfd3c0</v>
      </c>
      <c r="D3348" t="s">
        <v>111</v>
      </c>
      <c r="E3348">
        <v>18</v>
      </c>
      <c r="F3348">
        <v>1018</v>
      </c>
      <c r="G3348" t="s">
        <v>112</v>
      </c>
      <c r="J3348" t="s">
        <v>113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R3348" t="s">
        <v>114</v>
      </c>
      <c r="S3348" t="str">
        <f>"19:30:44.289"</f>
        <v>19:30:44.289</v>
      </c>
      <c r="T3348" t="str">
        <f>"19:30:44.289"</f>
        <v>19:30:44.289</v>
      </c>
      <c r="U3348" t="str">
        <f t="shared" si="157"/>
        <v>a1cdbe</v>
      </c>
      <c r="V3348">
        <v>0</v>
      </c>
      <c r="W3348">
        <v>0</v>
      </c>
      <c r="X3348">
        <v>2</v>
      </c>
      <c r="Y3348">
        <v>0</v>
      </c>
      <c r="Z3348">
        <v>0</v>
      </c>
      <c r="AB3348">
        <v>0</v>
      </c>
      <c r="AC3348">
        <v>9</v>
      </c>
      <c r="AD3348">
        <v>3</v>
      </c>
      <c r="AE3348">
        <v>0</v>
      </c>
      <c r="AF3348">
        <v>9</v>
      </c>
      <c r="AG3348" t="s">
        <v>158</v>
      </c>
      <c r="AH3348">
        <v>0</v>
      </c>
      <c r="AI3348">
        <v>3</v>
      </c>
      <c r="AJ3348">
        <v>1</v>
      </c>
      <c r="AK3348">
        <v>0</v>
      </c>
      <c r="AL3348" t="s">
        <v>6298</v>
      </c>
      <c r="AM3348">
        <v>47.007043000000003</v>
      </c>
      <c r="AN3348" t="s">
        <v>6299</v>
      </c>
      <c r="AO3348">
        <v>-123.70444500000001</v>
      </c>
      <c r="AP3348">
        <v>100</v>
      </c>
      <c r="AQ3348">
        <v>2100</v>
      </c>
      <c r="AR3348" t="s">
        <v>118</v>
      </c>
      <c r="AS3348">
        <v>-80</v>
      </c>
      <c r="AT3348">
        <v>13</v>
      </c>
      <c r="AU3348">
        <v>-64</v>
      </c>
      <c r="BC3348">
        <v>1200</v>
      </c>
      <c r="BD3348">
        <v>1</v>
      </c>
      <c r="BE3348" t="str">
        <f t="shared" si="158"/>
        <v xml:space="preserve">N215T   </v>
      </c>
      <c r="BF3348">
        <v>1</v>
      </c>
      <c r="BH3348">
        <v>0</v>
      </c>
      <c r="BI3348">
        <v>0</v>
      </c>
      <c r="BJ3348">
        <v>0</v>
      </c>
      <c r="BK3348">
        <v>2450</v>
      </c>
      <c r="BL3348">
        <v>350</v>
      </c>
      <c r="BM3348" t="s">
        <v>119</v>
      </c>
      <c r="BN3348">
        <v>1</v>
      </c>
      <c r="BO3348">
        <v>1</v>
      </c>
      <c r="BP3348">
        <v>1</v>
      </c>
      <c r="BQ3348">
        <v>0</v>
      </c>
      <c r="BT3348">
        <v>0</v>
      </c>
      <c r="BU3348">
        <v>0</v>
      </c>
      <c r="BV3348">
        <v>0</v>
      </c>
      <c r="CC3348" t="str">
        <f>"19:30:44.289"</f>
        <v>19:30:44.289</v>
      </c>
      <c r="CD3348" t="str">
        <f>"292547503"</f>
        <v>292547503</v>
      </c>
      <c r="CQ3348">
        <v>0</v>
      </c>
      <c r="CR3348">
        <v>2</v>
      </c>
      <c r="CS3348">
        <v>0</v>
      </c>
      <c r="CT3348">
        <v>2</v>
      </c>
      <c r="CU3348">
        <v>0</v>
      </c>
      <c r="CV3348">
        <v>6</v>
      </c>
      <c r="CW3348" t="s">
        <v>120</v>
      </c>
      <c r="CX3348">
        <v>257</v>
      </c>
      <c r="CY3348">
        <v>0</v>
      </c>
      <c r="CZ3348" t="s">
        <v>615</v>
      </c>
      <c r="DA3348" t="s">
        <v>616</v>
      </c>
      <c r="DD3348">
        <v>16387921</v>
      </c>
      <c r="DE3348" t="s">
        <v>123</v>
      </c>
    </row>
    <row r="3349" spans="1:109" x14ac:dyDescent="0.3">
      <c r="A3349" t="str">
        <f>"19:30:45.492"</f>
        <v>19:30:45.492</v>
      </c>
      <c r="B3349" t="s">
        <v>110</v>
      </c>
      <c r="C3349" t="str">
        <f t="shared" si="156"/>
        <v>ffdfd3c0</v>
      </c>
      <c r="D3349" t="s">
        <v>111</v>
      </c>
      <c r="E3349">
        <v>18</v>
      </c>
      <c r="F3349">
        <v>1018</v>
      </c>
      <c r="G3349" t="s">
        <v>112</v>
      </c>
      <c r="J3349" t="s">
        <v>113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R3349" t="s">
        <v>114</v>
      </c>
      <c r="S3349" t="str">
        <f>"19:30:45.281"</f>
        <v>19:30:45.281</v>
      </c>
      <c r="T3349" t="str">
        <f>"19:30:44.883"</f>
        <v>19:30:44.883</v>
      </c>
      <c r="U3349" t="str">
        <f t="shared" si="157"/>
        <v>a1cdbe</v>
      </c>
      <c r="V3349">
        <v>0</v>
      </c>
      <c r="W3349">
        <v>0</v>
      </c>
      <c r="X3349">
        <v>2</v>
      </c>
      <c r="Y3349">
        <v>0</v>
      </c>
      <c r="Z3349">
        <v>0</v>
      </c>
      <c r="AB3349">
        <v>0</v>
      </c>
      <c r="AC3349">
        <v>9</v>
      </c>
      <c r="AD3349">
        <v>3</v>
      </c>
      <c r="AE3349">
        <v>0</v>
      </c>
      <c r="AF3349">
        <v>9</v>
      </c>
      <c r="AG3349" t="s">
        <v>158</v>
      </c>
      <c r="AH3349">
        <v>0</v>
      </c>
      <c r="AI3349">
        <v>3</v>
      </c>
      <c r="AJ3349">
        <v>1</v>
      </c>
      <c r="AK3349">
        <v>0</v>
      </c>
      <c r="AL3349" t="s">
        <v>6300</v>
      </c>
      <c r="AM3349">
        <v>47.007108000000002</v>
      </c>
      <c r="AN3349" t="s">
        <v>6301</v>
      </c>
      <c r="AO3349">
        <v>-123.70496</v>
      </c>
      <c r="AP3349">
        <v>100</v>
      </c>
      <c r="AQ3349">
        <v>2100</v>
      </c>
      <c r="AR3349" t="s">
        <v>118</v>
      </c>
      <c r="AS3349">
        <v>-80</v>
      </c>
      <c r="AT3349">
        <v>13</v>
      </c>
      <c r="AU3349">
        <v>-64</v>
      </c>
      <c r="BC3349">
        <v>1200</v>
      </c>
      <c r="BD3349">
        <v>1</v>
      </c>
      <c r="BE3349" t="str">
        <f t="shared" si="158"/>
        <v xml:space="preserve">N215T   </v>
      </c>
      <c r="BF3349">
        <v>1</v>
      </c>
      <c r="BH3349">
        <v>0</v>
      </c>
      <c r="BI3349">
        <v>0</v>
      </c>
      <c r="BJ3349">
        <v>0</v>
      </c>
      <c r="BK3349">
        <v>2450</v>
      </c>
      <c r="BL3349">
        <v>350</v>
      </c>
      <c r="BM3349" t="s">
        <v>119</v>
      </c>
      <c r="BN3349">
        <v>1</v>
      </c>
      <c r="BO3349">
        <v>1</v>
      </c>
      <c r="BP3349">
        <v>1</v>
      </c>
      <c r="BQ3349">
        <v>0</v>
      </c>
      <c r="BT3349">
        <v>0</v>
      </c>
      <c r="BU3349">
        <v>0</v>
      </c>
      <c r="BV3349">
        <v>0</v>
      </c>
      <c r="CC3349" t="str">
        <f>"19:30:45.281"</f>
        <v>19:30:45.281</v>
      </c>
      <c r="CD3349" t="str">
        <f>"282449955"</f>
        <v>282449955</v>
      </c>
      <c r="CQ3349">
        <v>0</v>
      </c>
      <c r="CR3349">
        <v>2</v>
      </c>
      <c r="CS3349">
        <v>0</v>
      </c>
      <c r="CT3349">
        <v>2</v>
      </c>
      <c r="CU3349">
        <v>0</v>
      </c>
      <c r="CV3349">
        <v>5</v>
      </c>
      <c r="CW3349" t="s">
        <v>120</v>
      </c>
      <c r="CX3349">
        <v>257</v>
      </c>
      <c r="CY3349">
        <v>0</v>
      </c>
      <c r="CZ3349" t="s">
        <v>615</v>
      </c>
      <c r="DA3349" t="s">
        <v>616</v>
      </c>
      <c r="DD3349">
        <v>16388349</v>
      </c>
      <c r="DE3349" t="s">
        <v>123</v>
      </c>
    </row>
    <row r="3350" spans="1:109" x14ac:dyDescent="0.3">
      <c r="A3350" t="str">
        <f>"19:30:46.602"</f>
        <v>19:30:46.602</v>
      </c>
      <c r="B3350" t="s">
        <v>110</v>
      </c>
      <c r="C3350" t="str">
        <f t="shared" si="156"/>
        <v>ffdfd3c0</v>
      </c>
      <c r="D3350" t="s">
        <v>111</v>
      </c>
      <c r="E3350">
        <v>18</v>
      </c>
      <c r="F3350">
        <v>1018</v>
      </c>
      <c r="G3350" t="s">
        <v>112</v>
      </c>
      <c r="J3350" t="s">
        <v>113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R3350" t="s">
        <v>114</v>
      </c>
      <c r="S3350" t="str">
        <f>"19:30:46.328"</f>
        <v>19:30:46.328</v>
      </c>
      <c r="T3350" t="str">
        <f>"19:30:46.328"</f>
        <v>19:30:46.328</v>
      </c>
      <c r="U3350" t="str">
        <f t="shared" si="157"/>
        <v>a1cdbe</v>
      </c>
      <c r="V3350">
        <v>0</v>
      </c>
      <c r="W3350">
        <v>0</v>
      </c>
      <c r="X3350">
        <v>2</v>
      </c>
      <c r="Y3350">
        <v>0</v>
      </c>
      <c r="Z3350">
        <v>0</v>
      </c>
      <c r="AB3350">
        <v>0</v>
      </c>
      <c r="AC3350">
        <v>9</v>
      </c>
      <c r="AD3350">
        <v>3</v>
      </c>
      <c r="AE3350">
        <v>0</v>
      </c>
      <c r="AF3350">
        <v>9</v>
      </c>
      <c r="AG3350" t="s">
        <v>158</v>
      </c>
      <c r="AH3350">
        <v>0</v>
      </c>
      <c r="AI3350">
        <v>3</v>
      </c>
      <c r="AJ3350">
        <v>1</v>
      </c>
      <c r="AK3350">
        <v>0</v>
      </c>
      <c r="AL3350" t="s">
        <v>779</v>
      </c>
      <c r="AM3350">
        <v>47.007193999999998</v>
      </c>
      <c r="AN3350" t="s">
        <v>6302</v>
      </c>
      <c r="AO3350">
        <v>-123.70549699999999</v>
      </c>
      <c r="AP3350">
        <v>100</v>
      </c>
      <c r="AQ3350">
        <v>2100</v>
      </c>
      <c r="AR3350" t="s">
        <v>118</v>
      </c>
      <c r="AS3350">
        <v>-80</v>
      </c>
      <c r="AT3350">
        <v>13</v>
      </c>
      <c r="AU3350">
        <v>-64</v>
      </c>
      <c r="BC3350">
        <v>1200</v>
      </c>
      <c r="BD3350">
        <v>1</v>
      </c>
      <c r="BE3350" t="str">
        <f t="shared" si="158"/>
        <v xml:space="preserve">N215T   </v>
      </c>
      <c r="BF3350">
        <v>1</v>
      </c>
      <c r="BH3350">
        <v>0</v>
      </c>
      <c r="BI3350">
        <v>0</v>
      </c>
      <c r="BJ3350">
        <v>0</v>
      </c>
      <c r="BK3350">
        <v>2450</v>
      </c>
      <c r="BL3350">
        <v>350</v>
      </c>
      <c r="BM3350" t="s">
        <v>119</v>
      </c>
      <c r="BN3350">
        <v>1</v>
      </c>
      <c r="BO3350">
        <v>1</v>
      </c>
      <c r="BP3350">
        <v>1</v>
      </c>
      <c r="BQ3350">
        <v>0</v>
      </c>
      <c r="BT3350">
        <v>0</v>
      </c>
      <c r="BU3350">
        <v>0</v>
      </c>
      <c r="BV3350">
        <v>0</v>
      </c>
      <c r="CC3350" t="str">
        <f>"19:30:46.336"</f>
        <v>19:30:46.336</v>
      </c>
      <c r="CD3350" t="str">
        <f>"332346486"</f>
        <v>332346486</v>
      </c>
      <c r="CQ3350">
        <v>0</v>
      </c>
      <c r="CR3350">
        <v>2</v>
      </c>
      <c r="CS3350">
        <v>0</v>
      </c>
      <c r="CT3350">
        <v>2</v>
      </c>
      <c r="CU3350">
        <v>0</v>
      </c>
      <c r="CV3350">
        <v>6</v>
      </c>
      <c r="CW3350" t="s">
        <v>120</v>
      </c>
      <c r="CX3350">
        <v>257</v>
      </c>
      <c r="CY3350">
        <v>0</v>
      </c>
      <c r="CZ3350" t="s">
        <v>615</v>
      </c>
      <c r="DA3350" t="s">
        <v>616</v>
      </c>
      <c r="DD3350">
        <v>16388856</v>
      </c>
      <c r="DE3350" t="s">
        <v>123</v>
      </c>
    </row>
    <row r="3351" spans="1:109" x14ac:dyDescent="0.3">
      <c r="A3351" t="str">
        <f>"19:30:47.609"</f>
        <v>19:30:47.609</v>
      </c>
      <c r="B3351" t="s">
        <v>110</v>
      </c>
      <c r="C3351" t="str">
        <f t="shared" si="156"/>
        <v>ffdfd3c0</v>
      </c>
      <c r="D3351" t="s">
        <v>111</v>
      </c>
      <c r="E3351">
        <v>18</v>
      </c>
      <c r="F3351">
        <v>1018</v>
      </c>
      <c r="G3351" t="s">
        <v>112</v>
      </c>
      <c r="J3351" t="s">
        <v>113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R3351" t="s">
        <v>114</v>
      </c>
      <c r="S3351" t="str">
        <f>"19:30:47.352"</f>
        <v>19:30:47.352</v>
      </c>
      <c r="T3351" t="str">
        <f>"19:30:47.250"</f>
        <v>19:30:47.250</v>
      </c>
      <c r="U3351" t="str">
        <f t="shared" si="157"/>
        <v>a1cdbe</v>
      </c>
      <c r="V3351">
        <v>0</v>
      </c>
      <c r="W3351">
        <v>0</v>
      </c>
      <c r="X3351">
        <v>2</v>
      </c>
      <c r="Y3351">
        <v>0</v>
      </c>
      <c r="Z3351">
        <v>0</v>
      </c>
      <c r="AB3351">
        <v>0</v>
      </c>
      <c r="AC3351">
        <v>9</v>
      </c>
      <c r="AD3351">
        <v>3</v>
      </c>
      <c r="AE3351">
        <v>0</v>
      </c>
      <c r="AF3351">
        <v>9</v>
      </c>
      <c r="AG3351" t="s">
        <v>158</v>
      </c>
      <c r="AH3351">
        <v>0</v>
      </c>
      <c r="AI3351">
        <v>3</v>
      </c>
      <c r="AJ3351">
        <v>1</v>
      </c>
      <c r="AK3351">
        <v>0</v>
      </c>
      <c r="AL3351" t="s">
        <v>6303</v>
      </c>
      <c r="AM3351">
        <v>47.007235999999999</v>
      </c>
      <c r="AN3351" t="s">
        <v>6304</v>
      </c>
      <c r="AO3351">
        <v>-123.70605500000001</v>
      </c>
      <c r="AP3351">
        <v>100</v>
      </c>
      <c r="AQ3351">
        <v>2100</v>
      </c>
      <c r="AR3351" t="s">
        <v>118</v>
      </c>
      <c r="AS3351">
        <v>-80</v>
      </c>
      <c r="AT3351">
        <v>14</v>
      </c>
      <c r="AU3351">
        <v>-64</v>
      </c>
      <c r="BC3351">
        <v>1200</v>
      </c>
      <c r="BD3351">
        <v>1</v>
      </c>
      <c r="BE3351" t="str">
        <f t="shared" si="158"/>
        <v xml:space="preserve">N215T   </v>
      </c>
      <c r="BF3351">
        <v>1</v>
      </c>
      <c r="BH3351">
        <v>0</v>
      </c>
      <c r="BI3351">
        <v>0</v>
      </c>
      <c r="BJ3351">
        <v>0</v>
      </c>
      <c r="BK3351">
        <v>2450</v>
      </c>
      <c r="BL3351">
        <v>350</v>
      </c>
      <c r="BM3351" t="s">
        <v>119</v>
      </c>
      <c r="BN3351">
        <v>1</v>
      </c>
      <c r="BO3351">
        <v>1</v>
      </c>
      <c r="BP3351">
        <v>1</v>
      </c>
      <c r="BQ3351">
        <v>0</v>
      </c>
      <c r="BT3351">
        <v>0</v>
      </c>
      <c r="BU3351">
        <v>0</v>
      </c>
      <c r="BV3351">
        <v>0</v>
      </c>
      <c r="CC3351" t="str">
        <f>"19:30:47.352"</f>
        <v>19:30:47.352</v>
      </c>
      <c r="CD3351" t="str">
        <f>"352245989"</f>
        <v>352245989</v>
      </c>
      <c r="CQ3351">
        <v>0</v>
      </c>
      <c r="CR3351">
        <v>2</v>
      </c>
      <c r="CS3351">
        <v>0</v>
      </c>
      <c r="CT3351">
        <v>2</v>
      </c>
      <c r="CU3351">
        <v>0</v>
      </c>
      <c r="CV3351">
        <v>6</v>
      </c>
      <c r="CW3351" t="s">
        <v>120</v>
      </c>
      <c r="CX3351">
        <v>257</v>
      </c>
      <c r="CY3351">
        <v>0</v>
      </c>
      <c r="CZ3351" t="s">
        <v>615</v>
      </c>
      <c r="DA3351" t="s">
        <v>616</v>
      </c>
      <c r="DD3351">
        <v>16389331</v>
      </c>
      <c r="DE3351" t="s">
        <v>123</v>
      </c>
    </row>
    <row r="3352" spans="1:109" x14ac:dyDescent="0.3">
      <c r="A3352" t="str">
        <f>"19:30:48.414"</f>
        <v>19:30:48.414</v>
      </c>
      <c r="B3352" t="s">
        <v>110</v>
      </c>
      <c r="C3352" t="str">
        <f t="shared" si="156"/>
        <v>ffdfd3c0</v>
      </c>
      <c r="D3352" t="s">
        <v>111</v>
      </c>
      <c r="E3352">
        <v>18</v>
      </c>
      <c r="F3352">
        <v>1018</v>
      </c>
      <c r="G3352" t="s">
        <v>112</v>
      </c>
      <c r="J3352" t="s">
        <v>113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R3352" t="s">
        <v>114</v>
      </c>
      <c r="S3352" t="str">
        <f>"19:30:48.172"</f>
        <v>19:30:48.172</v>
      </c>
      <c r="T3352" t="str">
        <f>"19:30:48.172"</f>
        <v>19:30:48.172</v>
      </c>
      <c r="U3352" t="str">
        <f t="shared" si="157"/>
        <v>a1cdbe</v>
      </c>
      <c r="V3352">
        <v>0</v>
      </c>
      <c r="W3352">
        <v>0</v>
      </c>
      <c r="X3352">
        <v>2</v>
      </c>
      <c r="Y3352">
        <v>0</v>
      </c>
      <c r="Z3352">
        <v>0</v>
      </c>
      <c r="AB3352">
        <v>0</v>
      </c>
      <c r="AC3352">
        <v>9</v>
      </c>
      <c r="AD3352">
        <v>3</v>
      </c>
      <c r="AE3352">
        <v>0</v>
      </c>
      <c r="AF3352">
        <v>9</v>
      </c>
      <c r="AG3352" t="s">
        <v>158</v>
      </c>
      <c r="AH3352">
        <v>0</v>
      </c>
      <c r="AI3352">
        <v>3</v>
      </c>
      <c r="AJ3352">
        <v>1</v>
      </c>
      <c r="AK3352">
        <v>0</v>
      </c>
      <c r="AL3352" t="s">
        <v>6305</v>
      </c>
      <c r="AM3352">
        <v>47.007278999999997</v>
      </c>
      <c r="AN3352" t="s">
        <v>6306</v>
      </c>
      <c r="AO3352">
        <v>-123.706484</v>
      </c>
      <c r="AP3352">
        <v>100</v>
      </c>
      <c r="AQ3352">
        <v>2100</v>
      </c>
      <c r="AR3352" t="s">
        <v>118</v>
      </c>
      <c r="AS3352">
        <v>-80</v>
      </c>
      <c r="AT3352">
        <v>14</v>
      </c>
      <c r="AU3352">
        <v>-64</v>
      </c>
      <c r="BC3352">
        <v>1200</v>
      </c>
      <c r="BD3352">
        <v>1</v>
      </c>
      <c r="BE3352" t="str">
        <f t="shared" si="158"/>
        <v xml:space="preserve">N215T   </v>
      </c>
      <c r="BF3352">
        <v>1</v>
      </c>
      <c r="BH3352">
        <v>0</v>
      </c>
      <c r="BI3352">
        <v>0</v>
      </c>
      <c r="BJ3352">
        <v>0</v>
      </c>
      <c r="BK3352">
        <v>2450</v>
      </c>
      <c r="BL3352">
        <v>350</v>
      </c>
      <c r="BM3352" t="s">
        <v>119</v>
      </c>
      <c r="BN3352">
        <v>1</v>
      </c>
      <c r="BO3352">
        <v>1</v>
      </c>
      <c r="BP3352">
        <v>1</v>
      </c>
      <c r="BQ3352">
        <v>0</v>
      </c>
      <c r="BT3352">
        <v>0</v>
      </c>
      <c r="BU3352">
        <v>0</v>
      </c>
      <c r="BV3352">
        <v>0</v>
      </c>
      <c r="CC3352" t="str">
        <f>"19:30:48.180"</f>
        <v>19:30:48.180</v>
      </c>
      <c r="CD3352" t="str">
        <f>"177164695"</f>
        <v>177164695</v>
      </c>
      <c r="CQ3352">
        <v>0</v>
      </c>
      <c r="CR3352">
        <v>2</v>
      </c>
      <c r="CS3352">
        <v>0</v>
      </c>
      <c r="CT3352">
        <v>2</v>
      </c>
      <c r="CU3352">
        <v>0</v>
      </c>
      <c r="CV3352">
        <v>6</v>
      </c>
      <c r="CW3352" t="s">
        <v>120</v>
      </c>
      <c r="CX3352">
        <v>257</v>
      </c>
      <c r="CY3352">
        <v>0</v>
      </c>
      <c r="CZ3352" t="s">
        <v>615</v>
      </c>
      <c r="DA3352" t="s">
        <v>616</v>
      </c>
      <c r="DD3352">
        <v>16389687</v>
      </c>
      <c r="DE3352" t="s">
        <v>123</v>
      </c>
    </row>
    <row r="3353" spans="1:109" x14ac:dyDescent="0.3">
      <c r="A3353" t="str">
        <f>"19:30:49.367"</f>
        <v>19:30:49.367</v>
      </c>
      <c r="B3353" t="s">
        <v>110</v>
      </c>
      <c r="C3353" t="str">
        <f t="shared" si="156"/>
        <v>ffdfd3c0</v>
      </c>
      <c r="D3353" t="s">
        <v>111</v>
      </c>
      <c r="E3353">
        <v>18</v>
      </c>
      <c r="F3353">
        <v>1018</v>
      </c>
      <c r="G3353" t="s">
        <v>112</v>
      </c>
      <c r="J3353" t="s">
        <v>113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R3353" t="s">
        <v>114</v>
      </c>
      <c r="S3353" t="str">
        <f>"19:30:49.164"</f>
        <v>19:30:49.164</v>
      </c>
      <c r="T3353" t="str">
        <f>"19:30:48.766"</f>
        <v>19:30:48.766</v>
      </c>
      <c r="U3353" t="str">
        <f t="shared" si="157"/>
        <v>a1cdbe</v>
      </c>
      <c r="V3353">
        <v>0</v>
      </c>
      <c r="W3353">
        <v>0</v>
      </c>
      <c r="X3353">
        <v>2</v>
      </c>
      <c r="Y3353">
        <v>0</v>
      </c>
      <c r="Z3353">
        <v>0</v>
      </c>
      <c r="AB3353">
        <v>0</v>
      </c>
      <c r="AC3353">
        <v>9</v>
      </c>
      <c r="AD3353">
        <v>3</v>
      </c>
      <c r="AE3353">
        <v>0</v>
      </c>
      <c r="AF3353">
        <v>9</v>
      </c>
      <c r="AG3353" t="s">
        <v>158</v>
      </c>
      <c r="AH3353">
        <v>0</v>
      </c>
      <c r="AI3353">
        <v>3</v>
      </c>
      <c r="AJ3353">
        <v>1</v>
      </c>
      <c r="AK3353">
        <v>0</v>
      </c>
      <c r="AL3353" t="s">
        <v>6307</v>
      </c>
      <c r="AM3353">
        <v>47.007344000000003</v>
      </c>
      <c r="AN3353" t="s">
        <v>6308</v>
      </c>
      <c r="AO3353">
        <v>-123.70708500000001</v>
      </c>
      <c r="AP3353">
        <v>100</v>
      </c>
      <c r="AQ3353">
        <v>2100</v>
      </c>
      <c r="AR3353" t="s">
        <v>118</v>
      </c>
      <c r="AS3353">
        <v>-80</v>
      </c>
      <c r="AT3353">
        <v>14</v>
      </c>
      <c r="AU3353">
        <v>-64</v>
      </c>
      <c r="BC3353">
        <v>1200</v>
      </c>
      <c r="BD3353">
        <v>1</v>
      </c>
      <c r="BE3353" t="str">
        <f t="shared" si="158"/>
        <v xml:space="preserve">N215T   </v>
      </c>
      <c r="BF3353">
        <v>1</v>
      </c>
      <c r="BH3353">
        <v>0</v>
      </c>
      <c r="BI3353">
        <v>0</v>
      </c>
      <c r="BJ3353">
        <v>0</v>
      </c>
      <c r="BK3353">
        <v>2450</v>
      </c>
      <c r="BL3353">
        <v>350</v>
      </c>
      <c r="BM3353" t="s">
        <v>119</v>
      </c>
      <c r="BN3353">
        <v>1</v>
      </c>
      <c r="BO3353">
        <v>1</v>
      </c>
      <c r="BP3353">
        <v>1</v>
      </c>
      <c r="BQ3353">
        <v>0</v>
      </c>
      <c r="BT3353">
        <v>0</v>
      </c>
      <c r="BU3353">
        <v>0</v>
      </c>
      <c r="BV3353">
        <v>0</v>
      </c>
      <c r="CC3353" t="str">
        <f>"19:30:49.164"</f>
        <v>19:30:49.164</v>
      </c>
      <c r="CD3353" t="str">
        <f>"167067149"</f>
        <v>167067149</v>
      </c>
      <c r="CQ3353">
        <v>0</v>
      </c>
      <c r="CR3353">
        <v>2</v>
      </c>
      <c r="CS3353">
        <v>0</v>
      </c>
      <c r="CT3353">
        <v>2</v>
      </c>
      <c r="CU3353">
        <v>0</v>
      </c>
      <c r="CV3353">
        <v>6</v>
      </c>
      <c r="CW3353" t="s">
        <v>120</v>
      </c>
      <c r="CX3353">
        <v>257</v>
      </c>
      <c r="CY3353">
        <v>0</v>
      </c>
      <c r="CZ3353" t="s">
        <v>615</v>
      </c>
      <c r="DA3353" t="s">
        <v>616</v>
      </c>
      <c r="DD3353">
        <v>16390104</v>
      </c>
      <c r="DE3353" t="s">
        <v>123</v>
      </c>
    </row>
    <row r="3354" spans="1:109" x14ac:dyDescent="0.3">
      <c r="A3354" t="str">
        <f>"19:30:50.422"</f>
        <v>19:30:50.422</v>
      </c>
      <c r="B3354" t="s">
        <v>110</v>
      </c>
      <c r="C3354" t="str">
        <f t="shared" si="156"/>
        <v>ffdfd3c0</v>
      </c>
      <c r="D3354" t="s">
        <v>111</v>
      </c>
      <c r="E3354">
        <v>18</v>
      </c>
      <c r="F3354">
        <v>1018</v>
      </c>
      <c r="G3354" t="s">
        <v>112</v>
      </c>
      <c r="J3354" t="s">
        <v>113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R3354" t="s">
        <v>114</v>
      </c>
      <c r="S3354" t="str">
        <f>"19:30:50.180"</f>
        <v>19:30:50.180</v>
      </c>
      <c r="T3354" t="str">
        <f>"19:30:49.781"</f>
        <v>19:30:49.781</v>
      </c>
      <c r="U3354" t="str">
        <f t="shared" si="157"/>
        <v>a1cdbe</v>
      </c>
      <c r="V3354">
        <v>0</v>
      </c>
      <c r="W3354">
        <v>0</v>
      </c>
      <c r="X3354">
        <v>2</v>
      </c>
      <c r="Y3354">
        <v>0</v>
      </c>
      <c r="Z3354">
        <v>0</v>
      </c>
      <c r="AB3354">
        <v>0</v>
      </c>
      <c r="AC3354">
        <v>9</v>
      </c>
      <c r="AD3354">
        <v>3</v>
      </c>
      <c r="AE3354">
        <v>0</v>
      </c>
      <c r="AF3354">
        <v>9</v>
      </c>
      <c r="AG3354" t="s">
        <v>158</v>
      </c>
      <c r="AH3354">
        <v>0</v>
      </c>
      <c r="AI3354">
        <v>3</v>
      </c>
      <c r="AJ3354">
        <v>1</v>
      </c>
      <c r="AK3354">
        <v>0</v>
      </c>
      <c r="AL3354" t="s">
        <v>6309</v>
      </c>
      <c r="AM3354">
        <v>47.007429999999999</v>
      </c>
      <c r="AN3354" t="s">
        <v>6310</v>
      </c>
      <c r="AO3354">
        <v>-123.7076</v>
      </c>
      <c r="AP3354">
        <v>100</v>
      </c>
      <c r="AQ3354">
        <v>2100</v>
      </c>
      <c r="AR3354" t="s">
        <v>118</v>
      </c>
      <c r="AS3354">
        <v>-80</v>
      </c>
      <c r="AT3354">
        <v>15</v>
      </c>
      <c r="AU3354">
        <v>-64</v>
      </c>
      <c r="BC3354">
        <v>1200</v>
      </c>
      <c r="BD3354">
        <v>1</v>
      </c>
      <c r="BE3354" t="str">
        <f t="shared" si="158"/>
        <v xml:space="preserve">N215T   </v>
      </c>
      <c r="BF3354">
        <v>1</v>
      </c>
      <c r="BH3354">
        <v>0</v>
      </c>
      <c r="BI3354">
        <v>0</v>
      </c>
      <c r="BJ3354">
        <v>0</v>
      </c>
      <c r="BK3354">
        <v>2450</v>
      </c>
      <c r="BL3354">
        <v>350</v>
      </c>
      <c r="BM3354" t="s">
        <v>119</v>
      </c>
      <c r="BN3354">
        <v>1</v>
      </c>
      <c r="BO3354">
        <v>1</v>
      </c>
      <c r="BP3354">
        <v>1</v>
      </c>
      <c r="BQ3354">
        <v>0</v>
      </c>
      <c r="BT3354">
        <v>0</v>
      </c>
      <c r="BU3354">
        <v>0</v>
      </c>
      <c r="BV3354">
        <v>0</v>
      </c>
      <c r="CC3354" t="str">
        <f>"19:30:50.188"</f>
        <v>19:30:50.188</v>
      </c>
      <c r="CD3354" t="str">
        <f>"186966638"</f>
        <v>186966638</v>
      </c>
      <c r="CQ3354">
        <v>0</v>
      </c>
      <c r="CR3354">
        <v>2</v>
      </c>
      <c r="CS3354">
        <v>0</v>
      </c>
      <c r="CT3354">
        <v>2</v>
      </c>
      <c r="CU3354">
        <v>0</v>
      </c>
      <c r="CV3354">
        <v>6</v>
      </c>
      <c r="CW3354" t="s">
        <v>120</v>
      </c>
      <c r="CX3354">
        <v>257</v>
      </c>
      <c r="CY3354">
        <v>0</v>
      </c>
      <c r="CZ3354" t="s">
        <v>615</v>
      </c>
      <c r="DA3354" t="s">
        <v>616</v>
      </c>
      <c r="DD3354">
        <v>16390549</v>
      </c>
      <c r="DE3354" t="s">
        <v>123</v>
      </c>
    </row>
    <row r="3355" spans="1:109" x14ac:dyDescent="0.3">
      <c r="A3355" t="str">
        <f>"19:30:51.477"</f>
        <v>19:30:51.477</v>
      </c>
      <c r="B3355" t="s">
        <v>110</v>
      </c>
      <c r="C3355" t="str">
        <f t="shared" si="156"/>
        <v>ffdfd3c0</v>
      </c>
      <c r="D3355" t="s">
        <v>111</v>
      </c>
      <c r="E3355">
        <v>18</v>
      </c>
      <c r="F3355">
        <v>1018</v>
      </c>
      <c r="G3355" t="s">
        <v>112</v>
      </c>
      <c r="J3355" t="s">
        <v>113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R3355" t="s">
        <v>114</v>
      </c>
      <c r="S3355" t="str">
        <f>"19:30:51.234"</f>
        <v>19:30:51.234</v>
      </c>
      <c r="T3355" t="str">
        <f>"19:30:50.938"</f>
        <v>19:30:50.938</v>
      </c>
      <c r="U3355" t="str">
        <f t="shared" si="157"/>
        <v>a1cdbe</v>
      </c>
      <c r="V3355">
        <v>0</v>
      </c>
      <c r="W3355">
        <v>0</v>
      </c>
      <c r="X3355">
        <v>2</v>
      </c>
      <c r="Y3355">
        <v>0</v>
      </c>
      <c r="Z3355">
        <v>0</v>
      </c>
      <c r="AB3355">
        <v>0</v>
      </c>
      <c r="AC3355">
        <v>9</v>
      </c>
      <c r="AD3355">
        <v>3</v>
      </c>
      <c r="AE3355">
        <v>0</v>
      </c>
      <c r="AF3355">
        <v>9</v>
      </c>
      <c r="AG3355" t="s">
        <v>158</v>
      </c>
      <c r="AH3355">
        <v>0</v>
      </c>
      <c r="AI3355">
        <v>3</v>
      </c>
      <c r="AJ3355">
        <v>1</v>
      </c>
      <c r="AK3355">
        <v>0</v>
      </c>
      <c r="AL3355" t="s">
        <v>777</v>
      </c>
      <c r="AM3355">
        <v>47.007514999999998</v>
      </c>
      <c r="AN3355" t="s">
        <v>6311</v>
      </c>
      <c r="AO3355">
        <v>-123.708179</v>
      </c>
      <c r="AP3355">
        <v>100</v>
      </c>
      <c r="AQ3355">
        <v>2100</v>
      </c>
      <c r="AR3355" t="s">
        <v>118</v>
      </c>
      <c r="AS3355">
        <v>-80</v>
      </c>
      <c r="AT3355">
        <v>15</v>
      </c>
      <c r="AU3355">
        <v>-64</v>
      </c>
      <c r="BC3355">
        <v>1200</v>
      </c>
      <c r="BD3355">
        <v>1</v>
      </c>
      <c r="BE3355" t="str">
        <f t="shared" si="158"/>
        <v xml:space="preserve">N215T   </v>
      </c>
      <c r="BF3355">
        <v>1</v>
      </c>
      <c r="BH3355">
        <v>0</v>
      </c>
      <c r="BI3355">
        <v>0</v>
      </c>
      <c r="BJ3355">
        <v>0</v>
      </c>
      <c r="BK3355">
        <v>2450</v>
      </c>
      <c r="BL3355">
        <v>350</v>
      </c>
      <c r="BM3355" t="s">
        <v>119</v>
      </c>
      <c r="BN3355">
        <v>1</v>
      </c>
      <c r="BO3355">
        <v>1</v>
      </c>
      <c r="BP3355">
        <v>1</v>
      </c>
      <c r="BQ3355">
        <v>0</v>
      </c>
      <c r="BT3355">
        <v>0</v>
      </c>
      <c r="BU3355">
        <v>0</v>
      </c>
      <c r="BV3355">
        <v>0</v>
      </c>
      <c r="CC3355" t="str">
        <f>"19:30:51.234"</f>
        <v>19:30:51.234</v>
      </c>
      <c r="CD3355" t="str">
        <f>"236863185"</f>
        <v>236863185</v>
      </c>
      <c r="CQ3355">
        <v>0</v>
      </c>
      <c r="CR3355">
        <v>2</v>
      </c>
      <c r="CS3355">
        <v>0</v>
      </c>
      <c r="CT3355">
        <v>2</v>
      </c>
      <c r="CU3355">
        <v>0</v>
      </c>
      <c r="CV3355">
        <v>6</v>
      </c>
      <c r="CW3355" t="s">
        <v>120</v>
      </c>
      <c r="CX3355">
        <v>257</v>
      </c>
      <c r="CY3355">
        <v>0</v>
      </c>
      <c r="CZ3355" t="s">
        <v>615</v>
      </c>
      <c r="DA3355" t="s">
        <v>616</v>
      </c>
      <c r="DD3355">
        <v>16391041</v>
      </c>
      <c r="DE3355" t="s">
        <v>123</v>
      </c>
    </row>
    <row r="3356" spans="1:109" x14ac:dyDescent="0.3">
      <c r="A3356" t="str">
        <f>"19:30:52.633"</f>
        <v>19:30:52.633</v>
      </c>
      <c r="B3356" t="s">
        <v>110</v>
      </c>
      <c r="C3356" t="str">
        <f t="shared" si="156"/>
        <v>ffdfd3c0</v>
      </c>
      <c r="D3356" t="s">
        <v>111</v>
      </c>
      <c r="E3356">
        <v>18</v>
      </c>
      <c r="F3356">
        <v>1018</v>
      </c>
      <c r="G3356" t="s">
        <v>112</v>
      </c>
      <c r="J3356" t="s">
        <v>113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R3356" t="s">
        <v>114</v>
      </c>
      <c r="S3356" t="str">
        <f>"19:30:52.344"</f>
        <v>19:30:52.344</v>
      </c>
      <c r="T3356" t="str">
        <f>"19:30:52.344"</f>
        <v>19:30:52.344</v>
      </c>
      <c r="U3356" t="str">
        <f t="shared" si="157"/>
        <v>a1cdbe</v>
      </c>
      <c r="V3356">
        <v>0</v>
      </c>
      <c r="W3356">
        <v>0</v>
      </c>
      <c r="X3356">
        <v>2</v>
      </c>
      <c r="Y3356">
        <v>0</v>
      </c>
      <c r="Z3356">
        <v>0</v>
      </c>
      <c r="AB3356">
        <v>0</v>
      </c>
      <c r="AC3356">
        <v>9</v>
      </c>
      <c r="AD3356">
        <v>3</v>
      </c>
      <c r="AE3356">
        <v>0</v>
      </c>
      <c r="AF3356">
        <v>9</v>
      </c>
      <c r="AG3356" t="s">
        <v>158</v>
      </c>
      <c r="AH3356">
        <v>0</v>
      </c>
      <c r="AI3356">
        <v>3</v>
      </c>
      <c r="AJ3356">
        <v>1</v>
      </c>
      <c r="AK3356">
        <v>0</v>
      </c>
      <c r="AL3356" t="s">
        <v>6312</v>
      </c>
      <c r="AM3356">
        <v>47.007558000000003</v>
      </c>
      <c r="AN3356" t="s">
        <v>6313</v>
      </c>
      <c r="AO3356">
        <v>-123.708737</v>
      </c>
      <c r="AP3356">
        <v>100</v>
      </c>
      <c r="AQ3356">
        <v>2100</v>
      </c>
      <c r="AR3356" t="s">
        <v>118</v>
      </c>
      <c r="AS3356">
        <v>-79</v>
      </c>
      <c r="AT3356">
        <v>16</v>
      </c>
      <c r="AU3356">
        <v>-64</v>
      </c>
      <c r="BC3356">
        <v>1200</v>
      </c>
      <c r="BD3356">
        <v>1</v>
      </c>
      <c r="BE3356" t="str">
        <f t="shared" si="158"/>
        <v xml:space="preserve">N215T   </v>
      </c>
      <c r="BF3356">
        <v>1</v>
      </c>
      <c r="BH3356">
        <v>0</v>
      </c>
      <c r="BI3356">
        <v>0</v>
      </c>
      <c r="BJ3356">
        <v>0</v>
      </c>
      <c r="BK3356">
        <v>2450</v>
      </c>
      <c r="BL3356">
        <v>350</v>
      </c>
      <c r="BM3356" t="s">
        <v>119</v>
      </c>
      <c r="BN3356">
        <v>1</v>
      </c>
      <c r="BO3356">
        <v>1</v>
      </c>
      <c r="BP3356">
        <v>1</v>
      </c>
      <c r="BQ3356">
        <v>0</v>
      </c>
      <c r="BT3356">
        <v>0</v>
      </c>
      <c r="BU3356">
        <v>0</v>
      </c>
      <c r="BV3356">
        <v>0</v>
      </c>
      <c r="CC3356" t="str">
        <f>"19:30:52.344"</f>
        <v>19:30:52.344</v>
      </c>
      <c r="CD3356" t="str">
        <f>"346753814"</f>
        <v>346753814</v>
      </c>
      <c r="CQ3356">
        <v>0</v>
      </c>
      <c r="CR3356">
        <v>2</v>
      </c>
      <c r="CS3356">
        <v>0</v>
      </c>
      <c r="CT3356">
        <v>2</v>
      </c>
      <c r="CU3356">
        <v>0</v>
      </c>
      <c r="CV3356">
        <v>5</v>
      </c>
      <c r="CW3356" t="s">
        <v>120</v>
      </c>
      <c r="CX3356">
        <v>257</v>
      </c>
      <c r="CY3356">
        <v>0</v>
      </c>
      <c r="CZ3356" t="s">
        <v>615</v>
      </c>
      <c r="DA3356" t="s">
        <v>616</v>
      </c>
      <c r="DD3356">
        <v>16391553</v>
      </c>
      <c r="DE3356" t="s">
        <v>123</v>
      </c>
    </row>
    <row r="3357" spans="1:109" x14ac:dyDescent="0.3">
      <c r="A3357" t="str">
        <f>"19:30:53.586"</f>
        <v>19:30:53.586</v>
      </c>
      <c r="B3357" t="s">
        <v>110</v>
      </c>
      <c r="C3357" t="str">
        <f t="shared" si="156"/>
        <v>ffdfd3c0</v>
      </c>
      <c r="D3357" t="s">
        <v>111</v>
      </c>
      <c r="E3357">
        <v>18</v>
      </c>
      <c r="F3357">
        <v>1018</v>
      </c>
      <c r="G3357" t="s">
        <v>112</v>
      </c>
      <c r="J3357" t="s">
        <v>113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R3357" t="s">
        <v>114</v>
      </c>
      <c r="S3357" t="str">
        <f>"19:30:53.352"</f>
        <v>19:30:53.352</v>
      </c>
      <c r="T3357" t="str">
        <f>"19:30:53.352"</f>
        <v>19:30:53.352</v>
      </c>
      <c r="U3357" t="str">
        <f t="shared" si="157"/>
        <v>a1cdbe</v>
      </c>
      <c r="V3357">
        <v>0</v>
      </c>
      <c r="W3357">
        <v>0</v>
      </c>
      <c r="X3357">
        <v>2</v>
      </c>
      <c r="Y3357">
        <v>0</v>
      </c>
      <c r="Z3357">
        <v>0</v>
      </c>
      <c r="AB3357">
        <v>0</v>
      </c>
      <c r="AC3357">
        <v>9</v>
      </c>
      <c r="AD3357">
        <v>3</v>
      </c>
      <c r="AE3357">
        <v>0</v>
      </c>
      <c r="AF3357">
        <v>9</v>
      </c>
      <c r="AG3357" t="s">
        <v>158</v>
      </c>
      <c r="AH3357">
        <v>0</v>
      </c>
      <c r="AI3357">
        <v>3</v>
      </c>
      <c r="AJ3357">
        <v>1</v>
      </c>
      <c r="AK3357">
        <v>0</v>
      </c>
      <c r="AL3357" t="s">
        <v>6314</v>
      </c>
      <c r="AM3357">
        <v>47.007666</v>
      </c>
      <c r="AN3357" t="s">
        <v>6315</v>
      </c>
      <c r="AO3357">
        <v>-123.709273</v>
      </c>
      <c r="AP3357">
        <v>100</v>
      </c>
      <c r="AQ3357">
        <v>2100</v>
      </c>
      <c r="AR3357" t="s">
        <v>118</v>
      </c>
      <c r="AS3357">
        <v>-79</v>
      </c>
      <c r="AT3357">
        <v>16</v>
      </c>
      <c r="AU3357">
        <v>-64</v>
      </c>
      <c r="BC3357">
        <v>1200</v>
      </c>
      <c r="BD3357">
        <v>1</v>
      </c>
      <c r="BE3357" t="str">
        <f t="shared" si="158"/>
        <v xml:space="preserve">N215T   </v>
      </c>
      <c r="BF3357">
        <v>1</v>
      </c>
      <c r="BH3357">
        <v>0</v>
      </c>
      <c r="BI3357">
        <v>0</v>
      </c>
      <c r="BJ3357">
        <v>0</v>
      </c>
      <c r="BK3357">
        <v>2450</v>
      </c>
      <c r="BL3357">
        <v>350</v>
      </c>
      <c r="BM3357" t="s">
        <v>119</v>
      </c>
      <c r="BN3357">
        <v>1</v>
      </c>
      <c r="BO3357">
        <v>1</v>
      </c>
      <c r="BP3357">
        <v>1</v>
      </c>
      <c r="BQ3357">
        <v>0</v>
      </c>
      <c r="BT3357">
        <v>0</v>
      </c>
      <c r="BU3357">
        <v>0</v>
      </c>
      <c r="BV3357">
        <v>0</v>
      </c>
      <c r="CC3357" t="str">
        <f>"19:30:53.352"</f>
        <v>19:30:53.352</v>
      </c>
      <c r="CD3357" t="str">
        <f>"351654795"</f>
        <v>351654795</v>
      </c>
      <c r="CQ3357">
        <v>0</v>
      </c>
      <c r="CR3357">
        <v>2</v>
      </c>
      <c r="CS3357">
        <v>0</v>
      </c>
      <c r="CT3357">
        <v>2</v>
      </c>
      <c r="CU3357">
        <v>0</v>
      </c>
      <c r="CV3357">
        <v>6</v>
      </c>
      <c r="CW3357" t="s">
        <v>120</v>
      </c>
      <c r="CX3357">
        <v>257</v>
      </c>
      <c r="CY3357">
        <v>0</v>
      </c>
      <c r="CZ3357" t="s">
        <v>615</v>
      </c>
      <c r="DA3357" t="s">
        <v>616</v>
      </c>
      <c r="DD3357">
        <v>16391971</v>
      </c>
      <c r="DE3357" t="s">
        <v>123</v>
      </c>
    </row>
    <row r="3358" spans="1:109" x14ac:dyDescent="0.3">
      <c r="A3358" t="str">
        <f>"19:30:54.492"</f>
        <v>19:30:54.492</v>
      </c>
      <c r="B3358" t="s">
        <v>110</v>
      </c>
      <c r="C3358" t="str">
        <f t="shared" si="156"/>
        <v>ffdfd3c0</v>
      </c>
      <c r="D3358" t="s">
        <v>111</v>
      </c>
      <c r="E3358">
        <v>18</v>
      </c>
      <c r="F3358">
        <v>1018</v>
      </c>
      <c r="G3358" t="s">
        <v>112</v>
      </c>
      <c r="J3358" t="s">
        <v>113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R3358" t="s">
        <v>114</v>
      </c>
      <c r="S3358" t="str">
        <f>"19:30:54.250"</f>
        <v>19:30:54.250</v>
      </c>
      <c r="T3358" t="str">
        <f>"19:30:53.852"</f>
        <v>19:30:53.852</v>
      </c>
      <c r="U3358" t="str">
        <f t="shared" si="157"/>
        <v>a1cdbe</v>
      </c>
      <c r="V3358">
        <v>0</v>
      </c>
      <c r="W3358">
        <v>0</v>
      </c>
      <c r="X3358">
        <v>2</v>
      </c>
      <c r="Y3358">
        <v>0</v>
      </c>
      <c r="Z3358">
        <v>0</v>
      </c>
      <c r="AB3358">
        <v>0</v>
      </c>
      <c r="AC3358">
        <v>9</v>
      </c>
      <c r="AD3358">
        <v>3</v>
      </c>
      <c r="AE3358">
        <v>0</v>
      </c>
      <c r="AF3358">
        <v>9</v>
      </c>
      <c r="AG3358" t="s">
        <v>158</v>
      </c>
      <c r="AH3358">
        <v>0</v>
      </c>
      <c r="AI3358">
        <v>3</v>
      </c>
      <c r="AJ3358">
        <v>1</v>
      </c>
      <c r="AK3358">
        <v>0</v>
      </c>
      <c r="AL3358" t="s">
        <v>6316</v>
      </c>
      <c r="AM3358">
        <v>47.007708999999998</v>
      </c>
      <c r="AN3358" t="s">
        <v>6317</v>
      </c>
      <c r="AO3358">
        <v>-123.709788</v>
      </c>
      <c r="AP3358">
        <v>100</v>
      </c>
      <c r="AQ3358">
        <v>2100</v>
      </c>
      <c r="AR3358" t="s">
        <v>118</v>
      </c>
      <c r="AS3358">
        <v>-79</v>
      </c>
      <c r="AT3358">
        <v>16</v>
      </c>
      <c r="AU3358">
        <v>-64</v>
      </c>
      <c r="BC3358">
        <v>1200</v>
      </c>
      <c r="BD3358">
        <v>1</v>
      </c>
      <c r="BE3358" t="str">
        <f t="shared" si="158"/>
        <v xml:space="preserve">N215T   </v>
      </c>
      <c r="BF3358">
        <v>1</v>
      </c>
      <c r="BH3358">
        <v>0</v>
      </c>
      <c r="BI3358">
        <v>0</v>
      </c>
      <c r="BJ3358">
        <v>0</v>
      </c>
      <c r="BK3358">
        <v>2450</v>
      </c>
      <c r="BL3358">
        <v>350</v>
      </c>
      <c r="BM3358" t="s">
        <v>119</v>
      </c>
      <c r="BN3358">
        <v>1</v>
      </c>
      <c r="BO3358">
        <v>1</v>
      </c>
      <c r="BP3358">
        <v>1</v>
      </c>
      <c r="BQ3358">
        <v>0</v>
      </c>
      <c r="BT3358">
        <v>0</v>
      </c>
      <c r="BU3358">
        <v>0</v>
      </c>
      <c r="BV3358">
        <v>0</v>
      </c>
      <c r="CC3358" t="str">
        <f>"19:30:54.250"</f>
        <v>19:30:54.250</v>
      </c>
      <c r="CD3358" t="str">
        <f>"251566114"</f>
        <v>251566114</v>
      </c>
      <c r="CQ3358">
        <v>0</v>
      </c>
      <c r="CR3358">
        <v>2</v>
      </c>
      <c r="CS3358">
        <v>0</v>
      </c>
      <c r="CT3358">
        <v>2</v>
      </c>
      <c r="CU3358">
        <v>0</v>
      </c>
      <c r="CV3358">
        <v>6</v>
      </c>
      <c r="CW3358" t="s">
        <v>120</v>
      </c>
      <c r="CX3358">
        <v>257</v>
      </c>
      <c r="CY3358">
        <v>0</v>
      </c>
      <c r="CZ3358" t="s">
        <v>615</v>
      </c>
      <c r="DA3358" t="s">
        <v>616</v>
      </c>
      <c r="DD3358">
        <v>16392350</v>
      </c>
      <c r="DE3358" t="s">
        <v>123</v>
      </c>
    </row>
    <row r="3359" spans="1:109" x14ac:dyDescent="0.3">
      <c r="A3359" t="str">
        <f>"19:30:55.602"</f>
        <v>19:30:55.602</v>
      </c>
      <c r="B3359" t="s">
        <v>110</v>
      </c>
      <c r="C3359" t="str">
        <f t="shared" si="156"/>
        <v>ffdfd3c0</v>
      </c>
      <c r="D3359" t="s">
        <v>111</v>
      </c>
      <c r="E3359">
        <v>18</v>
      </c>
      <c r="F3359">
        <v>1018</v>
      </c>
      <c r="G3359" t="s">
        <v>112</v>
      </c>
      <c r="J3359" t="s">
        <v>113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R3359" t="s">
        <v>114</v>
      </c>
      <c r="S3359" t="str">
        <f>"19:30:55.344"</f>
        <v>19:30:55.344</v>
      </c>
      <c r="T3359" t="str">
        <f>"19:30:55.344"</f>
        <v>19:30:55.344</v>
      </c>
      <c r="U3359" t="str">
        <f t="shared" si="157"/>
        <v>a1cdbe</v>
      </c>
      <c r="V3359">
        <v>0</v>
      </c>
      <c r="W3359">
        <v>0</v>
      </c>
      <c r="X3359">
        <v>2</v>
      </c>
      <c r="Y3359">
        <v>0</v>
      </c>
      <c r="Z3359">
        <v>0</v>
      </c>
      <c r="AB3359">
        <v>0</v>
      </c>
      <c r="AC3359">
        <v>9</v>
      </c>
      <c r="AD3359">
        <v>3</v>
      </c>
      <c r="AE3359">
        <v>0</v>
      </c>
      <c r="AF3359">
        <v>9</v>
      </c>
      <c r="AG3359" t="s">
        <v>158</v>
      </c>
      <c r="AH3359">
        <v>0</v>
      </c>
      <c r="AI3359">
        <v>3</v>
      </c>
      <c r="AJ3359">
        <v>1</v>
      </c>
      <c r="AK3359">
        <v>0</v>
      </c>
      <c r="AL3359" t="s">
        <v>6318</v>
      </c>
      <c r="AM3359">
        <v>47.007793999999997</v>
      </c>
      <c r="AN3359" t="s">
        <v>6319</v>
      </c>
      <c r="AO3359">
        <v>-123.71038900000001</v>
      </c>
      <c r="AP3359">
        <v>100</v>
      </c>
      <c r="AQ3359">
        <v>2100</v>
      </c>
      <c r="AR3359" t="s">
        <v>118</v>
      </c>
      <c r="AS3359">
        <v>-79</v>
      </c>
      <c r="AT3359">
        <v>16</v>
      </c>
      <c r="AU3359">
        <v>-64</v>
      </c>
      <c r="BC3359">
        <v>1200</v>
      </c>
      <c r="BD3359">
        <v>1</v>
      </c>
      <c r="BE3359" t="str">
        <f t="shared" si="158"/>
        <v xml:space="preserve">N215T   </v>
      </c>
      <c r="BF3359">
        <v>1</v>
      </c>
      <c r="BH3359">
        <v>0</v>
      </c>
      <c r="BI3359">
        <v>0</v>
      </c>
      <c r="BJ3359">
        <v>0</v>
      </c>
      <c r="BK3359">
        <v>2450</v>
      </c>
      <c r="BL3359">
        <v>350</v>
      </c>
      <c r="BM3359" t="s">
        <v>119</v>
      </c>
      <c r="BN3359">
        <v>1</v>
      </c>
      <c r="BO3359">
        <v>1</v>
      </c>
      <c r="BP3359">
        <v>1</v>
      </c>
      <c r="BQ3359">
        <v>0</v>
      </c>
      <c r="BT3359">
        <v>0</v>
      </c>
      <c r="BU3359">
        <v>0</v>
      </c>
      <c r="BV3359">
        <v>0</v>
      </c>
      <c r="CC3359" t="str">
        <f>"19:30:55.344"</f>
        <v>19:30:55.344</v>
      </c>
      <c r="CD3359" t="str">
        <f>"346458225"</f>
        <v>346458225</v>
      </c>
      <c r="CQ3359">
        <v>0</v>
      </c>
      <c r="CR3359">
        <v>2</v>
      </c>
      <c r="CS3359">
        <v>0</v>
      </c>
      <c r="CT3359">
        <v>2</v>
      </c>
      <c r="CU3359">
        <v>0</v>
      </c>
      <c r="CV3359">
        <v>6</v>
      </c>
      <c r="CW3359" t="s">
        <v>120</v>
      </c>
      <c r="CX3359">
        <v>257</v>
      </c>
      <c r="CY3359">
        <v>0</v>
      </c>
      <c r="CZ3359" t="s">
        <v>615</v>
      </c>
      <c r="DA3359" t="s">
        <v>616</v>
      </c>
      <c r="DD3359">
        <v>16392864</v>
      </c>
      <c r="DE3359" t="s">
        <v>123</v>
      </c>
    </row>
    <row r="3360" spans="1:109" x14ac:dyDescent="0.3">
      <c r="A3360" t="str">
        <f>"19:30:56.703"</f>
        <v>19:30:56.703</v>
      </c>
      <c r="B3360" t="s">
        <v>110</v>
      </c>
      <c r="C3360" t="str">
        <f t="shared" si="156"/>
        <v>ffdfd3c0</v>
      </c>
      <c r="D3360" t="s">
        <v>111</v>
      </c>
      <c r="E3360">
        <v>18</v>
      </c>
      <c r="F3360">
        <v>1018</v>
      </c>
      <c r="G3360" t="s">
        <v>112</v>
      </c>
      <c r="J3360" t="s">
        <v>113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R3360" t="s">
        <v>114</v>
      </c>
      <c r="S3360" t="str">
        <f>"19:30:56.453"</f>
        <v>19:30:56.453</v>
      </c>
      <c r="T3360" t="str">
        <f>"19:30:56.250"</f>
        <v>19:30:56.250</v>
      </c>
      <c r="U3360" t="str">
        <f t="shared" si="157"/>
        <v>a1cdbe</v>
      </c>
      <c r="V3360">
        <v>0</v>
      </c>
      <c r="W3360">
        <v>0</v>
      </c>
      <c r="X3360">
        <v>2</v>
      </c>
      <c r="Y3360">
        <v>0</v>
      </c>
      <c r="Z3360">
        <v>0</v>
      </c>
      <c r="AB3360">
        <v>0</v>
      </c>
      <c r="AC3360">
        <v>9</v>
      </c>
      <c r="AD3360">
        <v>3</v>
      </c>
      <c r="AE3360">
        <v>0</v>
      </c>
      <c r="AF3360">
        <v>9</v>
      </c>
      <c r="AG3360" t="s">
        <v>158</v>
      </c>
      <c r="AH3360">
        <v>0</v>
      </c>
      <c r="AI3360">
        <v>3</v>
      </c>
      <c r="AJ3360">
        <v>1</v>
      </c>
      <c r="AK3360">
        <v>0</v>
      </c>
      <c r="AL3360" t="s">
        <v>775</v>
      </c>
      <c r="AM3360">
        <v>47.00788</v>
      </c>
      <c r="AN3360" t="s">
        <v>6320</v>
      </c>
      <c r="AO3360">
        <v>-123.71099</v>
      </c>
      <c r="AP3360">
        <v>100</v>
      </c>
      <c r="AQ3360">
        <v>2100</v>
      </c>
      <c r="AR3360" t="s">
        <v>118</v>
      </c>
      <c r="AS3360">
        <v>-79</v>
      </c>
      <c r="AT3360">
        <v>16</v>
      </c>
      <c r="AU3360">
        <v>-64</v>
      </c>
      <c r="BC3360">
        <v>1200</v>
      </c>
      <c r="BD3360">
        <v>1</v>
      </c>
      <c r="BE3360" t="str">
        <f t="shared" si="158"/>
        <v xml:space="preserve">N215T   </v>
      </c>
      <c r="BF3360">
        <v>1</v>
      </c>
      <c r="BH3360">
        <v>0</v>
      </c>
      <c r="BI3360">
        <v>0</v>
      </c>
      <c r="BJ3360">
        <v>0</v>
      </c>
      <c r="BK3360">
        <v>2425</v>
      </c>
      <c r="BL3360">
        <v>325</v>
      </c>
      <c r="BM3360" t="s">
        <v>119</v>
      </c>
      <c r="BN3360">
        <v>1</v>
      </c>
      <c r="BO3360">
        <v>1</v>
      </c>
      <c r="BP3360">
        <v>1</v>
      </c>
      <c r="BQ3360">
        <v>0</v>
      </c>
      <c r="BT3360">
        <v>0</v>
      </c>
      <c r="BU3360">
        <v>0</v>
      </c>
      <c r="BV3360">
        <v>0</v>
      </c>
      <c r="CC3360" t="str">
        <f>"19:30:56.453"</f>
        <v>19:30:56.453</v>
      </c>
      <c r="CD3360" t="str">
        <f>"456348860"</f>
        <v>456348860</v>
      </c>
      <c r="CQ3360">
        <v>0</v>
      </c>
      <c r="CR3360">
        <v>2</v>
      </c>
      <c r="CS3360">
        <v>0</v>
      </c>
      <c r="CT3360">
        <v>2</v>
      </c>
      <c r="CU3360">
        <v>0</v>
      </c>
      <c r="CV3360">
        <v>6</v>
      </c>
      <c r="CW3360" t="s">
        <v>120</v>
      </c>
      <c r="CX3360">
        <v>257</v>
      </c>
      <c r="CY3360">
        <v>0</v>
      </c>
      <c r="CZ3360" t="s">
        <v>615</v>
      </c>
      <c r="DA3360" t="s">
        <v>616</v>
      </c>
      <c r="DD3360">
        <v>16393369</v>
      </c>
      <c r="DE3360" t="s">
        <v>123</v>
      </c>
    </row>
    <row r="3361" spans="1:109" x14ac:dyDescent="0.3">
      <c r="A3361" t="str">
        <f>"19:30:57.711"</f>
        <v>19:30:57.711</v>
      </c>
      <c r="B3361" t="s">
        <v>110</v>
      </c>
      <c r="C3361" t="str">
        <f t="shared" si="156"/>
        <v>ffdfd3c0</v>
      </c>
      <c r="D3361" t="s">
        <v>111</v>
      </c>
      <c r="E3361">
        <v>18</v>
      </c>
      <c r="F3361">
        <v>1018</v>
      </c>
      <c r="G3361" t="s">
        <v>112</v>
      </c>
      <c r="J3361" t="s">
        <v>113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R3361" t="s">
        <v>114</v>
      </c>
      <c r="S3361" t="str">
        <f>"19:30:57.461"</f>
        <v>19:30:57.461</v>
      </c>
      <c r="T3361" t="str">
        <f>"19:30:57.164"</f>
        <v>19:30:57.164</v>
      </c>
      <c r="U3361" t="str">
        <f t="shared" si="157"/>
        <v>a1cdbe</v>
      </c>
      <c r="V3361">
        <v>0</v>
      </c>
      <c r="W3361">
        <v>0</v>
      </c>
      <c r="X3361">
        <v>2</v>
      </c>
      <c r="Y3361">
        <v>0</v>
      </c>
      <c r="Z3361">
        <v>0</v>
      </c>
      <c r="AB3361">
        <v>0</v>
      </c>
      <c r="AC3361">
        <v>9</v>
      </c>
      <c r="AD3361">
        <v>3</v>
      </c>
      <c r="AE3361">
        <v>0</v>
      </c>
      <c r="AF3361">
        <v>9</v>
      </c>
      <c r="AG3361" t="s">
        <v>158</v>
      </c>
      <c r="AH3361">
        <v>0</v>
      </c>
      <c r="AI3361">
        <v>3</v>
      </c>
      <c r="AJ3361">
        <v>1</v>
      </c>
      <c r="AK3361">
        <v>0</v>
      </c>
      <c r="AL3361" t="s">
        <v>6321</v>
      </c>
      <c r="AM3361">
        <v>47.007987</v>
      </c>
      <c r="AN3361" t="s">
        <v>6322</v>
      </c>
      <c r="AO3361">
        <v>-123.711483</v>
      </c>
      <c r="AP3361">
        <v>100</v>
      </c>
      <c r="AQ3361">
        <v>2100</v>
      </c>
      <c r="AR3361" t="s">
        <v>118</v>
      </c>
      <c r="AS3361">
        <v>-79</v>
      </c>
      <c r="AT3361">
        <v>16</v>
      </c>
      <c r="AU3361">
        <v>-64</v>
      </c>
      <c r="BC3361">
        <v>1200</v>
      </c>
      <c r="BD3361">
        <v>1</v>
      </c>
      <c r="BE3361" t="str">
        <f t="shared" si="158"/>
        <v xml:space="preserve">N215T   </v>
      </c>
      <c r="BF3361">
        <v>1</v>
      </c>
      <c r="BH3361">
        <v>0</v>
      </c>
      <c r="BI3361">
        <v>0</v>
      </c>
      <c r="BJ3361">
        <v>0</v>
      </c>
      <c r="BK3361">
        <v>2425</v>
      </c>
      <c r="BL3361">
        <v>325</v>
      </c>
      <c r="BM3361" t="s">
        <v>119</v>
      </c>
      <c r="BN3361">
        <v>1</v>
      </c>
      <c r="BO3361">
        <v>1</v>
      </c>
      <c r="BP3361">
        <v>1</v>
      </c>
      <c r="BQ3361">
        <v>0</v>
      </c>
      <c r="BT3361">
        <v>0</v>
      </c>
      <c r="BU3361">
        <v>0</v>
      </c>
      <c r="BV3361">
        <v>0</v>
      </c>
      <c r="CC3361" t="str">
        <f>"19:30:57.461"</f>
        <v>19:30:57.461</v>
      </c>
      <c r="CD3361" t="str">
        <f>"461249831"</f>
        <v>461249831</v>
      </c>
      <c r="CQ3361">
        <v>0</v>
      </c>
      <c r="CR3361">
        <v>2</v>
      </c>
      <c r="CS3361">
        <v>0</v>
      </c>
      <c r="CT3361">
        <v>2</v>
      </c>
      <c r="CU3361">
        <v>0</v>
      </c>
      <c r="CV3361">
        <v>6</v>
      </c>
      <c r="CW3361" t="s">
        <v>120</v>
      </c>
      <c r="CX3361">
        <v>257</v>
      </c>
      <c r="CY3361">
        <v>0</v>
      </c>
      <c r="CZ3361" t="s">
        <v>615</v>
      </c>
      <c r="DA3361" t="s">
        <v>616</v>
      </c>
      <c r="DD3361">
        <v>16393807</v>
      </c>
      <c r="DE3361" t="s">
        <v>123</v>
      </c>
    </row>
    <row r="3362" spans="1:109" x14ac:dyDescent="0.3">
      <c r="A3362" t="str">
        <f>"19:30:58.766"</f>
        <v>19:30:58.766</v>
      </c>
      <c r="B3362" t="s">
        <v>110</v>
      </c>
      <c r="C3362" t="str">
        <f t="shared" si="156"/>
        <v>ffdfd3c0</v>
      </c>
      <c r="D3362" t="s">
        <v>111</v>
      </c>
      <c r="E3362">
        <v>18</v>
      </c>
      <c r="F3362">
        <v>1018</v>
      </c>
      <c r="G3362" t="s">
        <v>112</v>
      </c>
      <c r="J3362" t="s">
        <v>113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R3362" t="s">
        <v>114</v>
      </c>
      <c r="S3362" t="str">
        <f>"19:30:58.523"</f>
        <v>19:30:58.523</v>
      </c>
      <c r="T3362" t="str">
        <f>"19:30:58.227"</f>
        <v>19:30:58.227</v>
      </c>
      <c r="U3362" t="str">
        <f t="shared" si="157"/>
        <v>a1cdbe</v>
      </c>
      <c r="V3362">
        <v>0</v>
      </c>
      <c r="W3362">
        <v>0</v>
      </c>
      <c r="X3362">
        <v>2</v>
      </c>
      <c r="Y3362">
        <v>0</v>
      </c>
      <c r="Z3362">
        <v>0</v>
      </c>
      <c r="AB3362">
        <v>0</v>
      </c>
      <c r="AC3362">
        <v>9</v>
      </c>
      <c r="AD3362">
        <v>3</v>
      </c>
      <c r="AE3362">
        <v>0</v>
      </c>
      <c r="AF3362">
        <v>9</v>
      </c>
      <c r="AG3362" t="s">
        <v>158</v>
      </c>
      <c r="AH3362">
        <v>0</v>
      </c>
      <c r="AI3362">
        <v>3</v>
      </c>
      <c r="AJ3362">
        <v>1</v>
      </c>
      <c r="AK3362">
        <v>0</v>
      </c>
      <c r="AL3362" t="s">
        <v>6323</v>
      </c>
      <c r="AM3362">
        <v>47.008029999999998</v>
      </c>
      <c r="AN3362" t="s">
        <v>6324</v>
      </c>
      <c r="AO3362">
        <v>-123.71210600000001</v>
      </c>
      <c r="AP3362">
        <v>100</v>
      </c>
      <c r="AQ3362">
        <v>2100</v>
      </c>
      <c r="AR3362" t="s">
        <v>118</v>
      </c>
      <c r="AS3362">
        <v>-79</v>
      </c>
      <c r="AT3362">
        <v>16</v>
      </c>
      <c r="AU3362">
        <v>-64</v>
      </c>
      <c r="BC3362">
        <v>1200</v>
      </c>
      <c r="BD3362">
        <v>1</v>
      </c>
      <c r="BE3362" t="str">
        <f t="shared" si="158"/>
        <v xml:space="preserve">N215T   </v>
      </c>
      <c r="BF3362">
        <v>1</v>
      </c>
      <c r="BH3362">
        <v>0</v>
      </c>
      <c r="BI3362">
        <v>0</v>
      </c>
      <c r="BJ3362">
        <v>0</v>
      </c>
      <c r="BK3362">
        <v>2425</v>
      </c>
      <c r="BL3362">
        <v>325</v>
      </c>
      <c r="BM3362" t="s">
        <v>119</v>
      </c>
      <c r="BN3362">
        <v>1</v>
      </c>
      <c r="BO3362">
        <v>1</v>
      </c>
      <c r="BP3362">
        <v>1</v>
      </c>
      <c r="BQ3362">
        <v>0</v>
      </c>
      <c r="BT3362">
        <v>0</v>
      </c>
      <c r="BU3362">
        <v>0</v>
      </c>
      <c r="BV3362">
        <v>0</v>
      </c>
      <c r="CC3362" t="str">
        <f>"19:30:58.523"</f>
        <v>19:30:58.523</v>
      </c>
      <c r="CD3362" t="str">
        <f>"526144896"</f>
        <v>526144896</v>
      </c>
      <c r="CQ3362">
        <v>0</v>
      </c>
      <c r="CR3362">
        <v>2</v>
      </c>
      <c r="CS3362">
        <v>0</v>
      </c>
      <c r="CT3362">
        <v>2</v>
      </c>
      <c r="CU3362">
        <v>0</v>
      </c>
      <c r="CV3362">
        <v>6</v>
      </c>
      <c r="CW3362" t="s">
        <v>120</v>
      </c>
      <c r="CX3362">
        <v>257</v>
      </c>
      <c r="CY3362">
        <v>0</v>
      </c>
      <c r="CZ3362" t="s">
        <v>615</v>
      </c>
      <c r="DA3362" t="s">
        <v>616</v>
      </c>
      <c r="DD3362">
        <v>16394249</v>
      </c>
      <c r="DE3362" t="s">
        <v>123</v>
      </c>
    </row>
    <row r="3363" spans="1:109" x14ac:dyDescent="0.3">
      <c r="A3363" t="str">
        <f>"19:30:59.570"</f>
        <v>19:30:59.570</v>
      </c>
      <c r="B3363" t="s">
        <v>110</v>
      </c>
      <c r="C3363" t="str">
        <f t="shared" si="156"/>
        <v>ffdfd3c0</v>
      </c>
      <c r="D3363" t="s">
        <v>111</v>
      </c>
      <c r="E3363">
        <v>18</v>
      </c>
      <c r="F3363">
        <v>1018</v>
      </c>
      <c r="G3363" t="s">
        <v>112</v>
      </c>
      <c r="J3363" t="s">
        <v>113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R3363" t="s">
        <v>114</v>
      </c>
      <c r="S3363" t="str">
        <f>"19:30:59.344"</f>
        <v>19:30:59.344</v>
      </c>
      <c r="T3363" t="str">
        <f>"19:30:59.242"</f>
        <v>19:30:59.242</v>
      </c>
      <c r="U3363" t="str">
        <f t="shared" si="157"/>
        <v>a1cdbe</v>
      </c>
      <c r="V3363">
        <v>0</v>
      </c>
      <c r="W3363">
        <v>0</v>
      </c>
      <c r="X3363">
        <v>2</v>
      </c>
      <c r="Y3363">
        <v>0</v>
      </c>
      <c r="Z3363">
        <v>0</v>
      </c>
      <c r="AB3363">
        <v>0</v>
      </c>
      <c r="AC3363">
        <v>9</v>
      </c>
      <c r="AD3363">
        <v>3</v>
      </c>
      <c r="AE3363">
        <v>0</v>
      </c>
      <c r="AF3363">
        <v>9</v>
      </c>
      <c r="AG3363" t="s">
        <v>158</v>
      </c>
      <c r="AH3363">
        <v>0</v>
      </c>
      <c r="AI3363">
        <v>3</v>
      </c>
      <c r="AJ3363">
        <v>1</v>
      </c>
      <c r="AK3363">
        <v>0</v>
      </c>
      <c r="AL3363" t="s">
        <v>6325</v>
      </c>
      <c r="AM3363">
        <v>47.008073000000003</v>
      </c>
      <c r="AN3363" t="s">
        <v>6326</v>
      </c>
      <c r="AO3363">
        <v>-123.712535</v>
      </c>
      <c r="AP3363">
        <v>100</v>
      </c>
      <c r="AQ3363">
        <v>2100</v>
      </c>
      <c r="AR3363" t="s">
        <v>118</v>
      </c>
      <c r="AS3363">
        <v>-79</v>
      </c>
      <c r="AT3363">
        <v>15</v>
      </c>
      <c r="AU3363">
        <v>-64</v>
      </c>
      <c r="BC3363">
        <v>1200</v>
      </c>
      <c r="BD3363">
        <v>1</v>
      </c>
      <c r="BE3363" t="str">
        <f t="shared" si="158"/>
        <v xml:space="preserve">N215T   </v>
      </c>
      <c r="BF3363">
        <v>1</v>
      </c>
      <c r="BH3363">
        <v>0</v>
      </c>
      <c r="BI3363">
        <v>0</v>
      </c>
      <c r="BJ3363">
        <v>0</v>
      </c>
      <c r="BK3363">
        <v>2425</v>
      </c>
      <c r="BL3363">
        <v>325</v>
      </c>
      <c r="BM3363" t="s">
        <v>119</v>
      </c>
      <c r="BN3363">
        <v>1</v>
      </c>
      <c r="BO3363">
        <v>1</v>
      </c>
      <c r="BP3363">
        <v>1</v>
      </c>
      <c r="BQ3363">
        <v>0</v>
      </c>
      <c r="BT3363">
        <v>0</v>
      </c>
      <c r="BU3363">
        <v>0</v>
      </c>
      <c r="BV3363">
        <v>0</v>
      </c>
      <c r="CC3363" t="str">
        <f>"19:30:59.352"</f>
        <v>19:30:59.352</v>
      </c>
      <c r="CD3363" t="str">
        <f>"351063601"</f>
        <v>351063601</v>
      </c>
      <c r="CQ3363">
        <v>0</v>
      </c>
      <c r="CR3363">
        <v>2</v>
      </c>
      <c r="CS3363">
        <v>0</v>
      </c>
      <c r="CT3363">
        <v>2</v>
      </c>
      <c r="CU3363">
        <v>0</v>
      </c>
      <c r="CV3363">
        <v>5</v>
      </c>
      <c r="CW3363" t="s">
        <v>120</v>
      </c>
      <c r="CX3363">
        <v>257</v>
      </c>
      <c r="CY3363">
        <v>0</v>
      </c>
      <c r="CZ3363" t="s">
        <v>615</v>
      </c>
      <c r="DA3363" t="s">
        <v>616</v>
      </c>
      <c r="DD3363">
        <v>16394593</v>
      </c>
      <c r="DE3363" t="s">
        <v>123</v>
      </c>
    </row>
    <row r="3364" spans="1:109" x14ac:dyDescent="0.3">
      <c r="A3364" t="str">
        <f>"19:31:00.523"</f>
        <v>19:31:00.523</v>
      </c>
      <c r="B3364" t="s">
        <v>110</v>
      </c>
      <c r="C3364" t="str">
        <f t="shared" si="156"/>
        <v>ffdfd3c0</v>
      </c>
      <c r="D3364" t="s">
        <v>111</v>
      </c>
      <c r="E3364">
        <v>18</v>
      </c>
      <c r="F3364">
        <v>1018</v>
      </c>
      <c r="G3364" t="s">
        <v>112</v>
      </c>
      <c r="J3364" t="s">
        <v>113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R3364" t="s">
        <v>114</v>
      </c>
      <c r="S3364" t="str">
        <f>"19:31:00.289"</f>
        <v>19:31:00.289</v>
      </c>
      <c r="T3364" t="str">
        <f>"19:31:00.289"</f>
        <v>19:31:00.289</v>
      </c>
      <c r="U3364" t="str">
        <f t="shared" si="157"/>
        <v>a1cdbe</v>
      </c>
      <c r="V3364">
        <v>0</v>
      </c>
      <c r="W3364">
        <v>0</v>
      </c>
      <c r="X3364">
        <v>2</v>
      </c>
      <c r="Y3364">
        <v>0</v>
      </c>
      <c r="Z3364">
        <v>0</v>
      </c>
      <c r="AB3364">
        <v>0</v>
      </c>
      <c r="AC3364">
        <v>9</v>
      </c>
      <c r="AD3364">
        <v>3</v>
      </c>
      <c r="AE3364">
        <v>0</v>
      </c>
      <c r="AF3364">
        <v>9</v>
      </c>
      <c r="AG3364" t="s">
        <v>158</v>
      </c>
      <c r="AH3364">
        <v>0</v>
      </c>
      <c r="AI3364">
        <v>3</v>
      </c>
      <c r="AJ3364">
        <v>1</v>
      </c>
      <c r="AK3364">
        <v>0</v>
      </c>
      <c r="AL3364" t="s">
        <v>773</v>
      </c>
      <c r="AM3364">
        <v>47.008181</v>
      </c>
      <c r="AN3364" t="s">
        <v>6327</v>
      </c>
      <c r="AO3364">
        <v>-123.71302799999999</v>
      </c>
      <c r="AP3364">
        <v>100</v>
      </c>
      <c r="AQ3364">
        <v>2100</v>
      </c>
      <c r="AR3364" t="s">
        <v>118</v>
      </c>
      <c r="AS3364">
        <v>-79</v>
      </c>
      <c r="AT3364">
        <v>16</v>
      </c>
      <c r="AU3364">
        <v>-64</v>
      </c>
      <c r="BC3364">
        <v>1200</v>
      </c>
      <c r="BD3364">
        <v>1</v>
      </c>
      <c r="BE3364" t="str">
        <f t="shared" si="158"/>
        <v xml:space="preserve">N215T   </v>
      </c>
      <c r="BF3364">
        <v>1</v>
      </c>
      <c r="BH3364">
        <v>0</v>
      </c>
      <c r="BI3364">
        <v>0</v>
      </c>
      <c r="BJ3364">
        <v>0</v>
      </c>
      <c r="BK3364">
        <v>2425</v>
      </c>
      <c r="BL3364">
        <v>325</v>
      </c>
      <c r="BM3364" t="s">
        <v>119</v>
      </c>
      <c r="BN3364">
        <v>1</v>
      </c>
      <c r="BO3364">
        <v>1</v>
      </c>
      <c r="BP3364">
        <v>1</v>
      </c>
      <c r="BQ3364">
        <v>0</v>
      </c>
      <c r="BT3364">
        <v>0</v>
      </c>
      <c r="BU3364">
        <v>0</v>
      </c>
      <c r="BV3364">
        <v>0</v>
      </c>
      <c r="CC3364" t="str">
        <f>"19:31:00.297"</f>
        <v>19:31:00.297</v>
      </c>
      <c r="CD3364" t="str">
        <f>"295970488"</f>
        <v>295970488</v>
      </c>
      <c r="CQ3364">
        <v>0</v>
      </c>
      <c r="CR3364">
        <v>2</v>
      </c>
      <c r="CS3364">
        <v>0</v>
      </c>
      <c r="CT3364">
        <v>2</v>
      </c>
      <c r="CU3364">
        <v>0</v>
      </c>
      <c r="CV3364">
        <v>6</v>
      </c>
      <c r="CW3364" t="s">
        <v>120</v>
      </c>
      <c r="CX3364">
        <v>257</v>
      </c>
      <c r="CY3364">
        <v>0</v>
      </c>
      <c r="CZ3364" t="s">
        <v>615</v>
      </c>
      <c r="DA3364" t="s">
        <v>616</v>
      </c>
      <c r="DD3364">
        <v>16395040</v>
      </c>
      <c r="DE3364" t="s">
        <v>123</v>
      </c>
    </row>
    <row r="3365" spans="1:109" x14ac:dyDescent="0.3">
      <c r="A3365" t="str">
        <f>"19:31:01.531"</f>
        <v>19:31:01.531</v>
      </c>
      <c r="B3365" t="s">
        <v>110</v>
      </c>
      <c r="C3365" t="str">
        <f t="shared" si="156"/>
        <v>ffdfd3c0</v>
      </c>
      <c r="D3365" t="s">
        <v>111</v>
      </c>
      <c r="E3365">
        <v>18</v>
      </c>
      <c r="F3365">
        <v>1018</v>
      </c>
      <c r="G3365" t="s">
        <v>112</v>
      </c>
      <c r="J3365" t="s">
        <v>113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R3365" t="s">
        <v>114</v>
      </c>
      <c r="S3365" t="str">
        <f>"19:31:01.313"</f>
        <v>19:31:01.313</v>
      </c>
      <c r="T3365" t="str">
        <f>"19:31:00.914"</f>
        <v>19:31:00.914</v>
      </c>
      <c r="U3365" t="str">
        <f t="shared" si="157"/>
        <v>a1cdbe</v>
      </c>
      <c r="V3365">
        <v>0</v>
      </c>
      <c r="W3365">
        <v>0</v>
      </c>
      <c r="X3365">
        <v>2</v>
      </c>
      <c r="Y3365">
        <v>0</v>
      </c>
      <c r="Z3365">
        <v>0</v>
      </c>
      <c r="AB3365">
        <v>0</v>
      </c>
      <c r="AC3365">
        <v>9</v>
      </c>
      <c r="AD3365">
        <v>3</v>
      </c>
      <c r="AE3365">
        <v>0</v>
      </c>
      <c r="AF3365">
        <v>9</v>
      </c>
      <c r="AG3365" t="s">
        <v>158</v>
      </c>
      <c r="AH3365">
        <v>0</v>
      </c>
      <c r="AI3365">
        <v>3</v>
      </c>
      <c r="AJ3365">
        <v>1</v>
      </c>
      <c r="AK3365">
        <v>0</v>
      </c>
      <c r="AL3365" t="s">
        <v>6328</v>
      </c>
      <c r="AM3365">
        <v>47.008245000000002</v>
      </c>
      <c r="AN3365" t="s">
        <v>6329</v>
      </c>
      <c r="AO3365">
        <v>-123.71360799999999</v>
      </c>
      <c r="AP3365">
        <v>100</v>
      </c>
      <c r="AQ3365">
        <v>2100</v>
      </c>
      <c r="AR3365" t="s">
        <v>118</v>
      </c>
      <c r="AS3365">
        <v>-79</v>
      </c>
      <c r="AT3365">
        <v>16</v>
      </c>
      <c r="AU3365">
        <v>0</v>
      </c>
      <c r="BC3365">
        <v>1200</v>
      </c>
      <c r="BD3365">
        <v>1</v>
      </c>
      <c r="BE3365" t="str">
        <f t="shared" si="158"/>
        <v xml:space="preserve">N215T   </v>
      </c>
      <c r="BF3365">
        <v>1</v>
      </c>
      <c r="BH3365">
        <v>0</v>
      </c>
      <c r="BI3365">
        <v>0</v>
      </c>
      <c r="BJ3365">
        <v>0</v>
      </c>
      <c r="BK3365">
        <v>2425</v>
      </c>
      <c r="BL3365">
        <v>325</v>
      </c>
      <c r="BM3365" t="s">
        <v>119</v>
      </c>
      <c r="BN3365">
        <v>1</v>
      </c>
      <c r="BO3365">
        <v>1</v>
      </c>
      <c r="BP3365">
        <v>1</v>
      </c>
      <c r="BQ3365">
        <v>0</v>
      </c>
      <c r="BT3365">
        <v>0</v>
      </c>
      <c r="BU3365">
        <v>0</v>
      </c>
      <c r="BV3365">
        <v>0</v>
      </c>
      <c r="CC3365" t="str">
        <f>"19:31:01.313"</f>
        <v>19:31:01.313</v>
      </c>
      <c r="CD3365" t="str">
        <f>"315869991"</f>
        <v>315869991</v>
      </c>
      <c r="CQ3365">
        <v>0</v>
      </c>
      <c r="CR3365">
        <v>2</v>
      </c>
      <c r="CS3365">
        <v>0</v>
      </c>
      <c r="CT3365">
        <v>2</v>
      </c>
      <c r="CU3365">
        <v>0</v>
      </c>
      <c r="CV3365">
        <v>6</v>
      </c>
      <c r="CW3365" t="s">
        <v>120</v>
      </c>
      <c r="CX3365">
        <v>257</v>
      </c>
      <c r="CY3365">
        <v>0</v>
      </c>
      <c r="CZ3365" t="s">
        <v>615</v>
      </c>
      <c r="DA3365" t="s">
        <v>616</v>
      </c>
      <c r="DD3365">
        <v>16395543</v>
      </c>
      <c r="DE3365" t="s">
        <v>123</v>
      </c>
    </row>
    <row r="3366" spans="1:109" x14ac:dyDescent="0.3">
      <c r="A3366" t="str">
        <f>"19:31:02.688"</f>
        <v>19:31:02.688</v>
      </c>
      <c r="B3366" t="s">
        <v>110</v>
      </c>
      <c r="C3366" t="str">
        <f t="shared" si="156"/>
        <v>ffdfd3c0</v>
      </c>
      <c r="D3366" t="s">
        <v>111</v>
      </c>
      <c r="E3366">
        <v>18</v>
      </c>
      <c r="F3366">
        <v>1018</v>
      </c>
      <c r="G3366" t="s">
        <v>112</v>
      </c>
      <c r="J3366" t="s">
        <v>113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R3366" t="s">
        <v>114</v>
      </c>
      <c r="S3366" t="str">
        <f>"19:31:02.453"</f>
        <v>19:31:02.453</v>
      </c>
      <c r="T3366" t="str">
        <f>"19:31:02.352"</f>
        <v>19:31:02.352</v>
      </c>
      <c r="U3366" t="str">
        <f t="shared" si="157"/>
        <v>a1cdbe</v>
      </c>
      <c r="V3366">
        <v>0</v>
      </c>
      <c r="W3366">
        <v>0</v>
      </c>
      <c r="X3366">
        <v>2</v>
      </c>
      <c r="Y3366">
        <v>0</v>
      </c>
      <c r="Z3366">
        <v>0</v>
      </c>
      <c r="AB3366">
        <v>0</v>
      </c>
      <c r="AC3366">
        <v>9</v>
      </c>
      <c r="AD3366">
        <v>3</v>
      </c>
      <c r="AE3366">
        <v>0</v>
      </c>
      <c r="AF3366">
        <v>9</v>
      </c>
      <c r="AG3366" t="s">
        <v>158</v>
      </c>
      <c r="AH3366">
        <v>0</v>
      </c>
      <c r="AI3366">
        <v>3</v>
      </c>
      <c r="AJ3366">
        <v>1</v>
      </c>
      <c r="AK3366">
        <v>0</v>
      </c>
      <c r="AL3366" t="s">
        <v>6330</v>
      </c>
      <c r="AM3366">
        <v>47.008352000000002</v>
      </c>
      <c r="AN3366" t="s">
        <v>6331</v>
      </c>
      <c r="AO3366">
        <v>-123.71416600000001</v>
      </c>
      <c r="AP3366">
        <v>100</v>
      </c>
      <c r="AQ3366">
        <v>2100</v>
      </c>
      <c r="AR3366" t="s">
        <v>118</v>
      </c>
      <c r="AS3366">
        <v>-78</v>
      </c>
      <c r="AT3366">
        <v>16</v>
      </c>
      <c r="AU3366">
        <v>64</v>
      </c>
      <c r="BC3366">
        <v>1200</v>
      </c>
      <c r="BD3366">
        <v>1</v>
      </c>
      <c r="BE3366" t="str">
        <f t="shared" si="158"/>
        <v xml:space="preserve">N215T   </v>
      </c>
      <c r="BF3366">
        <v>1</v>
      </c>
      <c r="BH3366">
        <v>0</v>
      </c>
      <c r="BI3366">
        <v>0</v>
      </c>
      <c r="BJ3366">
        <v>0</v>
      </c>
      <c r="BK3366">
        <v>2425</v>
      </c>
      <c r="BL3366">
        <v>325</v>
      </c>
      <c r="BM3366" t="s">
        <v>119</v>
      </c>
      <c r="BN3366">
        <v>1</v>
      </c>
      <c r="BO3366">
        <v>1</v>
      </c>
      <c r="BP3366">
        <v>1</v>
      </c>
      <c r="BQ3366">
        <v>0</v>
      </c>
      <c r="BT3366">
        <v>0</v>
      </c>
      <c r="BU3366">
        <v>0</v>
      </c>
      <c r="BV3366">
        <v>0</v>
      </c>
      <c r="CC3366" t="str">
        <f>"19:31:02.453"</f>
        <v>19:31:02.453</v>
      </c>
      <c r="CD3366" t="str">
        <f>"455757672"</f>
        <v>455757672</v>
      </c>
      <c r="CQ3366">
        <v>0</v>
      </c>
      <c r="CR3366">
        <v>2</v>
      </c>
      <c r="CS3366">
        <v>0</v>
      </c>
      <c r="CT3366">
        <v>2</v>
      </c>
      <c r="CU3366">
        <v>0</v>
      </c>
      <c r="CV3366">
        <v>6</v>
      </c>
      <c r="CW3366" t="s">
        <v>120</v>
      </c>
      <c r="CX3366">
        <v>257</v>
      </c>
      <c r="CY3366">
        <v>0</v>
      </c>
      <c r="CZ3366" t="s">
        <v>615</v>
      </c>
      <c r="DA3366" t="s">
        <v>616</v>
      </c>
      <c r="DD3366">
        <v>16396038</v>
      </c>
      <c r="DE3366" t="s">
        <v>123</v>
      </c>
    </row>
    <row r="3367" spans="1:109" x14ac:dyDescent="0.3">
      <c r="A3367" t="str">
        <f>"19:31:03.594"</f>
        <v>19:31:03.594</v>
      </c>
      <c r="B3367" t="s">
        <v>110</v>
      </c>
      <c r="C3367" t="str">
        <f t="shared" si="156"/>
        <v>ffdfd3c0</v>
      </c>
      <c r="D3367" t="s">
        <v>111</v>
      </c>
      <c r="E3367">
        <v>18</v>
      </c>
      <c r="F3367">
        <v>1018</v>
      </c>
      <c r="G3367" t="s">
        <v>112</v>
      </c>
      <c r="J3367" t="s">
        <v>113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R3367" t="s">
        <v>114</v>
      </c>
      <c r="S3367" t="str">
        <f>"19:31:03.367"</f>
        <v>19:31:03.367</v>
      </c>
      <c r="T3367" t="str">
        <f>"19:31:03.367"</f>
        <v>19:31:03.367</v>
      </c>
      <c r="U3367" t="str">
        <f t="shared" si="157"/>
        <v>a1cdbe</v>
      </c>
      <c r="V3367">
        <v>0</v>
      </c>
      <c r="W3367">
        <v>0</v>
      </c>
      <c r="X3367">
        <v>2</v>
      </c>
      <c r="Y3367">
        <v>0</v>
      </c>
      <c r="Z3367">
        <v>0</v>
      </c>
      <c r="AB3367">
        <v>0</v>
      </c>
      <c r="AC3367">
        <v>9</v>
      </c>
      <c r="AD3367">
        <v>3</v>
      </c>
      <c r="AE3367">
        <v>0</v>
      </c>
      <c r="AF3367">
        <v>9</v>
      </c>
      <c r="AG3367" t="s">
        <v>158</v>
      </c>
      <c r="AH3367">
        <v>0</v>
      </c>
      <c r="AI3367">
        <v>3</v>
      </c>
      <c r="AJ3367">
        <v>1</v>
      </c>
      <c r="AK3367">
        <v>0</v>
      </c>
      <c r="AL3367" t="s">
        <v>6332</v>
      </c>
      <c r="AM3367">
        <v>47.008395</v>
      </c>
      <c r="AN3367" t="s">
        <v>6333</v>
      </c>
      <c r="AO3367">
        <v>-123.71463799999999</v>
      </c>
      <c r="AP3367">
        <v>100</v>
      </c>
      <c r="AQ3367">
        <v>2100</v>
      </c>
      <c r="AR3367" t="s">
        <v>118</v>
      </c>
      <c r="AS3367">
        <v>-78</v>
      </c>
      <c r="AT3367">
        <v>17</v>
      </c>
      <c r="AU3367">
        <v>64</v>
      </c>
      <c r="BC3367">
        <v>1200</v>
      </c>
      <c r="BD3367">
        <v>1</v>
      </c>
      <c r="BE3367" t="str">
        <f t="shared" si="158"/>
        <v xml:space="preserve">N215T   </v>
      </c>
      <c r="BF3367">
        <v>1</v>
      </c>
      <c r="BH3367">
        <v>0</v>
      </c>
      <c r="BI3367">
        <v>0</v>
      </c>
      <c r="BJ3367">
        <v>0</v>
      </c>
      <c r="BK3367">
        <v>2425</v>
      </c>
      <c r="BL3367">
        <v>325</v>
      </c>
      <c r="BM3367" t="s">
        <v>119</v>
      </c>
      <c r="BN3367">
        <v>1</v>
      </c>
      <c r="BO3367">
        <v>1</v>
      </c>
      <c r="BP3367">
        <v>1</v>
      </c>
      <c r="BQ3367">
        <v>0</v>
      </c>
      <c r="BT3367">
        <v>0</v>
      </c>
      <c r="BU3367">
        <v>0</v>
      </c>
      <c r="BV3367">
        <v>0</v>
      </c>
      <c r="CC3367" t="str">
        <f>"19:31:03.367"</f>
        <v>19:31:03.367</v>
      </c>
      <c r="CD3367" t="str">
        <f>"370667515"</f>
        <v>370667515</v>
      </c>
      <c r="CQ3367">
        <v>0</v>
      </c>
      <c r="CR3367">
        <v>2</v>
      </c>
      <c r="CS3367">
        <v>0</v>
      </c>
      <c r="CT3367">
        <v>2</v>
      </c>
      <c r="CU3367">
        <v>0</v>
      </c>
      <c r="CV3367">
        <v>6</v>
      </c>
      <c r="CW3367" t="s">
        <v>120</v>
      </c>
      <c r="CX3367">
        <v>257</v>
      </c>
      <c r="CY3367">
        <v>0</v>
      </c>
      <c r="CZ3367" t="s">
        <v>615</v>
      </c>
      <c r="DA3367" t="s">
        <v>616</v>
      </c>
      <c r="DD3367">
        <v>16396410</v>
      </c>
      <c r="DE3367" t="s">
        <v>123</v>
      </c>
    </row>
    <row r="3368" spans="1:109" x14ac:dyDescent="0.3">
      <c r="A3368" t="str">
        <f>"19:31:04.547"</f>
        <v>19:31:04.547</v>
      </c>
      <c r="B3368" t="s">
        <v>110</v>
      </c>
      <c r="C3368" t="str">
        <f t="shared" si="156"/>
        <v>ffdfd3c0</v>
      </c>
      <c r="D3368" t="s">
        <v>111</v>
      </c>
      <c r="E3368">
        <v>18</v>
      </c>
      <c r="F3368">
        <v>1018</v>
      </c>
      <c r="G3368" t="s">
        <v>112</v>
      </c>
      <c r="J3368" t="s">
        <v>113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R3368" t="s">
        <v>114</v>
      </c>
      <c r="S3368" t="str">
        <f>"19:31:04.313"</f>
        <v>19:31:04.313</v>
      </c>
      <c r="T3368" t="str">
        <f>"19:31:04.313"</f>
        <v>19:31:04.313</v>
      </c>
      <c r="U3368" t="str">
        <f t="shared" si="157"/>
        <v>a1cdbe</v>
      </c>
      <c r="V3368">
        <v>0</v>
      </c>
      <c r="W3368">
        <v>0</v>
      </c>
      <c r="X3368">
        <v>2</v>
      </c>
      <c r="Y3368">
        <v>0</v>
      </c>
      <c r="Z3368">
        <v>0</v>
      </c>
      <c r="AB3368">
        <v>0</v>
      </c>
      <c r="AC3368">
        <v>9</v>
      </c>
      <c r="AD3368">
        <v>3</v>
      </c>
      <c r="AE3368">
        <v>0</v>
      </c>
      <c r="AF3368">
        <v>9</v>
      </c>
      <c r="AG3368" t="s">
        <v>158</v>
      </c>
      <c r="AH3368">
        <v>0</v>
      </c>
      <c r="AI3368">
        <v>3</v>
      </c>
      <c r="AJ3368">
        <v>1</v>
      </c>
      <c r="AK3368">
        <v>0</v>
      </c>
      <c r="AL3368" t="s">
        <v>6334</v>
      </c>
      <c r="AM3368">
        <v>47.008459999999999</v>
      </c>
      <c r="AN3368" t="s">
        <v>6335</v>
      </c>
      <c r="AO3368">
        <v>-123.715131</v>
      </c>
      <c r="AP3368">
        <v>100</v>
      </c>
      <c r="AQ3368">
        <v>2100</v>
      </c>
      <c r="AR3368" t="s">
        <v>118</v>
      </c>
      <c r="AS3368">
        <v>-77</v>
      </c>
      <c r="AT3368">
        <v>17</v>
      </c>
      <c r="AU3368">
        <v>128</v>
      </c>
      <c r="BC3368">
        <v>1200</v>
      </c>
      <c r="BD3368">
        <v>1</v>
      </c>
      <c r="BE3368" t="str">
        <f t="shared" si="158"/>
        <v xml:space="preserve">N215T   </v>
      </c>
      <c r="BF3368">
        <v>1</v>
      </c>
      <c r="BH3368">
        <v>0</v>
      </c>
      <c r="BI3368">
        <v>0</v>
      </c>
      <c r="BJ3368">
        <v>0</v>
      </c>
      <c r="BK3368">
        <v>2425</v>
      </c>
      <c r="BL3368">
        <v>325</v>
      </c>
      <c r="BM3368" t="s">
        <v>119</v>
      </c>
      <c r="BN3368">
        <v>1</v>
      </c>
      <c r="BO3368">
        <v>1</v>
      </c>
      <c r="BP3368">
        <v>1</v>
      </c>
      <c r="BQ3368">
        <v>0</v>
      </c>
      <c r="BT3368">
        <v>0</v>
      </c>
      <c r="BU3368">
        <v>0</v>
      </c>
      <c r="BV3368">
        <v>0</v>
      </c>
      <c r="CC3368" t="str">
        <f>"19:31:04.313"</f>
        <v>19:31:04.313</v>
      </c>
      <c r="CD3368" t="str">
        <f>"315574391"</f>
        <v>315574391</v>
      </c>
      <c r="CQ3368">
        <v>0</v>
      </c>
      <c r="CR3368">
        <v>2</v>
      </c>
      <c r="CS3368">
        <v>0</v>
      </c>
      <c r="CT3368">
        <v>2</v>
      </c>
      <c r="CU3368">
        <v>0</v>
      </c>
      <c r="CV3368">
        <v>6</v>
      </c>
      <c r="CW3368" t="s">
        <v>120</v>
      </c>
      <c r="CX3368">
        <v>257</v>
      </c>
      <c r="CY3368">
        <v>0</v>
      </c>
      <c r="CZ3368" t="s">
        <v>615</v>
      </c>
      <c r="DA3368" t="s">
        <v>616</v>
      </c>
      <c r="DD3368">
        <v>16396827</v>
      </c>
      <c r="DE3368" t="s">
        <v>123</v>
      </c>
    </row>
    <row r="3369" spans="1:109" x14ac:dyDescent="0.3">
      <c r="A3369" t="str">
        <f>"19:31:05.656"</f>
        <v>19:31:05.656</v>
      </c>
      <c r="B3369" t="s">
        <v>110</v>
      </c>
      <c r="C3369" t="str">
        <f t="shared" si="156"/>
        <v>ffdfd3c0</v>
      </c>
      <c r="D3369" t="s">
        <v>111</v>
      </c>
      <c r="E3369">
        <v>18</v>
      </c>
      <c r="F3369">
        <v>1018</v>
      </c>
      <c r="G3369" t="s">
        <v>112</v>
      </c>
      <c r="J3369" t="s">
        <v>113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R3369" t="s">
        <v>114</v>
      </c>
      <c r="S3369" t="str">
        <f>"19:31:05.438"</f>
        <v>19:31:05.438</v>
      </c>
      <c r="T3369" t="str">
        <f>"19:31:05.336"</f>
        <v>19:31:05.336</v>
      </c>
      <c r="U3369" t="str">
        <f t="shared" si="157"/>
        <v>a1cdbe</v>
      </c>
      <c r="V3369">
        <v>0</v>
      </c>
      <c r="W3369">
        <v>0</v>
      </c>
      <c r="X3369">
        <v>2</v>
      </c>
      <c r="Y3369">
        <v>0</v>
      </c>
      <c r="Z3369">
        <v>0</v>
      </c>
      <c r="AB3369">
        <v>0</v>
      </c>
      <c r="AC3369">
        <v>9</v>
      </c>
      <c r="AD3369">
        <v>3</v>
      </c>
      <c r="AE3369">
        <v>0</v>
      </c>
      <c r="AF3369">
        <v>9</v>
      </c>
      <c r="AG3369" t="s">
        <v>158</v>
      </c>
      <c r="AH3369">
        <v>0</v>
      </c>
      <c r="AI3369">
        <v>3</v>
      </c>
      <c r="AJ3369">
        <v>1</v>
      </c>
      <c r="AK3369">
        <v>0</v>
      </c>
      <c r="AL3369" t="s">
        <v>6336</v>
      </c>
      <c r="AM3369">
        <v>47.008544999999998</v>
      </c>
      <c r="AN3369" t="s">
        <v>6337</v>
      </c>
      <c r="AO3369">
        <v>-123.71577499999999</v>
      </c>
      <c r="AP3369">
        <v>100</v>
      </c>
      <c r="AQ3369">
        <v>2100</v>
      </c>
      <c r="AR3369" t="s">
        <v>118</v>
      </c>
      <c r="AS3369">
        <v>-77</v>
      </c>
      <c r="AT3369">
        <v>17</v>
      </c>
      <c r="AU3369">
        <v>64</v>
      </c>
      <c r="BC3369">
        <v>1200</v>
      </c>
      <c r="BD3369">
        <v>1</v>
      </c>
      <c r="BE3369" t="str">
        <f t="shared" si="158"/>
        <v xml:space="preserve">N215T   </v>
      </c>
      <c r="BF3369">
        <v>1</v>
      </c>
      <c r="BH3369">
        <v>0</v>
      </c>
      <c r="BI3369">
        <v>0</v>
      </c>
      <c r="BJ3369">
        <v>0</v>
      </c>
      <c r="BK3369">
        <v>2425</v>
      </c>
      <c r="BL3369">
        <v>325</v>
      </c>
      <c r="BM3369" t="s">
        <v>119</v>
      </c>
      <c r="BN3369">
        <v>1</v>
      </c>
      <c r="BO3369">
        <v>1</v>
      </c>
      <c r="BP3369">
        <v>1</v>
      </c>
      <c r="BQ3369">
        <v>0</v>
      </c>
      <c r="BT3369">
        <v>0</v>
      </c>
      <c r="BU3369">
        <v>0</v>
      </c>
      <c r="BV3369">
        <v>0</v>
      </c>
      <c r="CC3369" t="str">
        <f>"19:31:05.438"</f>
        <v>19:31:05.438</v>
      </c>
      <c r="CD3369" t="str">
        <f>"440463553"</f>
        <v>440463553</v>
      </c>
      <c r="CQ3369">
        <v>0</v>
      </c>
      <c r="CR3369">
        <v>2</v>
      </c>
      <c r="CS3369">
        <v>0</v>
      </c>
      <c r="CT3369">
        <v>2</v>
      </c>
      <c r="CU3369">
        <v>0</v>
      </c>
      <c r="CV3369">
        <v>6</v>
      </c>
      <c r="CW3369" t="s">
        <v>120</v>
      </c>
      <c r="CX3369">
        <v>257</v>
      </c>
      <c r="CY3369">
        <v>0</v>
      </c>
      <c r="CZ3369" t="s">
        <v>615</v>
      </c>
      <c r="DA3369" t="s">
        <v>616</v>
      </c>
      <c r="DD3369">
        <v>16397310</v>
      </c>
      <c r="DE3369" t="s">
        <v>123</v>
      </c>
    </row>
    <row r="3370" spans="1:109" x14ac:dyDescent="0.3">
      <c r="A3370" t="str">
        <f>"19:31:06.813"</f>
        <v>19:31:06.813</v>
      </c>
      <c r="B3370" t="s">
        <v>110</v>
      </c>
      <c r="C3370" t="str">
        <f t="shared" si="156"/>
        <v>ffdfd3c0</v>
      </c>
      <c r="D3370" t="s">
        <v>111</v>
      </c>
      <c r="E3370">
        <v>18</v>
      </c>
      <c r="F3370">
        <v>1018</v>
      </c>
      <c r="G3370" t="s">
        <v>112</v>
      </c>
      <c r="J3370" t="s">
        <v>113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R3370" t="s">
        <v>114</v>
      </c>
      <c r="S3370" t="str">
        <f>"19:31:06.547"</f>
        <v>19:31:06.547</v>
      </c>
      <c r="T3370" t="str">
        <f>"19:31:06.344"</f>
        <v>19:31:06.344</v>
      </c>
      <c r="U3370" t="str">
        <f t="shared" si="157"/>
        <v>a1cdbe</v>
      </c>
      <c r="V3370">
        <v>0</v>
      </c>
      <c r="W3370">
        <v>0</v>
      </c>
      <c r="X3370">
        <v>2</v>
      </c>
      <c r="Y3370">
        <v>0</v>
      </c>
      <c r="Z3370">
        <v>0</v>
      </c>
      <c r="AB3370">
        <v>0</v>
      </c>
      <c r="AC3370">
        <v>9</v>
      </c>
      <c r="AD3370">
        <v>3</v>
      </c>
      <c r="AE3370">
        <v>0</v>
      </c>
      <c r="AF3370">
        <v>9</v>
      </c>
      <c r="AG3370" t="s">
        <v>158</v>
      </c>
      <c r="AH3370">
        <v>0</v>
      </c>
      <c r="AI3370">
        <v>3</v>
      </c>
      <c r="AJ3370">
        <v>1</v>
      </c>
      <c r="AK3370">
        <v>0</v>
      </c>
      <c r="AL3370" t="s">
        <v>6338</v>
      </c>
      <c r="AM3370">
        <v>47.008631000000001</v>
      </c>
      <c r="AN3370" t="s">
        <v>6339</v>
      </c>
      <c r="AO3370">
        <v>-123.71633300000001</v>
      </c>
      <c r="AP3370">
        <v>100</v>
      </c>
      <c r="AQ3370">
        <v>2100</v>
      </c>
      <c r="AR3370" t="s">
        <v>118</v>
      </c>
      <c r="AS3370">
        <v>-77</v>
      </c>
      <c r="AT3370">
        <v>17</v>
      </c>
      <c r="AU3370">
        <v>0</v>
      </c>
      <c r="BC3370">
        <v>1200</v>
      </c>
      <c r="BD3370">
        <v>1</v>
      </c>
      <c r="BE3370" t="str">
        <f t="shared" si="158"/>
        <v xml:space="preserve">N215T   </v>
      </c>
      <c r="BF3370">
        <v>1</v>
      </c>
      <c r="BH3370">
        <v>0</v>
      </c>
      <c r="BI3370">
        <v>0</v>
      </c>
      <c r="BJ3370">
        <v>0</v>
      </c>
      <c r="BK3370">
        <v>2425</v>
      </c>
      <c r="BL3370">
        <v>325</v>
      </c>
      <c r="BM3370" t="s">
        <v>119</v>
      </c>
      <c r="BN3370">
        <v>1</v>
      </c>
      <c r="BO3370">
        <v>1</v>
      </c>
      <c r="BP3370">
        <v>1</v>
      </c>
      <c r="BQ3370">
        <v>0</v>
      </c>
      <c r="BT3370">
        <v>0</v>
      </c>
      <c r="BU3370">
        <v>0</v>
      </c>
      <c r="BV3370">
        <v>0</v>
      </c>
      <c r="CC3370" t="str">
        <f>"19:31:06.547"</f>
        <v>19:31:06.547</v>
      </c>
      <c r="CD3370" t="str">
        <f>"550354194"</f>
        <v>550354194</v>
      </c>
      <c r="CQ3370">
        <v>0</v>
      </c>
      <c r="CR3370">
        <v>2</v>
      </c>
      <c r="CS3370">
        <v>0</v>
      </c>
      <c r="CT3370">
        <v>2</v>
      </c>
      <c r="CU3370">
        <v>0</v>
      </c>
      <c r="CV3370">
        <v>6</v>
      </c>
      <c r="CW3370" t="s">
        <v>120</v>
      </c>
      <c r="CX3370">
        <v>257</v>
      </c>
      <c r="CY3370">
        <v>0</v>
      </c>
      <c r="CZ3370" t="s">
        <v>615</v>
      </c>
      <c r="DA3370" t="s">
        <v>616</v>
      </c>
      <c r="DD3370">
        <v>16397775</v>
      </c>
      <c r="DE3370" t="s">
        <v>123</v>
      </c>
    </row>
    <row r="3371" spans="1:109" x14ac:dyDescent="0.3">
      <c r="A3371" t="str">
        <f>"19:31:07.664"</f>
        <v>19:31:07.664</v>
      </c>
      <c r="B3371" t="s">
        <v>110</v>
      </c>
      <c r="C3371" t="str">
        <f t="shared" si="156"/>
        <v>ffdfd3c0</v>
      </c>
      <c r="D3371" t="s">
        <v>111</v>
      </c>
      <c r="E3371">
        <v>18</v>
      </c>
      <c r="F3371">
        <v>1018</v>
      </c>
      <c r="G3371" t="s">
        <v>112</v>
      </c>
      <c r="J3371" t="s">
        <v>113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R3371" t="s">
        <v>114</v>
      </c>
      <c r="S3371" t="str">
        <f>"19:31:07.430"</f>
        <v>19:31:07.430</v>
      </c>
      <c r="T3371" t="str">
        <f>"19:31:07.328"</f>
        <v>19:31:07.328</v>
      </c>
      <c r="U3371" t="str">
        <f t="shared" si="157"/>
        <v>a1cdbe</v>
      </c>
      <c r="V3371">
        <v>0</v>
      </c>
      <c r="W3371">
        <v>0</v>
      </c>
      <c r="X3371">
        <v>2</v>
      </c>
      <c r="Y3371">
        <v>0</v>
      </c>
      <c r="Z3371">
        <v>0</v>
      </c>
      <c r="AB3371">
        <v>0</v>
      </c>
      <c r="AC3371">
        <v>9</v>
      </c>
      <c r="AD3371">
        <v>3</v>
      </c>
      <c r="AE3371">
        <v>0</v>
      </c>
      <c r="AF3371">
        <v>9</v>
      </c>
      <c r="AG3371" t="s">
        <v>158</v>
      </c>
      <c r="AH3371">
        <v>0</v>
      </c>
      <c r="AI3371">
        <v>3</v>
      </c>
      <c r="AJ3371">
        <v>1</v>
      </c>
      <c r="AK3371">
        <v>0</v>
      </c>
      <c r="AL3371" t="s">
        <v>6340</v>
      </c>
      <c r="AM3371">
        <v>47.008738999999998</v>
      </c>
      <c r="AN3371" t="s">
        <v>6341</v>
      </c>
      <c r="AO3371">
        <v>-123.716762</v>
      </c>
      <c r="AP3371">
        <v>100</v>
      </c>
      <c r="AQ3371">
        <v>2100</v>
      </c>
      <c r="AR3371" t="s">
        <v>118</v>
      </c>
      <c r="AS3371">
        <v>-76</v>
      </c>
      <c r="AT3371">
        <v>17</v>
      </c>
      <c r="AU3371">
        <v>0</v>
      </c>
      <c r="BC3371">
        <v>1200</v>
      </c>
      <c r="BD3371">
        <v>1</v>
      </c>
      <c r="BE3371" t="str">
        <f t="shared" si="158"/>
        <v xml:space="preserve">N215T   </v>
      </c>
      <c r="BF3371">
        <v>1</v>
      </c>
      <c r="BH3371">
        <v>0</v>
      </c>
      <c r="BI3371">
        <v>0</v>
      </c>
      <c r="BJ3371">
        <v>0</v>
      </c>
      <c r="BK3371">
        <v>2425</v>
      </c>
      <c r="BL3371">
        <v>325</v>
      </c>
      <c r="BM3371" t="s">
        <v>119</v>
      </c>
      <c r="BN3371">
        <v>1</v>
      </c>
      <c r="BO3371">
        <v>1</v>
      </c>
      <c r="BP3371">
        <v>1</v>
      </c>
      <c r="BQ3371">
        <v>0</v>
      </c>
      <c r="BT3371">
        <v>0</v>
      </c>
      <c r="BU3371">
        <v>0</v>
      </c>
      <c r="BV3371">
        <v>0</v>
      </c>
      <c r="CC3371" t="str">
        <f>"19:31:07.438"</f>
        <v>19:31:07.438</v>
      </c>
      <c r="CD3371" t="str">
        <f>"435266997"</f>
        <v>435266997</v>
      </c>
      <c r="CQ3371">
        <v>0</v>
      </c>
      <c r="CR3371">
        <v>2</v>
      </c>
      <c r="CS3371">
        <v>0</v>
      </c>
      <c r="CT3371">
        <v>2</v>
      </c>
      <c r="CU3371">
        <v>0</v>
      </c>
      <c r="CV3371">
        <v>6</v>
      </c>
      <c r="CW3371" t="s">
        <v>120</v>
      </c>
      <c r="CX3371">
        <v>257</v>
      </c>
      <c r="CY3371">
        <v>0</v>
      </c>
      <c r="CZ3371" t="s">
        <v>615</v>
      </c>
      <c r="DA3371" t="s">
        <v>616</v>
      </c>
      <c r="DD3371">
        <v>16398159</v>
      </c>
      <c r="DE3371" t="s">
        <v>123</v>
      </c>
    </row>
    <row r="3372" spans="1:109" x14ac:dyDescent="0.3">
      <c r="A3372" t="str">
        <f>"19:31:08.672"</f>
        <v>19:31:08.672</v>
      </c>
      <c r="B3372" t="s">
        <v>110</v>
      </c>
      <c r="C3372" t="str">
        <f t="shared" si="156"/>
        <v>ffdfd3c0</v>
      </c>
      <c r="D3372" t="s">
        <v>111</v>
      </c>
      <c r="E3372">
        <v>18</v>
      </c>
      <c r="F3372">
        <v>1018</v>
      </c>
      <c r="G3372" t="s">
        <v>112</v>
      </c>
      <c r="J3372" t="s">
        <v>113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R3372" t="s">
        <v>114</v>
      </c>
      <c r="S3372" t="str">
        <f>"19:31:08.438"</f>
        <v>19:31:08.438</v>
      </c>
      <c r="T3372" t="str">
        <f>"19:31:08.336"</f>
        <v>19:31:08.336</v>
      </c>
      <c r="U3372" t="str">
        <f t="shared" si="157"/>
        <v>a1cdbe</v>
      </c>
      <c r="V3372">
        <v>0</v>
      </c>
      <c r="W3372">
        <v>0</v>
      </c>
      <c r="X3372">
        <v>2</v>
      </c>
      <c r="Y3372">
        <v>0</v>
      </c>
      <c r="Z3372">
        <v>0</v>
      </c>
      <c r="AB3372">
        <v>0</v>
      </c>
      <c r="AC3372">
        <v>9</v>
      </c>
      <c r="AD3372">
        <v>3</v>
      </c>
      <c r="AE3372">
        <v>0</v>
      </c>
      <c r="AF3372">
        <v>9</v>
      </c>
      <c r="AG3372" t="s">
        <v>158</v>
      </c>
      <c r="AH3372">
        <v>0</v>
      </c>
      <c r="AI3372">
        <v>3</v>
      </c>
      <c r="AJ3372">
        <v>1</v>
      </c>
      <c r="AK3372">
        <v>0</v>
      </c>
      <c r="AL3372" t="s">
        <v>6342</v>
      </c>
      <c r="AM3372">
        <v>47.008803</v>
      </c>
      <c r="AN3372" t="s">
        <v>6343</v>
      </c>
      <c r="AO3372">
        <v>-123.71732</v>
      </c>
      <c r="AP3372">
        <v>100</v>
      </c>
      <c r="AQ3372">
        <v>2100</v>
      </c>
      <c r="AR3372" t="s">
        <v>118</v>
      </c>
      <c r="AS3372">
        <v>-76</v>
      </c>
      <c r="AT3372">
        <v>17</v>
      </c>
      <c r="AU3372">
        <v>0</v>
      </c>
      <c r="BC3372">
        <v>1200</v>
      </c>
      <c r="BD3372">
        <v>1</v>
      </c>
      <c r="BE3372" t="str">
        <f t="shared" si="158"/>
        <v xml:space="preserve">N215T   </v>
      </c>
      <c r="BF3372">
        <v>1</v>
      </c>
      <c r="BH3372">
        <v>0</v>
      </c>
      <c r="BI3372">
        <v>0</v>
      </c>
      <c r="BJ3372">
        <v>0</v>
      </c>
      <c r="BK3372">
        <v>2425</v>
      </c>
      <c r="BL3372">
        <v>325</v>
      </c>
      <c r="BM3372" t="s">
        <v>119</v>
      </c>
      <c r="BN3372">
        <v>1</v>
      </c>
      <c r="BO3372">
        <v>1</v>
      </c>
      <c r="BP3372">
        <v>1</v>
      </c>
      <c r="BQ3372">
        <v>0</v>
      </c>
      <c r="BT3372">
        <v>0</v>
      </c>
      <c r="BU3372">
        <v>0</v>
      </c>
      <c r="BV3372">
        <v>0</v>
      </c>
      <c r="CC3372" t="str">
        <f>"19:31:08.438"</f>
        <v>19:31:08.438</v>
      </c>
      <c r="CD3372" t="str">
        <f>"440167975"</f>
        <v>440167975</v>
      </c>
      <c r="CQ3372">
        <v>0</v>
      </c>
      <c r="CR3372">
        <v>2</v>
      </c>
      <c r="CS3372">
        <v>0</v>
      </c>
      <c r="CT3372">
        <v>2</v>
      </c>
      <c r="CU3372">
        <v>0</v>
      </c>
      <c r="CV3372">
        <v>6</v>
      </c>
      <c r="CW3372" t="s">
        <v>120</v>
      </c>
      <c r="CX3372">
        <v>257</v>
      </c>
      <c r="CY3372">
        <v>0</v>
      </c>
      <c r="CZ3372" t="s">
        <v>615</v>
      </c>
      <c r="DA3372" t="s">
        <v>616</v>
      </c>
      <c r="DD3372">
        <v>16398555</v>
      </c>
      <c r="DE3372" t="s">
        <v>123</v>
      </c>
    </row>
    <row r="3373" spans="1:109" x14ac:dyDescent="0.3">
      <c r="A3373" t="str">
        <f>"19:31:09.578"</f>
        <v>19:31:09.578</v>
      </c>
      <c r="B3373" t="s">
        <v>110</v>
      </c>
      <c r="C3373" t="str">
        <f t="shared" si="156"/>
        <v>ffdfd3c0</v>
      </c>
      <c r="D3373" t="s">
        <v>111</v>
      </c>
      <c r="E3373">
        <v>18</v>
      </c>
      <c r="F3373">
        <v>1018</v>
      </c>
      <c r="G3373" t="s">
        <v>112</v>
      </c>
      <c r="J3373" t="s">
        <v>113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R3373" t="s">
        <v>114</v>
      </c>
      <c r="S3373" t="str">
        <f>"19:31:09.289"</f>
        <v>19:31:09.289</v>
      </c>
      <c r="T3373" t="str">
        <f>"19:31:08.891"</f>
        <v>19:31:08.891</v>
      </c>
      <c r="U3373" t="str">
        <f t="shared" si="157"/>
        <v>a1cdbe</v>
      </c>
      <c r="V3373">
        <v>0</v>
      </c>
      <c r="W3373">
        <v>0</v>
      </c>
      <c r="X3373">
        <v>2</v>
      </c>
      <c r="Y3373">
        <v>0</v>
      </c>
      <c r="Z3373">
        <v>0</v>
      </c>
      <c r="AB3373">
        <v>0</v>
      </c>
      <c r="AC3373">
        <v>9</v>
      </c>
      <c r="AD3373">
        <v>3</v>
      </c>
      <c r="AE3373">
        <v>0</v>
      </c>
      <c r="AF3373">
        <v>9</v>
      </c>
      <c r="AG3373" t="s">
        <v>158</v>
      </c>
      <c r="AH3373">
        <v>0</v>
      </c>
      <c r="AI3373">
        <v>3</v>
      </c>
      <c r="AJ3373">
        <v>1</v>
      </c>
      <c r="AK3373">
        <v>0</v>
      </c>
      <c r="AL3373" t="s">
        <v>6344</v>
      </c>
      <c r="AM3373">
        <v>47.008845999999998</v>
      </c>
      <c r="AN3373" t="s">
        <v>6345</v>
      </c>
      <c r="AO3373">
        <v>-123.71772799999999</v>
      </c>
      <c r="AP3373">
        <v>100</v>
      </c>
      <c r="AQ3373">
        <v>2100</v>
      </c>
      <c r="AR3373" t="s">
        <v>118</v>
      </c>
      <c r="AS3373">
        <v>-76</v>
      </c>
      <c r="AT3373">
        <v>17</v>
      </c>
      <c r="AU3373">
        <v>-64</v>
      </c>
      <c r="BC3373">
        <v>1200</v>
      </c>
      <c r="BD3373">
        <v>1</v>
      </c>
      <c r="BE3373" t="str">
        <f t="shared" si="158"/>
        <v xml:space="preserve">N215T   </v>
      </c>
      <c r="BF3373">
        <v>1</v>
      </c>
      <c r="BH3373">
        <v>0</v>
      </c>
      <c r="BI3373">
        <v>0</v>
      </c>
      <c r="BJ3373">
        <v>0</v>
      </c>
      <c r="BK3373">
        <v>2425</v>
      </c>
      <c r="BL3373">
        <v>325</v>
      </c>
      <c r="BM3373" t="s">
        <v>119</v>
      </c>
      <c r="BN3373">
        <v>1</v>
      </c>
      <c r="BO3373">
        <v>1</v>
      </c>
      <c r="BP3373">
        <v>1</v>
      </c>
      <c r="BQ3373">
        <v>0</v>
      </c>
      <c r="BT3373">
        <v>0</v>
      </c>
      <c r="BU3373">
        <v>0</v>
      </c>
      <c r="BV3373">
        <v>0</v>
      </c>
      <c r="CC3373" t="str">
        <f>"19:31:09.297"</f>
        <v>19:31:09.297</v>
      </c>
      <c r="CD3373" t="str">
        <f>"295083736"</f>
        <v>295083736</v>
      </c>
      <c r="CQ3373">
        <v>0</v>
      </c>
      <c r="CR3373">
        <v>2</v>
      </c>
      <c r="CS3373">
        <v>0</v>
      </c>
      <c r="CT3373">
        <v>2</v>
      </c>
      <c r="CU3373">
        <v>0</v>
      </c>
      <c r="CV3373">
        <v>6</v>
      </c>
      <c r="CW3373" t="s">
        <v>120</v>
      </c>
      <c r="CX3373">
        <v>257</v>
      </c>
      <c r="CY3373">
        <v>0</v>
      </c>
      <c r="CZ3373" t="s">
        <v>615</v>
      </c>
      <c r="DA3373" t="s">
        <v>616</v>
      </c>
      <c r="DD3373">
        <v>16398936</v>
      </c>
      <c r="DE3373" t="s">
        <v>123</v>
      </c>
    </row>
    <row r="3374" spans="1:109" x14ac:dyDescent="0.3">
      <c r="A3374" t="str">
        <f>"19:31:10.484"</f>
        <v>19:31:10.484</v>
      </c>
      <c r="B3374" t="s">
        <v>110</v>
      </c>
      <c r="C3374" t="str">
        <f t="shared" si="156"/>
        <v>ffdfd3c0</v>
      </c>
      <c r="D3374" t="s">
        <v>111</v>
      </c>
      <c r="E3374">
        <v>18</v>
      </c>
      <c r="F3374">
        <v>1018</v>
      </c>
      <c r="G3374" t="s">
        <v>112</v>
      </c>
      <c r="J3374" t="s">
        <v>113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R3374" t="s">
        <v>114</v>
      </c>
      <c r="S3374" t="str">
        <f>"19:31:10.266"</f>
        <v>19:31:10.266</v>
      </c>
      <c r="T3374" t="str">
        <f>"19:31:10.266"</f>
        <v>19:31:10.266</v>
      </c>
      <c r="U3374" t="str">
        <f t="shared" si="157"/>
        <v>a1cdbe</v>
      </c>
      <c r="V3374">
        <v>0</v>
      </c>
      <c r="W3374">
        <v>0</v>
      </c>
      <c r="X3374">
        <v>2</v>
      </c>
      <c r="Y3374">
        <v>0</v>
      </c>
      <c r="Z3374">
        <v>0</v>
      </c>
      <c r="AB3374">
        <v>0</v>
      </c>
      <c r="AC3374">
        <v>9</v>
      </c>
      <c r="AD3374">
        <v>3</v>
      </c>
      <c r="AE3374">
        <v>0</v>
      </c>
      <c r="AF3374">
        <v>9</v>
      </c>
      <c r="AG3374" t="s">
        <v>158</v>
      </c>
      <c r="AH3374">
        <v>0</v>
      </c>
      <c r="AI3374">
        <v>3</v>
      </c>
      <c r="AJ3374">
        <v>1</v>
      </c>
      <c r="AK3374">
        <v>0</v>
      </c>
      <c r="AL3374" t="s">
        <v>6346</v>
      </c>
      <c r="AM3374">
        <v>47.008952999999998</v>
      </c>
      <c r="AN3374" t="s">
        <v>6347</v>
      </c>
      <c r="AO3374">
        <v>-123.718243</v>
      </c>
      <c r="AP3374">
        <v>100</v>
      </c>
      <c r="AQ3374">
        <v>2100</v>
      </c>
      <c r="AR3374" t="s">
        <v>118</v>
      </c>
      <c r="AS3374">
        <v>-77</v>
      </c>
      <c r="AT3374">
        <v>16</v>
      </c>
      <c r="AU3374">
        <v>-64</v>
      </c>
      <c r="BC3374">
        <v>1200</v>
      </c>
      <c r="BD3374">
        <v>1</v>
      </c>
      <c r="BE3374" t="str">
        <f t="shared" si="158"/>
        <v xml:space="preserve">N215T   </v>
      </c>
      <c r="BF3374">
        <v>1</v>
      </c>
      <c r="BH3374">
        <v>0</v>
      </c>
      <c r="BI3374">
        <v>0</v>
      </c>
      <c r="BJ3374">
        <v>0</v>
      </c>
      <c r="BK3374">
        <v>2425</v>
      </c>
      <c r="BL3374">
        <v>325</v>
      </c>
      <c r="BM3374" t="s">
        <v>119</v>
      </c>
      <c r="BN3374">
        <v>1</v>
      </c>
      <c r="BO3374">
        <v>1</v>
      </c>
      <c r="BP3374">
        <v>1</v>
      </c>
      <c r="BQ3374">
        <v>0</v>
      </c>
      <c r="BT3374">
        <v>0</v>
      </c>
      <c r="BU3374">
        <v>0</v>
      </c>
      <c r="BV3374">
        <v>0</v>
      </c>
      <c r="CC3374" t="str">
        <f>"19:31:10.273"</f>
        <v>19:31:10.273</v>
      </c>
      <c r="CD3374" t="str">
        <f>"269987662"</f>
        <v>269987662</v>
      </c>
      <c r="CQ3374">
        <v>0</v>
      </c>
      <c r="CR3374">
        <v>2</v>
      </c>
      <c r="CS3374">
        <v>0</v>
      </c>
      <c r="CT3374">
        <v>2</v>
      </c>
      <c r="CU3374">
        <v>0</v>
      </c>
      <c r="CV3374">
        <v>5</v>
      </c>
      <c r="CW3374" t="s">
        <v>120</v>
      </c>
      <c r="CX3374">
        <v>257</v>
      </c>
      <c r="CY3374">
        <v>0</v>
      </c>
      <c r="CZ3374" t="s">
        <v>615</v>
      </c>
      <c r="DA3374" t="s">
        <v>616</v>
      </c>
      <c r="DD3374">
        <v>16399333</v>
      </c>
      <c r="DE3374" t="s">
        <v>123</v>
      </c>
    </row>
    <row r="3375" spans="1:109" x14ac:dyDescent="0.3">
      <c r="A3375" t="str">
        <f>"19:31:11.531"</f>
        <v>19:31:11.531</v>
      </c>
      <c r="B3375" t="s">
        <v>110</v>
      </c>
      <c r="C3375" t="str">
        <f t="shared" si="156"/>
        <v>ffdfd3c0</v>
      </c>
      <c r="D3375" t="s">
        <v>111</v>
      </c>
      <c r="E3375">
        <v>18</v>
      </c>
      <c r="F3375">
        <v>1018</v>
      </c>
      <c r="G3375" t="s">
        <v>112</v>
      </c>
      <c r="J3375" t="s">
        <v>113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R3375" t="s">
        <v>114</v>
      </c>
      <c r="S3375" t="str">
        <f>"19:31:11.313"</f>
        <v>19:31:11.313</v>
      </c>
      <c r="T3375" t="str">
        <f>"19:31:11.211"</f>
        <v>19:31:11.211</v>
      </c>
      <c r="U3375" t="str">
        <f t="shared" si="157"/>
        <v>a1cdbe</v>
      </c>
      <c r="V3375">
        <v>0</v>
      </c>
      <c r="W3375">
        <v>0</v>
      </c>
      <c r="X3375">
        <v>2</v>
      </c>
      <c r="Y3375">
        <v>0</v>
      </c>
      <c r="Z3375">
        <v>0</v>
      </c>
      <c r="AB3375">
        <v>0</v>
      </c>
      <c r="AC3375">
        <v>9</v>
      </c>
      <c r="AD3375">
        <v>3</v>
      </c>
      <c r="AE3375">
        <v>0</v>
      </c>
      <c r="AF3375">
        <v>9</v>
      </c>
      <c r="AG3375" t="s">
        <v>158</v>
      </c>
      <c r="AH3375">
        <v>0</v>
      </c>
      <c r="AI3375">
        <v>3</v>
      </c>
      <c r="AJ3375">
        <v>1</v>
      </c>
      <c r="AK3375">
        <v>0</v>
      </c>
      <c r="AL3375" t="s">
        <v>6348</v>
      </c>
      <c r="AM3375">
        <v>47.009039000000001</v>
      </c>
      <c r="AN3375" t="s">
        <v>6349</v>
      </c>
      <c r="AO3375">
        <v>-123.71875799999999</v>
      </c>
      <c r="AP3375">
        <v>100</v>
      </c>
      <c r="AQ3375">
        <v>2100</v>
      </c>
      <c r="AR3375" t="s">
        <v>118</v>
      </c>
      <c r="AS3375">
        <v>-77</v>
      </c>
      <c r="AT3375">
        <v>15</v>
      </c>
      <c r="AU3375">
        <v>0</v>
      </c>
      <c r="BC3375">
        <v>1200</v>
      </c>
      <c r="BD3375">
        <v>1</v>
      </c>
      <c r="BE3375" t="str">
        <f t="shared" si="158"/>
        <v xml:space="preserve">N215T   </v>
      </c>
      <c r="BF3375">
        <v>1</v>
      </c>
      <c r="BH3375">
        <v>0</v>
      </c>
      <c r="BI3375">
        <v>0</v>
      </c>
      <c r="BJ3375">
        <v>0</v>
      </c>
      <c r="BK3375">
        <v>2425</v>
      </c>
      <c r="BL3375">
        <v>325</v>
      </c>
      <c r="BM3375" t="s">
        <v>119</v>
      </c>
      <c r="BN3375">
        <v>1</v>
      </c>
      <c r="BO3375">
        <v>1</v>
      </c>
      <c r="BP3375">
        <v>1</v>
      </c>
      <c r="BQ3375">
        <v>0</v>
      </c>
      <c r="BT3375">
        <v>0</v>
      </c>
      <c r="BU3375">
        <v>0</v>
      </c>
      <c r="BV3375">
        <v>0</v>
      </c>
      <c r="CC3375" t="str">
        <f>"19:31:11.320"</f>
        <v>19:31:11.320</v>
      </c>
      <c r="CD3375" t="str">
        <f>"319884198"</f>
        <v>319884198</v>
      </c>
      <c r="CQ3375">
        <v>0</v>
      </c>
      <c r="CR3375">
        <v>2</v>
      </c>
      <c r="CS3375">
        <v>0</v>
      </c>
      <c r="CT3375">
        <v>2</v>
      </c>
      <c r="CU3375">
        <v>0</v>
      </c>
      <c r="CV3375">
        <v>6</v>
      </c>
      <c r="CW3375" t="s">
        <v>120</v>
      </c>
      <c r="CX3375">
        <v>257</v>
      </c>
      <c r="CY3375">
        <v>0</v>
      </c>
      <c r="CZ3375" t="s">
        <v>615</v>
      </c>
      <c r="DA3375" t="s">
        <v>616</v>
      </c>
      <c r="DD3375">
        <v>16399780</v>
      </c>
      <c r="DE3375" t="s">
        <v>123</v>
      </c>
    </row>
    <row r="3376" spans="1:109" x14ac:dyDescent="0.3">
      <c r="A3376" t="str">
        <f>"19:31:12.492"</f>
        <v>19:31:12.492</v>
      </c>
      <c r="B3376" t="s">
        <v>110</v>
      </c>
      <c r="C3376" t="str">
        <f t="shared" si="156"/>
        <v>ffdfd3c0</v>
      </c>
      <c r="D3376" t="s">
        <v>111</v>
      </c>
      <c r="E3376">
        <v>18</v>
      </c>
      <c r="F3376">
        <v>1018</v>
      </c>
      <c r="G3376" t="s">
        <v>112</v>
      </c>
      <c r="J3376" t="s">
        <v>113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R3376" t="s">
        <v>114</v>
      </c>
      <c r="S3376" t="str">
        <f>"19:31:12.258"</f>
        <v>19:31:12.258</v>
      </c>
      <c r="T3376" t="str">
        <f>"19:31:12.156"</f>
        <v>19:31:12.156</v>
      </c>
      <c r="U3376" t="str">
        <f t="shared" si="157"/>
        <v>a1cdbe</v>
      </c>
      <c r="V3376">
        <v>0</v>
      </c>
      <c r="W3376">
        <v>0</v>
      </c>
      <c r="X3376">
        <v>2</v>
      </c>
      <c r="Y3376">
        <v>0</v>
      </c>
      <c r="Z3376">
        <v>0</v>
      </c>
      <c r="AB3376">
        <v>0</v>
      </c>
      <c r="AC3376">
        <v>9</v>
      </c>
      <c r="AD3376">
        <v>3</v>
      </c>
      <c r="AE3376">
        <v>0</v>
      </c>
      <c r="AF3376">
        <v>9</v>
      </c>
      <c r="AG3376" t="s">
        <v>158</v>
      </c>
      <c r="AH3376">
        <v>0</v>
      </c>
      <c r="AI3376">
        <v>3</v>
      </c>
      <c r="AJ3376">
        <v>1</v>
      </c>
      <c r="AK3376">
        <v>0</v>
      </c>
      <c r="AL3376" t="s">
        <v>6350</v>
      </c>
      <c r="AM3376">
        <v>47.009103000000003</v>
      </c>
      <c r="AN3376" t="s">
        <v>6351</v>
      </c>
      <c r="AO3376">
        <v>-123.719294</v>
      </c>
      <c r="AP3376">
        <v>100</v>
      </c>
      <c r="AQ3376">
        <v>2100</v>
      </c>
      <c r="AR3376" t="s">
        <v>118</v>
      </c>
      <c r="AS3376">
        <v>-77</v>
      </c>
      <c r="AT3376">
        <v>15</v>
      </c>
      <c r="AU3376">
        <v>0</v>
      </c>
      <c r="BC3376">
        <v>1200</v>
      </c>
      <c r="BD3376">
        <v>1</v>
      </c>
      <c r="BE3376" t="str">
        <f t="shared" si="158"/>
        <v xml:space="preserve">N215T   </v>
      </c>
      <c r="BF3376">
        <v>1</v>
      </c>
      <c r="BH3376">
        <v>0</v>
      </c>
      <c r="BI3376">
        <v>0</v>
      </c>
      <c r="BJ3376">
        <v>0</v>
      </c>
      <c r="BK3376">
        <v>2425</v>
      </c>
      <c r="BL3376">
        <v>325</v>
      </c>
      <c r="BM3376" t="s">
        <v>119</v>
      </c>
      <c r="BN3376">
        <v>1</v>
      </c>
      <c r="BO3376">
        <v>1</v>
      </c>
      <c r="BP3376">
        <v>1</v>
      </c>
      <c r="BQ3376">
        <v>0</v>
      </c>
      <c r="BT3376">
        <v>0</v>
      </c>
      <c r="BU3376">
        <v>0</v>
      </c>
      <c r="BV3376">
        <v>0</v>
      </c>
      <c r="CC3376" t="str">
        <f>"19:31:12.266"</f>
        <v>19:31:12.266</v>
      </c>
      <c r="CD3376" t="str">
        <f>"264791094"</f>
        <v>264791094</v>
      </c>
      <c r="CQ3376">
        <v>0</v>
      </c>
      <c r="CR3376">
        <v>2</v>
      </c>
      <c r="CS3376">
        <v>0</v>
      </c>
      <c r="CT3376">
        <v>2</v>
      </c>
      <c r="CU3376">
        <v>0</v>
      </c>
      <c r="CV3376">
        <v>5</v>
      </c>
      <c r="CW3376" t="s">
        <v>120</v>
      </c>
      <c r="CX3376">
        <v>257</v>
      </c>
      <c r="CY3376">
        <v>0</v>
      </c>
      <c r="CZ3376" t="s">
        <v>615</v>
      </c>
      <c r="DA3376" t="s">
        <v>616</v>
      </c>
      <c r="DD3376">
        <v>16400214</v>
      </c>
      <c r="DE3376" t="s">
        <v>123</v>
      </c>
    </row>
    <row r="3377" spans="1:109" x14ac:dyDescent="0.3">
      <c r="A3377" t="str">
        <f>"19:31:13.594"</f>
        <v>19:31:13.594</v>
      </c>
      <c r="B3377" t="s">
        <v>110</v>
      </c>
      <c r="C3377" t="str">
        <f t="shared" si="156"/>
        <v>ffdfd3c0</v>
      </c>
      <c r="D3377" t="s">
        <v>111</v>
      </c>
      <c r="E3377">
        <v>18</v>
      </c>
      <c r="F3377">
        <v>1018</v>
      </c>
      <c r="G3377" t="s">
        <v>112</v>
      </c>
      <c r="J3377" t="s">
        <v>113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R3377" t="s">
        <v>114</v>
      </c>
      <c r="S3377" t="str">
        <f>"19:31:13.344"</f>
        <v>19:31:13.344</v>
      </c>
      <c r="T3377" t="str">
        <f>"19:31:13.242"</f>
        <v>19:31:13.242</v>
      </c>
      <c r="U3377" t="str">
        <f t="shared" si="157"/>
        <v>a1cdbe</v>
      </c>
      <c r="V3377">
        <v>0</v>
      </c>
      <c r="W3377">
        <v>0</v>
      </c>
      <c r="X3377">
        <v>2</v>
      </c>
      <c r="Y3377">
        <v>0</v>
      </c>
      <c r="Z3377">
        <v>0</v>
      </c>
      <c r="AB3377">
        <v>0</v>
      </c>
      <c r="AC3377">
        <v>9</v>
      </c>
      <c r="AD3377">
        <v>3</v>
      </c>
      <c r="AE3377">
        <v>0</v>
      </c>
      <c r="AF3377">
        <v>9</v>
      </c>
      <c r="AG3377" t="s">
        <v>158</v>
      </c>
      <c r="AH3377">
        <v>0</v>
      </c>
      <c r="AI3377">
        <v>3</v>
      </c>
      <c r="AJ3377">
        <v>1</v>
      </c>
      <c r="AK3377">
        <v>0</v>
      </c>
      <c r="AL3377" t="s">
        <v>6352</v>
      </c>
      <c r="AM3377">
        <v>47.009168000000003</v>
      </c>
      <c r="AN3377" t="s">
        <v>6353</v>
      </c>
      <c r="AO3377">
        <v>-123.719852</v>
      </c>
      <c r="AP3377">
        <v>100</v>
      </c>
      <c r="AQ3377">
        <v>2100</v>
      </c>
      <c r="AR3377" t="s">
        <v>118</v>
      </c>
      <c r="AS3377">
        <v>-77</v>
      </c>
      <c r="AT3377">
        <v>14</v>
      </c>
      <c r="AU3377">
        <v>0</v>
      </c>
      <c r="BC3377">
        <v>1200</v>
      </c>
      <c r="BD3377">
        <v>1</v>
      </c>
      <c r="BE3377" t="str">
        <f t="shared" si="158"/>
        <v xml:space="preserve">N215T   </v>
      </c>
      <c r="BF3377">
        <v>1</v>
      </c>
      <c r="BH3377">
        <v>0</v>
      </c>
      <c r="BI3377">
        <v>0</v>
      </c>
      <c r="BJ3377">
        <v>0</v>
      </c>
      <c r="BK3377">
        <v>2425</v>
      </c>
      <c r="BL3377">
        <v>325</v>
      </c>
      <c r="BM3377" t="s">
        <v>119</v>
      </c>
      <c r="BN3377">
        <v>1</v>
      </c>
      <c r="BO3377">
        <v>1</v>
      </c>
      <c r="BP3377">
        <v>1</v>
      </c>
      <c r="BQ3377">
        <v>0</v>
      </c>
      <c r="BT3377">
        <v>0</v>
      </c>
      <c r="BU3377">
        <v>0</v>
      </c>
      <c r="BV3377">
        <v>0</v>
      </c>
      <c r="CC3377" t="str">
        <f>"19:31:13.344"</f>
        <v>19:31:13.344</v>
      </c>
      <c r="CD3377" t="str">
        <f>"344684683"</f>
        <v>344684683</v>
      </c>
      <c r="CQ3377">
        <v>0</v>
      </c>
      <c r="CR3377">
        <v>2</v>
      </c>
      <c r="CS3377">
        <v>0</v>
      </c>
      <c r="CT3377">
        <v>2</v>
      </c>
      <c r="CU3377">
        <v>0</v>
      </c>
      <c r="CV3377">
        <v>6</v>
      </c>
      <c r="CW3377" t="s">
        <v>120</v>
      </c>
      <c r="CX3377">
        <v>257</v>
      </c>
      <c r="CY3377">
        <v>0</v>
      </c>
      <c r="CZ3377" t="s">
        <v>615</v>
      </c>
      <c r="DA3377" t="s">
        <v>616</v>
      </c>
      <c r="DD3377">
        <v>16400667</v>
      </c>
      <c r="DE3377" t="s">
        <v>123</v>
      </c>
    </row>
    <row r="3378" spans="1:109" x14ac:dyDescent="0.3">
      <c r="A3378" t="str">
        <f>"19:31:14.547"</f>
        <v>19:31:14.547</v>
      </c>
      <c r="B3378" t="s">
        <v>110</v>
      </c>
      <c r="C3378" t="str">
        <f t="shared" si="156"/>
        <v>ffdfd3c0</v>
      </c>
      <c r="D3378" t="s">
        <v>111</v>
      </c>
      <c r="E3378">
        <v>18</v>
      </c>
      <c r="F3378">
        <v>1018</v>
      </c>
      <c r="G3378" t="s">
        <v>112</v>
      </c>
      <c r="J3378" t="s">
        <v>113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R3378" t="s">
        <v>114</v>
      </c>
      <c r="S3378" t="str">
        <f>"19:31:14.313"</f>
        <v>19:31:14.313</v>
      </c>
      <c r="T3378" t="str">
        <f>"19:31:14.313"</f>
        <v>19:31:14.313</v>
      </c>
      <c r="U3378" t="str">
        <f t="shared" si="157"/>
        <v>a1cdbe</v>
      </c>
      <c r="V3378">
        <v>0</v>
      </c>
      <c r="W3378">
        <v>0</v>
      </c>
      <c r="X3378">
        <v>2</v>
      </c>
      <c r="Y3378">
        <v>0</v>
      </c>
      <c r="Z3378">
        <v>0</v>
      </c>
      <c r="AB3378">
        <v>0</v>
      </c>
      <c r="AC3378">
        <v>9</v>
      </c>
      <c r="AD3378">
        <v>3</v>
      </c>
      <c r="AE3378">
        <v>0</v>
      </c>
      <c r="AF3378">
        <v>9</v>
      </c>
      <c r="AG3378" t="s">
        <v>158</v>
      </c>
      <c r="AH3378">
        <v>0</v>
      </c>
      <c r="AI3378">
        <v>3</v>
      </c>
      <c r="AJ3378">
        <v>1</v>
      </c>
      <c r="AK3378">
        <v>0</v>
      </c>
      <c r="AL3378" t="s">
        <v>6354</v>
      </c>
      <c r="AM3378">
        <v>47.009188999999999</v>
      </c>
      <c r="AN3378" t="s">
        <v>6355</v>
      </c>
      <c r="AO3378">
        <v>-123.72034499999999</v>
      </c>
      <c r="AP3378">
        <v>100</v>
      </c>
      <c r="AQ3378">
        <v>2100</v>
      </c>
      <c r="AR3378" t="s">
        <v>118</v>
      </c>
      <c r="AS3378">
        <v>-77</v>
      </c>
      <c r="AT3378">
        <v>13</v>
      </c>
      <c r="AU3378">
        <v>-64</v>
      </c>
      <c r="BC3378">
        <v>1200</v>
      </c>
      <c r="BD3378">
        <v>1</v>
      </c>
      <c r="BE3378" t="str">
        <f t="shared" si="158"/>
        <v xml:space="preserve">N215T   </v>
      </c>
      <c r="BF3378">
        <v>1</v>
      </c>
      <c r="BH3378">
        <v>0</v>
      </c>
      <c r="BI3378">
        <v>0</v>
      </c>
      <c r="BJ3378">
        <v>0</v>
      </c>
      <c r="BK3378">
        <v>2425</v>
      </c>
      <c r="BL3378">
        <v>325</v>
      </c>
      <c r="BM3378" t="s">
        <v>119</v>
      </c>
      <c r="BN3378">
        <v>1</v>
      </c>
      <c r="BO3378">
        <v>1</v>
      </c>
      <c r="BP3378">
        <v>1</v>
      </c>
      <c r="BQ3378">
        <v>0</v>
      </c>
      <c r="BT3378">
        <v>0</v>
      </c>
      <c r="BU3378">
        <v>0</v>
      </c>
      <c r="BV3378">
        <v>0</v>
      </c>
      <c r="CC3378" t="str">
        <f>"19:31:14.320"</f>
        <v>19:31:14.320</v>
      </c>
      <c r="CD3378" t="str">
        <f>"319588605"</f>
        <v>319588605</v>
      </c>
      <c r="CQ3378">
        <v>0</v>
      </c>
      <c r="CR3378">
        <v>2</v>
      </c>
      <c r="CS3378">
        <v>0</v>
      </c>
      <c r="CT3378">
        <v>2</v>
      </c>
      <c r="CU3378">
        <v>0</v>
      </c>
      <c r="CV3378">
        <v>6</v>
      </c>
      <c r="CW3378" t="s">
        <v>120</v>
      </c>
      <c r="CX3378">
        <v>257</v>
      </c>
      <c r="CY3378">
        <v>0</v>
      </c>
      <c r="CZ3378" t="s">
        <v>615</v>
      </c>
      <c r="DA3378" t="s">
        <v>616</v>
      </c>
      <c r="DD3378">
        <v>16401116</v>
      </c>
      <c r="DE3378" t="s">
        <v>123</v>
      </c>
    </row>
    <row r="3379" spans="1:109" x14ac:dyDescent="0.3">
      <c r="A3379" t="str">
        <f>"19:31:15.711"</f>
        <v>19:31:15.711</v>
      </c>
      <c r="B3379" t="s">
        <v>110</v>
      </c>
      <c r="C3379" t="str">
        <f t="shared" si="156"/>
        <v>ffdfd3c0</v>
      </c>
      <c r="D3379" t="s">
        <v>111</v>
      </c>
      <c r="E3379">
        <v>18</v>
      </c>
      <c r="F3379">
        <v>1018</v>
      </c>
      <c r="G3379" t="s">
        <v>112</v>
      </c>
      <c r="J3379" t="s">
        <v>113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R3379" t="s">
        <v>114</v>
      </c>
      <c r="S3379" t="str">
        <f>"19:31:15.484"</f>
        <v>19:31:15.484</v>
      </c>
      <c r="T3379" t="str">
        <f>"19:31:15.484"</f>
        <v>19:31:15.484</v>
      </c>
      <c r="U3379" t="str">
        <f t="shared" si="157"/>
        <v>a1cdbe</v>
      </c>
      <c r="V3379">
        <v>0</v>
      </c>
      <c r="W3379">
        <v>0</v>
      </c>
      <c r="X3379">
        <v>2</v>
      </c>
      <c r="Y3379">
        <v>0</v>
      </c>
      <c r="Z3379">
        <v>0</v>
      </c>
      <c r="AB3379">
        <v>0</v>
      </c>
      <c r="AC3379">
        <v>9</v>
      </c>
      <c r="AD3379">
        <v>3</v>
      </c>
      <c r="AE3379">
        <v>0</v>
      </c>
      <c r="AF3379">
        <v>9</v>
      </c>
      <c r="AG3379" t="s">
        <v>158</v>
      </c>
      <c r="AH3379">
        <v>0</v>
      </c>
      <c r="AI3379">
        <v>3</v>
      </c>
      <c r="AJ3379">
        <v>1</v>
      </c>
      <c r="AK3379">
        <v>0</v>
      </c>
      <c r="AL3379" t="s">
        <v>767</v>
      </c>
      <c r="AM3379">
        <v>47.009295999999999</v>
      </c>
      <c r="AN3379" t="s">
        <v>6356</v>
      </c>
      <c r="AO3379">
        <v>-123.720989</v>
      </c>
      <c r="AP3379">
        <v>100</v>
      </c>
      <c r="AQ3379">
        <v>2100</v>
      </c>
      <c r="AR3379" t="s">
        <v>118</v>
      </c>
      <c r="AS3379">
        <v>-78</v>
      </c>
      <c r="AT3379">
        <v>13</v>
      </c>
      <c r="AU3379">
        <v>-64</v>
      </c>
      <c r="BC3379">
        <v>1200</v>
      </c>
      <c r="BD3379">
        <v>1</v>
      </c>
      <c r="BE3379" t="str">
        <f t="shared" si="158"/>
        <v xml:space="preserve">N215T   </v>
      </c>
      <c r="BF3379">
        <v>1</v>
      </c>
      <c r="BH3379">
        <v>0</v>
      </c>
      <c r="BI3379">
        <v>0</v>
      </c>
      <c r="BJ3379">
        <v>0</v>
      </c>
      <c r="BK3379">
        <v>2425</v>
      </c>
      <c r="BL3379">
        <v>325</v>
      </c>
      <c r="BM3379" t="s">
        <v>119</v>
      </c>
      <c r="BN3379">
        <v>1</v>
      </c>
      <c r="BO3379">
        <v>1</v>
      </c>
      <c r="BP3379">
        <v>1</v>
      </c>
      <c r="BQ3379">
        <v>0</v>
      </c>
      <c r="BT3379">
        <v>0</v>
      </c>
      <c r="BU3379">
        <v>0</v>
      </c>
      <c r="BV3379">
        <v>0</v>
      </c>
      <c r="CC3379" t="str">
        <f>"19:31:15.492"</f>
        <v>19:31:15.492</v>
      </c>
      <c r="CD3379" t="str">
        <f>"489473329"</f>
        <v>489473329</v>
      </c>
      <c r="CQ3379">
        <v>0</v>
      </c>
      <c r="CR3379">
        <v>2</v>
      </c>
      <c r="CS3379">
        <v>0</v>
      </c>
      <c r="CT3379">
        <v>2</v>
      </c>
      <c r="CU3379">
        <v>0</v>
      </c>
      <c r="CV3379">
        <v>6</v>
      </c>
      <c r="CW3379" t="s">
        <v>120</v>
      </c>
      <c r="CX3379">
        <v>257</v>
      </c>
      <c r="CY3379">
        <v>0</v>
      </c>
      <c r="CZ3379" t="s">
        <v>615</v>
      </c>
      <c r="DA3379" t="s">
        <v>616</v>
      </c>
      <c r="DD3379">
        <v>16401584</v>
      </c>
      <c r="DE3379" t="s">
        <v>123</v>
      </c>
    </row>
    <row r="3380" spans="1:109" x14ac:dyDescent="0.3">
      <c r="A3380" t="str">
        <f>"19:31:16.609"</f>
        <v>19:31:16.609</v>
      </c>
      <c r="B3380" t="s">
        <v>110</v>
      </c>
      <c r="C3380" t="str">
        <f t="shared" si="156"/>
        <v>ffdfd3c0</v>
      </c>
      <c r="D3380" t="s">
        <v>111</v>
      </c>
      <c r="E3380">
        <v>18</v>
      </c>
      <c r="F3380">
        <v>1018</v>
      </c>
      <c r="G3380" t="s">
        <v>112</v>
      </c>
      <c r="J3380" t="s">
        <v>113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R3380" t="s">
        <v>114</v>
      </c>
      <c r="S3380" t="str">
        <f>"19:31:16.344"</f>
        <v>19:31:16.344</v>
      </c>
      <c r="T3380" t="str">
        <f>"19:31:16.344"</f>
        <v>19:31:16.344</v>
      </c>
      <c r="U3380" t="str">
        <f t="shared" si="157"/>
        <v>a1cdbe</v>
      </c>
      <c r="V3380">
        <v>0</v>
      </c>
      <c r="W3380">
        <v>0</v>
      </c>
      <c r="X3380">
        <v>2</v>
      </c>
      <c r="Y3380">
        <v>0</v>
      </c>
      <c r="Z3380">
        <v>0</v>
      </c>
      <c r="AB3380">
        <v>0</v>
      </c>
      <c r="AC3380">
        <v>9</v>
      </c>
      <c r="AD3380">
        <v>3</v>
      </c>
      <c r="AE3380">
        <v>0</v>
      </c>
      <c r="AF3380">
        <v>9</v>
      </c>
      <c r="AG3380" t="s">
        <v>158</v>
      </c>
      <c r="AH3380">
        <v>0</v>
      </c>
      <c r="AI3380">
        <v>3</v>
      </c>
      <c r="AJ3380">
        <v>1</v>
      </c>
      <c r="AK3380">
        <v>0</v>
      </c>
      <c r="AL3380" t="s">
        <v>6357</v>
      </c>
      <c r="AM3380">
        <v>47.009338999999997</v>
      </c>
      <c r="AN3380" t="s">
        <v>6358</v>
      </c>
      <c r="AO3380">
        <v>-123.721397</v>
      </c>
      <c r="AP3380">
        <v>100</v>
      </c>
      <c r="AQ3380">
        <v>2000</v>
      </c>
      <c r="AR3380" t="s">
        <v>118</v>
      </c>
      <c r="AS3380">
        <v>-78</v>
      </c>
      <c r="AT3380">
        <v>13</v>
      </c>
      <c r="AU3380">
        <v>-64</v>
      </c>
      <c r="BC3380">
        <v>1200</v>
      </c>
      <c r="BD3380">
        <v>1</v>
      </c>
      <c r="BE3380" t="str">
        <f t="shared" si="158"/>
        <v xml:space="preserve">N215T   </v>
      </c>
      <c r="BF3380">
        <v>1</v>
      </c>
      <c r="BH3380">
        <v>0</v>
      </c>
      <c r="BI3380">
        <v>0</v>
      </c>
      <c r="BJ3380">
        <v>0</v>
      </c>
      <c r="BK3380">
        <v>2525</v>
      </c>
      <c r="BL3380">
        <v>525</v>
      </c>
      <c r="BM3380" t="s">
        <v>119</v>
      </c>
      <c r="BN3380">
        <v>1</v>
      </c>
      <c r="BO3380">
        <v>1</v>
      </c>
      <c r="BP3380">
        <v>1</v>
      </c>
      <c r="BQ3380">
        <v>0</v>
      </c>
      <c r="BT3380">
        <v>0</v>
      </c>
      <c r="BU3380">
        <v>0</v>
      </c>
      <c r="BV3380">
        <v>0</v>
      </c>
      <c r="CC3380" t="str">
        <f>"19:31:16.344"</f>
        <v>19:31:16.344</v>
      </c>
      <c r="CD3380" t="str">
        <f>"344389077"</f>
        <v>344389077</v>
      </c>
      <c r="CQ3380">
        <v>0</v>
      </c>
      <c r="CR3380">
        <v>2</v>
      </c>
      <c r="CS3380">
        <v>0</v>
      </c>
      <c r="CT3380">
        <v>2</v>
      </c>
      <c r="CU3380">
        <v>0</v>
      </c>
      <c r="CV3380">
        <v>6</v>
      </c>
      <c r="CW3380" t="s">
        <v>120</v>
      </c>
      <c r="CX3380">
        <v>257</v>
      </c>
      <c r="CY3380">
        <v>0</v>
      </c>
      <c r="CZ3380" t="s">
        <v>615</v>
      </c>
      <c r="DA3380" t="s">
        <v>616</v>
      </c>
      <c r="DD3380">
        <v>16401925</v>
      </c>
      <c r="DE3380" t="s">
        <v>123</v>
      </c>
    </row>
    <row r="3381" spans="1:109" x14ac:dyDescent="0.3">
      <c r="A3381" t="str">
        <f>"19:31:17.469"</f>
        <v>19:31:17.469</v>
      </c>
      <c r="B3381" t="s">
        <v>110</v>
      </c>
      <c r="C3381" t="str">
        <f t="shared" si="156"/>
        <v>ffdfd3c0</v>
      </c>
      <c r="D3381" t="s">
        <v>111</v>
      </c>
      <c r="E3381">
        <v>18</v>
      </c>
      <c r="F3381">
        <v>1018</v>
      </c>
      <c r="G3381" t="s">
        <v>112</v>
      </c>
      <c r="J3381" t="s">
        <v>113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R3381" t="s">
        <v>114</v>
      </c>
      <c r="S3381" t="str">
        <f>"19:31:17.211"</f>
        <v>19:31:17.211</v>
      </c>
      <c r="T3381" t="str">
        <f>"19:31:16.813"</f>
        <v>19:31:16.813</v>
      </c>
      <c r="U3381" t="str">
        <f t="shared" si="157"/>
        <v>a1cdbe</v>
      </c>
      <c r="V3381">
        <v>0</v>
      </c>
      <c r="W3381">
        <v>0</v>
      </c>
      <c r="X3381">
        <v>2</v>
      </c>
      <c r="Y3381">
        <v>0</v>
      </c>
      <c r="Z3381">
        <v>0</v>
      </c>
      <c r="AB3381">
        <v>0</v>
      </c>
      <c r="AC3381">
        <v>9</v>
      </c>
      <c r="AD3381">
        <v>3</v>
      </c>
      <c r="AE3381">
        <v>0</v>
      </c>
      <c r="AF3381">
        <v>9</v>
      </c>
      <c r="AG3381" t="s">
        <v>158</v>
      </c>
      <c r="AH3381">
        <v>0</v>
      </c>
      <c r="AI3381">
        <v>3</v>
      </c>
      <c r="AJ3381">
        <v>1</v>
      </c>
      <c r="AK3381">
        <v>0</v>
      </c>
      <c r="AL3381" t="s">
        <v>6359</v>
      </c>
      <c r="AM3381">
        <v>47.009404000000004</v>
      </c>
      <c r="AN3381" t="s">
        <v>6360</v>
      </c>
      <c r="AO3381">
        <v>-123.72184799999999</v>
      </c>
      <c r="AP3381">
        <v>100</v>
      </c>
      <c r="AQ3381">
        <v>2000</v>
      </c>
      <c r="AR3381" t="s">
        <v>118</v>
      </c>
      <c r="AS3381">
        <v>-78</v>
      </c>
      <c r="AT3381">
        <v>13</v>
      </c>
      <c r="AU3381">
        <v>-64</v>
      </c>
      <c r="BC3381">
        <v>1200</v>
      </c>
      <c r="BD3381">
        <v>1</v>
      </c>
      <c r="BE3381" t="str">
        <f t="shared" si="158"/>
        <v xml:space="preserve">N215T   </v>
      </c>
      <c r="BF3381">
        <v>1</v>
      </c>
      <c r="BH3381">
        <v>0</v>
      </c>
      <c r="BI3381">
        <v>0</v>
      </c>
      <c r="BJ3381">
        <v>0</v>
      </c>
      <c r="BK3381">
        <v>2425</v>
      </c>
      <c r="BL3381">
        <v>425</v>
      </c>
      <c r="BM3381" t="s">
        <v>119</v>
      </c>
      <c r="BN3381">
        <v>1</v>
      </c>
      <c r="BO3381">
        <v>1</v>
      </c>
      <c r="BP3381">
        <v>1</v>
      </c>
      <c r="BQ3381">
        <v>0</v>
      </c>
      <c r="BT3381">
        <v>0</v>
      </c>
      <c r="BU3381">
        <v>0</v>
      </c>
      <c r="BV3381">
        <v>0</v>
      </c>
      <c r="CC3381" t="str">
        <f>"19:31:17.211"</f>
        <v>19:31:17.211</v>
      </c>
      <c r="CD3381" t="str">
        <f>"214303355"</f>
        <v>214303355</v>
      </c>
      <c r="CQ3381">
        <v>0</v>
      </c>
      <c r="CR3381">
        <v>2</v>
      </c>
      <c r="CS3381">
        <v>0</v>
      </c>
      <c r="CT3381">
        <v>2</v>
      </c>
      <c r="CU3381">
        <v>0</v>
      </c>
      <c r="CV3381">
        <v>6</v>
      </c>
      <c r="CW3381" t="s">
        <v>120</v>
      </c>
      <c r="CX3381">
        <v>257</v>
      </c>
      <c r="CY3381">
        <v>0</v>
      </c>
      <c r="CZ3381" t="s">
        <v>615</v>
      </c>
      <c r="DA3381" t="s">
        <v>616</v>
      </c>
      <c r="DD3381">
        <v>16402271</v>
      </c>
      <c r="DE3381" t="s">
        <v>123</v>
      </c>
    </row>
    <row r="3382" spans="1:109" x14ac:dyDescent="0.3">
      <c r="A3382" t="str">
        <f>"19:31:18.523"</f>
        <v>19:31:18.523</v>
      </c>
      <c r="B3382" t="s">
        <v>110</v>
      </c>
      <c r="C3382" t="str">
        <f t="shared" si="156"/>
        <v>ffdfd3c0</v>
      </c>
      <c r="D3382" t="s">
        <v>111</v>
      </c>
      <c r="E3382">
        <v>18</v>
      </c>
      <c r="F3382">
        <v>1018</v>
      </c>
      <c r="G3382" t="s">
        <v>112</v>
      </c>
      <c r="J3382" t="s">
        <v>113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R3382" t="s">
        <v>114</v>
      </c>
      <c r="S3382" t="str">
        <f>"19:31:18.273"</f>
        <v>19:31:18.273</v>
      </c>
      <c r="T3382" t="str">
        <f>"19:31:17.875"</f>
        <v>19:31:17.875</v>
      </c>
      <c r="U3382" t="str">
        <f t="shared" si="157"/>
        <v>a1cdbe</v>
      </c>
      <c r="V3382">
        <v>0</v>
      </c>
      <c r="W3382">
        <v>0</v>
      </c>
      <c r="X3382">
        <v>2</v>
      </c>
      <c r="Y3382">
        <v>0</v>
      </c>
      <c r="Z3382">
        <v>0</v>
      </c>
      <c r="AB3382">
        <v>0</v>
      </c>
      <c r="AC3382">
        <v>9</v>
      </c>
      <c r="AD3382">
        <v>3</v>
      </c>
      <c r="AE3382">
        <v>0</v>
      </c>
      <c r="AF3382">
        <v>9</v>
      </c>
      <c r="AG3382" t="s">
        <v>158</v>
      </c>
      <c r="AH3382">
        <v>0</v>
      </c>
      <c r="AI3382">
        <v>3</v>
      </c>
      <c r="AJ3382">
        <v>1</v>
      </c>
      <c r="AK3382">
        <v>0</v>
      </c>
      <c r="AL3382" t="s">
        <v>6361</v>
      </c>
      <c r="AM3382">
        <v>47.009425</v>
      </c>
      <c r="AN3382" t="s">
        <v>6362</v>
      </c>
      <c r="AO3382">
        <v>-123.72247</v>
      </c>
      <c r="AP3382">
        <v>100</v>
      </c>
      <c r="AQ3382">
        <v>2000</v>
      </c>
      <c r="AR3382" t="s">
        <v>118</v>
      </c>
      <c r="AS3382">
        <v>-78</v>
      </c>
      <c r="AT3382">
        <v>13</v>
      </c>
      <c r="AU3382">
        <v>-64</v>
      </c>
      <c r="BC3382">
        <v>1200</v>
      </c>
      <c r="BD3382">
        <v>1</v>
      </c>
      <c r="BE3382" t="str">
        <f t="shared" si="158"/>
        <v xml:space="preserve">N215T   </v>
      </c>
      <c r="BF3382">
        <v>1</v>
      </c>
      <c r="BH3382">
        <v>0</v>
      </c>
      <c r="BI3382">
        <v>0</v>
      </c>
      <c r="BJ3382">
        <v>0</v>
      </c>
      <c r="BK3382">
        <v>2425</v>
      </c>
      <c r="BL3382">
        <v>425</v>
      </c>
      <c r="BM3382" t="s">
        <v>119</v>
      </c>
      <c r="BN3382">
        <v>1</v>
      </c>
      <c r="BO3382">
        <v>1</v>
      </c>
      <c r="BP3382">
        <v>1</v>
      </c>
      <c r="BQ3382">
        <v>0</v>
      </c>
      <c r="BT3382">
        <v>0</v>
      </c>
      <c r="BU3382">
        <v>0</v>
      </c>
      <c r="BV3382">
        <v>0</v>
      </c>
      <c r="CC3382" t="str">
        <f>"19:31:18.281"</f>
        <v>19:31:18.281</v>
      </c>
      <c r="CD3382" t="str">
        <f>"279198417"</f>
        <v>279198417</v>
      </c>
      <c r="CQ3382">
        <v>0</v>
      </c>
      <c r="CR3382">
        <v>2</v>
      </c>
      <c r="CS3382">
        <v>0</v>
      </c>
      <c r="CT3382">
        <v>2</v>
      </c>
      <c r="CU3382">
        <v>0</v>
      </c>
      <c r="CV3382">
        <v>6</v>
      </c>
      <c r="CW3382" t="s">
        <v>120</v>
      </c>
      <c r="CX3382">
        <v>257</v>
      </c>
      <c r="CY3382">
        <v>0</v>
      </c>
      <c r="CZ3382" t="s">
        <v>615</v>
      </c>
      <c r="DA3382" t="s">
        <v>616</v>
      </c>
      <c r="DD3382">
        <v>16402731</v>
      </c>
      <c r="DE3382" t="s">
        <v>123</v>
      </c>
    </row>
    <row r="3383" spans="1:109" x14ac:dyDescent="0.3">
      <c r="A3383" t="str">
        <f>"19:31:19.531"</f>
        <v>19:31:19.531</v>
      </c>
      <c r="B3383" t="s">
        <v>110</v>
      </c>
      <c r="C3383" t="str">
        <f t="shared" si="156"/>
        <v>ffdfd3c0</v>
      </c>
      <c r="D3383" t="s">
        <v>111</v>
      </c>
      <c r="E3383">
        <v>18</v>
      </c>
      <c r="F3383">
        <v>1018</v>
      </c>
      <c r="G3383" t="s">
        <v>112</v>
      </c>
      <c r="J3383" t="s">
        <v>113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R3383" t="s">
        <v>114</v>
      </c>
      <c r="S3383" t="str">
        <f>"19:31:19.328"</f>
        <v>19:31:19.328</v>
      </c>
      <c r="T3383" t="str">
        <f>"19:31:18.828"</f>
        <v>19:31:18.828</v>
      </c>
      <c r="U3383" t="str">
        <f t="shared" si="157"/>
        <v>a1cdbe</v>
      </c>
      <c r="V3383">
        <v>0</v>
      </c>
      <c r="W3383">
        <v>0</v>
      </c>
      <c r="X3383">
        <v>2</v>
      </c>
      <c r="Y3383">
        <v>0</v>
      </c>
      <c r="Z3383">
        <v>0</v>
      </c>
      <c r="AB3383">
        <v>0</v>
      </c>
      <c r="AC3383">
        <v>9</v>
      </c>
      <c r="AD3383">
        <v>3</v>
      </c>
      <c r="AE3383">
        <v>0</v>
      </c>
      <c r="AF3383">
        <v>9</v>
      </c>
      <c r="AG3383" t="s">
        <v>158</v>
      </c>
      <c r="AH3383">
        <v>0</v>
      </c>
      <c r="AI3383">
        <v>3</v>
      </c>
      <c r="AJ3383">
        <v>1</v>
      </c>
      <c r="AK3383">
        <v>0</v>
      </c>
      <c r="AL3383" t="s">
        <v>6363</v>
      </c>
      <c r="AM3383">
        <v>47.00949</v>
      </c>
      <c r="AN3383" t="s">
        <v>6364</v>
      </c>
      <c r="AO3383">
        <v>-123.723006</v>
      </c>
      <c r="AP3383">
        <v>100</v>
      </c>
      <c r="AQ3383">
        <v>2000</v>
      </c>
      <c r="AR3383" t="s">
        <v>118</v>
      </c>
      <c r="AS3383">
        <v>-78</v>
      </c>
      <c r="AT3383">
        <v>13</v>
      </c>
      <c r="AU3383">
        <v>-64</v>
      </c>
      <c r="BC3383">
        <v>1200</v>
      </c>
      <c r="BD3383">
        <v>1</v>
      </c>
      <c r="BE3383" t="str">
        <f t="shared" si="158"/>
        <v xml:space="preserve">N215T   </v>
      </c>
      <c r="BF3383">
        <v>1</v>
      </c>
      <c r="BH3383">
        <v>0</v>
      </c>
      <c r="BI3383">
        <v>0</v>
      </c>
      <c r="BJ3383">
        <v>0</v>
      </c>
      <c r="BK3383">
        <v>2425</v>
      </c>
      <c r="BL3383">
        <v>425</v>
      </c>
      <c r="BM3383" t="s">
        <v>119</v>
      </c>
      <c r="BN3383">
        <v>1</v>
      </c>
      <c r="BO3383">
        <v>1</v>
      </c>
      <c r="BP3383">
        <v>1</v>
      </c>
      <c r="BQ3383">
        <v>0</v>
      </c>
      <c r="BT3383">
        <v>0</v>
      </c>
      <c r="BU3383">
        <v>0</v>
      </c>
      <c r="BV3383">
        <v>0</v>
      </c>
      <c r="CC3383" t="str">
        <f>"19:31:19.328"</f>
        <v>19:31:19.328</v>
      </c>
      <c r="CD3383" t="str">
        <f>"329094947"</f>
        <v>329094947</v>
      </c>
      <c r="CQ3383">
        <v>0</v>
      </c>
      <c r="CR3383">
        <v>2</v>
      </c>
      <c r="CS3383">
        <v>0</v>
      </c>
      <c r="CT3383">
        <v>2</v>
      </c>
      <c r="CU3383">
        <v>0</v>
      </c>
      <c r="CV3383">
        <v>6</v>
      </c>
      <c r="CW3383" t="s">
        <v>120</v>
      </c>
      <c r="CX3383">
        <v>257</v>
      </c>
      <c r="CY3383">
        <v>0</v>
      </c>
      <c r="CZ3383" t="s">
        <v>615</v>
      </c>
      <c r="DA3383" t="s">
        <v>616</v>
      </c>
      <c r="DD3383">
        <v>16403229</v>
      </c>
      <c r="DE3383" t="s">
        <v>123</v>
      </c>
    </row>
    <row r="3384" spans="1:109" x14ac:dyDescent="0.3">
      <c r="A3384" t="str">
        <f>"19:31:20.586"</f>
        <v>19:31:20.586</v>
      </c>
      <c r="B3384" t="s">
        <v>110</v>
      </c>
      <c r="C3384" t="str">
        <f t="shared" si="156"/>
        <v>ffdfd3c0</v>
      </c>
      <c r="D3384" t="s">
        <v>111</v>
      </c>
      <c r="E3384">
        <v>18</v>
      </c>
      <c r="F3384">
        <v>1018</v>
      </c>
      <c r="G3384" t="s">
        <v>112</v>
      </c>
      <c r="J3384" t="s">
        <v>113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R3384" t="s">
        <v>114</v>
      </c>
      <c r="S3384" t="str">
        <f>"19:31:20.313"</f>
        <v>19:31:20.313</v>
      </c>
      <c r="T3384" t="str">
        <f>"19:31:19.914"</f>
        <v>19:31:19.914</v>
      </c>
      <c r="U3384" t="str">
        <f t="shared" si="157"/>
        <v>a1cdbe</v>
      </c>
      <c r="V3384">
        <v>0</v>
      </c>
      <c r="W3384">
        <v>0</v>
      </c>
      <c r="X3384">
        <v>2</v>
      </c>
      <c r="Y3384">
        <v>0</v>
      </c>
      <c r="Z3384">
        <v>0</v>
      </c>
      <c r="AB3384">
        <v>0</v>
      </c>
      <c r="AC3384">
        <v>9</v>
      </c>
      <c r="AD3384">
        <v>3</v>
      </c>
      <c r="AE3384">
        <v>0</v>
      </c>
      <c r="AF3384">
        <v>9</v>
      </c>
      <c r="AG3384" t="s">
        <v>158</v>
      </c>
      <c r="AH3384">
        <v>0</v>
      </c>
      <c r="AI3384">
        <v>3</v>
      </c>
      <c r="AJ3384">
        <v>1</v>
      </c>
      <c r="AK3384">
        <v>0</v>
      </c>
      <c r="AL3384" t="s">
        <v>6365</v>
      </c>
      <c r="AM3384">
        <v>47.009574999999998</v>
      </c>
      <c r="AN3384" t="s">
        <v>6366</v>
      </c>
      <c r="AO3384">
        <v>-123.72352100000001</v>
      </c>
      <c r="AP3384">
        <v>100</v>
      </c>
      <c r="AQ3384">
        <v>2000</v>
      </c>
      <c r="AR3384" t="s">
        <v>118</v>
      </c>
      <c r="AS3384">
        <v>-78</v>
      </c>
      <c r="AT3384">
        <v>13</v>
      </c>
      <c r="AU3384">
        <v>0</v>
      </c>
      <c r="BC3384">
        <v>1200</v>
      </c>
      <c r="BD3384">
        <v>1</v>
      </c>
      <c r="BE3384" t="str">
        <f t="shared" si="158"/>
        <v xml:space="preserve">N215T   </v>
      </c>
      <c r="BF3384">
        <v>1</v>
      </c>
      <c r="BH3384">
        <v>0</v>
      </c>
      <c r="BI3384">
        <v>0</v>
      </c>
      <c r="BJ3384">
        <v>0</v>
      </c>
      <c r="BK3384">
        <v>2425</v>
      </c>
      <c r="BL3384">
        <v>425</v>
      </c>
      <c r="BM3384" t="s">
        <v>119</v>
      </c>
      <c r="BN3384">
        <v>1</v>
      </c>
      <c r="BO3384">
        <v>1</v>
      </c>
      <c r="BP3384">
        <v>1</v>
      </c>
      <c r="BQ3384">
        <v>0</v>
      </c>
      <c r="BT3384">
        <v>0</v>
      </c>
      <c r="BU3384">
        <v>0</v>
      </c>
      <c r="BV3384">
        <v>0</v>
      </c>
      <c r="CC3384" t="str">
        <f>"19:31:20.320"</f>
        <v>19:31:20.320</v>
      </c>
      <c r="CD3384" t="str">
        <f>"318997411"</f>
        <v>318997411</v>
      </c>
      <c r="CQ3384">
        <v>0</v>
      </c>
      <c r="CR3384">
        <v>2</v>
      </c>
      <c r="CS3384">
        <v>0</v>
      </c>
      <c r="CT3384">
        <v>2</v>
      </c>
      <c r="CU3384">
        <v>0</v>
      </c>
      <c r="CV3384">
        <v>6</v>
      </c>
      <c r="CW3384" t="s">
        <v>120</v>
      </c>
      <c r="CX3384">
        <v>257</v>
      </c>
      <c r="CY3384">
        <v>0</v>
      </c>
      <c r="CZ3384" t="s">
        <v>615</v>
      </c>
      <c r="DA3384" t="s">
        <v>616</v>
      </c>
      <c r="DD3384">
        <v>16403621</v>
      </c>
      <c r="DE3384" t="s">
        <v>123</v>
      </c>
    </row>
    <row r="3385" spans="1:109" x14ac:dyDescent="0.3">
      <c r="A3385" t="str">
        <f>"19:31:21.688"</f>
        <v>19:31:21.688</v>
      </c>
      <c r="B3385" t="s">
        <v>110</v>
      </c>
      <c r="C3385" t="str">
        <f t="shared" si="156"/>
        <v>ffdfd3c0</v>
      </c>
      <c r="D3385" t="s">
        <v>111</v>
      </c>
      <c r="E3385">
        <v>18</v>
      </c>
      <c r="F3385">
        <v>1018</v>
      </c>
      <c r="G3385" t="s">
        <v>112</v>
      </c>
      <c r="J3385" t="s">
        <v>113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R3385" t="s">
        <v>114</v>
      </c>
      <c r="S3385" t="str">
        <f>"19:31:21.469"</f>
        <v>19:31:21.469</v>
      </c>
      <c r="T3385" t="str">
        <f>"19:31:21.367"</f>
        <v>19:31:21.367</v>
      </c>
      <c r="U3385" t="str">
        <f t="shared" si="157"/>
        <v>a1cdbe</v>
      </c>
      <c r="V3385">
        <v>0</v>
      </c>
      <c r="W3385">
        <v>0</v>
      </c>
      <c r="X3385">
        <v>2</v>
      </c>
      <c r="Y3385">
        <v>0</v>
      </c>
      <c r="Z3385">
        <v>0</v>
      </c>
      <c r="AB3385">
        <v>0</v>
      </c>
      <c r="AC3385">
        <v>9</v>
      </c>
      <c r="AD3385">
        <v>3</v>
      </c>
      <c r="AE3385">
        <v>0</v>
      </c>
      <c r="AF3385">
        <v>9</v>
      </c>
      <c r="AG3385" t="s">
        <v>158</v>
      </c>
      <c r="AH3385">
        <v>0</v>
      </c>
      <c r="AI3385">
        <v>3</v>
      </c>
      <c r="AJ3385">
        <v>1</v>
      </c>
      <c r="AK3385">
        <v>0</v>
      </c>
      <c r="AL3385" t="s">
        <v>6367</v>
      </c>
      <c r="AM3385">
        <v>47.009618000000003</v>
      </c>
      <c r="AN3385" t="s">
        <v>6368</v>
      </c>
      <c r="AO3385">
        <v>-123.724079</v>
      </c>
      <c r="AP3385">
        <v>100</v>
      </c>
      <c r="AQ3385">
        <v>2000</v>
      </c>
      <c r="AR3385" t="s">
        <v>118</v>
      </c>
      <c r="AS3385">
        <v>-78</v>
      </c>
      <c r="AT3385">
        <v>13</v>
      </c>
      <c r="AU3385">
        <v>0</v>
      </c>
      <c r="BC3385">
        <v>1200</v>
      </c>
      <c r="BD3385">
        <v>1</v>
      </c>
      <c r="BE3385" t="str">
        <f t="shared" si="158"/>
        <v xml:space="preserve">N215T   </v>
      </c>
      <c r="BF3385">
        <v>1</v>
      </c>
      <c r="BH3385">
        <v>0</v>
      </c>
      <c r="BI3385">
        <v>0</v>
      </c>
      <c r="BJ3385">
        <v>0</v>
      </c>
      <c r="BK3385">
        <v>2425</v>
      </c>
      <c r="BL3385">
        <v>425</v>
      </c>
      <c r="BM3385" t="s">
        <v>119</v>
      </c>
      <c r="BN3385">
        <v>1</v>
      </c>
      <c r="BO3385">
        <v>1</v>
      </c>
      <c r="BP3385">
        <v>1</v>
      </c>
      <c r="BQ3385">
        <v>0</v>
      </c>
      <c r="BT3385">
        <v>0</v>
      </c>
      <c r="BU3385">
        <v>0</v>
      </c>
      <c r="BV3385">
        <v>0</v>
      </c>
      <c r="CC3385" t="str">
        <f>"19:31:21.477"</f>
        <v>19:31:21.477</v>
      </c>
      <c r="CD3385" t="str">
        <f>"473883603"</f>
        <v>473883603</v>
      </c>
      <c r="CQ3385">
        <v>0</v>
      </c>
      <c r="CR3385">
        <v>2</v>
      </c>
      <c r="CS3385">
        <v>0</v>
      </c>
      <c r="CT3385">
        <v>2</v>
      </c>
      <c r="CU3385">
        <v>0</v>
      </c>
      <c r="CV3385">
        <v>6</v>
      </c>
      <c r="CW3385" t="s">
        <v>120</v>
      </c>
      <c r="CX3385">
        <v>257</v>
      </c>
      <c r="CY3385">
        <v>0</v>
      </c>
      <c r="CZ3385" t="s">
        <v>615</v>
      </c>
      <c r="DA3385" t="s">
        <v>616</v>
      </c>
      <c r="DD3385">
        <v>16404096</v>
      </c>
      <c r="DE3385" t="s">
        <v>123</v>
      </c>
    </row>
    <row r="3386" spans="1:109" x14ac:dyDescent="0.3">
      <c r="A3386" t="str">
        <f>"19:31:22.695"</f>
        <v>19:31:22.695</v>
      </c>
      <c r="B3386" t="s">
        <v>110</v>
      </c>
      <c r="C3386" t="str">
        <f t="shared" si="156"/>
        <v>ffdfd3c0</v>
      </c>
      <c r="D3386" t="s">
        <v>111</v>
      </c>
      <c r="E3386">
        <v>18</v>
      </c>
      <c r="F3386">
        <v>1018</v>
      </c>
      <c r="G3386" t="s">
        <v>112</v>
      </c>
      <c r="J3386" t="s">
        <v>113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R3386" t="s">
        <v>114</v>
      </c>
      <c r="S3386" t="str">
        <f>"19:31:22.445"</f>
        <v>19:31:22.445</v>
      </c>
      <c r="T3386" t="str">
        <f>"19:31:21.945"</f>
        <v>19:31:21.945</v>
      </c>
      <c r="U3386" t="str">
        <f t="shared" si="157"/>
        <v>a1cdbe</v>
      </c>
      <c r="V3386">
        <v>0</v>
      </c>
      <c r="W3386">
        <v>0</v>
      </c>
      <c r="X3386">
        <v>2</v>
      </c>
      <c r="Y3386">
        <v>0</v>
      </c>
      <c r="Z3386">
        <v>0</v>
      </c>
      <c r="AB3386">
        <v>0</v>
      </c>
      <c r="AC3386">
        <v>9</v>
      </c>
      <c r="AD3386">
        <v>3</v>
      </c>
      <c r="AE3386">
        <v>0</v>
      </c>
      <c r="AF3386">
        <v>9</v>
      </c>
      <c r="AG3386" t="s">
        <v>158</v>
      </c>
      <c r="AH3386">
        <v>0</v>
      </c>
      <c r="AI3386">
        <v>3</v>
      </c>
      <c r="AJ3386">
        <v>1</v>
      </c>
      <c r="AK3386">
        <v>0</v>
      </c>
      <c r="AL3386" t="s">
        <v>6369</v>
      </c>
      <c r="AM3386">
        <v>47.009726000000001</v>
      </c>
      <c r="AN3386" t="s">
        <v>6370</v>
      </c>
      <c r="AO3386">
        <v>-123.72465800000001</v>
      </c>
      <c r="AP3386">
        <v>100</v>
      </c>
      <c r="AQ3386">
        <v>2000</v>
      </c>
      <c r="AR3386" t="s">
        <v>118</v>
      </c>
      <c r="AS3386">
        <v>-78</v>
      </c>
      <c r="AT3386">
        <v>13</v>
      </c>
      <c r="AU3386">
        <v>0</v>
      </c>
      <c r="BC3386">
        <v>1200</v>
      </c>
      <c r="BD3386">
        <v>1</v>
      </c>
      <c r="BE3386" t="str">
        <f t="shared" si="158"/>
        <v xml:space="preserve">N215T   </v>
      </c>
      <c r="BF3386">
        <v>1</v>
      </c>
      <c r="BH3386">
        <v>0</v>
      </c>
      <c r="BI3386">
        <v>0</v>
      </c>
      <c r="BJ3386">
        <v>0</v>
      </c>
      <c r="BK3386">
        <v>2425</v>
      </c>
      <c r="BL3386">
        <v>425</v>
      </c>
      <c r="BM3386" t="s">
        <v>119</v>
      </c>
      <c r="BN3386">
        <v>1</v>
      </c>
      <c r="BO3386">
        <v>1</v>
      </c>
      <c r="BP3386">
        <v>1</v>
      </c>
      <c r="BQ3386">
        <v>0</v>
      </c>
      <c r="BT3386">
        <v>0</v>
      </c>
      <c r="BU3386">
        <v>0</v>
      </c>
      <c r="BV3386">
        <v>0</v>
      </c>
      <c r="CC3386" t="str">
        <f>"19:31:22.445"</f>
        <v>19:31:22.445</v>
      </c>
      <c r="CD3386" t="str">
        <f>"448787532"</f>
        <v>448787532</v>
      </c>
      <c r="CQ3386">
        <v>0</v>
      </c>
      <c r="CR3386">
        <v>2</v>
      </c>
      <c r="CS3386">
        <v>0</v>
      </c>
      <c r="CT3386">
        <v>2</v>
      </c>
      <c r="CU3386">
        <v>0</v>
      </c>
      <c r="CV3386">
        <v>6</v>
      </c>
      <c r="CW3386" t="s">
        <v>120</v>
      </c>
      <c r="CX3386">
        <v>257</v>
      </c>
      <c r="CY3386">
        <v>0</v>
      </c>
      <c r="CZ3386" t="s">
        <v>615</v>
      </c>
      <c r="DA3386" t="s">
        <v>616</v>
      </c>
      <c r="DD3386">
        <v>16404509</v>
      </c>
      <c r="DE3386" t="s">
        <v>123</v>
      </c>
    </row>
    <row r="3387" spans="1:109" x14ac:dyDescent="0.3">
      <c r="A3387" t="str">
        <f>"19:31:23.648"</f>
        <v>19:31:23.648</v>
      </c>
      <c r="B3387" t="s">
        <v>110</v>
      </c>
      <c r="C3387" t="str">
        <f t="shared" si="156"/>
        <v>ffdfd3c0</v>
      </c>
      <c r="D3387" t="s">
        <v>111</v>
      </c>
      <c r="E3387">
        <v>18</v>
      </c>
      <c r="F3387">
        <v>1018</v>
      </c>
      <c r="G3387" t="s">
        <v>112</v>
      </c>
      <c r="J3387" t="s">
        <v>113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R3387" t="s">
        <v>114</v>
      </c>
      <c r="S3387" t="str">
        <f>"19:31:23.375"</f>
        <v>19:31:23.375</v>
      </c>
      <c r="T3387" t="str">
        <f>"19:31:22.977"</f>
        <v>19:31:22.977</v>
      </c>
      <c r="U3387" t="str">
        <f t="shared" si="157"/>
        <v>a1cdbe</v>
      </c>
      <c r="V3387">
        <v>0</v>
      </c>
      <c r="W3387">
        <v>0</v>
      </c>
      <c r="X3387">
        <v>2</v>
      </c>
      <c r="Y3387">
        <v>0</v>
      </c>
      <c r="Z3387">
        <v>0</v>
      </c>
      <c r="AB3387">
        <v>0</v>
      </c>
      <c r="AC3387">
        <v>9</v>
      </c>
      <c r="AD3387">
        <v>3</v>
      </c>
      <c r="AE3387">
        <v>0</v>
      </c>
      <c r="AF3387">
        <v>9</v>
      </c>
      <c r="AG3387" t="s">
        <v>158</v>
      </c>
      <c r="AH3387">
        <v>0</v>
      </c>
      <c r="AI3387">
        <v>3</v>
      </c>
      <c r="AJ3387">
        <v>1</v>
      </c>
      <c r="AK3387">
        <v>0</v>
      </c>
      <c r="AL3387" t="s">
        <v>6371</v>
      </c>
      <c r="AM3387">
        <v>47.009746999999997</v>
      </c>
      <c r="AN3387" t="s">
        <v>6372</v>
      </c>
      <c r="AO3387">
        <v>-123.725131</v>
      </c>
      <c r="AP3387">
        <v>100</v>
      </c>
      <c r="AQ3387">
        <v>2000</v>
      </c>
      <c r="AR3387" t="s">
        <v>118</v>
      </c>
      <c r="AS3387">
        <v>-79</v>
      </c>
      <c r="AT3387">
        <v>12</v>
      </c>
      <c r="AU3387">
        <v>0</v>
      </c>
      <c r="BC3387">
        <v>1200</v>
      </c>
      <c r="BD3387">
        <v>1</v>
      </c>
      <c r="BE3387" t="str">
        <f t="shared" si="158"/>
        <v xml:space="preserve">N215T   </v>
      </c>
      <c r="BF3387">
        <v>1</v>
      </c>
      <c r="BH3387">
        <v>0</v>
      </c>
      <c r="BI3387">
        <v>0</v>
      </c>
      <c r="BJ3387">
        <v>0</v>
      </c>
      <c r="BK3387">
        <v>2425</v>
      </c>
      <c r="BL3387">
        <v>425</v>
      </c>
      <c r="BM3387" t="s">
        <v>119</v>
      </c>
      <c r="BN3387">
        <v>1</v>
      </c>
      <c r="BO3387">
        <v>1</v>
      </c>
      <c r="BP3387">
        <v>1</v>
      </c>
      <c r="BQ3387">
        <v>0</v>
      </c>
      <c r="BT3387">
        <v>0</v>
      </c>
      <c r="BU3387">
        <v>0</v>
      </c>
      <c r="BV3387">
        <v>0</v>
      </c>
      <c r="CC3387" t="str">
        <f>"19:31:23.375"</f>
        <v>19:31:23.375</v>
      </c>
      <c r="CD3387" t="str">
        <f>"378695902"</f>
        <v>378695902</v>
      </c>
      <c r="CQ3387">
        <v>0</v>
      </c>
      <c r="CR3387">
        <v>2</v>
      </c>
      <c r="CS3387">
        <v>0</v>
      </c>
      <c r="CT3387">
        <v>2</v>
      </c>
      <c r="CU3387">
        <v>0</v>
      </c>
      <c r="CV3387">
        <v>6</v>
      </c>
      <c r="CW3387" t="s">
        <v>120</v>
      </c>
      <c r="CX3387">
        <v>257</v>
      </c>
      <c r="CY3387">
        <v>0</v>
      </c>
      <c r="CZ3387" t="s">
        <v>615</v>
      </c>
      <c r="DA3387" t="s">
        <v>616</v>
      </c>
      <c r="DD3387">
        <v>16404938</v>
      </c>
      <c r="DE3387" t="s">
        <v>123</v>
      </c>
    </row>
    <row r="3388" spans="1:109" x14ac:dyDescent="0.3">
      <c r="A3388" t="str">
        <f>"19:31:24.656"</f>
        <v>19:31:24.656</v>
      </c>
      <c r="B3388" t="s">
        <v>110</v>
      </c>
      <c r="C3388" t="str">
        <f t="shared" si="156"/>
        <v>ffdfd3c0</v>
      </c>
      <c r="D3388" t="s">
        <v>111</v>
      </c>
      <c r="E3388">
        <v>18</v>
      </c>
      <c r="F3388">
        <v>1018</v>
      </c>
      <c r="G3388" t="s">
        <v>112</v>
      </c>
      <c r="J3388" t="s">
        <v>113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R3388" t="s">
        <v>114</v>
      </c>
      <c r="S3388" t="str">
        <f>"19:31:24.438"</f>
        <v>19:31:24.438</v>
      </c>
      <c r="T3388" t="str">
        <f>"19:31:24.039"</f>
        <v>19:31:24.039</v>
      </c>
      <c r="U3388" t="str">
        <f t="shared" si="157"/>
        <v>a1cdbe</v>
      </c>
      <c r="V3388">
        <v>0</v>
      </c>
      <c r="W3388">
        <v>0</v>
      </c>
      <c r="X3388">
        <v>2</v>
      </c>
      <c r="Y3388">
        <v>0</v>
      </c>
      <c r="Z3388">
        <v>0</v>
      </c>
      <c r="AB3388">
        <v>0</v>
      </c>
      <c r="AC3388">
        <v>9</v>
      </c>
      <c r="AD3388">
        <v>3</v>
      </c>
      <c r="AE3388">
        <v>0</v>
      </c>
      <c r="AF3388">
        <v>9</v>
      </c>
      <c r="AG3388" t="s">
        <v>158</v>
      </c>
      <c r="AH3388">
        <v>0</v>
      </c>
      <c r="AI3388">
        <v>3</v>
      </c>
      <c r="AJ3388">
        <v>1</v>
      </c>
      <c r="AK3388">
        <v>0</v>
      </c>
      <c r="AL3388" t="s">
        <v>6373</v>
      </c>
      <c r="AM3388">
        <v>47.009810999999999</v>
      </c>
      <c r="AN3388" t="s">
        <v>6374</v>
      </c>
      <c r="AO3388">
        <v>-123.72568800000001</v>
      </c>
      <c r="AP3388">
        <v>100</v>
      </c>
      <c r="AQ3388">
        <v>2000</v>
      </c>
      <c r="AR3388" t="s">
        <v>118</v>
      </c>
      <c r="AS3388">
        <v>-79</v>
      </c>
      <c r="AT3388">
        <v>12</v>
      </c>
      <c r="AU3388">
        <v>0</v>
      </c>
      <c r="BC3388">
        <v>1200</v>
      </c>
      <c r="BD3388">
        <v>1</v>
      </c>
      <c r="BE3388" t="str">
        <f t="shared" si="158"/>
        <v xml:space="preserve">N215T   </v>
      </c>
      <c r="BF3388">
        <v>1</v>
      </c>
      <c r="BH3388">
        <v>0</v>
      </c>
      <c r="BI3388">
        <v>0</v>
      </c>
      <c r="BJ3388">
        <v>0</v>
      </c>
      <c r="BK3388">
        <v>2425</v>
      </c>
      <c r="BL3388">
        <v>425</v>
      </c>
      <c r="BM3388" t="s">
        <v>119</v>
      </c>
      <c r="BN3388">
        <v>1</v>
      </c>
      <c r="BO3388">
        <v>1</v>
      </c>
      <c r="BP3388">
        <v>1</v>
      </c>
      <c r="BQ3388">
        <v>0</v>
      </c>
      <c r="BT3388">
        <v>0</v>
      </c>
      <c r="BU3388">
        <v>0</v>
      </c>
      <c r="BV3388">
        <v>0</v>
      </c>
      <c r="CC3388" t="str">
        <f>"19:31:24.445"</f>
        <v>19:31:24.445</v>
      </c>
      <c r="CD3388" t="str">
        <f>"443590946"</f>
        <v>443590946</v>
      </c>
      <c r="CQ3388">
        <v>0</v>
      </c>
      <c r="CR3388">
        <v>2</v>
      </c>
      <c r="CS3388">
        <v>0</v>
      </c>
      <c r="CT3388">
        <v>2</v>
      </c>
      <c r="CU3388">
        <v>0</v>
      </c>
      <c r="CV3388">
        <v>6</v>
      </c>
      <c r="CW3388" t="s">
        <v>120</v>
      </c>
      <c r="CX3388">
        <v>257</v>
      </c>
      <c r="CY3388">
        <v>0</v>
      </c>
      <c r="CZ3388" t="s">
        <v>615</v>
      </c>
      <c r="DA3388" t="s">
        <v>616</v>
      </c>
      <c r="DD3388">
        <v>16405429</v>
      </c>
      <c r="DE3388" t="s">
        <v>123</v>
      </c>
    </row>
    <row r="3389" spans="1:109" x14ac:dyDescent="0.3">
      <c r="A3389" t="str">
        <f>"19:31:25.563"</f>
        <v>19:31:25.563</v>
      </c>
      <c r="B3389" t="s">
        <v>110</v>
      </c>
      <c r="C3389" t="str">
        <f t="shared" si="156"/>
        <v>ffdfd3c0</v>
      </c>
      <c r="D3389" t="s">
        <v>111</v>
      </c>
      <c r="E3389">
        <v>18</v>
      </c>
      <c r="F3389">
        <v>1018</v>
      </c>
      <c r="G3389" t="s">
        <v>112</v>
      </c>
      <c r="J3389" t="s">
        <v>113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R3389" t="s">
        <v>114</v>
      </c>
      <c r="S3389" t="str">
        <f>"19:31:25.336"</f>
        <v>19:31:25.336</v>
      </c>
      <c r="T3389" t="str">
        <f>"19:31:25.039"</f>
        <v>19:31:25.039</v>
      </c>
      <c r="U3389" t="str">
        <f t="shared" si="157"/>
        <v>a1cdbe</v>
      </c>
      <c r="V3389">
        <v>0</v>
      </c>
      <c r="W3389">
        <v>0</v>
      </c>
      <c r="X3389">
        <v>2</v>
      </c>
      <c r="Y3389">
        <v>0</v>
      </c>
      <c r="Z3389">
        <v>0</v>
      </c>
      <c r="AB3389">
        <v>0</v>
      </c>
      <c r="AC3389">
        <v>9</v>
      </c>
      <c r="AD3389">
        <v>3</v>
      </c>
      <c r="AE3389">
        <v>0</v>
      </c>
      <c r="AF3389">
        <v>9</v>
      </c>
      <c r="AG3389" t="s">
        <v>158</v>
      </c>
      <c r="AH3389">
        <v>0</v>
      </c>
      <c r="AI3389">
        <v>3</v>
      </c>
      <c r="AJ3389">
        <v>1</v>
      </c>
      <c r="AK3389">
        <v>0</v>
      </c>
      <c r="AL3389" t="s">
        <v>6375</v>
      </c>
      <c r="AM3389">
        <v>47.009853999999997</v>
      </c>
      <c r="AN3389" t="s">
        <v>6376</v>
      </c>
      <c r="AO3389">
        <v>-123.72618199999999</v>
      </c>
      <c r="AP3389">
        <v>100</v>
      </c>
      <c r="AQ3389">
        <v>2000</v>
      </c>
      <c r="AR3389" t="s">
        <v>118</v>
      </c>
      <c r="AS3389">
        <v>-79</v>
      </c>
      <c r="AT3389">
        <v>12</v>
      </c>
      <c r="AU3389">
        <v>0</v>
      </c>
      <c r="BC3389">
        <v>1200</v>
      </c>
      <c r="BD3389">
        <v>1</v>
      </c>
      <c r="BE3389" t="str">
        <f t="shared" si="158"/>
        <v xml:space="preserve">N215T   </v>
      </c>
      <c r="BF3389">
        <v>1</v>
      </c>
      <c r="BH3389">
        <v>0</v>
      </c>
      <c r="BI3389">
        <v>0</v>
      </c>
      <c r="BJ3389">
        <v>0</v>
      </c>
      <c r="BK3389">
        <v>2425</v>
      </c>
      <c r="BL3389">
        <v>425</v>
      </c>
      <c r="BM3389" t="s">
        <v>119</v>
      </c>
      <c r="BN3389">
        <v>1</v>
      </c>
      <c r="BO3389">
        <v>1</v>
      </c>
      <c r="BP3389">
        <v>1</v>
      </c>
      <c r="BQ3389">
        <v>0</v>
      </c>
      <c r="BT3389">
        <v>0</v>
      </c>
      <c r="BU3389">
        <v>0</v>
      </c>
      <c r="BV3389">
        <v>0</v>
      </c>
      <c r="CC3389" t="str">
        <f>"19:31:25.344"</f>
        <v>19:31:25.344</v>
      </c>
      <c r="CD3389" t="str">
        <f>"343502263"</f>
        <v>343502263</v>
      </c>
      <c r="CQ3389">
        <v>0</v>
      </c>
      <c r="CR3389">
        <v>2</v>
      </c>
      <c r="CS3389">
        <v>0</v>
      </c>
      <c r="CT3389">
        <v>2</v>
      </c>
      <c r="CU3389">
        <v>0</v>
      </c>
      <c r="CV3389">
        <v>6</v>
      </c>
      <c r="CW3389" t="s">
        <v>120</v>
      </c>
      <c r="CX3389">
        <v>257</v>
      </c>
      <c r="CY3389">
        <v>0</v>
      </c>
      <c r="CZ3389" t="s">
        <v>615</v>
      </c>
      <c r="DA3389" t="s">
        <v>616</v>
      </c>
      <c r="DD3389">
        <v>16405804</v>
      </c>
      <c r="DE3389" t="s">
        <v>123</v>
      </c>
    </row>
    <row r="3390" spans="1:109" x14ac:dyDescent="0.3">
      <c r="A3390" t="str">
        <f>"19:31:26.617"</f>
        <v>19:31:26.617</v>
      </c>
      <c r="B3390" t="s">
        <v>110</v>
      </c>
      <c r="C3390" t="str">
        <f t="shared" si="156"/>
        <v>ffdfd3c0</v>
      </c>
      <c r="D3390" t="s">
        <v>111</v>
      </c>
      <c r="E3390">
        <v>18</v>
      </c>
      <c r="F3390">
        <v>1018</v>
      </c>
      <c r="G3390" t="s">
        <v>112</v>
      </c>
      <c r="J3390" t="s">
        <v>113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R3390" t="s">
        <v>114</v>
      </c>
      <c r="S3390" t="str">
        <f>"19:31:26.359"</f>
        <v>19:31:26.359</v>
      </c>
      <c r="T3390" t="str">
        <f>"19:31:26.063"</f>
        <v>19:31:26.063</v>
      </c>
      <c r="U3390" t="str">
        <f t="shared" si="157"/>
        <v>a1cdbe</v>
      </c>
      <c r="V3390">
        <v>0</v>
      </c>
      <c r="W3390">
        <v>0</v>
      </c>
      <c r="X3390">
        <v>2</v>
      </c>
      <c r="Y3390">
        <v>0</v>
      </c>
      <c r="Z3390">
        <v>0</v>
      </c>
      <c r="AB3390">
        <v>0</v>
      </c>
      <c r="AC3390">
        <v>9</v>
      </c>
      <c r="AD3390">
        <v>3</v>
      </c>
      <c r="AE3390">
        <v>0</v>
      </c>
      <c r="AF3390">
        <v>9</v>
      </c>
      <c r="AG3390" t="s">
        <v>158</v>
      </c>
      <c r="AH3390">
        <v>0</v>
      </c>
      <c r="AI3390">
        <v>3</v>
      </c>
      <c r="AJ3390">
        <v>1</v>
      </c>
      <c r="AK3390">
        <v>0</v>
      </c>
      <c r="AL3390" t="s">
        <v>6377</v>
      </c>
      <c r="AM3390">
        <v>47.009897000000002</v>
      </c>
      <c r="AN3390" t="s">
        <v>6378</v>
      </c>
      <c r="AO3390">
        <v>-123.72671800000001</v>
      </c>
      <c r="AP3390">
        <v>100</v>
      </c>
      <c r="AQ3390">
        <v>2000</v>
      </c>
      <c r="AR3390" t="s">
        <v>118</v>
      </c>
      <c r="AS3390">
        <v>-79</v>
      </c>
      <c r="AT3390">
        <v>11</v>
      </c>
      <c r="AU3390">
        <v>0</v>
      </c>
      <c r="BC3390">
        <v>1200</v>
      </c>
      <c r="BD3390">
        <v>1</v>
      </c>
      <c r="BE3390" t="str">
        <f t="shared" si="158"/>
        <v xml:space="preserve">N215T   </v>
      </c>
      <c r="BF3390">
        <v>1</v>
      </c>
      <c r="BH3390">
        <v>0</v>
      </c>
      <c r="BI3390">
        <v>0</v>
      </c>
      <c r="BJ3390">
        <v>0</v>
      </c>
      <c r="BK3390">
        <v>2425</v>
      </c>
      <c r="BL3390">
        <v>425</v>
      </c>
      <c r="BM3390" t="s">
        <v>119</v>
      </c>
      <c r="BN3390">
        <v>1</v>
      </c>
      <c r="BO3390">
        <v>1</v>
      </c>
      <c r="BP3390">
        <v>1</v>
      </c>
      <c r="BQ3390">
        <v>0</v>
      </c>
      <c r="BT3390">
        <v>0</v>
      </c>
      <c r="BU3390">
        <v>0</v>
      </c>
      <c r="BV3390">
        <v>0</v>
      </c>
      <c r="CC3390" t="str">
        <f>"19:31:26.367"</f>
        <v>19:31:26.367</v>
      </c>
      <c r="CD3390" t="str">
        <f>"363401769"</f>
        <v>363401769</v>
      </c>
      <c r="CQ3390">
        <v>0</v>
      </c>
      <c r="CR3390">
        <v>2</v>
      </c>
      <c r="CS3390">
        <v>0</v>
      </c>
      <c r="CT3390">
        <v>2</v>
      </c>
      <c r="CU3390">
        <v>0</v>
      </c>
      <c r="CV3390">
        <v>6</v>
      </c>
      <c r="CW3390" t="s">
        <v>120</v>
      </c>
      <c r="CX3390">
        <v>257</v>
      </c>
      <c r="CY3390">
        <v>0</v>
      </c>
      <c r="CZ3390" t="s">
        <v>615</v>
      </c>
      <c r="DA3390" t="s">
        <v>616</v>
      </c>
      <c r="DD3390">
        <v>16406206</v>
      </c>
      <c r="DE3390" t="s">
        <v>123</v>
      </c>
    </row>
    <row r="3391" spans="1:109" x14ac:dyDescent="0.3">
      <c r="A3391" t="str">
        <f>"19:31:27.570"</f>
        <v>19:31:27.570</v>
      </c>
      <c r="B3391" t="s">
        <v>110</v>
      </c>
      <c r="C3391" t="str">
        <f t="shared" si="156"/>
        <v>ffdfd3c0</v>
      </c>
      <c r="D3391" t="s">
        <v>111</v>
      </c>
      <c r="E3391">
        <v>18</v>
      </c>
      <c r="F3391">
        <v>1018</v>
      </c>
      <c r="G3391" t="s">
        <v>112</v>
      </c>
      <c r="J3391" t="s">
        <v>113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R3391" t="s">
        <v>114</v>
      </c>
      <c r="S3391" t="str">
        <f>"19:31:27.367"</f>
        <v>19:31:27.367</v>
      </c>
      <c r="T3391" t="str">
        <f>"19:31:27.164"</f>
        <v>19:31:27.164</v>
      </c>
      <c r="U3391" t="str">
        <f t="shared" si="157"/>
        <v>a1cdbe</v>
      </c>
      <c r="V3391">
        <v>0</v>
      </c>
      <c r="W3391">
        <v>0</v>
      </c>
      <c r="X3391">
        <v>2</v>
      </c>
      <c r="Y3391">
        <v>0</v>
      </c>
      <c r="Z3391">
        <v>0</v>
      </c>
      <c r="AB3391">
        <v>0</v>
      </c>
      <c r="AC3391">
        <v>9</v>
      </c>
      <c r="AD3391">
        <v>3</v>
      </c>
      <c r="AE3391">
        <v>0</v>
      </c>
      <c r="AF3391">
        <v>9</v>
      </c>
      <c r="AG3391" t="s">
        <v>158</v>
      </c>
      <c r="AH3391">
        <v>0</v>
      </c>
      <c r="AI3391">
        <v>3</v>
      </c>
      <c r="AJ3391">
        <v>1</v>
      </c>
      <c r="AK3391">
        <v>0</v>
      </c>
      <c r="AL3391" t="s">
        <v>6379</v>
      </c>
      <c r="AM3391">
        <v>47.009982999999998</v>
      </c>
      <c r="AN3391" t="s">
        <v>6380</v>
      </c>
      <c r="AO3391">
        <v>-123.727255</v>
      </c>
      <c r="AP3391">
        <v>100</v>
      </c>
      <c r="AQ3391">
        <v>2000</v>
      </c>
      <c r="AR3391" t="s">
        <v>118</v>
      </c>
      <c r="AS3391">
        <v>-79</v>
      </c>
      <c r="AT3391">
        <v>11</v>
      </c>
      <c r="AU3391">
        <v>0</v>
      </c>
      <c r="BC3391">
        <v>1200</v>
      </c>
      <c r="BD3391">
        <v>1</v>
      </c>
      <c r="BE3391" t="str">
        <f t="shared" si="158"/>
        <v xml:space="preserve">N215T   </v>
      </c>
      <c r="BF3391">
        <v>1</v>
      </c>
      <c r="BH3391">
        <v>0</v>
      </c>
      <c r="BI3391">
        <v>0</v>
      </c>
      <c r="BJ3391">
        <v>0</v>
      </c>
      <c r="BK3391">
        <v>2425</v>
      </c>
      <c r="BL3391">
        <v>425</v>
      </c>
      <c r="BM3391" t="s">
        <v>119</v>
      </c>
      <c r="BN3391">
        <v>1</v>
      </c>
      <c r="BO3391">
        <v>1</v>
      </c>
      <c r="BP3391">
        <v>1</v>
      </c>
      <c r="BQ3391">
        <v>0</v>
      </c>
      <c r="BT3391">
        <v>0</v>
      </c>
      <c r="BU3391">
        <v>0</v>
      </c>
      <c r="BV3391">
        <v>0</v>
      </c>
      <c r="CC3391" t="str">
        <f>"19:31:27.367"</f>
        <v>19:31:27.367</v>
      </c>
      <c r="CD3391" t="str">
        <f>"368302727"</f>
        <v>368302727</v>
      </c>
      <c r="CQ3391">
        <v>0</v>
      </c>
      <c r="CR3391">
        <v>2</v>
      </c>
      <c r="CS3391">
        <v>0</v>
      </c>
      <c r="CT3391">
        <v>2</v>
      </c>
      <c r="CU3391">
        <v>0</v>
      </c>
      <c r="CV3391">
        <v>6</v>
      </c>
      <c r="CW3391" t="s">
        <v>120</v>
      </c>
      <c r="CX3391">
        <v>257</v>
      </c>
      <c r="CY3391">
        <v>0</v>
      </c>
      <c r="CZ3391" t="s">
        <v>615</v>
      </c>
      <c r="DA3391" t="s">
        <v>616</v>
      </c>
      <c r="DD3391">
        <v>16406668</v>
      </c>
      <c r="DE3391" t="s">
        <v>123</v>
      </c>
    </row>
    <row r="3392" spans="1:109" x14ac:dyDescent="0.3">
      <c r="A3392" t="str">
        <f>"19:31:28.578"</f>
        <v>19:31:28.578</v>
      </c>
      <c r="B3392" t="s">
        <v>110</v>
      </c>
      <c r="C3392" t="str">
        <f t="shared" si="156"/>
        <v>ffdfd3c0</v>
      </c>
      <c r="D3392" t="s">
        <v>111</v>
      </c>
      <c r="E3392">
        <v>18</v>
      </c>
      <c r="F3392">
        <v>1018</v>
      </c>
      <c r="G3392" t="s">
        <v>112</v>
      </c>
      <c r="J3392" t="s">
        <v>113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R3392" t="s">
        <v>114</v>
      </c>
      <c r="S3392" t="str">
        <f>"19:31:28.367"</f>
        <v>19:31:28.367</v>
      </c>
      <c r="T3392" t="str">
        <f>"19:31:27.969"</f>
        <v>19:31:27.969</v>
      </c>
      <c r="U3392" t="str">
        <f t="shared" si="157"/>
        <v>a1cdbe</v>
      </c>
      <c r="V3392">
        <v>0</v>
      </c>
      <c r="W3392">
        <v>0</v>
      </c>
      <c r="X3392">
        <v>2</v>
      </c>
      <c r="Y3392">
        <v>0</v>
      </c>
      <c r="Z3392">
        <v>0</v>
      </c>
      <c r="AB3392">
        <v>0</v>
      </c>
      <c r="AC3392">
        <v>9</v>
      </c>
      <c r="AD3392">
        <v>3</v>
      </c>
      <c r="AE3392">
        <v>0</v>
      </c>
      <c r="AF3392">
        <v>9</v>
      </c>
      <c r="AG3392" t="s">
        <v>158</v>
      </c>
      <c r="AH3392">
        <v>0</v>
      </c>
      <c r="AI3392">
        <v>3</v>
      </c>
      <c r="AJ3392">
        <v>1</v>
      </c>
      <c r="AK3392">
        <v>0</v>
      </c>
      <c r="AL3392" t="s">
        <v>6381</v>
      </c>
      <c r="AM3392">
        <v>47.010005</v>
      </c>
      <c r="AN3392" t="s">
        <v>6382</v>
      </c>
      <c r="AO3392">
        <v>-123.72774800000001</v>
      </c>
      <c r="AP3392">
        <v>100</v>
      </c>
      <c r="AQ3392">
        <v>2000</v>
      </c>
      <c r="AR3392" t="s">
        <v>118</v>
      </c>
      <c r="AS3392">
        <v>-79</v>
      </c>
      <c r="AT3392">
        <v>11</v>
      </c>
      <c r="AU3392">
        <v>0</v>
      </c>
      <c r="BC3392">
        <v>1200</v>
      </c>
      <c r="BD3392">
        <v>1</v>
      </c>
      <c r="BE3392" t="str">
        <f t="shared" si="158"/>
        <v xml:space="preserve">N215T   </v>
      </c>
      <c r="BF3392">
        <v>1</v>
      </c>
      <c r="BH3392">
        <v>0</v>
      </c>
      <c r="BI3392">
        <v>0</v>
      </c>
      <c r="BJ3392">
        <v>0</v>
      </c>
      <c r="BK3392">
        <v>2425</v>
      </c>
      <c r="BL3392">
        <v>425</v>
      </c>
      <c r="BM3392" t="s">
        <v>119</v>
      </c>
      <c r="BN3392">
        <v>1</v>
      </c>
      <c r="BO3392">
        <v>1</v>
      </c>
      <c r="BP3392">
        <v>1</v>
      </c>
      <c r="BQ3392">
        <v>0</v>
      </c>
      <c r="BT3392">
        <v>0</v>
      </c>
      <c r="BU3392">
        <v>0</v>
      </c>
      <c r="BV3392">
        <v>0</v>
      </c>
      <c r="CC3392" t="str">
        <f>"19:31:28.375"</f>
        <v>19:31:28.375</v>
      </c>
      <c r="CD3392" t="str">
        <f>"373203711"</f>
        <v>373203711</v>
      </c>
      <c r="CQ3392">
        <v>0</v>
      </c>
      <c r="CR3392">
        <v>2</v>
      </c>
      <c r="CS3392">
        <v>0</v>
      </c>
      <c r="CT3392">
        <v>2</v>
      </c>
      <c r="CU3392">
        <v>0</v>
      </c>
      <c r="CV3392">
        <v>6</v>
      </c>
      <c r="CW3392" t="s">
        <v>120</v>
      </c>
      <c r="CX3392">
        <v>257</v>
      </c>
      <c r="CY3392">
        <v>0</v>
      </c>
      <c r="CZ3392" t="s">
        <v>615</v>
      </c>
      <c r="DA3392" t="s">
        <v>616</v>
      </c>
      <c r="DD3392">
        <v>16407075</v>
      </c>
      <c r="DE3392" t="s">
        <v>123</v>
      </c>
    </row>
    <row r="3393" spans="1:109" x14ac:dyDescent="0.3">
      <c r="A3393" t="str">
        <f>"19:31:29.734"</f>
        <v>19:31:29.734</v>
      </c>
      <c r="B3393" t="s">
        <v>110</v>
      </c>
      <c r="C3393" t="str">
        <f t="shared" si="156"/>
        <v>ffdfd3c0</v>
      </c>
      <c r="D3393" t="s">
        <v>111</v>
      </c>
      <c r="E3393">
        <v>18</v>
      </c>
      <c r="F3393">
        <v>1018</v>
      </c>
      <c r="G3393" t="s">
        <v>112</v>
      </c>
      <c r="J3393" t="s">
        <v>113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R3393" t="s">
        <v>114</v>
      </c>
      <c r="S3393" t="str">
        <f>"19:31:29.508"</f>
        <v>19:31:29.508</v>
      </c>
      <c r="T3393" t="str">
        <f>"19:31:29.008"</f>
        <v>19:31:29.008</v>
      </c>
      <c r="U3393" t="str">
        <f t="shared" si="157"/>
        <v>a1cdbe</v>
      </c>
      <c r="V3393">
        <v>0</v>
      </c>
      <c r="W3393">
        <v>0</v>
      </c>
      <c r="X3393">
        <v>2</v>
      </c>
      <c r="Y3393">
        <v>0</v>
      </c>
      <c r="Z3393">
        <v>0</v>
      </c>
      <c r="AB3393">
        <v>0</v>
      </c>
      <c r="AC3393">
        <v>9</v>
      </c>
      <c r="AD3393">
        <v>3</v>
      </c>
      <c r="AE3393">
        <v>0</v>
      </c>
      <c r="AF3393">
        <v>9</v>
      </c>
      <c r="AG3393" t="s">
        <v>158</v>
      </c>
      <c r="AH3393">
        <v>0</v>
      </c>
      <c r="AI3393">
        <v>3</v>
      </c>
      <c r="AJ3393">
        <v>1</v>
      </c>
      <c r="AK3393">
        <v>0</v>
      </c>
      <c r="AL3393" t="s">
        <v>6383</v>
      </c>
      <c r="AM3393">
        <v>47.010069000000001</v>
      </c>
      <c r="AN3393" t="s">
        <v>6384</v>
      </c>
      <c r="AO3393">
        <v>-123.728371</v>
      </c>
      <c r="AP3393">
        <v>100</v>
      </c>
      <c r="AQ3393">
        <v>2100</v>
      </c>
      <c r="AR3393" t="s">
        <v>118</v>
      </c>
      <c r="AS3393">
        <v>-79</v>
      </c>
      <c r="AT3393">
        <v>11</v>
      </c>
      <c r="AU3393">
        <v>0</v>
      </c>
      <c r="BC3393">
        <v>1200</v>
      </c>
      <c r="BD3393">
        <v>1</v>
      </c>
      <c r="BE3393" t="str">
        <f t="shared" si="158"/>
        <v xml:space="preserve">N215T   </v>
      </c>
      <c r="BF3393">
        <v>1</v>
      </c>
      <c r="BH3393">
        <v>0</v>
      </c>
      <c r="BI3393">
        <v>0</v>
      </c>
      <c r="BJ3393">
        <v>0</v>
      </c>
      <c r="BK3393">
        <v>2425</v>
      </c>
      <c r="BL3393">
        <v>325</v>
      </c>
      <c r="BM3393" t="s">
        <v>119</v>
      </c>
      <c r="BN3393">
        <v>1</v>
      </c>
      <c r="BO3393">
        <v>1</v>
      </c>
      <c r="BP3393">
        <v>1</v>
      </c>
      <c r="BQ3393">
        <v>0</v>
      </c>
      <c r="BT3393">
        <v>0</v>
      </c>
      <c r="BU3393">
        <v>0</v>
      </c>
      <c r="BV3393">
        <v>0</v>
      </c>
      <c r="CC3393" t="str">
        <f>"19:31:29.516"</f>
        <v>19:31:29.516</v>
      </c>
      <c r="CD3393" t="str">
        <f>"513091380"</f>
        <v>513091380</v>
      </c>
      <c r="CQ3393">
        <v>0</v>
      </c>
      <c r="CR3393">
        <v>2</v>
      </c>
      <c r="CS3393">
        <v>0</v>
      </c>
      <c r="CT3393">
        <v>2</v>
      </c>
      <c r="CU3393">
        <v>0</v>
      </c>
      <c r="CV3393">
        <v>6</v>
      </c>
      <c r="CW3393" t="s">
        <v>120</v>
      </c>
      <c r="CX3393">
        <v>257</v>
      </c>
      <c r="CY3393">
        <v>0</v>
      </c>
      <c r="CZ3393" t="s">
        <v>615</v>
      </c>
      <c r="DA3393" t="s">
        <v>616</v>
      </c>
      <c r="DD3393">
        <v>16407520</v>
      </c>
      <c r="DE3393" t="s">
        <v>123</v>
      </c>
    </row>
    <row r="3394" spans="1:109" x14ac:dyDescent="0.3">
      <c r="A3394" t="str">
        <f>"19:31:30.734"</f>
        <v>19:31:30.734</v>
      </c>
      <c r="B3394" t="s">
        <v>110</v>
      </c>
      <c r="C3394" t="str">
        <f t="shared" ref="C3394:C3457" si="159">"ffdfd3c0"</f>
        <v>ffdfd3c0</v>
      </c>
      <c r="D3394" t="s">
        <v>111</v>
      </c>
      <c r="E3394">
        <v>18</v>
      </c>
      <c r="F3394">
        <v>1018</v>
      </c>
      <c r="G3394" t="s">
        <v>112</v>
      </c>
      <c r="J3394" t="s">
        <v>113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R3394" t="s">
        <v>114</v>
      </c>
      <c r="S3394" t="str">
        <f>"19:31:30.516"</f>
        <v>19:31:30.516</v>
      </c>
      <c r="T3394" t="str">
        <f>"19:31:30.016"</f>
        <v>19:31:30.016</v>
      </c>
      <c r="U3394" t="str">
        <f t="shared" ref="U3394:U3457" si="160">"a1cdbe"</f>
        <v>a1cdbe</v>
      </c>
      <c r="V3394">
        <v>0</v>
      </c>
      <c r="W3394">
        <v>0</v>
      </c>
      <c r="X3394">
        <v>2</v>
      </c>
      <c r="Y3394">
        <v>0</v>
      </c>
      <c r="Z3394">
        <v>0</v>
      </c>
      <c r="AB3394">
        <v>0</v>
      </c>
      <c r="AC3394">
        <v>9</v>
      </c>
      <c r="AD3394">
        <v>3</v>
      </c>
      <c r="AE3394">
        <v>0</v>
      </c>
      <c r="AF3394">
        <v>9</v>
      </c>
      <c r="AG3394" t="s">
        <v>158</v>
      </c>
      <c r="AH3394">
        <v>0</v>
      </c>
      <c r="AI3394">
        <v>3</v>
      </c>
      <c r="AJ3394">
        <v>1</v>
      </c>
      <c r="AK3394">
        <v>0</v>
      </c>
      <c r="AL3394" t="s">
        <v>6385</v>
      </c>
      <c r="AM3394">
        <v>47.010133000000003</v>
      </c>
      <c r="AN3394" t="s">
        <v>6386</v>
      </c>
      <c r="AO3394">
        <v>-123.72892899999999</v>
      </c>
      <c r="AP3394">
        <v>100</v>
      </c>
      <c r="AQ3394">
        <v>2000</v>
      </c>
      <c r="AR3394" t="s">
        <v>118</v>
      </c>
      <c r="AS3394">
        <v>-79</v>
      </c>
      <c r="AT3394">
        <v>11</v>
      </c>
      <c r="AU3394">
        <v>0</v>
      </c>
      <c r="BC3394">
        <v>1200</v>
      </c>
      <c r="BD3394">
        <v>1</v>
      </c>
      <c r="BE3394" t="str">
        <f t="shared" ref="BE3394:BE3457" si="161">"N215T   "</f>
        <v xml:space="preserve">N215T   </v>
      </c>
      <c r="BF3394">
        <v>1</v>
      </c>
      <c r="BH3394">
        <v>0</v>
      </c>
      <c r="BI3394">
        <v>0</v>
      </c>
      <c r="BJ3394">
        <v>0</v>
      </c>
      <c r="BK3394">
        <v>2425</v>
      </c>
      <c r="BL3394">
        <v>425</v>
      </c>
      <c r="BM3394" t="s">
        <v>119</v>
      </c>
      <c r="BN3394">
        <v>1</v>
      </c>
      <c r="BO3394">
        <v>1</v>
      </c>
      <c r="BP3394">
        <v>1</v>
      </c>
      <c r="BQ3394">
        <v>0</v>
      </c>
      <c r="BT3394">
        <v>0</v>
      </c>
      <c r="BU3394">
        <v>0</v>
      </c>
      <c r="BV3394">
        <v>0</v>
      </c>
      <c r="CC3394" t="str">
        <f>"19:31:30.516"</f>
        <v>19:31:30.516</v>
      </c>
      <c r="CD3394" t="str">
        <f>"517992344"</f>
        <v>517992344</v>
      </c>
      <c r="CQ3394">
        <v>0</v>
      </c>
      <c r="CR3394">
        <v>2</v>
      </c>
      <c r="CS3394">
        <v>0</v>
      </c>
      <c r="CT3394">
        <v>2</v>
      </c>
      <c r="CU3394">
        <v>0</v>
      </c>
      <c r="CV3394">
        <v>6</v>
      </c>
      <c r="CW3394" t="s">
        <v>120</v>
      </c>
      <c r="CX3394">
        <v>257</v>
      </c>
      <c r="CY3394">
        <v>0</v>
      </c>
      <c r="CZ3394" t="s">
        <v>615</v>
      </c>
      <c r="DA3394" t="s">
        <v>616</v>
      </c>
      <c r="DD3394">
        <v>16407907</v>
      </c>
      <c r="DE3394" t="s">
        <v>123</v>
      </c>
    </row>
    <row r="3395" spans="1:109" x14ac:dyDescent="0.3">
      <c r="A3395" t="str">
        <f>"19:31:31.742"</f>
        <v>19:31:31.742</v>
      </c>
      <c r="B3395" t="s">
        <v>110</v>
      </c>
      <c r="C3395" t="str">
        <f t="shared" si="159"/>
        <v>ffdfd3c0</v>
      </c>
      <c r="D3395" t="s">
        <v>111</v>
      </c>
      <c r="E3395">
        <v>18</v>
      </c>
      <c r="F3395">
        <v>1018</v>
      </c>
      <c r="G3395" t="s">
        <v>112</v>
      </c>
      <c r="J3395" t="s">
        <v>113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R3395" t="s">
        <v>114</v>
      </c>
      <c r="S3395" t="str">
        <f>"19:31:31.508"</f>
        <v>19:31:31.508</v>
      </c>
      <c r="T3395" t="str">
        <f>"19:31:31.109"</f>
        <v>19:31:31.109</v>
      </c>
      <c r="U3395" t="str">
        <f t="shared" si="160"/>
        <v>a1cdbe</v>
      </c>
      <c r="V3395">
        <v>0</v>
      </c>
      <c r="W3395">
        <v>0</v>
      </c>
      <c r="X3395">
        <v>2</v>
      </c>
      <c r="Y3395">
        <v>0</v>
      </c>
      <c r="Z3395">
        <v>0</v>
      </c>
      <c r="AB3395">
        <v>0</v>
      </c>
      <c r="AC3395">
        <v>9</v>
      </c>
      <c r="AD3395">
        <v>3</v>
      </c>
      <c r="AE3395">
        <v>0</v>
      </c>
      <c r="AF3395">
        <v>9</v>
      </c>
      <c r="AG3395" t="s">
        <v>158</v>
      </c>
      <c r="AH3395">
        <v>0</v>
      </c>
      <c r="AI3395">
        <v>3</v>
      </c>
      <c r="AJ3395">
        <v>1</v>
      </c>
      <c r="AK3395">
        <v>0</v>
      </c>
      <c r="AL3395" t="s">
        <v>6387</v>
      </c>
      <c r="AM3395">
        <v>47.010176000000001</v>
      </c>
      <c r="AN3395" t="s">
        <v>6388</v>
      </c>
      <c r="AO3395">
        <v>-123.729508</v>
      </c>
      <c r="AP3395">
        <v>100</v>
      </c>
      <c r="AQ3395">
        <v>2000</v>
      </c>
      <c r="AR3395" t="s">
        <v>118</v>
      </c>
      <c r="AS3395">
        <v>-79</v>
      </c>
      <c r="AT3395">
        <v>12</v>
      </c>
      <c r="AU3395">
        <v>0</v>
      </c>
      <c r="BC3395">
        <v>1200</v>
      </c>
      <c r="BD3395">
        <v>1</v>
      </c>
      <c r="BE3395" t="str">
        <f t="shared" si="161"/>
        <v xml:space="preserve">N215T   </v>
      </c>
      <c r="BF3395">
        <v>1</v>
      </c>
      <c r="BH3395">
        <v>0</v>
      </c>
      <c r="BI3395">
        <v>0</v>
      </c>
      <c r="BJ3395">
        <v>0</v>
      </c>
      <c r="BK3395">
        <v>2425</v>
      </c>
      <c r="BL3395">
        <v>425</v>
      </c>
      <c r="BM3395" t="s">
        <v>119</v>
      </c>
      <c r="BN3395">
        <v>1</v>
      </c>
      <c r="BO3395">
        <v>1</v>
      </c>
      <c r="BP3395">
        <v>1</v>
      </c>
      <c r="BQ3395">
        <v>0</v>
      </c>
      <c r="BT3395">
        <v>0</v>
      </c>
      <c r="BU3395">
        <v>0</v>
      </c>
      <c r="BV3395">
        <v>0</v>
      </c>
      <c r="CC3395" t="str">
        <f>"19:31:31.508"</f>
        <v>19:31:31.508</v>
      </c>
      <c r="CD3395" t="str">
        <f>"507894795"</f>
        <v>507894795</v>
      </c>
      <c r="CQ3395">
        <v>0</v>
      </c>
      <c r="CR3395">
        <v>2</v>
      </c>
      <c r="CS3395">
        <v>0</v>
      </c>
      <c r="CT3395">
        <v>2</v>
      </c>
      <c r="CU3395">
        <v>0</v>
      </c>
      <c r="CV3395">
        <v>5</v>
      </c>
      <c r="CW3395" t="s">
        <v>120</v>
      </c>
      <c r="CX3395">
        <v>257</v>
      </c>
      <c r="CY3395">
        <v>0</v>
      </c>
      <c r="CZ3395" t="s">
        <v>615</v>
      </c>
      <c r="DA3395" t="s">
        <v>616</v>
      </c>
      <c r="DD3395">
        <v>16408348</v>
      </c>
      <c r="DE3395" t="s">
        <v>123</v>
      </c>
    </row>
    <row r="3396" spans="1:109" x14ac:dyDescent="0.3">
      <c r="A3396" t="str">
        <f>"19:31:32.648"</f>
        <v>19:31:32.648</v>
      </c>
      <c r="B3396" t="s">
        <v>110</v>
      </c>
      <c r="C3396" t="str">
        <f t="shared" si="159"/>
        <v>ffdfd3c0</v>
      </c>
      <c r="D3396" t="s">
        <v>111</v>
      </c>
      <c r="E3396">
        <v>18</v>
      </c>
      <c r="F3396">
        <v>1018</v>
      </c>
      <c r="G3396" t="s">
        <v>112</v>
      </c>
      <c r="J3396" t="s">
        <v>113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R3396" t="s">
        <v>114</v>
      </c>
      <c r="S3396" t="str">
        <f>"19:31:32.422"</f>
        <v>19:31:32.422</v>
      </c>
      <c r="T3396" t="str">
        <f>"19:31:32.125"</f>
        <v>19:31:32.125</v>
      </c>
      <c r="U3396" t="str">
        <f t="shared" si="160"/>
        <v>a1cdbe</v>
      </c>
      <c r="V3396">
        <v>0</v>
      </c>
      <c r="W3396">
        <v>0</v>
      </c>
      <c r="X3396">
        <v>2</v>
      </c>
      <c r="Y3396">
        <v>0</v>
      </c>
      <c r="Z3396">
        <v>0</v>
      </c>
      <c r="AB3396">
        <v>0</v>
      </c>
      <c r="AC3396">
        <v>9</v>
      </c>
      <c r="AD3396">
        <v>3</v>
      </c>
      <c r="AE3396">
        <v>0</v>
      </c>
      <c r="AF3396">
        <v>9</v>
      </c>
      <c r="AG3396" t="s">
        <v>158</v>
      </c>
      <c r="AH3396">
        <v>0</v>
      </c>
      <c r="AI3396">
        <v>3</v>
      </c>
      <c r="AJ3396">
        <v>1</v>
      </c>
      <c r="AK3396">
        <v>0</v>
      </c>
      <c r="AL3396" t="s">
        <v>6389</v>
      </c>
      <c r="AM3396">
        <v>47.010218999999999</v>
      </c>
      <c r="AN3396" t="s">
        <v>6390</v>
      </c>
      <c r="AO3396">
        <v>-123.72995899999999</v>
      </c>
      <c r="AP3396">
        <v>100</v>
      </c>
      <c r="AQ3396">
        <v>2100</v>
      </c>
      <c r="AR3396" t="s">
        <v>118</v>
      </c>
      <c r="AS3396">
        <v>-79</v>
      </c>
      <c r="AT3396">
        <v>12</v>
      </c>
      <c r="AU3396">
        <v>0</v>
      </c>
      <c r="BC3396">
        <v>1200</v>
      </c>
      <c r="BD3396">
        <v>1</v>
      </c>
      <c r="BE3396" t="str">
        <f t="shared" si="161"/>
        <v xml:space="preserve">N215T   </v>
      </c>
      <c r="BF3396">
        <v>1</v>
      </c>
      <c r="BH3396">
        <v>0</v>
      </c>
      <c r="BI3396">
        <v>0</v>
      </c>
      <c r="BJ3396">
        <v>0</v>
      </c>
      <c r="BK3396">
        <v>2425</v>
      </c>
      <c r="BL3396">
        <v>325</v>
      </c>
      <c r="BM3396" t="s">
        <v>119</v>
      </c>
      <c r="BN3396">
        <v>1</v>
      </c>
      <c r="BO3396">
        <v>1</v>
      </c>
      <c r="BP3396">
        <v>1</v>
      </c>
      <c r="BQ3396">
        <v>0</v>
      </c>
      <c r="BT3396">
        <v>0</v>
      </c>
      <c r="BU3396">
        <v>0</v>
      </c>
      <c r="BV3396">
        <v>0</v>
      </c>
      <c r="CC3396" t="str">
        <f>"19:31:32.422"</f>
        <v>19:31:32.422</v>
      </c>
      <c r="CD3396" t="str">
        <f>"422804638"</f>
        <v>422804638</v>
      </c>
      <c r="CQ3396">
        <v>0</v>
      </c>
      <c r="CR3396">
        <v>2</v>
      </c>
      <c r="CS3396">
        <v>0</v>
      </c>
      <c r="CT3396">
        <v>2</v>
      </c>
      <c r="CU3396">
        <v>0</v>
      </c>
      <c r="CV3396">
        <v>6</v>
      </c>
      <c r="CW3396" t="s">
        <v>120</v>
      </c>
      <c r="CX3396">
        <v>257</v>
      </c>
      <c r="CY3396">
        <v>0</v>
      </c>
      <c r="CZ3396" t="s">
        <v>615</v>
      </c>
      <c r="DA3396" t="s">
        <v>616</v>
      </c>
      <c r="DD3396">
        <v>16408743</v>
      </c>
      <c r="DE3396" t="s">
        <v>123</v>
      </c>
    </row>
    <row r="3397" spans="1:109" x14ac:dyDescent="0.3">
      <c r="A3397" t="str">
        <f>"19:31:33.656"</f>
        <v>19:31:33.656</v>
      </c>
      <c r="B3397" t="s">
        <v>110</v>
      </c>
      <c r="C3397" t="str">
        <f t="shared" si="159"/>
        <v>ffdfd3c0</v>
      </c>
      <c r="D3397" t="s">
        <v>111</v>
      </c>
      <c r="E3397">
        <v>18</v>
      </c>
      <c r="F3397">
        <v>1018</v>
      </c>
      <c r="G3397" t="s">
        <v>112</v>
      </c>
      <c r="J3397" t="s">
        <v>113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R3397" t="s">
        <v>114</v>
      </c>
      <c r="S3397" t="str">
        <f>"19:31:33.391"</f>
        <v>19:31:33.391</v>
      </c>
      <c r="T3397" t="str">
        <f>"19:31:33.289"</f>
        <v>19:31:33.289</v>
      </c>
      <c r="U3397" t="str">
        <f t="shared" si="160"/>
        <v>a1cdbe</v>
      </c>
      <c r="V3397">
        <v>0</v>
      </c>
      <c r="W3397">
        <v>0</v>
      </c>
      <c r="X3397">
        <v>2</v>
      </c>
      <c r="Y3397">
        <v>0</v>
      </c>
      <c r="Z3397">
        <v>0</v>
      </c>
      <c r="AB3397">
        <v>0</v>
      </c>
      <c r="AC3397">
        <v>9</v>
      </c>
      <c r="AD3397">
        <v>3</v>
      </c>
      <c r="AE3397">
        <v>0</v>
      </c>
      <c r="AF3397">
        <v>9</v>
      </c>
      <c r="AG3397" t="s">
        <v>158</v>
      </c>
      <c r="AH3397">
        <v>0</v>
      </c>
      <c r="AI3397">
        <v>3</v>
      </c>
      <c r="AJ3397">
        <v>1</v>
      </c>
      <c r="AK3397">
        <v>0</v>
      </c>
      <c r="AL3397" t="s">
        <v>6391</v>
      </c>
      <c r="AM3397">
        <v>47.010261999999997</v>
      </c>
      <c r="AN3397" t="s">
        <v>6392</v>
      </c>
      <c r="AO3397">
        <v>-123.730495</v>
      </c>
      <c r="AP3397">
        <v>100</v>
      </c>
      <c r="AQ3397">
        <v>2000</v>
      </c>
      <c r="AR3397" t="s">
        <v>118</v>
      </c>
      <c r="AS3397">
        <v>-79</v>
      </c>
      <c r="AT3397">
        <v>12</v>
      </c>
      <c r="AU3397">
        <v>0</v>
      </c>
      <c r="BC3397">
        <v>1200</v>
      </c>
      <c r="BD3397">
        <v>1</v>
      </c>
      <c r="BE3397" t="str">
        <f t="shared" si="161"/>
        <v xml:space="preserve">N215T   </v>
      </c>
      <c r="BF3397">
        <v>1</v>
      </c>
      <c r="BH3397">
        <v>0</v>
      </c>
      <c r="BI3397">
        <v>0</v>
      </c>
      <c r="BJ3397">
        <v>0</v>
      </c>
      <c r="BK3397">
        <v>2425</v>
      </c>
      <c r="BL3397">
        <v>425</v>
      </c>
      <c r="BM3397" t="s">
        <v>119</v>
      </c>
      <c r="BN3397">
        <v>1</v>
      </c>
      <c r="BO3397">
        <v>1</v>
      </c>
      <c r="BP3397">
        <v>1</v>
      </c>
      <c r="BQ3397">
        <v>0</v>
      </c>
      <c r="BT3397">
        <v>0</v>
      </c>
      <c r="BU3397">
        <v>0</v>
      </c>
      <c r="BV3397">
        <v>0</v>
      </c>
      <c r="CC3397" t="str">
        <f>"19:31:33.398"</f>
        <v>19:31:33.398</v>
      </c>
      <c r="CD3397" t="str">
        <f>"397708566"</f>
        <v>397708566</v>
      </c>
      <c r="CQ3397">
        <v>0</v>
      </c>
      <c r="CR3397">
        <v>2</v>
      </c>
      <c r="CS3397">
        <v>0</v>
      </c>
      <c r="CT3397">
        <v>2</v>
      </c>
      <c r="CU3397">
        <v>0</v>
      </c>
      <c r="CV3397">
        <v>6</v>
      </c>
      <c r="CW3397" t="s">
        <v>120</v>
      </c>
      <c r="CX3397">
        <v>257</v>
      </c>
      <c r="CY3397">
        <v>0</v>
      </c>
      <c r="CZ3397" t="s">
        <v>615</v>
      </c>
      <c r="DA3397" t="s">
        <v>616</v>
      </c>
      <c r="DD3397">
        <v>16409175</v>
      </c>
      <c r="DE3397" t="s">
        <v>123</v>
      </c>
    </row>
    <row r="3398" spans="1:109" x14ac:dyDescent="0.3">
      <c r="A3398" t="str">
        <f>"19:31:34.555"</f>
        <v>19:31:34.555</v>
      </c>
      <c r="B3398" t="s">
        <v>110</v>
      </c>
      <c r="C3398" t="str">
        <f t="shared" si="159"/>
        <v>ffdfd3c0</v>
      </c>
      <c r="D3398" t="s">
        <v>111</v>
      </c>
      <c r="E3398">
        <v>18</v>
      </c>
      <c r="F3398">
        <v>1018</v>
      </c>
      <c r="G3398" t="s">
        <v>112</v>
      </c>
      <c r="J3398" t="s">
        <v>113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R3398" t="s">
        <v>114</v>
      </c>
      <c r="S3398" t="str">
        <f>"19:31:34.352"</f>
        <v>19:31:34.352</v>
      </c>
      <c r="T3398" t="str">
        <f>"19:31:34.250"</f>
        <v>19:31:34.250</v>
      </c>
      <c r="U3398" t="str">
        <f t="shared" si="160"/>
        <v>a1cdbe</v>
      </c>
      <c r="V3398">
        <v>0</v>
      </c>
      <c r="W3398">
        <v>0</v>
      </c>
      <c r="X3398">
        <v>2</v>
      </c>
      <c r="Y3398">
        <v>0</v>
      </c>
      <c r="Z3398">
        <v>0</v>
      </c>
      <c r="AB3398">
        <v>0</v>
      </c>
      <c r="AC3398">
        <v>9</v>
      </c>
      <c r="AD3398">
        <v>3</v>
      </c>
      <c r="AE3398">
        <v>0</v>
      </c>
      <c r="AF3398">
        <v>9</v>
      </c>
      <c r="AG3398" t="s">
        <v>158</v>
      </c>
      <c r="AH3398">
        <v>0</v>
      </c>
      <c r="AI3398">
        <v>3</v>
      </c>
      <c r="AJ3398">
        <v>1</v>
      </c>
      <c r="AK3398">
        <v>0</v>
      </c>
      <c r="AL3398" t="s">
        <v>6393</v>
      </c>
      <c r="AM3398">
        <v>47.010305000000002</v>
      </c>
      <c r="AN3398" t="s">
        <v>6394</v>
      </c>
      <c r="AO3398">
        <v>-123.73098899999999</v>
      </c>
      <c r="AP3398">
        <v>100</v>
      </c>
      <c r="AQ3398">
        <v>2000</v>
      </c>
      <c r="AR3398" t="s">
        <v>118</v>
      </c>
      <c r="AS3398">
        <v>-79</v>
      </c>
      <c r="AT3398">
        <v>12</v>
      </c>
      <c r="AU3398">
        <v>0</v>
      </c>
      <c r="BC3398">
        <v>1200</v>
      </c>
      <c r="BD3398">
        <v>1</v>
      </c>
      <c r="BE3398" t="str">
        <f t="shared" si="161"/>
        <v xml:space="preserve">N215T   </v>
      </c>
      <c r="BF3398">
        <v>1</v>
      </c>
      <c r="BH3398">
        <v>0</v>
      </c>
      <c r="BI3398">
        <v>0</v>
      </c>
      <c r="BJ3398">
        <v>0</v>
      </c>
      <c r="BK3398">
        <v>2425</v>
      </c>
      <c r="BL3398">
        <v>425</v>
      </c>
      <c r="BM3398" t="s">
        <v>119</v>
      </c>
      <c r="BN3398">
        <v>1</v>
      </c>
      <c r="BO3398">
        <v>1</v>
      </c>
      <c r="BP3398">
        <v>1</v>
      </c>
      <c r="BQ3398">
        <v>0</v>
      </c>
      <c r="BT3398">
        <v>0</v>
      </c>
      <c r="BU3398">
        <v>0</v>
      </c>
      <c r="BV3398">
        <v>0</v>
      </c>
      <c r="CC3398" t="str">
        <f>"19:31:34.359"</f>
        <v>19:31:34.359</v>
      </c>
      <c r="CD3398" t="str">
        <f>"357613971"</f>
        <v>357613971</v>
      </c>
      <c r="CQ3398">
        <v>0</v>
      </c>
      <c r="CR3398">
        <v>2</v>
      </c>
      <c r="CS3398">
        <v>0</v>
      </c>
      <c r="CT3398">
        <v>2</v>
      </c>
      <c r="CU3398">
        <v>0</v>
      </c>
      <c r="CV3398">
        <v>6</v>
      </c>
      <c r="CW3398" t="s">
        <v>120</v>
      </c>
      <c r="CX3398">
        <v>257</v>
      </c>
      <c r="CY3398">
        <v>0</v>
      </c>
      <c r="CZ3398" t="s">
        <v>615</v>
      </c>
      <c r="DA3398" t="s">
        <v>616</v>
      </c>
      <c r="DD3398">
        <v>16409540</v>
      </c>
      <c r="DE3398" t="s">
        <v>123</v>
      </c>
    </row>
    <row r="3399" spans="1:109" x14ac:dyDescent="0.3">
      <c r="A3399" t="str">
        <f>"19:31:35.609"</f>
        <v>19:31:35.609</v>
      </c>
      <c r="B3399" t="s">
        <v>110</v>
      </c>
      <c r="C3399" t="str">
        <f t="shared" si="159"/>
        <v>ffdfd3c0</v>
      </c>
      <c r="D3399" t="s">
        <v>111</v>
      </c>
      <c r="E3399">
        <v>18</v>
      </c>
      <c r="F3399">
        <v>1018</v>
      </c>
      <c r="G3399" t="s">
        <v>112</v>
      </c>
      <c r="J3399" t="s">
        <v>113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R3399" t="s">
        <v>114</v>
      </c>
      <c r="S3399" t="str">
        <f>"19:31:35.391"</f>
        <v>19:31:35.391</v>
      </c>
      <c r="T3399" t="str">
        <f>"19:31:35.188"</f>
        <v>19:31:35.188</v>
      </c>
      <c r="U3399" t="str">
        <f t="shared" si="160"/>
        <v>a1cdbe</v>
      </c>
      <c r="V3399">
        <v>0</v>
      </c>
      <c r="W3399">
        <v>0</v>
      </c>
      <c r="X3399">
        <v>2</v>
      </c>
      <c r="Y3399">
        <v>0</v>
      </c>
      <c r="Z3399">
        <v>0</v>
      </c>
      <c r="AB3399">
        <v>0</v>
      </c>
      <c r="AC3399">
        <v>9</v>
      </c>
      <c r="AD3399">
        <v>3</v>
      </c>
      <c r="AE3399">
        <v>0</v>
      </c>
      <c r="AF3399">
        <v>9</v>
      </c>
      <c r="AG3399" t="s">
        <v>158</v>
      </c>
      <c r="AH3399">
        <v>0</v>
      </c>
      <c r="AI3399">
        <v>3</v>
      </c>
      <c r="AJ3399">
        <v>1</v>
      </c>
      <c r="AK3399">
        <v>0</v>
      </c>
      <c r="AL3399" t="s">
        <v>6395</v>
      </c>
      <c r="AM3399">
        <v>47.010412000000002</v>
      </c>
      <c r="AN3399" t="s">
        <v>6396</v>
      </c>
      <c r="AO3399">
        <v>-123.73154599999999</v>
      </c>
      <c r="AP3399">
        <v>100</v>
      </c>
      <c r="AQ3399">
        <v>2000</v>
      </c>
      <c r="AR3399" t="s">
        <v>118</v>
      </c>
      <c r="AS3399">
        <v>-79</v>
      </c>
      <c r="AT3399">
        <v>12</v>
      </c>
      <c r="AU3399">
        <v>-64</v>
      </c>
      <c r="BC3399">
        <v>1200</v>
      </c>
      <c r="BD3399">
        <v>1</v>
      </c>
      <c r="BE3399" t="str">
        <f t="shared" si="161"/>
        <v xml:space="preserve">N215T   </v>
      </c>
      <c r="BF3399">
        <v>1</v>
      </c>
      <c r="BH3399">
        <v>0</v>
      </c>
      <c r="BI3399">
        <v>0</v>
      </c>
      <c r="BJ3399">
        <v>0</v>
      </c>
      <c r="BK3399">
        <v>2325</v>
      </c>
      <c r="BL3399">
        <v>325</v>
      </c>
      <c r="BM3399" t="s">
        <v>119</v>
      </c>
      <c r="BN3399">
        <v>1</v>
      </c>
      <c r="BO3399">
        <v>1</v>
      </c>
      <c r="BP3399">
        <v>1</v>
      </c>
      <c r="BQ3399">
        <v>0</v>
      </c>
      <c r="BT3399">
        <v>0</v>
      </c>
      <c r="BU3399">
        <v>0</v>
      </c>
      <c r="BV3399">
        <v>0</v>
      </c>
      <c r="CC3399" t="str">
        <f>"19:31:35.391"</f>
        <v>19:31:35.391</v>
      </c>
      <c r="CD3399" t="str">
        <f>"392511983"</f>
        <v>392511983</v>
      </c>
      <c r="CQ3399">
        <v>0</v>
      </c>
      <c r="CR3399">
        <v>2</v>
      </c>
      <c r="CS3399">
        <v>0</v>
      </c>
      <c r="CT3399">
        <v>2</v>
      </c>
      <c r="CU3399">
        <v>0</v>
      </c>
      <c r="CV3399">
        <v>6</v>
      </c>
      <c r="CW3399" t="s">
        <v>120</v>
      </c>
      <c r="CX3399">
        <v>257</v>
      </c>
      <c r="CY3399">
        <v>0</v>
      </c>
      <c r="CZ3399" t="s">
        <v>615</v>
      </c>
      <c r="DA3399" t="s">
        <v>616</v>
      </c>
      <c r="DD3399">
        <v>16409945</v>
      </c>
      <c r="DE3399" t="s">
        <v>123</v>
      </c>
    </row>
    <row r="3400" spans="1:109" x14ac:dyDescent="0.3">
      <c r="A3400" t="str">
        <f>"19:31:36.719"</f>
        <v>19:31:36.719</v>
      </c>
      <c r="B3400" t="s">
        <v>110</v>
      </c>
      <c r="C3400" t="str">
        <f t="shared" si="159"/>
        <v>ffdfd3c0</v>
      </c>
      <c r="D3400" t="s">
        <v>111</v>
      </c>
      <c r="E3400">
        <v>18</v>
      </c>
      <c r="F3400">
        <v>1018</v>
      </c>
      <c r="G3400" t="s">
        <v>112</v>
      </c>
      <c r="J3400" t="s">
        <v>113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R3400" t="s">
        <v>114</v>
      </c>
      <c r="S3400" t="str">
        <f>"19:31:36.500"</f>
        <v>19:31:36.500</v>
      </c>
      <c r="T3400" t="str">
        <f>"19:31:36.000"</f>
        <v>19:31:36.000</v>
      </c>
      <c r="U3400" t="str">
        <f t="shared" si="160"/>
        <v>a1cdbe</v>
      </c>
      <c r="V3400">
        <v>0</v>
      </c>
      <c r="W3400">
        <v>0</v>
      </c>
      <c r="X3400">
        <v>2</v>
      </c>
      <c r="Y3400">
        <v>0</v>
      </c>
      <c r="Z3400">
        <v>0</v>
      </c>
      <c r="AB3400">
        <v>0</v>
      </c>
      <c r="AC3400">
        <v>9</v>
      </c>
      <c r="AD3400">
        <v>3</v>
      </c>
      <c r="AE3400">
        <v>0</v>
      </c>
      <c r="AF3400">
        <v>9</v>
      </c>
      <c r="AG3400" t="s">
        <v>158</v>
      </c>
      <c r="AH3400">
        <v>0</v>
      </c>
      <c r="AI3400">
        <v>3</v>
      </c>
      <c r="AJ3400">
        <v>1</v>
      </c>
      <c r="AK3400">
        <v>0</v>
      </c>
      <c r="AL3400" t="s">
        <v>6397</v>
      </c>
      <c r="AM3400">
        <v>47.010455</v>
      </c>
      <c r="AN3400" t="s">
        <v>6398</v>
      </c>
      <c r="AO3400">
        <v>-123.732147</v>
      </c>
      <c r="AP3400">
        <v>100</v>
      </c>
      <c r="AQ3400">
        <v>2000</v>
      </c>
      <c r="AR3400" t="s">
        <v>118</v>
      </c>
      <c r="AS3400">
        <v>-79</v>
      </c>
      <c r="AT3400">
        <v>12</v>
      </c>
      <c r="AU3400">
        <v>-128</v>
      </c>
      <c r="BC3400">
        <v>1200</v>
      </c>
      <c r="BD3400">
        <v>1</v>
      </c>
      <c r="BE3400" t="str">
        <f t="shared" si="161"/>
        <v xml:space="preserve">N215T   </v>
      </c>
      <c r="BF3400">
        <v>1</v>
      </c>
      <c r="BH3400">
        <v>0</v>
      </c>
      <c r="BI3400">
        <v>0</v>
      </c>
      <c r="BJ3400">
        <v>0</v>
      </c>
      <c r="BK3400">
        <v>2425</v>
      </c>
      <c r="BL3400">
        <v>425</v>
      </c>
      <c r="BM3400" t="s">
        <v>119</v>
      </c>
      <c r="BN3400">
        <v>1</v>
      </c>
      <c r="BO3400">
        <v>1</v>
      </c>
      <c r="BP3400">
        <v>1</v>
      </c>
      <c r="BQ3400">
        <v>0</v>
      </c>
      <c r="BT3400">
        <v>0</v>
      </c>
      <c r="BU3400">
        <v>0</v>
      </c>
      <c r="BV3400">
        <v>0</v>
      </c>
      <c r="CC3400" t="str">
        <f>"19:31:36.500"</f>
        <v>19:31:36.500</v>
      </c>
      <c r="CD3400" t="str">
        <f>"502402615"</f>
        <v>502402615</v>
      </c>
      <c r="CQ3400">
        <v>0</v>
      </c>
      <c r="CR3400">
        <v>2</v>
      </c>
      <c r="CS3400">
        <v>0</v>
      </c>
      <c r="CT3400">
        <v>2</v>
      </c>
      <c r="CU3400">
        <v>0</v>
      </c>
      <c r="CV3400">
        <v>6</v>
      </c>
      <c r="CW3400" t="s">
        <v>120</v>
      </c>
      <c r="CX3400">
        <v>257</v>
      </c>
      <c r="CY3400">
        <v>0</v>
      </c>
      <c r="CZ3400" t="s">
        <v>615</v>
      </c>
      <c r="DA3400" t="s">
        <v>616</v>
      </c>
      <c r="DD3400">
        <v>16410427</v>
      </c>
      <c r="DE3400" t="s">
        <v>123</v>
      </c>
    </row>
    <row r="3401" spans="1:109" x14ac:dyDescent="0.3">
      <c r="A3401" t="str">
        <f>"19:31:37.625"</f>
        <v>19:31:37.625</v>
      </c>
      <c r="B3401" t="s">
        <v>110</v>
      </c>
      <c r="C3401" t="str">
        <f t="shared" si="159"/>
        <v>ffdfd3c0</v>
      </c>
      <c r="D3401" t="s">
        <v>111</v>
      </c>
      <c r="E3401">
        <v>18</v>
      </c>
      <c r="F3401">
        <v>1018</v>
      </c>
      <c r="G3401" t="s">
        <v>112</v>
      </c>
      <c r="J3401" t="s">
        <v>113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R3401" t="s">
        <v>114</v>
      </c>
      <c r="S3401" t="str">
        <f>"19:31:37.398"</f>
        <v>19:31:37.398</v>
      </c>
      <c r="T3401" t="str">
        <f>"19:31:37.102"</f>
        <v>19:31:37.102</v>
      </c>
      <c r="U3401" t="str">
        <f t="shared" si="160"/>
        <v>a1cdbe</v>
      </c>
      <c r="V3401">
        <v>0</v>
      </c>
      <c r="W3401">
        <v>0</v>
      </c>
      <c r="X3401">
        <v>2</v>
      </c>
      <c r="Y3401">
        <v>0</v>
      </c>
      <c r="Z3401">
        <v>0</v>
      </c>
      <c r="AB3401">
        <v>0</v>
      </c>
      <c r="AC3401">
        <v>9</v>
      </c>
      <c r="AD3401">
        <v>3</v>
      </c>
      <c r="AE3401">
        <v>0</v>
      </c>
      <c r="AF3401">
        <v>9</v>
      </c>
      <c r="AG3401" t="s">
        <v>158</v>
      </c>
      <c r="AH3401">
        <v>0</v>
      </c>
      <c r="AI3401">
        <v>3</v>
      </c>
      <c r="AJ3401">
        <v>1</v>
      </c>
      <c r="AK3401">
        <v>0</v>
      </c>
      <c r="AL3401" t="s">
        <v>761</v>
      </c>
      <c r="AM3401">
        <v>47.010497999999998</v>
      </c>
      <c r="AN3401" t="s">
        <v>6399</v>
      </c>
      <c r="AO3401">
        <v>-123.732598</v>
      </c>
      <c r="AP3401">
        <v>100</v>
      </c>
      <c r="AQ3401">
        <v>2000</v>
      </c>
      <c r="AR3401" t="s">
        <v>118</v>
      </c>
      <c r="AS3401">
        <v>-79</v>
      </c>
      <c r="AT3401">
        <v>12</v>
      </c>
      <c r="AU3401">
        <v>-64</v>
      </c>
      <c r="BC3401">
        <v>1200</v>
      </c>
      <c r="BD3401">
        <v>1</v>
      </c>
      <c r="BE3401" t="str">
        <f t="shared" si="161"/>
        <v xml:space="preserve">N215T   </v>
      </c>
      <c r="BF3401">
        <v>1</v>
      </c>
      <c r="BH3401">
        <v>0</v>
      </c>
      <c r="BI3401">
        <v>0</v>
      </c>
      <c r="BJ3401">
        <v>0</v>
      </c>
      <c r="BK3401">
        <v>2425</v>
      </c>
      <c r="BL3401">
        <v>425</v>
      </c>
      <c r="BM3401" t="s">
        <v>119</v>
      </c>
      <c r="BN3401">
        <v>1</v>
      </c>
      <c r="BO3401">
        <v>1</v>
      </c>
      <c r="BP3401">
        <v>1</v>
      </c>
      <c r="BQ3401">
        <v>0</v>
      </c>
      <c r="BT3401">
        <v>0</v>
      </c>
      <c r="BU3401">
        <v>0</v>
      </c>
      <c r="BV3401">
        <v>0</v>
      </c>
      <c r="CC3401" t="str">
        <f>"19:31:37.398"</f>
        <v>19:31:37.398</v>
      </c>
      <c r="CD3401" t="str">
        <f>"402313933"</f>
        <v>402313933</v>
      </c>
      <c r="CQ3401">
        <v>0</v>
      </c>
      <c r="CR3401">
        <v>2</v>
      </c>
      <c r="CS3401">
        <v>0</v>
      </c>
      <c r="CT3401">
        <v>2</v>
      </c>
      <c r="CU3401">
        <v>0</v>
      </c>
      <c r="CV3401">
        <v>6</v>
      </c>
      <c r="CW3401" t="s">
        <v>120</v>
      </c>
      <c r="CX3401">
        <v>257</v>
      </c>
      <c r="CY3401">
        <v>0</v>
      </c>
      <c r="CZ3401" t="s">
        <v>615</v>
      </c>
      <c r="DA3401" t="s">
        <v>616</v>
      </c>
      <c r="DD3401">
        <v>16410822</v>
      </c>
      <c r="DE3401" t="s">
        <v>123</v>
      </c>
    </row>
    <row r="3402" spans="1:109" x14ac:dyDescent="0.3">
      <c r="A3402" t="str">
        <f>"19:31:38.633"</f>
        <v>19:31:38.633</v>
      </c>
      <c r="B3402" t="s">
        <v>110</v>
      </c>
      <c r="C3402" t="str">
        <f t="shared" si="159"/>
        <v>ffdfd3c0</v>
      </c>
      <c r="D3402" t="s">
        <v>111</v>
      </c>
      <c r="E3402">
        <v>18</v>
      </c>
      <c r="F3402">
        <v>1018</v>
      </c>
      <c r="G3402" t="s">
        <v>112</v>
      </c>
      <c r="J3402" t="s">
        <v>113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R3402" t="s">
        <v>114</v>
      </c>
      <c r="S3402" t="str">
        <f>"19:31:38.359"</f>
        <v>19:31:38.359</v>
      </c>
      <c r="T3402" t="str">
        <f>"19:31:38.063"</f>
        <v>19:31:38.063</v>
      </c>
      <c r="U3402" t="str">
        <f t="shared" si="160"/>
        <v>a1cdbe</v>
      </c>
      <c r="V3402">
        <v>0</v>
      </c>
      <c r="W3402">
        <v>0</v>
      </c>
      <c r="X3402">
        <v>2</v>
      </c>
      <c r="Y3402">
        <v>0</v>
      </c>
      <c r="Z3402">
        <v>0</v>
      </c>
      <c r="AB3402">
        <v>0</v>
      </c>
      <c r="AC3402">
        <v>9</v>
      </c>
      <c r="AD3402">
        <v>3</v>
      </c>
      <c r="AE3402">
        <v>0</v>
      </c>
      <c r="AF3402">
        <v>9</v>
      </c>
      <c r="AG3402" t="s">
        <v>158</v>
      </c>
      <c r="AH3402">
        <v>0</v>
      </c>
      <c r="AI3402">
        <v>3</v>
      </c>
      <c r="AJ3402">
        <v>1</v>
      </c>
      <c r="AK3402">
        <v>0</v>
      </c>
      <c r="AL3402" t="s">
        <v>6400</v>
      </c>
      <c r="AM3402">
        <v>47.010541000000003</v>
      </c>
      <c r="AN3402" t="s">
        <v>6401</v>
      </c>
      <c r="AO3402">
        <v>-123.733091</v>
      </c>
      <c r="AP3402">
        <v>100</v>
      </c>
      <c r="AQ3402">
        <v>2000</v>
      </c>
      <c r="AR3402" t="s">
        <v>118</v>
      </c>
      <c r="AS3402">
        <v>-79</v>
      </c>
      <c r="AT3402">
        <v>12</v>
      </c>
      <c r="AU3402">
        <v>-64</v>
      </c>
      <c r="BC3402">
        <v>1200</v>
      </c>
      <c r="BD3402">
        <v>1</v>
      </c>
      <c r="BE3402" t="str">
        <f t="shared" si="161"/>
        <v xml:space="preserve">N215T   </v>
      </c>
      <c r="BF3402">
        <v>1</v>
      </c>
      <c r="BH3402">
        <v>0</v>
      </c>
      <c r="BI3402">
        <v>0</v>
      </c>
      <c r="BJ3402">
        <v>0</v>
      </c>
      <c r="BK3402">
        <v>2425</v>
      </c>
      <c r="BL3402">
        <v>425</v>
      </c>
      <c r="BM3402" t="s">
        <v>119</v>
      </c>
      <c r="BN3402">
        <v>1</v>
      </c>
      <c r="BO3402">
        <v>1</v>
      </c>
      <c r="BP3402">
        <v>1</v>
      </c>
      <c r="BQ3402">
        <v>0</v>
      </c>
      <c r="BT3402">
        <v>0</v>
      </c>
      <c r="BU3402">
        <v>0</v>
      </c>
      <c r="BV3402">
        <v>0</v>
      </c>
      <c r="CC3402" t="str">
        <f>"19:31:38.359"</f>
        <v>19:31:38.359</v>
      </c>
      <c r="CD3402" t="str">
        <f>"362301309"</f>
        <v>362301309</v>
      </c>
      <c r="CQ3402">
        <v>0</v>
      </c>
      <c r="CR3402">
        <v>2</v>
      </c>
      <c r="CS3402">
        <v>0</v>
      </c>
      <c r="CT3402">
        <v>2</v>
      </c>
      <c r="CU3402">
        <v>0</v>
      </c>
      <c r="CV3402">
        <v>5</v>
      </c>
      <c r="CW3402" t="s">
        <v>120</v>
      </c>
      <c r="CX3402">
        <v>261</v>
      </c>
      <c r="CY3402">
        <v>3</v>
      </c>
      <c r="CZ3402" t="s">
        <v>121</v>
      </c>
      <c r="DA3402" t="s">
        <v>122</v>
      </c>
      <c r="DD3402">
        <v>3977338</v>
      </c>
      <c r="DE3402" t="s">
        <v>123</v>
      </c>
    </row>
    <row r="3403" spans="1:109" x14ac:dyDescent="0.3">
      <c r="A3403" t="str">
        <f>"19:31:39.688"</f>
        <v>19:31:39.688</v>
      </c>
      <c r="B3403" t="s">
        <v>110</v>
      </c>
      <c r="C3403" t="str">
        <f t="shared" si="159"/>
        <v>ffdfd3c0</v>
      </c>
      <c r="D3403" t="s">
        <v>111</v>
      </c>
      <c r="E3403">
        <v>18</v>
      </c>
      <c r="F3403">
        <v>1018</v>
      </c>
      <c r="G3403" t="s">
        <v>112</v>
      </c>
      <c r="J3403" t="s">
        <v>113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R3403" t="s">
        <v>114</v>
      </c>
      <c r="S3403" t="str">
        <f>"19:31:39.438"</f>
        <v>19:31:39.438</v>
      </c>
      <c r="T3403" t="str">
        <f>"19:31:39.141"</f>
        <v>19:31:39.141</v>
      </c>
      <c r="U3403" t="str">
        <f t="shared" si="160"/>
        <v>a1cdbe</v>
      </c>
      <c r="V3403">
        <v>0</v>
      </c>
      <c r="W3403">
        <v>0</v>
      </c>
      <c r="X3403">
        <v>2</v>
      </c>
      <c r="Y3403">
        <v>0</v>
      </c>
      <c r="Z3403">
        <v>0</v>
      </c>
      <c r="AB3403">
        <v>0</v>
      </c>
      <c r="AC3403">
        <v>9</v>
      </c>
      <c r="AD3403">
        <v>3</v>
      </c>
      <c r="AE3403">
        <v>0</v>
      </c>
      <c r="AF3403">
        <v>9</v>
      </c>
      <c r="AG3403" t="s">
        <v>158</v>
      </c>
      <c r="AH3403">
        <v>0</v>
      </c>
      <c r="AI3403">
        <v>3</v>
      </c>
      <c r="AJ3403">
        <v>1</v>
      </c>
      <c r="AK3403">
        <v>0</v>
      </c>
      <c r="AL3403" t="s">
        <v>6402</v>
      </c>
      <c r="AM3403">
        <v>47.010648000000003</v>
      </c>
      <c r="AN3403" t="s">
        <v>6403</v>
      </c>
      <c r="AO3403">
        <v>-123.733735</v>
      </c>
      <c r="AP3403">
        <v>100</v>
      </c>
      <c r="AQ3403">
        <v>2000</v>
      </c>
      <c r="AR3403" t="s">
        <v>118</v>
      </c>
      <c r="AS3403">
        <v>-79</v>
      </c>
      <c r="AT3403">
        <v>13</v>
      </c>
      <c r="AU3403">
        <v>-64</v>
      </c>
      <c r="BC3403">
        <v>1200</v>
      </c>
      <c r="BD3403">
        <v>1</v>
      </c>
      <c r="BE3403" t="str">
        <f t="shared" si="161"/>
        <v xml:space="preserve">N215T   </v>
      </c>
      <c r="BF3403">
        <v>1</v>
      </c>
      <c r="BH3403">
        <v>0</v>
      </c>
      <c r="BI3403">
        <v>0</v>
      </c>
      <c r="BJ3403">
        <v>0</v>
      </c>
      <c r="BK3403">
        <v>2425</v>
      </c>
      <c r="BL3403">
        <v>425</v>
      </c>
      <c r="BM3403" t="s">
        <v>119</v>
      </c>
      <c r="BN3403">
        <v>1</v>
      </c>
      <c r="BO3403">
        <v>1</v>
      </c>
      <c r="BP3403">
        <v>1</v>
      </c>
      <c r="BQ3403">
        <v>0</v>
      </c>
      <c r="BT3403">
        <v>0</v>
      </c>
      <c r="BU3403">
        <v>0</v>
      </c>
      <c r="BV3403">
        <v>0</v>
      </c>
      <c r="CC3403" t="str">
        <f>"19:31:39.445"</f>
        <v>19:31:39.445</v>
      </c>
      <c r="CD3403" t="str">
        <f>"442195010"</f>
        <v>442195010</v>
      </c>
      <c r="CQ3403">
        <v>0</v>
      </c>
      <c r="CR3403">
        <v>2</v>
      </c>
      <c r="CS3403">
        <v>0</v>
      </c>
      <c r="CT3403">
        <v>2</v>
      </c>
      <c r="CU3403">
        <v>0</v>
      </c>
      <c r="CV3403">
        <v>5</v>
      </c>
      <c r="CW3403" t="s">
        <v>120</v>
      </c>
      <c r="CX3403">
        <v>261</v>
      </c>
      <c r="CY3403">
        <v>3</v>
      </c>
      <c r="CZ3403" t="s">
        <v>121</v>
      </c>
      <c r="DA3403" t="s">
        <v>122</v>
      </c>
      <c r="DD3403">
        <v>3977538</v>
      </c>
      <c r="DE3403" t="s">
        <v>123</v>
      </c>
    </row>
    <row r="3404" spans="1:109" x14ac:dyDescent="0.3">
      <c r="A3404" t="str">
        <f>"19:31:40.695"</f>
        <v>19:31:40.695</v>
      </c>
      <c r="B3404" t="s">
        <v>110</v>
      </c>
      <c r="C3404" t="str">
        <f t="shared" si="159"/>
        <v>ffdfd3c0</v>
      </c>
      <c r="D3404" t="s">
        <v>111</v>
      </c>
      <c r="E3404">
        <v>18</v>
      </c>
      <c r="F3404">
        <v>1018</v>
      </c>
      <c r="G3404" t="s">
        <v>112</v>
      </c>
      <c r="J3404" t="s">
        <v>113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R3404" t="s">
        <v>114</v>
      </c>
      <c r="S3404" t="str">
        <f>"19:31:40.430"</f>
        <v>19:31:40.430</v>
      </c>
      <c r="T3404" t="str">
        <f>"19:31:39.930"</f>
        <v>19:31:39.930</v>
      </c>
      <c r="U3404" t="str">
        <f t="shared" si="160"/>
        <v>a1cdbe</v>
      </c>
      <c r="V3404">
        <v>0</v>
      </c>
      <c r="W3404">
        <v>0</v>
      </c>
      <c r="X3404">
        <v>2</v>
      </c>
      <c r="Y3404">
        <v>0</v>
      </c>
      <c r="Z3404">
        <v>0</v>
      </c>
      <c r="AB3404">
        <v>0</v>
      </c>
      <c r="AC3404">
        <v>9</v>
      </c>
      <c r="AD3404">
        <v>3</v>
      </c>
      <c r="AE3404">
        <v>0</v>
      </c>
      <c r="AF3404">
        <v>9</v>
      </c>
      <c r="AG3404" t="s">
        <v>158</v>
      </c>
      <c r="AH3404">
        <v>0</v>
      </c>
      <c r="AI3404">
        <v>3</v>
      </c>
      <c r="AJ3404">
        <v>1</v>
      </c>
      <c r="AK3404">
        <v>0</v>
      </c>
      <c r="AL3404" t="s">
        <v>6404</v>
      </c>
      <c r="AM3404">
        <v>47.010691000000001</v>
      </c>
      <c r="AN3404" t="s">
        <v>6405</v>
      </c>
      <c r="AO3404">
        <v>-123.734207</v>
      </c>
      <c r="AP3404">
        <v>100</v>
      </c>
      <c r="AQ3404">
        <v>2000</v>
      </c>
      <c r="AR3404" t="s">
        <v>118</v>
      </c>
      <c r="AS3404">
        <v>-79</v>
      </c>
      <c r="AT3404">
        <v>13</v>
      </c>
      <c r="AU3404">
        <v>-64</v>
      </c>
      <c r="BC3404">
        <v>1200</v>
      </c>
      <c r="BD3404">
        <v>1</v>
      </c>
      <c r="BE3404" t="str">
        <f t="shared" si="161"/>
        <v xml:space="preserve">N215T   </v>
      </c>
      <c r="BF3404">
        <v>1</v>
      </c>
      <c r="BH3404">
        <v>0</v>
      </c>
      <c r="BI3404">
        <v>0</v>
      </c>
      <c r="BJ3404">
        <v>0</v>
      </c>
      <c r="BK3404">
        <v>2425</v>
      </c>
      <c r="BL3404">
        <v>425</v>
      </c>
      <c r="BM3404" t="s">
        <v>119</v>
      </c>
      <c r="BN3404">
        <v>1</v>
      </c>
      <c r="BO3404">
        <v>1</v>
      </c>
      <c r="BP3404">
        <v>1</v>
      </c>
      <c r="BQ3404">
        <v>0</v>
      </c>
      <c r="BT3404">
        <v>0</v>
      </c>
      <c r="BU3404">
        <v>0</v>
      </c>
      <c r="BV3404">
        <v>0</v>
      </c>
      <c r="CC3404" t="str">
        <f>"19:31:40.430"</f>
        <v>19:31:40.430</v>
      </c>
      <c r="CD3404" t="str">
        <f>"432015385"</f>
        <v>432015385</v>
      </c>
      <c r="CQ3404">
        <v>0</v>
      </c>
      <c r="CR3404">
        <v>2</v>
      </c>
      <c r="CS3404">
        <v>0</v>
      </c>
      <c r="CT3404">
        <v>2</v>
      </c>
      <c r="CU3404">
        <v>0</v>
      </c>
      <c r="CV3404">
        <v>6</v>
      </c>
      <c r="CW3404" t="s">
        <v>120</v>
      </c>
      <c r="CX3404">
        <v>257</v>
      </c>
      <c r="CY3404">
        <v>0</v>
      </c>
      <c r="CZ3404" t="s">
        <v>615</v>
      </c>
      <c r="DA3404" t="s">
        <v>616</v>
      </c>
      <c r="DD3404">
        <v>16411965</v>
      </c>
      <c r="DE3404" t="s">
        <v>123</v>
      </c>
    </row>
    <row r="3405" spans="1:109" x14ac:dyDescent="0.3">
      <c r="A3405" t="str">
        <f>"19:31:41.648"</f>
        <v>19:31:41.648</v>
      </c>
      <c r="B3405" t="s">
        <v>110</v>
      </c>
      <c r="C3405" t="str">
        <f t="shared" si="159"/>
        <v>ffdfd3c0</v>
      </c>
      <c r="D3405" t="s">
        <v>111</v>
      </c>
      <c r="E3405">
        <v>18</v>
      </c>
      <c r="F3405">
        <v>1018</v>
      </c>
      <c r="G3405" t="s">
        <v>112</v>
      </c>
      <c r="J3405" t="s">
        <v>113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R3405" t="s">
        <v>114</v>
      </c>
      <c r="S3405" t="str">
        <f>"19:31:41.430"</f>
        <v>19:31:41.430</v>
      </c>
      <c r="T3405" t="str">
        <f>"19:31:41.133"</f>
        <v>19:31:41.133</v>
      </c>
      <c r="U3405" t="str">
        <f t="shared" si="160"/>
        <v>a1cdbe</v>
      </c>
      <c r="V3405">
        <v>0</v>
      </c>
      <c r="W3405">
        <v>0</v>
      </c>
      <c r="X3405">
        <v>2</v>
      </c>
      <c r="Y3405">
        <v>0</v>
      </c>
      <c r="Z3405">
        <v>0</v>
      </c>
      <c r="AB3405">
        <v>0</v>
      </c>
      <c r="AC3405">
        <v>9</v>
      </c>
      <c r="AD3405">
        <v>3</v>
      </c>
      <c r="AE3405">
        <v>0</v>
      </c>
      <c r="AF3405">
        <v>9</v>
      </c>
      <c r="AG3405" t="s">
        <v>158</v>
      </c>
      <c r="AH3405">
        <v>0</v>
      </c>
      <c r="AI3405">
        <v>3</v>
      </c>
      <c r="AJ3405">
        <v>1</v>
      </c>
      <c r="AK3405">
        <v>0</v>
      </c>
      <c r="AL3405" t="s">
        <v>6406</v>
      </c>
      <c r="AM3405">
        <v>47.010733999999999</v>
      </c>
      <c r="AN3405" t="s">
        <v>6407</v>
      </c>
      <c r="AO3405">
        <v>-123.734787</v>
      </c>
      <c r="AP3405">
        <v>100</v>
      </c>
      <c r="AQ3405">
        <v>2000</v>
      </c>
      <c r="AR3405" t="s">
        <v>118</v>
      </c>
      <c r="AS3405">
        <v>-79</v>
      </c>
      <c r="AT3405">
        <v>13</v>
      </c>
      <c r="AU3405">
        <v>-128</v>
      </c>
      <c r="BC3405">
        <v>1200</v>
      </c>
      <c r="BD3405">
        <v>1</v>
      </c>
      <c r="BE3405" t="str">
        <f t="shared" si="161"/>
        <v xml:space="preserve">N215T   </v>
      </c>
      <c r="BF3405">
        <v>1</v>
      </c>
      <c r="BH3405">
        <v>0</v>
      </c>
      <c r="BI3405">
        <v>0</v>
      </c>
      <c r="BJ3405">
        <v>0</v>
      </c>
      <c r="BK3405">
        <v>2425</v>
      </c>
      <c r="BL3405">
        <v>425</v>
      </c>
      <c r="BM3405" t="s">
        <v>119</v>
      </c>
      <c r="BN3405">
        <v>1</v>
      </c>
      <c r="BO3405">
        <v>1</v>
      </c>
      <c r="BP3405">
        <v>1</v>
      </c>
      <c r="BQ3405">
        <v>0</v>
      </c>
      <c r="BT3405">
        <v>0</v>
      </c>
      <c r="BU3405">
        <v>0</v>
      </c>
      <c r="BV3405">
        <v>0</v>
      </c>
      <c r="CC3405" t="str">
        <f>"19:31:41.438"</f>
        <v>19:31:41.438</v>
      </c>
      <c r="CD3405" t="str">
        <f>"436916355"</f>
        <v>436916355</v>
      </c>
      <c r="CQ3405">
        <v>0</v>
      </c>
      <c r="CR3405">
        <v>2</v>
      </c>
      <c r="CS3405">
        <v>0</v>
      </c>
      <c r="CT3405">
        <v>2</v>
      </c>
      <c r="CU3405">
        <v>0</v>
      </c>
      <c r="CV3405">
        <v>6</v>
      </c>
      <c r="CW3405" t="s">
        <v>120</v>
      </c>
      <c r="CX3405">
        <v>257</v>
      </c>
      <c r="CY3405">
        <v>0</v>
      </c>
      <c r="CZ3405" t="s">
        <v>615</v>
      </c>
      <c r="DA3405" t="s">
        <v>616</v>
      </c>
      <c r="DD3405">
        <v>16412431</v>
      </c>
      <c r="DE3405" t="s">
        <v>123</v>
      </c>
    </row>
    <row r="3406" spans="1:109" x14ac:dyDescent="0.3">
      <c r="A3406" t="str">
        <f>"19:31:42.852"</f>
        <v>19:31:42.852</v>
      </c>
      <c r="B3406" t="s">
        <v>110</v>
      </c>
      <c r="C3406" t="str">
        <f t="shared" si="159"/>
        <v>ffdfd3c0</v>
      </c>
      <c r="D3406" t="s">
        <v>111</v>
      </c>
      <c r="E3406">
        <v>18</v>
      </c>
      <c r="F3406">
        <v>1018</v>
      </c>
      <c r="G3406" t="s">
        <v>112</v>
      </c>
      <c r="J3406" t="s">
        <v>113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R3406" t="s">
        <v>114</v>
      </c>
      <c r="S3406" t="str">
        <f>"19:31:42.617"</f>
        <v>19:31:42.617</v>
      </c>
      <c r="T3406" t="str">
        <f>"19:31:42.617"</f>
        <v>19:31:42.617</v>
      </c>
      <c r="U3406" t="str">
        <f t="shared" si="160"/>
        <v>a1cdbe</v>
      </c>
      <c r="V3406">
        <v>0</v>
      </c>
      <c r="W3406">
        <v>0</v>
      </c>
      <c r="X3406">
        <v>2</v>
      </c>
      <c r="Y3406">
        <v>0</v>
      </c>
      <c r="Z3406">
        <v>0</v>
      </c>
      <c r="AB3406">
        <v>0</v>
      </c>
      <c r="AC3406">
        <v>9</v>
      </c>
      <c r="AD3406">
        <v>3</v>
      </c>
      <c r="AE3406">
        <v>0</v>
      </c>
      <c r="AF3406">
        <v>9</v>
      </c>
      <c r="AG3406" t="s">
        <v>158</v>
      </c>
      <c r="AH3406">
        <v>0</v>
      </c>
      <c r="AI3406">
        <v>3</v>
      </c>
      <c r="AJ3406">
        <v>1</v>
      </c>
      <c r="AK3406">
        <v>0</v>
      </c>
      <c r="AL3406" t="s">
        <v>6408</v>
      </c>
      <c r="AM3406">
        <v>47.010820000000002</v>
      </c>
      <c r="AN3406" t="s">
        <v>6409</v>
      </c>
      <c r="AO3406">
        <v>-123.73542999999999</v>
      </c>
      <c r="AP3406">
        <v>100</v>
      </c>
      <c r="AQ3406">
        <v>2000</v>
      </c>
      <c r="AR3406" t="s">
        <v>118</v>
      </c>
      <c r="AS3406">
        <v>-79</v>
      </c>
      <c r="AT3406">
        <v>13</v>
      </c>
      <c r="AU3406">
        <v>-128</v>
      </c>
      <c r="BC3406">
        <v>1200</v>
      </c>
      <c r="BD3406">
        <v>1</v>
      </c>
      <c r="BE3406" t="str">
        <f t="shared" si="161"/>
        <v xml:space="preserve">N215T   </v>
      </c>
      <c r="BF3406">
        <v>1</v>
      </c>
      <c r="BH3406">
        <v>0</v>
      </c>
      <c r="BI3406">
        <v>0</v>
      </c>
      <c r="BJ3406">
        <v>0</v>
      </c>
      <c r="BK3406">
        <v>2425</v>
      </c>
      <c r="BL3406">
        <v>425</v>
      </c>
      <c r="BM3406" t="s">
        <v>119</v>
      </c>
      <c r="BN3406">
        <v>1</v>
      </c>
      <c r="BO3406">
        <v>1</v>
      </c>
      <c r="BP3406">
        <v>1</v>
      </c>
      <c r="BQ3406">
        <v>0</v>
      </c>
      <c r="BT3406">
        <v>0</v>
      </c>
      <c r="BU3406">
        <v>0</v>
      </c>
      <c r="BV3406">
        <v>0</v>
      </c>
      <c r="CC3406" t="str">
        <f>"19:31:42.625"</f>
        <v>19:31:42.625</v>
      </c>
      <c r="CD3406" t="str">
        <f>"621799589"</f>
        <v>621799589</v>
      </c>
      <c r="CQ3406">
        <v>0</v>
      </c>
      <c r="CR3406">
        <v>2</v>
      </c>
      <c r="CS3406">
        <v>0</v>
      </c>
      <c r="CT3406">
        <v>2</v>
      </c>
      <c r="CU3406">
        <v>0</v>
      </c>
      <c r="CV3406">
        <v>6</v>
      </c>
      <c r="CW3406" t="s">
        <v>120</v>
      </c>
      <c r="CX3406">
        <v>257</v>
      </c>
      <c r="CY3406">
        <v>0</v>
      </c>
      <c r="CZ3406" t="s">
        <v>615</v>
      </c>
      <c r="DA3406" t="s">
        <v>616</v>
      </c>
      <c r="DD3406">
        <v>16412920</v>
      </c>
      <c r="DE3406" t="s">
        <v>123</v>
      </c>
    </row>
    <row r="3407" spans="1:109" x14ac:dyDescent="0.3">
      <c r="A3407" t="str">
        <f>"19:31:43.805"</f>
        <v>19:31:43.805</v>
      </c>
      <c r="B3407" t="s">
        <v>110</v>
      </c>
      <c r="C3407" t="str">
        <f t="shared" si="159"/>
        <v>ffdfd3c0</v>
      </c>
      <c r="D3407" t="s">
        <v>111</v>
      </c>
      <c r="E3407">
        <v>18</v>
      </c>
      <c r="F3407">
        <v>1018</v>
      </c>
      <c r="G3407" t="s">
        <v>112</v>
      </c>
      <c r="J3407" t="s">
        <v>113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R3407" t="s">
        <v>114</v>
      </c>
      <c r="S3407" t="str">
        <f>"19:31:43.578"</f>
        <v>19:31:43.578</v>
      </c>
      <c r="T3407" t="str">
        <f>"19:31:43.078"</f>
        <v>19:31:43.078</v>
      </c>
      <c r="U3407" t="str">
        <f t="shared" si="160"/>
        <v>a1cdbe</v>
      </c>
      <c r="V3407">
        <v>0</v>
      </c>
      <c r="W3407">
        <v>0</v>
      </c>
      <c r="X3407">
        <v>2</v>
      </c>
      <c r="Y3407">
        <v>0</v>
      </c>
      <c r="Z3407">
        <v>0</v>
      </c>
      <c r="AB3407">
        <v>0</v>
      </c>
      <c r="AC3407">
        <v>9</v>
      </c>
      <c r="AD3407">
        <v>3</v>
      </c>
      <c r="AE3407">
        <v>0</v>
      </c>
      <c r="AF3407">
        <v>9</v>
      </c>
      <c r="AG3407" t="s">
        <v>158</v>
      </c>
      <c r="AH3407">
        <v>0</v>
      </c>
      <c r="AI3407">
        <v>3</v>
      </c>
      <c r="AJ3407">
        <v>1</v>
      </c>
      <c r="AK3407">
        <v>0</v>
      </c>
      <c r="AL3407" t="s">
        <v>6410</v>
      </c>
      <c r="AM3407">
        <v>47.010863000000001</v>
      </c>
      <c r="AN3407" t="s">
        <v>6411</v>
      </c>
      <c r="AO3407">
        <v>-123.735924</v>
      </c>
      <c r="AP3407">
        <v>100</v>
      </c>
      <c r="AQ3407">
        <v>2000</v>
      </c>
      <c r="AR3407" t="s">
        <v>118</v>
      </c>
      <c r="AS3407">
        <v>-79</v>
      </c>
      <c r="AT3407">
        <v>13</v>
      </c>
      <c r="AU3407">
        <v>-64</v>
      </c>
      <c r="BC3407">
        <v>1200</v>
      </c>
      <c r="BD3407">
        <v>1</v>
      </c>
      <c r="BE3407" t="str">
        <f t="shared" si="161"/>
        <v xml:space="preserve">N215T   </v>
      </c>
      <c r="BF3407">
        <v>1</v>
      </c>
      <c r="BH3407">
        <v>0</v>
      </c>
      <c r="BI3407">
        <v>0</v>
      </c>
      <c r="BJ3407">
        <v>0</v>
      </c>
      <c r="BK3407">
        <v>2425</v>
      </c>
      <c r="BL3407">
        <v>425</v>
      </c>
      <c r="BM3407" t="s">
        <v>119</v>
      </c>
      <c r="BN3407">
        <v>1</v>
      </c>
      <c r="BO3407">
        <v>1</v>
      </c>
      <c r="BP3407">
        <v>1</v>
      </c>
      <c r="BQ3407">
        <v>0</v>
      </c>
      <c r="BT3407">
        <v>0</v>
      </c>
      <c r="BU3407">
        <v>0</v>
      </c>
      <c r="BV3407">
        <v>0</v>
      </c>
      <c r="CC3407" t="str">
        <f>"19:31:43.578"</f>
        <v>19:31:43.578</v>
      </c>
      <c r="CD3407" t="str">
        <f>"581705004"</f>
        <v>581705004</v>
      </c>
      <c r="CQ3407">
        <v>0</v>
      </c>
      <c r="CR3407">
        <v>2</v>
      </c>
      <c r="CS3407">
        <v>0</v>
      </c>
      <c r="CT3407">
        <v>2</v>
      </c>
      <c r="CU3407">
        <v>0</v>
      </c>
      <c r="CV3407">
        <v>6</v>
      </c>
      <c r="CW3407" t="s">
        <v>120</v>
      </c>
      <c r="CX3407">
        <v>257</v>
      </c>
      <c r="CY3407">
        <v>0</v>
      </c>
      <c r="CZ3407" t="s">
        <v>615</v>
      </c>
      <c r="DA3407" t="s">
        <v>616</v>
      </c>
      <c r="DD3407">
        <v>16413311</v>
      </c>
      <c r="DE3407" t="s">
        <v>123</v>
      </c>
    </row>
    <row r="3408" spans="1:109" x14ac:dyDescent="0.3">
      <c r="A3408" t="str">
        <f>"19:31:44.813"</f>
        <v>19:31:44.813</v>
      </c>
      <c r="B3408" t="s">
        <v>110</v>
      </c>
      <c r="C3408" t="str">
        <f t="shared" si="159"/>
        <v>ffdfd3c0</v>
      </c>
      <c r="D3408" t="s">
        <v>111</v>
      </c>
      <c r="E3408">
        <v>18</v>
      </c>
      <c r="F3408">
        <v>1018</v>
      </c>
      <c r="G3408" t="s">
        <v>112</v>
      </c>
      <c r="J3408" t="s">
        <v>113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R3408" t="s">
        <v>114</v>
      </c>
      <c r="S3408" t="str">
        <f>"19:31:44.523"</f>
        <v>19:31:44.523</v>
      </c>
      <c r="T3408" t="str">
        <f>"19:31:44.125"</f>
        <v>19:31:44.125</v>
      </c>
      <c r="U3408" t="str">
        <f t="shared" si="160"/>
        <v>a1cdbe</v>
      </c>
      <c r="V3408">
        <v>0</v>
      </c>
      <c r="W3408">
        <v>0</v>
      </c>
      <c r="X3408">
        <v>2</v>
      </c>
      <c r="Y3408">
        <v>0</v>
      </c>
      <c r="Z3408">
        <v>0</v>
      </c>
      <c r="AB3408">
        <v>0</v>
      </c>
      <c r="AC3408">
        <v>9</v>
      </c>
      <c r="AD3408">
        <v>3</v>
      </c>
      <c r="AE3408">
        <v>0</v>
      </c>
      <c r="AF3408">
        <v>9</v>
      </c>
      <c r="AG3408" t="s">
        <v>158</v>
      </c>
      <c r="AH3408">
        <v>0</v>
      </c>
      <c r="AI3408">
        <v>3</v>
      </c>
      <c r="AJ3408">
        <v>1</v>
      </c>
      <c r="AK3408">
        <v>0</v>
      </c>
      <c r="AL3408" t="s">
        <v>6412</v>
      </c>
      <c r="AM3408">
        <v>47.010948999999997</v>
      </c>
      <c r="AN3408" t="s">
        <v>6413</v>
      </c>
      <c r="AO3408">
        <v>-123.736396</v>
      </c>
      <c r="AP3408">
        <v>100</v>
      </c>
      <c r="AQ3408">
        <v>2000</v>
      </c>
      <c r="AR3408" t="s">
        <v>118</v>
      </c>
      <c r="AS3408">
        <v>-79</v>
      </c>
      <c r="AT3408">
        <v>13</v>
      </c>
      <c r="AU3408">
        <v>-64</v>
      </c>
      <c r="BC3408">
        <v>1200</v>
      </c>
      <c r="BD3408">
        <v>1</v>
      </c>
      <c r="BE3408" t="str">
        <f t="shared" si="161"/>
        <v xml:space="preserve">N215T   </v>
      </c>
      <c r="BF3408">
        <v>1</v>
      </c>
      <c r="BH3408">
        <v>0</v>
      </c>
      <c r="BI3408">
        <v>0</v>
      </c>
      <c r="BJ3408">
        <v>0</v>
      </c>
      <c r="BK3408">
        <v>2425</v>
      </c>
      <c r="BL3408">
        <v>425</v>
      </c>
      <c r="BM3408" t="s">
        <v>119</v>
      </c>
      <c r="BN3408">
        <v>1</v>
      </c>
      <c r="BO3408">
        <v>1</v>
      </c>
      <c r="BP3408">
        <v>1</v>
      </c>
      <c r="BQ3408">
        <v>0</v>
      </c>
      <c r="BT3408">
        <v>0</v>
      </c>
      <c r="BU3408">
        <v>0</v>
      </c>
      <c r="BV3408">
        <v>0</v>
      </c>
      <c r="CC3408" t="str">
        <f>"19:31:44.523"</f>
        <v>19:31:44.523</v>
      </c>
      <c r="CD3408" t="str">
        <f>"526611891"</f>
        <v>526611891</v>
      </c>
      <c r="CQ3408">
        <v>0</v>
      </c>
      <c r="CR3408">
        <v>2</v>
      </c>
      <c r="CS3408">
        <v>0</v>
      </c>
      <c r="CT3408">
        <v>2</v>
      </c>
      <c r="CU3408">
        <v>0</v>
      </c>
      <c r="CV3408">
        <v>6</v>
      </c>
      <c r="CW3408" t="s">
        <v>120</v>
      </c>
      <c r="CX3408">
        <v>257</v>
      </c>
      <c r="CY3408">
        <v>0</v>
      </c>
      <c r="CZ3408" t="s">
        <v>615</v>
      </c>
      <c r="DA3408" t="s">
        <v>616</v>
      </c>
      <c r="DD3408">
        <v>16413675</v>
      </c>
      <c r="DE3408" t="s">
        <v>123</v>
      </c>
    </row>
    <row r="3409" spans="1:109" x14ac:dyDescent="0.3">
      <c r="A3409" t="str">
        <f>"19:31:45.664"</f>
        <v>19:31:45.664</v>
      </c>
      <c r="B3409" t="s">
        <v>110</v>
      </c>
      <c r="C3409" t="str">
        <f t="shared" si="159"/>
        <v>ffdfd3c0</v>
      </c>
      <c r="D3409" t="s">
        <v>111</v>
      </c>
      <c r="E3409">
        <v>18</v>
      </c>
      <c r="F3409">
        <v>1018</v>
      </c>
      <c r="G3409" t="s">
        <v>112</v>
      </c>
      <c r="J3409" t="s">
        <v>113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R3409" t="s">
        <v>114</v>
      </c>
      <c r="S3409" t="str">
        <f>"19:31:45.438"</f>
        <v>19:31:45.438</v>
      </c>
      <c r="T3409" t="str">
        <f>"19:31:45.141"</f>
        <v>19:31:45.141</v>
      </c>
      <c r="U3409" t="str">
        <f t="shared" si="160"/>
        <v>a1cdbe</v>
      </c>
      <c r="V3409">
        <v>0</v>
      </c>
      <c r="W3409">
        <v>0</v>
      </c>
      <c r="X3409">
        <v>2</v>
      </c>
      <c r="Y3409">
        <v>0</v>
      </c>
      <c r="Z3409">
        <v>0</v>
      </c>
      <c r="AB3409">
        <v>0</v>
      </c>
      <c r="AC3409">
        <v>9</v>
      </c>
      <c r="AD3409">
        <v>3</v>
      </c>
      <c r="AE3409">
        <v>0</v>
      </c>
      <c r="AF3409">
        <v>9</v>
      </c>
      <c r="AG3409" t="s">
        <v>158</v>
      </c>
      <c r="AH3409">
        <v>0</v>
      </c>
      <c r="AI3409">
        <v>3</v>
      </c>
      <c r="AJ3409">
        <v>1</v>
      </c>
      <c r="AK3409">
        <v>0</v>
      </c>
      <c r="AL3409" t="s">
        <v>6414</v>
      </c>
      <c r="AM3409">
        <v>47.011012999999998</v>
      </c>
      <c r="AN3409" t="s">
        <v>6415</v>
      </c>
      <c r="AO3409">
        <v>-123.73691100000001</v>
      </c>
      <c r="AP3409">
        <v>100</v>
      </c>
      <c r="AQ3409">
        <v>2000</v>
      </c>
      <c r="AR3409" t="s">
        <v>118</v>
      </c>
      <c r="AS3409">
        <v>-79</v>
      </c>
      <c r="AT3409">
        <v>13</v>
      </c>
      <c r="AU3409">
        <v>0</v>
      </c>
      <c r="BC3409">
        <v>1200</v>
      </c>
      <c r="BD3409">
        <v>1</v>
      </c>
      <c r="BE3409" t="str">
        <f t="shared" si="161"/>
        <v xml:space="preserve">N215T   </v>
      </c>
      <c r="BF3409">
        <v>1</v>
      </c>
      <c r="BH3409">
        <v>0</v>
      </c>
      <c r="BI3409">
        <v>0</v>
      </c>
      <c r="BJ3409">
        <v>0</v>
      </c>
      <c r="BK3409">
        <v>2400</v>
      </c>
      <c r="BL3409">
        <v>400</v>
      </c>
      <c r="BM3409" t="s">
        <v>119</v>
      </c>
      <c r="BN3409">
        <v>1</v>
      </c>
      <c r="BO3409">
        <v>1</v>
      </c>
      <c r="BP3409">
        <v>1</v>
      </c>
      <c r="BQ3409">
        <v>0</v>
      </c>
      <c r="BT3409">
        <v>0</v>
      </c>
      <c r="BU3409">
        <v>0</v>
      </c>
      <c r="BV3409">
        <v>0</v>
      </c>
      <c r="CC3409" t="str">
        <f>"19:31:45.445"</f>
        <v>19:31:45.445</v>
      </c>
      <c r="CD3409" t="str">
        <f>"441532881"</f>
        <v>441532881</v>
      </c>
      <c r="CQ3409">
        <v>0</v>
      </c>
      <c r="CR3409">
        <v>2</v>
      </c>
      <c r="CS3409">
        <v>0</v>
      </c>
      <c r="CT3409">
        <v>2</v>
      </c>
      <c r="CU3409">
        <v>0</v>
      </c>
      <c r="CV3409">
        <v>6</v>
      </c>
      <c r="CW3409" t="s">
        <v>120</v>
      </c>
      <c r="CX3409">
        <v>257</v>
      </c>
      <c r="CY3409">
        <v>0</v>
      </c>
      <c r="CZ3409" t="s">
        <v>615</v>
      </c>
      <c r="DA3409" t="s">
        <v>616</v>
      </c>
      <c r="DD3409">
        <v>16414063</v>
      </c>
      <c r="DE3409" t="s">
        <v>123</v>
      </c>
    </row>
    <row r="3410" spans="1:109" x14ac:dyDescent="0.3">
      <c r="A3410" t="str">
        <f>"19:31:46.828"</f>
        <v>19:31:46.828</v>
      </c>
      <c r="B3410" t="s">
        <v>110</v>
      </c>
      <c r="C3410" t="str">
        <f t="shared" si="159"/>
        <v>ffdfd3c0</v>
      </c>
      <c r="D3410" t="s">
        <v>111</v>
      </c>
      <c r="E3410">
        <v>18</v>
      </c>
      <c r="F3410">
        <v>1018</v>
      </c>
      <c r="G3410" t="s">
        <v>112</v>
      </c>
      <c r="J3410" t="s">
        <v>113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R3410" t="s">
        <v>114</v>
      </c>
      <c r="S3410" t="str">
        <f>"19:31:46.563"</f>
        <v>19:31:46.563</v>
      </c>
      <c r="T3410" t="str">
        <f>"19:31:46.563"</f>
        <v>19:31:46.563</v>
      </c>
      <c r="U3410" t="str">
        <f t="shared" si="160"/>
        <v>a1cdbe</v>
      </c>
      <c r="V3410">
        <v>0</v>
      </c>
      <c r="W3410">
        <v>0</v>
      </c>
      <c r="X3410">
        <v>2</v>
      </c>
      <c r="Y3410">
        <v>0</v>
      </c>
      <c r="Z3410">
        <v>0</v>
      </c>
      <c r="AB3410">
        <v>0</v>
      </c>
      <c r="AC3410">
        <v>9</v>
      </c>
      <c r="AD3410">
        <v>3</v>
      </c>
      <c r="AE3410">
        <v>0</v>
      </c>
      <c r="AF3410">
        <v>9</v>
      </c>
      <c r="AG3410" t="s">
        <v>158</v>
      </c>
      <c r="AH3410">
        <v>0</v>
      </c>
      <c r="AI3410">
        <v>3</v>
      </c>
      <c r="AJ3410">
        <v>1</v>
      </c>
      <c r="AK3410">
        <v>0</v>
      </c>
      <c r="AL3410" t="s">
        <v>6416</v>
      </c>
      <c r="AM3410">
        <v>47.011056000000004</v>
      </c>
      <c r="AN3410" t="s">
        <v>6417</v>
      </c>
      <c r="AO3410">
        <v>-123.737533</v>
      </c>
      <c r="AP3410">
        <v>100</v>
      </c>
      <c r="AQ3410">
        <v>2000</v>
      </c>
      <c r="AR3410" t="s">
        <v>118</v>
      </c>
      <c r="AS3410">
        <v>-79</v>
      </c>
      <c r="AT3410">
        <v>12</v>
      </c>
      <c r="AU3410">
        <v>64</v>
      </c>
      <c r="BC3410">
        <v>1200</v>
      </c>
      <c r="BD3410">
        <v>1</v>
      </c>
      <c r="BE3410" t="str">
        <f t="shared" si="161"/>
        <v xml:space="preserve">N215T   </v>
      </c>
      <c r="BF3410">
        <v>1</v>
      </c>
      <c r="BH3410">
        <v>0</v>
      </c>
      <c r="BI3410">
        <v>0</v>
      </c>
      <c r="BJ3410">
        <v>0</v>
      </c>
      <c r="BK3410">
        <v>2400</v>
      </c>
      <c r="BL3410">
        <v>400</v>
      </c>
      <c r="BM3410" t="s">
        <v>119</v>
      </c>
      <c r="BN3410">
        <v>1</v>
      </c>
      <c r="BO3410">
        <v>1</v>
      </c>
      <c r="BP3410">
        <v>1</v>
      </c>
      <c r="BQ3410">
        <v>0</v>
      </c>
      <c r="BT3410">
        <v>0</v>
      </c>
      <c r="BU3410">
        <v>0</v>
      </c>
      <c r="BV3410">
        <v>0</v>
      </c>
      <c r="CC3410" t="str">
        <f>"19:31:46.570"</f>
        <v>19:31:46.570</v>
      </c>
      <c r="CD3410" t="str">
        <f>"566422030"</f>
        <v>566422030</v>
      </c>
      <c r="CQ3410">
        <v>0</v>
      </c>
      <c r="CR3410">
        <v>2</v>
      </c>
      <c r="CS3410">
        <v>0</v>
      </c>
      <c r="CT3410">
        <v>2</v>
      </c>
      <c r="CU3410">
        <v>0</v>
      </c>
      <c r="CV3410">
        <v>6</v>
      </c>
      <c r="CW3410" t="s">
        <v>120</v>
      </c>
      <c r="CX3410">
        <v>257</v>
      </c>
      <c r="CY3410">
        <v>0</v>
      </c>
      <c r="CZ3410" t="s">
        <v>615</v>
      </c>
      <c r="DA3410" t="s">
        <v>616</v>
      </c>
      <c r="DD3410">
        <v>16414594</v>
      </c>
      <c r="DE3410" t="s">
        <v>123</v>
      </c>
    </row>
    <row r="3411" spans="1:109" x14ac:dyDescent="0.3">
      <c r="A3411" t="str">
        <f>"19:31:47.883"</f>
        <v>19:31:47.883</v>
      </c>
      <c r="B3411" t="s">
        <v>110</v>
      </c>
      <c r="C3411" t="str">
        <f t="shared" si="159"/>
        <v>ffdfd3c0</v>
      </c>
      <c r="D3411" t="s">
        <v>111</v>
      </c>
      <c r="E3411">
        <v>18</v>
      </c>
      <c r="F3411">
        <v>1018</v>
      </c>
      <c r="G3411" t="s">
        <v>112</v>
      </c>
      <c r="J3411" t="s">
        <v>113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R3411" t="s">
        <v>114</v>
      </c>
      <c r="S3411" t="str">
        <f>"19:31:47.609"</f>
        <v>19:31:47.609</v>
      </c>
      <c r="T3411" t="str">
        <f>"19:31:47.109"</f>
        <v>19:31:47.109</v>
      </c>
      <c r="U3411" t="str">
        <f t="shared" si="160"/>
        <v>a1cdbe</v>
      </c>
      <c r="V3411">
        <v>0</v>
      </c>
      <c r="W3411">
        <v>0</v>
      </c>
      <c r="X3411">
        <v>2</v>
      </c>
      <c r="Y3411">
        <v>0</v>
      </c>
      <c r="Z3411">
        <v>0</v>
      </c>
      <c r="AB3411">
        <v>0</v>
      </c>
      <c r="AC3411">
        <v>9</v>
      </c>
      <c r="AD3411">
        <v>3</v>
      </c>
      <c r="AE3411">
        <v>0</v>
      </c>
      <c r="AF3411">
        <v>9</v>
      </c>
      <c r="AG3411" t="s">
        <v>158</v>
      </c>
      <c r="AH3411">
        <v>0</v>
      </c>
      <c r="AI3411">
        <v>3</v>
      </c>
      <c r="AJ3411">
        <v>1</v>
      </c>
      <c r="AK3411">
        <v>0</v>
      </c>
      <c r="AL3411" t="s">
        <v>6418</v>
      </c>
      <c r="AM3411">
        <v>47.011099000000002</v>
      </c>
      <c r="AN3411" t="s">
        <v>6419</v>
      </c>
      <c r="AO3411">
        <v>-123.73804800000001</v>
      </c>
      <c r="AP3411">
        <v>100</v>
      </c>
      <c r="AQ3411">
        <v>2000</v>
      </c>
      <c r="AR3411" t="s">
        <v>118</v>
      </c>
      <c r="AS3411">
        <v>-79</v>
      </c>
      <c r="AT3411">
        <v>12</v>
      </c>
      <c r="AU3411">
        <v>64</v>
      </c>
      <c r="BC3411">
        <v>1200</v>
      </c>
      <c r="BD3411">
        <v>1</v>
      </c>
      <c r="BE3411" t="str">
        <f t="shared" si="161"/>
        <v xml:space="preserve">N215T   </v>
      </c>
      <c r="BF3411">
        <v>1</v>
      </c>
      <c r="BH3411">
        <v>0</v>
      </c>
      <c r="BI3411">
        <v>0</v>
      </c>
      <c r="BJ3411">
        <v>0</v>
      </c>
      <c r="BK3411">
        <v>2425</v>
      </c>
      <c r="BL3411">
        <v>425</v>
      </c>
      <c r="BM3411" t="s">
        <v>119</v>
      </c>
      <c r="BN3411">
        <v>1</v>
      </c>
      <c r="BO3411">
        <v>1</v>
      </c>
      <c r="BP3411">
        <v>1</v>
      </c>
      <c r="BQ3411">
        <v>0</v>
      </c>
      <c r="BT3411">
        <v>0</v>
      </c>
      <c r="BU3411">
        <v>0</v>
      </c>
      <c r="BV3411">
        <v>0</v>
      </c>
      <c r="CC3411" t="str">
        <f>"19:31:47.617"</f>
        <v>19:31:47.617</v>
      </c>
      <c r="CD3411" t="str">
        <f>"616318559"</f>
        <v>616318559</v>
      </c>
      <c r="CQ3411">
        <v>0</v>
      </c>
      <c r="CR3411">
        <v>2</v>
      </c>
      <c r="CS3411">
        <v>0</v>
      </c>
      <c r="CT3411">
        <v>2</v>
      </c>
      <c r="CU3411">
        <v>0</v>
      </c>
      <c r="CV3411">
        <v>6</v>
      </c>
      <c r="CW3411" t="s">
        <v>120</v>
      </c>
      <c r="CX3411">
        <v>257</v>
      </c>
      <c r="CY3411">
        <v>0</v>
      </c>
      <c r="CZ3411" t="s">
        <v>615</v>
      </c>
      <c r="DA3411" t="s">
        <v>616</v>
      </c>
      <c r="DD3411">
        <v>16415060</v>
      </c>
      <c r="DE3411" t="s">
        <v>123</v>
      </c>
    </row>
    <row r="3412" spans="1:109" x14ac:dyDescent="0.3">
      <c r="A3412" t="str">
        <f>"19:31:48.836"</f>
        <v>19:31:48.836</v>
      </c>
      <c r="B3412" t="s">
        <v>110</v>
      </c>
      <c r="C3412" t="str">
        <f t="shared" si="159"/>
        <v>ffdfd3c0</v>
      </c>
      <c r="D3412" t="s">
        <v>111</v>
      </c>
      <c r="E3412">
        <v>18</v>
      </c>
      <c r="F3412">
        <v>1018</v>
      </c>
      <c r="G3412" t="s">
        <v>112</v>
      </c>
      <c r="J3412" t="s">
        <v>113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R3412" t="s">
        <v>114</v>
      </c>
      <c r="S3412" t="str">
        <f>"19:31:48.570"</f>
        <v>19:31:48.570</v>
      </c>
      <c r="T3412" t="str">
        <f>"19:31:48.172"</f>
        <v>19:31:48.172</v>
      </c>
      <c r="U3412" t="str">
        <f t="shared" si="160"/>
        <v>a1cdbe</v>
      </c>
      <c r="V3412">
        <v>0</v>
      </c>
      <c r="W3412">
        <v>0</v>
      </c>
      <c r="X3412">
        <v>2</v>
      </c>
      <c r="Y3412">
        <v>0</v>
      </c>
      <c r="Z3412">
        <v>0</v>
      </c>
      <c r="AB3412">
        <v>0</v>
      </c>
      <c r="AC3412">
        <v>9</v>
      </c>
      <c r="AD3412">
        <v>3</v>
      </c>
      <c r="AE3412">
        <v>0</v>
      </c>
      <c r="AF3412">
        <v>9</v>
      </c>
      <c r="AG3412" t="s">
        <v>158</v>
      </c>
      <c r="AH3412">
        <v>0</v>
      </c>
      <c r="AI3412">
        <v>3</v>
      </c>
      <c r="AJ3412">
        <v>1</v>
      </c>
      <c r="AK3412">
        <v>0</v>
      </c>
      <c r="AL3412" t="s">
        <v>6420</v>
      </c>
      <c r="AM3412">
        <v>47.011142</v>
      </c>
      <c r="AN3412" t="s">
        <v>6421</v>
      </c>
      <c r="AO3412">
        <v>-123.738585</v>
      </c>
      <c r="AP3412">
        <v>100</v>
      </c>
      <c r="AQ3412">
        <v>2000</v>
      </c>
      <c r="AR3412" t="s">
        <v>118</v>
      </c>
      <c r="AS3412">
        <v>-79</v>
      </c>
      <c r="AT3412">
        <v>12</v>
      </c>
      <c r="AU3412">
        <v>128</v>
      </c>
      <c r="BC3412">
        <v>1200</v>
      </c>
      <c r="BD3412">
        <v>1</v>
      </c>
      <c r="BE3412" t="str">
        <f t="shared" si="161"/>
        <v xml:space="preserve">N215T   </v>
      </c>
      <c r="BF3412">
        <v>1</v>
      </c>
      <c r="BH3412">
        <v>0</v>
      </c>
      <c r="BI3412">
        <v>0</v>
      </c>
      <c r="BJ3412">
        <v>0</v>
      </c>
      <c r="BK3412">
        <v>2425</v>
      </c>
      <c r="BL3412">
        <v>425</v>
      </c>
      <c r="BM3412" t="s">
        <v>119</v>
      </c>
      <c r="BN3412">
        <v>1</v>
      </c>
      <c r="BO3412">
        <v>1</v>
      </c>
      <c r="BP3412">
        <v>1</v>
      </c>
      <c r="BQ3412">
        <v>0</v>
      </c>
      <c r="BT3412">
        <v>0</v>
      </c>
      <c r="BU3412">
        <v>0</v>
      </c>
      <c r="BV3412">
        <v>0</v>
      </c>
      <c r="CC3412" t="str">
        <f>"19:31:48.578"</f>
        <v>19:31:48.578</v>
      </c>
      <c r="CD3412" t="str">
        <f>"576223969"</f>
        <v>576223969</v>
      </c>
      <c r="CQ3412">
        <v>0</v>
      </c>
      <c r="CR3412">
        <v>2</v>
      </c>
      <c r="CS3412">
        <v>0</v>
      </c>
      <c r="CT3412">
        <v>2</v>
      </c>
      <c r="CU3412">
        <v>0</v>
      </c>
      <c r="CV3412">
        <v>6</v>
      </c>
      <c r="CW3412" t="s">
        <v>120</v>
      </c>
      <c r="CX3412">
        <v>257</v>
      </c>
      <c r="CY3412">
        <v>0</v>
      </c>
      <c r="CZ3412" t="s">
        <v>615</v>
      </c>
      <c r="DA3412" t="s">
        <v>616</v>
      </c>
      <c r="DD3412">
        <v>16415475</v>
      </c>
      <c r="DE3412" t="s">
        <v>123</v>
      </c>
    </row>
    <row r="3413" spans="1:109" x14ac:dyDescent="0.3">
      <c r="A3413" t="str">
        <f>"19:31:49.844"</f>
        <v>19:31:49.844</v>
      </c>
      <c r="B3413" t="s">
        <v>110</v>
      </c>
      <c r="C3413" t="str">
        <f t="shared" si="159"/>
        <v>ffdfd3c0</v>
      </c>
      <c r="D3413" t="s">
        <v>111</v>
      </c>
      <c r="E3413">
        <v>18</v>
      </c>
      <c r="F3413">
        <v>1018</v>
      </c>
      <c r="G3413" t="s">
        <v>112</v>
      </c>
      <c r="J3413" t="s">
        <v>113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R3413" t="s">
        <v>114</v>
      </c>
      <c r="S3413" t="str">
        <f>"19:31:49.625"</f>
        <v>19:31:49.625</v>
      </c>
      <c r="T3413" t="str">
        <f>"19:31:49.227"</f>
        <v>19:31:49.227</v>
      </c>
      <c r="U3413" t="str">
        <f t="shared" si="160"/>
        <v>a1cdbe</v>
      </c>
      <c r="V3413">
        <v>0</v>
      </c>
      <c r="W3413">
        <v>0</v>
      </c>
      <c r="X3413">
        <v>2</v>
      </c>
      <c r="Y3413">
        <v>0</v>
      </c>
      <c r="Z3413">
        <v>0</v>
      </c>
      <c r="AB3413">
        <v>0</v>
      </c>
      <c r="AC3413">
        <v>9</v>
      </c>
      <c r="AD3413">
        <v>3</v>
      </c>
      <c r="AE3413">
        <v>0</v>
      </c>
      <c r="AF3413">
        <v>9</v>
      </c>
      <c r="AG3413" t="s">
        <v>158</v>
      </c>
      <c r="AH3413">
        <v>0</v>
      </c>
      <c r="AI3413">
        <v>3</v>
      </c>
      <c r="AJ3413">
        <v>1</v>
      </c>
      <c r="AK3413">
        <v>0</v>
      </c>
      <c r="AL3413" t="s">
        <v>6422</v>
      </c>
      <c r="AM3413">
        <v>47.011228000000003</v>
      </c>
      <c r="AN3413" t="s">
        <v>6423</v>
      </c>
      <c r="AO3413">
        <v>-123.739142</v>
      </c>
      <c r="AP3413">
        <v>100</v>
      </c>
      <c r="AQ3413">
        <v>2000</v>
      </c>
      <c r="AR3413" t="s">
        <v>118</v>
      </c>
      <c r="AS3413">
        <v>-78</v>
      </c>
      <c r="AT3413">
        <v>12</v>
      </c>
      <c r="AU3413">
        <v>128</v>
      </c>
      <c r="BC3413">
        <v>1200</v>
      </c>
      <c r="BD3413">
        <v>1</v>
      </c>
      <c r="BE3413" t="str">
        <f t="shared" si="161"/>
        <v xml:space="preserve">N215T   </v>
      </c>
      <c r="BF3413">
        <v>1</v>
      </c>
      <c r="BH3413">
        <v>0</v>
      </c>
      <c r="BI3413">
        <v>0</v>
      </c>
      <c r="BJ3413">
        <v>0</v>
      </c>
      <c r="BK3413">
        <v>2425</v>
      </c>
      <c r="BL3413">
        <v>425</v>
      </c>
      <c r="BM3413" t="s">
        <v>119</v>
      </c>
      <c r="BN3413">
        <v>1</v>
      </c>
      <c r="BO3413">
        <v>1</v>
      </c>
      <c r="BP3413">
        <v>1</v>
      </c>
      <c r="BQ3413">
        <v>0</v>
      </c>
      <c r="BT3413">
        <v>0</v>
      </c>
      <c r="BU3413">
        <v>0</v>
      </c>
      <c r="BV3413">
        <v>0</v>
      </c>
      <c r="CC3413" t="str">
        <f>"19:31:49.625"</f>
        <v>19:31:49.625</v>
      </c>
      <c r="CD3413" t="str">
        <f>"626120508"</f>
        <v>626120508</v>
      </c>
      <c r="CQ3413">
        <v>0</v>
      </c>
      <c r="CR3413">
        <v>2</v>
      </c>
      <c r="CS3413">
        <v>0</v>
      </c>
      <c r="CT3413">
        <v>2</v>
      </c>
      <c r="CU3413">
        <v>0</v>
      </c>
      <c r="CV3413">
        <v>6</v>
      </c>
      <c r="CW3413" t="s">
        <v>120</v>
      </c>
      <c r="CX3413">
        <v>257</v>
      </c>
      <c r="CY3413">
        <v>0</v>
      </c>
      <c r="CZ3413" t="s">
        <v>615</v>
      </c>
      <c r="DA3413" t="s">
        <v>616</v>
      </c>
      <c r="DD3413">
        <v>16415897</v>
      </c>
      <c r="DE3413" t="s">
        <v>123</v>
      </c>
    </row>
    <row r="3414" spans="1:109" x14ac:dyDescent="0.3">
      <c r="A3414" t="str">
        <f>"19:31:50.797"</f>
        <v>19:31:50.797</v>
      </c>
      <c r="B3414" t="s">
        <v>110</v>
      </c>
      <c r="C3414" t="str">
        <f t="shared" si="159"/>
        <v>ffdfd3c0</v>
      </c>
      <c r="D3414" t="s">
        <v>111</v>
      </c>
      <c r="E3414">
        <v>18</v>
      </c>
      <c r="F3414">
        <v>1018</v>
      </c>
      <c r="G3414" t="s">
        <v>112</v>
      </c>
      <c r="J3414" t="s">
        <v>113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R3414" t="s">
        <v>114</v>
      </c>
      <c r="S3414" t="str">
        <f>"19:31:50.586"</f>
        <v>19:31:50.586</v>
      </c>
      <c r="T3414" t="str">
        <f>"19:31:50.586"</f>
        <v>19:31:50.586</v>
      </c>
      <c r="U3414" t="str">
        <f t="shared" si="160"/>
        <v>a1cdbe</v>
      </c>
      <c r="V3414">
        <v>0</v>
      </c>
      <c r="W3414">
        <v>0</v>
      </c>
      <c r="X3414">
        <v>2</v>
      </c>
      <c r="Y3414">
        <v>0</v>
      </c>
      <c r="Z3414">
        <v>0</v>
      </c>
      <c r="AB3414">
        <v>0</v>
      </c>
      <c r="AC3414">
        <v>9</v>
      </c>
      <c r="AD3414">
        <v>3</v>
      </c>
      <c r="AE3414">
        <v>0</v>
      </c>
      <c r="AF3414">
        <v>9</v>
      </c>
      <c r="AG3414" t="s">
        <v>158</v>
      </c>
      <c r="AH3414">
        <v>0</v>
      </c>
      <c r="AI3414">
        <v>3</v>
      </c>
      <c r="AJ3414">
        <v>1</v>
      </c>
      <c r="AK3414">
        <v>0</v>
      </c>
      <c r="AL3414" t="s">
        <v>6424</v>
      </c>
      <c r="AM3414">
        <v>47.011291999999997</v>
      </c>
      <c r="AN3414" t="s">
        <v>6425</v>
      </c>
      <c r="AO3414">
        <v>-123.73965699999999</v>
      </c>
      <c r="AP3414">
        <v>100</v>
      </c>
      <c r="AQ3414">
        <v>2000</v>
      </c>
      <c r="AR3414" t="s">
        <v>118</v>
      </c>
      <c r="AS3414">
        <v>-78</v>
      </c>
      <c r="AT3414">
        <v>12</v>
      </c>
      <c r="AU3414">
        <v>128</v>
      </c>
      <c r="BC3414">
        <v>1200</v>
      </c>
      <c r="BD3414">
        <v>1</v>
      </c>
      <c r="BE3414" t="str">
        <f t="shared" si="161"/>
        <v xml:space="preserve">N215T   </v>
      </c>
      <c r="BF3414">
        <v>1</v>
      </c>
      <c r="BH3414">
        <v>0</v>
      </c>
      <c r="BI3414">
        <v>0</v>
      </c>
      <c r="BJ3414">
        <v>0</v>
      </c>
      <c r="BK3414">
        <v>2425</v>
      </c>
      <c r="BL3414">
        <v>425</v>
      </c>
      <c r="BM3414" t="s">
        <v>119</v>
      </c>
      <c r="BN3414">
        <v>1</v>
      </c>
      <c r="BO3414">
        <v>1</v>
      </c>
      <c r="BP3414">
        <v>1</v>
      </c>
      <c r="BQ3414">
        <v>0</v>
      </c>
      <c r="BT3414">
        <v>0</v>
      </c>
      <c r="BU3414">
        <v>0</v>
      </c>
      <c r="BV3414">
        <v>0</v>
      </c>
      <c r="CC3414" t="str">
        <f>"19:31:50.586"</f>
        <v>19:31:50.586</v>
      </c>
      <c r="CD3414" t="str">
        <f>"586025917"</f>
        <v>586025917</v>
      </c>
      <c r="CQ3414">
        <v>0</v>
      </c>
      <c r="CR3414">
        <v>2</v>
      </c>
      <c r="CS3414">
        <v>0</v>
      </c>
      <c r="CT3414">
        <v>2</v>
      </c>
      <c r="CU3414">
        <v>0</v>
      </c>
      <c r="CV3414">
        <v>6</v>
      </c>
      <c r="CW3414" t="s">
        <v>120</v>
      </c>
      <c r="CX3414">
        <v>257</v>
      </c>
      <c r="CY3414">
        <v>0</v>
      </c>
      <c r="CZ3414" t="s">
        <v>615</v>
      </c>
      <c r="DA3414" t="s">
        <v>616</v>
      </c>
      <c r="DD3414">
        <v>16416332</v>
      </c>
      <c r="DE3414" t="s">
        <v>123</v>
      </c>
    </row>
    <row r="3415" spans="1:109" x14ac:dyDescent="0.3">
      <c r="A3415" t="str">
        <f>"19:31:51.953"</f>
        <v>19:31:51.953</v>
      </c>
      <c r="B3415" t="s">
        <v>110</v>
      </c>
      <c r="C3415" t="str">
        <f t="shared" si="159"/>
        <v>ffdfd3c0</v>
      </c>
      <c r="D3415" t="s">
        <v>111</v>
      </c>
      <c r="E3415">
        <v>18</v>
      </c>
      <c r="F3415">
        <v>1018</v>
      </c>
      <c r="G3415" t="s">
        <v>112</v>
      </c>
      <c r="J3415" t="s">
        <v>113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R3415" t="s">
        <v>114</v>
      </c>
      <c r="S3415" t="str">
        <f>"19:31:51.719"</f>
        <v>19:31:51.719</v>
      </c>
      <c r="T3415" t="str">
        <f>"19:31:51.617"</f>
        <v>19:31:51.617</v>
      </c>
      <c r="U3415" t="str">
        <f t="shared" si="160"/>
        <v>a1cdbe</v>
      </c>
      <c r="V3415">
        <v>0</v>
      </c>
      <c r="W3415">
        <v>0</v>
      </c>
      <c r="X3415">
        <v>2</v>
      </c>
      <c r="Y3415">
        <v>0</v>
      </c>
      <c r="Z3415">
        <v>0</v>
      </c>
      <c r="AB3415">
        <v>0</v>
      </c>
      <c r="AC3415">
        <v>9</v>
      </c>
      <c r="AD3415">
        <v>3</v>
      </c>
      <c r="AE3415">
        <v>0</v>
      </c>
      <c r="AF3415">
        <v>9</v>
      </c>
      <c r="AG3415" t="s">
        <v>158</v>
      </c>
      <c r="AH3415">
        <v>0</v>
      </c>
      <c r="AI3415">
        <v>3</v>
      </c>
      <c r="AJ3415">
        <v>1</v>
      </c>
      <c r="AK3415">
        <v>0</v>
      </c>
      <c r="AL3415" t="s">
        <v>6426</v>
      </c>
      <c r="AM3415">
        <v>47.011313000000001</v>
      </c>
      <c r="AN3415" t="s">
        <v>6427</v>
      </c>
      <c r="AO3415">
        <v>-123.740258</v>
      </c>
      <c r="AP3415">
        <v>100</v>
      </c>
      <c r="AQ3415">
        <v>2000</v>
      </c>
      <c r="AR3415" t="s">
        <v>118</v>
      </c>
      <c r="AS3415">
        <v>-78</v>
      </c>
      <c r="AT3415">
        <v>12</v>
      </c>
      <c r="AU3415">
        <v>128</v>
      </c>
      <c r="BC3415">
        <v>1200</v>
      </c>
      <c r="BD3415">
        <v>1</v>
      </c>
      <c r="BE3415" t="str">
        <f t="shared" si="161"/>
        <v xml:space="preserve">N215T   </v>
      </c>
      <c r="BF3415">
        <v>1</v>
      </c>
      <c r="BH3415">
        <v>0</v>
      </c>
      <c r="BI3415">
        <v>0</v>
      </c>
      <c r="BJ3415">
        <v>0</v>
      </c>
      <c r="BK3415">
        <v>2425</v>
      </c>
      <c r="BL3415">
        <v>425</v>
      </c>
      <c r="BM3415" t="s">
        <v>119</v>
      </c>
      <c r="BN3415">
        <v>1</v>
      </c>
      <c r="BO3415">
        <v>1</v>
      </c>
      <c r="BP3415">
        <v>1</v>
      </c>
      <c r="BQ3415">
        <v>0</v>
      </c>
      <c r="BT3415">
        <v>0</v>
      </c>
      <c r="BU3415">
        <v>0</v>
      </c>
      <c r="BV3415">
        <v>0</v>
      </c>
      <c r="CC3415" t="str">
        <f>"19:31:51.727"</f>
        <v>19:31:51.727</v>
      </c>
      <c r="CD3415" t="str">
        <f>"725913584"</f>
        <v>725913584</v>
      </c>
      <c r="CQ3415">
        <v>0</v>
      </c>
      <c r="CR3415">
        <v>2</v>
      </c>
      <c r="CS3415">
        <v>0</v>
      </c>
      <c r="CT3415">
        <v>2</v>
      </c>
      <c r="CU3415">
        <v>0</v>
      </c>
      <c r="CV3415">
        <v>6</v>
      </c>
      <c r="CW3415" t="s">
        <v>120</v>
      </c>
      <c r="CX3415">
        <v>257</v>
      </c>
      <c r="CY3415">
        <v>0</v>
      </c>
      <c r="CZ3415" t="s">
        <v>615</v>
      </c>
      <c r="DA3415" t="s">
        <v>616</v>
      </c>
      <c r="DD3415">
        <v>16416906</v>
      </c>
      <c r="DE3415" t="s">
        <v>123</v>
      </c>
    </row>
    <row r="3416" spans="1:109" x14ac:dyDescent="0.3">
      <c r="A3416" t="str">
        <f>"19:31:53.156"</f>
        <v>19:31:53.156</v>
      </c>
      <c r="B3416" t="s">
        <v>110</v>
      </c>
      <c r="C3416" t="str">
        <f t="shared" si="159"/>
        <v>ffdfd3c0</v>
      </c>
      <c r="D3416" t="s">
        <v>111</v>
      </c>
      <c r="E3416">
        <v>18</v>
      </c>
      <c r="F3416">
        <v>1018</v>
      </c>
      <c r="G3416" t="s">
        <v>112</v>
      </c>
      <c r="J3416" t="s">
        <v>113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R3416" t="s">
        <v>114</v>
      </c>
      <c r="S3416" t="str">
        <f>"19:31:52.891"</f>
        <v>19:31:52.891</v>
      </c>
      <c r="T3416" t="str">
        <f>"19:31:52.688"</f>
        <v>19:31:52.688</v>
      </c>
      <c r="U3416" t="str">
        <f t="shared" si="160"/>
        <v>a1cdbe</v>
      </c>
      <c r="V3416">
        <v>0</v>
      </c>
      <c r="W3416">
        <v>0</v>
      </c>
      <c r="X3416">
        <v>2</v>
      </c>
      <c r="Y3416">
        <v>0</v>
      </c>
      <c r="Z3416">
        <v>0</v>
      </c>
      <c r="AB3416">
        <v>0</v>
      </c>
      <c r="AC3416">
        <v>9</v>
      </c>
      <c r="AD3416">
        <v>3</v>
      </c>
      <c r="AE3416">
        <v>0</v>
      </c>
      <c r="AF3416">
        <v>9</v>
      </c>
      <c r="AG3416" t="s">
        <v>158</v>
      </c>
      <c r="AH3416">
        <v>0</v>
      </c>
      <c r="AI3416">
        <v>3</v>
      </c>
      <c r="AJ3416">
        <v>1</v>
      </c>
      <c r="AK3416">
        <v>0</v>
      </c>
      <c r="AL3416" t="s">
        <v>6428</v>
      </c>
      <c r="AM3416">
        <v>47.011420999999999</v>
      </c>
      <c r="AN3416" t="s">
        <v>6429</v>
      </c>
      <c r="AO3416">
        <v>-123.740859</v>
      </c>
      <c r="AP3416">
        <v>100</v>
      </c>
      <c r="AQ3416">
        <v>2000</v>
      </c>
      <c r="AR3416" t="s">
        <v>118</v>
      </c>
      <c r="AS3416">
        <v>-78</v>
      </c>
      <c r="AT3416">
        <v>11</v>
      </c>
      <c r="AU3416">
        <v>128</v>
      </c>
      <c r="BC3416">
        <v>1200</v>
      </c>
      <c r="BD3416">
        <v>1</v>
      </c>
      <c r="BE3416" t="str">
        <f t="shared" si="161"/>
        <v xml:space="preserve">N215T   </v>
      </c>
      <c r="BF3416">
        <v>1</v>
      </c>
      <c r="BH3416">
        <v>0</v>
      </c>
      <c r="BI3416">
        <v>0</v>
      </c>
      <c r="BJ3416">
        <v>0</v>
      </c>
      <c r="BK3416">
        <v>2425</v>
      </c>
      <c r="BL3416">
        <v>425</v>
      </c>
      <c r="BM3416" t="s">
        <v>119</v>
      </c>
      <c r="BN3416">
        <v>1</v>
      </c>
      <c r="BO3416">
        <v>1</v>
      </c>
      <c r="BP3416">
        <v>1</v>
      </c>
      <c r="BQ3416">
        <v>0</v>
      </c>
      <c r="BT3416">
        <v>0</v>
      </c>
      <c r="BU3416">
        <v>0</v>
      </c>
      <c r="BV3416">
        <v>0</v>
      </c>
      <c r="CC3416" t="str">
        <f>"19:31:52.898"</f>
        <v>19:31:52.898</v>
      </c>
      <c r="CD3416" t="str">
        <f>"895798302"</f>
        <v>895798302</v>
      </c>
      <c r="CQ3416">
        <v>0</v>
      </c>
      <c r="CR3416">
        <v>2</v>
      </c>
      <c r="CS3416">
        <v>0</v>
      </c>
      <c r="CT3416">
        <v>2</v>
      </c>
      <c r="CU3416">
        <v>0</v>
      </c>
      <c r="CV3416">
        <v>6</v>
      </c>
      <c r="CW3416" t="s">
        <v>120</v>
      </c>
      <c r="CX3416">
        <v>257</v>
      </c>
      <c r="CY3416">
        <v>0</v>
      </c>
      <c r="CZ3416" t="s">
        <v>615</v>
      </c>
      <c r="DA3416" t="s">
        <v>616</v>
      </c>
      <c r="DD3416">
        <v>16417377</v>
      </c>
      <c r="DE3416" t="s">
        <v>123</v>
      </c>
    </row>
    <row r="3417" spans="1:109" x14ac:dyDescent="0.3">
      <c r="A3417" t="str">
        <f>"19:31:54.109"</f>
        <v>19:31:54.109</v>
      </c>
      <c r="B3417" t="s">
        <v>110</v>
      </c>
      <c r="C3417" t="str">
        <f t="shared" si="159"/>
        <v>ffdfd3c0</v>
      </c>
      <c r="D3417" t="s">
        <v>111</v>
      </c>
      <c r="E3417">
        <v>18</v>
      </c>
      <c r="F3417">
        <v>1018</v>
      </c>
      <c r="G3417" t="s">
        <v>112</v>
      </c>
      <c r="J3417" t="s">
        <v>113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R3417" t="s">
        <v>114</v>
      </c>
      <c r="S3417" t="str">
        <f>"19:31:53.867"</f>
        <v>19:31:53.867</v>
      </c>
      <c r="T3417" t="str">
        <f>"19:31:53.469"</f>
        <v>19:31:53.469</v>
      </c>
      <c r="U3417" t="str">
        <f t="shared" si="160"/>
        <v>a1cdbe</v>
      </c>
      <c r="V3417">
        <v>0</v>
      </c>
      <c r="W3417">
        <v>0</v>
      </c>
      <c r="X3417">
        <v>2</v>
      </c>
      <c r="Y3417">
        <v>0</v>
      </c>
      <c r="Z3417">
        <v>0</v>
      </c>
      <c r="AB3417">
        <v>0</v>
      </c>
      <c r="AC3417">
        <v>9</v>
      </c>
      <c r="AD3417">
        <v>3</v>
      </c>
      <c r="AE3417">
        <v>0</v>
      </c>
      <c r="AF3417">
        <v>9</v>
      </c>
      <c r="AG3417" t="s">
        <v>158</v>
      </c>
      <c r="AH3417">
        <v>0</v>
      </c>
      <c r="AI3417">
        <v>3</v>
      </c>
      <c r="AJ3417">
        <v>1</v>
      </c>
      <c r="AK3417">
        <v>0</v>
      </c>
      <c r="AL3417" t="s">
        <v>6428</v>
      </c>
      <c r="AM3417">
        <v>47.011420999999999</v>
      </c>
      <c r="AN3417" t="s">
        <v>6430</v>
      </c>
      <c r="AO3417">
        <v>-123.741417</v>
      </c>
      <c r="AP3417">
        <v>100</v>
      </c>
      <c r="AQ3417">
        <v>2100</v>
      </c>
      <c r="AR3417" t="s">
        <v>118</v>
      </c>
      <c r="AS3417">
        <v>-78</v>
      </c>
      <c r="AT3417">
        <v>11</v>
      </c>
      <c r="AU3417">
        <v>128</v>
      </c>
      <c r="BC3417">
        <v>1200</v>
      </c>
      <c r="BD3417">
        <v>1</v>
      </c>
      <c r="BE3417" t="str">
        <f t="shared" si="161"/>
        <v xml:space="preserve">N215T   </v>
      </c>
      <c r="BF3417">
        <v>1</v>
      </c>
      <c r="BH3417">
        <v>0</v>
      </c>
      <c r="BI3417">
        <v>0</v>
      </c>
      <c r="BJ3417">
        <v>0</v>
      </c>
      <c r="BK3417">
        <v>2425</v>
      </c>
      <c r="BL3417">
        <v>325</v>
      </c>
      <c r="BM3417" t="s">
        <v>119</v>
      </c>
      <c r="BN3417">
        <v>1</v>
      </c>
      <c r="BO3417">
        <v>1</v>
      </c>
      <c r="BP3417">
        <v>1</v>
      </c>
      <c r="BQ3417">
        <v>0</v>
      </c>
      <c r="BT3417">
        <v>0</v>
      </c>
      <c r="BU3417">
        <v>0</v>
      </c>
      <c r="BV3417">
        <v>0</v>
      </c>
      <c r="CC3417" t="str">
        <f>"19:31:53.867"</f>
        <v>19:31:53.867</v>
      </c>
      <c r="CD3417" t="str">
        <f>"870702222"</f>
        <v>870702222</v>
      </c>
      <c r="CQ3417">
        <v>0</v>
      </c>
      <c r="CR3417">
        <v>2</v>
      </c>
      <c r="CS3417">
        <v>0</v>
      </c>
      <c r="CT3417">
        <v>2</v>
      </c>
      <c r="CU3417">
        <v>0</v>
      </c>
      <c r="CV3417">
        <v>6</v>
      </c>
      <c r="CW3417" t="s">
        <v>120</v>
      </c>
      <c r="CX3417">
        <v>257</v>
      </c>
      <c r="CY3417">
        <v>0</v>
      </c>
      <c r="CZ3417" t="s">
        <v>615</v>
      </c>
      <c r="DA3417" t="s">
        <v>616</v>
      </c>
      <c r="DD3417">
        <v>16417752</v>
      </c>
      <c r="DE3417" t="s">
        <v>123</v>
      </c>
    </row>
    <row r="3418" spans="1:109" x14ac:dyDescent="0.3">
      <c r="A3418" t="str">
        <f>"19:31:54.914"</f>
        <v>19:31:54.914</v>
      </c>
      <c r="B3418" t="s">
        <v>110</v>
      </c>
      <c r="C3418" t="str">
        <f t="shared" si="159"/>
        <v>ffdfd3c0</v>
      </c>
      <c r="D3418" t="s">
        <v>111</v>
      </c>
      <c r="E3418">
        <v>18</v>
      </c>
      <c r="F3418">
        <v>1018</v>
      </c>
      <c r="G3418" t="s">
        <v>112</v>
      </c>
      <c r="J3418" t="s">
        <v>113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R3418" t="s">
        <v>114</v>
      </c>
      <c r="S3418" t="str">
        <f>"19:31:54.695"</f>
        <v>19:31:54.695</v>
      </c>
      <c r="T3418" t="str">
        <f>"19:31:54.594"</f>
        <v>19:31:54.594</v>
      </c>
      <c r="U3418" t="str">
        <f t="shared" si="160"/>
        <v>a1cdbe</v>
      </c>
      <c r="V3418">
        <v>0</v>
      </c>
      <c r="W3418">
        <v>0</v>
      </c>
      <c r="X3418">
        <v>2</v>
      </c>
      <c r="Y3418">
        <v>0</v>
      </c>
      <c r="Z3418">
        <v>0</v>
      </c>
      <c r="AB3418">
        <v>0</v>
      </c>
      <c r="AC3418">
        <v>9</v>
      </c>
      <c r="AD3418">
        <v>3</v>
      </c>
      <c r="AE3418">
        <v>0</v>
      </c>
      <c r="AF3418">
        <v>9</v>
      </c>
      <c r="AG3418" t="s">
        <v>158</v>
      </c>
      <c r="AH3418">
        <v>0</v>
      </c>
      <c r="AI3418">
        <v>3</v>
      </c>
      <c r="AJ3418">
        <v>1</v>
      </c>
      <c r="AK3418">
        <v>0</v>
      </c>
      <c r="AL3418" t="s">
        <v>6431</v>
      </c>
      <c r="AM3418">
        <v>47.011485</v>
      </c>
      <c r="AN3418" t="s">
        <v>6432</v>
      </c>
      <c r="AO3418">
        <v>-123.74182500000001</v>
      </c>
      <c r="AP3418">
        <v>100</v>
      </c>
      <c r="AQ3418">
        <v>2100</v>
      </c>
      <c r="AR3418" t="s">
        <v>118</v>
      </c>
      <c r="AS3418">
        <v>-78</v>
      </c>
      <c r="AT3418">
        <v>12</v>
      </c>
      <c r="AU3418">
        <v>128</v>
      </c>
      <c r="BC3418">
        <v>1200</v>
      </c>
      <c r="BD3418">
        <v>1</v>
      </c>
      <c r="BE3418" t="str">
        <f t="shared" si="161"/>
        <v xml:space="preserve">N215T   </v>
      </c>
      <c r="BF3418">
        <v>1</v>
      </c>
      <c r="BH3418">
        <v>0</v>
      </c>
      <c r="BI3418">
        <v>0</v>
      </c>
      <c r="BJ3418">
        <v>0</v>
      </c>
      <c r="BK3418">
        <v>2425</v>
      </c>
      <c r="BL3418">
        <v>325</v>
      </c>
      <c r="BM3418" t="s">
        <v>119</v>
      </c>
      <c r="BN3418">
        <v>1</v>
      </c>
      <c r="BO3418">
        <v>1</v>
      </c>
      <c r="BP3418">
        <v>1</v>
      </c>
      <c r="BQ3418">
        <v>0</v>
      </c>
      <c r="BT3418">
        <v>0</v>
      </c>
      <c r="BU3418">
        <v>0</v>
      </c>
      <c r="BV3418">
        <v>0</v>
      </c>
      <c r="CC3418" t="str">
        <f>"19:31:54.695"</f>
        <v>19:31:54.695</v>
      </c>
      <c r="CD3418" t="str">
        <f>"695620939"</f>
        <v>695620939</v>
      </c>
      <c r="CQ3418">
        <v>0</v>
      </c>
      <c r="CR3418">
        <v>2</v>
      </c>
      <c r="CS3418">
        <v>0</v>
      </c>
      <c r="CT3418">
        <v>2</v>
      </c>
      <c r="CU3418">
        <v>0</v>
      </c>
      <c r="CV3418">
        <v>6</v>
      </c>
      <c r="CW3418" t="s">
        <v>120</v>
      </c>
      <c r="CX3418">
        <v>257</v>
      </c>
      <c r="CY3418">
        <v>0</v>
      </c>
      <c r="CZ3418" t="s">
        <v>615</v>
      </c>
      <c r="DA3418" t="s">
        <v>616</v>
      </c>
      <c r="DD3418">
        <v>16418104</v>
      </c>
      <c r="DE3418" t="s">
        <v>123</v>
      </c>
    </row>
    <row r="3419" spans="1:109" x14ac:dyDescent="0.3">
      <c r="A3419" t="str">
        <f>"19:31:55.820"</f>
        <v>19:31:55.820</v>
      </c>
      <c r="B3419" t="s">
        <v>110</v>
      </c>
      <c r="C3419" t="str">
        <f t="shared" si="159"/>
        <v>ffdfd3c0</v>
      </c>
      <c r="D3419" t="s">
        <v>111</v>
      </c>
      <c r="E3419">
        <v>18</v>
      </c>
      <c r="F3419">
        <v>1018</v>
      </c>
      <c r="G3419" t="s">
        <v>112</v>
      </c>
      <c r="J3419" t="s">
        <v>113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R3419" t="s">
        <v>114</v>
      </c>
      <c r="S3419" t="str">
        <f>"19:31:55.609"</f>
        <v>19:31:55.609</v>
      </c>
      <c r="T3419" t="str">
        <f>"19:31:55.609"</f>
        <v>19:31:55.609</v>
      </c>
      <c r="U3419" t="str">
        <f t="shared" si="160"/>
        <v>a1cdbe</v>
      </c>
      <c r="V3419">
        <v>0</v>
      </c>
      <c r="W3419">
        <v>0</v>
      </c>
      <c r="X3419">
        <v>2</v>
      </c>
      <c r="Y3419">
        <v>0</v>
      </c>
      <c r="Z3419">
        <v>0</v>
      </c>
      <c r="AB3419">
        <v>0</v>
      </c>
      <c r="AC3419">
        <v>9</v>
      </c>
      <c r="AD3419">
        <v>3</v>
      </c>
      <c r="AE3419">
        <v>0</v>
      </c>
      <c r="AF3419">
        <v>9</v>
      </c>
      <c r="AG3419" t="s">
        <v>158</v>
      </c>
      <c r="AH3419">
        <v>0</v>
      </c>
      <c r="AI3419">
        <v>3</v>
      </c>
      <c r="AJ3419">
        <v>1</v>
      </c>
      <c r="AK3419">
        <v>0</v>
      </c>
      <c r="AL3419" t="s">
        <v>6433</v>
      </c>
      <c r="AM3419">
        <v>47.011549000000002</v>
      </c>
      <c r="AN3419" t="s">
        <v>6434</v>
      </c>
      <c r="AO3419">
        <v>-123.742318</v>
      </c>
      <c r="AP3419">
        <v>100</v>
      </c>
      <c r="AQ3419">
        <v>2100</v>
      </c>
      <c r="AR3419" t="s">
        <v>118</v>
      </c>
      <c r="AS3419">
        <v>-78</v>
      </c>
      <c r="AT3419">
        <v>12</v>
      </c>
      <c r="AU3419">
        <v>64</v>
      </c>
      <c r="BC3419">
        <v>1200</v>
      </c>
      <c r="BD3419">
        <v>1</v>
      </c>
      <c r="BE3419" t="str">
        <f t="shared" si="161"/>
        <v xml:space="preserve">N215T   </v>
      </c>
      <c r="BF3419">
        <v>1</v>
      </c>
      <c r="BH3419">
        <v>0</v>
      </c>
      <c r="BI3419">
        <v>0</v>
      </c>
      <c r="BJ3419">
        <v>0</v>
      </c>
      <c r="BK3419">
        <v>2425</v>
      </c>
      <c r="BL3419">
        <v>325</v>
      </c>
      <c r="BM3419" t="s">
        <v>119</v>
      </c>
      <c r="BN3419">
        <v>1</v>
      </c>
      <c r="BO3419">
        <v>1</v>
      </c>
      <c r="BP3419">
        <v>1</v>
      </c>
      <c r="BQ3419">
        <v>0</v>
      </c>
      <c r="BT3419">
        <v>0</v>
      </c>
      <c r="BU3419">
        <v>0</v>
      </c>
      <c r="BV3419">
        <v>0</v>
      </c>
      <c r="CC3419" t="str">
        <f>"19:31:55.609"</f>
        <v>19:31:55.609</v>
      </c>
      <c r="CD3419" t="str">
        <f>"610530766"</f>
        <v>610530766</v>
      </c>
      <c r="CQ3419">
        <v>0</v>
      </c>
      <c r="CR3419">
        <v>2</v>
      </c>
      <c r="CS3419">
        <v>0</v>
      </c>
      <c r="CT3419">
        <v>2</v>
      </c>
      <c r="CU3419">
        <v>0</v>
      </c>
      <c r="CV3419">
        <v>6</v>
      </c>
      <c r="CW3419" t="s">
        <v>120</v>
      </c>
      <c r="CX3419">
        <v>257</v>
      </c>
      <c r="CY3419">
        <v>0</v>
      </c>
      <c r="CZ3419" t="s">
        <v>615</v>
      </c>
      <c r="DA3419" t="s">
        <v>616</v>
      </c>
      <c r="DD3419">
        <v>16418544</v>
      </c>
      <c r="DE3419" t="s">
        <v>123</v>
      </c>
    </row>
    <row r="3420" spans="1:109" x14ac:dyDescent="0.3">
      <c r="A3420" t="str">
        <f>"19:31:56.781"</f>
        <v>19:31:56.781</v>
      </c>
      <c r="B3420" t="s">
        <v>110</v>
      </c>
      <c r="C3420" t="str">
        <f t="shared" si="159"/>
        <v>ffdfd3c0</v>
      </c>
      <c r="D3420" t="s">
        <v>111</v>
      </c>
      <c r="E3420">
        <v>18</v>
      </c>
      <c r="F3420">
        <v>1018</v>
      </c>
      <c r="G3420" t="s">
        <v>112</v>
      </c>
      <c r="J3420" t="s">
        <v>113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R3420" t="s">
        <v>114</v>
      </c>
      <c r="S3420" t="str">
        <f>"19:31:56.555"</f>
        <v>19:31:56.555</v>
      </c>
      <c r="T3420" t="str">
        <f>"19:31:56.555"</f>
        <v>19:31:56.555</v>
      </c>
      <c r="U3420" t="str">
        <f t="shared" si="160"/>
        <v>a1cdbe</v>
      </c>
      <c r="V3420">
        <v>0</v>
      </c>
      <c r="W3420">
        <v>0</v>
      </c>
      <c r="X3420">
        <v>2</v>
      </c>
      <c r="Y3420">
        <v>0</v>
      </c>
      <c r="Z3420">
        <v>0</v>
      </c>
      <c r="AB3420">
        <v>0</v>
      </c>
      <c r="AC3420">
        <v>9</v>
      </c>
      <c r="AD3420">
        <v>3</v>
      </c>
      <c r="AE3420">
        <v>0</v>
      </c>
      <c r="AF3420">
        <v>9</v>
      </c>
      <c r="AG3420" t="s">
        <v>158</v>
      </c>
      <c r="AH3420">
        <v>0</v>
      </c>
      <c r="AI3420">
        <v>3</v>
      </c>
      <c r="AJ3420">
        <v>1</v>
      </c>
      <c r="AK3420">
        <v>0</v>
      </c>
      <c r="AL3420" t="s">
        <v>6435</v>
      </c>
      <c r="AM3420">
        <v>47.011571000000004</v>
      </c>
      <c r="AN3420" t="s">
        <v>6436</v>
      </c>
      <c r="AO3420">
        <v>-123.742812</v>
      </c>
      <c r="AP3420">
        <v>100</v>
      </c>
      <c r="AQ3420">
        <v>2100</v>
      </c>
      <c r="AR3420" t="s">
        <v>118</v>
      </c>
      <c r="AS3420">
        <v>-77</v>
      </c>
      <c r="AT3420">
        <v>13</v>
      </c>
      <c r="AU3420">
        <v>64</v>
      </c>
      <c r="BC3420">
        <v>1200</v>
      </c>
      <c r="BD3420">
        <v>1</v>
      </c>
      <c r="BE3420" t="str">
        <f t="shared" si="161"/>
        <v xml:space="preserve">N215T   </v>
      </c>
      <c r="BF3420">
        <v>1</v>
      </c>
      <c r="BH3420">
        <v>0</v>
      </c>
      <c r="BI3420">
        <v>0</v>
      </c>
      <c r="BJ3420">
        <v>0</v>
      </c>
      <c r="BK3420">
        <v>2425</v>
      </c>
      <c r="BL3420">
        <v>325</v>
      </c>
      <c r="BM3420" t="s">
        <v>119</v>
      </c>
      <c r="BN3420">
        <v>1</v>
      </c>
      <c r="BO3420">
        <v>1</v>
      </c>
      <c r="BP3420">
        <v>1</v>
      </c>
      <c r="BQ3420">
        <v>0</v>
      </c>
      <c r="BT3420">
        <v>0</v>
      </c>
      <c r="BU3420">
        <v>0</v>
      </c>
      <c r="BV3420">
        <v>0</v>
      </c>
      <c r="CC3420" t="str">
        <f>"19:31:56.555"</f>
        <v>19:31:56.555</v>
      </c>
      <c r="CD3420" t="str">
        <f>"555437662"</f>
        <v>555437662</v>
      </c>
      <c r="CQ3420">
        <v>0</v>
      </c>
      <c r="CR3420">
        <v>2</v>
      </c>
      <c r="CS3420">
        <v>0</v>
      </c>
      <c r="CT3420">
        <v>2</v>
      </c>
      <c r="CU3420">
        <v>0</v>
      </c>
      <c r="CV3420">
        <v>6</v>
      </c>
      <c r="CW3420" t="s">
        <v>120</v>
      </c>
      <c r="CX3420">
        <v>257</v>
      </c>
      <c r="CY3420">
        <v>0</v>
      </c>
      <c r="CZ3420" t="s">
        <v>615</v>
      </c>
      <c r="DA3420" t="s">
        <v>616</v>
      </c>
      <c r="DD3420">
        <v>16418948</v>
      </c>
      <c r="DE3420" t="s">
        <v>123</v>
      </c>
    </row>
    <row r="3421" spans="1:109" x14ac:dyDescent="0.3">
      <c r="A3421" t="str">
        <f>"19:31:57.836"</f>
        <v>19:31:57.836</v>
      </c>
      <c r="B3421" t="s">
        <v>110</v>
      </c>
      <c r="C3421" t="str">
        <f t="shared" si="159"/>
        <v>ffdfd3c0</v>
      </c>
      <c r="D3421" t="s">
        <v>111</v>
      </c>
      <c r="E3421">
        <v>18</v>
      </c>
      <c r="F3421">
        <v>1018</v>
      </c>
      <c r="G3421" t="s">
        <v>112</v>
      </c>
      <c r="J3421" t="s">
        <v>113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R3421" t="s">
        <v>114</v>
      </c>
      <c r="S3421" t="str">
        <f>"19:31:57.617"</f>
        <v>19:31:57.617</v>
      </c>
      <c r="T3421" t="str">
        <f>"19:31:57.617"</f>
        <v>19:31:57.617</v>
      </c>
      <c r="U3421" t="str">
        <f t="shared" si="160"/>
        <v>a1cdbe</v>
      </c>
      <c r="V3421">
        <v>0</v>
      </c>
      <c r="W3421">
        <v>0</v>
      </c>
      <c r="X3421">
        <v>2</v>
      </c>
      <c r="Y3421">
        <v>0</v>
      </c>
      <c r="Z3421">
        <v>0</v>
      </c>
      <c r="AB3421">
        <v>0</v>
      </c>
      <c r="AC3421">
        <v>9</v>
      </c>
      <c r="AD3421">
        <v>3</v>
      </c>
      <c r="AE3421">
        <v>0</v>
      </c>
      <c r="AF3421">
        <v>9</v>
      </c>
      <c r="AG3421" t="s">
        <v>158</v>
      </c>
      <c r="AH3421">
        <v>0</v>
      </c>
      <c r="AI3421">
        <v>3</v>
      </c>
      <c r="AJ3421">
        <v>1</v>
      </c>
      <c r="AK3421">
        <v>0</v>
      </c>
      <c r="AL3421" t="s">
        <v>6437</v>
      </c>
      <c r="AM3421">
        <v>47.011634999999998</v>
      </c>
      <c r="AN3421" t="s">
        <v>6438</v>
      </c>
      <c r="AO3421">
        <v>-123.743348</v>
      </c>
      <c r="AP3421">
        <v>100</v>
      </c>
      <c r="AQ3421">
        <v>2100</v>
      </c>
      <c r="AR3421" t="s">
        <v>118</v>
      </c>
      <c r="AS3421">
        <v>-77</v>
      </c>
      <c r="AT3421">
        <v>13</v>
      </c>
      <c r="AU3421">
        <v>64</v>
      </c>
      <c r="BC3421">
        <v>1200</v>
      </c>
      <c r="BD3421">
        <v>1</v>
      </c>
      <c r="BE3421" t="str">
        <f t="shared" si="161"/>
        <v xml:space="preserve">N215T   </v>
      </c>
      <c r="BF3421">
        <v>1</v>
      </c>
      <c r="BH3421">
        <v>0</v>
      </c>
      <c r="BI3421">
        <v>0</v>
      </c>
      <c r="BJ3421">
        <v>0</v>
      </c>
      <c r="BK3421">
        <v>2425</v>
      </c>
      <c r="BL3421">
        <v>325</v>
      </c>
      <c r="BM3421" t="s">
        <v>119</v>
      </c>
      <c r="BN3421">
        <v>1</v>
      </c>
      <c r="BO3421">
        <v>1</v>
      </c>
      <c r="BP3421">
        <v>1</v>
      </c>
      <c r="BQ3421">
        <v>0</v>
      </c>
      <c r="BT3421">
        <v>0</v>
      </c>
      <c r="BU3421">
        <v>0</v>
      </c>
      <c r="BV3421">
        <v>0</v>
      </c>
      <c r="CC3421" t="str">
        <f>"19:31:57.617"</f>
        <v>19:31:57.617</v>
      </c>
      <c r="CD3421" t="str">
        <f>"620332746"</f>
        <v>620332746</v>
      </c>
      <c r="CQ3421">
        <v>0</v>
      </c>
      <c r="CR3421">
        <v>2</v>
      </c>
      <c r="CS3421">
        <v>0</v>
      </c>
      <c r="CT3421">
        <v>2</v>
      </c>
      <c r="CU3421">
        <v>0</v>
      </c>
      <c r="CV3421">
        <v>5</v>
      </c>
      <c r="CW3421" t="s">
        <v>120</v>
      </c>
      <c r="CX3421">
        <v>257</v>
      </c>
      <c r="CY3421">
        <v>0</v>
      </c>
      <c r="CZ3421" t="s">
        <v>615</v>
      </c>
      <c r="DA3421" t="s">
        <v>616</v>
      </c>
      <c r="DD3421">
        <v>16419397</v>
      </c>
      <c r="DE3421" t="s">
        <v>123</v>
      </c>
    </row>
    <row r="3422" spans="1:109" x14ac:dyDescent="0.3">
      <c r="A3422" t="str">
        <f>"19:31:58.734"</f>
        <v>19:31:58.734</v>
      </c>
      <c r="B3422" t="s">
        <v>110</v>
      </c>
      <c r="C3422" t="str">
        <f t="shared" si="159"/>
        <v>ffdfd3c0</v>
      </c>
      <c r="D3422" t="s">
        <v>111</v>
      </c>
      <c r="E3422">
        <v>18</v>
      </c>
      <c r="F3422">
        <v>1018</v>
      </c>
      <c r="G3422" t="s">
        <v>112</v>
      </c>
      <c r="J3422" t="s">
        <v>113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R3422" t="s">
        <v>114</v>
      </c>
      <c r="S3422" t="str">
        <f>"19:31:58.484"</f>
        <v>19:31:58.484</v>
      </c>
      <c r="T3422" t="str">
        <f>"19:31:58.484"</f>
        <v>19:31:58.484</v>
      </c>
      <c r="U3422" t="str">
        <f t="shared" si="160"/>
        <v>a1cdbe</v>
      </c>
      <c r="V3422">
        <v>0</v>
      </c>
      <c r="W3422">
        <v>0</v>
      </c>
      <c r="X3422">
        <v>2</v>
      </c>
      <c r="Y3422">
        <v>0</v>
      </c>
      <c r="Z3422">
        <v>0</v>
      </c>
      <c r="AB3422">
        <v>0</v>
      </c>
      <c r="AC3422">
        <v>9</v>
      </c>
      <c r="AD3422">
        <v>3</v>
      </c>
      <c r="AE3422">
        <v>0</v>
      </c>
      <c r="AF3422">
        <v>9</v>
      </c>
      <c r="AG3422" t="s">
        <v>158</v>
      </c>
      <c r="AH3422">
        <v>0</v>
      </c>
      <c r="AI3422">
        <v>3</v>
      </c>
      <c r="AJ3422">
        <v>1</v>
      </c>
      <c r="AK3422">
        <v>0</v>
      </c>
      <c r="AL3422" t="s">
        <v>755</v>
      </c>
      <c r="AM3422">
        <v>47.011743000000003</v>
      </c>
      <c r="AN3422" t="s">
        <v>6439</v>
      </c>
      <c r="AO3422">
        <v>-123.74382</v>
      </c>
      <c r="AP3422">
        <v>100</v>
      </c>
      <c r="AQ3422">
        <v>2100</v>
      </c>
      <c r="AR3422" t="s">
        <v>118</v>
      </c>
      <c r="AS3422">
        <v>-77</v>
      </c>
      <c r="AT3422">
        <v>13</v>
      </c>
      <c r="AU3422">
        <v>64</v>
      </c>
      <c r="BC3422">
        <v>1200</v>
      </c>
      <c r="BD3422">
        <v>1</v>
      </c>
      <c r="BE3422" t="str">
        <f t="shared" si="161"/>
        <v xml:space="preserve">N215T   </v>
      </c>
      <c r="BF3422">
        <v>1</v>
      </c>
      <c r="BH3422">
        <v>0</v>
      </c>
      <c r="BI3422">
        <v>0</v>
      </c>
      <c r="BJ3422">
        <v>0</v>
      </c>
      <c r="BK3422">
        <v>2425</v>
      </c>
      <c r="BL3422">
        <v>325</v>
      </c>
      <c r="BM3422" t="s">
        <v>119</v>
      </c>
      <c r="BN3422">
        <v>1</v>
      </c>
      <c r="BO3422">
        <v>1</v>
      </c>
      <c r="BP3422">
        <v>1</v>
      </c>
      <c r="BQ3422">
        <v>0</v>
      </c>
      <c r="BT3422">
        <v>0</v>
      </c>
      <c r="BU3422">
        <v>0</v>
      </c>
      <c r="BV3422">
        <v>0</v>
      </c>
      <c r="CC3422" t="str">
        <f>"19:31:58.492"</f>
        <v>19:31:58.492</v>
      </c>
      <c r="CD3422" t="str">
        <f>"490246999"</f>
        <v>490246999</v>
      </c>
      <c r="CQ3422">
        <v>0</v>
      </c>
      <c r="CR3422">
        <v>2</v>
      </c>
      <c r="CS3422">
        <v>0</v>
      </c>
      <c r="CT3422">
        <v>2</v>
      </c>
      <c r="CU3422">
        <v>0</v>
      </c>
      <c r="CV3422">
        <v>6</v>
      </c>
      <c r="CW3422" t="s">
        <v>120</v>
      </c>
      <c r="CX3422">
        <v>257</v>
      </c>
      <c r="CY3422">
        <v>0</v>
      </c>
      <c r="CZ3422" t="s">
        <v>615</v>
      </c>
      <c r="DA3422" t="s">
        <v>616</v>
      </c>
      <c r="DD3422">
        <v>16419757</v>
      </c>
      <c r="DE3422" t="s">
        <v>123</v>
      </c>
    </row>
    <row r="3423" spans="1:109" x14ac:dyDescent="0.3">
      <c r="A3423" t="str">
        <f>"19:31:59.844"</f>
        <v>19:31:59.844</v>
      </c>
      <c r="B3423" t="s">
        <v>110</v>
      </c>
      <c r="C3423" t="str">
        <f t="shared" si="159"/>
        <v>ffdfd3c0</v>
      </c>
      <c r="D3423" t="s">
        <v>111</v>
      </c>
      <c r="E3423">
        <v>18</v>
      </c>
      <c r="F3423">
        <v>1018</v>
      </c>
      <c r="G3423" t="s">
        <v>112</v>
      </c>
      <c r="J3423" t="s">
        <v>113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R3423" t="s">
        <v>114</v>
      </c>
      <c r="S3423" t="str">
        <f>"19:31:59.625"</f>
        <v>19:31:59.625</v>
      </c>
      <c r="T3423" t="str">
        <f>"19:31:59.422"</f>
        <v>19:31:59.422</v>
      </c>
      <c r="U3423" t="str">
        <f t="shared" si="160"/>
        <v>a1cdbe</v>
      </c>
      <c r="V3423">
        <v>0</v>
      </c>
      <c r="W3423">
        <v>0</v>
      </c>
      <c r="X3423">
        <v>2</v>
      </c>
      <c r="Y3423">
        <v>0</v>
      </c>
      <c r="Z3423">
        <v>0</v>
      </c>
      <c r="AB3423">
        <v>0</v>
      </c>
      <c r="AC3423">
        <v>9</v>
      </c>
      <c r="AD3423">
        <v>3</v>
      </c>
      <c r="AE3423">
        <v>0</v>
      </c>
      <c r="AF3423">
        <v>9</v>
      </c>
      <c r="AG3423" t="s">
        <v>158</v>
      </c>
      <c r="AH3423">
        <v>0</v>
      </c>
      <c r="AI3423">
        <v>3</v>
      </c>
      <c r="AJ3423">
        <v>1</v>
      </c>
      <c r="AK3423">
        <v>0</v>
      </c>
      <c r="AL3423" t="s">
        <v>6440</v>
      </c>
      <c r="AM3423">
        <v>47.011786000000001</v>
      </c>
      <c r="AN3423" t="s">
        <v>6441</v>
      </c>
      <c r="AO3423">
        <v>-123.74444200000001</v>
      </c>
      <c r="AP3423">
        <v>100</v>
      </c>
      <c r="AQ3423">
        <v>2100</v>
      </c>
      <c r="AR3423" t="s">
        <v>118</v>
      </c>
      <c r="AS3423">
        <v>-77</v>
      </c>
      <c r="AT3423">
        <v>13</v>
      </c>
      <c r="AU3423">
        <v>64</v>
      </c>
      <c r="BC3423">
        <v>1200</v>
      </c>
      <c r="BD3423">
        <v>1</v>
      </c>
      <c r="BE3423" t="str">
        <f t="shared" si="161"/>
        <v xml:space="preserve">N215T   </v>
      </c>
      <c r="BF3423">
        <v>1</v>
      </c>
      <c r="BH3423">
        <v>0</v>
      </c>
      <c r="BI3423">
        <v>0</v>
      </c>
      <c r="BJ3423">
        <v>0</v>
      </c>
      <c r="BK3423">
        <v>2450</v>
      </c>
      <c r="BL3423">
        <v>350</v>
      </c>
      <c r="BM3423" t="s">
        <v>119</v>
      </c>
      <c r="BN3423">
        <v>1</v>
      </c>
      <c r="BO3423">
        <v>1</v>
      </c>
      <c r="BP3423">
        <v>1</v>
      </c>
      <c r="BQ3423">
        <v>0</v>
      </c>
      <c r="BT3423">
        <v>0</v>
      </c>
      <c r="BU3423">
        <v>0</v>
      </c>
      <c r="BV3423">
        <v>0</v>
      </c>
      <c r="CC3423" t="str">
        <f>"19:31:59.633"</f>
        <v>19:31:59.633</v>
      </c>
      <c r="CD3423" t="str">
        <f>"630134674"</f>
        <v>630134674</v>
      </c>
      <c r="CQ3423">
        <v>0</v>
      </c>
      <c r="CR3423">
        <v>2</v>
      </c>
      <c r="CS3423">
        <v>0</v>
      </c>
      <c r="CT3423">
        <v>2</v>
      </c>
      <c r="CU3423">
        <v>0</v>
      </c>
      <c r="CV3423">
        <v>6</v>
      </c>
      <c r="CW3423" t="s">
        <v>120</v>
      </c>
      <c r="CX3423">
        <v>257</v>
      </c>
      <c r="CY3423">
        <v>0</v>
      </c>
      <c r="CZ3423" t="s">
        <v>615</v>
      </c>
      <c r="DA3423" t="s">
        <v>616</v>
      </c>
      <c r="DD3423">
        <v>16420292</v>
      </c>
      <c r="DE3423" t="s">
        <v>123</v>
      </c>
    </row>
    <row r="3424" spans="1:109" x14ac:dyDescent="0.3">
      <c r="A3424" t="str">
        <f>"19:32:00.953"</f>
        <v>19:32:00.953</v>
      </c>
      <c r="B3424" t="s">
        <v>110</v>
      </c>
      <c r="C3424" t="str">
        <f t="shared" si="159"/>
        <v>ffdfd3c0</v>
      </c>
      <c r="D3424" t="s">
        <v>111</v>
      </c>
      <c r="E3424">
        <v>18</v>
      </c>
      <c r="F3424">
        <v>1018</v>
      </c>
      <c r="G3424" t="s">
        <v>112</v>
      </c>
      <c r="J3424" t="s">
        <v>113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R3424" t="s">
        <v>114</v>
      </c>
      <c r="S3424" t="str">
        <f>"19:32:00.734"</f>
        <v>19:32:00.734</v>
      </c>
      <c r="T3424" t="str">
        <f>"19:32:00.633"</f>
        <v>19:32:00.633</v>
      </c>
      <c r="U3424" t="str">
        <f t="shared" si="160"/>
        <v>a1cdbe</v>
      </c>
      <c r="V3424">
        <v>0</v>
      </c>
      <c r="W3424">
        <v>0</v>
      </c>
      <c r="X3424">
        <v>2</v>
      </c>
      <c r="Y3424">
        <v>0</v>
      </c>
      <c r="Z3424">
        <v>0</v>
      </c>
      <c r="AB3424">
        <v>0</v>
      </c>
      <c r="AC3424">
        <v>9</v>
      </c>
      <c r="AD3424">
        <v>3</v>
      </c>
      <c r="AE3424">
        <v>0</v>
      </c>
      <c r="AF3424">
        <v>9</v>
      </c>
      <c r="AG3424" t="s">
        <v>158</v>
      </c>
      <c r="AH3424">
        <v>0</v>
      </c>
      <c r="AI3424">
        <v>3</v>
      </c>
      <c r="AJ3424">
        <v>1</v>
      </c>
      <c r="AK3424">
        <v>0</v>
      </c>
      <c r="AL3424" t="s">
        <v>6442</v>
      </c>
      <c r="AM3424">
        <v>47.011870999999999</v>
      </c>
      <c r="AN3424" t="s">
        <v>6443</v>
      </c>
      <c r="AO3424">
        <v>-123.744979</v>
      </c>
      <c r="AP3424">
        <v>100</v>
      </c>
      <c r="AQ3424">
        <v>2100</v>
      </c>
      <c r="AR3424" t="s">
        <v>118</v>
      </c>
      <c r="AS3424">
        <v>-77</v>
      </c>
      <c r="AT3424">
        <v>13</v>
      </c>
      <c r="AU3424">
        <v>64</v>
      </c>
      <c r="BC3424">
        <v>1200</v>
      </c>
      <c r="BD3424">
        <v>1</v>
      </c>
      <c r="BE3424" t="str">
        <f t="shared" si="161"/>
        <v xml:space="preserve">N215T   </v>
      </c>
      <c r="BF3424">
        <v>1</v>
      </c>
      <c r="BH3424">
        <v>0</v>
      </c>
      <c r="BI3424">
        <v>0</v>
      </c>
      <c r="BJ3424">
        <v>0</v>
      </c>
      <c r="BK3424">
        <v>2425</v>
      </c>
      <c r="BL3424">
        <v>325</v>
      </c>
      <c r="BM3424" t="s">
        <v>119</v>
      </c>
      <c r="BN3424">
        <v>1</v>
      </c>
      <c r="BO3424">
        <v>1</v>
      </c>
      <c r="BP3424">
        <v>1</v>
      </c>
      <c r="BQ3424">
        <v>0</v>
      </c>
      <c r="BT3424">
        <v>0</v>
      </c>
      <c r="BU3424">
        <v>0</v>
      </c>
      <c r="BV3424">
        <v>0</v>
      </c>
      <c r="CC3424" t="str">
        <f>"19:32:00.742"</f>
        <v>19:32:00.742</v>
      </c>
      <c r="CD3424" t="str">
        <f>"740025306"</f>
        <v>740025306</v>
      </c>
      <c r="CQ3424">
        <v>0</v>
      </c>
      <c r="CR3424">
        <v>2</v>
      </c>
      <c r="CS3424">
        <v>0</v>
      </c>
      <c r="CT3424">
        <v>2</v>
      </c>
      <c r="CU3424">
        <v>0</v>
      </c>
      <c r="CV3424">
        <v>6</v>
      </c>
      <c r="CW3424" t="s">
        <v>120</v>
      </c>
      <c r="CX3424">
        <v>257</v>
      </c>
      <c r="CY3424">
        <v>0</v>
      </c>
      <c r="CZ3424" t="s">
        <v>615</v>
      </c>
      <c r="DA3424" t="s">
        <v>616</v>
      </c>
      <c r="DD3424">
        <v>16420810</v>
      </c>
      <c r="DE3424" t="s">
        <v>123</v>
      </c>
    </row>
    <row r="3425" spans="1:109" x14ac:dyDescent="0.3">
      <c r="A3425" t="str">
        <f>"19:32:01.906"</f>
        <v>19:32:01.906</v>
      </c>
      <c r="B3425" t="s">
        <v>110</v>
      </c>
      <c r="C3425" t="str">
        <f t="shared" si="159"/>
        <v>ffdfd3c0</v>
      </c>
      <c r="D3425" t="s">
        <v>111</v>
      </c>
      <c r="E3425">
        <v>18</v>
      </c>
      <c r="F3425">
        <v>1018</v>
      </c>
      <c r="G3425" t="s">
        <v>112</v>
      </c>
      <c r="J3425" t="s">
        <v>113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R3425" t="s">
        <v>114</v>
      </c>
      <c r="S3425" t="str">
        <f>"19:32:01.664"</f>
        <v>19:32:01.664</v>
      </c>
      <c r="T3425" t="str">
        <f>"19:32:01.563"</f>
        <v>19:32:01.563</v>
      </c>
      <c r="U3425" t="str">
        <f t="shared" si="160"/>
        <v>a1cdbe</v>
      </c>
      <c r="V3425">
        <v>0</v>
      </c>
      <c r="W3425">
        <v>0</v>
      </c>
      <c r="X3425">
        <v>2</v>
      </c>
      <c r="Y3425">
        <v>0</v>
      </c>
      <c r="Z3425">
        <v>0</v>
      </c>
      <c r="AB3425">
        <v>0</v>
      </c>
      <c r="AC3425">
        <v>9</v>
      </c>
      <c r="AD3425">
        <v>3</v>
      </c>
      <c r="AE3425">
        <v>0</v>
      </c>
      <c r="AF3425">
        <v>9</v>
      </c>
      <c r="AG3425" t="s">
        <v>158</v>
      </c>
      <c r="AH3425">
        <v>0</v>
      </c>
      <c r="AI3425">
        <v>3</v>
      </c>
      <c r="AJ3425">
        <v>1</v>
      </c>
      <c r="AK3425">
        <v>0</v>
      </c>
      <c r="AL3425" t="s">
        <v>6444</v>
      </c>
      <c r="AM3425">
        <v>47.011913999999997</v>
      </c>
      <c r="AN3425" t="s">
        <v>6445</v>
      </c>
      <c r="AO3425">
        <v>-123.74547200000001</v>
      </c>
      <c r="AP3425">
        <v>100</v>
      </c>
      <c r="AQ3425">
        <v>2100</v>
      </c>
      <c r="AR3425" t="s">
        <v>118</v>
      </c>
      <c r="AS3425">
        <v>-77</v>
      </c>
      <c r="AT3425">
        <v>12</v>
      </c>
      <c r="AU3425">
        <v>64</v>
      </c>
      <c r="BC3425">
        <v>1200</v>
      </c>
      <c r="BD3425">
        <v>1</v>
      </c>
      <c r="BE3425" t="str">
        <f t="shared" si="161"/>
        <v xml:space="preserve">N215T   </v>
      </c>
      <c r="BF3425">
        <v>1</v>
      </c>
      <c r="BH3425">
        <v>0</v>
      </c>
      <c r="BI3425">
        <v>0</v>
      </c>
      <c r="BJ3425">
        <v>0</v>
      </c>
      <c r="BK3425">
        <v>2425</v>
      </c>
      <c r="BL3425">
        <v>325</v>
      </c>
      <c r="BM3425" t="s">
        <v>119</v>
      </c>
      <c r="BN3425">
        <v>1</v>
      </c>
      <c r="BO3425">
        <v>1</v>
      </c>
      <c r="BP3425">
        <v>1</v>
      </c>
      <c r="BQ3425">
        <v>0</v>
      </c>
      <c r="BT3425">
        <v>0</v>
      </c>
      <c r="BU3425">
        <v>0</v>
      </c>
      <c r="BV3425">
        <v>0</v>
      </c>
      <c r="CC3425" t="str">
        <f>"19:32:01.672"</f>
        <v>19:32:01.672</v>
      </c>
      <c r="CD3425" t="str">
        <f>"669933682"</f>
        <v>669933682</v>
      </c>
      <c r="CQ3425">
        <v>0</v>
      </c>
      <c r="CR3425">
        <v>2</v>
      </c>
      <c r="CS3425">
        <v>0</v>
      </c>
      <c r="CT3425">
        <v>2</v>
      </c>
      <c r="CU3425">
        <v>0</v>
      </c>
      <c r="CV3425">
        <v>6</v>
      </c>
      <c r="CW3425" t="s">
        <v>120</v>
      </c>
      <c r="CX3425">
        <v>257</v>
      </c>
      <c r="CY3425">
        <v>0</v>
      </c>
      <c r="CZ3425" t="s">
        <v>615</v>
      </c>
      <c r="DA3425" t="s">
        <v>616</v>
      </c>
      <c r="DD3425">
        <v>16421200</v>
      </c>
      <c r="DE3425" t="s">
        <v>123</v>
      </c>
    </row>
    <row r="3426" spans="1:109" x14ac:dyDescent="0.3">
      <c r="A3426" t="str">
        <f>"19:32:02.961"</f>
        <v>19:32:02.961</v>
      </c>
      <c r="B3426" t="s">
        <v>110</v>
      </c>
      <c r="C3426" t="str">
        <f t="shared" si="159"/>
        <v>ffdfd3c0</v>
      </c>
      <c r="D3426" t="s">
        <v>111</v>
      </c>
      <c r="E3426">
        <v>18</v>
      </c>
      <c r="F3426">
        <v>1018</v>
      </c>
      <c r="G3426" t="s">
        <v>112</v>
      </c>
      <c r="J3426" t="s">
        <v>113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R3426" t="s">
        <v>114</v>
      </c>
      <c r="S3426" t="str">
        <f>"19:32:02.742"</f>
        <v>19:32:02.742</v>
      </c>
      <c r="T3426" t="str">
        <f>"19:32:02.641"</f>
        <v>19:32:02.641</v>
      </c>
      <c r="U3426" t="str">
        <f t="shared" si="160"/>
        <v>a1cdbe</v>
      </c>
      <c r="V3426">
        <v>0</v>
      </c>
      <c r="W3426">
        <v>0</v>
      </c>
      <c r="X3426">
        <v>2</v>
      </c>
      <c r="Y3426">
        <v>0</v>
      </c>
      <c r="Z3426">
        <v>0</v>
      </c>
      <c r="AB3426">
        <v>0</v>
      </c>
      <c r="AC3426">
        <v>9</v>
      </c>
      <c r="AD3426">
        <v>3</v>
      </c>
      <c r="AE3426">
        <v>0</v>
      </c>
      <c r="AF3426">
        <v>9</v>
      </c>
      <c r="AG3426" t="s">
        <v>158</v>
      </c>
      <c r="AH3426">
        <v>0</v>
      </c>
      <c r="AI3426">
        <v>3</v>
      </c>
      <c r="AJ3426">
        <v>1</v>
      </c>
      <c r="AK3426">
        <v>0</v>
      </c>
      <c r="AL3426" t="s">
        <v>6446</v>
      </c>
      <c r="AM3426">
        <v>47.011935999999999</v>
      </c>
      <c r="AN3426" t="s">
        <v>6447</v>
      </c>
      <c r="AO3426">
        <v>-123.74605200000001</v>
      </c>
      <c r="AP3426">
        <v>100</v>
      </c>
      <c r="AQ3426">
        <v>2100</v>
      </c>
      <c r="AR3426" t="s">
        <v>118</v>
      </c>
      <c r="AS3426">
        <v>-77</v>
      </c>
      <c r="AT3426">
        <v>12</v>
      </c>
      <c r="AU3426">
        <v>64</v>
      </c>
      <c r="BC3426">
        <v>1200</v>
      </c>
      <c r="BD3426">
        <v>1</v>
      </c>
      <c r="BE3426" t="str">
        <f t="shared" si="161"/>
        <v xml:space="preserve">N215T   </v>
      </c>
      <c r="BF3426">
        <v>1</v>
      </c>
      <c r="BH3426">
        <v>0</v>
      </c>
      <c r="BI3426">
        <v>0</v>
      </c>
      <c r="BJ3426">
        <v>0</v>
      </c>
      <c r="BK3426">
        <v>2450</v>
      </c>
      <c r="BL3426">
        <v>350</v>
      </c>
      <c r="BM3426" t="s">
        <v>119</v>
      </c>
      <c r="BN3426">
        <v>1</v>
      </c>
      <c r="BO3426">
        <v>1</v>
      </c>
      <c r="BP3426">
        <v>1</v>
      </c>
      <c r="BQ3426">
        <v>0</v>
      </c>
      <c r="BT3426">
        <v>0</v>
      </c>
      <c r="BU3426">
        <v>0</v>
      </c>
      <c r="BV3426">
        <v>0</v>
      </c>
      <c r="CC3426" t="str">
        <f>"19:32:02.750"</f>
        <v>19:32:02.750</v>
      </c>
      <c r="CD3426" t="str">
        <f>"749827273"</f>
        <v>749827273</v>
      </c>
      <c r="CQ3426">
        <v>0</v>
      </c>
      <c r="CR3426">
        <v>2</v>
      </c>
      <c r="CS3426">
        <v>0</v>
      </c>
      <c r="CT3426">
        <v>2</v>
      </c>
      <c r="CU3426">
        <v>0</v>
      </c>
      <c r="CV3426">
        <v>6</v>
      </c>
      <c r="CW3426" t="s">
        <v>120</v>
      </c>
      <c r="CX3426">
        <v>257</v>
      </c>
      <c r="CY3426">
        <v>0</v>
      </c>
      <c r="CZ3426" t="s">
        <v>615</v>
      </c>
      <c r="DA3426" t="s">
        <v>616</v>
      </c>
      <c r="DD3426">
        <v>16421675</v>
      </c>
      <c r="DE3426" t="s">
        <v>123</v>
      </c>
    </row>
    <row r="3427" spans="1:109" x14ac:dyDescent="0.3">
      <c r="A3427" t="str">
        <f>"19:32:03.914"</f>
        <v>19:32:03.914</v>
      </c>
      <c r="B3427" t="s">
        <v>110</v>
      </c>
      <c r="C3427" t="str">
        <f t="shared" si="159"/>
        <v>ffdfd3c0</v>
      </c>
      <c r="D3427" t="s">
        <v>111</v>
      </c>
      <c r="E3427">
        <v>18</v>
      </c>
      <c r="F3427">
        <v>1018</v>
      </c>
      <c r="G3427" t="s">
        <v>112</v>
      </c>
      <c r="J3427" t="s">
        <v>113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R3427" t="s">
        <v>114</v>
      </c>
      <c r="S3427" t="str">
        <f>"19:32:03.719"</f>
        <v>19:32:03.719</v>
      </c>
      <c r="T3427" t="str">
        <f>"19:32:03.617"</f>
        <v>19:32:03.617</v>
      </c>
      <c r="U3427" t="str">
        <f t="shared" si="160"/>
        <v>a1cdbe</v>
      </c>
      <c r="V3427">
        <v>0</v>
      </c>
      <c r="W3427">
        <v>0</v>
      </c>
      <c r="X3427">
        <v>2</v>
      </c>
      <c r="Y3427">
        <v>0</v>
      </c>
      <c r="Z3427">
        <v>0</v>
      </c>
      <c r="AB3427">
        <v>0</v>
      </c>
      <c r="AC3427">
        <v>9</v>
      </c>
      <c r="AD3427">
        <v>3</v>
      </c>
      <c r="AE3427">
        <v>0</v>
      </c>
      <c r="AF3427">
        <v>9</v>
      </c>
      <c r="AG3427" t="s">
        <v>158</v>
      </c>
      <c r="AH3427">
        <v>0</v>
      </c>
      <c r="AI3427">
        <v>3</v>
      </c>
      <c r="AJ3427">
        <v>1</v>
      </c>
      <c r="AK3427">
        <v>0</v>
      </c>
      <c r="AL3427" t="s">
        <v>6448</v>
      </c>
      <c r="AM3427">
        <v>47.012</v>
      </c>
      <c r="AN3427" t="s">
        <v>6449</v>
      </c>
      <c r="AO3427">
        <v>-123.746567</v>
      </c>
      <c r="AP3427">
        <v>100</v>
      </c>
      <c r="AQ3427">
        <v>2100</v>
      </c>
      <c r="AR3427" t="s">
        <v>118</v>
      </c>
      <c r="AS3427">
        <v>-77</v>
      </c>
      <c r="AT3427">
        <v>12</v>
      </c>
      <c r="AU3427">
        <v>64</v>
      </c>
      <c r="BC3427">
        <v>1200</v>
      </c>
      <c r="BD3427">
        <v>1</v>
      </c>
      <c r="BE3427" t="str">
        <f t="shared" si="161"/>
        <v xml:space="preserve">N215T   </v>
      </c>
      <c r="BF3427">
        <v>1</v>
      </c>
      <c r="BH3427">
        <v>0</v>
      </c>
      <c r="BI3427">
        <v>0</v>
      </c>
      <c r="BJ3427">
        <v>0</v>
      </c>
      <c r="BK3427">
        <v>2425</v>
      </c>
      <c r="BL3427">
        <v>325</v>
      </c>
      <c r="BM3427" t="s">
        <v>119</v>
      </c>
      <c r="BN3427">
        <v>1</v>
      </c>
      <c r="BO3427">
        <v>1</v>
      </c>
      <c r="BP3427">
        <v>1</v>
      </c>
      <c r="BQ3427">
        <v>0</v>
      </c>
      <c r="BT3427">
        <v>0</v>
      </c>
      <c r="BU3427">
        <v>0</v>
      </c>
      <c r="BV3427">
        <v>0</v>
      </c>
      <c r="CC3427" t="str">
        <f>"19:32:03.727"</f>
        <v>19:32:03.727</v>
      </c>
      <c r="CD3427" t="str">
        <f>"724731195"</f>
        <v>724731195</v>
      </c>
      <c r="CQ3427">
        <v>0</v>
      </c>
      <c r="CR3427">
        <v>2</v>
      </c>
      <c r="CS3427">
        <v>0</v>
      </c>
      <c r="CT3427">
        <v>2</v>
      </c>
      <c r="CU3427">
        <v>0</v>
      </c>
      <c r="CV3427">
        <v>5</v>
      </c>
      <c r="CW3427" t="s">
        <v>120</v>
      </c>
      <c r="CX3427">
        <v>257</v>
      </c>
      <c r="CY3427">
        <v>0</v>
      </c>
      <c r="CZ3427" t="s">
        <v>615</v>
      </c>
      <c r="DA3427" t="s">
        <v>616</v>
      </c>
      <c r="DD3427">
        <v>16422057</v>
      </c>
      <c r="DE3427" t="s">
        <v>123</v>
      </c>
    </row>
    <row r="3428" spans="1:109" x14ac:dyDescent="0.3">
      <c r="A3428" t="str">
        <f>"19:32:04.773"</f>
        <v>19:32:04.773</v>
      </c>
      <c r="B3428" t="s">
        <v>110</v>
      </c>
      <c r="C3428" t="str">
        <f t="shared" si="159"/>
        <v>ffdfd3c0</v>
      </c>
      <c r="D3428" t="s">
        <v>111</v>
      </c>
      <c r="E3428">
        <v>18</v>
      </c>
      <c r="F3428">
        <v>1018</v>
      </c>
      <c r="G3428" t="s">
        <v>112</v>
      </c>
      <c r="J3428" t="s">
        <v>113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R3428" t="s">
        <v>114</v>
      </c>
      <c r="S3428" t="str">
        <f>"19:32:04.531"</f>
        <v>19:32:04.531</v>
      </c>
      <c r="T3428" t="str">
        <f>"19:32:04.133"</f>
        <v>19:32:04.133</v>
      </c>
      <c r="U3428" t="str">
        <f t="shared" si="160"/>
        <v>a1cdbe</v>
      </c>
      <c r="V3428">
        <v>0</v>
      </c>
      <c r="W3428">
        <v>0</v>
      </c>
      <c r="X3428">
        <v>2</v>
      </c>
      <c r="Y3428">
        <v>0</v>
      </c>
      <c r="Z3428">
        <v>0</v>
      </c>
      <c r="AB3428">
        <v>0</v>
      </c>
      <c r="AC3428">
        <v>9</v>
      </c>
      <c r="AD3428">
        <v>3</v>
      </c>
      <c r="AE3428">
        <v>0</v>
      </c>
      <c r="AF3428">
        <v>9</v>
      </c>
      <c r="AG3428" t="s">
        <v>158</v>
      </c>
      <c r="AH3428">
        <v>0</v>
      </c>
      <c r="AI3428">
        <v>3</v>
      </c>
      <c r="AJ3428">
        <v>1</v>
      </c>
      <c r="AK3428">
        <v>0</v>
      </c>
      <c r="AL3428" t="s">
        <v>6450</v>
      </c>
      <c r="AM3428">
        <v>47.012064000000002</v>
      </c>
      <c r="AN3428" t="s">
        <v>6451</v>
      </c>
      <c r="AO3428">
        <v>-123.74697399999999</v>
      </c>
      <c r="AP3428">
        <v>100</v>
      </c>
      <c r="AQ3428">
        <v>2100</v>
      </c>
      <c r="AR3428" t="s">
        <v>118</v>
      </c>
      <c r="AS3428">
        <v>-77</v>
      </c>
      <c r="AT3428">
        <v>12</v>
      </c>
      <c r="AU3428">
        <v>0</v>
      </c>
      <c r="BC3428">
        <v>1200</v>
      </c>
      <c r="BD3428">
        <v>1</v>
      </c>
      <c r="BE3428" t="str">
        <f t="shared" si="161"/>
        <v xml:space="preserve">N215T   </v>
      </c>
      <c r="BF3428">
        <v>1</v>
      </c>
      <c r="BH3428">
        <v>0</v>
      </c>
      <c r="BI3428">
        <v>0</v>
      </c>
      <c r="BJ3428">
        <v>0</v>
      </c>
      <c r="BK3428">
        <v>2450</v>
      </c>
      <c r="BL3428">
        <v>350</v>
      </c>
      <c r="BM3428" t="s">
        <v>119</v>
      </c>
      <c r="BN3428">
        <v>1</v>
      </c>
      <c r="BO3428">
        <v>1</v>
      </c>
      <c r="BP3428">
        <v>1</v>
      </c>
      <c r="BQ3428">
        <v>0</v>
      </c>
      <c r="BT3428">
        <v>0</v>
      </c>
      <c r="BU3428">
        <v>0</v>
      </c>
      <c r="BV3428">
        <v>0</v>
      </c>
      <c r="CC3428" t="str">
        <f>"19:32:04.531"</f>
        <v>19:32:04.531</v>
      </c>
      <c r="CD3428" t="str">
        <f>"534651391"</f>
        <v>534651391</v>
      </c>
      <c r="CQ3428">
        <v>0</v>
      </c>
      <c r="CR3428">
        <v>2</v>
      </c>
      <c r="CS3428">
        <v>0</v>
      </c>
      <c r="CT3428">
        <v>2</v>
      </c>
      <c r="CU3428">
        <v>0</v>
      </c>
      <c r="CV3428">
        <v>6</v>
      </c>
      <c r="CW3428" t="s">
        <v>120</v>
      </c>
      <c r="CX3428">
        <v>257</v>
      </c>
      <c r="CY3428">
        <v>0</v>
      </c>
      <c r="CZ3428" t="s">
        <v>615</v>
      </c>
      <c r="DA3428" t="s">
        <v>616</v>
      </c>
      <c r="DD3428">
        <v>16422446</v>
      </c>
      <c r="DE3428" t="s">
        <v>123</v>
      </c>
    </row>
    <row r="3429" spans="1:109" x14ac:dyDescent="0.3">
      <c r="A3429" t="str">
        <f>"19:32:05.930"</f>
        <v>19:32:05.930</v>
      </c>
      <c r="B3429" t="s">
        <v>110</v>
      </c>
      <c r="C3429" t="str">
        <f t="shared" si="159"/>
        <v>ffdfd3c0</v>
      </c>
      <c r="D3429" t="s">
        <v>111</v>
      </c>
      <c r="E3429">
        <v>18</v>
      </c>
      <c r="F3429">
        <v>1018</v>
      </c>
      <c r="G3429" t="s">
        <v>112</v>
      </c>
      <c r="J3429" t="s">
        <v>113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R3429" t="s">
        <v>114</v>
      </c>
      <c r="S3429" t="str">
        <f>"19:32:05.719"</f>
        <v>19:32:05.719</v>
      </c>
      <c r="T3429" t="str">
        <f>"19:32:05.617"</f>
        <v>19:32:05.617</v>
      </c>
      <c r="U3429" t="str">
        <f t="shared" si="160"/>
        <v>a1cdbe</v>
      </c>
      <c r="V3429">
        <v>0</v>
      </c>
      <c r="W3429">
        <v>0</v>
      </c>
      <c r="X3429">
        <v>2</v>
      </c>
      <c r="Y3429">
        <v>0</v>
      </c>
      <c r="Z3429">
        <v>0</v>
      </c>
      <c r="AB3429">
        <v>0</v>
      </c>
      <c r="AC3429">
        <v>9</v>
      </c>
      <c r="AD3429">
        <v>3</v>
      </c>
      <c r="AE3429">
        <v>0</v>
      </c>
      <c r="AF3429">
        <v>9</v>
      </c>
      <c r="AG3429" t="s">
        <v>158</v>
      </c>
      <c r="AH3429">
        <v>0</v>
      </c>
      <c r="AI3429">
        <v>3</v>
      </c>
      <c r="AJ3429">
        <v>1</v>
      </c>
      <c r="AK3429">
        <v>0</v>
      </c>
      <c r="AL3429" t="s">
        <v>6452</v>
      </c>
      <c r="AM3429">
        <v>47.012149999999998</v>
      </c>
      <c r="AN3429" t="s">
        <v>6453</v>
      </c>
      <c r="AO3429">
        <v>-123.747597</v>
      </c>
      <c r="AP3429">
        <v>100</v>
      </c>
      <c r="AQ3429">
        <v>2100</v>
      </c>
      <c r="AR3429" t="s">
        <v>118</v>
      </c>
      <c r="AS3429">
        <v>-77</v>
      </c>
      <c r="AT3429">
        <v>13</v>
      </c>
      <c r="AU3429">
        <v>0</v>
      </c>
      <c r="BC3429">
        <v>1200</v>
      </c>
      <c r="BD3429">
        <v>1</v>
      </c>
      <c r="BE3429" t="str">
        <f t="shared" si="161"/>
        <v xml:space="preserve">N215T   </v>
      </c>
      <c r="BF3429">
        <v>1</v>
      </c>
      <c r="BH3429">
        <v>0</v>
      </c>
      <c r="BI3429">
        <v>0</v>
      </c>
      <c r="BJ3429">
        <v>0</v>
      </c>
      <c r="BK3429">
        <v>2450</v>
      </c>
      <c r="BL3429">
        <v>350</v>
      </c>
      <c r="BM3429" t="s">
        <v>119</v>
      </c>
      <c r="BN3429">
        <v>1</v>
      </c>
      <c r="BO3429">
        <v>1</v>
      </c>
      <c r="BP3429">
        <v>1</v>
      </c>
      <c r="BQ3429">
        <v>0</v>
      </c>
      <c r="BT3429">
        <v>0</v>
      </c>
      <c r="BU3429">
        <v>0</v>
      </c>
      <c r="BV3429">
        <v>0</v>
      </c>
      <c r="CC3429" t="str">
        <f>"19:32:05.719"</f>
        <v>19:32:05.719</v>
      </c>
      <c r="CD3429" t="str">
        <f>"719534626"</f>
        <v>719534626</v>
      </c>
      <c r="CQ3429">
        <v>0</v>
      </c>
      <c r="CR3429">
        <v>2</v>
      </c>
      <c r="CS3429">
        <v>0</v>
      </c>
      <c r="CT3429">
        <v>2</v>
      </c>
      <c r="CU3429">
        <v>0</v>
      </c>
      <c r="CV3429">
        <v>6</v>
      </c>
      <c r="CW3429" t="s">
        <v>120</v>
      </c>
      <c r="CX3429">
        <v>257</v>
      </c>
      <c r="CY3429">
        <v>0</v>
      </c>
      <c r="CZ3429" t="s">
        <v>615</v>
      </c>
      <c r="DA3429" t="s">
        <v>616</v>
      </c>
      <c r="DD3429">
        <v>16422973</v>
      </c>
      <c r="DE3429" t="s">
        <v>123</v>
      </c>
    </row>
    <row r="3430" spans="1:109" x14ac:dyDescent="0.3">
      <c r="A3430" t="str">
        <f>"19:32:06.828"</f>
        <v>19:32:06.828</v>
      </c>
      <c r="B3430" t="s">
        <v>110</v>
      </c>
      <c r="C3430" t="str">
        <f t="shared" si="159"/>
        <v>ffdfd3c0</v>
      </c>
      <c r="D3430" t="s">
        <v>111</v>
      </c>
      <c r="E3430">
        <v>18</v>
      </c>
      <c r="F3430">
        <v>1018</v>
      </c>
      <c r="G3430" t="s">
        <v>112</v>
      </c>
      <c r="J3430" t="s">
        <v>113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R3430" t="s">
        <v>114</v>
      </c>
      <c r="S3430" t="str">
        <f>"19:32:06.602"</f>
        <v>19:32:06.602</v>
      </c>
      <c r="T3430" t="str">
        <f>"19:32:06.203"</f>
        <v>19:32:06.203</v>
      </c>
      <c r="U3430" t="str">
        <f t="shared" si="160"/>
        <v>a1cdbe</v>
      </c>
      <c r="V3430">
        <v>0</v>
      </c>
      <c r="W3430">
        <v>0</v>
      </c>
      <c r="X3430">
        <v>2</v>
      </c>
      <c r="Y3430">
        <v>0</v>
      </c>
      <c r="Z3430">
        <v>0</v>
      </c>
      <c r="AB3430">
        <v>0</v>
      </c>
      <c r="AC3430">
        <v>9</v>
      </c>
      <c r="AD3430">
        <v>3</v>
      </c>
      <c r="AE3430">
        <v>0</v>
      </c>
      <c r="AF3430">
        <v>9</v>
      </c>
      <c r="AG3430" t="s">
        <v>158</v>
      </c>
      <c r="AH3430">
        <v>0</v>
      </c>
      <c r="AI3430">
        <v>3</v>
      </c>
      <c r="AJ3430">
        <v>1</v>
      </c>
      <c r="AK3430">
        <v>0</v>
      </c>
      <c r="AL3430" t="s">
        <v>6454</v>
      </c>
      <c r="AM3430">
        <v>47.012172</v>
      </c>
      <c r="AN3430" t="s">
        <v>6455</v>
      </c>
      <c r="AO3430">
        <v>-123.748026</v>
      </c>
      <c r="AP3430">
        <v>100</v>
      </c>
      <c r="AQ3430">
        <v>2100</v>
      </c>
      <c r="AR3430" t="s">
        <v>118</v>
      </c>
      <c r="AS3430">
        <v>-77</v>
      </c>
      <c r="AT3430">
        <v>13</v>
      </c>
      <c r="AU3430">
        <v>0</v>
      </c>
      <c r="BC3430">
        <v>1200</v>
      </c>
      <c r="BD3430">
        <v>1</v>
      </c>
      <c r="BE3430" t="str">
        <f t="shared" si="161"/>
        <v xml:space="preserve">N215T   </v>
      </c>
      <c r="BF3430">
        <v>1</v>
      </c>
      <c r="BH3430">
        <v>0</v>
      </c>
      <c r="BI3430">
        <v>0</v>
      </c>
      <c r="BJ3430">
        <v>0</v>
      </c>
      <c r="BK3430">
        <v>2450</v>
      </c>
      <c r="BL3430">
        <v>350</v>
      </c>
      <c r="BM3430" t="s">
        <v>119</v>
      </c>
      <c r="BN3430">
        <v>1</v>
      </c>
      <c r="BO3430">
        <v>1</v>
      </c>
      <c r="BP3430">
        <v>1</v>
      </c>
      <c r="BQ3430">
        <v>0</v>
      </c>
      <c r="BT3430">
        <v>0</v>
      </c>
      <c r="BU3430">
        <v>0</v>
      </c>
      <c r="BV3430">
        <v>0</v>
      </c>
      <c r="CC3430" t="str">
        <f>"19:32:06.602"</f>
        <v>19:32:06.602</v>
      </c>
      <c r="CD3430" t="str">
        <f>"604447432"</f>
        <v>604447432</v>
      </c>
      <c r="CQ3430">
        <v>0</v>
      </c>
      <c r="CR3430">
        <v>2</v>
      </c>
      <c r="CS3430">
        <v>0</v>
      </c>
      <c r="CT3430">
        <v>2</v>
      </c>
      <c r="CU3430">
        <v>0</v>
      </c>
      <c r="CV3430">
        <v>5</v>
      </c>
      <c r="CW3430" t="s">
        <v>120</v>
      </c>
      <c r="CX3430">
        <v>257</v>
      </c>
      <c r="CY3430">
        <v>0</v>
      </c>
      <c r="CZ3430" t="s">
        <v>615</v>
      </c>
      <c r="DA3430" t="s">
        <v>616</v>
      </c>
      <c r="DD3430">
        <v>16423358</v>
      </c>
      <c r="DE3430" t="s">
        <v>123</v>
      </c>
    </row>
    <row r="3431" spans="1:109" x14ac:dyDescent="0.3">
      <c r="A3431" t="str">
        <f>"19:32:07.836"</f>
        <v>19:32:07.836</v>
      </c>
      <c r="B3431" t="s">
        <v>110</v>
      </c>
      <c r="C3431" t="str">
        <f t="shared" si="159"/>
        <v>ffdfd3c0</v>
      </c>
      <c r="D3431" t="s">
        <v>111</v>
      </c>
      <c r="E3431">
        <v>18</v>
      </c>
      <c r="F3431">
        <v>1018</v>
      </c>
      <c r="G3431" t="s">
        <v>112</v>
      </c>
      <c r="J3431" t="s">
        <v>113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R3431" t="s">
        <v>114</v>
      </c>
      <c r="S3431" t="str">
        <f>"19:32:07.633"</f>
        <v>19:32:07.633</v>
      </c>
      <c r="T3431" t="str">
        <f>"19:32:07.234"</f>
        <v>19:32:07.234</v>
      </c>
      <c r="U3431" t="str">
        <f t="shared" si="160"/>
        <v>a1cdbe</v>
      </c>
      <c r="V3431">
        <v>0</v>
      </c>
      <c r="W3431">
        <v>0</v>
      </c>
      <c r="X3431">
        <v>2</v>
      </c>
      <c r="Y3431">
        <v>0</v>
      </c>
      <c r="Z3431">
        <v>0</v>
      </c>
      <c r="AB3431">
        <v>0</v>
      </c>
      <c r="AC3431">
        <v>9</v>
      </c>
      <c r="AD3431">
        <v>3</v>
      </c>
      <c r="AE3431">
        <v>0</v>
      </c>
      <c r="AF3431">
        <v>9</v>
      </c>
      <c r="AG3431" t="s">
        <v>158</v>
      </c>
      <c r="AH3431">
        <v>0</v>
      </c>
      <c r="AI3431">
        <v>3</v>
      </c>
      <c r="AJ3431">
        <v>1</v>
      </c>
      <c r="AK3431">
        <v>0</v>
      </c>
      <c r="AL3431" t="s">
        <v>6456</v>
      </c>
      <c r="AM3431">
        <v>47.012236000000001</v>
      </c>
      <c r="AN3431" t="s">
        <v>6457</v>
      </c>
      <c r="AO3431">
        <v>-123.748627</v>
      </c>
      <c r="AP3431">
        <v>100</v>
      </c>
      <c r="AQ3431">
        <v>2100</v>
      </c>
      <c r="AR3431" t="s">
        <v>118</v>
      </c>
      <c r="AS3431">
        <v>-77</v>
      </c>
      <c r="AT3431">
        <v>14</v>
      </c>
      <c r="AU3431">
        <v>0</v>
      </c>
      <c r="BC3431">
        <v>1200</v>
      </c>
      <c r="BD3431">
        <v>1</v>
      </c>
      <c r="BE3431" t="str">
        <f t="shared" si="161"/>
        <v xml:space="preserve">N215T   </v>
      </c>
      <c r="BF3431">
        <v>1</v>
      </c>
      <c r="BH3431">
        <v>0</v>
      </c>
      <c r="BI3431">
        <v>0</v>
      </c>
      <c r="BJ3431">
        <v>0</v>
      </c>
      <c r="BK3431">
        <v>2450</v>
      </c>
      <c r="BL3431">
        <v>350</v>
      </c>
      <c r="BM3431" t="s">
        <v>119</v>
      </c>
      <c r="BN3431">
        <v>1</v>
      </c>
      <c r="BO3431">
        <v>1</v>
      </c>
      <c r="BP3431">
        <v>1</v>
      </c>
      <c r="BQ3431">
        <v>0</v>
      </c>
      <c r="BT3431">
        <v>0</v>
      </c>
      <c r="BU3431">
        <v>0</v>
      </c>
      <c r="BV3431">
        <v>0</v>
      </c>
      <c r="CC3431" t="str">
        <f>"19:32:07.641"</f>
        <v>19:32:07.641</v>
      </c>
      <c r="CD3431" t="str">
        <f>"639345463"</f>
        <v>639345463</v>
      </c>
      <c r="CQ3431">
        <v>0</v>
      </c>
      <c r="CR3431">
        <v>2</v>
      </c>
      <c r="CS3431">
        <v>0</v>
      </c>
      <c r="CT3431">
        <v>2</v>
      </c>
      <c r="CU3431">
        <v>0</v>
      </c>
      <c r="CV3431">
        <v>5</v>
      </c>
      <c r="CW3431" t="s">
        <v>120</v>
      </c>
      <c r="CX3431">
        <v>257</v>
      </c>
      <c r="CY3431">
        <v>0</v>
      </c>
      <c r="CZ3431" t="s">
        <v>615</v>
      </c>
      <c r="DA3431" t="s">
        <v>616</v>
      </c>
      <c r="DD3431">
        <v>16423788</v>
      </c>
      <c r="DE3431" t="s">
        <v>123</v>
      </c>
    </row>
    <row r="3432" spans="1:109" x14ac:dyDescent="0.3">
      <c r="A3432" t="str">
        <f>"19:32:08.844"</f>
        <v>19:32:08.844</v>
      </c>
      <c r="B3432" t="s">
        <v>110</v>
      </c>
      <c r="C3432" t="str">
        <f t="shared" si="159"/>
        <v>ffdfd3c0</v>
      </c>
      <c r="D3432" t="s">
        <v>111</v>
      </c>
      <c r="E3432">
        <v>18</v>
      </c>
      <c r="F3432">
        <v>1018</v>
      </c>
      <c r="G3432" t="s">
        <v>112</v>
      </c>
      <c r="J3432" t="s">
        <v>113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R3432" t="s">
        <v>114</v>
      </c>
      <c r="S3432" t="str">
        <f>"19:32:08.625"</f>
        <v>19:32:08.625</v>
      </c>
      <c r="T3432" t="str">
        <f>"19:32:08.227"</f>
        <v>19:32:08.227</v>
      </c>
      <c r="U3432" t="str">
        <f t="shared" si="160"/>
        <v>a1cdbe</v>
      </c>
      <c r="V3432">
        <v>0</v>
      </c>
      <c r="W3432">
        <v>0</v>
      </c>
      <c r="X3432">
        <v>2</v>
      </c>
      <c r="Y3432">
        <v>0</v>
      </c>
      <c r="Z3432">
        <v>0</v>
      </c>
      <c r="AB3432">
        <v>0</v>
      </c>
      <c r="AC3432">
        <v>9</v>
      </c>
      <c r="AD3432">
        <v>3</v>
      </c>
      <c r="AE3432">
        <v>0</v>
      </c>
      <c r="AF3432">
        <v>9</v>
      </c>
      <c r="AG3432" t="s">
        <v>158</v>
      </c>
      <c r="AH3432">
        <v>0</v>
      </c>
      <c r="AI3432">
        <v>3</v>
      </c>
      <c r="AJ3432">
        <v>1</v>
      </c>
      <c r="AK3432">
        <v>0</v>
      </c>
      <c r="AL3432" t="s">
        <v>6458</v>
      </c>
      <c r="AM3432">
        <v>47.012321999999998</v>
      </c>
      <c r="AN3432" t="s">
        <v>6459</v>
      </c>
      <c r="AO3432">
        <v>-123.749077</v>
      </c>
      <c r="AP3432">
        <v>100</v>
      </c>
      <c r="AQ3432">
        <v>2100</v>
      </c>
      <c r="AR3432" t="s">
        <v>118</v>
      </c>
      <c r="AS3432">
        <v>-77</v>
      </c>
      <c r="AT3432">
        <v>14</v>
      </c>
      <c r="AU3432">
        <v>0</v>
      </c>
      <c r="BC3432">
        <v>1200</v>
      </c>
      <c r="BD3432">
        <v>1</v>
      </c>
      <c r="BE3432" t="str">
        <f t="shared" si="161"/>
        <v xml:space="preserve">N215T   </v>
      </c>
      <c r="BF3432">
        <v>1</v>
      </c>
      <c r="BH3432">
        <v>0</v>
      </c>
      <c r="BI3432">
        <v>0</v>
      </c>
      <c r="BJ3432">
        <v>0</v>
      </c>
      <c r="BK3432">
        <v>2450</v>
      </c>
      <c r="BL3432">
        <v>350</v>
      </c>
      <c r="BM3432" t="s">
        <v>119</v>
      </c>
      <c r="BN3432">
        <v>1</v>
      </c>
      <c r="BO3432">
        <v>1</v>
      </c>
      <c r="BP3432">
        <v>1</v>
      </c>
      <c r="BQ3432">
        <v>0</v>
      </c>
      <c r="BT3432">
        <v>0</v>
      </c>
      <c r="BU3432">
        <v>0</v>
      </c>
      <c r="BV3432">
        <v>0</v>
      </c>
      <c r="CC3432" t="str">
        <f>"19:32:08.633"</f>
        <v>19:32:08.633</v>
      </c>
      <c r="CD3432" t="str">
        <f>"629247915"</f>
        <v>629247915</v>
      </c>
      <c r="CQ3432">
        <v>0</v>
      </c>
      <c r="CR3432">
        <v>2</v>
      </c>
      <c r="CS3432">
        <v>0</v>
      </c>
      <c r="CT3432">
        <v>2</v>
      </c>
      <c r="CU3432">
        <v>0</v>
      </c>
      <c r="CV3432">
        <v>5</v>
      </c>
      <c r="CW3432" t="s">
        <v>120</v>
      </c>
      <c r="CX3432">
        <v>257</v>
      </c>
      <c r="CY3432">
        <v>0</v>
      </c>
      <c r="CZ3432" t="s">
        <v>615</v>
      </c>
      <c r="DA3432" t="s">
        <v>616</v>
      </c>
      <c r="DD3432">
        <v>16424194</v>
      </c>
      <c r="DE3432" t="s">
        <v>123</v>
      </c>
    </row>
    <row r="3433" spans="1:109" x14ac:dyDescent="0.3">
      <c r="A3433" t="str">
        <f>"19:32:09.898"</f>
        <v>19:32:09.898</v>
      </c>
      <c r="B3433" t="s">
        <v>110</v>
      </c>
      <c r="C3433" t="str">
        <f t="shared" si="159"/>
        <v>ffdfd3c0</v>
      </c>
      <c r="D3433" t="s">
        <v>111</v>
      </c>
      <c r="E3433">
        <v>18</v>
      </c>
      <c r="F3433">
        <v>1018</v>
      </c>
      <c r="G3433" t="s">
        <v>112</v>
      </c>
      <c r="J3433" t="s">
        <v>113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R3433" t="s">
        <v>114</v>
      </c>
      <c r="S3433" t="str">
        <f>"19:32:09.664"</f>
        <v>19:32:09.664</v>
      </c>
      <c r="T3433" t="str">
        <f>"19:32:09.164"</f>
        <v>19:32:09.164</v>
      </c>
      <c r="U3433" t="str">
        <f t="shared" si="160"/>
        <v>a1cdbe</v>
      </c>
      <c r="V3433">
        <v>0</v>
      </c>
      <c r="W3433">
        <v>0</v>
      </c>
      <c r="X3433">
        <v>2</v>
      </c>
      <c r="Y3433">
        <v>0</v>
      </c>
      <c r="Z3433">
        <v>0</v>
      </c>
      <c r="AB3433">
        <v>0</v>
      </c>
      <c r="AC3433">
        <v>9</v>
      </c>
      <c r="AD3433">
        <v>3</v>
      </c>
      <c r="AE3433">
        <v>0</v>
      </c>
      <c r="AF3433">
        <v>9</v>
      </c>
      <c r="AG3433" t="s">
        <v>158</v>
      </c>
      <c r="AH3433">
        <v>0</v>
      </c>
      <c r="AI3433">
        <v>3</v>
      </c>
      <c r="AJ3433">
        <v>1</v>
      </c>
      <c r="AK3433">
        <v>0</v>
      </c>
      <c r="AL3433" t="s">
        <v>6460</v>
      </c>
      <c r="AM3433">
        <v>47.012365000000003</v>
      </c>
      <c r="AN3433" t="s">
        <v>6461</v>
      </c>
      <c r="AO3433">
        <v>-123.749657</v>
      </c>
      <c r="AP3433">
        <v>100</v>
      </c>
      <c r="AQ3433">
        <v>2100</v>
      </c>
      <c r="AR3433" t="s">
        <v>118</v>
      </c>
      <c r="AS3433">
        <v>-77</v>
      </c>
      <c r="AT3433">
        <v>14</v>
      </c>
      <c r="AU3433">
        <v>0</v>
      </c>
      <c r="BC3433">
        <v>1200</v>
      </c>
      <c r="BD3433">
        <v>1</v>
      </c>
      <c r="BE3433" t="str">
        <f t="shared" si="161"/>
        <v xml:space="preserve">N215T   </v>
      </c>
      <c r="BF3433">
        <v>1</v>
      </c>
      <c r="BH3433">
        <v>0</v>
      </c>
      <c r="BI3433">
        <v>0</v>
      </c>
      <c r="BJ3433">
        <v>0</v>
      </c>
      <c r="BK3433">
        <v>2450</v>
      </c>
      <c r="BL3433">
        <v>350</v>
      </c>
      <c r="BM3433" t="s">
        <v>119</v>
      </c>
      <c r="BN3433">
        <v>1</v>
      </c>
      <c r="BO3433">
        <v>1</v>
      </c>
      <c r="BP3433">
        <v>1</v>
      </c>
      <c r="BQ3433">
        <v>0</v>
      </c>
      <c r="BT3433">
        <v>0</v>
      </c>
      <c r="BU3433">
        <v>0</v>
      </c>
      <c r="BV3433">
        <v>0</v>
      </c>
      <c r="CC3433" t="str">
        <f>"19:32:09.664"</f>
        <v>19:32:09.664</v>
      </c>
      <c r="CD3433" t="str">
        <f>"664145922"</f>
        <v>664145922</v>
      </c>
      <c r="CQ3433">
        <v>0</v>
      </c>
      <c r="CR3433">
        <v>2</v>
      </c>
      <c r="CS3433">
        <v>0</v>
      </c>
      <c r="CT3433">
        <v>2</v>
      </c>
      <c r="CU3433">
        <v>0</v>
      </c>
      <c r="CV3433">
        <v>5</v>
      </c>
      <c r="CW3433" t="s">
        <v>120</v>
      </c>
      <c r="CX3433">
        <v>257</v>
      </c>
      <c r="CY3433">
        <v>0</v>
      </c>
      <c r="CZ3433" t="s">
        <v>615</v>
      </c>
      <c r="DA3433" t="s">
        <v>616</v>
      </c>
      <c r="DD3433">
        <v>16424698</v>
      </c>
      <c r="DE3433" t="s">
        <v>123</v>
      </c>
    </row>
    <row r="3434" spans="1:109" x14ac:dyDescent="0.3">
      <c r="A3434" t="str">
        <f>"19:32:10.953"</f>
        <v>19:32:10.953</v>
      </c>
      <c r="B3434" t="s">
        <v>110</v>
      </c>
      <c r="C3434" t="str">
        <f t="shared" si="159"/>
        <v>ffdfd3c0</v>
      </c>
      <c r="D3434" t="s">
        <v>111</v>
      </c>
      <c r="E3434">
        <v>18</v>
      </c>
      <c r="F3434">
        <v>1018</v>
      </c>
      <c r="G3434" t="s">
        <v>112</v>
      </c>
      <c r="J3434" t="s">
        <v>113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R3434" t="s">
        <v>114</v>
      </c>
      <c r="S3434" t="str">
        <f>"19:32:10.695"</f>
        <v>19:32:10.695</v>
      </c>
      <c r="T3434" t="str">
        <f>"19:32:10.195"</f>
        <v>19:32:10.195</v>
      </c>
      <c r="U3434" t="str">
        <f t="shared" si="160"/>
        <v>a1cdbe</v>
      </c>
      <c r="V3434">
        <v>0</v>
      </c>
      <c r="W3434">
        <v>0</v>
      </c>
      <c r="X3434">
        <v>2</v>
      </c>
      <c r="Y3434">
        <v>0</v>
      </c>
      <c r="Z3434">
        <v>0</v>
      </c>
      <c r="AB3434">
        <v>0</v>
      </c>
      <c r="AC3434">
        <v>9</v>
      </c>
      <c r="AD3434">
        <v>3</v>
      </c>
      <c r="AE3434">
        <v>0</v>
      </c>
      <c r="AF3434">
        <v>9</v>
      </c>
      <c r="AG3434" t="s">
        <v>158</v>
      </c>
      <c r="AH3434">
        <v>0</v>
      </c>
      <c r="AI3434">
        <v>3</v>
      </c>
      <c r="AJ3434">
        <v>1</v>
      </c>
      <c r="AK3434">
        <v>0</v>
      </c>
      <c r="AL3434" t="s">
        <v>6462</v>
      </c>
      <c r="AM3434">
        <v>47.012450999999999</v>
      </c>
      <c r="AN3434" t="s">
        <v>6463</v>
      </c>
      <c r="AO3434">
        <v>-123.750215</v>
      </c>
      <c r="AP3434">
        <v>100</v>
      </c>
      <c r="AQ3434">
        <v>2100</v>
      </c>
      <c r="AR3434" t="s">
        <v>118</v>
      </c>
      <c r="AS3434">
        <v>-78</v>
      </c>
      <c r="AT3434">
        <v>14</v>
      </c>
      <c r="AU3434">
        <v>0</v>
      </c>
      <c r="BC3434">
        <v>1200</v>
      </c>
      <c r="BD3434">
        <v>1</v>
      </c>
      <c r="BE3434" t="str">
        <f t="shared" si="161"/>
        <v xml:space="preserve">N215T   </v>
      </c>
      <c r="BF3434">
        <v>1</v>
      </c>
      <c r="BH3434">
        <v>0</v>
      </c>
      <c r="BI3434">
        <v>0</v>
      </c>
      <c r="BJ3434">
        <v>0</v>
      </c>
      <c r="BK3434">
        <v>2450</v>
      </c>
      <c r="BL3434">
        <v>350</v>
      </c>
      <c r="BM3434" t="s">
        <v>119</v>
      </c>
      <c r="BN3434">
        <v>1</v>
      </c>
      <c r="BO3434">
        <v>1</v>
      </c>
      <c r="BP3434">
        <v>1</v>
      </c>
      <c r="BQ3434">
        <v>0</v>
      </c>
      <c r="BT3434">
        <v>0</v>
      </c>
      <c r="BU3434">
        <v>0</v>
      </c>
      <c r="BV3434">
        <v>0</v>
      </c>
      <c r="CC3434" t="str">
        <f>"19:32:10.695"</f>
        <v>19:32:10.695</v>
      </c>
      <c r="CD3434" t="str">
        <f>"699043946"</f>
        <v>699043946</v>
      </c>
      <c r="CQ3434">
        <v>0</v>
      </c>
      <c r="CR3434">
        <v>2</v>
      </c>
      <c r="CS3434">
        <v>0</v>
      </c>
      <c r="CT3434">
        <v>2</v>
      </c>
      <c r="CU3434">
        <v>0</v>
      </c>
      <c r="CV3434">
        <v>5</v>
      </c>
      <c r="CW3434" t="s">
        <v>120</v>
      </c>
      <c r="CX3434">
        <v>257</v>
      </c>
      <c r="CY3434">
        <v>0</v>
      </c>
      <c r="CZ3434" t="s">
        <v>615</v>
      </c>
      <c r="DA3434" t="s">
        <v>616</v>
      </c>
      <c r="DD3434">
        <v>16425148</v>
      </c>
      <c r="DE3434" t="s">
        <v>123</v>
      </c>
    </row>
    <row r="3435" spans="1:109" x14ac:dyDescent="0.3">
      <c r="A3435" t="str">
        <f>"19:32:11.859"</f>
        <v>19:32:11.859</v>
      </c>
      <c r="B3435" t="s">
        <v>110</v>
      </c>
      <c r="C3435" t="str">
        <f t="shared" si="159"/>
        <v>ffdfd3c0</v>
      </c>
      <c r="D3435" t="s">
        <v>111</v>
      </c>
      <c r="E3435">
        <v>18</v>
      </c>
      <c r="F3435">
        <v>1018</v>
      </c>
      <c r="G3435" t="s">
        <v>112</v>
      </c>
      <c r="J3435" t="s">
        <v>113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R3435" t="s">
        <v>114</v>
      </c>
      <c r="S3435" t="str">
        <f>"19:32:11.641"</f>
        <v>19:32:11.641</v>
      </c>
      <c r="T3435" t="str">
        <f>"19:32:11.641"</f>
        <v>19:32:11.641</v>
      </c>
      <c r="U3435" t="str">
        <f t="shared" si="160"/>
        <v>a1cdbe</v>
      </c>
      <c r="V3435">
        <v>0</v>
      </c>
      <c r="W3435">
        <v>0</v>
      </c>
      <c r="X3435">
        <v>2</v>
      </c>
      <c r="Y3435">
        <v>0</v>
      </c>
      <c r="Z3435">
        <v>0</v>
      </c>
      <c r="AB3435">
        <v>0</v>
      </c>
      <c r="AC3435">
        <v>9</v>
      </c>
      <c r="AD3435">
        <v>3</v>
      </c>
      <c r="AE3435">
        <v>0</v>
      </c>
      <c r="AF3435">
        <v>9</v>
      </c>
      <c r="AG3435" t="s">
        <v>158</v>
      </c>
      <c r="AH3435">
        <v>0</v>
      </c>
      <c r="AI3435">
        <v>3</v>
      </c>
      <c r="AJ3435">
        <v>1</v>
      </c>
      <c r="AK3435">
        <v>0</v>
      </c>
      <c r="AL3435" t="s">
        <v>6464</v>
      </c>
      <c r="AM3435">
        <v>47.012515</v>
      </c>
      <c r="AN3435" t="s">
        <v>6465</v>
      </c>
      <c r="AO3435">
        <v>-123.750687</v>
      </c>
      <c r="AP3435">
        <v>100</v>
      </c>
      <c r="AQ3435">
        <v>2100</v>
      </c>
      <c r="AR3435" t="s">
        <v>118</v>
      </c>
      <c r="AS3435">
        <v>-78</v>
      </c>
      <c r="AT3435">
        <v>14</v>
      </c>
      <c r="AU3435">
        <v>0</v>
      </c>
      <c r="BC3435">
        <v>1200</v>
      </c>
      <c r="BD3435">
        <v>1</v>
      </c>
      <c r="BE3435" t="str">
        <f t="shared" si="161"/>
        <v xml:space="preserve">N215T   </v>
      </c>
      <c r="BF3435">
        <v>1</v>
      </c>
      <c r="BH3435">
        <v>0</v>
      </c>
      <c r="BI3435">
        <v>0</v>
      </c>
      <c r="BJ3435">
        <v>0</v>
      </c>
      <c r="BK3435">
        <v>2450</v>
      </c>
      <c r="BL3435">
        <v>350</v>
      </c>
      <c r="BM3435" t="s">
        <v>119</v>
      </c>
      <c r="BN3435">
        <v>1</v>
      </c>
      <c r="BO3435">
        <v>1</v>
      </c>
      <c r="BP3435">
        <v>1</v>
      </c>
      <c r="BQ3435">
        <v>0</v>
      </c>
      <c r="BT3435">
        <v>0</v>
      </c>
      <c r="BU3435">
        <v>0</v>
      </c>
      <c r="BV3435">
        <v>0</v>
      </c>
      <c r="CC3435" t="str">
        <f>"19:32:11.641"</f>
        <v>19:32:11.641</v>
      </c>
      <c r="CD3435" t="str">
        <f>"643950839"</f>
        <v>643950839</v>
      </c>
      <c r="CQ3435">
        <v>0</v>
      </c>
      <c r="CR3435">
        <v>2</v>
      </c>
      <c r="CS3435">
        <v>0</v>
      </c>
      <c r="CT3435">
        <v>2</v>
      </c>
      <c r="CU3435">
        <v>0</v>
      </c>
      <c r="CV3435">
        <v>5</v>
      </c>
      <c r="CW3435" t="s">
        <v>120</v>
      </c>
      <c r="CX3435">
        <v>257</v>
      </c>
      <c r="CY3435">
        <v>0</v>
      </c>
      <c r="CZ3435" t="s">
        <v>615</v>
      </c>
      <c r="DA3435" t="s">
        <v>616</v>
      </c>
      <c r="DD3435">
        <v>16425590</v>
      </c>
      <c r="DE3435" t="s">
        <v>123</v>
      </c>
    </row>
    <row r="3436" spans="1:109" x14ac:dyDescent="0.3">
      <c r="A3436" t="str">
        <f>"19:32:12.867"</f>
        <v>19:32:12.867</v>
      </c>
      <c r="B3436" t="s">
        <v>110</v>
      </c>
      <c r="C3436" t="str">
        <f t="shared" si="159"/>
        <v>ffdfd3c0</v>
      </c>
      <c r="D3436" t="s">
        <v>111</v>
      </c>
      <c r="E3436">
        <v>18</v>
      </c>
      <c r="F3436">
        <v>1018</v>
      </c>
      <c r="G3436" t="s">
        <v>112</v>
      </c>
      <c r="J3436" t="s">
        <v>113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R3436" t="s">
        <v>114</v>
      </c>
      <c r="S3436" t="str">
        <f>"19:32:12.617"</f>
        <v>19:32:12.617</v>
      </c>
      <c r="T3436" t="str">
        <f>"19:32:12.617"</f>
        <v>19:32:12.617</v>
      </c>
      <c r="U3436" t="str">
        <f t="shared" si="160"/>
        <v>a1cdbe</v>
      </c>
      <c r="V3436">
        <v>0</v>
      </c>
      <c r="W3436">
        <v>0</v>
      </c>
      <c r="X3436">
        <v>2</v>
      </c>
      <c r="Y3436">
        <v>0</v>
      </c>
      <c r="Z3436">
        <v>0</v>
      </c>
      <c r="AB3436">
        <v>0</v>
      </c>
      <c r="AC3436">
        <v>9</v>
      </c>
      <c r="AD3436">
        <v>3</v>
      </c>
      <c r="AE3436">
        <v>0</v>
      </c>
      <c r="AF3436">
        <v>9</v>
      </c>
      <c r="AG3436" t="s">
        <v>158</v>
      </c>
      <c r="AH3436">
        <v>0</v>
      </c>
      <c r="AI3436">
        <v>3</v>
      </c>
      <c r="AJ3436">
        <v>1</v>
      </c>
      <c r="AK3436">
        <v>0</v>
      </c>
      <c r="AL3436" t="s">
        <v>6466</v>
      </c>
      <c r="AM3436">
        <v>47.012600999999997</v>
      </c>
      <c r="AN3436" t="s">
        <v>6467</v>
      </c>
      <c r="AO3436">
        <v>-123.75120200000001</v>
      </c>
      <c r="AP3436">
        <v>100</v>
      </c>
      <c r="AQ3436">
        <v>2100</v>
      </c>
      <c r="AR3436" t="s">
        <v>118</v>
      </c>
      <c r="AS3436">
        <v>-78</v>
      </c>
      <c r="AT3436">
        <v>14</v>
      </c>
      <c r="AU3436">
        <v>0</v>
      </c>
      <c r="BC3436">
        <v>1200</v>
      </c>
      <c r="BD3436">
        <v>1</v>
      </c>
      <c r="BE3436" t="str">
        <f t="shared" si="161"/>
        <v xml:space="preserve">N215T   </v>
      </c>
      <c r="BF3436">
        <v>1</v>
      </c>
      <c r="BH3436">
        <v>0</v>
      </c>
      <c r="BI3436">
        <v>0</v>
      </c>
      <c r="BJ3436">
        <v>0</v>
      </c>
      <c r="BK3436">
        <v>2450</v>
      </c>
      <c r="BL3436">
        <v>350</v>
      </c>
      <c r="BM3436" t="s">
        <v>119</v>
      </c>
      <c r="BN3436">
        <v>1</v>
      </c>
      <c r="BO3436">
        <v>1</v>
      </c>
      <c r="BP3436">
        <v>1</v>
      </c>
      <c r="BQ3436">
        <v>0</v>
      </c>
      <c r="BT3436">
        <v>0</v>
      </c>
      <c r="BU3436">
        <v>0</v>
      </c>
      <c r="BV3436">
        <v>0</v>
      </c>
      <c r="CC3436" t="str">
        <f>"19:32:12.617"</f>
        <v>19:32:12.617</v>
      </c>
      <c r="CD3436" t="str">
        <f>"618854780"</f>
        <v>618854780</v>
      </c>
      <c r="CQ3436">
        <v>0</v>
      </c>
      <c r="CR3436">
        <v>2</v>
      </c>
      <c r="CS3436">
        <v>0</v>
      </c>
      <c r="CT3436">
        <v>2</v>
      </c>
      <c r="CU3436">
        <v>0</v>
      </c>
      <c r="CV3436">
        <v>6</v>
      </c>
      <c r="CW3436" t="s">
        <v>120</v>
      </c>
      <c r="CX3436">
        <v>257</v>
      </c>
      <c r="CY3436">
        <v>0</v>
      </c>
      <c r="CZ3436" t="s">
        <v>615</v>
      </c>
      <c r="DA3436" t="s">
        <v>616</v>
      </c>
      <c r="DD3436">
        <v>16426028</v>
      </c>
      <c r="DE3436" t="s">
        <v>123</v>
      </c>
    </row>
    <row r="3437" spans="1:109" x14ac:dyDescent="0.3">
      <c r="A3437" t="str">
        <f>"19:32:13.867"</f>
        <v>19:32:13.867</v>
      </c>
      <c r="B3437" t="s">
        <v>110</v>
      </c>
      <c r="C3437" t="str">
        <f t="shared" si="159"/>
        <v>ffdfd3c0</v>
      </c>
      <c r="D3437" t="s">
        <v>111</v>
      </c>
      <c r="E3437">
        <v>18</v>
      </c>
      <c r="F3437">
        <v>1018</v>
      </c>
      <c r="G3437" t="s">
        <v>112</v>
      </c>
      <c r="J3437" t="s">
        <v>113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R3437" t="s">
        <v>114</v>
      </c>
      <c r="S3437" t="str">
        <f>"19:32:13.648"</f>
        <v>19:32:13.648</v>
      </c>
      <c r="T3437" t="str">
        <f>"19:32:13.547"</f>
        <v>19:32:13.547</v>
      </c>
      <c r="U3437" t="str">
        <f t="shared" si="160"/>
        <v>a1cdbe</v>
      </c>
      <c r="V3437">
        <v>0</v>
      </c>
      <c r="W3437">
        <v>0</v>
      </c>
      <c r="X3437">
        <v>2</v>
      </c>
      <c r="Y3437">
        <v>0</v>
      </c>
      <c r="Z3437">
        <v>0</v>
      </c>
      <c r="AB3437">
        <v>0</v>
      </c>
      <c r="AC3437">
        <v>9</v>
      </c>
      <c r="AD3437">
        <v>3</v>
      </c>
      <c r="AE3437">
        <v>0</v>
      </c>
      <c r="AF3437">
        <v>9</v>
      </c>
      <c r="AG3437" t="s">
        <v>158</v>
      </c>
      <c r="AH3437">
        <v>0</v>
      </c>
      <c r="AI3437">
        <v>3</v>
      </c>
      <c r="AJ3437">
        <v>1</v>
      </c>
      <c r="AK3437">
        <v>0</v>
      </c>
      <c r="AL3437" t="s">
        <v>6468</v>
      </c>
      <c r="AM3437">
        <v>47.012644000000002</v>
      </c>
      <c r="AN3437" t="s">
        <v>6469</v>
      </c>
      <c r="AO3437">
        <v>-123.75178099999999</v>
      </c>
      <c r="AP3437">
        <v>100</v>
      </c>
      <c r="AQ3437">
        <v>2100</v>
      </c>
      <c r="AR3437" t="s">
        <v>118</v>
      </c>
      <c r="AS3437">
        <v>-78</v>
      </c>
      <c r="AT3437">
        <v>14</v>
      </c>
      <c r="AU3437">
        <v>0</v>
      </c>
      <c r="BC3437">
        <v>1200</v>
      </c>
      <c r="BD3437">
        <v>1</v>
      </c>
      <c r="BE3437" t="str">
        <f t="shared" si="161"/>
        <v xml:space="preserve">N215T   </v>
      </c>
      <c r="BF3437">
        <v>1</v>
      </c>
      <c r="BH3437">
        <v>0</v>
      </c>
      <c r="BI3437">
        <v>0</v>
      </c>
      <c r="BJ3437">
        <v>0</v>
      </c>
      <c r="BK3437">
        <v>2425</v>
      </c>
      <c r="BL3437">
        <v>325</v>
      </c>
      <c r="BM3437" t="s">
        <v>119</v>
      </c>
      <c r="BN3437">
        <v>1</v>
      </c>
      <c r="BO3437">
        <v>1</v>
      </c>
      <c r="BP3437">
        <v>1</v>
      </c>
      <c r="BQ3437">
        <v>0</v>
      </c>
      <c r="BT3437">
        <v>0</v>
      </c>
      <c r="BU3437">
        <v>0</v>
      </c>
      <c r="BV3437">
        <v>0</v>
      </c>
      <c r="CC3437" t="str">
        <f>"19:32:13.656"</f>
        <v>19:32:13.656</v>
      </c>
      <c r="CD3437" t="str">
        <f>"653752806"</f>
        <v>653752806</v>
      </c>
      <c r="CQ3437">
        <v>0</v>
      </c>
      <c r="CR3437">
        <v>2</v>
      </c>
      <c r="CS3437">
        <v>0</v>
      </c>
      <c r="CT3437">
        <v>2</v>
      </c>
      <c r="CU3437">
        <v>0</v>
      </c>
      <c r="CV3437">
        <v>6</v>
      </c>
      <c r="CW3437" t="s">
        <v>120</v>
      </c>
      <c r="CX3437">
        <v>257</v>
      </c>
      <c r="CY3437">
        <v>0</v>
      </c>
      <c r="CZ3437" t="s">
        <v>615</v>
      </c>
      <c r="DA3437" t="s">
        <v>616</v>
      </c>
      <c r="DD3437">
        <v>16426486</v>
      </c>
      <c r="DE3437" t="s">
        <v>123</v>
      </c>
    </row>
    <row r="3438" spans="1:109" x14ac:dyDescent="0.3">
      <c r="A3438" t="str">
        <f>"19:32:14.922"</f>
        <v>19:32:14.922</v>
      </c>
      <c r="B3438" t="s">
        <v>110</v>
      </c>
      <c r="C3438" t="str">
        <f t="shared" si="159"/>
        <v>ffdfd3c0</v>
      </c>
      <c r="D3438" t="s">
        <v>111</v>
      </c>
      <c r="E3438">
        <v>18</v>
      </c>
      <c r="F3438">
        <v>1018</v>
      </c>
      <c r="G3438" t="s">
        <v>112</v>
      </c>
      <c r="J3438" t="s">
        <v>113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R3438" t="s">
        <v>114</v>
      </c>
      <c r="S3438" t="str">
        <f>"19:32:14.672"</f>
        <v>19:32:14.672</v>
      </c>
      <c r="T3438" t="str">
        <f>"19:32:14.570"</f>
        <v>19:32:14.570</v>
      </c>
      <c r="U3438" t="str">
        <f t="shared" si="160"/>
        <v>a1cdbe</v>
      </c>
      <c r="V3438">
        <v>0</v>
      </c>
      <c r="W3438">
        <v>0</v>
      </c>
      <c r="X3438">
        <v>2</v>
      </c>
      <c r="Y3438">
        <v>0</v>
      </c>
      <c r="Z3438">
        <v>0</v>
      </c>
      <c r="AB3438">
        <v>0</v>
      </c>
      <c r="AC3438">
        <v>9</v>
      </c>
      <c r="AD3438">
        <v>3</v>
      </c>
      <c r="AE3438">
        <v>0</v>
      </c>
      <c r="AF3438">
        <v>9</v>
      </c>
      <c r="AG3438" t="s">
        <v>158</v>
      </c>
      <c r="AH3438">
        <v>0</v>
      </c>
      <c r="AI3438">
        <v>3</v>
      </c>
      <c r="AJ3438">
        <v>1</v>
      </c>
      <c r="AK3438">
        <v>0</v>
      </c>
      <c r="AL3438" t="s">
        <v>6470</v>
      </c>
      <c r="AM3438">
        <v>47.012729999999998</v>
      </c>
      <c r="AN3438" t="s">
        <v>6471</v>
      </c>
      <c r="AO3438">
        <v>-123.752253</v>
      </c>
      <c r="AP3438">
        <v>100</v>
      </c>
      <c r="AQ3438">
        <v>2100</v>
      </c>
      <c r="AR3438" t="s">
        <v>118</v>
      </c>
      <c r="AS3438">
        <v>-78</v>
      </c>
      <c r="AT3438">
        <v>14</v>
      </c>
      <c r="AU3438">
        <v>0</v>
      </c>
      <c r="BC3438">
        <v>1200</v>
      </c>
      <c r="BD3438">
        <v>1</v>
      </c>
      <c r="BE3438" t="str">
        <f t="shared" si="161"/>
        <v xml:space="preserve">N215T   </v>
      </c>
      <c r="BF3438">
        <v>1</v>
      </c>
      <c r="BH3438">
        <v>0</v>
      </c>
      <c r="BI3438">
        <v>0</v>
      </c>
      <c r="BJ3438">
        <v>0</v>
      </c>
      <c r="BK3438">
        <v>2450</v>
      </c>
      <c r="BL3438">
        <v>350</v>
      </c>
      <c r="BM3438" t="s">
        <v>119</v>
      </c>
      <c r="BN3438">
        <v>1</v>
      </c>
      <c r="BO3438">
        <v>1</v>
      </c>
      <c r="BP3438">
        <v>1</v>
      </c>
      <c r="BQ3438">
        <v>0</v>
      </c>
      <c r="BT3438">
        <v>0</v>
      </c>
      <c r="BU3438">
        <v>0</v>
      </c>
      <c r="BV3438">
        <v>0</v>
      </c>
      <c r="CC3438" t="str">
        <f>"19:32:14.672"</f>
        <v>19:32:14.672</v>
      </c>
      <c r="CD3438" t="str">
        <f>"673652301"</f>
        <v>673652301</v>
      </c>
      <c r="CQ3438">
        <v>0</v>
      </c>
      <c r="CR3438">
        <v>2</v>
      </c>
      <c r="CS3438">
        <v>0</v>
      </c>
      <c r="CT3438">
        <v>2</v>
      </c>
      <c r="CU3438">
        <v>0</v>
      </c>
      <c r="CV3438">
        <v>6</v>
      </c>
      <c r="CW3438" t="s">
        <v>120</v>
      </c>
      <c r="CX3438">
        <v>257</v>
      </c>
      <c r="CY3438">
        <v>0</v>
      </c>
      <c r="CZ3438" t="s">
        <v>615</v>
      </c>
      <c r="DA3438" t="s">
        <v>616</v>
      </c>
      <c r="DD3438">
        <v>16426941</v>
      </c>
      <c r="DE3438" t="s">
        <v>123</v>
      </c>
    </row>
    <row r="3439" spans="1:109" x14ac:dyDescent="0.3">
      <c r="A3439" t="str">
        <f>"19:32:16.031"</f>
        <v>19:32:16.031</v>
      </c>
      <c r="B3439" t="s">
        <v>110</v>
      </c>
      <c r="C3439" t="str">
        <f t="shared" si="159"/>
        <v>ffdfd3c0</v>
      </c>
      <c r="D3439" t="s">
        <v>111</v>
      </c>
      <c r="E3439">
        <v>18</v>
      </c>
      <c r="F3439">
        <v>1018</v>
      </c>
      <c r="G3439" t="s">
        <v>112</v>
      </c>
      <c r="J3439" t="s">
        <v>113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R3439" t="s">
        <v>114</v>
      </c>
      <c r="S3439" t="str">
        <f>"19:32:15.766"</f>
        <v>19:32:15.766</v>
      </c>
      <c r="T3439" t="str">
        <f>"19:32:15.664"</f>
        <v>19:32:15.664</v>
      </c>
      <c r="U3439" t="str">
        <f t="shared" si="160"/>
        <v>a1cdbe</v>
      </c>
      <c r="V3439">
        <v>0</v>
      </c>
      <c r="W3439">
        <v>0</v>
      </c>
      <c r="X3439">
        <v>2</v>
      </c>
      <c r="Y3439">
        <v>0</v>
      </c>
      <c r="Z3439">
        <v>0</v>
      </c>
      <c r="AB3439">
        <v>0</v>
      </c>
      <c r="AC3439">
        <v>9</v>
      </c>
      <c r="AD3439">
        <v>3</v>
      </c>
      <c r="AE3439">
        <v>0</v>
      </c>
      <c r="AF3439">
        <v>9</v>
      </c>
      <c r="AG3439" t="s">
        <v>158</v>
      </c>
      <c r="AH3439">
        <v>0</v>
      </c>
      <c r="AI3439">
        <v>3</v>
      </c>
      <c r="AJ3439">
        <v>1</v>
      </c>
      <c r="AK3439">
        <v>0</v>
      </c>
      <c r="AL3439" t="s">
        <v>749</v>
      </c>
      <c r="AM3439">
        <v>47.012773000000003</v>
      </c>
      <c r="AN3439" t="s">
        <v>6472</v>
      </c>
      <c r="AO3439">
        <v>-123.752897</v>
      </c>
      <c r="AP3439">
        <v>100</v>
      </c>
      <c r="AQ3439">
        <v>2100</v>
      </c>
      <c r="AR3439" t="s">
        <v>118</v>
      </c>
      <c r="AS3439">
        <v>-78</v>
      </c>
      <c r="AT3439">
        <v>14</v>
      </c>
      <c r="AU3439">
        <v>0</v>
      </c>
      <c r="BC3439">
        <v>1200</v>
      </c>
      <c r="BD3439">
        <v>1</v>
      </c>
      <c r="BE3439" t="str">
        <f t="shared" si="161"/>
        <v xml:space="preserve">N215T   </v>
      </c>
      <c r="BF3439">
        <v>1</v>
      </c>
      <c r="BH3439">
        <v>0</v>
      </c>
      <c r="BI3439">
        <v>0</v>
      </c>
      <c r="BJ3439">
        <v>0</v>
      </c>
      <c r="BK3439">
        <v>2450</v>
      </c>
      <c r="BL3439">
        <v>350</v>
      </c>
      <c r="BM3439" t="s">
        <v>119</v>
      </c>
      <c r="BN3439">
        <v>1</v>
      </c>
      <c r="BO3439">
        <v>1</v>
      </c>
      <c r="BP3439">
        <v>1</v>
      </c>
      <c r="BQ3439">
        <v>0</v>
      </c>
      <c r="BT3439">
        <v>0</v>
      </c>
      <c r="BU3439">
        <v>0</v>
      </c>
      <c r="BV3439">
        <v>0</v>
      </c>
      <c r="CC3439" t="str">
        <f>"19:32:15.766"</f>
        <v>19:32:15.766</v>
      </c>
      <c r="CD3439" t="str">
        <f>"768544411"</f>
        <v>768544411</v>
      </c>
      <c r="CQ3439">
        <v>0</v>
      </c>
      <c r="CR3439">
        <v>2</v>
      </c>
      <c r="CS3439">
        <v>0</v>
      </c>
      <c r="CT3439">
        <v>2</v>
      </c>
      <c r="CU3439">
        <v>0</v>
      </c>
      <c r="CV3439">
        <v>5</v>
      </c>
      <c r="CW3439" t="s">
        <v>120</v>
      </c>
      <c r="CX3439">
        <v>257</v>
      </c>
      <c r="CY3439">
        <v>0</v>
      </c>
      <c r="CZ3439" t="s">
        <v>615</v>
      </c>
      <c r="DA3439" t="s">
        <v>616</v>
      </c>
      <c r="DD3439">
        <v>16427403</v>
      </c>
      <c r="DE3439" t="s">
        <v>123</v>
      </c>
    </row>
    <row r="3440" spans="1:109" x14ac:dyDescent="0.3">
      <c r="A3440" t="str">
        <f>"19:32:16.984"</f>
        <v>19:32:16.984</v>
      </c>
      <c r="B3440" t="s">
        <v>110</v>
      </c>
      <c r="C3440" t="str">
        <f t="shared" si="159"/>
        <v>ffdfd3c0</v>
      </c>
      <c r="D3440" t="s">
        <v>111</v>
      </c>
      <c r="E3440">
        <v>18</v>
      </c>
      <c r="F3440">
        <v>1018</v>
      </c>
      <c r="G3440" t="s">
        <v>112</v>
      </c>
      <c r="J3440" t="s">
        <v>113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R3440" t="s">
        <v>114</v>
      </c>
      <c r="S3440" t="str">
        <f>"19:32:16.773"</f>
        <v>19:32:16.773</v>
      </c>
      <c r="T3440" t="str">
        <f>"19:32:16.570"</f>
        <v>19:32:16.570</v>
      </c>
      <c r="U3440" t="str">
        <f t="shared" si="160"/>
        <v>a1cdbe</v>
      </c>
      <c r="V3440">
        <v>0</v>
      </c>
      <c r="W3440">
        <v>0</v>
      </c>
      <c r="X3440">
        <v>2</v>
      </c>
      <c r="Y3440">
        <v>0</v>
      </c>
      <c r="Z3440">
        <v>0</v>
      </c>
      <c r="AB3440">
        <v>0</v>
      </c>
      <c r="AC3440">
        <v>9</v>
      </c>
      <c r="AD3440">
        <v>3</v>
      </c>
      <c r="AE3440">
        <v>0</v>
      </c>
      <c r="AF3440">
        <v>9</v>
      </c>
      <c r="AG3440" t="s">
        <v>158</v>
      </c>
      <c r="AH3440">
        <v>0</v>
      </c>
      <c r="AI3440">
        <v>3</v>
      </c>
      <c r="AJ3440">
        <v>1</v>
      </c>
      <c r="AK3440">
        <v>0</v>
      </c>
      <c r="AL3440" t="s">
        <v>6473</v>
      </c>
      <c r="AM3440">
        <v>47.012880000000003</v>
      </c>
      <c r="AN3440" t="s">
        <v>6474</v>
      </c>
      <c r="AO3440">
        <v>-123.753433</v>
      </c>
      <c r="AP3440">
        <v>100</v>
      </c>
      <c r="AQ3440">
        <v>2100</v>
      </c>
      <c r="AR3440" t="s">
        <v>118</v>
      </c>
      <c r="AS3440">
        <v>-78</v>
      </c>
      <c r="AT3440">
        <v>14</v>
      </c>
      <c r="AU3440">
        <v>64</v>
      </c>
      <c r="BC3440">
        <v>1200</v>
      </c>
      <c r="BD3440">
        <v>1</v>
      </c>
      <c r="BE3440" t="str">
        <f t="shared" si="161"/>
        <v xml:space="preserve">N215T   </v>
      </c>
      <c r="BF3440">
        <v>1</v>
      </c>
      <c r="BH3440">
        <v>0</v>
      </c>
      <c r="BI3440">
        <v>0</v>
      </c>
      <c r="BJ3440">
        <v>0</v>
      </c>
      <c r="BK3440">
        <v>2450</v>
      </c>
      <c r="BL3440">
        <v>350</v>
      </c>
      <c r="BM3440" t="s">
        <v>119</v>
      </c>
      <c r="BN3440">
        <v>1</v>
      </c>
      <c r="BO3440">
        <v>1</v>
      </c>
      <c r="BP3440">
        <v>1</v>
      </c>
      <c r="BQ3440">
        <v>0</v>
      </c>
      <c r="BT3440">
        <v>0</v>
      </c>
      <c r="BU3440">
        <v>0</v>
      </c>
      <c r="BV3440">
        <v>0</v>
      </c>
      <c r="CC3440" t="str">
        <f>"19:32:16.773"</f>
        <v>19:32:16.773</v>
      </c>
      <c r="CD3440" t="str">
        <f>"773445396"</f>
        <v>773445396</v>
      </c>
      <c r="CQ3440">
        <v>0</v>
      </c>
      <c r="CR3440">
        <v>2</v>
      </c>
      <c r="CS3440">
        <v>0</v>
      </c>
      <c r="CT3440">
        <v>2</v>
      </c>
      <c r="CU3440">
        <v>0</v>
      </c>
      <c r="CV3440">
        <v>5</v>
      </c>
      <c r="CW3440" t="s">
        <v>120</v>
      </c>
      <c r="CX3440">
        <v>257</v>
      </c>
      <c r="CY3440">
        <v>0</v>
      </c>
      <c r="CZ3440" t="s">
        <v>615</v>
      </c>
      <c r="DA3440" t="s">
        <v>616</v>
      </c>
      <c r="DD3440">
        <v>16427836</v>
      </c>
      <c r="DE3440" t="s">
        <v>123</v>
      </c>
    </row>
    <row r="3441" spans="1:109" x14ac:dyDescent="0.3">
      <c r="A3441" t="str">
        <f>"19:32:17.891"</f>
        <v>19:32:17.891</v>
      </c>
      <c r="B3441" t="s">
        <v>110</v>
      </c>
      <c r="C3441" t="str">
        <f t="shared" si="159"/>
        <v>ffdfd3c0</v>
      </c>
      <c r="D3441" t="s">
        <v>111</v>
      </c>
      <c r="E3441">
        <v>18</v>
      </c>
      <c r="F3441">
        <v>1018</v>
      </c>
      <c r="G3441" t="s">
        <v>112</v>
      </c>
      <c r="J3441" t="s">
        <v>113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R3441" t="s">
        <v>114</v>
      </c>
      <c r="S3441" t="str">
        <f>"19:32:17.625"</f>
        <v>19:32:17.625</v>
      </c>
      <c r="T3441" t="str">
        <f>"19:32:17.625"</f>
        <v>19:32:17.625</v>
      </c>
      <c r="U3441" t="str">
        <f t="shared" si="160"/>
        <v>a1cdbe</v>
      </c>
      <c r="V3441">
        <v>0</v>
      </c>
      <c r="W3441">
        <v>0</v>
      </c>
      <c r="X3441">
        <v>2</v>
      </c>
      <c r="Y3441">
        <v>0</v>
      </c>
      <c r="Z3441">
        <v>0</v>
      </c>
      <c r="AB3441">
        <v>0</v>
      </c>
      <c r="AC3441">
        <v>9</v>
      </c>
      <c r="AD3441">
        <v>3</v>
      </c>
      <c r="AE3441">
        <v>0</v>
      </c>
      <c r="AF3441">
        <v>9</v>
      </c>
      <c r="AG3441" t="s">
        <v>158</v>
      </c>
      <c r="AH3441">
        <v>0</v>
      </c>
      <c r="AI3441">
        <v>3</v>
      </c>
      <c r="AJ3441">
        <v>1</v>
      </c>
      <c r="AK3441">
        <v>0</v>
      </c>
      <c r="AL3441" t="s">
        <v>6475</v>
      </c>
      <c r="AM3441">
        <v>47.012923000000001</v>
      </c>
      <c r="AN3441" t="s">
        <v>6476</v>
      </c>
      <c r="AO3441">
        <v>-123.75384099999999</v>
      </c>
      <c r="AP3441">
        <v>100</v>
      </c>
      <c r="AQ3441">
        <v>2100</v>
      </c>
      <c r="AR3441" t="s">
        <v>118</v>
      </c>
      <c r="AS3441">
        <v>-78</v>
      </c>
      <c r="AT3441">
        <v>14</v>
      </c>
      <c r="AU3441">
        <v>64</v>
      </c>
      <c r="BC3441">
        <v>1200</v>
      </c>
      <c r="BD3441">
        <v>1</v>
      </c>
      <c r="BE3441" t="str">
        <f t="shared" si="161"/>
        <v xml:space="preserve">N215T   </v>
      </c>
      <c r="BF3441">
        <v>1</v>
      </c>
      <c r="BH3441">
        <v>0</v>
      </c>
      <c r="BI3441">
        <v>0</v>
      </c>
      <c r="BJ3441">
        <v>0</v>
      </c>
      <c r="BK3441">
        <v>2450</v>
      </c>
      <c r="BL3441">
        <v>350</v>
      </c>
      <c r="BM3441" t="s">
        <v>119</v>
      </c>
      <c r="BN3441">
        <v>1</v>
      </c>
      <c r="BO3441">
        <v>1</v>
      </c>
      <c r="BP3441">
        <v>1</v>
      </c>
      <c r="BQ3441">
        <v>0</v>
      </c>
      <c r="BT3441">
        <v>0</v>
      </c>
      <c r="BU3441">
        <v>0</v>
      </c>
      <c r="BV3441">
        <v>0</v>
      </c>
      <c r="CC3441" t="str">
        <f>"19:32:17.625"</f>
        <v>19:32:17.625</v>
      </c>
      <c r="CD3441" t="str">
        <f>"628361146"</f>
        <v>628361146</v>
      </c>
      <c r="CQ3441">
        <v>0</v>
      </c>
      <c r="CR3441">
        <v>2</v>
      </c>
      <c r="CS3441">
        <v>0</v>
      </c>
      <c r="CT3441">
        <v>2</v>
      </c>
      <c r="CU3441">
        <v>0</v>
      </c>
      <c r="CV3441">
        <v>5</v>
      </c>
      <c r="CW3441" t="s">
        <v>120</v>
      </c>
      <c r="CX3441">
        <v>257</v>
      </c>
      <c r="CY3441">
        <v>0</v>
      </c>
      <c r="CZ3441" t="s">
        <v>615</v>
      </c>
      <c r="DA3441" t="s">
        <v>616</v>
      </c>
      <c r="DD3441">
        <v>16428192</v>
      </c>
      <c r="DE3441" t="s">
        <v>123</v>
      </c>
    </row>
    <row r="3442" spans="1:109" x14ac:dyDescent="0.3">
      <c r="A3442" t="str">
        <f>"19:32:18.945"</f>
        <v>19:32:18.945</v>
      </c>
      <c r="B3442" t="s">
        <v>110</v>
      </c>
      <c r="C3442" t="str">
        <f t="shared" si="159"/>
        <v>ffdfd3c0</v>
      </c>
      <c r="D3442" t="s">
        <v>111</v>
      </c>
      <c r="E3442">
        <v>18</v>
      </c>
      <c r="F3442">
        <v>1018</v>
      </c>
      <c r="G3442" t="s">
        <v>112</v>
      </c>
      <c r="J3442" t="s">
        <v>113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R3442" t="s">
        <v>114</v>
      </c>
      <c r="S3442" t="str">
        <f>"19:32:18.688"</f>
        <v>19:32:18.688</v>
      </c>
      <c r="T3442" t="str">
        <f>"19:32:18.688"</f>
        <v>19:32:18.688</v>
      </c>
      <c r="U3442" t="str">
        <f t="shared" si="160"/>
        <v>a1cdbe</v>
      </c>
      <c r="V3442">
        <v>0</v>
      </c>
      <c r="W3442">
        <v>0</v>
      </c>
      <c r="X3442">
        <v>2</v>
      </c>
      <c r="Y3442">
        <v>0</v>
      </c>
      <c r="Z3442">
        <v>0</v>
      </c>
      <c r="AB3442">
        <v>0</v>
      </c>
      <c r="AC3442">
        <v>9</v>
      </c>
      <c r="AD3442">
        <v>3</v>
      </c>
      <c r="AE3442">
        <v>0</v>
      </c>
      <c r="AF3442">
        <v>9</v>
      </c>
      <c r="AG3442" t="s">
        <v>158</v>
      </c>
      <c r="AH3442">
        <v>0</v>
      </c>
      <c r="AI3442">
        <v>3</v>
      </c>
      <c r="AJ3442">
        <v>1</v>
      </c>
      <c r="AK3442">
        <v>0</v>
      </c>
      <c r="AL3442" t="s">
        <v>6477</v>
      </c>
      <c r="AM3442">
        <v>47.013008999999997</v>
      </c>
      <c r="AN3442" t="s">
        <v>6478</v>
      </c>
      <c r="AO3442">
        <v>-123.754442</v>
      </c>
      <c r="AP3442">
        <v>100</v>
      </c>
      <c r="AQ3442">
        <v>2100</v>
      </c>
      <c r="AR3442" t="s">
        <v>118</v>
      </c>
      <c r="AS3442">
        <v>-78</v>
      </c>
      <c r="AT3442">
        <v>14</v>
      </c>
      <c r="AU3442">
        <v>0</v>
      </c>
      <c r="BC3442">
        <v>1200</v>
      </c>
      <c r="BD3442">
        <v>1</v>
      </c>
      <c r="BE3442" t="str">
        <f t="shared" si="161"/>
        <v xml:space="preserve">N215T   </v>
      </c>
      <c r="BF3442">
        <v>1</v>
      </c>
      <c r="BH3442">
        <v>0</v>
      </c>
      <c r="BI3442">
        <v>0</v>
      </c>
      <c r="BJ3442">
        <v>0</v>
      </c>
      <c r="BK3442">
        <v>2450</v>
      </c>
      <c r="BL3442">
        <v>350</v>
      </c>
      <c r="BM3442" t="s">
        <v>119</v>
      </c>
      <c r="BN3442">
        <v>1</v>
      </c>
      <c r="BO3442">
        <v>1</v>
      </c>
      <c r="BP3442">
        <v>1</v>
      </c>
      <c r="BQ3442">
        <v>0</v>
      </c>
      <c r="BT3442">
        <v>0</v>
      </c>
      <c r="BU3442">
        <v>0</v>
      </c>
      <c r="BV3442">
        <v>0</v>
      </c>
      <c r="CC3442" t="str">
        <f>"19:32:18.695"</f>
        <v>19:32:18.695</v>
      </c>
      <c r="CD3442" t="str">
        <f>"693256210"</f>
        <v>693256210</v>
      </c>
      <c r="CQ3442">
        <v>0</v>
      </c>
      <c r="CR3442">
        <v>2</v>
      </c>
      <c r="CS3442">
        <v>0</v>
      </c>
      <c r="CT3442">
        <v>2</v>
      </c>
      <c r="CU3442">
        <v>0</v>
      </c>
      <c r="CV3442">
        <v>6</v>
      </c>
      <c r="CW3442" t="s">
        <v>120</v>
      </c>
      <c r="CX3442">
        <v>257</v>
      </c>
      <c r="CY3442">
        <v>0</v>
      </c>
      <c r="CZ3442" t="s">
        <v>615</v>
      </c>
      <c r="DA3442" t="s">
        <v>616</v>
      </c>
      <c r="DD3442">
        <v>16428669</v>
      </c>
      <c r="DE3442" t="s">
        <v>123</v>
      </c>
    </row>
    <row r="3443" spans="1:109" x14ac:dyDescent="0.3">
      <c r="A3443" t="str">
        <f>"19:32:20.008"</f>
        <v>19:32:20.008</v>
      </c>
      <c r="B3443" t="s">
        <v>110</v>
      </c>
      <c r="C3443" t="str">
        <f t="shared" si="159"/>
        <v>ffdfd3c0</v>
      </c>
      <c r="D3443" t="s">
        <v>111</v>
      </c>
      <c r="E3443">
        <v>18</v>
      </c>
      <c r="F3443">
        <v>1018</v>
      </c>
      <c r="G3443" t="s">
        <v>112</v>
      </c>
      <c r="J3443" t="s">
        <v>113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R3443" t="s">
        <v>114</v>
      </c>
      <c r="S3443" t="str">
        <f>"19:32:19.781"</f>
        <v>19:32:19.781</v>
      </c>
      <c r="T3443" t="str">
        <f>"19:32:19.680"</f>
        <v>19:32:19.680</v>
      </c>
      <c r="U3443" t="str">
        <f t="shared" si="160"/>
        <v>a1cdbe</v>
      </c>
      <c r="V3443">
        <v>0</v>
      </c>
      <c r="W3443">
        <v>0</v>
      </c>
      <c r="X3443">
        <v>2</v>
      </c>
      <c r="Y3443">
        <v>0</v>
      </c>
      <c r="Z3443">
        <v>0</v>
      </c>
      <c r="AB3443">
        <v>0</v>
      </c>
      <c r="AC3443">
        <v>9</v>
      </c>
      <c r="AD3443">
        <v>3</v>
      </c>
      <c r="AE3443">
        <v>0</v>
      </c>
      <c r="AF3443">
        <v>9</v>
      </c>
      <c r="AG3443" t="s">
        <v>158</v>
      </c>
      <c r="AH3443">
        <v>0</v>
      </c>
      <c r="AI3443">
        <v>3</v>
      </c>
      <c r="AJ3443">
        <v>1</v>
      </c>
      <c r="AK3443">
        <v>0</v>
      </c>
      <c r="AL3443" t="s">
        <v>6479</v>
      </c>
      <c r="AM3443">
        <v>47.013052000000002</v>
      </c>
      <c r="AN3443" t="s">
        <v>6480</v>
      </c>
      <c r="AO3443">
        <v>-123.755</v>
      </c>
      <c r="AP3443">
        <v>100</v>
      </c>
      <c r="AQ3443">
        <v>2100</v>
      </c>
      <c r="AR3443" t="s">
        <v>118</v>
      </c>
      <c r="AS3443">
        <v>-78</v>
      </c>
      <c r="AT3443">
        <v>13</v>
      </c>
      <c r="AU3443">
        <v>64</v>
      </c>
      <c r="BC3443">
        <v>1200</v>
      </c>
      <c r="BD3443">
        <v>1</v>
      </c>
      <c r="BE3443" t="str">
        <f t="shared" si="161"/>
        <v xml:space="preserve">N215T   </v>
      </c>
      <c r="BF3443">
        <v>1</v>
      </c>
      <c r="BH3443">
        <v>0</v>
      </c>
      <c r="BI3443">
        <v>0</v>
      </c>
      <c r="BJ3443">
        <v>0</v>
      </c>
      <c r="BK3443">
        <v>2450</v>
      </c>
      <c r="BL3443">
        <v>350</v>
      </c>
      <c r="BM3443" t="s">
        <v>119</v>
      </c>
      <c r="BN3443">
        <v>1</v>
      </c>
      <c r="BO3443">
        <v>1</v>
      </c>
      <c r="BP3443">
        <v>1</v>
      </c>
      <c r="BQ3443">
        <v>0</v>
      </c>
      <c r="BT3443">
        <v>0</v>
      </c>
      <c r="BU3443">
        <v>0</v>
      </c>
      <c r="BV3443">
        <v>0</v>
      </c>
      <c r="CC3443" t="str">
        <f>"19:32:19.789"</f>
        <v>19:32:19.789</v>
      </c>
      <c r="CD3443" t="str">
        <f>"788148317"</f>
        <v>788148317</v>
      </c>
      <c r="CQ3443">
        <v>0</v>
      </c>
      <c r="CR3443">
        <v>2</v>
      </c>
      <c r="CS3443">
        <v>0</v>
      </c>
      <c r="CT3443">
        <v>2</v>
      </c>
      <c r="CU3443">
        <v>0</v>
      </c>
      <c r="CV3443">
        <v>5</v>
      </c>
      <c r="CW3443" t="s">
        <v>120</v>
      </c>
      <c r="CX3443">
        <v>257</v>
      </c>
      <c r="CY3443">
        <v>0</v>
      </c>
      <c r="CZ3443" t="s">
        <v>615</v>
      </c>
      <c r="DA3443" t="s">
        <v>616</v>
      </c>
      <c r="DD3443">
        <v>16429158</v>
      </c>
      <c r="DE3443" t="s">
        <v>123</v>
      </c>
    </row>
    <row r="3444" spans="1:109" x14ac:dyDescent="0.3">
      <c r="A3444" t="str">
        <f>"19:32:20.961"</f>
        <v>19:32:20.961</v>
      </c>
      <c r="B3444" t="s">
        <v>110</v>
      </c>
      <c r="C3444" t="str">
        <f t="shared" si="159"/>
        <v>ffdfd3c0</v>
      </c>
      <c r="D3444" t="s">
        <v>111</v>
      </c>
      <c r="E3444">
        <v>18</v>
      </c>
      <c r="F3444">
        <v>1018</v>
      </c>
      <c r="G3444" t="s">
        <v>112</v>
      </c>
      <c r="J3444" t="s">
        <v>113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R3444" t="s">
        <v>114</v>
      </c>
      <c r="S3444" t="str">
        <f>"19:32:20.727"</f>
        <v>19:32:20.727</v>
      </c>
      <c r="T3444" t="str">
        <f>"19:32:20.625"</f>
        <v>19:32:20.625</v>
      </c>
      <c r="U3444" t="str">
        <f t="shared" si="160"/>
        <v>a1cdbe</v>
      </c>
      <c r="V3444">
        <v>0</v>
      </c>
      <c r="W3444">
        <v>0</v>
      </c>
      <c r="X3444">
        <v>2</v>
      </c>
      <c r="Y3444">
        <v>0</v>
      </c>
      <c r="Z3444">
        <v>0</v>
      </c>
      <c r="AB3444">
        <v>0</v>
      </c>
      <c r="AC3444">
        <v>9</v>
      </c>
      <c r="AD3444">
        <v>3</v>
      </c>
      <c r="AE3444">
        <v>0</v>
      </c>
      <c r="AF3444">
        <v>9</v>
      </c>
      <c r="AG3444" t="s">
        <v>158</v>
      </c>
      <c r="AH3444">
        <v>0</v>
      </c>
      <c r="AI3444">
        <v>3</v>
      </c>
      <c r="AJ3444">
        <v>1</v>
      </c>
      <c r="AK3444">
        <v>0</v>
      </c>
      <c r="AL3444" t="s">
        <v>6481</v>
      </c>
      <c r="AM3444">
        <v>47.013094000000002</v>
      </c>
      <c r="AN3444" t="s">
        <v>6482</v>
      </c>
      <c r="AO3444">
        <v>-123.755493</v>
      </c>
      <c r="AP3444">
        <v>100</v>
      </c>
      <c r="AQ3444">
        <v>2100</v>
      </c>
      <c r="AR3444" t="s">
        <v>118</v>
      </c>
      <c r="AS3444">
        <v>-78</v>
      </c>
      <c r="AT3444">
        <v>13</v>
      </c>
      <c r="AU3444">
        <v>64</v>
      </c>
      <c r="BC3444">
        <v>1200</v>
      </c>
      <c r="BD3444">
        <v>1</v>
      </c>
      <c r="BE3444" t="str">
        <f t="shared" si="161"/>
        <v xml:space="preserve">N215T   </v>
      </c>
      <c r="BF3444">
        <v>1</v>
      </c>
      <c r="BH3444">
        <v>0</v>
      </c>
      <c r="BI3444">
        <v>0</v>
      </c>
      <c r="BJ3444">
        <v>0</v>
      </c>
      <c r="BK3444">
        <v>2450</v>
      </c>
      <c r="BL3444">
        <v>350</v>
      </c>
      <c r="BM3444" t="s">
        <v>119</v>
      </c>
      <c r="BN3444">
        <v>1</v>
      </c>
      <c r="BO3444">
        <v>1</v>
      </c>
      <c r="BP3444">
        <v>1</v>
      </c>
      <c r="BQ3444">
        <v>0</v>
      </c>
      <c r="BT3444">
        <v>0</v>
      </c>
      <c r="BU3444">
        <v>0</v>
      </c>
      <c r="BV3444">
        <v>0</v>
      </c>
      <c r="CC3444" t="str">
        <f>"19:32:20.734"</f>
        <v>19:32:20.734</v>
      </c>
      <c r="CD3444" t="str">
        <f>"733055215"</f>
        <v>733055215</v>
      </c>
      <c r="CQ3444">
        <v>0</v>
      </c>
      <c r="CR3444">
        <v>2</v>
      </c>
      <c r="CS3444">
        <v>0</v>
      </c>
      <c r="CT3444">
        <v>2</v>
      </c>
      <c r="CU3444">
        <v>0</v>
      </c>
      <c r="CV3444">
        <v>6</v>
      </c>
      <c r="CW3444" t="s">
        <v>120</v>
      </c>
      <c r="CX3444">
        <v>257</v>
      </c>
      <c r="CY3444">
        <v>0</v>
      </c>
      <c r="CZ3444" t="s">
        <v>615</v>
      </c>
      <c r="DA3444" t="s">
        <v>616</v>
      </c>
      <c r="DD3444">
        <v>16429543</v>
      </c>
      <c r="DE3444" t="s">
        <v>123</v>
      </c>
    </row>
    <row r="3445" spans="1:109" x14ac:dyDescent="0.3">
      <c r="A3445" t="str">
        <f>"19:32:21.961"</f>
        <v>19:32:21.961</v>
      </c>
      <c r="B3445" t="s">
        <v>110</v>
      </c>
      <c r="C3445" t="str">
        <f t="shared" si="159"/>
        <v>ffdfd3c0</v>
      </c>
      <c r="D3445" t="s">
        <v>111</v>
      </c>
      <c r="E3445">
        <v>18</v>
      </c>
      <c r="F3445">
        <v>1018</v>
      </c>
      <c r="G3445" t="s">
        <v>112</v>
      </c>
      <c r="J3445" t="s">
        <v>113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R3445" t="s">
        <v>114</v>
      </c>
      <c r="S3445" t="str">
        <f>"19:32:21.750"</f>
        <v>19:32:21.750</v>
      </c>
      <c r="T3445" t="str">
        <f>"19:32:21.547"</f>
        <v>19:32:21.547</v>
      </c>
      <c r="U3445" t="str">
        <f t="shared" si="160"/>
        <v>a1cdbe</v>
      </c>
      <c r="V3445">
        <v>0</v>
      </c>
      <c r="W3445">
        <v>0</v>
      </c>
      <c r="X3445">
        <v>2</v>
      </c>
      <c r="Y3445">
        <v>0</v>
      </c>
      <c r="Z3445">
        <v>0</v>
      </c>
      <c r="AB3445">
        <v>0</v>
      </c>
      <c r="AC3445">
        <v>9</v>
      </c>
      <c r="AD3445">
        <v>3</v>
      </c>
      <c r="AE3445">
        <v>0</v>
      </c>
      <c r="AF3445">
        <v>9</v>
      </c>
      <c r="AG3445" t="s">
        <v>158</v>
      </c>
      <c r="AH3445">
        <v>0</v>
      </c>
      <c r="AI3445">
        <v>3</v>
      </c>
      <c r="AJ3445">
        <v>1</v>
      </c>
      <c r="AK3445">
        <v>0</v>
      </c>
      <c r="AL3445" t="s">
        <v>6483</v>
      </c>
      <c r="AM3445">
        <v>47.013202</v>
      </c>
      <c r="AN3445" t="s">
        <v>6484</v>
      </c>
      <c r="AO3445">
        <v>-123.756051</v>
      </c>
      <c r="AP3445">
        <v>100</v>
      </c>
      <c r="AQ3445">
        <v>2100</v>
      </c>
      <c r="AR3445" t="s">
        <v>118</v>
      </c>
      <c r="AS3445">
        <v>-78</v>
      </c>
      <c r="AT3445">
        <v>12</v>
      </c>
      <c r="AU3445">
        <v>0</v>
      </c>
      <c r="BC3445">
        <v>1200</v>
      </c>
      <c r="BD3445">
        <v>1</v>
      </c>
      <c r="BE3445" t="str">
        <f t="shared" si="161"/>
        <v xml:space="preserve">N215T   </v>
      </c>
      <c r="BF3445">
        <v>1</v>
      </c>
      <c r="BH3445">
        <v>0</v>
      </c>
      <c r="BI3445">
        <v>0</v>
      </c>
      <c r="BJ3445">
        <v>0</v>
      </c>
      <c r="BK3445">
        <v>2450</v>
      </c>
      <c r="BL3445">
        <v>350</v>
      </c>
      <c r="BM3445" t="s">
        <v>119</v>
      </c>
      <c r="BN3445">
        <v>1</v>
      </c>
      <c r="BO3445">
        <v>1</v>
      </c>
      <c r="BP3445">
        <v>1</v>
      </c>
      <c r="BQ3445">
        <v>0</v>
      </c>
      <c r="BT3445">
        <v>0</v>
      </c>
      <c r="BU3445">
        <v>0</v>
      </c>
      <c r="BV3445">
        <v>0</v>
      </c>
      <c r="CC3445" t="str">
        <f>"19:32:21.750"</f>
        <v>19:32:21.750</v>
      </c>
      <c r="CD3445" t="str">
        <f>"752954704"</f>
        <v>752954704</v>
      </c>
      <c r="CQ3445">
        <v>0</v>
      </c>
      <c r="CR3445">
        <v>2</v>
      </c>
      <c r="CS3445">
        <v>0</v>
      </c>
      <c r="CT3445">
        <v>2</v>
      </c>
      <c r="CU3445">
        <v>0</v>
      </c>
      <c r="CV3445">
        <v>5</v>
      </c>
      <c r="CW3445" t="s">
        <v>120</v>
      </c>
      <c r="CX3445">
        <v>257</v>
      </c>
      <c r="CY3445">
        <v>0</v>
      </c>
      <c r="CZ3445" t="s">
        <v>615</v>
      </c>
      <c r="DA3445" t="s">
        <v>616</v>
      </c>
      <c r="DD3445">
        <v>16430029</v>
      </c>
      <c r="DE3445" t="s">
        <v>123</v>
      </c>
    </row>
    <row r="3446" spans="1:109" x14ac:dyDescent="0.3">
      <c r="A3446" t="str">
        <f>"19:32:22.969"</f>
        <v>19:32:22.969</v>
      </c>
      <c r="B3446" t="s">
        <v>110</v>
      </c>
      <c r="C3446" t="str">
        <f t="shared" si="159"/>
        <v>ffdfd3c0</v>
      </c>
      <c r="D3446" t="s">
        <v>111</v>
      </c>
      <c r="E3446">
        <v>18</v>
      </c>
      <c r="F3446">
        <v>1018</v>
      </c>
      <c r="G3446" t="s">
        <v>112</v>
      </c>
      <c r="J3446" t="s">
        <v>113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R3446" t="s">
        <v>114</v>
      </c>
      <c r="S3446" t="str">
        <f>"19:32:22.758"</f>
        <v>19:32:22.758</v>
      </c>
      <c r="T3446" t="str">
        <f>"19:32:22.656"</f>
        <v>19:32:22.656</v>
      </c>
      <c r="U3446" t="str">
        <f t="shared" si="160"/>
        <v>a1cdbe</v>
      </c>
      <c r="V3446">
        <v>0</v>
      </c>
      <c r="W3446">
        <v>0</v>
      </c>
      <c r="X3446">
        <v>2</v>
      </c>
      <c r="Y3446">
        <v>0</v>
      </c>
      <c r="Z3446">
        <v>0</v>
      </c>
      <c r="AB3446">
        <v>0</v>
      </c>
      <c r="AC3446">
        <v>9</v>
      </c>
      <c r="AD3446">
        <v>3</v>
      </c>
      <c r="AE3446">
        <v>0</v>
      </c>
      <c r="AF3446">
        <v>9</v>
      </c>
      <c r="AG3446" t="s">
        <v>158</v>
      </c>
      <c r="AH3446">
        <v>0</v>
      </c>
      <c r="AI3446">
        <v>3</v>
      </c>
      <c r="AJ3446">
        <v>1</v>
      </c>
      <c r="AK3446">
        <v>0</v>
      </c>
      <c r="AL3446" t="s">
        <v>747</v>
      </c>
      <c r="AM3446">
        <v>47.013244999999998</v>
      </c>
      <c r="AN3446" t="s">
        <v>6485</v>
      </c>
      <c r="AO3446">
        <v>-123.75658799999999</v>
      </c>
      <c r="AP3446">
        <v>100</v>
      </c>
      <c r="AQ3446">
        <v>2100</v>
      </c>
      <c r="AR3446" t="s">
        <v>118</v>
      </c>
      <c r="AS3446">
        <v>-79</v>
      </c>
      <c r="AT3446">
        <v>12</v>
      </c>
      <c r="AU3446">
        <v>64</v>
      </c>
      <c r="BC3446">
        <v>1200</v>
      </c>
      <c r="BD3446">
        <v>1</v>
      </c>
      <c r="BE3446" t="str">
        <f t="shared" si="161"/>
        <v xml:space="preserve">N215T   </v>
      </c>
      <c r="BF3446">
        <v>1</v>
      </c>
      <c r="BH3446">
        <v>0</v>
      </c>
      <c r="BI3446">
        <v>0</v>
      </c>
      <c r="BJ3446">
        <v>0</v>
      </c>
      <c r="BK3446">
        <v>2450</v>
      </c>
      <c r="BL3446">
        <v>350</v>
      </c>
      <c r="BM3446" t="s">
        <v>119</v>
      </c>
      <c r="BN3446">
        <v>1</v>
      </c>
      <c r="BO3446">
        <v>1</v>
      </c>
      <c r="BP3446">
        <v>1</v>
      </c>
      <c r="BQ3446">
        <v>0</v>
      </c>
      <c r="BT3446">
        <v>0</v>
      </c>
      <c r="BU3446">
        <v>0</v>
      </c>
      <c r="BV3446">
        <v>0</v>
      </c>
      <c r="CC3446" t="str">
        <f>"19:32:22.758"</f>
        <v>19:32:22.758</v>
      </c>
      <c r="CD3446" t="str">
        <f>"757855676"</f>
        <v>757855676</v>
      </c>
      <c r="CQ3446">
        <v>0</v>
      </c>
      <c r="CR3446">
        <v>2</v>
      </c>
      <c r="CS3446">
        <v>0</v>
      </c>
      <c r="CT3446">
        <v>2</v>
      </c>
      <c r="CU3446">
        <v>0</v>
      </c>
      <c r="CV3446">
        <v>6</v>
      </c>
      <c r="CW3446" t="s">
        <v>120</v>
      </c>
      <c r="CX3446">
        <v>257</v>
      </c>
      <c r="CY3446">
        <v>0</v>
      </c>
      <c r="CZ3446" t="s">
        <v>615</v>
      </c>
      <c r="DA3446" t="s">
        <v>616</v>
      </c>
      <c r="DD3446">
        <v>16430493</v>
      </c>
      <c r="DE3446" t="s">
        <v>123</v>
      </c>
    </row>
    <row r="3447" spans="1:109" x14ac:dyDescent="0.3">
      <c r="A3447" t="str">
        <f>"19:32:23.875"</f>
        <v>19:32:23.875</v>
      </c>
      <c r="B3447" t="s">
        <v>110</v>
      </c>
      <c r="C3447" t="str">
        <f t="shared" si="159"/>
        <v>ffdfd3c0</v>
      </c>
      <c r="D3447" t="s">
        <v>111</v>
      </c>
      <c r="E3447">
        <v>18</v>
      </c>
      <c r="F3447">
        <v>1018</v>
      </c>
      <c r="G3447" t="s">
        <v>112</v>
      </c>
      <c r="J3447" t="s">
        <v>113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R3447" t="s">
        <v>114</v>
      </c>
      <c r="S3447" t="str">
        <f>"19:32:23.672"</f>
        <v>19:32:23.672</v>
      </c>
      <c r="T3447" t="str">
        <f>"19:32:23.172"</f>
        <v>19:32:23.172</v>
      </c>
      <c r="U3447" t="str">
        <f t="shared" si="160"/>
        <v>a1cdbe</v>
      </c>
      <c r="V3447">
        <v>0</v>
      </c>
      <c r="W3447">
        <v>0</v>
      </c>
      <c r="X3447">
        <v>2</v>
      </c>
      <c r="Y3447">
        <v>0</v>
      </c>
      <c r="Z3447">
        <v>0</v>
      </c>
      <c r="AB3447">
        <v>0</v>
      </c>
      <c r="AC3447">
        <v>9</v>
      </c>
      <c r="AD3447">
        <v>3</v>
      </c>
      <c r="AE3447">
        <v>0</v>
      </c>
      <c r="AF3447">
        <v>9</v>
      </c>
      <c r="AG3447" t="s">
        <v>158</v>
      </c>
      <c r="AH3447">
        <v>0</v>
      </c>
      <c r="AI3447">
        <v>3</v>
      </c>
      <c r="AJ3447">
        <v>1</v>
      </c>
      <c r="AK3447">
        <v>0</v>
      </c>
      <c r="AL3447" t="s">
        <v>6486</v>
      </c>
      <c r="AM3447">
        <v>47.013288000000003</v>
      </c>
      <c r="AN3447" t="s">
        <v>6487</v>
      </c>
      <c r="AO3447">
        <v>-123.757081</v>
      </c>
      <c r="AP3447">
        <v>100</v>
      </c>
      <c r="AQ3447">
        <v>2100</v>
      </c>
      <c r="AR3447" t="s">
        <v>118</v>
      </c>
      <c r="AS3447">
        <v>-79</v>
      </c>
      <c r="AT3447">
        <v>12</v>
      </c>
      <c r="AU3447">
        <v>64</v>
      </c>
      <c r="BC3447">
        <v>1200</v>
      </c>
      <c r="BD3447">
        <v>1</v>
      </c>
      <c r="BE3447" t="str">
        <f t="shared" si="161"/>
        <v xml:space="preserve">N215T   </v>
      </c>
      <c r="BF3447">
        <v>1</v>
      </c>
      <c r="BH3447">
        <v>0</v>
      </c>
      <c r="BI3447">
        <v>0</v>
      </c>
      <c r="BJ3447">
        <v>0</v>
      </c>
      <c r="BK3447">
        <v>2450</v>
      </c>
      <c r="BL3447">
        <v>350</v>
      </c>
      <c r="BM3447" t="s">
        <v>119</v>
      </c>
      <c r="BN3447">
        <v>1</v>
      </c>
      <c r="BO3447">
        <v>1</v>
      </c>
      <c r="BP3447">
        <v>1</v>
      </c>
      <c r="BQ3447">
        <v>0</v>
      </c>
      <c r="BT3447">
        <v>0</v>
      </c>
      <c r="BU3447">
        <v>0</v>
      </c>
      <c r="BV3447">
        <v>0</v>
      </c>
      <c r="CC3447" t="str">
        <f>"19:32:23.672"</f>
        <v>19:32:23.672</v>
      </c>
      <c r="CD3447" t="str">
        <f>"672765520"</f>
        <v>672765520</v>
      </c>
      <c r="CQ3447">
        <v>0</v>
      </c>
      <c r="CR3447">
        <v>2</v>
      </c>
      <c r="CS3447">
        <v>0</v>
      </c>
      <c r="CT3447">
        <v>2</v>
      </c>
      <c r="CU3447">
        <v>0</v>
      </c>
      <c r="CV3447">
        <v>6</v>
      </c>
      <c r="CW3447" t="s">
        <v>120</v>
      </c>
      <c r="CX3447">
        <v>257</v>
      </c>
      <c r="CY3447">
        <v>0</v>
      </c>
      <c r="CZ3447" t="s">
        <v>615</v>
      </c>
      <c r="DA3447" t="s">
        <v>616</v>
      </c>
      <c r="DD3447">
        <v>16430932</v>
      </c>
      <c r="DE3447" t="s">
        <v>123</v>
      </c>
    </row>
    <row r="3448" spans="1:109" x14ac:dyDescent="0.3">
      <c r="A3448" t="str">
        <f>"19:32:24.883"</f>
        <v>19:32:24.883</v>
      </c>
      <c r="B3448" t="s">
        <v>110</v>
      </c>
      <c r="C3448" t="str">
        <f t="shared" si="159"/>
        <v>ffdfd3c0</v>
      </c>
      <c r="D3448" t="s">
        <v>111</v>
      </c>
      <c r="E3448">
        <v>18</v>
      </c>
      <c r="F3448">
        <v>1018</v>
      </c>
      <c r="G3448" t="s">
        <v>112</v>
      </c>
      <c r="J3448" t="s">
        <v>113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R3448" t="s">
        <v>114</v>
      </c>
      <c r="S3448" t="str">
        <f>"19:32:24.641"</f>
        <v>19:32:24.641</v>
      </c>
      <c r="T3448" t="str">
        <f>"19:32:24.344"</f>
        <v>19:32:24.344</v>
      </c>
      <c r="U3448" t="str">
        <f t="shared" si="160"/>
        <v>a1cdbe</v>
      </c>
      <c r="V3448">
        <v>0</v>
      </c>
      <c r="W3448">
        <v>0</v>
      </c>
      <c r="X3448">
        <v>2</v>
      </c>
      <c r="Y3448">
        <v>0</v>
      </c>
      <c r="Z3448">
        <v>0</v>
      </c>
      <c r="AB3448">
        <v>0</v>
      </c>
      <c r="AC3448">
        <v>9</v>
      </c>
      <c r="AD3448">
        <v>3</v>
      </c>
      <c r="AE3448">
        <v>0</v>
      </c>
      <c r="AF3448">
        <v>9</v>
      </c>
      <c r="AG3448" t="s">
        <v>158</v>
      </c>
      <c r="AH3448">
        <v>0</v>
      </c>
      <c r="AI3448">
        <v>3</v>
      </c>
      <c r="AJ3448">
        <v>1</v>
      </c>
      <c r="AK3448">
        <v>0</v>
      </c>
      <c r="AL3448" t="s">
        <v>6488</v>
      </c>
      <c r="AM3448">
        <v>47.013330000000003</v>
      </c>
      <c r="AN3448" t="s">
        <v>6489</v>
      </c>
      <c r="AO3448">
        <v>-123.757532</v>
      </c>
      <c r="AP3448">
        <v>100</v>
      </c>
      <c r="AQ3448">
        <v>2100</v>
      </c>
      <c r="AR3448" t="s">
        <v>118</v>
      </c>
      <c r="AS3448">
        <v>-79</v>
      </c>
      <c r="AT3448">
        <v>11</v>
      </c>
      <c r="AU3448">
        <v>0</v>
      </c>
      <c r="BC3448">
        <v>1200</v>
      </c>
      <c r="BD3448">
        <v>1</v>
      </c>
      <c r="BE3448" t="str">
        <f t="shared" si="161"/>
        <v xml:space="preserve">N215T   </v>
      </c>
      <c r="BF3448">
        <v>1</v>
      </c>
      <c r="BH3448">
        <v>0</v>
      </c>
      <c r="BI3448">
        <v>0</v>
      </c>
      <c r="BJ3448">
        <v>0</v>
      </c>
      <c r="BK3448">
        <v>2450</v>
      </c>
      <c r="BL3448">
        <v>350</v>
      </c>
      <c r="BM3448" t="s">
        <v>119</v>
      </c>
      <c r="BN3448">
        <v>1</v>
      </c>
      <c r="BO3448">
        <v>1</v>
      </c>
      <c r="BP3448">
        <v>1</v>
      </c>
      <c r="BQ3448">
        <v>0</v>
      </c>
      <c r="BT3448">
        <v>0</v>
      </c>
      <c r="BU3448">
        <v>0</v>
      </c>
      <c r="BV3448">
        <v>0</v>
      </c>
      <c r="CC3448" t="str">
        <f>"19:32:24.648"</f>
        <v>19:32:24.648</v>
      </c>
      <c r="CD3448" t="str">
        <f>"647669454"</f>
        <v>647669454</v>
      </c>
      <c r="CQ3448">
        <v>0</v>
      </c>
      <c r="CR3448">
        <v>2</v>
      </c>
      <c r="CS3448">
        <v>0</v>
      </c>
      <c r="CT3448">
        <v>2</v>
      </c>
      <c r="CU3448">
        <v>0</v>
      </c>
      <c r="CV3448">
        <v>6</v>
      </c>
      <c r="CW3448" t="s">
        <v>120</v>
      </c>
      <c r="CX3448">
        <v>257</v>
      </c>
      <c r="CY3448">
        <v>0</v>
      </c>
      <c r="CZ3448" t="s">
        <v>615</v>
      </c>
      <c r="DA3448" t="s">
        <v>616</v>
      </c>
      <c r="DD3448">
        <v>16431378</v>
      </c>
      <c r="DE3448" t="s">
        <v>123</v>
      </c>
    </row>
    <row r="3449" spans="1:109" x14ac:dyDescent="0.3">
      <c r="A3449" t="str">
        <f>"19:32:25.984"</f>
        <v>19:32:25.984</v>
      </c>
      <c r="B3449" t="s">
        <v>110</v>
      </c>
      <c r="C3449" t="str">
        <f t="shared" si="159"/>
        <v>ffdfd3c0</v>
      </c>
      <c r="D3449" t="s">
        <v>111</v>
      </c>
      <c r="E3449">
        <v>18</v>
      </c>
      <c r="F3449">
        <v>1018</v>
      </c>
      <c r="G3449" t="s">
        <v>112</v>
      </c>
      <c r="J3449" t="s">
        <v>113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R3449" t="s">
        <v>114</v>
      </c>
      <c r="S3449" t="str">
        <f>"19:32:25.766"</f>
        <v>19:32:25.766</v>
      </c>
      <c r="T3449" t="str">
        <f>"19:32:25.766"</f>
        <v>19:32:25.766</v>
      </c>
      <c r="U3449" t="str">
        <f t="shared" si="160"/>
        <v>a1cdbe</v>
      </c>
      <c r="V3449">
        <v>0</v>
      </c>
      <c r="W3449">
        <v>0</v>
      </c>
      <c r="X3449">
        <v>2</v>
      </c>
      <c r="Y3449">
        <v>0</v>
      </c>
      <c r="Z3449">
        <v>0</v>
      </c>
      <c r="AB3449">
        <v>0</v>
      </c>
      <c r="AC3449">
        <v>9</v>
      </c>
      <c r="AD3449">
        <v>3</v>
      </c>
      <c r="AE3449">
        <v>0</v>
      </c>
      <c r="AF3449">
        <v>9</v>
      </c>
      <c r="AG3449" t="s">
        <v>158</v>
      </c>
      <c r="AH3449">
        <v>0</v>
      </c>
      <c r="AI3449">
        <v>3</v>
      </c>
      <c r="AJ3449">
        <v>1</v>
      </c>
      <c r="AK3449">
        <v>0</v>
      </c>
      <c r="AL3449" t="s">
        <v>6490</v>
      </c>
      <c r="AM3449">
        <v>47.013395000000003</v>
      </c>
      <c r="AN3449" t="s">
        <v>6491</v>
      </c>
      <c r="AO3449">
        <v>-123.75817499999999</v>
      </c>
      <c r="AP3449">
        <v>100</v>
      </c>
      <c r="AQ3449">
        <v>2100</v>
      </c>
      <c r="AR3449" t="s">
        <v>118</v>
      </c>
      <c r="AS3449">
        <v>-79</v>
      </c>
      <c r="AT3449">
        <v>11</v>
      </c>
      <c r="AU3449">
        <v>0</v>
      </c>
      <c r="BC3449">
        <v>1200</v>
      </c>
      <c r="BD3449">
        <v>1</v>
      </c>
      <c r="BE3449" t="str">
        <f t="shared" si="161"/>
        <v xml:space="preserve">N215T   </v>
      </c>
      <c r="BF3449">
        <v>1</v>
      </c>
      <c r="BH3449">
        <v>0</v>
      </c>
      <c r="BI3449">
        <v>0</v>
      </c>
      <c r="BJ3449">
        <v>0</v>
      </c>
      <c r="BK3449">
        <v>2450</v>
      </c>
      <c r="BL3449">
        <v>350</v>
      </c>
      <c r="BM3449" t="s">
        <v>119</v>
      </c>
      <c r="BN3449">
        <v>1</v>
      </c>
      <c r="BO3449">
        <v>1</v>
      </c>
      <c r="BP3449">
        <v>1</v>
      </c>
      <c r="BQ3449">
        <v>0</v>
      </c>
      <c r="BT3449">
        <v>0</v>
      </c>
      <c r="BU3449">
        <v>0</v>
      </c>
      <c r="BV3449">
        <v>0</v>
      </c>
      <c r="CC3449" t="str">
        <f>"19:32:25.773"</f>
        <v>19:32:25.773</v>
      </c>
      <c r="CD3449" t="str">
        <f>"772558590"</f>
        <v>772558590</v>
      </c>
      <c r="CQ3449">
        <v>0</v>
      </c>
      <c r="CR3449">
        <v>2</v>
      </c>
      <c r="CS3449">
        <v>0</v>
      </c>
      <c r="CT3449">
        <v>2</v>
      </c>
      <c r="CU3449">
        <v>0</v>
      </c>
      <c r="CV3449">
        <v>6</v>
      </c>
      <c r="CW3449" t="s">
        <v>120</v>
      </c>
      <c r="CX3449">
        <v>257</v>
      </c>
      <c r="CY3449">
        <v>0</v>
      </c>
      <c r="CZ3449" t="s">
        <v>615</v>
      </c>
      <c r="DA3449" t="s">
        <v>616</v>
      </c>
      <c r="DD3449">
        <v>16431856</v>
      </c>
      <c r="DE3449" t="s">
        <v>123</v>
      </c>
    </row>
    <row r="3450" spans="1:109" x14ac:dyDescent="0.3">
      <c r="A3450" t="str">
        <f>"19:32:26.938"</f>
        <v>19:32:26.938</v>
      </c>
      <c r="B3450" t="s">
        <v>110</v>
      </c>
      <c r="C3450" t="str">
        <f t="shared" si="159"/>
        <v>ffdfd3c0</v>
      </c>
      <c r="D3450" t="s">
        <v>111</v>
      </c>
      <c r="E3450">
        <v>18</v>
      </c>
      <c r="F3450">
        <v>1018</v>
      </c>
      <c r="G3450" t="s">
        <v>112</v>
      </c>
      <c r="J3450" t="s">
        <v>113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R3450" t="s">
        <v>114</v>
      </c>
      <c r="S3450" t="str">
        <f>"19:32:26.711"</f>
        <v>19:32:26.711</v>
      </c>
      <c r="T3450" t="str">
        <f>"19:32:26.609"</f>
        <v>19:32:26.609</v>
      </c>
      <c r="U3450" t="str">
        <f t="shared" si="160"/>
        <v>a1cdbe</v>
      </c>
      <c r="V3450">
        <v>0</v>
      </c>
      <c r="W3450">
        <v>0</v>
      </c>
      <c r="X3450">
        <v>2</v>
      </c>
      <c r="Y3450">
        <v>0</v>
      </c>
      <c r="Z3450">
        <v>0</v>
      </c>
      <c r="AB3450">
        <v>0</v>
      </c>
      <c r="AC3450">
        <v>9</v>
      </c>
      <c r="AD3450">
        <v>3</v>
      </c>
      <c r="AE3450">
        <v>0</v>
      </c>
      <c r="AF3450">
        <v>9</v>
      </c>
      <c r="AG3450" t="s">
        <v>158</v>
      </c>
      <c r="AH3450">
        <v>0</v>
      </c>
      <c r="AI3450">
        <v>3</v>
      </c>
      <c r="AJ3450">
        <v>1</v>
      </c>
      <c r="AK3450">
        <v>0</v>
      </c>
      <c r="AL3450" t="s">
        <v>6492</v>
      </c>
      <c r="AM3450">
        <v>47.013438000000001</v>
      </c>
      <c r="AN3450" t="s">
        <v>6493</v>
      </c>
      <c r="AO3450">
        <v>-123.758669</v>
      </c>
      <c r="AP3450">
        <v>100</v>
      </c>
      <c r="AQ3450">
        <v>2100</v>
      </c>
      <c r="AR3450" t="s">
        <v>118</v>
      </c>
      <c r="AS3450">
        <v>-79</v>
      </c>
      <c r="AT3450">
        <v>10</v>
      </c>
      <c r="AU3450">
        <v>0</v>
      </c>
      <c r="BC3450">
        <v>1200</v>
      </c>
      <c r="BD3450">
        <v>1</v>
      </c>
      <c r="BE3450" t="str">
        <f t="shared" si="161"/>
        <v xml:space="preserve">N215T   </v>
      </c>
      <c r="BF3450">
        <v>1</v>
      </c>
      <c r="BH3450">
        <v>0</v>
      </c>
      <c r="BI3450">
        <v>0</v>
      </c>
      <c r="BJ3450">
        <v>0</v>
      </c>
      <c r="BK3450">
        <v>2450</v>
      </c>
      <c r="BL3450">
        <v>350</v>
      </c>
      <c r="BM3450" t="s">
        <v>119</v>
      </c>
      <c r="BN3450">
        <v>1</v>
      </c>
      <c r="BO3450">
        <v>1</v>
      </c>
      <c r="BP3450">
        <v>1</v>
      </c>
      <c r="BQ3450">
        <v>0</v>
      </c>
      <c r="BT3450">
        <v>0</v>
      </c>
      <c r="BU3450">
        <v>0</v>
      </c>
      <c r="BV3450">
        <v>0</v>
      </c>
      <c r="CC3450" t="str">
        <f>"19:32:26.719"</f>
        <v>19:32:26.719</v>
      </c>
      <c r="CD3450" t="str">
        <f>"717465477"</f>
        <v>717465477</v>
      </c>
      <c r="CQ3450">
        <v>0</v>
      </c>
      <c r="CR3450">
        <v>2</v>
      </c>
      <c r="CS3450">
        <v>0</v>
      </c>
      <c r="CT3450">
        <v>2</v>
      </c>
      <c r="CU3450">
        <v>0</v>
      </c>
      <c r="CV3450">
        <v>6</v>
      </c>
      <c r="CW3450" t="s">
        <v>120</v>
      </c>
      <c r="CX3450">
        <v>257</v>
      </c>
      <c r="CY3450">
        <v>0</v>
      </c>
      <c r="CZ3450" t="s">
        <v>615</v>
      </c>
      <c r="DA3450" t="s">
        <v>616</v>
      </c>
      <c r="DD3450">
        <v>16432282</v>
      </c>
      <c r="DE3450" t="s">
        <v>123</v>
      </c>
    </row>
    <row r="3451" spans="1:109" x14ac:dyDescent="0.3">
      <c r="A3451" t="str">
        <f>"19:32:27.945"</f>
        <v>19:32:27.945</v>
      </c>
      <c r="B3451" t="s">
        <v>110</v>
      </c>
      <c r="C3451" t="str">
        <f t="shared" si="159"/>
        <v>ffdfd3c0</v>
      </c>
      <c r="D3451" t="s">
        <v>111</v>
      </c>
      <c r="E3451">
        <v>18</v>
      </c>
      <c r="F3451">
        <v>1018</v>
      </c>
      <c r="G3451" t="s">
        <v>112</v>
      </c>
      <c r="J3451" t="s">
        <v>113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R3451" t="s">
        <v>114</v>
      </c>
      <c r="S3451" t="str">
        <f>"19:32:27.703"</f>
        <v>19:32:27.703</v>
      </c>
      <c r="T3451" t="str">
        <f>"19:32:27.703"</f>
        <v>19:32:27.703</v>
      </c>
      <c r="U3451" t="str">
        <f t="shared" si="160"/>
        <v>a1cdbe</v>
      </c>
      <c r="V3451">
        <v>0</v>
      </c>
      <c r="W3451">
        <v>0</v>
      </c>
      <c r="X3451">
        <v>2</v>
      </c>
      <c r="Y3451">
        <v>0</v>
      </c>
      <c r="Z3451">
        <v>0</v>
      </c>
      <c r="AB3451">
        <v>0</v>
      </c>
      <c r="AC3451">
        <v>9</v>
      </c>
      <c r="AD3451">
        <v>3</v>
      </c>
      <c r="AE3451">
        <v>0</v>
      </c>
      <c r="AF3451">
        <v>9</v>
      </c>
      <c r="AG3451" t="s">
        <v>158</v>
      </c>
      <c r="AH3451">
        <v>0</v>
      </c>
      <c r="AI3451">
        <v>3</v>
      </c>
      <c r="AJ3451">
        <v>1</v>
      </c>
      <c r="AK3451">
        <v>0</v>
      </c>
      <c r="AL3451" t="s">
        <v>6494</v>
      </c>
      <c r="AM3451">
        <v>47.013480999999999</v>
      </c>
      <c r="AN3451" t="s">
        <v>6495</v>
      </c>
      <c r="AO3451">
        <v>-123.75920499999999</v>
      </c>
      <c r="AP3451">
        <v>100</v>
      </c>
      <c r="AQ3451">
        <v>2100</v>
      </c>
      <c r="AR3451" t="s">
        <v>118</v>
      </c>
      <c r="AS3451">
        <v>-79</v>
      </c>
      <c r="AT3451">
        <v>10</v>
      </c>
      <c r="AU3451">
        <v>0</v>
      </c>
      <c r="BC3451">
        <v>1200</v>
      </c>
      <c r="BD3451">
        <v>1</v>
      </c>
      <c r="BE3451" t="str">
        <f t="shared" si="161"/>
        <v xml:space="preserve">N215T   </v>
      </c>
      <c r="BF3451">
        <v>1</v>
      </c>
      <c r="BH3451">
        <v>0</v>
      </c>
      <c r="BI3451">
        <v>0</v>
      </c>
      <c r="BJ3451">
        <v>0</v>
      </c>
      <c r="BK3451">
        <v>2450</v>
      </c>
      <c r="BL3451">
        <v>350</v>
      </c>
      <c r="BM3451" t="s">
        <v>119</v>
      </c>
      <c r="BN3451">
        <v>1</v>
      </c>
      <c r="BO3451">
        <v>1</v>
      </c>
      <c r="BP3451">
        <v>1</v>
      </c>
      <c r="BQ3451">
        <v>0</v>
      </c>
      <c r="BT3451">
        <v>0</v>
      </c>
      <c r="BU3451">
        <v>0</v>
      </c>
      <c r="BV3451">
        <v>0</v>
      </c>
      <c r="CC3451" t="str">
        <f>"19:32:27.711"</f>
        <v>19:32:27.711</v>
      </c>
      <c r="CD3451" t="str">
        <f>"707367922"</f>
        <v>707367922</v>
      </c>
      <c r="CQ3451">
        <v>0</v>
      </c>
      <c r="CR3451">
        <v>2</v>
      </c>
      <c r="CS3451">
        <v>0</v>
      </c>
      <c r="CT3451">
        <v>2</v>
      </c>
      <c r="CU3451">
        <v>0</v>
      </c>
      <c r="CV3451">
        <v>5</v>
      </c>
      <c r="CW3451" t="s">
        <v>120</v>
      </c>
      <c r="CX3451">
        <v>257</v>
      </c>
      <c r="CY3451">
        <v>0</v>
      </c>
      <c r="CZ3451" t="s">
        <v>615</v>
      </c>
      <c r="DA3451" t="s">
        <v>616</v>
      </c>
      <c r="DD3451">
        <v>16432732</v>
      </c>
      <c r="DE3451" t="s">
        <v>123</v>
      </c>
    </row>
    <row r="3452" spans="1:109" x14ac:dyDescent="0.3">
      <c r="A3452" t="str">
        <f>"19:32:29.047"</f>
        <v>19:32:29.047</v>
      </c>
      <c r="B3452" t="s">
        <v>110</v>
      </c>
      <c r="C3452" t="str">
        <f t="shared" si="159"/>
        <v>ffdfd3c0</v>
      </c>
      <c r="D3452" t="s">
        <v>111</v>
      </c>
      <c r="E3452">
        <v>18</v>
      </c>
      <c r="F3452">
        <v>1018</v>
      </c>
      <c r="G3452" t="s">
        <v>112</v>
      </c>
      <c r="J3452" t="s">
        <v>113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R3452" t="s">
        <v>114</v>
      </c>
      <c r="S3452" t="str">
        <f>"19:32:28.797"</f>
        <v>19:32:28.797</v>
      </c>
      <c r="T3452" t="str">
        <f>"19:32:28.797"</f>
        <v>19:32:28.797</v>
      </c>
      <c r="U3452" t="str">
        <f t="shared" si="160"/>
        <v>a1cdbe</v>
      </c>
      <c r="V3452">
        <v>0</v>
      </c>
      <c r="W3452">
        <v>0</v>
      </c>
      <c r="X3452">
        <v>2</v>
      </c>
      <c r="Y3452">
        <v>0</v>
      </c>
      <c r="Z3452">
        <v>0</v>
      </c>
      <c r="AB3452">
        <v>0</v>
      </c>
      <c r="AC3452">
        <v>9</v>
      </c>
      <c r="AD3452">
        <v>3</v>
      </c>
      <c r="AE3452">
        <v>0</v>
      </c>
      <c r="AF3452">
        <v>9</v>
      </c>
      <c r="AG3452" t="s">
        <v>158</v>
      </c>
      <c r="AH3452">
        <v>0</v>
      </c>
      <c r="AI3452">
        <v>3</v>
      </c>
      <c r="AJ3452">
        <v>1</v>
      </c>
      <c r="AK3452">
        <v>0</v>
      </c>
      <c r="AL3452" t="s">
        <v>6496</v>
      </c>
      <c r="AM3452">
        <v>47.013523999999997</v>
      </c>
      <c r="AN3452" t="s">
        <v>6497</v>
      </c>
      <c r="AO3452">
        <v>-123.759742</v>
      </c>
      <c r="AP3452">
        <v>100</v>
      </c>
      <c r="AQ3452">
        <v>2100</v>
      </c>
      <c r="AR3452" t="s">
        <v>118</v>
      </c>
      <c r="AS3452">
        <v>-78</v>
      </c>
      <c r="AT3452">
        <v>10</v>
      </c>
      <c r="AU3452">
        <v>0</v>
      </c>
      <c r="BC3452">
        <v>1200</v>
      </c>
      <c r="BD3452">
        <v>1</v>
      </c>
      <c r="BE3452" t="str">
        <f t="shared" si="161"/>
        <v xml:space="preserve">N215T   </v>
      </c>
      <c r="BF3452">
        <v>1</v>
      </c>
      <c r="BH3452">
        <v>0</v>
      </c>
      <c r="BI3452">
        <v>0</v>
      </c>
      <c r="BJ3452">
        <v>0</v>
      </c>
      <c r="BK3452">
        <v>2450</v>
      </c>
      <c r="BL3452">
        <v>350</v>
      </c>
      <c r="BM3452" t="s">
        <v>119</v>
      </c>
      <c r="BN3452">
        <v>1</v>
      </c>
      <c r="BO3452">
        <v>1</v>
      </c>
      <c r="BP3452">
        <v>1</v>
      </c>
      <c r="BQ3452">
        <v>0</v>
      </c>
      <c r="BT3452">
        <v>0</v>
      </c>
      <c r="BU3452">
        <v>0</v>
      </c>
      <c r="BV3452">
        <v>0</v>
      </c>
      <c r="CC3452" t="str">
        <f>"19:32:28.805"</f>
        <v>19:32:28.805</v>
      </c>
      <c r="CD3452" t="str">
        <f>"802260033"</f>
        <v>802260033</v>
      </c>
      <c r="CQ3452">
        <v>0</v>
      </c>
      <c r="CR3452">
        <v>2</v>
      </c>
      <c r="CS3452">
        <v>0</v>
      </c>
      <c r="CT3452">
        <v>2</v>
      </c>
      <c r="CU3452">
        <v>0</v>
      </c>
      <c r="CV3452">
        <v>5</v>
      </c>
      <c r="CW3452" t="s">
        <v>120</v>
      </c>
      <c r="CX3452">
        <v>257</v>
      </c>
      <c r="CY3452">
        <v>0</v>
      </c>
      <c r="CZ3452" t="s">
        <v>615</v>
      </c>
      <c r="DA3452" t="s">
        <v>616</v>
      </c>
      <c r="DD3452">
        <v>16433229</v>
      </c>
      <c r="DE3452" t="s">
        <v>123</v>
      </c>
    </row>
    <row r="3453" spans="1:109" x14ac:dyDescent="0.3">
      <c r="A3453" t="str">
        <f>"19:32:29.953"</f>
        <v>19:32:29.953</v>
      </c>
      <c r="B3453" t="s">
        <v>110</v>
      </c>
      <c r="C3453" t="str">
        <f t="shared" si="159"/>
        <v>ffdfd3c0</v>
      </c>
      <c r="D3453" t="s">
        <v>111</v>
      </c>
      <c r="E3453">
        <v>18</v>
      </c>
      <c r="F3453">
        <v>1018</v>
      </c>
      <c r="G3453" t="s">
        <v>112</v>
      </c>
      <c r="J3453" t="s">
        <v>113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R3453" t="s">
        <v>114</v>
      </c>
      <c r="S3453" t="str">
        <f>"19:32:29.727"</f>
        <v>19:32:29.727</v>
      </c>
      <c r="T3453" t="str">
        <f>"19:32:29.328"</f>
        <v>19:32:29.328</v>
      </c>
      <c r="U3453" t="str">
        <f t="shared" si="160"/>
        <v>a1cdbe</v>
      </c>
      <c r="V3453">
        <v>0</v>
      </c>
      <c r="W3453">
        <v>0</v>
      </c>
      <c r="X3453">
        <v>2</v>
      </c>
      <c r="Y3453">
        <v>0</v>
      </c>
      <c r="Z3453">
        <v>0</v>
      </c>
      <c r="AB3453">
        <v>0</v>
      </c>
      <c r="AC3453">
        <v>9</v>
      </c>
      <c r="AD3453">
        <v>3</v>
      </c>
      <c r="AE3453">
        <v>0</v>
      </c>
      <c r="AF3453">
        <v>9</v>
      </c>
      <c r="AG3453" t="s">
        <v>158</v>
      </c>
      <c r="AH3453">
        <v>0</v>
      </c>
      <c r="AI3453">
        <v>3</v>
      </c>
      <c r="AJ3453">
        <v>1</v>
      </c>
      <c r="AK3453">
        <v>0</v>
      </c>
      <c r="AL3453" t="s">
        <v>6498</v>
      </c>
      <c r="AM3453">
        <v>47.013565999999997</v>
      </c>
      <c r="AN3453" t="s">
        <v>6499</v>
      </c>
      <c r="AO3453">
        <v>-123.7603</v>
      </c>
      <c r="AP3453">
        <v>100</v>
      </c>
      <c r="AQ3453">
        <v>2100</v>
      </c>
      <c r="AR3453" t="s">
        <v>118</v>
      </c>
      <c r="AS3453">
        <v>-78</v>
      </c>
      <c r="AT3453">
        <v>10</v>
      </c>
      <c r="AU3453">
        <v>0</v>
      </c>
      <c r="BC3453">
        <v>1200</v>
      </c>
      <c r="BD3453">
        <v>1</v>
      </c>
      <c r="BE3453" t="str">
        <f t="shared" si="161"/>
        <v xml:space="preserve">N215T   </v>
      </c>
      <c r="BF3453">
        <v>1</v>
      </c>
      <c r="BH3453">
        <v>0</v>
      </c>
      <c r="BI3453">
        <v>0</v>
      </c>
      <c r="BJ3453">
        <v>0</v>
      </c>
      <c r="BK3453">
        <v>2450</v>
      </c>
      <c r="BL3453">
        <v>350</v>
      </c>
      <c r="BM3453" t="s">
        <v>119</v>
      </c>
      <c r="BN3453">
        <v>1</v>
      </c>
      <c r="BO3453">
        <v>1</v>
      </c>
      <c r="BP3453">
        <v>1</v>
      </c>
      <c r="BQ3453">
        <v>0</v>
      </c>
      <c r="BT3453">
        <v>0</v>
      </c>
      <c r="BU3453">
        <v>0</v>
      </c>
      <c r="BV3453">
        <v>0</v>
      </c>
      <c r="CC3453" t="str">
        <f>"19:32:29.734"</f>
        <v>19:32:29.734</v>
      </c>
      <c r="CD3453" t="str">
        <f>"732168398"</f>
        <v>732168398</v>
      </c>
      <c r="CQ3453">
        <v>0</v>
      </c>
      <c r="CR3453">
        <v>2</v>
      </c>
      <c r="CS3453">
        <v>0</v>
      </c>
      <c r="CT3453">
        <v>2</v>
      </c>
      <c r="CU3453">
        <v>0</v>
      </c>
      <c r="CV3453">
        <v>5</v>
      </c>
      <c r="CW3453" t="s">
        <v>120</v>
      </c>
      <c r="CX3453">
        <v>257</v>
      </c>
      <c r="CY3453">
        <v>0</v>
      </c>
      <c r="CZ3453" t="s">
        <v>615</v>
      </c>
      <c r="DA3453" t="s">
        <v>616</v>
      </c>
      <c r="DD3453">
        <v>16433610</v>
      </c>
      <c r="DE3453" t="s">
        <v>123</v>
      </c>
    </row>
    <row r="3454" spans="1:109" x14ac:dyDescent="0.3">
      <c r="A3454" t="str">
        <f>"19:32:31.008"</f>
        <v>19:32:31.008</v>
      </c>
      <c r="B3454" t="s">
        <v>110</v>
      </c>
      <c r="C3454" t="str">
        <f t="shared" si="159"/>
        <v>ffdfd3c0</v>
      </c>
      <c r="D3454" t="s">
        <v>111</v>
      </c>
      <c r="E3454">
        <v>18</v>
      </c>
      <c r="F3454">
        <v>1018</v>
      </c>
      <c r="G3454" t="s">
        <v>112</v>
      </c>
      <c r="J3454" t="s">
        <v>113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R3454" t="s">
        <v>114</v>
      </c>
      <c r="S3454" t="str">
        <f>"19:32:30.750"</f>
        <v>19:32:30.750</v>
      </c>
      <c r="T3454" t="str">
        <f>"19:32:30.352"</f>
        <v>19:32:30.352</v>
      </c>
      <c r="U3454" t="str">
        <f t="shared" si="160"/>
        <v>a1cdbe</v>
      </c>
      <c r="V3454">
        <v>0</v>
      </c>
      <c r="W3454">
        <v>0</v>
      </c>
      <c r="X3454">
        <v>2</v>
      </c>
      <c r="Y3454">
        <v>0</v>
      </c>
      <c r="Z3454">
        <v>0</v>
      </c>
      <c r="AB3454">
        <v>0</v>
      </c>
      <c r="AC3454">
        <v>9</v>
      </c>
      <c r="AD3454">
        <v>3</v>
      </c>
      <c r="AE3454">
        <v>0</v>
      </c>
      <c r="AF3454">
        <v>9</v>
      </c>
      <c r="AG3454" t="s">
        <v>158</v>
      </c>
      <c r="AH3454">
        <v>0</v>
      </c>
      <c r="AI3454">
        <v>3</v>
      </c>
      <c r="AJ3454">
        <v>1</v>
      </c>
      <c r="AK3454">
        <v>0</v>
      </c>
      <c r="AL3454" t="s">
        <v>745</v>
      </c>
      <c r="AM3454">
        <v>47.013609000000002</v>
      </c>
      <c r="AN3454" t="s">
        <v>6500</v>
      </c>
      <c r="AO3454">
        <v>-123.760772</v>
      </c>
      <c r="AP3454">
        <v>100</v>
      </c>
      <c r="AQ3454">
        <v>2100</v>
      </c>
      <c r="AR3454" t="s">
        <v>118</v>
      </c>
      <c r="AS3454">
        <v>-78</v>
      </c>
      <c r="AT3454">
        <v>11</v>
      </c>
      <c r="AU3454">
        <v>0</v>
      </c>
      <c r="BC3454">
        <v>1200</v>
      </c>
      <c r="BD3454">
        <v>1</v>
      </c>
      <c r="BE3454" t="str">
        <f t="shared" si="161"/>
        <v xml:space="preserve">N215T   </v>
      </c>
      <c r="BF3454">
        <v>1</v>
      </c>
      <c r="BH3454">
        <v>0</v>
      </c>
      <c r="BI3454">
        <v>0</v>
      </c>
      <c r="BJ3454">
        <v>0</v>
      </c>
      <c r="BK3454">
        <v>2450</v>
      </c>
      <c r="BL3454">
        <v>350</v>
      </c>
      <c r="BM3454" t="s">
        <v>119</v>
      </c>
      <c r="BN3454">
        <v>1</v>
      </c>
      <c r="BO3454">
        <v>1</v>
      </c>
      <c r="BP3454">
        <v>1</v>
      </c>
      <c r="BQ3454">
        <v>0</v>
      </c>
      <c r="BT3454">
        <v>0</v>
      </c>
      <c r="BU3454">
        <v>0</v>
      </c>
      <c r="BV3454">
        <v>0</v>
      </c>
      <c r="CC3454" t="str">
        <f>"19:32:30.750"</f>
        <v>19:32:30.750</v>
      </c>
      <c r="CD3454" t="str">
        <f>"752067884"</f>
        <v>752067884</v>
      </c>
      <c r="CQ3454">
        <v>0</v>
      </c>
      <c r="CR3454">
        <v>2</v>
      </c>
      <c r="CS3454">
        <v>0</v>
      </c>
      <c r="CT3454">
        <v>2</v>
      </c>
      <c r="CU3454">
        <v>0</v>
      </c>
      <c r="CV3454">
        <v>5</v>
      </c>
      <c r="CW3454" t="s">
        <v>120</v>
      </c>
      <c r="CX3454">
        <v>257</v>
      </c>
      <c r="CY3454">
        <v>0</v>
      </c>
      <c r="CZ3454" t="s">
        <v>615</v>
      </c>
      <c r="DA3454" t="s">
        <v>616</v>
      </c>
      <c r="DD3454">
        <v>16434043</v>
      </c>
      <c r="DE3454" t="s">
        <v>123</v>
      </c>
    </row>
    <row r="3455" spans="1:109" x14ac:dyDescent="0.3">
      <c r="A3455" t="str">
        <f>"19:32:32.070"</f>
        <v>19:32:32.070</v>
      </c>
      <c r="B3455" t="s">
        <v>110</v>
      </c>
      <c r="C3455" t="str">
        <f t="shared" si="159"/>
        <v>ffdfd3c0</v>
      </c>
      <c r="D3455" t="s">
        <v>111</v>
      </c>
      <c r="E3455">
        <v>18</v>
      </c>
      <c r="F3455">
        <v>1018</v>
      </c>
      <c r="G3455" t="s">
        <v>112</v>
      </c>
      <c r="J3455" t="s">
        <v>113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R3455" t="s">
        <v>114</v>
      </c>
      <c r="S3455" t="str">
        <f>"19:32:31.859"</f>
        <v>19:32:31.859</v>
      </c>
      <c r="T3455" t="str">
        <f>"19:32:31.859"</f>
        <v>19:32:31.859</v>
      </c>
      <c r="U3455" t="str">
        <f t="shared" si="160"/>
        <v>a1cdbe</v>
      </c>
      <c r="V3455">
        <v>0</v>
      </c>
      <c r="W3455">
        <v>0</v>
      </c>
      <c r="X3455">
        <v>2</v>
      </c>
      <c r="Y3455">
        <v>0</v>
      </c>
      <c r="Z3455">
        <v>0</v>
      </c>
      <c r="AB3455">
        <v>0</v>
      </c>
      <c r="AC3455">
        <v>9</v>
      </c>
      <c r="AD3455">
        <v>3</v>
      </c>
      <c r="AE3455">
        <v>0</v>
      </c>
      <c r="AF3455">
        <v>9</v>
      </c>
      <c r="AG3455" t="s">
        <v>158</v>
      </c>
      <c r="AH3455">
        <v>0</v>
      </c>
      <c r="AI3455">
        <v>3</v>
      </c>
      <c r="AJ3455">
        <v>1</v>
      </c>
      <c r="AK3455">
        <v>0</v>
      </c>
      <c r="AL3455" t="s">
        <v>6501</v>
      </c>
      <c r="AM3455">
        <v>47.013674000000002</v>
      </c>
      <c r="AN3455" t="s">
        <v>6502</v>
      </c>
      <c r="AO3455">
        <v>-123.761415</v>
      </c>
      <c r="AP3455">
        <v>100</v>
      </c>
      <c r="AQ3455">
        <v>2100</v>
      </c>
      <c r="AR3455" t="s">
        <v>118</v>
      </c>
      <c r="AS3455">
        <v>-78</v>
      </c>
      <c r="AT3455">
        <v>12</v>
      </c>
      <c r="AU3455">
        <v>64</v>
      </c>
      <c r="BC3455">
        <v>1200</v>
      </c>
      <c r="BD3455">
        <v>1</v>
      </c>
      <c r="BE3455" t="str">
        <f t="shared" si="161"/>
        <v xml:space="preserve">N215T   </v>
      </c>
      <c r="BF3455">
        <v>1</v>
      </c>
      <c r="BH3455">
        <v>0</v>
      </c>
      <c r="BI3455">
        <v>0</v>
      </c>
      <c r="BJ3455">
        <v>0</v>
      </c>
      <c r="BK3455">
        <v>2450</v>
      </c>
      <c r="BL3455">
        <v>350</v>
      </c>
      <c r="BM3455" t="s">
        <v>119</v>
      </c>
      <c r="BN3455">
        <v>1</v>
      </c>
      <c r="BO3455">
        <v>1</v>
      </c>
      <c r="BP3455">
        <v>1</v>
      </c>
      <c r="BQ3455">
        <v>0</v>
      </c>
      <c r="BT3455">
        <v>0</v>
      </c>
      <c r="BU3455">
        <v>0</v>
      </c>
      <c r="BV3455">
        <v>0</v>
      </c>
      <c r="CC3455" t="str">
        <f>"19:32:31.859"</f>
        <v>19:32:31.859</v>
      </c>
      <c r="CD3455" t="str">
        <f>"861958496"</f>
        <v>861958496</v>
      </c>
      <c r="CQ3455">
        <v>0</v>
      </c>
      <c r="CR3455">
        <v>2</v>
      </c>
      <c r="CS3455">
        <v>0</v>
      </c>
      <c r="CT3455">
        <v>2</v>
      </c>
      <c r="CU3455">
        <v>0</v>
      </c>
      <c r="CV3455">
        <v>6</v>
      </c>
      <c r="CW3455" t="s">
        <v>120</v>
      </c>
      <c r="CX3455">
        <v>257</v>
      </c>
      <c r="CY3455">
        <v>0</v>
      </c>
      <c r="CZ3455" t="s">
        <v>615</v>
      </c>
      <c r="DA3455" t="s">
        <v>616</v>
      </c>
      <c r="DD3455">
        <v>16434551</v>
      </c>
      <c r="DE3455" t="s">
        <v>123</v>
      </c>
    </row>
    <row r="3456" spans="1:109" x14ac:dyDescent="0.3">
      <c r="A3456" t="str">
        <f>"19:32:32.969"</f>
        <v>19:32:32.969</v>
      </c>
      <c r="B3456" t="s">
        <v>110</v>
      </c>
      <c r="C3456" t="str">
        <f t="shared" si="159"/>
        <v>ffdfd3c0</v>
      </c>
      <c r="D3456" t="s">
        <v>111</v>
      </c>
      <c r="E3456">
        <v>18</v>
      </c>
      <c r="F3456">
        <v>1018</v>
      </c>
      <c r="G3456" t="s">
        <v>112</v>
      </c>
      <c r="J3456" t="s">
        <v>113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R3456" t="s">
        <v>114</v>
      </c>
      <c r="S3456" t="str">
        <f>"19:32:32.727"</f>
        <v>19:32:32.727</v>
      </c>
      <c r="T3456" t="str">
        <f>"19:32:32.727"</f>
        <v>19:32:32.727</v>
      </c>
      <c r="U3456" t="str">
        <f t="shared" si="160"/>
        <v>a1cdbe</v>
      </c>
      <c r="V3456">
        <v>0</v>
      </c>
      <c r="W3456">
        <v>0</v>
      </c>
      <c r="X3456">
        <v>2</v>
      </c>
      <c r="Y3456">
        <v>0</v>
      </c>
      <c r="Z3456">
        <v>0</v>
      </c>
      <c r="AB3456">
        <v>0</v>
      </c>
      <c r="AC3456">
        <v>9</v>
      </c>
      <c r="AD3456">
        <v>3</v>
      </c>
      <c r="AE3456">
        <v>0</v>
      </c>
      <c r="AF3456">
        <v>9</v>
      </c>
      <c r="AG3456" t="s">
        <v>158</v>
      </c>
      <c r="AH3456">
        <v>0</v>
      </c>
      <c r="AI3456">
        <v>3</v>
      </c>
      <c r="AJ3456">
        <v>1</v>
      </c>
      <c r="AK3456">
        <v>0</v>
      </c>
      <c r="AL3456" t="s">
        <v>6503</v>
      </c>
      <c r="AM3456">
        <v>47.013717</v>
      </c>
      <c r="AN3456" t="s">
        <v>6504</v>
      </c>
      <c r="AO3456">
        <v>-123.76182300000001</v>
      </c>
      <c r="AP3456">
        <v>100</v>
      </c>
      <c r="AQ3456">
        <v>2100</v>
      </c>
      <c r="AR3456" t="s">
        <v>118</v>
      </c>
      <c r="AS3456">
        <v>-78</v>
      </c>
      <c r="AT3456">
        <v>12</v>
      </c>
      <c r="AU3456">
        <v>0</v>
      </c>
      <c r="BC3456">
        <v>1200</v>
      </c>
      <c r="BD3456">
        <v>1</v>
      </c>
      <c r="BE3456" t="str">
        <f t="shared" si="161"/>
        <v xml:space="preserve">N215T   </v>
      </c>
      <c r="BF3456">
        <v>1</v>
      </c>
      <c r="BH3456">
        <v>0</v>
      </c>
      <c r="BI3456">
        <v>0</v>
      </c>
      <c r="BJ3456">
        <v>0</v>
      </c>
      <c r="BK3456">
        <v>2450</v>
      </c>
      <c r="BL3456">
        <v>350</v>
      </c>
      <c r="BM3456" t="s">
        <v>119</v>
      </c>
      <c r="BN3456">
        <v>1</v>
      </c>
      <c r="BO3456">
        <v>1</v>
      </c>
      <c r="BP3456">
        <v>1</v>
      </c>
      <c r="BQ3456">
        <v>0</v>
      </c>
      <c r="BT3456">
        <v>0</v>
      </c>
      <c r="BU3456">
        <v>0</v>
      </c>
      <c r="BV3456">
        <v>0</v>
      </c>
      <c r="CC3456" t="str">
        <f>"19:32:32.734"</f>
        <v>19:32:32.734</v>
      </c>
      <c r="CD3456" t="str">
        <f>"731872798"</f>
        <v>731872798</v>
      </c>
      <c r="CQ3456">
        <v>0</v>
      </c>
      <c r="CR3456">
        <v>2</v>
      </c>
      <c r="CS3456">
        <v>0</v>
      </c>
      <c r="CT3456">
        <v>2</v>
      </c>
      <c r="CU3456">
        <v>0</v>
      </c>
      <c r="CV3456">
        <v>6</v>
      </c>
      <c r="CW3456" t="s">
        <v>120</v>
      </c>
      <c r="CX3456">
        <v>257</v>
      </c>
      <c r="CY3456">
        <v>0</v>
      </c>
      <c r="CZ3456" t="s">
        <v>615</v>
      </c>
      <c r="DA3456" t="s">
        <v>616</v>
      </c>
      <c r="DD3456">
        <v>16434946</v>
      </c>
      <c r="DE3456" t="s">
        <v>123</v>
      </c>
    </row>
    <row r="3457" spans="1:109" x14ac:dyDescent="0.3">
      <c r="A3457" t="str">
        <f>"19:32:33.977"</f>
        <v>19:32:33.977</v>
      </c>
      <c r="B3457" t="s">
        <v>110</v>
      </c>
      <c r="C3457" t="str">
        <f t="shared" si="159"/>
        <v>ffdfd3c0</v>
      </c>
      <c r="D3457" t="s">
        <v>111</v>
      </c>
      <c r="E3457">
        <v>18</v>
      </c>
      <c r="F3457">
        <v>1018</v>
      </c>
      <c r="G3457" t="s">
        <v>112</v>
      </c>
      <c r="J3457" t="s">
        <v>113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R3457" t="s">
        <v>114</v>
      </c>
      <c r="S3457" t="str">
        <f>"19:32:33.734"</f>
        <v>19:32:33.734</v>
      </c>
      <c r="T3457" t="str">
        <f>"19:32:33.734"</f>
        <v>19:32:33.734</v>
      </c>
      <c r="U3457" t="str">
        <f t="shared" si="160"/>
        <v>a1cdbe</v>
      </c>
      <c r="V3457">
        <v>0</v>
      </c>
      <c r="W3457">
        <v>0</v>
      </c>
      <c r="X3457">
        <v>2</v>
      </c>
      <c r="Y3457">
        <v>0</v>
      </c>
      <c r="Z3457">
        <v>0</v>
      </c>
      <c r="AB3457">
        <v>0</v>
      </c>
      <c r="AC3457">
        <v>9</v>
      </c>
      <c r="AD3457">
        <v>3</v>
      </c>
      <c r="AE3457">
        <v>0</v>
      </c>
      <c r="AF3457">
        <v>9</v>
      </c>
      <c r="AG3457" t="s">
        <v>158</v>
      </c>
      <c r="AH3457">
        <v>0</v>
      </c>
      <c r="AI3457">
        <v>3</v>
      </c>
      <c r="AJ3457">
        <v>1</v>
      </c>
      <c r="AK3457">
        <v>0</v>
      </c>
      <c r="AL3457" t="s">
        <v>6505</v>
      </c>
      <c r="AM3457">
        <v>47.013803000000003</v>
      </c>
      <c r="AN3457" t="s">
        <v>6506</v>
      </c>
      <c r="AO3457">
        <v>-123.76236</v>
      </c>
      <c r="AP3457">
        <v>100</v>
      </c>
      <c r="AQ3457">
        <v>2100</v>
      </c>
      <c r="AR3457" t="s">
        <v>118</v>
      </c>
      <c r="AS3457">
        <v>-78</v>
      </c>
      <c r="AT3457">
        <v>13</v>
      </c>
      <c r="AU3457">
        <v>64</v>
      </c>
      <c r="BC3457">
        <v>1200</v>
      </c>
      <c r="BD3457">
        <v>1</v>
      </c>
      <c r="BE3457" t="str">
        <f t="shared" si="161"/>
        <v xml:space="preserve">N215T   </v>
      </c>
      <c r="BF3457">
        <v>1</v>
      </c>
      <c r="BH3457">
        <v>0</v>
      </c>
      <c r="BI3457">
        <v>0</v>
      </c>
      <c r="BJ3457">
        <v>0</v>
      </c>
      <c r="BK3457">
        <v>2450</v>
      </c>
      <c r="BL3457">
        <v>350</v>
      </c>
      <c r="BM3457" t="s">
        <v>119</v>
      </c>
      <c r="BN3457">
        <v>1</v>
      </c>
      <c r="BO3457">
        <v>1</v>
      </c>
      <c r="BP3457">
        <v>1</v>
      </c>
      <c r="BQ3457">
        <v>0</v>
      </c>
      <c r="BT3457">
        <v>0</v>
      </c>
      <c r="BU3457">
        <v>0</v>
      </c>
      <c r="BV3457">
        <v>0</v>
      </c>
      <c r="CC3457" t="str">
        <f>"19:32:33.734"</f>
        <v>19:32:33.734</v>
      </c>
      <c r="CD3457" t="str">
        <f>"736773778"</f>
        <v>736773778</v>
      </c>
      <c r="CQ3457">
        <v>0</v>
      </c>
      <c r="CR3457">
        <v>2</v>
      </c>
      <c r="CS3457">
        <v>0</v>
      </c>
      <c r="CT3457">
        <v>2</v>
      </c>
      <c r="CU3457">
        <v>0</v>
      </c>
      <c r="CV3457">
        <v>5</v>
      </c>
      <c r="CW3457" t="s">
        <v>120</v>
      </c>
      <c r="CX3457">
        <v>257</v>
      </c>
      <c r="CY3457">
        <v>0</v>
      </c>
      <c r="CZ3457" t="s">
        <v>615</v>
      </c>
      <c r="DA3457" t="s">
        <v>616</v>
      </c>
      <c r="DD3457">
        <v>16435400</v>
      </c>
      <c r="DE3457" t="s">
        <v>123</v>
      </c>
    </row>
    <row r="3458" spans="1:109" x14ac:dyDescent="0.3">
      <c r="A3458" t="str">
        <f>"19:32:34.883"</f>
        <v>19:32:34.883</v>
      </c>
      <c r="B3458" t="s">
        <v>110</v>
      </c>
      <c r="C3458" t="str">
        <f t="shared" ref="C3458:C3521" si="162">"ffdfd3c0"</f>
        <v>ffdfd3c0</v>
      </c>
      <c r="D3458" t="s">
        <v>111</v>
      </c>
      <c r="E3458">
        <v>18</v>
      </c>
      <c r="F3458">
        <v>1018</v>
      </c>
      <c r="G3458" t="s">
        <v>112</v>
      </c>
      <c r="J3458" t="s">
        <v>113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R3458" t="s">
        <v>114</v>
      </c>
      <c r="S3458" t="str">
        <f>"19:32:34.680"</f>
        <v>19:32:34.680</v>
      </c>
      <c r="T3458" t="str">
        <f>"19:32:34.680"</f>
        <v>19:32:34.680</v>
      </c>
      <c r="U3458" t="str">
        <f t="shared" ref="U3458:U3521" si="163">"a1cdbe"</f>
        <v>a1cdbe</v>
      </c>
      <c r="V3458">
        <v>0</v>
      </c>
      <c r="W3458">
        <v>0</v>
      </c>
      <c r="X3458">
        <v>2</v>
      </c>
      <c r="Y3458">
        <v>0</v>
      </c>
      <c r="Z3458">
        <v>0</v>
      </c>
      <c r="AB3458">
        <v>0</v>
      </c>
      <c r="AC3458">
        <v>9</v>
      </c>
      <c r="AD3458">
        <v>3</v>
      </c>
      <c r="AE3458">
        <v>0</v>
      </c>
      <c r="AF3458">
        <v>9</v>
      </c>
      <c r="AG3458" t="s">
        <v>158</v>
      </c>
      <c r="AH3458">
        <v>0</v>
      </c>
      <c r="AI3458">
        <v>3</v>
      </c>
      <c r="AJ3458">
        <v>1</v>
      </c>
      <c r="AK3458">
        <v>0</v>
      </c>
      <c r="AL3458" t="s">
        <v>6507</v>
      </c>
      <c r="AM3458">
        <v>47.013845000000003</v>
      </c>
      <c r="AN3458" t="s">
        <v>6508</v>
      </c>
      <c r="AO3458">
        <v>-123.762896</v>
      </c>
      <c r="AP3458">
        <v>100</v>
      </c>
      <c r="AQ3458">
        <v>2100</v>
      </c>
      <c r="AR3458" t="s">
        <v>118</v>
      </c>
      <c r="AS3458">
        <v>-78</v>
      </c>
      <c r="AT3458">
        <v>13</v>
      </c>
      <c r="AU3458">
        <v>64</v>
      </c>
      <c r="BC3458">
        <v>1200</v>
      </c>
      <c r="BD3458">
        <v>1</v>
      </c>
      <c r="BE3458" t="str">
        <f t="shared" ref="BE3458:BE3521" si="164">"N215T   "</f>
        <v xml:space="preserve">N215T   </v>
      </c>
      <c r="BF3458">
        <v>1</v>
      </c>
      <c r="BH3458">
        <v>0</v>
      </c>
      <c r="BI3458">
        <v>0</v>
      </c>
      <c r="BJ3458">
        <v>0</v>
      </c>
      <c r="BK3458">
        <v>2450</v>
      </c>
      <c r="BL3458">
        <v>350</v>
      </c>
      <c r="BM3458" t="s">
        <v>119</v>
      </c>
      <c r="BN3458">
        <v>1</v>
      </c>
      <c r="BO3458">
        <v>1</v>
      </c>
      <c r="BP3458">
        <v>1</v>
      </c>
      <c r="BQ3458">
        <v>0</v>
      </c>
      <c r="BT3458">
        <v>0</v>
      </c>
      <c r="BU3458">
        <v>0</v>
      </c>
      <c r="BV3458">
        <v>0</v>
      </c>
      <c r="CC3458" t="str">
        <f>"19:32:34.680"</f>
        <v>19:32:34.680</v>
      </c>
      <c r="CD3458" t="str">
        <f>"681680654"</f>
        <v>681680654</v>
      </c>
      <c r="CQ3458">
        <v>0</v>
      </c>
      <c r="CR3458">
        <v>2</v>
      </c>
      <c r="CS3458">
        <v>0</v>
      </c>
      <c r="CT3458">
        <v>2</v>
      </c>
      <c r="CU3458">
        <v>0</v>
      </c>
      <c r="CV3458">
        <v>5</v>
      </c>
      <c r="CW3458" t="s">
        <v>120</v>
      </c>
      <c r="CX3458">
        <v>257</v>
      </c>
      <c r="CY3458">
        <v>0</v>
      </c>
      <c r="CZ3458" t="s">
        <v>615</v>
      </c>
      <c r="DA3458" t="s">
        <v>616</v>
      </c>
      <c r="DD3458">
        <v>16435774</v>
      </c>
      <c r="DE3458" t="s">
        <v>123</v>
      </c>
    </row>
    <row r="3459" spans="1:109" x14ac:dyDescent="0.3">
      <c r="A3459" t="str">
        <f>"19:32:35.883"</f>
        <v>19:32:35.883</v>
      </c>
      <c r="B3459" t="s">
        <v>110</v>
      </c>
      <c r="C3459" t="str">
        <f t="shared" si="162"/>
        <v>ffdfd3c0</v>
      </c>
      <c r="D3459" t="s">
        <v>111</v>
      </c>
      <c r="E3459">
        <v>18</v>
      </c>
      <c r="F3459">
        <v>1018</v>
      </c>
      <c r="G3459" t="s">
        <v>112</v>
      </c>
      <c r="J3459" t="s">
        <v>113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R3459" t="s">
        <v>114</v>
      </c>
      <c r="S3459" t="str">
        <f>"19:32:35.656"</f>
        <v>19:32:35.656</v>
      </c>
      <c r="T3459" t="str">
        <f>"19:32:35.258"</f>
        <v>19:32:35.258</v>
      </c>
      <c r="U3459" t="str">
        <f t="shared" si="163"/>
        <v>a1cdbe</v>
      </c>
      <c r="V3459">
        <v>0</v>
      </c>
      <c r="W3459">
        <v>0</v>
      </c>
      <c r="X3459">
        <v>2</v>
      </c>
      <c r="Y3459">
        <v>0</v>
      </c>
      <c r="Z3459">
        <v>0</v>
      </c>
      <c r="AB3459">
        <v>0</v>
      </c>
      <c r="AC3459">
        <v>9</v>
      </c>
      <c r="AD3459">
        <v>3</v>
      </c>
      <c r="AE3459">
        <v>0</v>
      </c>
      <c r="AF3459">
        <v>9</v>
      </c>
      <c r="AG3459" t="s">
        <v>158</v>
      </c>
      <c r="AH3459">
        <v>0</v>
      </c>
      <c r="AI3459">
        <v>3</v>
      </c>
      <c r="AJ3459">
        <v>1</v>
      </c>
      <c r="AK3459">
        <v>0</v>
      </c>
      <c r="AL3459" t="s">
        <v>6509</v>
      </c>
      <c r="AM3459">
        <v>47.013930999999999</v>
      </c>
      <c r="AN3459" t="s">
        <v>6510</v>
      </c>
      <c r="AO3459">
        <v>-123.76339</v>
      </c>
      <c r="AP3459">
        <v>100</v>
      </c>
      <c r="AQ3459">
        <v>2100</v>
      </c>
      <c r="AR3459" t="s">
        <v>118</v>
      </c>
      <c r="AS3459">
        <v>-78</v>
      </c>
      <c r="AT3459">
        <v>13</v>
      </c>
      <c r="AU3459">
        <v>64</v>
      </c>
      <c r="BC3459">
        <v>1200</v>
      </c>
      <c r="BD3459">
        <v>1</v>
      </c>
      <c r="BE3459" t="str">
        <f t="shared" si="164"/>
        <v xml:space="preserve">N215T   </v>
      </c>
      <c r="BF3459">
        <v>1</v>
      </c>
      <c r="BH3459">
        <v>0</v>
      </c>
      <c r="BI3459">
        <v>0</v>
      </c>
      <c r="BJ3459">
        <v>0</v>
      </c>
      <c r="BK3459">
        <v>2450</v>
      </c>
      <c r="BL3459">
        <v>350</v>
      </c>
      <c r="BM3459" t="s">
        <v>119</v>
      </c>
      <c r="BN3459">
        <v>1</v>
      </c>
      <c r="BO3459">
        <v>1</v>
      </c>
      <c r="BP3459">
        <v>1</v>
      </c>
      <c r="BQ3459">
        <v>0</v>
      </c>
      <c r="BT3459">
        <v>0</v>
      </c>
      <c r="BU3459">
        <v>0</v>
      </c>
      <c r="BV3459">
        <v>0</v>
      </c>
      <c r="CC3459" t="str">
        <f>"19:32:35.656"</f>
        <v>19:32:35.656</v>
      </c>
      <c r="CD3459" t="str">
        <f>"656584591"</f>
        <v>656584591</v>
      </c>
      <c r="CQ3459">
        <v>0</v>
      </c>
      <c r="CR3459">
        <v>2</v>
      </c>
      <c r="CS3459">
        <v>0</v>
      </c>
      <c r="CT3459">
        <v>2</v>
      </c>
      <c r="CU3459">
        <v>0</v>
      </c>
      <c r="CV3459">
        <v>5</v>
      </c>
      <c r="CW3459" t="s">
        <v>120</v>
      </c>
      <c r="CX3459">
        <v>257</v>
      </c>
      <c r="CY3459">
        <v>0</v>
      </c>
      <c r="CZ3459" t="s">
        <v>615</v>
      </c>
      <c r="DA3459" t="s">
        <v>616</v>
      </c>
      <c r="DD3459">
        <v>16436202</v>
      </c>
      <c r="DE3459" t="s">
        <v>123</v>
      </c>
    </row>
    <row r="3460" spans="1:109" x14ac:dyDescent="0.3">
      <c r="A3460" t="str">
        <f>"19:32:36.992"</f>
        <v>19:32:36.992</v>
      </c>
      <c r="B3460" t="s">
        <v>110</v>
      </c>
      <c r="C3460" t="str">
        <f t="shared" si="162"/>
        <v>ffdfd3c0</v>
      </c>
      <c r="D3460" t="s">
        <v>111</v>
      </c>
      <c r="E3460">
        <v>18</v>
      </c>
      <c r="F3460">
        <v>1018</v>
      </c>
      <c r="G3460" t="s">
        <v>112</v>
      </c>
      <c r="J3460" t="s">
        <v>113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R3460" t="s">
        <v>114</v>
      </c>
      <c r="S3460" t="str">
        <f>"19:32:36.781"</f>
        <v>19:32:36.781</v>
      </c>
      <c r="T3460" t="str">
        <f>"19:32:36.383"</f>
        <v>19:32:36.383</v>
      </c>
      <c r="U3460" t="str">
        <f t="shared" si="163"/>
        <v>a1cdbe</v>
      </c>
      <c r="V3460">
        <v>0</v>
      </c>
      <c r="W3460">
        <v>0</v>
      </c>
      <c r="X3460">
        <v>2</v>
      </c>
      <c r="Y3460">
        <v>0</v>
      </c>
      <c r="Z3460">
        <v>0</v>
      </c>
      <c r="AB3460">
        <v>0</v>
      </c>
      <c r="AC3460">
        <v>9</v>
      </c>
      <c r="AD3460">
        <v>3</v>
      </c>
      <c r="AE3460">
        <v>0</v>
      </c>
      <c r="AF3460">
        <v>9</v>
      </c>
      <c r="AG3460" t="s">
        <v>158</v>
      </c>
      <c r="AH3460">
        <v>0</v>
      </c>
      <c r="AI3460">
        <v>3</v>
      </c>
      <c r="AJ3460">
        <v>1</v>
      </c>
      <c r="AK3460">
        <v>0</v>
      </c>
      <c r="AL3460" t="s">
        <v>6511</v>
      </c>
      <c r="AM3460">
        <v>47.013973999999997</v>
      </c>
      <c r="AN3460" t="s">
        <v>6512</v>
      </c>
      <c r="AO3460">
        <v>-123.76401199999999</v>
      </c>
      <c r="AP3460">
        <v>100</v>
      </c>
      <c r="AQ3460">
        <v>2100</v>
      </c>
      <c r="AR3460" t="s">
        <v>118</v>
      </c>
      <c r="AS3460">
        <v>-78</v>
      </c>
      <c r="AT3460">
        <v>13</v>
      </c>
      <c r="AU3460">
        <v>0</v>
      </c>
      <c r="BC3460">
        <v>1200</v>
      </c>
      <c r="BD3460">
        <v>1</v>
      </c>
      <c r="BE3460" t="str">
        <f t="shared" si="164"/>
        <v xml:space="preserve">N215T   </v>
      </c>
      <c r="BF3460">
        <v>1</v>
      </c>
      <c r="BH3460">
        <v>0</v>
      </c>
      <c r="BI3460">
        <v>0</v>
      </c>
      <c r="BJ3460">
        <v>0</v>
      </c>
      <c r="BK3460">
        <v>2450</v>
      </c>
      <c r="BL3460">
        <v>350</v>
      </c>
      <c r="BM3460" t="s">
        <v>119</v>
      </c>
      <c r="BN3460">
        <v>1</v>
      </c>
      <c r="BO3460">
        <v>1</v>
      </c>
      <c r="BP3460">
        <v>1</v>
      </c>
      <c r="BQ3460">
        <v>0</v>
      </c>
      <c r="BT3460">
        <v>0</v>
      </c>
      <c r="BU3460">
        <v>0</v>
      </c>
      <c r="BV3460">
        <v>0</v>
      </c>
      <c r="CC3460" t="str">
        <f>"19:32:36.781"</f>
        <v>19:32:36.781</v>
      </c>
      <c r="CD3460" t="str">
        <f>"781473739"</f>
        <v>781473739</v>
      </c>
      <c r="CQ3460">
        <v>0</v>
      </c>
      <c r="CR3460">
        <v>2</v>
      </c>
      <c r="CS3460">
        <v>0</v>
      </c>
      <c r="CT3460">
        <v>2</v>
      </c>
      <c r="CU3460">
        <v>0</v>
      </c>
      <c r="CV3460">
        <v>5</v>
      </c>
      <c r="CW3460" t="s">
        <v>120</v>
      </c>
      <c r="CX3460">
        <v>257</v>
      </c>
      <c r="CY3460">
        <v>0</v>
      </c>
      <c r="CZ3460" t="s">
        <v>615</v>
      </c>
      <c r="DA3460" t="s">
        <v>616</v>
      </c>
      <c r="DD3460">
        <v>16436760</v>
      </c>
      <c r="DE3460" t="s">
        <v>123</v>
      </c>
    </row>
    <row r="3461" spans="1:109" x14ac:dyDescent="0.3">
      <c r="A3461" t="str">
        <f>"19:32:38.047"</f>
        <v>19:32:38.047</v>
      </c>
      <c r="B3461" t="s">
        <v>110</v>
      </c>
      <c r="C3461" t="str">
        <f t="shared" si="162"/>
        <v>ffdfd3c0</v>
      </c>
      <c r="D3461" t="s">
        <v>111</v>
      </c>
      <c r="E3461">
        <v>18</v>
      </c>
      <c r="F3461">
        <v>1018</v>
      </c>
      <c r="G3461" t="s">
        <v>112</v>
      </c>
      <c r="J3461" t="s">
        <v>113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R3461" t="s">
        <v>114</v>
      </c>
      <c r="S3461" t="str">
        <f>"19:32:37.813"</f>
        <v>19:32:37.813</v>
      </c>
      <c r="T3461" t="str">
        <f>"19:32:37.414"</f>
        <v>19:32:37.414</v>
      </c>
      <c r="U3461" t="str">
        <f t="shared" si="163"/>
        <v>a1cdbe</v>
      </c>
      <c r="V3461">
        <v>0</v>
      </c>
      <c r="W3461">
        <v>0</v>
      </c>
      <c r="X3461">
        <v>2</v>
      </c>
      <c r="Y3461">
        <v>0</v>
      </c>
      <c r="Z3461">
        <v>0</v>
      </c>
      <c r="AB3461">
        <v>0</v>
      </c>
      <c r="AC3461">
        <v>9</v>
      </c>
      <c r="AD3461">
        <v>3</v>
      </c>
      <c r="AE3461">
        <v>0</v>
      </c>
      <c r="AF3461">
        <v>9</v>
      </c>
      <c r="AG3461" t="s">
        <v>158</v>
      </c>
      <c r="AH3461">
        <v>0</v>
      </c>
      <c r="AI3461">
        <v>3</v>
      </c>
      <c r="AJ3461">
        <v>1</v>
      </c>
      <c r="AK3461">
        <v>0</v>
      </c>
      <c r="AL3461" t="s">
        <v>6513</v>
      </c>
      <c r="AM3461">
        <v>47.014038999999997</v>
      </c>
      <c r="AN3461" t="s">
        <v>6514</v>
      </c>
      <c r="AO3461">
        <v>-123.764505</v>
      </c>
      <c r="AP3461">
        <v>100</v>
      </c>
      <c r="AQ3461">
        <v>2100</v>
      </c>
      <c r="AR3461" t="s">
        <v>118</v>
      </c>
      <c r="AS3461">
        <v>-78</v>
      </c>
      <c r="AT3461">
        <v>14</v>
      </c>
      <c r="AU3461">
        <v>64</v>
      </c>
      <c r="BC3461">
        <v>1200</v>
      </c>
      <c r="BD3461">
        <v>1</v>
      </c>
      <c r="BE3461" t="str">
        <f t="shared" si="164"/>
        <v xml:space="preserve">N215T   </v>
      </c>
      <c r="BF3461">
        <v>1</v>
      </c>
      <c r="BH3461">
        <v>0</v>
      </c>
      <c r="BI3461">
        <v>0</v>
      </c>
      <c r="BJ3461">
        <v>0</v>
      </c>
      <c r="BK3461">
        <v>2450</v>
      </c>
      <c r="BL3461">
        <v>350</v>
      </c>
      <c r="BM3461" t="s">
        <v>119</v>
      </c>
      <c r="BN3461">
        <v>1</v>
      </c>
      <c r="BO3461">
        <v>1</v>
      </c>
      <c r="BP3461">
        <v>1</v>
      </c>
      <c r="BQ3461">
        <v>0</v>
      </c>
      <c r="BT3461">
        <v>0</v>
      </c>
      <c r="BU3461">
        <v>0</v>
      </c>
      <c r="BV3461">
        <v>0</v>
      </c>
      <c r="CC3461" t="str">
        <f>"19:32:37.813"</f>
        <v>19:32:37.813</v>
      </c>
      <c r="CD3461" t="str">
        <f>"816371785"</f>
        <v>816371785</v>
      </c>
      <c r="CQ3461">
        <v>0</v>
      </c>
      <c r="CR3461">
        <v>2</v>
      </c>
      <c r="CS3461">
        <v>0</v>
      </c>
      <c r="CT3461">
        <v>2</v>
      </c>
      <c r="CU3461">
        <v>0</v>
      </c>
      <c r="CV3461">
        <v>5</v>
      </c>
      <c r="CW3461" t="s">
        <v>120</v>
      </c>
      <c r="CX3461">
        <v>257</v>
      </c>
      <c r="CY3461">
        <v>0</v>
      </c>
      <c r="CZ3461" t="s">
        <v>615</v>
      </c>
      <c r="DA3461" t="s">
        <v>616</v>
      </c>
      <c r="DD3461">
        <v>16437225</v>
      </c>
      <c r="DE3461" t="s">
        <v>123</v>
      </c>
    </row>
    <row r="3462" spans="1:109" x14ac:dyDescent="0.3">
      <c r="A3462" t="str">
        <f>"19:32:39.055"</f>
        <v>19:32:39.055</v>
      </c>
      <c r="B3462" t="s">
        <v>110</v>
      </c>
      <c r="C3462" t="str">
        <f t="shared" si="162"/>
        <v>ffdfd3c0</v>
      </c>
      <c r="D3462" t="s">
        <v>111</v>
      </c>
      <c r="E3462">
        <v>18</v>
      </c>
      <c r="F3462">
        <v>1018</v>
      </c>
      <c r="G3462" t="s">
        <v>112</v>
      </c>
      <c r="J3462" t="s">
        <v>113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R3462" t="s">
        <v>114</v>
      </c>
      <c r="S3462" t="str">
        <f>"19:32:38.820"</f>
        <v>19:32:38.820</v>
      </c>
      <c r="T3462" t="str">
        <f>"19:32:38.422"</f>
        <v>19:32:38.422</v>
      </c>
      <c r="U3462" t="str">
        <f t="shared" si="163"/>
        <v>a1cdbe</v>
      </c>
      <c r="V3462">
        <v>0</v>
      </c>
      <c r="W3462">
        <v>0</v>
      </c>
      <c r="X3462">
        <v>2</v>
      </c>
      <c r="Y3462">
        <v>0</v>
      </c>
      <c r="Z3462">
        <v>0</v>
      </c>
      <c r="AB3462">
        <v>0</v>
      </c>
      <c r="AC3462">
        <v>9</v>
      </c>
      <c r="AD3462">
        <v>3</v>
      </c>
      <c r="AE3462">
        <v>0</v>
      </c>
      <c r="AF3462">
        <v>9</v>
      </c>
      <c r="AG3462" t="s">
        <v>158</v>
      </c>
      <c r="AH3462">
        <v>0</v>
      </c>
      <c r="AI3462">
        <v>3</v>
      </c>
      <c r="AJ3462">
        <v>1</v>
      </c>
      <c r="AK3462">
        <v>0</v>
      </c>
      <c r="AL3462" t="s">
        <v>6515</v>
      </c>
      <c r="AM3462">
        <v>47.014124000000002</v>
      </c>
      <c r="AN3462" t="s">
        <v>6516</v>
      </c>
      <c r="AO3462">
        <v>-123.76504199999999</v>
      </c>
      <c r="AP3462">
        <v>100</v>
      </c>
      <c r="AQ3462">
        <v>2100</v>
      </c>
      <c r="AR3462" t="s">
        <v>118</v>
      </c>
      <c r="AS3462">
        <v>-78</v>
      </c>
      <c r="AT3462">
        <v>14</v>
      </c>
      <c r="AU3462">
        <v>64</v>
      </c>
      <c r="BC3462">
        <v>1200</v>
      </c>
      <c r="BD3462">
        <v>1</v>
      </c>
      <c r="BE3462" t="str">
        <f t="shared" si="164"/>
        <v xml:space="preserve">N215T   </v>
      </c>
      <c r="BF3462">
        <v>1</v>
      </c>
      <c r="BH3462">
        <v>0</v>
      </c>
      <c r="BI3462">
        <v>0</v>
      </c>
      <c r="BJ3462">
        <v>0</v>
      </c>
      <c r="BK3462">
        <v>2450</v>
      </c>
      <c r="BL3462">
        <v>350</v>
      </c>
      <c r="BM3462" t="s">
        <v>119</v>
      </c>
      <c r="BN3462">
        <v>1</v>
      </c>
      <c r="BO3462">
        <v>1</v>
      </c>
      <c r="BP3462">
        <v>1</v>
      </c>
      <c r="BQ3462">
        <v>0</v>
      </c>
      <c r="BT3462">
        <v>0</v>
      </c>
      <c r="BU3462">
        <v>0</v>
      </c>
      <c r="BV3462">
        <v>0</v>
      </c>
      <c r="CC3462" t="str">
        <f>"19:32:38.820"</f>
        <v>19:32:38.820</v>
      </c>
      <c r="CD3462" t="str">
        <f>"821272746"</f>
        <v>821272746</v>
      </c>
      <c r="CQ3462">
        <v>0</v>
      </c>
      <c r="CR3462">
        <v>2</v>
      </c>
      <c r="CS3462">
        <v>0</v>
      </c>
      <c r="CT3462">
        <v>2</v>
      </c>
      <c r="CU3462">
        <v>0</v>
      </c>
      <c r="CV3462">
        <v>6</v>
      </c>
      <c r="CW3462" t="s">
        <v>120</v>
      </c>
      <c r="CX3462">
        <v>257</v>
      </c>
      <c r="CY3462">
        <v>0</v>
      </c>
      <c r="CZ3462" t="s">
        <v>615</v>
      </c>
      <c r="DA3462" t="s">
        <v>616</v>
      </c>
      <c r="DD3462">
        <v>16437667</v>
      </c>
      <c r="DE3462" t="s">
        <v>123</v>
      </c>
    </row>
    <row r="3463" spans="1:109" x14ac:dyDescent="0.3">
      <c r="A3463" t="str">
        <f>"19:32:40.109"</f>
        <v>19:32:40.109</v>
      </c>
      <c r="B3463" t="s">
        <v>110</v>
      </c>
      <c r="C3463" t="str">
        <f t="shared" si="162"/>
        <v>ffdfd3c0</v>
      </c>
      <c r="D3463" t="s">
        <v>111</v>
      </c>
      <c r="E3463">
        <v>18</v>
      </c>
      <c r="F3463">
        <v>1018</v>
      </c>
      <c r="G3463" t="s">
        <v>112</v>
      </c>
      <c r="J3463" t="s">
        <v>113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R3463" t="s">
        <v>114</v>
      </c>
      <c r="S3463" t="str">
        <f>"19:32:39.898"</f>
        <v>19:32:39.898</v>
      </c>
      <c r="T3463" t="str">
        <f>"19:32:39.898"</f>
        <v>19:32:39.898</v>
      </c>
      <c r="U3463" t="str">
        <f t="shared" si="163"/>
        <v>a1cdbe</v>
      </c>
      <c r="V3463">
        <v>0</v>
      </c>
      <c r="W3463">
        <v>0</v>
      </c>
      <c r="X3463">
        <v>2</v>
      </c>
      <c r="Y3463">
        <v>0</v>
      </c>
      <c r="Z3463">
        <v>0</v>
      </c>
      <c r="AB3463">
        <v>0</v>
      </c>
      <c r="AC3463">
        <v>9</v>
      </c>
      <c r="AD3463">
        <v>3</v>
      </c>
      <c r="AE3463">
        <v>0</v>
      </c>
      <c r="AF3463">
        <v>9</v>
      </c>
      <c r="AG3463" t="s">
        <v>158</v>
      </c>
      <c r="AH3463">
        <v>0</v>
      </c>
      <c r="AI3463">
        <v>3</v>
      </c>
      <c r="AJ3463">
        <v>1</v>
      </c>
      <c r="AK3463">
        <v>0</v>
      </c>
      <c r="AL3463" t="s">
        <v>6517</v>
      </c>
      <c r="AM3463">
        <v>47.014167</v>
      </c>
      <c r="AN3463" t="s">
        <v>6518</v>
      </c>
      <c r="AO3463">
        <v>-123.765557</v>
      </c>
      <c r="AP3463">
        <v>100</v>
      </c>
      <c r="AQ3463">
        <v>2100</v>
      </c>
      <c r="AR3463" t="s">
        <v>118</v>
      </c>
      <c r="AS3463">
        <v>-78</v>
      </c>
      <c r="AT3463">
        <v>13</v>
      </c>
      <c r="AU3463">
        <v>64</v>
      </c>
      <c r="BC3463">
        <v>1200</v>
      </c>
      <c r="BD3463">
        <v>1</v>
      </c>
      <c r="BE3463" t="str">
        <f t="shared" si="164"/>
        <v xml:space="preserve">N215T   </v>
      </c>
      <c r="BF3463">
        <v>1</v>
      </c>
      <c r="BH3463">
        <v>0</v>
      </c>
      <c r="BI3463">
        <v>0</v>
      </c>
      <c r="BJ3463">
        <v>0</v>
      </c>
      <c r="BK3463">
        <v>2450</v>
      </c>
      <c r="BL3463">
        <v>350</v>
      </c>
      <c r="BM3463" t="s">
        <v>119</v>
      </c>
      <c r="BN3463">
        <v>1</v>
      </c>
      <c r="BO3463">
        <v>1</v>
      </c>
      <c r="BP3463">
        <v>1</v>
      </c>
      <c r="BQ3463">
        <v>0</v>
      </c>
      <c r="BT3463">
        <v>0</v>
      </c>
      <c r="BU3463">
        <v>0</v>
      </c>
      <c r="BV3463">
        <v>0</v>
      </c>
      <c r="CC3463" t="str">
        <f>"19:32:39.898"</f>
        <v>19:32:39.898</v>
      </c>
      <c r="CD3463" t="str">
        <f>"901166327"</f>
        <v>901166327</v>
      </c>
      <c r="CQ3463">
        <v>0</v>
      </c>
      <c r="CR3463">
        <v>2</v>
      </c>
      <c r="CS3463">
        <v>0</v>
      </c>
      <c r="CT3463">
        <v>2</v>
      </c>
      <c r="CU3463">
        <v>0</v>
      </c>
      <c r="CV3463">
        <v>5</v>
      </c>
      <c r="CW3463" t="s">
        <v>120</v>
      </c>
      <c r="CX3463">
        <v>257</v>
      </c>
      <c r="CY3463">
        <v>0</v>
      </c>
      <c r="CZ3463" t="s">
        <v>615</v>
      </c>
      <c r="DA3463" t="s">
        <v>616</v>
      </c>
      <c r="DD3463">
        <v>16438127</v>
      </c>
      <c r="DE3463" t="s">
        <v>123</v>
      </c>
    </row>
    <row r="3464" spans="1:109" x14ac:dyDescent="0.3">
      <c r="A3464" t="str">
        <f>"19:32:41.117"</f>
        <v>19:32:41.117</v>
      </c>
      <c r="B3464" t="s">
        <v>110</v>
      </c>
      <c r="C3464" t="str">
        <f t="shared" si="162"/>
        <v>ffdfd3c0</v>
      </c>
      <c r="D3464" t="s">
        <v>111</v>
      </c>
      <c r="E3464">
        <v>18</v>
      </c>
      <c r="F3464">
        <v>1018</v>
      </c>
      <c r="G3464" t="s">
        <v>112</v>
      </c>
      <c r="J3464" t="s">
        <v>113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R3464" t="s">
        <v>114</v>
      </c>
      <c r="S3464" t="str">
        <f>"19:32:40.891"</f>
        <v>19:32:40.891</v>
      </c>
      <c r="T3464" t="str">
        <f>"19:32:40.789"</f>
        <v>19:32:40.789</v>
      </c>
      <c r="U3464" t="str">
        <f t="shared" si="163"/>
        <v>a1cdbe</v>
      </c>
      <c r="V3464">
        <v>0</v>
      </c>
      <c r="W3464">
        <v>0</v>
      </c>
      <c r="X3464">
        <v>2</v>
      </c>
      <c r="Y3464">
        <v>0</v>
      </c>
      <c r="Z3464">
        <v>0</v>
      </c>
      <c r="AB3464">
        <v>0</v>
      </c>
      <c r="AC3464">
        <v>9</v>
      </c>
      <c r="AD3464">
        <v>3</v>
      </c>
      <c r="AE3464">
        <v>0</v>
      </c>
      <c r="AF3464">
        <v>9</v>
      </c>
      <c r="AG3464" t="s">
        <v>158</v>
      </c>
      <c r="AH3464">
        <v>0</v>
      </c>
      <c r="AI3464">
        <v>3</v>
      </c>
      <c r="AJ3464">
        <v>1</v>
      </c>
      <c r="AK3464">
        <v>0</v>
      </c>
      <c r="AL3464" t="s">
        <v>6519</v>
      </c>
      <c r="AM3464">
        <v>47.014252999999997</v>
      </c>
      <c r="AN3464" t="s">
        <v>6520</v>
      </c>
      <c r="AO3464">
        <v>-123.766136</v>
      </c>
      <c r="AP3464">
        <v>100</v>
      </c>
      <c r="AQ3464">
        <v>2100</v>
      </c>
      <c r="AR3464" t="s">
        <v>118</v>
      </c>
      <c r="AS3464">
        <v>-78</v>
      </c>
      <c r="AT3464">
        <v>13</v>
      </c>
      <c r="AU3464">
        <v>64</v>
      </c>
      <c r="BC3464">
        <v>1200</v>
      </c>
      <c r="BD3464">
        <v>1</v>
      </c>
      <c r="BE3464" t="str">
        <f t="shared" si="164"/>
        <v xml:space="preserve">N215T   </v>
      </c>
      <c r="BF3464">
        <v>1</v>
      </c>
      <c r="BH3464">
        <v>0</v>
      </c>
      <c r="BI3464">
        <v>0</v>
      </c>
      <c r="BJ3464">
        <v>0</v>
      </c>
      <c r="BK3464">
        <v>2450</v>
      </c>
      <c r="BL3464">
        <v>350</v>
      </c>
      <c r="BM3464" t="s">
        <v>119</v>
      </c>
      <c r="BN3464">
        <v>1</v>
      </c>
      <c r="BO3464">
        <v>1</v>
      </c>
      <c r="BP3464">
        <v>1</v>
      </c>
      <c r="BQ3464">
        <v>0</v>
      </c>
      <c r="BT3464">
        <v>0</v>
      </c>
      <c r="BU3464">
        <v>0</v>
      </c>
      <c r="BV3464">
        <v>0</v>
      </c>
      <c r="CC3464" t="str">
        <f>"19:32:40.891"</f>
        <v>19:32:40.891</v>
      </c>
      <c r="CD3464" t="str">
        <f>"891155870"</f>
        <v>891155870</v>
      </c>
      <c r="CQ3464">
        <v>0</v>
      </c>
      <c r="CR3464">
        <v>2</v>
      </c>
      <c r="CS3464">
        <v>0</v>
      </c>
      <c r="CT3464">
        <v>2</v>
      </c>
      <c r="CU3464">
        <v>0</v>
      </c>
      <c r="CV3464">
        <v>2</v>
      </c>
      <c r="CW3464" t="s">
        <v>120</v>
      </c>
      <c r="CX3464">
        <v>261</v>
      </c>
      <c r="CY3464">
        <v>3</v>
      </c>
      <c r="CZ3464" t="s">
        <v>121</v>
      </c>
      <c r="DA3464" t="s">
        <v>122</v>
      </c>
      <c r="DD3464">
        <v>3989862</v>
      </c>
      <c r="DE3464" t="s">
        <v>123</v>
      </c>
    </row>
    <row r="3465" spans="1:109" x14ac:dyDescent="0.3">
      <c r="A3465" t="str">
        <f>"19:32:42.016"</f>
        <v>19:32:42.016</v>
      </c>
      <c r="B3465" t="s">
        <v>110</v>
      </c>
      <c r="C3465" t="str">
        <f t="shared" si="162"/>
        <v>ffdfd3c0</v>
      </c>
      <c r="D3465" t="s">
        <v>111</v>
      </c>
      <c r="E3465">
        <v>18</v>
      </c>
      <c r="F3465">
        <v>1018</v>
      </c>
      <c r="G3465" t="s">
        <v>112</v>
      </c>
      <c r="J3465" t="s">
        <v>113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R3465" t="s">
        <v>114</v>
      </c>
      <c r="S3465" t="str">
        <f>"19:32:41.789"</f>
        <v>19:32:41.789</v>
      </c>
      <c r="T3465" t="str">
        <f>"19:32:41.688"</f>
        <v>19:32:41.688</v>
      </c>
      <c r="U3465" t="str">
        <f t="shared" si="163"/>
        <v>a1cdbe</v>
      </c>
      <c r="V3465">
        <v>0</v>
      </c>
      <c r="W3465">
        <v>0</v>
      </c>
      <c r="X3465">
        <v>2</v>
      </c>
      <c r="Y3465">
        <v>0</v>
      </c>
      <c r="Z3465">
        <v>0</v>
      </c>
      <c r="AB3465">
        <v>0</v>
      </c>
      <c r="AC3465">
        <v>9</v>
      </c>
      <c r="AD3465">
        <v>3</v>
      </c>
      <c r="AE3465">
        <v>0</v>
      </c>
      <c r="AF3465">
        <v>9</v>
      </c>
      <c r="AG3465" t="s">
        <v>158</v>
      </c>
      <c r="AH3465">
        <v>0</v>
      </c>
      <c r="AI3465">
        <v>3</v>
      </c>
      <c r="AJ3465">
        <v>1</v>
      </c>
      <c r="AK3465">
        <v>0</v>
      </c>
      <c r="AL3465" t="s">
        <v>741</v>
      </c>
      <c r="AM3465">
        <v>47.014318000000003</v>
      </c>
      <c r="AN3465" t="s">
        <v>6521</v>
      </c>
      <c r="AO3465">
        <v>-123.76663000000001</v>
      </c>
      <c r="AP3465">
        <v>100</v>
      </c>
      <c r="AQ3465">
        <v>2100</v>
      </c>
      <c r="AR3465" t="s">
        <v>118</v>
      </c>
      <c r="AS3465">
        <v>-78</v>
      </c>
      <c r="AT3465">
        <v>13</v>
      </c>
      <c r="AU3465">
        <v>128</v>
      </c>
      <c r="BC3465">
        <v>1200</v>
      </c>
      <c r="BD3465">
        <v>1</v>
      </c>
      <c r="BE3465" t="str">
        <f t="shared" si="164"/>
        <v xml:space="preserve">N215T   </v>
      </c>
      <c r="BF3465">
        <v>1</v>
      </c>
      <c r="BH3465">
        <v>0</v>
      </c>
      <c r="BI3465">
        <v>0</v>
      </c>
      <c r="BJ3465">
        <v>0</v>
      </c>
      <c r="BK3465">
        <v>2450</v>
      </c>
      <c r="BL3465">
        <v>350</v>
      </c>
      <c r="BM3465" t="s">
        <v>119</v>
      </c>
      <c r="BN3465">
        <v>1</v>
      </c>
      <c r="BO3465">
        <v>1</v>
      </c>
      <c r="BP3465">
        <v>1</v>
      </c>
      <c r="BQ3465">
        <v>0</v>
      </c>
      <c r="BT3465">
        <v>0</v>
      </c>
      <c r="BU3465">
        <v>0</v>
      </c>
      <c r="BV3465">
        <v>0</v>
      </c>
      <c r="CC3465" t="str">
        <f>"19:32:41.789"</f>
        <v>19:32:41.789</v>
      </c>
      <c r="CD3465" t="str">
        <f>"790980105"</f>
        <v>790980105</v>
      </c>
      <c r="CQ3465">
        <v>0</v>
      </c>
      <c r="CR3465">
        <v>2</v>
      </c>
      <c r="CS3465">
        <v>0</v>
      </c>
      <c r="CT3465">
        <v>2</v>
      </c>
      <c r="CU3465">
        <v>0</v>
      </c>
      <c r="CV3465">
        <v>5</v>
      </c>
      <c r="CW3465" t="s">
        <v>120</v>
      </c>
      <c r="CX3465">
        <v>257</v>
      </c>
      <c r="CY3465">
        <v>0</v>
      </c>
      <c r="CZ3465" t="s">
        <v>615</v>
      </c>
      <c r="DA3465" t="s">
        <v>616</v>
      </c>
      <c r="DD3465">
        <v>16438984</v>
      </c>
      <c r="DE3465" t="s">
        <v>123</v>
      </c>
    </row>
    <row r="3466" spans="1:109" x14ac:dyDescent="0.3">
      <c r="A3466" t="str">
        <f>"19:32:42.977"</f>
        <v>19:32:42.977</v>
      </c>
      <c r="B3466" t="s">
        <v>110</v>
      </c>
      <c r="C3466" t="str">
        <f t="shared" si="162"/>
        <v>ffdfd3c0</v>
      </c>
      <c r="D3466" t="s">
        <v>111</v>
      </c>
      <c r="E3466">
        <v>18</v>
      </c>
      <c r="F3466">
        <v>1018</v>
      </c>
      <c r="G3466" t="s">
        <v>112</v>
      </c>
      <c r="J3466" t="s">
        <v>113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R3466" t="s">
        <v>114</v>
      </c>
      <c r="S3466" t="str">
        <f>"19:32:42.719"</f>
        <v>19:32:42.719</v>
      </c>
      <c r="T3466" t="str">
        <f>"19:32:42.320"</f>
        <v>19:32:42.320</v>
      </c>
      <c r="U3466" t="str">
        <f t="shared" si="163"/>
        <v>a1cdbe</v>
      </c>
      <c r="V3466">
        <v>0</v>
      </c>
      <c r="W3466">
        <v>0</v>
      </c>
      <c r="X3466">
        <v>2</v>
      </c>
      <c r="Y3466">
        <v>0</v>
      </c>
      <c r="Z3466">
        <v>0</v>
      </c>
      <c r="AB3466">
        <v>0</v>
      </c>
      <c r="AC3466">
        <v>9</v>
      </c>
      <c r="AD3466">
        <v>3</v>
      </c>
      <c r="AE3466">
        <v>0</v>
      </c>
      <c r="AF3466">
        <v>9</v>
      </c>
      <c r="AG3466" t="s">
        <v>158</v>
      </c>
      <c r="AH3466">
        <v>0</v>
      </c>
      <c r="AI3466">
        <v>3</v>
      </c>
      <c r="AJ3466">
        <v>1</v>
      </c>
      <c r="AK3466">
        <v>0</v>
      </c>
      <c r="AL3466" t="s">
        <v>6522</v>
      </c>
      <c r="AM3466">
        <v>47.014360000000003</v>
      </c>
      <c r="AN3466" t="s">
        <v>6523</v>
      </c>
      <c r="AO3466">
        <v>-123.767123</v>
      </c>
      <c r="AP3466">
        <v>100</v>
      </c>
      <c r="AQ3466">
        <v>2100</v>
      </c>
      <c r="AR3466" t="s">
        <v>118</v>
      </c>
      <c r="AS3466">
        <v>-78</v>
      </c>
      <c r="AT3466">
        <v>13</v>
      </c>
      <c r="AU3466">
        <v>128</v>
      </c>
      <c r="BC3466">
        <v>1200</v>
      </c>
      <c r="BD3466">
        <v>1</v>
      </c>
      <c r="BE3466" t="str">
        <f t="shared" si="164"/>
        <v xml:space="preserve">N215T   </v>
      </c>
      <c r="BF3466">
        <v>1</v>
      </c>
      <c r="BH3466">
        <v>0</v>
      </c>
      <c r="BI3466">
        <v>0</v>
      </c>
      <c r="BJ3466">
        <v>0</v>
      </c>
      <c r="BK3466">
        <v>2450</v>
      </c>
      <c r="BL3466">
        <v>350</v>
      </c>
      <c r="BM3466" t="s">
        <v>119</v>
      </c>
      <c r="BN3466">
        <v>1</v>
      </c>
      <c r="BO3466">
        <v>1</v>
      </c>
      <c r="BP3466">
        <v>1</v>
      </c>
      <c r="BQ3466">
        <v>0</v>
      </c>
      <c r="BT3466">
        <v>0</v>
      </c>
      <c r="BU3466">
        <v>0</v>
      </c>
      <c r="BV3466">
        <v>0</v>
      </c>
      <c r="CC3466" t="str">
        <f>"19:32:42.719"</f>
        <v>19:32:42.719</v>
      </c>
      <c r="CD3466" t="str">
        <f>"720888474"</f>
        <v>720888474</v>
      </c>
      <c r="CQ3466">
        <v>0</v>
      </c>
      <c r="CR3466">
        <v>2</v>
      </c>
      <c r="CS3466">
        <v>0</v>
      </c>
      <c r="CT3466">
        <v>2</v>
      </c>
      <c r="CU3466">
        <v>0</v>
      </c>
      <c r="CV3466">
        <v>5</v>
      </c>
      <c r="CW3466" t="s">
        <v>120</v>
      </c>
      <c r="CX3466">
        <v>257</v>
      </c>
      <c r="CY3466">
        <v>0</v>
      </c>
      <c r="CZ3466" t="s">
        <v>615</v>
      </c>
      <c r="DA3466" t="s">
        <v>616</v>
      </c>
      <c r="DD3466">
        <v>16439402</v>
      </c>
      <c r="DE3466" t="s">
        <v>123</v>
      </c>
    </row>
    <row r="3467" spans="1:109" x14ac:dyDescent="0.3">
      <c r="A3467" t="str">
        <f>"19:32:43.883"</f>
        <v>19:32:43.883</v>
      </c>
      <c r="B3467" t="s">
        <v>110</v>
      </c>
      <c r="C3467" t="str">
        <f t="shared" si="162"/>
        <v>ffdfd3c0</v>
      </c>
      <c r="D3467" t="s">
        <v>111</v>
      </c>
      <c r="E3467">
        <v>18</v>
      </c>
      <c r="F3467">
        <v>1018</v>
      </c>
      <c r="G3467" t="s">
        <v>112</v>
      </c>
      <c r="J3467" t="s">
        <v>113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R3467" t="s">
        <v>114</v>
      </c>
      <c r="S3467" t="str">
        <f>"19:32:43.648"</f>
        <v>19:32:43.648</v>
      </c>
      <c r="T3467" t="str">
        <f>"19:32:43.445"</f>
        <v>19:32:43.445</v>
      </c>
      <c r="U3467" t="str">
        <f t="shared" si="163"/>
        <v>a1cdbe</v>
      </c>
      <c r="V3467">
        <v>0</v>
      </c>
      <c r="W3467">
        <v>0</v>
      </c>
      <c r="X3467">
        <v>2</v>
      </c>
      <c r="Y3467">
        <v>0</v>
      </c>
      <c r="Z3467">
        <v>0</v>
      </c>
      <c r="AB3467">
        <v>0</v>
      </c>
      <c r="AC3467">
        <v>9</v>
      </c>
      <c r="AD3467">
        <v>3</v>
      </c>
      <c r="AE3467">
        <v>0</v>
      </c>
      <c r="AF3467">
        <v>9</v>
      </c>
      <c r="AG3467" t="s">
        <v>158</v>
      </c>
      <c r="AH3467">
        <v>0</v>
      </c>
      <c r="AI3467">
        <v>3</v>
      </c>
      <c r="AJ3467">
        <v>1</v>
      </c>
      <c r="AK3467">
        <v>0</v>
      </c>
      <c r="AL3467" t="s">
        <v>6524</v>
      </c>
      <c r="AM3467">
        <v>47.014381999999998</v>
      </c>
      <c r="AN3467" t="s">
        <v>6525</v>
      </c>
      <c r="AO3467">
        <v>-123.767574</v>
      </c>
      <c r="AP3467">
        <v>100</v>
      </c>
      <c r="AQ3467">
        <v>2100</v>
      </c>
      <c r="AR3467" t="s">
        <v>118</v>
      </c>
      <c r="AS3467">
        <v>-77</v>
      </c>
      <c r="AT3467">
        <v>13</v>
      </c>
      <c r="AU3467">
        <v>64</v>
      </c>
      <c r="BC3467">
        <v>1200</v>
      </c>
      <c r="BD3467">
        <v>1</v>
      </c>
      <c r="BE3467" t="str">
        <f t="shared" si="164"/>
        <v xml:space="preserve">N215T   </v>
      </c>
      <c r="BF3467">
        <v>1</v>
      </c>
      <c r="BH3467">
        <v>0</v>
      </c>
      <c r="BI3467">
        <v>0</v>
      </c>
      <c r="BJ3467">
        <v>0</v>
      </c>
      <c r="BK3467">
        <v>2450</v>
      </c>
      <c r="BL3467">
        <v>350</v>
      </c>
      <c r="BM3467" t="s">
        <v>119</v>
      </c>
      <c r="BN3467">
        <v>1</v>
      </c>
      <c r="BO3467">
        <v>1</v>
      </c>
      <c r="BP3467">
        <v>1</v>
      </c>
      <c r="BQ3467">
        <v>0</v>
      </c>
      <c r="BT3467">
        <v>0</v>
      </c>
      <c r="BU3467">
        <v>0</v>
      </c>
      <c r="BV3467">
        <v>0</v>
      </c>
      <c r="CC3467" t="str">
        <f>"19:32:43.648"</f>
        <v>19:32:43.648</v>
      </c>
      <c r="CD3467" t="str">
        <f>"650796841"</f>
        <v>650796841</v>
      </c>
      <c r="CQ3467">
        <v>0</v>
      </c>
      <c r="CR3467">
        <v>2</v>
      </c>
      <c r="CS3467">
        <v>0</v>
      </c>
      <c r="CT3467">
        <v>2</v>
      </c>
      <c r="CU3467">
        <v>0</v>
      </c>
      <c r="CV3467">
        <v>5</v>
      </c>
      <c r="CW3467" t="s">
        <v>120</v>
      </c>
      <c r="CX3467">
        <v>257</v>
      </c>
      <c r="CY3467">
        <v>0</v>
      </c>
      <c r="CZ3467" t="s">
        <v>615</v>
      </c>
      <c r="DA3467" t="s">
        <v>616</v>
      </c>
      <c r="DD3467">
        <v>16439793</v>
      </c>
      <c r="DE3467" t="s">
        <v>123</v>
      </c>
    </row>
    <row r="3468" spans="1:109" x14ac:dyDescent="0.3">
      <c r="A3468" t="str">
        <f>"19:32:44.984"</f>
        <v>19:32:44.984</v>
      </c>
      <c r="B3468" t="s">
        <v>110</v>
      </c>
      <c r="C3468" t="str">
        <f t="shared" si="162"/>
        <v>ffdfd3c0</v>
      </c>
      <c r="D3468" t="s">
        <v>111</v>
      </c>
      <c r="E3468">
        <v>18</v>
      </c>
      <c r="F3468">
        <v>1018</v>
      </c>
      <c r="G3468" t="s">
        <v>112</v>
      </c>
      <c r="J3468" t="s">
        <v>113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R3468" t="s">
        <v>114</v>
      </c>
      <c r="S3468" t="str">
        <f>"19:32:44.742"</f>
        <v>19:32:44.742</v>
      </c>
      <c r="T3468" t="str">
        <f>"19:32:44.445"</f>
        <v>19:32:44.445</v>
      </c>
      <c r="U3468" t="str">
        <f t="shared" si="163"/>
        <v>a1cdbe</v>
      </c>
      <c r="V3468">
        <v>0</v>
      </c>
      <c r="W3468">
        <v>0</v>
      </c>
      <c r="X3468">
        <v>2</v>
      </c>
      <c r="Y3468">
        <v>0</v>
      </c>
      <c r="Z3468">
        <v>0</v>
      </c>
      <c r="AB3468">
        <v>0</v>
      </c>
      <c r="AC3468">
        <v>9</v>
      </c>
      <c r="AD3468">
        <v>3</v>
      </c>
      <c r="AE3468">
        <v>0</v>
      </c>
      <c r="AF3468">
        <v>9</v>
      </c>
      <c r="AG3468" t="s">
        <v>158</v>
      </c>
      <c r="AH3468">
        <v>0</v>
      </c>
      <c r="AI3468">
        <v>3</v>
      </c>
      <c r="AJ3468">
        <v>1</v>
      </c>
      <c r="AK3468">
        <v>0</v>
      </c>
      <c r="AL3468" t="s">
        <v>6526</v>
      </c>
      <c r="AM3468">
        <v>47.014446</v>
      </c>
      <c r="AN3468" t="s">
        <v>6527</v>
      </c>
      <c r="AO3468">
        <v>-123.768175</v>
      </c>
      <c r="AP3468">
        <v>100</v>
      </c>
      <c r="AQ3468">
        <v>2100</v>
      </c>
      <c r="AR3468" t="s">
        <v>118</v>
      </c>
      <c r="AS3468">
        <v>-77</v>
      </c>
      <c r="AT3468">
        <v>14</v>
      </c>
      <c r="AU3468">
        <v>0</v>
      </c>
      <c r="BC3468">
        <v>1200</v>
      </c>
      <c r="BD3468">
        <v>1</v>
      </c>
      <c r="BE3468" t="str">
        <f t="shared" si="164"/>
        <v xml:space="preserve">N215T   </v>
      </c>
      <c r="BF3468">
        <v>1</v>
      </c>
      <c r="BH3468">
        <v>0</v>
      </c>
      <c r="BI3468">
        <v>0</v>
      </c>
      <c r="BJ3468">
        <v>0</v>
      </c>
      <c r="BK3468">
        <v>2450</v>
      </c>
      <c r="BL3468">
        <v>350</v>
      </c>
      <c r="BM3468" t="s">
        <v>119</v>
      </c>
      <c r="BN3468">
        <v>1</v>
      </c>
      <c r="BO3468">
        <v>1</v>
      </c>
      <c r="BP3468">
        <v>1</v>
      </c>
      <c r="BQ3468">
        <v>0</v>
      </c>
      <c r="BT3468">
        <v>0</v>
      </c>
      <c r="BU3468">
        <v>0</v>
      </c>
      <c r="BV3468">
        <v>0</v>
      </c>
      <c r="CC3468" t="str">
        <f>"19:32:44.742"</f>
        <v>19:32:44.742</v>
      </c>
      <c r="CD3468" t="str">
        <f>"745688956"</f>
        <v>745688956</v>
      </c>
      <c r="CQ3468">
        <v>0</v>
      </c>
      <c r="CR3468">
        <v>2</v>
      </c>
      <c r="CS3468">
        <v>0</v>
      </c>
      <c r="CT3468">
        <v>2</v>
      </c>
      <c r="CU3468">
        <v>0</v>
      </c>
      <c r="CV3468">
        <v>5</v>
      </c>
      <c r="CW3468" t="s">
        <v>120</v>
      </c>
      <c r="CX3468">
        <v>257</v>
      </c>
      <c r="CY3468">
        <v>0</v>
      </c>
      <c r="CZ3468" t="s">
        <v>615</v>
      </c>
      <c r="DA3468" t="s">
        <v>616</v>
      </c>
      <c r="DD3468">
        <v>16440254</v>
      </c>
      <c r="DE3468" t="s">
        <v>123</v>
      </c>
    </row>
    <row r="3469" spans="1:109" x14ac:dyDescent="0.3">
      <c r="A3469" t="str">
        <f>"19:32:46.141"</f>
        <v>19:32:46.141</v>
      </c>
      <c r="B3469" t="s">
        <v>110</v>
      </c>
      <c r="C3469" t="str">
        <f t="shared" si="162"/>
        <v>ffdfd3c0</v>
      </c>
      <c r="D3469" t="s">
        <v>111</v>
      </c>
      <c r="E3469">
        <v>18</v>
      </c>
      <c r="F3469">
        <v>1018</v>
      </c>
      <c r="G3469" t="s">
        <v>112</v>
      </c>
      <c r="J3469" t="s">
        <v>113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R3469" t="s">
        <v>114</v>
      </c>
      <c r="S3469" t="str">
        <f>"19:32:45.867"</f>
        <v>19:32:45.867</v>
      </c>
      <c r="T3469" t="str">
        <f>"19:32:45.469"</f>
        <v>19:32:45.469</v>
      </c>
      <c r="U3469" t="str">
        <f t="shared" si="163"/>
        <v>a1cdbe</v>
      </c>
      <c r="V3469">
        <v>0</v>
      </c>
      <c r="W3469">
        <v>0</v>
      </c>
      <c r="X3469">
        <v>2</v>
      </c>
      <c r="Y3469">
        <v>0</v>
      </c>
      <c r="Z3469">
        <v>0</v>
      </c>
      <c r="AB3469">
        <v>0</v>
      </c>
      <c r="AC3469">
        <v>9</v>
      </c>
      <c r="AD3469">
        <v>3</v>
      </c>
      <c r="AE3469">
        <v>0</v>
      </c>
      <c r="AF3469">
        <v>9</v>
      </c>
      <c r="AG3469" t="s">
        <v>158</v>
      </c>
      <c r="AH3469">
        <v>0</v>
      </c>
      <c r="AI3469">
        <v>3</v>
      </c>
      <c r="AJ3469">
        <v>1</v>
      </c>
      <c r="AK3469">
        <v>0</v>
      </c>
      <c r="AL3469" t="s">
        <v>6528</v>
      </c>
      <c r="AM3469">
        <v>47.014553999999997</v>
      </c>
      <c r="AN3469" t="s">
        <v>6529</v>
      </c>
      <c r="AO3469">
        <v>-123.768733</v>
      </c>
      <c r="AP3469">
        <v>100</v>
      </c>
      <c r="AQ3469">
        <v>2100</v>
      </c>
      <c r="AR3469" t="s">
        <v>118</v>
      </c>
      <c r="AS3469">
        <v>-77</v>
      </c>
      <c r="AT3469">
        <v>14</v>
      </c>
      <c r="AU3469">
        <v>0</v>
      </c>
      <c r="BC3469">
        <v>1200</v>
      </c>
      <c r="BD3469">
        <v>1</v>
      </c>
      <c r="BE3469" t="str">
        <f t="shared" si="164"/>
        <v xml:space="preserve">N215T   </v>
      </c>
      <c r="BF3469">
        <v>1</v>
      </c>
      <c r="BH3469">
        <v>0</v>
      </c>
      <c r="BI3469">
        <v>0</v>
      </c>
      <c r="BJ3469">
        <v>0</v>
      </c>
      <c r="BK3469">
        <v>2450</v>
      </c>
      <c r="BL3469">
        <v>350</v>
      </c>
      <c r="BM3469" t="s">
        <v>119</v>
      </c>
      <c r="BN3469">
        <v>1</v>
      </c>
      <c r="BO3469">
        <v>1</v>
      </c>
      <c r="BP3469">
        <v>1</v>
      </c>
      <c r="BQ3469">
        <v>0</v>
      </c>
      <c r="BT3469">
        <v>0</v>
      </c>
      <c r="BU3469">
        <v>0</v>
      </c>
      <c r="BV3469">
        <v>0</v>
      </c>
      <c r="CC3469" t="str">
        <f>"19:32:45.867"</f>
        <v>19:32:45.867</v>
      </c>
      <c r="CD3469" t="str">
        <f>"870578124"</f>
        <v>870578124</v>
      </c>
      <c r="CQ3469">
        <v>0</v>
      </c>
      <c r="CR3469">
        <v>2</v>
      </c>
      <c r="CS3469">
        <v>0</v>
      </c>
      <c r="CT3469">
        <v>2</v>
      </c>
      <c r="CU3469">
        <v>0</v>
      </c>
      <c r="CV3469">
        <v>5</v>
      </c>
      <c r="CW3469" t="s">
        <v>120</v>
      </c>
      <c r="CX3469">
        <v>257</v>
      </c>
      <c r="CY3469">
        <v>0</v>
      </c>
      <c r="CZ3469" t="s">
        <v>615</v>
      </c>
      <c r="DA3469" t="s">
        <v>616</v>
      </c>
      <c r="DD3469">
        <v>16440778</v>
      </c>
      <c r="DE3469" t="s">
        <v>123</v>
      </c>
    </row>
    <row r="3470" spans="1:109" x14ac:dyDescent="0.3">
      <c r="A3470" t="str">
        <f>"19:32:47.148"</f>
        <v>19:32:47.148</v>
      </c>
      <c r="B3470" t="s">
        <v>110</v>
      </c>
      <c r="C3470" t="str">
        <f t="shared" si="162"/>
        <v>ffdfd3c0</v>
      </c>
      <c r="D3470" t="s">
        <v>111</v>
      </c>
      <c r="E3470">
        <v>18</v>
      </c>
      <c r="F3470">
        <v>1018</v>
      </c>
      <c r="G3470" t="s">
        <v>112</v>
      </c>
      <c r="J3470" t="s">
        <v>113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R3470" t="s">
        <v>114</v>
      </c>
      <c r="S3470" t="str">
        <f>"19:32:46.875"</f>
        <v>19:32:46.875</v>
      </c>
      <c r="T3470" t="str">
        <f>"19:32:46.375"</f>
        <v>19:32:46.375</v>
      </c>
      <c r="U3470" t="str">
        <f t="shared" si="163"/>
        <v>a1cdbe</v>
      </c>
      <c r="V3470">
        <v>0</v>
      </c>
      <c r="W3470">
        <v>0</v>
      </c>
      <c r="X3470">
        <v>2</v>
      </c>
      <c r="Y3470">
        <v>0</v>
      </c>
      <c r="Z3470">
        <v>0</v>
      </c>
      <c r="AB3470">
        <v>0</v>
      </c>
      <c r="AC3470">
        <v>9</v>
      </c>
      <c r="AD3470">
        <v>3</v>
      </c>
      <c r="AE3470">
        <v>0</v>
      </c>
      <c r="AF3470">
        <v>9</v>
      </c>
      <c r="AG3470" t="s">
        <v>158</v>
      </c>
      <c r="AH3470">
        <v>0</v>
      </c>
      <c r="AI3470">
        <v>3</v>
      </c>
      <c r="AJ3470">
        <v>1</v>
      </c>
      <c r="AK3470">
        <v>0</v>
      </c>
      <c r="AL3470" t="s">
        <v>739</v>
      </c>
      <c r="AM3470">
        <v>47.014617999999999</v>
      </c>
      <c r="AN3470" t="s">
        <v>6530</v>
      </c>
      <c r="AO3470">
        <v>-123.769226</v>
      </c>
      <c r="AP3470">
        <v>100</v>
      </c>
      <c r="AQ3470">
        <v>2100</v>
      </c>
      <c r="AR3470" t="s">
        <v>118</v>
      </c>
      <c r="AS3470">
        <v>-77</v>
      </c>
      <c r="AT3470">
        <v>14</v>
      </c>
      <c r="AU3470">
        <v>0</v>
      </c>
      <c r="BC3470">
        <v>1200</v>
      </c>
      <c r="BD3470">
        <v>1</v>
      </c>
      <c r="BE3470" t="str">
        <f t="shared" si="164"/>
        <v xml:space="preserve">N215T   </v>
      </c>
      <c r="BF3470">
        <v>1</v>
      </c>
      <c r="BH3470">
        <v>0</v>
      </c>
      <c r="BI3470">
        <v>0</v>
      </c>
      <c r="BJ3470">
        <v>0</v>
      </c>
      <c r="BK3470">
        <v>2450</v>
      </c>
      <c r="BL3470">
        <v>350</v>
      </c>
      <c r="BM3470" t="s">
        <v>119</v>
      </c>
      <c r="BN3470">
        <v>1</v>
      </c>
      <c r="BO3470">
        <v>1</v>
      </c>
      <c r="BP3470">
        <v>1</v>
      </c>
      <c r="BQ3470">
        <v>0</v>
      </c>
      <c r="BT3470">
        <v>0</v>
      </c>
      <c r="BU3470">
        <v>0</v>
      </c>
      <c r="BV3470">
        <v>0</v>
      </c>
      <c r="CC3470" t="str">
        <f>"19:32:46.875"</f>
        <v>19:32:46.875</v>
      </c>
      <c r="CD3470" t="str">
        <f>"875479101"</f>
        <v>875479101</v>
      </c>
      <c r="CQ3470">
        <v>0</v>
      </c>
      <c r="CR3470">
        <v>2</v>
      </c>
      <c r="CS3470">
        <v>0</v>
      </c>
      <c r="CT3470">
        <v>2</v>
      </c>
      <c r="CU3470">
        <v>0</v>
      </c>
      <c r="CV3470">
        <v>5</v>
      </c>
      <c r="CW3470" t="s">
        <v>120</v>
      </c>
      <c r="CX3470">
        <v>257</v>
      </c>
      <c r="CY3470">
        <v>0</v>
      </c>
      <c r="CZ3470" t="s">
        <v>615</v>
      </c>
      <c r="DA3470" t="s">
        <v>616</v>
      </c>
      <c r="DD3470">
        <v>16441204</v>
      </c>
      <c r="DE3470" t="s">
        <v>123</v>
      </c>
    </row>
    <row r="3471" spans="1:109" x14ac:dyDescent="0.3">
      <c r="A3471" t="str">
        <f>"19:32:47.953"</f>
        <v>19:32:47.953</v>
      </c>
      <c r="B3471" t="s">
        <v>110</v>
      </c>
      <c r="C3471" t="str">
        <f t="shared" si="162"/>
        <v>ffdfd3c0</v>
      </c>
      <c r="D3471" t="s">
        <v>111</v>
      </c>
      <c r="E3471">
        <v>18</v>
      </c>
      <c r="F3471">
        <v>1018</v>
      </c>
      <c r="G3471" t="s">
        <v>112</v>
      </c>
      <c r="J3471" t="s">
        <v>113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R3471" t="s">
        <v>114</v>
      </c>
      <c r="S3471" t="str">
        <f>"19:32:47.711"</f>
        <v>19:32:47.711</v>
      </c>
      <c r="T3471" t="str">
        <f>"19:32:47.414"</f>
        <v>19:32:47.414</v>
      </c>
      <c r="U3471" t="str">
        <f t="shared" si="163"/>
        <v>a1cdbe</v>
      </c>
      <c r="V3471">
        <v>0</v>
      </c>
      <c r="W3471">
        <v>0</v>
      </c>
      <c r="X3471">
        <v>2</v>
      </c>
      <c r="Y3471">
        <v>0</v>
      </c>
      <c r="Z3471">
        <v>0</v>
      </c>
      <c r="AB3471">
        <v>0</v>
      </c>
      <c r="AC3471">
        <v>9</v>
      </c>
      <c r="AD3471">
        <v>3</v>
      </c>
      <c r="AE3471">
        <v>0</v>
      </c>
      <c r="AF3471">
        <v>9</v>
      </c>
      <c r="AG3471" t="s">
        <v>158</v>
      </c>
      <c r="AH3471">
        <v>0</v>
      </c>
      <c r="AI3471">
        <v>3</v>
      </c>
      <c r="AJ3471">
        <v>1</v>
      </c>
      <c r="AK3471">
        <v>0</v>
      </c>
      <c r="AL3471" t="s">
        <v>6531</v>
      </c>
      <c r="AM3471">
        <v>47.014660999999997</v>
      </c>
      <c r="AN3471" t="s">
        <v>6532</v>
      </c>
      <c r="AO3471">
        <v>-123.76969800000001</v>
      </c>
      <c r="AP3471">
        <v>100</v>
      </c>
      <c r="AQ3471">
        <v>2100</v>
      </c>
      <c r="AR3471" t="s">
        <v>118</v>
      </c>
      <c r="AS3471">
        <v>-77</v>
      </c>
      <c r="AT3471">
        <v>14</v>
      </c>
      <c r="AU3471">
        <v>0</v>
      </c>
      <c r="BC3471">
        <v>1200</v>
      </c>
      <c r="BD3471">
        <v>1</v>
      </c>
      <c r="BE3471" t="str">
        <f t="shared" si="164"/>
        <v xml:space="preserve">N215T   </v>
      </c>
      <c r="BF3471">
        <v>1</v>
      </c>
      <c r="BH3471">
        <v>0</v>
      </c>
      <c r="BI3471">
        <v>0</v>
      </c>
      <c r="BJ3471">
        <v>0</v>
      </c>
      <c r="BK3471">
        <v>2450</v>
      </c>
      <c r="BL3471">
        <v>350</v>
      </c>
      <c r="BM3471" t="s">
        <v>119</v>
      </c>
      <c r="BN3471">
        <v>1</v>
      </c>
      <c r="BO3471">
        <v>1</v>
      </c>
      <c r="BP3471">
        <v>1</v>
      </c>
      <c r="BQ3471">
        <v>0</v>
      </c>
      <c r="BT3471">
        <v>0</v>
      </c>
      <c r="BU3471">
        <v>0</v>
      </c>
      <c r="BV3471">
        <v>0</v>
      </c>
      <c r="CC3471" t="str">
        <f>"19:32:47.719"</f>
        <v>19:32:47.719</v>
      </c>
      <c r="CD3471" t="str">
        <f>"715396341"</f>
        <v>715396341</v>
      </c>
      <c r="CQ3471">
        <v>0</v>
      </c>
      <c r="CR3471">
        <v>2</v>
      </c>
      <c r="CS3471">
        <v>0</v>
      </c>
      <c r="CT3471">
        <v>2</v>
      </c>
      <c r="CU3471">
        <v>0</v>
      </c>
      <c r="CV3471">
        <v>6</v>
      </c>
      <c r="CW3471" t="s">
        <v>120</v>
      </c>
      <c r="CX3471">
        <v>257</v>
      </c>
      <c r="CY3471">
        <v>0</v>
      </c>
      <c r="CZ3471" t="s">
        <v>615</v>
      </c>
      <c r="DA3471" t="s">
        <v>616</v>
      </c>
      <c r="DD3471">
        <v>16441566</v>
      </c>
      <c r="DE3471" t="s">
        <v>123</v>
      </c>
    </row>
    <row r="3472" spans="1:109" x14ac:dyDescent="0.3">
      <c r="A3472" t="str">
        <f>"19:32:48.859"</f>
        <v>19:32:48.859</v>
      </c>
      <c r="B3472" t="s">
        <v>110</v>
      </c>
      <c r="C3472" t="str">
        <f t="shared" si="162"/>
        <v>ffdfd3c0</v>
      </c>
      <c r="D3472" t="s">
        <v>111</v>
      </c>
      <c r="E3472">
        <v>18</v>
      </c>
      <c r="F3472">
        <v>1018</v>
      </c>
      <c r="G3472" t="s">
        <v>112</v>
      </c>
      <c r="J3472" t="s">
        <v>113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R3472" t="s">
        <v>114</v>
      </c>
      <c r="S3472" t="str">
        <f>"19:32:48.641"</f>
        <v>19:32:48.641</v>
      </c>
      <c r="T3472" t="str">
        <f>"19:32:48.344"</f>
        <v>19:32:48.344</v>
      </c>
      <c r="U3472" t="str">
        <f t="shared" si="163"/>
        <v>a1cdbe</v>
      </c>
      <c r="V3472">
        <v>0</v>
      </c>
      <c r="W3472">
        <v>0</v>
      </c>
      <c r="X3472">
        <v>2</v>
      </c>
      <c r="Y3472">
        <v>0</v>
      </c>
      <c r="Z3472">
        <v>0</v>
      </c>
      <c r="AB3472">
        <v>0</v>
      </c>
      <c r="AC3472">
        <v>9</v>
      </c>
      <c r="AD3472">
        <v>3</v>
      </c>
      <c r="AE3472">
        <v>0</v>
      </c>
      <c r="AF3472">
        <v>9</v>
      </c>
      <c r="AG3472" t="s">
        <v>158</v>
      </c>
      <c r="AH3472">
        <v>0</v>
      </c>
      <c r="AI3472">
        <v>3</v>
      </c>
      <c r="AJ3472">
        <v>1</v>
      </c>
      <c r="AK3472">
        <v>0</v>
      </c>
      <c r="AL3472" t="s">
        <v>6533</v>
      </c>
      <c r="AM3472">
        <v>47.014724999999999</v>
      </c>
      <c r="AN3472" t="s">
        <v>6534</v>
      </c>
      <c r="AO3472">
        <v>-123.770213</v>
      </c>
      <c r="AP3472">
        <v>100</v>
      </c>
      <c r="AQ3472">
        <v>2100</v>
      </c>
      <c r="AR3472" t="s">
        <v>118</v>
      </c>
      <c r="AS3472">
        <v>-77</v>
      </c>
      <c r="AT3472">
        <v>14</v>
      </c>
      <c r="AU3472">
        <v>0</v>
      </c>
      <c r="BC3472">
        <v>1200</v>
      </c>
      <c r="BD3472">
        <v>1</v>
      </c>
      <c r="BE3472" t="str">
        <f t="shared" si="164"/>
        <v xml:space="preserve">N215T   </v>
      </c>
      <c r="BF3472">
        <v>1</v>
      </c>
      <c r="BH3472">
        <v>0</v>
      </c>
      <c r="BI3472">
        <v>0</v>
      </c>
      <c r="BJ3472">
        <v>0</v>
      </c>
      <c r="BK3472">
        <v>2450</v>
      </c>
      <c r="BL3472">
        <v>350</v>
      </c>
      <c r="BM3472" t="s">
        <v>119</v>
      </c>
      <c r="BN3472">
        <v>1</v>
      </c>
      <c r="BO3472">
        <v>1</v>
      </c>
      <c r="BP3472">
        <v>1</v>
      </c>
      <c r="BQ3472">
        <v>0</v>
      </c>
      <c r="BT3472">
        <v>0</v>
      </c>
      <c r="BU3472">
        <v>0</v>
      </c>
      <c r="BV3472">
        <v>0</v>
      </c>
      <c r="CC3472" t="str">
        <f>"19:32:48.648"</f>
        <v>19:32:48.648</v>
      </c>
      <c r="CD3472" t="str">
        <f>"645304709"</f>
        <v>645304709</v>
      </c>
      <c r="CQ3472">
        <v>0</v>
      </c>
      <c r="CR3472">
        <v>2</v>
      </c>
      <c r="CS3472">
        <v>0</v>
      </c>
      <c r="CT3472">
        <v>2</v>
      </c>
      <c r="CU3472">
        <v>0</v>
      </c>
      <c r="CV3472">
        <v>5</v>
      </c>
      <c r="CW3472" t="s">
        <v>120</v>
      </c>
      <c r="CX3472">
        <v>257</v>
      </c>
      <c r="CY3472">
        <v>0</v>
      </c>
      <c r="CZ3472" t="s">
        <v>615</v>
      </c>
      <c r="DA3472" t="s">
        <v>616</v>
      </c>
      <c r="DD3472">
        <v>16441966</v>
      </c>
      <c r="DE3472" t="s">
        <v>123</v>
      </c>
    </row>
    <row r="3473" spans="1:109" x14ac:dyDescent="0.3">
      <c r="A3473" t="str">
        <f>"19:32:49.859"</f>
        <v>19:32:49.859</v>
      </c>
      <c r="B3473" t="s">
        <v>110</v>
      </c>
      <c r="C3473" t="str">
        <f t="shared" si="162"/>
        <v>ffdfd3c0</v>
      </c>
      <c r="D3473" t="s">
        <v>111</v>
      </c>
      <c r="E3473">
        <v>18</v>
      </c>
      <c r="F3473">
        <v>1018</v>
      </c>
      <c r="G3473" t="s">
        <v>112</v>
      </c>
      <c r="J3473" t="s">
        <v>113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R3473" t="s">
        <v>114</v>
      </c>
      <c r="S3473" t="str">
        <f>"19:32:49.617"</f>
        <v>19:32:49.617</v>
      </c>
      <c r="T3473" t="str">
        <f>"19:32:49.414"</f>
        <v>19:32:49.414</v>
      </c>
      <c r="U3473" t="str">
        <f t="shared" si="163"/>
        <v>a1cdbe</v>
      </c>
      <c r="V3473">
        <v>0</v>
      </c>
      <c r="W3473">
        <v>0</v>
      </c>
      <c r="X3473">
        <v>2</v>
      </c>
      <c r="Y3473">
        <v>0</v>
      </c>
      <c r="Z3473">
        <v>0</v>
      </c>
      <c r="AB3473">
        <v>0</v>
      </c>
      <c r="AC3473">
        <v>9</v>
      </c>
      <c r="AD3473">
        <v>3</v>
      </c>
      <c r="AE3473">
        <v>0</v>
      </c>
      <c r="AF3473">
        <v>9</v>
      </c>
      <c r="AG3473" t="s">
        <v>158</v>
      </c>
      <c r="AH3473">
        <v>0</v>
      </c>
      <c r="AI3473">
        <v>3</v>
      </c>
      <c r="AJ3473">
        <v>1</v>
      </c>
      <c r="AK3473">
        <v>0</v>
      </c>
      <c r="AL3473" t="s">
        <v>6535</v>
      </c>
      <c r="AM3473">
        <v>47.014811000000002</v>
      </c>
      <c r="AN3473" t="s">
        <v>6536</v>
      </c>
      <c r="AO3473">
        <v>-123.77072800000001</v>
      </c>
      <c r="AP3473">
        <v>100</v>
      </c>
      <c r="AQ3473">
        <v>2100</v>
      </c>
      <c r="AR3473" t="s">
        <v>118</v>
      </c>
      <c r="AS3473">
        <v>-77</v>
      </c>
      <c r="AT3473">
        <v>14</v>
      </c>
      <c r="AU3473">
        <v>0</v>
      </c>
      <c r="BC3473">
        <v>1200</v>
      </c>
      <c r="BD3473">
        <v>1</v>
      </c>
      <c r="BE3473" t="str">
        <f t="shared" si="164"/>
        <v xml:space="preserve">N215T   </v>
      </c>
      <c r="BF3473">
        <v>1</v>
      </c>
      <c r="BH3473">
        <v>0</v>
      </c>
      <c r="BI3473">
        <v>0</v>
      </c>
      <c r="BJ3473">
        <v>0</v>
      </c>
      <c r="BK3473">
        <v>2450</v>
      </c>
      <c r="BL3473">
        <v>350</v>
      </c>
      <c r="BM3473" t="s">
        <v>119</v>
      </c>
      <c r="BN3473">
        <v>1</v>
      </c>
      <c r="BO3473">
        <v>1</v>
      </c>
      <c r="BP3473">
        <v>1</v>
      </c>
      <c r="BQ3473">
        <v>0</v>
      </c>
      <c r="BT3473">
        <v>0</v>
      </c>
      <c r="BU3473">
        <v>0</v>
      </c>
      <c r="BV3473">
        <v>0</v>
      </c>
      <c r="CC3473" t="str">
        <f>"19:32:49.617"</f>
        <v>19:32:49.617</v>
      </c>
      <c r="CD3473" t="str">
        <f>"620208652"</f>
        <v>620208652</v>
      </c>
      <c r="CQ3473">
        <v>0</v>
      </c>
      <c r="CR3473">
        <v>2</v>
      </c>
      <c r="CS3473">
        <v>0</v>
      </c>
      <c r="CT3473">
        <v>2</v>
      </c>
      <c r="CU3473">
        <v>0</v>
      </c>
      <c r="CV3473">
        <v>5</v>
      </c>
      <c r="CW3473" t="s">
        <v>120</v>
      </c>
      <c r="CX3473">
        <v>257</v>
      </c>
      <c r="CY3473">
        <v>0</v>
      </c>
      <c r="CZ3473" t="s">
        <v>615</v>
      </c>
      <c r="DA3473" t="s">
        <v>616</v>
      </c>
      <c r="DD3473">
        <v>16442365</v>
      </c>
      <c r="DE3473" t="s">
        <v>123</v>
      </c>
    </row>
    <row r="3474" spans="1:109" x14ac:dyDescent="0.3">
      <c r="A3474" t="str">
        <f>"19:32:50.969"</f>
        <v>19:32:50.969</v>
      </c>
      <c r="B3474" t="s">
        <v>110</v>
      </c>
      <c r="C3474" t="str">
        <f t="shared" si="162"/>
        <v>ffdfd3c0</v>
      </c>
      <c r="D3474" t="s">
        <v>111</v>
      </c>
      <c r="E3474">
        <v>18</v>
      </c>
      <c r="F3474">
        <v>1018</v>
      </c>
      <c r="G3474" t="s">
        <v>112</v>
      </c>
      <c r="J3474" t="s">
        <v>113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R3474" t="s">
        <v>114</v>
      </c>
      <c r="S3474" t="str">
        <f>"19:32:50.695"</f>
        <v>19:32:50.695</v>
      </c>
      <c r="T3474" t="str">
        <f>"19:32:50.297"</f>
        <v>19:32:50.297</v>
      </c>
      <c r="U3474" t="str">
        <f t="shared" si="163"/>
        <v>a1cdbe</v>
      </c>
      <c r="V3474">
        <v>0</v>
      </c>
      <c r="W3474">
        <v>0</v>
      </c>
      <c r="X3474">
        <v>2</v>
      </c>
      <c r="Y3474">
        <v>0</v>
      </c>
      <c r="Z3474">
        <v>0</v>
      </c>
      <c r="AB3474">
        <v>0</v>
      </c>
      <c r="AC3474">
        <v>9</v>
      </c>
      <c r="AD3474">
        <v>3</v>
      </c>
      <c r="AE3474">
        <v>0</v>
      </c>
      <c r="AF3474">
        <v>9</v>
      </c>
      <c r="AG3474" t="s">
        <v>158</v>
      </c>
      <c r="AH3474">
        <v>0</v>
      </c>
      <c r="AI3474">
        <v>3</v>
      </c>
      <c r="AJ3474">
        <v>1</v>
      </c>
      <c r="AK3474">
        <v>0</v>
      </c>
      <c r="AL3474" t="s">
        <v>6537</v>
      </c>
      <c r="AM3474">
        <v>47.014875000000004</v>
      </c>
      <c r="AN3474" t="s">
        <v>6538</v>
      </c>
      <c r="AO3474">
        <v>-123.771265</v>
      </c>
      <c r="AP3474">
        <v>100</v>
      </c>
      <c r="AQ3474">
        <v>2100</v>
      </c>
      <c r="AR3474" t="s">
        <v>118</v>
      </c>
      <c r="AS3474">
        <v>-77</v>
      </c>
      <c r="AT3474">
        <v>15</v>
      </c>
      <c r="AU3474">
        <v>0</v>
      </c>
      <c r="BC3474">
        <v>1200</v>
      </c>
      <c r="BD3474">
        <v>1</v>
      </c>
      <c r="BE3474" t="str">
        <f t="shared" si="164"/>
        <v xml:space="preserve">N215T   </v>
      </c>
      <c r="BF3474">
        <v>1</v>
      </c>
      <c r="BH3474">
        <v>0</v>
      </c>
      <c r="BI3474">
        <v>0</v>
      </c>
      <c r="BJ3474">
        <v>0</v>
      </c>
      <c r="BK3474">
        <v>2450</v>
      </c>
      <c r="BL3474">
        <v>350</v>
      </c>
      <c r="BM3474" t="s">
        <v>119</v>
      </c>
      <c r="BN3474">
        <v>1</v>
      </c>
      <c r="BO3474">
        <v>1</v>
      </c>
      <c r="BP3474">
        <v>1</v>
      </c>
      <c r="BQ3474">
        <v>0</v>
      </c>
      <c r="BT3474">
        <v>0</v>
      </c>
      <c r="BU3474">
        <v>0</v>
      </c>
      <c r="BV3474">
        <v>0</v>
      </c>
      <c r="CC3474" t="str">
        <f>"19:32:50.703"</f>
        <v>19:32:50.703</v>
      </c>
      <c r="CD3474" t="str">
        <f>"700102248"</f>
        <v>700102248</v>
      </c>
      <c r="CQ3474">
        <v>0</v>
      </c>
      <c r="CR3474">
        <v>2</v>
      </c>
      <c r="CS3474">
        <v>0</v>
      </c>
      <c r="CT3474">
        <v>2</v>
      </c>
      <c r="CU3474">
        <v>0</v>
      </c>
      <c r="CV3474">
        <v>5</v>
      </c>
      <c r="CW3474" t="s">
        <v>120</v>
      </c>
      <c r="CX3474">
        <v>257</v>
      </c>
      <c r="CY3474">
        <v>0</v>
      </c>
      <c r="CZ3474" t="s">
        <v>615</v>
      </c>
      <c r="DA3474" t="s">
        <v>616</v>
      </c>
      <c r="DD3474">
        <v>16442833</v>
      </c>
      <c r="DE3474" t="s">
        <v>123</v>
      </c>
    </row>
    <row r="3475" spans="1:109" x14ac:dyDescent="0.3">
      <c r="A3475" t="str">
        <f>"19:32:52.023"</f>
        <v>19:32:52.023</v>
      </c>
      <c r="B3475" t="s">
        <v>110</v>
      </c>
      <c r="C3475" t="str">
        <f t="shared" si="162"/>
        <v>ffdfd3c0</v>
      </c>
      <c r="D3475" t="s">
        <v>111</v>
      </c>
      <c r="E3475">
        <v>18</v>
      </c>
      <c r="F3475">
        <v>1018</v>
      </c>
      <c r="G3475" t="s">
        <v>112</v>
      </c>
      <c r="J3475" t="s">
        <v>113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R3475" t="s">
        <v>114</v>
      </c>
      <c r="S3475" t="str">
        <f>"19:32:51.742"</f>
        <v>19:32:51.742</v>
      </c>
      <c r="T3475" t="str">
        <f>"19:32:51.344"</f>
        <v>19:32:51.344</v>
      </c>
      <c r="U3475" t="str">
        <f t="shared" si="163"/>
        <v>a1cdbe</v>
      </c>
      <c r="V3475">
        <v>0</v>
      </c>
      <c r="W3475">
        <v>0</v>
      </c>
      <c r="X3475">
        <v>2</v>
      </c>
      <c r="Y3475">
        <v>0</v>
      </c>
      <c r="Z3475">
        <v>0</v>
      </c>
      <c r="AB3475">
        <v>0</v>
      </c>
      <c r="AC3475">
        <v>9</v>
      </c>
      <c r="AD3475">
        <v>3</v>
      </c>
      <c r="AE3475">
        <v>0</v>
      </c>
      <c r="AF3475">
        <v>9</v>
      </c>
      <c r="AG3475" t="s">
        <v>158</v>
      </c>
      <c r="AH3475">
        <v>0</v>
      </c>
      <c r="AI3475">
        <v>3</v>
      </c>
      <c r="AJ3475">
        <v>1</v>
      </c>
      <c r="AK3475">
        <v>0</v>
      </c>
      <c r="AL3475" t="s">
        <v>6539</v>
      </c>
      <c r="AM3475">
        <v>47.014940000000003</v>
      </c>
      <c r="AN3475" t="s">
        <v>6540</v>
      </c>
      <c r="AO3475">
        <v>-123.771844</v>
      </c>
      <c r="AP3475">
        <v>100</v>
      </c>
      <c r="AQ3475">
        <v>2100</v>
      </c>
      <c r="AR3475" t="s">
        <v>118</v>
      </c>
      <c r="AS3475">
        <v>-77</v>
      </c>
      <c r="AT3475">
        <v>15</v>
      </c>
      <c r="AU3475">
        <v>64</v>
      </c>
      <c r="BC3475">
        <v>1200</v>
      </c>
      <c r="BD3475">
        <v>1</v>
      </c>
      <c r="BE3475" t="str">
        <f t="shared" si="164"/>
        <v xml:space="preserve">N215T   </v>
      </c>
      <c r="BF3475">
        <v>1</v>
      </c>
      <c r="BH3475">
        <v>0</v>
      </c>
      <c r="BI3475">
        <v>0</v>
      </c>
      <c r="BJ3475">
        <v>0</v>
      </c>
      <c r="BK3475">
        <v>2450</v>
      </c>
      <c r="BL3475">
        <v>350</v>
      </c>
      <c r="BM3475" t="s">
        <v>119</v>
      </c>
      <c r="BN3475">
        <v>1</v>
      </c>
      <c r="BO3475">
        <v>1</v>
      </c>
      <c r="BP3475">
        <v>1</v>
      </c>
      <c r="BQ3475">
        <v>0</v>
      </c>
      <c r="BT3475">
        <v>0</v>
      </c>
      <c r="BU3475">
        <v>0</v>
      </c>
      <c r="BV3475">
        <v>0</v>
      </c>
      <c r="CC3475" t="str">
        <f>"19:32:51.750"</f>
        <v>19:32:51.750</v>
      </c>
      <c r="CD3475" t="str">
        <f>"749998772"</f>
        <v>749998772</v>
      </c>
      <c r="CQ3475">
        <v>0</v>
      </c>
      <c r="CR3475">
        <v>2</v>
      </c>
      <c r="CS3475">
        <v>0</v>
      </c>
      <c r="CT3475">
        <v>2</v>
      </c>
      <c r="CU3475">
        <v>0</v>
      </c>
      <c r="CV3475">
        <v>4</v>
      </c>
      <c r="CW3475" t="s">
        <v>120</v>
      </c>
      <c r="CX3475">
        <v>257</v>
      </c>
      <c r="CY3475">
        <v>0</v>
      </c>
      <c r="CZ3475" t="s">
        <v>615</v>
      </c>
      <c r="DA3475" t="s">
        <v>616</v>
      </c>
      <c r="DD3475">
        <v>16443306</v>
      </c>
      <c r="DE3475" t="s">
        <v>123</v>
      </c>
    </row>
    <row r="3476" spans="1:109" x14ac:dyDescent="0.3">
      <c r="A3476" t="str">
        <f>"19:32:53.031"</f>
        <v>19:32:53.031</v>
      </c>
      <c r="B3476" t="s">
        <v>110</v>
      </c>
      <c r="C3476" t="str">
        <f t="shared" si="162"/>
        <v>ffdfd3c0</v>
      </c>
      <c r="D3476" t="s">
        <v>111</v>
      </c>
      <c r="E3476">
        <v>18</v>
      </c>
      <c r="F3476">
        <v>1018</v>
      </c>
      <c r="G3476" t="s">
        <v>112</v>
      </c>
      <c r="J3476" t="s">
        <v>113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R3476" t="s">
        <v>114</v>
      </c>
      <c r="S3476" t="str">
        <f>"19:32:52.766"</f>
        <v>19:32:52.766</v>
      </c>
      <c r="T3476" t="str">
        <f>"19:32:52.266"</f>
        <v>19:32:52.266</v>
      </c>
      <c r="U3476" t="str">
        <f t="shared" si="163"/>
        <v>a1cdbe</v>
      </c>
      <c r="V3476">
        <v>0</v>
      </c>
      <c r="W3476">
        <v>0</v>
      </c>
      <c r="X3476">
        <v>2</v>
      </c>
      <c r="Y3476">
        <v>0</v>
      </c>
      <c r="Z3476">
        <v>0</v>
      </c>
      <c r="AB3476">
        <v>0</v>
      </c>
      <c r="AC3476">
        <v>9</v>
      </c>
      <c r="AD3476">
        <v>3</v>
      </c>
      <c r="AE3476">
        <v>0</v>
      </c>
      <c r="AF3476">
        <v>9</v>
      </c>
      <c r="AG3476" t="s">
        <v>158</v>
      </c>
      <c r="AH3476">
        <v>0</v>
      </c>
      <c r="AI3476">
        <v>3</v>
      </c>
      <c r="AJ3476">
        <v>1</v>
      </c>
      <c r="AK3476">
        <v>0</v>
      </c>
      <c r="AL3476" t="s">
        <v>6541</v>
      </c>
      <c r="AM3476">
        <v>47.014983000000001</v>
      </c>
      <c r="AN3476" t="s">
        <v>6542</v>
      </c>
      <c r="AO3476">
        <v>-123.772316</v>
      </c>
      <c r="AP3476">
        <v>100</v>
      </c>
      <c r="AQ3476">
        <v>2100</v>
      </c>
      <c r="AR3476" t="s">
        <v>118</v>
      </c>
      <c r="AS3476">
        <v>-76</v>
      </c>
      <c r="AT3476">
        <v>15</v>
      </c>
      <c r="AU3476">
        <v>128</v>
      </c>
      <c r="BC3476">
        <v>1200</v>
      </c>
      <c r="BD3476">
        <v>1</v>
      </c>
      <c r="BE3476" t="str">
        <f t="shared" si="164"/>
        <v xml:space="preserve">N215T   </v>
      </c>
      <c r="BF3476">
        <v>1</v>
      </c>
      <c r="BH3476">
        <v>0</v>
      </c>
      <c r="BI3476">
        <v>0</v>
      </c>
      <c r="BJ3476">
        <v>0</v>
      </c>
      <c r="BK3476">
        <v>2450</v>
      </c>
      <c r="BL3476">
        <v>350</v>
      </c>
      <c r="BM3476" t="s">
        <v>119</v>
      </c>
      <c r="BN3476">
        <v>1</v>
      </c>
      <c r="BO3476">
        <v>1</v>
      </c>
      <c r="BP3476">
        <v>1</v>
      </c>
      <c r="BQ3476">
        <v>0</v>
      </c>
      <c r="BT3476">
        <v>0</v>
      </c>
      <c r="BU3476">
        <v>0</v>
      </c>
      <c r="BV3476">
        <v>0</v>
      </c>
      <c r="CC3476" t="str">
        <f>"19:32:52.773"</f>
        <v>19:32:52.773</v>
      </c>
      <c r="CD3476" t="str">
        <f>"769898290"</f>
        <v>769898290</v>
      </c>
      <c r="CQ3476">
        <v>0</v>
      </c>
      <c r="CR3476">
        <v>2</v>
      </c>
      <c r="CS3476">
        <v>0</v>
      </c>
      <c r="CT3476">
        <v>2</v>
      </c>
      <c r="CU3476">
        <v>0</v>
      </c>
      <c r="CV3476">
        <v>5</v>
      </c>
      <c r="CW3476" t="s">
        <v>120</v>
      </c>
      <c r="CX3476">
        <v>257</v>
      </c>
      <c r="CY3476">
        <v>0</v>
      </c>
      <c r="CZ3476" t="s">
        <v>615</v>
      </c>
      <c r="DA3476" t="s">
        <v>616</v>
      </c>
      <c r="DD3476">
        <v>16443726</v>
      </c>
      <c r="DE3476" t="s">
        <v>123</v>
      </c>
    </row>
    <row r="3477" spans="1:109" x14ac:dyDescent="0.3">
      <c r="A3477" t="str">
        <f>"19:32:54.039"</f>
        <v>19:32:54.039</v>
      </c>
      <c r="B3477" t="s">
        <v>110</v>
      </c>
      <c r="C3477" t="str">
        <f t="shared" si="162"/>
        <v>ffdfd3c0</v>
      </c>
      <c r="D3477" t="s">
        <v>111</v>
      </c>
      <c r="E3477">
        <v>18</v>
      </c>
      <c r="F3477">
        <v>1018</v>
      </c>
      <c r="G3477" t="s">
        <v>112</v>
      </c>
      <c r="J3477" t="s">
        <v>113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R3477" t="s">
        <v>114</v>
      </c>
      <c r="S3477" t="str">
        <f>"19:32:53.805"</f>
        <v>19:32:53.805</v>
      </c>
      <c r="T3477" t="str">
        <f>"19:32:53.406"</f>
        <v>19:32:53.406</v>
      </c>
      <c r="U3477" t="str">
        <f t="shared" si="163"/>
        <v>a1cdbe</v>
      </c>
      <c r="V3477">
        <v>0</v>
      </c>
      <c r="W3477">
        <v>0</v>
      </c>
      <c r="X3477">
        <v>2</v>
      </c>
      <c r="Y3477">
        <v>0</v>
      </c>
      <c r="Z3477">
        <v>0</v>
      </c>
      <c r="AB3477">
        <v>0</v>
      </c>
      <c r="AC3477">
        <v>9</v>
      </c>
      <c r="AD3477">
        <v>3</v>
      </c>
      <c r="AE3477">
        <v>0</v>
      </c>
      <c r="AF3477">
        <v>9</v>
      </c>
      <c r="AG3477" t="s">
        <v>158</v>
      </c>
      <c r="AH3477">
        <v>0</v>
      </c>
      <c r="AI3477">
        <v>3</v>
      </c>
      <c r="AJ3477">
        <v>1</v>
      </c>
      <c r="AK3477">
        <v>0</v>
      </c>
      <c r="AL3477" t="s">
        <v>6543</v>
      </c>
      <c r="AM3477">
        <v>47.015068999999997</v>
      </c>
      <c r="AN3477" t="s">
        <v>6544</v>
      </c>
      <c r="AO3477">
        <v>-123.77281000000001</v>
      </c>
      <c r="AP3477">
        <v>100</v>
      </c>
      <c r="AQ3477">
        <v>2100</v>
      </c>
      <c r="AR3477" t="s">
        <v>118</v>
      </c>
      <c r="AS3477">
        <v>-76</v>
      </c>
      <c r="AT3477">
        <v>16</v>
      </c>
      <c r="AU3477">
        <v>128</v>
      </c>
      <c r="BC3477">
        <v>1200</v>
      </c>
      <c r="BD3477">
        <v>1</v>
      </c>
      <c r="BE3477" t="str">
        <f t="shared" si="164"/>
        <v xml:space="preserve">N215T   </v>
      </c>
      <c r="BF3477">
        <v>1</v>
      </c>
      <c r="BH3477">
        <v>0</v>
      </c>
      <c r="BI3477">
        <v>0</v>
      </c>
      <c r="BJ3477">
        <v>0</v>
      </c>
      <c r="BK3477">
        <v>2450</v>
      </c>
      <c r="BL3477">
        <v>350</v>
      </c>
      <c r="BM3477" t="s">
        <v>119</v>
      </c>
      <c r="BN3477">
        <v>1</v>
      </c>
      <c r="BO3477">
        <v>1</v>
      </c>
      <c r="BP3477">
        <v>1</v>
      </c>
      <c r="BQ3477">
        <v>0</v>
      </c>
      <c r="BT3477">
        <v>0</v>
      </c>
      <c r="BU3477">
        <v>0</v>
      </c>
      <c r="BV3477">
        <v>0</v>
      </c>
      <c r="CC3477" t="str">
        <f>"19:32:53.805"</f>
        <v>19:32:53.805</v>
      </c>
      <c r="CD3477" t="str">
        <f>"804796321"</f>
        <v>804796321</v>
      </c>
      <c r="CQ3477">
        <v>0</v>
      </c>
      <c r="CR3477">
        <v>2</v>
      </c>
      <c r="CS3477">
        <v>0</v>
      </c>
      <c r="CT3477">
        <v>2</v>
      </c>
      <c r="CU3477">
        <v>0</v>
      </c>
      <c r="CV3477">
        <v>4</v>
      </c>
      <c r="CW3477" t="s">
        <v>120</v>
      </c>
      <c r="CX3477">
        <v>257</v>
      </c>
      <c r="CY3477">
        <v>0</v>
      </c>
      <c r="CZ3477" t="s">
        <v>615</v>
      </c>
      <c r="DA3477" t="s">
        <v>616</v>
      </c>
      <c r="DD3477">
        <v>16444148</v>
      </c>
      <c r="DE3477" t="s">
        <v>123</v>
      </c>
    </row>
    <row r="3478" spans="1:109" x14ac:dyDescent="0.3">
      <c r="A3478" t="str">
        <f>"19:32:54.938"</f>
        <v>19:32:54.938</v>
      </c>
      <c r="B3478" t="s">
        <v>110</v>
      </c>
      <c r="C3478" t="str">
        <f t="shared" si="162"/>
        <v>ffdfd3c0</v>
      </c>
      <c r="D3478" t="s">
        <v>111</v>
      </c>
      <c r="E3478">
        <v>18</v>
      </c>
      <c r="F3478">
        <v>1018</v>
      </c>
      <c r="G3478" t="s">
        <v>112</v>
      </c>
      <c r="J3478" t="s">
        <v>113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R3478" t="s">
        <v>114</v>
      </c>
      <c r="S3478" t="str">
        <f>"19:32:54.672"</f>
        <v>19:32:54.672</v>
      </c>
      <c r="T3478" t="str">
        <f>"19:32:54.570"</f>
        <v>19:32:54.570</v>
      </c>
      <c r="U3478" t="str">
        <f t="shared" si="163"/>
        <v>a1cdbe</v>
      </c>
      <c r="V3478">
        <v>0</v>
      </c>
      <c r="W3478">
        <v>0</v>
      </c>
      <c r="X3478">
        <v>2</v>
      </c>
      <c r="Y3478">
        <v>0</v>
      </c>
      <c r="Z3478">
        <v>0</v>
      </c>
      <c r="AB3478">
        <v>0</v>
      </c>
      <c r="AC3478">
        <v>9</v>
      </c>
      <c r="AD3478">
        <v>3</v>
      </c>
      <c r="AE3478">
        <v>0</v>
      </c>
      <c r="AF3478">
        <v>9</v>
      </c>
      <c r="AG3478" t="s">
        <v>158</v>
      </c>
      <c r="AH3478">
        <v>0</v>
      </c>
      <c r="AI3478">
        <v>3</v>
      </c>
      <c r="AJ3478">
        <v>1</v>
      </c>
      <c r="AK3478">
        <v>0</v>
      </c>
      <c r="AL3478" t="s">
        <v>6545</v>
      </c>
      <c r="AM3478">
        <v>47.015154000000003</v>
      </c>
      <c r="AN3478" t="s">
        <v>6546</v>
      </c>
      <c r="AO3478">
        <v>-123.773303</v>
      </c>
      <c r="AP3478">
        <v>100</v>
      </c>
      <c r="AQ3478">
        <v>2100</v>
      </c>
      <c r="AR3478" t="s">
        <v>118</v>
      </c>
      <c r="AS3478">
        <v>-76</v>
      </c>
      <c r="AT3478">
        <v>16</v>
      </c>
      <c r="AU3478">
        <v>128</v>
      </c>
      <c r="BC3478">
        <v>1200</v>
      </c>
      <c r="BD3478">
        <v>1</v>
      </c>
      <c r="BE3478" t="str">
        <f t="shared" si="164"/>
        <v xml:space="preserve">N215T   </v>
      </c>
      <c r="BF3478">
        <v>1</v>
      </c>
      <c r="BH3478">
        <v>0</v>
      </c>
      <c r="BI3478">
        <v>0</v>
      </c>
      <c r="BJ3478">
        <v>0</v>
      </c>
      <c r="BK3478">
        <v>2475</v>
      </c>
      <c r="BL3478">
        <v>375</v>
      </c>
      <c r="BM3478" t="s">
        <v>119</v>
      </c>
      <c r="BN3478">
        <v>1</v>
      </c>
      <c r="BO3478">
        <v>1</v>
      </c>
      <c r="BP3478">
        <v>1</v>
      </c>
      <c r="BQ3478">
        <v>0</v>
      </c>
      <c r="BT3478">
        <v>0</v>
      </c>
      <c r="BU3478">
        <v>0</v>
      </c>
      <c r="BV3478">
        <v>0</v>
      </c>
      <c r="CC3478" t="str">
        <f>"19:32:54.672"</f>
        <v>19:32:54.672</v>
      </c>
      <c r="CD3478" t="str">
        <f>"674710604"</f>
        <v>674710604</v>
      </c>
      <c r="CQ3478">
        <v>0</v>
      </c>
      <c r="CR3478">
        <v>2</v>
      </c>
      <c r="CS3478">
        <v>0</v>
      </c>
      <c r="CT3478">
        <v>2</v>
      </c>
      <c r="CU3478">
        <v>0</v>
      </c>
      <c r="CV3478">
        <v>5</v>
      </c>
      <c r="CW3478" t="s">
        <v>120</v>
      </c>
      <c r="CX3478">
        <v>257</v>
      </c>
      <c r="CY3478">
        <v>0</v>
      </c>
      <c r="CZ3478" t="s">
        <v>615</v>
      </c>
      <c r="DA3478" t="s">
        <v>616</v>
      </c>
      <c r="DD3478">
        <v>16444518</v>
      </c>
      <c r="DE3478" t="s">
        <v>123</v>
      </c>
    </row>
    <row r="3479" spans="1:109" x14ac:dyDescent="0.3">
      <c r="A3479" t="str">
        <f>"19:32:55.945"</f>
        <v>19:32:55.945</v>
      </c>
      <c r="B3479" t="s">
        <v>110</v>
      </c>
      <c r="C3479" t="str">
        <f t="shared" si="162"/>
        <v>ffdfd3c0</v>
      </c>
      <c r="D3479" t="s">
        <v>111</v>
      </c>
      <c r="E3479">
        <v>18</v>
      </c>
      <c r="F3479">
        <v>1018</v>
      </c>
      <c r="G3479" t="s">
        <v>112</v>
      </c>
      <c r="J3479" t="s">
        <v>113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R3479" t="s">
        <v>114</v>
      </c>
      <c r="S3479" t="str">
        <f>"19:32:55.672"</f>
        <v>19:32:55.672</v>
      </c>
      <c r="T3479" t="str">
        <f>"19:32:55.469"</f>
        <v>19:32:55.469</v>
      </c>
      <c r="U3479" t="str">
        <f t="shared" si="163"/>
        <v>a1cdbe</v>
      </c>
      <c r="V3479">
        <v>0</v>
      </c>
      <c r="W3479">
        <v>0</v>
      </c>
      <c r="X3479">
        <v>2</v>
      </c>
      <c r="Y3479">
        <v>0</v>
      </c>
      <c r="Z3479">
        <v>0</v>
      </c>
      <c r="AB3479">
        <v>0</v>
      </c>
      <c r="AC3479">
        <v>9</v>
      </c>
      <c r="AD3479">
        <v>3</v>
      </c>
      <c r="AE3479">
        <v>0</v>
      </c>
      <c r="AF3479">
        <v>9</v>
      </c>
      <c r="AG3479" t="s">
        <v>158</v>
      </c>
      <c r="AH3479">
        <v>0</v>
      </c>
      <c r="AI3479">
        <v>3</v>
      </c>
      <c r="AJ3479">
        <v>1</v>
      </c>
      <c r="AK3479">
        <v>0</v>
      </c>
      <c r="AL3479" t="s">
        <v>6547</v>
      </c>
      <c r="AM3479">
        <v>47.015219000000002</v>
      </c>
      <c r="AN3479" t="s">
        <v>6548</v>
      </c>
      <c r="AO3479">
        <v>-123.77381800000001</v>
      </c>
      <c r="AP3479">
        <v>100</v>
      </c>
      <c r="AQ3479">
        <v>2100</v>
      </c>
      <c r="AR3479" t="s">
        <v>118</v>
      </c>
      <c r="AS3479">
        <v>-76</v>
      </c>
      <c r="AT3479">
        <v>16</v>
      </c>
      <c r="AU3479">
        <v>128</v>
      </c>
      <c r="BC3479">
        <v>1200</v>
      </c>
      <c r="BD3479">
        <v>1</v>
      </c>
      <c r="BE3479" t="str">
        <f t="shared" si="164"/>
        <v xml:space="preserve">N215T   </v>
      </c>
      <c r="BF3479">
        <v>1</v>
      </c>
      <c r="BH3479">
        <v>0</v>
      </c>
      <c r="BI3479">
        <v>0</v>
      </c>
      <c r="BJ3479">
        <v>0</v>
      </c>
      <c r="BK3479">
        <v>2475</v>
      </c>
      <c r="BL3479">
        <v>375</v>
      </c>
      <c r="BM3479" t="s">
        <v>119</v>
      </c>
      <c r="BN3479">
        <v>1</v>
      </c>
      <c r="BO3479">
        <v>1</v>
      </c>
      <c r="BP3479">
        <v>1</v>
      </c>
      <c r="BQ3479">
        <v>0</v>
      </c>
      <c r="BT3479">
        <v>0</v>
      </c>
      <c r="BU3479">
        <v>0</v>
      </c>
      <c r="BV3479">
        <v>0</v>
      </c>
      <c r="CC3479" t="str">
        <f>"19:32:55.680"</f>
        <v>19:32:55.680</v>
      </c>
      <c r="CD3479" t="str">
        <f>"679611608"</f>
        <v>679611608</v>
      </c>
      <c r="CQ3479">
        <v>0</v>
      </c>
      <c r="CR3479">
        <v>2</v>
      </c>
      <c r="CS3479">
        <v>0</v>
      </c>
      <c r="CT3479">
        <v>2</v>
      </c>
      <c r="CU3479">
        <v>0</v>
      </c>
      <c r="CV3479">
        <v>5</v>
      </c>
      <c r="CW3479" t="s">
        <v>120</v>
      </c>
      <c r="CX3479">
        <v>257</v>
      </c>
      <c r="CY3479">
        <v>0</v>
      </c>
      <c r="CZ3479" t="s">
        <v>615</v>
      </c>
      <c r="DA3479" t="s">
        <v>616</v>
      </c>
      <c r="DD3479">
        <v>16444971</v>
      </c>
      <c r="DE3479" t="s">
        <v>123</v>
      </c>
    </row>
    <row r="3480" spans="1:109" x14ac:dyDescent="0.3">
      <c r="A3480" t="str">
        <f>"19:32:57.000"</f>
        <v>19:32:57.000</v>
      </c>
      <c r="B3480" t="s">
        <v>110</v>
      </c>
      <c r="C3480" t="str">
        <f t="shared" si="162"/>
        <v>ffdfd3c0</v>
      </c>
      <c r="D3480" t="s">
        <v>111</v>
      </c>
      <c r="E3480">
        <v>18</v>
      </c>
      <c r="F3480">
        <v>1018</v>
      </c>
      <c r="G3480" t="s">
        <v>112</v>
      </c>
      <c r="J3480" t="s">
        <v>113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R3480" t="s">
        <v>114</v>
      </c>
      <c r="S3480" t="str">
        <f>"19:32:56.773"</f>
        <v>19:32:56.773</v>
      </c>
      <c r="T3480" t="str">
        <f>"19:32:56.570"</f>
        <v>19:32:56.570</v>
      </c>
      <c r="U3480" t="str">
        <f t="shared" si="163"/>
        <v>a1cdbe</v>
      </c>
      <c r="V3480">
        <v>0</v>
      </c>
      <c r="W3480">
        <v>0</v>
      </c>
      <c r="X3480">
        <v>2</v>
      </c>
      <c r="Y3480">
        <v>0</v>
      </c>
      <c r="Z3480">
        <v>0</v>
      </c>
      <c r="AB3480">
        <v>0</v>
      </c>
      <c r="AC3480">
        <v>9</v>
      </c>
      <c r="AD3480">
        <v>3</v>
      </c>
      <c r="AE3480">
        <v>0</v>
      </c>
      <c r="AF3480">
        <v>9</v>
      </c>
      <c r="AG3480" t="s">
        <v>158</v>
      </c>
      <c r="AH3480">
        <v>0</v>
      </c>
      <c r="AI3480">
        <v>3</v>
      </c>
      <c r="AJ3480">
        <v>1</v>
      </c>
      <c r="AK3480">
        <v>0</v>
      </c>
      <c r="AL3480" t="s">
        <v>6549</v>
      </c>
      <c r="AM3480">
        <v>47.015304999999998</v>
      </c>
      <c r="AN3480" t="s">
        <v>6550</v>
      </c>
      <c r="AO3480">
        <v>-123.774376</v>
      </c>
      <c r="AP3480">
        <v>100</v>
      </c>
      <c r="AQ3480">
        <v>2100</v>
      </c>
      <c r="AR3480" t="s">
        <v>118</v>
      </c>
      <c r="AS3480">
        <v>-76</v>
      </c>
      <c r="AT3480">
        <v>16</v>
      </c>
      <c r="AU3480">
        <v>128</v>
      </c>
      <c r="BC3480">
        <v>1200</v>
      </c>
      <c r="BD3480">
        <v>1</v>
      </c>
      <c r="BE3480" t="str">
        <f t="shared" si="164"/>
        <v xml:space="preserve">N215T   </v>
      </c>
      <c r="BF3480">
        <v>1</v>
      </c>
      <c r="BH3480">
        <v>0</v>
      </c>
      <c r="BI3480">
        <v>0</v>
      </c>
      <c r="BJ3480">
        <v>0</v>
      </c>
      <c r="BK3480">
        <v>2475</v>
      </c>
      <c r="BL3480">
        <v>375</v>
      </c>
      <c r="BM3480" t="s">
        <v>119</v>
      </c>
      <c r="BN3480">
        <v>1</v>
      </c>
      <c r="BO3480">
        <v>1</v>
      </c>
      <c r="BP3480">
        <v>1</v>
      </c>
      <c r="BQ3480">
        <v>0</v>
      </c>
      <c r="BT3480">
        <v>0</v>
      </c>
      <c r="BU3480">
        <v>0</v>
      </c>
      <c r="BV3480">
        <v>0</v>
      </c>
      <c r="CC3480" t="str">
        <f>"19:32:56.773"</f>
        <v>19:32:56.773</v>
      </c>
      <c r="CD3480" t="str">
        <f>"774503723"</f>
        <v>774503723</v>
      </c>
      <c r="CQ3480">
        <v>0</v>
      </c>
      <c r="CR3480">
        <v>2</v>
      </c>
      <c r="CS3480">
        <v>0</v>
      </c>
      <c r="CT3480">
        <v>2</v>
      </c>
      <c r="CU3480">
        <v>0</v>
      </c>
      <c r="CV3480">
        <v>5</v>
      </c>
      <c r="CW3480" t="s">
        <v>120</v>
      </c>
      <c r="CX3480">
        <v>257</v>
      </c>
      <c r="CY3480">
        <v>0</v>
      </c>
      <c r="CZ3480" t="s">
        <v>615</v>
      </c>
      <c r="DA3480" t="s">
        <v>616</v>
      </c>
      <c r="DD3480">
        <v>16445470</v>
      </c>
      <c r="DE3480" t="s">
        <v>123</v>
      </c>
    </row>
    <row r="3481" spans="1:109" x14ac:dyDescent="0.3">
      <c r="A3481" t="str">
        <f>"19:32:57.906"</f>
        <v>19:32:57.906</v>
      </c>
      <c r="B3481" t="s">
        <v>110</v>
      </c>
      <c r="C3481" t="str">
        <f t="shared" si="162"/>
        <v>ffdfd3c0</v>
      </c>
      <c r="D3481" t="s">
        <v>111</v>
      </c>
      <c r="E3481">
        <v>18</v>
      </c>
      <c r="F3481">
        <v>1018</v>
      </c>
      <c r="G3481" t="s">
        <v>112</v>
      </c>
      <c r="J3481" t="s">
        <v>113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R3481" t="s">
        <v>114</v>
      </c>
      <c r="S3481" t="str">
        <f>"19:32:57.688"</f>
        <v>19:32:57.688</v>
      </c>
      <c r="T3481" t="str">
        <f>"19:32:57.391"</f>
        <v>19:32:57.391</v>
      </c>
      <c r="U3481" t="str">
        <f t="shared" si="163"/>
        <v>a1cdbe</v>
      </c>
      <c r="V3481">
        <v>0</v>
      </c>
      <c r="W3481">
        <v>0</v>
      </c>
      <c r="X3481">
        <v>2</v>
      </c>
      <c r="Y3481">
        <v>0</v>
      </c>
      <c r="Z3481">
        <v>0</v>
      </c>
      <c r="AB3481">
        <v>0</v>
      </c>
      <c r="AC3481">
        <v>9</v>
      </c>
      <c r="AD3481">
        <v>3</v>
      </c>
      <c r="AE3481">
        <v>0</v>
      </c>
      <c r="AF3481">
        <v>9</v>
      </c>
      <c r="AG3481" t="s">
        <v>158</v>
      </c>
      <c r="AH3481">
        <v>0</v>
      </c>
      <c r="AI3481">
        <v>3</v>
      </c>
      <c r="AJ3481">
        <v>1</v>
      </c>
      <c r="AK3481">
        <v>0</v>
      </c>
      <c r="AL3481" t="s">
        <v>6551</v>
      </c>
      <c r="AM3481">
        <v>47.015389999999996</v>
      </c>
      <c r="AN3481" t="s">
        <v>6552</v>
      </c>
      <c r="AO3481">
        <v>-123.77484800000001</v>
      </c>
      <c r="AP3481">
        <v>100</v>
      </c>
      <c r="AQ3481">
        <v>2100</v>
      </c>
      <c r="AR3481" t="s">
        <v>118</v>
      </c>
      <c r="AS3481">
        <v>-76</v>
      </c>
      <c r="AT3481">
        <v>16</v>
      </c>
      <c r="AU3481">
        <v>128</v>
      </c>
      <c r="BC3481">
        <v>1200</v>
      </c>
      <c r="BD3481">
        <v>1</v>
      </c>
      <c r="BE3481" t="str">
        <f t="shared" si="164"/>
        <v xml:space="preserve">N215T   </v>
      </c>
      <c r="BF3481">
        <v>1</v>
      </c>
      <c r="BH3481">
        <v>0</v>
      </c>
      <c r="BI3481">
        <v>0</v>
      </c>
      <c r="BJ3481">
        <v>0</v>
      </c>
      <c r="BK3481">
        <v>2475</v>
      </c>
      <c r="BL3481">
        <v>375</v>
      </c>
      <c r="BM3481" t="s">
        <v>119</v>
      </c>
      <c r="BN3481">
        <v>1</v>
      </c>
      <c r="BO3481">
        <v>1</v>
      </c>
      <c r="BP3481">
        <v>1</v>
      </c>
      <c r="BQ3481">
        <v>0</v>
      </c>
      <c r="BT3481">
        <v>0</v>
      </c>
      <c r="BU3481">
        <v>0</v>
      </c>
      <c r="BV3481">
        <v>0</v>
      </c>
      <c r="CC3481" t="str">
        <f>"19:32:57.688"</f>
        <v>19:32:57.688</v>
      </c>
      <c r="CD3481" t="str">
        <f>"689413557"</f>
        <v>689413557</v>
      </c>
      <c r="CQ3481">
        <v>0</v>
      </c>
      <c r="CR3481">
        <v>2</v>
      </c>
      <c r="CS3481">
        <v>0</v>
      </c>
      <c r="CT3481">
        <v>2</v>
      </c>
      <c r="CU3481">
        <v>0</v>
      </c>
      <c r="CV3481">
        <v>5</v>
      </c>
      <c r="CW3481" t="s">
        <v>120</v>
      </c>
      <c r="CX3481">
        <v>257</v>
      </c>
      <c r="CY3481">
        <v>0</v>
      </c>
      <c r="CZ3481" t="s">
        <v>615</v>
      </c>
      <c r="DA3481" t="s">
        <v>616</v>
      </c>
      <c r="DD3481">
        <v>16445855</v>
      </c>
      <c r="DE3481" t="s">
        <v>123</v>
      </c>
    </row>
    <row r="3482" spans="1:109" x14ac:dyDescent="0.3">
      <c r="A3482" t="str">
        <f>"19:32:59.008"</f>
        <v>19:32:59.008</v>
      </c>
      <c r="B3482" t="s">
        <v>110</v>
      </c>
      <c r="C3482" t="str">
        <f t="shared" si="162"/>
        <v>ffdfd3c0</v>
      </c>
      <c r="D3482" t="s">
        <v>111</v>
      </c>
      <c r="E3482">
        <v>18</v>
      </c>
      <c r="F3482">
        <v>1018</v>
      </c>
      <c r="G3482" t="s">
        <v>112</v>
      </c>
      <c r="J3482" t="s">
        <v>113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R3482" t="s">
        <v>114</v>
      </c>
      <c r="S3482" t="str">
        <f>"19:32:58.734"</f>
        <v>19:32:58.734</v>
      </c>
      <c r="T3482" t="str">
        <f>"19:32:58.633"</f>
        <v>19:32:58.633</v>
      </c>
      <c r="U3482" t="str">
        <f t="shared" si="163"/>
        <v>a1cdbe</v>
      </c>
      <c r="V3482">
        <v>0</v>
      </c>
      <c r="W3482">
        <v>0</v>
      </c>
      <c r="X3482">
        <v>2</v>
      </c>
      <c r="Y3482">
        <v>0</v>
      </c>
      <c r="Z3482">
        <v>0</v>
      </c>
      <c r="AB3482">
        <v>0</v>
      </c>
      <c r="AC3482">
        <v>9</v>
      </c>
      <c r="AD3482">
        <v>3</v>
      </c>
      <c r="AE3482">
        <v>0</v>
      </c>
      <c r="AF3482">
        <v>9</v>
      </c>
      <c r="AG3482" t="s">
        <v>158</v>
      </c>
      <c r="AH3482">
        <v>0</v>
      </c>
      <c r="AI3482">
        <v>3</v>
      </c>
      <c r="AJ3482">
        <v>1</v>
      </c>
      <c r="AK3482">
        <v>0</v>
      </c>
      <c r="AL3482" t="s">
        <v>6553</v>
      </c>
      <c r="AM3482">
        <v>47.015476</v>
      </c>
      <c r="AN3482" t="s">
        <v>6554</v>
      </c>
      <c r="AO3482">
        <v>-123.775363</v>
      </c>
      <c r="AP3482">
        <v>100</v>
      </c>
      <c r="AQ3482">
        <v>2100</v>
      </c>
      <c r="AR3482" t="s">
        <v>118</v>
      </c>
      <c r="AS3482">
        <v>-76</v>
      </c>
      <c r="AT3482">
        <v>16</v>
      </c>
      <c r="AU3482">
        <v>64</v>
      </c>
      <c r="BC3482">
        <v>1200</v>
      </c>
      <c r="BD3482">
        <v>1</v>
      </c>
      <c r="BE3482" t="str">
        <f t="shared" si="164"/>
        <v xml:space="preserve">N215T   </v>
      </c>
      <c r="BF3482">
        <v>1</v>
      </c>
      <c r="BH3482">
        <v>0</v>
      </c>
      <c r="BI3482">
        <v>0</v>
      </c>
      <c r="BJ3482">
        <v>0</v>
      </c>
      <c r="BK3482">
        <v>2475</v>
      </c>
      <c r="BL3482">
        <v>375</v>
      </c>
      <c r="BM3482" t="s">
        <v>119</v>
      </c>
      <c r="BN3482">
        <v>1</v>
      </c>
      <c r="BO3482">
        <v>1</v>
      </c>
      <c r="BP3482">
        <v>1</v>
      </c>
      <c r="BQ3482">
        <v>0</v>
      </c>
      <c r="BT3482">
        <v>0</v>
      </c>
      <c r="BU3482">
        <v>0</v>
      </c>
      <c r="BV3482">
        <v>0</v>
      </c>
      <c r="CC3482" t="str">
        <f>"19:32:58.742"</f>
        <v>19:32:58.742</v>
      </c>
      <c r="CD3482" t="str">
        <f>"739310132"</f>
        <v>739310132</v>
      </c>
      <c r="CQ3482">
        <v>0</v>
      </c>
      <c r="CR3482">
        <v>2</v>
      </c>
      <c r="CS3482">
        <v>0</v>
      </c>
      <c r="CT3482">
        <v>2</v>
      </c>
      <c r="CU3482">
        <v>0</v>
      </c>
      <c r="CV3482">
        <v>5</v>
      </c>
      <c r="CW3482" t="s">
        <v>120</v>
      </c>
      <c r="CX3482">
        <v>257</v>
      </c>
      <c r="CY3482">
        <v>0</v>
      </c>
      <c r="CZ3482" t="s">
        <v>615</v>
      </c>
      <c r="DA3482" t="s">
        <v>616</v>
      </c>
      <c r="DD3482">
        <v>16446304</v>
      </c>
      <c r="DE3482" t="s">
        <v>123</v>
      </c>
    </row>
    <row r="3483" spans="1:109" x14ac:dyDescent="0.3">
      <c r="A3483" t="str">
        <f>"19:33:00.070"</f>
        <v>19:33:00.070</v>
      </c>
      <c r="B3483" t="s">
        <v>110</v>
      </c>
      <c r="C3483" t="str">
        <f t="shared" si="162"/>
        <v>ffdfd3c0</v>
      </c>
      <c r="D3483" t="s">
        <v>111</v>
      </c>
      <c r="E3483">
        <v>18</v>
      </c>
      <c r="F3483">
        <v>1018</v>
      </c>
      <c r="G3483" t="s">
        <v>112</v>
      </c>
      <c r="J3483" t="s">
        <v>113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R3483" t="s">
        <v>114</v>
      </c>
      <c r="S3483" t="str">
        <f>"19:32:59.844"</f>
        <v>19:32:59.844</v>
      </c>
      <c r="T3483" t="str">
        <f>"19:32:59.547"</f>
        <v>19:32:59.547</v>
      </c>
      <c r="U3483" t="str">
        <f t="shared" si="163"/>
        <v>a1cdbe</v>
      </c>
      <c r="V3483">
        <v>0</v>
      </c>
      <c r="W3483">
        <v>0</v>
      </c>
      <c r="X3483">
        <v>2</v>
      </c>
      <c r="Y3483">
        <v>0</v>
      </c>
      <c r="Z3483">
        <v>0</v>
      </c>
      <c r="AB3483">
        <v>0</v>
      </c>
      <c r="AC3483">
        <v>9</v>
      </c>
      <c r="AD3483">
        <v>3</v>
      </c>
      <c r="AE3483">
        <v>0</v>
      </c>
      <c r="AF3483">
        <v>9</v>
      </c>
      <c r="AG3483" t="s">
        <v>158</v>
      </c>
      <c r="AH3483">
        <v>0</v>
      </c>
      <c r="AI3483">
        <v>3</v>
      </c>
      <c r="AJ3483">
        <v>1</v>
      </c>
      <c r="AK3483">
        <v>0</v>
      </c>
      <c r="AL3483" t="s">
        <v>6555</v>
      </c>
      <c r="AM3483">
        <v>47.015518999999998</v>
      </c>
      <c r="AN3483" t="s">
        <v>6556</v>
      </c>
      <c r="AO3483">
        <v>-123.775921</v>
      </c>
      <c r="AP3483">
        <v>100</v>
      </c>
      <c r="AQ3483">
        <v>2100</v>
      </c>
      <c r="AR3483" t="s">
        <v>118</v>
      </c>
      <c r="AS3483">
        <v>-76</v>
      </c>
      <c r="AT3483">
        <v>16</v>
      </c>
      <c r="AU3483">
        <v>64</v>
      </c>
      <c r="BC3483">
        <v>1200</v>
      </c>
      <c r="BD3483">
        <v>1</v>
      </c>
      <c r="BE3483" t="str">
        <f t="shared" si="164"/>
        <v xml:space="preserve">N215T   </v>
      </c>
      <c r="BF3483">
        <v>1</v>
      </c>
      <c r="BH3483">
        <v>0</v>
      </c>
      <c r="BI3483">
        <v>0</v>
      </c>
      <c r="BJ3483">
        <v>0</v>
      </c>
      <c r="BK3483">
        <v>2475</v>
      </c>
      <c r="BL3483">
        <v>375</v>
      </c>
      <c r="BM3483" t="s">
        <v>119</v>
      </c>
      <c r="BN3483">
        <v>1</v>
      </c>
      <c r="BO3483">
        <v>1</v>
      </c>
      <c r="BP3483">
        <v>1</v>
      </c>
      <c r="BQ3483">
        <v>0</v>
      </c>
      <c r="BT3483">
        <v>0</v>
      </c>
      <c r="BU3483">
        <v>0</v>
      </c>
      <c r="BV3483">
        <v>0</v>
      </c>
      <c r="CC3483" t="str">
        <f>"19:32:59.852"</f>
        <v>19:32:59.852</v>
      </c>
      <c r="CD3483" t="str">
        <f>"849200753"</f>
        <v>849200753</v>
      </c>
      <c r="CQ3483">
        <v>0</v>
      </c>
      <c r="CR3483">
        <v>2</v>
      </c>
      <c r="CS3483">
        <v>0</v>
      </c>
      <c r="CT3483">
        <v>2</v>
      </c>
      <c r="CU3483">
        <v>0</v>
      </c>
      <c r="CV3483">
        <v>5</v>
      </c>
      <c r="CW3483" t="s">
        <v>120</v>
      </c>
      <c r="CX3483">
        <v>257</v>
      </c>
      <c r="CY3483">
        <v>0</v>
      </c>
      <c r="CZ3483" t="s">
        <v>615</v>
      </c>
      <c r="DA3483" t="s">
        <v>616</v>
      </c>
      <c r="DD3483">
        <v>16446849</v>
      </c>
      <c r="DE3483" t="s">
        <v>123</v>
      </c>
    </row>
    <row r="3484" spans="1:109" x14ac:dyDescent="0.3">
      <c r="A3484" t="str">
        <f>"19:33:01.070"</f>
        <v>19:33:01.070</v>
      </c>
      <c r="B3484" t="s">
        <v>110</v>
      </c>
      <c r="C3484" t="str">
        <f t="shared" si="162"/>
        <v>ffdfd3c0</v>
      </c>
      <c r="D3484" t="s">
        <v>111</v>
      </c>
      <c r="E3484">
        <v>18</v>
      </c>
      <c r="F3484">
        <v>1018</v>
      </c>
      <c r="G3484" t="s">
        <v>112</v>
      </c>
      <c r="J3484" t="s">
        <v>113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R3484" t="s">
        <v>114</v>
      </c>
      <c r="S3484" t="str">
        <f>"19:33:00.805"</f>
        <v>19:33:00.805</v>
      </c>
      <c r="T3484" t="str">
        <f>"19:33:00.406"</f>
        <v>19:33:00.406</v>
      </c>
      <c r="U3484" t="str">
        <f t="shared" si="163"/>
        <v>a1cdbe</v>
      </c>
      <c r="V3484">
        <v>0</v>
      </c>
      <c r="W3484">
        <v>0</v>
      </c>
      <c r="X3484">
        <v>2</v>
      </c>
      <c r="Y3484">
        <v>0</v>
      </c>
      <c r="Z3484">
        <v>0</v>
      </c>
      <c r="AB3484">
        <v>0</v>
      </c>
      <c r="AC3484">
        <v>9</v>
      </c>
      <c r="AD3484">
        <v>3</v>
      </c>
      <c r="AE3484">
        <v>0</v>
      </c>
      <c r="AF3484">
        <v>9</v>
      </c>
      <c r="AG3484" t="s">
        <v>158</v>
      </c>
      <c r="AH3484">
        <v>0</v>
      </c>
      <c r="AI3484">
        <v>3</v>
      </c>
      <c r="AJ3484">
        <v>1</v>
      </c>
      <c r="AK3484">
        <v>0</v>
      </c>
      <c r="AL3484" t="s">
        <v>6557</v>
      </c>
      <c r="AM3484">
        <v>47.015625999999997</v>
      </c>
      <c r="AN3484" t="s">
        <v>6558</v>
      </c>
      <c r="AO3484">
        <v>-123.776436</v>
      </c>
      <c r="AP3484">
        <v>100</v>
      </c>
      <c r="AQ3484">
        <v>2100</v>
      </c>
      <c r="AR3484" t="s">
        <v>118</v>
      </c>
      <c r="AS3484">
        <v>-76</v>
      </c>
      <c r="AT3484">
        <v>16</v>
      </c>
      <c r="AU3484">
        <v>64</v>
      </c>
      <c r="BC3484">
        <v>1200</v>
      </c>
      <c r="BD3484">
        <v>1</v>
      </c>
      <c r="BE3484" t="str">
        <f t="shared" si="164"/>
        <v xml:space="preserve">N215T   </v>
      </c>
      <c r="BF3484">
        <v>1</v>
      </c>
      <c r="BH3484">
        <v>0</v>
      </c>
      <c r="BI3484">
        <v>0</v>
      </c>
      <c r="BJ3484">
        <v>0</v>
      </c>
      <c r="BK3484">
        <v>2475</v>
      </c>
      <c r="BL3484">
        <v>375</v>
      </c>
      <c r="BM3484" t="s">
        <v>119</v>
      </c>
      <c r="BN3484">
        <v>1</v>
      </c>
      <c r="BO3484">
        <v>1</v>
      </c>
      <c r="BP3484">
        <v>1</v>
      </c>
      <c r="BQ3484">
        <v>0</v>
      </c>
      <c r="BT3484">
        <v>0</v>
      </c>
      <c r="BU3484">
        <v>0</v>
      </c>
      <c r="BV3484">
        <v>0</v>
      </c>
      <c r="CC3484" t="str">
        <f>"19:33:00.813"</f>
        <v>19:33:00.813</v>
      </c>
      <c r="CD3484" t="str">
        <f>"809106168"</f>
        <v>809106168</v>
      </c>
      <c r="CQ3484">
        <v>0</v>
      </c>
      <c r="CR3484">
        <v>2</v>
      </c>
      <c r="CS3484">
        <v>0</v>
      </c>
      <c r="CT3484">
        <v>2</v>
      </c>
      <c r="CU3484">
        <v>0</v>
      </c>
      <c r="CV3484">
        <v>5</v>
      </c>
      <c r="CW3484" t="s">
        <v>120</v>
      </c>
      <c r="CX3484">
        <v>257</v>
      </c>
      <c r="CY3484">
        <v>0</v>
      </c>
      <c r="CZ3484" t="s">
        <v>615</v>
      </c>
      <c r="DA3484" t="s">
        <v>616</v>
      </c>
      <c r="DD3484">
        <v>16447274</v>
      </c>
      <c r="DE3484" t="s">
        <v>123</v>
      </c>
    </row>
    <row r="3485" spans="1:109" x14ac:dyDescent="0.3">
      <c r="A3485" t="str">
        <f>"19:33:01.930"</f>
        <v>19:33:01.930</v>
      </c>
      <c r="B3485" t="s">
        <v>110</v>
      </c>
      <c r="C3485" t="str">
        <f t="shared" si="162"/>
        <v>ffdfd3c0</v>
      </c>
      <c r="D3485" t="s">
        <v>111</v>
      </c>
      <c r="E3485">
        <v>18</v>
      </c>
      <c r="F3485">
        <v>1018</v>
      </c>
      <c r="G3485" t="s">
        <v>112</v>
      </c>
      <c r="J3485" t="s">
        <v>113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R3485" t="s">
        <v>114</v>
      </c>
      <c r="S3485" t="str">
        <f>"19:33:01.688"</f>
        <v>19:33:01.688</v>
      </c>
      <c r="T3485" t="str">
        <f>"19:33:01.484"</f>
        <v>19:33:01.484</v>
      </c>
      <c r="U3485" t="str">
        <f t="shared" si="163"/>
        <v>a1cdbe</v>
      </c>
      <c r="V3485">
        <v>0</v>
      </c>
      <c r="W3485">
        <v>0</v>
      </c>
      <c r="X3485">
        <v>2</v>
      </c>
      <c r="Y3485">
        <v>0</v>
      </c>
      <c r="Z3485">
        <v>0</v>
      </c>
      <c r="AB3485">
        <v>0</v>
      </c>
      <c r="AC3485">
        <v>9</v>
      </c>
      <c r="AD3485">
        <v>3</v>
      </c>
      <c r="AE3485">
        <v>0</v>
      </c>
      <c r="AF3485">
        <v>9</v>
      </c>
      <c r="AG3485" t="s">
        <v>158</v>
      </c>
      <c r="AH3485">
        <v>0</v>
      </c>
      <c r="AI3485">
        <v>3</v>
      </c>
      <c r="AJ3485">
        <v>1</v>
      </c>
      <c r="AK3485">
        <v>0</v>
      </c>
      <c r="AL3485" t="s">
        <v>733</v>
      </c>
      <c r="AM3485">
        <v>47.015669000000003</v>
      </c>
      <c r="AN3485" t="s">
        <v>6559</v>
      </c>
      <c r="AO3485">
        <v>-123.77690800000001</v>
      </c>
      <c r="AP3485">
        <v>100</v>
      </c>
      <c r="AQ3485">
        <v>2100</v>
      </c>
      <c r="AR3485" t="s">
        <v>118</v>
      </c>
      <c r="AS3485">
        <v>-76</v>
      </c>
      <c r="AT3485">
        <v>15</v>
      </c>
      <c r="AU3485">
        <v>0</v>
      </c>
      <c r="BC3485">
        <v>1200</v>
      </c>
      <c r="BD3485">
        <v>1</v>
      </c>
      <c r="BE3485" t="str">
        <f t="shared" si="164"/>
        <v xml:space="preserve">N215T   </v>
      </c>
      <c r="BF3485">
        <v>1</v>
      </c>
      <c r="BH3485">
        <v>0</v>
      </c>
      <c r="BI3485">
        <v>0</v>
      </c>
      <c r="BJ3485">
        <v>0</v>
      </c>
      <c r="BK3485">
        <v>2475</v>
      </c>
      <c r="BL3485">
        <v>375</v>
      </c>
      <c r="BM3485" t="s">
        <v>119</v>
      </c>
      <c r="BN3485">
        <v>1</v>
      </c>
      <c r="BO3485">
        <v>1</v>
      </c>
      <c r="BP3485">
        <v>1</v>
      </c>
      <c r="BQ3485">
        <v>0</v>
      </c>
      <c r="BT3485">
        <v>0</v>
      </c>
      <c r="BU3485">
        <v>0</v>
      </c>
      <c r="BV3485">
        <v>0</v>
      </c>
      <c r="CC3485" t="str">
        <f>"19:33:01.695"</f>
        <v>19:33:01.695</v>
      </c>
      <c r="CD3485" t="str">
        <f>"694018972"</f>
        <v>694018972</v>
      </c>
      <c r="CQ3485">
        <v>0</v>
      </c>
      <c r="CR3485">
        <v>2</v>
      </c>
      <c r="CS3485">
        <v>0</v>
      </c>
      <c r="CT3485">
        <v>2</v>
      </c>
      <c r="CU3485">
        <v>0</v>
      </c>
      <c r="CV3485">
        <v>5</v>
      </c>
      <c r="CW3485" t="s">
        <v>120</v>
      </c>
      <c r="CX3485">
        <v>257</v>
      </c>
      <c r="CY3485">
        <v>0</v>
      </c>
      <c r="CZ3485" t="s">
        <v>615</v>
      </c>
      <c r="DA3485" t="s">
        <v>616</v>
      </c>
      <c r="DD3485">
        <v>16447644</v>
      </c>
      <c r="DE3485" t="s">
        <v>123</v>
      </c>
    </row>
    <row r="3486" spans="1:109" x14ac:dyDescent="0.3">
      <c r="A3486" t="str">
        <f>"19:33:02.984"</f>
        <v>19:33:02.984</v>
      </c>
      <c r="B3486" t="s">
        <v>110</v>
      </c>
      <c r="C3486" t="str">
        <f t="shared" si="162"/>
        <v>ffdfd3c0</v>
      </c>
      <c r="D3486" t="s">
        <v>111</v>
      </c>
      <c r="E3486">
        <v>18</v>
      </c>
      <c r="F3486">
        <v>1018</v>
      </c>
      <c r="G3486" t="s">
        <v>112</v>
      </c>
      <c r="J3486" t="s">
        <v>113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R3486" t="s">
        <v>114</v>
      </c>
      <c r="S3486" t="str">
        <f>"19:33:02.758"</f>
        <v>19:33:02.758</v>
      </c>
      <c r="T3486" t="str">
        <f>"19:33:02.758"</f>
        <v>19:33:02.758</v>
      </c>
      <c r="U3486" t="str">
        <f t="shared" si="163"/>
        <v>a1cdbe</v>
      </c>
      <c r="V3486">
        <v>0</v>
      </c>
      <c r="W3486">
        <v>0</v>
      </c>
      <c r="X3486">
        <v>2</v>
      </c>
      <c r="Y3486">
        <v>0</v>
      </c>
      <c r="Z3486">
        <v>0</v>
      </c>
      <c r="AB3486">
        <v>0</v>
      </c>
      <c r="AC3486">
        <v>9</v>
      </c>
      <c r="AD3486">
        <v>3</v>
      </c>
      <c r="AE3486">
        <v>0</v>
      </c>
      <c r="AF3486">
        <v>9</v>
      </c>
      <c r="AG3486" t="s">
        <v>158</v>
      </c>
      <c r="AH3486">
        <v>0</v>
      </c>
      <c r="AI3486">
        <v>3</v>
      </c>
      <c r="AJ3486">
        <v>1</v>
      </c>
      <c r="AK3486">
        <v>0</v>
      </c>
      <c r="AL3486" t="s">
        <v>6560</v>
      </c>
      <c r="AM3486">
        <v>47.015754999999999</v>
      </c>
      <c r="AN3486" t="s">
        <v>6561</v>
      </c>
      <c r="AO3486">
        <v>-123.777466</v>
      </c>
      <c r="AP3486">
        <v>100</v>
      </c>
      <c r="AQ3486">
        <v>2100</v>
      </c>
      <c r="AR3486" t="s">
        <v>118</v>
      </c>
      <c r="AS3486">
        <v>-77</v>
      </c>
      <c r="AT3486">
        <v>15</v>
      </c>
      <c r="AU3486">
        <v>-64</v>
      </c>
      <c r="BC3486">
        <v>1200</v>
      </c>
      <c r="BD3486">
        <v>1</v>
      </c>
      <c r="BE3486" t="str">
        <f t="shared" si="164"/>
        <v xml:space="preserve">N215T   </v>
      </c>
      <c r="BF3486">
        <v>1</v>
      </c>
      <c r="BH3486">
        <v>0</v>
      </c>
      <c r="BI3486">
        <v>0</v>
      </c>
      <c r="BJ3486">
        <v>0</v>
      </c>
      <c r="BK3486">
        <v>2475</v>
      </c>
      <c r="BL3486">
        <v>375</v>
      </c>
      <c r="BM3486" t="s">
        <v>119</v>
      </c>
      <c r="BN3486">
        <v>1</v>
      </c>
      <c r="BO3486">
        <v>1</v>
      </c>
      <c r="BP3486">
        <v>1</v>
      </c>
      <c r="BQ3486">
        <v>0</v>
      </c>
      <c r="BT3486">
        <v>0</v>
      </c>
      <c r="BU3486">
        <v>0</v>
      </c>
      <c r="BV3486">
        <v>0</v>
      </c>
      <c r="CC3486" t="str">
        <f>"19:33:02.758"</f>
        <v>19:33:02.758</v>
      </c>
      <c r="CD3486" t="str">
        <f>"758914066"</f>
        <v>758914066</v>
      </c>
      <c r="CQ3486">
        <v>0</v>
      </c>
      <c r="CR3486">
        <v>2</v>
      </c>
      <c r="CS3486">
        <v>0</v>
      </c>
      <c r="CT3486">
        <v>2</v>
      </c>
      <c r="CU3486">
        <v>0</v>
      </c>
      <c r="CV3486">
        <v>4</v>
      </c>
      <c r="CW3486" t="s">
        <v>120</v>
      </c>
      <c r="CX3486">
        <v>257</v>
      </c>
      <c r="CY3486">
        <v>0</v>
      </c>
      <c r="CZ3486" t="s">
        <v>615</v>
      </c>
      <c r="DA3486" t="s">
        <v>616</v>
      </c>
      <c r="DD3486">
        <v>16448105</v>
      </c>
      <c r="DE3486" t="s">
        <v>123</v>
      </c>
    </row>
    <row r="3487" spans="1:109" x14ac:dyDescent="0.3">
      <c r="A3487" t="str">
        <f>"19:33:04.039"</f>
        <v>19:33:04.039</v>
      </c>
      <c r="B3487" t="s">
        <v>110</v>
      </c>
      <c r="C3487" t="str">
        <f t="shared" si="162"/>
        <v>ffdfd3c0</v>
      </c>
      <c r="D3487" t="s">
        <v>111</v>
      </c>
      <c r="E3487">
        <v>18</v>
      </c>
      <c r="F3487">
        <v>1018</v>
      </c>
      <c r="G3487" t="s">
        <v>112</v>
      </c>
      <c r="J3487" t="s">
        <v>113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R3487" t="s">
        <v>114</v>
      </c>
      <c r="S3487" t="str">
        <f>"19:33:03.789"</f>
        <v>19:33:03.789</v>
      </c>
      <c r="T3487" t="str">
        <f>"19:33:03.789"</f>
        <v>19:33:03.789</v>
      </c>
      <c r="U3487" t="str">
        <f t="shared" si="163"/>
        <v>a1cdbe</v>
      </c>
      <c r="V3487">
        <v>0</v>
      </c>
      <c r="W3487">
        <v>0</v>
      </c>
      <c r="X3487">
        <v>2</v>
      </c>
      <c r="Y3487">
        <v>0</v>
      </c>
      <c r="Z3487">
        <v>0</v>
      </c>
      <c r="AB3487">
        <v>0</v>
      </c>
      <c r="AC3487">
        <v>9</v>
      </c>
      <c r="AD3487">
        <v>3</v>
      </c>
      <c r="AE3487">
        <v>0</v>
      </c>
      <c r="AF3487">
        <v>9</v>
      </c>
      <c r="AG3487" t="s">
        <v>158</v>
      </c>
      <c r="AH3487">
        <v>0</v>
      </c>
      <c r="AI3487">
        <v>3</v>
      </c>
      <c r="AJ3487">
        <v>1</v>
      </c>
      <c r="AK3487">
        <v>0</v>
      </c>
      <c r="AL3487" t="s">
        <v>6562</v>
      </c>
      <c r="AM3487">
        <v>47.015797999999997</v>
      </c>
      <c r="AN3487" t="s">
        <v>6563</v>
      </c>
      <c r="AO3487">
        <v>-123.778024</v>
      </c>
      <c r="AP3487">
        <v>100</v>
      </c>
      <c r="AQ3487">
        <v>2100</v>
      </c>
      <c r="AR3487" t="s">
        <v>118</v>
      </c>
      <c r="AS3487">
        <v>-77</v>
      </c>
      <c r="AT3487">
        <v>15</v>
      </c>
      <c r="AU3487">
        <v>-64</v>
      </c>
      <c r="BC3487">
        <v>1200</v>
      </c>
      <c r="BD3487">
        <v>1</v>
      </c>
      <c r="BE3487" t="str">
        <f t="shared" si="164"/>
        <v xml:space="preserve">N215T   </v>
      </c>
      <c r="BF3487">
        <v>1</v>
      </c>
      <c r="BH3487">
        <v>0</v>
      </c>
      <c r="BI3487">
        <v>0</v>
      </c>
      <c r="BJ3487">
        <v>0</v>
      </c>
      <c r="BK3487">
        <v>2475</v>
      </c>
      <c r="BL3487">
        <v>375</v>
      </c>
      <c r="BM3487" t="s">
        <v>119</v>
      </c>
      <c r="BN3487">
        <v>1</v>
      </c>
      <c r="BO3487">
        <v>1</v>
      </c>
      <c r="BP3487">
        <v>1</v>
      </c>
      <c r="BQ3487">
        <v>0</v>
      </c>
      <c r="BT3487">
        <v>0</v>
      </c>
      <c r="BU3487">
        <v>0</v>
      </c>
      <c r="BV3487">
        <v>0</v>
      </c>
      <c r="CC3487" t="str">
        <f>"19:33:03.797"</f>
        <v>19:33:03.797</v>
      </c>
      <c r="CD3487" t="str">
        <f>"793812094"</f>
        <v>793812094</v>
      </c>
      <c r="CQ3487">
        <v>0</v>
      </c>
      <c r="CR3487">
        <v>2</v>
      </c>
      <c r="CS3487">
        <v>0</v>
      </c>
      <c r="CT3487">
        <v>2</v>
      </c>
      <c r="CU3487">
        <v>0</v>
      </c>
      <c r="CV3487">
        <v>5</v>
      </c>
      <c r="CW3487" t="s">
        <v>120</v>
      </c>
      <c r="CX3487">
        <v>257</v>
      </c>
      <c r="CY3487">
        <v>0</v>
      </c>
      <c r="CZ3487" t="s">
        <v>615</v>
      </c>
      <c r="DA3487" t="s">
        <v>616</v>
      </c>
      <c r="DD3487">
        <v>16448551</v>
      </c>
      <c r="DE3487" t="s">
        <v>123</v>
      </c>
    </row>
    <row r="3488" spans="1:109" x14ac:dyDescent="0.3">
      <c r="A3488" t="str">
        <f>"19:33:05.195"</f>
        <v>19:33:05.195</v>
      </c>
      <c r="B3488" t="s">
        <v>110</v>
      </c>
      <c r="C3488" t="str">
        <f t="shared" si="162"/>
        <v>ffdfd3c0</v>
      </c>
      <c r="D3488" t="s">
        <v>111</v>
      </c>
      <c r="E3488">
        <v>18</v>
      </c>
      <c r="F3488">
        <v>1018</v>
      </c>
      <c r="G3488" t="s">
        <v>112</v>
      </c>
      <c r="J3488" t="s">
        <v>113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R3488" t="s">
        <v>114</v>
      </c>
      <c r="S3488" t="str">
        <f>"19:33:04.945"</f>
        <v>19:33:04.945</v>
      </c>
      <c r="T3488" t="str">
        <f>"19:33:04.844"</f>
        <v>19:33:04.844</v>
      </c>
      <c r="U3488" t="str">
        <f t="shared" si="163"/>
        <v>a1cdbe</v>
      </c>
      <c r="V3488">
        <v>0</v>
      </c>
      <c r="W3488">
        <v>0</v>
      </c>
      <c r="X3488">
        <v>2</v>
      </c>
      <c r="Y3488">
        <v>0</v>
      </c>
      <c r="Z3488">
        <v>0</v>
      </c>
      <c r="AB3488">
        <v>0</v>
      </c>
      <c r="AC3488">
        <v>9</v>
      </c>
      <c r="AD3488">
        <v>3</v>
      </c>
      <c r="AE3488">
        <v>0</v>
      </c>
      <c r="AF3488">
        <v>9</v>
      </c>
      <c r="AG3488" t="s">
        <v>158</v>
      </c>
      <c r="AH3488">
        <v>0</v>
      </c>
      <c r="AI3488">
        <v>3</v>
      </c>
      <c r="AJ3488">
        <v>1</v>
      </c>
      <c r="AK3488">
        <v>0</v>
      </c>
      <c r="AL3488" t="s">
        <v>6564</v>
      </c>
      <c r="AM3488">
        <v>47.015904999999997</v>
      </c>
      <c r="AN3488" t="s">
        <v>6565</v>
      </c>
      <c r="AO3488">
        <v>-123.778603</v>
      </c>
      <c r="AP3488">
        <v>100</v>
      </c>
      <c r="AQ3488">
        <v>2100</v>
      </c>
      <c r="AR3488" t="s">
        <v>118</v>
      </c>
      <c r="AS3488">
        <v>-77</v>
      </c>
      <c r="AT3488">
        <v>15</v>
      </c>
      <c r="AU3488">
        <v>-64</v>
      </c>
      <c r="BC3488">
        <v>1200</v>
      </c>
      <c r="BD3488">
        <v>1</v>
      </c>
      <c r="BE3488" t="str">
        <f t="shared" si="164"/>
        <v xml:space="preserve">N215T   </v>
      </c>
      <c r="BF3488">
        <v>1</v>
      </c>
      <c r="BH3488">
        <v>0</v>
      </c>
      <c r="BI3488">
        <v>0</v>
      </c>
      <c r="BJ3488">
        <v>0</v>
      </c>
      <c r="BK3488">
        <v>2475</v>
      </c>
      <c r="BL3488">
        <v>375</v>
      </c>
      <c r="BM3488" t="s">
        <v>119</v>
      </c>
      <c r="BN3488">
        <v>1</v>
      </c>
      <c r="BO3488">
        <v>1</v>
      </c>
      <c r="BP3488">
        <v>1</v>
      </c>
      <c r="BQ3488">
        <v>0</v>
      </c>
      <c r="BT3488">
        <v>0</v>
      </c>
      <c r="BU3488">
        <v>0</v>
      </c>
      <c r="BV3488">
        <v>0</v>
      </c>
      <c r="CC3488" t="str">
        <f>"19:33:04.945"</f>
        <v>19:33:04.945</v>
      </c>
      <c r="CD3488" t="str">
        <f>"948698296"</f>
        <v>948698296</v>
      </c>
      <c r="CQ3488">
        <v>0</v>
      </c>
      <c r="CR3488">
        <v>2</v>
      </c>
      <c r="CS3488">
        <v>0</v>
      </c>
      <c r="CT3488">
        <v>2</v>
      </c>
      <c r="CU3488">
        <v>0</v>
      </c>
      <c r="CV3488">
        <v>5</v>
      </c>
      <c r="CW3488" t="s">
        <v>120</v>
      </c>
      <c r="CX3488">
        <v>257</v>
      </c>
      <c r="CY3488">
        <v>0</v>
      </c>
      <c r="CZ3488" t="s">
        <v>615</v>
      </c>
      <c r="DA3488" t="s">
        <v>616</v>
      </c>
      <c r="DD3488">
        <v>16449076</v>
      </c>
      <c r="DE3488" t="s">
        <v>123</v>
      </c>
    </row>
    <row r="3489" spans="1:109" x14ac:dyDescent="0.3">
      <c r="A3489" t="str">
        <f>"19:33:06.102"</f>
        <v>19:33:06.102</v>
      </c>
      <c r="B3489" t="s">
        <v>110</v>
      </c>
      <c r="C3489" t="str">
        <f t="shared" si="162"/>
        <v>ffdfd3c0</v>
      </c>
      <c r="D3489" t="s">
        <v>111</v>
      </c>
      <c r="E3489">
        <v>18</v>
      </c>
      <c r="F3489">
        <v>1018</v>
      </c>
      <c r="G3489" t="s">
        <v>112</v>
      </c>
      <c r="J3489" t="s">
        <v>113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R3489" t="s">
        <v>114</v>
      </c>
      <c r="S3489" t="str">
        <f>"19:33:05.891"</f>
        <v>19:33:05.891</v>
      </c>
      <c r="T3489" t="str">
        <f>"19:33:05.789"</f>
        <v>19:33:05.789</v>
      </c>
      <c r="U3489" t="str">
        <f t="shared" si="163"/>
        <v>a1cdbe</v>
      </c>
      <c r="V3489">
        <v>0</v>
      </c>
      <c r="W3489">
        <v>0</v>
      </c>
      <c r="X3489">
        <v>2</v>
      </c>
      <c r="Y3489">
        <v>0</v>
      </c>
      <c r="Z3489">
        <v>0</v>
      </c>
      <c r="AB3489">
        <v>0</v>
      </c>
      <c r="AC3489">
        <v>9</v>
      </c>
      <c r="AD3489">
        <v>3</v>
      </c>
      <c r="AE3489">
        <v>0</v>
      </c>
      <c r="AF3489">
        <v>9</v>
      </c>
      <c r="AG3489" t="s">
        <v>158</v>
      </c>
      <c r="AH3489">
        <v>0</v>
      </c>
      <c r="AI3489">
        <v>3</v>
      </c>
      <c r="AJ3489">
        <v>1</v>
      </c>
      <c r="AK3489">
        <v>0</v>
      </c>
      <c r="AL3489" t="s">
        <v>6566</v>
      </c>
      <c r="AM3489">
        <v>47.015948000000002</v>
      </c>
      <c r="AN3489" t="s">
        <v>6567</v>
      </c>
      <c r="AO3489">
        <v>-123.77907500000001</v>
      </c>
      <c r="AP3489">
        <v>100</v>
      </c>
      <c r="AQ3489">
        <v>2100</v>
      </c>
      <c r="AR3489" t="s">
        <v>118</v>
      </c>
      <c r="AS3489">
        <v>-77</v>
      </c>
      <c r="AT3489">
        <v>15</v>
      </c>
      <c r="AU3489">
        <v>-64</v>
      </c>
      <c r="BC3489">
        <v>1200</v>
      </c>
      <c r="BD3489">
        <v>1</v>
      </c>
      <c r="BE3489" t="str">
        <f t="shared" si="164"/>
        <v xml:space="preserve">N215T   </v>
      </c>
      <c r="BF3489">
        <v>1</v>
      </c>
      <c r="BH3489">
        <v>0</v>
      </c>
      <c r="BI3489">
        <v>0</v>
      </c>
      <c r="BJ3489">
        <v>0</v>
      </c>
      <c r="BK3489">
        <v>2475</v>
      </c>
      <c r="BL3489">
        <v>375</v>
      </c>
      <c r="BM3489" t="s">
        <v>119</v>
      </c>
      <c r="BN3489">
        <v>1</v>
      </c>
      <c r="BO3489">
        <v>1</v>
      </c>
      <c r="BP3489">
        <v>1</v>
      </c>
      <c r="BQ3489">
        <v>0</v>
      </c>
      <c r="BT3489">
        <v>0</v>
      </c>
      <c r="BU3489">
        <v>0</v>
      </c>
      <c r="BV3489">
        <v>0</v>
      </c>
      <c r="CC3489" t="str">
        <f>"19:33:05.891"</f>
        <v>19:33:05.891</v>
      </c>
      <c r="CD3489" t="str">
        <f>"893605209"</f>
        <v>893605209</v>
      </c>
      <c r="CQ3489">
        <v>0</v>
      </c>
      <c r="CR3489">
        <v>2</v>
      </c>
      <c r="CS3489">
        <v>0</v>
      </c>
      <c r="CT3489">
        <v>2</v>
      </c>
      <c r="CU3489">
        <v>0</v>
      </c>
      <c r="CV3489">
        <v>5</v>
      </c>
      <c r="CW3489" t="s">
        <v>120</v>
      </c>
      <c r="CX3489">
        <v>257</v>
      </c>
      <c r="CY3489">
        <v>0</v>
      </c>
      <c r="CZ3489" t="s">
        <v>615</v>
      </c>
      <c r="DA3489" t="s">
        <v>616</v>
      </c>
      <c r="DD3489">
        <v>16449493</v>
      </c>
      <c r="DE3489" t="s">
        <v>123</v>
      </c>
    </row>
    <row r="3490" spans="1:109" x14ac:dyDescent="0.3">
      <c r="A3490" t="str">
        <f>"19:33:07.203"</f>
        <v>19:33:07.203</v>
      </c>
      <c r="B3490" t="s">
        <v>110</v>
      </c>
      <c r="C3490" t="str">
        <f t="shared" si="162"/>
        <v>ffdfd3c0</v>
      </c>
      <c r="D3490" t="s">
        <v>111</v>
      </c>
      <c r="E3490">
        <v>18</v>
      </c>
      <c r="F3490">
        <v>1018</v>
      </c>
      <c r="G3490" t="s">
        <v>112</v>
      </c>
      <c r="J3490" t="s">
        <v>113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R3490" t="s">
        <v>114</v>
      </c>
      <c r="S3490" t="str">
        <f>"19:33:06.953"</f>
        <v>19:33:06.953</v>
      </c>
      <c r="T3490" t="str">
        <f>"19:33:06.953"</f>
        <v>19:33:06.953</v>
      </c>
      <c r="U3490" t="str">
        <f t="shared" si="163"/>
        <v>a1cdbe</v>
      </c>
      <c r="V3490">
        <v>0</v>
      </c>
      <c r="W3490">
        <v>0</v>
      </c>
      <c r="X3490">
        <v>2</v>
      </c>
      <c r="Y3490">
        <v>0</v>
      </c>
      <c r="Z3490">
        <v>0</v>
      </c>
      <c r="AB3490">
        <v>0</v>
      </c>
      <c r="AC3490">
        <v>9</v>
      </c>
      <c r="AD3490">
        <v>3</v>
      </c>
      <c r="AE3490">
        <v>0</v>
      </c>
      <c r="AF3490">
        <v>9</v>
      </c>
      <c r="AG3490" t="s">
        <v>158</v>
      </c>
      <c r="AH3490">
        <v>0</v>
      </c>
      <c r="AI3490">
        <v>3</v>
      </c>
      <c r="AJ3490">
        <v>1</v>
      </c>
      <c r="AK3490">
        <v>0</v>
      </c>
      <c r="AL3490" t="s">
        <v>6568</v>
      </c>
      <c r="AM3490">
        <v>47.016033999999998</v>
      </c>
      <c r="AN3490" t="s">
        <v>6569</v>
      </c>
      <c r="AO3490">
        <v>-123.77965500000001</v>
      </c>
      <c r="AP3490">
        <v>100</v>
      </c>
      <c r="AQ3490">
        <v>2100</v>
      </c>
      <c r="AR3490" t="s">
        <v>118</v>
      </c>
      <c r="AS3490">
        <v>-77</v>
      </c>
      <c r="AT3490">
        <v>15</v>
      </c>
      <c r="AU3490">
        <v>-64</v>
      </c>
      <c r="BC3490">
        <v>1200</v>
      </c>
      <c r="BD3490">
        <v>1</v>
      </c>
      <c r="BE3490" t="str">
        <f t="shared" si="164"/>
        <v xml:space="preserve">N215T   </v>
      </c>
      <c r="BF3490">
        <v>1</v>
      </c>
      <c r="BH3490">
        <v>0</v>
      </c>
      <c r="BI3490">
        <v>0</v>
      </c>
      <c r="BJ3490">
        <v>0</v>
      </c>
      <c r="BK3490">
        <v>2475</v>
      </c>
      <c r="BL3490">
        <v>375</v>
      </c>
      <c r="BM3490" t="s">
        <v>119</v>
      </c>
      <c r="BN3490">
        <v>1</v>
      </c>
      <c r="BO3490">
        <v>1</v>
      </c>
      <c r="BP3490">
        <v>1</v>
      </c>
      <c r="BQ3490">
        <v>0</v>
      </c>
      <c r="BT3490">
        <v>0</v>
      </c>
      <c r="BU3490">
        <v>0</v>
      </c>
      <c r="BV3490">
        <v>0</v>
      </c>
      <c r="CC3490" t="str">
        <f>"19:33:06.961"</f>
        <v>19:33:06.961</v>
      </c>
      <c r="CD3490" t="str">
        <f>"958500271"</f>
        <v>958500271</v>
      </c>
      <c r="CQ3490">
        <v>0</v>
      </c>
      <c r="CR3490">
        <v>2</v>
      </c>
      <c r="CS3490">
        <v>0</v>
      </c>
      <c r="CT3490">
        <v>2</v>
      </c>
      <c r="CU3490">
        <v>0</v>
      </c>
      <c r="CV3490">
        <v>5</v>
      </c>
      <c r="CW3490" t="s">
        <v>120</v>
      </c>
      <c r="CX3490">
        <v>257</v>
      </c>
      <c r="CY3490">
        <v>0</v>
      </c>
      <c r="CZ3490" t="s">
        <v>615</v>
      </c>
      <c r="DA3490" t="s">
        <v>616</v>
      </c>
      <c r="DD3490">
        <v>16449930</v>
      </c>
      <c r="DE3490" t="s">
        <v>123</v>
      </c>
    </row>
    <row r="3491" spans="1:109" x14ac:dyDescent="0.3">
      <c r="A3491" t="str">
        <f>"19:33:08.109"</f>
        <v>19:33:08.109</v>
      </c>
      <c r="B3491" t="s">
        <v>110</v>
      </c>
      <c r="C3491" t="str">
        <f t="shared" si="162"/>
        <v>ffdfd3c0</v>
      </c>
      <c r="D3491" t="s">
        <v>111</v>
      </c>
      <c r="E3491">
        <v>18</v>
      </c>
      <c r="F3491">
        <v>1018</v>
      </c>
      <c r="G3491" t="s">
        <v>112</v>
      </c>
      <c r="J3491" t="s">
        <v>113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R3491" t="s">
        <v>114</v>
      </c>
      <c r="S3491" t="str">
        <f>"19:33:07.852"</f>
        <v>19:33:07.852</v>
      </c>
      <c r="T3491" t="str">
        <f>"19:33:07.453"</f>
        <v>19:33:07.453</v>
      </c>
      <c r="U3491" t="str">
        <f t="shared" si="163"/>
        <v>a1cdbe</v>
      </c>
      <c r="V3491">
        <v>0</v>
      </c>
      <c r="W3491">
        <v>0</v>
      </c>
      <c r="X3491">
        <v>2</v>
      </c>
      <c r="Y3491">
        <v>0</v>
      </c>
      <c r="Z3491">
        <v>0</v>
      </c>
      <c r="AB3491">
        <v>0</v>
      </c>
      <c r="AC3491">
        <v>9</v>
      </c>
      <c r="AD3491">
        <v>3</v>
      </c>
      <c r="AE3491">
        <v>0</v>
      </c>
      <c r="AF3491">
        <v>9</v>
      </c>
      <c r="AG3491" t="s">
        <v>158</v>
      </c>
      <c r="AH3491">
        <v>0</v>
      </c>
      <c r="AI3491">
        <v>3</v>
      </c>
      <c r="AJ3491">
        <v>1</v>
      </c>
      <c r="AK3491">
        <v>0</v>
      </c>
      <c r="AL3491" t="s">
        <v>6570</v>
      </c>
      <c r="AM3491">
        <v>47.016077000000003</v>
      </c>
      <c r="AN3491" t="s">
        <v>6571</v>
      </c>
      <c r="AO3491">
        <v>-123.780062</v>
      </c>
      <c r="AP3491">
        <v>100</v>
      </c>
      <c r="AQ3491">
        <v>2100</v>
      </c>
      <c r="AR3491" t="s">
        <v>118</v>
      </c>
      <c r="AS3491">
        <v>-77</v>
      </c>
      <c r="AT3491">
        <v>15</v>
      </c>
      <c r="AU3491">
        <v>-64</v>
      </c>
      <c r="BC3491">
        <v>1200</v>
      </c>
      <c r="BD3491">
        <v>1</v>
      </c>
      <c r="BE3491" t="str">
        <f t="shared" si="164"/>
        <v xml:space="preserve">N215T   </v>
      </c>
      <c r="BF3491">
        <v>1</v>
      </c>
      <c r="BH3491">
        <v>0</v>
      </c>
      <c r="BI3491">
        <v>0</v>
      </c>
      <c r="BJ3491">
        <v>0</v>
      </c>
      <c r="BK3491">
        <v>2475</v>
      </c>
      <c r="BL3491">
        <v>375</v>
      </c>
      <c r="BM3491" t="s">
        <v>119</v>
      </c>
      <c r="BN3491">
        <v>1</v>
      </c>
      <c r="BO3491">
        <v>1</v>
      </c>
      <c r="BP3491">
        <v>1</v>
      </c>
      <c r="BQ3491">
        <v>0</v>
      </c>
      <c r="BT3491">
        <v>0</v>
      </c>
      <c r="BU3491">
        <v>0</v>
      </c>
      <c r="BV3491">
        <v>0</v>
      </c>
      <c r="CC3491" t="str">
        <f>"19:33:07.859"</f>
        <v>19:33:07.859</v>
      </c>
      <c r="CD3491" t="str">
        <f>"858411600"</f>
        <v>858411600</v>
      </c>
      <c r="CQ3491">
        <v>0</v>
      </c>
      <c r="CR3491">
        <v>2</v>
      </c>
      <c r="CS3491">
        <v>0</v>
      </c>
      <c r="CT3491">
        <v>2</v>
      </c>
      <c r="CU3491">
        <v>0</v>
      </c>
      <c r="CV3491">
        <v>5</v>
      </c>
      <c r="CW3491" t="s">
        <v>120</v>
      </c>
      <c r="CX3491">
        <v>257</v>
      </c>
      <c r="CY3491">
        <v>0</v>
      </c>
      <c r="CZ3491" t="s">
        <v>615</v>
      </c>
      <c r="DA3491" t="s">
        <v>616</v>
      </c>
      <c r="DD3491">
        <v>16450307</v>
      </c>
      <c r="DE3491" t="s">
        <v>123</v>
      </c>
    </row>
    <row r="3492" spans="1:109" x14ac:dyDescent="0.3">
      <c r="A3492" t="str">
        <f>"19:33:09.070"</f>
        <v>19:33:09.070</v>
      </c>
      <c r="B3492" t="s">
        <v>110</v>
      </c>
      <c r="C3492" t="str">
        <f t="shared" si="162"/>
        <v>ffdfd3c0</v>
      </c>
      <c r="D3492" t="s">
        <v>111</v>
      </c>
      <c r="E3492">
        <v>18</v>
      </c>
      <c r="F3492">
        <v>1018</v>
      </c>
      <c r="G3492" t="s">
        <v>112</v>
      </c>
      <c r="J3492" t="s">
        <v>113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R3492" t="s">
        <v>114</v>
      </c>
      <c r="S3492" t="str">
        <f>"19:33:08.859"</f>
        <v>19:33:08.859</v>
      </c>
      <c r="T3492" t="str">
        <f>"19:33:08.758"</f>
        <v>19:33:08.758</v>
      </c>
      <c r="U3492" t="str">
        <f t="shared" si="163"/>
        <v>a1cdbe</v>
      </c>
      <c r="V3492">
        <v>0</v>
      </c>
      <c r="W3492">
        <v>0</v>
      </c>
      <c r="X3492">
        <v>2</v>
      </c>
      <c r="Y3492">
        <v>0</v>
      </c>
      <c r="Z3492">
        <v>0</v>
      </c>
      <c r="AB3492">
        <v>0</v>
      </c>
      <c r="AC3492">
        <v>9</v>
      </c>
      <c r="AD3492">
        <v>3</v>
      </c>
      <c r="AE3492">
        <v>0</v>
      </c>
      <c r="AF3492">
        <v>9</v>
      </c>
      <c r="AG3492" t="s">
        <v>158</v>
      </c>
      <c r="AH3492">
        <v>0</v>
      </c>
      <c r="AI3492">
        <v>3</v>
      </c>
      <c r="AJ3492">
        <v>1</v>
      </c>
      <c r="AK3492">
        <v>0</v>
      </c>
      <c r="AL3492" t="s">
        <v>6572</v>
      </c>
      <c r="AM3492">
        <v>47.016184000000003</v>
      </c>
      <c r="AN3492" t="s">
        <v>6573</v>
      </c>
      <c r="AO3492">
        <v>-123.78062</v>
      </c>
      <c r="AP3492">
        <v>100</v>
      </c>
      <c r="AQ3492">
        <v>2100</v>
      </c>
      <c r="AR3492" t="s">
        <v>118</v>
      </c>
      <c r="AS3492">
        <v>-77</v>
      </c>
      <c r="AT3492">
        <v>16</v>
      </c>
      <c r="AU3492">
        <v>0</v>
      </c>
      <c r="BC3492">
        <v>1200</v>
      </c>
      <c r="BD3492">
        <v>1</v>
      </c>
      <c r="BE3492" t="str">
        <f t="shared" si="164"/>
        <v xml:space="preserve">N215T   </v>
      </c>
      <c r="BF3492">
        <v>1</v>
      </c>
      <c r="BH3492">
        <v>0</v>
      </c>
      <c r="BI3492">
        <v>0</v>
      </c>
      <c r="BJ3492">
        <v>0</v>
      </c>
      <c r="BK3492">
        <v>2475</v>
      </c>
      <c r="BL3492">
        <v>375</v>
      </c>
      <c r="BM3492" t="s">
        <v>119</v>
      </c>
      <c r="BN3492">
        <v>1</v>
      </c>
      <c r="BO3492">
        <v>1</v>
      </c>
      <c r="BP3492">
        <v>1</v>
      </c>
      <c r="BQ3492">
        <v>0</v>
      </c>
      <c r="BT3492">
        <v>0</v>
      </c>
      <c r="BU3492">
        <v>0</v>
      </c>
      <c r="BV3492">
        <v>0</v>
      </c>
      <c r="CC3492" t="str">
        <f>"19:33:08.867"</f>
        <v>19:33:08.867</v>
      </c>
      <c r="CD3492" t="str">
        <f>"863312578"</f>
        <v>863312578</v>
      </c>
      <c r="CQ3492">
        <v>0</v>
      </c>
      <c r="CR3492">
        <v>2</v>
      </c>
      <c r="CS3492">
        <v>0</v>
      </c>
      <c r="CT3492">
        <v>2</v>
      </c>
      <c r="CU3492">
        <v>0</v>
      </c>
      <c r="CV3492">
        <v>4</v>
      </c>
      <c r="CW3492" t="s">
        <v>120</v>
      </c>
      <c r="CX3492">
        <v>257</v>
      </c>
      <c r="CY3492">
        <v>0</v>
      </c>
      <c r="CZ3492" t="s">
        <v>615</v>
      </c>
      <c r="DA3492" t="s">
        <v>616</v>
      </c>
      <c r="DD3492">
        <v>16450785</v>
      </c>
      <c r="DE3492" t="s">
        <v>123</v>
      </c>
    </row>
    <row r="3493" spans="1:109" x14ac:dyDescent="0.3">
      <c r="A3493" t="str">
        <f>"19:33:10.125"</f>
        <v>19:33:10.125</v>
      </c>
      <c r="B3493" t="s">
        <v>110</v>
      </c>
      <c r="C3493" t="str">
        <f t="shared" si="162"/>
        <v>ffdfd3c0</v>
      </c>
      <c r="D3493" t="s">
        <v>111</v>
      </c>
      <c r="E3493">
        <v>18</v>
      </c>
      <c r="F3493">
        <v>1018</v>
      </c>
      <c r="G3493" t="s">
        <v>112</v>
      </c>
      <c r="J3493" t="s">
        <v>113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R3493" t="s">
        <v>114</v>
      </c>
      <c r="S3493" t="str">
        <f>"19:33:09.852"</f>
        <v>19:33:09.852</v>
      </c>
      <c r="T3493" t="str">
        <f>"19:33:09.852"</f>
        <v>19:33:09.852</v>
      </c>
      <c r="U3493" t="str">
        <f t="shared" si="163"/>
        <v>a1cdbe</v>
      </c>
      <c r="V3493">
        <v>0</v>
      </c>
      <c r="W3493">
        <v>0</v>
      </c>
      <c r="X3493">
        <v>2</v>
      </c>
      <c r="Y3493">
        <v>0</v>
      </c>
      <c r="Z3493">
        <v>0</v>
      </c>
      <c r="AB3493">
        <v>0</v>
      </c>
      <c r="AC3493">
        <v>9</v>
      </c>
      <c r="AD3493">
        <v>3</v>
      </c>
      <c r="AE3493">
        <v>0</v>
      </c>
      <c r="AF3493">
        <v>9</v>
      </c>
      <c r="AG3493" t="s">
        <v>158</v>
      </c>
      <c r="AH3493">
        <v>0</v>
      </c>
      <c r="AI3493">
        <v>3</v>
      </c>
      <c r="AJ3493">
        <v>1</v>
      </c>
      <c r="AK3493">
        <v>0</v>
      </c>
      <c r="AL3493" t="s">
        <v>6574</v>
      </c>
      <c r="AM3493">
        <v>47.016227000000001</v>
      </c>
      <c r="AN3493" t="s">
        <v>6575</v>
      </c>
      <c r="AO3493">
        <v>-123.78113500000001</v>
      </c>
      <c r="AP3493">
        <v>100</v>
      </c>
      <c r="AQ3493">
        <v>2100</v>
      </c>
      <c r="AR3493" t="s">
        <v>118</v>
      </c>
      <c r="AS3493">
        <v>-77</v>
      </c>
      <c r="AT3493">
        <v>16</v>
      </c>
      <c r="AU3493">
        <v>64</v>
      </c>
      <c r="BC3493">
        <v>1200</v>
      </c>
      <c r="BD3493">
        <v>1</v>
      </c>
      <c r="BE3493" t="str">
        <f t="shared" si="164"/>
        <v xml:space="preserve">N215T   </v>
      </c>
      <c r="BF3493">
        <v>1</v>
      </c>
      <c r="BH3493">
        <v>0</v>
      </c>
      <c r="BI3493">
        <v>0</v>
      </c>
      <c r="BJ3493">
        <v>0</v>
      </c>
      <c r="BK3493">
        <v>2475</v>
      </c>
      <c r="BL3493">
        <v>375</v>
      </c>
      <c r="BM3493" t="s">
        <v>119</v>
      </c>
      <c r="BN3493">
        <v>1</v>
      </c>
      <c r="BO3493">
        <v>1</v>
      </c>
      <c r="BP3493">
        <v>1</v>
      </c>
      <c r="BQ3493">
        <v>0</v>
      </c>
      <c r="BT3493">
        <v>0</v>
      </c>
      <c r="BU3493">
        <v>0</v>
      </c>
      <c r="BV3493">
        <v>0</v>
      </c>
      <c r="CC3493" t="str">
        <f>"19:33:09.852"</f>
        <v>19:33:09.852</v>
      </c>
      <c r="CD3493" t="str">
        <f>"853215040"</f>
        <v>853215040</v>
      </c>
      <c r="CQ3493">
        <v>0</v>
      </c>
      <c r="CR3493">
        <v>2</v>
      </c>
      <c r="CS3493">
        <v>0</v>
      </c>
      <c r="CT3493">
        <v>2</v>
      </c>
      <c r="CU3493">
        <v>0</v>
      </c>
      <c r="CV3493">
        <v>4</v>
      </c>
      <c r="CW3493" t="s">
        <v>120</v>
      </c>
      <c r="CX3493">
        <v>257</v>
      </c>
      <c r="CY3493">
        <v>0</v>
      </c>
      <c r="CZ3493" t="s">
        <v>615</v>
      </c>
      <c r="DA3493" t="s">
        <v>616</v>
      </c>
      <c r="DD3493">
        <v>16451246</v>
      </c>
      <c r="DE3493" t="s">
        <v>123</v>
      </c>
    </row>
    <row r="3494" spans="1:109" x14ac:dyDescent="0.3">
      <c r="A3494" t="str">
        <f>"19:33:10.977"</f>
        <v>19:33:10.977</v>
      </c>
      <c r="B3494" t="s">
        <v>110</v>
      </c>
      <c r="C3494" t="str">
        <f t="shared" si="162"/>
        <v>ffdfd3c0</v>
      </c>
      <c r="D3494" t="s">
        <v>111</v>
      </c>
      <c r="E3494">
        <v>18</v>
      </c>
      <c r="F3494">
        <v>1018</v>
      </c>
      <c r="G3494" t="s">
        <v>112</v>
      </c>
      <c r="J3494" t="s">
        <v>113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R3494" t="s">
        <v>114</v>
      </c>
      <c r="S3494" t="str">
        <f>"19:33:10.781"</f>
        <v>19:33:10.781</v>
      </c>
      <c r="T3494" t="str">
        <f>"19:33:10.383"</f>
        <v>19:33:10.383</v>
      </c>
      <c r="U3494" t="str">
        <f t="shared" si="163"/>
        <v>a1cdbe</v>
      </c>
      <c r="V3494">
        <v>0</v>
      </c>
      <c r="W3494">
        <v>0</v>
      </c>
      <c r="X3494">
        <v>2</v>
      </c>
      <c r="Y3494">
        <v>0</v>
      </c>
      <c r="Z3494">
        <v>0</v>
      </c>
      <c r="AB3494">
        <v>0</v>
      </c>
      <c r="AC3494">
        <v>9</v>
      </c>
      <c r="AD3494">
        <v>3</v>
      </c>
      <c r="AE3494">
        <v>0</v>
      </c>
      <c r="AF3494">
        <v>9</v>
      </c>
      <c r="AG3494" t="s">
        <v>158</v>
      </c>
      <c r="AH3494">
        <v>0</v>
      </c>
      <c r="AI3494">
        <v>3</v>
      </c>
      <c r="AJ3494">
        <v>1</v>
      </c>
      <c r="AK3494">
        <v>0</v>
      </c>
      <c r="AL3494" t="s">
        <v>6576</v>
      </c>
      <c r="AM3494">
        <v>47.016312999999997</v>
      </c>
      <c r="AN3494" t="s">
        <v>6577</v>
      </c>
      <c r="AO3494">
        <v>-123.78165</v>
      </c>
      <c r="AP3494">
        <v>100</v>
      </c>
      <c r="AQ3494">
        <v>2100</v>
      </c>
      <c r="AR3494" t="s">
        <v>118</v>
      </c>
      <c r="AS3494">
        <v>-77</v>
      </c>
      <c r="AT3494">
        <v>16</v>
      </c>
      <c r="AU3494">
        <v>64</v>
      </c>
      <c r="BC3494">
        <v>1200</v>
      </c>
      <c r="BD3494">
        <v>1</v>
      </c>
      <c r="BE3494" t="str">
        <f t="shared" si="164"/>
        <v xml:space="preserve">N215T   </v>
      </c>
      <c r="BF3494">
        <v>1</v>
      </c>
      <c r="BH3494">
        <v>0</v>
      </c>
      <c r="BI3494">
        <v>0</v>
      </c>
      <c r="BJ3494">
        <v>0</v>
      </c>
      <c r="BK3494">
        <v>2475</v>
      </c>
      <c r="BL3494">
        <v>375</v>
      </c>
      <c r="BM3494" t="s">
        <v>119</v>
      </c>
      <c r="BN3494">
        <v>1</v>
      </c>
      <c r="BO3494">
        <v>1</v>
      </c>
      <c r="BP3494">
        <v>1</v>
      </c>
      <c r="BQ3494">
        <v>0</v>
      </c>
      <c r="BT3494">
        <v>0</v>
      </c>
      <c r="BU3494">
        <v>0</v>
      </c>
      <c r="BV3494">
        <v>0</v>
      </c>
      <c r="CC3494" t="str">
        <f>"19:33:10.781"</f>
        <v>19:33:10.781</v>
      </c>
      <c r="CD3494" t="str">
        <f>"783123409"</f>
        <v>783123409</v>
      </c>
      <c r="CQ3494">
        <v>0</v>
      </c>
      <c r="CR3494">
        <v>2</v>
      </c>
      <c r="CS3494">
        <v>0</v>
      </c>
      <c r="CT3494">
        <v>2</v>
      </c>
      <c r="CU3494">
        <v>0</v>
      </c>
      <c r="CV3494">
        <v>5</v>
      </c>
      <c r="CW3494" t="s">
        <v>120</v>
      </c>
      <c r="CX3494">
        <v>257</v>
      </c>
      <c r="CY3494">
        <v>0</v>
      </c>
      <c r="CZ3494" t="s">
        <v>615</v>
      </c>
      <c r="DA3494" t="s">
        <v>616</v>
      </c>
      <c r="DD3494">
        <v>16451609</v>
      </c>
      <c r="DE3494" t="s">
        <v>123</v>
      </c>
    </row>
    <row r="3495" spans="1:109" x14ac:dyDescent="0.3">
      <c r="A3495" t="str">
        <f>"19:33:12.031"</f>
        <v>19:33:12.031</v>
      </c>
      <c r="B3495" t="s">
        <v>110</v>
      </c>
      <c r="C3495" t="str">
        <f t="shared" si="162"/>
        <v>ffdfd3c0</v>
      </c>
      <c r="D3495" t="s">
        <v>111</v>
      </c>
      <c r="E3495">
        <v>18</v>
      </c>
      <c r="F3495">
        <v>1018</v>
      </c>
      <c r="G3495" t="s">
        <v>112</v>
      </c>
      <c r="J3495" t="s">
        <v>113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R3495" t="s">
        <v>114</v>
      </c>
      <c r="S3495" t="str">
        <f>"19:33:11.766"</f>
        <v>19:33:11.766</v>
      </c>
      <c r="T3495" t="str">
        <f>"19:33:11.367"</f>
        <v>19:33:11.367</v>
      </c>
      <c r="U3495" t="str">
        <f t="shared" si="163"/>
        <v>a1cdbe</v>
      </c>
      <c r="V3495">
        <v>0</v>
      </c>
      <c r="W3495">
        <v>0</v>
      </c>
      <c r="X3495">
        <v>2</v>
      </c>
      <c r="Y3495">
        <v>0</v>
      </c>
      <c r="Z3495">
        <v>0</v>
      </c>
      <c r="AB3495">
        <v>0</v>
      </c>
      <c r="AC3495">
        <v>9</v>
      </c>
      <c r="AD3495">
        <v>3</v>
      </c>
      <c r="AE3495">
        <v>0</v>
      </c>
      <c r="AF3495">
        <v>9</v>
      </c>
      <c r="AG3495" t="s">
        <v>158</v>
      </c>
      <c r="AH3495">
        <v>0</v>
      </c>
      <c r="AI3495">
        <v>3</v>
      </c>
      <c r="AJ3495">
        <v>1</v>
      </c>
      <c r="AK3495">
        <v>0</v>
      </c>
      <c r="AL3495" t="s">
        <v>6578</v>
      </c>
      <c r="AM3495">
        <v>47.016419999999997</v>
      </c>
      <c r="AN3495" t="s">
        <v>6579</v>
      </c>
      <c r="AO3495">
        <v>-123.782122</v>
      </c>
      <c r="AP3495">
        <v>100</v>
      </c>
      <c r="AQ3495">
        <v>2100</v>
      </c>
      <c r="AR3495" t="s">
        <v>118</v>
      </c>
      <c r="AS3495">
        <v>-77</v>
      </c>
      <c r="AT3495">
        <v>16</v>
      </c>
      <c r="AU3495">
        <v>64</v>
      </c>
      <c r="BC3495">
        <v>1200</v>
      </c>
      <c r="BD3495">
        <v>1</v>
      </c>
      <c r="BE3495" t="str">
        <f t="shared" si="164"/>
        <v xml:space="preserve">N215T   </v>
      </c>
      <c r="BF3495">
        <v>1</v>
      </c>
      <c r="BH3495">
        <v>0</v>
      </c>
      <c r="BI3495">
        <v>0</v>
      </c>
      <c r="BJ3495">
        <v>0</v>
      </c>
      <c r="BK3495">
        <v>2475</v>
      </c>
      <c r="BL3495">
        <v>375</v>
      </c>
      <c r="BM3495" t="s">
        <v>119</v>
      </c>
      <c r="BN3495">
        <v>1</v>
      </c>
      <c r="BO3495">
        <v>1</v>
      </c>
      <c r="BP3495">
        <v>1</v>
      </c>
      <c r="BQ3495">
        <v>0</v>
      </c>
      <c r="BT3495">
        <v>0</v>
      </c>
      <c r="BU3495">
        <v>0</v>
      </c>
      <c r="BV3495">
        <v>0</v>
      </c>
      <c r="CC3495" t="str">
        <f>"19:33:11.773"</f>
        <v>19:33:11.773</v>
      </c>
      <c r="CD3495" t="str">
        <f>"773025885"</f>
        <v>773025885</v>
      </c>
      <c r="CQ3495">
        <v>0</v>
      </c>
      <c r="CR3495">
        <v>2</v>
      </c>
      <c r="CS3495">
        <v>0</v>
      </c>
      <c r="CT3495">
        <v>2</v>
      </c>
      <c r="CU3495">
        <v>0</v>
      </c>
      <c r="CV3495">
        <v>4</v>
      </c>
      <c r="CW3495" t="s">
        <v>120</v>
      </c>
      <c r="CX3495">
        <v>257</v>
      </c>
      <c r="CY3495">
        <v>0</v>
      </c>
      <c r="CZ3495" t="s">
        <v>615</v>
      </c>
      <c r="DA3495" t="s">
        <v>616</v>
      </c>
      <c r="DD3495">
        <v>16452007</v>
      </c>
      <c r="DE3495" t="s">
        <v>123</v>
      </c>
    </row>
    <row r="3496" spans="1:109" x14ac:dyDescent="0.3">
      <c r="A3496" t="str">
        <f>"19:33:13.141"</f>
        <v>19:33:13.141</v>
      </c>
      <c r="B3496" t="s">
        <v>110</v>
      </c>
      <c r="C3496" t="str">
        <f t="shared" si="162"/>
        <v>ffdfd3c0</v>
      </c>
      <c r="D3496" t="s">
        <v>111</v>
      </c>
      <c r="E3496">
        <v>18</v>
      </c>
      <c r="F3496">
        <v>1018</v>
      </c>
      <c r="G3496" t="s">
        <v>112</v>
      </c>
      <c r="J3496" t="s">
        <v>113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R3496" t="s">
        <v>114</v>
      </c>
      <c r="S3496" t="str">
        <f>"19:33:12.922"</f>
        <v>19:33:12.922</v>
      </c>
      <c r="T3496" t="str">
        <f>"19:33:12.922"</f>
        <v>19:33:12.922</v>
      </c>
      <c r="U3496" t="str">
        <f t="shared" si="163"/>
        <v>a1cdbe</v>
      </c>
      <c r="V3496">
        <v>0</v>
      </c>
      <c r="W3496">
        <v>0</v>
      </c>
      <c r="X3496">
        <v>2</v>
      </c>
      <c r="Y3496">
        <v>0</v>
      </c>
      <c r="Z3496">
        <v>0</v>
      </c>
      <c r="AB3496">
        <v>0</v>
      </c>
      <c r="AC3496">
        <v>9</v>
      </c>
      <c r="AD3496">
        <v>3</v>
      </c>
      <c r="AE3496">
        <v>0</v>
      </c>
      <c r="AF3496">
        <v>9</v>
      </c>
      <c r="AG3496" t="s">
        <v>158</v>
      </c>
      <c r="AH3496">
        <v>0</v>
      </c>
      <c r="AI3496">
        <v>3</v>
      </c>
      <c r="AJ3496">
        <v>1</v>
      </c>
      <c r="AK3496">
        <v>0</v>
      </c>
      <c r="AL3496" t="s">
        <v>6580</v>
      </c>
      <c r="AM3496">
        <v>47.016485000000003</v>
      </c>
      <c r="AN3496" t="s">
        <v>6581</v>
      </c>
      <c r="AO3496">
        <v>-123.78274399999999</v>
      </c>
      <c r="AP3496">
        <v>100</v>
      </c>
      <c r="AQ3496">
        <v>2100</v>
      </c>
      <c r="AR3496" t="s">
        <v>118</v>
      </c>
      <c r="AS3496">
        <v>-77</v>
      </c>
      <c r="AT3496">
        <v>16</v>
      </c>
      <c r="AU3496">
        <v>128</v>
      </c>
      <c r="BC3496">
        <v>1200</v>
      </c>
      <c r="BD3496">
        <v>1</v>
      </c>
      <c r="BE3496" t="str">
        <f t="shared" si="164"/>
        <v xml:space="preserve">N215T   </v>
      </c>
      <c r="BF3496">
        <v>1</v>
      </c>
      <c r="BH3496">
        <v>0</v>
      </c>
      <c r="BI3496">
        <v>0</v>
      </c>
      <c r="BJ3496">
        <v>0</v>
      </c>
      <c r="BK3496">
        <v>2475</v>
      </c>
      <c r="BL3496">
        <v>375</v>
      </c>
      <c r="BM3496" t="s">
        <v>119</v>
      </c>
      <c r="BN3496">
        <v>1</v>
      </c>
      <c r="BO3496">
        <v>1</v>
      </c>
      <c r="BP3496">
        <v>1</v>
      </c>
      <c r="BQ3496">
        <v>0</v>
      </c>
      <c r="BT3496">
        <v>0</v>
      </c>
      <c r="BU3496">
        <v>0</v>
      </c>
      <c r="BV3496">
        <v>0</v>
      </c>
      <c r="CC3496" t="str">
        <f>"19:33:12.930"</f>
        <v>19:33:12.930</v>
      </c>
      <c r="CD3496" t="str">
        <f>"927912102"</f>
        <v>927912102</v>
      </c>
      <c r="CQ3496">
        <v>0</v>
      </c>
      <c r="CR3496">
        <v>2</v>
      </c>
      <c r="CS3496">
        <v>0</v>
      </c>
      <c r="CT3496">
        <v>2</v>
      </c>
      <c r="CU3496">
        <v>0</v>
      </c>
      <c r="CV3496">
        <v>5</v>
      </c>
      <c r="CW3496" t="s">
        <v>120</v>
      </c>
      <c r="CX3496">
        <v>257</v>
      </c>
      <c r="CY3496">
        <v>0</v>
      </c>
      <c r="CZ3496" t="s">
        <v>615</v>
      </c>
      <c r="DA3496" t="s">
        <v>616</v>
      </c>
      <c r="DD3496">
        <v>16452505</v>
      </c>
      <c r="DE3496" t="s">
        <v>123</v>
      </c>
    </row>
    <row r="3497" spans="1:109" x14ac:dyDescent="0.3">
      <c r="A3497" t="str">
        <f>"19:33:14.141"</f>
        <v>19:33:14.141</v>
      </c>
      <c r="B3497" t="s">
        <v>110</v>
      </c>
      <c r="C3497" t="str">
        <f t="shared" si="162"/>
        <v>ffdfd3c0</v>
      </c>
      <c r="D3497" t="s">
        <v>111</v>
      </c>
      <c r="E3497">
        <v>18</v>
      </c>
      <c r="F3497">
        <v>1018</v>
      </c>
      <c r="G3497" t="s">
        <v>112</v>
      </c>
      <c r="J3497" t="s">
        <v>113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R3497" t="s">
        <v>114</v>
      </c>
      <c r="S3497" t="str">
        <f>"19:33:13.914"</f>
        <v>19:33:13.914</v>
      </c>
      <c r="T3497" t="str">
        <f>"19:33:13.914"</f>
        <v>19:33:13.914</v>
      </c>
      <c r="U3497" t="str">
        <f t="shared" si="163"/>
        <v>a1cdbe</v>
      </c>
      <c r="V3497">
        <v>0</v>
      </c>
      <c r="W3497">
        <v>0</v>
      </c>
      <c r="X3497">
        <v>2</v>
      </c>
      <c r="Y3497">
        <v>0</v>
      </c>
      <c r="Z3497">
        <v>0</v>
      </c>
      <c r="AB3497">
        <v>0</v>
      </c>
      <c r="AC3497">
        <v>9</v>
      </c>
      <c r="AD3497">
        <v>3</v>
      </c>
      <c r="AE3497">
        <v>0</v>
      </c>
      <c r="AF3497">
        <v>9</v>
      </c>
      <c r="AG3497" t="s">
        <v>158</v>
      </c>
      <c r="AH3497">
        <v>0</v>
      </c>
      <c r="AI3497">
        <v>3</v>
      </c>
      <c r="AJ3497">
        <v>1</v>
      </c>
      <c r="AK3497">
        <v>0</v>
      </c>
      <c r="AL3497" t="s">
        <v>6582</v>
      </c>
      <c r="AM3497">
        <v>47.016548999999998</v>
      </c>
      <c r="AN3497" t="s">
        <v>6583</v>
      </c>
      <c r="AO3497">
        <v>-123.783238</v>
      </c>
      <c r="AP3497">
        <v>100</v>
      </c>
      <c r="AQ3497">
        <v>2100</v>
      </c>
      <c r="AR3497" t="s">
        <v>118</v>
      </c>
      <c r="AS3497">
        <v>-77</v>
      </c>
      <c r="AT3497">
        <v>16</v>
      </c>
      <c r="AU3497">
        <v>128</v>
      </c>
      <c r="BC3497">
        <v>1200</v>
      </c>
      <c r="BD3497">
        <v>1</v>
      </c>
      <c r="BE3497" t="str">
        <f t="shared" si="164"/>
        <v xml:space="preserve">N215T   </v>
      </c>
      <c r="BF3497">
        <v>1</v>
      </c>
      <c r="BH3497">
        <v>0</v>
      </c>
      <c r="BI3497">
        <v>0</v>
      </c>
      <c r="BJ3497">
        <v>0</v>
      </c>
      <c r="BK3497">
        <v>2475</v>
      </c>
      <c r="BL3497">
        <v>375</v>
      </c>
      <c r="BM3497" t="s">
        <v>119</v>
      </c>
      <c r="BN3497">
        <v>1</v>
      </c>
      <c r="BO3497">
        <v>1</v>
      </c>
      <c r="BP3497">
        <v>1</v>
      </c>
      <c r="BQ3497">
        <v>0</v>
      </c>
      <c r="BT3497">
        <v>0</v>
      </c>
      <c r="BU3497">
        <v>0</v>
      </c>
      <c r="BV3497">
        <v>0</v>
      </c>
      <c r="CC3497" t="str">
        <f>"19:33:13.914"</f>
        <v>19:33:13.914</v>
      </c>
      <c r="CD3497" t="str">
        <f>"917814561"</f>
        <v>917814561</v>
      </c>
      <c r="CQ3497">
        <v>0</v>
      </c>
      <c r="CR3497">
        <v>2</v>
      </c>
      <c r="CS3497">
        <v>0</v>
      </c>
      <c r="CT3497">
        <v>2</v>
      </c>
      <c r="CU3497">
        <v>0</v>
      </c>
      <c r="CV3497">
        <v>5</v>
      </c>
      <c r="CW3497" t="s">
        <v>120</v>
      </c>
      <c r="CX3497">
        <v>257</v>
      </c>
      <c r="CY3497">
        <v>0</v>
      </c>
      <c r="CZ3497" t="s">
        <v>615</v>
      </c>
      <c r="DA3497" t="s">
        <v>616</v>
      </c>
      <c r="DD3497">
        <v>16452948</v>
      </c>
      <c r="DE3497" t="s">
        <v>123</v>
      </c>
    </row>
    <row r="3498" spans="1:109" x14ac:dyDescent="0.3">
      <c r="A3498" t="str">
        <f>"19:33:15.250"</f>
        <v>19:33:15.250</v>
      </c>
      <c r="B3498" t="s">
        <v>110</v>
      </c>
      <c r="C3498" t="str">
        <f t="shared" si="162"/>
        <v>ffdfd3c0</v>
      </c>
      <c r="D3498" t="s">
        <v>111</v>
      </c>
      <c r="E3498">
        <v>18</v>
      </c>
      <c r="F3498">
        <v>1018</v>
      </c>
      <c r="G3498" t="s">
        <v>112</v>
      </c>
      <c r="J3498" t="s">
        <v>113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R3498" t="s">
        <v>114</v>
      </c>
      <c r="S3498" t="str">
        <f>"19:33:14.992"</f>
        <v>19:33:14.992</v>
      </c>
      <c r="T3498" t="str">
        <f>"19:33:14.891"</f>
        <v>19:33:14.891</v>
      </c>
      <c r="U3498" t="str">
        <f t="shared" si="163"/>
        <v>a1cdbe</v>
      </c>
      <c r="V3498">
        <v>0</v>
      </c>
      <c r="W3498">
        <v>0</v>
      </c>
      <c r="X3498">
        <v>2</v>
      </c>
      <c r="Y3498">
        <v>0</v>
      </c>
      <c r="Z3498">
        <v>0</v>
      </c>
      <c r="AB3498">
        <v>0</v>
      </c>
      <c r="AC3498">
        <v>9</v>
      </c>
      <c r="AD3498">
        <v>3</v>
      </c>
      <c r="AE3498">
        <v>0</v>
      </c>
      <c r="AF3498">
        <v>9</v>
      </c>
      <c r="AG3498" t="s">
        <v>158</v>
      </c>
      <c r="AH3498">
        <v>0</v>
      </c>
      <c r="AI3498">
        <v>3</v>
      </c>
      <c r="AJ3498">
        <v>1</v>
      </c>
      <c r="AK3498">
        <v>0</v>
      </c>
      <c r="AL3498" t="s">
        <v>6584</v>
      </c>
      <c r="AM3498">
        <v>47.016635000000001</v>
      </c>
      <c r="AN3498" t="s">
        <v>6585</v>
      </c>
      <c r="AO3498">
        <v>-123.783796</v>
      </c>
      <c r="AP3498">
        <v>100</v>
      </c>
      <c r="AQ3498">
        <v>2100</v>
      </c>
      <c r="AR3498" t="s">
        <v>118</v>
      </c>
      <c r="AS3498">
        <v>-77</v>
      </c>
      <c r="AT3498">
        <v>16</v>
      </c>
      <c r="AU3498">
        <v>192</v>
      </c>
      <c r="BC3498">
        <v>1200</v>
      </c>
      <c r="BD3498">
        <v>1</v>
      </c>
      <c r="BE3498" t="str">
        <f t="shared" si="164"/>
        <v xml:space="preserve">N215T   </v>
      </c>
      <c r="BF3498">
        <v>1</v>
      </c>
      <c r="BH3498">
        <v>0</v>
      </c>
      <c r="BI3498">
        <v>0</v>
      </c>
      <c r="BJ3498">
        <v>0</v>
      </c>
      <c r="BK3498">
        <v>2475</v>
      </c>
      <c r="BL3498">
        <v>375</v>
      </c>
      <c r="BM3498" t="s">
        <v>119</v>
      </c>
      <c r="BN3498">
        <v>1</v>
      </c>
      <c r="BO3498">
        <v>1</v>
      </c>
      <c r="BP3498">
        <v>1</v>
      </c>
      <c r="BQ3498">
        <v>0</v>
      </c>
      <c r="BT3498">
        <v>0</v>
      </c>
      <c r="BU3498">
        <v>0</v>
      </c>
      <c r="BV3498">
        <v>0</v>
      </c>
      <c r="CC3498" t="str">
        <f>"19:33:15.000"</f>
        <v>19:33:15.000</v>
      </c>
      <c r="CD3498" t="str">
        <f>"997708176"</f>
        <v>997708176</v>
      </c>
      <c r="CQ3498">
        <v>0</v>
      </c>
      <c r="CR3498">
        <v>2</v>
      </c>
      <c r="CS3498">
        <v>0</v>
      </c>
      <c r="CT3498">
        <v>2</v>
      </c>
      <c r="CU3498">
        <v>0</v>
      </c>
      <c r="CV3498">
        <v>4</v>
      </c>
      <c r="CW3498" t="s">
        <v>120</v>
      </c>
      <c r="CX3498">
        <v>257</v>
      </c>
      <c r="CY3498">
        <v>0</v>
      </c>
      <c r="CZ3498" t="s">
        <v>615</v>
      </c>
      <c r="DA3498" t="s">
        <v>616</v>
      </c>
      <c r="DD3498">
        <v>16453412</v>
      </c>
      <c r="DE3498" t="s">
        <v>123</v>
      </c>
    </row>
    <row r="3499" spans="1:109" x14ac:dyDescent="0.3">
      <c r="A3499" t="str">
        <f>"19:33:16.258"</f>
        <v>19:33:16.258</v>
      </c>
      <c r="B3499" t="s">
        <v>110</v>
      </c>
      <c r="C3499" t="str">
        <f t="shared" si="162"/>
        <v>ffdfd3c0</v>
      </c>
      <c r="D3499" t="s">
        <v>111</v>
      </c>
      <c r="E3499">
        <v>18</v>
      </c>
      <c r="F3499">
        <v>1018</v>
      </c>
      <c r="G3499" t="s">
        <v>112</v>
      </c>
      <c r="J3499" t="s">
        <v>113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R3499" t="s">
        <v>114</v>
      </c>
      <c r="S3499" t="str">
        <f>"19:33:16.031"</f>
        <v>19:33:16.031</v>
      </c>
      <c r="T3499" t="str">
        <f>"19:33:15.828"</f>
        <v>19:33:15.828</v>
      </c>
      <c r="U3499" t="str">
        <f t="shared" si="163"/>
        <v>a1cdbe</v>
      </c>
      <c r="V3499">
        <v>0</v>
      </c>
      <c r="W3499">
        <v>0</v>
      </c>
      <c r="X3499">
        <v>2</v>
      </c>
      <c r="Y3499">
        <v>0</v>
      </c>
      <c r="Z3499">
        <v>0</v>
      </c>
      <c r="AB3499">
        <v>0</v>
      </c>
      <c r="AC3499">
        <v>9</v>
      </c>
      <c r="AD3499">
        <v>3</v>
      </c>
      <c r="AE3499">
        <v>0</v>
      </c>
      <c r="AF3499">
        <v>9</v>
      </c>
      <c r="AG3499" t="s">
        <v>158</v>
      </c>
      <c r="AH3499">
        <v>0</v>
      </c>
      <c r="AI3499">
        <v>3</v>
      </c>
      <c r="AJ3499">
        <v>1</v>
      </c>
      <c r="AK3499">
        <v>0</v>
      </c>
      <c r="AL3499" t="s">
        <v>6586</v>
      </c>
      <c r="AM3499">
        <v>47.016720999999997</v>
      </c>
      <c r="AN3499" t="s">
        <v>6587</v>
      </c>
      <c r="AO3499">
        <v>-123.78433200000001</v>
      </c>
      <c r="AP3499">
        <v>100</v>
      </c>
      <c r="AQ3499">
        <v>2100</v>
      </c>
      <c r="AR3499" t="s">
        <v>118</v>
      </c>
      <c r="AS3499">
        <v>-76</v>
      </c>
      <c r="AT3499">
        <v>16</v>
      </c>
      <c r="AU3499">
        <v>192</v>
      </c>
      <c r="BC3499">
        <v>1200</v>
      </c>
      <c r="BD3499">
        <v>1</v>
      </c>
      <c r="BE3499" t="str">
        <f t="shared" si="164"/>
        <v xml:space="preserve">N215T   </v>
      </c>
      <c r="BF3499">
        <v>1</v>
      </c>
      <c r="BH3499">
        <v>0</v>
      </c>
      <c r="BI3499">
        <v>0</v>
      </c>
      <c r="BJ3499">
        <v>0</v>
      </c>
      <c r="BK3499">
        <v>2475</v>
      </c>
      <c r="BL3499">
        <v>375</v>
      </c>
      <c r="BM3499" t="s">
        <v>119</v>
      </c>
      <c r="BN3499">
        <v>1</v>
      </c>
      <c r="BO3499">
        <v>1</v>
      </c>
      <c r="BP3499">
        <v>1</v>
      </c>
      <c r="BQ3499">
        <v>0</v>
      </c>
      <c r="BT3499">
        <v>0</v>
      </c>
      <c r="BU3499">
        <v>0</v>
      </c>
      <c r="BV3499">
        <v>0</v>
      </c>
      <c r="CC3499" t="str">
        <f>"19:33:16.031"</f>
        <v>19:33:16.031</v>
      </c>
      <c r="CD3499" t="str">
        <f>"032606210"</f>
        <v>032606210</v>
      </c>
      <c r="CQ3499">
        <v>0</v>
      </c>
      <c r="CR3499">
        <v>2</v>
      </c>
      <c r="CS3499">
        <v>0</v>
      </c>
      <c r="CT3499">
        <v>2</v>
      </c>
      <c r="CU3499">
        <v>0</v>
      </c>
      <c r="CV3499">
        <v>5</v>
      </c>
      <c r="CW3499" t="s">
        <v>120</v>
      </c>
      <c r="CX3499">
        <v>257</v>
      </c>
      <c r="CY3499">
        <v>0</v>
      </c>
      <c r="CZ3499" t="s">
        <v>615</v>
      </c>
      <c r="DA3499" t="s">
        <v>616</v>
      </c>
      <c r="DD3499">
        <v>16453839</v>
      </c>
      <c r="DE3499" t="s">
        <v>123</v>
      </c>
    </row>
    <row r="3500" spans="1:109" x14ac:dyDescent="0.3">
      <c r="A3500" t="str">
        <f>"19:33:17.258"</f>
        <v>19:33:17.258</v>
      </c>
      <c r="B3500" t="s">
        <v>110</v>
      </c>
      <c r="C3500" t="str">
        <f t="shared" si="162"/>
        <v>ffdfd3c0</v>
      </c>
      <c r="D3500" t="s">
        <v>111</v>
      </c>
      <c r="E3500">
        <v>18</v>
      </c>
      <c r="F3500">
        <v>1018</v>
      </c>
      <c r="G3500" t="s">
        <v>112</v>
      </c>
      <c r="J3500" t="s">
        <v>113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R3500" t="s">
        <v>114</v>
      </c>
      <c r="S3500" t="str">
        <f>"19:33:16.992"</f>
        <v>19:33:16.992</v>
      </c>
      <c r="T3500" t="str">
        <f>"19:33:16.789"</f>
        <v>19:33:16.789</v>
      </c>
      <c r="U3500" t="str">
        <f t="shared" si="163"/>
        <v>a1cdbe</v>
      </c>
      <c r="V3500">
        <v>0</v>
      </c>
      <c r="W3500">
        <v>0</v>
      </c>
      <c r="X3500">
        <v>2</v>
      </c>
      <c r="Y3500">
        <v>0</v>
      </c>
      <c r="Z3500">
        <v>0</v>
      </c>
      <c r="AB3500">
        <v>0</v>
      </c>
      <c r="AC3500">
        <v>9</v>
      </c>
      <c r="AD3500">
        <v>3</v>
      </c>
      <c r="AE3500">
        <v>0</v>
      </c>
      <c r="AF3500">
        <v>9</v>
      </c>
      <c r="AG3500" t="s">
        <v>158</v>
      </c>
      <c r="AH3500">
        <v>0</v>
      </c>
      <c r="AI3500">
        <v>3</v>
      </c>
      <c r="AJ3500">
        <v>1</v>
      </c>
      <c r="AK3500">
        <v>0</v>
      </c>
      <c r="AL3500" t="s">
        <v>6588</v>
      </c>
      <c r="AM3500">
        <v>47.016784999999999</v>
      </c>
      <c r="AN3500" t="s">
        <v>6589</v>
      </c>
      <c r="AO3500">
        <v>-123.784869</v>
      </c>
      <c r="AP3500">
        <v>100</v>
      </c>
      <c r="AQ3500">
        <v>2100</v>
      </c>
      <c r="AR3500" t="s">
        <v>118</v>
      </c>
      <c r="AS3500">
        <v>-76</v>
      </c>
      <c r="AT3500">
        <v>16</v>
      </c>
      <c r="AU3500">
        <v>192</v>
      </c>
      <c r="BC3500">
        <v>1200</v>
      </c>
      <c r="BD3500">
        <v>1</v>
      </c>
      <c r="BE3500" t="str">
        <f t="shared" si="164"/>
        <v xml:space="preserve">N215T   </v>
      </c>
      <c r="BF3500">
        <v>1</v>
      </c>
      <c r="BH3500">
        <v>0</v>
      </c>
      <c r="BI3500">
        <v>0</v>
      </c>
      <c r="BJ3500">
        <v>0</v>
      </c>
      <c r="BK3500">
        <v>2475</v>
      </c>
      <c r="BL3500">
        <v>375</v>
      </c>
      <c r="BM3500" t="s">
        <v>119</v>
      </c>
      <c r="BN3500">
        <v>1</v>
      </c>
      <c r="BO3500">
        <v>1</v>
      </c>
      <c r="BP3500">
        <v>1</v>
      </c>
      <c r="BQ3500">
        <v>0</v>
      </c>
      <c r="BT3500">
        <v>0</v>
      </c>
      <c r="BU3500">
        <v>0</v>
      </c>
      <c r="BV3500">
        <v>0</v>
      </c>
      <c r="CC3500" t="str">
        <f>"19:33:16.992"</f>
        <v>19:33:16.992</v>
      </c>
      <c r="CD3500" t="str">
        <f>"992511618"</f>
        <v>992511618</v>
      </c>
      <c r="CQ3500">
        <v>0</v>
      </c>
      <c r="CR3500">
        <v>2</v>
      </c>
      <c r="CS3500">
        <v>0</v>
      </c>
      <c r="CT3500">
        <v>2</v>
      </c>
      <c r="CU3500">
        <v>0</v>
      </c>
      <c r="CV3500">
        <v>5</v>
      </c>
      <c r="CW3500" t="s">
        <v>120</v>
      </c>
      <c r="CX3500">
        <v>257</v>
      </c>
      <c r="CY3500">
        <v>0</v>
      </c>
      <c r="CZ3500" t="s">
        <v>615</v>
      </c>
      <c r="DA3500" t="s">
        <v>616</v>
      </c>
      <c r="DD3500">
        <v>16454230</v>
      </c>
      <c r="DE3500" t="s">
        <v>123</v>
      </c>
    </row>
    <row r="3501" spans="1:109" x14ac:dyDescent="0.3">
      <c r="A3501" t="str">
        <f>"19:33:18.219"</f>
        <v>19:33:18.219</v>
      </c>
      <c r="B3501" t="s">
        <v>110</v>
      </c>
      <c r="C3501" t="str">
        <f t="shared" si="162"/>
        <v>ffdfd3c0</v>
      </c>
      <c r="D3501" t="s">
        <v>111</v>
      </c>
      <c r="E3501">
        <v>18</v>
      </c>
      <c r="F3501">
        <v>1018</v>
      </c>
      <c r="G3501" t="s">
        <v>112</v>
      </c>
      <c r="J3501" t="s">
        <v>113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R3501" t="s">
        <v>114</v>
      </c>
      <c r="S3501" t="str">
        <f>"19:33:17.961"</f>
        <v>19:33:17.961</v>
      </c>
      <c r="T3501" t="str">
        <f>"19:33:17.859"</f>
        <v>19:33:17.859</v>
      </c>
      <c r="U3501" t="str">
        <f t="shared" si="163"/>
        <v>a1cdbe</v>
      </c>
      <c r="V3501">
        <v>0</v>
      </c>
      <c r="W3501">
        <v>0</v>
      </c>
      <c r="X3501">
        <v>2</v>
      </c>
      <c r="Y3501">
        <v>0</v>
      </c>
      <c r="Z3501">
        <v>0</v>
      </c>
      <c r="AB3501">
        <v>0</v>
      </c>
      <c r="AC3501">
        <v>9</v>
      </c>
      <c r="AD3501">
        <v>3</v>
      </c>
      <c r="AE3501">
        <v>0</v>
      </c>
      <c r="AF3501">
        <v>9</v>
      </c>
      <c r="AG3501" t="s">
        <v>158</v>
      </c>
      <c r="AH3501">
        <v>0</v>
      </c>
      <c r="AI3501">
        <v>3</v>
      </c>
      <c r="AJ3501">
        <v>1</v>
      </c>
      <c r="AK3501">
        <v>0</v>
      </c>
      <c r="AL3501" t="s">
        <v>6590</v>
      </c>
      <c r="AM3501">
        <v>47.016871000000002</v>
      </c>
      <c r="AN3501" t="s">
        <v>6591</v>
      </c>
      <c r="AO3501">
        <v>-123.78536200000001</v>
      </c>
      <c r="AP3501">
        <v>100</v>
      </c>
      <c r="AQ3501">
        <v>2100</v>
      </c>
      <c r="AR3501" t="s">
        <v>118</v>
      </c>
      <c r="AS3501">
        <v>-76</v>
      </c>
      <c r="AT3501">
        <v>16</v>
      </c>
      <c r="AU3501">
        <v>192</v>
      </c>
      <c r="BC3501">
        <v>1200</v>
      </c>
      <c r="BD3501">
        <v>1</v>
      </c>
      <c r="BE3501" t="str">
        <f t="shared" si="164"/>
        <v xml:space="preserve">N215T   </v>
      </c>
      <c r="BF3501">
        <v>1</v>
      </c>
      <c r="BH3501">
        <v>0</v>
      </c>
      <c r="BI3501">
        <v>0</v>
      </c>
      <c r="BJ3501">
        <v>0</v>
      </c>
      <c r="BK3501">
        <v>2500</v>
      </c>
      <c r="BL3501">
        <v>400</v>
      </c>
      <c r="BM3501" t="s">
        <v>119</v>
      </c>
      <c r="BN3501">
        <v>1</v>
      </c>
      <c r="BO3501">
        <v>1</v>
      </c>
      <c r="BP3501">
        <v>1</v>
      </c>
      <c r="BQ3501">
        <v>0</v>
      </c>
      <c r="BT3501">
        <v>0</v>
      </c>
      <c r="BU3501">
        <v>0</v>
      </c>
      <c r="BV3501">
        <v>0</v>
      </c>
      <c r="CC3501" t="str">
        <f>"19:33:17.969"</f>
        <v>19:33:17.969</v>
      </c>
      <c r="CD3501" t="str">
        <f>"967415577"</f>
        <v>967415577</v>
      </c>
      <c r="CQ3501">
        <v>0</v>
      </c>
      <c r="CR3501">
        <v>2</v>
      </c>
      <c r="CS3501">
        <v>0</v>
      </c>
      <c r="CT3501">
        <v>2</v>
      </c>
      <c r="CU3501">
        <v>0</v>
      </c>
      <c r="CV3501">
        <v>5</v>
      </c>
      <c r="CW3501" t="s">
        <v>120</v>
      </c>
      <c r="CX3501">
        <v>257</v>
      </c>
      <c r="CY3501">
        <v>0</v>
      </c>
      <c r="CZ3501" t="s">
        <v>615</v>
      </c>
      <c r="DA3501" t="s">
        <v>616</v>
      </c>
      <c r="DD3501">
        <v>16454651</v>
      </c>
      <c r="DE3501" t="s">
        <v>123</v>
      </c>
    </row>
    <row r="3502" spans="1:109" x14ac:dyDescent="0.3">
      <c r="A3502" t="str">
        <f>"19:33:19.070"</f>
        <v>19:33:19.070</v>
      </c>
      <c r="B3502" t="s">
        <v>110</v>
      </c>
      <c r="C3502" t="str">
        <f t="shared" si="162"/>
        <v>ffdfd3c0</v>
      </c>
      <c r="D3502" t="s">
        <v>111</v>
      </c>
      <c r="E3502">
        <v>18</v>
      </c>
      <c r="F3502">
        <v>1018</v>
      </c>
      <c r="G3502" t="s">
        <v>112</v>
      </c>
      <c r="J3502" t="s">
        <v>113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R3502" t="s">
        <v>114</v>
      </c>
      <c r="S3502" t="str">
        <f>"19:33:18.805"</f>
        <v>19:33:18.805</v>
      </c>
      <c r="T3502" t="str">
        <f>"19:33:18.305"</f>
        <v>19:33:18.305</v>
      </c>
      <c r="U3502" t="str">
        <f t="shared" si="163"/>
        <v>a1cdbe</v>
      </c>
      <c r="V3502">
        <v>0</v>
      </c>
      <c r="W3502">
        <v>0</v>
      </c>
      <c r="X3502">
        <v>2</v>
      </c>
      <c r="Y3502">
        <v>0</v>
      </c>
      <c r="Z3502">
        <v>0</v>
      </c>
      <c r="AB3502">
        <v>0</v>
      </c>
      <c r="AC3502">
        <v>9</v>
      </c>
      <c r="AD3502">
        <v>3</v>
      </c>
      <c r="AE3502">
        <v>0</v>
      </c>
      <c r="AF3502">
        <v>9</v>
      </c>
      <c r="AG3502" t="s">
        <v>158</v>
      </c>
      <c r="AH3502">
        <v>0</v>
      </c>
      <c r="AI3502">
        <v>3</v>
      </c>
      <c r="AJ3502">
        <v>1</v>
      </c>
      <c r="AK3502">
        <v>0</v>
      </c>
      <c r="AL3502" t="s">
        <v>6592</v>
      </c>
      <c r="AM3502">
        <v>47.016914</v>
      </c>
      <c r="AN3502" t="s">
        <v>6593</v>
      </c>
      <c r="AO3502">
        <v>-123.78577</v>
      </c>
      <c r="AP3502">
        <v>100</v>
      </c>
      <c r="AQ3502">
        <v>2100</v>
      </c>
      <c r="AR3502" t="s">
        <v>118</v>
      </c>
      <c r="AS3502">
        <v>-76</v>
      </c>
      <c r="AT3502">
        <v>16</v>
      </c>
      <c r="AU3502">
        <v>192</v>
      </c>
      <c r="BC3502">
        <v>1200</v>
      </c>
      <c r="BD3502">
        <v>1</v>
      </c>
      <c r="BE3502" t="str">
        <f t="shared" si="164"/>
        <v xml:space="preserve">N215T   </v>
      </c>
      <c r="BF3502">
        <v>1</v>
      </c>
      <c r="BH3502">
        <v>0</v>
      </c>
      <c r="BI3502">
        <v>0</v>
      </c>
      <c r="BJ3502">
        <v>0</v>
      </c>
      <c r="BK3502">
        <v>2500</v>
      </c>
      <c r="BL3502">
        <v>400</v>
      </c>
      <c r="BM3502" t="s">
        <v>119</v>
      </c>
      <c r="BN3502">
        <v>1</v>
      </c>
      <c r="BO3502">
        <v>1</v>
      </c>
      <c r="BP3502">
        <v>1</v>
      </c>
      <c r="BQ3502">
        <v>0</v>
      </c>
      <c r="BT3502">
        <v>0</v>
      </c>
      <c r="BU3502">
        <v>0</v>
      </c>
      <c r="BV3502">
        <v>0</v>
      </c>
      <c r="CC3502" t="str">
        <f>"19:33:18.805"</f>
        <v>19:33:18.805</v>
      </c>
      <c r="CD3502" t="str">
        <f>"807332804"</f>
        <v>807332804</v>
      </c>
      <c r="CQ3502">
        <v>0</v>
      </c>
      <c r="CR3502">
        <v>2</v>
      </c>
      <c r="CS3502">
        <v>0</v>
      </c>
      <c r="CT3502">
        <v>2</v>
      </c>
      <c r="CU3502">
        <v>0</v>
      </c>
      <c r="CV3502">
        <v>5</v>
      </c>
      <c r="CW3502" t="s">
        <v>120</v>
      </c>
      <c r="CX3502">
        <v>257</v>
      </c>
      <c r="CY3502">
        <v>0</v>
      </c>
      <c r="CZ3502" t="s">
        <v>615</v>
      </c>
      <c r="DA3502" t="s">
        <v>616</v>
      </c>
      <c r="DD3502">
        <v>16455027</v>
      </c>
      <c r="DE3502" t="s">
        <v>123</v>
      </c>
    </row>
    <row r="3503" spans="1:109" x14ac:dyDescent="0.3">
      <c r="A3503" t="str">
        <f>"19:33:20.227"</f>
        <v>19:33:20.227</v>
      </c>
      <c r="B3503" t="s">
        <v>110</v>
      </c>
      <c r="C3503" t="str">
        <f t="shared" si="162"/>
        <v>ffdfd3c0</v>
      </c>
      <c r="D3503" t="s">
        <v>111</v>
      </c>
      <c r="E3503">
        <v>18</v>
      </c>
      <c r="F3503">
        <v>1018</v>
      </c>
      <c r="G3503" t="s">
        <v>112</v>
      </c>
      <c r="J3503" t="s">
        <v>113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R3503" t="s">
        <v>114</v>
      </c>
      <c r="S3503" t="str">
        <f>"19:33:19.977"</f>
        <v>19:33:19.977</v>
      </c>
      <c r="T3503" t="str">
        <f>"19:33:19.875"</f>
        <v>19:33:19.875</v>
      </c>
      <c r="U3503" t="str">
        <f t="shared" si="163"/>
        <v>a1cdbe</v>
      </c>
      <c r="V3503">
        <v>0</v>
      </c>
      <c r="W3503">
        <v>0</v>
      </c>
      <c r="X3503">
        <v>2</v>
      </c>
      <c r="Y3503">
        <v>0</v>
      </c>
      <c r="Z3503">
        <v>0</v>
      </c>
      <c r="AB3503">
        <v>0</v>
      </c>
      <c r="AC3503">
        <v>9</v>
      </c>
      <c r="AD3503">
        <v>3</v>
      </c>
      <c r="AE3503">
        <v>0</v>
      </c>
      <c r="AF3503">
        <v>9</v>
      </c>
      <c r="AG3503" t="s">
        <v>158</v>
      </c>
      <c r="AH3503">
        <v>0</v>
      </c>
      <c r="AI3503">
        <v>3</v>
      </c>
      <c r="AJ3503">
        <v>1</v>
      </c>
      <c r="AK3503">
        <v>0</v>
      </c>
      <c r="AL3503" t="s">
        <v>6594</v>
      </c>
      <c r="AM3503">
        <v>47.017000000000003</v>
      </c>
      <c r="AN3503" t="s">
        <v>6595</v>
      </c>
      <c r="AO3503">
        <v>-123.78639200000001</v>
      </c>
      <c r="AP3503">
        <v>100</v>
      </c>
      <c r="AQ3503">
        <v>2100</v>
      </c>
      <c r="AR3503" t="s">
        <v>118</v>
      </c>
      <c r="AS3503">
        <v>-76</v>
      </c>
      <c r="AT3503">
        <v>16</v>
      </c>
      <c r="AU3503">
        <v>128</v>
      </c>
      <c r="BC3503">
        <v>1200</v>
      </c>
      <c r="BD3503">
        <v>1</v>
      </c>
      <c r="BE3503" t="str">
        <f t="shared" si="164"/>
        <v xml:space="preserve">N215T   </v>
      </c>
      <c r="BF3503">
        <v>1</v>
      </c>
      <c r="BH3503">
        <v>0</v>
      </c>
      <c r="BI3503">
        <v>0</v>
      </c>
      <c r="BJ3503">
        <v>0</v>
      </c>
      <c r="BK3503">
        <v>2500</v>
      </c>
      <c r="BL3503">
        <v>400</v>
      </c>
      <c r="BM3503" t="s">
        <v>119</v>
      </c>
      <c r="BN3503">
        <v>1</v>
      </c>
      <c r="BO3503">
        <v>1</v>
      </c>
      <c r="BP3503">
        <v>1</v>
      </c>
      <c r="BQ3503">
        <v>0</v>
      </c>
      <c r="BT3503">
        <v>0</v>
      </c>
      <c r="BU3503">
        <v>0</v>
      </c>
      <c r="BV3503">
        <v>0</v>
      </c>
      <c r="CC3503" t="str">
        <f>"19:33:19.977"</f>
        <v>19:33:19.977</v>
      </c>
      <c r="CD3503" t="str">
        <f>"977217552"</f>
        <v>977217552</v>
      </c>
      <c r="CQ3503">
        <v>0</v>
      </c>
      <c r="CR3503">
        <v>2</v>
      </c>
      <c r="CS3503">
        <v>0</v>
      </c>
      <c r="CT3503">
        <v>2</v>
      </c>
      <c r="CU3503">
        <v>0</v>
      </c>
      <c r="CV3503">
        <v>5</v>
      </c>
      <c r="CW3503" t="s">
        <v>120</v>
      </c>
      <c r="CX3503">
        <v>257</v>
      </c>
      <c r="CY3503">
        <v>0</v>
      </c>
      <c r="CZ3503" t="s">
        <v>615</v>
      </c>
      <c r="DA3503" t="s">
        <v>616</v>
      </c>
      <c r="DD3503">
        <v>16455533</v>
      </c>
      <c r="DE3503" t="s">
        <v>123</v>
      </c>
    </row>
    <row r="3504" spans="1:109" x14ac:dyDescent="0.3">
      <c r="A3504" t="str">
        <f>"19:33:21.180"</f>
        <v>19:33:21.180</v>
      </c>
      <c r="B3504" t="s">
        <v>110</v>
      </c>
      <c r="C3504" t="str">
        <f t="shared" si="162"/>
        <v>ffdfd3c0</v>
      </c>
      <c r="D3504" t="s">
        <v>111</v>
      </c>
      <c r="E3504">
        <v>18</v>
      </c>
      <c r="F3504">
        <v>1018</v>
      </c>
      <c r="G3504" t="s">
        <v>112</v>
      </c>
      <c r="J3504" t="s">
        <v>113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R3504" t="s">
        <v>114</v>
      </c>
      <c r="S3504" t="str">
        <f>"19:33:20.945"</f>
        <v>19:33:20.945</v>
      </c>
      <c r="T3504" t="str">
        <f>"19:33:20.945"</f>
        <v>19:33:20.945</v>
      </c>
      <c r="U3504" t="str">
        <f t="shared" si="163"/>
        <v>a1cdbe</v>
      </c>
      <c r="V3504">
        <v>0</v>
      </c>
      <c r="W3504">
        <v>0</v>
      </c>
      <c r="X3504">
        <v>2</v>
      </c>
      <c r="Y3504">
        <v>0</v>
      </c>
      <c r="Z3504">
        <v>0</v>
      </c>
      <c r="AB3504">
        <v>0</v>
      </c>
      <c r="AC3504">
        <v>9</v>
      </c>
      <c r="AD3504">
        <v>3</v>
      </c>
      <c r="AE3504">
        <v>0</v>
      </c>
      <c r="AF3504">
        <v>9</v>
      </c>
      <c r="AG3504" t="s">
        <v>158</v>
      </c>
      <c r="AH3504">
        <v>0</v>
      </c>
      <c r="AI3504">
        <v>3</v>
      </c>
      <c r="AJ3504">
        <v>1</v>
      </c>
      <c r="AK3504">
        <v>0</v>
      </c>
      <c r="AL3504" t="s">
        <v>6596</v>
      </c>
      <c r="AM3504">
        <v>47.017063999999998</v>
      </c>
      <c r="AN3504" t="s">
        <v>6597</v>
      </c>
      <c r="AO3504">
        <v>-123.786907</v>
      </c>
      <c r="AP3504">
        <v>100</v>
      </c>
      <c r="AQ3504">
        <v>2100</v>
      </c>
      <c r="AR3504" t="s">
        <v>118</v>
      </c>
      <c r="AS3504">
        <v>-76</v>
      </c>
      <c r="AT3504">
        <v>16</v>
      </c>
      <c r="AU3504">
        <v>128</v>
      </c>
      <c r="BC3504">
        <v>1200</v>
      </c>
      <c r="BD3504">
        <v>1</v>
      </c>
      <c r="BE3504" t="str">
        <f t="shared" si="164"/>
        <v xml:space="preserve">N215T   </v>
      </c>
      <c r="BF3504">
        <v>1</v>
      </c>
      <c r="BH3504">
        <v>0</v>
      </c>
      <c r="BI3504">
        <v>0</v>
      </c>
      <c r="BJ3504">
        <v>0</v>
      </c>
      <c r="BK3504">
        <v>2500</v>
      </c>
      <c r="BL3504">
        <v>400</v>
      </c>
      <c r="BM3504" t="s">
        <v>119</v>
      </c>
      <c r="BN3504">
        <v>1</v>
      </c>
      <c r="BO3504">
        <v>1</v>
      </c>
      <c r="BP3504">
        <v>1</v>
      </c>
      <c r="BQ3504">
        <v>0</v>
      </c>
      <c r="BT3504">
        <v>0</v>
      </c>
      <c r="BU3504">
        <v>0</v>
      </c>
      <c r="BV3504">
        <v>0</v>
      </c>
      <c r="CC3504" t="str">
        <f>"19:33:20.953"</f>
        <v>19:33:20.953</v>
      </c>
      <c r="CD3504" t="str">
        <f>"952121498"</f>
        <v>952121498</v>
      </c>
      <c r="CQ3504">
        <v>0</v>
      </c>
      <c r="CR3504">
        <v>2</v>
      </c>
      <c r="CS3504">
        <v>0</v>
      </c>
      <c r="CT3504">
        <v>2</v>
      </c>
      <c r="CU3504">
        <v>0</v>
      </c>
      <c r="CV3504">
        <v>5</v>
      </c>
      <c r="CW3504" t="s">
        <v>120</v>
      </c>
      <c r="CX3504">
        <v>257</v>
      </c>
      <c r="CY3504">
        <v>0</v>
      </c>
      <c r="CZ3504" t="s">
        <v>615</v>
      </c>
      <c r="DA3504" t="s">
        <v>616</v>
      </c>
      <c r="DD3504">
        <v>16455938</v>
      </c>
      <c r="DE3504" t="s">
        <v>123</v>
      </c>
    </row>
    <row r="3505" spans="1:109" x14ac:dyDescent="0.3">
      <c r="A3505" t="str">
        <f>"19:33:22.289"</f>
        <v>19:33:22.289</v>
      </c>
      <c r="B3505" t="s">
        <v>110</v>
      </c>
      <c r="C3505" t="str">
        <f t="shared" si="162"/>
        <v>ffdfd3c0</v>
      </c>
      <c r="D3505" t="s">
        <v>111</v>
      </c>
      <c r="E3505">
        <v>18</v>
      </c>
      <c r="F3505">
        <v>1018</v>
      </c>
      <c r="G3505" t="s">
        <v>112</v>
      </c>
      <c r="J3505" t="s">
        <v>113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R3505" t="s">
        <v>114</v>
      </c>
      <c r="S3505" t="str">
        <f>"19:33:22.031"</f>
        <v>19:33:22.031</v>
      </c>
      <c r="T3505" t="str">
        <f>"19:33:21.930"</f>
        <v>19:33:21.930</v>
      </c>
      <c r="U3505" t="str">
        <f t="shared" si="163"/>
        <v>a1cdbe</v>
      </c>
      <c r="V3505">
        <v>0</v>
      </c>
      <c r="W3505">
        <v>0</v>
      </c>
      <c r="X3505">
        <v>2</v>
      </c>
      <c r="Y3505">
        <v>0</v>
      </c>
      <c r="Z3505">
        <v>0</v>
      </c>
      <c r="AB3505">
        <v>0</v>
      </c>
      <c r="AC3505">
        <v>9</v>
      </c>
      <c r="AD3505">
        <v>3</v>
      </c>
      <c r="AE3505">
        <v>0</v>
      </c>
      <c r="AF3505">
        <v>9</v>
      </c>
      <c r="AG3505" t="s">
        <v>158</v>
      </c>
      <c r="AH3505">
        <v>0</v>
      </c>
      <c r="AI3505">
        <v>3</v>
      </c>
      <c r="AJ3505">
        <v>1</v>
      </c>
      <c r="AK3505">
        <v>0</v>
      </c>
      <c r="AL3505" t="s">
        <v>6598</v>
      </c>
      <c r="AM3505">
        <v>47.017128</v>
      </c>
      <c r="AN3505" t="s">
        <v>6599</v>
      </c>
      <c r="AO3505">
        <v>-123.787487</v>
      </c>
      <c r="AP3505">
        <v>100</v>
      </c>
      <c r="AQ3505">
        <v>2100</v>
      </c>
      <c r="AR3505" t="s">
        <v>118</v>
      </c>
      <c r="AS3505">
        <v>-76</v>
      </c>
      <c r="AT3505">
        <v>16</v>
      </c>
      <c r="AU3505">
        <v>64</v>
      </c>
      <c r="BC3505">
        <v>1200</v>
      </c>
      <c r="BD3505">
        <v>1</v>
      </c>
      <c r="BE3505" t="str">
        <f t="shared" si="164"/>
        <v xml:space="preserve">N215T   </v>
      </c>
      <c r="BF3505">
        <v>1</v>
      </c>
      <c r="BH3505">
        <v>0</v>
      </c>
      <c r="BI3505">
        <v>0</v>
      </c>
      <c r="BJ3505">
        <v>0</v>
      </c>
      <c r="BK3505">
        <v>2500</v>
      </c>
      <c r="BL3505">
        <v>400</v>
      </c>
      <c r="BM3505" t="s">
        <v>119</v>
      </c>
      <c r="BN3505">
        <v>1</v>
      </c>
      <c r="BO3505">
        <v>1</v>
      </c>
      <c r="BP3505">
        <v>1</v>
      </c>
      <c r="BQ3505">
        <v>0</v>
      </c>
      <c r="BT3505">
        <v>0</v>
      </c>
      <c r="BU3505">
        <v>0</v>
      </c>
      <c r="BV3505">
        <v>0</v>
      </c>
      <c r="CC3505" t="str">
        <f>"19:33:22.031"</f>
        <v>19:33:22.031</v>
      </c>
      <c r="CD3505" t="str">
        <f>"032015081"</f>
        <v>032015081</v>
      </c>
      <c r="CQ3505">
        <v>0</v>
      </c>
      <c r="CR3505">
        <v>2</v>
      </c>
      <c r="CS3505">
        <v>0</v>
      </c>
      <c r="CT3505">
        <v>2</v>
      </c>
      <c r="CU3505">
        <v>0</v>
      </c>
      <c r="CV3505">
        <v>5</v>
      </c>
      <c r="CW3505" t="s">
        <v>120</v>
      </c>
      <c r="CX3505">
        <v>257</v>
      </c>
      <c r="CY3505">
        <v>0</v>
      </c>
      <c r="CZ3505" t="s">
        <v>615</v>
      </c>
      <c r="DA3505" t="s">
        <v>616</v>
      </c>
      <c r="DD3505">
        <v>16456390</v>
      </c>
      <c r="DE3505" t="s">
        <v>123</v>
      </c>
    </row>
    <row r="3506" spans="1:109" x14ac:dyDescent="0.3">
      <c r="A3506" t="str">
        <f>"19:33:23.297"</f>
        <v>19:33:23.297</v>
      </c>
      <c r="B3506" t="s">
        <v>110</v>
      </c>
      <c r="C3506" t="str">
        <f t="shared" si="162"/>
        <v>ffdfd3c0</v>
      </c>
      <c r="D3506" t="s">
        <v>111</v>
      </c>
      <c r="E3506">
        <v>18</v>
      </c>
      <c r="F3506">
        <v>1018</v>
      </c>
      <c r="G3506" t="s">
        <v>112</v>
      </c>
      <c r="J3506" t="s">
        <v>113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R3506" t="s">
        <v>114</v>
      </c>
      <c r="S3506" t="str">
        <f>"19:33:23.063"</f>
        <v>19:33:23.063</v>
      </c>
      <c r="T3506" t="str">
        <f>"19:33:22.859"</f>
        <v>19:33:22.859</v>
      </c>
      <c r="U3506" t="str">
        <f t="shared" si="163"/>
        <v>a1cdbe</v>
      </c>
      <c r="V3506">
        <v>0</v>
      </c>
      <c r="W3506">
        <v>0</v>
      </c>
      <c r="X3506">
        <v>2</v>
      </c>
      <c r="Y3506">
        <v>0</v>
      </c>
      <c r="Z3506">
        <v>0</v>
      </c>
      <c r="AB3506">
        <v>0</v>
      </c>
      <c r="AC3506">
        <v>9</v>
      </c>
      <c r="AD3506">
        <v>3</v>
      </c>
      <c r="AE3506">
        <v>0</v>
      </c>
      <c r="AF3506">
        <v>9</v>
      </c>
      <c r="AG3506" t="s">
        <v>158</v>
      </c>
      <c r="AH3506">
        <v>0</v>
      </c>
      <c r="AI3506">
        <v>3</v>
      </c>
      <c r="AJ3506">
        <v>1</v>
      </c>
      <c r="AK3506">
        <v>0</v>
      </c>
      <c r="AL3506" t="s">
        <v>6600</v>
      </c>
      <c r="AM3506">
        <v>47.017192999999999</v>
      </c>
      <c r="AN3506" t="s">
        <v>6601</v>
      </c>
      <c r="AO3506">
        <v>-123.787959</v>
      </c>
      <c r="AP3506">
        <v>100</v>
      </c>
      <c r="AQ3506">
        <v>2100</v>
      </c>
      <c r="AR3506" t="s">
        <v>118</v>
      </c>
      <c r="AS3506">
        <v>-76</v>
      </c>
      <c r="AT3506">
        <v>16</v>
      </c>
      <c r="AU3506">
        <v>64</v>
      </c>
      <c r="BC3506">
        <v>1200</v>
      </c>
      <c r="BD3506">
        <v>1</v>
      </c>
      <c r="BE3506" t="str">
        <f t="shared" si="164"/>
        <v xml:space="preserve">N215T   </v>
      </c>
      <c r="BF3506">
        <v>1</v>
      </c>
      <c r="BH3506">
        <v>0</v>
      </c>
      <c r="BI3506">
        <v>0</v>
      </c>
      <c r="BJ3506">
        <v>0</v>
      </c>
      <c r="BK3506">
        <v>2500</v>
      </c>
      <c r="BL3506">
        <v>400</v>
      </c>
      <c r="BM3506" t="s">
        <v>119</v>
      </c>
      <c r="BN3506">
        <v>1</v>
      </c>
      <c r="BO3506">
        <v>1</v>
      </c>
      <c r="BP3506">
        <v>1</v>
      </c>
      <c r="BQ3506">
        <v>0</v>
      </c>
      <c r="BT3506">
        <v>0</v>
      </c>
      <c r="BU3506">
        <v>0</v>
      </c>
      <c r="BV3506">
        <v>0</v>
      </c>
      <c r="CC3506" t="str">
        <f>"19:33:23.070"</f>
        <v>19:33:23.070</v>
      </c>
      <c r="CD3506" t="str">
        <f>"066913131"</f>
        <v>066913131</v>
      </c>
      <c r="CQ3506">
        <v>0</v>
      </c>
      <c r="CR3506">
        <v>2</v>
      </c>
      <c r="CS3506">
        <v>0</v>
      </c>
      <c r="CT3506">
        <v>2</v>
      </c>
      <c r="CU3506">
        <v>0</v>
      </c>
      <c r="CV3506">
        <v>3</v>
      </c>
      <c r="CW3506" t="s">
        <v>120</v>
      </c>
      <c r="CX3506">
        <v>257</v>
      </c>
      <c r="CY3506">
        <v>0</v>
      </c>
      <c r="CZ3506" t="s">
        <v>615</v>
      </c>
      <c r="DA3506" t="s">
        <v>616</v>
      </c>
      <c r="DD3506">
        <v>16456861</v>
      </c>
      <c r="DE3506" t="s">
        <v>123</v>
      </c>
    </row>
    <row r="3507" spans="1:109" x14ac:dyDescent="0.3">
      <c r="A3507" t="str">
        <f>"19:33:24.250"</f>
        <v>19:33:24.250</v>
      </c>
      <c r="B3507" t="s">
        <v>110</v>
      </c>
      <c r="C3507" t="str">
        <f t="shared" si="162"/>
        <v>ffdfd3c0</v>
      </c>
      <c r="D3507" t="s">
        <v>111</v>
      </c>
      <c r="E3507">
        <v>18</v>
      </c>
      <c r="F3507">
        <v>1018</v>
      </c>
      <c r="G3507" t="s">
        <v>112</v>
      </c>
      <c r="J3507" t="s">
        <v>113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R3507" t="s">
        <v>114</v>
      </c>
      <c r="S3507" t="str">
        <f>"19:33:24.008"</f>
        <v>19:33:24.008</v>
      </c>
      <c r="T3507" t="str">
        <f>"19:33:23.906"</f>
        <v>19:33:23.906</v>
      </c>
      <c r="U3507" t="str">
        <f t="shared" si="163"/>
        <v>a1cdbe</v>
      </c>
      <c r="V3507">
        <v>0</v>
      </c>
      <c r="W3507">
        <v>0</v>
      </c>
      <c r="X3507">
        <v>2</v>
      </c>
      <c r="Y3507">
        <v>0</v>
      </c>
      <c r="Z3507">
        <v>0</v>
      </c>
      <c r="AB3507">
        <v>0</v>
      </c>
      <c r="AC3507">
        <v>9</v>
      </c>
      <c r="AD3507">
        <v>3</v>
      </c>
      <c r="AE3507">
        <v>0</v>
      </c>
      <c r="AF3507">
        <v>9</v>
      </c>
      <c r="AG3507" t="s">
        <v>158</v>
      </c>
      <c r="AH3507">
        <v>0</v>
      </c>
      <c r="AI3507">
        <v>3</v>
      </c>
      <c r="AJ3507">
        <v>1</v>
      </c>
      <c r="AK3507">
        <v>0</v>
      </c>
      <c r="AL3507" t="s">
        <v>6602</v>
      </c>
      <c r="AM3507">
        <v>47.017322</v>
      </c>
      <c r="AN3507" t="s">
        <v>6603</v>
      </c>
      <c r="AO3507">
        <v>-123.78845200000001</v>
      </c>
      <c r="AP3507">
        <v>100</v>
      </c>
      <c r="AQ3507">
        <v>2100</v>
      </c>
      <c r="AR3507" t="s">
        <v>118</v>
      </c>
      <c r="AS3507">
        <v>-76</v>
      </c>
      <c r="AT3507">
        <v>16</v>
      </c>
      <c r="AU3507">
        <v>64</v>
      </c>
      <c r="BC3507">
        <v>1200</v>
      </c>
      <c r="BD3507">
        <v>1</v>
      </c>
      <c r="BE3507" t="str">
        <f t="shared" si="164"/>
        <v xml:space="preserve">N215T   </v>
      </c>
      <c r="BF3507">
        <v>1</v>
      </c>
      <c r="BH3507">
        <v>0</v>
      </c>
      <c r="BI3507">
        <v>0</v>
      </c>
      <c r="BJ3507">
        <v>0</v>
      </c>
      <c r="BK3507">
        <v>2500</v>
      </c>
      <c r="BL3507">
        <v>400</v>
      </c>
      <c r="BM3507" t="s">
        <v>119</v>
      </c>
      <c r="BN3507">
        <v>1</v>
      </c>
      <c r="BO3507">
        <v>1</v>
      </c>
      <c r="BP3507">
        <v>1</v>
      </c>
      <c r="BQ3507">
        <v>0</v>
      </c>
      <c r="BT3507">
        <v>0</v>
      </c>
      <c r="BU3507">
        <v>0</v>
      </c>
      <c r="BV3507">
        <v>0</v>
      </c>
      <c r="CC3507" t="str">
        <f>"19:33:24.016"</f>
        <v>19:33:24.016</v>
      </c>
      <c r="CD3507" t="str">
        <f>"011820020"</f>
        <v>011820020</v>
      </c>
      <c r="CQ3507">
        <v>0</v>
      </c>
      <c r="CR3507">
        <v>2</v>
      </c>
      <c r="CS3507">
        <v>0</v>
      </c>
      <c r="CT3507">
        <v>2</v>
      </c>
      <c r="CU3507">
        <v>0</v>
      </c>
      <c r="CV3507">
        <v>4</v>
      </c>
      <c r="CW3507" t="s">
        <v>120</v>
      </c>
      <c r="CX3507">
        <v>257</v>
      </c>
      <c r="CY3507">
        <v>0</v>
      </c>
      <c r="CZ3507" t="s">
        <v>615</v>
      </c>
      <c r="DA3507" t="s">
        <v>616</v>
      </c>
      <c r="DD3507">
        <v>16457289</v>
      </c>
      <c r="DE3507" t="s">
        <v>123</v>
      </c>
    </row>
    <row r="3508" spans="1:109" x14ac:dyDescent="0.3">
      <c r="A3508" t="str">
        <f>"19:33:25.250"</f>
        <v>19:33:25.250</v>
      </c>
      <c r="B3508" t="s">
        <v>110</v>
      </c>
      <c r="C3508" t="str">
        <f t="shared" si="162"/>
        <v>ffdfd3c0</v>
      </c>
      <c r="D3508" t="s">
        <v>111</v>
      </c>
      <c r="E3508">
        <v>18</v>
      </c>
      <c r="F3508">
        <v>1018</v>
      </c>
      <c r="G3508" t="s">
        <v>112</v>
      </c>
      <c r="J3508" t="s">
        <v>113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R3508" t="s">
        <v>114</v>
      </c>
      <c r="S3508" t="str">
        <f>"19:33:25.031"</f>
        <v>19:33:25.031</v>
      </c>
      <c r="T3508" t="str">
        <f>"19:33:25.031"</f>
        <v>19:33:25.031</v>
      </c>
      <c r="U3508" t="str">
        <f t="shared" si="163"/>
        <v>a1cdbe</v>
      </c>
      <c r="V3508">
        <v>0</v>
      </c>
      <c r="W3508">
        <v>0</v>
      </c>
      <c r="X3508">
        <v>2</v>
      </c>
      <c r="Y3508">
        <v>0</v>
      </c>
      <c r="Z3508">
        <v>0</v>
      </c>
      <c r="AB3508">
        <v>0</v>
      </c>
      <c r="AC3508">
        <v>9</v>
      </c>
      <c r="AD3508">
        <v>3</v>
      </c>
      <c r="AE3508">
        <v>0</v>
      </c>
      <c r="AF3508">
        <v>9</v>
      </c>
      <c r="AG3508" t="s">
        <v>158</v>
      </c>
      <c r="AH3508">
        <v>0</v>
      </c>
      <c r="AI3508">
        <v>3</v>
      </c>
      <c r="AJ3508">
        <v>1</v>
      </c>
      <c r="AK3508">
        <v>0</v>
      </c>
      <c r="AL3508" t="s">
        <v>6604</v>
      </c>
      <c r="AM3508">
        <v>47.017386000000002</v>
      </c>
      <c r="AN3508" t="s">
        <v>6605</v>
      </c>
      <c r="AO3508">
        <v>-123.788946</v>
      </c>
      <c r="AP3508">
        <v>100</v>
      </c>
      <c r="AQ3508">
        <v>2100</v>
      </c>
      <c r="AR3508" t="s">
        <v>118</v>
      </c>
      <c r="AS3508">
        <v>-76</v>
      </c>
      <c r="AT3508">
        <v>17</v>
      </c>
      <c r="AU3508">
        <v>0</v>
      </c>
      <c r="BC3508">
        <v>1200</v>
      </c>
      <c r="BD3508">
        <v>1</v>
      </c>
      <c r="BE3508" t="str">
        <f t="shared" si="164"/>
        <v xml:space="preserve">N215T   </v>
      </c>
      <c r="BF3508">
        <v>1</v>
      </c>
      <c r="BH3508">
        <v>0</v>
      </c>
      <c r="BI3508">
        <v>0</v>
      </c>
      <c r="BJ3508">
        <v>0</v>
      </c>
      <c r="BK3508">
        <v>2500</v>
      </c>
      <c r="BL3508">
        <v>400</v>
      </c>
      <c r="BM3508" t="s">
        <v>119</v>
      </c>
      <c r="BN3508">
        <v>1</v>
      </c>
      <c r="BO3508">
        <v>1</v>
      </c>
      <c r="BP3508">
        <v>1</v>
      </c>
      <c r="BQ3508">
        <v>0</v>
      </c>
      <c r="BT3508">
        <v>0</v>
      </c>
      <c r="BU3508">
        <v>0</v>
      </c>
      <c r="BV3508">
        <v>0</v>
      </c>
      <c r="CC3508" t="str">
        <f>"19:33:25.031"</f>
        <v>19:33:25.031</v>
      </c>
      <c r="CD3508" t="str">
        <f>"031719547"</f>
        <v>031719547</v>
      </c>
      <c r="CQ3508">
        <v>0</v>
      </c>
      <c r="CR3508">
        <v>2</v>
      </c>
      <c r="CS3508">
        <v>0</v>
      </c>
      <c r="CT3508">
        <v>2</v>
      </c>
      <c r="CU3508">
        <v>0</v>
      </c>
      <c r="CV3508">
        <v>4</v>
      </c>
      <c r="CW3508" t="s">
        <v>120</v>
      </c>
      <c r="CX3508">
        <v>257</v>
      </c>
      <c r="CY3508">
        <v>0</v>
      </c>
      <c r="CZ3508" t="s">
        <v>615</v>
      </c>
      <c r="DA3508" t="s">
        <v>616</v>
      </c>
      <c r="DD3508">
        <v>16457727</v>
      </c>
      <c r="DE3508" t="s">
        <v>123</v>
      </c>
    </row>
    <row r="3509" spans="1:109" x14ac:dyDescent="0.3">
      <c r="A3509" t="str">
        <f>"19:33:26.305"</f>
        <v>19:33:26.305</v>
      </c>
      <c r="B3509" t="s">
        <v>110</v>
      </c>
      <c r="C3509" t="str">
        <f t="shared" si="162"/>
        <v>ffdfd3c0</v>
      </c>
      <c r="D3509" t="s">
        <v>111</v>
      </c>
      <c r="E3509">
        <v>18</v>
      </c>
      <c r="F3509">
        <v>1018</v>
      </c>
      <c r="G3509" t="s">
        <v>112</v>
      </c>
      <c r="J3509" t="s">
        <v>113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R3509" t="s">
        <v>114</v>
      </c>
      <c r="S3509" t="str">
        <f>"19:33:26.063"</f>
        <v>19:33:26.063</v>
      </c>
      <c r="T3509" t="str">
        <f>"19:33:25.961"</f>
        <v>19:33:25.961</v>
      </c>
      <c r="U3509" t="str">
        <f t="shared" si="163"/>
        <v>a1cdbe</v>
      </c>
      <c r="V3509">
        <v>0</v>
      </c>
      <c r="W3509">
        <v>0</v>
      </c>
      <c r="X3509">
        <v>2</v>
      </c>
      <c r="Y3509">
        <v>0</v>
      </c>
      <c r="Z3509">
        <v>0</v>
      </c>
      <c r="AB3509">
        <v>0</v>
      </c>
      <c r="AC3509">
        <v>9</v>
      </c>
      <c r="AD3509">
        <v>3</v>
      </c>
      <c r="AE3509">
        <v>0</v>
      </c>
      <c r="AF3509">
        <v>9</v>
      </c>
      <c r="AG3509" t="s">
        <v>158</v>
      </c>
      <c r="AH3509">
        <v>0</v>
      </c>
      <c r="AI3509">
        <v>3</v>
      </c>
      <c r="AJ3509">
        <v>1</v>
      </c>
      <c r="AK3509">
        <v>0</v>
      </c>
      <c r="AL3509" t="s">
        <v>6606</v>
      </c>
      <c r="AM3509">
        <v>47.017449999999997</v>
      </c>
      <c r="AN3509" t="s">
        <v>6607</v>
      </c>
      <c r="AO3509">
        <v>-123.789546</v>
      </c>
      <c r="AP3509">
        <v>100</v>
      </c>
      <c r="AQ3509">
        <v>2100</v>
      </c>
      <c r="AR3509" t="s">
        <v>118</v>
      </c>
      <c r="AS3509">
        <v>-76</v>
      </c>
      <c r="AT3509">
        <v>17</v>
      </c>
      <c r="AU3509">
        <v>0</v>
      </c>
      <c r="BC3509">
        <v>1200</v>
      </c>
      <c r="BD3509">
        <v>1</v>
      </c>
      <c r="BE3509" t="str">
        <f t="shared" si="164"/>
        <v xml:space="preserve">N215T   </v>
      </c>
      <c r="BF3509">
        <v>1</v>
      </c>
      <c r="BH3509">
        <v>0</v>
      </c>
      <c r="BI3509">
        <v>0</v>
      </c>
      <c r="BJ3509">
        <v>0</v>
      </c>
      <c r="BK3509">
        <v>2500</v>
      </c>
      <c r="BL3509">
        <v>400</v>
      </c>
      <c r="BM3509" t="s">
        <v>119</v>
      </c>
      <c r="BN3509">
        <v>1</v>
      </c>
      <c r="BO3509">
        <v>1</v>
      </c>
      <c r="BP3509">
        <v>1</v>
      </c>
      <c r="BQ3509">
        <v>0</v>
      </c>
      <c r="BT3509">
        <v>0</v>
      </c>
      <c r="BU3509">
        <v>0</v>
      </c>
      <c r="BV3509">
        <v>0</v>
      </c>
      <c r="CC3509" t="str">
        <f>"19:33:26.070"</f>
        <v>19:33:26.070</v>
      </c>
      <c r="CD3509" t="str">
        <f>"066617581"</f>
        <v>066617581</v>
      </c>
      <c r="CQ3509">
        <v>0</v>
      </c>
      <c r="CR3509">
        <v>2</v>
      </c>
      <c r="CS3509">
        <v>0</v>
      </c>
      <c r="CT3509">
        <v>2</v>
      </c>
      <c r="CU3509">
        <v>0</v>
      </c>
      <c r="CV3509">
        <v>5</v>
      </c>
      <c r="CW3509" t="s">
        <v>120</v>
      </c>
      <c r="CX3509">
        <v>257</v>
      </c>
      <c r="CY3509">
        <v>0</v>
      </c>
      <c r="CZ3509" t="s">
        <v>615</v>
      </c>
      <c r="DA3509" t="s">
        <v>616</v>
      </c>
      <c r="DD3509">
        <v>16458147</v>
      </c>
      <c r="DE3509" t="s">
        <v>123</v>
      </c>
    </row>
    <row r="3510" spans="1:109" x14ac:dyDescent="0.3">
      <c r="A3510" t="str">
        <f>"19:33:27.313"</f>
        <v>19:33:27.313</v>
      </c>
      <c r="B3510" t="s">
        <v>110</v>
      </c>
      <c r="C3510" t="str">
        <f t="shared" si="162"/>
        <v>ffdfd3c0</v>
      </c>
      <c r="D3510" t="s">
        <v>111</v>
      </c>
      <c r="E3510">
        <v>18</v>
      </c>
      <c r="F3510">
        <v>1018</v>
      </c>
      <c r="G3510" t="s">
        <v>112</v>
      </c>
      <c r="J3510" t="s">
        <v>113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R3510" t="s">
        <v>114</v>
      </c>
      <c r="S3510" t="str">
        <f>"19:33:27.055"</f>
        <v>19:33:27.055</v>
      </c>
      <c r="T3510" t="str">
        <f>"19:33:26.555"</f>
        <v>19:33:26.555</v>
      </c>
      <c r="U3510" t="str">
        <f t="shared" si="163"/>
        <v>a1cdbe</v>
      </c>
      <c r="V3510">
        <v>0</v>
      </c>
      <c r="W3510">
        <v>0</v>
      </c>
      <c r="X3510">
        <v>2</v>
      </c>
      <c r="Y3510">
        <v>0</v>
      </c>
      <c r="Z3510">
        <v>0</v>
      </c>
      <c r="AB3510">
        <v>0</v>
      </c>
      <c r="AC3510">
        <v>9</v>
      </c>
      <c r="AD3510">
        <v>3</v>
      </c>
      <c r="AE3510">
        <v>0</v>
      </c>
      <c r="AF3510">
        <v>9</v>
      </c>
      <c r="AG3510" t="s">
        <v>158</v>
      </c>
      <c r="AH3510">
        <v>0</v>
      </c>
      <c r="AI3510">
        <v>3</v>
      </c>
      <c r="AJ3510">
        <v>1</v>
      </c>
      <c r="AK3510">
        <v>0</v>
      </c>
      <c r="AL3510" t="s">
        <v>6608</v>
      </c>
      <c r="AM3510">
        <v>47.017536</v>
      </c>
      <c r="AN3510" t="s">
        <v>6609</v>
      </c>
      <c r="AO3510">
        <v>-123.789997</v>
      </c>
      <c r="AP3510">
        <v>100</v>
      </c>
      <c r="AQ3510">
        <v>2100</v>
      </c>
      <c r="AR3510" t="s">
        <v>118</v>
      </c>
      <c r="AS3510">
        <v>-76</v>
      </c>
      <c r="AT3510">
        <v>17</v>
      </c>
      <c r="AU3510">
        <v>0</v>
      </c>
      <c r="BC3510">
        <v>1200</v>
      </c>
      <c r="BD3510">
        <v>1</v>
      </c>
      <c r="BE3510" t="str">
        <f t="shared" si="164"/>
        <v xml:space="preserve">N215T   </v>
      </c>
      <c r="BF3510">
        <v>1</v>
      </c>
      <c r="BH3510">
        <v>0</v>
      </c>
      <c r="BI3510">
        <v>0</v>
      </c>
      <c r="BJ3510">
        <v>0</v>
      </c>
      <c r="BK3510">
        <v>2500</v>
      </c>
      <c r="BL3510">
        <v>400</v>
      </c>
      <c r="BM3510" t="s">
        <v>119</v>
      </c>
      <c r="BN3510">
        <v>1</v>
      </c>
      <c r="BO3510">
        <v>1</v>
      </c>
      <c r="BP3510">
        <v>1</v>
      </c>
      <c r="BQ3510">
        <v>0</v>
      </c>
      <c r="BT3510">
        <v>0</v>
      </c>
      <c r="BU3510">
        <v>0</v>
      </c>
      <c r="BV3510">
        <v>0</v>
      </c>
      <c r="CC3510" t="str">
        <f>"19:33:27.055"</f>
        <v>19:33:27.055</v>
      </c>
      <c r="CD3510" t="str">
        <f>"056520049"</f>
        <v>056520049</v>
      </c>
      <c r="CQ3510">
        <v>0</v>
      </c>
      <c r="CR3510">
        <v>2</v>
      </c>
      <c r="CS3510">
        <v>0</v>
      </c>
      <c r="CT3510">
        <v>2</v>
      </c>
      <c r="CU3510">
        <v>0</v>
      </c>
      <c r="CV3510">
        <v>5</v>
      </c>
      <c r="CW3510" t="s">
        <v>120</v>
      </c>
      <c r="CX3510">
        <v>257</v>
      </c>
      <c r="CY3510">
        <v>0</v>
      </c>
      <c r="CZ3510" t="s">
        <v>615</v>
      </c>
      <c r="DA3510" t="s">
        <v>616</v>
      </c>
      <c r="DD3510">
        <v>16458547</v>
      </c>
      <c r="DE3510" t="s">
        <v>123</v>
      </c>
    </row>
    <row r="3511" spans="1:109" x14ac:dyDescent="0.3">
      <c r="A3511" t="str">
        <f>"19:33:28.367"</f>
        <v>19:33:28.367</v>
      </c>
      <c r="B3511" t="s">
        <v>110</v>
      </c>
      <c r="C3511" t="str">
        <f t="shared" si="162"/>
        <v>ffdfd3c0</v>
      </c>
      <c r="D3511" t="s">
        <v>111</v>
      </c>
      <c r="E3511">
        <v>18</v>
      </c>
      <c r="F3511">
        <v>1018</v>
      </c>
      <c r="G3511" t="s">
        <v>112</v>
      </c>
      <c r="J3511" t="s">
        <v>113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R3511" t="s">
        <v>114</v>
      </c>
      <c r="S3511" t="str">
        <f>"19:33:28.117"</f>
        <v>19:33:28.117</v>
      </c>
      <c r="T3511" t="str">
        <f>"19:33:28.117"</f>
        <v>19:33:28.117</v>
      </c>
      <c r="U3511" t="str">
        <f t="shared" si="163"/>
        <v>a1cdbe</v>
      </c>
      <c r="V3511">
        <v>0</v>
      </c>
      <c r="W3511">
        <v>0</v>
      </c>
      <c r="X3511">
        <v>2</v>
      </c>
      <c r="Y3511">
        <v>0</v>
      </c>
      <c r="Z3511">
        <v>0</v>
      </c>
      <c r="AB3511">
        <v>0</v>
      </c>
      <c r="AC3511">
        <v>9</v>
      </c>
      <c r="AD3511">
        <v>3</v>
      </c>
      <c r="AE3511">
        <v>0</v>
      </c>
      <c r="AF3511">
        <v>9</v>
      </c>
      <c r="AG3511" t="s">
        <v>158</v>
      </c>
      <c r="AH3511">
        <v>0</v>
      </c>
      <c r="AI3511">
        <v>3</v>
      </c>
      <c r="AJ3511">
        <v>1</v>
      </c>
      <c r="AK3511">
        <v>0</v>
      </c>
      <c r="AL3511" t="s">
        <v>6610</v>
      </c>
      <c r="AM3511">
        <v>47.017643</v>
      </c>
      <c r="AN3511" t="s">
        <v>6611</v>
      </c>
      <c r="AO3511">
        <v>-123.790576</v>
      </c>
      <c r="AP3511">
        <v>100</v>
      </c>
      <c r="AQ3511">
        <v>2100</v>
      </c>
      <c r="AR3511" t="s">
        <v>118</v>
      </c>
      <c r="AS3511">
        <v>-76</v>
      </c>
      <c r="AT3511">
        <v>17</v>
      </c>
      <c r="AU3511">
        <v>-64</v>
      </c>
      <c r="BC3511">
        <v>1200</v>
      </c>
      <c r="BD3511">
        <v>1</v>
      </c>
      <c r="BE3511" t="str">
        <f t="shared" si="164"/>
        <v xml:space="preserve">N215T   </v>
      </c>
      <c r="BF3511">
        <v>1</v>
      </c>
      <c r="BH3511">
        <v>0</v>
      </c>
      <c r="BI3511">
        <v>0</v>
      </c>
      <c r="BJ3511">
        <v>0</v>
      </c>
      <c r="BK3511">
        <v>2500</v>
      </c>
      <c r="BL3511">
        <v>400</v>
      </c>
      <c r="BM3511" t="s">
        <v>119</v>
      </c>
      <c r="BN3511">
        <v>1</v>
      </c>
      <c r="BO3511">
        <v>1</v>
      </c>
      <c r="BP3511">
        <v>1</v>
      </c>
      <c r="BQ3511">
        <v>0</v>
      </c>
      <c r="BT3511">
        <v>0</v>
      </c>
      <c r="BU3511">
        <v>0</v>
      </c>
      <c r="BV3511">
        <v>0</v>
      </c>
      <c r="CC3511" t="str">
        <f>"19:33:28.125"</f>
        <v>19:33:28.125</v>
      </c>
      <c r="CD3511" t="str">
        <f>"121415140"</f>
        <v>121415140</v>
      </c>
      <c r="CQ3511">
        <v>0</v>
      </c>
      <c r="CR3511">
        <v>2</v>
      </c>
      <c r="CS3511">
        <v>0</v>
      </c>
      <c r="CT3511">
        <v>2</v>
      </c>
      <c r="CU3511">
        <v>0</v>
      </c>
      <c r="CV3511">
        <v>4</v>
      </c>
      <c r="CW3511" t="s">
        <v>120</v>
      </c>
      <c r="CX3511">
        <v>257</v>
      </c>
      <c r="CY3511">
        <v>0</v>
      </c>
      <c r="CZ3511" t="s">
        <v>615</v>
      </c>
      <c r="DA3511" t="s">
        <v>616</v>
      </c>
      <c r="DD3511">
        <v>16459005</v>
      </c>
      <c r="DE3511" t="s">
        <v>123</v>
      </c>
    </row>
    <row r="3512" spans="1:109" x14ac:dyDescent="0.3">
      <c r="A3512" t="str">
        <f>"19:33:29.227"</f>
        <v>19:33:29.227</v>
      </c>
      <c r="B3512" t="s">
        <v>110</v>
      </c>
      <c r="C3512" t="str">
        <f t="shared" si="162"/>
        <v>ffdfd3c0</v>
      </c>
      <c r="D3512" t="s">
        <v>111</v>
      </c>
      <c r="E3512">
        <v>18</v>
      </c>
      <c r="F3512">
        <v>1018</v>
      </c>
      <c r="G3512" t="s">
        <v>112</v>
      </c>
      <c r="J3512" t="s">
        <v>113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R3512" t="s">
        <v>114</v>
      </c>
      <c r="S3512" t="str">
        <f>"19:33:28.969"</f>
        <v>19:33:28.969</v>
      </c>
      <c r="T3512" t="str">
        <f>"19:33:28.570"</f>
        <v>19:33:28.570</v>
      </c>
      <c r="U3512" t="str">
        <f t="shared" si="163"/>
        <v>a1cdbe</v>
      </c>
      <c r="V3512">
        <v>0</v>
      </c>
      <c r="W3512">
        <v>0</v>
      </c>
      <c r="X3512">
        <v>2</v>
      </c>
      <c r="Y3512">
        <v>0</v>
      </c>
      <c r="Z3512">
        <v>0</v>
      </c>
      <c r="AB3512">
        <v>0</v>
      </c>
      <c r="AC3512">
        <v>9</v>
      </c>
      <c r="AD3512">
        <v>3</v>
      </c>
      <c r="AE3512">
        <v>0</v>
      </c>
      <c r="AF3512">
        <v>9</v>
      </c>
      <c r="AG3512" t="s">
        <v>158</v>
      </c>
      <c r="AH3512">
        <v>0</v>
      </c>
      <c r="AI3512">
        <v>3</v>
      </c>
      <c r="AJ3512">
        <v>1</v>
      </c>
      <c r="AK3512">
        <v>0</v>
      </c>
      <c r="AL3512" t="s">
        <v>6612</v>
      </c>
      <c r="AM3512">
        <v>47.017665000000001</v>
      </c>
      <c r="AN3512" t="s">
        <v>6613</v>
      </c>
      <c r="AO3512">
        <v>-123.791049</v>
      </c>
      <c r="AP3512">
        <v>100</v>
      </c>
      <c r="AQ3512">
        <v>2100</v>
      </c>
      <c r="AR3512" t="s">
        <v>118</v>
      </c>
      <c r="AS3512">
        <v>-76</v>
      </c>
      <c r="AT3512">
        <v>17</v>
      </c>
      <c r="AU3512">
        <v>-64</v>
      </c>
      <c r="BC3512">
        <v>1200</v>
      </c>
      <c r="BD3512">
        <v>1</v>
      </c>
      <c r="BE3512" t="str">
        <f t="shared" si="164"/>
        <v xml:space="preserve">N215T   </v>
      </c>
      <c r="BF3512">
        <v>1</v>
      </c>
      <c r="BH3512">
        <v>0</v>
      </c>
      <c r="BI3512">
        <v>0</v>
      </c>
      <c r="BJ3512">
        <v>0</v>
      </c>
      <c r="BK3512">
        <v>2500</v>
      </c>
      <c r="BL3512">
        <v>400</v>
      </c>
      <c r="BM3512" t="s">
        <v>119</v>
      </c>
      <c r="BN3512">
        <v>1</v>
      </c>
      <c r="BO3512">
        <v>1</v>
      </c>
      <c r="BP3512">
        <v>1</v>
      </c>
      <c r="BQ3512">
        <v>0</v>
      </c>
      <c r="BT3512">
        <v>0</v>
      </c>
      <c r="BU3512">
        <v>0</v>
      </c>
      <c r="BV3512">
        <v>0</v>
      </c>
      <c r="CC3512" t="str">
        <f>"19:33:28.977"</f>
        <v>19:33:28.977</v>
      </c>
      <c r="CD3512" t="str">
        <f>"976330898"</f>
        <v>976330898</v>
      </c>
      <c r="CQ3512">
        <v>0</v>
      </c>
      <c r="CR3512">
        <v>2</v>
      </c>
      <c r="CS3512">
        <v>0</v>
      </c>
      <c r="CT3512">
        <v>2</v>
      </c>
      <c r="CU3512">
        <v>0</v>
      </c>
      <c r="CV3512">
        <v>5</v>
      </c>
      <c r="CW3512" t="s">
        <v>120</v>
      </c>
      <c r="CX3512">
        <v>257</v>
      </c>
      <c r="CY3512">
        <v>0</v>
      </c>
      <c r="CZ3512" t="s">
        <v>615</v>
      </c>
      <c r="DA3512" t="s">
        <v>616</v>
      </c>
      <c r="DD3512">
        <v>16459360</v>
      </c>
      <c r="DE3512" t="s">
        <v>123</v>
      </c>
    </row>
    <row r="3513" spans="1:109" x14ac:dyDescent="0.3">
      <c r="A3513" t="str">
        <f>"19:33:30.180"</f>
        <v>19:33:30.180</v>
      </c>
      <c r="B3513" t="s">
        <v>110</v>
      </c>
      <c r="C3513" t="str">
        <f t="shared" si="162"/>
        <v>ffdfd3c0</v>
      </c>
      <c r="D3513" t="s">
        <v>111</v>
      </c>
      <c r="E3513">
        <v>18</v>
      </c>
      <c r="F3513">
        <v>1018</v>
      </c>
      <c r="G3513" t="s">
        <v>112</v>
      </c>
      <c r="J3513" t="s">
        <v>113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R3513" t="s">
        <v>114</v>
      </c>
      <c r="S3513" t="str">
        <f>"19:33:29.945"</f>
        <v>19:33:29.945</v>
      </c>
      <c r="T3513" t="str">
        <f>"19:33:29.648"</f>
        <v>19:33:29.648</v>
      </c>
      <c r="U3513" t="str">
        <f t="shared" si="163"/>
        <v>a1cdbe</v>
      </c>
      <c r="V3513">
        <v>0</v>
      </c>
      <c r="W3513">
        <v>0</v>
      </c>
      <c r="X3513">
        <v>2</v>
      </c>
      <c r="Y3513">
        <v>0</v>
      </c>
      <c r="Z3513">
        <v>0</v>
      </c>
      <c r="AB3513">
        <v>0</v>
      </c>
      <c r="AC3513">
        <v>9</v>
      </c>
      <c r="AD3513">
        <v>3</v>
      </c>
      <c r="AE3513">
        <v>0</v>
      </c>
      <c r="AF3513">
        <v>9</v>
      </c>
      <c r="AG3513" t="s">
        <v>158</v>
      </c>
      <c r="AH3513">
        <v>0</v>
      </c>
      <c r="AI3513">
        <v>3</v>
      </c>
      <c r="AJ3513">
        <v>1</v>
      </c>
      <c r="AK3513">
        <v>0</v>
      </c>
      <c r="AL3513" t="s">
        <v>6614</v>
      </c>
      <c r="AM3513">
        <v>47.017750999999997</v>
      </c>
      <c r="AN3513" t="s">
        <v>6615</v>
      </c>
      <c r="AO3513">
        <v>-123.791478</v>
      </c>
      <c r="AP3513">
        <v>100</v>
      </c>
      <c r="AQ3513">
        <v>2100</v>
      </c>
      <c r="AR3513" t="s">
        <v>118</v>
      </c>
      <c r="AS3513">
        <v>-76</v>
      </c>
      <c r="AT3513">
        <v>17</v>
      </c>
      <c r="AU3513">
        <v>0</v>
      </c>
      <c r="BC3513">
        <v>1200</v>
      </c>
      <c r="BD3513">
        <v>1</v>
      </c>
      <c r="BE3513" t="str">
        <f t="shared" si="164"/>
        <v xml:space="preserve">N215T   </v>
      </c>
      <c r="BF3513">
        <v>1</v>
      </c>
      <c r="BH3513">
        <v>0</v>
      </c>
      <c r="BI3513">
        <v>0</v>
      </c>
      <c r="BJ3513">
        <v>0</v>
      </c>
      <c r="BK3513">
        <v>2500</v>
      </c>
      <c r="BL3513">
        <v>400</v>
      </c>
      <c r="BM3513" t="s">
        <v>119</v>
      </c>
      <c r="BN3513">
        <v>1</v>
      </c>
      <c r="BO3513">
        <v>1</v>
      </c>
      <c r="BP3513">
        <v>1</v>
      </c>
      <c r="BQ3513">
        <v>0</v>
      </c>
      <c r="BT3513">
        <v>0</v>
      </c>
      <c r="BU3513">
        <v>0</v>
      </c>
      <c r="BV3513">
        <v>0</v>
      </c>
      <c r="CC3513" t="str">
        <f>"19:33:29.953"</f>
        <v>19:33:29.953</v>
      </c>
      <c r="CD3513" t="str">
        <f>"951234845"</f>
        <v>951234845</v>
      </c>
      <c r="CQ3513">
        <v>0</v>
      </c>
      <c r="CR3513">
        <v>2</v>
      </c>
      <c r="CS3513">
        <v>0</v>
      </c>
      <c r="CT3513">
        <v>2</v>
      </c>
      <c r="CU3513">
        <v>0</v>
      </c>
      <c r="CV3513">
        <v>5</v>
      </c>
      <c r="CW3513" t="s">
        <v>120</v>
      </c>
      <c r="CX3513">
        <v>257</v>
      </c>
      <c r="CY3513">
        <v>0</v>
      </c>
      <c r="CZ3513" t="s">
        <v>615</v>
      </c>
      <c r="DA3513" t="s">
        <v>616</v>
      </c>
      <c r="DD3513">
        <v>16459730</v>
      </c>
      <c r="DE3513" t="s">
        <v>123</v>
      </c>
    </row>
    <row r="3514" spans="1:109" x14ac:dyDescent="0.3">
      <c r="A3514" t="str">
        <f>"19:33:31.133"</f>
        <v>19:33:31.133</v>
      </c>
      <c r="B3514" t="s">
        <v>110</v>
      </c>
      <c r="C3514" t="str">
        <f t="shared" si="162"/>
        <v>ffdfd3c0</v>
      </c>
      <c r="D3514" t="s">
        <v>111</v>
      </c>
      <c r="E3514">
        <v>18</v>
      </c>
      <c r="F3514">
        <v>1018</v>
      </c>
      <c r="G3514" t="s">
        <v>112</v>
      </c>
      <c r="J3514" t="s">
        <v>113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R3514" t="s">
        <v>114</v>
      </c>
      <c r="S3514" t="str">
        <f>"19:33:30.875"</f>
        <v>19:33:30.875</v>
      </c>
      <c r="T3514" t="str">
        <f>"19:33:30.578"</f>
        <v>19:33:30.578</v>
      </c>
      <c r="U3514" t="str">
        <f t="shared" si="163"/>
        <v>a1cdbe</v>
      </c>
      <c r="V3514">
        <v>0</v>
      </c>
      <c r="W3514">
        <v>0</v>
      </c>
      <c r="X3514">
        <v>2</v>
      </c>
      <c r="Y3514">
        <v>0</v>
      </c>
      <c r="Z3514">
        <v>0</v>
      </c>
      <c r="AB3514">
        <v>0</v>
      </c>
      <c r="AC3514">
        <v>9</v>
      </c>
      <c r="AD3514">
        <v>3</v>
      </c>
      <c r="AE3514">
        <v>0</v>
      </c>
      <c r="AF3514">
        <v>9</v>
      </c>
      <c r="AG3514" t="s">
        <v>158</v>
      </c>
      <c r="AH3514">
        <v>0</v>
      </c>
      <c r="AI3514">
        <v>3</v>
      </c>
      <c r="AJ3514">
        <v>1</v>
      </c>
      <c r="AK3514">
        <v>0</v>
      </c>
      <c r="AL3514" t="s">
        <v>721</v>
      </c>
      <c r="AM3514">
        <v>47.017814999999999</v>
      </c>
      <c r="AN3514" t="s">
        <v>6616</v>
      </c>
      <c r="AO3514">
        <v>-123.79201399999999</v>
      </c>
      <c r="AP3514">
        <v>100</v>
      </c>
      <c r="AQ3514">
        <v>2100</v>
      </c>
      <c r="AR3514" t="s">
        <v>118</v>
      </c>
      <c r="AS3514">
        <v>-76</v>
      </c>
      <c r="AT3514">
        <v>17</v>
      </c>
      <c r="AU3514">
        <v>0</v>
      </c>
      <c r="BC3514">
        <v>1200</v>
      </c>
      <c r="BD3514">
        <v>1</v>
      </c>
      <c r="BE3514" t="str">
        <f t="shared" si="164"/>
        <v xml:space="preserve">N215T   </v>
      </c>
      <c r="BF3514">
        <v>1</v>
      </c>
      <c r="BH3514">
        <v>0</v>
      </c>
      <c r="BI3514">
        <v>0</v>
      </c>
      <c r="BJ3514">
        <v>0</v>
      </c>
      <c r="BK3514">
        <v>2500</v>
      </c>
      <c r="BL3514">
        <v>400</v>
      </c>
      <c r="BM3514" t="s">
        <v>119</v>
      </c>
      <c r="BN3514">
        <v>1</v>
      </c>
      <c r="BO3514">
        <v>1</v>
      </c>
      <c r="BP3514">
        <v>1</v>
      </c>
      <c r="BQ3514">
        <v>0</v>
      </c>
      <c r="BT3514">
        <v>0</v>
      </c>
      <c r="BU3514">
        <v>0</v>
      </c>
      <c r="BV3514">
        <v>0</v>
      </c>
      <c r="CC3514" t="str">
        <f>"19:33:30.883"</f>
        <v>19:33:30.883</v>
      </c>
      <c r="CD3514" t="str">
        <f>"881143220"</f>
        <v>881143220</v>
      </c>
      <c r="CQ3514">
        <v>0</v>
      </c>
      <c r="CR3514">
        <v>2</v>
      </c>
      <c r="CS3514">
        <v>0</v>
      </c>
      <c r="CT3514">
        <v>2</v>
      </c>
      <c r="CU3514">
        <v>0</v>
      </c>
      <c r="CV3514">
        <v>5</v>
      </c>
      <c r="CW3514" t="s">
        <v>120</v>
      </c>
      <c r="CX3514">
        <v>257</v>
      </c>
      <c r="CY3514">
        <v>0</v>
      </c>
      <c r="CZ3514" t="s">
        <v>615</v>
      </c>
      <c r="DA3514" t="s">
        <v>616</v>
      </c>
      <c r="DD3514">
        <v>16460119</v>
      </c>
      <c r="DE3514" t="s">
        <v>123</v>
      </c>
    </row>
    <row r="3515" spans="1:109" x14ac:dyDescent="0.3">
      <c r="A3515" t="str">
        <f>"19:33:32.188"</f>
        <v>19:33:32.188</v>
      </c>
      <c r="B3515" t="s">
        <v>110</v>
      </c>
      <c r="C3515" t="str">
        <f t="shared" si="162"/>
        <v>ffdfd3c0</v>
      </c>
      <c r="D3515" t="s">
        <v>111</v>
      </c>
      <c r="E3515">
        <v>18</v>
      </c>
      <c r="F3515">
        <v>1018</v>
      </c>
      <c r="G3515" t="s">
        <v>112</v>
      </c>
      <c r="J3515" t="s">
        <v>113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R3515" t="s">
        <v>114</v>
      </c>
      <c r="S3515" t="str">
        <f>"19:33:31.961"</f>
        <v>19:33:31.961</v>
      </c>
      <c r="T3515" t="str">
        <f>"19:33:31.664"</f>
        <v>19:33:31.664</v>
      </c>
      <c r="U3515" t="str">
        <f t="shared" si="163"/>
        <v>a1cdbe</v>
      </c>
      <c r="V3515">
        <v>0</v>
      </c>
      <c r="W3515">
        <v>0</v>
      </c>
      <c r="X3515">
        <v>2</v>
      </c>
      <c r="Y3515">
        <v>0</v>
      </c>
      <c r="Z3515">
        <v>0</v>
      </c>
      <c r="AB3515">
        <v>0</v>
      </c>
      <c r="AC3515">
        <v>9</v>
      </c>
      <c r="AD3515">
        <v>3</v>
      </c>
      <c r="AE3515">
        <v>0</v>
      </c>
      <c r="AF3515">
        <v>9</v>
      </c>
      <c r="AG3515" t="s">
        <v>158</v>
      </c>
      <c r="AH3515">
        <v>0</v>
      </c>
      <c r="AI3515">
        <v>3</v>
      </c>
      <c r="AJ3515">
        <v>1</v>
      </c>
      <c r="AK3515">
        <v>0</v>
      </c>
      <c r="AL3515" t="s">
        <v>6617</v>
      </c>
      <c r="AM3515">
        <v>47.017921999999999</v>
      </c>
      <c r="AN3515" t="s">
        <v>6618</v>
      </c>
      <c r="AO3515">
        <v>-123.79257200000001</v>
      </c>
      <c r="AP3515">
        <v>100</v>
      </c>
      <c r="AQ3515">
        <v>2100</v>
      </c>
      <c r="AR3515" t="s">
        <v>118</v>
      </c>
      <c r="AS3515">
        <v>-76</v>
      </c>
      <c r="AT3515">
        <v>17</v>
      </c>
      <c r="AU3515">
        <v>0</v>
      </c>
      <c r="BC3515">
        <v>1200</v>
      </c>
      <c r="BD3515">
        <v>1</v>
      </c>
      <c r="BE3515" t="str">
        <f t="shared" si="164"/>
        <v xml:space="preserve">N215T   </v>
      </c>
      <c r="BF3515">
        <v>1</v>
      </c>
      <c r="BH3515">
        <v>0</v>
      </c>
      <c r="BI3515">
        <v>0</v>
      </c>
      <c r="BJ3515">
        <v>0</v>
      </c>
      <c r="BK3515">
        <v>2500</v>
      </c>
      <c r="BL3515">
        <v>400</v>
      </c>
      <c r="BM3515" t="s">
        <v>119</v>
      </c>
      <c r="BN3515">
        <v>1</v>
      </c>
      <c r="BO3515">
        <v>1</v>
      </c>
      <c r="BP3515">
        <v>1</v>
      </c>
      <c r="BQ3515">
        <v>0</v>
      </c>
      <c r="BT3515">
        <v>0</v>
      </c>
      <c r="BU3515">
        <v>0</v>
      </c>
      <c r="BV3515">
        <v>0</v>
      </c>
      <c r="CC3515" t="str">
        <f>"19:33:31.961"</f>
        <v>19:33:31.961</v>
      </c>
      <c r="CD3515" t="str">
        <f>"961036805"</f>
        <v>961036805</v>
      </c>
      <c r="CQ3515">
        <v>0</v>
      </c>
      <c r="CR3515">
        <v>2</v>
      </c>
      <c r="CS3515">
        <v>0</v>
      </c>
      <c r="CT3515">
        <v>2</v>
      </c>
      <c r="CU3515">
        <v>0</v>
      </c>
      <c r="CV3515">
        <v>5</v>
      </c>
      <c r="CW3515" t="s">
        <v>120</v>
      </c>
      <c r="CX3515">
        <v>257</v>
      </c>
      <c r="CY3515">
        <v>0</v>
      </c>
      <c r="CZ3515" t="s">
        <v>615</v>
      </c>
      <c r="DA3515" t="s">
        <v>616</v>
      </c>
      <c r="DD3515">
        <v>16460575</v>
      </c>
      <c r="DE3515" t="s">
        <v>123</v>
      </c>
    </row>
    <row r="3516" spans="1:109" x14ac:dyDescent="0.3">
      <c r="A3516" t="str">
        <f>"19:33:33.297"</f>
        <v>19:33:33.297</v>
      </c>
      <c r="B3516" t="s">
        <v>110</v>
      </c>
      <c r="C3516" t="str">
        <f t="shared" si="162"/>
        <v>ffdfd3c0</v>
      </c>
      <c r="D3516" t="s">
        <v>111</v>
      </c>
      <c r="E3516">
        <v>18</v>
      </c>
      <c r="F3516">
        <v>1018</v>
      </c>
      <c r="G3516" t="s">
        <v>112</v>
      </c>
      <c r="J3516" t="s">
        <v>113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R3516" t="s">
        <v>114</v>
      </c>
      <c r="S3516" t="str">
        <f>"19:33:33.055"</f>
        <v>19:33:33.055</v>
      </c>
      <c r="T3516" t="str">
        <f>"19:33:32.656"</f>
        <v>19:33:32.656</v>
      </c>
      <c r="U3516" t="str">
        <f t="shared" si="163"/>
        <v>a1cdbe</v>
      </c>
      <c r="V3516">
        <v>0</v>
      </c>
      <c r="W3516">
        <v>0</v>
      </c>
      <c r="X3516">
        <v>2</v>
      </c>
      <c r="Y3516">
        <v>0</v>
      </c>
      <c r="Z3516">
        <v>0</v>
      </c>
      <c r="AB3516">
        <v>0</v>
      </c>
      <c r="AC3516">
        <v>9</v>
      </c>
      <c r="AD3516">
        <v>3</v>
      </c>
      <c r="AE3516">
        <v>0</v>
      </c>
      <c r="AF3516">
        <v>9</v>
      </c>
      <c r="AG3516" t="s">
        <v>158</v>
      </c>
      <c r="AH3516">
        <v>0</v>
      </c>
      <c r="AI3516">
        <v>3</v>
      </c>
      <c r="AJ3516">
        <v>1</v>
      </c>
      <c r="AK3516">
        <v>0</v>
      </c>
      <c r="AL3516" t="s">
        <v>6619</v>
      </c>
      <c r="AM3516">
        <v>47.017986999999998</v>
      </c>
      <c r="AN3516" t="s">
        <v>6620</v>
      </c>
      <c r="AO3516">
        <v>-123.793108</v>
      </c>
      <c r="AP3516">
        <v>100</v>
      </c>
      <c r="AQ3516">
        <v>2100</v>
      </c>
      <c r="AR3516" t="s">
        <v>118</v>
      </c>
      <c r="AS3516">
        <v>-76</v>
      </c>
      <c r="AT3516">
        <v>17</v>
      </c>
      <c r="AU3516">
        <v>64</v>
      </c>
      <c r="BC3516">
        <v>1200</v>
      </c>
      <c r="BD3516">
        <v>1</v>
      </c>
      <c r="BE3516" t="str">
        <f t="shared" si="164"/>
        <v xml:space="preserve">N215T   </v>
      </c>
      <c r="BF3516">
        <v>1</v>
      </c>
      <c r="BH3516">
        <v>0</v>
      </c>
      <c r="BI3516">
        <v>0</v>
      </c>
      <c r="BJ3516">
        <v>0</v>
      </c>
      <c r="BK3516">
        <v>2500</v>
      </c>
      <c r="BL3516">
        <v>400</v>
      </c>
      <c r="BM3516" t="s">
        <v>119</v>
      </c>
      <c r="BN3516">
        <v>1</v>
      </c>
      <c r="BO3516">
        <v>1</v>
      </c>
      <c r="BP3516">
        <v>1</v>
      </c>
      <c r="BQ3516">
        <v>0</v>
      </c>
      <c r="BT3516">
        <v>0</v>
      </c>
      <c r="BU3516">
        <v>0</v>
      </c>
      <c r="BV3516">
        <v>0</v>
      </c>
      <c r="CC3516" t="str">
        <f>"19:33:33.055"</f>
        <v>19:33:33.055</v>
      </c>
      <c r="CD3516" t="str">
        <f>"055928938"</f>
        <v>055928938</v>
      </c>
      <c r="CQ3516">
        <v>0</v>
      </c>
      <c r="CR3516">
        <v>2</v>
      </c>
      <c r="CS3516">
        <v>0</v>
      </c>
      <c r="CT3516">
        <v>2</v>
      </c>
      <c r="CU3516">
        <v>0</v>
      </c>
      <c r="CV3516">
        <v>4</v>
      </c>
      <c r="CW3516" t="s">
        <v>120</v>
      </c>
      <c r="CX3516">
        <v>257</v>
      </c>
      <c r="CY3516">
        <v>0</v>
      </c>
      <c r="CZ3516" t="s">
        <v>615</v>
      </c>
      <c r="DA3516" t="s">
        <v>616</v>
      </c>
      <c r="DD3516">
        <v>16461048</v>
      </c>
      <c r="DE3516" t="s">
        <v>123</v>
      </c>
    </row>
    <row r="3517" spans="1:109" x14ac:dyDescent="0.3">
      <c r="A3517" t="str">
        <f>"19:33:34.406"</f>
        <v>19:33:34.406</v>
      </c>
      <c r="B3517" t="s">
        <v>110</v>
      </c>
      <c r="C3517" t="str">
        <f t="shared" si="162"/>
        <v>ffdfd3c0</v>
      </c>
      <c r="D3517" t="s">
        <v>111</v>
      </c>
      <c r="E3517">
        <v>18</v>
      </c>
      <c r="F3517">
        <v>1018</v>
      </c>
      <c r="G3517" t="s">
        <v>112</v>
      </c>
      <c r="J3517" t="s">
        <v>113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R3517" t="s">
        <v>114</v>
      </c>
      <c r="S3517" t="str">
        <f>"19:33:34.164"</f>
        <v>19:33:34.164</v>
      </c>
      <c r="T3517" t="str">
        <f>"19:33:33.766"</f>
        <v>19:33:33.766</v>
      </c>
      <c r="U3517" t="str">
        <f t="shared" si="163"/>
        <v>a1cdbe</v>
      </c>
      <c r="V3517">
        <v>0</v>
      </c>
      <c r="W3517">
        <v>0</v>
      </c>
      <c r="X3517">
        <v>2</v>
      </c>
      <c r="Y3517">
        <v>0</v>
      </c>
      <c r="Z3517">
        <v>0</v>
      </c>
      <c r="AB3517">
        <v>0</v>
      </c>
      <c r="AC3517">
        <v>9</v>
      </c>
      <c r="AD3517">
        <v>3</v>
      </c>
      <c r="AE3517">
        <v>0</v>
      </c>
      <c r="AF3517">
        <v>9</v>
      </c>
      <c r="AG3517" t="s">
        <v>158</v>
      </c>
      <c r="AH3517">
        <v>0</v>
      </c>
      <c r="AI3517">
        <v>3</v>
      </c>
      <c r="AJ3517">
        <v>1</v>
      </c>
      <c r="AK3517">
        <v>0</v>
      </c>
      <c r="AL3517" t="s">
        <v>6621</v>
      </c>
      <c r="AM3517">
        <v>47.018093999999998</v>
      </c>
      <c r="AN3517" t="s">
        <v>6622</v>
      </c>
      <c r="AO3517">
        <v>-123.793666</v>
      </c>
      <c r="AP3517">
        <v>100</v>
      </c>
      <c r="AQ3517">
        <v>2100</v>
      </c>
      <c r="AR3517" t="s">
        <v>118</v>
      </c>
      <c r="AS3517">
        <v>-76</v>
      </c>
      <c r="AT3517">
        <v>17</v>
      </c>
      <c r="AU3517">
        <v>64</v>
      </c>
      <c r="BC3517">
        <v>1200</v>
      </c>
      <c r="BD3517">
        <v>1</v>
      </c>
      <c r="BE3517" t="str">
        <f t="shared" si="164"/>
        <v xml:space="preserve">N215T   </v>
      </c>
      <c r="BF3517">
        <v>1</v>
      </c>
      <c r="BH3517">
        <v>0</v>
      </c>
      <c r="BI3517">
        <v>0</v>
      </c>
      <c r="BJ3517">
        <v>0</v>
      </c>
      <c r="BK3517">
        <v>2500</v>
      </c>
      <c r="BL3517">
        <v>400</v>
      </c>
      <c r="BM3517" t="s">
        <v>119</v>
      </c>
      <c r="BN3517">
        <v>1</v>
      </c>
      <c r="BO3517">
        <v>1</v>
      </c>
      <c r="BP3517">
        <v>1</v>
      </c>
      <c r="BQ3517">
        <v>0</v>
      </c>
      <c r="BT3517">
        <v>0</v>
      </c>
      <c r="BU3517">
        <v>0</v>
      </c>
      <c r="BV3517">
        <v>0</v>
      </c>
      <c r="CC3517" t="str">
        <f>"19:33:34.164"</f>
        <v>19:33:34.164</v>
      </c>
      <c r="CD3517" t="str">
        <f>"165819594"</f>
        <v>165819594</v>
      </c>
      <c r="CQ3517">
        <v>0</v>
      </c>
      <c r="CR3517">
        <v>2</v>
      </c>
      <c r="CS3517">
        <v>0</v>
      </c>
      <c r="CT3517">
        <v>2</v>
      </c>
      <c r="CU3517">
        <v>0</v>
      </c>
      <c r="CV3517">
        <v>5</v>
      </c>
      <c r="CW3517" t="s">
        <v>120</v>
      </c>
      <c r="CX3517">
        <v>257</v>
      </c>
      <c r="CY3517">
        <v>0</v>
      </c>
      <c r="CZ3517" t="s">
        <v>615</v>
      </c>
      <c r="DA3517" t="s">
        <v>616</v>
      </c>
      <c r="DD3517">
        <v>16461482</v>
      </c>
      <c r="DE3517" t="s">
        <v>123</v>
      </c>
    </row>
    <row r="3518" spans="1:109" x14ac:dyDescent="0.3">
      <c r="A3518" t="str">
        <f>"19:33:35.406"</f>
        <v>19:33:35.406</v>
      </c>
      <c r="B3518" t="s">
        <v>110</v>
      </c>
      <c r="C3518" t="str">
        <f t="shared" si="162"/>
        <v>ffdfd3c0</v>
      </c>
      <c r="D3518" t="s">
        <v>111</v>
      </c>
      <c r="E3518">
        <v>18</v>
      </c>
      <c r="F3518">
        <v>1018</v>
      </c>
      <c r="G3518" t="s">
        <v>112</v>
      </c>
      <c r="J3518" t="s">
        <v>113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R3518" t="s">
        <v>114</v>
      </c>
      <c r="S3518" t="str">
        <f>"19:33:35.164"</f>
        <v>19:33:35.164</v>
      </c>
      <c r="T3518" t="str">
        <f>"19:33:35.164"</f>
        <v>19:33:35.164</v>
      </c>
      <c r="U3518" t="str">
        <f t="shared" si="163"/>
        <v>a1cdbe</v>
      </c>
      <c r="V3518">
        <v>0</v>
      </c>
      <c r="W3518">
        <v>0</v>
      </c>
      <c r="X3518">
        <v>2</v>
      </c>
      <c r="Y3518">
        <v>0</v>
      </c>
      <c r="Z3518">
        <v>0</v>
      </c>
      <c r="AB3518">
        <v>0</v>
      </c>
      <c r="AC3518">
        <v>9</v>
      </c>
      <c r="AD3518">
        <v>3</v>
      </c>
      <c r="AE3518">
        <v>0</v>
      </c>
      <c r="AF3518">
        <v>9</v>
      </c>
      <c r="AG3518" t="s">
        <v>158</v>
      </c>
      <c r="AH3518">
        <v>0</v>
      </c>
      <c r="AI3518">
        <v>3</v>
      </c>
      <c r="AJ3518">
        <v>1</v>
      </c>
      <c r="AK3518">
        <v>0</v>
      </c>
      <c r="AL3518" t="s">
        <v>719</v>
      </c>
      <c r="AM3518">
        <v>47.018137000000003</v>
      </c>
      <c r="AN3518" t="s">
        <v>6623</v>
      </c>
      <c r="AO3518">
        <v>-123.794224</v>
      </c>
      <c r="AP3518">
        <v>100</v>
      </c>
      <c r="AQ3518">
        <v>2100</v>
      </c>
      <c r="AR3518" t="s">
        <v>118</v>
      </c>
      <c r="AS3518">
        <v>-76</v>
      </c>
      <c r="AT3518">
        <v>17</v>
      </c>
      <c r="AU3518">
        <v>64</v>
      </c>
      <c r="BC3518">
        <v>1200</v>
      </c>
      <c r="BD3518">
        <v>1</v>
      </c>
      <c r="BE3518" t="str">
        <f t="shared" si="164"/>
        <v xml:space="preserve">N215T   </v>
      </c>
      <c r="BF3518">
        <v>1</v>
      </c>
      <c r="BH3518">
        <v>0</v>
      </c>
      <c r="BI3518">
        <v>0</v>
      </c>
      <c r="BJ3518">
        <v>0</v>
      </c>
      <c r="BK3518">
        <v>2500</v>
      </c>
      <c r="BL3518">
        <v>400</v>
      </c>
      <c r="BM3518" t="s">
        <v>119</v>
      </c>
      <c r="BN3518">
        <v>1</v>
      </c>
      <c r="BO3518">
        <v>1</v>
      </c>
      <c r="BP3518">
        <v>1</v>
      </c>
      <c r="BQ3518">
        <v>0</v>
      </c>
      <c r="BT3518">
        <v>0</v>
      </c>
      <c r="BU3518">
        <v>0</v>
      </c>
      <c r="BV3518">
        <v>0</v>
      </c>
      <c r="CC3518" t="str">
        <f>"19:33:35.172"</f>
        <v>19:33:35.172</v>
      </c>
      <c r="CD3518" t="str">
        <f>"170720586"</f>
        <v>170720586</v>
      </c>
      <c r="CQ3518">
        <v>0</v>
      </c>
      <c r="CR3518">
        <v>2</v>
      </c>
      <c r="CS3518">
        <v>0</v>
      </c>
      <c r="CT3518">
        <v>2</v>
      </c>
      <c r="CU3518">
        <v>0</v>
      </c>
      <c r="CV3518">
        <v>4</v>
      </c>
      <c r="CW3518" t="s">
        <v>120</v>
      </c>
      <c r="CX3518">
        <v>257</v>
      </c>
      <c r="CY3518">
        <v>0</v>
      </c>
      <c r="CZ3518" t="s">
        <v>615</v>
      </c>
      <c r="DA3518" t="s">
        <v>616</v>
      </c>
      <c r="DD3518">
        <v>16461878</v>
      </c>
      <c r="DE3518" t="s">
        <v>123</v>
      </c>
    </row>
    <row r="3519" spans="1:109" x14ac:dyDescent="0.3">
      <c r="A3519" t="str">
        <f>"19:33:36.211"</f>
        <v>19:33:36.211</v>
      </c>
      <c r="B3519" t="s">
        <v>110</v>
      </c>
      <c r="C3519" t="str">
        <f t="shared" si="162"/>
        <v>ffdfd3c0</v>
      </c>
      <c r="D3519" t="s">
        <v>111</v>
      </c>
      <c r="E3519">
        <v>18</v>
      </c>
      <c r="F3519">
        <v>1018</v>
      </c>
      <c r="G3519" t="s">
        <v>112</v>
      </c>
      <c r="J3519" t="s">
        <v>113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R3519" t="s">
        <v>114</v>
      </c>
      <c r="S3519" t="str">
        <f>"19:33:35.992"</f>
        <v>19:33:35.992</v>
      </c>
      <c r="T3519" t="str">
        <f>"19:33:35.594"</f>
        <v>19:33:35.594</v>
      </c>
      <c r="U3519" t="str">
        <f t="shared" si="163"/>
        <v>a1cdbe</v>
      </c>
      <c r="V3519">
        <v>0</v>
      </c>
      <c r="W3519">
        <v>0</v>
      </c>
      <c r="X3519">
        <v>2</v>
      </c>
      <c r="Y3519">
        <v>0</v>
      </c>
      <c r="Z3519">
        <v>0</v>
      </c>
      <c r="AB3519">
        <v>0</v>
      </c>
      <c r="AC3519">
        <v>9</v>
      </c>
      <c r="AD3519">
        <v>3</v>
      </c>
      <c r="AE3519">
        <v>0</v>
      </c>
      <c r="AF3519">
        <v>9</v>
      </c>
      <c r="AG3519" t="s">
        <v>158</v>
      </c>
      <c r="AH3519">
        <v>0</v>
      </c>
      <c r="AI3519">
        <v>3</v>
      </c>
      <c r="AJ3519">
        <v>1</v>
      </c>
      <c r="AK3519">
        <v>0</v>
      </c>
      <c r="AL3519" t="s">
        <v>6624</v>
      </c>
      <c r="AM3519">
        <v>47.018244000000003</v>
      </c>
      <c r="AN3519" t="s">
        <v>6625</v>
      </c>
      <c r="AO3519">
        <v>-123.79463200000001</v>
      </c>
      <c r="AP3519">
        <v>100</v>
      </c>
      <c r="AQ3519">
        <v>2100</v>
      </c>
      <c r="AR3519" t="s">
        <v>118</v>
      </c>
      <c r="AS3519">
        <v>-76</v>
      </c>
      <c r="AT3519">
        <v>17</v>
      </c>
      <c r="AU3519">
        <v>64</v>
      </c>
      <c r="BC3519">
        <v>1200</v>
      </c>
      <c r="BD3519">
        <v>1</v>
      </c>
      <c r="BE3519" t="str">
        <f t="shared" si="164"/>
        <v xml:space="preserve">N215T   </v>
      </c>
      <c r="BF3519">
        <v>1</v>
      </c>
      <c r="BH3519">
        <v>0</v>
      </c>
      <c r="BI3519">
        <v>0</v>
      </c>
      <c r="BJ3519">
        <v>0</v>
      </c>
      <c r="BK3519">
        <v>2500</v>
      </c>
      <c r="BL3519">
        <v>400</v>
      </c>
      <c r="BM3519" t="s">
        <v>119</v>
      </c>
      <c r="BN3519">
        <v>1</v>
      </c>
      <c r="BO3519">
        <v>1</v>
      </c>
      <c r="BP3519">
        <v>1</v>
      </c>
      <c r="BQ3519">
        <v>0</v>
      </c>
      <c r="BT3519">
        <v>0</v>
      </c>
      <c r="BU3519">
        <v>0</v>
      </c>
      <c r="BV3519">
        <v>0</v>
      </c>
      <c r="CC3519" t="str">
        <f>"19:33:35.992"</f>
        <v>19:33:35.992</v>
      </c>
      <c r="CD3519" t="str">
        <f>"995639310"</f>
        <v>995639310</v>
      </c>
      <c r="CQ3519">
        <v>0</v>
      </c>
      <c r="CR3519">
        <v>2</v>
      </c>
      <c r="CS3519">
        <v>0</v>
      </c>
      <c r="CT3519">
        <v>2</v>
      </c>
      <c r="CU3519">
        <v>0</v>
      </c>
      <c r="CV3519">
        <v>5</v>
      </c>
      <c r="CW3519" t="s">
        <v>120</v>
      </c>
      <c r="CX3519">
        <v>257</v>
      </c>
      <c r="CY3519">
        <v>0</v>
      </c>
      <c r="CZ3519" t="s">
        <v>615</v>
      </c>
      <c r="DA3519" t="s">
        <v>616</v>
      </c>
      <c r="DD3519">
        <v>16462231</v>
      </c>
      <c r="DE3519" t="s">
        <v>123</v>
      </c>
    </row>
    <row r="3520" spans="1:109" x14ac:dyDescent="0.3">
      <c r="A3520" t="str">
        <f>"19:33:37.266"</f>
        <v>19:33:37.266</v>
      </c>
      <c r="B3520" t="s">
        <v>110</v>
      </c>
      <c r="C3520" t="str">
        <f t="shared" si="162"/>
        <v>ffdfd3c0</v>
      </c>
      <c r="D3520" t="s">
        <v>111</v>
      </c>
      <c r="E3520">
        <v>18</v>
      </c>
      <c r="F3520">
        <v>1018</v>
      </c>
      <c r="G3520" t="s">
        <v>112</v>
      </c>
      <c r="J3520" t="s">
        <v>113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R3520" t="s">
        <v>114</v>
      </c>
      <c r="S3520" t="str">
        <f>"19:33:37.000"</f>
        <v>19:33:37.000</v>
      </c>
      <c r="T3520" t="str">
        <f>"19:33:36.500"</f>
        <v>19:33:36.500</v>
      </c>
      <c r="U3520" t="str">
        <f t="shared" si="163"/>
        <v>a1cdbe</v>
      </c>
      <c r="V3520">
        <v>0</v>
      </c>
      <c r="W3520">
        <v>0</v>
      </c>
      <c r="X3520">
        <v>2</v>
      </c>
      <c r="Y3520">
        <v>0</v>
      </c>
      <c r="Z3520">
        <v>0</v>
      </c>
      <c r="AB3520">
        <v>0</v>
      </c>
      <c r="AC3520">
        <v>9</v>
      </c>
      <c r="AD3520">
        <v>3</v>
      </c>
      <c r="AE3520">
        <v>0</v>
      </c>
      <c r="AF3520">
        <v>9</v>
      </c>
      <c r="AG3520" t="s">
        <v>158</v>
      </c>
      <c r="AH3520">
        <v>0</v>
      </c>
      <c r="AI3520">
        <v>3</v>
      </c>
      <c r="AJ3520">
        <v>1</v>
      </c>
      <c r="AK3520">
        <v>0</v>
      </c>
      <c r="AL3520" t="s">
        <v>6626</v>
      </c>
      <c r="AM3520">
        <v>47.018309000000002</v>
      </c>
      <c r="AN3520" t="s">
        <v>6627</v>
      </c>
      <c r="AO3520">
        <v>-123.795147</v>
      </c>
      <c r="AP3520">
        <v>100</v>
      </c>
      <c r="AQ3520">
        <v>2100</v>
      </c>
      <c r="AR3520" t="s">
        <v>118</v>
      </c>
      <c r="AS3520">
        <v>-76</v>
      </c>
      <c r="AT3520">
        <v>17</v>
      </c>
      <c r="AU3520">
        <v>64</v>
      </c>
      <c r="BC3520">
        <v>1200</v>
      </c>
      <c r="BD3520">
        <v>1</v>
      </c>
      <c r="BE3520" t="str">
        <f t="shared" si="164"/>
        <v xml:space="preserve">N215T   </v>
      </c>
      <c r="BF3520">
        <v>1</v>
      </c>
      <c r="BH3520">
        <v>0</v>
      </c>
      <c r="BI3520">
        <v>0</v>
      </c>
      <c r="BJ3520">
        <v>0</v>
      </c>
      <c r="BK3520">
        <v>2500</v>
      </c>
      <c r="BL3520">
        <v>400</v>
      </c>
      <c r="BM3520" t="s">
        <v>119</v>
      </c>
      <c r="BN3520">
        <v>1</v>
      </c>
      <c r="BO3520">
        <v>1</v>
      </c>
      <c r="BP3520">
        <v>1</v>
      </c>
      <c r="BQ3520">
        <v>0</v>
      </c>
      <c r="BT3520">
        <v>0</v>
      </c>
      <c r="BU3520">
        <v>0</v>
      </c>
      <c r="BV3520">
        <v>0</v>
      </c>
      <c r="CC3520" t="str">
        <f>"19:33:37.000"</f>
        <v>19:33:37.000</v>
      </c>
      <c r="CD3520" t="str">
        <f>"000631235"</f>
        <v>000631235</v>
      </c>
      <c r="CQ3520">
        <v>0</v>
      </c>
      <c r="CR3520">
        <v>2</v>
      </c>
      <c r="CS3520">
        <v>0</v>
      </c>
      <c r="CT3520">
        <v>2</v>
      </c>
      <c r="CU3520">
        <v>0</v>
      </c>
      <c r="CV3520">
        <v>3</v>
      </c>
      <c r="CW3520" t="s">
        <v>120</v>
      </c>
      <c r="CX3520">
        <v>261</v>
      </c>
      <c r="CY3520">
        <v>3</v>
      </c>
      <c r="CZ3520" t="s">
        <v>121</v>
      </c>
      <c r="DA3520" t="s">
        <v>122</v>
      </c>
      <c r="DD3520">
        <v>4001168</v>
      </c>
      <c r="DE3520" t="s">
        <v>123</v>
      </c>
    </row>
    <row r="3521" spans="1:109" x14ac:dyDescent="0.3">
      <c r="A3521" t="str">
        <f>"19:33:38.125"</f>
        <v>19:33:38.125</v>
      </c>
      <c r="B3521" t="s">
        <v>110</v>
      </c>
      <c r="C3521" t="str">
        <f t="shared" si="162"/>
        <v>ffdfd3c0</v>
      </c>
      <c r="D3521" t="s">
        <v>111</v>
      </c>
      <c r="E3521">
        <v>18</v>
      </c>
      <c r="F3521">
        <v>1018</v>
      </c>
      <c r="G3521" t="s">
        <v>112</v>
      </c>
      <c r="J3521" t="s">
        <v>113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R3521" t="s">
        <v>114</v>
      </c>
      <c r="S3521" t="str">
        <f>"19:33:37.914"</f>
        <v>19:33:37.914</v>
      </c>
      <c r="T3521" t="str">
        <f>"19:33:37.414"</f>
        <v>19:33:37.414</v>
      </c>
      <c r="U3521" t="str">
        <f t="shared" si="163"/>
        <v>a1cdbe</v>
      </c>
      <c r="V3521">
        <v>0</v>
      </c>
      <c r="W3521">
        <v>0</v>
      </c>
      <c r="X3521">
        <v>2</v>
      </c>
      <c r="Y3521">
        <v>0</v>
      </c>
      <c r="Z3521">
        <v>0</v>
      </c>
      <c r="AB3521">
        <v>0</v>
      </c>
      <c r="AC3521">
        <v>9</v>
      </c>
      <c r="AD3521">
        <v>3</v>
      </c>
      <c r="AE3521">
        <v>0</v>
      </c>
      <c r="AF3521">
        <v>9</v>
      </c>
      <c r="AG3521" t="s">
        <v>158</v>
      </c>
      <c r="AH3521">
        <v>0</v>
      </c>
      <c r="AI3521">
        <v>3</v>
      </c>
      <c r="AJ3521">
        <v>1</v>
      </c>
      <c r="AK3521">
        <v>0</v>
      </c>
      <c r="AL3521" t="s">
        <v>6628</v>
      </c>
      <c r="AM3521">
        <v>47.018372999999997</v>
      </c>
      <c r="AN3521" t="s">
        <v>6629</v>
      </c>
      <c r="AO3521">
        <v>-123.79564000000001</v>
      </c>
      <c r="AP3521">
        <v>100</v>
      </c>
      <c r="AQ3521">
        <v>2100</v>
      </c>
      <c r="AR3521" t="s">
        <v>118</v>
      </c>
      <c r="AS3521">
        <v>-76</v>
      </c>
      <c r="AT3521">
        <v>17</v>
      </c>
      <c r="AU3521">
        <v>64</v>
      </c>
      <c r="BC3521">
        <v>1200</v>
      </c>
      <c r="BD3521">
        <v>1</v>
      </c>
      <c r="BE3521" t="str">
        <f t="shared" si="164"/>
        <v xml:space="preserve">N215T   </v>
      </c>
      <c r="BF3521">
        <v>1</v>
      </c>
      <c r="BH3521">
        <v>0</v>
      </c>
      <c r="BI3521">
        <v>0</v>
      </c>
      <c r="BJ3521">
        <v>0</v>
      </c>
      <c r="BK3521">
        <v>2500</v>
      </c>
      <c r="BL3521">
        <v>400</v>
      </c>
      <c r="BM3521" t="s">
        <v>119</v>
      </c>
      <c r="BN3521">
        <v>1</v>
      </c>
      <c r="BO3521">
        <v>1</v>
      </c>
      <c r="BP3521">
        <v>1</v>
      </c>
      <c r="BQ3521">
        <v>0</v>
      </c>
      <c r="BT3521">
        <v>0</v>
      </c>
      <c r="BU3521">
        <v>0</v>
      </c>
      <c r="BV3521">
        <v>0</v>
      </c>
      <c r="CC3521" t="str">
        <f>"19:33:37.914"</f>
        <v>19:33:37.914</v>
      </c>
      <c r="CD3521" t="str">
        <f>"915450174"</f>
        <v>915450174</v>
      </c>
      <c r="CQ3521">
        <v>0</v>
      </c>
      <c r="CR3521">
        <v>2</v>
      </c>
      <c r="CS3521">
        <v>0</v>
      </c>
      <c r="CT3521">
        <v>2</v>
      </c>
      <c r="CU3521">
        <v>0</v>
      </c>
      <c r="CV3521">
        <v>5</v>
      </c>
      <c r="CW3521" t="s">
        <v>120</v>
      </c>
      <c r="CX3521">
        <v>257</v>
      </c>
      <c r="CY3521">
        <v>0</v>
      </c>
      <c r="CZ3521" t="s">
        <v>615</v>
      </c>
      <c r="DA3521" t="s">
        <v>616</v>
      </c>
      <c r="DD3521">
        <v>16463021</v>
      </c>
      <c r="DE3521" t="s">
        <v>123</v>
      </c>
    </row>
    <row r="3522" spans="1:109" x14ac:dyDescent="0.3">
      <c r="A3522" t="str">
        <f>"19:33:39.180"</f>
        <v>19:33:39.180</v>
      </c>
      <c r="B3522" t="s">
        <v>110</v>
      </c>
      <c r="C3522" t="str">
        <f t="shared" ref="C3522:C3585" si="165">"ffdfd3c0"</f>
        <v>ffdfd3c0</v>
      </c>
      <c r="D3522" t="s">
        <v>111</v>
      </c>
      <c r="E3522">
        <v>18</v>
      </c>
      <c r="F3522">
        <v>1018</v>
      </c>
      <c r="G3522" t="s">
        <v>112</v>
      </c>
      <c r="J3522" t="s">
        <v>113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R3522" t="s">
        <v>114</v>
      </c>
      <c r="S3522" t="str">
        <f>"19:33:38.961"</f>
        <v>19:33:38.961</v>
      </c>
      <c r="T3522" t="str">
        <f>"19:33:38.859"</f>
        <v>19:33:38.859</v>
      </c>
      <c r="U3522" t="str">
        <f t="shared" ref="U3522:U3585" si="166">"a1cdbe"</f>
        <v>a1cdbe</v>
      </c>
      <c r="V3522">
        <v>0</v>
      </c>
      <c r="W3522">
        <v>0</v>
      </c>
      <c r="X3522">
        <v>2</v>
      </c>
      <c r="Y3522">
        <v>0</v>
      </c>
      <c r="Z3522">
        <v>0</v>
      </c>
      <c r="AB3522">
        <v>0</v>
      </c>
      <c r="AC3522">
        <v>9</v>
      </c>
      <c r="AD3522">
        <v>3</v>
      </c>
      <c r="AE3522">
        <v>0</v>
      </c>
      <c r="AF3522">
        <v>9</v>
      </c>
      <c r="AG3522" t="s">
        <v>158</v>
      </c>
      <c r="AH3522">
        <v>0</v>
      </c>
      <c r="AI3522">
        <v>3</v>
      </c>
      <c r="AJ3522">
        <v>1</v>
      </c>
      <c r="AK3522">
        <v>0</v>
      </c>
      <c r="AL3522" t="s">
        <v>6630</v>
      </c>
      <c r="AM3522">
        <v>47.018459</v>
      </c>
      <c r="AN3522" t="s">
        <v>6631</v>
      </c>
      <c r="AO3522">
        <v>-123.796198</v>
      </c>
      <c r="AP3522">
        <v>100</v>
      </c>
      <c r="AQ3522">
        <v>2100</v>
      </c>
      <c r="AR3522" t="s">
        <v>118</v>
      </c>
      <c r="AS3522">
        <v>-76</v>
      </c>
      <c r="AT3522">
        <v>17</v>
      </c>
      <c r="AU3522">
        <v>64</v>
      </c>
      <c r="BC3522">
        <v>1200</v>
      </c>
      <c r="BD3522">
        <v>1</v>
      </c>
      <c r="BE3522" t="str">
        <f t="shared" ref="BE3522:BE3585" si="167">"N215T   "</f>
        <v xml:space="preserve">N215T   </v>
      </c>
      <c r="BF3522">
        <v>1</v>
      </c>
      <c r="BH3522">
        <v>0</v>
      </c>
      <c r="BI3522">
        <v>0</v>
      </c>
      <c r="BJ3522">
        <v>0</v>
      </c>
      <c r="BK3522">
        <v>2500</v>
      </c>
      <c r="BL3522">
        <v>400</v>
      </c>
      <c r="BM3522" t="s">
        <v>119</v>
      </c>
      <c r="BN3522">
        <v>1</v>
      </c>
      <c r="BO3522">
        <v>1</v>
      </c>
      <c r="BP3522">
        <v>1</v>
      </c>
      <c r="BQ3522">
        <v>0</v>
      </c>
      <c r="BT3522">
        <v>0</v>
      </c>
      <c r="BU3522">
        <v>0</v>
      </c>
      <c r="BV3522">
        <v>0</v>
      </c>
      <c r="CC3522" t="str">
        <f>"19:33:38.969"</f>
        <v>19:33:38.969</v>
      </c>
      <c r="CD3522" t="str">
        <f>"965346713"</f>
        <v>965346713</v>
      </c>
      <c r="CQ3522">
        <v>0</v>
      </c>
      <c r="CR3522">
        <v>2</v>
      </c>
      <c r="CS3522">
        <v>0</v>
      </c>
      <c r="CT3522">
        <v>2</v>
      </c>
      <c r="CU3522">
        <v>0</v>
      </c>
      <c r="CV3522">
        <v>4</v>
      </c>
      <c r="CW3522" t="s">
        <v>120</v>
      </c>
      <c r="CX3522">
        <v>257</v>
      </c>
      <c r="CY3522">
        <v>0</v>
      </c>
      <c r="CZ3522" t="s">
        <v>615</v>
      </c>
      <c r="DA3522" t="s">
        <v>616</v>
      </c>
      <c r="DD3522">
        <v>16463433</v>
      </c>
      <c r="DE3522" t="s">
        <v>123</v>
      </c>
    </row>
    <row r="3523" spans="1:109" x14ac:dyDescent="0.3">
      <c r="A3523" t="str">
        <f>"19:33:40.180"</f>
        <v>19:33:40.180</v>
      </c>
      <c r="B3523" t="s">
        <v>110</v>
      </c>
      <c r="C3523" t="str">
        <f t="shared" si="165"/>
        <v>ffdfd3c0</v>
      </c>
      <c r="D3523" t="s">
        <v>111</v>
      </c>
      <c r="E3523">
        <v>18</v>
      </c>
      <c r="F3523">
        <v>1018</v>
      </c>
      <c r="G3523" t="s">
        <v>112</v>
      </c>
      <c r="J3523" t="s">
        <v>113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R3523" t="s">
        <v>114</v>
      </c>
      <c r="S3523" t="str">
        <f>"19:33:39.953"</f>
        <v>19:33:39.953</v>
      </c>
      <c r="T3523" t="str">
        <f>"19:33:39.953"</f>
        <v>19:33:39.953</v>
      </c>
      <c r="U3523" t="str">
        <f t="shared" si="166"/>
        <v>a1cdbe</v>
      </c>
      <c r="V3523">
        <v>0</v>
      </c>
      <c r="W3523">
        <v>0</v>
      </c>
      <c r="X3523">
        <v>2</v>
      </c>
      <c r="Y3523">
        <v>0</v>
      </c>
      <c r="Z3523">
        <v>0</v>
      </c>
      <c r="AB3523">
        <v>0</v>
      </c>
      <c r="AC3523">
        <v>9</v>
      </c>
      <c r="AD3523">
        <v>3</v>
      </c>
      <c r="AE3523">
        <v>0</v>
      </c>
      <c r="AF3523">
        <v>9</v>
      </c>
      <c r="AG3523" t="s">
        <v>158</v>
      </c>
      <c r="AH3523">
        <v>0</v>
      </c>
      <c r="AI3523">
        <v>3</v>
      </c>
      <c r="AJ3523">
        <v>1</v>
      </c>
      <c r="AK3523">
        <v>0</v>
      </c>
      <c r="AL3523" t="s">
        <v>6632</v>
      </c>
      <c r="AM3523">
        <v>47.018545000000003</v>
      </c>
      <c r="AN3523" t="s">
        <v>6633</v>
      </c>
      <c r="AO3523">
        <v>-123.79669199999999</v>
      </c>
      <c r="AP3523">
        <v>100</v>
      </c>
      <c r="AQ3523">
        <v>2100</v>
      </c>
      <c r="AR3523" t="s">
        <v>118</v>
      </c>
      <c r="AS3523">
        <v>-76</v>
      </c>
      <c r="AT3523">
        <v>17</v>
      </c>
      <c r="AU3523">
        <v>64</v>
      </c>
      <c r="BC3523">
        <v>1200</v>
      </c>
      <c r="BD3523">
        <v>1</v>
      </c>
      <c r="BE3523" t="str">
        <f t="shared" si="167"/>
        <v xml:space="preserve">N215T   </v>
      </c>
      <c r="BF3523">
        <v>1</v>
      </c>
      <c r="BH3523">
        <v>0</v>
      </c>
      <c r="BI3523">
        <v>0</v>
      </c>
      <c r="BJ3523">
        <v>0</v>
      </c>
      <c r="BK3523">
        <v>2500</v>
      </c>
      <c r="BL3523">
        <v>400</v>
      </c>
      <c r="BM3523" t="s">
        <v>119</v>
      </c>
      <c r="BN3523">
        <v>1</v>
      </c>
      <c r="BO3523">
        <v>1</v>
      </c>
      <c r="BP3523">
        <v>1</v>
      </c>
      <c r="BQ3523">
        <v>0</v>
      </c>
      <c r="BT3523">
        <v>0</v>
      </c>
      <c r="BU3523">
        <v>0</v>
      </c>
      <c r="BV3523">
        <v>0</v>
      </c>
      <c r="CC3523" t="str">
        <f>"19:33:39.953"</f>
        <v>19:33:39.953</v>
      </c>
      <c r="CD3523" t="str">
        <f>"955249188"</f>
        <v>955249188</v>
      </c>
      <c r="CQ3523">
        <v>0</v>
      </c>
      <c r="CR3523">
        <v>2</v>
      </c>
      <c r="CS3523">
        <v>0</v>
      </c>
      <c r="CT3523">
        <v>2</v>
      </c>
      <c r="CU3523">
        <v>0</v>
      </c>
      <c r="CV3523">
        <v>5</v>
      </c>
      <c r="CW3523" t="s">
        <v>120</v>
      </c>
      <c r="CX3523">
        <v>257</v>
      </c>
      <c r="CY3523">
        <v>0</v>
      </c>
      <c r="CZ3523" t="s">
        <v>615</v>
      </c>
      <c r="DA3523" t="s">
        <v>616</v>
      </c>
      <c r="DD3523">
        <v>16463823</v>
      </c>
      <c r="DE3523" t="s">
        <v>123</v>
      </c>
    </row>
    <row r="3524" spans="1:109" x14ac:dyDescent="0.3">
      <c r="A3524" t="str">
        <f>"19:33:41.141"</f>
        <v>19:33:41.141</v>
      </c>
      <c r="B3524" t="s">
        <v>110</v>
      </c>
      <c r="C3524" t="str">
        <f t="shared" si="165"/>
        <v>ffdfd3c0</v>
      </c>
      <c r="D3524" t="s">
        <v>111</v>
      </c>
      <c r="E3524">
        <v>18</v>
      </c>
      <c r="F3524">
        <v>1018</v>
      </c>
      <c r="G3524" t="s">
        <v>112</v>
      </c>
      <c r="J3524" t="s">
        <v>113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R3524" t="s">
        <v>114</v>
      </c>
      <c r="S3524" t="str">
        <f>"19:33:40.898"</f>
        <v>19:33:40.898</v>
      </c>
      <c r="T3524" t="str">
        <f>"19:33:40.500"</f>
        <v>19:33:40.500</v>
      </c>
      <c r="U3524" t="str">
        <f t="shared" si="166"/>
        <v>a1cdbe</v>
      </c>
      <c r="V3524">
        <v>0</v>
      </c>
      <c r="W3524">
        <v>0</v>
      </c>
      <c r="X3524">
        <v>2</v>
      </c>
      <c r="Y3524">
        <v>0</v>
      </c>
      <c r="Z3524">
        <v>0</v>
      </c>
      <c r="AB3524">
        <v>0</v>
      </c>
      <c r="AC3524">
        <v>9</v>
      </c>
      <c r="AD3524">
        <v>3</v>
      </c>
      <c r="AE3524">
        <v>0</v>
      </c>
      <c r="AF3524">
        <v>9</v>
      </c>
      <c r="AG3524" t="s">
        <v>158</v>
      </c>
      <c r="AH3524">
        <v>0</v>
      </c>
      <c r="AI3524">
        <v>3</v>
      </c>
      <c r="AJ3524">
        <v>1</v>
      </c>
      <c r="AK3524">
        <v>0</v>
      </c>
      <c r="AL3524" t="s">
        <v>6634</v>
      </c>
      <c r="AM3524">
        <v>47.018608999999998</v>
      </c>
      <c r="AN3524" t="s">
        <v>6635</v>
      </c>
      <c r="AO3524">
        <v>-123.797164</v>
      </c>
      <c r="AP3524">
        <v>100</v>
      </c>
      <c r="AQ3524">
        <v>2100</v>
      </c>
      <c r="AR3524" t="s">
        <v>118</v>
      </c>
      <c r="AS3524">
        <v>-76</v>
      </c>
      <c r="AT3524">
        <v>17</v>
      </c>
      <c r="AU3524">
        <v>64</v>
      </c>
      <c r="BC3524">
        <v>1200</v>
      </c>
      <c r="BD3524">
        <v>1</v>
      </c>
      <c r="BE3524" t="str">
        <f t="shared" si="167"/>
        <v xml:space="preserve">N215T   </v>
      </c>
      <c r="BF3524">
        <v>1</v>
      </c>
      <c r="BH3524">
        <v>0</v>
      </c>
      <c r="BI3524">
        <v>0</v>
      </c>
      <c r="BJ3524">
        <v>0</v>
      </c>
      <c r="BK3524">
        <v>2500</v>
      </c>
      <c r="BL3524">
        <v>400</v>
      </c>
      <c r="BM3524" t="s">
        <v>119</v>
      </c>
      <c r="BN3524">
        <v>1</v>
      </c>
      <c r="BO3524">
        <v>1</v>
      </c>
      <c r="BP3524">
        <v>1</v>
      </c>
      <c r="BQ3524">
        <v>0</v>
      </c>
      <c r="BT3524">
        <v>0</v>
      </c>
      <c r="BU3524">
        <v>0</v>
      </c>
      <c r="BV3524">
        <v>0</v>
      </c>
      <c r="CC3524" t="str">
        <f>"19:33:40.898"</f>
        <v>19:33:40.898</v>
      </c>
      <c r="CD3524" t="str">
        <f>"900156097"</f>
        <v>900156097</v>
      </c>
      <c r="CQ3524">
        <v>0</v>
      </c>
      <c r="CR3524">
        <v>2</v>
      </c>
      <c r="CS3524">
        <v>0</v>
      </c>
      <c r="CT3524">
        <v>2</v>
      </c>
      <c r="CU3524">
        <v>0</v>
      </c>
      <c r="CV3524">
        <v>4</v>
      </c>
      <c r="CW3524" t="s">
        <v>120</v>
      </c>
      <c r="CX3524">
        <v>257</v>
      </c>
      <c r="CY3524">
        <v>0</v>
      </c>
      <c r="CZ3524" t="s">
        <v>615</v>
      </c>
      <c r="DA3524" t="s">
        <v>616</v>
      </c>
      <c r="DD3524">
        <v>16464224</v>
      </c>
      <c r="DE3524" t="s">
        <v>123</v>
      </c>
    </row>
    <row r="3525" spans="1:109" x14ac:dyDescent="0.3">
      <c r="A3525" t="str">
        <f>"19:33:42.242"</f>
        <v>19:33:42.242</v>
      </c>
      <c r="B3525" t="s">
        <v>110</v>
      </c>
      <c r="C3525" t="str">
        <f t="shared" si="165"/>
        <v>ffdfd3c0</v>
      </c>
      <c r="D3525" t="s">
        <v>111</v>
      </c>
      <c r="E3525">
        <v>18</v>
      </c>
      <c r="F3525">
        <v>1018</v>
      </c>
      <c r="G3525" t="s">
        <v>112</v>
      </c>
      <c r="J3525" t="s">
        <v>113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R3525" t="s">
        <v>114</v>
      </c>
      <c r="S3525" t="str">
        <f>"19:33:42.023"</f>
        <v>19:33:42.023</v>
      </c>
      <c r="T3525" t="str">
        <f>"19:33:41.523"</f>
        <v>19:33:41.523</v>
      </c>
      <c r="U3525" t="str">
        <f t="shared" si="166"/>
        <v>a1cdbe</v>
      </c>
      <c r="V3525">
        <v>0</v>
      </c>
      <c r="W3525">
        <v>0</v>
      </c>
      <c r="X3525">
        <v>2</v>
      </c>
      <c r="Y3525">
        <v>0</v>
      </c>
      <c r="Z3525">
        <v>0</v>
      </c>
      <c r="AB3525">
        <v>0</v>
      </c>
      <c r="AC3525">
        <v>9</v>
      </c>
      <c r="AD3525">
        <v>3</v>
      </c>
      <c r="AE3525">
        <v>0</v>
      </c>
      <c r="AF3525">
        <v>9</v>
      </c>
      <c r="AG3525" t="s">
        <v>158</v>
      </c>
      <c r="AH3525">
        <v>0</v>
      </c>
      <c r="AI3525">
        <v>3</v>
      </c>
      <c r="AJ3525">
        <v>1</v>
      </c>
      <c r="AK3525">
        <v>0</v>
      </c>
      <c r="AL3525" t="s">
        <v>6636</v>
      </c>
      <c r="AM3525">
        <v>47.018695000000001</v>
      </c>
      <c r="AN3525" t="s">
        <v>6637</v>
      </c>
      <c r="AO3525">
        <v>-123.797786</v>
      </c>
      <c r="AP3525">
        <v>100</v>
      </c>
      <c r="AQ3525">
        <v>2100</v>
      </c>
      <c r="AR3525" t="s">
        <v>118</v>
      </c>
      <c r="AS3525">
        <v>-76</v>
      </c>
      <c r="AT3525">
        <v>18</v>
      </c>
      <c r="AU3525">
        <v>64</v>
      </c>
      <c r="BC3525">
        <v>1200</v>
      </c>
      <c r="BD3525">
        <v>1</v>
      </c>
      <c r="BE3525" t="str">
        <f t="shared" si="167"/>
        <v xml:space="preserve">N215T   </v>
      </c>
      <c r="BF3525">
        <v>1</v>
      </c>
      <c r="BH3525">
        <v>0</v>
      </c>
      <c r="BI3525">
        <v>0</v>
      </c>
      <c r="BJ3525">
        <v>0</v>
      </c>
      <c r="BK3525">
        <v>2500</v>
      </c>
      <c r="BL3525">
        <v>400</v>
      </c>
      <c r="BM3525" t="s">
        <v>119</v>
      </c>
      <c r="BN3525">
        <v>1</v>
      </c>
      <c r="BO3525">
        <v>1</v>
      </c>
      <c r="BP3525">
        <v>1</v>
      </c>
      <c r="BQ3525">
        <v>0</v>
      </c>
      <c r="BT3525">
        <v>0</v>
      </c>
      <c r="BU3525">
        <v>0</v>
      </c>
      <c r="BV3525">
        <v>0</v>
      </c>
      <c r="CC3525" t="str">
        <f>"19:33:42.023"</f>
        <v>19:33:42.023</v>
      </c>
      <c r="CD3525" t="str">
        <f>"025045277"</f>
        <v>025045277</v>
      </c>
      <c r="CQ3525">
        <v>0</v>
      </c>
      <c r="CR3525">
        <v>2</v>
      </c>
      <c r="CS3525">
        <v>0</v>
      </c>
      <c r="CT3525">
        <v>2</v>
      </c>
      <c r="CU3525">
        <v>0</v>
      </c>
      <c r="CV3525">
        <v>5</v>
      </c>
      <c r="CW3525" t="s">
        <v>120</v>
      </c>
      <c r="CX3525">
        <v>257</v>
      </c>
      <c r="CY3525">
        <v>0</v>
      </c>
      <c r="CZ3525" t="s">
        <v>615</v>
      </c>
      <c r="DA3525" t="s">
        <v>616</v>
      </c>
      <c r="DD3525">
        <v>16464696</v>
      </c>
      <c r="DE3525" t="s">
        <v>123</v>
      </c>
    </row>
    <row r="3526" spans="1:109" x14ac:dyDescent="0.3">
      <c r="A3526" t="str">
        <f>"19:33:43.297"</f>
        <v>19:33:43.297</v>
      </c>
      <c r="B3526" t="s">
        <v>110</v>
      </c>
      <c r="C3526" t="str">
        <f t="shared" si="165"/>
        <v>ffdfd3c0</v>
      </c>
      <c r="D3526" t="s">
        <v>111</v>
      </c>
      <c r="E3526">
        <v>18</v>
      </c>
      <c r="F3526">
        <v>1018</v>
      </c>
      <c r="G3526" t="s">
        <v>112</v>
      </c>
      <c r="J3526" t="s">
        <v>113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R3526" t="s">
        <v>114</v>
      </c>
      <c r="S3526" t="str">
        <f>"19:33:43.008"</f>
        <v>19:33:43.008</v>
      </c>
      <c r="T3526" t="str">
        <f>"19:33:42.609"</f>
        <v>19:33:42.609</v>
      </c>
      <c r="U3526" t="str">
        <f t="shared" si="166"/>
        <v>a1cdbe</v>
      </c>
      <c r="V3526">
        <v>0</v>
      </c>
      <c r="W3526">
        <v>0</v>
      </c>
      <c r="X3526">
        <v>2</v>
      </c>
      <c r="Y3526">
        <v>0</v>
      </c>
      <c r="Z3526">
        <v>0</v>
      </c>
      <c r="AB3526">
        <v>0</v>
      </c>
      <c r="AC3526">
        <v>9</v>
      </c>
      <c r="AD3526">
        <v>3</v>
      </c>
      <c r="AE3526">
        <v>0</v>
      </c>
      <c r="AF3526">
        <v>9</v>
      </c>
      <c r="AG3526" t="s">
        <v>158</v>
      </c>
      <c r="AH3526">
        <v>0</v>
      </c>
      <c r="AI3526">
        <v>3</v>
      </c>
      <c r="AJ3526">
        <v>1</v>
      </c>
      <c r="AK3526">
        <v>0</v>
      </c>
      <c r="AL3526" t="s">
        <v>715</v>
      </c>
      <c r="AM3526">
        <v>47.018780999999997</v>
      </c>
      <c r="AN3526" t="s">
        <v>6638</v>
      </c>
      <c r="AO3526">
        <v>-123.798237</v>
      </c>
      <c r="AP3526">
        <v>100</v>
      </c>
      <c r="AQ3526">
        <v>2100</v>
      </c>
      <c r="AR3526" t="s">
        <v>118</v>
      </c>
      <c r="AS3526">
        <v>-76</v>
      </c>
      <c r="AT3526">
        <v>18</v>
      </c>
      <c r="AU3526">
        <v>64</v>
      </c>
      <c r="BC3526">
        <v>1200</v>
      </c>
      <c r="BD3526">
        <v>1</v>
      </c>
      <c r="BE3526" t="str">
        <f t="shared" si="167"/>
        <v xml:space="preserve">N215T   </v>
      </c>
      <c r="BF3526">
        <v>1</v>
      </c>
      <c r="BH3526">
        <v>0</v>
      </c>
      <c r="BI3526">
        <v>0</v>
      </c>
      <c r="BJ3526">
        <v>0</v>
      </c>
      <c r="BK3526">
        <v>2500</v>
      </c>
      <c r="BL3526">
        <v>400</v>
      </c>
      <c r="BM3526" t="s">
        <v>119</v>
      </c>
      <c r="BN3526">
        <v>1</v>
      </c>
      <c r="BO3526">
        <v>1</v>
      </c>
      <c r="BP3526">
        <v>1</v>
      </c>
      <c r="BQ3526">
        <v>0</v>
      </c>
      <c r="BT3526">
        <v>0</v>
      </c>
      <c r="BU3526">
        <v>0</v>
      </c>
      <c r="BV3526">
        <v>0</v>
      </c>
      <c r="CC3526" t="str">
        <f>"19:33:43.016"</f>
        <v>19:33:43.016</v>
      </c>
      <c r="CD3526" t="str">
        <f>"014947735"</f>
        <v>014947735</v>
      </c>
      <c r="CQ3526">
        <v>0</v>
      </c>
      <c r="CR3526">
        <v>2</v>
      </c>
      <c r="CS3526">
        <v>0</v>
      </c>
      <c r="CT3526">
        <v>2</v>
      </c>
      <c r="CU3526">
        <v>0</v>
      </c>
      <c r="CV3526">
        <v>5</v>
      </c>
      <c r="CW3526" t="s">
        <v>120</v>
      </c>
      <c r="CX3526">
        <v>257</v>
      </c>
      <c r="CY3526">
        <v>0</v>
      </c>
      <c r="CZ3526" t="s">
        <v>615</v>
      </c>
      <c r="DA3526" t="s">
        <v>616</v>
      </c>
      <c r="DD3526">
        <v>16465122</v>
      </c>
      <c r="DE3526" t="s">
        <v>123</v>
      </c>
    </row>
    <row r="3527" spans="1:109" x14ac:dyDescent="0.3">
      <c r="A3527" t="str">
        <f>"19:33:44.156"</f>
        <v>19:33:44.156</v>
      </c>
      <c r="B3527" t="s">
        <v>110</v>
      </c>
      <c r="C3527" t="str">
        <f t="shared" si="165"/>
        <v>ffdfd3c0</v>
      </c>
      <c r="D3527" t="s">
        <v>111</v>
      </c>
      <c r="E3527">
        <v>18</v>
      </c>
      <c r="F3527">
        <v>1018</v>
      </c>
      <c r="G3527" t="s">
        <v>112</v>
      </c>
      <c r="J3527" t="s">
        <v>113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R3527" t="s">
        <v>114</v>
      </c>
      <c r="S3527" t="str">
        <f>"19:33:43.914"</f>
        <v>19:33:43.914</v>
      </c>
      <c r="T3527" t="str">
        <f>"19:33:43.813"</f>
        <v>19:33:43.813</v>
      </c>
      <c r="U3527" t="str">
        <f t="shared" si="166"/>
        <v>a1cdbe</v>
      </c>
      <c r="V3527">
        <v>0</v>
      </c>
      <c r="W3527">
        <v>0</v>
      </c>
      <c r="X3527">
        <v>2</v>
      </c>
      <c r="Y3527">
        <v>0</v>
      </c>
      <c r="Z3527">
        <v>0</v>
      </c>
      <c r="AB3527">
        <v>0</v>
      </c>
      <c r="AC3527">
        <v>9</v>
      </c>
      <c r="AD3527">
        <v>3</v>
      </c>
      <c r="AE3527">
        <v>0</v>
      </c>
      <c r="AF3527">
        <v>9</v>
      </c>
      <c r="AG3527" t="s">
        <v>158</v>
      </c>
      <c r="AH3527">
        <v>0</v>
      </c>
      <c r="AI3527">
        <v>3</v>
      </c>
      <c r="AJ3527">
        <v>1</v>
      </c>
      <c r="AK3527">
        <v>0</v>
      </c>
      <c r="AL3527" t="s">
        <v>6639</v>
      </c>
      <c r="AM3527">
        <v>47.018887999999997</v>
      </c>
      <c r="AN3527" t="s">
        <v>6640</v>
      </c>
      <c r="AO3527">
        <v>-123.79873000000001</v>
      </c>
      <c r="AP3527">
        <v>100</v>
      </c>
      <c r="AQ3527">
        <v>2100</v>
      </c>
      <c r="AR3527" t="s">
        <v>118</v>
      </c>
      <c r="AS3527">
        <v>-76</v>
      </c>
      <c r="AT3527">
        <v>18</v>
      </c>
      <c r="AU3527">
        <v>128</v>
      </c>
      <c r="BC3527">
        <v>1200</v>
      </c>
      <c r="BD3527">
        <v>1</v>
      </c>
      <c r="BE3527" t="str">
        <f t="shared" si="167"/>
        <v xml:space="preserve">N215T   </v>
      </c>
      <c r="BF3527">
        <v>1</v>
      </c>
      <c r="BH3527">
        <v>0</v>
      </c>
      <c r="BI3527">
        <v>0</v>
      </c>
      <c r="BJ3527">
        <v>0</v>
      </c>
      <c r="BK3527">
        <v>2500</v>
      </c>
      <c r="BL3527">
        <v>400</v>
      </c>
      <c r="BM3527" t="s">
        <v>119</v>
      </c>
      <c r="BN3527">
        <v>1</v>
      </c>
      <c r="BO3527">
        <v>1</v>
      </c>
      <c r="BP3527">
        <v>1</v>
      </c>
      <c r="BQ3527">
        <v>0</v>
      </c>
      <c r="BT3527">
        <v>0</v>
      </c>
      <c r="BU3527">
        <v>0</v>
      </c>
      <c r="BV3527">
        <v>0</v>
      </c>
      <c r="CC3527" t="str">
        <f>"19:33:43.914"</f>
        <v>19:33:43.914</v>
      </c>
      <c r="CD3527" t="str">
        <f>"914859078"</f>
        <v>914859078</v>
      </c>
      <c r="CQ3527">
        <v>0</v>
      </c>
      <c r="CR3527">
        <v>2</v>
      </c>
      <c r="CS3527">
        <v>0</v>
      </c>
      <c r="CT3527">
        <v>2</v>
      </c>
      <c r="CU3527">
        <v>0</v>
      </c>
      <c r="CV3527">
        <v>5</v>
      </c>
      <c r="CW3527" t="s">
        <v>120</v>
      </c>
      <c r="CX3527">
        <v>257</v>
      </c>
      <c r="CY3527">
        <v>0</v>
      </c>
      <c r="CZ3527" t="s">
        <v>615</v>
      </c>
      <c r="DA3527" t="s">
        <v>616</v>
      </c>
      <c r="DD3527">
        <v>16465492</v>
      </c>
      <c r="DE3527" t="s">
        <v>123</v>
      </c>
    </row>
    <row r="3528" spans="1:109" x14ac:dyDescent="0.3">
      <c r="A3528" t="str">
        <f>"19:33:45.109"</f>
        <v>19:33:45.109</v>
      </c>
      <c r="B3528" t="s">
        <v>110</v>
      </c>
      <c r="C3528" t="str">
        <f t="shared" si="165"/>
        <v>ffdfd3c0</v>
      </c>
      <c r="D3528" t="s">
        <v>111</v>
      </c>
      <c r="E3528">
        <v>18</v>
      </c>
      <c r="F3528">
        <v>1018</v>
      </c>
      <c r="G3528" t="s">
        <v>112</v>
      </c>
      <c r="J3528" t="s">
        <v>113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R3528" t="s">
        <v>114</v>
      </c>
      <c r="S3528" t="str">
        <f>"19:33:44.867"</f>
        <v>19:33:44.867</v>
      </c>
      <c r="T3528" t="str">
        <f>"19:33:44.664"</f>
        <v>19:33:44.664</v>
      </c>
      <c r="U3528" t="str">
        <f t="shared" si="166"/>
        <v>a1cdbe</v>
      </c>
      <c r="V3528">
        <v>0</v>
      </c>
      <c r="W3528">
        <v>0</v>
      </c>
      <c r="X3528">
        <v>2</v>
      </c>
      <c r="Y3528">
        <v>0</v>
      </c>
      <c r="Z3528">
        <v>0</v>
      </c>
      <c r="AB3528">
        <v>0</v>
      </c>
      <c r="AC3528">
        <v>9</v>
      </c>
      <c r="AD3528">
        <v>3</v>
      </c>
      <c r="AE3528">
        <v>0</v>
      </c>
      <c r="AF3528">
        <v>9</v>
      </c>
      <c r="AG3528" t="s">
        <v>158</v>
      </c>
      <c r="AH3528">
        <v>0</v>
      </c>
      <c r="AI3528">
        <v>3</v>
      </c>
      <c r="AJ3528">
        <v>1</v>
      </c>
      <c r="AK3528">
        <v>0</v>
      </c>
      <c r="AL3528" t="s">
        <v>6641</v>
      </c>
      <c r="AM3528">
        <v>47.018931000000002</v>
      </c>
      <c r="AN3528" t="s">
        <v>6642</v>
      </c>
      <c r="AO3528">
        <v>-123.799224</v>
      </c>
      <c r="AP3528">
        <v>100</v>
      </c>
      <c r="AQ3528">
        <v>2100</v>
      </c>
      <c r="AR3528" t="s">
        <v>118</v>
      </c>
      <c r="AS3528">
        <v>-76</v>
      </c>
      <c r="AT3528">
        <v>18</v>
      </c>
      <c r="AU3528">
        <v>128</v>
      </c>
      <c r="BC3528">
        <v>1200</v>
      </c>
      <c r="BD3528">
        <v>1</v>
      </c>
      <c r="BE3528" t="str">
        <f t="shared" si="167"/>
        <v xml:space="preserve">N215T   </v>
      </c>
      <c r="BF3528">
        <v>1</v>
      </c>
      <c r="BH3528">
        <v>0</v>
      </c>
      <c r="BI3528">
        <v>0</v>
      </c>
      <c r="BJ3528">
        <v>0</v>
      </c>
      <c r="BK3528">
        <v>2500</v>
      </c>
      <c r="BL3528">
        <v>400</v>
      </c>
      <c r="BM3528" t="s">
        <v>119</v>
      </c>
      <c r="BN3528">
        <v>1</v>
      </c>
      <c r="BO3528">
        <v>1</v>
      </c>
      <c r="BP3528">
        <v>1</v>
      </c>
      <c r="BQ3528">
        <v>0</v>
      </c>
      <c r="BT3528">
        <v>0</v>
      </c>
      <c r="BU3528">
        <v>0</v>
      </c>
      <c r="BV3528">
        <v>0</v>
      </c>
      <c r="CC3528" t="str">
        <f>"19:33:44.875"</f>
        <v>19:33:44.875</v>
      </c>
      <c r="CD3528" t="str">
        <f>"874764513"</f>
        <v>874764513</v>
      </c>
      <c r="CQ3528">
        <v>0</v>
      </c>
      <c r="CR3528">
        <v>2</v>
      </c>
      <c r="CS3528">
        <v>0</v>
      </c>
      <c r="CT3528">
        <v>2</v>
      </c>
      <c r="CU3528">
        <v>0</v>
      </c>
      <c r="CV3528">
        <v>5</v>
      </c>
      <c r="CW3528" t="s">
        <v>120</v>
      </c>
      <c r="CX3528">
        <v>257</v>
      </c>
      <c r="CY3528">
        <v>0</v>
      </c>
      <c r="CZ3528" t="s">
        <v>615</v>
      </c>
      <c r="DA3528" t="s">
        <v>616</v>
      </c>
      <c r="DD3528">
        <v>16465922</v>
      </c>
      <c r="DE3528" t="s">
        <v>123</v>
      </c>
    </row>
    <row r="3529" spans="1:109" x14ac:dyDescent="0.3">
      <c r="A3529" t="str">
        <f>"19:33:46.211"</f>
        <v>19:33:46.211</v>
      </c>
      <c r="B3529" t="s">
        <v>110</v>
      </c>
      <c r="C3529" t="str">
        <f t="shared" si="165"/>
        <v>ffdfd3c0</v>
      </c>
      <c r="D3529" t="s">
        <v>111</v>
      </c>
      <c r="E3529">
        <v>18</v>
      </c>
      <c r="F3529">
        <v>1018</v>
      </c>
      <c r="G3529" t="s">
        <v>112</v>
      </c>
      <c r="J3529" t="s">
        <v>113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R3529" t="s">
        <v>114</v>
      </c>
      <c r="S3529" t="str">
        <f>"19:33:45.953"</f>
        <v>19:33:45.953</v>
      </c>
      <c r="T3529" t="str">
        <f>"19:33:45.555"</f>
        <v>19:33:45.555</v>
      </c>
      <c r="U3529" t="str">
        <f t="shared" si="166"/>
        <v>a1cdbe</v>
      </c>
      <c r="V3529">
        <v>0</v>
      </c>
      <c r="W3529">
        <v>0</v>
      </c>
      <c r="X3529">
        <v>2</v>
      </c>
      <c r="Y3529">
        <v>0</v>
      </c>
      <c r="Z3529">
        <v>0</v>
      </c>
      <c r="AB3529">
        <v>0</v>
      </c>
      <c r="AC3529">
        <v>9</v>
      </c>
      <c r="AD3529">
        <v>3</v>
      </c>
      <c r="AE3529">
        <v>0</v>
      </c>
      <c r="AF3529">
        <v>9</v>
      </c>
      <c r="AG3529" t="s">
        <v>158</v>
      </c>
      <c r="AH3529">
        <v>0</v>
      </c>
      <c r="AI3529">
        <v>3</v>
      </c>
      <c r="AJ3529">
        <v>1</v>
      </c>
      <c r="AK3529">
        <v>0</v>
      </c>
      <c r="AL3529" t="s">
        <v>6643</v>
      </c>
      <c r="AM3529">
        <v>47.019016999999998</v>
      </c>
      <c r="AN3529" t="s">
        <v>6644</v>
      </c>
      <c r="AO3529">
        <v>-123.79978199999999</v>
      </c>
      <c r="AP3529">
        <v>100</v>
      </c>
      <c r="AQ3529">
        <v>2100</v>
      </c>
      <c r="AR3529" t="s">
        <v>118</v>
      </c>
      <c r="AS3529">
        <v>-76</v>
      </c>
      <c r="AT3529">
        <v>18</v>
      </c>
      <c r="AU3529">
        <v>128</v>
      </c>
      <c r="BC3529">
        <v>1200</v>
      </c>
      <c r="BD3529">
        <v>1</v>
      </c>
      <c r="BE3529" t="str">
        <f t="shared" si="167"/>
        <v xml:space="preserve">N215T   </v>
      </c>
      <c r="BF3529">
        <v>1</v>
      </c>
      <c r="BH3529">
        <v>0</v>
      </c>
      <c r="BI3529">
        <v>0</v>
      </c>
      <c r="BJ3529">
        <v>0</v>
      </c>
      <c r="BK3529">
        <v>2525</v>
      </c>
      <c r="BL3529">
        <v>425</v>
      </c>
      <c r="BM3529" t="s">
        <v>119</v>
      </c>
      <c r="BN3529">
        <v>1</v>
      </c>
      <c r="BO3529">
        <v>1</v>
      </c>
      <c r="BP3529">
        <v>1</v>
      </c>
      <c r="BQ3529">
        <v>0</v>
      </c>
      <c r="BT3529">
        <v>0</v>
      </c>
      <c r="BU3529">
        <v>0</v>
      </c>
      <c r="BV3529">
        <v>0</v>
      </c>
      <c r="CC3529" t="str">
        <f>"19:33:45.953"</f>
        <v>19:33:45.953</v>
      </c>
      <c r="CD3529" t="str">
        <f>"954658126"</f>
        <v>954658126</v>
      </c>
      <c r="CQ3529">
        <v>0</v>
      </c>
      <c r="CR3529">
        <v>2</v>
      </c>
      <c r="CS3529">
        <v>0</v>
      </c>
      <c r="CT3529">
        <v>2</v>
      </c>
      <c r="CU3529">
        <v>0</v>
      </c>
      <c r="CV3529">
        <v>5</v>
      </c>
      <c r="CW3529" t="s">
        <v>120</v>
      </c>
      <c r="CX3529">
        <v>257</v>
      </c>
      <c r="CY3529">
        <v>0</v>
      </c>
      <c r="CZ3529" t="s">
        <v>615</v>
      </c>
      <c r="DA3529" t="s">
        <v>616</v>
      </c>
      <c r="DD3529">
        <v>16466436</v>
      </c>
      <c r="DE3529" t="s">
        <v>123</v>
      </c>
    </row>
    <row r="3530" spans="1:109" x14ac:dyDescent="0.3">
      <c r="A3530" t="str">
        <f>"19:33:47.273"</f>
        <v>19:33:47.273</v>
      </c>
      <c r="B3530" t="s">
        <v>110</v>
      </c>
      <c r="C3530" t="str">
        <f t="shared" si="165"/>
        <v>ffdfd3c0</v>
      </c>
      <c r="D3530" t="s">
        <v>111</v>
      </c>
      <c r="E3530">
        <v>18</v>
      </c>
      <c r="F3530">
        <v>1018</v>
      </c>
      <c r="G3530" t="s">
        <v>112</v>
      </c>
      <c r="J3530" t="s">
        <v>113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R3530" t="s">
        <v>114</v>
      </c>
      <c r="S3530" t="str">
        <f>"19:33:47.016"</f>
        <v>19:33:47.016</v>
      </c>
      <c r="T3530" t="str">
        <f>"19:33:46.719"</f>
        <v>19:33:46.719</v>
      </c>
      <c r="U3530" t="str">
        <f t="shared" si="166"/>
        <v>a1cdbe</v>
      </c>
      <c r="V3530">
        <v>0</v>
      </c>
      <c r="W3530">
        <v>0</v>
      </c>
      <c r="X3530">
        <v>2</v>
      </c>
      <c r="Y3530">
        <v>0</v>
      </c>
      <c r="Z3530">
        <v>0</v>
      </c>
      <c r="AB3530">
        <v>0</v>
      </c>
      <c r="AC3530">
        <v>9</v>
      </c>
      <c r="AD3530">
        <v>3</v>
      </c>
      <c r="AE3530">
        <v>0</v>
      </c>
      <c r="AF3530">
        <v>9</v>
      </c>
      <c r="AG3530" t="s">
        <v>158</v>
      </c>
      <c r="AH3530">
        <v>0</v>
      </c>
      <c r="AI3530">
        <v>3</v>
      </c>
      <c r="AJ3530">
        <v>1</v>
      </c>
      <c r="AK3530">
        <v>0</v>
      </c>
      <c r="AL3530" t="s">
        <v>6645</v>
      </c>
      <c r="AM3530">
        <v>47.019103000000001</v>
      </c>
      <c r="AN3530" t="s">
        <v>6646</v>
      </c>
      <c r="AO3530">
        <v>-123.800361</v>
      </c>
      <c r="AP3530">
        <v>100</v>
      </c>
      <c r="AQ3530">
        <v>2100</v>
      </c>
      <c r="AR3530" t="s">
        <v>118</v>
      </c>
      <c r="AS3530">
        <v>-75</v>
      </c>
      <c r="AT3530">
        <v>18</v>
      </c>
      <c r="AU3530">
        <v>128</v>
      </c>
      <c r="BC3530">
        <v>1200</v>
      </c>
      <c r="BD3530">
        <v>1</v>
      </c>
      <c r="BE3530" t="str">
        <f t="shared" si="167"/>
        <v xml:space="preserve">N215T   </v>
      </c>
      <c r="BF3530">
        <v>1</v>
      </c>
      <c r="BH3530">
        <v>0</v>
      </c>
      <c r="BI3530">
        <v>0</v>
      </c>
      <c r="BJ3530">
        <v>0</v>
      </c>
      <c r="BK3530">
        <v>2525</v>
      </c>
      <c r="BL3530">
        <v>425</v>
      </c>
      <c r="BM3530" t="s">
        <v>119</v>
      </c>
      <c r="BN3530">
        <v>1</v>
      </c>
      <c r="BO3530">
        <v>1</v>
      </c>
      <c r="BP3530">
        <v>1</v>
      </c>
      <c r="BQ3530">
        <v>0</v>
      </c>
      <c r="BT3530">
        <v>0</v>
      </c>
      <c r="BU3530">
        <v>0</v>
      </c>
      <c r="BV3530">
        <v>0</v>
      </c>
      <c r="CC3530" t="str">
        <f>"19:33:47.023"</f>
        <v>19:33:47.023</v>
      </c>
      <c r="CD3530" t="str">
        <f>"019553153"</f>
        <v>019553153</v>
      </c>
      <c r="CQ3530">
        <v>0</v>
      </c>
      <c r="CR3530">
        <v>2</v>
      </c>
      <c r="CS3530">
        <v>0</v>
      </c>
      <c r="CT3530">
        <v>2</v>
      </c>
      <c r="CU3530">
        <v>0</v>
      </c>
      <c r="CV3530">
        <v>6</v>
      </c>
      <c r="CW3530" t="s">
        <v>120</v>
      </c>
      <c r="CX3530">
        <v>257</v>
      </c>
      <c r="CY3530">
        <v>0</v>
      </c>
      <c r="CZ3530" t="s">
        <v>615</v>
      </c>
      <c r="DA3530" t="s">
        <v>616</v>
      </c>
      <c r="DD3530">
        <v>16466954</v>
      </c>
      <c r="DE3530" t="s">
        <v>123</v>
      </c>
    </row>
    <row r="3531" spans="1:109" x14ac:dyDescent="0.3">
      <c r="A3531" t="str">
        <f>"19:33:48.430"</f>
        <v>19:33:48.430</v>
      </c>
      <c r="B3531" t="s">
        <v>110</v>
      </c>
      <c r="C3531" t="str">
        <f t="shared" si="165"/>
        <v>ffdfd3c0</v>
      </c>
      <c r="D3531" t="s">
        <v>111</v>
      </c>
      <c r="E3531">
        <v>18</v>
      </c>
      <c r="F3531">
        <v>1018</v>
      </c>
      <c r="G3531" t="s">
        <v>112</v>
      </c>
      <c r="J3531" t="s">
        <v>113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R3531" t="s">
        <v>114</v>
      </c>
      <c r="S3531" t="str">
        <f>"19:33:48.203"</f>
        <v>19:33:48.203</v>
      </c>
      <c r="T3531" t="str">
        <f>"19:33:48.203"</f>
        <v>19:33:48.203</v>
      </c>
      <c r="U3531" t="str">
        <f t="shared" si="166"/>
        <v>a1cdbe</v>
      </c>
      <c r="V3531">
        <v>0</v>
      </c>
      <c r="W3531">
        <v>0</v>
      </c>
      <c r="X3531">
        <v>2</v>
      </c>
      <c r="Y3531">
        <v>0</v>
      </c>
      <c r="Z3531">
        <v>0</v>
      </c>
      <c r="AB3531">
        <v>0</v>
      </c>
      <c r="AC3531">
        <v>9</v>
      </c>
      <c r="AD3531">
        <v>3</v>
      </c>
      <c r="AE3531">
        <v>0</v>
      </c>
      <c r="AF3531">
        <v>9</v>
      </c>
      <c r="AG3531" t="s">
        <v>158</v>
      </c>
      <c r="AH3531">
        <v>0</v>
      </c>
      <c r="AI3531">
        <v>3</v>
      </c>
      <c r="AJ3531">
        <v>1</v>
      </c>
      <c r="AK3531">
        <v>0</v>
      </c>
      <c r="AL3531" t="s">
        <v>713</v>
      </c>
      <c r="AM3531">
        <v>47.019210000000001</v>
      </c>
      <c r="AN3531" t="s">
        <v>6647</v>
      </c>
      <c r="AO3531">
        <v>-123.80091899999999</v>
      </c>
      <c r="AP3531">
        <v>100</v>
      </c>
      <c r="AQ3531">
        <v>2100</v>
      </c>
      <c r="AR3531" t="s">
        <v>118</v>
      </c>
      <c r="AS3531">
        <v>-75</v>
      </c>
      <c r="AT3531">
        <v>18</v>
      </c>
      <c r="AU3531">
        <v>192</v>
      </c>
      <c r="BC3531">
        <v>1200</v>
      </c>
      <c r="BD3531">
        <v>1</v>
      </c>
      <c r="BE3531" t="str">
        <f t="shared" si="167"/>
        <v xml:space="preserve">N215T   </v>
      </c>
      <c r="BF3531">
        <v>1</v>
      </c>
      <c r="BH3531">
        <v>0</v>
      </c>
      <c r="BI3531">
        <v>0</v>
      </c>
      <c r="BJ3531">
        <v>0</v>
      </c>
      <c r="BK3531">
        <v>2525</v>
      </c>
      <c r="BL3531">
        <v>425</v>
      </c>
      <c r="BM3531" t="s">
        <v>119</v>
      </c>
      <c r="BN3531">
        <v>1</v>
      </c>
      <c r="BO3531">
        <v>1</v>
      </c>
      <c r="BP3531">
        <v>1</v>
      </c>
      <c r="BQ3531">
        <v>0</v>
      </c>
      <c r="BT3531">
        <v>0</v>
      </c>
      <c r="BU3531">
        <v>0</v>
      </c>
      <c r="BV3531">
        <v>0</v>
      </c>
      <c r="CC3531" t="str">
        <f>"19:33:48.203"</f>
        <v>19:33:48.203</v>
      </c>
      <c r="CD3531" t="str">
        <f>"204436459"</f>
        <v>204436459</v>
      </c>
      <c r="CQ3531">
        <v>0</v>
      </c>
      <c r="CR3531">
        <v>2</v>
      </c>
      <c r="CS3531">
        <v>0</v>
      </c>
      <c r="CT3531">
        <v>2</v>
      </c>
      <c r="CU3531">
        <v>0</v>
      </c>
      <c r="CV3531">
        <v>5</v>
      </c>
      <c r="CW3531" t="s">
        <v>120</v>
      </c>
      <c r="CX3531">
        <v>257</v>
      </c>
      <c r="CY3531">
        <v>0</v>
      </c>
      <c r="CZ3531" t="s">
        <v>615</v>
      </c>
      <c r="DA3531" t="s">
        <v>616</v>
      </c>
      <c r="DD3531">
        <v>16467481</v>
      </c>
      <c r="DE3531" t="s">
        <v>123</v>
      </c>
    </row>
    <row r="3532" spans="1:109" x14ac:dyDescent="0.3">
      <c r="A3532" t="str">
        <f>"19:33:49.336"</f>
        <v>19:33:49.336</v>
      </c>
      <c r="B3532" t="s">
        <v>110</v>
      </c>
      <c r="C3532" t="str">
        <f t="shared" si="165"/>
        <v>ffdfd3c0</v>
      </c>
      <c r="D3532" t="s">
        <v>111</v>
      </c>
      <c r="E3532">
        <v>18</v>
      </c>
      <c r="F3532">
        <v>1018</v>
      </c>
      <c r="G3532" t="s">
        <v>112</v>
      </c>
      <c r="J3532" t="s">
        <v>113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R3532" t="s">
        <v>114</v>
      </c>
      <c r="S3532" t="str">
        <f>"19:33:49.133"</f>
        <v>19:33:49.133</v>
      </c>
      <c r="T3532" t="str">
        <f>"19:33:48.633"</f>
        <v>19:33:48.633</v>
      </c>
      <c r="U3532" t="str">
        <f t="shared" si="166"/>
        <v>a1cdbe</v>
      </c>
      <c r="V3532">
        <v>0</v>
      </c>
      <c r="W3532">
        <v>0</v>
      </c>
      <c r="X3532">
        <v>2</v>
      </c>
      <c r="Y3532">
        <v>0</v>
      </c>
      <c r="Z3532">
        <v>0</v>
      </c>
      <c r="AB3532">
        <v>0</v>
      </c>
      <c r="AC3532">
        <v>9</v>
      </c>
      <c r="AD3532">
        <v>3</v>
      </c>
      <c r="AE3532">
        <v>0</v>
      </c>
      <c r="AF3532">
        <v>9</v>
      </c>
      <c r="AG3532" t="s">
        <v>158</v>
      </c>
      <c r="AH3532">
        <v>0</v>
      </c>
      <c r="AI3532">
        <v>3</v>
      </c>
      <c r="AJ3532">
        <v>1</v>
      </c>
      <c r="AK3532">
        <v>0</v>
      </c>
      <c r="AL3532" t="s">
        <v>6648</v>
      </c>
      <c r="AM3532">
        <v>47.019295999999997</v>
      </c>
      <c r="AN3532" t="s">
        <v>6649</v>
      </c>
      <c r="AO3532">
        <v>-123.801413</v>
      </c>
      <c r="AP3532">
        <v>100</v>
      </c>
      <c r="AQ3532">
        <v>2100</v>
      </c>
      <c r="AR3532" t="s">
        <v>118</v>
      </c>
      <c r="AS3532">
        <v>-75</v>
      </c>
      <c r="AT3532">
        <v>17</v>
      </c>
      <c r="AU3532">
        <v>192</v>
      </c>
      <c r="BC3532">
        <v>1200</v>
      </c>
      <c r="BD3532">
        <v>1</v>
      </c>
      <c r="BE3532" t="str">
        <f t="shared" si="167"/>
        <v xml:space="preserve">N215T   </v>
      </c>
      <c r="BF3532">
        <v>1</v>
      </c>
      <c r="BH3532">
        <v>0</v>
      </c>
      <c r="BI3532">
        <v>0</v>
      </c>
      <c r="BJ3532">
        <v>0</v>
      </c>
      <c r="BK3532">
        <v>2525</v>
      </c>
      <c r="BL3532">
        <v>425</v>
      </c>
      <c r="BM3532" t="s">
        <v>119</v>
      </c>
      <c r="BN3532">
        <v>1</v>
      </c>
      <c r="BO3532">
        <v>1</v>
      </c>
      <c r="BP3532">
        <v>1</v>
      </c>
      <c r="BQ3532">
        <v>0</v>
      </c>
      <c r="BT3532">
        <v>0</v>
      </c>
      <c r="BU3532">
        <v>0</v>
      </c>
      <c r="BV3532">
        <v>0</v>
      </c>
      <c r="CC3532" t="str">
        <f>"19:33:49.133"</f>
        <v>19:33:49.133</v>
      </c>
      <c r="CD3532" t="str">
        <f>"134344838"</f>
        <v>134344838</v>
      </c>
      <c r="CQ3532">
        <v>0</v>
      </c>
      <c r="CR3532">
        <v>2</v>
      </c>
      <c r="CS3532">
        <v>0</v>
      </c>
      <c r="CT3532">
        <v>2</v>
      </c>
      <c r="CU3532">
        <v>0</v>
      </c>
      <c r="CV3532">
        <v>5</v>
      </c>
      <c r="CW3532" t="s">
        <v>120</v>
      </c>
      <c r="CX3532">
        <v>257</v>
      </c>
      <c r="CY3532">
        <v>0</v>
      </c>
      <c r="CZ3532" t="s">
        <v>615</v>
      </c>
      <c r="DA3532" t="s">
        <v>616</v>
      </c>
      <c r="DD3532">
        <v>16467857</v>
      </c>
      <c r="DE3532" t="s">
        <v>123</v>
      </c>
    </row>
    <row r="3533" spans="1:109" x14ac:dyDescent="0.3">
      <c r="A3533" t="str">
        <f>"19:33:50.438"</f>
        <v>19:33:50.438</v>
      </c>
      <c r="B3533" t="s">
        <v>110</v>
      </c>
      <c r="C3533" t="str">
        <f t="shared" si="165"/>
        <v>ffdfd3c0</v>
      </c>
      <c r="D3533" t="s">
        <v>111</v>
      </c>
      <c r="E3533">
        <v>18</v>
      </c>
      <c r="F3533">
        <v>1018</v>
      </c>
      <c r="G3533" t="s">
        <v>112</v>
      </c>
      <c r="J3533" t="s">
        <v>113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R3533" t="s">
        <v>114</v>
      </c>
      <c r="S3533" t="str">
        <f>"19:33:50.211"</f>
        <v>19:33:50.211</v>
      </c>
      <c r="T3533" t="str">
        <f>"19:33:50.109"</f>
        <v>19:33:50.109</v>
      </c>
      <c r="U3533" t="str">
        <f t="shared" si="166"/>
        <v>a1cdbe</v>
      </c>
      <c r="V3533">
        <v>0</v>
      </c>
      <c r="W3533">
        <v>0</v>
      </c>
      <c r="X3533">
        <v>2</v>
      </c>
      <c r="Y3533">
        <v>0</v>
      </c>
      <c r="Z3533">
        <v>0</v>
      </c>
      <c r="AB3533">
        <v>0</v>
      </c>
      <c r="AC3533">
        <v>9</v>
      </c>
      <c r="AD3533">
        <v>3</v>
      </c>
      <c r="AE3533">
        <v>0</v>
      </c>
      <c r="AF3533">
        <v>9</v>
      </c>
      <c r="AG3533" t="s">
        <v>158</v>
      </c>
      <c r="AH3533">
        <v>0</v>
      </c>
      <c r="AI3533">
        <v>3</v>
      </c>
      <c r="AJ3533">
        <v>1</v>
      </c>
      <c r="AK3533">
        <v>0</v>
      </c>
      <c r="AL3533" t="s">
        <v>6650</v>
      </c>
      <c r="AM3533">
        <v>47.019382</v>
      </c>
      <c r="AN3533" t="s">
        <v>6651</v>
      </c>
      <c r="AO3533">
        <v>-123.801906</v>
      </c>
      <c r="AP3533">
        <v>100</v>
      </c>
      <c r="AQ3533">
        <v>2100</v>
      </c>
      <c r="AR3533" t="s">
        <v>118</v>
      </c>
      <c r="AS3533">
        <v>-74</v>
      </c>
      <c r="AT3533">
        <v>17</v>
      </c>
      <c r="AU3533">
        <v>192</v>
      </c>
      <c r="BC3533">
        <v>1200</v>
      </c>
      <c r="BD3533">
        <v>1</v>
      </c>
      <c r="BE3533" t="str">
        <f t="shared" si="167"/>
        <v xml:space="preserve">N215T   </v>
      </c>
      <c r="BF3533">
        <v>1</v>
      </c>
      <c r="BH3533">
        <v>0</v>
      </c>
      <c r="BI3533">
        <v>0</v>
      </c>
      <c r="BJ3533">
        <v>0</v>
      </c>
      <c r="BK3533">
        <v>2525</v>
      </c>
      <c r="BL3533">
        <v>425</v>
      </c>
      <c r="BM3533" t="s">
        <v>119</v>
      </c>
      <c r="BN3533">
        <v>1</v>
      </c>
      <c r="BO3533">
        <v>1</v>
      </c>
      <c r="BP3533">
        <v>1</v>
      </c>
      <c r="BQ3533">
        <v>0</v>
      </c>
      <c r="BT3533">
        <v>0</v>
      </c>
      <c r="BU3533">
        <v>0</v>
      </c>
      <c r="BV3533">
        <v>0</v>
      </c>
      <c r="CC3533" t="str">
        <f>"19:33:50.211"</f>
        <v>19:33:50.211</v>
      </c>
      <c r="CD3533" t="str">
        <f>"214238437"</f>
        <v>214238437</v>
      </c>
      <c r="CQ3533">
        <v>0</v>
      </c>
      <c r="CR3533">
        <v>2</v>
      </c>
      <c r="CS3533">
        <v>0</v>
      </c>
      <c r="CT3533">
        <v>2</v>
      </c>
      <c r="CU3533">
        <v>0</v>
      </c>
      <c r="CV3533">
        <v>5</v>
      </c>
      <c r="CW3533" t="s">
        <v>120</v>
      </c>
      <c r="CX3533">
        <v>257</v>
      </c>
      <c r="CY3533">
        <v>0</v>
      </c>
      <c r="CZ3533" t="s">
        <v>615</v>
      </c>
      <c r="DA3533" t="s">
        <v>616</v>
      </c>
      <c r="DD3533">
        <v>16468309</v>
      </c>
      <c r="DE3533" t="s">
        <v>123</v>
      </c>
    </row>
    <row r="3534" spans="1:109" x14ac:dyDescent="0.3">
      <c r="A3534" t="str">
        <f>"19:33:51.391"</f>
        <v>19:33:51.391</v>
      </c>
      <c r="B3534" t="s">
        <v>110</v>
      </c>
      <c r="C3534" t="str">
        <f t="shared" si="165"/>
        <v>ffdfd3c0</v>
      </c>
      <c r="D3534" t="s">
        <v>111</v>
      </c>
      <c r="E3534">
        <v>18</v>
      </c>
      <c r="F3534">
        <v>1018</v>
      </c>
      <c r="G3534" t="s">
        <v>112</v>
      </c>
      <c r="J3534" t="s">
        <v>113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R3534" t="s">
        <v>114</v>
      </c>
      <c r="S3534" t="str">
        <f>"19:33:51.141"</f>
        <v>19:33:51.141</v>
      </c>
      <c r="T3534" t="str">
        <f>"19:33:51.141"</f>
        <v>19:33:51.141</v>
      </c>
      <c r="U3534" t="str">
        <f t="shared" si="166"/>
        <v>a1cdbe</v>
      </c>
      <c r="V3534">
        <v>0</v>
      </c>
      <c r="W3534">
        <v>0</v>
      </c>
      <c r="X3534">
        <v>2</v>
      </c>
      <c r="Y3534">
        <v>0</v>
      </c>
      <c r="Z3534">
        <v>0</v>
      </c>
      <c r="AB3534">
        <v>0</v>
      </c>
      <c r="AC3534">
        <v>9</v>
      </c>
      <c r="AD3534">
        <v>3</v>
      </c>
      <c r="AE3534">
        <v>0</v>
      </c>
      <c r="AF3534">
        <v>9</v>
      </c>
      <c r="AG3534" t="s">
        <v>158</v>
      </c>
      <c r="AH3534">
        <v>0</v>
      </c>
      <c r="AI3534">
        <v>3</v>
      </c>
      <c r="AJ3534">
        <v>1</v>
      </c>
      <c r="AK3534">
        <v>0</v>
      </c>
      <c r="AL3534" t="s">
        <v>6652</v>
      </c>
      <c r="AM3534">
        <v>47.019446000000002</v>
      </c>
      <c r="AN3534" t="s">
        <v>6653</v>
      </c>
      <c r="AO3534">
        <v>-123.80240000000001</v>
      </c>
      <c r="AP3534">
        <v>100</v>
      </c>
      <c r="AQ3534">
        <v>2100</v>
      </c>
      <c r="AR3534" t="s">
        <v>118</v>
      </c>
      <c r="AS3534">
        <v>-74</v>
      </c>
      <c r="AT3534">
        <v>17</v>
      </c>
      <c r="AU3534">
        <v>192</v>
      </c>
      <c r="BC3534">
        <v>1200</v>
      </c>
      <c r="BD3534">
        <v>1</v>
      </c>
      <c r="BE3534" t="str">
        <f t="shared" si="167"/>
        <v xml:space="preserve">N215T   </v>
      </c>
      <c r="BF3534">
        <v>1</v>
      </c>
      <c r="BH3534">
        <v>0</v>
      </c>
      <c r="BI3534">
        <v>0</v>
      </c>
      <c r="BJ3534">
        <v>0</v>
      </c>
      <c r="BK3534">
        <v>2525</v>
      </c>
      <c r="BL3534">
        <v>425</v>
      </c>
      <c r="BM3534" t="s">
        <v>119</v>
      </c>
      <c r="BN3534">
        <v>1</v>
      </c>
      <c r="BO3534">
        <v>1</v>
      </c>
      <c r="BP3534">
        <v>1</v>
      </c>
      <c r="BQ3534">
        <v>0</v>
      </c>
      <c r="BT3534">
        <v>0</v>
      </c>
      <c r="BU3534">
        <v>0</v>
      </c>
      <c r="BV3534">
        <v>0</v>
      </c>
      <c r="CC3534" t="str">
        <f>"19:33:51.141"</f>
        <v>19:33:51.141</v>
      </c>
      <c r="CD3534" t="str">
        <f>"144146828"</f>
        <v>144146828</v>
      </c>
      <c r="CQ3534">
        <v>0</v>
      </c>
      <c r="CR3534">
        <v>2</v>
      </c>
      <c r="CS3534">
        <v>0</v>
      </c>
      <c r="CT3534">
        <v>2</v>
      </c>
      <c r="CU3534">
        <v>0</v>
      </c>
      <c r="CV3534">
        <v>5</v>
      </c>
      <c r="CW3534" t="s">
        <v>120</v>
      </c>
      <c r="CX3534">
        <v>257</v>
      </c>
      <c r="CY3534">
        <v>0</v>
      </c>
      <c r="CZ3534" t="s">
        <v>615</v>
      </c>
      <c r="DA3534" t="s">
        <v>616</v>
      </c>
      <c r="DD3534">
        <v>16468719</v>
      </c>
      <c r="DE3534" t="s">
        <v>123</v>
      </c>
    </row>
    <row r="3535" spans="1:109" x14ac:dyDescent="0.3">
      <c r="A3535" t="str">
        <f>"19:33:52.250"</f>
        <v>19:33:52.250</v>
      </c>
      <c r="B3535" t="s">
        <v>110</v>
      </c>
      <c r="C3535" t="str">
        <f t="shared" si="165"/>
        <v>ffdfd3c0</v>
      </c>
      <c r="D3535" t="s">
        <v>111</v>
      </c>
      <c r="E3535">
        <v>18</v>
      </c>
      <c r="F3535">
        <v>1018</v>
      </c>
      <c r="G3535" t="s">
        <v>112</v>
      </c>
      <c r="J3535" t="s">
        <v>113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R3535" t="s">
        <v>114</v>
      </c>
      <c r="S3535" t="str">
        <f>"19:33:51.977"</f>
        <v>19:33:51.977</v>
      </c>
      <c r="T3535" t="str">
        <f>"19:33:51.680"</f>
        <v>19:33:51.680</v>
      </c>
      <c r="U3535" t="str">
        <f t="shared" si="166"/>
        <v>a1cdbe</v>
      </c>
      <c r="V3535">
        <v>0</v>
      </c>
      <c r="W3535">
        <v>0</v>
      </c>
      <c r="X3535">
        <v>2</v>
      </c>
      <c r="Y3535">
        <v>0</v>
      </c>
      <c r="Z3535">
        <v>0</v>
      </c>
      <c r="AB3535">
        <v>0</v>
      </c>
      <c r="AC3535">
        <v>9</v>
      </c>
      <c r="AD3535">
        <v>3</v>
      </c>
      <c r="AE3535">
        <v>0</v>
      </c>
      <c r="AF3535">
        <v>9</v>
      </c>
      <c r="AG3535" t="s">
        <v>158</v>
      </c>
      <c r="AH3535">
        <v>0</v>
      </c>
      <c r="AI3535">
        <v>3</v>
      </c>
      <c r="AJ3535">
        <v>1</v>
      </c>
      <c r="AK3535">
        <v>0</v>
      </c>
      <c r="AL3535" t="s">
        <v>6654</v>
      </c>
      <c r="AM3535">
        <v>47.019509999999997</v>
      </c>
      <c r="AN3535" t="s">
        <v>6655</v>
      </c>
      <c r="AO3535">
        <v>-123.802807</v>
      </c>
      <c r="AP3535">
        <v>100</v>
      </c>
      <c r="AQ3535">
        <v>2200</v>
      </c>
      <c r="AR3535" t="s">
        <v>118</v>
      </c>
      <c r="AS3535">
        <v>-74</v>
      </c>
      <c r="AT3535">
        <v>17</v>
      </c>
      <c r="AU3535">
        <v>192</v>
      </c>
      <c r="BC3535">
        <v>1200</v>
      </c>
      <c r="BD3535">
        <v>1</v>
      </c>
      <c r="BE3535" t="str">
        <f t="shared" si="167"/>
        <v xml:space="preserve">N215T   </v>
      </c>
      <c r="BF3535">
        <v>1</v>
      </c>
      <c r="BH3535">
        <v>0</v>
      </c>
      <c r="BI3535">
        <v>0</v>
      </c>
      <c r="BJ3535">
        <v>0</v>
      </c>
      <c r="BK3535">
        <v>2525</v>
      </c>
      <c r="BL3535">
        <v>325</v>
      </c>
      <c r="BM3535" t="s">
        <v>119</v>
      </c>
      <c r="BN3535">
        <v>1</v>
      </c>
      <c r="BO3535">
        <v>1</v>
      </c>
      <c r="BP3535">
        <v>1</v>
      </c>
      <c r="BQ3535">
        <v>0</v>
      </c>
      <c r="BT3535">
        <v>0</v>
      </c>
      <c r="BU3535">
        <v>0</v>
      </c>
      <c r="BV3535">
        <v>0</v>
      </c>
      <c r="CC3535" t="str">
        <f>"19:33:51.984"</f>
        <v>19:33:51.984</v>
      </c>
      <c r="CD3535" t="str">
        <f>"984064091"</f>
        <v>984064091</v>
      </c>
      <c r="CQ3535">
        <v>0</v>
      </c>
      <c r="CR3535">
        <v>2</v>
      </c>
      <c r="CS3535">
        <v>0</v>
      </c>
      <c r="CT3535">
        <v>2</v>
      </c>
      <c r="CU3535">
        <v>0</v>
      </c>
      <c r="CV3535">
        <v>5</v>
      </c>
      <c r="CW3535" t="s">
        <v>120</v>
      </c>
      <c r="CX3535">
        <v>257</v>
      </c>
      <c r="CY3535">
        <v>0</v>
      </c>
      <c r="CZ3535" t="s">
        <v>615</v>
      </c>
      <c r="DA3535" t="s">
        <v>616</v>
      </c>
      <c r="DD3535">
        <v>16469053</v>
      </c>
      <c r="DE3535" t="s">
        <v>123</v>
      </c>
    </row>
    <row r="3536" spans="1:109" x14ac:dyDescent="0.3">
      <c r="A3536" t="str">
        <f>"19:33:53.203"</f>
        <v>19:33:53.203</v>
      </c>
      <c r="B3536" t="s">
        <v>110</v>
      </c>
      <c r="C3536" t="str">
        <f t="shared" si="165"/>
        <v>ffdfd3c0</v>
      </c>
      <c r="D3536" t="s">
        <v>111</v>
      </c>
      <c r="E3536">
        <v>18</v>
      </c>
      <c r="F3536">
        <v>1018</v>
      </c>
      <c r="G3536" t="s">
        <v>112</v>
      </c>
      <c r="J3536" t="s">
        <v>113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R3536" t="s">
        <v>114</v>
      </c>
      <c r="S3536" t="str">
        <f>"19:33:52.969"</f>
        <v>19:33:52.969</v>
      </c>
      <c r="T3536" t="str">
        <f>"19:33:52.766"</f>
        <v>19:33:52.766</v>
      </c>
      <c r="U3536" t="str">
        <f t="shared" si="166"/>
        <v>a1cdbe</v>
      </c>
      <c r="V3536">
        <v>0</v>
      </c>
      <c r="W3536">
        <v>0</v>
      </c>
      <c r="X3536">
        <v>2</v>
      </c>
      <c r="Y3536">
        <v>0</v>
      </c>
      <c r="Z3536">
        <v>0</v>
      </c>
      <c r="AB3536">
        <v>0</v>
      </c>
      <c r="AC3536">
        <v>9</v>
      </c>
      <c r="AD3536">
        <v>3</v>
      </c>
      <c r="AE3536">
        <v>0</v>
      </c>
      <c r="AF3536">
        <v>9</v>
      </c>
      <c r="AG3536" t="s">
        <v>158</v>
      </c>
      <c r="AH3536">
        <v>0</v>
      </c>
      <c r="AI3536">
        <v>3</v>
      </c>
      <c r="AJ3536">
        <v>1</v>
      </c>
      <c r="AK3536">
        <v>0</v>
      </c>
      <c r="AL3536" t="s">
        <v>6656</v>
      </c>
      <c r="AM3536">
        <v>47.019575000000003</v>
      </c>
      <c r="AN3536" t="s">
        <v>6657</v>
      </c>
      <c r="AO3536">
        <v>-123.80332199999999</v>
      </c>
      <c r="AP3536">
        <v>100</v>
      </c>
      <c r="AQ3536">
        <v>2200</v>
      </c>
      <c r="AR3536" t="s">
        <v>118</v>
      </c>
      <c r="AS3536">
        <v>-74</v>
      </c>
      <c r="AT3536">
        <v>17</v>
      </c>
      <c r="AU3536">
        <v>128</v>
      </c>
      <c r="BC3536">
        <v>1200</v>
      </c>
      <c r="BD3536">
        <v>1</v>
      </c>
      <c r="BE3536" t="str">
        <f t="shared" si="167"/>
        <v xml:space="preserve">N215T   </v>
      </c>
      <c r="BF3536">
        <v>1</v>
      </c>
      <c r="BH3536">
        <v>0</v>
      </c>
      <c r="BI3536">
        <v>0</v>
      </c>
      <c r="BJ3536">
        <v>0</v>
      </c>
      <c r="BK3536">
        <v>2525</v>
      </c>
      <c r="BL3536">
        <v>325</v>
      </c>
      <c r="BM3536" t="s">
        <v>119</v>
      </c>
      <c r="BN3536">
        <v>1</v>
      </c>
      <c r="BO3536">
        <v>1</v>
      </c>
      <c r="BP3536">
        <v>1</v>
      </c>
      <c r="BQ3536">
        <v>0</v>
      </c>
      <c r="BT3536">
        <v>0</v>
      </c>
      <c r="BU3536">
        <v>0</v>
      </c>
      <c r="BV3536">
        <v>0</v>
      </c>
      <c r="CC3536" t="str">
        <f>"19:33:52.977"</f>
        <v>19:33:52.977</v>
      </c>
      <c r="CD3536" t="str">
        <f>"973966554"</f>
        <v>973966554</v>
      </c>
      <c r="CQ3536">
        <v>0</v>
      </c>
      <c r="CR3536">
        <v>2</v>
      </c>
      <c r="CS3536">
        <v>0</v>
      </c>
      <c r="CT3536">
        <v>2</v>
      </c>
      <c r="CU3536">
        <v>0</v>
      </c>
      <c r="CV3536">
        <v>5</v>
      </c>
      <c r="CW3536" t="s">
        <v>120</v>
      </c>
      <c r="CX3536">
        <v>257</v>
      </c>
      <c r="CY3536">
        <v>0</v>
      </c>
      <c r="CZ3536" t="s">
        <v>615</v>
      </c>
      <c r="DA3536" t="s">
        <v>616</v>
      </c>
      <c r="DD3536">
        <v>16469441</v>
      </c>
      <c r="DE3536" t="s">
        <v>123</v>
      </c>
    </row>
    <row r="3537" spans="1:109" x14ac:dyDescent="0.3">
      <c r="A3537" t="str">
        <f>"19:33:54.258"</f>
        <v>19:33:54.258</v>
      </c>
      <c r="B3537" t="s">
        <v>110</v>
      </c>
      <c r="C3537" t="str">
        <f t="shared" si="165"/>
        <v>ffdfd3c0</v>
      </c>
      <c r="D3537" t="s">
        <v>111</v>
      </c>
      <c r="E3537">
        <v>18</v>
      </c>
      <c r="F3537">
        <v>1018</v>
      </c>
      <c r="G3537" t="s">
        <v>112</v>
      </c>
      <c r="J3537" t="s">
        <v>113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R3537" t="s">
        <v>114</v>
      </c>
      <c r="S3537" t="str">
        <f>"19:33:53.992"</f>
        <v>19:33:53.992</v>
      </c>
      <c r="T3537" t="str">
        <f>"19:33:53.789"</f>
        <v>19:33:53.789</v>
      </c>
      <c r="U3537" t="str">
        <f t="shared" si="166"/>
        <v>a1cdbe</v>
      </c>
      <c r="V3537">
        <v>0</v>
      </c>
      <c r="W3537">
        <v>0</v>
      </c>
      <c r="X3537">
        <v>2</v>
      </c>
      <c r="Y3537">
        <v>0</v>
      </c>
      <c r="Z3537">
        <v>0</v>
      </c>
      <c r="AB3537">
        <v>0</v>
      </c>
      <c r="AC3537">
        <v>9</v>
      </c>
      <c r="AD3537">
        <v>3</v>
      </c>
      <c r="AE3537">
        <v>0</v>
      </c>
      <c r="AF3537">
        <v>9</v>
      </c>
      <c r="AG3537" t="s">
        <v>158</v>
      </c>
      <c r="AH3537">
        <v>0</v>
      </c>
      <c r="AI3537">
        <v>3</v>
      </c>
      <c r="AJ3537">
        <v>1</v>
      </c>
      <c r="AK3537">
        <v>0</v>
      </c>
      <c r="AL3537" t="s">
        <v>6658</v>
      </c>
      <c r="AM3537">
        <v>47.019660000000002</v>
      </c>
      <c r="AN3537" t="s">
        <v>6659</v>
      </c>
      <c r="AO3537">
        <v>-123.803837</v>
      </c>
      <c r="AP3537">
        <v>100</v>
      </c>
      <c r="AQ3537">
        <v>2200</v>
      </c>
      <c r="AR3537" t="s">
        <v>118</v>
      </c>
      <c r="AS3537">
        <v>-74</v>
      </c>
      <c r="AT3537">
        <v>17</v>
      </c>
      <c r="AU3537">
        <v>128</v>
      </c>
      <c r="BC3537">
        <v>1200</v>
      </c>
      <c r="BD3537">
        <v>1</v>
      </c>
      <c r="BE3537" t="str">
        <f t="shared" si="167"/>
        <v xml:space="preserve">N215T   </v>
      </c>
      <c r="BF3537">
        <v>1</v>
      </c>
      <c r="BH3537">
        <v>0</v>
      </c>
      <c r="BI3537">
        <v>0</v>
      </c>
      <c r="BJ3537">
        <v>0</v>
      </c>
      <c r="BK3537">
        <v>2525</v>
      </c>
      <c r="BL3537">
        <v>325</v>
      </c>
      <c r="BM3537" t="s">
        <v>119</v>
      </c>
      <c r="BN3537">
        <v>1</v>
      </c>
      <c r="BO3537">
        <v>1</v>
      </c>
      <c r="BP3537">
        <v>1</v>
      </c>
      <c r="BQ3537">
        <v>0</v>
      </c>
      <c r="BT3537">
        <v>0</v>
      </c>
      <c r="BU3537">
        <v>0</v>
      </c>
      <c r="BV3537">
        <v>0</v>
      </c>
      <c r="CC3537" t="str">
        <f>"19:33:53.992"</f>
        <v>19:33:53.992</v>
      </c>
      <c r="CD3537" t="str">
        <f>"993866064"</f>
        <v>993866064</v>
      </c>
      <c r="CQ3537">
        <v>0</v>
      </c>
      <c r="CR3537">
        <v>2</v>
      </c>
      <c r="CS3537">
        <v>0</v>
      </c>
      <c r="CT3537">
        <v>2</v>
      </c>
      <c r="CU3537">
        <v>0</v>
      </c>
      <c r="CV3537">
        <v>5</v>
      </c>
      <c r="CW3537" t="s">
        <v>120</v>
      </c>
      <c r="CX3537">
        <v>257</v>
      </c>
      <c r="CY3537">
        <v>0</v>
      </c>
      <c r="CZ3537" t="s">
        <v>615</v>
      </c>
      <c r="DA3537" t="s">
        <v>616</v>
      </c>
      <c r="DD3537">
        <v>16469851</v>
      </c>
      <c r="DE3537" t="s">
        <v>123</v>
      </c>
    </row>
    <row r="3538" spans="1:109" x14ac:dyDescent="0.3">
      <c r="A3538" t="str">
        <f>"19:33:55.266"</f>
        <v>19:33:55.266</v>
      </c>
      <c r="B3538" t="s">
        <v>110</v>
      </c>
      <c r="C3538" t="str">
        <f t="shared" si="165"/>
        <v>ffdfd3c0</v>
      </c>
      <c r="D3538" t="s">
        <v>111</v>
      </c>
      <c r="E3538">
        <v>18</v>
      </c>
      <c r="F3538">
        <v>1018</v>
      </c>
      <c r="G3538" t="s">
        <v>112</v>
      </c>
      <c r="J3538" t="s">
        <v>113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R3538" t="s">
        <v>114</v>
      </c>
      <c r="S3538" t="str">
        <f>"19:33:55.039"</f>
        <v>19:33:55.039</v>
      </c>
      <c r="T3538" t="str">
        <f>"19:33:54.641"</f>
        <v>19:33:54.641</v>
      </c>
      <c r="U3538" t="str">
        <f t="shared" si="166"/>
        <v>a1cdbe</v>
      </c>
      <c r="V3538">
        <v>0</v>
      </c>
      <c r="W3538">
        <v>0</v>
      </c>
      <c r="X3538">
        <v>2</v>
      </c>
      <c r="Y3538">
        <v>0</v>
      </c>
      <c r="Z3538">
        <v>0</v>
      </c>
      <c r="AB3538">
        <v>0</v>
      </c>
      <c r="AC3538">
        <v>9</v>
      </c>
      <c r="AD3538">
        <v>3</v>
      </c>
      <c r="AE3538">
        <v>0</v>
      </c>
      <c r="AF3538">
        <v>9</v>
      </c>
      <c r="AG3538" t="s">
        <v>158</v>
      </c>
      <c r="AH3538">
        <v>0</v>
      </c>
      <c r="AI3538">
        <v>3</v>
      </c>
      <c r="AJ3538">
        <v>1</v>
      </c>
      <c r="AK3538">
        <v>0</v>
      </c>
      <c r="AL3538" t="s">
        <v>6660</v>
      </c>
      <c r="AM3538">
        <v>47.019767999999999</v>
      </c>
      <c r="AN3538" t="s">
        <v>6661</v>
      </c>
      <c r="AO3538">
        <v>-123.804288</v>
      </c>
      <c r="AP3538">
        <v>100</v>
      </c>
      <c r="AQ3538">
        <v>2200</v>
      </c>
      <c r="AR3538" t="s">
        <v>118</v>
      </c>
      <c r="AS3538">
        <v>-74</v>
      </c>
      <c r="AT3538">
        <v>17</v>
      </c>
      <c r="AU3538">
        <v>64</v>
      </c>
      <c r="BC3538">
        <v>1200</v>
      </c>
      <c r="BD3538">
        <v>1</v>
      </c>
      <c r="BE3538" t="str">
        <f t="shared" si="167"/>
        <v xml:space="preserve">N215T   </v>
      </c>
      <c r="BF3538">
        <v>1</v>
      </c>
      <c r="BH3538">
        <v>0</v>
      </c>
      <c r="BI3538">
        <v>0</v>
      </c>
      <c r="BJ3538">
        <v>0</v>
      </c>
      <c r="BK3538">
        <v>2550</v>
      </c>
      <c r="BL3538">
        <v>350</v>
      </c>
      <c r="BM3538" t="s">
        <v>119</v>
      </c>
      <c r="BN3538">
        <v>1</v>
      </c>
      <c r="BO3538">
        <v>1</v>
      </c>
      <c r="BP3538">
        <v>1</v>
      </c>
      <c r="BQ3538">
        <v>0</v>
      </c>
      <c r="BT3538">
        <v>0</v>
      </c>
      <c r="BU3538">
        <v>0</v>
      </c>
      <c r="BV3538">
        <v>0</v>
      </c>
      <c r="CC3538" t="str">
        <f>"19:33:55.047"</f>
        <v>19:33:55.047</v>
      </c>
      <c r="CD3538" t="str">
        <f>"043762630"</f>
        <v>043762630</v>
      </c>
      <c r="CQ3538">
        <v>0</v>
      </c>
      <c r="CR3538">
        <v>2</v>
      </c>
      <c r="CS3538">
        <v>0</v>
      </c>
      <c r="CT3538">
        <v>2</v>
      </c>
      <c r="CU3538">
        <v>0</v>
      </c>
      <c r="CV3538">
        <v>5</v>
      </c>
      <c r="CW3538" t="s">
        <v>120</v>
      </c>
      <c r="CX3538">
        <v>257</v>
      </c>
      <c r="CY3538">
        <v>0</v>
      </c>
      <c r="CZ3538" t="s">
        <v>615</v>
      </c>
      <c r="DA3538" t="s">
        <v>616</v>
      </c>
      <c r="DD3538">
        <v>16470309</v>
      </c>
      <c r="DE3538" t="s">
        <v>123</v>
      </c>
    </row>
    <row r="3539" spans="1:109" x14ac:dyDescent="0.3">
      <c r="A3539" t="str">
        <f>"19:33:56.422"</f>
        <v>19:33:56.422</v>
      </c>
      <c r="B3539" t="s">
        <v>110</v>
      </c>
      <c r="C3539" t="str">
        <f t="shared" si="165"/>
        <v>ffdfd3c0</v>
      </c>
      <c r="D3539" t="s">
        <v>111</v>
      </c>
      <c r="E3539">
        <v>18</v>
      </c>
      <c r="F3539">
        <v>1018</v>
      </c>
      <c r="G3539" t="s">
        <v>112</v>
      </c>
      <c r="J3539" t="s">
        <v>113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R3539" t="s">
        <v>114</v>
      </c>
      <c r="S3539" t="str">
        <f>"19:33:56.180"</f>
        <v>19:33:56.180</v>
      </c>
      <c r="T3539" t="str">
        <f>"19:33:56.180"</f>
        <v>19:33:56.180</v>
      </c>
      <c r="U3539" t="str">
        <f t="shared" si="166"/>
        <v>a1cdbe</v>
      </c>
      <c r="V3539">
        <v>0</v>
      </c>
      <c r="W3539">
        <v>0</v>
      </c>
      <c r="X3539">
        <v>2</v>
      </c>
      <c r="Y3539">
        <v>0</v>
      </c>
      <c r="Z3539">
        <v>0</v>
      </c>
      <c r="AB3539">
        <v>0</v>
      </c>
      <c r="AC3539">
        <v>9</v>
      </c>
      <c r="AD3539">
        <v>3</v>
      </c>
      <c r="AE3539">
        <v>0</v>
      </c>
      <c r="AF3539">
        <v>9</v>
      </c>
      <c r="AG3539" t="s">
        <v>158</v>
      </c>
      <c r="AH3539">
        <v>0</v>
      </c>
      <c r="AI3539">
        <v>3</v>
      </c>
      <c r="AJ3539">
        <v>1</v>
      </c>
      <c r="AK3539">
        <v>0</v>
      </c>
      <c r="AL3539" t="s">
        <v>6662</v>
      </c>
      <c r="AM3539">
        <v>47.019854000000002</v>
      </c>
      <c r="AN3539" t="s">
        <v>6663</v>
      </c>
      <c r="AO3539">
        <v>-123.80493199999999</v>
      </c>
      <c r="AP3539">
        <v>100</v>
      </c>
      <c r="AQ3539">
        <v>2200</v>
      </c>
      <c r="AR3539" t="s">
        <v>118</v>
      </c>
      <c r="AS3539">
        <v>-74</v>
      </c>
      <c r="AT3539">
        <v>17</v>
      </c>
      <c r="AU3539">
        <v>0</v>
      </c>
      <c r="BC3539">
        <v>1200</v>
      </c>
      <c r="BD3539">
        <v>1</v>
      </c>
      <c r="BE3539" t="str">
        <f t="shared" si="167"/>
        <v xml:space="preserve">N215T   </v>
      </c>
      <c r="BF3539">
        <v>1</v>
      </c>
      <c r="BH3539">
        <v>0</v>
      </c>
      <c r="BI3539">
        <v>0</v>
      </c>
      <c r="BJ3539">
        <v>0</v>
      </c>
      <c r="BK3539">
        <v>2525</v>
      </c>
      <c r="BL3539">
        <v>325</v>
      </c>
      <c r="BM3539" t="s">
        <v>119</v>
      </c>
      <c r="BN3539">
        <v>1</v>
      </c>
      <c r="BO3539">
        <v>1</v>
      </c>
      <c r="BP3539">
        <v>1</v>
      </c>
      <c r="BQ3539">
        <v>0</v>
      </c>
      <c r="BT3539">
        <v>0</v>
      </c>
      <c r="BU3539">
        <v>0</v>
      </c>
      <c r="BV3539">
        <v>0</v>
      </c>
      <c r="CC3539" t="str">
        <f>"19:33:56.188"</f>
        <v>19:33:56.188</v>
      </c>
      <c r="CD3539" t="str">
        <f>"183650324"</f>
        <v>183650324</v>
      </c>
      <c r="CQ3539">
        <v>0</v>
      </c>
      <c r="CR3539">
        <v>2</v>
      </c>
      <c r="CS3539">
        <v>0</v>
      </c>
      <c r="CT3539">
        <v>2</v>
      </c>
      <c r="CU3539">
        <v>0</v>
      </c>
      <c r="CV3539">
        <v>5</v>
      </c>
      <c r="CW3539" t="s">
        <v>120</v>
      </c>
      <c r="CX3539">
        <v>257</v>
      </c>
      <c r="CY3539">
        <v>0</v>
      </c>
      <c r="CZ3539" t="s">
        <v>615</v>
      </c>
      <c r="DA3539" t="s">
        <v>616</v>
      </c>
      <c r="DD3539">
        <v>16470801</v>
      </c>
      <c r="DE3539" t="s">
        <v>123</v>
      </c>
    </row>
    <row r="3540" spans="1:109" x14ac:dyDescent="0.3">
      <c r="A3540" t="str">
        <f>"19:33:57.328"</f>
        <v>19:33:57.328</v>
      </c>
      <c r="B3540" t="s">
        <v>110</v>
      </c>
      <c r="C3540" t="str">
        <f t="shared" si="165"/>
        <v>ffdfd3c0</v>
      </c>
      <c r="D3540" t="s">
        <v>111</v>
      </c>
      <c r="E3540">
        <v>18</v>
      </c>
      <c r="F3540">
        <v>1018</v>
      </c>
      <c r="G3540" t="s">
        <v>112</v>
      </c>
      <c r="J3540" t="s">
        <v>113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R3540" t="s">
        <v>114</v>
      </c>
      <c r="S3540" t="str">
        <f>"19:33:57.078"</f>
        <v>19:33:57.078</v>
      </c>
      <c r="T3540" t="str">
        <f>"19:33:56.680"</f>
        <v>19:33:56.680</v>
      </c>
      <c r="U3540" t="str">
        <f t="shared" si="166"/>
        <v>a1cdbe</v>
      </c>
      <c r="V3540">
        <v>0</v>
      </c>
      <c r="W3540">
        <v>0</v>
      </c>
      <c r="X3540">
        <v>2</v>
      </c>
      <c r="Y3540">
        <v>0</v>
      </c>
      <c r="Z3540">
        <v>0</v>
      </c>
      <c r="AB3540">
        <v>0</v>
      </c>
      <c r="AC3540">
        <v>9</v>
      </c>
      <c r="AD3540">
        <v>3</v>
      </c>
      <c r="AE3540">
        <v>0</v>
      </c>
      <c r="AF3540">
        <v>9</v>
      </c>
      <c r="AG3540" t="s">
        <v>158</v>
      </c>
      <c r="AH3540">
        <v>0</v>
      </c>
      <c r="AI3540">
        <v>3</v>
      </c>
      <c r="AJ3540">
        <v>1</v>
      </c>
      <c r="AK3540">
        <v>0</v>
      </c>
      <c r="AL3540" t="s">
        <v>709</v>
      </c>
      <c r="AM3540">
        <v>47.019897</v>
      </c>
      <c r="AN3540" t="s">
        <v>6664</v>
      </c>
      <c r="AO3540">
        <v>-123.805361</v>
      </c>
      <c r="AP3540">
        <v>100</v>
      </c>
      <c r="AQ3540">
        <v>2200</v>
      </c>
      <c r="AR3540" t="s">
        <v>118</v>
      </c>
      <c r="AS3540">
        <v>-74</v>
      </c>
      <c r="AT3540">
        <v>17</v>
      </c>
      <c r="AU3540">
        <v>0</v>
      </c>
      <c r="BC3540">
        <v>1200</v>
      </c>
      <c r="BD3540">
        <v>1</v>
      </c>
      <c r="BE3540" t="str">
        <f t="shared" si="167"/>
        <v xml:space="preserve">N215T   </v>
      </c>
      <c r="BF3540">
        <v>1</v>
      </c>
      <c r="BH3540">
        <v>0</v>
      </c>
      <c r="BI3540">
        <v>0</v>
      </c>
      <c r="BJ3540">
        <v>0</v>
      </c>
      <c r="BK3540">
        <v>2550</v>
      </c>
      <c r="BL3540">
        <v>350</v>
      </c>
      <c r="BM3540" t="s">
        <v>119</v>
      </c>
      <c r="BN3540">
        <v>1</v>
      </c>
      <c r="BO3540">
        <v>1</v>
      </c>
      <c r="BP3540">
        <v>1</v>
      </c>
      <c r="BQ3540">
        <v>0</v>
      </c>
      <c r="BT3540">
        <v>0</v>
      </c>
      <c r="BU3540">
        <v>0</v>
      </c>
      <c r="BV3540">
        <v>0</v>
      </c>
      <c r="CC3540" t="str">
        <f>"19:33:57.086"</f>
        <v>19:33:57.086</v>
      </c>
      <c r="CD3540" t="str">
        <f>"083561671"</f>
        <v>083561671</v>
      </c>
      <c r="CQ3540">
        <v>0</v>
      </c>
      <c r="CR3540">
        <v>2</v>
      </c>
      <c r="CS3540">
        <v>0</v>
      </c>
      <c r="CT3540">
        <v>2</v>
      </c>
      <c r="CU3540">
        <v>0</v>
      </c>
      <c r="CV3540">
        <v>5</v>
      </c>
      <c r="CW3540" t="s">
        <v>120</v>
      </c>
      <c r="CX3540">
        <v>257</v>
      </c>
      <c r="CY3540">
        <v>0</v>
      </c>
      <c r="CZ3540" t="s">
        <v>615</v>
      </c>
      <c r="DA3540" t="s">
        <v>616</v>
      </c>
      <c r="DD3540">
        <v>16471171</v>
      </c>
      <c r="DE3540" t="s">
        <v>123</v>
      </c>
    </row>
    <row r="3541" spans="1:109" x14ac:dyDescent="0.3">
      <c r="A3541" t="str">
        <f>"19:33:58.383"</f>
        <v>19:33:58.383</v>
      </c>
      <c r="B3541" t="s">
        <v>110</v>
      </c>
      <c r="C3541" t="str">
        <f t="shared" si="165"/>
        <v>ffdfd3c0</v>
      </c>
      <c r="D3541" t="s">
        <v>111</v>
      </c>
      <c r="E3541">
        <v>18</v>
      </c>
      <c r="F3541">
        <v>1018</v>
      </c>
      <c r="G3541" t="s">
        <v>112</v>
      </c>
      <c r="J3541" t="s">
        <v>113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R3541" t="s">
        <v>114</v>
      </c>
      <c r="S3541" t="str">
        <f>"19:33:58.148"</f>
        <v>19:33:58.148</v>
      </c>
      <c r="T3541" t="str">
        <f>"19:33:57.852"</f>
        <v>19:33:57.852</v>
      </c>
      <c r="U3541" t="str">
        <f t="shared" si="166"/>
        <v>a1cdbe</v>
      </c>
      <c r="V3541">
        <v>0</v>
      </c>
      <c r="W3541">
        <v>0</v>
      </c>
      <c r="X3541">
        <v>2</v>
      </c>
      <c r="Y3541">
        <v>0</v>
      </c>
      <c r="Z3541">
        <v>0</v>
      </c>
      <c r="AB3541">
        <v>0</v>
      </c>
      <c r="AC3541">
        <v>9</v>
      </c>
      <c r="AD3541">
        <v>3</v>
      </c>
      <c r="AE3541">
        <v>0</v>
      </c>
      <c r="AF3541">
        <v>9</v>
      </c>
      <c r="AG3541" t="s">
        <v>158</v>
      </c>
      <c r="AH3541">
        <v>0</v>
      </c>
      <c r="AI3541">
        <v>3</v>
      </c>
      <c r="AJ3541">
        <v>1</v>
      </c>
      <c r="AK3541">
        <v>0</v>
      </c>
      <c r="AL3541" t="s">
        <v>6665</v>
      </c>
      <c r="AM3541">
        <v>47.020004</v>
      </c>
      <c r="AN3541" t="s">
        <v>6666</v>
      </c>
      <c r="AO3541">
        <v>-123.805919</v>
      </c>
      <c r="AP3541">
        <v>100</v>
      </c>
      <c r="AQ3541">
        <v>2200</v>
      </c>
      <c r="AR3541" t="s">
        <v>118</v>
      </c>
      <c r="AS3541">
        <v>-75</v>
      </c>
      <c r="AT3541">
        <v>17</v>
      </c>
      <c r="AU3541">
        <v>0</v>
      </c>
      <c r="BC3541">
        <v>1200</v>
      </c>
      <c r="BD3541">
        <v>1</v>
      </c>
      <c r="BE3541" t="str">
        <f t="shared" si="167"/>
        <v xml:space="preserve">N215T   </v>
      </c>
      <c r="BF3541">
        <v>1</v>
      </c>
      <c r="BH3541">
        <v>0</v>
      </c>
      <c r="BI3541">
        <v>0</v>
      </c>
      <c r="BJ3541">
        <v>0</v>
      </c>
      <c r="BK3541">
        <v>2550</v>
      </c>
      <c r="BL3541">
        <v>350</v>
      </c>
      <c r="BM3541" t="s">
        <v>119</v>
      </c>
      <c r="BN3541">
        <v>1</v>
      </c>
      <c r="BO3541">
        <v>1</v>
      </c>
      <c r="BP3541">
        <v>1</v>
      </c>
      <c r="BQ3541">
        <v>0</v>
      </c>
      <c r="BT3541">
        <v>0</v>
      </c>
      <c r="BU3541">
        <v>0</v>
      </c>
      <c r="BV3541">
        <v>0</v>
      </c>
      <c r="CC3541" t="str">
        <f>"19:33:58.148"</f>
        <v>19:33:58.148</v>
      </c>
      <c r="CD3541" t="str">
        <f>"148456753"</f>
        <v>148456753</v>
      </c>
      <c r="CQ3541">
        <v>0</v>
      </c>
      <c r="CR3541">
        <v>2</v>
      </c>
      <c r="CS3541">
        <v>0</v>
      </c>
      <c r="CT3541">
        <v>2</v>
      </c>
      <c r="CU3541">
        <v>0</v>
      </c>
      <c r="CV3541">
        <v>5</v>
      </c>
      <c r="CW3541" t="s">
        <v>120</v>
      </c>
      <c r="CX3541">
        <v>257</v>
      </c>
      <c r="CY3541">
        <v>0</v>
      </c>
      <c r="CZ3541" t="s">
        <v>615</v>
      </c>
      <c r="DA3541" t="s">
        <v>616</v>
      </c>
      <c r="DD3541">
        <v>16471621</v>
      </c>
      <c r="DE3541" t="s">
        <v>123</v>
      </c>
    </row>
    <row r="3542" spans="1:109" x14ac:dyDescent="0.3">
      <c r="A3542" t="str">
        <f>"19:33:59.281"</f>
        <v>19:33:59.281</v>
      </c>
      <c r="B3542" t="s">
        <v>110</v>
      </c>
      <c r="C3542" t="str">
        <f t="shared" si="165"/>
        <v>ffdfd3c0</v>
      </c>
      <c r="D3542" t="s">
        <v>111</v>
      </c>
      <c r="E3542">
        <v>18</v>
      </c>
      <c r="F3542">
        <v>1018</v>
      </c>
      <c r="G3542" t="s">
        <v>112</v>
      </c>
      <c r="J3542" t="s">
        <v>113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R3542" t="s">
        <v>114</v>
      </c>
      <c r="S3542" t="str">
        <f>"19:33:59.016"</f>
        <v>19:33:59.016</v>
      </c>
      <c r="T3542" t="str">
        <f>"19:33:58.813"</f>
        <v>19:33:58.813</v>
      </c>
      <c r="U3542" t="str">
        <f t="shared" si="166"/>
        <v>a1cdbe</v>
      </c>
      <c r="V3542">
        <v>0</v>
      </c>
      <c r="W3542">
        <v>0</v>
      </c>
      <c r="X3542">
        <v>2</v>
      </c>
      <c r="Y3542">
        <v>0</v>
      </c>
      <c r="Z3542">
        <v>0</v>
      </c>
      <c r="AB3542">
        <v>0</v>
      </c>
      <c r="AC3542">
        <v>9</v>
      </c>
      <c r="AD3542">
        <v>3</v>
      </c>
      <c r="AE3542">
        <v>0</v>
      </c>
      <c r="AF3542">
        <v>9</v>
      </c>
      <c r="AG3542" t="s">
        <v>158</v>
      </c>
      <c r="AH3542">
        <v>0</v>
      </c>
      <c r="AI3542">
        <v>3</v>
      </c>
      <c r="AJ3542">
        <v>1</v>
      </c>
      <c r="AK3542">
        <v>0</v>
      </c>
      <c r="AL3542" t="s">
        <v>6667</v>
      </c>
      <c r="AM3542">
        <v>47.020090000000003</v>
      </c>
      <c r="AN3542" t="s">
        <v>6668</v>
      </c>
      <c r="AO3542">
        <v>-123.806348</v>
      </c>
      <c r="AP3542">
        <v>100</v>
      </c>
      <c r="AQ3542">
        <v>2200</v>
      </c>
      <c r="AR3542" t="s">
        <v>118</v>
      </c>
      <c r="AS3542">
        <v>-75</v>
      </c>
      <c r="AT3542">
        <v>17</v>
      </c>
      <c r="AU3542">
        <v>-64</v>
      </c>
      <c r="BC3542">
        <v>1200</v>
      </c>
      <c r="BD3542">
        <v>1</v>
      </c>
      <c r="BE3542" t="str">
        <f t="shared" si="167"/>
        <v xml:space="preserve">N215T   </v>
      </c>
      <c r="BF3542">
        <v>1</v>
      </c>
      <c r="BH3542">
        <v>0</v>
      </c>
      <c r="BI3542">
        <v>0</v>
      </c>
      <c r="BJ3542">
        <v>0</v>
      </c>
      <c r="BK3542">
        <v>2550</v>
      </c>
      <c r="BL3542">
        <v>350</v>
      </c>
      <c r="BM3542" t="s">
        <v>119</v>
      </c>
      <c r="BN3542">
        <v>1</v>
      </c>
      <c r="BO3542">
        <v>1</v>
      </c>
      <c r="BP3542">
        <v>1</v>
      </c>
      <c r="BQ3542">
        <v>0</v>
      </c>
      <c r="BT3542">
        <v>0</v>
      </c>
      <c r="BU3542">
        <v>0</v>
      </c>
      <c r="BV3542">
        <v>0</v>
      </c>
      <c r="CC3542" t="str">
        <f>"19:33:59.016"</f>
        <v>19:33:59.016</v>
      </c>
      <c r="CD3542" t="str">
        <f>"018371040"</f>
        <v>018371040</v>
      </c>
      <c r="CQ3542">
        <v>0</v>
      </c>
      <c r="CR3542">
        <v>2</v>
      </c>
      <c r="CS3542">
        <v>0</v>
      </c>
      <c r="CT3542">
        <v>2</v>
      </c>
      <c r="CU3542">
        <v>0</v>
      </c>
      <c r="CV3542">
        <v>5</v>
      </c>
      <c r="CW3542" t="s">
        <v>120</v>
      </c>
      <c r="CX3542">
        <v>257</v>
      </c>
      <c r="CY3542">
        <v>0</v>
      </c>
      <c r="CZ3542" t="s">
        <v>615</v>
      </c>
      <c r="DA3542" t="s">
        <v>616</v>
      </c>
      <c r="DD3542">
        <v>16471986</v>
      </c>
      <c r="DE3542" t="s">
        <v>123</v>
      </c>
    </row>
    <row r="3543" spans="1:109" x14ac:dyDescent="0.3">
      <c r="A3543" t="str">
        <f>"19:34:00.344"</f>
        <v>19:34:00.344</v>
      </c>
      <c r="B3543" t="s">
        <v>110</v>
      </c>
      <c r="C3543" t="str">
        <f t="shared" si="165"/>
        <v>ffdfd3c0</v>
      </c>
      <c r="D3543" t="s">
        <v>111</v>
      </c>
      <c r="E3543">
        <v>18</v>
      </c>
      <c r="F3543">
        <v>1018</v>
      </c>
      <c r="G3543" t="s">
        <v>112</v>
      </c>
      <c r="J3543" t="s">
        <v>113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R3543" t="s">
        <v>114</v>
      </c>
      <c r="S3543" t="str">
        <f>"19:34:00.094"</f>
        <v>19:34:00.094</v>
      </c>
      <c r="T3543" t="str">
        <f>"19:33:59.891"</f>
        <v>19:33:59.891</v>
      </c>
      <c r="U3543" t="str">
        <f t="shared" si="166"/>
        <v>a1cdbe</v>
      </c>
      <c r="V3543">
        <v>0</v>
      </c>
      <c r="W3543">
        <v>0</v>
      </c>
      <c r="X3543">
        <v>2</v>
      </c>
      <c r="Y3543">
        <v>0</v>
      </c>
      <c r="Z3543">
        <v>0</v>
      </c>
      <c r="AB3543">
        <v>0</v>
      </c>
      <c r="AC3543">
        <v>9</v>
      </c>
      <c r="AD3543">
        <v>3</v>
      </c>
      <c r="AE3543">
        <v>0</v>
      </c>
      <c r="AF3543">
        <v>9</v>
      </c>
      <c r="AG3543" t="s">
        <v>158</v>
      </c>
      <c r="AH3543">
        <v>0</v>
      </c>
      <c r="AI3543">
        <v>3</v>
      </c>
      <c r="AJ3543">
        <v>1</v>
      </c>
      <c r="AK3543">
        <v>0</v>
      </c>
      <c r="AL3543" t="s">
        <v>6669</v>
      </c>
      <c r="AM3543">
        <v>47.020153999999998</v>
      </c>
      <c r="AN3543" t="s">
        <v>6670</v>
      </c>
      <c r="AO3543">
        <v>-123.806927</v>
      </c>
      <c r="AP3543">
        <v>100</v>
      </c>
      <c r="AQ3543">
        <v>2200</v>
      </c>
      <c r="AR3543" t="s">
        <v>118</v>
      </c>
      <c r="AS3543">
        <v>-75</v>
      </c>
      <c r="AT3543">
        <v>17</v>
      </c>
      <c r="AU3543">
        <v>-64</v>
      </c>
      <c r="BC3543">
        <v>1200</v>
      </c>
      <c r="BD3543">
        <v>1</v>
      </c>
      <c r="BE3543" t="str">
        <f t="shared" si="167"/>
        <v xml:space="preserve">N215T   </v>
      </c>
      <c r="BF3543">
        <v>1</v>
      </c>
      <c r="BH3543">
        <v>0</v>
      </c>
      <c r="BI3543">
        <v>0</v>
      </c>
      <c r="BJ3543">
        <v>0</v>
      </c>
      <c r="BK3543">
        <v>2550</v>
      </c>
      <c r="BL3543">
        <v>350</v>
      </c>
      <c r="BM3543" t="s">
        <v>119</v>
      </c>
      <c r="BN3543">
        <v>1</v>
      </c>
      <c r="BO3543">
        <v>1</v>
      </c>
      <c r="BP3543">
        <v>1</v>
      </c>
      <c r="BQ3543">
        <v>0</v>
      </c>
      <c r="BT3543">
        <v>0</v>
      </c>
      <c r="BU3543">
        <v>0</v>
      </c>
      <c r="BV3543">
        <v>0</v>
      </c>
      <c r="CC3543" t="str">
        <f>"19:34:00.102"</f>
        <v>19:34:00.102</v>
      </c>
      <c r="CD3543" t="str">
        <f>"098264638"</f>
        <v>098264638</v>
      </c>
      <c r="CQ3543">
        <v>0</v>
      </c>
      <c r="CR3543">
        <v>2</v>
      </c>
      <c r="CS3543">
        <v>0</v>
      </c>
      <c r="CT3543">
        <v>2</v>
      </c>
      <c r="CU3543">
        <v>0</v>
      </c>
      <c r="CV3543">
        <v>5</v>
      </c>
      <c r="CW3543" t="s">
        <v>120</v>
      </c>
      <c r="CX3543">
        <v>257</v>
      </c>
      <c r="CY3543">
        <v>0</v>
      </c>
      <c r="CZ3543" t="s">
        <v>615</v>
      </c>
      <c r="DA3543" t="s">
        <v>616</v>
      </c>
      <c r="DD3543">
        <v>16472496</v>
      </c>
      <c r="DE3543" t="s">
        <v>123</v>
      </c>
    </row>
    <row r="3544" spans="1:109" x14ac:dyDescent="0.3">
      <c r="A3544" t="str">
        <f>"19:34:01.242"</f>
        <v>19:34:01.242</v>
      </c>
      <c r="B3544" t="s">
        <v>110</v>
      </c>
      <c r="C3544" t="str">
        <f t="shared" si="165"/>
        <v>ffdfd3c0</v>
      </c>
      <c r="D3544" t="s">
        <v>111</v>
      </c>
      <c r="E3544">
        <v>18</v>
      </c>
      <c r="F3544">
        <v>1018</v>
      </c>
      <c r="G3544" t="s">
        <v>112</v>
      </c>
      <c r="J3544" t="s">
        <v>113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R3544" t="s">
        <v>114</v>
      </c>
      <c r="S3544" t="str">
        <f>"19:34:01.008"</f>
        <v>19:34:01.008</v>
      </c>
      <c r="T3544" t="str">
        <f>"19:34:00.805"</f>
        <v>19:34:00.805</v>
      </c>
      <c r="U3544" t="str">
        <f t="shared" si="166"/>
        <v>a1cdbe</v>
      </c>
      <c r="V3544">
        <v>0</v>
      </c>
      <c r="W3544">
        <v>0</v>
      </c>
      <c r="X3544">
        <v>2</v>
      </c>
      <c r="Y3544">
        <v>0</v>
      </c>
      <c r="Z3544">
        <v>0</v>
      </c>
      <c r="AB3544">
        <v>0</v>
      </c>
      <c r="AC3544">
        <v>9</v>
      </c>
      <c r="AD3544">
        <v>3</v>
      </c>
      <c r="AE3544">
        <v>0</v>
      </c>
      <c r="AF3544">
        <v>9</v>
      </c>
      <c r="AG3544" t="s">
        <v>158</v>
      </c>
      <c r="AH3544">
        <v>0</v>
      </c>
      <c r="AI3544">
        <v>3</v>
      </c>
      <c r="AJ3544">
        <v>1</v>
      </c>
      <c r="AK3544">
        <v>0</v>
      </c>
      <c r="AL3544" t="s">
        <v>6671</v>
      </c>
      <c r="AM3544">
        <v>47.020218</v>
      </c>
      <c r="AN3544" t="s">
        <v>6672</v>
      </c>
      <c r="AO3544">
        <v>-123.807399</v>
      </c>
      <c r="AP3544">
        <v>100</v>
      </c>
      <c r="AQ3544">
        <v>2200</v>
      </c>
      <c r="AR3544" t="s">
        <v>118</v>
      </c>
      <c r="AS3544">
        <v>-75</v>
      </c>
      <c r="AT3544">
        <v>17</v>
      </c>
      <c r="AU3544">
        <v>-64</v>
      </c>
      <c r="BC3544">
        <v>1200</v>
      </c>
      <c r="BD3544">
        <v>1</v>
      </c>
      <c r="BE3544" t="str">
        <f t="shared" si="167"/>
        <v xml:space="preserve">N215T   </v>
      </c>
      <c r="BF3544">
        <v>1</v>
      </c>
      <c r="BH3544">
        <v>0</v>
      </c>
      <c r="BI3544">
        <v>0</v>
      </c>
      <c r="BJ3544">
        <v>0</v>
      </c>
      <c r="BK3544">
        <v>2525</v>
      </c>
      <c r="BL3544">
        <v>325</v>
      </c>
      <c r="BM3544" t="s">
        <v>119</v>
      </c>
      <c r="BN3544">
        <v>1</v>
      </c>
      <c r="BO3544">
        <v>1</v>
      </c>
      <c r="BP3544">
        <v>1</v>
      </c>
      <c r="BQ3544">
        <v>0</v>
      </c>
      <c r="BT3544">
        <v>0</v>
      </c>
      <c r="BU3544">
        <v>0</v>
      </c>
      <c r="BV3544">
        <v>0</v>
      </c>
      <c r="CC3544" t="str">
        <f>"19:34:01.016"</f>
        <v>19:34:01.016</v>
      </c>
      <c r="CD3544" t="str">
        <f>"013174503"</f>
        <v>013174503</v>
      </c>
      <c r="CQ3544">
        <v>0</v>
      </c>
      <c r="CR3544">
        <v>2</v>
      </c>
      <c r="CS3544">
        <v>0</v>
      </c>
      <c r="CT3544">
        <v>2</v>
      </c>
      <c r="CU3544">
        <v>0</v>
      </c>
      <c r="CV3544">
        <v>4</v>
      </c>
      <c r="CW3544" t="s">
        <v>120</v>
      </c>
      <c r="CX3544">
        <v>257</v>
      </c>
      <c r="CY3544">
        <v>0</v>
      </c>
      <c r="CZ3544" t="s">
        <v>615</v>
      </c>
      <c r="DA3544" t="s">
        <v>616</v>
      </c>
      <c r="DD3544">
        <v>16472922</v>
      </c>
      <c r="DE3544" t="s">
        <v>123</v>
      </c>
    </row>
    <row r="3545" spans="1:109" x14ac:dyDescent="0.3">
      <c r="A3545" t="str">
        <f>"19:34:02.352"</f>
        <v>19:34:02.352</v>
      </c>
      <c r="B3545" t="s">
        <v>110</v>
      </c>
      <c r="C3545" t="str">
        <f t="shared" si="165"/>
        <v>ffdfd3c0</v>
      </c>
      <c r="D3545" t="s">
        <v>111</v>
      </c>
      <c r="E3545">
        <v>18</v>
      </c>
      <c r="F3545">
        <v>1018</v>
      </c>
      <c r="G3545" t="s">
        <v>112</v>
      </c>
      <c r="J3545" t="s">
        <v>113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R3545" t="s">
        <v>114</v>
      </c>
      <c r="S3545" t="str">
        <f>"19:34:02.078"</f>
        <v>19:34:02.078</v>
      </c>
      <c r="T3545" t="str">
        <f>"19:34:01.875"</f>
        <v>19:34:01.875</v>
      </c>
      <c r="U3545" t="str">
        <f t="shared" si="166"/>
        <v>a1cdbe</v>
      </c>
      <c r="V3545">
        <v>0</v>
      </c>
      <c r="W3545">
        <v>0</v>
      </c>
      <c r="X3545">
        <v>2</v>
      </c>
      <c r="Y3545">
        <v>0</v>
      </c>
      <c r="Z3545">
        <v>0</v>
      </c>
      <c r="AB3545">
        <v>0</v>
      </c>
      <c r="AC3545">
        <v>9</v>
      </c>
      <c r="AD3545">
        <v>3</v>
      </c>
      <c r="AE3545">
        <v>0</v>
      </c>
      <c r="AF3545">
        <v>9</v>
      </c>
      <c r="AG3545" t="s">
        <v>158</v>
      </c>
      <c r="AH3545">
        <v>0</v>
      </c>
      <c r="AI3545">
        <v>3</v>
      </c>
      <c r="AJ3545">
        <v>1</v>
      </c>
      <c r="AK3545">
        <v>0</v>
      </c>
      <c r="AL3545" t="s">
        <v>707</v>
      </c>
      <c r="AM3545">
        <v>47.020304000000003</v>
      </c>
      <c r="AN3545" t="s">
        <v>6673</v>
      </c>
      <c r="AO3545">
        <v>-123.80789300000001</v>
      </c>
      <c r="AP3545">
        <v>100</v>
      </c>
      <c r="AQ3545">
        <v>2200</v>
      </c>
      <c r="AR3545" t="s">
        <v>118</v>
      </c>
      <c r="AS3545">
        <v>-76</v>
      </c>
      <c r="AT3545">
        <v>17</v>
      </c>
      <c r="AU3545">
        <v>-64</v>
      </c>
      <c r="BC3545">
        <v>1200</v>
      </c>
      <c r="BD3545">
        <v>1</v>
      </c>
      <c r="BE3545" t="str">
        <f t="shared" si="167"/>
        <v xml:space="preserve">N215T   </v>
      </c>
      <c r="BF3545">
        <v>1</v>
      </c>
      <c r="BH3545">
        <v>0</v>
      </c>
      <c r="BI3545">
        <v>0</v>
      </c>
      <c r="BJ3545">
        <v>0</v>
      </c>
      <c r="BK3545">
        <v>2525</v>
      </c>
      <c r="BL3545">
        <v>325</v>
      </c>
      <c r="BM3545" t="s">
        <v>119</v>
      </c>
      <c r="BN3545">
        <v>1</v>
      </c>
      <c r="BO3545">
        <v>1</v>
      </c>
      <c r="BP3545">
        <v>1</v>
      </c>
      <c r="BQ3545">
        <v>0</v>
      </c>
      <c r="BT3545">
        <v>0</v>
      </c>
      <c r="BU3545">
        <v>0</v>
      </c>
      <c r="BV3545">
        <v>0</v>
      </c>
      <c r="CC3545" t="str">
        <f>"19:34:02.078"</f>
        <v>19:34:02.078</v>
      </c>
      <c r="CD3545" t="str">
        <f>"078161920"</f>
        <v>078161920</v>
      </c>
      <c r="CQ3545">
        <v>0</v>
      </c>
      <c r="CR3545">
        <v>2</v>
      </c>
      <c r="CS3545">
        <v>0</v>
      </c>
      <c r="CT3545">
        <v>2</v>
      </c>
      <c r="CU3545">
        <v>0</v>
      </c>
      <c r="CV3545">
        <v>2</v>
      </c>
      <c r="CW3545" t="s">
        <v>120</v>
      </c>
      <c r="CX3545">
        <v>261</v>
      </c>
      <c r="CY3545">
        <v>2</v>
      </c>
      <c r="CZ3545" t="s">
        <v>121</v>
      </c>
      <c r="DA3545" t="s">
        <v>122</v>
      </c>
      <c r="DD3545">
        <v>16456789</v>
      </c>
      <c r="DE3545" t="s">
        <v>123</v>
      </c>
    </row>
    <row r="3546" spans="1:109" x14ac:dyDescent="0.3">
      <c r="A3546" t="str">
        <f>"19:34:03.453"</f>
        <v>19:34:03.453</v>
      </c>
      <c r="B3546" t="s">
        <v>110</v>
      </c>
      <c r="C3546" t="str">
        <f t="shared" si="165"/>
        <v>ffdfd3c0</v>
      </c>
      <c r="D3546" t="s">
        <v>111</v>
      </c>
      <c r="E3546">
        <v>18</v>
      </c>
      <c r="F3546">
        <v>1018</v>
      </c>
      <c r="G3546" t="s">
        <v>112</v>
      </c>
      <c r="J3546" t="s">
        <v>113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R3546" t="s">
        <v>114</v>
      </c>
      <c r="S3546" t="str">
        <f>"19:34:03.195"</f>
        <v>19:34:03.195</v>
      </c>
      <c r="T3546" t="str">
        <f>"19:34:02.898"</f>
        <v>19:34:02.898</v>
      </c>
      <c r="U3546" t="str">
        <f t="shared" si="166"/>
        <v>a1cdbe</v>
      </c>
      <c r="V3546">
        <v>0</v>
      </c>
      <c r="W3546">
        <v>0</v>
      </c>
      <c r="X3546">
        <v>2</v>
      </c>
      <c r="Y3546">
        <v>0</v>
      </c>
      <c r="Z3546">
        <v>0</v>
      </c>
      <c r="AB3546">
        <v>0</v>
      </c>
      <c r="AC3546">
        <v>9</v>
      </c>
      <c r="AD3546">
        <v>3</v>
      </c>
      <c r="AE3546">
        <v>0</v>
      </c>
      <c r="AF3546">
        <v>9</v>
      </c>
      <c r="AG3546" t="s">
        <v>158</v>
      </c>
      <c r="AH3546">
        <v>0</v>
      </c>
      <c r="AI3546">
        <v>3</v>
      </c>
      <c r="AJ3546">
        <v>1</v>
      </c>
      <c r="AK3546">
        <v>0</v>
      </c>
      <c r="AL3546" t="s">
        <v>6674</v>
      </c>
      <c r="AM3546">
        <v>47.020389999999999</v>
      </c>
      <c r="AN3546" t="s">
        <v>6675</v>
      </c>
      <c r="AO3546">
        <v>-123.808494</v>
      </c>
      <c r="AP3546">
        <v>100</v>
      </c>
      <c r="AQ3546">
        <v>2200</v>
      </c>
      <c r="AR3546" t="s">
        <v>118</v>
      </c>
      <c r="AS3546">
        <v>-76</v>
      </c>
      <c r="AT3546">
        <v>17</v>
      </c>
      <c r="AU3546">
        <v>-64</v>
      </c>
      <c r="BC3546">
        <v>1200</v>
      </c>
      <c r="BD3546">
        <v>1</v>
      </c>
      <c r="BE3546" t="str">
        <f t="shared" si="167"/>
        <v xml:space="preserve">N215T   </v>
      </c>
      <c r="BF3546">
        <v>1</v>
      </c>
      <c r="BH3546">
        <v>0</v>
      </c>
      <c r="BI3546">
        <v>0</v>
      </c>
      <c r="BJ3546">
        <v>0</v>
      </c>
      <c r="BK3546">
        <v>2525</v>
      </c>
      <c r="BL3546">
        <v>325</v>
      </c>
      <c r="BM3546" t="s">
        <v>119</v>
      </c>
      <c r="BN3546">
        <v>1</v>
      </c>
      <c r="BO3546">
        <v>1</v>
      </c>
      <c r="BP3546">
        <v>1</v>
      </c>
      <c r="BQ3546">
        <v>0</v>
      </c>
      <c r="BT3546">
        <v>0</v>
      </c>
      <c r="BU3546">
        <v>0</v>
      </c>
      <c r="BV3546">
        <v>0</v>
      </c>
      <c r="CC3546" t="str">
        <f>"19:34:03.203"</f>
        <v>19:34:03.203</v>
      </c>
      <c r="CD3546" t="str">
        <f>"202958752"</f>
        <v>202958752</v>
      </c>
      <c r="CQ3546">
        <v>0</v>
      </c>
      <c r="CR3546">
        <v>2</v>
      </c>
      <c r="CS3546">
        <v>0</v>
      </c>
      <c r="CT3546">
        <v>2</v>
      </c>
      <c r="CU3546">
        <v>0</v>
      </c>
      <c r="CV3546">
        <v>5</v>
      </c>
      <c r="CW3546" t="s">
        <v>120</v>
      </c>
      <c r="CX3546">
        <v>257</v>
      </c>
      <c r="CY3546">
        <v>0</v>
      </c>
      <c r="CZ3546" t="s">
        <v>615</v>
      </c>
      <c r="DA3546" t="s">
        <v>616</v>
      </c>
      <c r="DD3546">
        <v>16473816</v>
      </c>
      <c r="DE3546" t="s">
        <v>123</v>
      </c>
    </row>
    <row r="3547" spans="1:109" x14ac:dyDescent="0.3">
      <c r="A3547" t="str">
        <f>"19:34:04.461"</f>
        <v>19:34:04.461</v>
      </c>
      <c r="B3547" t="s">
        <v>110</v>
      </c>
      <c r="C3547" t="str">
        <f t="shared" si="165"/>
        <v>ffdfd3c0</v>
      </c>
      <c r="D3547" t="s">
        <v>111</v>
      </c>
      <c r="E3547">
        <v>18</v>
      </c>
      <c r="F3547">
        <v>1018</v>
      </c>
      <c r="G3547" t="s">
        <v>112</v>
      </c>
      <c r="J3547" t="s">
        <v>113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R3547" t="s">
        <v>114</v>
      </c>
      <c r="S3547" t="str">
        <f>"19:34:04.266"</f>
        <v>19:34:04.266</v>
      </c>
      <c r="T3547" t="str">
        <f>"19:34:03.766"</f>
        <v>19:34:03.766</v>
      </c>
      <c r="U3547" t="str">
        <f t="shared" si="166"/>
        <v>a1cdbe</v>
      </c>
      <c r="V3547">
        <v>0</v>
      </c>
      <c r="W3547">
        <v>0</v>
      </c>
      <c r="X3547">
        <v>2</v>
      </c>
      <c r="Y3547">
        <v>0</v>
      </c>
      <c r="Z3547">
        <v>0</v>
      </c>
      <c r="AB3547">
        <v>0</v>
      </c>
      <c r="AC3547">
        <v>9</v>
      </c>
      <c r="AD3547">
        <v>3</v>
      </c>
      <c r="AE3547">
        <v>0</v>
      </c>
      <c r="AF3547">
        <v>9</v>
      </c>
      <c r="AG3547" t="s">
        <v>158</v>
      </c>
      <c r="AH3547">
        <v>0</v>
      </c>
      <c r="AI3547">
        <v>3</v>
      </c>
      <c r="AJ3547">
        <v>1</v>
      </c>
      <c r="AK3547">
        <v>0</v>
      </c>
      <c r="AL3547" t="s">
        <v>6676</v>
      </c>
      <c r="AM3547">
        <v>47.020496999999999</v>
      </c>
      <c r="AN3547" t="s">
        <v>6677</v>
      </c>
      <c r="AO3547">
        <v>-123.809009</v>
      </c>
      <c r="AP3547">
        <v>100</v>
      </c>
      <c r="AQ3547">
        <v>2200</v>
      </c>
      <c r="AR3547" t="s">
        <v>118</v>
      </c>
      <c r="AS3547">
        <v>-76</v>
      </c>
      <c r="AT3547">
        <v>18</v>
      </c>
      <c r="AU3547">
        <v>-64</v>
      </c>
      <c r="BC3547">
        <v>1200</v>
      </c>
      <c r="BD3547">
        <v>1</v>
      </c>
      <c r="BE3547" t="str">
        <f t="shared" si="167"/>
        <v xml:space="preserve">N215T   </v>
      </c>
      <c r="BF3547">
        <v>1</v>
      </c>
      <c r="BH3547">
        <v>0</v>
      </c>
      <c r="BI3547">
        <v>0</v>
      </c>
      <c r="BJ3547">
        <v>0</v>
      </c>
      <c r="BK3547">
        <v>2525</v>
      </c>
      <c r="BL3547">
        <v>325</v>
      </c>
      <c r="BM3547" t="s">
        <v>119</v>
      </c>
      <c r="BN3547">
        <v>1</v>
      </c>
      <c r="BO3547">
        <v>1</v>
      </c>
      <c r="BP3547">
        <v>1</v>
      </c>
      <c r="BQ3547">
        <v>0</v>
      </c>
      <c r="BT3547">
        <v>0</v>
      </c>
      <c r="BU3547">
        <v>0</v>
      </c>
      <c r="BV3547">
        <v>0</v>
      </c>
      <c r="CC3547" t="str">
        <f>"19:34:04.266"</f>
        <v>19:34:04.266</v>
      </c>
      <c r="CD3547" t="str">
        <f>"267853847"</f>
        <v>267853847</v>
      </c>
      <c r="CQ3547">
        <v>0</v>
      </c>
      <c r="CR3547">
        <v>2</v>
      </c>
      <c r="CS3547">
        <v>0</v>
      </c>
      <c r="CT3547">
        <v>2</v>
      </c>
      <c r="CU3547">
        <v>0</v>
      </c>
      <c r="CV3547">
        <v>5</v>
      </c>
      <c r="CW3547" t="s">
        <v>120</v>
      </c>
      <c r="CX3547">
        <v>257</v>
      </c>
      <c r="CY3547">
        <v>0</v>
      </c>
      <c r="CZ3547" t="s">
        <v>615</v>
      </c>
      <c r="DA3547" t="s">
        <v>616</v>
      </c>
      <c r="DD3547">
        <v>16474255</v>
      </c>
      <c r="DE3547" t="s">
        <v>123</v>
      </c>
    </row>
    <row r="3548" spans="1:109" x14ac:dyDescent="0.3">
      <c r="A3548" t="str">
        <f>"19:34:05.672"</f>
        <v>19:34:05.672</v>
      </c>
      <c r="B3548" t="s">
        <v>110</v>
      </c>
      <c r="C3548" t="str">
        <f t="shared" si="165"/>
        <v>ffdfd3c0</v>
      </c>
      <c r="D3548" t="s">
        <v>111</v>
      </c>
      <c r="E3548">
        <v>18</v>
      </c>
      <c r="F3548">
        <v>1018</v>
      </c>
      <c r="G3548" t="s">
        <v>112</v>
      </c>
      <c r="J3548" t="s">
        <v>113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R3548" t="s">
        <v>114</v>
      </c>
      <c r="S3548" t="str">
        <f>"19:34:05.406"</f>
        <v>19:34:05.406</v>
      </c>
      <c r="T3548" t="str">
        <f>"19:34:05.305"</f>
        <v>19:34:05.305</v>
      </c>
      <c r="U3548" t="str">
        <f t="shared" si="166"/>
        <v>a1cdbe</v>
      </c>
      <c r="V3548">
        <v>0</v>
      </c>
      <c r="W3548">
        <v>0</v>
      </c>
      <c r="X3548">
        <v>2</v>
      </c>
      <c r="Y3548">
        <v>0</v>
      </c>
      <c r="Z3548">
        <v>0</v>
      </c>
      <c r="AB3548">
        <v>0</v>
      </c>
      <c r="AC3548">
        <v>9</v>
      </c>
      <c r="AD3548">
        <v>3</v>
      </c>
      <c r="AE3548">
        <v>0</v>
      </c>
      <c r="AF3548">
        <v>9</v>
      </c>
      <c r="AG3548" t="s">
        <v>158</v>
      </c>
      <c r="AH3548">
        <v>0</v>
      </c>
      <c r="AI3548">
        <v>3</v>
      </c>
      <c r="AJ3548">
        <v>1</v>
      </c>
      <c r="AK3548">
        <v>0</v>
      </c>
      <c r="AL3548" t="s">
        <v>6678</v>
      </c>
      <c r="AM3548">
        <v>47.020605000000003</v>
      </c>
      <c r="AN3548" t="s">
        <v>6679</v>
      </c>
      <c r="AO3548">
        <v>-123.809652</v>
      </c>
      <c r="AP3548">
        <v>100</v>
      </c>
      <c r="AQ3548">
        <v>2200</v>
      </c>
      <c r="AR3548" t="s">
        <v>118</v>
      </c>
      <c r="AS3548">
        <v>-76</v>
      </c>
      <c r="AT3548">
        <v>18</v>
      </c>
      <c r="AU3548">
        <v>0</v>
      </c>
      <c r="BC3548">
        <v>1200</v>
      </c>
      <c r="BD3548">
        <v>1</v>
      </c>
      <c r="BE3548" t="str">
        <f t="shared" si="167"/>
        <v xml:space="preserve">N215T   </v>
      </c>
      <c r="BF3548">
        <v>1</v>
      </c>
      <c r="BH3548">
        <v>0</v>
      </c>
      <c r="BI3548">
        <v>0</v>
      </c>
      <c r="BJ3548">
        <v>0</v>
      </c>
      <c r="BK3548">
        <v>2525</v>
      </c>
      <c r="BL3548">
        <v>325</v>
      </c>
      <c r="BM3548" t="s">
        <v>119</v>
      </c>
      <c r="BN3548">
        <v>1</v>
      </c>
      <c r="BO3548">
        <v>1</v>
      </c>
      <c r="BP3548">
        <v>1</v>
      </c>
      <c r="BQ3548">
        <v>0</v>
      </c>
      <c r="BT3548">
        <v>0</v>
      </c>
      <c r="BU3548">
        <v>0</v>
      </c>
      <c r="BV3548">
        <v>0</v>
      </c>
      <c r="CC3548" t="str">
        <f>"19:34:05.406"</f>
        <v>19:34:05.406</v>
      </c>
      <c r="CD3548" t="str">
        <f>"407741547"</f>
        <v>407741547</v>
      </c>
      <c r="CQ3548">
        <v>0</v>
      </c>
      <c r="CR3548">
        <v>2</v>
      </c>
      <c r="CS3548">
        <v>0</v>
      </c>
      <c r="CT3548">
        <v>2</v>
      </c>
      <c r="CU3548">
        <v>0</v>
      </c>
      <c r="CV3548">
        <v>4</v>
      </c>
      <c r="CW3548" t="s">
        <v>120</v>
      </c>
      <c r="CX3548">
        <v>257</v>
      </c>
      <c r="CY3548">
        <v>0</v>
      </c>
      <c r="CZ3548" t="s">
        <v>615</v>
      </c>
      <c r="DA3548" t="s">
        <v>616</v>
      </c>
      <c r="DD3548">
        <v>16474733</v>
      </c>
      <c r="DE3548" t="s">
        <v>123</v>
      </c>
    </row>
    <row r="3549" spans="1:109" x14ac:dyDescent="0.3">
      <c r="A3549" t="str">
        <f>"19:34:06.477"</f>
        <v>19:34:06.477</v>
      </c>
      <c r="B3549" t="s">
        <v>110</v>
      </c>
      <c r="C3549" t="str">
        <f t="shared" si="165"/>
        <v>ffdfd3c0</v>
      </c>
      <c r="D3549" t="s">
        <v>111</v>
      </c>
      <c r="E3549">
        <v>18</v>
      </c>
      <c r="F3549">
        <v>1018</v>
      </c>
      <c r="G3549" t="s">
        <v>112</v>
      </c>
      <c r="J3549" t="s">
        <v>113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R3549" t="s">
        <v>114</v>
      </c>
      <c r="S3549" t="str">
        <f>"19:34:06.227"</f>
        <v>19:34:06.227</v>
      </c>
      <c r="T3549" t="str">
        <f>"19:34:05.828"</f>
        <v>19:34:05.828</v>
      </c>
      <c r="U3549" t="str">
        <f t="shared" si="166"/>
        <v>a1cdbe</v>
      </c>
      <c r="V3549">
        <v>0</v>
      </c>
      <c r="W3549">
        <v>0</v>
      </c>
      <c r="X3549">
        <v>2</v>
      </c>
      <c r="Y3549">
        <v>0</v>
      </c>
      <c r="Z3549">
        <v>0</v>
      </c>
      <c r="AB3549">
        <v>0</v>
      </c>
      <c r="AC3549">
        <v>9</v>
      </c>
      <c r="AD3549">
        <v>3</v>
      </c>
      <c r="AE3549">
        <v>0</v>
      </c>
      <c r="AF3549">
        <v>9</v>
      </c>
      <c r="AG3549" t="s">
        <v>158</v>
      </c>
      <c r="AH3549">
        <v>0</v>
      </c>
      <c r="AI3549">
        <v>3</v>
      </c>
      <c r="AJ3549">
        <v>1</v>
      </c>
      <c r="AK3549">
        <v>0</v>
      </c>
      <c r="AL3549" t="s">
        <v>6680</v>
      </c>
      <c r="AM3549">
        <v>47.020648000000001</v>
      </c>
      <c r="AN3549" t="s">
        <v>6681</v>
      </c>
      <c r="AO3549">
        <v>-123.810081</v>
      </c>
      <c r="AP3549">
        <v>100</v>
      </c>
      <c r="AQ3549">
        <v>2100</v>
      </c>
      <c r="AR3549" t="s">
        <v>118</v>
      </c>
      <c r="AS3549">
        <v>-76</v>
      </c>
      <c r="AT3549">
        <v>18</v>
      </c>
      <c r="AU3549">
        <v>-64</v>
      </c>
      <c r="BC3549">
        <v>1200</v>
      </c>
      <c r="BD3549">
        <v>1</v>
      </c>
      <c r="BE3549" t="str">
        <f t="shared" si="167"/>
        <v xml:space="preserve">N215T   </v>
      </c>
      <c r="BF3549">
        <v>1</v>
      </c>
      <c r="BH3549">
        <v>0</v>
      </c>
      <c r="BI3549">
        <v>0</v>
      </c>
      <c r="BJ3549">
        <v>0</v>
      </c>
      <c r="BK3549">
        <v>2525</v>
      </c>
      <c r="BL3549">
        <v>425</v>
      </c>
      <c r="BM3549" t="s">
        <v>119</v>
      </c>
      <c r="BN3549">
        <v>1</v>
      </c>
      <c r="BO3549">
        <v>1</v>
      </c>
      <c r="BP3549">
        <v>1</v>
      </c>
      <c r="BQ3549">
        <v>0</v>
      </c>
      <c r="BT3549">
        <v>0</v>
      </c>
      <c r="BU3549">
        <v>0</v>
      </c>
      <c r="BV3549">
        <v>0</v>
      </c>
      <c r="CC3549" t="str">
        <f>"19:34:06.234"</f>
        <v>19:34:06.234</v>
      </c>
      <c r="CD3549" t="str">
        <f>"232660292"</f>
        <v>232660292</v>
      </c>
      <c r="CQ3549">
        <v>0</v>
      </c>
      <c r="CR3549">
        <v>2</v>
      </c>
      <c r="CS3549">
        <v>0</v>
      </c>
      <c r="CT3549">
        <v>2</v>
      </c>
      <c r="CU3549">
        <v>0</v>
      </c>
      <c r="CV3549">
        <v>5</v>
      </c>
      <c r="CW3549" t="s">
        <v>120</v>
      </c>
      <c r="CX3549">
        <v>257</v>
      </c>
      <c r="CY3549">
        <v>0</v>
      </c>
      <c r="CZ3549" t="s">
        <v>615</v>
      </c>
      <c r="DA3549" t="s">
        <v>616</v>
      </c>
      <c r="DD3549">
        <v>16475087</v>
      </c>
      <c r="DE3549" t="s">
        <v>123</v>
      </c>
    </row>
    <row r="3550" spans="1:109" x14ac:dyDescent="0.3">
      <c r="A3550" t="str">
        <f>"19:34:07.477"</f>
        <v>19:34:07.477</v>
      </c>
      <c r="B3550" t="s">
        <v>110</v>
      </c>
      <c r="C3550" t="str">
        <f t="shared" si="165"/>
        <v>ffdfd3c0</v>
      </c>
      <c r="D3550" t="s">
        <v>111</v>
      </c>
      <c r="E3550">
        <v>18</v>
      </c>
      <c r="F3550">
        <v>1018</v>
      </c>
      <c r="G3550" t="s">
        <v>112</v>
      </c>
      <c r="J3550" t="s">
        <v>113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R3550" t="s">
        <v>114</v>
      </c>
      <c r="S3550" t="str">
        <f>"19:34:07.250"</f>
        <v>19:34:07.250</v>
      </c>
      <c r="T3550" t="str">
        <f>"19:34:06.852"</f>
        <v>19:34:06.852</v>
      </c>
      <c r="U3550" t="str">
        <f t="shared" si="166"/>
        <v>a1cdbe</v>
      </c>
      <c r="V3550">
        <v>0</v>
      </c>
      <c r="W3550">
        <v>0</v>
      </c>
      <c r="X3550">
        <v>2</v>
      </c>
      <c r="Y3550">
        <v>0</v>
      </c>
      <c r="Z3550">
        <v>0</v>
      </c>
      <c r="AB3550">
        <v>0</v>
      </c>
      <c r="AC3550">
        <v>9</v>
      </c>
      <c r="AD3550">
        <v>3</v>
      </c>
      <c r="AE3550">
        <v>0</v>
      </c>
      <c r="AF3550">
        <v>9</v>
      </c>
      <c r="AG3550" t="s">
        <v>158</v>
      </c>
      <c r="AH3550">
        <v>0</v>
      </c>
      <c r="AI3550">
        <v>3</v>
      </c>
      <c r="AJ3550">
        <v>1</v>
      </c>
      <c r="AK3550">
        <v>0</v>
      </c>
      <c r="AL3550" t="s">
        <v>6682</v>
      </c>
      <c r="AM3550">
        <v>47.020755000000001</v>
      </c>
      <c r="AN3550" t="s">
        <v>6683</v>
      </c>
      <c r="AO3550">
        <v>-123.810554</v>
      </c>
      <c r="AP3550">
        <v>100</v>
      </c>
      <c r="AQ3550">
        <v>2100</v>
      </c>
      <c r="AR3550" t="s">
        <v>118</v>
      </c>
      <c r="AS3550">
        <v>-76</v>
      </c>
      <c r="AT3550">
        <v>18</v>
      </c>
      <c r="AU3550">
        <v>-64</v>
      </c>
      <c r="BC3550">
        <v>1200</v>
      </c>
      <c r="BD3550">
        <v>1</v>
      </c>
      <c r="BE3550" t="str">
        <f t="shared" si="167"/>
        <v xml:space="preserve">N215T   </v>
      </c>
      <c r="BF3550">
        <v>1</v>
      </c>
      <c r="BH3550">
        <v>0</v>
      </c>
      <c r="BI3550">
        <v>0</v>
      </c>
      <c r="BJ3550">
        <v>0</v>
      </c>
      <c r="BK3550">
        <v>2525</v>
      </c>
      <c r="BL3550">
        <v>425</v>
      </c>
      <c r="BM3550" t="s">
        <v>119</v>
      </c>
      <c r="BN3550">
        <v>1</v>
      </c>
      <c r="BO3550">
        <v>1</v>
      </c>
      <c r="BP3550">
        <v>1</v>
      </c>
      <c r="BQ3550">
        <v>0</v>
      </c>
      <c r="BT3550">
        <v>0</v>
      </c>
      <c r="BU3550">
        <v>0</v>
      </c>
      <c r="BV3550">
        <v>0</v>
      </c>
      <c r="CC3550" t="str">
        <f>"19:34:07.250"</f>
        <v>19:34:07.250</v>
      </c>
      <c r="CD3550" t="str">
        <f>"252559793"</f>
        <v>252559793</v>
      </c>
      <c r="CQ3550">
        <v>0</v>
      </c>
      <c r="CR3550">
        <v>2</v>
      </c>
      <c r="CS3550">
        <v>0</v>
      </c>
      <c r="CT3550">
        <v>2</v>
      </c>
      <c r="CU3550">
        <v>0</v>
      </c>
      <c r="CV3550">
        <v>5</v>
      </c>
      <c r="CW3550" t="s">
        <v>120</v>
      </c>
      <c r="CX3550">
        <v>257</v>
      </c>
      <c r="CY3550">
        <v>0</v>
      </c>
      <c r="CZ3550" t="s">
        <v>615</v>
      </c>
      <c r="DA3550" t="s">
        <v>616</v>
      </c>
      <c r="DD3550">
        <v>16475499</v>
      </c>
      <c r="DE3550" t="s">
        <v>123</v>
      </c>
    </row>
    <row r="3551" spans="1:109" x14ac:dyDescent="0.3">
      <c r="A3551" t="str">
        <f>"19:34:08.484"</f>
        <v>19:34:08.484</v>
      </c>
      <c r="B3551" t="s">
        <v>110</v>
      </c>
      <c r="C3551" t="str">
        <f t="shared" si="165"/>
        <v>ffdfd3c0</v>
      </c>
      <c r="D3551" t="s">
        <v>111</v>
      </c>
      <c r="E3551">
        <v>18</v>
      </c>
      <c r="F3551">
        <v>1018</v>
      </c>
      <c r="G3551" t="s">
        <v>112</v>
      </c>
      <c r="J3551" t="s">
        <v>113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R3551" t="s">
        <v>114</v>
      </c>
      <c r="S3551" t="str">
        <f>"19:34:08.195"</f>
        <v>19:34:08.195</v>
      </c>
      <c r="T3551" t="str">
        <f>"19:34:07.797"</f>
        <v>19:34:07.797</v>
      </c>
      <c r="U3551" t="str">
        <f t="shared" si="166"/>
        <v>a1cdbe</v>
      </c>
      <c r="V3551">
        <v>0</v>
      </c>
      <c r="W3551">
        <v>0</v>
      </c>
      <c r="X3551">
        <v>2</v>
      </c>
      <c r="Y3551">
        <v>0</v>
      </c>
      <c r="Z3551">
        <v>0</v>
      </c>
      <c r="AB3551">
        <v>0</v>
      </c>
      <c r="AC3551">
        <v>9</v>
      </c>
      <c r="AD3551">
        <v>3</v>
      </c>
      <c r="AE3551">
        <v>0</v>
      </c>
      <c r="AF3551">
        <v>9</v>
      </c>
      <c r="AG3551" t="s">
        <v>158</v>
      </c>
      <c r="AH3551">
        <v>0</v>
      </c>
      <c r="AI3551">
        <v>3</v>
      </c>
      <c r="AJ3551">
        <v>1</v>
      </c>
      <c r="AK3551">
        <v>0</v>
      </c>
      <c r="AL3551" t="s">
        <v>6684</v>
      </c>
      <c r="AM3551">
        <v>47.020840999999997</v>
      </c>
      <c r="AN3551" t="s">
        <v>6685</v>
      </c>
      <c r="AO3551">
        <v>-123.811069</v>
      </c>
      <c r="AP3551">
        <v>100</v>
      </c>
      <c r="AQ3551">
        <v>2100</v>
      </c>
      <c r="AR3551" t="s">
        <v>118</v>
      </c>
      <c r="AS3551">
        <v>-76</v>
      </c>
      <c r="AT3551">
        <v>18</v>
      </c>
      <c r="AU3551">
        <v>-64</v>
      </c>
      <c r="BC3551">
        <v>1200</v>
      </c>
      <c r="BD3551">
        <v>1</v>
      </c>
      <c r="BE3551" t="str">
        <f t="shared" si="167"/>
        <v xml:space="preserve">N215T   </v>
      </c>
      <c r="BF3551">
        <v>1</v>
      </c>
      <c r="BH3551">
        <v>0</v>
      </c>
      <c r="BI3551">
        <v>0</v>
      </c>
      <c r="BJ3551">
        <v>0</v>
      </c>
      <c r="BK3551">
        <v>2525</v>
      </c>
      <c r="BL3551">
        <v>425</v>
      </c>
      <c r="BM3551" t="s">
        <v>119</v>
      </c>
      <c r="BN3551">
        <v>1</v>
      </c>
      <c r="BO3551">
        <v>1</v>
      </c>
      <c r="BP3551">
        <v>1</v>
      </c>
      <c r="BQ3551">
        <v>0</v>
      </c>
      <c r="BT3551">
        <v>0</v>
      </c>
      <c r="BU3551">
        <v>0</v>
      </c>
      <c r="BV3551">
        <v>0</v>
      </c>
      <c r="CC3551" t="str">
        <f>"19:34:08.195"</f>
        <v>19:34:08.195</v>
      </c>
      <c r="CD3551" t="str">
        <f>"197466706"</f>
        <v>197466706</v>
      </c>
      <c r="CQ3551">
        <v>0</v>
      </c>
      <c r="CR3551">
        <v>2</v>
      </c>
      <c r="CS3551">
        <v>0</v>
      </c>
      <c r="CT3551">
        <v>2</v>
      </c>
      <c r="CU3551">
        <v>0</v>
      </c>
      <c r="CV3551">
        <v>5</v>
      </c>
      <c r="CW3551" t="s">
        <v>120</v>
      </c>
      <c r="CX3551">
        <v>257</v>
      </c>
      <c r="CY3551">
        <v>0</v>
      </c>
      <c r="CZ3551" t="s">
        <v>615</v>
      </c>
      <c r="DA3551" t="s">
        <v>616</v>
      </c>
      <c r="DD3551">
        <v>16475878</v>
      </c>
      <c r="DE3551" t="s">
        <v>123</v>
      </c>
    </row>
    <row r="3552" spans="1:109" x14ac:dyDescent="0.3">
      <c r="A3552" t="str">
        <f>"19:34:09.391"</f>
        <v>19:34:09.391</v>
      </c>
      <c r="B3552" t="s">
        <v>110</v>
      </c>
      <c r="C3552" t="str">
        <f t="shared" si="165"/>
        <v>ffdfd3c0</v>
      </c>
      <c r="D3552" t="s">
        <v>111</v>
      </c>
      <c r="E3552">
        <v>18</v>
      </c>
      <c r="F3552">
        <v>1018</v>
      </c>
      <c r="G3552" t="s">
        <v>112</v>
      </c>
      <c r="J3552" t="s">
        <v>113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R3552" t="s">
        <v>114</v>
      </c>
      <c r="S3552" t="str">
        <f>"19:34:09.125"</f>
        <v>19:34:09.125</v>
      </c>
      <c r="T3552" t="str">
        <f>"19:34:08.727"</f>
        <v>19:34:08.727</v>
      </c>
      <c r="U3552" t="str">
        <f t="shared" si="166"/>
        <v>a1cdbe</v>
      </c>
      <c r="V3552">
        <v>0</v>
      </c>
      <c r="W3552">
        <v>0</v>
      </c>
      <c r="X3552">
        <v>2</v>
      </c>
      <c r="Y3552">
        <v>0</v>
      </c>
      <c r="Z3552">
        <v>0</v>
      </c>
      <c r="AB3552">
        <v>0</v>
      </c>
      <c r="AC3552">
        <v>9</v>
      </c>
      <c r="AD3552">
        <v>3</v>
      </c>
      <c r="AE3552">
        <v>0</v>
      </c>
      <c r="AF3552">
        <v>9</v>
      </c>
      <c r="AG3552" t="s">
        <v>158</v>
      </c>
      <c r="AH3552">
        <v>0</v>
      </c>
      <c r="AI3552">
        <v>3</v>
      </c>
      <c r="AJ3552">
        <v>1</v>
      </c>
      <c r="AK3552">
        <v>0</v>
      </c>
      <c r="AL3552" t="s">
        <v>6686</v>
      </c>
      <c r="AM3552">
        <v>47.020884000000002</v>
      </c>
      <c r="AN3552" t="s">
        <v>6687</v>
      </c>
      <c r="AO3552">
        <v>-123.811562</v>
      </c>
      <c r="AP3552">
        <v>100</v>
      </c>
      <c r="AQ3552">
        <v>2100</v>
      </c>
      <c r="AR3552" t="s">
        <v>118</v>
      </c>
      <c r="AS3552">
        <v>-76</v>
      </c>
      <c r="AT3552">
        <v>18</v>
      </c>
      <c r="AU3552">
        <v>-64</v>
      </c>
      <c r="BC3552">
        <v>1200</v>
      </c>
      <c r="BD3552">
        <v>1</v>
      </c>
      <c r="BE3552" t="str">
        <f t="shared" si="167"/>
        <v xml:space="preserve">N215T   </v>
      </c>
      <c r="BF3552">
        <v>1</v>
      </c>
      <c r="BH3552">
        <v>0</v>
      </c>
      <c r="BI3552">
        <v>0</v>
      </c>
      <c r="BJ3552">
        <v>0</v>
      </c>
      <c r="BK3552">
        <v>2525</v>
      </c>
      <c r="BL3552">
        <v>425</v>
      </c>
      <c r="BM3552" t="s">
        <v>119</v>
      </c>
      <c r="BN3552">
        <v>1</v>
      </c>
      <c r="BO3552">
        <v>1</v>
      </c>
      <c r="BP3552">
        <v>1</v>
      </c>
      <c r="BQ3552">
        <v>0</v>
      </c>
      <c r="BT3552">
        <v>0</v>
      </c>
      <c r="BU3552">
        <v>0</v>
      </c>
      <c r="BV3552">
        <v>0</v>
      </c>
      <c r="CC3552" t="str">
        <f>"19:34:09.125"</f>
        <v>19:34:09.125</v>
      </c>
      <c r="CD3552" t="str">
        <f>"127375106"</f>
        <v>127375106</v>
      </c>
      <c r="CQ3552">
        <v>0</v>
      </c>
      <c r="CR3552">
        <v>2</v>
      </c>
      <c r="CS3552">
        <v>0</v>
      </c>
      <c r="CT3552">
        <v>2</v>
      </c>
      <c r="CU3552">
        <v>0</v>
      </c>
      <c r="CV3552">
        <v>5</v>
      </c>
      <c r="CW3552" t="s">
        <v>120</v>
      </c>
      <c r="CX3552">
        <v>257</v>
      </c>
      <c r="CY3552">
        <v>0</v>
      </c>
      <c r="CZ3552" t="s">
        <v>615</v>
      </c>
      <c r="DA3552" t="s">
        <v>616</v>
      </c>
      <c r="DD3552">
        <v>16476244</v>
      </c>
      <c r="DE3552" t="s">
        <v>123</v>
      </c>
    </row>
    <row r="3553" spans="1:109" x14ac:dyDescent="0.3">
      <c r="A3553" t="str">
        <f>"19:34:10.445"</f>
        <v>19:34:10.445</v>
      </c>
      <c r="B3553" t="s">
        <v>110</v>
      </c>
      <c r="C3553" t="str">
        <f t="shared" si="165"/>
        <v>ffdfd3c0</v>
      </c>
      <c r="D3553" t="s">
        <v>111</v>
      </c>
      <c r="E3553">
        <v>18</v>
      </c>
      <c r="F3553">
        <v>1018</v>
      </c>
      <c r="G3553" t="s">
        <v>112</v>
      </c>
      <c r="J3553" t="s">
        <v>113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R3553" t="s">
        <v>114</v>
      </c>
      <c r="S3553" t="str">
        <f>"19:34:10.172"</f>
        <v>19:34:10.172</v>
      </c>
      <c r="T3553" t="str">
        <f>"19:34:09.773"</f>
        <v>19:34:09.773</v>
      </c>
      <c r="U3553" t="str">
        <f t="shared" si="166"/>
        <v>a1cdbe</v>
      </c>
      <c r="V3553">
        <v>0</v>
      </c>
      <c r="W3553">
        <v>0</v>
      </c>
      <c r="X3553">
        <v>2</v>
      </c>
      <c r="Y3553">
        <v>0</v>
      </c>
      <c r="Z3553">
        <v>0</v>
      </c>
      <c r="AB3553">
        <v>0</v>
      </c>
      <c r="AC3553">
        <v>9</v>
      </c>
      <c r="AD3553">
        <v>3</v>
      </c>
      <c r="AE3553">
        <v>0</v>
      </c>
      <c r="AF3553">
        <v>9</v>
      </c>
      <c r="AG3553" t="s">
        <v>158</v>
      </c>
      <c r="AH3553">
        <v>0</v>
      </c>
      <c r="AI3553">
        <v>3</v>
      </c>
      <c r="AJ3553">
        <v>1</v>
      </c>
      <c r="AK3553">
        <v>0</v>
      </c>
      <c r="AL3553" t="s">
        <v>6688</v>
      </c>
      <c r="AM3553">
        <v>47.020969000000001</v>
      </c>
      <c r="AN3553" t="s">
        <v>6689</v>
      </c>
      <c r="AO3553">
        <v>-123.81211999999999</v>
      </c>
      <c r="AP3553">
        <v>100</v>
      </c>
      <c r="AQ3553">
        <v>2100</v>
      </c>
      <c r="AR3553" t="s">
        <v>118</v>
      </c>
      <c r="AS3553">
        <v>-76</v>
      </c>
      <c r="AT3553">
        <v>19</v>
      </c>
      <c r="AU3553">
        <v>-64</v>
      </c>
      <c r="BC3553">
        <v>1200</v>
      </c>
      <c r="BD3553">
        <v>1</v>
      </c>
      <c r="BE3553" t="str">
        <f t="shared" si="167"/>
        <v xml:space="preserve">N215T   </v>
      </c>
      <c r="BF3553">
        <v>1</v>
      </c>
      <c r="BH3553">
        <v>0</v>
      </c>
      <c r="BI3553">
        <v>0</v>
      </c>
      <c r="BJ3553">
        <v>0</v>
      </c>
      <c r="BK3553">
        <v>2525</v>
      </c>
      <c r="BL3553">
        <v>425</v>
      </c>
      <c r="BM3553" t="s">
        <v>119</v>
      </c>
      <c r="BN3553">
        <v>1</v>
      </c>
      <c r="BO3553">
        <v>1</v>
      </c>
      <c r="BP3553">
        <v>1</v>
      </c>
      <c r="BQ3553">
        <v>0</v>
      </c>
      <c r="BT3553">
        <v>0</v>
      </c>
      <c r="BU3553">
        <v>0</v>
      </c>
      <c r="BV3553">
        <v>0</v>
      </c>
      <c r="CC3553" t="str">
        <f>"19:34:10.180"</f>
        <v>19:34:10.180</v>
      </c>
      <c r="CD3553" t="str">
        <f>"177364508"</f>
        <v>177364508</v>
      </c>
      <c r="CQ3553">
        <v>0</v>
      </c>
      <c r="CR3553">
        <v>2</v>
      </c>
      <c r="CS3553">
        <v>0</v>
      </c>
      <c r="CT3553">
        <v>2</v>
      </c>
      <c r="CU3553">
        <v>0</v>
      </c>
      <c r="CV3553">
        <v>3</v>
      </c>
      <c r="CW3553" t="s">
        <v>120</v>
      </c>
      <c r="CX3553">
        <v>261</v>
      </c>
      <c r="CY3553">
        <v>3</v>
      </c>
      <c r="CZ3553" t="s">
        <v>121</v>
      </c>
      <c r="DA3553" t="s">
        <v>122</v>
      </c>
      <c r="DD3553">
        <v>4008033</v>
      </c>
      <c r="DE3553" t="s">
        <v>123</v>
      </c>
    </row>
    <row r="3554" spans="1:109" x14ac:dyDescent="0.3">
      <c r="A3554" t="str">
        <f>"19:34:11.453"</f>
        <v>19:34:11.453</v>
      </c>
      <c r="B3554" t="s">
        <v>110</v>
      </c>
      <c r="C3554" t="str">
        <f t="shared" si="165"/>
        <v>ffdfd3c0</v>
      </c>
      <c r="D3554" t="s">
        <v>111</v>
      </c>
      <c r="E3554">
        <v>18</v>
      </c>
      <c r="F3554">
        <v>1018</v>
      </c>
      <c r="G3554" t="s">
        <v>112</v>
      </c>
      <c r="J3554" t="s">
        <v>113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R3554" t="s">
        <v>114</v>
      </c>
      <c r="S3554" t="str">
        <f>"19:34:11.234"</f>
        <v>19:34:11.234</v>
      </c>
      <c r="T3554" t="str">
        <f>"19:34:10.836"</f>
        <v>19:34:10.836</v>
      </c>
      <c r="U3554" t="str">
        <f t="shared" si="166"/>
        <v>a1cdbe</v>
      </c>
      <c r="V3554">
        <v>0</v>
      </c>
      <c r="W3554">
        <v>0</v>
      </c>
      <c r="X3554">
        <v>2</v>
      </c>
      <c r="Y3554">
        <v>0</v>
      </c>
      <c r="Z3554">
        <v>0</v>
      </c>
      <c r="AB3554">
        <v>0</v>
      </c>
      <c r="AC3554">
        <v>9</v>
      </c>
      <c r="AD3554">
        <v>3</v>
      </c>
      <c r="AE3554">
        <v>0</v>
      </c>
      <c r="AF3554">
        <v>9</v>
      </c>
      <c r="AG3554" t="s">
        <v>158</v>
      </c>
      <c r="AH3554">
        <v>0</v>
      </c>
      <c r="AI3554">
        <v>3</v>
      </c>
      <c r="AJ3554">
        <v>1</v>
      </c>
      <c r="AK3554">
        <v>0</v>
      </c>
      <c r="AL3554" t="s">
        <v>6690</v>
      </c>
      <c r="AM3554">
        <v>47.021076999999998</v>
      </c>
      <c r="AN3554" t="s">
        <v>6691</v>
      </c>
      <c r="AO3554">
        <v>-123.812613</v>
      </c>
      <c r="AP3554">
        <v>100</v>
      </c>
      <c r="AQ3554">
        <v>2100</v>
      </c>
      <c r="AR3554" t="s">
        <v>118</v>
      </c>
      <c r="AS3554">
        <v>-76</v>
      </c>
      <c r="AT3554">
        <v>19</v>
      </c>
      <c r="AU3554">
        <v>-64</v>
      </c>
      <c r="BC3554">
        <v>1200</v>
      </c>
      <c r="BD3554">
        <v>1</v>
      </c>
      <c r="BE3554" t="str">
        <f t="shared" si="167"/>
        <v xml:space="preserve">N215T   </v>
      </c>
      <c r="BF3554">
        <v>1</v>
      </c>
      <c r="BH3554">
        <v>0</v>
      </c>
      <c r="BI3554">
        <v>0</v>
      </c>
      <c r="BJ3554">
        <v>0</v>
      </c>
      <c r="BK3554">
        <v>2525</v>
      </c>
      <c r="BL3554">
        <v>425</v>
      </c>
      <c r="BM3554" t="s">
        <v>119</v>
      </c>
      <c r="BN3554">
        <v>1</v>
      </c>
      <c r="BO3554">
        <v>1</v>
      </c>
      <c r="BP3554">
        <v>1</v>
      </c>
      <c r="BQ3554">
        <v>0</v>
      </c>
      <c r="BT3554">
        <v>0</v>
      </c>
      <c r="BU3554">
        <v>0</v>
      </c>
      <c r="BV3554">
        <v>0</v>
      </c>
      <c r="CC3554" t="str">
        <f>"19:34:11.242"</f>
        <v>19:34:11.242</v>
      </c>
      <c r="CD3554" t="str">
        <f>"242166736"</f>
        <v>242166736</v>
      </c>
      <c r="CQ3554">
        <v>0</v>
      </c>
      <c r="CR3554">
        <v>2</v>
      </c>
      <c r="CS3554">
        <v>0</v>
      </c>
      <c r="CT3554">
        <v>2</v>
      </c>
      <c r="CU3554">
        <v>0</v>
      </c>
      <c r="CV3554">
        <v>5</v>
      </c>
      <c r="CW3554" t="s">
        <v>120</v>
      </c>
      <c r="CX3554">
        <v>257</v>
      </c>
      <c r="CY3554">
        <v>0</v>
      </c>
      <c r="CZ3554" t="s">
        <v>615</v>
      </c>
      <c r="DA3554" t="s">
        <v>616</v>
      </c>
      <c r="DD3554">
        <v>16477118</v>
      </c>
      <c r="DE3554" t="s">
        <v>123</v>
      </c>
    </row>
    <row r="3555" spans="1:109" x14ac:dyDescent="0.3">
      <c r="A3555" t="str">
        <f>"19:34:12.508"</f>
        <v>19:34:12.508</v>
      </c>
      <c r="B3555" t="s">
        <v>110</v>
      </c>
      <c r="C3555" t="str">
        <f t="shared" si="165"/>
        <v>ffdfd3c0</v>
      </c>
      <c r="D3555" t="s">
        <v>111</v>
      </c>
      <c r="E3555">
        <v>18</v>
      </c>
      <c r="F3555">
        <v>1018</v>
      </c>
      <c r="G3555" t="s">
        <v>112</v>
      </c>
      <c r="J3555" t="s">
        <v>113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R3555" t="s">
        <v>114</v>
      </c>
      <c r="S3555" t="str">
        <f>"19:34:12.242"</f>
        <v>19:34:12.242</v>
      </c>
      <c r="T3555" t="str">
        <f>"19:34:11.742"</f>
        <v>19:34:11.742</v>
      </c>
      <c r="U3555" t="str">
        <f t="shared" si="166"/>
        <v>a1cdbe</v>
      </c>
      <c r="V3555">
        <v>0</v>
      </c>
      <c r="W3555">
        <v>0</v>
      </c>
      <c r="X3555">
        <v>2</v>
      </c>
      <c r="Y3555">
        <v>0</v>
      </c>
      <c r="Z3555">
        <v>0</v>
      </c>
      <c r="AB3555">
        <v>0</v>
      </c>
      <c r="AC3555">
        <v>9</v>
      </c>
      <c r="AD3555">
        <v>3</v>
      </c>
      <c r="AE3555">
        <v>0</v>
      </c>
      <c r="AF3555">
        <v>9</v>
      </c>
      <c r="AG3555" t="s">
        <v>158</v>
      </c>
      <c r="AH3555">
        <v>0</v>
      </c>
      <c r="AI3555">
        <v>3</v>
      </c>
      <c r="AJ3555">
        <v>1</v>
      </c>
      <c r="AK3555">
        <v>0</v>
      </c>
      <c r="AL3555" t="s">
        <v>6692</v>
      </c>
      <c r="AM3555">
        <v>47.021163000000001</v>
      </c>
      <c r="AN3555" t="s">
        <v>6693</v>
      </c>
      <c r="AO3555">
        <v>-123.813107</v>
      </c>
      <c r="AP3555">
        <v>100</v>
      </c>
      <c r="AQ3555">
        <v>2100</v>
      </c>
      <c r="AR3555" t="s">
        <v>118</v>
      </c>
      <c r="AS3555">
        <v>-77</v>
      </c>
      <c r="AT3555">
        <v>19</v>
      </c>
      <c r="AU3555">
        <v>-64</v>
      </c>
      <c r="BC3555">
        <v>1200</v>
      </c>
      <c r="BD3555">
        <v>1</v>
      </c>
      <c r="BE3555" t="str">
        <f t="shared" si="167"/>
        <v xml:space="preserve">N215T   </v>
      </c>
      <c r="BF3555">
        <v>1</v>
      </c>
      <c r="BH3555">
        <v>0</v>
      </c>
      <c r="BI3555">
        <v>0</v>
      </c>
      <c r="BJ3555">
        <v>0</v>
      </c>
      <c r="BK3555">
        <v>2525</v>
      </c>
      <c r="BL3555">
        <v>425</v>
      </c>
      <c r="BM3555" t="s">
        <v>119</v>
      </c>
      <c r="BN3555">
        <v>1</v>
      </c>
      <c r="BO3555">
        <v>1</v>
      </c>
      <c r="BP3555">
        <v>1</v>
      </c>
      <c r="BQ3555">
        <v>0</v>
      </c>
      <c r="BT3555">
        <v>0</v>
      </c>
      <c r="BU3555">
        <v>0</v>
      </c>
      <c r="BV3555">
        <v>0</v>
      </c>
      <c r="CC3555" t="str">
        <f>"19:34:12.250"</f>
        <v>19:34:12.250</v>
      </c>
      <c r="CD3555" t="str">
        <f>"247067735"</f>
        <v>247067735</v>
      </c>
      <c r="CQ3555">
        <v>0</v>
      </c>
      <c r="CR3555">
        <v>2</v>
      </c>
      <c r="CS3555">
        <v>0</v>
      </c>
      <c r="CT3555">
        <v>2</v>
      </c>
      <c r="CU3555">
        <v>0</v>
      </c>
      <c r="CV3555">
        <v>5</v>
      </c>
      <c r="CW3555" t="s">
        <v>120</v>
      </c>
      <c r="CX3555">
        <v>257</v>
      </c>
      <c r="CY3555">
        <v>0</v>
      </c>
      <c r="CZ3555" t="s">
        <v>615</v>
      </c>
      <c r="DA3555" t="s">
        <v>616</v>
      </c>
      <c r="DD3555">
        <v>16477531</v>
      </c>
      <c r="DE3555" t="s">
        <v>123</v>
      </c>
    </row>
    <row r="3556" spans="1:109" x14ac:dyDescent="0.3">
      <c r="A3556" t="str">
        <f>"19:34:13.563"</f>
        <v>19:34:13.563</v>
      </c>
      <c r="B3556" t="s">
        <v>110</v>
      </c>
      <c r="C3556" t="str">
        <f t="shared" si="165"/>
        <v>ffdfd3c0</v>
      </c>
      <c r="D3556" t="s">
        <v>111</v>
      </c>
      <c r="E3556">
        <v>18</v>
      </c>
      <c r="F3556">
        <v>1018</v>
      </c>
      <c r="G3556" t="s">
        <v>112</v>
      </c>
      <c r="J3556" t="s">
        <v>113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R3556" t="s">
        <v>114</v>
      </c>
      <c r="S3556" t="str">
        <f>"19:34:13.320"</f>
        <v>19:34:13.320</v>
      </c>
      <c r="T3556" t="str">
        <f>"19:34:13.219"</f>
        <v>19:34:13.219</v>
      </c>
      <c r="U3556" t="str">
        <f t="shared" si="166"/>
        <v>a1cdbe</v>
      </c>
      <c r="V3556">
        <v>0</v>
      </c>
      <c r="W3556">
        <v>0</v>
      </c>
      <c r="X3556">
        <v>2</v>
      </c>
      <c r="Y3556">
        <v>0</v>
      </c>
      <c r="Z3556">
        <v>0</v>
      </c>
      <c r="AB3556">
        <v>0</v>
      </c>
      <c r="AC3556">
        <v>9</v>
      </c>
      <c r="AD3556">
        <v>3</v>
      </c>
      <c r="AE3556">
        <v>0</v>
      </c>
      <c r="AF3556">
        <v>9</v>
      </c>
      <c r="AG3556" t="s">
        <v>158</v>
      </c>
      <c r="AH3556">
        <v>0</v>
      </c>
      <c r="AI3556">
        <v>3</v>
      </c>
      <c r="AJ3556">
        <v>1</v>
      </c>
      <c r="AK3556">
        <v>0</v>
      </c>
      <c r="AL3556" t="s">
        <v>6694</v>
      </c>
      <c r="AM3556">
        <v>47.021290999999998</v>
      </c>
      <c r="AN3556" t="s">
        <v>6695</v>
      </c>
      <c r="AO3556">
        <v>-123.813729</v>
      </c>
      <c r="AP3556">
        <v>100</v>
      </c>
      <c r="AQ3556">
        <v>2100</v>
      </c>
      <c r="AR3556" t="s">
        <v>118</v>
      </c>
      <c r="AS3556">
        <v>-77</v>
      </c>
      <c r="AT3556">
        <v>20</v>
      </c>
      <c r="AU3556">
        <v>0</v>
      </c>
      <c r="BC3556">
        <v>1200</v>
      </c>
      <c r="BD3556">
        <v>1</v>
      </c>
      <c r="BE3556" t="str">
        <f t="shared" si="167"/>
        <v xml:space="preserve">N215T   </v>
      </c>
      <c r="BF3556">
        <v>1</v>
      </c>
      <c r="BH3556">
        <v>0</v>
      </c>
      <c r="BI3556">
        <v>0</v>
      </c>
      <c r="BJ3556">
        <v>0</v>
      </c>
      <c r="BK3556">
        <v>2525</v>
      </c>
      <c r="BL3556">
        <v>425</v>
      </c>
      <c r="BM3556" t="s">
        <v>119</v>
      </c>
      <c r="BN3556">
        <v>1</v>
      </c>
      <c r="BO3556">
        <v>1</v>
      </c>
      <c r="BP3556">
        <v>1</v>
      </c>
      <c r="BQ3556">
        <v>0</v>
      </c>
      <c r="BT3556">
        <v>0</v>
      </c>
      <c r="BU3556">
        <v>0</v>
      </c>
      <c r="BV3556">
        <v>0</v>
      </c>
      <c r="CC3556" t="str">
        <f>"19:34:13.328"</f>
        <v>19:34:13.328</v>
      </c>
      <c r="CD3556" t="str">
        <f>"326961361"</f>
        <v>326961361</v>
      </c>
      <c r="CQ3556">
        <v>0</v>
      </c>
      <c r="CR3556">
        <v>2</v>
      </c>
      <c r="CS3556">
        <v>0</v>
      </c>
      <c r="CT3556">
        <v>2</v>
      </c>
      <c r="CU3556">
        <v>0</v>
      </c>
      <c r="CV3556">
        <v>5</v>
      </c>
      <c r="CW3556" t="s">
        <v>120</v>
      </c>
      <c r="CX3556">
        <v>257</v>
      </c>
      <c r="CY3556">
        <v>0</v>
      </c>
      <c r="CZ3556" t="s">
        <v>615</v>
      </c>
      <c r="DA3556" t="s">
        <v>616</v>
      </c>
      <c r="DD3556">
        <v>16477975</v>
      </c>
      <c r="DE3556" t="s">
        <v>123</v>
      </c>
    </row>
    <row r="3557" spans="1:109" x14ac:dyDescent="0.3">
      <c r="A3557" t="str">
        <f>"19:34:14.719"</f>
        <v>19:34:14.719</v>
      </c>
      <c r="B3557" t="s">
        <v>110</v>
      </c>
      <c r="C3557" t="str">
        <f t="shared" si="165"/>
        <v>ffdfd3c0</v>
      </c>
      <c r="D3557" t="s">
        <v>111</v>
      </c>
      <c r="E3557">
        <v>18</v>
      </c>
      <c r="F3557">
        <v>1018</v>
      </c>
      <c r="G3557" t="s">
        <v>112</v>
      </c>
      <c r="J3557" t="s">
        <v>113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R3557" t="s">
        <v>114</v>
      </c>
      <c r="S3557" t="str">
        <f>"19:34:14.445"</f>
        <v>19:34:14.445</v>
      </c>
      <c r="T3557" t="str">
        <f>"19:34:14.148"</f>
        <v>19:34:14.148</v>
      </c>
      <c r="U3557" t="str">
        <f t="shared" si="166"/>
        <v>a1cdbe</v>
      </c>
      <c r="V3557">
        <v>0</v>
      </c>
      <c r="W3557">
        <v>0</v>
      </c>
      <c r="X3557">
        <v>2</v>
      </c>
      <c r="Y3557">
        <v>0</v>
      </c>
      <c r="Z3557">
        <v>0</v>
      </c>
      <c r="AB3557">
        <v>0</v>
      </c>
      <c r="AC3557">
        <v>9</v>
      </c>
      <c r="AD3557">
        <v>3</v>
      </c>
      <c r="AE3557">
        <v>0</v>
      </c>
      <c r="AF3557">
        <v>9</v>
      </c>
      <c r="AG3557" t="s">
        <v>158</v>
      </c>
      <c r="AH3557">
        <v>0</v>
      </c>
      <c r="AI3557">
        <v>3</v>
      </c>
      <c r="AJ3557">
        <v>1</v>
      </c>
      <c r="AK3557">
        <v>0</v>
      </c>
      <c r="AL3557" t="s">
        <v>701</v>
      </c>
      <c r="AM3557">
        <v>47.021399000000002</v>
      </c>
      <c r="AN3557" t="s">
        <v>6696</v>
      </c>
      <c r="AO3557">
        <v>-123.814266</v>
      </c>
      <c r="AP3557">
        <v>100</v>
      </c>
      <c r="AQ3557">
        <v>2100</v>
      </c>
      <c r="AR3557" t="s">
        <v>118</v>
      </c>
      <c r="AS3557">
        <v>-77</v>
      </c>
      <c r="AT3557">
        <v>20</v>
      </c>
      <c r="AU3557">
        <v>0</v>
      </c>
      <c r="BC3557">
        <v>1200</v>
      </c>
      <c r="BD3557">
        <v>1</v>
      </c>
      <c r="BE3557" t="str">
        <f t="shared" si="167"/>
        <v xml:space="preserve">N215T   </v>
      </c>
      <c r="BF3557">
        <v>1</v>
      </c>
      <c r="BH3557">
        <v>0</v>
      </c>
      <c r="BI3557">
        <v>0</v>
      </c>
      <c r="BJ3557">
        <v>0</v>
      </c>
      <c r="BK3557">
        <v>2525</v>
      </c>
      <c r="BL3557">
        <v>425</v>
      </c>
      <c r="BM3557" t="s">
        <v>119</v>
      </c>
      <c r="BN3557">
        <v>1</v>
      </c>
      <c r="BO3557">
        <v>1</v>
      </c>
      <c r="BP3557">
        <v>1</v>
      </c>
      <c r="BQ3557">
        <v>0</v>
      </c>
      <c r="BT3557">
        <v>0</v>
      </c>
      <c r="BU3557">
        <v>0</v>
      </c>
      <c r="BV3557">
        <v>0</v>
      </c>
      <c r="CC3557" t="str">
        <f>"19:34:14.453"</f>
        <v>19:34:14.453</v>
      </c>
      <c r="CD3557" t="str">
        <f>"451850542"</f>
        <v>451850542</v>
      </c>
      <c r="CQ3557">
        <v>0</v>
      </c>
      <c r="CR3557">
        <v>2</v>
      </c>
      <c r="CS3557">
        <v>0</v>
      </c>
      <c r="CT3557">
        <v>2</v>
      </c>
      <c r="CU3557">
        <v>0</v>
      </c>
      <c r="CV3557">
        <v>4</v>
      </c>
      <c r="CW3557" t="s">
        <v>120</v>
      </c>
      <c r="CX3557">
        <v>257</v>
      </c>
      <c r="CY3557">
        <v>0</v>
      </c>
      <c r="CZ3557" t="s">
        <v>615</v>
      </c>
      <c r="DA3557" t="s">
        <v>616</v>
      </c>
      <c r="DD3557">
        <v>16478423</v>
      </c>
      <c r="DE3557" t="s">
        <v>123</v>
      </c>
    </row>
    <row r="3558" spans="1:109" x14ac:dyDescent="0.3">
      <c r="A3558" t="str">
        <f>"19:34:15.672"</f>
        <v>19:34:15.672</v>
      </c>
      <c r="B3558" t="s">
        <v>110</v>
      </c>
      <c r="C3558" t="str">
        <f t="shared" si="165"/>
        <v>ffdfd3c0</v>
      </c>
      <c r="D3558" t="s">
        <v>111</v>
      </c>
      <c r="E3558">
        <v>18</v>
      </c>
      <c r="F3558">
        <v>1018</v>
      </c>
      <c r="G3558" t="s">
        <v>112</v>
      </c>
      <c r="J3558" t="s">
        <v>113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R3558" t="s">
        <v>114</v>
      </c>
      <c r="S3558" t="str">
        <f>"19:34:15.453"</f>
        <v>19:34:15.453</v>
      </c>
      <c r="T3558" t="str">
        <f>"19:34:15.156"</f>
        <v>19:34:15.156</v>
      </c>
      <c r="U3558" t="str">
        <f t="shared" si="166"/>
        <v>a1cdbe</v>
      </c>
      <c r="V3558">
        <v>0</v>
      </c>
      <c r="W3558">
        <v>0</v>
      </c>
      <c r="X3558">
        <v>2</v>
      </c>
      <c r="Y3558">
        <v>0</v>
      </c>
      <c r="Z3558">
        <v>0</v>
      </c>
      <c r="AB3558">
        <v>0</v>
      </c>
      <c r="AC3558">
        <v>9</v>
      </c>
      <c r="AD3558">
        <v>3</v>
      </c>
      <c r="AE3558">
        <v>0</v>
      </c>
      <c r="AF3558">
        <v>9</v>
      </c>
      <c r="AG3558" t="s">
        <v>158</v>
      </c>
      <c r="AH3558">
        <v>0</v>
      </c>
      <c r="AI3558">
        <v>3</v>
      </c>
      <c r="AJ3558">
        <v>1</v>
      </c>
      <c r="AK3558">
        <v>0</v>
      </c>
      <c r="AL3558" t="s">
        <v>6697</v>
      </c>
      <c r="AM3558">
        <v>47.021484000000001</v>
      </c>
      <c r="AN3558" t="s">
        <v>6698</v>
      </c>
      <c r="AO3558">
        <v>-123.814781</v>
      </c>
      <c r="AP3558">
        <v>100</v>
      </c>
      <c r="AQ3558">
        <v>2100</v>
      </c>
      <c r="AR3558" t="s">
        <v>118</v>
      </c>
      <c r="AS3558">
        <v>-77</v>
      </c>
      <c r="AT3558">
        <v>20</v>
      </c>
      <c r="AU3558">
        <v>0</v>
      </c>
      <c r="BC3558">
        <v>1200</v>
      </c>
      <c r="BD3558">
        <v>1</v>
      </c>
      <c r="BE3558" t="str">
        <f t="shared" si="167"/>
        <v xml:space="preserve">N215T   </v>
      </c>
      <c r="BF3558">
        <v>1</v>
      </c>
      <c r="BH3558">
        <v>0</v>
      </c>
      <c r="BI3558">
        <v>0</v>
      </c>
      <c r="BJ3558">
        <v>0</v>
      </c>
      <c r="BK3558">
        <v>2525</v>
      </c>
      <c r="BL3558">
        <v>425</v>
      </c>
      <c r="BM3558" t="s">
        <v>119</v>
      </c>
      <c r="BN3558">
        <v>1</v>
      </c>
      <c r="BO3558">
        <v>1</v>
      </c>
      <c r="BP3558">
        <v>1</v>
      </c>
      <c r="BQ3558">
        <v>0</v>
      </c>
      <c r="BT3558">
        <v>0</v>
      </c>
      <c r="BU3558">
        <v>0</v>
      </c>
      <c r="BV3558">
        <v>0</v>
      </c>
      <c r="CC3558" t="str">
        <f>"19:34:15.453"</f>
        <v>19:34:15.453</v>
      </c>
      <c r="CD3558" t="str">
        <f>"456751538"</f>
        <v>456751538</v>
      </c>
      <c r="CQ3558">
        <v>0</v>
      </c>
      <c r="CR3558">
        <v>2</v>
      </c>
      <c r="CS3558">
        <v>0</v>
      </c>
      <c r="CT3558">
        <v>2</v>
      </c>
      <c r="CU3558">
        <v>0</v>
      </c>
      <c r="CV3558">
        <v>4</v>
      </c>
      <c r="CW3558" t="s">
        <v>120</v>
      </c>
      <c r="CX3558">
        <v>257</v>
      </c>
      <c r="CY3558">
        <v>0</v>
      </c>
      <c r="CZ3558" t="s">
        <v>615</v>
      </c>
      <c r="DA3558" t="s">
        <v>616</v>
      </c>
      <c r="DD3558">
        <v>16478805</v>
      </c>
      <c r="DE3558" t="s">
        <v>123</v>
      </c>
    </row>
    <row r="3559" spans="1:109" x14ac:dyDescent="0.3">
      <c r="A3559" t="str">
        <f>"19:34:16.625"</f>
        <v>19:34:16.625</v>
      </c>
      <c r="B3559" t="s">
        <v>110</v>
      </c>
      <c r="C3559" t="str">
        <f t="shared" si="165"/>
        <v>ffdfd3c0</v>
      </c>
      <c r="D3559" t="s">
        <v>111</v>
      </c>
      <c r="E3559">
        <v>18</v>
      </c>
      <c r="F3559">
        <v>1018</v>
      </c>
      <c r="G3559" t="s">
        <v>112</v>
      </c>
      <c r="J3559" t="s">
        <v>113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R3559" t="s">
        <v>114</v>
      </c>
      <c r="S3559" t="str">
        <f>"19:34:16.383"</f>
        <v>19:34:16.383</v>
      </c>
      <c r="T3559" t="str">
        <f>"19:34:16.281"</f>
        <v>19:34:16.281</v>
      </c>
      <c r="U3559" t="str">
        <f t="shared" si="166"/>
        <v>a1cdbe</v>
      </c>
      <c r="V3559">
        <v>0</v>
      </c>
      <c r="W3559">
        <v>0</v>
      </c>
      <c r="X3559">
        <v>2</v>
      </c>
      <c r="Y3559">
        <v>0</v>
      </c>
      <c r="Z3559">
        <v>0</v>
      </c>
      <c r="AB3559">
        <v>0</v>
      </c>
      <c r="AC3559">
        <v>9</v>
      </c>
      <c r="AD3559">
        <v>3</v>
      </c>
      <c r="AE3559">
        <v>0</v>
      </c>
      <c r="AF3559">
        <v>9</v>
      </c>
      <c r="AG3559" t="s">
        <v>158</v>
      </c>
      <c r="AH3559">
        <v>0</v>
      </c>
      <c r="AI3559">
        <v>3</v>
      </c>
      <c r="AJ3559">
        <v>1</v>
      </c>
      <c r="AK3559">
        <v>0</v>
      </c>
      <c r="AL3559" t="s">
        <v>6699</v>
      </c>
      <c r="AM3559">
        <v>47.021569999999997</v>
      </c>
      <c r="AN3559" t="s">
        <v>6700</v>
      </c>
      <c r="AO3559">
        <v>-123.815296</v>
      </c>
      <c r="AP3559">
        <v>100</v>
      </c>
      <c r="AQ3559">
        <v>2100</v>
      </c>
      <c r="AR3559" t="s">
        <v>118</v>
      </c>
      <c r="AS3559">
        <v>-77</v>
      </c>
      <c r="AT3559">
        <v>20</v>
      </c>
      <c r="AU3559">
        <v>0</v>
      </c>
      <c r="BC3559">
        <v>1200</v>
      </c>
      <c r="BD3559">
        <v>1</v>
      </c>
      <c r="BE3559" t="str">
        <f t="shared" si="167"/>
        <v xml:space="preserve">N215T   </v>
      </c>
      <c r="BF3559">
        <v>1</v>
      </c>
      <c r="BH3559">
        <v>0</v>
      </c>
      <c r="BI3559">
        <v>0</v>
      </c>
      <c r="BJ3559">
        <v>0</v>
      </c>
      <c r="BK3559">
        <v>2525</v>
      </c>
      <c r="BL3559">
        <v>425</v>
      </c>
      <c r="BM3559" t="s">
        <v>119</v>
      </c>
      <c r="BN3559">
        <v>1</v>
      </c>
      <c r="BO3559">
        <v>1</v>
      </c>
      <c r="BP3559">
        <v>1</v>
      </c>
      <c r="BQ3559">
        <v>0</v>
      </c>
      <c r="BT3559">
        <v>0</v>
      </c>
      <c r="BU3559">
        <v>0</v>
      </c>
      <c r="BV3559">
        <v>0</v>
      </c>
      <c r="CC3559" t="str">
        <f>"19:34:16.383"</f>
        <v>19:34:16.383</v>
      </c>
      <c r="CD3559" t="str">
        <f>"386659914"</f>
        <v>386659914</v>
      </c>
      <c r="CQ3559">
        <v>0</v>
      </c>
      <c r="CR3559">
        <v>2</v>
      </c>
      <c r="CS3559">
        <v>0</v>
      </c>
      <c r="CT3559">
        <v>2</v>
      </c>
      <c r="CU3559">
        <v>0</v>
      </c>
      <c r="CV3559">
        <v>5</v>
      </c>
      <c r="CW3559" t="s">
        <v>120</v>
      </c>
      <c r="CX3559">
        <v>257</v>
      </c>
      <c r="CY3559">
        <v>0</v>
      </c>
      <c r="CZ3559" t="s">
        <v>615</v>
      </c>
      <c r="DA3559" t="s">
        <v>616</v>
      </c>
      <c r="DD3559">
        <v>16479176</v>
      </c>
      <c r="DE3559" t="s">
        <v>123</v>
      </c>
    </row>
    <row r="3560" spans="1:109" x14ac:dyDescent="0.3">
      <c r="A3560" t="str">
        <f>"19:34:17.484"</f>
        <v>19:34:17.484</v>
      </c>
      <c r="B3560" t="s">
        <v>110</v>
      </c>
      <c r="C3560" t="str">
        <f t="shared" si="165"/>
        <v>ffdfd3c0</v>
      </c>
      <c r="D3560" t="s">
        <v>111</v>
      </c>
      <c r="E3560">
        <v>18</v>
      </c>
      <c r="F3560">
        <v>1018</v>
      </c>
      <c r="G3560" t="s">
        <v>112</v>
      </c>
      <c r="J3560" t="s">
        <v>113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R3560" t="s">
        <v>114</v>
      </c>
      <c r="S3560" t="str">
        <f>"19:34:17.250"</f>
        <v>19:34:17.250</v>
      </c>
      <c r="T3560" t="str">
        <f>"19:34:16.852"</f>
        <v>19:34:16.852</v>
      </c>
      <c r="U3560" t="str">
        <f t="shared" si="166"/>
        <v>a1cdbe</v>
      </c>
      <c r="V3560">
        <v>0</v>
      </c>
      <c r="W3560">
        <v>0</v>
      </c>
      <c r="X3560">
        <v>2</v>
      </c>
      <c r="Y3560">
        <v>0</v>
      </c>
      <c r="Z3560">
        <v>0</v>
      </c>
      <c r="AB3560">
        <v>0</v>
      </c>
      <c r="AC3560">
        <v>9</v>
      </c>
      <c r="AD3560">
        <v>3</v>
      </c>
      <c r="AE3560">
        <v>0</v>
      </c>
      <c r="AF3560">
        <v>9</v>
      </c>
      <c r="AG3560" t="s">
        <v>158</v>
      </c>
      <c r="AH3560">
        <v>0</v>
      </c>
      <c r="AI3560">
        <v>3</v>
      </c>
      <c r="AJ3560">
        <v>1</v>
      </c>
      <c r="AK3560">
        <v>0</v>
      </c>
      <c r="AL3560" t="s">
        <v>6701</v>
      </c>
      <c r="AM3560">
        <v>47.021613000000002</v>
      </c>
      <c r="AN3560" t="s">
        <v>6702</v>
      </c>
      <c r="AO3560">
        <v>-123.815789</v>
      </c>
      <c r="AP3560">
        <v>100</v>
      </c>
      <c r="AQ3560">
        <v>2100</v>
      </c>
      <c r="AR3560" t="s">
        <v>118</v>
      </c>
      <c r="AS3560">
        <v>-77</v>
      </c>
      <c r="AT3560">
        <v>20</v>
      </c>
      <c r="AU3560">
        <v>0</v>
      </c>
      <c r="BC3560">
        <v>1200</v>
      </c>
      <c r="BD3560">
        <v>1</v>
      </c>
      <c r="BE3560" t="str">
        <f t="shared" si="167"/>
        <v xml:space="preserve">N215T   </v>
      </c>
      <c r="BF3560">
        <v>1</v>
      </c>
      <c r="BH3560">
        <v>0</v>
      </c>
      <c r="BI3560">
        <v>0</v>
      </c>
      <c r="BJ3560">
        <v>0</v>
      </c>
      <c r="BK3560">
        <v>2525</v>
      </c>
      <c r="BL3560">
        <v>425</v>
      </c>
      <c r="BM3560" t="s">
        <v>119</v>
      </c>
      <c r="BN3560">
        <v>1</v>
      </c>
      <c r="BO3560">
        <v>1</v>
      </c>
      <c r="BP3560">
        <v>1</v>
      </c>
      <c r="BQ3560">
        <v>0</v>
      </c>
      <c r="BT3560">
        <v>0</v>
      </c>
      <c r="BU3560">
        <v>0</v>
      </c>
      <c r="BV3560">
        <v>0</v>
      </c>
      <c r="CC3560" t="str">
        <f>"19:34:17.258"</f>
        <v>19:34:17.258</v>
      </c>
      <c r="CD3560" t="str">
        <f>"256574220"</f>
        <v>256574220</v>
      </c>
      <c r="CQ3560">
        <v>0</v>
      </c>
      <c r="CR3560">
        <v>2</v>
      </c>
      <c r="CS3560">
        <v>0</v>
      </c>
      <c r="CT3560">
        <v>2</v>
      </c>
      <c r="CU3560">
        <v>0</v>
      </c>
      <c r="CV3560">
        <v>4</v>
      </c>
      <c r="CW3560" t="s">
        <v>120</v>
      </c>
      <c r="CX3560">
        <v>257</v>
      </c>
      <c r="CY3560">
        <v>0</v>
      </c>
      <c r="CZ3560" t="s">
        <v>615</v>
      </c>
      <c r="DA3560" t="s">
        <v>616</v>
      </c>
      <c r="DD3560">
        <v>16479486</v>
      </c>
      <c r="DE3560" t="s">
        <v>123</v>
      </c>
    </row>
    <row r="3561" spans="1:109" x14ac:dyDescent="0.3">
      <c r="A3561" t="str">
        <f>"19:34:18.438"</f>
        <v>19:34:18.438</v>
      </c>
      <c r="B3561" t="s">
        <v>110</v>
      </c>
      <c r="C3561" t="str">
        <f t="shared" si="165"/>
        <v>ffdfd3c0</v>
      </c>
      <c r="D3561" t="s">
        <v>111</v>
      </c>
      <c r="E3561">
        <v>18</v>
      </c>
      <c r="F3561">
        <v>1018</v>
      </c>
      <c r="G3561" t="s">
        <v>112</v>
      </c>
      <c r="J3561" t="s">
        <v>113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R3561" t="s">
        <v>114</v>
      </c>
      <c r="S3561" t="str">
        <f>"19:34:18.195"</f>
        <v>19:34:18.195</v>
      </c>
      <c r="T3561" t="str">
        <f>"19:34:17.797"</f>
        <v>19:34:17.797</v>
      </c>
      <c r="U3561" t="str">
        <f t="shared" si="166"/>
        <v>a1cdbe</v>
      </c>
      <c r="V3561">
        <v>0</v>
      </c>
      <c r="W3561">
        <v>0</v>
      </c>
      <c r="X3561">
        <v>2</v>
      </c>
      <c r="Y3561">
        <v>0</v>
      </c>
      <c r="Z3561">
        <v>0</v>
      </c>
      <c r="AB3561">
        <v>0</v>
      </c>
      <c r="AC3561">
        <v>9</v>
      </c>
      <c r="AD3561">
        <v>3</v>
      </c>
      <c r="AE3561">
        <v>0</v>
      </c>
      <c r="AF3561">
        <v>9</v>
      </c>
      <c r="AG3561" t="s">
        <v>158</v>
      </c>
      <c r="AH3561">
        <v>0</v>
      </c>
      <c r="AI3561">
        <v>3</v>
      </c>
      <c r="AJ3561">
        <v>1</v>
      </c>
      <c r="AK3561">
        <v>0</v>
      </c>
      <c r="AL3561" t="s">
        <v>699</v>
      </c>
      <c r="AM3561">
        <v>47.021720000000002</v>
      </c>
      <c r="AN3561" t="s">
        <v>6703</v>
      </c>
      <c r="AO3561">
        <v>-123.816261</v>
      </c>
      <c r="AP3561">
        <v>100</v>
      </c>
      <c r="AQ3561">
        <v>2100</v>
      </c>
      <c r="AR3561" t="s">
        <v>118</v>
      </c>
      <c r="AS3561">
        <v>-77</v>
      </c>
      <c r="AT3561">
        <v>20</v>
      </c>
      <c r="AU3561">
        <v>64</v>
      </c>
      <c r="BC3561">
        <v>1200</v>
      </c>
      <c r="BD3561">
        <v>1</v>
      </c>
      <c r="BE3561" t="str">
        <f t="shared" si="167"/>
        <v xml:space="preserve">N215T   </v>
      </c>
      <c r="BF3561">
        <v>1</v>
      </c>
      <c r="BH3561">
        <v>0</v>
      </c>
      <c r="BI3561">
        <v>0</v>
      </c>
      <c r="BJ3561">
        <v>0</v>
      </c>
      <c r="BK3561">
        <v>2525</v>
      </c>
      <c r="BL3561">
        <v>425</v>
      </c>
      <c r="BM3561" t="s">
        <v>119</v>
      </c>
      <c r="BN3561">
        <v>1</v>
      </c>
      <c r="BO3561">
        <v>1</v>
      </c>
      <c r="BP3561">
        <v>1</v>
      </c>
      <c r="BQ3561">
        <v>0</v>
      </c>
      <c r="BT3561">
        <v>0</v>
      </c>
      <c r="BU3561">
        <v>0</v>
      </c>
      <c r="BV3561">
        <v>0</v>
      </c>
      <c r="CC3561" t="str">
        <f>"19:34:18.203"</f>
        <v>19:34:18.203</v>
      </c>
      <c r="CD3561" t="str">
        <f>"201481131"</f>
        <v>201481131</v>
      </c>
      <c r="CQ3561">
        <v>0</v>
      </c>
      <c r="CR3561">
        <v>2</v>
      </c>
      <c r="CS3561">
        <v>0</v>
      </c>
      <c r="CT3561">
        <v>2</v>
      </c>
      <c r="CU3561">
        <v>0</v>
      </c>
      <c r="CV3561">
        <v>1</v>
      </c>
      <c r="CW3561" t="s">
        <v>120</v>
      </c>
      <c r="CX3561">
        <v>257</v>
      </c>
      <c r="CY3561">
        <v>3</v>
      </c>
      <c r="CZ3561" t="s">
        <v>615</v>
      </c>
      <c r="DA3561" t="s">
        <v>616</v>
      </c>
      <c r="DD3561">
        <v>9347810</v>
      </c>
      <c r="DE3561" t="s">
        <v>123</v>
      </c>
    </row>
    <row r="3562" spans="1:109" x14ac:dyDescent="0.3">
      <c r="A3562" t="str">
        <f>"19:34:19.547"</f>
        <v>19:34:19.547</v>
      </c>
      <c r="B3562" t="s">
        <v>110</v>
      </c>
      <c r="C3562" t="str">
        <f t="shared" si="165"/>
        <v>ffdfd3c0</v>
      </c>
      <c r="D3562" t="s">
        <v>111</v>
      </c>
      <c r="E3562">
        <v>18</v>
      </c>
      <c r="F3562">
        <v>1018</v>
      </c>
      <c r="G3562" t="s">
        <v>112</v>
      </c>
      <c r="J3562" t="s">
        <v>113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R3562" t="s">
        <v>114</v>
      </c>
      <c r="S3562" t="str">
        <f>"19:34:19.289"</f>
        <v>19:34:19.289</v>
      </c>
      <c r="T3562" t="str">
        <f>"19:34:18.789"</f>
        <v>19:34:18.789</v>
      </c>
      <c r="U3562" t="str">
        <f t="shared" si="166"/>
        <v>a1cdbe</v>
      </c>
      <c r="V3562">
        <v>0</v>
      </c>
      <c r="W3562">
        <v>0</v>
      </c>
      <c r="X3562">
        <v>2</v>
      </c>
      <c r="Y3562">
        <v>0</v>
      </c>
      <c r="Z3562">
        <v>0</v>
      </c>
      <c r="AB3562">
        <v>0</v>
      </c>
      <c r="AC3562">
        <v>9</v>
      </c>
      <c r="AD3562">
        <v>3</v>
      </c>
      <c r="AE3562">
        <v>0</v>
      </c>
      <c r="AF3562">
        <v>9</v>
      </c>
      <c r="AG3562" t="s">
        <v>158</v>
      </c>
      <c r="AH3562">
        <v>0</v>
      </c>
      <c r="AI3562">
        <v>3</v>
      </c>
      <c r="AJ3562">
        <v>1</v>
      </c>
      <c r="AK3562">
        <v>0</v>
      </c>
      <c r="AL3562" t="s">
        <v>6704</v>
      </c>
      <c r="AM3562">
        <v>47.021805999999998</v>
      </c>
      <c r="AN3562" t="s">
        <v>6705</v>
      </c>
      <c r="AO3562">
        <v>-123.816819</v>
      </c>
      <c r="AP3562">
        <v>100</v>
      </c>
      <c r="AQ3562">
        <v>2100</v>
      </c>
      <c r="AR3562" t="s">
        <v>118</v>
      </c>
      <c r="AS3562">
        <v>-77</v>
      </c>
      <c r="AT3562">
        <v>21</v>
      </c>
      <c r="AU3562">
        <v>64</v>
      </c>
      <c r="BC3562">
        <v>1200</v>
      </c>
      <c r="BD3562">
        <v>1</v>
      </c>
      <c r="BE3562" t="str">
        <f t="shared" si="167"/>
        <v xml:space="preserve">N215T   </v>
      </c>
      <c r="BF3562">
        <v>1</v>
      </c>
      <c r="BH3562">
        <v>0</v>
      </c>
      <c r="BI3562">
        <v>0</v>
      </c>
      <c r="BJ3562">
        <v>0</v>
      </c>
      <c r="BK3562">
        <v>2525</v>
      </c>
      <c r="BL3562">
        <v>425</v>
      </c>
      <c r="BM3562" t="s">
        <v>119</v>
      </c>
      <c r="BN3562">
        <v>1</v>
      </c>
      <c r="BO3562">
        <v>1</v>
      </c>
      <c r="BP3562">
        <v>1</v>
      </c>
      <c r="BQ3562">
        <v>0</v>
      </c>
      <c r="BT3562">
        <v>0</v>
      </c>
      <c r="BU3562">
        <v>0</v>
      </c>
      <c r="BV3562">
        <v>0</v>
      </c>
      <c r="CC3562" t="str">
        <f>"19:34:19.297"</f>
        <v>19:34:19.297</v>
      </c>
      <c r="CD3562" t="str">
        <f>"296373256"</f>
        <v>296373256</v>
      </c>
      <c r="CQ3562">
        <v>0</v>
      </c>
      <c r="CR3562">
        <v>2</v>
      </c>
      <c r="CS3562">
        <v>0</v>
      </c>
      <c r="CT3562">
        <v>2</v>
      </c>
      <c r="CU3562">
        <v>0</v>
      </c>
      <c r="CV3562">
        <v>4</v>
      </c>
      <c r="CW3562" t="s">
        <v>120</v>
      </c>
      <c r="CX3562">
        <v>257</v>
      </c>
      <c r="CY3562">
        <v>0</v>
      </c>
      <c r="CZ3562" t="s">
        <v>615</v>
      </c>
      <c r="DA3562" t="s">
        <v>616</v>
      </c>
      <c r="DD3562">
        <v>16480272</v>
      </c>
      <c r="DE3562" t="s">
        <v>123</v>
      </c>
    </row>
    <row r="3563" spans="1:109" x14ac:dyDescent="0.3">
      <c r="A3563" t="str">
        <f>"19:34:20.445"</f>
        <v>19:34:20.445</v>
      </c>
      <c r="B3563" t="s">
        <v>110</v>
      </c>
      <c r="C3563" t="str">
        <f t="shared" si="165"/>
        <v>ffdfd3c0</v>
      </c>
      <c r="D3563" t="s">
        <v>111</v>
      </c>
      <c r="E3563">
        <v>18</v>
      </c>
      <c r="F3563">
        <v>1018</v>
      </c>
      <c r="G3563" t="s">
        <v>112</v>
      </c>
      <c r="J3563" t="s">
        <v>113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R3563" t="s">
        <v>114</v>
      </c>
      <c r="S3563" t="str">
        <f>"19:34:20.234"</f>
        <v>19:34:20.234</v>
      </c>
      <c r="T3563" t="str">
        <f>"19:34:19.836"</f>
        <v>19:34:19.836</v>
      </c>
      <c r="U3563" t="str">
        <f t="shared" si="166"/>
        <v>a1cdbe</v>
      </c>
      <c r="V3563">
        <v>0</v>
      </c>
      <c r="W3563">
        <v>0</v>
      </c>
      <c r="X3563">
        <v>2</v>
      </c>
      <c r="Y3563">
        <v>0</v>
      </c>
      <c r="Z3563">
        <v>0</v>
      </c>
      <c r="AB3563">
        <v>0</v>
      </c>
      <c r="AC3563">
        <v>9</v>
      </c>
      <c r="AD3563">
        <v>3</v>
      </c>
      <c r="AE3563">
        <v>0</v>
      </c>
      <c r="AF3563">
        <v>9</v>
      </c>
      <c r="AG3563" t="s">
        <v>158</v>
      </c>
      <c r="AH3563">
        <v>0</v>
      </c>
      <c r="AI3563">
        <v>3</v>
      </c>
      <c r="AJ3563">
        <v>1</v>
      </c>
      <c r="AK3563">
        <v>0</v>
      </c>
      <c r="AL3563" t="s">
        <v>6706</v>
      </c>
      <c r="AM3563">
        <v>47.021914000000002</v>
      </c>
      <c r="AN3563" t="s">
        <v>6707</v>
      </c>
      <c r="AO3563">
        <v>-123.81724800000001</v>
      </c>
      <c r="AP3563">
        <v>100</v>
      </c>
      <c r="AQ3563">
        <v>2100</v>
      </c>
      <c r="AR3563" t="s">
        <v>118</v>
      </c>
      <c r="AS3563">
        <v>-76</v>
      </c>
      <c r="AT3563">
        <v>20</v>
      </c>
      <c r="AU3563">
        <v>64</v>
      </c>
      <c r="BC3563">
        <v>1200</v>
      </c>
      <c r="BD3563">
        <v>1</v>
      </c>
      <c r="BE3563" t="str">
        <f t="shared" si="167"/>
        <v xml:space="preserve">N215T   </v>
      </c>
      <c r="BF3563">
        <v>1</v>
      </c>
      <c r="BH3563">
        <v>0</v>
      </c>
      <c r="BI3563">
        <v>0</v>
      </c>
      <c r="BJ3563">
        <v>0</v>
      </c>
      <c r="BK3563">
        <v>2525</v>
      </c>
      <c r="BL3563">
        <v>425</v>
      </c>
      <c r="BM3563" t="s">
        <v>119</v>
      </c>
      <c r="BN3563">
        <v>1</v>
      </c>
      <c r="BO3563">
        <v>1</v>
      </c>
      <c r="BP3563">
        <v>1</v>
      </c>
      <c r="BQ3563">
        <v>0</v>
      </c>
      <c r="BT3563">
        <v>0</v>
      </c>
      <c r="BU3563">
        <v>0</v>
      </c>
      <c r="BV3563">
        <v>0</v>
      </c>
      <c r="CC3563" t="str">
        <f>"19:34:20.242"</f>
        <v>19:34:20.242</v>
      </c>
      <c r="CD3563" t="str">
        <f>"241280192"</f>
        <v>241280192</v>
      </c>
      <c r="CQ3563">
        <v>0</v>
      </c>
      <c r="CR3563">
        <v>2</v>
      </c>
      <c r="CS3563">
        <v>0</v>
      </c>
      <c r="CT3563">
        <v>2</v>
      </c>
      <c r="CU3563">
        <v>0</v>
      </c>
      <c r="CV3563">
        <v>4</v>
      </c>
      <c r="CW3563" t="s">
        <v>120</v>
      </c>
      <c r="CX3563">
        <v>257</v>
      </c>
      <c r="CY3563">
        <v>0</v>
      </c>
      <c r="CZ3563" t="s">
        <v>615</v>
      </c>
      <c r="DA3563" t="s">
        <v>616</v>
      </c>
      <c r="DD3563">
        <v>16480641</v>
      </c>
      <c r="DE3563" t="s">
        <v>123</v>
      </c>
    </row>
    <row r="3564" spans="1:109" x14ac:dyDescent="0.3">
      <c r="A3564" t="str">
        <f>"19:34:21.406"</f>
        <v>19:34:21.406</v>
      </c>
      <c r="B3564" t="s">
        <v>110</v>
      </c>
      <c r="C3564" t="str">
        <f t="shared" si="165"/>
        <v>ffdfd3c0</v>
      </c>
      <c r="D3564" t="s">
        <v>111</v>
      </c>
      <c r="E3564">
        <v>18</v>
      </c>
      <c r="F3564">
        <v>1018</v>
      </c>
      <c r="G3564" t="s">
        <v>112</v>
      </c>
      <c r="J3564" t="s">
        <v>113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R3564" t="s">
        <v>114</v>
      </c>
      <c r="S3564" t="str">
        <f>"19:34:21.195"</f>
        <v>19:34:21.195</v>
      </c>
      <c r="T3564" t="str">
        <f>"19:34:20.797"</f>
        <v>19:34:20.797</v>
      </c>
      <c r="U3564" t="str">
        <f t="shared" si="166"/>
        <v>a1cdbe</v>
      </c>
      <c r="V3564">
        <v>0</v>
      </c>
      <c r="W3564">
        <v>0</v>
      </c>
      <c r="X3564">
        <v>2</v>
      </c>
      <c r="Y3564">
        <v>0</v>
      </c>
      <c r="Z3564">
        <v>0</v>
      </c>
      <c r="AB3564">
        <v>0</v>
      </c>
      <c r="AC3564">
        <v>9</v>
      </c>
      <c r="AD3564">
        <v>3</v>
      </c>
      <c r="AE3564">
        <v>0</v>
      </c>
      <c r="AF3564">
        <v>9</v>
      </c>
      <c r="AG3564" t="s">
        <v>158</v>
      </c>
      <c r="AH3564">
        <v>0</v>
      </c>
      <c r="AI3564">
        <v>3</v>
      </c>
      <c r="AJ3564">
        <v>1</v>
      </c>
      <c r="AK3564">
        <v>0</v>
      </c>
      <c r="AL3564" t="s">
        <v>6708</v>
      </c>
      <c r="AM3564">
        <v>47.021977999999997</v>
      </c>
      <c r="AN3564" t="s">
        <v>6709</v>
      </c>
      <c r="AO3564">
        <v>-123.817763</v>
      </c>
      <c r="AP3564">
        <v>100</v>
      </c>
      <c r="AQ3564">
        <v>2100</v>
      </c>
      <c r="AR3564" t="s">
        <v>118</v>
      </c>
      <c r="AS3564">
        <v>-76</v>
      </c>
      <c r="AT3564">
        <v>20</v>
      </c>
      <c r="AU3564">
        <v>64</v>
      </c>
      <c r="BC3564">
        <v>1200</v>
      </c>
      <c r="BD3564">
        <v>1</v>
      </c>
      <c r="BE3564" t="str">
        <f t="shared" si="167"/>
        <v xml:space="preserve">N215T   </v>
      </c>
      <c r="BF3564">
        <v>1</v>
      </c>
      <c r="BH3564">
        <v>0</v>
      </c>
      <c r="BI3564">
        <v>0</v>
      </c>
      <c r="BJ3564">
        <v>0</v>
      </c>
      <c r="BK3564">
        <v>2525</v>
      </c>
      <c r="BL3564">
        <v>425</v>
      </c>
      <c r="BM3564" t="s">
        <v>119</v>
      </c>
      <c r="BN3564">
        <v>1</v>
      </c>
      <c r="BO3564">
        <v>1</v>
      </c>
      <c r="BP3564">
        <v>1</v>
      </c>
      <c r="BQ3564">
        <v>0</v>
      </c>
      <c r="BT3564">
        <v>0</v>
      </c>
      <c r="BU3564">
        <v>0</v>
      </c>
      <c r="BV3564">
        <v>0</v>
      </c>
      <c r="CC3564" t="str">
        <f>"19:34:21.203"</f>
        <v>19:34:21.203</v>
      </c>
      <c r="CD3564" t="str">
        <f>"201185605"</f>
        <v>201185605</v>
      </c>
      <c r="CQ3564">
        <v>0</v>
      </c>
      <c r="CR3564">
        <v>2</v>
      </c>
      <c r="CS3564">
        <v>0</v>
      </c>
      <c r="CT3564">
        <v>2</v>
      </c>
      <c r="CU3564">
        <v>0</v>
      </c>
      <c r="CV3564">
        <v>4</v>
      </c>
      <c r="CW3564" t="s">
        <v>120</v>
      </c>
      <c r="CX3564">
        <v>257</v>
      </c>
      <c r="CY3564">
        <v>0</v>
      </c>
      <c r="CZ3564" t="s">
        <v>615</v>
      </c>
      <c r="DA3564" t="s">
        <v>616</v>
      </c>
      <c r="DD3564">
        <v>16481031</v>
      </c>
      <c r="DE3564" t="s">
        <v>123</v>
      </c>
    </row>
    <row r="3565" spans="1:109" x14ac:dyDescent="0.3">
      <c r="A3565" t="str">
        <f>"19:34:22.359"</f>
        <v>19:34:22.359</v>
      </c>
      <c r="B3565" t="s">
        <v>110</v>
      </c>
      <c r="C3565" t="str">
        <f t="shared" si="165"/>
        <v>ffdfd3c0</v>
      </c>
      <c r="D3565" t="s">
        <v>111</v>
      </c>
      <c r="E3565">
        <v>18</v>
      </c>
      <c r="F3565">
        <v>1018</v>
      </c>
      <c r="G3565" t="s">
        <v>112</v>
      </c>
      <c r="J3565" t="s">
        <v>113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R3565" t="s">
        <v>114</v>
      </c>
      <c r="S3565" t="str">
        <f>"19:34:22.141"</f>
        <v>19:34:22.141</v>
      </c>
      <c r="T3565" t="str">
        <f>"19:34:21.742"</f>
        <v>19:34:21.742</v>
      </c>
      <c r="U3565" t="str">
        <f t="shared" si="166"/>
        <v>a1cdbe</v>
      </c>
      <c r="V3565">
        <v>0</v>
      </c>
      <c r="W3565">
        <v>0</v>
      </c>
      <c r="X3565">
        <v>2</v>
      </c>
      <c r="Y3565">
        <v>0</v>
      </c>
      <c r="Z3565">
        <v>0</v>
      </c>
      <c r="AB3565">
        <v>0</v>
      </c>
      <c r="AC3565">
        <v>9</v>
      </c>
      <c r="AD3565">
        <v>3</v>
      </c>
      <c r="AE3565">
        <v>0</v>
      </c>
      <c r="AF3565">
        <v>9</v>
      </c>
      <c r="AG3565" t="s">
        <v>158</v>
      </c>
      <c r="AH3565">
        <v>0</v>
      </c>
      <c r="AI3565">
        <v>3</v>
      </c>
      <c r="AJ3565">
        <v>1</v>
      </c>
      <c r="AK3565">
        <v>0</v>
      </c>
      <c r="AL3565" t="s">
        <v>697</v>
      </c>
      <c r="AM3565">
        <v>47.022084999999997</v>
      </c>
      <c r="AN3565" t="s">
        <v>6710</v>
      </c>
      <c r="AO3565">
        <v>-123.818257</v>
      </c>
      <c r="AP3565">
        <v>100</v>
      </c>
      <c r="AQ3565">
        <v>2100</v>
      </c>
      <c r="AR3565" t="s">
        <v>118</v>
      </c>
      <c r="AS3565">
        <v>-76</v>
      </c>
      <c r="AT3565">
        <v>20</v>
      </c>
      <c r="AU3565">
        <v>64</v>
      </c>
      <c r="BC3565">
        <v>1200</v>
      </c>
      <c r="BD3565">
        <v>1</v>
      </c>
      <c r="BE3565" t="str">
        <f t="shared" si="167"/>
        <v xml:space="preserve">N215T   </v>
      </c>
      <c r="BF3565">
        <v>1</v>
      </c>
      <c r="BH3565">
        <v>0</v>
      </c>
      <c r="BI3565">
        <v>0</v>
      </c>
      <c r="BJ3565">
        <v>0</v>
      </c>
      <c r="BK3565">
        <v>2525</v>
      </c>
      <c r="BL3565">
        <v>425</v>
      </c>
      <c r="BM3565" t="s">
        <v>119</v>
      </c>
      <c r="BN3565">
        <v>1</v>
      </c>
      <c r="BO3565">
        <v>1</v>
      </c>
      <c r="BP3565">
        <v>1</v>
      </c>
      <c r="BQ3565">
        <v>0</v>
      </c>
      <c r="BT3565">
        <v>0</v>
      </c>
      <c r="BU3565">
        <v>0</v>
      </c>
      <c r="BV3565">
        <v>0</v>
      </c>
      <c r="CC3565" t="str">
        <f>"19:34:22.148"</f>
        <v>19:34:22.148</v>
      </c>
      <c r="CD3565" t="str">
        <f>"146092516"</f>
        <v>146092516</v>
      </c>
      <c r="CQ3565">
        <v>0</v>
      </c>
      <c r="CR3565">
        <v>2</v>
      </c>
      <c r="CS3565">
        <v>0</v>
      </c>
      <c r="CT3565">
        <v>2</v>
      </c>
      <c r="CU3565">
        <v>0</v>
      </c>
      <c r="CV3565">
        <v>5</v>
      </c>
      <c r="CW3565" t="s">
        <v>120</v>
      </c>
      <c r="CX3565">
        <v>257</v>
      </c>
      <c r="CY3565">
        <v>0</v>
      </c>
      <c r="CZ3565" t="s">
        <v>615</v>
      </c>
      <c r="DA3565" t="s">
        <v>616</v>
      </c>
      <c r="DD3565">
        <v>16481393</v>
      </c>
      <c r="DE3565" t="s">
        <v>123</v>
      </c>
    </row>
    <row r="3566" spans="1:109" x14ac:dyDescent="0.3">
      <c r="A3566" t="str">
        <f>"19:34:23.461"</f>
        <v>19:34:23.461</v>
      </c>
      <c r="B3566" t="s">
        <v>110</v>
      </c>
      <c r="C3566" t="str">
        <f t="shared" si="165"/>
        <v>ffdfd3c0</v>
      </c>
      <c r="D3566" t="s">
        <v>111</v>
      </c>
      <c r="E3566">
        <v>18</v>
      </c>
      <c r="F3566">
        <v>1018</v>
      </c>
      <c r="G3566" t="s">
        <v>112</v>
      </c>
      <c r="J3566" t="s">
        <v>113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R3566" t="s">
        <v>114</v>
      </c>
      <c r="S3566" t="str">
        <f>"19:34:23.211"</f>
        <v>19:34:23.211</v>
      </c>
      <c r="T3566" t="str">
        <f>"19:34:22.711"</f>
        <v>19:34:22.711</v>
      </c>
      <c r="U3566" t="str">
        <f t="shared" si="166"/>
        <v>a1cdbe</v>
      </c>
      <c r="V3566">
        <v>0</v>
      </c>
      <c r="W3566">
        <v>0</v>
      </c>
      <c r="X3566">
        <v>2</v>
      </c>
      <c r="Y3566">
        <v>0</v>
      </c>
      <c r="Z3566">
        <v>0</v>
      </c>
      <c r="AB3566">
        <v>0</v>
      </c>
      <c r="AC3566">
        <v>9</v>
      </c>
      <c r="AD3566">
        <v>3</v>
      </c>
      <c r="AE3566">
        <v>0</v>
      </c>
      <c r="AF3566">
        <v>9</v>
      </c>
      <c r="AG3566" t="s">
        <v>158</v>
      </c>
      <c r="AH3566">
        <v>0</v>
      </c>
      <c r="AI3566">
        <v>3</v>
      </c>
      <c r="AJ3566">
        <v>1</v>
      </c>
      <c r="AK3566">
        <v>0</v>
      </c>
      <c r="AL3566" t="s">
        <v>6711</v>
      </c>
      <c r="AM3566">
        <v>47.022213999999998</v>
      </c>
      <c r="AN3566" t="s">
        <v>6712</v>
      </c>
      <c r="AO3566">
        <v>-123.818879</v>
      </c>
      <c r="AP3566">
        <v>100</v>
      </c>
      <c r="AQ3566">
        <v>2200</v>
      </c>
      <c r="AR3566" t="s">
        <v>118</v>
      </c>
      <c r="AS3566">
        <v>-76</v>
      </c>
      <c r="AT3566">
        <v>20</v>
      </c>
      <c r="AU3566">
        <v>64</v>
      </c>
      <c r="BC3566">
        <v>1200</v>
      </c>
      <c r="BD3566">
        <v>1</v>
      </c>
      <c r="BE3566" t="str">
        <f t="shared" si="167"/>
        <v xml:space="preserve">N215T   </v>
      </c>
      <c r="BF3566">
        <v>1</v>
      </c>
      <c r="BH3566">
        <v>0</v>
      </c>
      <c r="BI3566">
        <v>0</v>
      </c>
      <c r="BJ3566">
        <v>0</v>
      </c>
      <c r="BK3566">
        <v>2425</v>
      </c>
      <c r="BL3566">
        <v>225</v>
      </c>
      <c r="BM3566" t="s">
        <v>119</v>
      </c>
      <c r="BN3566">
        <v>1</v>
      </c>
      <c r="BO3566">
        <v>1</v>
      </c>
      <c r="BP3566">
        <v>1</v>
      </c>
      <c r="BQ3566">
        <v>0</v>
      </c>
      <c r="BT3566">
        <v>0</v>
      </c>
      <c r="BU3566">
        <v>0</v>
      </c>
      <c r="BV3566">
        <v>0</v>
      </c>
      <c r="CC3566" t="str">
        <f>"19:34:23.211"</f>
        <v>19:34:23.211</v>
      </c>
      <c r="CD3566" t="str">
        <f>"210987602"</f>
        <v>210987602</v>
      </c>
      <c r="CQ3566">
        <v>0</v>
      </c>
      <c r="CR3566">
        <v>2</v>
      </c>
      <c r="CS3566">
        <v>0</v>
      </c>
      <c r="CT3566">
        <v>2</v>
      </c>
      <c r="CU3566">
        <v>0</v>
      </c>
      <c r="CV3566">
        <v>5</v>
      </c>
      <c r="CW3566" t="s">
        <v>120</v>
      </c>
      <c r="CX3566">
        <v>257</v>
      </c>
      <c r="CY3566">
        <v>0</v>
      </c>
      <c r="CZ3566" t="s">
        <v>615</v>
      </c>
      <c r="DA3566" t="s">
        <v>616</v>
      </c>
      <c r="DD3566">
        <v>16481848</v>
      </c>
      <c r="DE3566" t="s">
        <v>123</v>
      </c>
    </row>
    <row r="3567" spans="1:109" x14ac:dyDescent="0.3">
      <c r="A3567" t="str">
        <f>"19:34:24.469"</f>
        <v>19:34:24.469</v>
      </c>
      <c r="B3567" t="s">
        <v>110</v>
      </c>
      <c r="C3567" t="str">
        <f t="shared" si="165"/>
        <v>ffdfd3c0</v>
      </c>
      <c r="D3567" t="s">
        <v>111</v>
      </c>
      <c r="E3567">
        <v>18</v>
      </c>
      <c r="F3567">
        <v>1018</v>
      </c>
      <c r="G3567" t="s">
        <v>112</v>
      </c>
      <c r="J3567" t="s">
        <v>113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R3567" t="s">
        <v>114</v>
      </c>
      <c r="S3567" t="str">
        <f>"19:34:24.211"</f>
        <v>19:34:24.211</v>
      </c>
      <c r="T3567" t="str">
        <f>"19:34:23.813"</f>
        <v>19:34:23.813</v>
      </c>
      <c r="U3567" t="str">
        <f t="shared" si="166"/>
        <v>a1cdbe</v>
      </c>
      <c r="V3567">
        <v>0</v>
      </c>
      <c r="W3567">
        <v>0</v>
      </c>
      <c r="X3567">
        <v>2</v>
      </c>
      <c r="Y3567">
        <v>0</v>
      </c>
      <c r="Z3567">
        <v>0</v>
      </c>
      <c r="AB3567">
        <v>0</v>
      </c>
      <c r="AC3567">
        <v>9</v>
      </c>
      <c r="AD3567">
        <v>3</v>
      </c>
      <c r="AE3567">
        <v>0</v>
      </c>
      <c r="AF3567">
        <v>9</v>
      </c>
      <c r="AG3567" t="s">
        <v>158</v>
      </c>
      <c r="AH3567">
        <v>0</v>
      </c>
      <c r="AI3567">
        <v>3</v>
      </c>
      <c r="AJ3567">
        <v>1</v>
      </c>
      <c r="AK3567">
        <v>0</v>
      </c>
      <c r="AL3567" t="s">
        <v>6713</v>
      </c>
      <c r="AM3567">
        <v>47.022278</v>
      </c>
      <c r="AN3567" t="s">
        <v>6714</v>
      </c>
      <c r="AO3567">
        <v>-123.819373</v>
      </c>
      <c r="AP3567">
        <v>100</v>
      </c>
      <c r="AQ3567">
        <v>2200</v>
      </c>
      <c r="AR3567" t="s">
        <v>118</v>
      </c>
      <c r="AS3567">
        <v>-76</v>
      </c>
      <c r="AT3567">
        <v>20</v>
      </c>
      <c r="AU3567">
        <v>0</v>
      </c>
      <c r="BC3567">
        <v>1200</v>
      </c>
      <c r="BD3567">
        <v>1</v>
      </c>
      <c r="BE3567" t="str">
        <f t="shared" si="167"/>
        <v xml:space="preserve">N215T   </v>
      </c>
      <c r="BF3567">
        <v>1</v>
      </c>
      <c r="BH3567">
        <v>0</v>
      </c>
      <c r="BI3567">
        <v>0</v>
      </c>
      <c r="BJ3567">
        <v>0</v>
      </c>
      <c r="BK3567">
        <v>2525</v>
      </c>
      <c r="BL3567">
        <v>325</v>
      </c>
      <c r="BM3567" t="s">
        <v>119</v>
      </c>
      <c r="BN3567">
        <v>1</v>
      </c>
      <c r="BO3567">
        <v>1</v>
      </c>
      <c r="BP3567">
        <v>1</v>
      </c>
      <c r="BQ3567">
        <v>0</v>
      </c>
      <c r="BT3567">
        <v>0</v>
      </c>
      <c r="BU3567">
        <v>0</v>
      </c>
      <c r="BV3567">
        <v>0</v>
      </c>
      <c r="CC3567" t="str">
        <f>"19:34:24.219"</f>
        <v>19:34:24.219</v>
      </c>
      <c r="CD3567" t="str">
        <f>"215888594"</f>
        <v>215888594</v>
      </c>
      <c r="CQ3567">
        <v>0</v>
      </c>
      <c r="CR3567">
        <v>2</v>
      </c>
      <c r="CS3567">
        <v>0</v>
      </c>
      <c r="CT3567">
        <v>2</v>
      </c>
      <c r="CU3567">
        <v>0</v>
      </c>
      <c r="CV3567">
        <v>5</v>
      </c>
      <c r="CW3567" t="s">
        <v>120</v>
      </c>
      <c r="CX3567">
        <v>257</v>
      </c>
      <c r="CY3567">
        <v>0</v>
      </c>
      <c r="CZ3567" t="s">
        <v>615</v>
      </c>
      <c r="DA3567" t="s">
        <v>616</v>
      </c>
      <c r="DD3567">
        <v>16482272</v>
      </c>
      <c r="DE3567" t="s">
        <v>123</v>
      </c>
    </row>
    <row r="3568" spans="1:109" x14ac:dyDescent="0.3">
      <c r="A3568" t="str">
        <f>"19:34:25.578"</f>
        <v>19:34:25.578</v>
      </c>
      <c r="B3568" t="s">
        <v>110</v>
      </c>
      <c r="C3568" t="str">
        <f t="shared" si="165"/>
        <v>ffdfd3c0</v>
      </c>
      <c r="D3568" t="s">
        <v>111</v>
      </c>
      <c r="E3568">
        <v>18</v>
      </c>
      <c r="F3568">
        <v>1018</v>
      </c>
      <c r="G3568" t="s">
        <v>112</v>
      </c>
      <c r="J3568" t="s">
        <v>113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R3568" t="s">
        <v>114</v>
      </c>
      <c r="S3568" t="str">
        <f>"19:34:25.352"</f>
        <v>19:34:25.352</v>
      </c>
      <c r="T3568" t="str">
        <f>"19:34:24.852"</f>
        <v>19:34:24.852</v>
      </c>
      <c r="U3568" t="str">
        <f t="shared" si="166"/>
        <v>a1cdbe</v>
      </c>
      <c r="V3568">
        <v>0</v>
      </c>
      <c r="W3568">
        <v>0</v>
      </c>
      <c r="X3568">
        <v>2</v>
      </c>
      <c r="Y3568">
        <v>0</v>
      </c>
      <c r="Z3568">
        <v>0</v>
      </c>
      <c r="AB3568">
        <v>0</v>
      </c>
      <c r="AC3568">
        <v>9</v>
      </c>
      <c r="AD3568">
        <v>3</v>
      </c>
      <c r="AE3568">
        <v>0</v>
      </c>
      <c r="AF3568">
        <v>9</v>
      </c>
      <c r="AG3568" t="s">
        <v>158</v>
      </c>
      <c r="AH3568">
        <v>0</v>
      </c>
      <c r="AI3568">
        <v>3</v>
      </c>
      <c r="AJ3568">
        <v>1</v>
      </c>
      <c r="AK3568">
        <v>0</v>
      </c>
      <c r="AL3568" t="s">
        <v>695</v>
      </c>
      <c r="AM3568">
        <v>47.022407000000001</v>
      </c>
      <c r="AN3568" t="s">
        <v>6715</v>
      </c>
      <c r="AO3568">
        <v>-123.819909</v>
      </c>
      <c r="AP3568">
        <v>100</v>
      </c>
      <c r="AQ3568">
        <v>2200</v>
      </c>
      <c r="AR3568" t="s">
        <v>118</v>
      </c>
      <c r="AS3568">
        <v>-76</v>
      </c>
      <c r="AT3568">
        <v>20</v>
      </c>
      <c r="AU3568">
        <v>0</v>
      </c>
      <c r="BC3568">
        <v>1200</v>
      </c>
      <c r="BD3568">
        <v>1</v>
      </c>
      <c r="BE3568" t="str">
        <f t="shared" si="167"/>
        <v xml:space="preserve">N215T   </v>
      </c>
      <c r="BF3568">
        <v>1</v>
      </c>
      <c r="BH3568">
        <v>0</v>
      </c>
      <c r="BI3568">
        <v>0</v>
      </c>
      <c r="BJ3568">
        <v>0</v>
      </c>
      <c r="BK3568">
        <v>2525</v>
      </c>
      <c r="BL3568">
        <v>325</v>
      </c>
      <c r="BM3568" t="s">
        <v>119</v>
      </c>
      <c r="BN3568">
        <v>1</v>
      </c>
      <c r="BO3568">
        <v>1</v>
      </c>
      <c r="BP3568">
        <v>1</v>
      </c>
      <c r="BQ3568">
        <v>0</v>
      </c>
      <c r="BT3568">
        <v>0</v>
      </c>
      <c r="BU3568">
        <v>0</v>
      </c>
      <c r="BV3568">
        <v>0</v>
      </c>
      <c r="CC3568" t="str">
        <f>"19:34:25.359"</f>
        <v>19:34:25.359</v>
      </c>
      <c r="CD3568" t="str">
        <f>"355776314"</f>
        <v>355776314</v>
      </c>
      <c r="CQ3568">
        <v>0</v>
      </c>
      <c r="CR3568">
        <v>2</v>
      </c>
      <c r="CS3568">
        <v>0</v>
      </c>
      <c r="CT3568">
        <v>2</v>
      </c>
      <c r="CU3568">
        <v>0</v>
      </c>
      <c r="CV3568">
        <v>5</v>
      </c>
      <c r="CW3568" t="s">
        <v>120</v>
      </c>
      <c r="CX3568">
        <v>257</v>
      </c>
      <c r="CY3568">
        <v>0</v>
      </c>
      <c r="CZ3568" t="s">
        <v>615</v>
      </c>
      <c r="DA3568" t="s">
        <v>616</v>
      </c>
      <c r="DD3568">
        <v>16482729</v>
      </c>
      <c r="DE3568" t="s">
        <v>123</v>
      </c>
    </row>
    <row r="3569" spans="1:109" x14ac:dyDescent="0.3">
      <c r="A3569" t="str">
        <f>"19:34:26.781"</f>
        <v>19:34:26.781</v>
      </c>
      <c r="B3569" t="s">
        <v>110</v>
      </c>
      <c r="C3569" t="str">
        <f t="shared" si="165"/>
        <v>ffdfd3c0</v>
      </c>
      <c r="D3569" t="s">
        <v>111</v>
      </c>
      <c r="E3569">
        <v>18</v>
      </c>
      <c r="F3569">
        <v>1018</v>
      </c>
      <c r="G3569" t="s">
        <v>112</v>
      </c>
      <c r="J3569" t="s">
        <v>113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R3569" t="s">
        <v>114</v>
      </c>
      <c r="S3569" t="str">
        <f>"19:34:26.539"</f>
        <v>19:34:26.539</v>
      </c>
      <c r="T3569" t="str">
        <f>"19:34:26.336"</f>
        <v>19:34:26.336</v>
      </c>
      <c r="U3569" t="str">
        <f t="shared" si="166"/>
        <v>a1cdbe</v>
      </c>
      <c r="V3569">
        <v>0</v>
      </c>
      <c r="W3569">
        <v>0</v>
      </c>
      <c r="X3569">
        <v>2</v>
      </c>
      <c r="Y3569">
        <v>0</v>
      </c>
      <c r="Z3569">
        <v>0</v>
      </c>
      <c r="AB3569">
        <v>0</v>
      </c>
      <c r="AC3569">
        <v>9</v>
      </c>
      <c r="AD3569">
        <v>3</v>
      </c>
      <c r="AE3569">
        <v>0</v>
      </c>
      <c r="AF3569">
        <v>9</v>
      </c>
      <c r="AG3569" t="s">
        <v>158</v>
      </c>
      <c r="AH3569">
        <v>0</v>
      </c>
      <c r="AI3569">
        <v>3</v>
      </c>
      <c r="AJ3569">
        <v>1</v>
      </c>
      <c r="AK3569">
        <v>0</v>
      </c>
      <c r="AL3569" t="s">
        <v>6716</v>
      </c>
      <c r="AM3569">
        <v>47.022492999999997</v>
      </c>
      <c r="AN3569" t="s">
        <v>6717</v>
      </c>
      <c r="AO3569">
        <v>-123.82051</v>
      </c>
      <c r="AP3569">
        <v>100</v>
      </c>
      <c r="AQ3569">
        <v>2200</v>
      </c>
      <c r="AR3569" t="s">
        <v>118</v>
      </c>
      <c r="AS3569">
        <v>-76</v>
      </c>
      <c r="AT3569">
        <v>20</v>
      </c>
      <c r="AU3569">
        <v>0</v>
      </c>
      <c r="BC3569">
        <v>1200</v>
      </c>
      <c r="BD3569">
        <v>1</v>
      </c>
      <c r="BE3569" t="str">
        <f t="shared" si="167"/>
        <v xml:space="preserve">N215T   </v>
      </c>
      <c r="BF3569">
        <v>1</v>
      </c>
      <c r="BH3569">
        <v>0</v>
      </c>
      <c r="BI3569">
        <v>0</v>
      </c>
      <c r="BJ3569">
        <v>0</v>
      </c>
      <c r="BK3569">
        <v>2525</v>
      </c>
      <c r="BL3569">
        <v>325</v>
      </c>
      <c r="BM3569" t="s">
        <v>119</v>
      </c>
      <c r="BN3569">
        <v>1</v>
      </c>
      <c r="BO3569">
        <v>1</v>
      </c>
      <c r="BP3569">
        <v>1</v>
      </c>
      <c r="BQ3569">
        <v>0</v>
      </c>
      <c r="BT3569">
        <v>0</v>
      </c>
      <c r="BU3569">
        <v>0</v>
      </c>
      <c r="BV3569">
        <v>0</v>
      </c>
      <c r="CC3569" t="str">
        <f>"19:34:26.539"</f>
        <v>19:34:26.539</v>
      </c>
      <c r="CD3569" t="str">
        <f>"540659574"</f>
        <v>540659574</v>
      </c>
      <c r="CQ3569">
        <v>0</v>
      </c>
      <c r="CR3569">
        <v>2</v>
      </c>
      <c r="CS3569">
        <v>0</v>
      </c>
      <c r="CT3569">
        <v>2</v>
      </c>
      <c r="CU3569">
        <v>0</v>
      </c>
      <c r="CV3569">
        <v>4</v>
      </c>
      <c r="CW3569" t="s">
        <v>120</v>
      </c>
      <c r="CX3569">
        <v>257</v>
      </c>
      <c r="CY3569">
        <v>0</v>
      </c>
      <c r="CZ3569" t="s">
        <v>615</v>
      </c>
      <c r="DA3569" t="s">
        <v>616</v>
      </c>
      <c r="DD3569">
        <v>16483222</v>
      </c>
      <c r="DE3569" t="s">
        <v>123</v>
      </c>
    </row>
    <row r="3570" spans="1:109" x14ac:dyDescent="0.3">
      <c r="A3570" t="str">
        <f>"19:34:27.789"</f>
        <v>19:34:27.789</v>
      </c>
      <c r="B3570" t="s">
        <v>110</v>
      </c>
      <c r="C3570" t="str">
        <f t="shared" si="165"/>
        <v>ffdfd3c0</v>
      </c>
      <c r="D3570" t="s">
        <v>111</v>
      </c>
      <c r="E3570">
        <v>18</v>
      </c>
      <c r="F3570">
        <v>1018</v>
      </c>
      <c r="G3570" t="s">
        <v>112</v>
      </c>
      <c r="J3570" t="s">
        <v>113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R3570" t="s">
        <v>114</v>
      </c>
      <c r="S3570" t="str">
        <f>"19:34:27.539"</f>
        <v>19:34:27.539</v>
      </c>
      <c r="T3570" t="str">
        <f>"19:34:27.242"</f>
        <v>19:34:27.242</v>
      </c>
      <c r="U3570" t="str">
        <f t="shared" si="166"/>
        <v>a1cdbe</v>
      </c>
      <c r="V3570">
        <v>0</v>
      </c>
      <c r="W3570">
        <v>0</v>
      </c>
      <c r="X3570">
        <v>2</v>
      </c>
      <c r="Y3570">
        <v>0</v>
      </c>
      <c r="Z3570">
        <v>0</v>
      </c>
      <c r="AB3570">
        <v>0</v>
      </c>
      <c r="AC3570">
        <v>9</v>
      </c>
      <c r="AD3570">
        <v>3</v>
      </c>
      <c r="AE3570">
        <v>0</v>
      </c>
      <c r="AF3570">
        <v>9</v>
      </c>
      <c r="AG3570" t="s">
        <v>158</v>
      </c>
      <c r="AH3570">
        <v>0</v>
      </c>
      <c r="AI3570">
        <v>3</v>
      </c>
      <c r="AJ3570">
        <v>1</v>
      </c>
      <c r="AK3570">
        <v>0</v>
      </c>
      <c r="AL3570" t="s">
        <v>6718</v>
      </c>
      <c r="AM3570">
        <v>47.022599999999997</v>
      </c>
      <c r="AN3570" t="s">
        <v>6719</v>
      </c>
      <c r="AO3570">
        <v>-123.821068</v>
      </c>
      <c r="AP3570">
        <v>100</v>
      </c>
      <c r="AQ3570">
        <v>2200</v>
      </c>
      <c r="AR3570" t="s">
        <v>118</v>
      </c>
      <c r="AS3570">
        <v>-76</v>
      </c>
      <c r="AT3570">
        <v>20</v>
      </c>
      <c r="AU3570">
        <v>0</v>
      </c>
      <c r="BC3570">
        <v>1200</v>
      </c>
      <c r="BD3570">
        <v>1</v>
      </c>
      <c r="BE3570" t="str">
        <f t="shared" si="167"/>
        <v xml:space="preserve">N215T   </v>
      </c>
      <c r="BF3570">
        <v>1</v>
      </c>
      <c r="BH3570">
        <v>0</v>
      </c>
      <c r="BI3570">
        <v>0</v>
      </c>
      <c r="BJ3570">
        <v>0</v>
      </c>
      <c r="BK3570">
        <v>2525</v>
      </c>
      <c r="BL3570">
        <v>325</v>
      </c>
      <c r="BM3570" t="s">
        <v>119</v>
      </c>
      <c r="BN3570">
        <v>1</v>
      </c>
      <c r="BO3570">
        <v>1</v>
      </c>
      <c r="BP3570">
        <v>1</v>
      </c>
      <c r="BQ3570">
        <v>0</v>
      </c>
      <c r="BT3570">
        <v>0</v>
      </c>
      <c r="BU3570">
        <v>0</v>
      </c>
      <c r="BV3570">
        <v>0</v>
      </c>
      <c r="CC3570" t="str">
        <f>"19:34:27.547"</f>
        <v>19:34:27.547</v>
      </c>
      <c r="CD3570" t="str">
        <f>"545560591"</f>
        <v>545560591</v>
      </c>
      <c r="CQ3570">
        <v>0</v>
      </c>
      <c r="CR3570">
        <v>2</v>
      </c>
      <c r="CS3570">
        <v>0</v>
      </c>
      <c r="CT3570">
        <v>2</v>
      </c>
      <c r="CU3570">
        <v>0</v>
      </c>
      <c r="CV3570">
        <v>3</v>
      </c>
      <c r="CW3570" t="s">
        <v>120</v>
      </c>
      <c r="CX3570">
        <v>257</v>
      </c>
      <c r="CY3570">
        <v>0</v>
      </c>
      <c r="CZ3570" t="s">
        <v>615</v>
      </c>
      <c r="DA3570" t="s">
        <v>616</v>
      </c>
      <c r="DD3570">
        <v>16483663</v>
      </c>
      <c r="DE3570" t="s">
        <v>123</v>
      </c>
    </row>
    <row r="3571" spans="1:109" x14ac:dyDescent="0.3">
      <c r="A3571" t="str">
        <f>"19:34:28.688"</f>
        <v>19:34:28.688</v>
      </c>
      <c r="B3571" t="s">
        <v>110</v>
      </c>
      <c r="C3571" t="str">
        <f t="shared" si="165"/>
        <v>ffdfd3c0</v>
      </c>
      <c r="D3571" t="s">
        <v>111</v>
      </c>
      <c r="E3571">
        <v>18</v>
      </c>
      <c r="F3571">
        <v>1018</v>
      </c>
      <c r="G3571" t="s">
        <v>112</v>
      </c>
      <c r="J3571" t="s">
        <v>113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R3571" t="s">
        <v>114</v>
      </c>
      <c r="S3571" t="str">
        <f>"19:34:28.445"</f>
        <v>19:34:28.445</v>
      </c>
      <c r="T3571" t="str">
        <f>"19:34:28.242"</f>
        <v>19:34:28.242</v>
      </c>
      <c r="U3571" t="str">
        <f t="shared" si="166"/>
        <v>a1cdbe</v>
      </c>
      <c r="V3571">
        <v>0</v>
      </c>
      <c r="W3571">
        <v>0</v>
      </c>
      <c r="X3571">
        <v>2</v>
      </c>
      <c r="Y3571">
        <v>0</v>
      </c>
      <c r="Z3571">
        <v>0</v>
      </c>
      <c r="AB3571">
        <v>0</v>
      </c>
      <c r="AC3571">
        <v>9</v>
      </c>
      <c r="AD3571">
        <v>3</v>
      </c>
      <c r="AE3571">
        <v>0</v>
      </c>
      <c r="AF3571">
        <v>9</v>
      </c>
      <c r="AG3571" t="s">
        <v>158</v>
      </c>
      <c r="AH3571">
        <v>0</v>
      </c>
      <c r="AI3571">
        <v>3</v>
      </c>
      <c r="AJ3571">
        <v>1</v>
      </c>
      <c r="AK3571">
        <v>0</v>
      </c>
      <c r="AL3571" t="s">
        <v>6720</v>
      </c>
      <c r="AM3571">
        <v>47.022665000000003</v>
      </c>
      <c r="AN3571" t="s">
        <v>6721</v>
      </c>
      <c r="AO3571">
        <v>-123.82154</v>
      </c>
      <c r="AP3571">
        <v>100</v>
      </c>
      <c r="AQ3571">
        <v>2200</v>
      </c>
      <c r="AR3571" t="s">
        <v>118</v>
      </c>
      <c r="AS3571">
        <v>-76</v>
      </c>
      <c r="AT3571">
        <v>20</v>
      </c>
      <c r="AU3571">
        <v>0</v>
      </c>
      <c r="BC3571">
        <v>1200</v>
      </c>
      <c r="BD3571">
        <v>1</v>
      </c>
      <c r="BE3571" t="str">
        <f t="shared" si="167"/>
        <v xml:space="preserve">N215T   </v>
      </c>
      <c r="BF3571">
        <v>1</v>
      </c>
      <c r="BH3571">
        <v>0</v>
      </c>
      <c r="BI3571">
        <v>0</v>
      </c>
      <c r="BJ3571">
        <v>0</v>
      </c>
      <c r="BK3571">
        <v>2525</v>
      </c>
      <c r="BL3571">
        <v>325</v>
      </c>
      <c r="BM3571" t="s">
        <v>119</v>
      </c>
      <c r="BN3571">
        <v>1</v>
      </c>
      <c r="BO3571">
        <v>1</v>
      </c>
      <c r="BP3571">
        <v>1</v>
      </c>
      <c r="BQ3571">
        <v>0</v>
      </c>
      <c r="BT3571">
        <v>0</v>
      </c>
      <c r="BU3571">
        <v>0</v>
      </c>
      <c r="BV3571">
        <v>0</v>
      </c>
      <c r="CC3571" t="str">
        <f>"19:34:28.445"</f>
        <v>19:34:28.445</v>
      </c>
      <c r="CD3571" t="str">
        <f>"445565763"</f>
        <v>445565763</v>
      </c>
      <c r="CQ3571">
        <v>0</v>
      </c>
      <c r="CR3571">
        <v>2</v>
      </c>
      <c r="CS3571">
        <v>0</v>
      </c>
      <c r="CT3571">
        <v>2</v>
      </c>
      <c r="CU3571">
        <v>0</v>
      </c>
      <c r="CV3571">
        <v>2</v>
      </c>
      <c r="CW3571" t="s">
        <v>120</v>
      </c>
      <c r="CX3571">
        <v>261</v>
      </c>
      <c r="CY3571">
        <v>2</v>
      </c>
      <c r="CZ3571" t="s">
        <v>121</v>
      </c>
      <c r="DA3571" t="s">
        <v>122</v>
      </c>
      <c r="DD3571">
        <v>16471890</v>
      </c>
      <c r="DE3571" t="s">
        <v>123</v>
      </c>
    </row>
    <row r="3572" spans="1:109" x14ac:dyDescent="0.3">
      <c r="A3572" t="str">
        <f>"19:34:29.695"</f>
        <v>19:34:29.695</v>
      </c>
      <c r="B3572" t="s">
        <v>110</v>
      </c>
      <c r="C3572" t="str">
        <f t="shared" si="165"/>
        <v>ffdfd3c0</v>
      </c>
      <c r="D3572" t="s">
        <v>111</v>
      </c>
      <c r="E3572">
        <v>18</v>
      </c>
      <c r="F3572">
        <v>1018</v>
      </c>
      <c r="G3572" t="s">
        <v>112</v>
      </c>
      <c r="J3572" t="s">
        <v>113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R3572" t="s">
        <v>114</v>
      </c>
      <c r="S3572" t="str">
        <f>"19:34:29.492"</f>
        <v>19:34:29.492</v>
      </c>
      <c r="T3572" t="str">
        <f>"19:34:29.289"</f>
        <v>19:34:29.289</v>
      </c>
      <c r="U3572" t="str">
        <f t="shared" si="166"/>
        <v>a1cdbe</v>
      </c>
      <c r="V3572">
        <v>0</v>
      </c>
      <c r="W3572">
        <v>0</v>
      </c>
      <c r="X3572">
        <v>2</v>
      </c>
      <c r="Y3572">
        <v>0</v>
      </c>
      <c r="Z3572">
        <v>0</v>
      </c>
      <c r="AB3572">
        <v>0</v>
      </c>
      <c r="AC3572">
        <v>9</v>
      </c>
      <c r="AD3572">
        <v>3</v>
      </c>
      <c r="AE3572">
        <v>0</v>
      </c>
      <c r="AF3572">
        <v>9</v>
      </c>
      <c r="AG3572" t="s">
        <v>158</v>
      </c>
      <c r="AH3572">
        <v>0</v>
      </c>
      <c r="AI3572">
        <v>3</v>
      </c>
      <c r="AJ3572">
        <v>1</v>
      </c>
      <c r="AK3572">
        <v>0</v>
      </c>
      <c r="AL3572" t="s">
        <v>6722</v>
      </c>
      <c r="AM3572">
        <v>47.022793</v>
      </c>
      <c r="AN3572" t="s">
        <v>6723</v>
      </c>
      <c r="AO3572">
        <v>-123.82205500000001</v>
      </c>
      <c r="AP3572">
        <v>100</v>
      </c>
      <c r="AQ3572">
        <v>2200</v>
      </c>
      <c r="AR3572" t="s">
        <v>118</v>
      </c>
      <c r="AS3572">
        <v>-76</v>
      </c>
      <c r="AT3572">
        <v>19</v>
      </c>
      <c r="AU3572">
        <v>64</v>
      </c>
      <c r="BC3572">
        <v>1200</v>
      </c>
      <c r="BD3572">
        <v>1</v>
      </c>
      <c r="BE3572" t="str">
        <f t="shared" si="167"/>
        <v xml:space="preserve">N215T   </v>
      </c>
      <c r="BF3572">
        <v>1</v>
      </c>
      <c r="BH3572">
        <v>0</v>
      </c>
      <c r="BI3572">
        <v>0</v>
      </c>
      <c r="BJ3572">
        <v>0</v>
      </c>
      <c r="BK3572">
        <v>2525</v>
      </c>
      <c r="BL3572">
        <v>325</v>
      </c>
      <c r="BM3572" t="s">
        <v>119</v>
      </c>
      <c r="BN3572">
        <v>1</v>
      </c>
      <c r="BO3572">
        <v>1</v>
      </c>
      <c r="BP3572">
        <v>1</v>
      </c>
      <c r="BQ3572">
        <v>0</v>
      </c>
      <c r="BT3572">
        <v>0</v>
      </c>
      <c r="BU3572">
        <v>0</v>
      </c>
      <c r="BV3572">
        <v>0</v>
      </c>
      <c r="CC3572" t="str">
        <f>"19:34:29.492"</f>
        <v>19:34:29.492</v>
      </c>
      <c r="CD3572" t="str">
        <f>"495368493"</f>
        <v>495368493</v>
      </c>
      <c r="CQ3572">
        <v>0</v>
      </c>
      <c r="CR3572">
        <v>2</v>
      </c>
      <c r="CS3572">
        <v>0</v>
      </c>
      <c r="CT3572">
        <v>2</v>
      </c>
      <c r="CU3572">
        <v>0</v>
      </c>
      <c r="CV3572">
        <v>4</v>
      </c>
      <c r="CW3572" t="s">
        <v>120</v>
      </c>
      <c r="CX3572">
        <v>257</v>
      </c>
      <c r="CY3572">
        <v>0</v>
      </c>
      <c r="CZ3572" t="s">
        <v>615</v>
      </c>
      <c r="DA3572" t="s">
        <v>616</v>
      </c>
      <c r="DD3572">
        <v>16484445</v>
      </c>
      <c r="DE3572" t="s">
        <v>123</v>
      </c>
    </row>
    <row r="3573" spans="1:109" x14ac:dyDescent="0.3">
      <c r="A3573" t="str">
        <f>"19:34:30.750"</f>
        <v>19:34:30.750</v>
      </c>
      <c r="B3573" t="s">
        <v>110</v>
      </c>
      <c r="C3573" t="str">
        <f t="shared" si="165"/>
        <v>ffdfd3c0</v>
      </c>
      <c r="D3573" t="s">
        <v>111</v>
      </c>
      <c r="E3573">
        <v>18</v>
      </c>
      <c r="F3573">
        <v>1018</v>
      </c>
      <c r="G3573" t="s">
        <v>112</v>
      </c>
      <c r="J3573" t="s">
        <v>113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R3573" t="s">
        <v>114</v>
      </c>
      <c r="S3573" t="str">
        <f>"19:34:30.523"</f>
        <v>19:34:30.523</v>
      </c>
      <c r="T3573" t="str">
        <f>"19:34:30.227"</f>
        <v>19:34:30.227</v>
      </c>
      <c r="U3573" t="str">
        <f t="shared" si="166"/>
        <v>a1cdbe</v>
      </c>
      <c r="V3573">
        <v>0</v>
      </c>
      <c r="W3573">
        <v>0</v>
      </c>
      <c r="X3573">
        <v>2</v>
      </c>
      <c r="Y3573">
        <v>0</v>
      </c>
      <c r="Z3573">
        <v>0</v>
      </c>
      <c r="AB3573">
        <v>0</v>
      </c>
      <c r="AC3573">
        <v>9</v>
      </c>
      <c r="AD3573">
        <v>3</v>
      </c>
      <c r="AE3573">
        <v>0</v>
      </c>
      <c r="AF3573">
        <v>9</v>
      </c>
      <c r="AG3573" t="s">
        <v>158</v>
      </c>
      <c r="AH3573">
        <v>0</v>
      </c>
      <c r="AI3573">
        <v>3</v>
      </c>
      <c r="AJ3573">
        <v>1</v>
      </c>
      <c r="AK3573">
        <v>0</v>
      </c>
      <c r="AL3573" t="s">
        <v>6724</v>
      </c>
      <c r="AM3573">
        <v>47.022857999999999</v>
      </c>
      <c r="AN3573" t="s">
        <v>6725</v>
      </c>
      <c r="AO3573">
        <v>-123.82257</v>
      </c>
      <c r="AP3573">
        <v>100</v>
      </c>
      <c r="AQ3573">
        <v>2200</v>
      </c>
      <c r="AR3573" t="s">
        <v>118</v>
      </c>
      <c r="AS3573">
        <v>-76</v>
      </c>
      <c r="AT3573">
        <v>19</v>
      </c>
      <c r="AU3573">
        <v>64</v>
      </c>
      <c r="BC3573">
        <v>1200</v>
      </c>
      <c r="BD3573">
        <v>1</v>
      </c>
      <c r="BE3573" t="str">
        <f t="shared" si="167"/>
        <v xml:space="preserve">N215T   </v>
      </c>
      <c r="BF3573">
        <v>1</v>
      </c>
      <c r="BH3573">
        <v>0</v>
      </c>
      <c r="BI3573">
        <v>0</v>
      </c>
      <c r="BJ3573">
        <v>0</v>
      </c>
      <c r="BK3573">
        <v>2550</v>
      </c>
      <c r="BL3573">
        <v>350</v>
      </c>
      <c r="BM3573" t="s">
        <v>119</v>
      </c>
      <c r="BN3573">
        <v>1</v>
      </c>
      <c r="BO3573">
        <v>1</v>
      </c>
      <c r="BP3573">
        <v>1</v>
      </c>
      <c r="BQ3573">
        <v>0</v>
      </c>
      <c r="BT3573">
        <v>0</v>
      </c>
      <c r="BU3573">
        <v>0</v>
      </c>
      <c r="BV3573">
        <v>0</v>
      </c>
      <c r="CC3573" t="str">
        <f>"19:34:30.531"</f>
        <v>19:34:30.531</v>
      </c>
      <c r="CD3573" t="str">
        <f>"530266554"</f>
        <v>530266554</v>
      </c>
      <c r="CQ3573">
        <v>0</v>
      </c>
      <c r="CR3573">
        <v>2</v>
      </c>
      <c r="CS3573">
        <v>0</v>
      </c>
      <c r="CT3573">
        <v>2</v>
      </c>
      <c r="CU3573">
        <v>0</v>
      </c>
      <c r="CV3573">
        <v>4</v>
      </c>
      <c r="CW3573" t="s">
        <v>120</v>
      </c>
      <c r="CX3573">
        <v>257</v>
      </c>
      <c r="CY3573">
        <v>0</v>
      </c>
      <c r="CZ3573" t="s">
        <v>615</v>
      </c>
      <c r="DA3573" t="s">
        <v>616</v>
      </c>
      <c r="DD3573">
        <v>16484844</v>
      </c>
      <c r="DE3573" t="s">
        <v>123</v>
      </c>
    </row>
    <row r="3574" spans="1:109" x14ac:dyDescent="0.3">
      <c r="A3574" t="str">
        <f>"19:34:31.656"</f>
        <v>19:34:31.656</v>
      </c>
      <c r="B3574" t="s">
        <v>110</v>
      </c>
      <c r="C3574" t="str">
        <f t="shared" si="165"/>
        <v>ffdfd3c0</v>
      </c>
      <c r="D3574" t="s">
        <v>111</v>
      </c>
      <c r="E3574">
        <v>18</v>
      </c>
      <c r="F3574">
        <v>1018</v>
      </c>
      <c r="G3574" t="s">
        <v>112</v>
      </c>
      <c r="J3574" t="s">
        <v>113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R3574" t="s">
        <v>114</v>
      </c>
      <c r="S3574" t="str">
        <f>"19:34:31.438"</f>
        <v>19:34:31.438</v>
      </c>
      <c r="T3574" t="str">
        <f>"19:34:31.336"</f>
        <v>19:34:31.336</v>
      </c>
      <c r="U3574" t="str">
        <f t="shared" si="166"/>
        <v>a1cdbe</v>
      </c>
      <c r="V3574">
        <v>0</v>
      </c>
      <c r="W3574">
        <v>0</v>
      </c>
      <c r="X3574">
        <v>2</v>
      </c>
      <c r="Y3574">
        <v>0</v>
      </c>
      <c r="Z3574">
        <v>0</v>
      </c>
      <c r="AB3574">
        <v>0</v>
      </c>
      <c r="AC3574">
        <v>9</v>
      </c>
      <c r="AD3574">
        <v>3</v>
      </c>
      <c r="AE3574">
        <v>0</v>
      </c>
      <c r="AF3574">
        <v>9</v>
      </c>
      <c r="AG3574" t="s">
        <v>158</v>
      </c>
      <c r="AH3574">
        <v>0</v>
      </c>
      <c r="AI3574">
        <v>3</v>
      </c>
      <c r="AJ3574">
        <v>1</v>
      </c>
      <c r="AK3574">
        <v>0</v>
      </c>
      <c r="AL3574" t="s">
        <v>6726</v>
      </c>
      <c r="AM3574">
        <v>47.022922000000001</v>
      </c>
      <c r="AN3574" t="s">
        <v>6727</v>
      </c>
      <c r="AO3574">
        <v>-123.823106</v>
      </c>
      <c r="AP3574">
        <v>100</v>
      </c>
      <c r="AQ3574">
        <v>2200</v>
      </c>
      <c r="AR3574" t="s">
        <v>118</v>
      </c>
      <c r="AS3574">
        <v>-76</v>
      </c>
      <c r="AT3574">
        <v>19</v>
      </c>
      <c r="AU3574">
        <v>128</v>
      </c>
      <c r="BC3574">
        <v>1200</v>
      </c>
      <c r="BD3574">
        <v>1</v>
      </c>
      <c r="BE3574" t="str">
        <f t="shared" si="167"/>
        <v xml:space="preserve">N215T   </v>
      </c>
      <c r="BF3574">
        <v>1</v>
      </c>
      <c r="BH3574">
        <v>0</v>
      </c>
      <c r="BI3574">
        <v>0</v>
      </c>
      <c r="BJ3574">
        <v>0</v>
      </c>
      <c r="BK3574">
        <v>2550</v>
      </c>
      <c r="BL3574">
        <v>350</v>
      </c>
      <c r="BM3574" t="s">
        <v>119</v>
      </c>
      <c r="BN3574">
        <v>1</v>
      </c>
      <c r="BO3574">
        <v>1</v>
      </c>
      <c r="BP3574">
        <v>1</v>
      </c>
      <c r="BQ3574">
        <v>0</v>
      </c>
      <c r="BT3574">
        <v>0</v>
      </c>
      <c r="BU3574">
        <v>0</v>
      </c>
      <c r="BV3574">
        <v>0</v>
      </c>
      <c r="CC3574" t="str">
        <f>"19:34:31.445"</f>
        <v>19:34:31.445</v>
      </c>
      <c r="CD3574" t="str">
        <f>"445176408"</f>
        <v>445176408</v>
      </c>
      <c r="CQ3574">
        <v>0</v>
      </c>
      <c r="CR3574">
        <v>2</v>
      </c>
      <c r="CS3574">
        <v>0</v>
      </c>
      <c r="CT3574">
        <v>2</v>
      </c>
      <c r="CU3574">
        <v>0</v>
      </c>
      <c r="CV3574">
        <v>5</v>
      </c>
      <c r="CW3574" t="s">
        <v>120</v>
      </c>
      <c r="CX3574">
        <v>257</v>
      </c>
      <c r="CY3574">
        <v>0</v>
      </c>
      <c r="CZ3574" t="s">
        <v>615</v>
      </c>
      <c r="DA3574" t="s">
        <v>616</v>
      </c>
      <c r="DD3574">
        <v>16485215</v>
      </c>
      <c r="DE3574" t="s">
        <v>123</v>
      </c>
    </row>
    <row r="3575" spans="1:109" x14ac:dyDescent="0.3">
      <c r="A3575" t="str">
        <f>"19:34:32.508"</f>
        <v>19:34:32.508</v>
      </c>
      <c r="B3575" t="s">
        <v>110</v>
      </c>
      <c r="C3575" t="str">
        <f t="shared" si="165"/>
        <v>ffdfd3c0</v>
      </c>
      <c r="D3575" t="s">
        <v>111</v>
      </c>
      <c r="E3575">
        <v>18</v>
      </c>
      <c r="F3575">
        <v>1018</v>
      </c>
      <c r="G3575" t="s">
        <v>112</v>
      </c>
      <c r="J3575" t="s">
        <v>113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R3575" t="s">
        <v>114</v>
      </c>
      <c r="S3575" t="str">
        <f>"19:34:32.266"</f>
        <v>19:34:32.266</v>
      </c>
      <c r="T3575" t="str">
        <f>"19:34:31.867"</f>
        <v>19:34:31.867</v>
      </c>
      <c r="U3575" t="str">
        <f t="shared" si="166"/>
        <v>a1cdbe</v>
      </c>
      <c r="V3575">
        <v>0</v>
      </c>
      <c r="W3575">
        <v>0</v>
      </c>
      <c r="X3575">
        <v>2</v>
      </c>
      <c r="Y3575">
        <v>0</v>
      </c>
      <c r="Z3575">
        <v>0</v>
      </c>
      <c r="AB3575">
        <v>0</v>
      </c>
      <c r="AC3575">
        <v>9</v>
      </c>
      <c r="AD3575">
        <v>3</v>
      </c>
      <c r="AE3575">
        <v>0</v>
      </c>
      <c r="AF3575">
        <v>9</v>
      </c>
      <c r="AG3575" t="s">
        <v>158</v>
      </c>
      <c r="AH3575">
        <v>0</v>
      </c>
      <c r="AI3575">
        <v>3</v>
      </c>
      <c r="AJ3575">
        <v>1</v>
      </c>
      <c r="AK3575">
        <v>0</v>
      </c>
      <c r="AL3575" t="s">
        <v>6728</v>
      </c>
      <c r="AM3575">
        <v>47.023029000000001</v>
      </c>
      <c r="AN3575" t="s">
        <v>6729</v>
      </c>
      <c r="AO3575">
        <v>-123.823514</v>
      </c>
      <c r="AP3575">
        <v>100</v>
      </c>
      <c r="AQ3575">
        <v>2200</v>
      </c>
      <c r="AR3575" t="s">
        <v>118</v>
      </c>
      <c r="AS3575">
        <v>-76</v>
      </c>
      <c r="AT3575">
        <v>19</v>
      </c>
      <c r="AU3575">
        <v>128</v>
      </c>
      <c r="BC3575">
        <v>1200</v>
      </c>
      <c r="BD3575">
        <v>1</v>
      </c>
      <c r="BE3575" t="str">
        <f t="shared" si="167"/>
        <v xml:space="preserve">N215T   </v>
      </c>
      <c r="BF3575">
        <v>1</v>
      </c>
      <c r="BH3575">
        <v>0</v>
      </c>
      <c r="BI3575">
        <v>0</v>
      </c>
      <c r="BJ3575">
        <v>0</v>
      </c>
      <c r="BK3575">
        <v>2550</v>
      </c>
      <c r="BL3575">
        <v>350</v>
      </c>
      <c r="BM3575" t="s">
        <v>119</v>
      </c>
      <c r="BN3575">
        <v>1</v>
      </c>
      <c r="BO3575">
        <v>1</v>
      </c>
      <c r="BP3575">
        <v>1</v>
      </c>
      <c r="BQ3575">
        <v>0</v>
      </c>
      <c r="BT3575">
        <v>0</v>
      </c>
      <c r="BU3575">
        <v>0</v>
      </c>
      <c r="BV3575">
        <v>0</v>
      </c>
      <c r="CC3575" t="str">
        <f>"19:34:32.273"</f>
        <v>19:34:32.273</v>
      </c>
      <c r="CD3575" t="str">
        <f>"270095127"</f>
        <v>270095127</v>
      </c>
      <c r="CQ3575">
        <v>0</v>
      </c>
      <c r="CR3575">
        <v>2</v>
      </c>
      <c r="CS3575">
        <v>0</v>
      </c>
      <c r="CT3575">
        <v>2</v>
      </c>
      <c r="CU3575">
        <v>0</v>
      </c>
      <c r="CV3575">
        <v>5</v>
      </c>
      <c r="CW3575" t="s">
        <v>120</v>
      </c>
      <c r="CX3575">
        <v>257</v>
      </c>
      <c r="CY3575">
        <v>0</v>
      </c>
      <c r="CZ3575" t="s">
        <v>615</v>
      </c>
      <c r="DA3575" t="s">
        <v>616</v>
      </c>
      <c r="DD3575">
        <v>16485600</v>
      </c>
      <c r="DE3575" t="s">
        <v>123</v>
      </c>
    </row>
    <row r="3576" spans="1:109" x14ac:dyDescent="0.3">
      <c r="A3576" t="str">
        <f>"19:34:33.617"</f>
        <v>19:34:33.617</v>
      </c>
      <c r="B3576" t="s">
        <v>110</v>
      </c>
      <c r="C3576" t="str">
        <f t="shared" si="165"/>
        <v>ffdfd3c0</v>
      </c>
      <c r="D3576" t="s">
        <v>111</v>
      </c>
      <c r="E3576">
        <v>18</v>
      </c>
      <c r="F3576">
        <v>1018</v>
      </c>
      <c r="G3576" t="s">
        <v>112</v>
      </c>
      <c r="J3576" t="s">
        <v>113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R3576" t="s">
        <v>114</v>
      </c>
      <c r="S3576" t="str">
        <f>"19:34:33.344"</f>
        <v>19:34:33.344</v>
      </c>
      <c r="T3576" t="str">
        <f>"19:34:33.344"</f>
        <v>19:34:33.344</v>
      </c>
      <c r="U3576" t="str">
        <f t="shared" si="166"/>
        <v>a1cdbe</v>
      </c>
      <c r="V3576">
        <v>0</v>
      </c>
      <c r="W3576">
        <v>0</v>
      </c>
      <c r="X3576">
        <v>2</v>
      </c>
      <c r="Y3576">
        <v>0</v>
      </c>
      <c r="Z3576">
        <v>0</v>
      </c>
      <c r="AB3576">
        <v>0</v>
      </c>
      <c r="AC3576">
        <v>9</v>
      </c>
      <c r="AD3576">
        <v>3</v>
      </c>
      <c r="AE3576">
        <v>0</v>
      </c>
      <c r="AF3576">
        <v>9</v>
      </c>
      <c r="AG3576" t="s">
        <v>158</v>
      </c>
      <c r="AH3576">
        <v>0</v>
      </c>
      <c r="AI3576">
        <v>3</v>
      </c>
      <c r="AJ3576">
        <v>1</v>
      </c>
      <c r="AK3576">
        <v>0</v>
      </c>
      <c r="AL3576" t="s">
        <v>6730</v>
      </c>
      <c r="AM3576">
        <v>47.023114999999997</v>
      </c>
      <c r="AN3576" t="s">
        <v>6731</v>
      </c>
      <c r="AO3576">
        <v>-123.82400800000001</v>
      </c>
      <c r="AP3576">
        <v>100</v>
      </c>
      <c r="AQ3576">
        <v>2200</v>
      </c>
      <c r="AR3576" t="s">
        <v>118</v>
      </c>
      <c r="AS3576">
        <v>-75</v>
      </c>
      <c r="AT3576">
        <v>19</v>
      </c>
      <c r="AU3576">
        <v>128</v>
      </c>
      <c r="BC3576">
        <v>1200</v>
      </c>
      <c r="BD3576">
        <v>1</v>
      </c>
      <c r="BE3576" t="str">
        <f t="shared" si="167"/>
        <v xml:space="preserve">N215T   </v>
      </c>
      <c r="BF3576">
        <v>1</v>
      </c>
      <c r="BH3576">
        <v>0</v>
      </c>
      <c r="BI3576">
        <v>0</v>
      </c>
      <c r="BJ3576">
        <v>0</v>
      </c>
      <c r="BK3576">
        <v>2550</v>
      </c>
      <c r="BL3576">
        <v>350</v>
      </c>
      <c r="BM3576" t="s">
        <v>119</v>
      </c>
      <c r="BN3576">
        <v>1</v>
      </c>
      <c r="BO3576">
        <v>1</v>
      </c>
      <c r="BP3576">
        <v>1</v>
      </c>
      <c r="BQ3576">
        <v>0</v>
      </c>
      <c r="BT3576">
        <v>0</v>
      </c>
      <c r="BU3576">
        <v>0</v>
      </c>
      <c r="BV3576">
        <v>0</v>
      </c>
      <c r="CC3576" t="str">
        <f>"19:34:33.352"</f>
        <v>19:34:33.352</v>
      </c>
      <c r="CD3576" t="str">
        <f>"349988739"</f>
        <v>349988739</v>
      </c>
      <c r="CQ3576">
        <v>0</v>
      </c>
      <c r="CR3576">
        <v>2</v>
      </c>
      <c r="CS3576">
        <v>0</v>
      </c>
      <c r="CT3576">
        <v>2</v>
      </c>
      <c r="CU3576">
        <v>0</v>
      </c>
      <c r="CV3576">
        <v>5</v>
      </c>
      <c r="CW3576" t="s">
        <v>120</v>
      </c>
      <c r="CX3576">
        <v>257</v>
      </c>
      <c r="CY3576">
        <v>0</v>
      </c>
      <c r="CZ3576" t="s">
        <v>615</v>
      </c>
      <c r="DA3576" t="s">
        <v>616</v>
      </c>
      <c r="DD3576">
        <v>16486029</v>
      </c>
      <c r="DE3576" t="s">
        <v>123</v>
      </c>
    </row>
    <row r="3577" spans="1:109" x14ac:dyDescent="0.3">
      <c r="A3577" t="str">
        <f>"19:34:34.523"</f>
        <v>19:34:34.523</v>
      </c>
      <c r="B3577" t="s">
        <v>110</v>
      </c>
      <c r="C3577" t="str">
        <f t="shared" si="165"/>
        <v>ffdfd3c0</v>
      </c>
      <c r="D3577" t="s">
        <v>111</v>
      </c>
      <c r="E3577">
        <v>18</v>
      </c>
      <c r="F3577">
        <v>1018</v>
      </c>
      <c r="G3577" t="s">
        <v>112</v>
      </c>
      <c r="J3577" t="s">
        <v>113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R3577" t="s">
        <v>114</v>
      </c>
      <c r="S3577" t="str">
        <f>"19:34:34.305"</f>
        <v>19:34:34.305</v>
      </c>
      <c r="T3577" t="str">
        <f>"19:34:34.203"</f>
        <v>19:34:34.203</v>
      </c>
      <c r="U3577" t="str">
        <f t="shared" si="166"/>
        <v>a1cdbe</v>
      </c>
      <c r="V3577">
        <v>0</v>
      </c>
      <c r="W3577">
        <v>0</v>
      </c>
      <c r="X3577">
        <v>2</v>
      </c>
      <c r="Y3577">
        <v>0</v>
      </c>
      <c r="Z3577">
        <v>0</v>
      </c>
      <c r="AB3577">
        <v>0</v>
      </c>
      <c r="AC3577">
        <v>9</v>
      </c>
      <c r="AD3577">
        <v>3</v>
      </c>
      <c r="AE3577">
        <v>0</v>
      </c>
      <c r="AF3577">
        <v>9</v>
      </c>
      <c r="AG3577" t="s">
        <v>158</v>
      </c>
      <c r="AH3577">
        <v>0</v>
      </c>
      <c r="AI3577">
        <v>3</v>
      </c>
      <c r="AJ3577">
        <v>1</v>
      </c>
      <c r="AK3577">
        <v>0</v>
      </c>
      <c r="AL3577" t="s">
        <v>6732</v>
      </c>
      <c r="AM3577">
        <v>47.023201</v>
      </c>
      <c r="AN3577" t="s">
        <v>6733</v>
      </c>
      <c r="AO3577">
        <v>-123.824501</v>
      </c>
      <c r="AP3577">
        <v>100</v>
      </c>
      <c r="AQ3577">
        <v>2200</v>
      </c>
      <c r="AR3577" t="s">
        <v>118</v>
      </c>
      <c r="AS3577">
        <v>-75</v>
      </c>
      <c r="AT3577">
        <v>18</v>
      </c>
      <c r="AU3577">
        <v>64</v>
      </c>
      <c r="BC3577">
        <v>1200</v>
      </c>
      <c r="BD3577">
        <v>1</v>
      </c>
      <c r="BE3577" t="str">
        <f t="shared" si="167"/>
        <v xml:space="preserve">N215T   </v>
      </c>
      <c r="BF3577">
        <v>1</v>
      </c>
      <c r="BH3577">
        <v>0</v>
      </c>
      <c r="BI3577">
        <v>0</v>
      </c>
      <c r="BJ3577">
        <v>0</v>
      </c>
      <c r="BK3577">
        <v>2550</v>
      </c>
      <c r="BL3577">
        <v>350</v>
      </c>
      <c r="BM3577" t="s">
        <v>119</v>
      </c>
      <c r="BN3577">
        <v>1</v>
      </c>
      <c r="BO3577">
        <v>1</v>
      </c>
      <c r="BP3577">
        <v>1</v>
      </c>
      <c r="BQ3577">
        <v>0</v>
      </c>
      <c r="BT3577">
        <v>0</v>
      </c>
      <c r="BU3577">
        <v>0</v>
      </c>
      <c r="BV3577">
        <v>0</v>
      </c>
      <c r="CC3577" t="str">
        <f>"19:34:34.313"</f>
        <v>19:34:34.313</v>
      </c>
      <c r="CD3577" t="str">
        <f>"309894160"</f>
        <v>309894160</v>
      </c>
      <c r="CQ3577">
        <v>0</v>
      </c>
      <c r="CR3577">
        <v>2</v>
      </c>
      <c r="CS3577">
        <v>0</v>
      </c>
      <c r="CT3577">
        <v>2</v>
      </c>
      <c r="CU3577">
        <v>0</v>
      </c>
      <c r="CV3577">
        <v>3</v>
      </c>
      <c r="CW3577" t="s">
        <v>120</v>
      </c>
      <c r="CX3577">
        <v>257</v>
      </c>
      <c r="CY3577">
        <v>0</v>
      </c>
      <c r="CZ3577" t="s">
        <v>615</v>
      </c>
      <c r="DA3577" t="s">
        <v>616</v>
      </c>
      <c r="DD3577">
        <v>16486396</v>
      </c>
      <c r="DE3577" t="s">
        <v>123</v>
      </c>
    </row>
    <row r="3578" spans="1:109" x14ac:dyDescent="0.3">
      <c r="A3578" t="str">
        <f>"19:34:35.477"</f>
        <v>19:34:35.477</v>
      </c>
      <c r="B3578" t="s">
        <v>110</v>
      </c>
      <c r="C3578" t="str">
        <f t="shared" si="165"/>
        <v>ffdfd3c0</v>
      </c>
      <c r="D3578" t="s">
        <v>111</v>
      </c>
      <c r="E3578">
        <v>18</v>
      </c>
      <c r="F3578">
        <v>1018</v>
      </c>
      <c r="G3578" t="s">
        <v>112</v>
      </c>
      <c r="J3578" t="s">
        <v>113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R3578" t="s">
        <v>114</v>
      </c>
      <c r="S3578" t="str">
        <f>"19:34:35.266"</f>
        <v>19:34:35.266</v>
      </c>
      <c r="T3578" t="str">
        <f>"19:34:35.164"</f>
        <v>19:34:35.164</v>
      </c>
      <c r="U3578" t="str">
        <f t="shared" si="166"/>
        <v>a1cdbe</v>
      </c>
      <c r="V3578">
        <v>0</v>
      </c>
      <c r="W3578">
        <v>0</v>
      </c>
      <c r="X3578">
        <v>2</v>
      </c>
      <c r="Y3578">
        <v>0</v>
      </c>
      <c r="Z3578">
        <v>0</v>
      </c>
      <c r="AB3578">
        <v>0</v>
      </c>
      <c r="AC3578">
        <v>9</v>
      </c>
      <c r="AD3578">
        <v>3</v>
      </c>
      <c r="AE3578">
        <v>0</v>
      </c>
      <c r="AF3578">
        <v>9</v>
      </c>
      <c r="AG3578" t="s">
        <v>158</v>
      </c>
      <c r="AH3578">
        <v>0</v>
      </c>
      <c r="AI3578">
        <v>3</v>
      </c>
      <c r="AJ3578">
        <v>1</v>
      </c>
      <c r="AK3578">
        <v>0</v>
      </c>
      <c r="AL3578" t="s">
        <v>6734</v>
      </c>
      <c r="AM3578">
        <v>47.023265000000002</v>
      </c>
      <c r="AN3578" t="s">
        <v>6735</v>
      </c>
      <c r="AO3578">
        <v>-123.824973</v>
      </c>
      <c r="AP3578">
        <v>100</v>
      </c>
      <c r="AQ3578">
        <v>2200</v>
      </c>
      <c r="AR3578" t="s">
        <v>118</v>
      </c>
      <c r="AS3578">
        <v>-76</v>
      </c>
      <c r="AT3578">
        <v>18</v>
      </c>
      <c r="AU3578">
        <v>64</v>
      </c>
      <c r="BC3578">
        <v>1200</v>
      </c>
      <c r="BD3578">
        <v>1</v>
      </c>
      <c r="BE3578" t="str">
        <f t="shared" si="167"/>
        <v xml:space="preserve">N215T   </v>
      </c>
      <c r="BF3578">
        <v>1</v>
      </c>
      <c r="BH3578">
        <v>0</v>
      </c>
      <c r="BI3578">
        <v>0</v>
      </c>
      <c r="BJ3578">
        <v>0</v>
      </c>
      <c r="BK3578">
        <v>2550</v>
      </c>
      <c r="BL3578">
        <v>350</v>
      </c>
      <c r="BM3578" t="s">
        <v>119</v>
      </c>
      <c r="BN3578">
        <v>1</v>
      </c>
      <c r="BO3578">
        <v>1</v>
      </c>
      <c r="BP3578">
        <v>1</v>
      </c>
      <c r="BQ3578">
        <v>0</v>
      </c>
      <c r="BT3578">
        <v>0</v>
      </c>
      <c r="BU3578">
        <v>0</v>
      </c>
      <c r="BV3578">
        <v>0</v>
      </c>
      <c r="CC3578" t="str">
        <f>"19:34:35.273"</f>
        <v>19:34:35.273</v>
      </c>
      <c r="CD3578" t="str">
        <f>"269799627"</f>
        <v>269799627</v>
      </c>
      <c r="CQ3578">
        <v>0</v>
      </c>
      <c r="CR3578">
        <v>2</v>
      </c>
      <c r="CS3578">
        <v>0</v>
      </c>
      <c r="CT3578">
        <v>2</v>
      </c>
      <c r="CU3578">
        <v>0</v>
      </c>
      <c r="CV3578">
        <v>5</v>
      </c>
      <c r="CW3578" t="s">
        <v>120</v>
      </c>
      <c r="CX3578">
        <v>257</v>
      </c>
      <c r="CY3578">
        <v>0</v>
      </c>
      <c r="CZ3578" t="s">
        <v>615</v>
      </c>
      <c r="DA3578" t="s">
        <v>616</v>
      </c>
      <c r="DD3578">
        <v>16486782</v>
      </c>
      <c r="DE3578" t="s">
        <v>123</v>
      </c>
    </row>
    <row r="3579" spans="1:109" x14ac:dyDescent="0.3">
      <c r="A3579" t="str">
        <f>"19:34:36.430"</f>
        <v>19:34:36.430</v>
      </c>
      <c r="B3579" t="s">
        <v>110</v>
      </c>
      <c r="C3579" t="str">
        <f t="shared" si="165"/>
        <v>ffdfd3c0</v>
      </c>
      <c r="D3579" t="s">
        <v>111</v>
      </c>
      <c r="E3579">
        <v>18</v>
      </c>
      <c r="F3579">
        <v>1018</v>
      </c>
      <c r="G3579" t="s">
        <v>112</v>
      </c>
      <c r="J3579" t="s">
        <v>113</v>
      </c>
      <c r="K3579">
        <v>0</v>
      </c>
      <c r="L3579">
        <v>3</v>
      </c>
      <c r="M3579">
        <v>0</v>
      </c>
      <c r="N3579">
        <v>2</v>
      </c>
      <c r="O3579">
        <v>1</v>
      </c>
      <c r="P3579">
        <v>0</v>
      </c>
      <c r="Q3579">
        <v>0</v>
      </c>
      <c r="R3579" t="s">
        <v>114</v>
      </c>
      <c r="S3579" t="str">
        <f>"19:34:36.148"</f>
        <v>19:34:36.148</v>
      </c>
      <c r="T3579" t="str">
        <f>"19:34:35.750"</f>
        <v>19:34:35.750</v>
      </c>
      <c r="U3579" t="str">
        <f t="shared" si="166"/>
        <v>a1cdbe</v>
      </c>
      <c r="V3579">
        <v>0</v>
      </c>
      <c r="W3579">
        <v>0</v>
      </c>
      <c r="X3579">
        <v>2</v>
      </c>
      <c r="Y3579">
        <v>0</v>
      </c>
      <c r="Z3579">
        <v>0</v>
      </c>
      <c r="AB3579">
        <v>0</v>
      </c>
      <c r="AC3579">
        <v>9</v>
      </c>
      <c r="AD3579">
        <v>3</v>
      </c>
      <c r="AE3579">
        <v>0</v>
      </c>
      <c r="AF3579">
        <v>9</v>
      </c>
      <c r="AG3579" t="s">
        <v>158</v>
      </c>
      <c r="AH3579">
        <v>0</v>
      </c>
      <c r="AI3579">
        <v>3</v>
      </c>
      <c r="AJ3579">
        <v>1</v>
      </c>
      <c r="AK3579">
        <v>0</v>
      </c>
      <c r="AL3579" t="s">
        <v>6736</v>
      </c>
      <c r="AM3579">
        <v>47.023350999999998</v>
      </c>
      <c r="AN3579" t="s">
        <v>6737</v>
      </c>
      <c r="AO3579">
        <v>-123.825467</v>
      </c>
      <c r="AP3579">
        <v>100</v>
      </c>
      <c r="AQ3579">
        <v>2200</v>
      </c>
      <c r="AR3579" t="s">
        <v>118</v>
      </c>
      <c r="AS3579">
        <v>-76</v>
      </c>
      <c r="AT3579">
        <v>18</v>
      </c>
      <c r="AU3579">
        <v>64</v>
      </c>
      <c r="BC3579">
        <v>1200</v>
      </c>
      <c r="BD3579">
        <v>1</v>
      </c>
      <c r="BE3579" t="str">
        <f t="shared" si="167"/>
        <v xml:space="preserve">N215T   </v>
      </c>
      <c r="BF3579">
        <v>1</v>
      </c>
      <c r="BH3579">
        <v>0</v>
      </c>
      <c r="BI3579">
        <v>0</v>
      </c>
      <c r="BJ3579">
        <v>0</v>
      </c>
      <c r="BK3579">
        <v>2550</v>
      </c>
      <c r="BL3579">
        <v>350</v>
      </c>
      <c r="BM3579" t="s">
        <v>119</v>
      </c>
      <c r="BN3579">
        <v>1</v>
      </c>
      <c r="BO3579">
        <v>1</v>
      </c>
      <c r="BP3579">
        <v>1</v>
      </c>
      <c r="BQ3579">
        <v>0</v>
      </c>
      <c r="BT3579">
        <v>0</v>
      </c>
      <c r="BU3579">
        <v>0</v>
      </c>
      <c r="BV3579">
        <v>0</v>
      </c>
      <c r="CC3579" t="str">
        <f>"19:34:36.156"</f>
        <v>19:34:36.156</v>
      </c>
      <c r="CD3579" t="str">
        <f>"154712432"</f>
        <v>154712432</v>
      </c>
      <c r="CQ3579">
        <v>0</v>
      </c>
      <c r="CR3579">
        <v>2</v>
      </c>
      <c r="CS3579">
        <v>0</v>
      </c>
      <c r="CT3579">
        <v>2</v>
      </c>
      <c r="CU3579">
        <v>0</v>
      </c>
      <c r="CV3579">
        <v>4</v>
      </c>
      <c r="CW3579" t="s">
        <v>120</v>
      </c>
      <c r="CX3579">
        <v>257</v>
      </c>
      <c r="CY3579">
        <v>0</v>
      </c>
      <c r="CZ3579" t="s">
        <v>615</v>
      </c>
      <c r="DA3579" t="s">
        <v>616</v>
      </c>
      <c r="DD3579">
        <v>16487198</v>
      </c>
      <c r="DE3579" t="s">
        <v>123</v>
      </c>
    </row>
    <row r="3580" spans="1:109" x14ac:dyDescent="0.3">
      <c r="A3580" t="str">
        <f>"19:34:37.492"</f>
        <v>19:34:37.492</v>
      </c>
      <c r="B3580" t="s">
        <v>110</v>
      </c>
      <c r="C3580" t="str">
        <f t="shared" si="165"/>
        <v>ffdfd3c0</v>
      </c>
      <c r="D3580" t="s">
        <v>111</v>
      </c>
      <c r="E3580">
        <v>18</v>
      </c>
      <c r="F3580">
        <v>1018</v>
      </c>
      <c r="G3580" t="s">
        <v>112</v>
      </c>
      <c r="J3580" t="s">
        <v>113</v>
      </c>
      <c r="K3580">
        <v>0</v>
      </c>
      <c r="L3580">
        <v>3</v>
      </c>
      <c r="M3580">
        <v>0</v>
      </c>
      <c r="N3580">
        <v>2</v>
      </c>
      <c r="O3580">
        <v>1</v>
      </c>
      <c r="P3580">
        <v>0</v>
      </c>
      <c r="Q3580">
        <v>0</v>
      </c>
      <c r="R3580" t="s">
        <v>114</v>
      </c>
      <c r="S3580" t="str">
        <f>"19:34:37.273"</f>
        <v>19:34:37.273</v>
      </c>
      <c r="T3580" t="str">
        <f>"19:34:36.875"</f>
        <v>19:34:36.875</v>
      </c>
      <c r="U3580" t="str">
        <f t="shared" si="166"/>
        <v>a1cdbe</v>
      </c>
      <c r="V3580">
        <v>0</v>
      </c>
      <c r="W3580">
        <v>0</v>
      </c>
      <c r="X3580">
        <v>2</v>
      </c>
      <c r="Y3580">
        <v>0</v>
      </c>
      <c r="Z3580">
        <v>0</v>
      </c>
      <c r="AB3580">
        <v>0</v>
      </c>
      <c r="AC3580">
        <v>9</v>
      </c>
      <c r="AD3580">
        <v>3</v>
      </c>
      <c r="AE3580">
        <v>0</v>
      </c>
      <c r="AF3580">
        <v>9</v>
      </c>
      <c r="AG3580" t="s">
        <v>158</v>
      </c>
      <c r="AH3580">
        <v>0</v>
      </c>
      <c r="AI3580">
        <v>3</v>
      </c>
      <c r="AJ3580">
        <v>1</v>
      </c>
      <c r="AK3580">
        <v>0</v>
      </c>
      <c r="AL3580" t="s">
        <v>6738</v>
      </c>
      <c r="AM3580">
        <v>47.023457999999998</v>
      </c>
      <c r="AN3580" t="s">
        <v>6739</v>
      </c>
      <c r="AO3580">
        <v>-123.826089</v>
      </c>
      <c r="AP3580">
        <v>100</v>
      </c>
      <c r="AQ3580">
        <v>2200</v>
      </c>
      <c r="AR3580" t="s">
        <v>118</v>
      </c>
      <c r="AS3580">
        <v>-76</v>
      </c>
      <c r="AT3580">
        <v>18</v>
      </c>
      <c r="AU3580">
        <v>0</v>
      </c>
      <c r="BC3580">
        <v>1200</v>
      </c>
      <c r="BD3580">
        <v>1</v>
      </c>
      <c r="BE3580" t="str">
        <f t="shared" si="167"/>
        <v xml:space="preserve">N215T   </v>
      </c>
      <c r="BF3580">
        <v>1</v>
      </c>
      <c r="BH3580">
        <v>0</v>
      </c>
      <c r="BI3580">
        <v>0</v>
      </c>
      <c r="BJ3580">
        <v>0</v>
      </c>
      <c r="BK3580">
        <v>2550</v>
      </c>
      <c r="BL3580">
        <v>350</v>
      </c>
      <c r="BM3580" t="s">
        <v>119</v>
      </c>
      <c r="BN3580">
        <v>1</v>
      </c>
      <c r="BO3580">
        <v>1</v>
      </c>
      <c r="BP3580">
        <v>1</v>
      </c>
      <c r="BQ3580">
        <v>0</v>
      </c>
      <c r="BT3580">
        <v>0</v>
      </c>
      <c r="BU3580">
        <v>0</v>
      </c>
      <c r="BV3580">
        <v>0</v>
      </c>
      <c r="CC3580" t="str">
        <f>"19:34:37.281"</f>
        <v>19:34:37.281</v>
      </c>
      <c r="CD3580" t="str">
        <f>"279601587"</f>
        <v>279601587</v>
      </c>
      <c r="CQ3580">
        <v>0</v>
      </c>
      <c r="CR3580">
        <v>2</v>
      </c>
      <c r="CS3580">
        <v>0</v>
      </c>
      <c r="CT3580">
        <v>2</v>
      </c>
      <c r="CU3580">
        <v>0</v>
      </c>
      <c r="CV3580">
        <v>3</v>
      </c>
      <c r="CW3580" t="s">
        <v>120</v>
      </c>
      <c r="CX3580">
        <v>257</v>
      </c>
      <c r="CY3580">
        <v>0</v>
      </c>
      <c r="CZ3580" t="s">
        <v>615</v>
      </c>
      <c r="DA3580" t="s">
        <v>616</v>
      </c>
      <c r="DD3580">
        <v>16487699</v>
      </c>
      <c r="DE3580" t="s">
        <v>123</v>
      </c>
    </row>
    <row r="3581" spans="1:109" x14ac:dyDescent="0.3">
      <c r="A3581" t="str">
        <f>"19:34:38.547"</f>
        <v>19:34:38.547</v>
      </c>
      <c r="B3581" t="s">
        <v>110</v>
      </c>
      <c r="C3581" t="str">
        <f t="shared" si="165"/>
        <v>ffdfd3c0</v>
      </c>
      <c r="D3581" t="s">
        <v>111</v>
      </c>
      <c r="E3581">
        <v>18</v>
      </c>
      <c r="F3581">
        <v>1018</v>
      </c>
      <c r="G3581" t="s">
        <v>112</v>
      </c>
      <c r="J3581" t="s">
        <v>113</v>
      </c>
      <c r="K3581">
        <v>0</v>
      </c>
      <c r="L3581">
        <v>3</v>
      </c>
      <c r="M3581">
        <v>0</v>
      </c>
      <c r="N3581">
        <v>2</v>
      </c>
      <c r="O3581">
        <v>1</v>
      </c>
      <c r="P3581">
        <v>0</v>
      </c>
      <c r="Q3581">
        <v>0</v>
      </c>
      <c r="R3581" t="s">
        <v>114</v>
      </c>
      <c r="S3581" t="str">
        <f>"19:34:38.281"</f>
        <v>19:34:38.281</v>
      </c>
      <c r="T3581" t="str">
        <f>"19:34:37.883"</f>
        <v>19:34:37.883</v>
      </c>
      <c r="U3581" t="str">
        <f t="shared" si="166"/>
        <v>a1cdbe</v>
      </c>
      <c r="V3581">
        <v>0</v>
      </c>
      <c r="W3581">
        <v>0</v>
      </c>
      <c r="X3581">
        <v>2</v>
      </c>
      <c r="Y3581">
        <v>0</v>
      </c>
      <c r="Z3581">
        <v>0</v>
      </c>
      <c r="AB3581">
        <v>0</v>
      </c>
      <c r="AC3581">
        <v>9</v>
      </c>
      <c r="AD3581">
        <v>3</v>
      </c>
      <c r="AE3581">
        <v>0</v>
      </c>
      <c r="AF3581">
        <v>9</v>
      </c>
      <c r="AG3581" t="s">
        <v>158</v>
      </c>
      <c r="AH3581">
        <v>0</v>
      </c>
      <c r="AI3581">
        <v>3</v>
      </c>
      <c r="AJ3581">
        <v>1</v>
      </c>
      <c r="AK3581">
        <v>0</v>
      </c>
      <c r="AL3581" t="s">
        <v>6740</v>
      </c>
      <c r="AM3581">
        <v>47.023522999999997</v>
      </c>
      <c r="AN3581" t="s">
        <v>6741</v>
      </c>
      <c r="AO3581">
        <v>-123.826561</v>
      </c>
      <c r="AP3581">
        <v>100</v>
      </c>
      <c r="AQ3581">
        <v>2200</v>
      </c>
      <c r="AR3581" t="s">
        <v>118</v>
      </c>
      <c r="AS3581">
        <v>-76</v>
      </c>
      <c r="AT3581">
        <v>18</v>
      </c>
      <c r="AU3581">
        <v>0</v>
      </c>
      <c r="BC3581">
        <v>1200</v>
      </c>
      <c r="BD3581">
        <v>1</v>
      </c>
      <c r="BE3581" t="str">
        <f t="shared" si="167"/>
        <v xml:space="preserve">N215T   </v>
      </c>
      <c r="BF3581">
        <v>1</v>
      </c>
      <c r="BH3581">
        <v>0</v>
      </c>
      <c r="BI3581">
        <v>0</v>
      </c>
      <c r="BJ3581">
        <v>0</v>
      </c>
      <c r="BK3581">
        <v>2550</v>
      </c>
      <c r="BL3581">
        <v>350</v>
      </c>
      <c r="BM3581" t="s">
        <v>119</v>
      </c>
      <c r="BN3581">
        <v>1</v>
      </c>
      <c r="BO3581">
        <v>1</v>
      </c>
      <c r="BP3581">
        <v>1</v>
      </c>
      <c r="BQ3581">
        <v>0</v>
      </c>
      <c r="BT3581">
        <v>0</v>
      </c>
      <c r="BU3581">
        <v>0</v>
      </c>
      <c r="BV3581">
        <v>0</v>
      </c>
      <c r="CC3581" t="str">
        <f>"19:34:38.281"</f>
        <v>19:34:38.281</v>
      </c>
      <c r="CD3581" t="str">
        <f>"284502621"</f>
        <v>284502621</v>
      </c>
      <c r="CQ3581">
        <v>0</v>
      </c>
      <c r="CR3581">
        <v>2</v>
      </c>
      <c r="CS3581">
        <v>0</v>
      </c>
      <c r="CT3581">
        <v>2</v>
      </c>
      <c r="CU3581">
        <v>0</v>
      </c>
      <c r="CV3581">
        <v>5</v>
      </c>
      <c r="CW3581" t="s">
        <v>120</v>
      </c>
      <c r="CX3581">
        <v>257</v>
      </c>
      <c r="CY3581">
        <v>0</v>
      </c>
      <c r="CZ3581" t="s">
        <v>615</v>
      </c>
      <c r="DA3581" t="s">
        <v>616</v>
      </c>
      <c r="DD3581">
        <v>16488112</v>
      </c>
      <c r="DE3581" t="s">
        <v>123</v>
      </c>
    </row>
    <row r="3582" spans="1:109" x14ac:dyDescent="0.3">
      <c r="A3582" t="str">
        <f>"19:34:39.547"</f>
        <v>19:34:39.547</v>
      </c>
      <c r="B3582" t="s">
        <v>110</v>
      </c>
      <c r="C3582" t="str">
        <f t="shared" si="165"/>
        <v>ffdfd3c0</v>
      </c>
      <c r="D3582" t="s">
        <v>111</v>
      </c>
      <c r="E3582">
        <v>18</v>
      </c>
      <c r="F3582">
        <v>1018</v>
      </c>
      <c r="G3582" t="s">
        <v>112</v>
      </c>
      <c r="J3582" t="s">
        <v>113</v>
      </c>
      <c r="K3582">
        <v>0</v>
      </c>
      <c r="L3582">
        <v>3</v>
      </c>
      <c r="M3582">
        <v>0</v>
      </c>
      <c r="N3582">
        <v>2</v>
      </c>
      <c r="O3582">
        <v>1</v>
      </c>
      <c r="P3582">
        <v>0</v>
      </c>
      <c r="Q3582">
        <v>0</v>
      </c>
      <c r="R3582" t="s">
        <v>114</v>
      </c>
      <c r="S3582" t="str">
        <f>"19:34:39.313"</f>
        <v>19:34:39.313</v>
      </c>
      <c r="T3582" t="str">
        <f>"19:34:39.313"</f>
        <v>19:34:39.313</v>
      </c>
      <c r="U3582" t="str">
        <f t="shared" si="166"/>
        <v>a1cdbe</v>
      </c>
      <c r="V3582">
        <v>0</v>
      </c>
      <c r="W3582">
        <v>0</v>
      </c>
      <c r="X3582">
        <v>2</v>
      </c>
      <c r="Y3582">
        <v>0</v>
      </c>
      <c r="Z3582">
        <v>0</v>
      </c>
      <c r="AB3582">
        <v>0</v>
      </c>
      <c r="AC3582">
        <v>9</v>
      </c>
      <c r="AD3582">
        <v>3</v>
      </c>
      <c r="AE3582">
        <v>0</v>
      </c>
      <c r="AF3582">
        <v>9</v>
      </c>
      <c r="AG3582" t="s">
        <v>158</v>
      </c>
      <c r="AH3582">
        <v>0</v>
      </c>
      <c r="AI3582">
        <v>3</v>
      </c>
      <c r="AJ3582">
        <v>1</v>
      </c>
      <c r="AK3582">
        <v>0</v>
      </c>
      <c r="AL3582" t="s">
        <v>6742</v>
      </c>
      <c r="AM3582">
        <v>47.023629999999997</v>
      </c>
      <c r="AN3582" t="s">
        <v>6743</v>
      </c>
      <c r="AO3582">
        <v>-123.827119</v>
      </c>
      <c r="AP3582">
        <v>100</v>
      </c>
      <c r="AQ3582">
        <v>2200</v>
      </c>
      <c r="AR3582" t="s">
        <v>118</v>
      </c>
      <c r="AS3582">
        <v>-77</v>
      </c>
      <c r="AT3582">
        <v>19</v>
      </c>
      <c r="AU3582">
        <v>0</v>
      </c>
      <c r="BC3582">
        <v>1200</v>
      </c>
      <c r="BD3582">
        <v>1</v>
      </c>
      <c r="BE3582" t="str">
        <f t="shared" si="167"/>
        <v xml:space="preserve">N215T   </v>
      </c>
      <c r="BF3582">
        <v>1</v>
      </c>
      <c r="BH3582">
        <v>0</v>
      </c>
      <c r="BI3582">
        <v>0</v>
      </c>
      <c r="BJ3582">
        <v>0</v>
      </c>
      <c r="BK3582">
        <v>2550</v>
      </c>
      <c r="BL3582">
        <v>350</v>
      </c>
      <c r="BM3582" t="s">
        <v>119</v>
      </c>
      <c r="BN3582">
        <v>1</v>
      </c>
      <c r="BO3582">
        <v>1</v>
      </c>
      <c r="BP3582">
        <v>1</v>
      </c>
      <c r="BQ3582">
        <v>0</v>
      </c>
      <c r="BT3582">
        <v>0</v>
      </c>
      <c r="BU3582">
        <v>0</v>
      </c>
      <c r="BV3582">
        <v>0</v>
      </c>
      <c r="CC3582" t="str">
        <f>"19:34:39.320"</f>
        <v>19:34:39.320</v>
      </c>
      <c r="CD3582" t="str">
        <f>"319400653"</f>
        <v>319400653</v>
      </c>
      <c r="CQ3582">
        <v>0</v>
      </c>
      <c r="CR3582">
        <v>2</v>
      </c>
      <c r="CS3582">
        <v>0</v>
      </c>
      <c r="CT3582">
        <v>2</v>
      </c>
      <c r="CU3582">
        <v>0</v>
      </c>
      <c r="CV3582">
        <v>5</v>
      </c>
      <c r="CW3582" t="s">
        <v>120</v>
      </c>
      <c r="CX3582">
        <v>257</v>
      </c>
      <c r="CY3582">
        <v>0</v>
      </c>
      <c r="CZ3582" t="s">
        <v>615</v>
      </c>
      <c r="DA3582" t="s">
        <v>616</v>
      </c>
      <c r="DD3582">
        <v>16488524</v>
      </c>
      <c r="DE3582" t="s">
        <v>123</v>
      </c>
    </row>
    <row r="3583" spans="1:109" x14ac:dyDescent="0.3">
      <c r="A3583" t="str">
        <f>"19:34:40.609"</f>
        <v>19:34:40.609</v>
      </c>
      <c r="B3583" t="s">
        <v>110</v>
      </c>
      <c r="C3583" t="str">
        <f t="shared" si="165"/>
        <v>ffdfd3c0</v>
      </c>
      <c r="D3583" t="s">
        <v>111</v>
      </c>
      <c r="E3583">
        <v>18</v>
      </c>
      <c r="F3583">
        <v>1018</v>
      </c>
      <c r="G3583" t="s">
        <v>112</v>
      </c>
      <c r="J3583" t="s">
        <v>113</v>
      </c>
      <c r="K3583">
        <v>0</v>
      </c>
      <c r="L3583">
        <v>3</v>
      </c>
      <c r="M3583">
        <v>0</v>
      </c>
      <c r="N3583">
        <v>2</v>
      </c>
      <c r="O3583">
        <v>1</v>
      </c>
      <c r="P3583">
        <v>0</v>
      </c>
      <c r="Q3583">
        <v>0</v>
      </c>
      <c r="R3583" t="s">
        <v>114</v>
      </c>
      <c r="S3583" t="str">
        <f>"19:34:40.383"</f>
        <v>19:34:40.383</v>
      </c>
      <c r="T3583" t="str">
        <f>"19:34:39.781"</f>
        <v>19:34:39.781</v>
      </c>
      <c r="U3583" t="str">
        <f t="shared" si="166"/>
        <v>a1cdbe</v>
      </c>
      <c r="V3583">
        <v>0</v>
      </c>
      <c r="W3583">
        <v>0</v>
      </c>
      <c r="X3583">
        <v>2</v>
      </c>
      <c r="Y3583">
        <v>0</v>
      </c>
      <c r="Z3583">
        <v>0</v>
      </c>
      <c r="AB3583">
        <v>0</v>
      </c>
      <c r="AC3583">
        <v>9</v>
      </c>
      <c r="AD3583">
        <v>3</v>
      </c>
      <c r="AE3583">
        <v>0</v>
      </c>
      <c r="AF3583">
        <v>9</v>
      </c>
      <c r="AG3583" t="s">
        <v>158</v>
      </c>
      <c r="AH3583">
        <v>0</v>
      </c>
      <c r="AI3583">
        <v>3</v>
      </c>
      <c r="AJ3583">
        <v>1</v>
      </c>
      <c r="AK3583">
        <v>0</v>
      </c>
      <c r="AL3583" t="s">
        <v>6744</v>
      </c>
      <c r="AM3583">
        <v>47.023736999999997</v>
      </c>
      <c r="AN3583" t="s">
        <v>6745</v>
      </c>
      <c r="AO3583">
        <v>-123.82765499999999</v>
      </c>
      <c r="AP3583">
        <v>100</v>
      </c>
      <c r="AQ3583">
        <v>2200</v>
      </c>
      <c r="AR3583" t="s">
        <v>118</v>
      </c>
      <c r="AS3583">
        <v>-77</v>
      </c>
      <c r="AT3583">
        <v>19</v>
      </c>
      <c r="AU3583">
        <v>0</v>
      </c>
      <c r="BC3583">
        <v>1200</v>
      </c>
      <c r="BD3583">
        <v>1</v>
      </c>
      <c r="BE3583" t="str">
        <f t="shared" si="167"/>
        <v xml:space="preserve">N215T   </v>
      </c>
      <c r="BF3583">
        <v>1</v>
      </c>
      <c r="BH3583">
        <v>0</v>
      </c>
      <c r="BI3583">
        <v>0</v>
      </c>
      <c r="BJ3583">
        <v>0</v>
      </c>
      <c r="BK3583">
        <v>2550</v>
      </c>
      <c r="BL3583">
        <v>350</v>
      </c>
      <c r="BM3583" t="s">
        <v>119</v>
      </c>
      <c r="BN3583">
        <v>1</v>
      </c>
      <c r="BO3583">
        <v>1</v>
      </c>
      <c r="BP3583">
        <v>1</v>
      </c>
      <c r="BQ3583">
        <v>0</v>
      </c>
      <c r="BT3583">
        <v>0</v>
      </c>
      <c r="BU3583">
        <v>0</v>
      </c>
      <c r="BV3583">
        <v>0</v>
      </c>
      <c r="CC3583" t="str">
        <f>"19:34:40.383"</f>
        <v>19:34:40.383</v>
      </c>
      <c r="CD3583" t="str">
        <f>"384295734"</f>
        <v>384295734</v>
      </c>
      <c r="CQ3583">
        <v>0</v>
      </c>
      <c r="CR3583">
        <v>2</v>
      </c>
      <c r="CS3583">
        <v>0</v>
      </c>
      <c r="CT3583">
        <v>2</v>
      </c>
      <c r="CU3583">
        <v>0</v>
      </c>
      <c r="CV3583">
        <v>5</v>
      </c>
      <c r="CW3583" t="s">
        <v>120</v>
      </c>
      <c r="CX3583">
        <v>257</v>
      </c>
      <c r="CY3583">
        <v>0</v>
      </c>
      <c r="CZ3583" t="s">
        <v>615</v>
      </c>
      <c r="DA3583" t="s">
        <v>616</v>
      </c>
      <c r="DD3583">
        <v>16488938</v>
      </c>
      <c r="DE3583" t="s">
        <v>123</v>
      </c>
    </row>
    <row r="3584" spans="1:109" x14ac:dyDescent="0.3">
      <c r="A3584" t="str">
        <f>"19:34:41.609"</f>
        <v>19:34:41.609</v>
      </c>
      <c r="B3584" t="s">
        <v>110</v>
      </c>
      <c r="C3584" t="str">
        <f t="shared" si="165"/>
        <v>ffdfd3c0</v>
      </c>
      <c r="D3584" t="s">
        <v>111</v>
      </c>
      <c r="E3584">
        <v>18</v>
      </c>
      <c r="F3584">
        <v>1018</v>
      </c>
      <c r="G3584" t="s">
        <v>112</v>
      </c>
      <c r="J3584" t="s">
        <v>113</v>
      </c>
      <c r="K3584">
        <v>0</v>
      </c>
      <c r="L3584">
        <v>3</v>
      </c>
      <c r="M3584">
        <v>0</v>
      </c>
      <c r="N3584">
        <v>2</v>
      </c>
      <c r="O3584">
        <v>1</v>
      </c>
      <c r="P3584">
        <v>0</v>
      </c>
      <c r="Q3584">
        <v>0</v>
      </c>
      <c r="R3584" t="s">
        <v>114</v>
      </c>
      <c r="S3584" t="str">
        <f>"19:34:41.398"</f>
        <v>19:34:41.398</v>
      </c>
      <c r="T3584" t="str">
        <f>"19:34:41.297"</f>
        <v>19:34:41.297</v>
      </c>
      <c r="U3584" t="str">
        <f t="shared" si="166"/>
        <v>a1cdbe</v>
      </c>
      <c r="V3584">
        <v>0</v>
      </c>
      <c r="W3584">
        <v>0</v>
      </c>
      <c r="X3584">
        <v>2</v>
      </c>
      <c r="Y3584">
        <v>0</v>
      </c>
      <c r="Z3584">
        <v>0</v>
      </c>
      <c r="AB3584">
        <v>0</v>
      </c>
      <c r="AC3584">
        <v>9</v>
      </c>
      <c r="AD3584">
        <v>3</v>
      </c>
      <c r="AE3584">
        <v>0</v>
      </c>
      <c r="AF3584">
        <v>9</v>
      </c>
      <c r="AG3584" t="s">
        <v>158</v>
      </c>
      <c r="AH3584">
        <v>0</v>
      </c>
      <c r="AI3584">
        <v>3</v>
      </c>
      <c r="AJ3584">
        <v>1</v>
      </c>
      <c r="AK3584">
        <v>0</v>
      </c>
      <c r="AL3584" t="s">
        <v>6746</v>
      </c>
      <c r="AM3584">
        <v>47.023802000000003</v>
      </c>
      <c r="AN3584" t="s">
        <v>6747</v>
      </c>
      <c r="AO3584">
        <v>-123.82817</v>
      </c>
      <c r="AP3584">
        <v>100</v>
      </c>
      <c r="AQ3584">
        <v>2200</v>
      </c>
      <c r="AR3584" t="s">
        <v>118</v>
      </c>
      <c r="AS3584">
        <v>-77</v>
      </c>
      <c r="AT3584">
        <v>19</v>
      </c>
      <c r="AU3584">
        <v>0</v>
      </c>
      <c r="BC3584">
        <v>1200</v>
      </c>
      <c r="BD3584">
        <v>1</v>
      </c>
      <c r="BE3584" t="str">
        <f t="shared" si="167"/>
        <v xml:space="preserve">N215T   </v>
      </c>
      <c r="BF3584">
        <v>1</v>
      </c>
      <c r="BH3584">
        <v>0</v>
      </c>
      <c r="BI3584">
        <v>0</v>
      </c>
      <c r="BJ3584">
        <v>0</v>
      </c>
      <c r="BK3584">
        <v>2550</v>
      </c>
      <c r="BL3584">
        <v>350</v>
      </c>
      <c r="BM3584" t="s">
        <v>119</v>
      </c>
      <c r="BN3584">
        <v>1</v>
      </c>
      <c r="BO3584">
        <v>1</v>
      </c>
      <c r="BP3584">
        <v>1</v>
      </c>
      <c r="BQ3584">
        <v>0</v>
      </c>
      <c r="BT3584">
        <v>0</v>
      </c>
      <c r="BU3584">
        <v>0</v>
      </c>
      <c r="BV3584">
        <v>0</v>
      </c>
      <c r="CC3584" t="str">
        <f>"19:34:41.406"</f>
        <v>19:34:41.406</v>
      </c>
      <c r="CD3584" t="str">
        <f>"404195270"</f>
        <v>404195270</v>
      </c>
      <c r="CQ3584">
        <v>0</v>
      </c>
      <c r="CR3584">
        <v>2</v>
      </c>
      <c r="CS3584">
        <v>0</v>
      </c>
      <c r="CT3584">
        <v>2</v>
      </c>
      <c r="CU3584">
        <v>0</v>
      </c>
      <c r="CV3584">
        <v>5</v>
      </c>
      <c r="CW3584" t="s">
        <v>120</v>
      </c>
      <c r="CX3584">
        <v>257</v>
      </c>
      <c r="CY3584">
        <v>0</v>
      </c>
      <c r="CZ3584" t="s">
        <v>615</v>
      </c>
      <c r="DA3584" t="s">
        <v>616</v>
      </c>
      <c r="DD3584">
        <v>16489358</v>
      </c>
      <c r="DE3584" t="s">
        <v>123</v>
      </c>
    </row>
    <row r="3585" spans="1:109" x14ac:dyDescent="0.3">
      <c r="A3585" t="str">
        <f>"19:34:42.617"</f>
        <v>19:34:42.617</v>
      </c>
      <c r="B3585" t="s">
        <v>110</v>
      </c>
      <c r="C3585" t="str">
        <f t="shared" si="165"/>
        <v>ffdfd3c0</v>
      </c>
      <c r="D3585" t="s">
        <v>111</v>
      </c>
      <c r="E3585">
        <v>18</v>
      </c>
      <c r="F3585">
        <v>1018</v>
      </c>
      <c r="G3585" t="s">
        <v>112</v>
      </c>
      <c r="J3585" t="s">
        <v>113</v>
      </c>
      <c r="K3585">
        <v>0</v>
      </c>
      <c r="L3585">
        <v>3</v>
      </c>
      <c r="M3585">
        <v>0</v>
      </c>
      <c r="N3585">
        <v>2</v>
      </c>
      <c r="O3585">
        <v>1</v>
      </c>
      <c r="P3585">
        <v>0</v>
      </c>
      <c r="Q3585">
        <v>0</v>
      </c>
      <c r="R3585" t="s">
        <v>114</v>
      </c>
      <c r="S3585" t="str">
        <f>"19:34:42.344"</f>
        <v>19:34:42.344</v>
      </c>
      <c r="T3585" t="str">
        <f>"19:34:42.344"</f>
        <v>19:34:42.344</v>
      </c>
      <c r="U3585" t="str">
        <f t="shared" si="166"/>
        <v>a1cdbe</v>
      </c>
      <c r="V3585">
        <v>0</v>
      </c>
      <c r="W3585">
        <v>0</v>
      </c>
      <c r="X3585">
        <v>2</v>
      </c>
      <c r="Y3585">
        <v>0</v>
      </c>
      <c r="Z3585">
        <v>0</v>
      </c>
      <c r="AB3585">
        <v>0</v>
      </c>
      <c r="AC3585">
        <v>9</v>
      </c>
      <c r="AD3585">
        <v>3</v>
      </c>
      <c r="AE3585">
        <v>0</v>
      </c>
      <c r="AF3585">
        <v>9</v>
      </c>
      <c r="AG3585" t="s">
        <v>158</v>
      </c>
      <c r="AH3585">
        <v>0</v>
      </c>
      <c r="AI3585">
        <v>3</v>
      </c>
      <c r="AJ3585">
        <v>1</v>
      </c>
      <c r="AK3585">
        <v>0</v>
      </c>
      <c r="AL3585" t="s">
        <v>6748</v>
      </c>
      <c r="AM3585">
        <v>47.023909000000003</v>
      </c>
      <c r="AN3585" t="s">
        <v>6749</v>
      </c>
      <c r="AO3585">
        <v>-123.828664</v>
      </c>
      <c r="AP3585">
        <v>100</v>
      </c>
      <c r="AQ3585">
        <v>2200</v>
      </c>
      <c r="AR3585" t="s">
        <v>118</v>
      </c>
      <c r="AS3585">
        <v>-77</v>
      </c>
      <c r="AT3585">
        <v>20</v>
      </c>
      <c r="AU3585">
        <v>0</v>
      </c>
      <c r="BC3585">
        <v>1200</v>
      </c>
      <c r="BD3585">
        <v>1</v>
      </c>
      <c r="BE3585" t="str">
        <f t="shared" si="167"/>
        <v xml:space="preserve">N215T   </v>
      </c>
      <c r="BF3585">
        <v>1</v>
      </c>
      <c r="BH3585">
        <v>0</v>
      </c>
      <c r="BI3585">
        <v>0</v>
      </c>
      <c r="BJ3585">
        <v>0</v>
      </c>
      <c r="BK3585">
        <v>2550</v>
      </c>
      <c r="BL3585">
        <v>350</v>
      </c>
      <c r="BM3585" t="s">
        <v>119</v>
      </c>
      <c r="BN3585">
        <v>1</v>
      </c>
      <c r="BO3585">
        <v>1</v>
      </c>
      <c r="BP3585">
        <v>1</v>
      </c>
      <c r="BQ3585">
        <v>0</v>
      </c>
      <c r="BT3585">
        <v>0</v>
      </c>
      <c r="BU3585">
        <v>0</v>
      </c>
      <c r="BV3585">
        <v>0</v>
      </c>
      <c r="CC3585" t="str">
        <f>"19:34:42.352"</f>
        <v>19:34:42.352</v>
      </c>
      <c r="CD3585" t="str">
        <f>"349102199"</f>
        <v>349102199</v>
      </c>
      <c r="CQ3585">
        <v>0</v>
      </c>
      <c r="CR3585">
        <v>2</v>
      </c>
      <c r="CS3585">
        <v>0</v>
      </c>
      <c r="CT3585">
        <v>2</v>
      </c>
      <c r="CU3585">
        <v>0</v>
      </c>
      <c r="CV3585">
        <v>5</v>
      </c>
      <c r="CW3585" t="s">
        <v>120</v>
      </c>
      <c r="CX3585">
        <v>257</v>
      </c>
      <c r="CY3585">
        <v>0</v>
      </c>
      <c r="CZ3585" t="s">
        <v>615</v>
      </c>
      <c r="DA3585" t="s">
        <v>616</v>
      </c>
      <c r="DD3585">
        <v>16489757</v>
      </c>
      <c r="DE3585" t="s">
        <v>123</v>
      </c>
    </row>
    <row r="3586" spans="1:109" x14ac:dyDescent="0.3">
      <c r="A3586" t="str">
        <f>"19:34:43.570"</f>
        <v>19:34:43.570</v>
      </c>
      <c r="B3586" t="s">
        <v>110</v>
      </c>
      <c r="C3586" t="str">
        <f t="shared" ref="C3586:C3649" si="168">"ffdfd3c0"</f>
        <v>ffdfd3c0</v>
      </c>
      <c r="D3586" t="s">
        <v>111</v>
      </c>
      <c r="E3586">
        <v>18</v>
      </c>
      <c r="F3586">
        <v>1018</v>
      </c>
      <c r="G3586" t="s">
        <v>112</v>
      </c>
      <c r="J3586" t="s">
        <v>113</v>
      </c>
      <c r="K3586">
        <v>0</v>
      </c>
      <c r="L3586">
        <v>3</v>
      </c>
      <c r="M3586">
        <v>0</v>
      </c>
      <c r="N3586">
        <v>2</v>
      </c>
      <c r="O3586">
        <v>1</v>
      </c>
      <c r="P3586">
        <v>0</v>
      </c>
      <c r="Q3586">
        <v>0</v>
      </c>
      <c r="R3586" t="s">
        <v>114</v>
      </c>
      <c r="S3586" t="str">
        <f>"19:34:43.336"</f>
        <v>19:34:43.336</v>
      </c>
      <c r="T3586" t="str">
        <f>"19:34:43.336"</f>
        <v>19:34:43.336</v>
      </c>
      <c r="U3586" t="str">
        <f t="shared" ref="U3586:U3649" si="169">"a1cdbe"</f>
        <v>a1cdbe</v>
      </c>
      <c r="V3586">
        <v>0</v>
      </c>
      <c r="W3586">
        <v>0</v>
      </c>
      <c r="X3586">
        <v>2</v>
      </c>
      <c r="Y3586">
        <v>0</v>
      </c>
      <c r="Z3586">
        <v>0</v>
      </c>
      <c r="AB3586">
        <v>0</v>
      </c>
      <c r="AC3586">
        <v>9</v>
      </c>
      <c r="AD3586">
        <v>3</v>
      </c>
      <c r="AE3586">
        <v>0</v>
      </c>
      <c r="AF3586">
        <v>9</v>
      </c>
      <c r="AG3586" t="s">
        <v>158</v>
      </c>
      <c r="AH3586">
        <v>0</v>
      </c>
      <c r="AI3586">
        <v>3</v>
      </c>
      <c r="AJ3586">
        <v>1</v>
      </c>
      <c r="AK3586">
        <v>0</v>
      </c>
      <c r="AL3586" t="s">
        <v>6750</v>
      </c>
      <c r="AM3586">
        <v>47.023994999999999</v>
      </c>
      <c r="AN3586" t="s">
        <v>6751</v>
      </c>
      <c r="AO3586">
        <v>-123.829179</v>
      </c>
      <c r="AP3586">
        <v>100</v>
      </c>
      <c r="AQ3586">
        <v>2200</v>
      </c>
      <c r="AR3586" t="s">
        <v>118</v>
      </c>
      <c r="AS3586">
        <v>-77</v>
      </c>
      <c r="AT3586">
        <v>20</v>
      </c>
      <c r="AU3586">
        <v>-64</v>
      </c>
      <c r="BC3586">
        <v>1200</v>
      </c>
      <c r="BD3586">
        <v>1</v>
      </c>
      <c r="BE3586" t="str">
        <f t="shared" ref="BE3586:BE3649" si="170">"N215T   "</f>
        <v xml:space="preserve">N215T   </v>
      </c>
      <c r="BF3586">
        <v>1</v>
      </c>
      <c r="BH3586">
        <v>0</v>
      </c>
      <c r="BI3586">
        <v>0</v>
      </c>
      <c r="BJ3586">
        <v>0</v>
      </c>
      <c r="BK3586">
        <v>2550</v>
      </c>
      <c r="BL3586">
        <v>350</v>
      </c>
      <c r="BM3586" t="s">
        <v>119</v>
      </c>
      <c r="BN3586">
        <v>1</v>
      </c>
      <c r="BO3586">
        <v>1</v>
      </c>
      <c r="BP3586">
        <v>1</v>
      </c>
      <c r="BQ3586">
        <v>0</v>
      </c>
      <c r="BT3586">
        <v>0</v>
      </c>
      <c r="BU3586">
        <v>0</v>
      </c>
      <c r="BV3586">
        <v>0</v>
      </c>
      <c r="CC3586" t="str">
        <f>"19:34:43.336"</f>
        <v>19:34:43.336</v>
      </c>
      <c r="CD3586" t="str">
        <f>"339004660"</f>
        <v>339004660</v>
      </c>
      <c r="CQ3586">
        <v>0</v>
      </c>
      <c r="CR3586">
        <v>2</v>
      </c>
      <c r="CS3586">
        <v>0</v>
      </c>
      <c r="CT3586">
        <v>2</v>
      </c>
      <c r="CU3586">
        <v>0</v>
      </c>
      <c r="CV3586">
        <v>5</v>
      </c>
      <c r="CW3586" t="s">
        <v>120</v>
      </c>
      <c r="CX3586">
        <v>257</v>
      </c>
      <c r="CY3586">
        <v>0</v>
      </c>
      <c r="CZ3586" t="s">
        <v>615</v>
      </c>
      <c r="DA3586" t="s">
        <v>616</v>
      </c>
      <c r="DD3586">
        <v>16490186</v>
      </c>
      <c r="DE3586" t="s">
        <v>123</v>
      </c>
    </row>
    <row r="3587" spans="1:109" x14ac:dyDescent="0.3">
      <c r="A3587" t="str">
        <f>"19:34:44.523"</f>
        <v>19:34:44.523</v>
      </c>
      <c r="B3587" t="s">
        <v>110</v>
      </c>
      <c r="C3587" t="str">
        <f t="shared" si="168"/>
        <v>ffdfd3c0</v>
      </c>
      <c r="D3587" t="s">
        <v>111</v>
      </c>
      <c r="E3587">
        <v>18</v>
      </c>
      <c r="F3587">
        <v>1018</v>
      </c>
      <c r="G3587" t="s">
        <v>112</v>
      </c>
      <c r="J3587" t="s">
        <v>113</v>
      </c>
      <c r="K3587">
        <v>0</v>
      </c>
      <c r="L3587">
        <v>3</v>
      </c>
      <c r="M3587">
        <v>0</v>
      </c>
      <c r="N3587">
        <v>2</v>
      </c>
      <c r="O3587">
        <v>1</v>
      </c>
      <c r="P3587">
        <v>0</v>
      </c>
      <c r="Q3587">
        <v>0</v>
      </c>
      <c r="R3587" t="s">
        <v>114</v>
      </c>
      <c r="S3587" t="str">
        <f>"19:34:44.281"</f>
        <v>19:34:44.281</v>
      </c>
      <c r="T3587" t="str">
        <f>"19:34:44.281"</f>
        <v>19:34:44.281</v>
      </c>
      <c r="U3587" t="str">
        <f t="shared" si="169"/>
        <v>a1cdbe</v>
      </c>
      <c r="V3587">
        <v>0</v>
      </c>
      <c r="W3587">
        <v>0</v>
      </c>
      <c r="X3587">
        <v>2</v>
      </c>
      <c r="Y3587">
        <v>0</v>
      </c>
      <c r="Z3587">
        <v>0</v>
      </c>
      <c r="AB3587">
        <v>0</v>
      </c>
      <c r="AC3587">
        <v>9</v>
      </c>
      <c r="AD3587">
        <v>3</v>
      </c>
      <c r="AE3587">
        <v>0</v>
      </c>
      <c r="AF3587">
        <v>9</v>
      </c>
      <c r="AG3587" t="s">
        <v>158</v>
      </c>
      <c r="AH3587">
        <v>0</v>
      </c>
      <c r="AI3587">
        <v>3</v>
      </c>
      <c r="AJ3587">
        <v>1</v>
      </c>
      <c r="AK3587">
        <v>0</v>
      </c>
      <c r="AL3587" t="s">
        <v>6752</v>
      </c>
      <c r="AM3587">
        <v>47.024081000000002</v>
      </c>
      <c r="AN3587" t="s">
        <v>6753</v>
      </c>
      <c r="AO3587">
        <v>-123.82971499999999</v>
      </c>
      <c r="AP3587">
        <v>100</v>
      </c>
      <c r="AQ3587">
        <v>2200</v>
      </c>
      <c r="AR3587" t="s">
        <v>118</v>
      </c>
      <c r="AS3587">
        <v>-78</v>
      </c>
      <c r="AT3587">
        <v>21</v>
      </c>
      <c r="AU3587">
        <v>-128</v>
      </c>
      <c r="BC3587">
        <v>1200</v>
      </c>
      <c r="BD3587">
        <v>1</v>
      </c>
      <c r="BE3587" t="str">
        <f t="shared" si="170"/>
        <v xml:space="preserve">N215T   </v>
      </c>
      <c r="BF3587">
        <v>1</v>
      </c>
      <c r="BH3587">
        <v>0</v>
      </c>
      <c r="BI3587">
        <v>0</v>
      </c>
      <c r="BJ3587">
        <v>0</v>
      </c>
      <c r="BK3587">
        <v>2550</v>
      </c>
      <c r="BL3587">
        <v>350</v>
      </c>
      <c r="BM3587" t="s">
        <v>119</v>
      </c>
      <c r="BN3587">
        <v>1</v>
      </c>
      <c r="BO3587">
        <v>1</v>
      </c>
      <c r="BP3587">
        <v>1</v>
      </c>
      <c r="BQ3587">
        <v>0</v>
      </c>
      <c r="BT3587">
        <v>0</v>
      </c>
      <c r="BU3587">
        <v>0</v>
      </c>
      <c r="BV3587">
        <v>0</v>
      </c>
      <c r="CC3587" t="str">
        <f>"19:34:44.281"</f>
        <v>19:34:44.281</v>
      </c>
      <c r="CD3587" t="str">
        <f>"283911571"</f>
        <v>283911571</v>
      </c>
      <c r="CQ3587">
        <v>0</v>
      </c>
      <c r="CR3587">
        <v>2</v>
      </c>
      <c r="CS3587">
        <v>0</v>
      </c>
      <c r="CT3587">
        <v>2</v>
      </c>
      <c r="CU3587">
        <v>0</v>
      </c>
      <c r="CV3587">
        <v>5</v>
      </c>
      <c r="CW3587" t="s">
        <v>120</v>
      </c>
      <c r="CX3587">
        <v>257</v>
      </c>
      <c r="CY3587">
        <v>0</v>
      </c>
      <c r="CZ3587" t="s">
        <v>615</v>
      </c>
      <c r="DA3587" t="s">
        <v>616</v>
      </c>
      <c r="DD3587">
        <v>16490539</v>
      </c>
      <c r="DE3587" t="s">
        <v>123</v>
      </c>
    </row>
    <row r="3588" spans="1:109" x14ac:dyDescent="0.3">
      <c r="A3588" t="str">
        <f>"19:34:45.633"</f>
        <v>19:34:45.633</v>
      </c>
      <c r="B3588" t="s">
        <v>110</v>
      </c>
      <c r="C3588" t="str">
        <f t="shared" si="168"/>
        <v>ffdfd3c0</v>
      </c>
      <c r="D3588" t="s">
        <v>111</v>
      </c>
      <c r="E3588">
        <v>18</v>
      </c>
      <c r="F3588">
        <v>1018</v>
      </c>
      <c r="G3588" t="s">
        <v>112</v>
      </c>
      <c r="J3588" t="s">
        <v>113</v>
      </c>
      <c r="K3588">
        <v>0</v>
      </c>
      <c r="L3588">
        <v>3</v>
      </c>
      <c r="M3588">
        <v>0</v>
      </c>
      <c r="N3588">
        <v>2</v>
      </c>
      <c r="O3588">
        <v>1</v>
      </c>
      <c r="P3588">
        <v>0</v>
      </c>
      <c r="Q3588">
        <v>0</v>
      </c>
      <c r="R3588" t="s">
        <v>114</v>
      </c>
      <c r="S3588" t="str">
        <f>"19:34:45.391"</f>
        <v>19:34:45.391</v>
      </c>
      <c r="T3588" t="str">
        <f>"19:34:45.391"</f>
        <v>19:34:45.391</v>
      </c>
      <c r="U3588" t="str">
        <f t="shared" si="169"/>
        <v>a1cdbe</v>
      </c>
      <c r="V3588">
        <v>0</v>
      </c>
      <c r="W3588">
        <v>0</v>
      </c>
      <c r="X3588">
        <v>2</v>
      </c>
      <c r="Y3588">
        <v>0</v>
      </c>
      <c r="Z3588">
        <v>0</v>
      </c>
      <c r="AB3588">
        <v>0</v>
      </c>
      <c r="AC3588">
        <v>9</v>
      </c>
      <c r="AD3588">
        <v>3</v>
      </c>
      <c r="AE3588">
        <v>0</v>
      </c>
      <c r="AF3588">
        <v>9</v>
      </c>
      <c r="AG3588" t="s">
        <v>158</v>
      </c>
      <c r="AH3588">
        <v>0</v>
      </c>
      <c r="AI3588">
        <v>3</v>
      </c>
      <c r="AJ3588">
        <v>1</v>
      </c>
      <c r="AK3588">
        <v>0</v>
      </c>
      <c r="AL3588" t="s">
        <v>6754</v>
      </c>
      <c r="AM3588">
        <v>47.024188000000002</v>
      </c>
      <c r="AN3588" t="s">
        <v>6755</v>
      </c>
      <c r="AO3588">
        <v>-123.83029500000001</v>
      </c>
      <c r="AP3588">
        <v>100</v>
      </c>
      <c r="AQ3588">
        <v>2200</v>
      </c>
      <c r="AR3588" t="s">
        <v>118</v>
      </c>
      <c r="AS3588">
        <v>-78</v>
      </c>
      <c r="AT3588">
        <v>21</v>
      </c>
      <c r="AU3588">
        <v>-128</v>
      </c>
      <c r="BC3588">
        <v>1200</v>
      </c>
      <c r="BD3588">
        <v>1</v>
      </c>
      <c r="BE3588" t="str">
        <f t="shared" si="170"/>
        <v xml:space="preserve">N215T   </v>
      </c>
      <c r="BF3588">
        <v>1</v>
      </c>
      <c r="BH3588">
        <v>0</v>
      </c>
      <c r="BI3588">
        <v>0</v>
      </c>
      <c r="BJ3588">
        <v>0</v>
      </c>
      <c r="BK3588">
        <v>2550</v>
      </c>
      <c r="BL3588">
        <v>350</v>
      </c>
      <c r="BM3588" t="s">
        <v>119</v>
      </c>
      <c r="BN3588">
        <v>1</v>
      </c>
      <c r="BO3588">
        <v>1</v>
      </c>
      <c r="BP3588">
        <v>1</v>
      </c>
      <c r="BQ3588">
        <v>0</v>
      </c>
      <c r="BT3588">
        <v>0</v>
      </c>
      <c r="BU3588">
        <v>0</v>
      </c>
      <c r="BV3588">
        <v>0</v>
      </c>
      <c r="CC3588" t="str">
        <f>"19:34:45.391"</f>
        <v>19:34:45.391</v>
      </c>
      <c r="CD3588" t="str">
        <f>"393802239"</f>
        <v>393802239</v>
      </c>
      <c r="CQ3588">
        <v>0</v>
      </c>
      <c r="CR3588">
        <v>2</v>
      </c>
      <c r="CS3588">
        <v>0</v>
      </c>
      <c r="CT3588">
        <v>2</v>
      </c>
      <c r="CU3588">
        <v>0</v>
      </c>
      <c r="CV3588">
        <v>4</v>
      </c>
      <c r="CW3588" t="s">
        <v>120</v>
      </c>
      <c r="CX3588">
        <v>257</v>
      </c>
      <c r="CY3588">
        <v>0</v>
      </c>
      <c r="CZ3588" t="s">
        <v>615</v>
      </c>
      <c r="DA3588" t="s">
        <v>616</v>
      </c>
      <c r="DD3588">
        <v>16491005</v>
      </c>
      <c r="DE3588" t="s">
        <v>123</v>
      </c>
    </row>
    <row r="3589" spans="1:109" x14ac:dyDescent="0.3">
      <c r="A3589" t="str">
        <f>"19:34:46.695"</f>
        <v>19:34:46.695</v>
      </c>
      <c r="B3589" t="s">
        <v>110</v>
      </c>
      <c r="C3589" t="str">
        <f t="shared" si="168"/>
        <v>ffdfd3c0</v>
      </c>
      <c r="D3589" t="s">
        <v>111</v>
      </c>
      <c r="E3589">
        <v>18</v>
      </c>
      <c r="F3589">
        <v>1018</v>
      </c>
      <c r="G3589" t="s">
        <v>112</v>
      </c>
      <c r="J3589" t="s">
        <v>113</v>
      </c>
      <c r="K3589">
        <v>0</v>
      </c>
      <c r="L3589">
        <v>3</v>
      </c>
      <c r="M3589">
        <v>0</v>
      </c>
      <c r="N3589">
        <v>2</v>
      </c>
      <c r="O3589">
        <v>1</v>
      </c>
      <c r="P3589">
        <v>0</v>
      </c>
      <c r="Q3589">
        <v>0</v>
      </c>
      <c r="R3589" t="s">
        <v>114</v>
      </c>
      <c r="S3589" t="str">
        <f>"19:34:46.438"</f>
        <v>19:34:46.438</v>
      </c>
      <c r="T3589" t="str">
        <f>"19:34:46.438"</f>
        <v>19:34:46.438</v>
      </c>
      <c r="U3589" t="str">
        <f t="shared" si="169"/>
        <v>a1cdbe</v>
      </c>
      <c r="V3589">
        <v>0</v>
      </c>
      <c r="W3589">
        <v>0</v>
      </c>
      <c r="X3589">
        <v>2</v>
      </c>
      <c r="Y3589">
        <v>0</v>
      </c>
      <c r="Z3589">
        <v>0</v>
      </c>
      <c r="AB3589">
        <v>0</v>
      </c>
      <c r="AC3589">
        <v>9</v>
      </c>
      <c r="AD3589">
        <v>3</v>
      </c>
      <c r="AE3589">
        <v>0</v>
      </c>
      <c r="AF3589">
        <v>9</v>
      </c>
      <c r="AG3589" t="s">
        <v>158</v>
      </c>
      <c r="AH3589">
        <v>0</v>
      </c>
      <c r="AI3589">
        <v>3</v>
      </c>
      <c r="AJ3589">
        <v>1</v>
      </c>
      <c r="AK3589">
        <v>0</v>
      </c>
      <c r="AL3589" t="s">
        <v>685</v>
      </c>
      <c r="AM3589">
        <v>47.024273999999998</v>
      </c>
      <c r="AN3589" t="s">
        <v>6756</v>
      </c>
      <c r="AO3589">
        <v>-123.83081</v>
      </c>
      <c r="AP3589">
        <v>100</v>
      </c>
      <c r="AQ3589">
        <v>2200</v>
      </c>
      <c r="AR3589" t="s">
        <v>118</v>
      </c>
      <c r="AS3589">
        <v>-78</v>
      </c>
      <c r="AT3589">
        <v>22</v>
      </c>
      <c r="AU3589">
        <v>-128</v>
      </c>
      <c r="BC3589">
        <v>1200</v>
      </c>
      <c r="BD3589">
        <v>1</v>
      </c>
      <c r="BE3589" t="str">
        <f t="shared" si="170"/>
        <v xml:space="preserve">N215T   </v>
      </c>
      <c r="BF3589">
        <v>1</v>
      </c>
      <c r="BH3589">
        <v>0</v>
      </c>
      <c r="BI3589">
        <v>0</v>
      </c>
      <c r="BJ3589">
        <v>0</v>
      </c>
      <c r="BK3589">
        <v>2550</v>
      </c>
      <c r="BL3589">
        <v>350</v>
      </c>
      <c r="BM3589" t="s">
        <v>119</v>
      </c>
      <c r="BN3589">
        <v>1</v>
      </c>
      <c r="BO3589">
        <v>1</v>
      </c>
      <c r="BP3589">
        <v>1</v>
      </c>
      <c r="BQ3589">
        <v>0</v>
      </c>
      <c r="BT3589">
        <v>0</v>
      </c>
      <c r="BU3589">
        <v>0</v>
      </c>
      <c r="BV3589">
        <v>0</v>
      </c>
      <c r="CC3589" t="str">
        <f>"19:34:46.445"</f>
        <v>19:34:46.445</v>
      </c>
      <c r="CD3589" t="str">
        <f>"443698803"</f>
        <v>443698803</v>
      </c>
      <c r="CQ3589">
        <v>0</v>
      </c>
      <c r="CR3589">
        <v>2</v>
      </c>
      <c r="CS3589">
        <v>0</v>
      </c>
      <c r="CT3589">
        <v>2</v>
      </c>
      <c r="CU3589">
        <v>0</v>
      </c>
      <c r="CV3589">
        <v>4</v>
      </c>
      <c r="CW3589" t="s">
        <v>120</v>
      </c>
      <c r="CX3589">
        <v>257</v>
      </c>
      <c r="CY3589">
        <v>0</v>
      </c>
      <c r="CZ3589" t="s">
        <v>615</v>
      </c>
      <c r="DA3589" t="s">
        <v>616</v>
      </c>
      <c r="DD3589">
        <v>16491437</v>
      </c>
      <c r="DE3589" t="s">
        <v>123</v>
      </c>
    </row>
    <row r="3590" spans="1:109" x14ac:dyDescent="0.3">
      <c r="A3590" t="str">
        <f>"19:34:47.594"</f>
        <v>19:34:47.594</v>
      </c>
      <c r="B3590" t="s">
        <v>110</v>
      </c>
      <c r="C3590" t="str">
        <f t="shared" si="168"/>
        <v>ffdfd3c0</v>
      </c>
      <c r="D3590" t="s">
        <v>111</v>
      </c>
      <c r="E3590">
        <v>18</v>
      </c>
      <c r="F3590">
        <v>1018</v>
      </c>
      <c r="G3590" t="s">
        <v>112</v>
      </c>
      <c r="J3590" t="s">
        <v>113</v>
      </c>
      <c r="K3590">
        <v>0</v>
      </c>
      <c r="L3590">
        <v>3</v>
      </c>
      <c r="M3590">
        <v>0</v>
      </c>
      <c r="N3590">
        <v>2</v>
      </c>
      <c r="O3590">
        <v>1</v>
      </c>
      <c r="P3590">
        <v>0</v>
      </c>
      <c r="Q3590">
        <v>0</v>
      </c>
      <c r="R3590" t="s">
        <v>114</v>
      </c>
      <c r="S3590" t="str">
        <f>"19:34:47.336"</f>
        <v>19:34:47.336</v>
      </c>
      <c r="T3590" t="str">
        <f>"19:34:47.336"</f>
        <v>19:34:47.336</v>
      </c>
      <c r="U3590" t="str">
        <f t="shared" si="169"/>
        <v>a1cdbe</v>
      </c>
      <c r="V3590">
        <v>0</v>
      </c>
      <c r="W3590">
        <v>0</v>
      </c>
      <c r="X3590">
        <v>2</v>
      </c>
      <c r="Y3590">
        <v>0</v>
      </c>
      <c r="Z3590">
        <v>0</v>
      </c>
      <c r="AB3590">
        <v>0</v>
      </c>
      <c r="AC3590">
        <v>9</v>
      </c>
      <c r="AD3590">
        <v>3</v>
      </c>
      <c r="AE3590">
        <v>0</v>
      </c>
      <c r="AF3590">
        <v>9</v>
      </c>
      <c r="AG3590" t="s">
        <v>158</v>
      </c>
      <c r="AH3590">
        <v>0</v>
      </c>
      <c r="AI3590">
        <v>3</v>
      </c>
      <c r="AJ3590">
        <v>1</v>
      </c>
      <c r="AK3590">
        <v>0</v>
      </c>
      <c r="AL3590" t="s">
        <v>6757</v>
      </c>
      <c r="AM3590">
        <v>47.024360000000001</v>
      </c>
      <c r="AN3590" t="s">
        <v>6758</v>
      </c>
      <c r="AO3590">
        <v>-123.83130300000001</v>
      </c>
      <c r="AP3590">
        <v>100</v>
      </c>
      <c r="AQ3590">
        <v>2200</v>
      </c>
      <c r="AR3590" t="s">
        <v>118</v>
      </c>
      <c r="AS3590">
        <v>-78</v>
      </c>
      <c r="AT3590">
        <v>22</v>
      </c>
      <c r="AU3590">
        <v>-128</v>
      </c>
      <c r="BC3590">
        <v>1200</v>
      </c>
      <c r="BD3590">
        <v>1</v>
      </c>
      <c r="BE3590" t="str">
        <f t="shared" si="170"/>
        <v xml:space="preserve">N215T   </v>
      </c>
      <c r="BF3590">
        <v>1</v>
      </c>
      <c r="BH3590">
        <v>0</v>
      </c>
      <c r="BI3590">
        <v>0</v>
      </c>
      <c r="BJ3590">
        <v>0</v>
      </c>
      <c r="BK3590">
        <v>2550</v>
      </c>
      <c r="BL3590">
        <v>350</v>
      </c>
      <c r="BM3590" t="s">
        <v>119</v>
      </c>
      <c r="BN3590">
        <v>1</v>
      </c>
      <c r="BO3590">
        <v>1</v>
      </c>
      <c r="BP3590">
        <v>1</v>
      </c>
      <c r="BQ3590">
        <v>0</v>
      </c>
      <c r="BT3590">
        <v>0</v>
      </c>
      <c r="BU3590">
        <v>0</v>
      </c>
      <c r="BV3590">
        <v>0</v>
      </c>
      <c r="CC3590" t="str">
        <f>"19:34:47.344"</f>
        <v>19:34:47.344</v>
      </c>
      <c r="CD3590" t="str">
        <f>"343610161"</f>
        <v>343610161</v>
      </c>
      <c r="CQ3590">
        <v>0</v>
      </c>
      <c r="CR3590">
        <v>2</v>
      </c>
      <c r="CS3590">
        <v>0</v>
      </c>
      <c r="CT3590">
        <v>2</v>
      </c>
      <c r="CU3590">
        <v>0</v>
      </c>
      <c r="CV3590">
        <v>5</v>
      </c>
      <c r="CW3590" t="s">
        <v>120</v>
      </c>
      <c r="CX3590">
        <v>257</v>
      </c>
      <c r="CY3590">
        <v>0</v>
      </c>
      <c r="CZ3590" t="s">
        <v>615</v>
      </c>
      <c r="DA3590" t="s">
        <v>616</v>
      </c>
      <c r="DD3590">
        <v>16491835</v>
      </c>
      <c r="DE3590" t="s">
        <v>123</v>
      </c>
    </row>
    <row r="3591" spans="1:109" x14ac:dyDescent="0.3">
      <c r="A3591" t="str">
        <f>"19:34:48.602"</f>
        <v>19:34:48.602</v>
      </c>
      <c r="B3591" t="s">
        <v>110</v>
      </c>
      <c r="C3591" t="str">
        <f t="shared" si="168"/>
        <v>ffdfd3c0</v>
      </c>
      <c r="D3591" t="s">
        <v>111</v>
      </c>
      <c r="E3591">
        <v>18</v>
      </c>
      <c r="F3591">
        <v>1018</v>
      </c>
      <c r="G3591" t="s">
        <v>112</v>
      </c>
      <c r="J3591" t="s">
        <v>113</v>
      </c>
      <c r="K3591">
        <v>0</v>
      </c>
      <c r="L3591">
        <v>3</v>
      </c>
      <c r="M3591">
        <v>0</v>
      </c>
      <c r="N3591">
        <v>2</v>
      </c>
      <c r="O3591">
        <v>1</v>
      </c>
      <c r="P3591">
        <v>0</v>
      </c>
      <c r="Q3591">
        <v>0</v>
      </c>
      <c r="R3591" t="s">
        <v>114</v>
      </c>
      <c r="S3591" t="str">
        <f>"19:34:48.391"</f>
        <v>19:34:48.391</v>
      </c>
      <c r="T3591" t="str">
        <f>"19:34:48.188"</f>
        <v>19:34:48.188</v>
      </c>
      <c r="U3591" t="str">
        <f t="shared" si="169"/>
        <v>a1cdbe</v>
      </c>
      <c r="V3591">
        <v>0</v>
      </c>
      <c r="W3591">
        <v>0</v>
      </c>
      <c r="X3591">
        <v>2</v>
      </c>
      <c r="Y3591">
        <v>0</v>
      </c>
      <c r="Z3591">
        <v>0</v>
      </c>
      <c r="AB3591">
        <v>0</v>
      </c>
      <c r="AC3591">
        <v>9</v>
      </c>
      <c r="AD3591">
        <v>3</v>
      </c>
      <c r="AE3591">
        <v>0</v>
      </c>
      <c r="AF3591">
        <v>9</v>
      </c>
      <c r="AG3591" t="s">
        <v>158</v>
      </c>
      <c r="AH3591">
        <v>0</v>
      </c>
      <c r="AI3591">
        <v>3</v>
      </c>
      <c r="AJ3591">
        <v>1</v>
      </c>
      <c r="AK3591">
        <v>0</v>
      </c>
      <c r="AL3591" t="s">
        <v>6759</v>
      </c>
      <c r="AM3591">
        <v>47.024509999999999</v>
      </c>
      <c r="AN3591" t="s">
        <v>6760</v>
      </c>
      <c r="AO3591">
        <v>-123.83184</v>
      </c>
      <c r="AP3591">
        <v>100</v>
      </c>
      <c r="AQ3591">
        <v>2200</v>
      </c>
      <c r="AR3591" t="s">
        <v>118</v>
      </c>
      <c r="AS3591">
        <v>-78</v>
      </c>
      <c r="AT3591">
        <v>22</v>
      </c>
      <c r="AU3591">
        <v>-128</v>
      </c>
      <c r="BC3591">
        <v>1200</v>
      </c>
      <c r="BD3591">
        <v>1</v>
      </c>
      <c r="BE3591" t="str">
        <f t="shared" si="170"/>
        <v xml:space="preserve">N215T   </v>
      </c>
      <c r="BF3591">
        <v>1</v>
      </c>
      <c r="BH3591">
        <v>0</v>
      </c>
      <c r="BI3591">
        <v>0</v>
      </c>
      <c r="BJ3591">
        <v>0</v>
      </c>
      <c r="BK3591">
        <v>2525</v>
      </c>
      <c r="BL3591">
        <v>325</v>
      </c>
      <c r="BM3591" t="s">
        <v>119</v>
      </c>
      <c r="BN3591">
        <v>1</v>
      </c>
      <c r="BO3591">
        <v>1</v>
      </c>
      <c r="BP3591">
        <v>1</v>
      </c>
      <c r="BQ3591">
        <v>0</v>
      </c>
      <c r="BT3591">
        <v>0</v>
      </c>
      <c r="BU3591">
        <v>0</v>
      </c>
      <c r="BV3591">
        <v>0</v>
      </c>
      <c r="CC3591" t="str">
        <f>"19:34:48.391"</f>
        <v>19:34:48.391</v>
      </c>
      <c r="CD3591" t="str">
        <f>"393506729"</f>
        <v>393506729</v>
      </c>
      <c r="CQ3591">
        <v>0</v>
      </c>
      <c r="CR3591">
        <v>2</v>
      </c>
      <c r="CS3591">
        <v>0</v>
      </c>
      <c r="CT3591">
        <v>2</v>
      </c>
      <c r="CU3591">
        <v>0</v>
      </c>
      <c r="CV3591">
        <v>5</v>
      </c>
      <c r="CW3591" t="s">
        <v>120</v>
      </c>
      <c r="CX3591">
        <v>257</v>
      </c>
      <c r="CY3591">
        <v>0</v>
      </c>
      <c r="CZ3591" t="s">
        <v>615</v>
      </c>
      <c r="DA3591" t="s">
        <v>616</v>
      </c>
      <c r="DD3591">
        <v>16492248</v>
      </c>
      <c r="DE3591" t="s">
        <v>123</v>
      </c>
    </row>
    <row r="3592" spans="1:109" x14ac:dyDescent="0.3">
      <c r="A3592" t="str">
        <f>"19:34:49.555"</f>
        <v>19:34:49.555</v>
      </c>
      <c r="B3592" t="s">
        <v>110</v>
      </c>
      <c r="C3592" t="str">
        <f t="shared" si="168"/>
        <v>ffdfd3c0</v>
      </c>
      <c r="D3592" t="s">
        <v>111</v>
      </c>
      <c r="E3592">
        <v>18</v>
      </c>
      <c r="F3592">
        <v>1018</v>
      </c>
      <c r="G3592" t="s">
        <v>112</v>
      </c>
      <c r="J3592" t="s">
        <v>113</v>
      </c>
      <c r="K3592">
        <v>0</v>
      </c>
      <c r="L3592">
        <v>3</v>
      </c>
      <c r="M3592">
        <v>0</v>
      </c>
      <c r="N3592">
        <v>2</v>
      </c>
      <c r="O3592">
        <v>1</v>
      </c>
      <c r="P3592">
        <v>0</v>
      </c>
      <c r="Q3592">
        <v>0</v>
      </c>
      <c r="R3592" t="s">
        <v>114</v>
      </c>
      <c r="S3592" t="str">
        <f>"19:34:49.352"</f>
        <v>19:34:49.352</v>
      </c>
      <c r="T3592" t="str">
        <f>"19:34:49.148"</f>
        <v>19:34:49.148</v>
      </c>
      <c r="U3592" t="str">
        <f t="shared" si="169"/>
        <v>a1cdbe</v>
      </c>
      <c r="V3592">
        <v>0</v>
      </c>
      <c r="W3592">
        <v>0</v>
      </c>
      <c r="X3592">
        <v>2</v>
      </c>
      <c r="Y3592">
        <v>0</v>
      </c>
      <c r="Z3592">
        <v>0</v>
      </c>
      <c r="AB3592">
        <v>0</v>
      </c>
      <c r="AC3592">
        <v>9</v>
      </c>
      <c r="AD3592">
        <v>3</v>
      </c>
      <c r="AE3592">
        <v>0</v>
      </c>
      <c r="AF3592">
        <v>9</v>
      </c>
      <c r="AG3592" t="s">
        <v>158</v>
      </c>
      <c r="AH3592">
        <v>0</v>
      </c>
      <c r="AI3592">
        <v>3</v>
      </c>
      <c r="AJ3592">
        <v>1</v>
      </c>
      <c r="AK3592">
        <v>0</v>
      </c>
      <c r="AL3592" t="s">
        <v>6761</v>
      </c>
      <c r="AM3592">
        <v>47.024596000000003</v>
      </c>
      <c r="AN3592" t="s">
        <v>6762</v>
      </c>
      <c r="AO3592">
        <v>-123.83233300000001</v>
      </c>
      <c r="AP3592">
        <v>100</v>
      </c>
      <c r="AQ3592">
        <v>2200</v>
      </c>
      <c r="AR3592" t="s">
        <v>118</v>
      </c>
      <c r="AS3592">
        <v>-78</v>
      </c>
      <c r="AT3592">
        <v>21</v>
      </c>
      <c r="AU3592">
        <v>-128</v>
      </c>
      <c r="BC3592">
        <v>1200</v>
      </c>
      <c r="BD3592">
        <v>1</v>
      </c>
      <c r="BE3592" t="str">
        <f t="shared" si="170"/>
        <v xml:space="preserve">N215T   </v>
      </c>
      <c r="BF3592">
        <v>1</v>
      </c>
      <c r="BH3592">
        <v>0</v>
      </c>
      <c r="BI3592">
        <v>0</v>
      </c>
      <c r="BJ3592">
        <v>0</v>
      </c>
      <c r="BK3592">
        <v>2525</v>
      </c>
      <c r="BL3592">
        <v>325</v>
      </c>
      <c r="BM3592" t="s">
        <v>119</v>
      </c>
      <c r="BN3592">
        <v>1</v>
      </c>
      <c r="BO3592">
        <v>1</v>
      </c>
      <c r="BP3592">
        <v>1</v>
      </c>
      <c r="BQ3592">
        <v>0</v>
      </c>
      <c r="BT3592">
        <v>0</v>
      </c>
      <c r="BU3592">
        <v>0</v>
      </c>
      <c r="BV3592">
        <v>0</v>
      </c>
      <c r="CC3592" t="str">
        <f>"19:34:49.352"</f>
        <v>19:34:49.352</v>
      </c>
      <c r="CD3592" t="str">
        <f>"353412161"</f>
        <v>353412161</v>
      </c>
      <c r="CQ3592">
        <v>0</v>
      </c>
      <c r="CR3592">
        <v>2</v>
      </c>
      <c r="CS3592">
        <v>0</v>
      </c>
      <c r="CT3592">
        <v>2</v>
      </c>
      <c r="CU3592">
        <v>0</v>
      </c>
      <c r="CV3592">
        <v>5</v>
      </c>
      <c r="CW3592" t="s">
        <v>120</v>
      </c>
      <c r="CX3592">
        <v>257</v>
      </c>
      <c r="CY3592">
        <v>0</v>
      </c>
      <c r="CZ3592" t="s">
        <v>615</v>
      </c>
      <c r="DA3592" t="s">
        <v>616</v>
      </c>
      <c r="DD3592">
        <v>16492618</v>
      </c>
      <c r="DE3592" t="s">
        <v>123</v>
      </c>
    </row>
    <row r="3593" spans="1:109" x14ac:dyDescent="0.3">
      <c r="A3593" t="str">
        <f>"19:34:50.609"</f>
        <v>19:34:50.609</v>
      </c>
      <c r="B3593" t="s">
        <v>110</v>
      </c>
      <c r="C3593" t="str">
        <f t="shared" si="168"/>
        <v>ffdfd3c0</v>
      </c>
      <c r="D3593" t="s">
        <v>111</v>
      </c>
      <c r="E3593">
        <v>18</v>
      </c>
      <c r="F3593">
        <v>1018</v>
      </c>
      <c r="G3593" t="s">
        <v>112</v>
      </c>
      <c r="J3593" t="s">
        <v>113</v>
      </c>
      <c r="K3593">
        <v>0</v>
      </c>
      <c r="L3593">
        <v>3</v>
      </c>
      <c r="M3593">
        <v>0</v>
      </c>
      <c r="N3593">
        <v>2</v>
      </c>
      <c r="O3593">
        <v>1</v>
      </c>
      <c r="P3593">
        <v>0</v>
      </c>
      <c r="Q3593">
        <v>0</v>
      </c>
      <c r="R3593" t="s">
        <v>114</v>
      </c>
      <c r="S3593" t="str">
        <f>"19:34:50.367"</f>
        <v>19:34:50.367</v>
      </c>
      <c r="T3593" t="str">
        <f>"19:34:50.367"</f>
        <v>19:34:50.367</v>
      </c>
      <c r="U3593" t="str">
        <f t="shared" si="169"/>
        <v>a1cdbe</v>
      </c>
      <c r="V3593">
        <v>0</v>
      </c>
      <c r="W3593">
        <v>0</v>
      </c>
      <c r="X3593">
        <v>2</v>
      </c>
      <c r="Y3593">
        <v>0</v>
      </c>
      <c r="Z3593">
        <v>0</v>
      </c>
      <c r="AB3593">
        <v>0</v>
      </c>
      <c r="AC3593">
        <v>9</v>
      </c>
      <c r="AD3593">
        <v>3</v>
      </c>
      <c r="AE3593">
        <v>0</v>
      </c>
      <c r="AF3593">
        <v>9</v>
      </c>
      <c r="AG3593" t="s">
        <v>158</v>
      </c>
      <c r="AH3593">
        <v>0</v>
      </c>
      <c r="AI3593">
        <v>3</v>
      </c>
      <c r="AJ3593">
        <v>1</v>
      </c>
      <c r="AK3593">
        <v>0</v>
      </c>
      <c r="AL3593" t="s">
        <v>6763</v>
      </c>
      <c r="AM3593">
        <v>47.024681999999999</v>
      </c>
      <c r="AN3593" t="s">
        <v>6764</v>
      </c>
      <c r="AO3593">
        <v>-123.83287</v>
      </c>
      <c r="AP3593">
        <v>100</v>
      </c>
      <c r="AQ3593">
        <v>2100</v>
      </c>
      <c r="AR3593" t="s">
        <v>118</v>
      </c>
      <c r="AS3593">
        <v>-78</v>
      </c>
      <c r="AT3593">
        <v>20</v>
      </c>
      <c r="AU3593">
        <v>-128</v>
      </c>
      <c r="BC3593">
        <v>1200</v>
      </c>
      <c r="BD3593">
        <v>1</v>
      </c>
      <c r="BE3593" t="str">
        <f t="shared" si="170"/>
        <v xml:space="preserve">N215T   </v>
      </c>
      <c r="BF3593">
        <v>1</v>
      </c>
      <c r="BH3593">
        <v>0</v>
      </c>
      <c r="BI3593">
        <v>0</v>
      </c>
      <c r="BJ3593">
        <v>0</v>
      </c>
      <c r="BK3593">
        <v>2625</v>
      </c>
      <c r="BL3593">
        <v>525</v>
      </c>
      <c r="BM3593" t="s">
        <v>119</v>
      </c>
      <c r="BN3593">
        <v>1</v>
      </c>
      <c r="BO3593">
        <v>1</v>
      </c>
      <c r="BP3593">
        <v>1</v>
      </c>
      <c r="BQ3593">
        <v>0</v>
      </c>
      <c r="BT3593">
        <v>0</v>
      </c>
      <c r="BU3593">
        <v>0</v>
      </c>
      <c r="BV3593">
        <v>0</v>
      </c>
      <c r="CC3593" t="str">
        <f>"19:34:50.375"</f>
        <v>19:34:50.375</v>
      </c>
      <c r="CD3593" t="str">
        <f>"373311693"</f>
        <v>373311693</v>
      </c>
      <c r="CQ3593">
        <v>0</v>
      </c>
      <c r="CR3593">
        <v>2</v>
      </c>
      <c r="CS3593">
        <v>0</v>
      </c>
      <c r="CT3593">
        <v>2</v>
      </c>
      <c r="CU3593">
        <v>0</v>
      </c>
      <c r="CV3593">
        <v>5</v>
      </c>
      <c r="CW3593" t="s">
        <v>120</v>
      </c>
      <c r="CX3593">
        <v>257</v>
      </c>
      <c r="CY3593">
        <v>0</v>
      </c>
      <c r="CZ3593" t="s">
        <v>615</v>
      </c>
      <c r="DA3593" t="s">
        <v>616</v>
      </c>
      <c r="DD3593">
        <v>16493045</v>
      </c>
      <c r="DE3593" t="s">
        <v>123</v>
      </c>
    </row>
    <row r="3594" spans="1:109" x14ac:dyDescent="0.3">
      <c r="A3594" t="str">
        <f>"19:34:51.711"</f>
        <v>19:34:51.711</v>
      </c>
      <c r="B3594" t="s">
        <v>110</v>
      </c>
      <c r="C3594" t="str">
        <f t="shared" si="168"/>
        <v>ffdfd3c0</v>
      </c>
      <c r="D3594" t="s">
        <v>111</v>
      </c>
      <c r="E3594">
        <v>18</v>
      </c>
      <c r="F3594">
        <v>1018</v>
      </c>
      <c r="G3594" t="s">
        <v>112</v>
      </c>
      <c r="J3594" t="s">
        <v>113</v>
      </c>
      <c r="K3594">
        <v>0</v>
      </c>
      <c r="L3594">
        <v>3</v>
      </c>
      <c r="M3594">
        <v>0</v>
      </c>
      <c r="N3594">
        <v>2</v>
      </c>
      <c r="O3594">
        <v>1</v>
      </c>
      <c r="P3594">
        <v>0</v>
      </c>
      <c r="Q3594">
        <v>0</v>
      </c>
      <c r="R3594" t="s">
        <v>114</v>
      </c>
      <c r="S3594" t="str">
        <f>"19:34:51.461"</f>
        <v>19:34:51.461</v>
      </c>
      <c r="T3594" t="str">
        <f>"19:34:51.461"</f>
        <v>19:34:51.461</v>
      </c>
      <c r="U3594" t="str">
        <f t="shared" si="169"/>
        <v>a1cdbe</v>
      </c>
      <c r="V3594">
        <v>0</v>
      </c>
      <c r="W3594">
        <v>0</v>
      </c>
      <c r="X3594">
        <v>2</v>
      </c>
      <c r="Y3594">
        <v>0</v>
      </c>
      <c r="Z3594">
        <v>0</v>
      </c>
      <c r="AB3594">
        <v>0</v>
      </c>
      <c r="AC3594">
        <v>9</v>
      </c>
      <c r="AD3594">
        <v>3</v>
      </c>
      <c r="AE3594">
        <v>0</v>
      </c>
      <c r="AF3594">
        <v>9</v>
      </c>
      <c r="AG3594" t="s">
        <v>158</v>
      </c>
      <c r="AH3594">
        <v>0</v>
      </c>
      <c r="AI3594">
        <v>3</v>
      </c>
      <c r="AJ3594">
        <v>1</v>
      </c>
      <c r="AK3594">
        <v>0</v>
      </c>
      <c r="AL3594" t="s">
        <v>6765</v>
      </c>
      <c r="AM3594">
        <v>47.024788999999998</v>
      </c>
      <c r="AN3594" t="s">
        <v>6766</v>
      </c>
      <c r="AO3594">
        <v>-123.833449</v>
      </c>
      <c r="AP3594">
        <v>100</v>
      </c>
      <c r="AQ3594">
        <v>2100</v>
      </c>
      <c r="AR3594" t="s">
        <v>118</v>
      </c>
      <c r="AS3594">
        <v>-78</v>
      </c>
      <c r="AT3594">
        <v>20</v>
      </c>
      <c r="AU3594">
        <v>-192</v>
      </c>
      <c r="BC3594">
        <v>1200</v>
      </c>
      <c r="BD3594">
        <v>1</v>
      </c>
      <c r="BE3594" t="str">
        <f t="shared" si="170"/>
        <v xml:space="preserve">N215T   </v>
      </c>
      <c r="BF3594">
        <v>1</v>
      </c>
      <c r="BH3594">
        <v>0</v>
      </c>
      <c r="BI3594">
        <v>0</v>
      </c>
      <c r="BJ3594">
        <v>0</v>
      </c>
      <c r="BK3594">
        <v>2525</v>
      </c>
      <c r="BL3594">
        <v>425</v>
      </c>
      <c r="BM3594" t="s">
        <v>119</v>
      </c>
      <c r="BN3594">
        <v>1</v>
      </c>
      <c r="BO3594">
        <v>1</v>
      </c>
      <c r="BP3594">
        <v>1</v>
      </c>
      <c r="BQ3594">
        <v>0</v>
      </c>
      <c r="BT3594">
        <v>0</v>
      </c>
      <c r="BU3594">
        <v>0</v>
      </c>
      <c r="BV3594">
        <v>0</v>
      </c>
      <c r="CC3594" t="str">
        <f>"19:34:51.469"</f>
        <v>19:34:51.469</v>
      </c>
      <c r="CD3594" t="str">
        <f>"468203819"</f>
        <v>468203819</v>
      </c>
      <c r="CQ3594">
        <v>0</v>
      </c>
      <c r="CR3594">
        <v>2</v>
      </c>
      <c r="CS3594">
        <v>0</v>
      </c>
      <c r="CT3594">
        <v>2</v>
      </c>
      <c r="CU3594">
        <v>0</v>
      </c>
      <c r="CV3594">
        <v>4</v>
      </c>
      <c r="CW3594" t="s">
        <v>120</v>
      </c>
      <c r="CX3594">
        <v>257</v>
      </c>
      <c r="CY3594">
        <v>0</v>
      </c>
      <c r="CZ3594" t="s">
        <v>615</v>
      </c>
      <c r="DA3594" t="s">
        <v>616</v>
      </c>
      <c r="DD3594">
        <v>16493490</v>
      </c>
      <c r="DE3594" t="s">
        <v>123</v>
      </c>
    </row>
    <row r="3595" spans="1:109" x14ac:dyDescent="0.3">
      <c r="A3595" t="str">
        <f>"19:34:52.719"</f>
        <v>19:34:52.719</v>
      </c>
      <c r="B3595" t="s">
        <v>110</v>
      </c>
      <c r="C3595" t="str">
        <f t="shared" si="168"/>
        <v>ffdfd3c0</v>
      </c>
      <c r="D3595" t="s">
        <v>111</v>
      </c>
      <c r="E3595">
        <v>18</v>
      </c>
      <c r="F3595">
        <v>1018</v>
      </c>
      <c r="G3595" t="s">
        <v>112</v>
      </c>
      <c r="J3595" t="s">
        <v>113</v>
      </c>
      <c r="K3595">
        <v>0</v>
      </c>
      <c r="L3595">
        <v>3</v>
      </c>
      <c r="M3595">
        <v>0</v>
      </c>
      <c r="N3595">
        <v>2</v>
      </c>
      <c r="O3595">
        <v>1</v>
      </c>
      <c r="P3595">
        <v>0</v>
      </c>
      <c r="Q3595">
        <v>0</v>
      </c>
      <c r="R3595" t="s">
        <v>114</v>
      </c>
      <c r="S3595" t="str">
        <f>"19:34:52.484"</f>
        <v>19:34:52.484</v>
      </c>
      <c r="T3595" t="str">
        <f>"19:34:52.383"</f>
        <v>19:34:52.383</v>
      </c>
      <c r="U3595" t="str">
        <f t="shared" si="169"/>
        <v>a1cdbe</v>
      </c>
      <c r="V3595">
        <v>0</v>
      </c>
      <c r="W3595">
        <v>0</v>
      </c>
      <c r="X3595">
        <v>2</v>
      </c>
      <c r="Y3595">
        <v>0</v>
      </c>
      <c r="Z3595">
        <v>0</v>
      </c>
      <c r="AB3595">
        <v>0</v>
      </c>
      <c r="AC3595">
        <v>9</v>
      </c>
      <c r="AD3595">
        <v>3</v>
      </c>
      <c r="AE3595">
        <v>0</v>
      </c>
      <c r="AF3595">
        <v>9</v>
      </c>
      <c r="AG3595" t="s">
        <v>158</v>
      </c>
      <c r="AH3595">
        <v>0</v>
      </c>
      <c r="AI3595">
        <v>3</v>
      </c>
      <c r="AJ3595">
        <v>1</v>
      </c>
      <c r="AK3595">
        <v>0</v>
      </c>
      <c r="AL3595" t="s">
        <v>6767</v>
      </c>
      <c r="AM3595">
        <v>47.024875000000002</v>
      </c>
      <c r="AN3595" t="s">
        <v>6768</v>
      </c>
      <c r="AO3595">
        <v>-123.83405</v>
      </c>
      <c r="AP3595">
        <v>100</v>
      </c>
      <c r="AQ3595">
        <v>2100</v>
      </c>
      <c r="AR3595" t="s">
        <v>118</v>
      </c>
      <c r="AS3595">
        <v>-78</v>
      </c>
      <c r="AT3595">
        <v>19</v>
      </c>
      <c r="AU3595">
        <v>-192</v>
      </c>
      <c r="BC3595">
        <v>1200</v>
      </c>
      <c r="BD3595">
        <v>1</v>
      </c>
      <c r="BE3595" t="str">
        <f t="shared" si="170"/>
        <v xml:space="preserve">N215T   </v>
      </c>
      <c r="BF3595">
        <v>1</v>
      </c>
      <c r="BH3595">
        <v>0</v>
      </c>
      <c r="BI3595">
        <v>0</v>
      </c>
      <c r="BJ3595">
        <v>0</v>
      </c>
      <c r="BK3595">
        <v>2525</v>
      </c>
      <c r="BL3595">
        <v>425</v>
      </c>
      <c r="BM3595" t="s">
        <v>119</v>
      </c>
      <c r="BN3595">
        <v>1</v>
      </c>
      <c r="BO3595">
        <v>1</v>
      </c>
      <c r="BP3595">
        <v>1</v>
      </c>
      <c r="BQ3595">
        <v>0</v>
      </c>
      <c r="BT3595">
        <v>0</v>
      </c>
      <c r="BU3595">
        <v>0</v>
      </c>
      <c r="BV3595">
        <v>0</v>
      </c>
      <c r="CC3595" t="str">
        <f>"19:34:52.484"</f>
        <v>19:34:52.484</v>
      </c>
      <c r="CD3595" t="str">
        <f>"488103364"</f>
        <v>488103364</v>
      </c>
      <c r="CQ3595">
        <v>0</v>
      </c>
      <c r="CR3595">
        <v>2</v>
      </c>
      <c r="CS3595">
        <v>0</v>
      </c>
      <c r="CT3595">
        <v>2</v>
      </c>
      <c r="CU3595">
        <v>0</v>
      </c>
      <c r="CV3595">
        <v>3</v>
      </c>
      <c r="CW3595" t="s">
        <v>120</v>
      </c>
      <c r="CX3595">
        <v>257</v>
      </c>
      <c r="CY3595">
        <v>0</v>
      </c>
      <c r="CZ3595" t="s">
        <v>615</v>
      </c>
      <c r="DA3595" t="s">
        <v>616</v>
      </c>
      <c r="DD3595">
        <v>16493880</v>
      </c>
      <c r="DE3595" t="s">
        <v>123</v>
      </c>
    </row>
    <row r="3596" spans="1:109" x14ac:dyDescent="0.3">
      <c r="A3596" t="str">
        <f>"19:34:53.633"</f>
        <v>19:34:53.633</v>
      </c>
      <c r="B3596" t="s">
        <v>110</v>
      </c>
      <c r="C3596" t="str">
        <f t="shared" si="168"/>
        <v>ffdfd3c0</v>
      </c>
      <c r="D3596" t="s">
        <v>111</v>
      </c>
      <c r="E3596">
        <v>18</v>
      </c>
      <c r="F3596">
        <v>1018</v>
      </c>
      <c r="G3596" t="s">
        <v>112</v>
      </c>
      <c r="J3596" t="s">
        <v>113</v>
      </c>
      <c r="K3596">
        <v>0</v>
      </c>
      <c r="L3596">
        <v>3</v>
      </c>
      <c r="M3596">
        <v>0</v>
      </c>
      <c r="N3596">
        <v>2</v>
      </c>
      <c r="O3596">
        <v>1</v>
      </c>
      <c r="P3596">
        <v>0</v>
      </c>
      <c r="Q3596">
        <v>0</v>
      </c>
      <c r="R3596" t="s">
        <v>114</v>
      </c>
      <c r="S3596" t="str">
        <f>"19:34:53.352"</f>
        <v>19:34:53.352</v>
      </c>
      <c r="T3596" t="str">
        <f>"19:34:52.953"</f>
        <v>19:34:52.953</v>
      </c>
      <c r="U3596" t="str">
        <f t="shared" si="169"/>
        <v>a1cdbe</v>
      </c>
      <c r="V3596">
        <v>0</v>
      </c>
      <c r="W3596">
        <v>0</v>
      </c>
      <c r="X3596">
        <v>2</v>
      </c>
      <c r="Y3596">
        <v>0</v>
      </c>
      <c r="Z3596">
        <v>0</v>
      </c>
      <c r="AB3596">
        <v>0</v>
      </c>
      <c r="AC3596">
        <v>9</v>
      </c>
      <c r="AD3596">
        <v>3</v>
      </c>
      <c r="AE3596">
        <v>0</v>
      </c>
      <c r="AF3596">
        <v>9</v>
      </c>
      <c r="AG3596" t="s">
        <v>158</v>
      </c>
      <c r="AH3596">
        <v>0</v>
      </c>
      <c r="AI3596">
        <v>3</v>
      </c>
      <c r="AJ3596">
        <v>1</v>
      </c>
      <c r="AK3596">
        <v>0</v>
      </c>
      <c r="AL3596" t="s">
        <v>6769</v>
      </c>
      <c r="AM3596">
        <v>47.024960999999998</v>
      </c>
      <c r="AN3596" t="s">
        <v>6770</v>
      </c>
      <c r="AO3596">
        <v>-123.834457</v>
      </c>
      <c r="AP3596">
        <v>100</v>
      </c>
      <c r="AQ3596">
        <v>2100</v>
      </c>
      <c r="AR3596" t="s">
        <v>118</v>
      </c>
      <c r="AS3596">
        <v>-78</v>
      </c>
      <c r="AT3596">
        <v>19</v>
      </c>
      <c r="AU3596">
        <v>-192</v>
      </c>
      <c r="BC3596">
        <v>1200</v>
      </c>
      <c r="BD3596">
        <v>1</v>
      </c>
      <c r="BE3596" t="str">
        <f t="shared" si="170"/>
        <v xml:space="preserve">N215T   </v>
      </c>
      <c r="BF3596">
        <v>1</v>
      </c>
      <c r="BH3596">
        <v>0</v>
      </c>
      <c r="BI3596">
        <v>0</v>
      </c>
      <c r="BJ3596">
        <v>0</v>
      </c>
      <c r="BK3596">
        <v>2525</v>
      </c>
      <c r="BL3596">
        <v>425</v>
      </c>
      <c r="BM3596" t="s">
        <v>119</v>
      </c>
      <c r="BN3596">
        <v>1</v>
      </c>
      <c r="BO3596">
        <v>1</v>
      </c>
      <c r="BP3596">
        <v>1</v>
      </c>
      <c r="BQ3596">
        <v>0</v>
      </c>
      <c r="BT3596">
        <v>0</v>
      </c>
      <c r="BU3596">
        <v>0</v>
      </c>
      <c r="BV3596">
        <v>0</v>
      </c>
      <c r="CC3596" t="str">
        <f>"19:34:53.359"</f>
        <v>19:34:53.359</v>
      </c>
      <c r="CD3596" t="str">
        <f>"358017657"</f>
        <v>358017657</v>
      </c>
      <c r="CQ3596">
        <v>0</v>
      </c>
      <c r="CR3596">
        <v>2</v>
      </c>
      <c r="CS3596">
        <v>0</v>
      </c>
      <c r="CT3596">
        <v>2</v>
      </c>
      <c r="CU3596">
        <v>0</v>
      </c>
      <c r="CV3596">
        <v>5</v>
      </c>
      <c r="CW3596" t="s">
        <v>120</v>
      </c>
      <c r="CX3596">
        <v>257</v>
      </c>
      <c r="CY3596">
        <v>0</v>
      </c>
      <c r="CZ3596" t="s">
        <v>615</v>
      </c>
      <c r="DA3596" t="s">
        <v>616</v>
      </c>
      <c r="DD3596">
        <v>16494190</v>
      </c>
      <c r="DE3596" t="s">
        <v>123</v>
      </c>
    </row>
    <row r="3597" spans="1:109" x14ac:dyDescent="0.3">
      <c r="A3597" t="str">
        <f>"19:34:54.484"</f>
        <v>19:34:54.484</v>
      </c>
      <c r="B3597" t="s">
        <v>110</v>
      </c>
      <c r="C3597" t="str">
        <f t="shared" si="168"/>
        <v>ffdfd3c0</v>
      </c>
      <c r="D3597" t="s">
        <v>111</v>
      </c>
      <c r="E3597">
        <v>18</v>
      </c>
      <c r="F3597">
        <v>1018</v>
      </c>
      <c r="G3597" t="s">
        <v>112</v>
      </c>
      <c r="J3597" t="s">
        <v>113</v>
      </c>
      <c r="K3597">
        <v>0</v>
      </c>
      <c r="L3597">
        <v>3</v>
      </c>
      <c r="M3597">
        <v>0</v>
      </c>
      <c r="N3597">
        <v>2</v>
      </c>
      <c r="O3597">
        <v>1</v>
      </c>
      <c r="P3597">
        <v>0</v>
      </c>
      <c r="Q3597">
        <v>0</v>
      </c>
      <c r="R3597" t="s">
        <v>114</v>
      </c>
      <c r="S3597" t="str">
        <f>"19:34:54.266"</f>
        <v>19:34:54.266</v>
      </c>
      <c r="T3597" t="str">
        <f>"19:34:53.867"</f>
        <v>19:34:53.867</v>
      </c>
      <c r="U3597" t="str">
        <f t="shared" si="169"/>
        <v>a1cdbe</v>
      </c>
      <c r="V3597">
        <v>0</v>
      </c>
      <c r="W3597">
        <v>0</v>
      </c>
      <c r="X3597">
        <v>2</v>
      </c>
      <c r="Y3597">
        <v>0</v>
      </c>
      <c r="Z3597">
        <v>0</v>
      </c>
      <c r="AB3597">
        <v>0</v>
      </c>
      <c r="AC3597">
        <v>9</v>
      </c>
      <c r="AD3597">
        <v>3</v>
      </c>
      <c r="AE3597">
        <v>0</v>
      </c>
      <c r="AF3597">
        <v>9</v>
      </c>
      <c r="AG3597" t="s">
        <v>158</v>
      </c>
      <c r="AH3597">
        <v>0</v>
      </c>
      <c r="AI3597">
        <v>3</v>
      </c>
      <c r="AJ3597">
        <v>1</v>
      </c>
      <c r="AK3597">
        <v>0</v>
      </c>
      <c r="AL3597" t="s">
        <v>6771</v>
      </c>
      <c r="AM3597">
        <v>47.025024999999999</v>
      </c>
      <c r="AN3597" t="s">
        <v>6772</v>
      </c>
      <c r="AO3597">
        <v>-123.83499399999999</v>
      </c>
      <c r="AP3597">
        <v>100</v>
      </c>
      <c r="AQ3597">
        <v>2100</v>
      </c>
      <c r="AR3597" t="s">
        <v>118</v>
      </c>
      <c r="AS3597">
        <v>-78</v>
      </c>
      <c r="AT3597">
        <v>19</v>
      </c>
      <c r="AU3597">
        <v>-192</v>
      </c>
      <c r="BC3597">
        <v>1200</v>
      </c>
      <c r="BD3597">
        <v>1</v>
      </c>
      <c r="BE3597" t="str">
        <f t="shared" si="170"/>
        <v xml:space="preserve">N215T   </v>
      </c>
      <c r="BF3597">
        <v>1</v>
      </c>
      <c r="BH3597">
        <v>0</v>
      </c>
      <c r="BI3597">
        <v>0</v>
      </c>
      <c r="BJ3597">
        <v>0</v>
      </c>
      <c r="BK3597">
        <v>2525</v>
      </c>
      <c r="BL3597">
        <v>425</v>
      </c>
      <c r="BM3597" t="s">
        <v>119</v>
      </c>
      <c r="BN3597">
        <v>1</v>
      </c>
      <c r="BO3597">
        <v>1</v>
      </c>
      <c r="BP3597">
        <v>1</v>
      </c>
      <c r="BQ3597">
        <v>0</v>
      </c>
      <c r="BT3597">
        <v>0</v>
      </c>
      <c r="BU3597">
        <v>0</v>
      </c>
      <c r="BV3597">
        <v>0</v>
      </c>
      <c r="CC3597" t="str">
        <f>"19:34:54.273"</f>
        <v>19:34:54.273</v>
      </c>
      <c r="CD3597" t="str">
        <f>"272927466"</f>
        <v>272927466</v>
      </c>
      <c r="CQ3597">
        <v>0</v>
      </c>
      <c r="CR3597">
        <v>2</v>
      </c>
      <c r="CS3597">
        <v>0</v>
      </c>
      <c r="CT3597">
        <v>2</v>
      </c>
      <c r="CU3597">
        <v>0</v>
      </c>
      <c r="CV3597">
        <v>3</v>
      </c>
      <c r="CW3597" t="s">
        <v>120</v>
      </c>
      <c r="CX3597">
        <v>257</v>
      </c>
      <c r="CY3597">
        <v>0</v>
      </c>
      <c r="CZ3597" t="s">
        <v>615</v>
      </c>
      <c r="DA3597" t="s">
        <v>616</v>
      </c>
      <c r="DD3597">
        <v>16494561</v>
      </c>
      <c r="DE3597" t="s">
        <v>123</v>
      </c>
    </row>
    <row r="3598" spans="1:109" x14ac:dyDescent="0.3">
      <c r="A3598" t="str">
        <f>"19:34:55.484"</f>
        <v>19:34:55.484</v>
      </c>
      <c r="B3598" t="s">
        <v>110</v>
      </c>
      <c r="C3598" t="str">
        <f t="shared" si="168"/>
        <v>ffdfd3c0</v>
      </c>
      <c r="D3598" t="s">
        <v>111</v>
      </c>
      <c r="E3598">
        <v>18</v>
      </c>
      <c r="F3598">
        <v>1018</v>
      </c>
      <c r="G3598" t="s">
        <v>112</v>
      </c>
      <c r="J3598" t="s">
        <v>113</v>
      </c>
      <c r="K3598">
        <v>0</v>
      </c>
      <c r="L3598">
        <v>3</v>
      </c>
      <c r="M3598">
        <v>0</v>
      </c>
      <c r="N3598">
        <v>2</v>
      </c>
      <c r="O3598">
        <v>1</v>
      </c>
      <c r="P3598">
        <v>0</v>
      </c>
      <c r="Q3598">
        <v>0</v>
      </c>
      <c r="R3598" t="s">
        <v>114</v>
      </c>
      <c r="S3598" t="str">
        <f>"19:34:55.211"</f>
        <v>19:34:55.211</v>
      </c>
      <c r="T3598" t="str">
        <f>"19:34:54.914"</f>
        <v>19:34:54.914</v>
      </c>
      <c r="U3598" t="str">
        <f t="shared" si="169"/>
        <v>a1cdbe</v>
      </c>
      <c r="V3598">
        <v>0</v>
      </c>
      <c r="W3598">
        <v>0</v>
      </c>
      <c r="X3598">
        <v>2</v>
      </c>
      <c r="Y3598">
        <v>0</v>
      </c>
      <c r="Z3598">
        <v>0</v>
      </c>
      <c r="AB3598">
        <v>0</v>
      </c>
      <c r="AC3598">
        <v>9</v>
      </c>
      <c r="AD3598">
        <v>3</v>
      </c>
      <c r="AE3598">
        <v>0</v>
      </c>
      <c r="AF3598">
        <v>9</v>
      </c>
      <c r="AG3598" t="s">
        <v>158</v>
      </c>
      <c r="AH3598">
        <v>0</v>
      </c>
      <c r="AI3598">
        <v>3</v>
      </c>
      <c r="AJ3598">
        <v>1</v>
      </c>
      <c r="AK3598">
        <v>0</v>
      </c>
      <c r="AL3598" t="s">
        <v>6773</v>
      </c>
      <c r="AM3598">
        <v>47.025111000000003</v>
      </c>
      <c r="AN3598" t="s">
        <v>6774</v>
      </c>
      <c r="AO3598">
        <v>-123.835487</v>
      </c>
      <c r="AP3598">
        <v>100</v>
      </c>
      <c r="AQ3598">
        <v>2100</v>
      </c>
      <c r="AR3598" t="s">
        <v>118</v>
      </c>
      <c r="AS3598">
        <v>-79</v>
      </c>
      <c r="AT3598">
        <v>19</v>
      </c>
      <c r="AU3598">
        <v>-320</v>
      </c>
      <c r="BC3598">
        <v>1200</v>
      </c>
      <c r="BD3598">
        <v>1</v>
      </c>
      <c r="BE3598" t="str">
        <f t="shared" si="170"/>
        <v xml:space="preserve">N215T   </v>
      </c>
      <c r="BF3598">
        <v>1</v>
      </c>
      <c r="BH3598">
        <v>0</v>
      </c>
      <c r="BI3598">
        <v>0</v>
      </c>
      <c r="BJ3598">
        <v>0</v>
      </c>
      <c r="BK3598">
        <v>2500</v>
      </c>
      <c r="BL3598">
        <v>400</v>
      </c>
      <c r="BM3598" t="s">
        <v>119</v>
      </c>
      <c r="BN3598">
        <v>1</v>
      </c>
      <c r="BO3598">
        <v>1</v>
      </c>
      <c r="BP3598">
        <v>1</v>
      </c>
      <c r="BQ3598">
        <v>0</v>
      </c>
      <c r="BT3598">
        <v>0</v>
      </c>
      <c r="BU3598">
        <v>0</v>
      </c>
      <c r="BV3598">
        <v>0</v>
      </c>
      <c r="CC3598" t="str">
        <f>"19:34:55.219"</f>
        <v>19:34:55.219</v>
      </c>
      <c r="CD3598" t="str">
        <f>"217834433"</f>
        <v>217834433</v>
      </c>
      <c r="CQ3598">
        <v>0</v>
      </c>
      <c r="CR3598">
        <v>2</v>
      </c>
      <c r="CS3598">
        <v>0</v>
      </c>
      <c r="CT3598">
        <v>2</v>
      </c>
      <c r="CU3598">
        <v>0</v>
      </c>
      <c r="CV3598">
        <v>4</v>
      </c>
      <c r="CW3598" t="s">
        <v>120</v>
      </c>
      <c r="CX3598">
        <v>257</v>
      </c>
      <c r="CY3598">
        <v>0</v>
      </c>
      <c r="CZ3598" t="s">
        <v>615</v>
      </c>
      <c r="DA3598" t="s">
        <v>616</v>
      </c>
      <c r="DD3598">
        <v>16494956</v>
      </c>
      <c r="DE3598" t="s">
        <v>123</v>
      </c>
    </row>
    <row r="3599" spans="1:109" x14ac:dyDescent="0.3">
      <c r="A3599" t="str">
        <f>"19:34:56.594"</f>
        <v>19:34:56.594</v>
      </c>
      <c r="B3599" t="s">
        <v>110</v>
      </c>
      <c r="C3599" t="str">
        <f t="shared" si="168"/>
        <v>ffdfd3c0</v>
      </c>
      <c r="D3599" t="s">
        <v>111</v>
      </c>
      <c r="E3599">
        <v>18</v>
      </c>
      <c r="F3599">
        <v>1018</v>
      </c>
      <c r="G3599" t="s">
        <v>112</v>
      </c>
      <c r="J3599" t="s">
        <v>113</v>
      </c>
      <c r="K3599">
        <v>0</v>
      </c>
      <c r="L3599">
        <v>3</v>
      </c>
      <c r="M3599">
        <v>0</v>
      </c>
      <c r="N3599">
        <v>2</v>
      </c>
      <c r="O3599">
        <v>1</v>
      </c>
      <c r="P3599">
        <v>0</v>
      </c>
      <c r="Q3599">
        <v>0</v>
      </c>
      <c r="R3599" t="s">
        <v>114</v>
      </c>
      <c r="S3599" t="str">
        <f>"19:34:56.320"</f>
        <v>19:34:56.320</v>
      </c>
      <c r="T3599" t="str">
        <f>"19:34:55.820"</f>
        <v>19:34:55.820</v>
      </c>
      <c r="U3599" t="str">
        <f t="shared" si="169"/>
        <v>a1cdbe</v>
      </c>
      <c r="V3599">
        <v>0</v>
      </c>
      <c r="W3599">
        <v>0</v>
      </c>
      <c r="X3599">
        <v>2</v>
      </c>
      <c r="Y3599">
        <v>0</v>
      </c>
      <c r="Z3599">
        <v>0</v>
      </c>
      <c r="AB3599">
        <v>0</v>
      </c>
      <c r="AC3599">
        <v>9</v>
      </c>
      <c r="AD3599">
        <v>3</v>
      </c>
      <c r="AE3599">
        <v>0</v>
      </c>
      <c r="AF3599">
        <v>9</v>
      </c>
      <c r="AG3599" t="s">
        <v>158</v>
      </c>
      <c r="AH3599">
        <v>0</v>
      </c>
      <c r="AI3599">
        <v>3</v>
      </c>
      <c r="AJ3599">
        <v>1</v>
      </c>
      <c r="AK3599">
        <v>0</v>
      </c>
      <c r="AL3599" t="s">
        <v>6775</v>
      </c>
      <c r="AM3599">
        <v>47.025218000000002</v>
      </c>
      <c r="AN3599" t="s">
        <v>6776</v>
      </c>
      <c r="AO3599">
        <v>-123.836067</v>
      </c>
      <c r="AP3599">
        <v>100</v>
      </c>
      <c r="AQ3599">
        <v>2100</v>
      </c>
      <c r="AR3599" t="s">
        <v>118</v>
      </c>
      <c r="AS3599">
        <v>-79</v>
      </c>
      <c r="AT3599">
        <v>19</v>
      </c>
      <c r="AU3599">
        <v>-320</v>
      </c>
      <c r="BC3599">
        <v>1200</v>
      </c>
      <c r="BD3599">
        <v>1</v>
      </c>
      <c r="BE3599" t="str">
        <f t="shared" si="170"/>
        <v xml:space="preserve">N215T   </v>
      </c>
      <c r="BF3599">
        <v>1</v>
      </c>
      <c r="BH3599">
        <v>0</v>
      </c>
      <c r="BI3599">
        <v>0</v>
      </c>
      <c r="BJ3599">
        <v>0</v>
      </c>
      <c r="BK3599">
        <v>2500</v>
      </c>
      <c r="BL3599">
        <v>400</v>
      </c>
      <c r="BM3599" t="s">
        <v>119</v>
      </c>
      <c r="BN3599">
        <v>1</v>
      </c>
      <c r="BO3599">
        <v>1</v>
      </c>
      <c r="BP3599">
        <v>1</v>
      </c>
      <c r="BQ3599">
        <v>0</v>
      </c>
      <c r="BT3599">
        <v>0</v>
      </c>
      <c r="BU3599">
        <v>0</v>
      </c>
      <c r="BV3599">
        <v>0</v>
      </c>
      <c r="CC3599" t="str">
        <f>"19:34:56.328"</f>
        <v>19:34:56.328</v>
      </c>
      <c r="CD3599" t="str">
        <f>"327725081"</f>
        <v>327725081</v>
      </c>
      <c r="CQ3599">
        <v>0</v>
      </c>
      <c r="CR3599">
        <v>2</v>
      </c>
      <c r="CS3599">
        <v>0</v>
      </c>
      <c r="CT3599">
        <v>2</v>
      </c>
      <c r="CU3599">
        <v>0</v>
      </c>
      <c r="CV3599">
        <v>4</v>
      </c>
      <c r="CW3599" t="s">
        <v>120</v>
      </c>
      <c r="CX3599">
        <v>257</v>
      </c>
      <c r="CY3599">
        <v>0</v>
      </c>
      <c r="CZ3599" t="s">
        <v>615</v>
      </c>
      <c r="DA3599" t="s">
        <v>616</v>
      </c>
      <c r="DD3599">
        <v>16495439</v>
      </c>
      <c r="DE3599" t="s">
        <v>123</v>
      </c>
    </row>
    <row r="3600" spans="1:109" x14ac:dyDescent="0.3">
      <c r="A3600" t="str">
        <f>"19:34:57.594"</f>
        <v>19:34:57.594</v>
      </c>
      <c r="B3600" t="s">
        <v>110</v>
      </c>
      <c r="C3600" t="str">
        <f t="shared" si="168"/>
        <v>ffdfd3c0</v>
      </c>
      <c r="D3600" t="s">
        <v>111</v>
      </c>
      <c r="E3600">
        <v>18</v>
      </c>
      <c r="F3600">
        <v>1018</v>
      </c>
      <c r="G3600" t="s">
        <v>112</v>
      </c>
      <c r="J3600" t="s">
        <v>113</v>
      </c>
      <c r="K3600">
        <v>0</v>
      </c>
      <c r="L3600">
        <v>3</v>
      </c>
      <c r="M3600">
        <v>0</v>
      </c>
      <c r="N3600">
        <v>2</v>
      </c>
      <c r="O3600">
        <v>1</v>
      </c>
      <c r="P3600">
        <v>0</v>
      </c>
      <c r="Q3600">
        <v>0</v>
      </c>
      <c r="R3600" t="s">
        <v>114</v>
      </c>
      <c r="S3600" t="str">
        <f>"19:34:57.344"</f>
        <v>19:34:57.344</v>
      </c>
      <c r="T3600" t="str">
        <f>"19:34:57.047"</f>
        <v>19:34:57.047</v>
      </c>
      <c r="U3600" t="str">
        <f t="shared" si="169"/>
        <v>a1cdbe</v>
      </c>
      <c r="V3600">
        <v>0</v>
      </c>
      <c r="W3600">
        <v>0</v>
      </c>
      <c r="X3600">
        <v>2</v>
      </c>
      <c r="Y3600">
        <v>0</v>
      </c>
      <c r="Z3600">
        <v>0</v>
      </c>
      <c r="AB3600">
        <v>0</v>
      </c>
      <c r="AC3600">
        <v>9</v>
      </c>
      <c r="AD3600">
        <v>3</v>
      </c>
      <c r="AE3600">
        <v>0</v>
      </c>
      <c r="AF3600">
        <v>9</v>
      </c>
      <c r="AG3600" t="s">
        <v>158</v>
      </c>
      <c r="AH3600">
        <v>0</v>
      </c>
      <c r="AI3600">
        <v>3</v>
      </c>
      <c r="AJ3600">
        <v>1</v>
      </c>
      <c r="AK3600">
        <v>0</v>
      </c>
      <c r="AL3600" t="s">
        <v>679</v>
      </c>
      <c r="AM3600">
        <v>47.025325000000002</v>
      </c>
      <c r="AN3600" t="s">
        <v>6777</v>
      </c>
      <c r="AO3600">
        <v>-123.83658200000001</v>
      </c>
      <c r="AP3600">
        <v>100</v>
      </c>
      <c r="AQ3600">
        <v>2100</v>
      </c>
      <c r="AR3600" t="s">
        <v>118</v>
      </c>
      <c r="AS3600">
        <v>-79</v>
      </c>
      <c r="AT3600">
        <v>20</v>
      </c>
      <c r="AU3600">
        <v>-256</v>
      </c>
      <c r="BC3600">
        <v>1200</v>
      </c>
      <c r="BD3600">
        <v>1</v>
      </c>
      <c r="BE3600" t="str">
        <f t="shared" si="170"/>
        <v xml:space="preserve">N215T   </v>
      </c>
      <c r="BF3600">
        <v>1</v>
      </c>
      <c r="BH3600">
        <v>0</v>
      </c>
      <c r="BI3600">
        <v>0</v>
      </c>
      <c r="BJ3600">
        <v>0</v>
      </c>
      <c r="BK3600">
        <v>2500</v>
      </c>
      <c r="BL3600">
        <v>400</v>
      </c>
      <c r="BM3600" t="s">
        <v>119</v>
      </c>
      <c r="BN3600">
        <v>1</v>
      </c>
      <c r="BO3600">
        <v>1</v>
      </c>
      <c r="BP3600">
        <v>1</v>
      </c>
      <c r="BQ3600">
        <v>0</v>
      </c>
      <c r="BT3600">
        <v>0</v>
      </c>
      <c r="BU3600">
        <v>0</v>
      </c>
      <c r="BV3600">
        <v>0</v>
      </c>
      <c r="CC3600" t="str">
        <f>"19:34:57.344"</f>
        <v>19:34:57.344</v>
      </c>
      <c r="CD3600" t="str">
        <f>"347624613"</f>
        <v>347624613</v>
      </c>
      <c r="CQ3600">
        <v>0</v>
      </c>
      <c r="CR3600">
        <v>2</v>
      </c>
      <c r="CS3600">
        <v>0</v>
      </c>
      <c r="CT3600">
        <v>2</v>
      </c>
      <c r="CU3600">
        <v>0</v>
      </c>
      <c r="CV3600">
        <v>5</v>
      </c>
      <c r="CW3600" t="s">
        <v>120</v>
      </c>
      <c r="CX3600">
        <v>257</v>
      </c>
      <c r="CY3600">
        <v>0</v>
      </c>
      <c r="CZ3600" t="s">
        <v>615</v>
      </c>
      <c r="DA3600" t="s">
        <v>616</v>
      </c>
      <c r="DD3600">
        <v>16495834</v>
      </c>
      <c r="DE3600" t="s">
        <v>123</v>
      </c>
    </row>
    <row r="3601" spans="1:109" x14ac:dyDescent="0.3">
      <c r="A3601" t="str">
        <f>"19:34:58.648"</f>
        <v>19:34:58.648</v>
      </c>
      <c r="B3601" t="s">
        <v>110</v>
      </c>
      <c r="C3601" t="str">
        <f t="shared" si="168"/>
        <v>ffdfd3c0</v>
      </c>
      <c r="D3601" t="s">
        <v>111</v>
      </c>
      <c r="E3601">
        <v>18</v>
      </c>
      <c r="F3601">
        <v>1018</v>
      </c>
      <c r="G3601" t="s">
        <v>112</v>
      </c>
      <c r="J3601" t="s">
        <v>113</v>
      </c>
      <c r="K3601">
        <v>0</v>
      </c>
      <c r="L3601">
        <v>3</v>
      </c>
      <c r="M3601">
        <v>0</v>
      </c>
      <c r="N3601">
        <v>2</v>
      </c>
      <c r="O3601">
        <v>1</v>
      </c>
      <c r="P3601">
        <v>0</v>
      </c>
      <c r="Q3601">
        <v>0</v>
      </c>
      <c r="R3601" t="s">
        <v>114</v>
      </c>
      <c r="S3601" t="str">
        <f>"19:34:58.406"</f>
        <v>19:34:58.406</v>
      </c>
      <c r="T3601" t="str">
        <f>"19:34:58.109"</f>
        <v>19:34:58.109</v>
      </c>
      <c r="U3601" t="str">
        <f t="shared" si="169"/>
        <v>a1cdbe</v>
      </c>
      <c r="V3601">
        <v>0</v>
      </c>
      <c r="W3601">
        <v>0</v>
      </c>
      <c r="X3601">
        <v>2</v>
      </c>
      <c r="Y3601">
        <v>0</v>
      </c>
      <c r="Z3601">
        <v>0</v>
      </c>
      <c r="AB3601">
        <v>0</v>
      </c>
      <c r="AC3601">
        <v>9</v>
      </c>
      <c r="AD3601">
        <v>3</v>
      </c>
      <c r="AE3601">
        <v>0</v>
      </c>
      <c r="AF3601">
        <v>9</v>
      </c>
      <c r="AG3601" t="s">
        <v>158</v>
      </c>
      <c r="AH3601">
        <v>0</v>
      </c>
      <c r="AI3601">
        <v>3</v>
      </c>
      <c r="AJ3601">
        <v>1</v>
      </c>
      <c r="AK3601">
        <v>0</v>
      </c>
      <c r="AL3601" t="s">
        <v>6778</v>
      </c>
      <c r="AM3601">
        <v>47.025410999999998</v>
      </c>
      <c r="AN3601" t="s">
        <v>6779</v>
      </c>
      <c r="AO3601">
        <v>-123.837204</v>
      </c>
      <c r="AP3601">
        <v>100</v>
      </c>
      <c r="AQ3601">
        <v>2100</v>
      </c>
      <c r="AR3601" t="s">
        <v>118</v>
      </c>
      <c r="AS3601">
        <v>-79</v>
      </c>
      <c r="AT3601">
        <v>20</v>
      </c>
      <c r="AU3601">
        <v>-256</v>
      </c>
      <c r="BC3601">
        <v>1200</v>
      </c>
      <c r="BD3601">
        <v>1</v>
      </c>
      <c r="BE3601" t="str">
        <f t="shared" si="170"/>
        <v xml:space="preserve">N215T   </v>
      </c>
      <c r="BF3601">
        <v>1</v>
      </c>
      <c r="BH3601">
        <v>0</v>
      </c>
      <c r="BI3601">
        <v>0</v>
      </c>
      <c r="BJ3601">
        <v>0</v>
      </c>
      <c r="BK3601">
        <v>2500</v>
      </c>
      <c r="BL3601">
        <v>400</v>
      </c>
      <c r="BM3601" t="s">
        <v>119</v>
      </c>
      <c r="BN3601">
        <v>1</v>
      </c>
      <c r="BO3601">
        <v>1</v>
      </c>
      <c r="BP3601">
        <v>1</v>
      </c>
      <c r="BQ3601">
        <v>0</v>
      </c>
      <c r="BT3601">
        <v>0</v>
      </c>
      <c r="BU3601">
        <v>0</v>
      </c>
      <c r="BV3601">
        <v>0</v>
      </c>
      <c r="CC3601" t="str">
        <f>"19:34:58.414"</f>
        <v>19:34:58.414</v>
      </c>
      <c r="CD3601" t="str">
        <f>"412519716"</f>
        <v>412519716</v>
      </c>
      <c r="CQ3601">
        <v>0</v>
      </c>
      <c r="CR3601">
        <v>2</v>
      </c>
      <c r="CS3601">
        <v>0</v>
      </c>
      <c r="CT3601">
        <v>2</v>
      </c>
      <c r="CU3601">
        <v>0</v>
      </c>
      <c r="CV3601">
        <v>4</v>
      </c>
      <c r="CW3601" t="s">
        <v>120</v>
      </c>
      <c r="CX3601">
        <v>257</v>
      </c>
      <c r="CY3601">
        <v>0</v>
      </c>
      <c r="CZ3601" t="s">
        <v>615</v>
      </c>
      <c r="DA3601" t="s">
        <v>616</v>
      </c>
      <c r="DD3601">
        <v>16496222</v>
      </c>
      <c r="DE3601" t="s">
        <v>123</v>
      </c>
    </row>
    <row r="3602" spans="1:109" x14ac:dyDescent="0.3">
      <c r="A3602" t="str">
        <f>"19:34:59.656"</f>
        <v>19:34:59.656</v>
      </c>
      <c r="B3602" t="s">
        <v>110</v>
      </c>
      <c r="C3602" t="str">
        <f t="shared" si="168"/>
        <v>ffdfd3c0</v>
      </c>
      <c r="D3602" t="s">
        <v>111</v>
      </c>
      <c r="E3602">
        <v>18</v>
      </c>
      <c r="F3602">
        <v>1018</v>
      </c>
      <c r="G3602" t="s">
        <v>112</v>
      </c>
      <c r="J3602" t="s">
        <v>113</v>
      </c>
      <c r="K3602">
        <v>0</v>
      </c>
      <c r="L3602">
        <v>3</v>
      </c>
      <c r="M3602">
        <v>0</v>
      </c>
      <c r="N3602">
        <v>2</v>
      </c>
      <c r="O3602">
        <v>1</v>
      </c>
      <c r="P3602">
        <v>0</v>
      </c>
      <c r="Q3602">
        <v>0</v>
      </c>
      <c r="R3602" t="s">
        <v>114</v>
      </c>
      <c r="S3602" t="str">
        <f>"19:34:59.445"</f>
        <v>19:34:59.445</v>
      </c>
      <c r="T3602" t="str">
        <f>"19:34:59.047"</f>
        <v>19:34:59.047</v>
      </c>
      <c r="U3602" t="str">
        <f t="shared" si="169"/>
        <v>a1cdbe</v>
      </c>
      <c r="V3602">
        <v>0</v>
      </c>
      <c r="W3602">
        <v>0</v>
      </c>
      <c r="X3602">
        <v>2</v>
      </c>
      <c r="Y3602">
        <v>0</v>
      </c>
      <c r="Z3602">
        <v>0</v>
      </c>
      <c r="AB3602">
        <v>0</v>
      </c>
      <c r="AC3602">
        <v>9</v>
      </c>
      <c r="AD3602">
        <v>3</v>
      </c>
      <c r="AE3602">
        <v>0</v>
      </c>
      <c r="AF3602">
        <v>9</v>
      </c>
      <c r="AG3602" t="s">
        <v>158</v>
      </c>
      <c r="AH3602">
        <v>0</v>
      </c>
      <c r="AI3602">
        <v>3</v>
      </c>
      <c r="AJ3602">
        <v>1</v>
      </c>
      <c r="AK3602">
        <v>0</v>
      </c>
      <c r="AL3602" t="s">
        <v>6780</v>
      </c>
      <c r="AM3602">
        <v>47.025497000000001</v>
      </c>
      <c r="AN3602" t="s">
        <v>6781</v>
      </c>
      <c r="AO3602">
        <v>-123.83774</v>
      </c>
      <c r="AP3602">
        <v>100</v>
      </c>
      <c r="AQ3602">
        <v>2100</v>
      </c>
      <c r="AR3602" t="s">
        <v>118</v>
      </c>
      <c r="AS3602">
        <v>-78</v>
      </c>
      <c r="AT3602">
        <v>20</v>
      </c>
      <c r="AU3602">
        <v>-192</v>
      </c>
      <c r="BC3602">
        <v>1200</v>
      </c>
      <c r="BD3602">
        <v>1</v>
      </c>
      <c r="BE3602" t="str">
        <f t="shared" si="170"/>
        <v xml:space="preserve">N215T   </v>
      </c>
      <c r="BF3602">
        <v>1</v>
      </c>
      <c r="BH3602">
        <v>0</v>
      </c>
      <c r="BI3602">
        <v>0</v>
      </c>
      <c r="BJ3602">
        <v>0</v>
      </c>
      <c r="BK3602">
        <v>2500</v>
      </c>
      <c r="BL3602">
        <v>400</v>
      </c>
      <c r="BM3602" t="s">
        <v>119</v>
      </c>
      <c r="BN3602">
        <v>1</v>
      </c>
      <c r="BO3602">
        <v>1</v>
      </c>
      <c r="BP3602">
        <v>1</v>
      </c>
      <c r="BQ3602">
        <v>0</v>
      </c>
      <c r="BT3602">
        <v>0</v>
      </c>
      <c r="BU3602">
        <v>0</v>
      </c>
      <c r="BV3602">
        <v>0</v>
      </c>
      <c r="CC3602" t="str">
        <f>"19:34:59.445"</f>
        <v>19:34:59.445</v>
      </c>
      <c r="CD3602" t="str">
        <f>"447417763"</f>
        <v>447417763</v>
      </c>
      <c r="CQ3602">
        <v>0</v>
      </c>
      <c r="CR3602">
        <v>2</v>
      </c>
      <c r="CS3602">
        <v>0</v>
      </c>
      <c r="CT3602">
        <v>2</v>
      </c>
      <c r="CU3602">
        <v>0</v>
      </c>
      <c r="CV3602">
        <v>5</v>
      </c>
      <c r="CW3602" t="s">
        <v>120</v>
      </c>
      <c r="CX3602">
        <v>257</v>
      </c>
      <c r="CY3602">
        <v>0</v>
      </c>
      <c r="CZ3602" t="s">
        <v>615</v>
      </c>
      <c r="DA3602" t="s">
        <v>616</v>
      </c>
      <c r="DD3602">
        <v>16496642</v>
      </c>
      <c r="DE3602" t="s">
        <v>123</v>
      </c>
    </row>
    <row r="3603" spans="1:109" x14ac:dyDescent="0.3">
      <c r="A3603" t="str">
        <f>"19:35:00.813"</f>
        <v>19:35:00.813</v>
      </c>
      <c r="B3603" t="s">
        <v>110</v>
      </c>
      <c r="C3603" t="str">
        <f t="shared" si="168"/>
        <v>ffdfd3c0</v>
      </c>
      <c r="D3603" t="s">
        <v>111</v>
      </c>
      <c r="E3603">
        <v>18</v>
      </c>
      <c r="F3603">
        <v>1018</v>
      </c>
      <c r="G3603" t="s">
        <v>112</v>
      </c>
      <c r="J3603" t="s">
        <v>113</v>
      </c>
      <c r="K3603">
        <v>0</v>
      </c>
      <c r="L3603">
        <v>3</v>
      </c>
      <c r="M3603">
        <v>0</v>
      </c>
      <c r="N3603">
        <v>2</v>
      </c>
      <c r="O3603">
        <v>1</v>
      </c>
      <c r="P3603">
        <v>0</v>
      </c>
      <c r="Q3603">
        <v>0</v>
      </c>
      <c r="R3603" t="s">
        <v>114</v>
      </c>
      <c r="S3603" t="str">
        <f>"19:35:00.586"</f>
        <v>19:35:00.586</v>
      </c>
      <c r="T3603" t="str">
        <f>"19:35:00.586"</f>
        <v>19:35:00.586</v>
      </c>
      <c r="U3603" t="str">
        <f t="shared" si="169"/>
        <v>a1cdbe</v>
      </c>
      <c r="V3603">
        <v>0</v>
      </c>
      <c r="W3603">
        <v>0</v>
      </c>
      <c r="X3603">
        <v>2</v>
      </c>
      <c r="Y3603">
        <v>0</v>
      </c>
      <c r="Z3603">
        <v>0</v>
      </c>
      <c r="AB3603">
        <v>0</v>
      </c>
      <c r="AC3603">
        <v>9</v>
      </c>
      <c r="AD3603">
        <v>3</v>
      </c>
      <c r="AE3603">
        <v>0</v>
      </c>
      <c r="AF3603">
        <v>9</v>
      </c>
      <c r="AG3603" t="s">
        <v>158</v>
      </c>
      <c r="AH3603">
        <v>0</v>
      </c>
      <c r="AI3603">
        <v>3</v>
      </c>
      <c r="AJ3603">
        <v>1</v>
      </c>
      <c r="AK3603">
        <v>0</v>
      </c>
      <c r="AL3603" t="s">
        <v>6782</v>
      </c>
      <c r="AM3603">
        <v>47.025626000000003</v>
      </c>
      <c r="AN3603" t="s">
        <v>6783</v>
      </c>
      <c r="AO3603">
        <v>-123.83832</v>
      </c>
      <c r="AP3603">
        <v>100</v>
      </c>
      <c r="AQ3603">
        <v>2100</v>
      </c>
      <c r="AR3603" t="s">
        <v>118</v>
      </c>
      <c r="AS3603">
        <v>-78</v>
      </c>
      <c r="AT3603">
        <v>20</v>
      </c>
      <c r="AU3603">
        <v>-192</v>
      </c>
      <c r="BC3603">
        <v>1200</v>
      </c>
      <c r="BD3603">
        <v>1</v>
      </c>
      <c r="BE3603" t="str">
        <f t="shared" si="170"/>
        <v xml:space="preserve">N215T   </v>
      </c>
      <c r="BF3603">
        <v>1</v>
      </c>
      <c r="BH3603">
        <v>0</v>
      </c>
      <c r="BI3603">
        <v>0</v>
      </c>
      <c r="BJ3603">
        <v>0</v>
      </c>
      <c r="BK3603">
        <v>2500</v>
      </c>
      <c r="BL3603">
        <v>400</v>
      </c>
      <c r="BM3603" t="s">
        <v>119</v>
      </c>
      <c r="BN3603">
        <v>1</v>
      </c>
      <c r="BO3603">
        <v>1</v>
      </c>
      <c r="BP3603">
        <v>1</v>
      </c>
      <c r="BQ3603">
        <v>0</v>
      </c>
      <c r="BT3603">
        <v>0</v>
      </c>
      <c r="BU3603">
        <v>0</v>
      </c>
      <c r="BV3603">
        <v>0</v>
      </c>
      <c r="CC3603" t="str">
        <f>"19:35:00.586"</f>
        <v>19:35:00.586</v>
      </c>
      <c r="CD3603" t="str">
        <f>"587305475"</f>
        <v>587305475</v>
      </c>
      <c r="CQ3603">
        <v>0</v>
      </c>
      <c r="CR3603">
        <v>2</v>
      </c>
      <c r="CS3603">
        <v>0</v>
      </c>
      <c r="CT3603">
        <v>2</v>
      </c>
      <c r="CU3603">
        <v>0</v>
      </c>
      <c r="CV3603">
        <v>4</v>
      </c>
      <c r="CW3603" t="s">
        <v>120</v>
      </c>
      <c r="CX3603">
        <v>257</v>
      </c>
      <c r="CY3603">
        <v>0</v>
      </c>
      <c r="CZ3603" t="s">
        <v>615</v>
      </c>
      <c r="DA3603" t="s">
        <v>616</v>
      </c>
      <c r="DD3603">
        <v>16497150</v>
      </c>
      <c r="DE3603" t="s">
        <v>123</v>
      </c>
    </row>
    <row r="3604" spans="1:109" x14ac:dyDescent="0.3">
      <c r="A3604" t="str">
        <f>"19:35:01.867"</f>
        <v>19:35:01.867</v>
      </c>
      <c r="B3604" t="s">
        <v>110</v>
      </c>
      <c r="C3604" t="str">
        <f t="shared" si="168"/>
        <v>ffdfd3c0</v>
      </c>
      <c r="D3604" t="s">
        <v>111</v>
      </c>
      <c r="E3604">
        <v>18</v>
      </c>
      <c r="F3604">
        <v>1018</v>
      </c>
      <c r="G3604" t="s">
        <v>112</v>
      </c>
      <c r="J3604" t="s">
        <v>113</v>
      </c>
      <c r="K3604">
        <v>0</v>
      </c>
      <c r="L3604">
        <v>3</v>
      </c>
      <c r="M3604">
        <v>0</v>
      </c>
      <c r="N3604">
        <v>2</v>
      </c>
      <c r="O3604">
        <v>1</v>
      </c>
      <c r="P3604">
        <v>0</v>
      </c>
      <c r="Q3604">
        <v>0</v>
      </c>
      <c r="R3604" t="s">
        <v>114</v>
      </c>
      <c r="S3604" t="str">
        <f>"19:35:01.602"</f>
        <v>19:35:01.602</v>
      </c>
      <c r="T3604" t="str">
        <f>"19:35:01.602"</f>
        <v>19:35:01.602</v>
      </c>
      <c r="U3604" t="str">
        <f t="shared" si="169"/>
        <v>a1cdbe</v>
      </c>
      <c r="V3604">
        <v>0</v>
      </c>
      <c r="W3604">
        <v>0</v>
      </c>
      <c r="X3604">
        <v>2</v>
      </c>
      <c r="Y3604">
        <v>0</v>
      </c>
      <c r="Z3604">
        <v>0</v>
      </c>
      <c r="AB3604">
        <v>0</v>
      </c>
      <c r="AC3604">
        <v>9</v>
      </c>
      <c r="AD3604">
        <v>3</v>
      </c>
      <c r="AE3604">
        <v>0</v>
      </c>
      <c r="AF3604">
        <v>9</v>
      </c>
      <c r="AG3604" t="s">
        <v>158</v>
      </c>
      <c r="AH3604">
        <v>0</v>
      </c>
      <c r="AI3604">
        <v>3</v>
      </c>
      <c r="AJ3604">
        <v>1</v>
      </c>
      <c r="AK3604">
        <v>0</v>
      </c>
      <c r="AL3604" t="s">
        <v>6784</v>
      </c>
      <c r="AM3604">
        <v>47.025689999999997</v>
      </c>
      <c r="AN3604" t="s">
        <v>6785</v>
      </c>
      <c r="AO3604">
        <v>-123.83885600000001</v>
      </c>
      <c r="AP3604">
        <v>100</v>
      </c>
      <c r="AQ3604">
        <v>2100</v>
      </c>
      <c r="AR3604" t="s">
        <v>118</v>
      </c>
      <c r="AS3604">
        <v>-78</v>
      </c>
      <c r="AT3604">
        <v>21</v>
      </c>
      <c r="AU3604">
        <v>-192</v>
      </c>
      <c r="BC3604">
        <v>1200</v>
      </c>
      <c r="BD3604">
        <v>1</v>
      </c>
      <c r="BE3604" t="str">
        <f t="shared" si="170"/>
        <v xml:space="preserve">N215T   </v>
      </c>
      <c r="BF3604">
        <v>1</v>
      </c>
      <c r="BH3604">
        <v>0</v>
      </c>
      <c r="BI3604">
        <v>0</v>
      </c>
      <c r="BJ3604">
        <v>0</v>
      </c>
      <c r="BK3604">
        <v>2475</v>
      </c>
      <c r="BL3604">
        <v>375</v>
      </c>
      <c r="BM3604" t="s">
        <v>119</v>
      </c>
      <c r="BN3604">
        <v>1</v>
      </c>
      <c r="BO3604">
        <v>1</v>
      </c>
      <c r="BP3604">
        <v>1</v>
      </c>
      <c r="BQ3604">
        <v>0</v>
      </c>
      <c r="BT3604">
        <v>0</v>
      </c>
      <c r="BU3604">
        <v>0</v>
      </c>
      <c r="BV3604">
        <v>0</v>
      </c>
      <c r="CC3604" t="str">
        <f>"19:35:01.609"</f>
        <v>19:35:01.609</v>
      </c>
      <c r="CD3604" t="str">
        <f>"607205015"</f>
        <v>607205015</v>
      </c>
      <c r="CQ3604">
        <v>0</v>
      </c>
      <c r="CR3604">
        <v>2</v>
      </c>
      <c r="CS3604">
        <v>0</v>
      </c>
      <c r="CT3604">
        <v>2</v>
      </c>
      <c r="CU3604">
        <v>0</v>
      </c>
      <c r="CV3604">
        <v>4</v>
      </c>
      <c r="CW3604" t="s">
        <v>120</v>
      </c>
      <c r="CX3604">
        <v>257</v>
      </c>
      <c r="CY3604">
        <v>0</v>
      </c>
      <c r="CZ3604" t="s">
        <v>615</v>
      </c>
      <c r="DA3604" t="s">
        <v>616</v>
      </c>
      <c r="DD3604">
        <v>16497536</v>
      </c>
      <c r="DE3604" t="s">
        <v>123</v>
      </c>
    </row>
    <row r="3605" spans="1:109" x14ac:dyDescent="0.3">
      <c r="A3605" t="str">
        <f>"19:35:02.680"</f>
        <v>19:35:02.680</v>
      </c>
      <c r="B3605" t="s">
        <v>110</v>
      </c>
      <c r="C3605" t="str">
        <f t="shared" si="168"/>
        <v>ffdfd3c0</v>
      </c>
      <c r="D3605" t="s">
        <v>111</v>
      </c>
      <c r="E3605">
        <v>18</v>
      </c>
      <c r="F3605">
        <v>1018</v>
      </c>
      <c r="G3605" t="s">
        <v>112</v>
      </c>
      <c r="J3605" t="s">
        <v>113</v>
      </c>
      <c r="K3605">
        <v>0</v>
      </c>
      <c r="L3605">
        <v>3</v>
      </c>
      <c r="M3605">
        <v>0</v>
      </c>
      <c r="N3605">
        <v>2</v>
      </c>
      <c r="O3605">
        <v>1</v>
      </c>
      <c r="P3605">
        <v>0</v>
      </c>
      <c r="Q3605">
        <v>0</v>
      </c>
      <c r="R3605" t="s">
        <v>114</v>
      </c>
      <c r="S3605" t="str">
        <f>"19:35:02.477"</f>
        <v>19:35:02.477</v>
      </c>
      <c r="T3605" t="str">
        <f>"19:35:01.578"</f>
        <v>19:35:01.578</v>
      </c>
      <c r="U3605" t="str">
        <f t="shared" si="169"/>
        <v>a1cdbe</v>
      </c>
      <c r="V3605">
        <v>0</v>
      </c>
      <c r="W3605">
        <v>0</v>
      </c>
      <c r="X3605">
        <v>2</v>
      </c>
      <c r="Y3605">
        <v>0</v>
      </c>
      <c r="Z3605">
        <v>0</v>
      </c>
      <c r="AB3605">
        <v>0</v>
      </c>
      <c r="AC3605">
        <v>9</v>
      </c>
      <c r="AD3605">
        <v>3</v>
      </c>
      <c r="AE3605">
        <v>0</v>
      </c>
      <c r="AF3605">
        <v>9</v>
      </c>
      <c r="AG3605" t="s">
        <v>158</v>
      </c>
      <c r="AH3605">
        <v>0</v>
      </c>
      <c r="AI3605">
        <v>3</v>
      </c>
      <c r="AJ3605">
        <v>1</v>
      </c>
      <c r="AK3605">
        <v>0</v>
      </c>
      <c r="AL3605" t="s">
        <v>6786</v>
      </c>
      <c r="AM3605">
        <v>47.025796999999997</v>
      </c>
      <c r="AN3605" t="s">
        <v>6787</v>
      </c>
      <c r="AO3605">
        <v>-123.83932799999999</v>
      </c>
      <c r="AP3605">
        <v>100</v>
      </c>
      <c r="AQ3605">
        <v>2100</v>
      </c>
      <c r="AR3605" t="s">
        <v>118</v>
      </c>
      <c r="AS3605">
        <v>-78</v>
      </c>
      <c r="AT3605">
        <v>21</v>
      </c>
      <c r="AU3605">
        <v>-192</v>
      </c>
      <c r="BC3605">
        <v>1200</v>
      </c>
      <c r="BD3605">
        <v>1</v>
      </c>
      <c r="BE3605" t="str">
        <f t="shared" si="170"/>
        <v xml:space="preserve">N215T   </v>
      </c>
      <c r="BF3605">
        <v>1</v>
      </c>
      <c r="BH3605">
        <v>0</v>
      </c>
      <c r="BI3605">
        <v>0</v>
      </c>
      <c r="BJ3605">
        <v>0</v>
      </c>
      <c r="BK3605">
        <v>2475</v>
      </c>
      <c r="BL3605">
        <v>375</v>
      </c>
      <c r="BM3605" t="s">
        <v>119</v>
      </c>
      <c r="BN3605">
        <v>1</v>
      </c>
      <c r="BO3605">
        <v>1</v>
      </c>
      <c r="BP3605">
        <v>1</v>
      </c>
      <c r="BQ3605">
        <v>0</v>
      </c>
      <c r="BT3605">
        <v>0</v>
      </c>
      <c r="BU3605">
        <v>0</v>
      </c>
      <c r="BV3605">
        <v>0</v>
      </c>
      <c r="CC3605" t="str">
        <f>"19:35:02.477"</f>
        <v>19:35:02.477</v>
      </c>
      <c r="CD3605" t="str">
        <f>"477119289"</f>
        <v>477119289</v>
      </c>
      <c r="CQ3605">
        <v>0</v>
      </c>
      <c r="CR3605">
        <v>2</v>
      </c>
      <c r="CS3605">
        <v>0</v>
      </c>
      <c r="CT3605">
        <v>2</v>
      </c>
      <c r="CU3605">
        <v>0</v>
      </c>
      <c r="CV3605">
        <v>4</v>
      </c>
      <c r="CW3605" t="s">
        <v>120</v>
      </c>
      <c r="CX3605">
        <v>257</v>
      </c>
      <c r="CY3605">
        <v>0</v>
      </c>
      <c r="CZ3605" t="s">
        <v>615</v>
      </c>
      <c r="DA3605" t="s">
        <v>616</v>
      </c>
      <c r="DD3605">
        <v>16497866</v>
      </c>
      <c r="DE3605" t="s">
        <v>123</v>
      </c>
    </row>
    <row r="3606" spans="1:109" x14ac:dyDescent="0.3">
      <c r="A3606" t="str">
        <f>"19:35:03.734"</f>
        <v>19:35:03.734</v>
      </c>
      <c r="B3606" t="s">
        <v>110</v>
      </c>
      <c r="C3606" t="str">
        <f t="shared" si="168"/>
        <v>ffdfd3c0</v>
      </c>
      <c r="D3606" t="s">
        <v>111</v>
      </c>
      <c r="E3606">
        <v>18</v>
      </c>
      <c r="F3606">
        <v>1018</v>
      </c>
      <c r="G3606" t="s">
        <v>112</v>
      </c>
      <c r="J3606" t="s">
        <v>113</v>
      </c>
      <c r="K3606">
        <v>0</v>
      </c>
      <c r="L3606">
        <v>3</v>
      </c>
      <c r="M3606">
        <v>0</v>
      </c>
      <c r="N3606">
        <v>2</v>
      </c>
      <c r="O3606">
        <v>1</v>
      </c>
      <c r="P3606">
        <v>0</v>
      </c>
      <c r="Q3606">
        <v>0</v>
      </c>
      <c r="R3606" t="s">
        <v>114</v>
      </c>
      <c r="S3606" t="str">
        <f>"19:35:03.508"</f>
        <v>19:35:03.508</v>
      </c>
      <c r="T3606" t="str">
        <f>"19:35:03.508"</f>
        <v>19:35:03.508</v>
      </c>
      <c r="U3606" t="str">
        <f t="shared" si="169"/>
        <v>a1cdbe</v>
      </c>
      <c r="V3606">
        <v>0</v>
      </c>
      <c r="W3606">
        <v>0</v>
      </c>
      <c r="X3606">
        <v>2</v>
      </c>
      <c r="Y3606">
        <v>0</v>
      </c>
      <c r="Z3606">
        <v>0</v>
      </c>
      <c r="AB3606">
        <v>0</v>
      </c>
      <c r="AC3606">
        <v>9</v>
      </c>
      <c r="AD3606">
        <v>3</v>
      </c>
      <c r="AE3606">
        <v>0</v>
      </c>
      <c r="AF3606">
        <v>9</v>
      </c>
      <c r="AG3606" t="s">
        <v>158</v>
      </c>
      <c r="AH3606">
        <v>0</v>
      </c>
      <c r="AI3606">
        <v>3</v>
      </c>
      <c r="AJ3606">
        <v>1</v>
      </c>
      <c r="AK3606">
        <v>0</v>
      </c>
      <c r="AL3606" t="s">
        <v>6788</v>
      </c>
      <c r="AM3606">
        <v>47.025861999999996</v>
      </c>
      <c r="AN3606" t="s">
        <v>6789</v>
      </c>
      <c r="AO3606">
        <v>-123.839865</v>
      </c>
      <c r="AP3606">
        <v>100</v>
      </c>
      <c r="AQ3606">
        <v>2100</v>
      </c>
      <c r="AR3606" t="s">
        <v>118</v>
      </c>
      <c r="AS3606">
        <v>-78</v>
      </c>
      <c r="AT3606">
        <v>20</v>
      </c>
      <c r="AU3606">
        <v>-128</v>
      </c>
      <c r="BC3606">
        <v>1200</v>
      </c>
      <c r="BD3606">
        <v>1</v>
      </c>
      <c r="BE3606" t="str">
        <f t="shared" si="170"/>
        <v xml:space="preserve">N215T   </v>
      </c>
      <c r="BF3606">
        <v>1</v>
      </c>
      <c r="BH3606">
        <v>0</v>
      </c>
      <c r="BI3606">
        <v>0</v>
      </c>
      <c r="BJ3606">
        <v>0</v>
      </c>
      <c r="BK3606">
        <v>2475</v>
      </c>
      <c r="BL3606">
        <v>375</v>
      </c>
      <c r="BM3606" t="s">
        <v>119</v>
      </c>
      <c r="BN3606">
        <v>1</v>
      </c>
      <c r="BO3606">
        <v>1</v>
      </c>
      <c r="BP3606">
        <v>1</v>
      </c>
      <c r="BQ3606">
        <v>0</v>
      </c>
      <c r="BT3606">
        <v>0</v>
      </c>
      <c r="BU3606">
        <v>0</v>
      </c>
      <c r="BV3606">
        <v>0</v>
      </c>
      <c r="CC3606" t="str">
        <f>"19:35:03.516"</f>
        <v>19:35:03.516</v>
      </c>
      <c r="CD3606" t="str">
        <f>"512017356"</f>
        <v>512017356</v>
      </c>
      <c r="CQ3606">
        <v>0</v>
      </c>
      <c r="CR3606">
        <v>2</v>
      </c>
      <c r="CS3606">
        <v>0</v>
      </c>
      <c r="CT3606">
        <v>2</v>
      </c>
      <c r="CU3606">
        <v>0</v>
      </c>
      <c r="CV3606">
        <v>5</v>
      </c>
      <c r="CW3606" t="s">
        <v>120</v>
      </c>
      <c r="CX3606">
        <v>257</v>
      </c>
      <c r="CY3606">
        <v>0</v>
      </c>
      <c r="CZ3606" t="s">
        <v>615</v>
      </c>
      <c r="DA3606" t="s">
        <v>616</v>
      </c>
      <c r="DD3606">
        <v>16498296</v>
      </c>
      <c r="DE3606" t="s">
        <v>123</v>
      </c>
    </row>
    <row r="3607" spans="1:109" x14ac:dyDescent="0.3">
      <c r="A3607" t="str">
        <f>"19:35:04.734"</f>
        <v>19:35:04.734</v>
      </c>
      <c r="B3607" t="s">
        <v>110</v>
      </c>
      <c r="C3607" t="str">
        <f t="shared" si="168"/>
        <v>ffdfd3c0</v>
      </c>
      <c r="D3607" t="s">
        <v>111</v>
      </c>
      <c r="E3607">
        <v>18</v>
      </c>
      <c r="F3607">
        <v>1018</v>
      </c>
      <c r="G3607" t="s">
        <v>112</v>
      </c>
      <c r="J3607" t="s">
        <v>113</v>
      </c>
      <c r="K3607">
        <v>0</v>
      </c>
      <c r="L3607">
        <v>3</v>
      </c>
      <c r="M3607">
        <v>0</v>
      </c>
      <c r="N3607">
        <v>2</v>
      </c>
      <c r="O3607">
        <v>1</v>
      </c>
      <c r="P3607">
        <v>0</v>
      </c>
      <c r="Q3607">
        <v>0</v>
      </c>
      <c r="R3607" t="s">
        <v>114</v>
      </c>
      <c r="S3607" t="str">
        <f>"19:35:04.531"</f>
        <v>19:35:04.531</v>
      </c>
      <c r="T3607" t="str">
        <f>"19:35:04.531"</f>
        <v>19:35:04.531</v>
      </c>
      <c r="U3607" t="str">
        <f t="shared" si="169"/>
        <v>a1cdbe</v>
      </c>
      <c r="V3607">
        <v>0</v>
      </c>
      <c r="W3607">
        <v>0</v>
      </c>
      <c r="X3607">
        <v>2</v>
      </c>
      <c r="Y3607">
        <v>0</v>
      </c>
      <c r="Z3607">
        <v>0</v>
      </c>
      <c r="AB3607">
        <v>0</v>
      </c>
      <c r="AC3607">
        <v>9</v>
      </c>
      <c r="AD3607">
        <v>3</v>
      </c>
      <c r="AE3607">
        <v>0</v>
      </c>
      <c r="AF3607">
        <v>9</v>
      </c>
      <c r="AG3607" t="s">
        <v>158</v>
      </c>
      <c r="AH3607">
        <v>0</v>
      </c>
      <c r="AI3607">
        <v>3</v>
      </c>
      <c r="AJ3607">
        <v>1</v>
      </c>
      <c r="AK3607">
        <v>0</v>
      </c>
      <c r="AL3607" t="s">
        <v>6790</v>
      </c>
      <c r="AM3607">
        <v>47.025969000000003</v>
      </c>
      <c r="AN3607" t="s">
        <v>6791</v>
      </c>
      <c r="AO3607">
        <v>-123.840423</v>
      </c>
      <c r="AP3607">
        <v>100</v>
      </c>
      <c r="AQ3607">
        <v>2100</v>
      </c>
      <c r="AR3607" t="s">
        <v>118</v>
      </c>
      <c r="AS3607">
        <v>-78</v>
      </c>
      <c r="AT3607">
        <v>20</v>
      </c>
      <c r="AU3607">
        <v>-64</v>
      </c>
      <c r="BC3607">
        <v>1200</v>
      </c>
      <c r="BD3607">
        <v>1</v>
      </c>
      <c r="BE3607" t="str">
        <f t="shared" si="170"/>
        <v xml:space="preserve">N215T   </v>
      </c>
      <c r="BF3607">
        <v>1</v>
      </c>
      <c r="BH3607">
        <v>0</v>
      </c>
      <c r="BI3607">
        <v>0</v>
      </c>
      <c r="BJ3607">
        <v>0</v>
      </c>
      <c r="BK3607">
        <v>2475</v>
      </c>
      <c r="BL3607">
        <v>375</v>
      </c>
      <c r="BM3607" t="s">
        <v>119</v>
      </c>
      <c r="BN3607">
        <v>1</v>
      </c>
      <c r="BO3607">
        <v>1</v>
      </c>
      <c r="BP3607">
        <v>1</v>
      </c>
      <c r="BQ3607">
        <v>0</v>
      </c>
      <c r="BT3607">
        <v>0</v>
      </c>
      <c r="BU3607">
        <v>0</v>
      </c>
      <c r="BV3607">
        <v>0</v>
      </c>
      <c r="CC3607" t="str">
        <f>"19:35:04.531"</f>
        <v>19:35:04.531</v>
      </c>
      <c r="CD3607" t="str">
        <f>"531916883"</f>
        <v>531916883</v>
      </c>
      <c r="CQ3607">
        <v>0</v>
      </c>
      <c r="CR3607">
        <v>2</v>
      </c>
      <c r="CS3607">
        <v>0</v>
      </c>
      <c r="CT3607">
        <v>2</v>
      </c>
      <c r="CU3607">
        <v>0</v>
      </c>
      <c r="CV3607">
        <v>4</v>
      </c>
      <c r="CW3607" t="s">
        <v>120</v>
      </c>
      <c r="CX3607">
        <v>257</v>
      </c>
      <c r="CY3607">
        <v>0</v>
      </c>
      <c r="CZ3607" t="s">
        <v>615</v>
      </c>
      <c r="DA3607" t="s">
        <v>616</v>
      </c>
      <c r="DD3607">
        <v>16498705</v>
      </c>
      <c r="DE3607" t="s">
        <v>123</v>
      </c>
    </row>
    <row r="3608" spans="1:109" x14ac:dyDescent="0.3">
      <c r="A3608" t="str">
        <f>"19:35:05.844"</f>
        <v>19:35:05.844</v>
      </c>
      <c r="B3608" t="s">
        <v>110</v>
      </c>
      <c r="C3608" t="str">
        <f t="shared" si="168"/>
        <v>ffdfd3c0</v>
      </c>
      <c r="D3608" t="s">
        <v>111</v>
      </c>
      <c r="E3608">
        <v>18</v>
      </c>
      <c r="F3608">
        <v>1018</v>
      </c>
      <c r="G3608" t="s">
        <v>112</v>
      </c>
      <c r="J3608" t="s">
        <v>113</v>
      </c>
      <c r="K3608">
        <v>0</v>
      </c>
      <c r="L3608">
        <v>3</v>
      </c>
      <c r="M3608">
        <v>0</v>
      </c>
      <c r="N3608">
        <v>2</v>
      </c>
      <c r="O3608">
        <v>1</v>
      </c>
      <c r="P3608">
        <v>0</v>
      </c>
      <c r="Q3608">
        <v>0</v>
      </c>
      <c r="R3608" t="s">
        <v>114</v>
      </c>
      <c r="S3608" t="str">
        <f>"19:35:05.594"</f>
        <v>19:35:05.594</v>
      </c>
      <c r="T3608" t="str">
        <f>"19:35:04.992"</f>
        <v>19:35:04.992</v>
      </c>
      <c r="U3608" t="str">
        <f t="shared" si="169"/>
        <v>a1cdbe</v>
      </c>
      <c r="V3608">
        <v>0</v>
      </c>
      <c r="W3608">
        <v>0</v>
      </c>
      <c r="X3608">
        <v>2</v>
      </c>
      <c r="Y3608">
        <v>0</v>
      </c>
      <c r="Z3608">
        <v>0</v>
      </c>
      <c r="AB3608">
        <v>0</v>
      </c>
      <c r="AC3608">
        <v>9</v>
      </c>
      <c r="AD3608">
        <v>3</v>
      </c>
      <c r="AE3608">
        <v>0</v>
      </c>
      <c r="AF3608">
        <v>9</v>
      </c>
      <c r="AG3608" t="s">
        <v>158</v>
      </c>
      <c r="AH3608">
        <v>0</v>
      </c>
      <c r="AI3608">
        <v>3</v>
      </c>
      <c r="AJ3608">
        <v>1</v>
      </c>
      <c r="AK3608">
        <v>0</v>
      </c>
      <c r="AL3608" t="s">
        <v>6792</v>
      </c>
      <c r="AM3608">
        <v>47.026054999999999</v>
      </c>
      <c r="AN3608" t="s">
        <v>6793</v>
      </c>
      <c r="AO3608">
        <v>-123.840981</v>
      </c>
      <c r="AP3608">
        <v>100</v>
      </c>
      <c r="AQ3608">
        <v>2100</v>
      </c>
      <c r="AR3608" t="s">
        <v>118</v>
      </c>
      <c r="AS3608">
        <v>-78</v>
      </c>
      <c r="AT3608">
        <v>20</v>
      </c>
      <c r="AU3608">
        <v>-64</v>
      </c>
      <c r="BC3608">
        <v>1200</v>
      </c>
      <c r="BD3608">
        <v>1</v>
      </c>
      <c r="BE3608" t="str">
        <f t="shared" si="170"/>
        <v xml:space="preserve">N215T   </v>
      </c>
      <c r="BF3608">
        <v>1</v>
      </c>
      <c r="BH3608">
        <v>0</v>
      </c>
      <c r="BI3608">
        <v>0</v>
      </c>
      <c r="BJ3608">
        <v>0</v>
      </c>
      <c r="BK3608">
        <v>2475</v>
      </c>
      <c r="BL3608">
        <v>375</v>
      </c>
      <c r="BM3608" t="s">
        <v>119</v>
      </c>
      <c r="BN3608">
        <v>1</v>
      </c>
      <c r="BO3608">
        <v>1</v>
      </c>
      <c r="BP3608">
        <v>1</v>
      </c>
      <c r="BQ3608">
        <v>0</v>
      </c>
      <c r="BT3608">
        <v>0</v>
      </c>
      <c r="BU3608">
        <v>0</v>
      </c>
      <c r="BV3608">
        <v>0</v>
      </c>
      <c r="CC3608" t="str">
        <f>"19:35:05.594"</f>
        <v>19:35:05.594</v>
      </c>
      <c r="CD3608" t="str">
        <f>"596811983"</f>
        <v>596811983</v>
      </c>
      <c r="CQ3608">
        <v>0</v>
      </c>
      <c r="CR3608">
        <v>2</v>
      </c>
      <c r="CS3608">
        <v>0</v>
      </c>
      <c r="CT3608">
        <v>2</v>
      </c>
      <c r="CU3608">
        <v>0</v>
      </c>
      <c r="CV3608">
        <v>5</v>
      </c>
      <c r="CW3608" t="s">
        <v>120</v>
      </c>
      <c r="CX3608">
        <v>257</v>
      </c>
      <c r="CY3608">
        <v>0</v>
      </c>
      <c r="CZ3608" t="s">
        <v>615</v>
      </c>
      <c r="DA3608" t="s">
        <v>616</v>
      </c>
      <c r="DD3608">
        <v>16499141</v>
      </c>
      <c r="DE3608" t="s">
        <v>123</v>
      </c>
    </row>
    <row r="3609" spans="1:109" x14ac:dyDescent="0.3">
      <c r="A3609" t="str">
        <f>"19:35:06.750"</f>
        <v>19:35:06.750</v>
      </c>
      <c r="B3609" t="s">
        <v>110</v>
      </c>
      <c r="C3609" t="str">
        <f t="shared" si="168"/>
        <v>ffdfd3c0</v>
      </c>
      <c r="D3609" t="s">
        <v>111</v>
      </c>
      <c r="E3609">
        <v>18</v>
      </c>
      <c r="F3609">
        <v>1018</v>
      </c>
      <c r="G3609" t="s">
        <v>112</v>
      </c>
      <c r="J3609" t="s">
        <v>113</v>
      </c>
      <c r="K3609">
        <v>0</v>
      </c>
      <c r="L3609">
        <v>3</v>
      </c>
      <c r="M3609">
        <v>0</v>
      </c>
      <c r="N3609">
        <v>2</v>
      </c>
      <c r="O3609">
        <v>1</v>
      </c>
      <c r="P3609">
        <v>0</v>
      </c>
      <c r="Q3609">
        <v>0</v>
      </c>
      <c r="R3609" t="s">
        <v>114</v>
      </c>
      <c r="S3609" t="str">
        <f>"19:35:06.523"</f>
        <v>19:35:06.523</v>
      </c>
      <c r="T3609" t="str">
        <f>"19:35:06.125"</f>
        <v>19:35:06.125</v>
      </c>
      <c r="U3609" t="str">
        <f t="shared" si="169"/>
        <v>a1cdbe</v>
      </c>
      <c r="V3609">
        <v>0</v>
      </c>
      <c r="W3609">
        <v>0</v>
      </c>
      <c r="X3609">
        <v>2</v>
      </c>
      <c r="Y3609">
        <v>0</v>
      </c>
      <c r="Z3609">
        <v>0</v>
      </c>
      <c r="AB3609">
        <v>0</v>
      </c>
      <c r="AC3609">
        <v>9</v>
      </c>
      <c r="AD3609">
        <v>3</v>
      </c>
      <c r="AE3609">
        <v>0</v>
      </c>
      <c r="AF3609">
        <v>9</v>
      </c>
      <c r="AG3609" t="s">
        <v>158</v>
      </c>
      <c r="AH3609">
        <v>0</v>
      </c>
      <c r="AI3609">
        <v>3</v>
      </c>
      <c r="AJ3609">
        <v>1</v>
      </c>
      <c r="AK3609">
        <v>0</v>
      </c>
      <c r="AL3609" t="s">
        <v>675</v>
      </c>
      <c r="AM3609">
        <v>47.026161999999999</v>
      </c>
      <c r="AN3609" t="s">
        <v>6794</v>
      </c>
      <c r="AO3609">
        <v>-123.841453</v>
      </c>
      <c r="AP3609">
        <v>100</v>
      </c>
      <c r="AQ3609">
        <v>2100</v>
      </c>
      <c r="AR3609" t="s">
        <v>118</v>
      </c>
      <c r="AS3609">
        <v>-78</v>
      </c>
      <c r="AT3609">
        <v>20</v>
      </c>
      <c r="AU3609">
        <v>0</v>
      </c>
      <c r="BC3609">
        <v>1200</v>
      </c>
      <c r="BD3609">
        <v>1</v>
      </c>
      <c r="BE3609" t="str">
        <f t="shared" si="170"/>
        <v xml:space="preserve">N215T   </v>
      </c>
      <c r="BF3609">
        <v>1</v>
      </c>
      <c r="BH3609">
        <v>0</v>
      </c>
      <c r="BI3609">
        <v>0</v>
      </c>
      <c r="BJ3609">
        <v>0</v>
      </c>
      <c r="BK3609">
        <v>2475</v>
      </c>
      <c r="BL3609">
        <v>375</v>
      </c>
      <c r="BM3609" t="s">
        <v>119</v>
      </c>
      <c r="BN3609">
        <v>1</v>
      </c>
      <c r="BO3609">
        <v>1</v>
      </c>
      <c r="BP3609">
        <v>1</v>
      </c>
      <c r="BQ3609">
        <v>0</v>
      </c>
      <c r="BT3609">
        <v>0</v>
      </c>
      <c r="BU3609">
        <v>0</v>
      </c>
      <c r="BV3609">
        <v>0</v>
      </c>
      <c r="CC3609" t="str">
        <f>"19:35:06.523"</f>
        <v>19:35:06.523</v>
      </c>
      <c r="CD3609" t="str">
        <f>"526720375"</f>
        <v>526720375</v>
      </c>
      <c r="CQ3609">
        <v>0</v>
      </c>
      <c r="CR3609">
        <v>2</v>
      </c>
      <c r="CS3609">
        <v>0</v>
      </c>
      <c r="CT3609">
        <v>2</v>
      </c>
      <c r="CU3609">
        <v>0</v>
      </c>
      <c r="CV3609">
        <v>4</v>
      </c>
      <c r="CW3609" t="s">
        <v>120</v>
      </c>
      <c r="CX3609">
        <v>257</v>
      </c>
      <c r="CY3609">
        <v>0</v>
      </c>
      <c r="CZ3609" t="s">
        <v>615</v>
      </c>
      <c r="DA3609" t="s">
        <v>616</v>
      </c>
      <c r="DD3609">
        <v>16499516</v>
      </c>
      <c r="DE3609" t="s">
        <v>123</v>
      </c>
    </row>
    <row r="3610" spans="1:109" x14ac:dyDescent="0.3">
      <c r="A3610" t="str">
        <f>"19:35:07.703"</f>
        <v>19:35:07.703</v>
      </c>
      <c r="B3610" t="s">
        <v>110</v>
      </c>
      <c r="C3610" t="str">
        <f t="shared" si="168"/>
        <v>ffdfd3c0</v>
      </c>
      <c r="D3610" t="s">
        <v>111</v>
      </c>
      <c r="E3610">
        <v>18</v>
      </c>
      <c r="F3610">
        <v>1018</v>
      </c>
      <c r="G3610" t="s">
        <v>112</v>
      </c>
      <c r="J3610" t="s">
        <v>113</v>
      </c>
      <c r="K3610">
        <v>0</v>
      </c>
      <c r="L3610">
        <v>3</v>
      </c>
      <c r="M3610">
        <v>0</v>
      </c>
      <c r="N3610">
        <v>2</v>
      </c>
      <c r="O3610">
        <v>1</v>
      </c>
      <c r="P3610">
        <v>0</v>
      </c>
      <c r="Q3610">
        <v>0</v>
      </c>
      <c r="R3610" t="s">
        <v>114</v>
      </c>
      <c r="S3610" t="str">
        <f>"19:35:07.484"</f>
        <v>19:35:07.484</v>
      </c>
      <c r="T3610" t="str">
        <f>"19:35:07.484"</f>
        <v>19:35:07.484</v>
      </c>
      <c r="U3610" t="str">
        <f t="shared" si="169"/>
        <v>a1cdbe</v>
      </c>
      <c r="V3610">
        <v>0</v>
      </c>
      <c r="W3610">
        <v>0</v>
      </c>
      <c r="X3610">
        <v>2</v>
      </c>
      <c r="Y3610">
        <v>0</v>
      </c>
      <c r="Z3610">
        <v>0</v>
      </c>
      <c r="AB3610">
        <v>0</v>
      </c>
      <c r="AC3610">
        <v>9</v>
      </c>
      <c r="AD3610">
        <v>3</v>
      </c>
      <c r="AE3610">
        <v>0</v>
      </c>
      <c r="AF3610">
        <v>9</v>
      </c>
      <c r="AG3610" t="s">
        <v>158</v>
      </c>
      <c r="AH3610">
        <v>0</v>
      </c>
      <c r="AI3610">
        <v>3</v>
      </c>
      <c r="AJ3610">
        <v>1</v>
      </c>
      <c r="AK3610">
        <v>0</v>
      </c>
      <c r="AL3610" t="s">
        <v>6795</v>
      </c>
      <c r="AM3610">
        <v>47.026268999999999</v>
      </c>
      <c r="AN3610" t="s">
        <v>6796</v>
      </c>
      <c r="AO3610">
        <v>-123.84196799999999</v>
      </c>
      <c r="AP3610">
        <v>100</v>
      </c>
      <c r="AQ3610">
        <v>2100</v>
      </c>
      <c r="AR3610" t="s">
        <v>118</v>
      </c>
      <c r="AS3610">
        <v>-78</v>
      </c>
      <c r="AT3610">
        <v>20</v>
      </c>
      <c r="AU3610">
        <v>0</v>
      </c>
      <c r="BC3610">
        <v>1200</v>
      </c>
      <c r="BD3610">
        <v>1</v>
      </c>
      <c r="BE3610" t="str">
        <f t="shared" si="170"/>
        <v xml:space="preserve">N215T   </v>
      </c>
      <c r="BF3610">
        <v>1</v>
      </c>
      <c r="BH3610">
        <v>0</v>
      </c>
      <c r="BI3610">
        <v>0</v>
      </c>
      <c r="BJ3610">
        <v>0</v>
      </c>
      <c r="BK3610">
        <v>2475</v>
      </c>
      <c r="BL3610">
        <v>375</v>
      </c>
      <c r="BM3610" t="s">
        <v>119</v>
      </c>
      <c r="BN3610">
        <v>1</v>
      </c>
      <c r="BO3610">
        <v>1</v>
      </c>
      <c r="BP3610">
        <v>1</v>
      </c>
      <c r="BQ3610">
        <v>0</v>
      </c>
      <c r="BT3610">
        <v>0</v>
      </c>
      <c r="BU3610">
        <v>0</v>
      </c>
      <c r="BV3610">
        <v>0</v>
      </c>
      <c r="CC3610" t="str">
        <f>"19:35:07.484"</f>
        <v>19:35:07.484</v>
      </c>
      <c r="CD3610" t="str">
        <f>"486625813"</f>
        <v>486625813</v>
      </c>
      <c r="CQ3610">
        <v>0</v>
      </c>
      <c r="CR3610">
        <v>2</v>
      </c>
      <c r="CS3610">
        <v>0</v>
      </c>
      <c r="CT3610">
        <v>2</v>
      </c>
      <c r="CU3610">
        <v>0</v>
      </c>
      <c r="CV3610">
        <v>3</v>
      </c>
      <c r="CW3610" t="s">
        <v>120</v>
      </c>
      <c r="CX3610">
        <v>257</v>
      </c>
      <c r="CY3610">
        <v>0</v>
      </c>
      <c r="CZ3610" t="s">
        <v>615</v>
      </c>
      <c r="DA3610" t="s">
        <v>616</v>
      </c>
      <c r="DD3610">
        <v>16499895</v>
      </c>
      <c r="DE3610" t="s">
        <v>123</v>
      </c>
    </row>
    <row r="3611" spans="1:109" x14ac:dyDescent="0.3">
      <c r="A3611" t="str">
        <f>"19:35:08.805"</f>
        <v>19:35:08.805</v>
      </c>
      <c r="B3611" t="s">
        <v>110</v>
      </c>
      <c r="C3611" t="str">
        <f t="shared" si="168"/>
        <v>ffdfd3c0</v>
      </c>
      <c r="D3611" t="s">
        <v>111</v>
      </c>
      <c r="E3611">
        <v>18</v>
      </c>
      <c r="F3611">
        <v>1018</v>
      </c>
      <c r="G3611" t="s">
        <v>112</v>
      </c>
      <c r="J3611" t="s">
        <v>113</v>
      </c>
      <c r="K3611">
        <v>0</v>
      </c>
      <c r="L3611">
        <v>3</v>
      </c>
      <c r="M3611">
        <v>0</v>
      </c>
      <c r="N3611">
        <v>2</v>
      </c>
      <c r="O3611">
        <v>1</v>
      </c>
      <c r="P3611">
        <v>0</v>
      </c>
      <c r="Q3611">
        <v>0</v>
      </c>
      <c r="R3611" t="s">
        <v>114</v>
      </c>
      <c r="S3611" t="str">
        <f>"19:35:08.547"</f>
        <v>19:35:08.547</v>
      </c>
      <c r="T3611" t="str">
        <f>"19:35:08.445"</f>
        <v>19:35:08.445</v>
      </c>
      <c r="U3611" t="str">
        <f t="shared" si="169"/>
        <v>a1cdbe</v>
      </c>
      <c r="V3611">
        <v>0</v>
      </c>
      <c r="W3611">
        <v>0</v>
      </c>
      <c r="X3611">
        <v>2</v>
      </c>
      <c r="Y3611">
        <v>0</v>
      </c>
      <c r="Z3611">
        <v>0</v>
      </c>
      <c r="AB3611">
        <v>0</v>
      </c>
      <c r="AC3611">
        <v>9</v>
      </c>
      <c r="AD3611">
        <v>3</v>
      </c>
      <c r="AE3611">
        <v>0</v>
      </c>
      <c r="AF3611">
        <v>9</v>
      </c>
      <c r="AG3611" t="s">
        <v>158</v>
      </c>
      <c r="AH3611">
        <v>0</v>
      </c>
      <c r="AI3611">
        <v>3</v>
      </c>
      <c r="AJ3611">
        <v>1</v>
      </c>
      <c r="AK3611">
        <v>0</v>
      </c>
      <c r="AL3611" t="s">
        <v>6797</v>
      </c>
      <c r="AM3611">
        <v>47.026376999999997</v>
      </c>
      <c r="AN3611" t="s">
        <v>6798</v>
      </c>
      <c r="AO3611">
        <v>-123.842547</v>
      </c>
      <c r="AP3611">
        <v>100</v>
      </c>
      <c r="AQ3611">
        <v>2100</v>
      </c>
      <c r="AR3611" t="s">
        <v>118</v>
      </c>
      <c r="AS3611">
        <v>-79</v>
      </c>
      <c r="AT3611">
        <v>20</v>
      </c>
      <c r="AU3611">
        <v>64</v>
      </c>
      <c r="BC3611">
        <v>1200</v>
      </c>
      <c r="BD3611">
        <v>1</v>
      </c>
      <c r="BE3611" t="str">
        <f t="shared" si="170"/>
        <v xml:space="preserve">N215T   </v>
      </c>
      <c r="BF3611">
        <v>1</v>
      </c>
      <c r="BH3611">
        <v>0</v>
      </c>
      <c r="BI3611">
        <v>0</v>
      </c>
      <c r="BJ3611">
        <v>0</v>
      </c>
      <c r="BK3611">
        <v>2475</v>
      </c>
      <c r="BL3611">
        <v>375</v>
      </c>
      <c r="BM3611" t="s">
        <v>119</v>
      </c>
      <c r="BN3611">
        <v>1</v>
      </c>
      <c r="BO3611">
        <v>1</v>
      </c>
      <c r="BP3611">
        <v>1</v>
      </c>
      <c r="BQ3611">
        <v>0</v>
      </c>
      <c r="BT3611">
        <v>0</v>
      </c>
      <c r="BU3611">
        <v>0</v>
      </c>
      <c r="BV3611">
        <v>0</v>
      </c>
      <c r="CC3611" t="str">
        <f>"19:35:08.555"</f>
        <v>19:35:08.555</v>
      </c>
      <c r="CD3611" t="str">
        <f>"551520887"</f>
        <v>551520887</v>
      </c>
      <c r="CQ3611">
        <v>0</v>
      </c>
      <c r="CR3611">
        <v>2</v>
      </c>
      <c r="CS3611">
        <v>0</v>
      </c>
      <c r="CT3611">
        <v>2</v>
      </c>
      <c r="CU3611">
        <v>0</v>
      </c>
      <c r="CV3611">
        <v>4</v>
      </c>
      <c r="CW3611" t="s">
        <v>120</v>
      </c>
      <c r="CX3611">
        <v>257</v>
      </c>
      <c r="CY3611">
        <v>0</v>
      </c>
      <c r="CZ3611" t="s">
        <v>615</v>
      </c>
      <c r="DA3611" t="s">
        <v>616</v>
      </c>
      <c r="DD3611">
        <v>16500318</v>
      </c>
      <c r="DE3611" t="s">
        <v>123</v>
      </c>
    </row>
    <row r="3612" spans="1:109" x14ac:dyDescent="0.3">
      <c r="A3612" t="str">
        <f>"19:35:09.766"</f>
        <v>19:35:09.766</v>
      </c>
      <c r="B3612" t="s">
        <v>110</v>
      </c>
      <c r="C3612" t="str">
        <f t="shared" si="168"/>
        <v>ffdfd3c0</v>
      </c>
      <c r="D3612" t="s">
        <v>111</v>
      </c>
      <c r="E3612">
        <v>18</v>
      </c>
      <c r="F3612">
        <v>1018</v>
      </c>
      <c r="G3612" t="s">
        <v>112</v>
      </c>
      <c r="J3612" t="s">
        <v>113</v>
      </c>
      <c r="K3612">
        <v>0</v>
      </c>
      <c r="L3612">
        <v>3</v>
      </c>
      <c r="M3612">
        <v>0</v>
      </c>
      <c r="N3612">
        <v>2</v>
      </c>
      <c r="O3612">
        <v>1</v>
      </c>
      <c r="P3612">
        <v>0</v>
      </c>
      <c r="Q3612">
        <v>0</v>
      </c>
      <c r="R3612" t="s">
        <v>114</v>
      </c>
      <c r="S3612" t="str">
        <f>"19:35:09.539"</f>
        <v>19:35:09.539</v>
      </c>
      <c r="T3612" t="str">
        <f>"19:35:09.336"</f>
        <v>19:35:09.336</v>
      </c>
      <c r="U3612" t="str">
        <f t="shared" si="169"/>
        <v>a1cdbe</v>
      </c>
      <c r="V3612">
        <v>0</v>
      </c>
      <c r="W3612">
        <v>0</v>
      </c>
      <c r="X3612">
        <v>2</v>
      </c>
      <c r="Y3612">
        <v>0</v>
      </c>
      <c r="Z3612">
        <v>0</v>
      </c>
      <c r="AB3612">
        <v>0</v>
      </c>
      <c r="AC3612">
        <v>9</v>
      </c>
      <c r="AD3612">
        <v>3</v>
      </c>
      <c r="AE3612">
        <v>0</v>
      </c>
      <c r="AF3612">
        <v>9</v>
      </c>
      <c r="AG3612" t="s">
        <v>158</v>
      </c>
      <c r="AH3612">
        <v>0</v>
      </c>
      <c r="AI3612">
        <v>3</v>
      </c>
      <c r="AJ3612">
        <v>1</v>
      </c>
      <c r="AK3612">
        <v>0</v>
      </c>
      <c r="AL3612" t="s">
        <v>6799</v>
      </c>
      <c r="AM3612">
        <v>47.026463</v>
      </c>
      <c r="AN3612" t="s">
        <v>6800</v>
      </c>
      <c r="AO3612">
        <v>-123.84310499999999</v>
      </c>
      <c r="AP3612">
        <v>100</v>
      </c>
      <c r="AQ3612">
        <v>2100</v>
      </c>
      <c r="AR3612" t="s">
        <v>118</v>
      </c>
      <c r="AS3612">
        <v>-79</v>
      </c>
      <c r="AT3612">
        <v>19</v>
      </c>
      <c r="AU3612">
        <v>64</v>
      </c>
      <c r="BC3612">
        <v>1200</v>
      </c>
      <c r="BD3612">
        <v>1</v>
      </c>
      <c r="BE3612" t="str">
        <f t="shared" si="170"/>
        <v xml:space="preserve">N215T   </v>
      </c>
      <c r="BF3612">
        <v>1</v>
      </c>
      <c r="BH3612">
        <v>0</v>
      </c>
      <c r="BI3612">
        <v>0</v>
      </c>
      <c r="BJ3612">
        <v>0</v>
      </c>
      <c r="BK3612">
        <v>2475</v>
      </c>
      <c r="BL3612">
        <v>375</v>
      </c>
      <c r="BM3612" t="s">
        <v>119</v>
      </c>
      <c r="BN3612">
        <v>1</v>
      </c>
      <c r="BO3612">
        <v>1</v>
      </c>
      <c r="BP3612">
        <v>1</v>
      </c>
      <c r="BQ3612">
        <v>0</v>
      </c>
      <c r="BT3612">
        <v>0</v>
      </c>
      <c r="BU3612">
        <v>0</v>
      </c>
      <c r="BV3612">
        <v>0</v>
      </c>
      <c r="CC3612" t="str">
        <f>"19:35:09.539"</f>
        <v>19:35:09.539</v>
      </c>
      <c r="CD3612" t="str">
        <f>"541423382"</f>
        <v>541423382</v>
      </c>
      <c r="CQ3612">
        <v>0</v>
      </c>
      <c r="CR3612">
        <v>2</v>
      </c>
      <c r="CS3612">
        <v>0</v>
      </c>
      <c r="CT3612">
        <v>2</v>
      </c>
      <c r="CU3612">
        <v>0</v>
      </c>
      <c r="CV3612">
        <v>5</v>
      </c>
      <c r="CW3612" t="s">
        <v>120</v>
      </c>
      <c r="CX3612">
        <v>257</v>
      </c>
      <c r="CY3612">
        <v>0</v>
      </c>
      <c r="CZ3612" t="s">
        <v>615</v>
      </c>
      <c r="DA3612" t="s">
        <v>616</v>
      </c>
      <c r="DD3612">
        <v>16500731</v>
      </c>
      <c r="DE3612" t="s">
        <v>123</v>
      </c>
    </row>
    <row r="3613" spans="1:109" x14ac:dyDescent="0.3">
      <c r="A3613" t="str">
        <f>"19:35:10.719"</f>
        <v>19:35:10.719</v>
      </c>
      <c r="B3613" t="s">
        <v>110</v>
      </c>
      <c r="C3613" t="str">
        <f t="shared" si="168"/>
        <v>ffdfd3c0</v>
      </c>
      <c r="D3613" t="s">
        <v>111</v>
      </c>
      <c r="E3613">
        <v>18</v>
      </c>
      <c r="F3613">
        <v>1018</v>
      </c>
      <c r="G3613" t="s">
        <v>112</v>
      </c>
      <c r="J3613" t="s">
        <v>113</v>
      </c>
      <c r="K3613">
        <v>0</v>
      </c>
      <c r="L3613">
        <v>3</v>
      </c>
      <c r="M3613">
        <v>0</v>
      </c>
      <c r="N3613">
        <v>2</v>
      </c>
      <c r="O3613">
        <v>1</v>
      </c>
      <c r="P3613">
        <v>0</v>
      </c>
      <c r="Q3613">
        <v>0</v>
      </c>
      <c r="R3613" t="s">
        <v>114</v>
      </c>
      <c r="S3613" t="str">
        <f>"19:35:10.484"</f>
        <v>19:35:10.484</v>
      </c>
      <c r="T3613" t="str">
        <f>"19:35:10.484"</f>
        <v>19:35:10.484</v>
      </c>
      <c r="U3613" t="str">
        <f t="shared" si="169"/>
        <v>a1cdbe</v>
      </c>
      <c r="V3613">
        <v>0</v>
      </c>
      <c r="W3613">
        <v>0</v>
      </c>
      <c r="X3613">
        <v>2</v>
      </c>
      <c r="Y3613">
        <v>0</v>
      </c>
      <c r="Z3613">
        <v>0</v>
      </c>
      <c r="AB3613">
        <v>0</v>
      </c>
      <c r="AC3613">
        <v>9</v>
      </c>
      <c r="AD3613">
        <v>3</v>
      </c>
      <c r="AE3613">
        <v>0</v>
      </c>
      <c r="AF3613">
        <v>9</v>
      </c>
      <c r="AG3613" t="s">
        <v>158</v>
      </c>
      <c r="AH3613">
        <v>0</v>
      </c>
      <c r="AI3613">
        <v>3</v>
      </c>
      <c r="AJ3613">
        <v>1</v>
      </c>
      <c r="AK3613">
        <v>0</v>
      </c>
      <c r="AL3613" t="s">
        <v>6801</v>
      </c>
      <c r="AM3613">
        <v>47.026527000000002</v>
      </c>
      <c r="AN3613" t="s">
        <v>6802</v>
      </c>
      <c r="AO3613">
        <v>-123.843598</v>
      </c>
      <c r="AP3613">
        <v>100</v>
      </c>
      <c r="AQ3613">
        <v>2100</v>
      </c>
      <c r="AR3613" t="s">
        <v>118</v>
      </c>
      <c r="AS3613">
        <v>-79</v>
      </c>
      <c r="AT3613">
        <v>19</v>
      </c>
      <c r="AU3613">
        <v>64</v>
      </c>
      <c r="BC3613">
        <v>1200</v>
      </c>
      <c r="BD3613">
        <v>1</v>
      </c>
      <c r="BE3613" t="str">
        <f t="shared" si="170"/>
        <v xml:space="preserve">N215T   </v>
      </c>
      <c r="BF3613">
        <v>1</v>
      </c>
      <c r="BH3613">
        <v>0</v>
      </c>
      <c r="BI3613">
        <v>0</v>
      </c>
      <c r="BJ3613">
        <v>0</v>
      </c>
      <c r="BK3613">
        <v>2475</v>
      </c>
      <c r="BL3613">
        <v>375</v>
      </c>
      <c r="BM3613" t="s">
        <v>119</v>
      </c>
      <c r="BN3613">
        <v>1</v>
      </c>
      <c r="BO3613">
        <v>1</v>
      </c>
      <c r="BP3613">
        <v>1</v>
      </c>
      <c r="BQ3613">
        <v>0</v>
      </c>
      <c r="BT3613">
        <v>0</v>
      </c>
      <c r="BU3613">
        <v>0</v>
      </c>
      <c r="BV3613">
        <v>0</v>
      </c>
      <c r="CC3613" t="str">
        <f>"19:35:10.484"</f>
        <v>19:35:10.484</v>
      </c>
      <c r="CD3613" t="str">
        <f>"486330247"</f>
        <v>486330247</v>
      </c>
      <c r="CQ3613">
        <v>0</v>
      </c>
      <c r="CR3613">
        <v>2</v>
      </c>
      <c r="CS3613">
        <v>0</v>
      </c>
      <c r="CT3613">
        <v>2</v>
      </c>
      <c r="CU3613">
        <v>0</v>
      </c>
      <c r="CV3613">
        <v>3</v>
      </c>
      <c r="CW3613" t="s">
        <v>120</v>
      </c>
      <c r="CX3613">
        <v>257</v>
      </c>
      <c r="CY3613">
        <v>0</v>
      </c>
      <c r="CZ3613" t="s">
        <v>615</v>
      </c>
      <c r="DA3613" t="s">
        <v>616</v>
      </c>
      <c r="DD3613">
        <v>16501166</v>
      </c>
      <c r="DE3613" t="s">
        <v>123</v>
      </c>
    </row>
    <row r="3614" spans="1:109" x14ac:dyDescent="0.3">
      <c r="A3614" t="str">
        <f>"19:35:11.828"</f>
        <v>19:35:11.828</v>
      </c>
      <c r="B3614" t="s">
        <v>110</v>
      </c>
      <c r="C3614" t="str">
        <f t="shared" si="168"/>
        <v>ffdfd3c0</v>
      </c>
      <c r="D3614" t="s">
        <v>111</v>
      </c>
      <c r="E3614">
        <v>18</v>
      </c>
      <c r="F3614">
        <v>1018</v>
      </c>
      <c r="G3614" t="s">
        <v>112</v>
      </c>
      <c r="J3614" t="s">
        <v>113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0</v>
      </c>
      <c r="R3614" t="s">
        <v>114</v>
      </c>
      <c r="S3614" t="str">
        <f>"19:35:11.563"</f>
        <v>19:35:11.563</v>
      </c>
      <c r="T3614" t="str">
        <f>"19:35:11.563"</f>
        <v>19:35:11.563</v>
      </c>
      <c r="U3614" t="str">
        <f t="shared" si="169"/>
        <v>a1cdbe</v>
      </c>
      <c r="V3614">
        <v>0</v>
      </c>
      <c r="W3614">
        <v>0</v>
      </c>
      <c r="X3614">
        <v>2</v>
      </c>
      <c r="Y3614">
        <v>0</v>
      </c>
      <c r="Z3614">
        <v>0</v>
      </c>
      <c r="AB3614">
        <v>0</v>
      </c>
      <c r="AC3614">
        <v>9</v>
      </c>
      <c r="AD3614">
        <v>3</v>
      </c>
      <c r="AE3614">
        <v>0</v>
      </c>
      <c r="AF3614">
        <v>9</v>
      </c>
      <c r="AG3614" t="s">
        <v>158</v>
      </c>
      <c r="AH3614">
        <v>0</v>
      </c>
      <c r="AI3614">
        <v>3</v>
      </c>
      <c r="AJ3614">
        <v>1</v>
      </c>
      <c r="AK3614">
        <v>0</v>
      </c>
      <c r="AL3614" t="s">
        <v>6803</v>
      </c>
      <c r="AM3614">
        <v>47.026612999999998</v>
      </c>
      <c r="AN3614" t="s">
        <v>6804</v>
      </c>
      <c r="AO3614">
        <v>-123.84413499999999</v>
      </c>
      <c r="AP3614">
        <v>100</v>
      </c>
      <c r="AQ3614">
        <v>2100</v>
      </c>
      <c r="AR3614" t="s">
        <v>118</v>
      </c>
      <c r="AS3614">
        <v>-79</v>
      </c>
      <c r="AT3614">
        <v>19</v>
      </c>
      <c r="AU3614">
        <v>64</v>
      </c>
      <c r="BC3614">
        <v>1200</v>
      </c>
      <c r="BD3614">
        <v>1</v>
      </c>
      <c r="BE3614" t="str">
        <f t="shared" si="170"/>
        <v xml:space="preserve">N215T   </v>
      </c>
      <c r="BF3614">
        <v>1</v>
      </c>
      <c r="BH3614">
        <v>0</v>
      </c>
      <c r="BI3614">
        <v>0</v>
      </c>
      <c r="BJ3614">
        <v>0</v>
      </c>
      <c r="BK3614">
        <v>2475</v>
      </c>
      <c r="BL3614">
        <v>375</v>
      </c>
      <c r="BM3614" t="s">
        <v>119</v>
      </c>
      <c r="BN3614">
        <v>1</v>
      </c>
      <c r="BO3614">
        <v>1</v>
      </c>
      <c r="BP3614">
        <v>1</v>
      </c>
      <c r="BQ3614">
        <v>0</v>
      </c>
      <c r="BT3614">
        <v>0</v>
      </c>
      <c r="BU3614">
        <v>0</v>
      </c>
      <c r="BV3614">
        <v>0</v>
      </c>
      <c r="CC3614" t="str">
        <f>"19:35:11.563"</f>
        <v>19:35:11.563</v>
      </c>
      <c r="CD3614" t="str">
        <f>"566223898"</f>
        <v>566223898</v>
      </c>
      <c r="CQ3614">
        <v>0</v>
      </c>
      <c r="CR3614">
        <v>2</v>
      </c>
      <c r="CS3614">
        <v>0</v>
      </c>
      <c r="CT3614">
        <v>2</v>
      </c>
      <c r="CU3614">
        <v>0</v>
      </c>
      <c r="CV3614">
        <v>5</v>
      </c>
      <c r="CW3614" t="s">
        <v>120</v>
      </c>
      <c r="CX3614">
        <v>257</v>
      </c>
      <c r="CY3614">
        <v>0</v>
      </c>
      <c r="CZ3614" t="s">
        <v>615</v>
      </c>
      <c r="DA3614" t="s">
        <v>616</v>
      </c>
      <c r="DD3614">
        <v>16501634</v>
      </c>
      <c r="DE3614" t="s">
        <v>123</v>
      </c>
    </row>
    <row r="3615" spans="1:109" x14ac:dyDescent="0.3">
      <c r="A3615" t="str">
        <f>"19:35:12.781"</f>
        <v>19:35:12.781</v>
      </c>
      <c r="B3615" t="s">
        <v>110</v>
      </c>
      <c r="C3615" t="str">
        <f t="shared" si="168"/>
        <v>ffdfd3c0</v>
      </c>
      <c r="D3615" t="s">
        <v>111</v>
      </c>
      <c r="E3615">
        <v>18</v>
      </c>
      <c r="F3615">
        <v>1018</v>
      </c>
      <c r="G3615" t="s">
        <v>112</v>
      </c>
      <c r="J3615" t="s">
        <v>113</v>
      </c>
      <c r="K3615">
        <v>0</v>
      </c>
      <c r="L3615">
        <v>3</v>
      </c>
      <c r="M3615">
        <v>0</v>
      </c>
      <c r="N3615">
        <v>2</v>
      </c>
      <c r="O3615">
        <v>1</v>
      </c>
      <c r="P3615">
        <v>0</v>
      </c>
      <c r="Q3615">
        <v>0</v>
      </c>
      <c r="R3615" t="s">
        <v>114</v>
      </c>
      <c r="S3615" t="str">
        <f>"19:35:12.539"</f>
        <v>19:35:12.539</v>
      </c>
      <c r="T3615" t="str">
        <f>"19:35:12.039"</f>
        <v>19:35:12.039</v>
      </c>
      <c r="U3615" t="str">
        <f t="shared" si="169"/>
        <v>a1cdbe</v>
      </c>
      <c r="V3615">
        <v>0</v>
      </c>
      <c r="W3615">
        <v>0</v>
      </c>
      <c r="X3615">
        <v>2</v>
      </c>
      <c r="Y3615">
        <v>0</v>
      </c>
      <c r="Z3615">
        <v>0</v>
      </c>
      <c r="AB3615">
        <v>0</v>
      </c>
      <c r="AC3615">
        <v>9</v>
      </c>
      <c r="AD3615">
        <v>3</v>
      </c>
      <c r="AE3615">
        <v>0</v>
      </c>
      <c r="AF3615">
        <v>9</v>
      </c>
      <c r="AG3615" t="s">
        <v>158</v>
      </c>
      <c r="AH3615">
        <v>0</v>
      </c>
      <c r="AI3615">
        <v>3</v>
      </c>
      <c r="AJ3615">
        <v>1</v>
      </c>
      <c r="AK3615">
        <v>0</v>
      </c>
      <c r="AL3615" t="s">
        <v>6805</v>
      </c>
      <c r="AM3615">
        <v>47.026699000000001</v>
      </c>
      <c r="AN3615" t="s">
        <v>6806</v>
      </c>
      <c r="AO3615">
        <v>-123.844714</v>
      </c>
      <c r="AP3615">
        <v>100</v>
      </c>
      <c r="AQ3615">
        <v>2100</v>
      </c>
      <c r="AR3615" t="s">
        <v>118</v>
      </c>
      <c r="AS3615">
        <v>-79</v>
      </c>
      <c r="AT3615">
        <v>19</v>
      </c>
      <c r="AU3615">
        <v>64</v>
      </c>
      <c r="BC3615">
        <v>1200</v>
      </c>
      <c r="BD3615">
        <v>1</v>
      </c>
      <c r="BE3615" t="str">
        <f t="shared" si="170"/>
        <v xml:space="preserve">N215T   </v>
      </c>
      <c r="BF3615">
        <v>1</v>
      </c>
      <c r="BH3615">
        <v>0</v>
      </c>
      <c r="BI3615">
        <v>0</v>
      </c>
      <c r="BJ3615">
        <v>0</v>
      </c>
      <c r="BK3615">
        <v>2475</v>
      </c>
      <c r="BL3615">
        <v>375</v>
      </c>
      <c r="BM3615" t="s">
        <v>119</v>
      </c>
      <c r="BN3615">
        <v>1</v>
      </c>
      <c r="BO3615">
        <v>1</v>
      </c>
      <c r="BP3615">
        <v>1</v>
      </c>
      <c r="BQ3615">
        <v>0</v>
      </c>
      <c r="BT3615">
        <v>0</v>
      </c>
      <c r="BU3615">
        <v>0</v>
      </c>
      <c r="BV3615">
        <v>0</v>
      </c>
      <c r="CC3615" t="str">
        <f>"19:35:12.539"</f>
        <v>19:35:12.539</v>
      </c>
      <c r="CD3615" t="str">
        <f>"541127871"</f>
        <v>541127871</v>
      </c>
      <c r="CQ3615">
        <v>0</v>
      </c>
      <c r="CR3615">
        <v>2</v>
      </c>
      <c r="CS3615">
        <v>0</v>
      </c>
      <c r="CT3615">
        <v>2</v>
      </c>
      <c r="CU3615">
        <v>0</v>
      </c>
      <c r="CV3615">
        <v>4</v>
      </c>
      <c r="CW3615" t="s">
        <v>120</v>
      </c>
      <c r="CX3615">
        <v>257</v>
      </c>
      <c r="CY3615">
        <v>0</v>
      </c>
      <c r="CZ3615" t="s">
        <v>615</v>
      </c>
      <c r="DA3615" t="s">
        <v>616</v>
      </c>
      <c r="DD3615">
        <v>16502037</v>
      </c>
      <c r="DE3615" t="s">
        <v>123</v>
      </c>
    </row>
    <row r="3616" spans="1:109" x14ac:dyDescent="0.3">
      <c r="A3616" t="str">
        <f>"19:35:13.781"</f>
        <v>19:35:13.781</v>
      </c>
      <c r="B3616" t="s">
        <v>110</v>
      </c>
      <c r="C3616" t="str">
        <f t="shared" si="168"/>
        <v>ffdfd3c0</v>
      </c>
      <c r="D3616" t="s">
        <v>111</v>
      </c>
      <c r="E3616">
        <v>18</v>
      </c>
      <c r="F3616">
        <v>1018</v>
      </c>
      <c r="G3616" t="s">
        <v>112</v>
      </c>
      <c r="J3616" t="s">
        <v>113</v>
      </c>
      <c r="K3616">
        <v>0</v>
      </c>
      <c r="L3616">
        <v>3</v>
      </c>
      <c r="M3616">
        <v>0</v>
      </c>
      <c r="N3616">
        <v>2</v>
      </c>
      <c r="O3616">
        <v>1</v>
      </c>
      <c r="P3616">
        <v>0</v>
      </c>
      <c r="Q3616">
        <v>0</v>
      </c>
      <c r="R3616" t="s">
        <v>114</v>
      </c>
      <c r="S3616" t="str">
        <f>"19:35:13.555"</f>
        <v>19:35:13.555</v>
      </c>
      <c r="T3616" t="str">
        <f>"19:35:13.156"</f>
        <v>19:35:13.156</v>
      </c>
      <c r="U3616" t="str">
        <f t="shared" si="169"/>
        <v>a1cdbe</v>
      </c>
      <c r="V3616">
        <v>0</v>
      </c>
      <c r="W3616">
        <v>0</v>
      </c>
      <c r="X3616">
        <v>2</v>
      </c>
      <c r="Y3616">
        <v>0</v>
      </c>
      <c r="Z3616">
        <v>0</v>
      </c>
      <c r="AB3616">
        <v>0</v>
      </c>
      <c r="AC3616">
        <v>9</v>
      </c>
      <c r="AD3616">
        <v>3</v>
      </c>
      <c r="AE3616">
        <v>0</v>
      </c>
      <c r="AF3616">
        <v>9</v>
      </c>
      <c r="AG3616" t="s">
        <v>158</v>
      </c>
      <c r="AH3616">
        <v>0</v>
      </c>
      <c r="AI3616">
        <v>3</v>
      </c>
      <c r="AJ3616">
        <v>1</v>
      </c>
      <c r="AK3616">
        <v>0</v>
      </c>
      <c r="AL3616" t="s">
        <v>6807</v>
      </c>
      <c r="AM3616">
        <v>47.026783999999999</v>
      </c>
      <c r="AN3616" t="s">
        <v>6808</v>
      </c>
      <c r="AO3616">
        <v>-123.845208</v>
      </c>
      <c r="AP3616">
        <v>100</v>
      </c>
      <c r="AQ3616">
        <v>2100</v>
      </c>
      <c r="AR3616" t="s">
        <v>118</v>
      </c>
      <c r="AS3616">
        <v>-79</v>
      </c>
      <c r="AT3616">
        <v>19</v>
      </c>
      <c r="AU3616">
        <v>64</v>
      </c>
      <c r="BC3616">
        <v>1200</v>
      </c>
      <c r="BD3616">
        <v>1</v>
      </c>
      <c r="BE3616" t="str">
        <f t="shared" si="170"/>
        <v xml:space="preserve">N215T   </v>
      </c>
      <c r="BF3616">
        <v>1</v>
      </c>
      <c r="BH3616">
        <v>0</v>
      </c>
      <c r="BI3616">
        <v>0</v>
      </c>
      <c r="BJ3616">
        <v>0</v>
      </c>
      <c r="BK3616">
        <v>2475</v>
      </c>
      <c r="BL3616">
        <v>375</v>
      </c>
      <c r="BM3616" t="s">
        <v>119</v>
      </c>
      <c r="BN3616">
        <v>1</v>
      </c>
      <c r="BO3616">
        <v>1</v>
      </c>
      <c r="BP3616">
        <v>1</v>
      </c>
      <c r="BQ3616">
        <v>0</v>
      </c>
      <c r="BT3616">
        <v>0</v>
      </c>
      <c r="BU3616">
        <v>0</v>
      </c>
      <c r="BV3616">
        <v>0</v>
      </c>
      <c r="CC3616" t="str">
        <f>"19:35:13.563"</f>
        <v>19:35:13.563</v>
      </c>
      <c r="CD3616" t="str">
        <f>"561027400"</f>
        <v>561027400</v>
      </c>
      <c r="CQ3616">
        <v>0</v>
      </c>
      <c r="CR3616">
        <v>2</v>
      </c>
      <c r="CS3616">
        <v>0</v>
      </c>
      <c r="CT3616">
        <v>2</v>
      </c>
      <c r="CU3616">
        <v>0</v>
      </c>
      <c r="CV3616">
        <v>5</v>
      </c>
      <c r="CW3616" t="s">
        <v>120</v>
      </c>
      <c r="CX3616">
        <v>257</v>
      </c>
      <c r="CY3616">
        <v>0</v>
      </c>
      <c r="CZ3616" t="s">
        <v>615</v>
      </c>
      <c r="DA3616" t="s">
        <v>616</v>
      </c>
      <c r="DD3616">
        <v>16502467</v>
      </c>
      <c r="DE3616" t="s">
        <v>123</v>
      </c>
    </row>
    <row r="3617" spans="1:109" x14ac:dyDescent="0.3">
      <c r="A3617" t="str">
        <f>"19:35:14.844"</f>
        <v>19:35:14.844</v>
      </c>
      <c r="B3617" t="s">
        <v>110</v>
      </c>
      <c r="C3617" t="str">
        <f t="shared" si="168"/>
        <v>ffdfd3c0</v>
      </c>
      <c r="D3617" t="s">
        <v>111</v>
      </c>
      <c r="E3617">
        <v>18</v>
      </c>
      <c r="F3617">
        <v>1018</v>
      </c>
      <c r="G3617" t="s">
        <v>112</v>
      </c>
      <c r="J3617" t="s">
        <v>113</v>
      </c>
      <c r="K3617">
        <v>0</v>
      </c>
      <c r="L3617">
        <v>3</v>
      </c>
      <c r="M3617">
        <v>0</v>
      </c>
      <c r="N3617">
        <v>2</v>
      </c>
      <c r="O3617">
        <v>1</v>
      </c>
      <c r="P3617">
        <v>0</v>
      </c>
      <c r="Q3617">
        <v>0</v>
      </c>
      <c r="R3617" t="s">
        <v>114</v>
      </c>
      <c r="S3617" t="str">
        <f>"19:35:14.609"</f>
        <v>19:35:14.609</v>
      </c>
      <c r="T3617" t="str">
        <f>"19:35:14.609"</f>
        <v>19:35:14.609</v>
      </c>
      <c r="U3617" t="str">
        <f t="shared" si="169"/>
        <v>a1cdbe</v>
      </c>
      <c r="V3617">
        <v>0</v>
      </c>
      <c r="W3617">
        <v>0</v>
      </c>
      <c r="X3617">
        <v>2</v>
      </c>
      <c r="Y3617">
        <v>0</v>
      </c>
      <c r="Z3617">
        <v>0</v>
      </c>
      <c r="AB3617">
        <v>0</v>
      </c>
      <c r="AC3617">
        <v>9</v>
      </c>
      <c r="AD3617">
        <v>3</v>
      </c>
      <c r="AE3617">
        <v>0</v>
      </c>
      <c r="AF3617">
        <v>9</v>
      </c>
      <c r="AG3617" t="s">
        <v>158</v>
      </c>
      <c r="AH3617">
        <v>0</v>
      </c>
      <c r="AI3617">
        <v>3</v>
      </c>
      <c r="AJ3617">
        <v>1</v>
      </c>
      <c r="AK3617">
        <v>0</v>
      </c>
      <c r="AL3617" t="s">
        <v>671</v>
      </c>
      <c r="AM3617">
        <v>47.026891999999997</v>
      </c>
      <c r="AN3617" t="s">
        <v>6809</v>
      </c>
      <c r="AO3617">
        <v>-123.845787</v>
      </c>
      <c r="AP3617">
        <v>100</v>
      </c>
      <c r="AQ3617">
        <v>2100</v>
      </c>
      <c r="AR3617" t="s">
        <v>118</v>
      </c>
      <c r="AS3617">
        <v>-79</v>
      </c>
      <c r="AT3617">
        <v>19</v>
      </c>
      <c r="AU3617">
        <v>64</v>
      </c>
      <c r="BC3617">
        <v>1200</v>
      </c>
      <c r="BD3617">
        <v>1</v>
      </c>
      <c r="BE3617" t="str">
        <f t="shared" si="170"/>
        <v xml:space="preserve">N215T   </v>
      </c>
      <c r="BF3617">
        <v>1</v>
      </c>
      <c r="BH3617">
        <v>0</v>
      </c>
      <c r="BI3617">
        <v>0</v>
      </c>
      <c r="BJ3617">
        <v>0</v>
      </c>
      <c r="BK3617">
        <v>2475</v>
      </c>
      <c r="BL3617">
        <v>375</v>
      </c>
      <c r="BM3617" t="s">
        <v>119</v>
      </c>
      <c r="BN3617">
        <v>1</v>
      </c>
      <c r="BO3617">
        <v>1</v>
      </c>
      <c r="BP3617">
        <v>1</v>
      </c>
      <c r="BQ3617">
        <v>0</v>
      </c>
      <c r="BT3617">
        <v>0</v>
      </c>
      <c r="BU3617">
        <v>0</v>
      </c>
      <c r="BV3617">
        <v>0</v>
      </c>
      <c r="CC3617" t="str">
        <f>"19:35:14.609"</f>
        <v>19:35:14.609</v>
      </c>
      <c r="CD3617" t="str">
        <f>"610923956"</f>
        <v>610923956</v>
      </c>
      <c r="CQ3617">
        <v>0</v>
      </c>
      <c r="CR3617">
        <v>2</v>
      </c>
      <c r="CS3617">
        <v>0</v>
      </c>
      <c r="CT3617">
        <v>2</v>
      </c>
      <c r="CU3617">
        <v>0</v>
      </c>
      <c r="CV3617">
        <v>5</v>
      </c>
      <c r="CW3617" t="s">
        <v>120</v>
      </c>
      <c r="CX3617">
        <v>257</v>
      </c>
      <c r="CY3617">
        <v>0</v>
      </c>
      <c r="CZ3617" t="s">
        <v>615</v>
      </c>
      <c r="DA3617" t="s">
        <v>616</v>
      </c>
      <c r="DD3617">
        <v>16502909</v>
      </c>
      <c r="DE3617" t="s">
        <v>123</v>
      </c>
    </row>
    <row r="3618" spans="1:109" x14ac:dyDescent="0.3">
      <c r="A3618" t="str">
        <f>"19:35:15.742"</f>
        <v>19:35:15.742</v>
      </c>
      <c r="B3618" t="s">
        <v>110</v>
      </c>
      <c r="C3618" t="str">
        <f t="shared" si="168"/>
        <v>ffdfd3c0</v>
      </c>
      <c r="D3618" t="s">
        <v>111</v>
      </c>
      <c r="E3618">
        <v>18</v>
      </c>
      <c r="F3618">
        <v>1018</v>
      </c>
      <c r="G3618" t="s">
        <v>112</v>
      </c>
      <c r="J3618" t="s">
        <v>113</v>
      </c>
      <c r="K3618">
        <v>0</v>
      </c>
      <c r="L3618">
        <v>3</v>
      </c>
      <c r="M3618">
        <v>0</v>
      </c>
      <c r="N3618">
        <v>2</v>
      </c>
      <c r="O3618">
        <v>1</v>
      </c>
      <c r="P3618">
        <v>0</v>
      </c>
      <c r="Q3618">
        <v>0</v>
      </c>
      <c r="R3618" t="s">
        <v>114</v>
      </c>
      <c r="S3618" t="str">
        <f>"19:35:15.477"</f>
        <v>19:35:15.477</v>
      </c>
      <c r="T3618" t="str">
        <f>"19:35:15.180"</f>
        <v>19:35:15.180</v>
      </c>
      <c r="U3618" t="str">
        <f t="shared" si="169"/>
        <v>a1cdbe</v>
      </c>
      <c r="V3618">
        <v>0</v>
      </c>
      <c r="W3618">
        <v>0</v>
      </c>
      <c r="X3618">
        <v>2</v>
      </c>
      <c r="Y3618">
        <v>0</v>
      </c>
      <c r="Z3618">
        <v>0</v>
      </c>
      <c r="AB3618">
        <v>0</v>
      </c>
      <c r="AC3618">
        <v>9</v>
      </c>
      <c r="AD3618">
        <v>3</v>
      </c>
      <c r="AE3618">
        <v>0</v>
      </c>
      <c r="AF3618">
        <v>9</v>
      </c>
      <c r="AG3618" t="s">
        <v>158</v>
      </c>
      <c r="AH3618">
        <v>0</v>
      </c>
      <c r="AI3618">
        <v>3</v>
      </c>
      <c r="AJ3618">
        <v>1</v>
      </c>
      <c r="AK3618">
        <v>0</v>
      </c>
      <c r="AL3618" t="s">
        <v>6810</v>
      </c>
      <c r="AM3618">
        <v>47.026978</v>
      </c>
      <c r="AN3618" t="s">
        <v>6811</v>
      </c>
      <c r="AO3618">
        <v>-123.84619499999999</v>
      </c>
      <c r="AP3618">
        <v>100</v>
      </c>
      <c r="AQ3618">
        <v>2100</v>
      </c>
      <c r="AR3618" t="s">
        <v>118</v>
      </c>
      <c r="AS3618">
        <v>-79</v>
      </c>
      <c r="AT3618">
        <v>19</v>
      </c>
      <c r="AU3618">
        <v>64</v>
      </c>
      <c r="BC3618">
        <v>1200</v>
      </c>
      <c r="BD3618">
        <v>1</v>
      </c>
      <c r="BE3618" t="str">
        <f t="shared" si="170"/>
        <v xml:space="preserve">N215T   </v>
      </c>
      <c r="BF3618">
        <v>1</v>
      </c>
      <c r="BH3618">
        <v>0</v>
      </c>
      <c r="BI3618">
        <v>0</v>
      </c>
      <c r="BJ3618">
        <v>0</v>
      </c>
      <c r="BK3618">
        <v>2475</v>
      </c>
      <c r="BL3618">
        <v>375</v>
      </c>
      <c r="BM3618" t="s">
        <v>119</v>
      </c>
      <c r="BN3618">
        <v>1</v>
      </c>
      <c r="BO3618">
        <v>1</v>
      </c>
      <c r="BP3618">
        <v>1</v>
      </c>
      <c r="BQ3618">
        <v>0</v>
      </c>
      <c r="BT3618">
        <v>0</v>
      </c>
      <c r="BU3618">
        <v>0</v>
      </c>
      <c r="BV3618">
        <v>0</v>
      </c>
      <c r="CC3618" t="str">
        <f>"19:35:15.484"</f>
        <v>19:35:15.484</v>
      </c>
      <c r="CD3618" t="str">
        <f>"480934607"</f>
        <v>480934607</v>
      </c>
      <c r="CQ3618">
        <v>0</v>
      </c>
      <c r="CR3618">
        <v>2</v>
      </c>
      <c r="CS3618">
        <v>0</v>
      </c>
      <c r="CT3618">
        <v>2</v>
      </c>
      <c r="CU3618">
        <v>0</v>
      </c>
      <c r="CV3618">
        <v>1</v>
      </c>
      <c r="CW3618" t="s">
        <v>120</v>
      </c>
      <c r="CX3618">
        <v>261</v>
      </c>
      <c r="CY3618">
        <v>2</v>
      </c>
      <c r="CZ3618" t="s">
        <v>121</v>
      </c>
      <c r="DA3618" t="s">
        <v>122</v>
      </c>
      <c r="DD3618">
        <v>16498149</v>
      </c>
      <c r="DE3618" t="s">
        <v>123</v>
      </c>
    </row>
    <row r="3619" spans="1:109" x14ac:dyDescent="0.3">
      <c r="A3619" t="str">
        <f>"19:35:16.648"</f>
        <v>19:35:16.648</v>
      </c>
      <c r="B3619" t="s">
        <v>110</v>
      </c>
      <c r="C3619" t="str">
        <f t="shared" si="168"/>
        <v>ffdfd3c0</v>
      </c>
      <c r="D3619" t="s">
        <v>111</v>
      </c>
      <c r="E3619">
        <v>18</v>
      </c>
      <c r="F3619">
        <v>1018</v>
      </c>
      <c r="G3619" t="s">
        <v>112</v>
      </c>
      <c r="J3619" t="s">
        <v>113</v>
      </c>
      <c r="K3619">
        <v>0</v>
      </c>
      <c r="L3619">
        <v>3</v>
      </c>
      <c r="M3619">
        <v>0</v>
      </c>
      <c r="N3619">
        <v>2</v>
      </c>
      <c r="O3619">
        <v>1</v>
      </c>
      <c r="P3619">
        <v>0</v>
      </c>
      <c r="Q3619">
        <v>0</v>
      </c>
      <c r="R3619" t="s">
        <v>114</v>
      </c>
      <c r="S3619" t="str">
        <f>"19:35:16.406"</f>
        <v>19:35:16.406</v>
      </c>
      <c r="T3619" t="str">
        <f>"19:35:16.109"</f>
        <v>19:35:16.109</v>
      </c>
      <c r="U3619" t="str">
        <f t="shared" si="169"/>
        <v>a1cdbe</v>
      </c>
      <c r="V3619">
        <v>0</v>
      </c>
      <c r="W3619">
        <v>0</v>
      </c>
      <c r="X3619">
        <v>2</v>
      </c>
      <c r="Y3619">
        <v>0</v>
      </c>
      <c r="Z3619">
        <v>0</v>
      </c>
      <c r="AB3619">
        <v>0</v>
      </c>
      <c r="AC3619">
        <v>9</v>
      </c>
      <c r="AD3619">
        <v>3</v>
      </c>
      <c r="AE3619">
        <v>0</v>
      </c>
      <c r="AF3619">
        <v>9</v>
      </c>
      <c r="AG3619" t="s">
        <v>158</v>
      </c>
      <c r="AH3619">
        <v>0</v>
      </c>
      <c r="AI3619">
        <v>3</v>
      </c>
      <c r="AJ3619">
        <v>1</v>
      </c>
      <c r="AK3619">
        <v>0</v>
      </c>
      <c r="AL3619" t="s">
        <v>6812</v>
      </c>
      <c r="AM3619">
        <v>47.027062999999998</v>
      </c>
      <c r="AN3619" t="s">
        <v>6813</v>
      </c>
      <c r="AO3619">
        <v>-123.84675300000001</v>
      </c>
      <c r="AP3619">
        <v>100</v>
      </c>
      <c r="AQ3619">
        <v>2100</v>
      </c>
      <c r="AR3619" t="s">
        <v>118</v>
      </c>
      <c r="AS3619">
        <v>-79</v>
      </c>
      <c r="AT3619">
        <v>20</v>
      </c>
      <c r="AU3619">
        <v>0</v>
      </c>
      <c r="BC3619">
        <v>1200</v>
      </c>
      <c r="BD3619">
        <v>1</v>
      </c>
      <c r="BE3619" t="str">
        <f t="shared" si="170"/>
        <v xml:space="preserve">N215T   </v>
      </c>
      <c r="BF3619">
        <v>1</v>
      </c>
      <c r="BH3619">
        <v>0</v>
      </c>
      <c r="BI3619">
        <v>0</v>
      </c>
      <c r="BJ3619">
        <v>0</v>
      </c>
      <c r="BK3619">
        <v>2475</v>
      </c>
      <c r="BL3619">
        <v>375</v>
      </c>
      <c r="BM3619" t="s">
        <v>119</v>
      </c>
      <c r="BN3619">
        <v>1</v>
      </c>
      <c r="BO3619">
        <v>1</v>
      </c>
      <c r="BP3619">
        <v>1</v>
      </c>
      <c r="BQ3619">
        <v>0</v>
      </c>
      <c r="BT3619">
        <v>0</v>
      </c>
      <c r="BU3619">
        <v>0</v>
      </c>
      <c r="BV3619">
        <v>0</v>
      </c>
      <c r="CC3619" t="str">
        <f>"19:35:16.414"</f>
        <v>19:35:16.414</v>
      </c>
      <c r="CD3619" t="str">
        <f>"410746633"</f>
        <v>410746633</v>
      </c>
      <c r="CQ3619">
        <v>0</v>
      </c>
      <c r="CR3619">
        <v>2</v>
      </c>
      <c r="CS3619">
        <v>0</v>
      </c>
      <c r="CT3619">
        <v>2</v>
      </c>
      <c r="CU3619">
        <v>0</v>
      </c>
      <c r="CV3619">
        <v>4</v>
      </c>
      <c r="CW3619" t="s">
        <v>120</v>
      </c>
      <c r="CX3619">
        <v>257</v>
      </c>
      <c r="CY3619">
        <v>0</v>
      </c>
      <c r="CZ3619" t="s">
        <v>615</v>
      </c>
      <c r="DA3619" t="s">
        <v>616</v>
      </c>
      <c r="DD3619">
        <v>16503637</v>
      </c>
      <c r="DE3619" t="s">
        <v>123</v>
      </c>
    </row>
    <row r="3620" spans="1:109" x14ac:dyDescent="0.3">
      <c r="A3620" t="str">
        <f>"19:35:17.656"</f>
        <v>19:35:17.656</v>
      </c>
      <c r="B3620" t="s">
        <v>110</v>
      </c>
      <c r="C3620" t="str">
        <f t="shared" si="168"/>
        <v>ffdfd3c0</v>
      </c>
      <c r="D3620" t="s">
        <v>111</v>
      </c>
      <c r="E3620">
        <v>18</v>
      </c>
      <c r="F3620">
        <v>1018</v>
      </c>
      <c r="G3620" t="s">
        <v>112</v>
      </c>
      <c r="J3620" t="s">
        <v>113</v>
      </c>
      <c r="K3620">
        <v>0</v>
      </c>
      <c r="L3620">
        <v>3</v>
      </c>
      <c r="M3620">
        <v>0</v>
      </c>
      <c r="N3620">
        <v>2</v>
      </c>
      <c r="O3620">
        <v>1</v>
      </c>
      <c r="P3620">
        <v>0</v>
      </c>
      <c r="Q3620">
        <v>0</v>
      </c>
      <c r="R3620" t="s">
        <v>114</v>
      </c>
      <c r="S3620" t="str">
        <f>"19:35:17.367"</f>
        <v>19:35:17.367</v>
      </c>
      <c r="T3620" t="str">
        <f>"19:35:17.070"</f>
        <v>19:35:17.070</v>
      </c>
      <c r="U3620" t="str">
        <f t="shared" si="169"/>
        <v>a1cdbe</v>
      </c>
      <c r="V3620">
        <v>0</v>
      </c>
      <c r="W3620">
        <v>0</v>
      </c>
      <c r="X3620">
        <v>2</v>
      </c>
      <c r="Y3620">
        <v>0</v>
      </c>
      <c r="Z3620">
        <v>0</v>
      </c>
      <c r="AB3620">
        <v>0</v>
      </c>
      <c r="AC3620">
        <v>9</v>
      </c>
      <c r="AD3620">
        <v>3</v>
      </c>
      <c r="AE3620">
        <v>0</v>
      </c>
      <c r="AF3620">
        <v>9</v>
      </c>
      <c r="AG3620" t="s">
        <v>158</v>
      </c>
      <c r="AH3620">
        <v>0</v>
      </c>
      <c r="AI3620">
        <v>3</v>
      </c>
      <c r="AJ3620">
        <v>1</v>
      </c>
      <c r="AK3620">
        <v>0</v>
      </c>
      <c r="AL3620" t="s">
        <v>6814</v>
      </c>
      <c r="AM3620">
        <v>47.027171000000003</v>
      </c>
      <c r="AN3620" t="s">
        <v>6815</v>
      </c>
      <c r="AO3620">
        <v>-123.847268</v>
      </c>
      <c r="AP3620">
        <v>100</v>
      </c>
      <c r="AQ3620">
        <v>2100</v>
      </c>
      <c r="AR3620" t="s">
        <v>118</v>
      </c>
      <c r="AS3620">
        <v>-79</v>
      </c>
      <c r="AT3620">
        <v>20</v>
      </c>
      <c r="AU3620">
        <v>-64</v>
      </c>
      <c r="BC3620">
        <v>1200</v>
      </c>
      <c r="BD3620">
        <v>1</v>
      </c>
      <c r="BE3620" t="str">
        <f t="shared" si="170"/>
        <v xml:space="preserve">N215T   </v>
      </c>
      <c r="BF3620">
        <v>1</v>
      </c>
      <c r="BH3620">
        <v>0</v>
      </c>
      <c r="BI3620">
        <v>0</v>
      </c>
      <c r="BJ3620">
        <v>0</v>
      </c>
      <c r="BK3620">
        <v>2475</v>
      </c>
      <c r="BL3620">
        <v>375</v>
      </c>
      <c r="BM3620" t="s">
        <v>119</v>
      </c>
      <c r="BN3620">
        <v>1</v>
      </c>
      <c r="BO3620">
        <v>1</v>
      </c>
      <c r="BP3620">
        <v>1</v>
      </c>
      <c r="BQ3620">
        <v>0</v>
      </c>
      <c r="BT3620">
        <v>0</v>
      </c>
      <c r="BU3620">
        <v>0</v>
      </c>
      <c r="BV3620">
        <v>0</v>
      </c>
      <c r="CC3620" t="str">
        <f>"19:35:17.367"</f>
        <v>19:35:17.367</v>
      </c>
      <c r="CD3620" t="str">
        <f>"370652082"</f>
        <v>370652082</v>
      </c>
      <c r="CQ3620">
        <v>0</v>
      </c>
      <c r="CR3620">
        <v>2</v>
      </c>
      <c r="CS3620">
        <v>0</v>
      </c>
      <c r="CT3620">
        <v>2</v>
      </c>
      <c r="CU3620">
        <v>0</v>
      </c>
      <c r="CV3620">
        <v>5</v>
      </c>
      <c r="CW3620" t="s">
        <v>120</v>
      </c>
      <c r="CX3620">
        <v>257</v>
      </c>
      <c r="CY3620">
        <v>0</v>
      </c>
      <c r="CZ3620" t="s">
        <v>615</v>
      </c>
      <c r="DA3620" t="s">
        <v>616</v>
      </c>
      <c r="DD3620">
        <v>16503993</v>
      </c>
      <c r="DE3620" t="s">
        <v>123</v>
      </c>
    </row>
    <row r="3621" spans="1:109" x14ac:dyDescent="0.3">
      <c r="A3621" t="str">
        <f>"19:35:18.664"</f>
        <v>19:35:18.664</v>
      </c>
      <c r="B3621" t="s">
        <v>110</v>
      </c>
      <c r="C3621" t="str">
        <f t="shared" si="168"/>
        <v>ffdfd3c0</v>
      </c>
      <c r="D3621" t="s">
        <v>111</v>
      </c>
      <c r="E3621">
        <v>18</v>
      </c>
      <c r="F3621">
        <v>1018</v>
      </c>
      <c r="G3621" t="s">
        <v>112</v>
      </c>
      <c r="J3621" t="s">
        <v>113</v>
      </c>
      <c r="K3621">
        <v>0</v>
      </c>
      <c r="L3621">
        <v>3</v>
      </c>
      <c r="M3621">
        <v>0</v>
      </c>
      <c r="N3621">
        <v>2</v>
      </c>
      <c r="O3621">
        <v>1</v>
      </c>
      <c r="P3621">
        <v>0</v>
      </c>
      <c r="Q3621">
        <v>0</v>
      </c>
      <c r="R3621" t="s">
        <v>114</v>
      </c>
      <c r="S3621" t="str">
        <f>"19:35:18.398"</f>
        <v>19:35:18.398</v>
      </c>
      <c r="T3621" t="str">
        <f>"19:35:18.102"</f>
        <v>19:35:18.102</v>
      </c>
      <c r="U3621" t="str">
        <f t="shared" si="169"/>
        <v>a1cdbe</v>
      </c>
      <c r="V3621">
        <v>0</v>
      </c>
      <c r="W3621">
        <v>0</v>
      </c>
      <c r="X3621">
        <v>2</v>
      </c>
      <c r="Y3621">
        <v>0</v>
      </c>
      <c r="Z3621">
        <v>0</v>
      </c>
      <c r="AB3621">
        <v>0</v>
      </c>
      <c r="AC3621">
        <v>9</v>
      </c>
      <c r="AD3621">
        <v>3</v>
      </c>
      <c r="AE3621">
        <v>0</v>
      </c>
      <c r="AF3621">
        <v>9</v>
      </c>
      <c r="AG3621" t="s">
        <v>158</v>
      </c>
      <c r="AH3621">
        <v>0</v>
      </c>
      <c r="AI3621">
        <v>3</v>
      </c>
      <c r="AJ3621">
        <v>1</v>
      </c>
      <c r="AK3621">
        <v>0</v>
      </c>
      <c r="AL3621" t="s">
        <v>669</v>
      </c>
      <c r="AM3621">
        <v>47.027256000000001</v>
      </c>
      <c r="AN3621" t="s">
        <v>6816</v>
      </c>
      <c r="AO3621">
        <v>-123.84778300000001</v>
      </c>
      <c r="AP3621">
        <v>100</v>
      </c>
      <c r="AQ3621">
        <v>2100</v>
      </c>
      <c r="AR3621" t="s">
        <v>118</v>
      </c>
      <c r="AS3621">
        <v>-79</v>
      </c>
      <c r="AT3621">
        <v>20</v>
      </c>
      <c r="AU3621">
        <v>-128</v>
      </c>
      <c r="BC3621">
        <v>1200</v>
      </c>
      <c r="BD3621">
        <v>1</v>
      </c>
      <c r="BE3621" t="str">
        <f t="shared" si="170"/>
        <v xml:space="preserve">N215T   </v>
      </c>
      <c r="BF3621">
        <v>1</v>
      </c>
      <c r="BH3621">
        <v>0</v>
      </c>
      <c r="BI3621">
        <v>0</v>
      </c>
      <c r="BJ3621">
        <v>0</v>
      </c>
      <c r="BK3621">
        <v>2475</v>
      </c>
      <c r="BL3621">
        <v>375</v>
      </c>
      <c r="BM3621" t="s">
        <v>119</v>
      </c>
      <c r="BN3621">
        <v>1</v>
      </c>
      <c r="BO3621">
        <v>1</v>
      </c>
      <c r="BP3621">
        <v>1</v>
      </c>
      <c r="BQ3621">
        <v>0</v>
      </c>
      <c r="BT3621">
        <v>0</v>
      </c>
      <c r="BU3621">
        <v>0</v>
      </c>
      <c r="BV3621">
        <v>0</v>
      </c>
      <c r="CC3621" t="str">
        <f>"19:35:18.406"</f>
        <v>19:35:18.406</v>
      </c>
      <c r="CD3621" t="str">
        <f>"405550131"</f>
        <v>405550131</v>
      </c>
      <c r="CQ3621">
        <v>0</v>
      </c>
      <c r="CR3621">
        <v>2</v>
      </c>
      <c r="CS3621">
        <v>0</v>
      </c>
      <c r="CT3621">
        <v>2</v>
      </c>
      <c r="CU3621">
        <v>0</v>
      </c>
      <c r="CV3621">
        <v>5</v>
      </c>
      <c r="CW3621" t="s">
        <v>120</v>
      </c>
      <c r="CX3621">
        <v>257</v>
      </c>
      <c r="CY3621">
        <v>0</v>
      </c>
      <c r="CZ3621" t="s">
        <v>615</v>
      </c>
      <c r="DA3621" t="s">
        <v>616</v>
      </c>
      <c r="DD3621">
        <v>16504408</v>
      </c>
      <c r="DE3621" t="s">
        <v>123</v>
      </c>
    </row>
    <row r="3622" spans="1:109" x14ac:dyDescent="0.3">
      <c r="A3622" t="str">
        <f>"19:35:19.719"</f>
        <v>19:35:19.719</v>
      </c>
      <c r="B3622" t="s">
        <v>110</v>
      </c>
      <c r="C3622" t="str">
        <f t="shared" si="168"/>
        <v>ffdfd3c0</v>
      </c>
      <c r="D3622" t="s">
        <v>111</v>
      </c>
      <c r="E3622">
        <v>18</v>
      </c>
      <c r="F3622">
        <v>1018</v>
      </c>
      <c r="G3622" t="s">
        <v>112</v>
      </c>
      <c r="J3622" t="s">
        <v>113</v>
      </c>
      <c r="K3622">
        <v>0</v>
      </c>
      <c r="L3622">
        <v>3</v>
      </c>
      <c r="M3622">
        <v>0</v>
      </c>
      <c r="N3622">
        <v>2</v>
      </c>
      <c r="O3622">
        <v>1</v>
      </c>
      <c r="P3622">
        <v>0</v>
      </c>
      <c r="Q3622">
        <v>0</v>
      </c>
      <c r="R3622" t="s">
        <v>114</v>
      </c>
      <c r="S3622" t="str">
        <f>"19:35:19.484"</f>
        <v>19:35:19.484</v>
      </c>
      <c r="T3622" t="str">
        <f>"19:35:19.086"</f>
        <v>19:35:19.086</v>
      </c>
      <c r="U3622" t="str">
        <f t="shared" si="169"/>
        <v>a1cdbe</v>
      </c>
      <c r="V3622">
        <v>0</v>
      </c>
      <c r="W3622">
        <v>0</v>
      </c>
      <c r="X3622">
        <v>2</v>
      </c>
      <c r="Y3622">
        <v>0</v>
      </c>
      <c r="Z3622">
        <v>0</v>
      </c>
      <c r="AB3622">
        <v>0</v>
      </c>
      <c r="AC3622">
        <v>9</v>
      </c>
      <c r="AD3622">
        <v>3</v>
      </c>
      <c r="AE3622">
        <v>0</v>
      </c>
      <c r="AF3622">
        <v>9</v>
      </c>
      <c r="AG3622" t="s">
        <v>158</v>
      </c>
      <c r="AH3622">
        <v>0</v>
      </c>
      <c r="AI3622">
        <v>3</v>
      </c>
      <c r="AJ3622">
        <v>1</v>
      </c>
      <c r="AK3622">
        <v>0</v>
      </c>
      <c r="AL3622" t="s">
        <v>6817</v>
      </c>
      <c r="AM3622">
        <v>47.027341999999997</v>
      </c>
      <c r="AN3622" t="s">
        <v>6818</v>
      </c>
      <c r="AO3622">
        <v>-123.848383</v>
      </c>
      <c r="AP3622">
        <v>100</v>
      </c>
      <c r="AQ3622">
        <v>2100</v>
      </c>
      <c r="AR3622" t="s">
        <v>118</v>
      </c>
      <c r="AS3622">
        <v>-79</v>
      </c>
      <c r="AT3622">
        <v>21</v>
      </c>
      <c r="AU3622">
        <v>-192</v>
      </c>
      <c r="BC3622">
        <v>1200</v>
      </c>
      <c r="BD3622">
        <v>1</v>
      </c>
      <c r="BE3622" t="str">
        <f t="shared" si="170"/>
        <v xml:space="preserve">N215T   </v>
      </c>
      <c r="BF3622">
        <v>1</v>
      </c>
      <c r="BH3622">
        <v>0</v>
      </c>
      <c r="BI3622">
        <v>0</v>
      </c>
      <c r="BJ3622">
        <v>0</v>
      </c>
      <c r="BK3622">
        <v>2475</v>
      </c>
      <c r="BL3622">
        <v>375</v>
      </c>
      <c r="BM3622" t="s">
        <v>119</v>
      </c>
      <c r="BN3622">
        <v>1</v>
      </c>
      <c r="BO3622">
        <v>1</v>
      </c>
      <c r="BP3622">
        <v>1</v>
      </c>
      <c r="BQ3622">
        <v>0</v>
      </c>
      <c r="BT3622">
        <v>0</v>
      </c>
      <c r="BU3622">
        <v>0</v>
      </c>
      <c r="BV3622">
        <v>0</v>
      </c>
      <c r="CC3622" t="str">
        <f>"19:35:19.484"</f>
        <v>19:35:19.484</v>
      </c>
      <c r="CD3622" t="str">
        <f>"485443759"</f>
        <v>485443759</v>
      </c>
      <c r="CQ3622">
        <v>0</v>
      </c>
      <c r="CR3622">
        <v>2</v>
      </c>
      <c r="CS3622">
        <v>0</v>
      </c>
      <c r="CT3622">
        <v>2</v>
      </c>
      <c r="CU3622">
        <v>0</v>
      </c>
      <c r="CV3622">
        <v>5</v>
      </c>
      <c r="CW3622" t="s">
        <v>120</v>
      </c>
      <c r="CX3622">
        <v>257</v>
      </c>
      <c r="CY3622">
        <v>0</v>
      </c>
      <c r="CZ3622" t="s">
        <v>615</v>
      </c>
      <c r="DA3622" t="s">
        <v>616</v>
      </c>
      <c r="DD3622">
        <v>16504853</v>
      </c>
      <c r="DE3622" t="s">
        <v>123</v>
      </c>
    </row>
    <row r="3623" spans="1:109" x14ac:dyDescent="0.3">
      <c r="A3623" t="str">
        <f>"19:35:20.773"</f>
        <v>19:35:20.773</v>
      </c>
      <c r="B3623" t="s">
        <v>110</v>
      </c>
      <c r="C3623" t="str">
        <f t="shared" si="168"/>
        <v>ffdfd3c0</v>
      </c>
      <c r="D3623" t="s">
        <v>111</v>
      </c>
      <c r="E3623">
        <v>18</v>
      </c>
      <c r="F3623">
        <v>1018</v>
      </c>
      <c r="G3623" t="s">
        <v>112</v>
      </c>
      <c r="J3623" t="s">
        <v>113</v>
      </c>
      <c r="K3623">
        <v>0</v>
      </c>
      <c r="L3623">
        <v>3</v>
      </c>
      <c r="M3623">
        <v>0</v>
      </c>
      <c r="N3623">
        <v>2</v>
      </c>
      <c r="O3623">
        <v>1</v>
      </c>
      <c r="P3623">
        <v>0</v>
      </c>
      <c r="Q3623">
        <v>0</v>
      </c>
      <c r="R3623" t="s">
        <v>114</v>
      </c>
      <c r="S3623" t="str">
        <f>"19:35:20.563"</f>
        <v>19:35:20.563</v>
      </c>
      <c r="T3623" t="str">
        <f>"19:35:20.063"</f>
        <v>19:35:20.063</v>
      </c>
      <c r="U3623" t="str">
        <f t="shared" si="169"/>
        <v>a1cdbe</v>
      </c>
      <c r="V3623">
        <v>0</v>
      </c>
      <c r="W3623">
        <v>0</v>
      </c>
      <c r="X3623">
        <v>2</v>
      </c>
      <c r="Y3623">
        <v>0</v>
      </c>
      <c r="Z3623">
        <v>0</v>
      </c>
      <c r="AB3623">
        <v>0</v>
      </c>
      <c r="AC3623">
        <v>9</v>
      </c>
      <c r="AD3623">
        <v>3</v>
      </c>
      <c r="AE3623">
        <v>0</v>
      </c>
      <c r="AF3623">
        <v>9</v>
      </c>
      <c r="AG3623" t="s">
        <v>158</v>
      </c>
      <c r="AH3623">
        <v>0</v>
      </c>
      <c r="AI3623">
        <v>3</v>
      </c>
      <c r="AJ3623">
        <v>1</v>
      </c>
      <c r="AK3623">
        <v>0</v>
      </c>
      <c r="AL3623" t="s">
        <v>6819</v>
      </c>
      <c r="AM3623">
        <v>47.027450000000002</v>
      </c>
      <c r="AN3623" t="s">
        <v>6820</v>
      </c>
      <c r="AO3623">
        <v>-123.848941</v>
      </c>
      <c r="AP3623">
        <v>100</v>
      </c>
      <c r="AQ3623">
        <v>2100</v>
      </c>
      <c r="AR3623" t="s">
        <v>118</v>
      </c>
      <c r="AS3623">
        <v>-80</v>
      </c>
      <c r="AT3623">
        <v>21</v>
      </c>
      <c r="AU3623">
        <v>-192</v>
      </c>
      <c r="BC3623">
        <v>1200</v>
      </c>
      <c r="BD3623">
        <v>1</v>
      </c>
      <c r="BE3623" t="str">
        <f t="shared" si="170"/>
        <v xml:space="preserve">N215T   </v>
      </c>
      <c r="BF3623">
        <v>1</v>
      </c>
      <c r="BH3623">
        <v>0</v>
      </c>
      <c r="BI3623">
        <v>0</v>
      </c>
      <c r="BJ3623">
        <v>0</v>
      </c>
      <c r="BK3623">
        <v>2475</v>
      </c>
      <c r="BL3623">
        <v>375</v>
      </c>
      <c r="BM3623" t="s">
        <v>119</v>
      </c>
      <c r="BN3623">
        <v>1</v>
      </c>
      <c r="BO3623">
        <v>1</v>
      </c>
      <c r="BP3623">
        <v>1</v>
      </c>
      <c r="BQ3623">
        <v>0</v>
      </c>
      <c r="BT3623">
        <v>0</v>
      </c>
      <c r="BU3623">
        <v>0</v>
      </c>
      <c r="BV3623">
        <v>0</v>
      </c>
      <c r="CC3623" t="str">
        <f>"19:35:20.563"</f>
        <v>19:35:20.563</v>
      </c>
      <c r="CD3623" t="str">
        <f>"565337363"</f>
        <v>565337363</v>
      </c>
      <c r="CQ3623">
        <v>0</v>
      </c>
      <c r="CR3623">
        <v>2</v>
      </c>
      <c r="CS3623">
        <v>0</v>
      </c>
      <c r="CT3623">
        <v>2</v>
      </c>
      <c r="CU3623">
        <v>0</v>
      </c>
      <c r="CV3623">
        <v>5</v>
      </c>
      <c r="CW3623" t="s">
        <v>120</v>
      </c>
      <c r="CX3623">
        <v>257</v>
      </c>
      <c r="CY3623">
        <v>0</v>
      </c>
      <c r="CZ3623" t="s">
        <v>615</v>
      </c>
      <c r="DA3623" t="s">
        <v>616</v>
      </c>
      <c r="DD3623">
        <v>16505264</v>
      </c>
      <c r="DE3623" t="s">
        <v>123</v>
      </c>
    </row>
    <row r="3624" spans="1:109" x14ac:dyDescent="0.3">
      <c r="A3624" t="str">
        <f>"19:35:21.727"</f>
        <v>19:35:21.727</v>
      </c>
      <c r="B3624" t="s">
        <v>110</v>
      </c>
      <c r="C3624" t="str">
        <f t="shared" si="168"/>
        <v>ffdfd3c0</v>
      </c>
      <c r="D3624" t="s">
        <v>111</v>
      </c>
      <c r="E3624">
        <v>18</v>
      </c>
      <c r="F3624">
        <v>1018</v>
      </c>
      <c r="G3624" t="s">
        <v>112</v>
      </c>
      <c r="J3624" t="s">
        <v>113</v>
      </c>
      <c r="K3624">
        <v>0</v>
      </c>
      <c r="L3624">
        <v>3</v>
      </c>
      <c r="M3624">
        <v>0</v>
      </c>
      <c r="N3624">
        <v>2</v>
      </c>
      <c r="O3624">
        <v>1</v>
      </c>
      <c r="P3624">
        <v>0</v>
      </c>
      <c r="Q3624">
        <v>0</v>
      </c>
      <c r="R3624" t="s">
        <v>114</v>
      </c>
      <c r="S3624" t="str">
        <f>"19:35:21.508"</f>
        <v>19:35:21.508</v>
      </c>
      <c r="T3624" t="str">
        <f>"19:35:21.109"</f>
        <v>19:35:21.109</v>
      </c>
      <c r="U3624" t="str">
        <f t="shared" si="169"/>
        <v>a1cdbe</v>
      </c>
      <c r="V3624">
        <v>0</v>
      </c>
      <c r="W3624">
        <v>0</v>
      </c>
      <c r="X3624">
        <v>2</v>
      </c>
      <c r="Y3624">
        <v>0</v>
      </c>
      <c r="Z3624">
        <v>0</v>
      </c>
      <c r="AB3624">
        <v>0</v>
      </c>
      <c r="AC3624">
        <v>9</v>
      </c>
      <c r="AD3624">
        <v>3</v>
      </c>
      <c r="AE3624">
        <v>0</v>
      </c>
      <c r="AF3624">
        <v>9</v>
      </c>
      <c r="AG3624" t="s">
        <v>158</v>
      </c>
      <c r="AH3624">
        <v>0</v>
      </c>
      <c r="AI3624">
        <v>3</v>
      </c>
      <c r="AJ3624">
        <v>1</v>
      </c>
      <c r="AK3624">
        <v>0</v>
      </c>
      <c r="AL3624" t="s">
        <v>6821</v>
      </c>
      <c r="AM3624">
        <v>47.027535</v>
      </c>
      <c r="AN3624" t="s">
        <v>6822</v>
      </c>
      <c r="AO3624">
        <v>-123.849435</v>
      </c>
      <c r="AP3624">
        <v>100</v>
      </c>
      <c r="AQ3624">
        <v>2100</v>
      </c>
      <c r="AR3624" t="s">
        <v>118</v>
      </c>
      <c r="AS3624">
        <v>-80</v>
      </c>
      <c r="AT3624">
        <v>22</v>
      </c>
      <c r="AU3624">
        <v>-256</v>
      </c>
      <c r="BC3624">
        <v>1200</v>
      </c>
      <c r="BD3624">
        <v>1</v>
      </c>
      <c r="BE3624" t="str">
        <f t="shared" si="170"/>
        <v xml:space="preserve">N215T   </v>
      </c>
      <c r="BF3624">
        <v>1</v>
      </c>
      <c r="BH3624">
        <v>0</v>
      </c>
      <c r="BI3624">
        <v>0</v>
      </c>
      <c r="BJ3624">
        <v>0</v>
      </c>
      <c r="BK3624">
        <v>2475</v>
      </c>
      <c r="BL3624">
        <v>375</v>
      </c>
      <c r="BM3624" t="s">
        <v>119</v>
      </c>
      <c r="BN3624">
        <v>1</v>
      </c>
      <c r="BO3624">
        <v>1</v>
      </c>
      <c r="BP3624">
        <v>1</v>
      </c>
      <c r="BQ3624">
        <v>0</v>
      </c>
      <c r="BT3624">
        <v>0</v>
      </c>
      <c r="BU3624">
        <v>0</v>
      </c>
      <c r="BV3624">
        <v>0</v>
      </c>
      <c r="CC3624" t="str">
        <f>"19:35:21.508"</f>
        <v>19:35:21.508</v>
      </c>
      <c r="CD3624" t="str">
        <f>"510244282"</f>
        <v>510244282</v>
      </c>
      <c r="CQ3624">
        <v>0</v>
      </c>
      <c r="CR3624">
        <v>2</v>
      </c>
      <c r="CS3624">
        <v>0</v>
      </c>
      <c r="CT3624">
        <v>2</v>
      </c>
      <c r="CU3624">
        <v>0</v>
      </c>
      <c r="CV3624">
        <v>4</v>
      </c>
      <c r="CW3624" t="s">
        <v>120</v>
      </c>
      <c r="CX3624">
        <v>257</v>
      </c>
      <c r="CY3624">
        <v>0</v>
      </c>
      <c r="CZ3624" t="s">
        <v>615</v>
      </c>
      <c r="DA3624" t="s">
        <v>616</v>
      </c>
      <c r="DD3624">
        <v>16505658</v>
      </c>
      <c r="DE3624" t="s">
        <v>123</v>
      </c>
    </row>
    <row r="3625" spans="1:109" x14ac:dyDescent="0.3">
      <c r="A3625" t="str">
        <f>"19:35:22.734"</f>
        <v>19:35:22.734</v>
      </c>
      <c r="B3625" t="s">
        <v>110</v>
      </c>
      <c r="C3625" t="str">
        <f t="shared" si="168"/>
        <v>ffdfd3c0</v>
      </c>
      <c r="D3625" t="s">
        <v>111</v>
      </c>
      <c r="E3625">
        <v>18</v>
      </c>
      <c r="F3625">
        <v>1018</v>
      </c>
      <c r="G3625" t="s">
        <v>112</v>
      </c>
      <c r="J3625" t="s">
        <v>113</v>
      </c>
      <c r="K3625">
        <v>0</v>
      </c>
      <c r="L3625">
        <v>3</v>
      </c>
      <c r="M3625">
        <v>0</v>
      </c>
      <c r="N3625">
        <v>2</v>
      </c>
      <c r="O3625">
        <v>1</v>
      </c>
      <c r="P3625">
        <v>0</v>
      </c>
      <c r="Q3625">
        <v>0</v>
      </c>
      <c r="R3625" t="s">
        <v>114</v>
      </c>
      <c r="S3625" t="str">
        <f>"19:35:22.469"</f>
        <v>19:35:22.469</v>
      </c>
      <c r="T3625" t="str">
        <f>"19:35:22.367"</f>
        <v>19:35:22.367</v>
      </c>
      <c r="U3625" t="str">
        <f t="shared" si="169"/>
        <v>a1cdbe</v>
      </c>
      <c r="V3625">
        <v>0</v>
      </c>
      <c r="W3625">
        <v>0</v>
      </c>
      <c r="X3625">
        <v>2</v>
      </c>
      <c r="Y3625">
        <v>0</v>
      </c>
      <c r="Z3625">
        <v>0</v>
      </c>
      <c r="AB3625">
        <v>0</v>
      </c>
      <c r="AC3625">
        <v>9</v>
      </c>
      <c r="AD3625">
        <v>3</v>
      </c>
      <c r="AE3625">
        <v>0</v>
      </c>
      <c r="AF3625">
        <v>9</v>
      </c>
      <c r="AG3625" t="s">
        <v>158</v>
      </c>
      <c r="AH3625">
        <v>0</v>
      </c>
      <c r="AI3625">
        <v>3</v>
      </c>
      <c r="AJ3625">
        <v>1</v>
      </c>
      <c r="AK3625">
        <v>0</v>
      </c>
      <c r="AL3625" t="s">
        <v>6823</v>
      </c>
      <c r="AM3625">
        <v>47.027664000000001</v>
      </c>
      <c r="AN3625" t="s">
        <v>6824</v>
      </c>
      <c r="AO3625">
        <v>-123.849971</v>
      </c>
      <c r="AP3625">
        <v>100</v>
      </c>
      <c r="AQ3625">
        <v>2100</v>
      </c>
      <c r="AR3625" t="s">
        <v>118</v>
      </c>
      <c r="AS3625">
        <v>-80</v>
      </c>
      <c r="AT3625">
        <v>23</v>
      </c>
      <c r="AU3625">
        <v>-128</v>
      </c>
      <c r="BC3625">
        <v>1200</v>
      </c>
      <c r="BD3625">
        <v>1</v>
      </c>
      <c r="BE3625" t="str">
        <f t="shared" si="170"/>
        <v xml:space="preserve">N215T   </v>
      </c>
      <c r="BF3625">
        <v>1</v>
      </c>
      <c r="BH3625">
        <v>0</v>
      </c>
      <c r="BI3625">
        <v>0</v>
      </c>
      <c r="BJ3625">
        <v>0</v>
      </c>
      <c r="BK3625">
        <v>2475</v>
      </c>
      <c r="BL3625">
        <v>375</v>
      </c>
      <c r="BM3625" t="s">
        <v>119</v>
      </c>
      <c r="BN3625">
        <v>1</v>
      </c>
      <c r="BO3625">
        <v>1</v>
      </c>
      <c r="BP3625">
        <v>1</v>
      </c>
      <c r="BQ3625">
        <v>0</v>
      </c>
      <c r="BT3625">
        <v>0</v>
      </c>
      <c r="BU3625">
        <v>0</v>
      </c>
      <c r="BV3625">
        <v>0</v>
      </c>
      <c r="CC3625" t="str">
        <f>"19:35:22.469"</f>
        <v>19:35:22.469</v>
      </c>
      <c r="CD3625" t="str">
        <f>"470149731"</f>
        <v>470149731</v>
      </c>
      <c r="CQ3625">
        <v>0</v>
      </c>
      <c r="CR3625">
        <v>2</v>
      </c>
      <c r="CS3625">
        <v>0</v>
      </c>
      <c r="CT3625">
        <v>2</v>
      </c>
      <c r="CU3625">
        <v>0</v>
      </c>
      <c r="CV3625">
        <v>5</v>
      </c>
      <c r="CW3625" t="s">
        <v>120</v>
      </c>
      <c r="CX3625">
        <v>257</v>
      </c>
      <c r="CY3625">
        <v>0</v>
      </c>
      <c r="CZ3625" t="s">
        <v>615</v>
      </c>
      <c r="DA3625" t="s">
        <v>616</v>
      </c>
      <c r="DD3625">
        <v>16506042</v>
      </c>
      <c r="DE3625" t="s">
        <v>123</v>
      </c>
    </row>
    <row r="3626" spans="1:109" x14ac:dyDescent="0.3">
      <c r="A3626" t="str">
        <f>"19:35:23.836"</f>
        <v>19:35:23.836</v>
      </c>
      <c r="B3626" t="s">
        <v>110</v>
      </c>
      <c r="C3626" t="str">
        <f t="shared" si="168"/>
        <v>ffdfd3c0</v>
      </c>
      <c r="D3626" t="s">
        <v>111</v>
      </c>
      <c r="E3626">
        <v>18</v>
      </c>
      <c r="F3626">
        <v>1018</v>
      </c>
      <c r="G3626" t="s">
        <v>112</v>
      </c>
      <c r="J3626" t="s">
        <v>113</v>
      </c>
      <c r="K3626">
        <v>0</v>
      </c>
      <c r="L3626">
        <v>3</v>
      </c>
      <c r="M3626">
        <v>0</v>
      </c>
      <c r="N3626">
        <v>2</v>
      </c>
      <c r="O3626">
        <v>1</v>
      </c>
      <c r="P3626">
        <v>0</v>
      </c>
      <c r="Q3626">
        <v>0</v>
      </c>
      <c r="R3626" t="s">
        <v>114</v>
      </c>
      <c r="S3626" t="str">
        <f>"19:35:23.594"</f>
        <v>19:35:23.594</v>
      </c>
      <c r="T3626" t="str">
        <f>"19:35:23.391"</f>
        <v>19:35:23.391</v>
      </c>
      <c r="U3626" t="str">
        <f t="shared" si="169"/>
        <v>a1cdbe</v>
      </c>
      <c r="V3626">
        <v>0</v>
      </c>
      <c r="W3626">
        <v>0</v>
      </c>
      <c r="X3626">
        <v>2</v>
      </c>
      <c r="Y3626">
        <v>0</v>
      </c>
      <c r="Z3626">
        <v>0</v>
      </c>
      <c r="AB3626">
        <v>0</v>
      </c>
      <c r="AC3626">
        <v>9</v>
      </c>
      <c r="AD3626">
        <v>3</v>
      </c>
      <c r="AE3626">
        <v>0</v>
      </c>
      <c r="AF3626">
        <v>9</v>
      </c>
      <c r="AG3626" t="s">
        <v>158</v>
      </c>
      <c r="AH3626">
        <v>0</v>
      </c>
      <c r="AI3626">
        <v>3</v>
      </c>
      <c r="AJ3626">
        <v>1</v>
      </c>
      <c r="AK3626">
        <v>0</v>
      </c>
      <c r="AL3626" t="s">
        <v>6825</v>
      </c>
      <c r="AM3626">
        <v>47.027749999999997</v>
      </c>
      <c r="AN3626" t="s">
        <v>6826</v>
      </c>
      <c r="AO3626">
        <v>-123.850594</v>
      </c>
      <c r="AP3626">
        <v>100</v>
      </c>
      <c r="AQ3626">
        <v>2100</v>
      </c>
      <c r="AR3626" t="s">
        <v>118</v>
      </c>
      <c r="AS3626">
        <v>-80</v>
      </c>
      <c r="AT3626">
        <v>23</v>
      </c>
      <c r="AU3626">
        <v>-64</v>
      </c>
      <c r="BC3626">
        <v>1200</v>
      </c>
      <c r="BD3626">
        <v>1</v>
      </c>
      <c r="BE3626" t="str">
        <f t="shared" si="170"/>
        <v xml:space="preserve">N215T   </v>
      </c>
      <c r="BF3626">
        <v>1</v>
      </c>
      <c r="BH3626">
        <v>0</v>
      </c>
      <c r="BI3626">
        <v>0</v>
      </c>
      <c r="BJ3626">
        <v>0</v>
      </c>
      <c r="BK3626">
        <v>2450</v>
      </c>
      <c r="BL3626">
        <v>350</v>
      </c>
      <c r="BM3626" t="s">
        <v>119</v>
      </c>
      <c r="BN3626">
        <v>1</v>
      </c>
      <c r="BO3626">
        <v>1</v>
      </c>
      <c r="BP3626">
        <v>1</v>
      </c>
      <c r="BQ3626">
        <v>0</v>
      </c>
      <c r="BT3626">
        <v>0</v>
      </c>
      <c r="BU3626">
        <v>0</v>
      </c>
      <c r="BV3626">
        <v>0</v>
      </c>
      <c r="CC3626" t="str">
        <f>"19:35:23.594"</f>
        <v>19:35:23.594</v>
      </c>
      <c r="CD3626" t="str">
        <f>"595038922"</f>
        <v>595038922</v>
      </c>
      <c r="CQ3626">
        <v>0</v>
      </c>
      <c r="CR3626">
        <v>2</v>
      </c>
      <c r="CS3626">
        <v>0</v>
      </c>
      <c r="CT3626">
        <v>2</v>
      </c>
      <c r="CU3626">
        <v>0</v>
      </c>
      <c r="CV3626">
        <v>5</v>
      </c>
      <c r="CW3626" t="s">
        <v>120</v>
      </c>
      <c r="CX3626">
        <v>257</v>
      </c>
      <c r="CY3626">
        <v>0</v>
      </c>
      <c r="CZ3626" t="s">
        <v>615</v>
      </c>
      <c r="DA3626" t="s">
        <v>616</v>
      </c>
      <c r="DD3626">
        <v>16506529</v>
      </c>
      <c r="DE3626" t="s">
        <v>123</v>
      </c>
    </row>
    <row r="3627" spans="1:109" x14ac:dyDescent="0.3">
      <c r="A3627" t="str">
        <f>"19:35:24.844"</f>
        <v>19:35:24.844</v>
      </c>
      <c r="B3627" t="s">
        <v>110</v>
      </c>
      <c r="C3627" t="str">
        <f t="shared" si="168"/>
        <v>ffdfd3c0</v>
      </c>
      <c r="D3627" t="s">
        <v>111</v>
      </c>
      <c r="E3627">
        <v>18</v>
      </c>
      <c r="F3627">
        <v>1018</v>
      </c>
      <c r="G3627" t="s">
        <v>112</v>
      </c>
      <c r="J3627" t="s">
        <v>113</v>
      </c>
      <c r="K3627">
        <v>0</v>
      </c>
      <c r="L3627">
        <v>3</v>
      </c>
      <c r="M3627">
        <v>0</v>
      </c>
      <c r="N3627">
        <v>2</v>
      </c>
      <c r="O3627">
        <v>1</v>
      </c>
      <c r="P3627">
        <v>0</v>
      </c>
      <c r="Q3627">
        <v>0</v>
      </c>
      <c r="R3627" t="s">
        <v>114</v>
      </c>
      <c r="S3627" t="str">
        <f>"19:35:24.594"</f>
        <v>19:35:24.594</v>
      </c>
      <c r="T3627" t="str">
        <f>"19:35:24.492"</f>
        <v>19:35:24.492</v>
      </c>
      <c r="U3627" t="str">
        <f t="shared" si="169"/>
        <v>a1cdbe</v>
      </c>
      <c r="V3627">
        <v>0</v>
      </c>
      <c r="W3627">
        <v>0</v>
      </c>
      <c r="X3627">
        <v>2</v>
      </c>
      <c r="Y3627">
        <v>0</v>
      </c>
      <c r="Z3627">
        <v>0</v>
      </c>
      <c r="AB3627">
        <v>0</v>
      </c>
      <c r="AC3627">
        <v>9</v>
      </c>
      <c r="AD3627">
        <v>3</v>
      </c>
      <c r="AE3627">
        <v>0</v>
      </c>
      <c r="AF3627">
        <v>9</v>
      </c>
      <c r="AG3627" t="s">
        <v>158</v>
      </c>
      <c r="AH3627">
        <v>0</v>
      </c>
      <c r="AI3627">
        <v>3</v>
      </c>
      <c r="AJ3627">
        <v>1</v>
      </c>
      <c r="AK3627">
        <v>0</v>
      </c>
      <c r="AL3627" t="s">
        <v>6827</v>
      </c>
      <c r="AM3627">
        <v>47.027900000000002</v>
      </c>
      <c r="AN3627" t="s">
        <v>6828</v>
      </c>
      <c r="AO3627">
        <v>-123.85113</v>
      </c>
      <c r="AP3627">
        <v>100</v>
      </c>
      <c r="AQ3627">
        <v>2100</v>
      </c>
      <c r="AR3627" t="s">
        <v>118</v>
      </c>
      <c r="AS3627">
        <v>-79</v>
      </c>
      <c r="AT3627">
        <v>24</v>
      </c>
      <c r="AU3627">
        <v>64</v>
      </c>
      <c r="BC3627">
        <v>1200</v>
      </c>
      <c r="BD3627">
        <v>1</v>
      </c>
      <c r="BE3627" t="str">
        <f t="shared" si="170"/>
        <v xml:space="preserve">N215T   </v>
      </c>
      <c r="BF3627">
        <v>1</v>
      </c>
      <c r="BH3627">
        <v>0</v>
      </c>
      <c r="BI3627">
        <v>0</v>
      </c>
      <c r="BJ3627">
        <v>0</v>
      </c>
      <c r="BK3627">
        <v>2450</v>
      </c>
      <c r="BL3627">
        <v>350</v>
      </c>
      <c r="BM3627" t="s">
        <v>119</v>
      </c>
      <c r="BN3627">
        <v>1</v>
      </c>
      <c r="BO3627">
        <v>1</v>
      </c>
      <c r="BP3627">
        <v>1</v>
      </c>
      <c r="BQ3627">
        <v>0</v>
      </c>
      <c r="BT3627">
        <v>0</v>
      </c>
      <c r="BU3627">
        <v>0</v>
      </c>
      <c r="BV3627">
        <v>0</v>
      </c>
      <c r="CC3627" t="str">
        <f>"19:35:24.602"</f>
        <v>19:35:24.602</v>
      </c>
      <c r="CD3627" t="str">
        <f>"599939926"</f>
        <v>599939926</v>
      </c>
      <c r="CQ3627">
        <v>0</v>
      </c>
      <c r="CR3627">
        <v>2</v>
      </c>
      <c r="CS3627">
        <v>0</v>
      </c>
      <c r="CT3627">
        <v>2</v>
      </c>
      <c r="CU3627">
        <v>0</v>
      </c>
      <c r="CV3627">
        <v>4</v>
      </c>
      <c r="CW3627" t="s">
        <v>120</v>
      </c>
      <c r="CX3627">
        <v>257</v>
      </c>
      <c r="CY3627">
        <v>0</v>
      </c>
      <c r="CZ3627" t="s">
        <v>615</v>
      </c>
      <c r="DA3627" t="s">
        <v>616</v>
      </c>
      <c r="DD3627">
        <v>16506961</v>
      </c>
      <c r="DE3627" t="s">
        <v>123</v>
      </c>
    </row>
    <row r="3628" spans="1:109" x14ac:dyDescent="0.3">
      <c r="A3628" t="str">
        <f>"19:35:26.305"</f>
        <v>19:35:26.305</v>
      </c>
      <c r="B3628" t="s">
        <v>110</v>
      </c>
      <c r="C3628" t="str">
        <f t="shared" si="168"/>
        <v>ffdfd3c0</v>
      </c>
      <c r="D3628" t="s">
        <v>111</v>
      </c>
      <c r="E3628">
        <v>18</v>
      </c>
      <c r="F3628">
        <v>1018</v>
      </c>
      <c r="G3628" t="s">
        <v>112</v>
      </c>
      <c r="J3628" t="s">
        <v>113</v>
      </c>
      <c r="K3628">
        <v>0</v>
      </c>
      <c r="L3628">
        <v>3</v>
      </c>
      <c r="M3628">
        <v>0</v>
      </c>
      <c r="N3628">
        <v>2</v>
      </c>
      <c r="O3628">
        <v>1</v>
      </c>
      <c r="P3628">
        <v>0</v>
      </c>
      <c r="Q3628">
        <v>0</v>
      </c>
      <c r="R3628" t="s">
        <v>114</v>
      </c>
      <c r="S3628" t="str">
        <f>"19:35:26.078"</f>
        <v>19:35:26.078</v>
      </c>
      <c r="T3628" t="str">
        <f>"19:35:26.078"</f>
        <v>19:35:26.078</v>
      </c>
      <c r="U3628" t="str">
        <f t="shared" si="169"/>
        <v>a1cdbe</v>
      </c>
      <c r="V3628">
        <v>0</v>
      </c>
      <c r="W3628">
        <v>0</v>
      </c>
      <c r="X3628">
        <v>2</v>
      </c>
      <c r="Y3628">
        <v>0</v>
      </c>
      <c r="Z3628">
        <v>0</v>
      </c>
      <c r="AB3628">
        <v>0</v>
      </c>
      <c r="AC3628">
        <v>9</v>
      </c>
      <c r="AD3628">
        <v>3</v>
      </c>
      <c r="AE3628">
        <v>0</v>
      </c>
      <c r="AF3628">
        <v>9</v>
      </c>
      <c r="AG3628" t="s">
        <v>158</v>
      </c>
      <c r="AH3628">
        <v>0</v>
      </c>
      <c r="AI3628">
        <v>3</v>
      </c>
      <c r="AJ3628">
        <v>1</v>
      </c>
      <c r="AK3628">
        <v>0</v>
      </c>
      <c r="AL3628" t="s">
        <v>6829</v>
      </c>
      <c r="AM3628">
        <v>47.028072000000002</v>
      </c>
      <c r="AN3628" t="s">
        <v>6830</v>
      </c>
      <c r="AO3628">
        <v>-123.851967</v>
      </c>
      <c r="AP3628">
        <v>100</v>
      </c>
      <c r="AQ3628">
        <v>2100</v>
      </c>
      <c r="AR3628" t="s">
        <v>118</v>
      </c>
      <c r="AS3628">
        <v>-79</v>
      </c>
      <c r="AT3628">
        <v>25</v>
      </c>
      <c r="AU3628">
        <v>128</v>
      </c>
      <c r="BC3628">
        <v>1200</v>
      </c>
      <c r="BD3628">
        <v>1</v>
      </c>
      <c r="BE3628" t="str">
        <f t="shared" si="170"/>
        <v xml:space="preserve">N215T   </v>
      </c>
      <c r="BF3628">
        <v>1</v>
      </c>
      <c r="BH3628">
        <v>0</v>
      </c>
      <c r="BI3628">
        <v>0</v>
      </c>
      <c r="BJ3628">
        <v>0</v>
      </c>
      <c r="BK3628">
        <v>2450</v>
      </c>
      <c r="BL3628">
        <v>350</v>
      </c>
      <c r="BM3628" t="s">
        <v>119</v>
      </c>
      <c r="BN3628">
        <v>1</v>
      </c>
      <c r="BO3628">
        <v>1</v>
      </c>
      <c r="BP3628">
        <v>1</v>
      </c>
      <c r="BQ3628">
        <v>0</v>
      </c>
      <c r="BT3628">
        <v>0</v>
      </c>
      <c r="BU3628">
        <v>0</v>
      </c>
      <c r="BV3628">
        <v>0</v>
      </c>
      <c r="CC3628" t="str">
        <f>"19:35:26.086"</f>
        <v>19:35:26.086</v>
      </c>
      <c r="CD3628" t="str">
        <f>"084793684"</f>
        <v>084793684</v>
      </c>
      <c r="CQ3628">
        <v>0</v>
      </c>
      <c r="CR3628">
        <v>2</v>
      </c>
      <c r="CS3628">
        <v>0</v>
      </c>
      <c r="CT3628">
        <v>2</v>
      </c>
      <c r="CU3628">
        <v>0</v>
      </c>
      <c r="CV3628">
        <v>5</v>
      </c>
      <c r="CW3628" t="s">
        <v>120</v>
      </c>
      <c r="CX3628">
        <v>257</v>
      </c>
      <c r="CY3628">
        <v>0</v>
      </c>
      <c r="CZ3628" t="s">
        <v>615</v>
      </c>
      <c r="DA3628" t="s">
        <v>616</v>
      </c>
      <c r="DD3628">
        <v>16507554</v>
      </c>
      <c r="DE3628" t="s">
        <v>123</v>
      </c>
    </row>
    <row r="3629" spans="1:109" x14ac:dyDescent="0.3">
      <c r="A3629" t="str">
        <f>"19:35:27.305"</f>
        <v>19:35:27.305</v>
      </c>
      <c r="B3629" t="s">
        <v>110</v>
      </c>
      <c r="C3629" t="str">
        <f t="shared" si="168"/>
        <v>ffdfd3c0</v>
      </c>
      <c r="D3629" t="s">
        <v>111</v>
      </c>
      <c r="E3629">
        <v>18</v>
      </c>
      <c r="F3629">
        <v>1018</v>
      </c>
      <c r="G3629" t="s">
        <v>112</v>
      </c>
      <c r="J3629" t="s">
        <v>113</v>
      </c>
      <c r="K3629">
        <v>0</v>
      </c>
      <c r="L3629">
        <v>3</v>
      </c>
      <c r="M3629">
        <v>0</v>
      </c>
      <c r="N3629">
        <v>2</v>
      </c>
      <c r="O3629">
        <v>1</v>
      </c>
      <c r="P3629">
        <v>0</v>
      </c>
      <c r="Q3629">
        <v>0</v>
      </c>
      <c r="R3629" t="s">
        <v>114</v>
      </c>
      <c r="S3629" t="str">
        <f>"19:35:27.086"</f>
        <v>19:35:27.086</v>
      </c>
      <c r="T3629" t="str">
        <f>"19:35:27.086"</f>
        <v>19:35:27.086</v>
      </c>
      <c r="U3629" t="str">
        <f t="shared" si="169"/>
        <v>a1cdbe</v>
      </c>
      <c r="V3629">
        <v>0</v>
      </c>
      <c r="W3629">
        <v>0</v>
      </c>
      <c r="X3629">
        <v>2</v>
      </c>
      <c r="Y3629">
        <v>0</v>
      </c>
      <c r="Z3629">
        <v>0</v>
      </c>
      <c r="AB3629">
        <v>0</v>
      </c>
      <c r="AC3629">
        <v>9</v>
      </c>
      <c r="AD3629">
        <v>3</v>
      </c>
      <c r="AE3629">
        <v>0</v>
      </c>
      <c r="AF3629">
        <v>9</v>
      </c>
      <c r="AG3629" t="s">
        <v>158</v>
      </c>
      <c r="AH3629">
        <v>0</v>
      </c>
      <c r="AI3629">
        <v>3</v>
      </c>
      <c r="AJ3629">
        <v>1</v>
      </c>
      <c r="AK3629">
        <v>0</v>
      </c>
      <c r="AL3629" t="s">
        <v>6831</v>
      </c>
      <c r="AM3629">
        <v>47.028179000000002</v>
      </c>
      <c r="AN3629" t="s">
        <v>6832</v>
      </c>
      <c r="AO3629">
        <v>-123.85245999999999</v>
      </c>
      <c r="AP3629">
        <v>100</v>
      </c>
      <c r="AQ3629">
        <v>2100</v>
      </c>
      <c r="AR3629" t="s">
        <v>118</v>
      </c>
      <c r="AS3629">
        <v>-78</v>
      </c>
      <c r="AT3629">
        <v>25</v>
      </c>
      <c r="AU3629">
        <v>192</v>
      </c>
      <c r="BC3629">
        <v>1200</v>
      </c>
      <c r="BD3629">
        <v>1</v>
      </c>
      <c r="BE3629" t="str">
        <f t="shared" si="170"/>
        <v xml:space="preserve">N215T   </v>
      </c>
      <c r="BF3629">
        <v>1</v>
      </c>
      <c r="BH3629">
        <v>0</v>
      </c>
      <c r="BI3629">
        <v>0</v>
      </c>
      <c r="BJ3629">
        <v>0</v>
      </c>
      <c r="BK3629">
        <v>2475</v>
      </c>
      <c r="BL3629">
        <v>375</v>
      </c>
      <c r="BM3629" t="s">
        <v>119</v>
      </c>
      <c r="BN3629">
        <v>1</v>
      </c>
      <c r="BO3629">
        <v>1</v>
      </c>
      <c r="BP3629">
        <v>1</v>
      </c>
      <c r="BQ3629">
        <v>0</v>
      </c>
      <c r="BT3629">
        <v>0</v>
      </c>
      <c r="BU3629">
        <v>0</v>
      </c>
      <c r="BV3629">
        <v>0</v>
      </c>
      <c r="CC3629" t="str">
        <f>"19:35:27.086"</f>
        <v>19:35:27.086</v>
      </c>
      <c r="CD3629" t="str">
        <f>"089694669"</f>
        <v>089694669</v>
      </c>
      <c r="CQ3629">
        <v>0</v>
      </c>
      <c r="CR3629">
        <v>2</v>
      </c>
      <c r="CS3629">
        <v>0</v>
      </c>
      <c r="CT3629">
        <v>2</v>
      </c>
      <c r="CU3629">
        <v>0</v>
      </c>
      <c r="CV3629">
        <v>5</v>
      </c>
      <c r="CW3629" t="s">
        <v>120</v>
      </c>
      <c r="CX3629">
        <v>257</v>
      </c>
      <c r="CY3629">
        <v>0</v>
      </c>
      <c r="CZ3629" t="s">
        <v>615</v>
      </c>
      <c r="DA3629" t="s">
        <v>616</v>
      </c>
      <c r="DD3629">
        <v>16507936</v>
      </c>
      <c r="DE3629" t="s">
        <v>123</v>
      </c>
    </row>
    <row r="3630" spans="1:109" x14ac:dyDescent="0.3">
      <c r="A3630" t="str">
        <f>"19:35:28.359"</f>
        <v>19:35:28.359</v>
      </c>
      <c r="B3630" t="s">
        <v>110</v>
      </c>
      <c r="C3630" t="str">
        <f t="shared" si="168"/>
        <v>ffdfd3c0</v>
      </c>
      <c r="D3630" t="s">
        <v>111</v>
      </c>
      <c r="E3630">
        <v>18</v>
      </c>
      <c r="F3630">
        <v>1018</v>
      </c>
      <c r="G3630" t="s">
        <v>112</v>
      </c>
      <c r="J3630" t="s">
        <v>113</v>
      </c>
      <c r="K3630">
        <v>0</v>
      </c>
      <c r="L3630">
        <v>3</v>
      </c>
      <c r="M3630">
        <v>0</v>
      </c>
      <c r="N3630">
        <v>2</v>
      </c>
      <c r="O3630">
        <v>1</v>
      </c>
      <c r="P3630">
        <v>0</v>
      </c>
      <c r="Q3630">
        <v>0</v>
      </c>
      <c r="R3630" t="s">
        <v>114</v>
      </c>
      <c r="S3630" t="str">
        <f>"19:35:28.117"</f>
        <v>19:35:28.117</v>
      </c>
      <c r="T3630" t="str">
        <f>"19:35:27.617"</f>
        <v>19:35:27.617</v>
      </c>
      <c r="U3630" t="str">
        <f t="shared" si="169"/>
        <v>a1cdbe</v>
      </c>
      <c r="V3630">
        <v>0</v>
      </c>
      <c r="W3630">
        <v>0</v>
      </c>
      <c r="X3630">
        <v>2</v>
      </c>
      <c r="Y3630">
        <v>0</v>
      </c>
      <c r="Z3630">
        <v>0</v>
      </c>
      <c r="AB3630">
        <v>0</v>
      </c>
      <c r="AC3630">
        <v>9</v>
      </c>
      <c r="AD3630">
        <v>3</v>
      </c>
      <c r="AE3630">
        <v>0</v>
      </c>
      <c r="AF3630">
        <v>9</v>
      </c>
      <c r="AG3630" t="s">
        <v>158</v>
      </c>
      <c r="AH3630">
        <v>0</v>
      </c>
      <c r="AI3630">
        <v>3</v>
      </c>
      <c r="AJ3630">
        <v>1</v>
      </c>
      <c r="AK3630">
        <v>0</v>
      </c>
      <c r="AL3630" t="s">
        <v>6833</v>
      </c>
      <c r="AM3630">
        <v>47.028308000000003</v>
      </c>
      <c r="AN3630" t="s">
        <v>6834</v>
      </c>
      <c r="AO3630">
        <v>-123.852997</v>
      </c>
      <c r="AP3630">
        <v>100</v>
      </c>
      <c r="AQ3630">
        <v>2100</v>
      </c>
      <c r="AR3630" t="s">
        <v>118</v>
      </c>
      <c r="AS3630">
        <v>-78</v>
      </c>
      <c r="AT3630">
        <v>25</v>
      </c>
      <c r="AU3630">
        <v>128</v>
      </c>
      <c r="BC3630">
        <v>1200</v>
      </c>
      <c r="BD3630">
        <v>1</v>
      </c>
      <c r="BE3630" t="str">
        <f t="shared" si="170"/>
        <v xml:space="preserve">N215T   </v>
      </c>
      <c r="BF3630">
        <v>1</v>
      </c>
      <c r="BH3630">
        <v>0</v>
      </c>
      <c r="BI3630">
        <v>0</v>
      </c>
      <c r="BJ3630">
        <v>0</v>
      </c>
      <c r="BK3630">
        <v>2475</v>
      </c>
      <c r="BL3630">
        <v>375</v>
      </c>
      <c r="BM3630" t="s">
        <v>119</v>
      </c>
      <c r="BN3630">
        <v>1</v>
      </c>
      <c r="BO3630">
        <v>1</v>
      </c>
      <c r="BP3630">
        <v>1</v>
      </c>
      <c r="BQ3630">
        <v>0</v>
      </c>
      <c r="BT3630">
        <v>0</v>
      </c>
      <c r="BU3630">
        <v>0</v>
      </c>
      <c r="BV3630">
        <v>0</v>
      </c>
      <c r="CC3630" t="str">
        <f>"19:35:28.125"</f>
        <v>19:35:28.125</v>
      </c>
      <c r="CD3630" t="str">
        <f>"124592729"</f>
        <v>124592729</v>
      </c>
      <c r="CQ3630">
        <v>0</v>
      </c>
      <c r="CR3630">
        <v>2</v>
      </c>
      <c r="CS3630">
        <v>0</v>
      </c>
      <c r="CT3630">
        <v>2</v>
      </c>
      <c r="CU3630">
        <v>0</v>
      </c>
      <c r="CV3630">
        <v>4</v>
      </c>
      <c r="CW3630" t="s">
        <v>120</v>
      </c>
      <c r="CX3630">
        <v>257</v>
      </c>
      <c r="CY3630">
        <v>0</v>
      </c>
      <c r="CZ3630" t="s">
        <v>615</v>
      </c>
      <c r="DA3630" t="s">
        <v>616</v>
      </c>
      <c r="DD3630">
        <v>16508344</v>
      </c>
      <c r="DE3630" t="s">
        <v>123</v>
      </c>
    </row>
    <row r="3631" spans="1:109" x14ac:dyDescent="0.3">
      <c r="A3631" t="str">
        <f>"19:35:29.320"</f>
        <v>19:35:29.320</v>
      </c>
      <c r="B3631" t="s">
        <v>110</v>
      </c>
      <c r="C3631" t="str">
        <f t="shared" si="168"/>
        <v>ffdfd3c0</v>
      </c>
      <c r="D3631" t="s">
        <v>111</v>
      </c>
      <c r="E3631">
        <v>18</v>
      </c>
      <c r="F3631">
        <v>1018</v>
      </c>
      <c r="G3631" t="s">
        <v>112</v>
      </c>
      <c r="J3631" t="s">
        <v>113</v>
      </c>
      <c r="K3631">
        <v>0</v>
      </c>
      <c r="L3631">
        <v>3</v>
      </c>
      <c r="M3631">
        <v>0</v>
      </c>
      <c r="N3631">
        <v>2</v>
      </c>
      <c r="O3631">
        <v>1</v>
      </c>
      <c r="P3631">
        <v>0</v>
      </c>
      <c r="Q3631">
        <v>0</v>
      </c>
      <c r="R3631" t="s">
        <v>114</v>
      </c>
      <c r="S3631" t="str">
        <f>"19:35:29.047"</f>
        <v>19:35:29.047</v>
      </c>
      <c r="T3631" t="str">
        <f>"19:35:28.750"</f>
        <v>19:35:28.750</v>
      </c>
      <c r="U3631" t="str">
        <f t="shared" si="169"/>
        <v>a1cdbe</v>
      </c>
      <c r="V3631">
        <v>0</v>
      </c>
      <c r="W3631">
        <v>0</v>
      </c>
      <c r="X3631">
        <v>2</v>
      </c>
      <c r="Y3631">
        <v>0</v>
      </c>
      <c r="Z3631">
        <v>0</v>
      </c>
      <c r="AB3631">
        <v>0</v>
      </c>
      <c r="AC3631">
        <v>9</v>
      </c>
      <c r="AD3631">
        <v>3</v>
      </c>
      <c r="AE3631">
        <v>0</v>
      </c>
      <c r="AF3631">
        <v>9</v>
      </c>
      <c r="AG3631" t="s">
        <v>158</v>
      </c>
      <c r="AH3631">
        <v>0</v>
      </c>
      <c r="AI3631">
        <v>3</v>
      </c>
      <c r="AJ3631">
        <v>1</v>
      </c>
      <c r="AK3631">
        <v>0</v>
      </c>
      <c r="AL3631" t="s">
        <v>6835</v>
      </c>
      <c r="AM3631">
        <v>47.028371999999997</v>
      </c>
      <c r="AN3631" t="s">
        <v>6836</v>
      </c>
      <c r="AO3631">
        <v>-123.853447</v>
      </c>
      <c r="AP3631">
        <v>100</v>
      </c>
      <c r="AQ3631">
        <v>2100</v>
      </c>
      <c r="AR3631" t="s">
        <v>118</v>
      </c>
      <c r="AS3631">
        <v>-78</v>
      </c>
      <c r="AT3631">
        <v>25</v>
      </c>
      <c r="AU3631">
        <v>64</v>
      </c>
      <c r="BC3631">
        <v>1200</v>
      </c>
      <c r="BD3631">
        <v>1</v>
      </c>
      <c r="BE3631" t="str">
        <f t="shared" si="170"/>
        <v xml:space="preserve">N215T   </v>
      </c>
      <c r="BF3631">
        <v>1</v>
      </c>
      <c r="BH3631">
        <v>0</v>
      </c>
      <c r="BI3631">
        <v>0</v>
      </c>
      <c r="BJ3631">
        <v>0</v>
      </c>
      <c r="BK3631">
        <v>2475</v>
      </c>
      <c r="BL3631">
        <v>375</v>
      </c>
      <c r="BM3631" t="s">
        <v>119</v>
      </c>
      <c r="BN3631">
        <v>1</v>
      </c>
      <c r="BO3631">
        <v>1</v>
      </c>
      <c r="BP3631">
        <v>1</v>
      </c>
      <c r="BQ3631">
        <v>0</v>
      </c>
      <c r="BT3631">
        <v>0</v>
      </c>
      <c r="BU3631">
        <v>0</v>
      </c>
      <c r="BV3631">
        <v>0</v>
      </c>
      <c r="CC3631" t="str">
        <f>"19:35:29.055"</f>
        <v>19:35:29.055</v>
      </c>
      <c r="CD3631" t="str">
        <f>"054501130"</f>
        <v>054501130</v>
      </c>
      <c r="CQ3631">
        <v>0</v>
      </c>
      <c r="CR3631">
        <v>2</v>
      </c>
      <c r="CS3631">
        <v>0</v>
      </c>
      <c r="CT3631">
        <v>2</v>
      </c>
      <c r="CU3631">
        <v>0</v>
      </c>
      <c r="CV3631">
        <v>5</v>
      </c>
      <c r="CW3631" t="s">
        <v>120</v>
      </c>
      <c r="CX3631">
        <v>257</v>
      </c>
      <c r="CY3631">
        <v>0</v>
      </c>
      <c r="CZ3631" t="s">
        <v>615</v>
      </c>
      <c r="DA3631" t="s">
        <v>616</v>
      </c>
      <c r="DD3631">
        <v>16508726</v>
      </c>
      <c r="DE3631" t="s">
        <v>123</v>
      </c>
    </row>
    <row r="3632" spans="1:109" x14ac:dyDescent="0.3">
      <c r="A3632" t="str">
        <f>"19:35:30.125"</f>
        <v>19:35:30.125</v>
      </c>
      <c r="B3632" t="s">
        <v>110</v>
      </c>
      <c r="C3632" t="str">
        <f t="shared" si="168"/>
        <v>ffdfd3c0</v>
      </c>
      <c r="D3632" t="s">
        <v>111</v>
      </c>
      <c r="E3632">
        <v>18</v>
      </c>
      <c r="F3632">
        <v>1018</v>
      </c>
      <c r="G3632" t="s">
        <v>112</v>
      </c>
      <c r="J3632" t="s">
        <v>113</v>
      </c>
      <c r="K3632">
        <v>0</v>
      </c>
      <c r="L3632">
        <v>3</v>
      </c>
      <c r="M3632">
        <v>0</v>
      </c>
      <c r="N3632">
        <v>2</v>
      </c>
      <c r="O3632">
        <v>1</v>
      </c>
      <c r="P3632">
        <v>0</v>
      </c>
      <c r="Q3632">
        <v>0</v>
      </c>
      <c r="R3632" t="s">
        <v>114</v>
      </c>
      <c r="S3632" t="str">
        <f>"19:35:29.875"</f>
        <v>19:35:29.875</v>
      </c>
      <c r="T3632" t="str">
        <f>"19:35:29.672"</f>
        <v>19:35:29.672</v>
      </c>
      <c r="U3632" t="str">
        <f t="shared" si="169"/>
        <v>a1cdbe</v>
      </c>
      <c r="V3632">
        <v>0</v>
      </c>
      <c r="W3632">
        <v>0</v>
      </c>
      <c r="X3632">
        <v>2</v>
      </c>
      <c r="Y3632">
        <v>0</v>
      </c>
      <c r="Z3632">
        <v>0</v>
      </c>
      <c r="AB3632">
        <v>0</v>
      </c>
      <c r="AC3632">
        <v>9</v>
      </c>
      <c r="AD3632">
        <v>3</v>
      </c>
      <c r="AE3632">
        <v>0</v>
      </c>
      <c r="AF3632">
        <v>9</v>
      </c>
      <c r="AG3632" t="s">
        <v>158</v>
      </c>
      <c r="AH3632">
        <v>0</v>
      </c>
      <c r="AI3632">
        <v>3</v>
      </c>
      <c r="AJ3632">
        <v>1</v>
      </c>
      <c r="AK3632">
        <v>0</v>
      </c>
      <c r="AL3632" t="s">
        <v>6837</v>
      </c>
      <c r="AM3632">
        <v>47.028458000000001</v>
      </c>
      <c r="AN3632" t="s">
        <v>6838</v>
      </c>
      <c r="AO3632">
        <v>-123.85394100000001</v>
      </c>
      <c r="AP3632">
        <v>100</v>
      </c>
      <c r="AQ3632">
        <v>2100</v>
      </c>
      <c r="AR3632" t="s">
        <v>118</v>
      </c>
      <c r="AS3632">
        <v>-78</v>
      </c>
      <c r="AT3632">
        <v>24</v>
      </c>
      <c r="AU3632">
        <v>0</v>
      </c>
      <c r="BC3632">
        <v>1200</v>
      </c>
      <c r="BD3632">
        <v>1</v>
      </c>
      <c r="BE3632" t="str">
        <f t="shared" si="170"/>
        <v xml:space="preserve">N215T   </v>
      </c>
      <c r="BF3632">
        <v>1</v>
      </c>
      <c r="BH3632">
        <v>0</v>
      </c>
      <c r="BI3632">
        <v>0</v>
      </c>
      <c r="BJ3632">
        <v>0</v>
      </c>
      <c r="BK3632">
        <v>2475</v>
      </c>
      <c r="BL3632">
        <v>375</v>
      </c>
      <c r="BM3632" t="s">
        <v>119</v>
      </c>
      <c r="BN3632">
        <v>1</v>
      </c>
      <c r="BO3632">
        <v>1</v>
      </c>
      <c r="BP3632">
        <v>1</v>
      </c>
      <c r="BQ3632">
        <v>0</v>
      </c>
      <c r="BT3632">
        <v>0</v>
      </c>
      <c r="BU3632">
        <v>0</v>
      </c>
      <c r="BV3632">
        <v>0</v>
      </c>
      <c r="CC3632" t="str">
        <f>"19:35:29.883"</f>
        <v>19:35:29.883</v>
      </c>
      <c r="CD3632" t="str">
        <f>"879419880"</f>
        <v>879419880</v>
      </c>
      <c r="CQ3632">
        <v>0</v>
      </c>
      <c r="CR3632">
        <v>2</v>
      </c>
      <c r="CS3632">
        <v>0</v>
      </c>
      <c r="CT3632">
        <v>2</v>
      </c>
      <c r="CU3632">
        <v>0</v>
      </c>
      <c r="CV3632">
        <v>4</v>
      </c>
      <c r="CW3632" t="s">
        <v>120</v>
      </c>
      <c r="CX3632">
        <v>257</v>
      </c>
      <c r="CY3632">
        <v>0</v>
      </c>
      <c r="CZ3632" t="s">
        <v>615</v>
      </c>
      <c r="DA3632" t="s">
        <v>616</v>
      </c>
      <c r="DD3632">
        <v>16509033</v>
      </c>
      <c r="DE3632" t="s">
        <v>123</v>
      </c>
    </row>
    <row r="3633" spans="1:109" x14ac:dyDescent="0.3">
      <c r="A3633" t="str">
        <f>"19:35:31.227"</f>
        <v>19:35:31.227</v>
      </c>
      <c r="B3633" t="s">
        <v>110</v>
      </c>
      <c r="C3633" t="str">
        <f t="shared" si="168"/>
        <v>ffdfd3c0</v>
      </c>
      <c r="D3633" t="s">
        <v>111</v>
      </c>
      <c r="E3633">
        <v>18</v>
      </c>
      <c r="F3633">
        <v>1018</v>
      </c>
      <c r="G3633" t="s">
        <v>112</v>
      </c>
      <c r="J3633" t="s">
        <v>113</v>
      </c>
      <c r="K3633">
        <v>0</v>
      </c>
      <c r="L3633">
        <v>3</v>
      </c>
      <c r="M3633">
        <v>0</v>
      </c>
      <c r="N3633">
        <v>2</v>
      </c>
      <c r="O3633">
        <v>1</v>
      </c>
      <c r="P3633">
        <v>0</v>
      </c>
      <c r="Q3633">
        <v>0</v>
      </c>
      <c r="R3633" t="s">
        <v>114</v>
      </c>
      <c r="S3633" t="str">
        <f>"19:35:30.969"</f>
        <v>19:35:30.969</v>
      </c>
      <c r="T3633" t="str">
        <f>"19:35:30.672"</f>
        <v>19:35:30.672</v>
      </c>
      <c r="U3633" t="str">
        <f t="shared" si="169"/>
        <v>a1cdbe</v>
      </c>
      <c r="V3633">
        <v>0</v>
      </c>
      <c r="W3633">
        <v>0</v>
      </c>
      <c r="X3633">
        <v>2</v>
      </c>
      <c r="Y3633">
        <v>0</v>
      </c>
      <c r="Z3633">
        <v>0</v>
      </c>
      <c r="AB3633">
        <v>0</v>
      </c>
      <c r="AC3633">
        <v>9</v>
      </c>
      <c r="AD3633">
        <v>3</v>
      </c>
      <c r="AE3633">
        <v>0</v>
      </c>
      <c r="AF3633">
        <v>9</v>
      </c>
      <c r="AG3633" t="s">
        <v>158</v>
      </c>
      <c r="AH3633">
        <v>0</v>
      </c>
      <c r="AI3633">
        <v>3</v>
      </c>
      <c r="AJ3633">
        <v>1</v>
      </c>
      <c r="AK3633">
        <v>0</v>
      </c>
      <c r="AL3633" t="s">
        <v>6839</v>
      </c>
      <c r="AM3633">
        <v>47.028607999999998</v>
      </c>
      <c r="AN3633" t="s">
        <v>6840</v>
      </c>
      <c r="AO3633">
        <v>-123.85451999999999</v>
      </c>
      <c r="AP3633">
        <v>100</v>
      </c>
      <c r="AQ3633">
        <v>2100</v>
      </c>
      <c r="AR3633" t="s">
        <v>118</v>
      </c>
      <c r="AS3633">
        <v>-77</v>
      </c>
      <c r="AT3633">
        <v>24</v>
      </c>
      <c r="AU3633">
        <v>0</v>
      </c>
      <c r="BC3633">
        <v>1200</v>
      </c>
      <c r="BD3633">
        <v>1</v>
      </c>
      <c r="BE3633" t="str">
        <f t="shared" si="170"/>
        <v xml:space="preserve">N215T   </v>
      </c>
      <c r="BF3633">
        <v>1</v>
      </c>
      <c r="BH3633">
        <v>0</v>
      </c>
      <c r="BI3633">
        <v>0</v>
      </c>
      <c r="BJ3633">
        <v>0</v>
      </c>
      <c r="BK3633">
        <v>2475</v>
      </c>
      <c r="BL3633">
        <v>375</v>
      </c>
      <c r="BM3633" t="s">
        <v>119</v>
      </c>
      <c r="BN3633">
        <v>1</v>
      </c>
      <c r="BO3633">
        <v>1</v>
      </c>
      <c r="BP3633">
        <v>1</v>
      </c>
      <c r="BQ3633">
        <v>0</v>
      </c>
      <c r="BT3633">
        <v>0</v>
      </c>
      <c r="BU3633">
        <v>0</v>
      </c>
      <c r="BV3633">
        <v>0</v>
      </c>
      <c r="CC3633" t="str">
        <f>"19:35:30.977"</f>
        <v>19:35:30.977</v>
      </c>
      <c r="CD3633" t="str">
        <f>"974312023"</f>
        <v>974312023</v>
      </c>
      <c r="CQ3633">
        <v>0</v>
      </c>
      <c r="CR3633">
        <v>2</v>
      </c>
      <c r="CS3633">
        <v>0</v>
      </c>
      <c r="CT3633">
        <v>2</v>
      </c>
      <c r="CU3633">
        <v>0</v>
      </c>
      <c r="CV3633">
        <v>4</v>
      </c>
      <c r="CW3633" t="s">
        <v>120</v>
      </c>
      <c r="CX3633">
        <v>257</v>
      </c>
      <c r="CY3633">
        <v>0</v>
      </c>
      <c r="CZ3633" t="s">
        <v>615</v>
      </c>
      <c r="DA3633" t="s">
        <v>616</v>
      </c>
      <c r="DD3633">
        <v>16509500</v>
      </c>
      <c r="DE3633" t="s">
        <v>123</v>
      </c>
    </row>
    <row r="3634" spans="1:109" x14ac:dyDescent="0.3">
      <c r="A3634" t="str">
        <f>"19:35:32.180"</f>
        <v>19:35:32.180</v>
      </c>
      <c r="B3634" t="s">
        <v>110</v>
      </c>
      <c r="C3634" t="str">
        <f t="shared" si="168"/>
        <v>ffdfd3c0</v>
      </c>
      <c r="D3634" t="s">
        <v>111</v>
      </c>
      <c r="E3634">
        <v>18</v>
      </c>
      <c r="F3634">
        <v>1018</v>
      </c>
      <c r="G3634" t="s">
        <v>112</v>
      </c>
      <c r="J3634" t="s">
        <v>113</v>
      </c>
      <c r="K3634">
        <v>0</v>
      </c>
      <c r="L3634">
        <v>3</v>
      </c>
      <c r="M3634">
        <v>0</v>
      </c>
      <c r="N3634">
        <v>2</v>
      </c>
      <c r="O3634">
        <v>1</v>
      </c>
      <c r="P3634">
        <v>0</v>
      </c>
      <c r="Q3634">
        <v>0</v>
      </c>
      <c r="R3634" t="s">
        <v>114</v>
      </c>
      <c r="S3634" t="str">
        <f>"19:35:31.914"</f>
        <v>19:35:31.914</v>
      </c>
      <c r="T3634" t="str">
        <f>"19:35:31.617"</f>
        <v>19:35:31.617</v>
      </c>
      <c r="U3634" t="str">
        <f t="shared" si="169"/>
        <v>a1cdbe</v>
      </c>
      <c r="V3634">
        <v>0</v>
      </c>
      <c r="W3634">
        <v>0</v>
      </c>
      <c r="X3634">
        <v>2</v>
      </c>
      <c r="Y3634">
        <v>0</v>
      </c>
      <c r="Z3634">
        <v>0</v>
      </c>
      <c r="AB3634">
        <v>0</v>
      </c>
      <c r="AC3634">
        <v>9</v>
      </c>
      <c r="AD3634">
        <v>3</v>
      </c>
      <c r="AE3634">
        <v>0</v>
      </c>
      <c r="AF3634">
        <v>9</v>
      </c>
      <c r="AG3634" t="s">
        <v>158</v>
      </c>
      <c r="AH3634">
        <v>0</v>
      </c>
      <c r="AI3634">
        <v>3</v>
      </c>
      <c r="AJ3634">
        <v>1</v>
      </c>
      <c r="AK3634">
        <v>0</v>
      </c>
      <c r="AL3634" t="s">
        <v>6841</v>
      </c>
      <c r="AM3634">
        <v>47.028694000000002</v>
      </c>
      <c r="AN3634" t="s">
        <v>6842</v>
      </c>
      <c r="AO3634">
        <v>-123.855014</v>
      </c>
      <c r="AP3634">
        <v>100</v>
      </c>
      <c r="AQ3634">
        <v>2100</v>
      </c>
      <c r="AR3634" t="s">
        <v>118</v>
      </c>
      <c r="AS3634">
        <v>-77</v>
      </c>
      <c r="AT3634">
        <v>23</v>
      </c>
      <c r="AU3634">
        <v>0</v>
      </c>
      <c r="BC3634">
        <v>1200</v>
      </c>
      <c r="BD3634">
        <v>1</v>
      </c>
      <c r="BE3634" t="str">
        <f t="shared" si="170"/>
        <v xml:space="preserve">N215T   </v>
      </c>
      <c r="BF3634">
        <v>1</v>
      </c>
      <c r="BH3634">
        <v>0</v>
      </c>
      <c r="BI3634">
        <v>0</v>
      </c>
      <c r="BJ3634">
        <v>0</v>
      </c>
      <c r="BK3634">
        <v>2475</v>
      </c>
      <c r="BL3634">
        <v>375</v>
      </c>
      <c r="BM3634" t="s">
        <v>119</v>
      </c>
      <c r="BN3634">
        <v>1</v>
      </c>
      <c r="BO3634">
        <v>1</v>
      </c>
      <c r="BP3634">
        <v>1</v>
      </c>
      <c r="BQ3634">
        <v>0</v>
      </c>
      <c r="BT3634">
        <v>0</v>
      </c>
      <c r="BU3634">
        <v>0</v>
      </c>
      <c r="BV3634">
        <v>0</v>
      </c>
      <c r="CC3634" t="str">
        <f>"19:35:31.922"</f>
        <v>19:35:31.922</v>
      </c>
      <c r="CD3634" t="str">
        <f>"919218956"</f>
        <v>919218956</v>
      </c>
      <c r="CQ3634">
        <v>0</v>
      </c>
      <c r="CR3634">
        <v>2</v>
      </c>
      <c r="CS3634">
        <v>0</v>
      </c>
      <c r="CT3634">
        <v>2</v>
      </c>
      <c r="CU3634">
        <v>0</v>
      </c>
      <c r="CV3634">
        <v>4</v>
      </c>
      <c r="CW3634" t="s">
        <v>120</v>
      </c>
      <c r="CX3634">
        <v>257</v>
      </c>
      <c r="CY3634">
        <v>0</v>
      </c>
      <c r="CZ3634" t="s">
        <v>615</v>
      </c>
      <c r="DA3634" t="s">
        <v>616</v>
      </c>
      <c r="DD3634">
        <v>16509891</v>
      </c>
      <c r="DE3634" t="s">
        <v>123</v>
      </c>
    </row>
    <row r="3635" spans="1:109" x14ac:dyDescent="0.3">
      <c r="A3635" t="str">
        <f>"19:35:33.141"</f>
        <v>19:35:33.141</v>
      </c>
      <c r="B3635" t="s">
        <v>110</v>
      </c>
      <c r="C3635" t="str">
        <f t="shared" si="168"/>
        <v>ffdfd3c0</v>
      </c>
      <c r="D3635" t="s">
        <v>111</v>
      </c>
      <c r="E3635">
        <v>18</v>
      </c>
      <c r="F3635">
        <v>1018</v>
      </c>
      <c r="G3635" t="s">
        <v>112</v>
      </c>
      <c r="J3635" t="s">
        <v>113</v>
      </c>
      <c r="K3635">
        <v>0</v>
      </c>
      <c r="L3635">
        <v>3</v>
      </c>
      <c r="M3635">
        <v>0</v>
      </c>
      <c r="N3635">
        <v>2</v>
      </c>
      <c r="O3635">
        <v>1</v>
      </c>
      <c r="P3635">
        <v>0</v>
      </c>
      <c r="Q3635">
        <v>0</v>
      </c>
      <c r="R3635" t="s">
        <v>114</v>
      </c>
      <c r="S3635" t="str">
        <f>"19:35:32.875"</f>
        <v>19:35:32.875</v>
      </c>
      <c r="T3635" t="str">
        <f>"19:35:32.773"</f>
        <v>19:35:32.773</v>
      </c>
      <c r="U3635" t="str">
        <f t="shared" si="169"/>
        <v>a1cdbe</v>
      </c>
      <c r="V3635">
        <v>0</v>
      </c>
      <c r="W3635">
        <v>0</v>
      </c>
      <c r="X3635">
        <v>2</v>
      </c>
      <c r="Y3635">
        <v>0</v>
      </c>
      <c r="Z3635">
        <v>0</v>
      </c>
      <c r="AB3635">
        <v>0</v>
      </c>
      <c r="AC3635">
        <v>9</v>
      </c>
      <c r="AD3635">
        <v>3</v>
      </c>
      <c r="AE3635">
        <v>0</v>
      </c>
      <c r="AF3635">
        <v>9</v>
      </c>
      <c r="AG3635" t="s">
        <v>158</v>
      </c>
      <c r="AH3635">
        <v>0</v>
      </c>
      <c r="AI3635">
        <v>3</v>
      </c>
      <c r="AJ3635">
        <v>1</v>
      </c>
      <c r="AK3635">
        <v>0</v>
      </c>
      <c r="AL3635" t="s">
        <v>6843</v>
      </c>
      <c r="AM3635">
        <v>47.028801000000001</v>
      </c>
      <c r="AN3635" t="s">
        <v>6844</v>
      </c>
      <c r="AO3635">
        <v>-123.855464</v>
      </c>
      <c r="AP3635">
        <v>100</v>
      </c>
      <c r="AQ3635">
        <v>2100</v>
      </c>
      <c r="AR3635" t="s">
        <v>118</v>
      </c>
      <c r="AS3635">
        <v>-77</v>
      </c>
      <c r="AT3635">
        <v>22</v>
      </c>
      <c r="AU3635">
        <v>0</v>
      </c>
      <c r="BC3635">
        <v>1200</v>
      </c>
      <c r="BD3635">
        <v>1</v>
      </c>
      <c r="BE3635" t="str">
        <f t="shared" si="170"/>
        <v xml:space="preserve">N215T   </v>
      </c>
      <c r="BF3635">
        <v>1</v>
      </c>
      <c r="BH3635">
        <v>0</v>
      </c>
      <c r="BI3635">
        <v>0</v>
      </c>
      <c r="BJ3635">
        <v>0</v>
      </c>
      <c r="BK3635">
        <v>2475</v>
      </c>
      <c r="BL3635">
        <v>375</v>
      </c>
      <c r="BM3635" t="s">
        <v>119</v>
      </c>
      <c r="BN3635">
        <v>1</v>
      </c>
      <c r="BO3635">
        <v>1</v>
      </c>
      <c r="BP3635">
        <v>1</v>
      </c>
      <c r="BQ3635">
        <v>0</v>
      </c>
      <c r="BT3635">
        <v>0</v>
      </c>
      <c r="BU3635">
        <v>0</v>
      </c>
      <c r="BV3635">
        <v>0</v>
      </c>
      <c r="CC3635" t="str">
        <f>"19:35:32.883"</f>
        <v>19:35:32.883</v>
      </c>
      <c r="CD3635" t="str">
        <f>"879124390"</f>
        <v>879124390</v>
      </c>
      <c r="CQ3635">
        <v>0</v>
      </c>
      <c r="CR3635">
        <v>2</v>
      </c>
      <c r="CS3635">
        <v>0</v>
      </c>
      <c r="CT3635">
        <v>2</v>
      </c>
      <c r="CU3635">
        <v>0</v>
      </c>
      <c r="CV3635">
        <v>5</v>
      </c>
      <c r="CW3635" t="s">
        <v>120</v>
      </c>
      <c r="CX3635">
        <v>257</v>
      </c>
      <c r="CY3635">
        <v>0</v>
      </c>
      <c r="CZ3635" t="s">
        <v>615</v>
      </c>
      <c r="DA3635" t="s">
        <v>616</v>
      </c>
      <c r="DD3635">
        <v>16510266</v>
      </c>
      <c r="DE3635" t="s">
        <v>123</v>
      </c>
    </row>
    <row r="3636" spans="1:109" x14ac:dyDescent="0.3">
      <c r="A3636" t="str">
        <f>"19:35:34.242"</f>
        <v>19:35:34.242</v>
      </c>
      <c r="B3636" t="s">
        <v>110</v>
      </c>
      <c r="C3636" t="str">
        <f t="shared" si="168"/>
        <v>ffdfd3c0</v>
      </c>
      <c r="D3636" t="s">
        <v>111</v>
      </c>
      <c r="E3636">
        <v>18</v>
      </c>
      <c r="F3636">
        <v>1018</v>
      </c>
      <c r="G3636" t="s">
        <v>112</v>
      </c>
      <c r="J3636" t="s">
        <v>113</v>
      </c>
      <c r="K3636">
        <v>0</v>
      </c>
      <c r="L3636">
        <v>3</v>
      </c>
      <c r="M3636">
        <v>0</v>
      </c>
      <c r="N3636">
        <v>2</v>
      </c>
      <c r="O3636">
        <v>1</v>
      </c>
      <c r="P3636">
        <v>0</v>
      </c>
      <c r="Q3636">
        <v>0</v>
      </c>
      <c r="R3636" t="s">
        <v>114</v>
      </c>
      <c r="S3636" t="str">
        <f>"19:35:34.016"</f>
        <v>19:35:34.016</v>
      </c>
      <c r="T3636" t="str">
        <f>"19:35:33.719"</f>
        <v>19:35:33.719</v>
      </c>
      <c r="U3636" t="str">
        <f t="shared" si="169"/>
        <v>a1cdbe</v>
      </c>
      <c r="V3636">
        <v>0</v>
      </c>
      <c r="W3636">
        <v>0</v>
      </c>
      <c r="X3636">
        <v>2</v>
      </c>
      <c r="Y3636">
        <v>0</v>
      </c>
      <c r="Z3636">
        <v>0</v>
      </c>
      <c r="AB3636">
        <v>0</v>
      </c>
      <c r="AC3636">
        <v>9</v>
      </c>
      <c r="AD3636">
        <v>3</v>
      </c>
      <c r="AE3636">
        <v>0</v>
      </c>
      <c r="AF3636">
        <v>9</v>
      </c>
      <c r="AG3636" t="s">
        <v>158</v>
      </c>
      <c r="AH3636">
        <v>0</v>
      </c>
      <c r="AI3636">
        <v>3</v>
      </c>
      <c r="AJ3636">
        <v>1</v>
      </c>
      <c r="AK3636">
        <v>0</v>
      </c>
      <c r="AL3636" t="s">
        <v>6845</v>
      </c>
      <c r="AM3636">
        <v>47.028951999999997</v>
      </c>
      <c r="AN3636" t="s">
        <v>6846</v>
      </c>
      <c r="AO3636">
        <v>-123.856087</v>
      </c>
      <c r="AP3636">
        <v>100</v>
      </c>
      <c r="AQ3636">
        <v>2100</v>
      </c>
      <c r="AR3636" t="s">
        <v>118</v>
      </c>
      <c r="AS3636">
        <v>-78</v>
      </c>
      <c r="AT3636">
        <v>22</v>
      </c>
      <c r="AU3636">
        <v>-64</v>
      </c>
      <c r="BC3636">
        <v>1200</v>
      </c>
      <c r="BD3636">
        <v>1</v>
      </c>
      <c r="BE3636" t="str">
        <f t="shared" si="170"/>
        <v xml:space="preserve">N215T   </v>
      </c>
      <c r="BF3636">
        <v>1</v>
      </c>
      <c r="BH3636">
        <v>0</v>
      </c>
      <c r="BI3636">
        <v>0</v>
      </c>
      <c r="BJ3636">
        <v>0</v>
      </c>
      <c r="BK3636">
        <v>2475</v>
      </c>
      <c r="BL3636">
        <v>375</v>
      </c>
      <c r="BM3636" t="s">
        <v>119</v>
      </c>
      <c r="BN3636">
        <v>1</v>
      </c>
      <c r="BO3636">
        <v>1</v>
      </c>
      <c r="BP3636">
        <v>1</v>
      </c>
      <c r="BQ3636">
        <v>0</v>
      </c>
      <c r="BT3636">
        <v>0</v>
      </c>
      <c r="BU3636">
        <v>0</v>
      </c>
      <c r="BV3636">
        <v>0</v>
      </c>
      <c r="CC3636" t="str">
        <f>"19:35:34.016"</f>
        <v>19:35:34.016</v>
      </c>
      <c r="CD3636" t="str">
        <f>"019012114"</f>
        <v>019012114</v>
      </c>
      <c r="CQ3636">
        <v>0</v>
      </c>
      <c r="CR3636">
        <v>2</v>
      </c>
      <c r="CS3636">
        <v>0</v>
      </c>
      <c r="CT3636">
        <v>2</v>
      </c>
      <c r="CU3636">
        <v>0</v>
      </c>
      <c r="CV3636">
        <v>4</v>
      </c>
      <c r="CW3636" t="s">
        <v>120</v>
      </c>
      <c r="CX3636">
        <v>257</v>
      </c>
      <c r="CY3636">
        <v>0</v>
      </c>
      <c r="CZ3636" t="s">
        <v>615</v>
      </c>
      <c r="DA3636" t="s">
        <v>616</v>
      </c>
      <c r="DD3636">
        <v>16510733</v>
      </c>
      <c r="DE3636" t="s">
        <v>123</v>
      </c>
    </row>
    <row r="3637" spans="1:109" x14ac:dyDescent="0.3">
      <c r="A3637" t="str">
        <f>"19:35:35.398"</f>
        <v>19:35:35.398</v>
      </c>
      <c r="B3637" t="s">
        <v>110</v>
      </c>
      <c r="C3637" t="str">
        <f t="shared" si="168"/>
        <v>ffdfd3c0</v>
      </c>
      <c r="D3637" t="s">
        <v>111</v>
      </c>
      <c r="E3637">
        <v>18</v>
      </c>
      <c r="F3637">
        <v>1018</v>
      </c>
      <c r="G3637" t="s">
        <v>112</v>
      </c>
      <c r="J3637" t="s">
        <v>113</v>
      </c>
      <c r="K3637">
        <v>0</v>
      </c>
      <c r="L3637">
        <v>3</v>
      </c>
      <c r="M3637">
        <v>0</v>
      </c>
      <c r="N3637">
        <v>2</v>
      </c>
      <c r="O3637">
        <v>1</v>
      </c>
      <c r="P3637">
        <v>0</v>
      </c>
      <c r="Q3637">
        <v>0</v>
      </c>
      <c r="R3637" t="s">
        <v>114</v>
      </c>
      <c r="S3637" t="str">
        <f>"19:35:35.156"</f>
        <v>19:35:35.156</v>
      </c>
      <c r="T3637" t="str">
        <f>"19:35:34.758"</f>
        <v>19:35:34.758</v>
      </c>
      <c r="U3637" t="str">
        <f t="shared" si="169"/>
        <v>a1cdbe</v>
      </c>
      <c r="V3637">
        <v>0</v>
      </c>
      <c r="W3637">
        <v>0</v>
      </c>
      <c r="X3637">
        <v>2</v>
      </c>
      <c r="Y3637">
        <v>0</v>
      </c>
      <c r="Z3637">
        <v>0</v>
      </c>
      <c r="AB3637">
        <v>0</v>
      </c>
      <c r="AC3637">
        <v>9</v>
      </c>
      <c r="AD3637">
        <v>3</v>
      </c>
      <c r="AE3637">
        <v>0</v>
      </c>
      <c r="AF3637">
        <v>9</v>
      </c>
      <c r="AG3637" t="s">
        <v>158</v>
      </c>
      <c r="AH3637">
        <v>0</v>
      </c>
      <c r="AI3637">
        <v>3</v>
      </c>
      <c r="AJ3637">
        <v>1</v>
      </c>
      <c r="AK3637">
        <v>0</v>
      </c>
      <c r="AL3637" t="s">
        <v>6847</v>
      </c>
      <c r="AM3637">
        <v>47.029037000000002</v>
      </c>
      <c r="AN3637" t="s">
        <v>6848</v>
      </c>
      <c r="AO3637">
        <v>-123.856709</v>
      </c>
      <c r="AP3637">
        <v>100</v>
      </c>
      <c r="AQ3637">
        <v>2100</v>
      </c>
      <c r="AR3637" t="s">
        <v>118</v>
      </c>
      <c r="AS3637">
        <v>-78</v>
      </c>
      <c r="AT3637">
        <v>22</v>
      </c>
      <c r="AU3637">
        <v>-64</v>
      </c>
      <c r="BC3637">
        <v>1200</v>
      </c>
      <c r="BD3637">
        <v>1</v>
      </c>
      <c r="BE3637" t="str">
        <f t="shared" si="170"/>
        <v xml:space="preserve">N215T   </v>
      </c>
      <c r="BF3637">
        <v>1</v>
      </c>
      <c r="BH3637">
        <v>0</v>
      </c>
      <c r="BI3637">
        <v>0</v>
      </c>
      <c r="BJ3637">
        <v>0</v>
      </c>
      <c r="BK3637">
        <v>2475</v>
      </c>
      <c r="BL3637">
        <v>375</v>
      </c>
      <c r="BM3637" t="s">
        <v>119</v>
      </c>
      <c r="BN3637">
        <v>1</v>
      </c>
      <c r="BO3637">
        <v>1</v>
      </c>
      <c r="BP3637">
        <v>1</v>
      </c>
      <c r="BQ3637">
        <v>0</v>
      </c>
      <c r="BT3637">
        <v>0</v>
      </c>
      <c r="BU3637">
        <v>0</v>
      </c>
      <c r="BV3637">
        <v>0</v>
      </c>
      <c r="CC3637" t="str">
        <f>"19:35:35.156"</f>
        <v>19:35:35.156</v>
      </c>
      <c r="CD3637" t="str">
        <f>"158899817"</f>
        <v>158899817</v>
      </c>
      <c r="CQ3637">
        <v>0</v>
      </c>
      <c r="CR3637">
        <v>2</v>
      </c>
      <c r="CS3637">
        <v>0</v>
      </c>
      <c r="CT3637">
        <v>2</v>
      </c>
      <c r="CU3637">
        <v>0</v>
      </c>
      <c r="CV3637">
        <v>5</v>
      </c>
      <c r="CW3637" t="s">
        <v>120</v>
      </c>
      <c r="CX3637">
        <v>257</v>
      </c>
      <c r="CY3637">
        <v>0</v>
      </c>
      <c r="CZ3637" t="s">
        <v>615</v>
      </c>
      <c r="DA3637" t="s">
        <v>616</v>
      </c>
      <c r="DD3637">
        <v>16511225</v>
      </c>
      <c r="DE3637" t="s">
        <v>123</v>
      </c>
    </row>
    <row r="3638" spans="1:109" x14ac:dyDescent="0.3">
      <c r="A3638" t="str">
        <f>"19:35:36.352"</f>
        <v>19:35:36.352</v>
      </c>
      <c r="B3638" t="s">
        <v>110</v>
      </c>
      <c r="C3638" t="str">
        <f t="shared" si="168"/>
        <v>ffdfd3c0</v>
      </c>
      <c r="D3638" t="s">
        <v>111</v>
      </c>
      <c r="E3638">
        <v>18</v>
      </c>
      <c r="F3638">
        <v>1018</v>
      </c>
      <c r="G3638" t="s">
        <v>112</v>
      </c>
      <c r="J3638" t="s">
        <v>113</v>
      </c>
      <c r="K3638">
        <v>0</v>
      </c>
      <c r="L3638">
        <v>3</v>
      </c>
      <c r="M3638">
        <v>0</v>
      </c>
      <c r="N3638">
        <v>2</v>
      </c>
      <c r="O3638">
        <v>1</v>
      </c>
      <c r="P3638">
        <v>0</v>
      </c>
      <c r="Q3638">
        <v>0</v>
      </c>
      <c r="R3638" t="s">
        <v>114</v>
      </c>
      <c r="S3638" t="str">
        <f>"19:35:36.133"</f>
        <v>19:35:36.133</v>
      </c>
      <c r="T3638" t="str">
        <f>"19:35:36.133"</f>
        <v>19:35:36.133</v>
      </c>
      <c r="U3638" t="str">
        <f t="shared" si="169"/>
        <v>a1cdbe</v>
      </c>
      <c r="V3638">
        <v>0</v>
      </c>
      <c r="W3638">
        <v>0</v>
      </c>
      <c r="X3638">
        <v>2</v>
      </c>
      <c r="Y3638">
        <v>0</v>
      </c>
      <c r="Z3638">
        <v>0</v>
      </c>
      <c r="AB3638">
        <v>0</v>
      </c>
      <c r="AC3638">
        <v>9</v>
      </c>
      <c r="AD3638">
        <v>3</v>
      </c>
      <c r="AE3638">
        <v>0</v>
      </c>
      <c r="AF3638">
        <v>9</v>
      </c>
      <c r="AG3638" t="s">
        <v>158</v>
      </c>
      <c r="AH3638">
        <v>0</v>
      </c>
      <c r="AI3638">
        <v>3</v>
      </c>
      <c r="AJ3638">
        <v>1</v>
      </c>
      <c r="AK3638">
        <v>0</v>
      </c>
      <c r="AL3638" t="s">
        <v>6849</v>
      </c>
      <c r="AM3638">
        <v>47.029122999999998</v>
      </c>
      <c r="AN3638" t="s">
        <v>6850</v>
      </c>
      <c r="AO3638">
        <v>-123.857181</v>
      </c>
      <c r="AP3638">
        <v>100</v>
      </c>
      <c r="AQ3638">
        <v>2100</v>
      </c>
      <c r="AR3638" t="s">
        <v>118</v>
      </c>
      <c r="AS3638">
        <v>-78</v>
      </c>
      <c r="AT3638">
        <v>22</v>
      </c>
      <c r="AU3638">
        <v>0</v>
      </c>
      <c r="BC3638">
        <v>1200</v>
      </c>
      <c r="BD3638">
        <v>1</v>
      </c>
      <c r="BE3638" t="str">
        <f t="shared" si="170"/>
        <v xml:space="preserve">N215T   </v>
      </c>
      <c r="BF3638">
        <v>1</v>
      </c>
      <c r="BH3638">
        <v>0</v>
      </c>
      <c r="BI3638">
        <v>0</v>
      </c>
      <c r="BJ3638">
        <v>0</v>
      </c>
      <c r="BK3638">
        <v>2475</v>
      </c>
      <c r="BL3638">
        <v>375</v>
      </c>
      <c r="BM3638" t="s">
        <v>119</v>
      </c>
      <c r="BN3638">
        <v>1</v>
      </c>
      <c r="BO3638">
        <v>1</v>
      </c>
      <c r="BP3638">
        <v>1</v>
      </c>
      <c r="BQ3638">
        <v>0</v>
      </c>
      <c r="BT3638">
        <v>0</v>
      </c>
      <c r="BU3638">
        <v>0</v>
      </c>
      <c r="BV3638">
        <v>0</v>
      </c>
      <c r="CC3638" t="str">
        <f>"19:35:36.133"</f>
        <v>19:35:36.133</v>
      </c>
      <c r="CD3638" t="str">
        <f>"133803770"</f>
        <v>133803770</v>
      </c>
      <c r="CQ3638">
        <v>0</v>
      </c>
      <c r="CR3638">
        <v>2</v>
      </c>
      <c r="CS3638">
        <v>0</v>
      </c>
      <c r="CT3638">
        <v>2</v>
      </c>
      <c r="CU3638">
        <v>0</v>
      </c>
      <c r="CV3638">
        <v>5</v>
      </c>
      <c r="CW3638" t="s">
        <v>120</v>
      </c>
      <c r="CX3638">
        <v>257</v>
      </c>
      <c r="CY3638">
        <v>0</v>
      </c>
      <c r="CZ3638" t="s">
        <v>615</v>
      </c>
      <c r="DA3638" t="s">
        <v>616</v>
      </c>
      <c r="DD3638">
        <v>16511641</v>
      </c>
      <c r="DE3638" t="s">
        <v>123</v>
      </c>
    </row>
    <row r="3639" spans="1:109" x14ac:dyDescent="0.3">
      <c r="A3639" t="str">
        <f>"19:35:37.313"</f>
        <v>19:35:37.313</v>
      </c>
      <c r="B3639" t="s">
        <v>110</v>
      </c>
      <c r="C3639" t="str">
        <f t="shared" si="168"/>
        <v>ffdfd3c0</v>
      </c>
      <c r="D3639" t="s">
        <v>111</v>
      </c>
      <c r="E3639">
        <v>18</v>
      </c>
      <c r="F3639">
        <v>1018</v>
      </c>
      <c r="G3639" t="s">
        <v>112</v>
      </c>
      <c r="J3639" t="s">
        <v>113</v>
      </c>
      <c r="K3639">
        <v>0</v>
      </c>
      <c r="L3639">
        <v>3</v>
      </c>
      <c r="M3639">
        <v>0</v>
      </c>
      <c r="N3639">
        <v>2</v>
      </c>
      <c r="O3639">
        <v>1</v>
      </c>
      <c r="P3639">
        <v>0</v>
      </c>
      <c r="Q3639">
        <v>0</v>
      </c>
      <c r="R3639" t="s">
        <v>114</v>
      </c>
      <c r="S3639" t="str">
        <f>"19:35:37.016"</f>
        <v>19:35:37.016</v>
      </c>
      <c r="T3639" t="str">
        <f>"19:35:37.016"</f>
        <v>19:35:37.016</v>
      </c>
      <c r="U3639" t="str">
        <f t="shared" si="169"/>
        <v>a1cdbe</v>
      </c>
      <c r="V3639">
        <v>0</v>
      </c>
      <c r="W3639">
        <v>0</v>
      </c>
      <c r="X3639">
        <v>2</v>
      </c>
      <c r="Y3639">
        <v>0</v>
      </c>
      <c r="Z3639">
        <v>0</v>
      </c>
      <c r="AB3639">
        <v>0</v>
      </c>
      <c r="AC3639">
        <v>9</v>
      </c>
      <c r="AD3639">
        <v>3</v>
      </c>
      <c r="AE3639">
        <v>0</v>
      </c>
      <c r="AF3639">
        <v>9</v>
      </c>
      <c r="AG3639" t="s">
        <v>158</v>
      </c>
      <c r="AH3639">
        <v>0</v>
      </c>
      <c r="AI3639">
        <v>3</v>
      </c>
      <c r="AJ3639">
        <v>1</v>
      </c>
      <c r="AK3639">
        <v>0</v>
      </c>
      <c r="AL3639" t="s">
        <v>6851</v>
      </c>
      <c r="AM3639">
        <v>47.029209000000002</v>
      </c>
      <c r="AN3639" t="s">
        <v>6852</v>
      </c>
      <c r="AO3639">
        <v>-123.857675</v>
      </c>
      <c r="AP3639">
        <v>100</v>
      </c>
      <c r="AQ3639">
        <v>2100</v>
      </c>
      <c r="AR3639" t="s">
        <v>118</v>
      </c>
      <c r="AS3639">
        <v>-78</v>
      </c>
      <c r="AT3639">
        <v>23</v>
      </c>
      <c r="AU3639">
        <v>0</v>
      </c>
      <c r="BC3639">
        <v>1200</v>
      </c>
      <c r="BD3639">
        <v>1</v>
      </c>
      <c r="BE3639" t="str">
        <f t="shared" si="170"/>
        <v xml:space="preserve">N215T   </v>
      </c>
      <c r="BF3639">
        <v>1</v>
      </c>
      <c r="BH3639">
        <v>0</v>
      </c>
      <c r="BI3639">
        <v>0</v>
      </c>
      <c r="BJ3639">
        <v>0</v>
      </c>
      <c r="BK3639">
        <v>2475</v>
      </c>
      <c r="BL3639">
        <v>375</v>
      </c>
      <c r="BM3639" t="s">
        <v>119</v>
      </c>
      <c r="BN3639">
        <v>1</v>
      </c>
      <c r="BO3639">
        <v>1</v>
      </c>
      <c r="BP3639">
        <v>1</v>
      </c>
      <c r="BQ3639">
        <v>0</v>
      </c>
      <c r="BT3639">
        <v>0</v>
      </c>
      <c r="BU3639">
        <v>0</v>
      </c>
      <c r="BV3639">
        <v>0</v>
      </c>
      <c r="CC3639" t="str">
        <f>"19:35:37.016"</f>
        <v>19:35:37.016</v>
      </c>
      <c r="CD3639" t="str">
        <f>"018716600"</f>
        <v>018716600</v>
      </c>
      <c r="CQ3639">
        <v>0</v>
      </c>
      <c r="CR3639">
        <v>2</v>
      </c>
      <c r="CS3639">
        <v>0</v>
      </c>
      <c r="CT3639">
        <v>2</v>
      </c>
      <c r="CU3639">
        <v>0</v>
      </c>
      <c r="CV3639">
        <v>5</v>
      </c>
      <c r="CW3639" t="s">
        <v>120</v>
      </c>
      <c r="CX3639">
        <v>257</v>
      </c>
      <c r="CY3639">
        <v>0</v>
      </c>
      <c r="CZ3639" t="s">
        <v>615</v>
      </c>
      <c r="DA3639" t="s">
        <v>616</v>
      </c>
      <c r="DD3639">
        <v>16512010</v>
      </c>
      <c r="DE3639" t="s">
        <v>123</v>
      </c>
    </row>
    <row r="3640" spans="1:109" x14ac:dyDescent="0.3">
      <c r="A3640" t="str">
        <f>"19:35:38.266"</f>
        <v>19:35:38.266</v>
      </c>
      <c r="B3640" t="s">
        <v>110</v>
      </c>
      <c r="C3640" t="str">
        <f t="shared" si="168"/>
        <v>ffdfd3c0</v>
      </c>
      <c r="D3640" t="s">
        <v>111</v>
      </c>
      <c r="E3640">
        <v>18</v>
      </c>
      <c r="F3640">
        <v>1018</v>
      </c>
      <c r="G3640" t="s">
        <v>112</v>
      </c>
      <c r="J3640" t="s">
        <v>113</v>
      </c>
      <c r="K3640">
        <v>0</v>
      </c>
      <c r="L3640">
        <v>3</v>
      </c>
      <c r="M3640">
        <v>0</v>
      </c>
      <c r="N3640">
        <v>2</v>
      </c>
      <c r="O3640">
        <v>1</v>
      </c>
      <c r="P3640">
        <v>0</v>
      </c>
      <c r="Q3640">
        <v>0</v>
      </c>
      <c r="R3640" t="s">
        <v>114</v>
      </c>
      <c r="S3640" t="str">
        <f>"19:35:38.031"</f>
        <v>19:35:38.031</v>
      </c>
      <c r="T3640" t="str">
        <f>"19:35:37.633"</f>
        <v>19:35:37.633</v>
      </c>
      <c r="U3640" t="str">
        <f t="shared" si="169"/>
        <v>a1cdbe</v>
      </c>
      <c r="V3640">
        <v>0</v>
      </c>
      <c r="W3640">
        <v>0</v>
      </c>
      <c r="X3640">
        <v>2</v>
      </c>
      <c r="Y3640">
        <v>0</v>
      </c>
      <c r="Z3640">
        <v>0</v>
      </c>
      <c r="AB3640">
        <v>0</v>
      </c>
      <c r="AC3640">
        <v>9</v>
      </c>
      <c r="AD3640">
        <v>3</v>
      </c>
      <c r="AE3640">
        <v>0</v>
      </c>
      <c r="AF3640">
        <v>9</v>
      </c>
      <c r="AG3640" t="s">
        <v>158</v>
      </c>
      <c r="AH3640">
        <v>0</v>
      </c>
      <c r="AI3640">
        <v>3</v>
      </c>
      <c r="AJ3640">
        <v>1</v>
      </c>
      <c r="AK3640">
        <v>0</v>
      </c>
      <c r="AL3640" t="s">
        <v>6853</v>
      </c>
      <c r="AM3640">
        <v>47.029358999999999</v>
      </c>
      <c r="AN3640" t="s">
        <v>6854</v>
      </c>
      <c r="AO3640">
        <v>-123.858211</v>
      </c>
      <c r="AP3640">
        <v>100</v>
      </c>
      <c r="AQ3640">
        <v>2100</v>
      </c>
      <c r="AR3640" t="s">
        <v>118</v>
      </c>
      <c r="AS3640">
        <v>-77</v>
      </c>
      <c r="AT3640">
        <v>23</v>
      </c>
      <c r="AU3640">
        <v>0</v>
      </c>
      <c r="BC3640">
        <v>1200</v>
      </c>
      <c r="BD3640">
        <v>1</v>
      </c>
      <c r="BE3640" t="str">
        <f t="shared" si="170"/>
        <v xml:space="preserve">N215T   </v>
      </c>
      <c r="BF3640">
        <v>1</v>
      </c>
      <c r="BH3640">
        <v>0</v>
      </c>
      <c r="BI3640">
        <v>0</v>
      </c>
      <c r="BJ3640">
        <v>0</v>
      </c>
      <c r="BK3640">
        <v>2475</v>
      </c>
      <c r="BL3640">
        <v>375</v>
      </c>
      <c r="BM3640" t="s">
        <v>119</v>
      </c>
      <c r="BN3640">
        <v>1</v>
      </c>
      <c r="BO3640">
        <v>1</v>
      </c>
      <c r="BP3640">
        <v>1</v>
      </c>
      <c r="BQ3640">
        <v>0</v>
      </c>
      <c r="BT3640">
        <v>0</v>
      </c>
      <c r="BU3640">
        <v>0</v>
      </c>
      <c r="BV3640">
        <v>0</v>
      </c>
      <c r="CC3640" t="str">
        <f>"19:35:38.039"</f>
        <v>19:35:38.039</v>
      </c>
      <c r="CD3640" t="str">
        <f>"038616137"</f>
        <v>038616137</v>
      </c>
      <c r="CQ3640">
        <v>0</v>
      </c>
      <c r="CR3640">
        <v>2</v>
      </c>
      <c r="CS3640">
        <v>0</v>
      </c>
      <c r="CT3640">
        <v>2</v>
      </c>
      <c r="CU3640">
        <v>0</v>
      </c>
      <c r="CV3640">
        <v>5</v>
      </c>
      <c r="CW3640" t="s">
        <v>120</v>
      </c>
      <c r="CX3640">
        <v>257</v>
      </c>
      <c r="CY3640">
        <v>0</v>
      </c>
      <c r="CZ3640" t="s">
        <v>615</v>
      </c>
      <c r="DA3640" t="s">
        <v>616</v>
      </c>
      <c r="DD3640">
        <v>16512411</v>
      </c>
      <c r="DE3640" t="s">
        <v>123</v>
      </c>
    </row>
    <row r="3641" spans="1:109" x14ac:dyDescent="0.3">
      <c r="A3641" t="str">
        <f>"19:35:39.219"</f>
        <v>19:35:39.219</v>
      </c>
      <c r="B3641" t="s">
        <v>110</v>
      </c>
      <c r="C3641" t="str">
        <f t="shared" si="168"/>
        <v>ffdfd3c0</v>
      </c>
      <c r="D3641" t="s">
        <v>111</v>
      </c>
      <c r="E3641">
        <v>18</v>
      </c>
      <c r="F3641">
        <v>1018</v>
      </c>
      <c r="G3641" t="s">
        <v>112</v>
      </c>
      <c r="J3641" t="s">
        <v>113</v>
      </c>
      <c r="K3641">
        <v>0</v>
      </c>
      <c r="L3641">
        <v>3</v>
      </c>
      <c r="M3641">
        <v>0</v>
      </c>
      <c r="N3641">
        <v>2</v>
      </c>
      <c r="O3641">
        <v>1</v>
      </c>
      <c r="P3641">
        <v>0</v>
      </c>
      <c r="Q3641">
        <v>0</v>
      </c>
      <c r="R3641" t="s">
        <v>114</v>
      </c>
      <c r="S3641" t="str">
        <f>"19:35:38.977"</f>
        <v>19:35:38.977</v>
      </c>
      <c r="T3641" t="str">
        <f>"19:35:38.680"</f>
        <v>19:35:38.680</v>
      </c>
      <c r="U3641" t="str">
        <f t="shared" si="169"/>
        <v>a1cdbe</v>
      </c>
      <c r="V3641">
        <v>0</v>
      </c>
      <c r="W3641">
        <v>0</v>
      </c>
      <c r="X3641">
        <v>2</v>
      </c>
      <c r="Y3641">
        <v>0</v>
      </c>
      <c r="Z3641">
        <v>0</v>
      </c>
      <c r="AB3641">
        <v>0</v>
      </c>
      <c r="AC3641">
        <v>9</v>
      </c>
      <c r="AD3641">
        <v>3</v>
      </c>
      <c r="AE3641">
        <v>0</v>
      </c>
      <c r="AF3641">
        <v>9</v>
      </c>
      <c r="AG3641" t="s">
        <v>158</v>
      </c>
      <c r="AH3641">
        <v>0</v>
      </c>
      <c r="AI3641">
        <v>3</v>
      </c>
      <c r="AJ3641">
        <v>1</v>
      </c>
      <c r="AK3641">
        <v>0</v>
      </c>
      <c r="AL3641" t="s">
        <v>6855</v>
      </c>
      <c r="AM3641">
        <v>47.029445000000003</v>
      </c>
      <c r="AN3641" t="s">
        <v>6856</v>
      </c>
      <c r="AO3641">
        <v>-123.858662</v>
      </c>
      <c r="AP3641">
        <v>100</v>
      </c>
      <c r="AQ3641">
        <v>2100</v>
      </c>
      <c r="AR3641" t="s">
        <v>118</v>
      </c>
      <c r="AS3641">
        <v>-77</v>
      </c>
      <c r="AT3641">
        <v>23</v>
      </c>
      <c r="AU3641">
        <v>64</v>
      </c>
      <c r="BC3641">
        <v>1200</v>
      </c>
      <c r="BD3641">
        <v>1</v>
      </c>
      <c r="BE3641" t="str">
        <f t="shared" si="170"/>
        <v xml:space="preserve">N215T   </v>
      </c>
      <c r="BF3641">
        <v>1</v>
      </c>
      <c r="BH3641">
        <v>0</v>
      </c>
      <c r="BI3641">
        <v>0</v>
      </c>
      <c r="BJ3641">
        <v>0</v>
      </c>
      <c r="BK3641">
        <v>2475</v>
      </c>
      <c r="BL3641">
        <v>375</v>
      </c>
      <c r="BM3641" t="s">
        <v>119</v>
      </c>
      <c r="BN3641">
        <v>1</v>
      </c>
      <c r="BO3641">
        <v>1</v>
      </c>
      <c r="BP3641">
        <v>1</v>
      </c>
      <c r="BQ3641">
        <v>0</v>
      </c>
      <c r="BT3641">
        <v>0</v>
      </c>
      <c r="BU3641">
        <v>0</v>
      </c>
      <c r="BV3641">
        <v>0</v>
      </c>
      <c r="CC3641" t="str">
        <f>"19:35:38.984"</f>
        <v>19:35:38.984</v>
      </c>
      <c r="CD3641" t="str">
        <f>"983523060"</f>
        <v>983523060</v>
      </c>
      <c r="CQ3641">
        <v>0</v>
      </c>
      <c r="CR3641">
        <v>2</v>
      </c>
      <c r="CS3641">
        <v>0</v>
      </c>
      <c r="CT3641">
        <v>2</v>
      </c>
      <c r="CU3641">
        <v>0</v>
      </c>
      <c r="CV3641">
        <v>5</v>
      </c>
      <c r="CW3641" t="s">
        <v>120</v>
      </c>
      <c r="CX3641">
        <v>257</v>
      </c>
      <c r="CY3641">
        <v>0</v>
      </c>
      <c r="CZ3641" t="s">
        <v>615</v>
      </c>
      <c r="DA3641" t="s">
        <v>616</v>
      </c>
      <c r="DD3641">
        <v>16512756</v>
      </c>
      <c r="DE3641" t="s">
        <v>123</v>
      </c>
    </row>
    <row r="3642" spans="1:109" x14ac:dyDescent="0.3">
      <c r="A3642" t="str">
        <f>"19:35:40.273"</f>
        <v>19:35:40.273</v>
      </c>
      <c r="B3642" t="s">
        <v>110</v>
      </c>
      <c r="C3642" t="str">
        <f t="shared" si="168"/>
        <v>ffdfd3c0</v>
      </c>
      <c r="D3642" t="s">
        <v>111</v>
      </c>
      <c r="E3642">
        <v>18</v>
      </c>
      <c r="F3642">
        <v>1018</v>
      </c>
      <c r="G3642" t="s">
        <v>112</v>
      </c>
      <c r="J3642" t="s">
        <v>113</v>
      </c>
      <c r="K3642">
        <v>0</v>
      </c>
      <c r="L3642">
        <v>3</v>
      </c>
      <c r="M3642">
        <v>0</v>
      </c>
      <c r="N3642">
        <v>2</v>
      </c>
      <c r="O3642">
        <v>1</v>
      </c>
      <c r="P3642">
        <v>0</v>
      </c>
      <c r="Q3642">
        <v>0</v>
      </c>
      <c r="R3642" t="s">
        <v>114</v>
      </c>
      <c r="S3642" t="str">
        <f>"19:35:40.031"</f>
        <v>19:35:40.031</v>
      </c>
      <c r="T3642" t="str">
        <f>"19:35:39.734"</f>
        <v>19:35:39.734</v>
      </c>
      <c r="U3642" t="str">
        <f t="shared" si="169"/>
        <v>a1cdbe</v>
      </c>
      <c r="V3642">
        <v>0</v>
      </c>
      <c r="W3642">
        <v>0</v>
      </c>
      <c r="X3642">
        <v>2</v>
      </c>
      <c r="Y3642">
        <v>0</v>
      </c>
      <c r="Z3642">
        <v>0</v>
      </c>
      <c r="AB3642">
        <v>0</v>
      </c>
      <c r="AC3642">
        <v>9</v>
      </c>
      <c r="AD3642">
        <v>3</v>
      </c>
      <c r="AE3642">
        <v>0</v>
      </c>
      <c r="AF3642">
        <v>9</v>
      </c>
      <c r="AG3642" t="s">
        <v>158</v>
      </c>
      <c r="AH3642">
        <v>0</v>
      </c>
      <c r="AI3642">
        <v>3</v>
      </c>
      <c r="AJ3642">
        <v>1</v>
      </c>
      <c r="AK3642">
        <v>0</v>
      </c>
      <c r="AL3642" t="s">
        <v>6857</v>
      </c>
      <c r="AM3642">
        <v>47.029530999999999</v>
      </c>
      <c r="AN3642" t="s">
        <v>6858</v>
      </c>
      <c r="AO3642">
        <v>-123.859241</v>
      </c>
      <c r="AP3642">
        <v>100</v>
      </c>
      <c r="AQ3642">
        <v>2100</v>
      </c>
      <c r="AR3642" t="s">
        <v>118</v>
      </c>
      <c r="AS3642">
        <v>-77</v>
      </c>
      <c r="AT3642">
        <v>24</v>
      </c>
      <c r="AU3642">
        <v>64</v>
      </c>
      <c r="BC3642">
        <v>1200</v>
      </c>
      <c r="BD3642">
        <v>1</v>
      </c>
      <c r="BE3642" t="str">
        <f t="shared" si="170"/>
        <v xml:space="preserve">N215T   </v>
      </c>
      <c r="BF3642">
        <v>1</v>
      </c>
      <c r="BH3642">
        <v>0</v>
      </c>
      <c r="BI3642">
        <v>0</v>
      </c>
      <c r="BJ3642">
        <v>0</v>
      </c>
      <c r="BK3642">
        <v>2475</v>
      </c>
      <c r="BL3642">
        <v>375</v>
      </c>
      <c r="BM3642" t="s">
        <v>119</v>
      </c>
      <c r="BN3642">
        <v>1</v>
      </c>
      <c r="BO3642">
        <v>1</v>
      </c>
      <c r="BP3642">
        <v>1</v>
      </c>
      <c r="BQ3642">
        <v>0</v>
      </c>
      <c r="BT3642">
        <v>0</v>
      </c>
      <c r="BU3642">
        <v>0</v>
      </c>
      <c r="BV3642">
        <v>0</v>
      </c>
      <c r="CC3642" t="str">
        <f>"19:35:40.031"</f>
        <v>19:35:40.031</v>
      </c>
      <c r="CD3642" t="str">
        <f>"033419641"</f>
        <v>033419641</v>
      </c>
      <c r="CQ3642">
        <v>0</v>
      </c>
      <c r="CR3642">
        <v>2</v>
      </c>
      <c r="CS3642">
        <v>0</v>
      </c>
      <c r="CT3642">
        <v>2</v>
      </c>
      <c r="CU3642">
        <v>0</v>
      </c>
      <c r="CV3642">
        <v>5</v>
      </c>
      <c r="CW3642" t="s">
        <v>120</v>
      </c>
      <c r="CX3642">
        <v>257</v>
      </c>
      <c r="CY3642">
        <v>0</v>
      </c>
      <c r="CZ3642" t="s">
        <v>615</v>
      </c>
      <c r="DA3642" t="s">
        <v>616</v>
      </c>
      <c r="DD3642">
        <v>16513148</v>
      </c>
      <c r="DE3642" t="s">
        <v>123</v>
      </c>
    </row>
    <row r="3643" spans="1:109" x14ac:dyDescent="0.3">
      <c r="A3643" t="str">
        <f>"19:35:41.281"</f>
        <v>19:35:41.281</v>
      </c>
      <c r="B3643" t="s">
        <v>110</v>
      </c>
      <c r="C3643" t="str">
        <f t="shared" si="168"/>
        <v>ffdfd3c0</v>
      </c>
      <c r="D3643" t="s">
        <v>111</v>
      </c>
      <c r="E3643">
        <v>18</v>
      </c>
      <c r="F3643">
        <v>1018</v>
      </c>
      <c r="G3643" t="s">
        <v>112</v>
      </c>
      <c r="J3643" t="s">
        <v>113</v>
      </c>
      <c r="K3643">
        <v>0</v>
      </c>
      <c r="L3643">
        <v>3</v>
      </c>
      <c r="M3643">
        <v>0</v>
      </c>
      <c r="N3643">
        <v>2</v>
      </c>
      <c r="O3643">
        <v>1</v>
      </c>
      <c r="P3643">
        <v>0</v>
      </c>
      <c r="Q3643">
        <v>0</v>
      </c>
      <c r="R3643" t="s">
        <v>114</v>
      </c>
      <c r="S3643" t="str">
        <f>"19:35:41.063"</f>
        <v>19:35:41.063</v>
      </c>
      <c r="T3643" t="str">
        <f>"19:35:40.766"</f>
        <v>19:35:40.766</v>
      </c>
      <c r="U3643" t="str">
        <f t="shared" si="169"/>
        <v>a1cdbe</v>
      </c>
      <c r="V3643">
        <v>0</v>
      </c>
      <c r="W3643">
        <v>0</v>
      </c>
      <c r="X3643">
        <v>2</v>
      </c>
      <c r="Y3643">
        <v>0</v>
      </c>
      <c r="Z3643">
        <v>0</v>
      </c>
      <c r="AB3643">
        <v>0</v>
      </c>
      <c r="AC3643">
        <v>9</v>
      </c>
      <c r="AD3643">
        <v>3</v>
      </c>
      <c r="AE3643">
        <v>0</v>
      </c>
      <c r="AF3643">
        <v>9</v>
      </c>
      <c r="AG3643" t="s">
        <v>158</v>
      </c>
      <c r="AH3643">
        <v>0</v>
      </c>
      <c r="AI3643">
        <v>3</v>
      </c>
      <c r="AJ3643">
        <v>1</v>
      </c>
      <c r="AK3643">
        <v>0</v>
      </c>
      <c r="AL3643" t="s">
        <v>6859</v>
      </c>
      <c r="AM3643">
        <v>47.029680999999997</v>
      </c>
      <c r="AN3643" t="s">
        <v>6860</v>
      </c>
      <c r="AO3643">
        <v>-123.859799</v>
      </c>
      <c r="AP3643">
        <v>100</v>
      </c>
      <c r="AQ3643">
        <v>2100</v>
      </c>
      <c r="AR3643" t="s">
        <v>118</v>
      </c>
      <c r="AS3643">
        <v>-77</v>
      </c>
      <c r="AT3643">
        <v>24</v>
      </c>
      <c r="AU3643">
        <v>128</v>
      </c>
      <c r="BC3643">
        <v>1200</v>
      </c>
      <c r="BD3643">
        <v>1</v>
      </c>
      <c r="BE3643" t="str">
        <f t="shared" si="170"/>
        <v xml:space="preserve">N215T   </v>
      </c>
      <c r="BF3643">
        <v>1</v>
      </c>
      <c r="BH3643">
        <v>0</v>
      </c>
      <c r="BI3643">
        <v>0</v>
      </c>
      <c r="BJ3643">
        <v>0</v>
      </c>
      <c r="BK3643">
        <v>2475</v>
      </c>
      <c r="BL3643">
        <v>375</v>
      </c>
      <c r="BM3643" t="s">
        <v>119</v>
      </c>
      <c r="BN3643">
        <v>1</v>
      </c>
      <c r="BO3643">
        <v>1</v>
      </c>
      <c r="BP3643">
        <v>1</v>
      </c>
      <c r="BQ3643">
        <v>0</v>
      </c>
      <c r="BT3643">
        <v>0</v>
      </c>
      <c r="BU3643">
        <v>0</v>
      </c>
      <c r="BV3643">
        <v>0</v>
      </c>
      <c r="CC3643" t="str">
        <f>"19:35:41.070"</f>
        <v>19:35:41.070</v>
      </c>
      <c r="CD3643" t="str">
        <f>"068317687"</f>
        <v>068317687</v>
      </c>
      <c r="CQ3643">
        <v>0</v>
      </c>
      <c r="CR3643">
        <v>2</v>
      </c>
      <c r="CS3643">
        <v>0</v>
      </c>
      <c r="CT3643">
        <v>2</v>
      </c>
      <c r="CU3643">
        <v>0</v>
      </c>
      <c r="CV3643">
        <v>3</v>
      </c>
      <c r="CW3643" t="s">
        <v>120</v>
      </c>
      <c r="CX3643">
        <v>257</v>
      </c>
      <c r="CY3643">
        <v>0</v>
      </c>
      <c r="CZ3643" t="s">
        <v>615</v>
      </c>
      <c r="DA3643" t="s">
        <v>616</v>
      </c>
      <c r="DD3643">
        <v>16513603</v>
      </c>
      <c r="DE3643" t="s">
        <v>123</v>
      </c>
    </row>
    <row r="3644" spans="1:109" x14ac:dyDescent="0.3">
      <c r="A3644" t="str">
        <f>"19:35:42.438"</f>
        <v>19:35:42.438</v>
      </c>
      <c r="B3644" t="s">
        <v>110</v>
      </c>
      <c r="C3644" t="str">
        <f t="shared" si="168"/>
        <v>ffdfd3c0</v>
      </c>
      <c r="D3644" t="s">
        <v>111</v>
      </c>
      <c r="E3644">
        <v>18</v>
      </c>
      <c r="F3644">
        <v>1018</v>
      </c>
      <c r="G3644" t="s">
        <v>112</v>
      </c>
      <c r="J3644" t="s">
        <v>113</v>
      </c>
      <c r="K3644">
        <v>0</v>
      </c>
      <c r="L3644">
        <v>3</v>
      </c>
      <c r="M3644">
        <v>0</v>
      </c>
      <c r="N3644">
        <v>2</v>
      </c>
      <c r="O3644">
        <v>1</v>
      </c>
      <c r="P3644">
        <v>0</v>
      </c>
      <c r="Q3644">
        <v>0</v>
      </c>
      <c r="R3644" t="s">
        <v>114</v>
      </c>
      <c r="S3644" t="str">
        <f>"19:35:42.188"</f>
        <v>19:35:42.188</v>
      </c>
      <c r="T3644" t="str">
        <f>"19:35:41.789"</f>
        <v>19:35:41.789</v>
      </c>
      <c r="U3644" t="str">
        <f t="shared" si="169"/>
        <v>a1cdbe</v>
      </c>
      <c r="V3644">
        <v>0</v>
      </c>
      <c r="W3644">
        <v>0</v>
      </c>
      <c r="X3644">
        <v>2</v>
      </c>
      <c r="Y3644">
        <v>0</v>
      </c>
      <c r="Z3644">
        <v>0</v>
      </c>
      <c r="AB3644">
        <v>0</v>
      </c>
      <c r="AC3644">
        <v>9</v>
      </c>
      <c r="AD3644">
        <v>3</v>
      </c>
      <c r="AE3644">
        <v>0</v>
      </c>
      <c r="AF3644">
        <v>9</v>
      </c>
      <c r="AG3644" t="s">
        <v>158</v>
      </c>
      <c r="AH3644">
        <v>0</v>
      </c>
      <c r="AI3644">
        <v>3</v>
      </c>
      <c r="AJ3644">
        <v>1</v>
      </c>
      <c r="AK3644">
        <v>0</v>
      </c>
      <c r="AL3644" t="s">
        <v>6861</v>
      </c>
      <c r="AM3644">
        <v>47.029809999999998</v>
      </c>
      <c r="AN3644" t="s">
        <v>6862</v>
      </c>
      <c r="AO3644">
        <v>-123.86035699999999</v>
      </c>
      <c r="AP3644">
        <v>100</v>
      </c>
      <c r="AQ3644">
        <v>2100</v>
      </c>
      <c r="AR3644" t="s">
        <v>118</v>
      </c>
      <c r="AS3644">
        <v>-77</v>
      </c>
      <c r="AT3644">
        <v>24</v>
      </c>
      <c r="AU3644">
        <v>128</v>
      </c>
      <c r="BC3644">
        <v>1200</v>
      </c>
      <c r="BD3644">
        <v>1</v>
      </c>
      <c r="BE3644" t="str">
        <f t="shared" si="170"/>
        <v xml:space="preserve">N215T   </v>
      </c>
      <c r="BF3644">
        <v>1</v>
      </c>
      <c r="BH3644">
        <v>0</v>
      </c>
      <c r="BI3644">
        <v>0</v>
      </c>
      <c r="BJ3644">
        <v>0</v>
      </c>
      <c r="BK3644">
        <v>2475</v>
      </c>
      <c r="BL3644">
        <v>375</v>
      </c>
      <c r="BM3644" t="s">
        <v>119</v>
      </c>
      <c r="BN3644">
        <v>1</v>
      </c>
      <c r="BO3644">
        <v>1</v>
      </c>
      <c r="BP3644">
        <v>1</v>
      </c>
      <c r="BQ3644">
        <v>0</v>
      </c>
      <c r="BT3644">
        <v>0</v>
      </c>
      <c r="BU3644">
        <v>0</v>
      </c>
      <c r="BV3644">
        <v>0</v>
      </c>
      <c r="CC3644" t="str">
        <f>"19:35:42.195"</f>
        <v>19:35:42.195</v>
      </c>
      <c r="CD3644" t="str">
        <f>"193206868"</f>
        <v>193206868</v>
      </c>
      <c r="CQ3644">
        <v>0</v>
      </c>
      <c r="CR3644">
        <v>2</v>
      </c>
      <c r="CS3644">
        <v>0</v>
      </c>
      <c r="CT3644">
        <v>2</v>
      </c>
      <c r="CU3644">
        <v>0</v>
      </c>
      <c r="CV3644">
        <v>1</v>
      </c>
      <c r="CW3644" t="s">
        <v>120</v>
      </c>
      <c r="CX3644">
        <v>257</v>
      </c>
      <c r="CY3644">
        <v>3</v>
      </c>
      <c r="CZ3644" t="s">
        <v>615</v>
      </c>
      <c r="DA3644" t="s">
        <v>616</v>
      </c>
      <c r="DD3644">
        <v>9365123</v>
      </c>
      <c r="DE3644" t="s">
        <v>123</v>
      </c>
    </row>
    <row r="3645" spans="1:109" x14ac:dyDescent="0.3">
      <c r="A3645" t="str">
        <f>"19:35:43.492"</f>
        <v>19:35:43.492</v>
      </c>
      <c r="B3645" t="s">
        <v>110</v>
      </c>
      <c r="C3645" t="str">
        <f t="shared" si="168"/>
        <v>ffdfd3c0</v>
      </c>
      <c r="D3645" t="s">
        <v>111</v>
      </c>
      <c r="E3645">
        <v>18</v>
      </c>
      <c r="F3645">
        <v>1018</v>
      </c>
      <c r="G3645" t="s">
        <v>112</v>
      </c>
      <c r="J3645" t="s">
        <v>113</v>
      </c>
      <c r="K3645">
        <v>0</v>
      </c>
      <c r="L3645">
        <v>3</v>
      </c>
      <c r="M3645">
        <v>0</v>
      </c>
      <c r="N3645">
        <v>2</v>
      </c>
      <c r="O3645">
        <v>1</v>
      </c>
      <c r="P3645">
        <v>0</v>
      </c>
      <c r="Q3645">
        <v>0</v>
      </c>
      <c r="R3645" t="s">
        <v>114</v>
      </c>
      <c r="S3645" t="str">
        <f>"19:35:43.266"</f>
        <v>19:35:43.266</v>
      </c>
      <c r="T3645" t="str">
        <f>"19:35:43.164"</f>
        <v>19:35:43.164</v>
      </c>
      <c r="U3645" t="str">
        <f t="shared" si="169"/>
        <v>a1cdbe</v>
      </c>
      <c r="V3645">
        <v>0</v>
      </c>
      <c r="W3645">
        <v>0</v>
      </c>
      <c r="X3645">
        <v>2</v>
      </c>
      <c r="Y3645">
        <v>0</v>
      </c>
      <c r="Z3645">
        <v>0</v>
      </c>
      <c r="AB3645">
        <v>0</v>
      </c>
      <c r="AC3645">
        <v>9</v>
      </c>
      <c r="AD3645">
        <v>3</v>
      </c>
      <c r="AE3645">
        <v>0</v>
      </c>
      <c r="AF3645">
        <v>9</v>
      </c>
      <c r="AG3645" t="s">
        <v>158</v>
      </c>
      <c r="AH3645">
        <v>0</v>
      </c>
      <c r="AI3645">
        <v>3</v>
      </c>
      <c r="AJ3645">
        <v>1</v>
      </c>
      <c r="AK3645">
        <v>0</v>
      </c>
      <c r="AL3645" t="s">
        <v>6863</v>
      </c>
      <c r="AM3645">
        <v>47.029916999999998</v>
      </c>
      <c r="AN3645" t="s">
        <v>6864</v>
      </c>
      <c r="AO3645">
        <v>-123.860958</v>
      </c>
      <c r="AP3645">
        <v>100</v>
      </c>
      <c r="AQ3645">
        <v>2100</v>
      </c>
      <c r="AR3645" t="s">
        <v>118</v>
      </c>
      <c r="AS3645">
        <v>-77</v>
      </c>
      <c r="AT3645">
        <v>24</v>
      </c>
      <c r="AU3645">
        <v>128</v>
      </c>
      <c r="BC3645">
        <v>1200</v>
      </c>
      <c r="BD3645">
        <v>1</v>
      </c>
      <c r="BE3645" t="str">
        <f t="shared" si="170"/>
        <v xml:space="preserve">N215T   </v>
      </c>
      <c r="BF3645">
        <v>1</v>
      </c>
      <c r="BH3645">
        <v>0</v>
      </c>
      <c r="BI3645">
        <v>0</v>
      </c>
      <c r="BJ3645">
        <v>0</v>
      </c>
      <c r="BK3645">
        <v>2475</v>
      </c>
      <c r="BL3645">
        <v>375</v>
      </c>
      <c r="BM3645" t="s">
        <v>119</v>
      </c>
      <c r="BN3645">
        <v>1</v>
      </c>
      <c r="BO3645">
        <v>1</v>
      </c>
      <c r="BP3645">
        <v>1</v>
      </c>
      <c r="BQ3645">
        <v>0</v>
      </c>
      <c r="BT3645">
        <v>0</v>
      </c>
      <c r="BU3645">
        <v>0</v>
      </c>
      <c r="BV3645">
        <v>0</v>
      </c>
      <c r="CC3645" t="str">
        <f>"19:35:43.273"</f>
        <v>19:35:43.273</v>
      </c>
      <c r="CD3645" t="str">
        <f>"273100511"</f>
        <v>273100511</v>
      </c>
      <c r="CQ3645">
        <v>0</v>
      </c>
      <c r="CR3645">
        <v>2</v>
      </c>
      <c r="CS3645">
        <v>0</v>
      </c>
      <c r="CT3645">
        <v>2</v>
      </c>
      <c r="CU3645">
        <v>0</v>
      </c>
      <c r="CV3645">
        <v>4</v>
      </c>
      <c r="CW3645" t="s">
        <v>120</v>
      </c>
      <c r="CX3645">
        <v>257</v>
      </c>
      <c r="CY3645">
        <v>0</v>
      </c>
      <c r="CZ3645" t="s">
        <v>615</v>
      </c>
      <c r="DA3645" t="s">
        <v>616</v>
      </c>
      <c r="DD3645">
        <v>16514493</v>
      </c>
      <c r="DE3645" t="s">
        <v>123</v>
      </c>
    </row>
    <row r="3646" spans="1:109" x14ac:dyDescent="0.3">
      <c r="A3646" t="str">
        <f>"19:35:44.547"</f>
        <v>19:35:44.547</v>
      </c>
      <c r="B3646" t="s">
        <v>110</v>
      </c>
      <c r="C3646" t="str">
        <f t="shared" si="168"/>
        <v>ffdfd3c0</v>
      </c>
      <c r="D3646" t="s">
        <v>111</v>
      </c>
      <c r="E3646">
        <v>18</v>
      </c>
      <c r="F3646">
        <v>1018</v>
      </c>
      <c r="G3646" t="s">
        <v>112</v>
      </c>
      <c r="J3646" t="s">
        <v>113</v>
      </c>
      <c r="K3646">
        <v>0</v>
      </c>
      <c r="L3646">
        <v>3</v>
      </c>
      <c r="M3646">
        <v>0</v>
      </c>
      <c r="N3646">
        <v>2</v>
      </c>
      <c r="O3646">
        <v>1</v>
      </c>
      <c r="P3646">
        <v>0</v>
      </c>
      <c r="Q3646">
        <v>0</v>
      </c>
      <c r="R3646" t="s">
        <v>114</v>
      </c>
      <c r="S3646" t="str">
        <f>"19:35:44.305"</f>
        <v>19:35:44.305</v>
      </c>
      <c r="T3646" t="str">
        <f>"19:35:44.102"</f>
        <v>19:35:44.102</v>
      </c>
      <c r="U3646" t="str">
        <f t="shared" si="169"/>
        <v>a1cdbe</v>
      </c>
      <c r="V3646">
        <v>0</v>
      </c>
      <c r="W3646">
        <v>0</v>
      </c>
      <c r="X3646">
        <v>2</v>
      </c>
      <c r="Y3646">
        <v>0</v>
      </c>
      <c r="Z3646">
        <v>0</v>
      </c>
      <c r="AB3646">
        <v>0</v>
      </c>
      <c r="AC3646">
        <v>9</v>
      </c>
      <c r="AD3646">
        <v>3</v>
      </c>
      <c r="AE3646">
        <v>0</v>
      </c>
      <c r="AF3646">
        <v>9</v>
      </c>
      <c r="AG3646" t="s">
        <v>158</v>
      </c>
      <c r="AH3646">
        <v>0</v>
      </c>
      <c r="AI3646">
        <v>3</v>
      </c>
      <c r="AJ3646">
        <v>1</v>
      </c>
      <c r="AK3646">
        <v>0</v>
      </c>
      <c r="AL3646" t="s">
        <v>6865</v>
      </c>
      <c r="AM3646">
        <v>47.030003000000001</v>
      </c>
      <c r="AN3646" t="s">
        <v>6866</v>
      </c>
      <c r="AO3646">
        <v>-123.861473</v>
      </c>
      <c r="AP3646">
        <v>100</v>
      </c>
      <c r="AQ3646">
        <v>2100</v>
      </c>
      <c r="AR3646" t="s">
        <v>118</v>
      </c>
      <c r="AS3646">
        <v>-76</v>
      </c>
      <c r="AT3646">
        <v>24</v>
      </c>
      <c r="AU3646">
        <v>128</v>
      </c>
      <c r="BC3646">
        <v>1200</v>
      </c>
      <c r="BD3646">
        <v>1</v>
      </c>
      <c r="BE3646" t="str">
        <f t="shared" si="170"/>
        <v xml:space="preserve">N215T   </v>
      </c>
      <c r="BF3646">
        <v>1</v>
      </c>
      <c r="BH3646">
        <v>0</v>
      </c>
      <c r="BI3646">
        <v>0</v>
      </c>
      <c r="BJ3646">
        <v>0</v>
      </c>
      <c r="BK3646">
        <v>2475</v>
      </c>
      <c r="BL3646">
        <v>375</v>
      </c>
      <c r="BM3646" t="s">
        <v>119</v>
      </c>
      <c r="BN3646">
        <v>1</v>
      </c>
      <c r="BO3646">
        <v>1</v>
      </c>
      <c r="BP3646">
        <v>1</v>
      </c>
      <c r="BQ3646">
        <v>0</v>
      </c>
      <c r="BT3646">
        <v>0</v>
      </c>
      <c r="BU3646">
        <v>0</v>
      </c>
      <c r="BV3646">
        <v>0</v>
      </c>
      <c r="CC3646" t="str">
        <f>"19:35:44.305"</f>
        <v>19:35:44.305</v>
      </c>
      <c r="CD3646" t="str">
        <f>"307998554"</f>
        <v>307998554</v>
      </c>
      <c r="CQ3646">
        <v>0</v>
      </c>
      <c r="CR3646">
        <v>2</v>
      </c>
      <c r="CS3646">
        <v>0</v>
      </c>
      <c r="CT3646">
        <v>2</v>
      </c>
      <c r="CU3646">
        <v>0</v>
      </c>
      <c r="CV3646">
        <v>5</v>
      </c>
      <c r="CW3646" t="s">
        <v>120</v>
      </c>
      <c r="CX3646">
        <v>257</v>
      </c>
      <c r="CY3646">
        <v>0</v>
      </c>
      <c r="CZ3646" t="s">
        <v>615</v>
      </c>
      <c r="DA3646" t="s">
        <v>616</v>
      </c>
      <c r="DD3646">
        <v>16514892</v>
      </c>
      <c r="DE3646" t="s">
        <v>123</v>
      </c>
    </row>
    <row r="3647" spans="1:109" x14ac:dyDescent="0.3">
      <c r="A3647" t="str">
        <f>"19:35:45.500"</f>
        <v>19:35:45.500</v>
      </c>
      <c r="B3647" t="s">
        <v>110</v>
      </c>
      <c r="C3647" t="str">
        <f t="shared" si="168"/>
        <v>ffdfd3c0</v>
      </c>
      <c r="D3647" t="s">
        <v>111</v>
      </c>
      <c r="E3647">
        <v>18</v>
      </c>
      <c r="F3647">
        <v>1018</v>
      </c>
      <c r="G3647" t="s">
        <v>112</v>
      </c>
      <c r="J3647" t="s">
        <v>113</v>
      </c>
      <c r="K3647">
        <v>0</v>
      </c>
      <c r="L3647">
        <v>3</v>
      </c>
      <c r="M3647">
        <v>0</v>
      </c>
      <c r="N3647">
        <v>2</v>
      </c>
      <c r="O3647">
        <v>1</v>
      </c>
      <c r="P3647">
        <v>0</v>
      </c>
      <c r="Q3647">
        <v>0</v>
      </c>
      <c r="R3647" t="s">
        <v>114</v>
      </c>
      <c r="S3647" t="str">
        <f>"19:35:45.219"</f>
        <v>19:35:45.219</v>
      </c>
      <c r="T3647" t="str">
        <f>"19:35:44.719"</f>
        <v>19:35:44.719</v>
      </c>
      <c r="U3647" t="str">
        <f t="shared" si="169"/>
        <v>a1cdbe</v>
      </c>
      <c r="V3647">
        <v>0</v>
      </c>
      <c r="W3647">
        <v>0</v>
      </c>
      <c r="X3647">
        <v>2</v>
      </c>
      <c r="Y3647">
        <v>0</v>
      </c>
      <c r="Z3647">
        <v>0</v>
      </c>
      <c r="AB3647">
        <v>0</v>
      </c>
      <c r="AC3647">
        <v>9</v>
      </c>
      <c r="AD3647">
        <v>3</v>
      </c>
      <c r="AE3647">
        <v>0</v>
      </c>
      <c r="AF3647">
        <v>9</v>
      </c>
      <c r="AG3647" t="s">
        <v>158</v>
      </c>
      <c r="AH3647">
        <v>0</v>
      </c>
      <c r="AI3647">
        <v>3</v>
      </c>
      <c r="AJ3647">
        <v>1</v>
      </c>
      <c r="AK3647">
        <v>0</v>
      </c>
      <c r="AL3647" t="s">
        <v>6867</v>
      </c>
      <c r="AM3647">
        <v>47.030132000000002</v>
      </c>
      <c r="AN3647" t="s">
        <v>6868</v>
      </c>
      <c r="AO3647">
        <v>-123.861923</v>
      </c>
      <c r="AP3647">
        <v>100</v>
      </c>
      <c r="AQ3647">
        <v>2100</v>
      </c>
      <c r="AR3647" t="s">
        <v>118</v>
      </c>
      <c r="AS3647">
        <v>-76</v>
      </c>
      <c r="AT3647">
        <v>24</v>
      </c>
      <c r="AU3647">
        <v>128</v>
      </c>
      <c r="BC3647">
        <v>1200</v>
      </c>
      <c r="BD3647">
        <v>1</v>
      </c>
      <c r="BE3647" t="str">
        <f t="shared" si="170"/>
        <v xml:space="preserve">N215T   </v>
      </c>
      <c r="BF3647">
        <v>1</v>
      </c>
      <c r="BH3647">
        <v>0</v>
      </c>
      <c r="BI3647">
        <v>0</v>
      </c>
      <c r="BJ3647">
        <v>0</v>
      </c>
      <c r="BK3647">
        <v>2475</v>
      </c>
      <c r="BL3647">
        <v>375</v>
      </c>
      <c r="BM3647" t="s">
        <v>119</v>
      </c>
      <c r="BN3647">
        <v>1</v>
      </c>
      <c r="BO3647">
        <v>1</v>
      </c>
      <c r="BP3647">
        <v>1</v>
      </c>
      <c r="BQ3647">
        <v>0</v>
      </c>
      <c r="BT3647">
        <v>0</v>
      </c>
      <c r="BU3647">
        <v>0</v>
      </c>
      <c r="BV3647">
        <v>0</v>
      </c>
      <c r="CC3647" t="str">
        <f>"19:35:45.227"</f>
        <v>19:35:45.227</v>
      </c>
      <c r="CD3647" t="str">
        <f>"222908453"</f>
        <v>222908453</v>
      </c>
      <c r="CQ3647">
        <v>0</v>
      </c>
      <c r="CR3647">
        <v>2</v>
      </c>
      <c r="CS3647">
        <v>0</v>
      </c>
      <c r="CT3647">
        <v>2</v>
      </c>
      <c r="CU3647">
        <v>0</v>
      </c>
      <c r="CV3647">
        <v>5</v>
      </c>
      <c r="CW3647" t="s">
        <v>120</v>
      </c>
      <c r="CX3647">
        <v>257</v>
      </c>
      <c r="CY3647">
        <v>0</v>
      </c>
      <c r="CZ3647" t="s">
        <v>615</v>
      </c>
      <c r="DA3647" t="s">
        <v>616</v>
      </c>
      <c r="DD3647">
        <v>16515253</v>
      </c>
      <c r="DE3647" t="s">
        <v>123</v>
      </c>
    </row>
    <row r="3648" spans="1:109" x14ac:dyDescent="0.3">
      <c r="A3648" t="str">
        <f>"19:35:46.406"</f>
        <v>19:35:46.406</v>
      </c>
      <c r="B3648" t="s">
        <v>110</v>
      </c>
      <c r="C3648" t="str">
        <f t="shared" si="168"/>
        <v>ffdfd3c0</v>
      </c>
      <c r="D3648" t="s">
        <v>111</v>
      </c>
      <c r="E3648">
        <v>18</v>
      </c>
      <c r="F3648">
        <v>1018</v>
      </c>
      <c r="G3648" t="s">
        <v>112</v>
      </c>
      <c r="J3648" t="s">
        <v>113</v>
      </c>
      <c r="K3648">
        <v>0</v>
      </c>
      <c r="L3648">
        <v>3</v>
      </c>
      <c r="M3648">
        <v>0</v>
      </c>
      <c r="N3648">
        <v>2</v>
      </c>
      <c r="O3648">
        <v>1</v>
      </c>
      <c r="P3648">
        <v>0</v>
      </c>
      <c r="Q3648">
        <v>0</v>
      </c>
      <c r="R3648" t="s">
        <v>114</v>
      </c>
      <c r="S3648" t="str">
        <f>"19:35:46.180"</f>
        <v>19:35:46.180</v>
      </c>
      <c r="T3648" t="str">
        <f>"19:35:46.180"</f>
        <v>19:35:46.180</v>
      </c>
      <c r="U3648" t="str">
        <f t="shared" si="169"/>
        <v>a1cdbe</v>
      </c>
      <c r="V3648">
        <v>0</v>
      </c>
      <c r="W3648">
        <v>0</v>
      </c>
      <c r="X3648">
        <v>2</v>
      </c>
      <c r="Y3648">
        <v>0</v>
      </c>
      <c r="Z3648">
        <v>0</v>
      </c>
      <c r="AB3648">
        <v>0</v>
      </c>
      <c r="AC3648">
        <v>9</v>
      </c>
      <c r="AD3648">
        <v>3</v>
      </c>
      <c r="AE3648">
        <v>0</v>
      </c>
      <c r="AF3648">
        <v>9</v>
      </c>
      <c r="AG3648" t="s">
        <v>158</v>
      </c>
      <c r="AH3648">
        <v>0</v>
      </c>
      <c r="AI3648">
        <v>3</v>
      </c>
      <c r="AJ3648">
        <v>1</v>
      </c>
      <c r="AK3648">
        <v>0</v>
      </c>
      <c r="AL3648" t="s">
        <v>6869</v>
      </c>
      <c r="AM3648">
        <v>47.030239000000002</v>
      </c>
      <c r="AN3648" t="s">
        <v>6870</v>
      </c>
      <c r="AO3648">
        <v>-123.86246</v>
      </c>
      <c r="AP3648">
        <v>100</v>
      </c>
      <c r="AQ3648">
        <v>2100</v>
      </c>
      <c r="AR3648" t="s">
        <v>118</v>
      </c>
      <c r="AS3648">
        <v>-76</v>
      </c>
      <c r="AT3648">
        <v>24</v>
      </c>
      <c r="AU3648">
        <v>128</v>
      </c>
      <c r="BC3648">
        <v>1200</v>
      </c>
      <c r="BD3648">
        <v>1</v>
      </c>
      <c r="BE3648" t="str">
        <f t="shared" si="170"/>
        <v xml:space="preserve">N215T   </v>
      </c>
      <c r="BF3648">
        <v>1</v>
      </c>
      <c r="BH3648">
        <v>0</v>
      </c>
      <c r="BI3648">
        <v>0</v>
      </c>
      <c r="BJ3648">
        <v>0</v>
      </c>
      <c r="BK3648">
        <v>2475</v>
      </c>
      <c r="BL3648">
        <v>375</v>
      </c>
      <c r="BM3648" t="s">
        <v>119</v>
      </c>
      <c r="BN3648">
        <v>1</v>
      </c>
      <c r="BO3648">
        <v>1</v>
      </c>
      <c r="BP3648">
        <v>1</v>
      </c>
      <c r="BQ3648">
        <v>0</v>
      </c>
      <c r="BT3648">
        <v>0</v>
      </c>
      <c r="BU3648">
        <v>0</v>
      </c>
      <c r="BV3648">
        <v>0</v>
      </c>
      <c r="CC3648" t="str">
        <f>"19:35:46.180"</f>
        <v>19:35:46.180</v>
      </c>
      <c r="CD3648" t="str">
        <f>"182813878"</f>
        <v>182813878</v>
      </c>
      <c r="CQ3648">
        <v>0</v>
      </c>
      <c r="CR3648">
        <v>2</v>
      </c>
      <c r="CS3648">
        <v>0</v>
      </c>
      <c r="CT3648">
        <v>2</v>
      </c>
      <c r="CU3648">
        <v>0</v>
      </c>
      <c r="CV3648">
        <v>3</v>
      </c>
      <c r="CW3648" t="s">
        <v>120</v>
      </c>
      <c r="CX3648">
        <v>257</v>
      </c>
      <c r="CY3648">
        <v>0</v>
      </c>
      <c r="CZ3648" t="s">
        <v>615</v>
      </c>
      <c r="DA3648" t="s">
        <v>616</v>
      </c>
      <c r="DD3648">
        <v>16515663</v>
      </c>
      <c r="DE3648" t="s">
        <v>123</v>
      </c>
    </row>
    <row r="3649" spans="1:109" x14ac:dyDescent="0.3">
      <c r="A3649" t="str">
        <f>"19:35:47.719"</f>
        <v>19:35:47.719</v>
      </c>
      <c r="B3649" t="s">
        <v>110</v>
      </c>
      <c r="C3649" t="str">
        <f t="shared" si="168"/>
        <v>ffdfd3c0</v>
      </c>
      <c r="D3649" t="s">
        <v>111</v>
      </c>
      <c r="E3649">
        <v>18</v>
      </c>
      <c r="F3649">
        <v>1018</v>
      </c>
      <c r="G3649" t="s">
        <v>112</v>
      </c>
      <c r="J3649" t="s">
        <v>113</v>
      </c>
      <c r="K3649">
        <v>0</v>
      </c>
      <c r="L3649">
        <v>3</v>
      </c>
      <c r="M3649">
        <v>0</v>
      </c>
      <c r="N3649">
        <v>2</v>
      </c>
      <c r="O3649">
        <v>1</v>
      </c>
      <c r="P3649">
        <v>0</v>
      </c>
      <c r="Q3649">
        <v>0</v>
      </c>
      <c r="R3649" t="s">
        <v>114</v>
      </c>
      <c r="S3649" t="str">
        <f>"19:35:47.516"</f>
        <v>19:35:47.516</v>
      </c>
      <c r="T3649" t="str">
        <f>"19:35:47.219"</f>
        <v>19:35:47.219</v>
      </c>
      <c r="U3649" t="str">
        <f t="shared" si="169"/>
        <v>a1cdbe</v>
      </c>
      <c r="V3649">
        <v>0</v>
      </c>
      <c r="W3649">
        <v>0</v>
      </c>
      <c r="X3649">
        <v>2</v>
      </c>
      <c r="Y3649">
        <v>0</v>
      </c>
      <c r="Z3649">
        <v>0</v>
      </c>
      <c r="AB3649">
        <v>0</v>
      </c>
      <c r="AC3649">
        <v>9</v>
      </c>
      <c r="AD3649">
        <v>3</v>
      </c>
      <c r="AE3649">
        <v>0</v>
      </c>
      <c r="AF3649">
        <v>9</v>
      </c>
      <c r="AG3649" t="s">
        <v>158</v>
      </c>
      <c r="AH3649">
        <v>0</v>
      </c>
      <c r="AI3649">
        <v>3</v>
      </c>
      <c r="AJ3649">
        <v>1</v>
      </c>
      <c r="AK3649">
        <v>0</v>
      </c>
      <c r="AL3649" t="s">
        <v>6871</v>
      </c>
      <c r="AM3649">
        <v>47.030368000000003</v>
      </c>
      <c r="AN3649" t="s">
        <v>6872</v>
      </c>
      <c r="AO3649">
        <v>-123.863103</v>
      </c>
      <c r="AP3649">
        <v>100</v>
      </c>
      <c r="AQ3649">
        <v>2100</v>
      </c>
      <c r="AR3649" t="s">
        <v>118</v>
      </c>
      <c r="AS3649">
        <v>-76</v>
      </c>
      <c r="AT3649">
        <v>24</v>
      </c>
      <c r="AU3649">
        <v>64</v>
      </c>
      <c r="BC3649">
        <v>1200</v>
      </c>
      <c r="BD3649">
        <v>1</v>
      </c>
      <c r="BE3649" t="str">
        <f t="shared" si="170"/>
        <v xml:space="preserve">N215T   </v>
      </c>
      <c r="BF3649">
        <v>1</v>
      </c>
      <c r="BH3649">
        <v>0</v>
      </c>
      <c r="BI3649">
        <v>0</v>
      </c>
      <c r="BJ3649">
        <v>0</v>
      </c>
      <c r="BK3649">
        <v>2475</v>
      </c>
      <c r="BL3649">
        <v>375</v>
      </c>
      <c r="BM3649" t="s">
        <v>119</v>
      </c>
      <c r="BN3649">
        <v>1</v>
      </c>
      <c r="BO3649">
        <v>1</v>
      </c>
      <c r="BP3649">
        <v>1</v>
      </c>
      <c r="BQ3649">
        <v>0</v>
      </c>
      <c r="BT3649">
        <v>0</v>
      </c>
      <c r="BU3649">
        <v>0</v>
      </c>
      <c r="BV3649">
        <v>0</v>
      </c>
      <c r="CC3649" t="str">
        <f>"19:35:47.516"</f>
        <v>19:35:47.516</v>
      </c>
      <c r="CD3649" t="str">
        <f>"517682375"</f>
        <v>517682375</v>
      </c>
      <c r="CQ3649">
        <v>0</v>
      </c>
      <c r="CR3649">
        <v>2</v>
      </c>
      <c r="CS3649">
        <v>0</v>
      </c>
      <c r="CT3649">
        <v>2</v>
      </c>
      <c r="CU3649">
        <v>0</v>
      </c>
      <c r="CV3649">
        <v>3</v>
      </c>
      <c r="CW3649" t="s">
        <v>120</v>
      </c>
      <c r="CX3649">
        <v>257</v>
      </c>
      <c r="CY3649">
        <v>0</v>
      </c>
      <c r="CZ3649" t="s">
        <v>615</v>
      </c>
      <c r="DA3649" t="s">
        <v>616</v>
      </c>
      <c r="DD3649">
        <v>16516235</v>
      </c>
      <c r="DE3649" t="s">
        <v>123</v>
      </c>
    </row>
    <row r="3650" spans="1:109" x14ac:dyDescent="0.3">
      <c r="A3650" t="str">
        <f>"19:35:48.922"</f>
        <v>19:35:48.922</v>
      </c>
      <c r="B3650" t="s">
        <v>110</v>
      </c>
      <c r="C3650" t="str">
        <f t="shared" ref="C3650:C3713" si="171">"ffdfd3c0"</f>
        <v>ffdfd3c0</v>
      </c>
      <c r="D3650" t="s">
        <v>111</v>
      </c>
      <c r="E3650">
        <v>18</v>
      </c>
      <c r="F3650">
        <v>1018</v>
      </c>
      <c r="G3650" t="s">
        <v>112</v>
      </c>
      <c r="J3650" t="s">
        <v>113</v>
      </c>
      <c r="K3650">
        <v>0</v>
      </c>
      <c r="L3650">
        <v>3</v>
      </c>
      <c r="M3650">
        <v>0</v>
      </c>
      <c r="N3650">
        <v>2</v>
      </c>
      <c r="O3650">
        <v>1</v>
      </c>
      <c r="P3650">
        <v>0</v>
      </c>
      <c r="Q3650">
        <v>0</v>
      </c>
      <c r="R3650" t="s">
        <v>114</v>
      </c>
      <c r="S3650" t="str">
        <f>"19:35:48.656"</f>
        <v>19:35:48.656</v>
      </c>
      <c r="T3650" t="str">
        <f>"19:35:48.258"</f>
        <v>19:35:48.258</v>
      </c>
      <c r="U3650" t="str">
        <f t="shared" ref="U3650:U3713" si="172">"a1cdbe"</f>
        <v>a1cdbe</v>
      </c>
      <c r="V3650">
        <v>0</v>
      </c>
      <c r="W3650">
        <v>0</v>
      </c>
      <c r="X3650">
        <v>2</v>
      </c>
      <c r="Y3650">
        <v>0</v>
      </c>
      <c r="Z3650">
        <v>0</v>
      </c>
      <c r="AB3650">
        <v>0</v>
      </c>
      <c r="AC3650">
        <v>9</v>
      </c>
      <c r="AD3650">
        <v>3</v>
      </c>
      <c r="AE3650">
        <v>0</v>
      </c>
      <c r="AF3650">
        <v>9</v>
      </c>
      <c r="AG3650" t="s">
        <v>158</v>
      </c>
      <c r="AH3650">
        <v>0</v>
      </c>
      <c r="AI3650">
        <v>3</v>
      </c>
      <c r="AJ3650">
        <v>1</v>
      </c>
      <c r="AK3650">
        <v>0</v>
      </c>
      <c r="AL3650" t="s">
        <v>651</v>
      </c>
      <c r="AM3650">
        <v>47.030518000000001</v>
      </c>
      <c r="AN3650" t="s">
        <v>6873</v>
      </c>
      <c r="AO3650">
        <v>-123.863747</v>
      </c>
      <c r="AP3650">
        <v>100</v>
      </c>
      <c r="AQ3650">
        <v>2100</v>
      </c>
      <c r="AR3650" t="s">
        <v>118</v>
      </c>
      <c r="AS3650">
        <v>-76</v>
      </c>
      <c r="AT3650">
        <v>24</v>
      </c>
      <c r="AU3650">
        <v>64</v>
      </c>
      <c r="BC3650">
        <v>1200</v>
      </c>
      <c r="BD3650">
        <v>1</v>
      </c>
      <c r="BE3650" t="str">
        <f t="shared" ref="BE3650:BE3713" si="173">"N215T   "</f>
        <v xml:space="preserve">N215T   </v>
      </c>
      <c r="BF3650">
        <v>1</v>
      </c>
      <c r="BH3650">
        <v>0</v>
      </c>
      <c r="BI3650">
        <v>0</v>
      </c>
      <c r="BJ3650">
        <v>0</v>
      </c>
      <c r="BK3650">
        <v>2475</v>
      </c>
      <c r="BL3650">
        <v>375</v>
      </c>
      <c r="BM3650" t="s">
        <v>119</v>
      </c>
      <c r="BN3650">
        <v>1</v>
      </c>
      <c r="BO3650">
        <v>1</v>
      </c>
      <c r="BP3650">
        <v>1</v>
      </c>
      <c r="BQ3650">
        <v>0</v>
      </c>
      <c r="BT3650">
        <v>0</v>
      </c>
      <c r="BU3650">
        <v>0</v>
      </c>
      <c r="BV3650">
        <v>0</v>
      </c>
      <c r="CC3650" t="str">
        <f>"19:35:48.656"</f>
        <v>19:35:48.656</v>
      </c>
      <c r="CD3650" t="str">
        <f>"657570118"</f>
        <v>657570118</v>
      </c>
      <c r="CQ3650">
        <v>0</v>
      </c>
      <c r="CR3650">
        <v>2</v>
      </c>
      <c r="CS3650">
        <v>0</v>
      </c>
      <c r="CT3650">
        <v>2</v>
      </c>
      <c r="CU3650">
        <v>0</v>
      </c>
      <c r="CV3650">
        <v>4</v>
      </c>
      <c r="CW3650" t="s">
        <v>120</v>
      </c>
      <c r="CX3650">
        <v>257</v>
      </c>
      <c r="CY3650">
        <v>0</v>
      </c>
      <c r="CZ3650" t="s">
        <v>615</v>
      </c>
      <c r="DA3650" t="s">
        <v>616</v>
      </c>
      <c r="DD3650">
        <v>16516704</v>
      </c>
      <c r="DE3650" t="s">
        <v>123</v>
      </c>
    </row>
    <row r="3651" spans="1:109" x14ac:dyDescent="0.3">
      <c r="A3651" t="str">
        <f>"19:35:50.023"</f>
        <v>19:35:50.023</v>
      </c>
      <c r="B3651" t="s">
        <v>110</v>
      </c>
      <c r="C3651" t="str">
        <f t="shared" si="171"/>
        <v>ffdfd3c0</v>
      </c>
      <c r="D3651" t="s">
        <v>111</v>
      </c>
      <c r="E3651">
        <v>18</v>
      </c>
      <c r="F3651">
        <v>1018</v>
      </c>
      <c r="G3651" t="s">
        <v>112</v>
      </c>
      <c r="J3651" t="s">
        <v>113</v>
      </c>
      <c r="K3651">
        <v>0</v>
      </c>
      <c r="L3651">
        <v>3</v>
      </c>
      <c r="M3651">
        <v>0</v>
      </c>
      <c r="N3651">
        <v>2</v>
      </c>
      <c r="O3651">
        <v>1</v>
      </c>
      <c r="P3651">
        <v>0</v>
      </c>
      <c r="Q3651">
        <v>0</v>
      </c>
      <c r="R3651" t="s">
        <v>114</v>
      </c>
      <c r="S3651" t="str">
        <f>"19:35:49.797"</f>
        <v>19:35:49.797</v>
      </c>
      <c r="T3651" t="str">
        <f>"19:35:49.797"</f>
        <v>19:35:49.797</v>
      </c>
      <c r="U3651" t="str">
        <f t="shared" si="172"/>
        <v>a1cdbe</v>
      </c>
      <c r="V3651">
        <v>0</v>
      </c>
      <c r="W3651">
        <v>0</v>
      </c>
      <c r="X3651">
        <v>2</v>
      </c>
      <c r="Y3651">
        <v>0</v>
      </c>
      <c r="Z3651">
        <v>0</v>
      </c>
      <c r="AB3651">
        <v>0</v>
      </c>
      <c r="AC3651">
        <v>9</v>
      </c>
      <c r="AD3651">
        <v>3</v>
      </c>
      <c r="AE3651">
        <v>0</v>
      </c>
      <c r="AF3651">
        <v>9</v>
      </c>
      <c r="AG3651" t="s">
        <v>158</v>
      </c>
      <c r="AH3651">
        <v>0</v>
      </c>
      <c r="AI3651">
        <v>3</v>
      </c>
      <c r="AJ3651">
        <v>1</v>
      </c>
      <c r="AK3651">
        <v>0</v>
      </c>
      <c r="AL3651" t="s">
        <v>6874</v>
      </c>
      <c r="AM3651">
        <v>47.030647000000002</v>
      </c>
      <c r="AN3651" t="s">
        <v>6875</v>
      </c>
      <c r="AO3651">
        <v>-123.864305</v>
      </c>
      <c r="AP3651">
        <v>100</v>
      </c>
      <c r="AQ3651">
        <v>2100</v>
      </c>
      <c r="AR3651" t="s">
        <v>118</v>
      </c>
      <c r="AS3651">
        <v>-76</v>
      </c>
      <c r="AT3651">
        <v>24</v>
      </c>
      <c r="AU3651">
        <v>64</v>
      </c>
      <c r="BC3651">
        <v>1200</v>
      </c>
      <c r="BD3651">
        <v>1</v>
      </c>
      <c r="BE3651" t="str">
        <f t="shared" si="173"/>
        <v xml:space="preserve">N215T   </v>
      </c>
      <c r="BF3651">
        <v>1</v>
      </c>
      <c r="BH3651">
        <v>0</v>
      </c>
      <c r="BI3651">
        <v>0</v>
      </c>
      <c r="BJ3651">
        <v>0</v>
      </c>
      <c r="BK3651">
        <v>2475</v>
      </c>
      <c r="BL3651">
        <v>375</v>
      </c>
      <c r="BM3651" t="s">
        <v>119</v>
      </c>
      <c r="BN3651">
        <v>1</v>
      </c>
      <c r="BO3651">
        <v>1</v>
      </c>
      <c r="BP3651">
        <v>1</v>
      </c>
      <c r="BQ3651">
        <v>0</v>
      </c>
      <c r="BT3651">
        <v>0</v>
      </c>
      <c r="BU3651">
        <v>0</v>
      </c>
      <c r="BV3651">
        <v>0</v>
      </c>
      <c r="CC3651" t="str">
        <f>"19:35:49.797"</f>
        <v>19:35:49.797</v>
      </c>
      <c r="CD3651" t="str">
        <f>"797457836"</f>
        <v>797457836</v>
      </c>
      <c r="CQ3651">
        <v>0</v>
      </c>
      <c r="CR3651">
        <v>2</v>
      </c>
      <c r="CS3651">
        <v>0</v>
      </c>
      <c r="CT3651">
        <v>2</v>
      </c>
      <c r="CU3651">
        <v>0</v>
      </c>
      <c r="CV3651">
        <v>5</v>
      </c>
      <c r="CW3651" t="s">
        <v>120</v>
      </c>
      <c r="CX3651">
        <v>257</v>
      </c>
      <c r="CY3651">
        <v>0</v>
      </c>
      <c r="CZ3651" t="s">
        <v>615</v>
      </c>
      <c r="DA3651" t="s">
        <v>616</v>
      </c>
      <c r="DD3651">
        <v>16517145</v>
      </c>
      <c r="DE3651" t="s">
        <v>123</v>
      </c>
    </row>
    <row r="3652" spans="1:109" x14ac:dyDescent="0.3">
      <c r="A3652" t="str">
        <f>"19:35:50.930"</f>
        <v>19:35:50.930</v>
      </c>
      <c r="B3652" t="s">
        <v>110</v>
      </c>
      <c r="C3652" t="str">
        <f t="shared" si="171"/>
        <v>ffdfd3c0</v>
      </c>
      <c r="D3652" t="s">
        <v>111</v>
      </c>
      <c r="E3652">
        <v>18</v>
      </c>
      <c r="F3652">
        <v>1018</v>
      </c>
      <c r="G3652" t="s">
        <v>112</v>
      </c>
      <c r="J3652" t="s">
        <v>113</v>
      </c>
      <c r="K3652">
        <v>0</v>
      </c>
      <c r="L3652">
        <v>3</v>
      </c>
      <c r="M3652">
        <v>0</v>
      </c>
      <c r="N3652">
        <v>2</v>
      </c>
      <c r="O3652">
        <v>1</v>
      </c>
      <c r="P3652">
        <v>0</v>
      </c>
      <c r="Q3652">
        <v>0</v>
      </c>
      <c r="R3652" t="s">
        <v>114</v>
      </c>
      <c r="S3652" t="str">
        <f>"19:35:50.680"</f>
        <v>19:35:50.680</v>
      </c>
      <c r="T3652" t="str">
        <f>"19:35:50.281"</f>
        <v>19:35:50.281</v>
      </c>
      <c r="U3652" t="str">
        <f t="shared" si="172"/>
        <v>a1cdbe</v>
      </c>
      <c r="V3652">
        <v>0</v>
      </c>
      <c r="W3652">
        <v>0</v>
      </c>
      <c r="X3652">
        <v>2</v>
      </c>
      <c r="Y3652">
        <v>0</v>
      </c>
      <c r="Z3652">
        <v>0</v>
      </c>
      <c r="AB3652">
        <v>0</v>
      </c>
      <c r="AC3652">
        <v>9</v>
      </c>
      <c r="AD3652">
        <v>3</v>
      </c>
      <c r="AE3652">
        <v>0</v>
      </c>
      <c r="AF3652">
        <v>9</v>
      </c>
      <c r="AG3652" t="s">
        <v>158</v>
      </c>
      <c r="AH3652">
        <v>0</v>
      </c>
      <c r="AI3652">
        <v>3</v>
      </c>
      <c r="AJ3652">
        <v>1</v>
      </c>
      <c r="AK3652">
        <v>0</v>
      </c>
      <c r="AL3652" t="s">
        <v>6876</v>
      </c>
      <c r="AM3652">
        <v>47.030754000000002</v>
      </c>
      <c r="AN3652" t="s">
        <v>6877</v>
      </c>
      <c r="AO3652">
        <v>-123.86471299999999</v>
      </c>
      <c r="AP3652">
        <v>100</v>
      </c>
      <c r="AQ3652">
        <v>2100</v>
      </c>
      <c r="AR3652" t="s">
        <v>118</v>
      </c>
      <c r="AS3652">
        <v>-76</v>
      </c>
      <c r="AT3652">
        <v>24</v>
      </c>
      <c r="AU3652">
        <v>64</v>
      </c>
      <c r="BC3652">
        <v>1200</v>
      </c>
      <c r="BD3652">
        <v>1</v>
      </c>
      <c r="BE3652" t="str">
        <f t="shared" si="173"/>
        <v xml:space="preserve">N215T   </v>
      </c>
      <c r="BF3652">
        <v>1</v>
      </c>
      <c r="BH3652">
        <v>0</v>
      </c>
      <c r="BI3652">
        <v>0</v>
      </c>
      <c r="BJ3652">
        <v>0</v>
      </c>
      <c r="BK3652">
        <v>2475</v>
      </c>
      <c r="BL3652">
        <v>375</v>
      </c>
      <c r="BM3652" t="s">
        <v>119</v>
      </c>
      <c r="BN3652">
        <v>1</v>
      </c>
      <c r="BO3652">
        <v>1</v>
      </c>
      <c r="BP3652">
        <v>1</v>
      </c>
      <c r="BQ3652">
        <v>0</v>
      </c>
      <c r="BT3652">
        <v>0</v>
      </c>
      <c r="BU3652">
        <v>0</v>
      </c>
      <c r="BV3652">
        <v>0</v>
      </c>
      <c r="CC3652" t="str">
        <f>"19:35:50.680"</f>
        <v>19:35:50.680</v>
      </c>
      <c r="CD3652" t="str">
        <f>"682370669"</f>
        <v>682370669</v>
      </c>
      <c r="CQ3652">
        <v>0</v>
      </c>
      <c r="CR3652">
        <v>2</v>
      </c>
      <c r="CS3652">
        <v>0</v>
      </c>
      <c r="CT3652">
        <v>2</v>
      </c>
      <c r="CU3652">
        <v>0</v>
      </c>
      <c r="CV3652">
        <v>5</v>
      </c>
      <c r="CW3652" t="s">
        <v>120</v>
      </c>
      <c r="CX3652">
        <v>257</v>
      </c>
      <c r="CY3652">
        <v>0</v>
      </c>
      <c r="CZ3652" t="s">
        <v>615</v>
      </c>
      <c r="DA3652" t="s">
        <v>616</v>
      </c>
      <c r="DD3652">
        <v>16517520</v>
      </c>
      <c r="DE3652" t="s">
        <v>123</v>
      </c>
    </row>
    <row r="3653" spans="1:109" x14ac:dyDescent="0.3">
      <c r="A3653" t="str">
        <f>"19:35:52.039"</f>
        <v>19:35:52.039</v>
      </c>
      <c r="B3653" t="s">
        <v>110</v>
      </c>
      <c r="C3653" t="str">
        <f t="shared" si="171"/>
        <v>ffdfd3c0</v>
      </c>
      <c r="D3653" t="s">
        <v>111</v>
      </c>
      <c r="E3653">
        <v>18</v>
      </c>
      <c r="F3653">
        <v>1018</v>
      </c>
      <c r="G3653" t="s">
        <v>112</v>
      </c>
      <c r="J3653" t="s">
        <v>113</v>
      </c>
      <c r="K3653">
        <v>0</v>
      </c>
      <c r="L3653">
        <v>3</v>
      </c>
      <c r="M3653">
        <v>0</v>
      </c>
      <c r="N3653">
        <v>2</v>
      </c>
      <c r="O3653">
        <v>1</v>
      </c>
      <c r="P3653">
        <v>0</v>
      </c>
      <c r="Q3653">
        <v>0</v>
      </c>
      <c r="R3653" t="s">
        <v>114</v>
      </c>
      <c r="S3653" t="str">
        <f>"19:35:51.758"</f>
        <v>19:35:51.758</v>
      </c>
      <c r="T3653" t="str">
        <f>"19:35:51.758"</f>
        <v>19:35:51.758</v>
      </c>
      <c r="U3653" t="str">
        <f t="shared" si="172"/>
        <v>a1cdbe</v>
      </c>
      <c r="V3653">
        <v>0</v>
      </c>
      <c r="W3653">
        <v>0</v>
      </c>
      <c r="X3653">
        <v>2</v>
      </c>
      <c r="Y3653">
        <v>0</v>
      </c>
      <c r="Z3653">
        <v>0</v>
      </c>
      <c r="AB3653">
        <v>0</v>
      </c>
      <c r="AC3653">
        <v>9</v>
      </c>
      <c r="AD3653">
        <v>3</v>
      </c>
      <c r="AE3653">
        <v>0</v>
      </c>
      <c r="AF3653">
        <v>9</v>
      </c>
      <c r="AG3653" t="s">
        <v>158</v>
      </c>
      <c r="AH3653">
        <v>0</v>
      </c>
      <c r="AI3653">
        <v>3</v>
      </c>
      <c r="AJ3653">
        <v>1</v>
      </c>
      <c r="AK3653">
        <v>0</v>
      </c>
      <c r="AL3653" t="s">
        <v>6878</v>
      </c>
      <c r="AM3653">
        <v>47.030839999999998</v>
      </c>
      <c r="AN3653" t="s">
        <v>6879</v>
      </c>
      <c r="AO3653">
        <v>-123.865292</v>
      </c>
      <c r="AP3653">
        <v>100</v>
      </c>
      <c r="AQ3653">
        <v>2100</v>
      </c>
      <c r="AR3653" t="s">
        <v>118</v>
      </c>
      <c r="AS3653">
        <v>-76</v>
      </c>
      <c r="AT3653">
        <v>24</v>
      </c>
      <c r="AU3653">
        <v>64</v>
      </c>
      <c r="BC3653">
        <v>1200</v>
      </c>
      <c r="BD3653">
        <v>1</v>
      </c>
      <c r="BE3653" t="str">
        <f t="shared" si="173"/>
        <v xml:space="preserve">N215T   </v>
      </c>
      <c r="BF3653">
        <v>1</v>
      </c>
      <c r="BH3653">
        <v>0</v>
      </c>
      <c r="BI3653">
        <v>0</v>
      </c>
      <c r="BJ3653">
        <v>0</v>
      </c>
      <c r="BK3653">
        <v>2475</v>
      </c>
      <c r="BL3653">
        <v>375</v>
      </c>
      <c r="BM3653" t="s">
        <v>119</v>
      </c>
      <c r="BN3653">
        <v>1</v>
      </c>
      <c r="BO3653">
        <v>1</v>
      </c>
      <c r="BP3653">
        <v>1</v>
      </c>
      <c r="BQ3653">
        <v>0</v>
      </c>
      <c r="BT3653">
        <v>0</v>
      </c>
      <c r="BU3653">
        <v>0</v>
      </c>
      <c r="BV3653">
        <v>0</v>
      </c>
      <c r="CC3653" t="str">
        <f>"19:35:51.766"</f>
        <v>19:35:51.766</v>
      </c>
      <c r="CD3653" t="str">
        <f>"762264295"</f>
        <v>762264295</v>
      </c>
      <c r="CQ3653">
        <v>0</v>
      </c>
      <c r="CR3653">
        <v>2</v>
      </c>
      <c r="CS3653">
        <v>0</v>
      </c>
      <c r="CT3653">
        <v>2</v>
      </c>
      <c r="CU3653">
        <v>0</v>
      </c>
      <c r="CV3653">
        <v>5</v>
      </c>
      <c r="CW3653" t="s">
        <v>120</v>
      </c>
      <c r="CX3653">
        <v>257</v>
      </c>
      <c r="CY3653">
        <v>0</v>
      </c>
      <c r="CZ3653" t="s">
        <v>615</v>
      </c>
      <c r="DA3653" t="s">
        <v>616</v>
      </c>
      <c r="DD3653">
        <v>16517963</v>
      </c>
      <c r="DE3653" t="s">
        <v>123</v>
      </c>
    </row>
    <row r="3654" spans="1:109" x14ac:dyDescent="0.3">
      <c r="A3654" t="str">
        <f>"19:35:53.039"</f>
        <v>19:35:53.039</v>
      </c>
      <c r="B3654" t="s">
        <v>110</v>
      </c>
      <c r="C3654" t="str">
        <f t="shared" si="171"/>
        <v>ffdfd3c0</v>
      </c>
      <c r="D3654" t="s">
        <v>111</v>
      </c>
      <c r="E3654">
        <v>18</v>
      </c>
      <c r="F3654">
        <v>1018</v>
      </c>
      <c r="G3654" t="s">
        <v>112</v>
      </c>
      <c r="J3654" t="s">
        <v>113</v>
      </c>
      <c r="K3654">
        <v>0</v>
      </c>
      <c r="L3654">
        <v>3</v>
      </c>
      <c r="M3654">
        <v>0</v>
      </c>
      <c r="N3654">
        <v>2</v>
      </c>
      <c r="O3654">
        <v>1</v>
      </c>
      <c r="P3654">
        <v>0</v>
      </c>
      <c r="Q3654">
        <v>0</v>
      </c>
      <c r="R3654" t="s">
        <v>114</v>
      </c>
      <c r="S3654" t="str">
        <f>"19:35:52.820"</f>
        <v>19:35:52.820</v>
      </c>
      <c r="T3654" t="str">
        <f>"19:35:52.719"</f>
        <v>19:35:52.719</v>
      </c>
      <c r="U3654" t="str">
        <f t="shared" si="172"/>
        <v>a1cdbe</v>
      </c>
      <c r="V3654">
        <v>0</v>
      </c>
      <c r="W3654">
        <v>0</v>
      </c>
      <c r="X3654">
        <v>2</v>
      </c>
      <c r="Y3654">
        <v>0</v>
      </c>
      <c r="Z3654">
        <v>0</v>
      </c>
      <c r="AB3654">
        <v>0</v>
      </c>
      <c r="AC3654">
        <v>9</v>
      </c>
      <c r="AD3654">
        <v>3</v>
      </c>
      <c r="AE3654">
        <v>0</v>
      </c>
      <c r="AF3654">
        <v>9</v>
      </c>
      <c r="AG3654" t="s">
        <v>158</v>
      </c>
      <c r="AH3654">
        <v>0</v>
      </c>
      <c r="AI3654">
        <v>3</v>
      </c>
      <c r="AJ3654">
        <v>1</v>
      </c>
      <c r="AK3654">
        <v>0</v>
      </c>
      <c r="AL3654" t="s">
        <v>6880</v>
      </c>
      <c r="AM3654">
        <v>47.030968999999999</v>
      </c>
      <c r="AN3654" t="s">
        <v>6881</v>
      </c>
      <c r="AO3654">
        <v>-123.86582900000001</v>
      </c>
      <c r="AP3654">
        <v>100</v>
      </c>
      <c r="AQ3654">
        <v>2100</v>
      </c>
      <c r="AR3654" t="s">
        <v>118</v>
      </c>
      <c r="AS3654">
        <v>-76</v>
      </c>
      <c r="AT3654">
        <v>24</v>
      </c>
      <c r="AU3654">
        <v>64</v>
      </c>
      <c r="BC3654">
        <v>1200</v>
      </c>
      <c r="BD3654">
        <v>1</v>
      </c>
      <c r="BE3654" t="str">
        <f t="shared" si="173"/>
        <v xml:space="preserve">N215T   </v>
      </c>
      <c r="BF3654">
        <v>1</v>
      </c>
      <c r="BH3654">
        <v>0</v>
      </c>
      <c r="BI3654">
        <v>0</v>
      </c>
      <c r="BJ3654">
        <v>0</v>
      </c>
      <c r="BK3654">
        <v>2475</v>
      </c>
      <c r="BL3654">
        <v>375</v>
      </c>
      <c r="BM3654" t="s">
        <v>119</v>
      </c>
      <c r="BN3654">
        <v>1</v>
      </c>
      <c r="BO3654">
        <v>1</v>
      </c>
      <c r="BP3654">
        <v>1</v>
      </c>
      <c r="BQ3654">
        <v>0</v>
      </c>
      <c r="BT3654">
        <v>0</v>
      </c>
      <c r="BU3654">
        <v>0</v>
      </c>
      <c r="BV3654">
        <v>0</v>
      </c>
      <c r="CC3654" t="str">
        <f>"19:35:52.828"</f>
        <v>19:35:52.828</v>
      </c>
      <c r="CD3654" t="str">
        <f>"827159398"</f>
        <v>827159398</v>
      </c>
      <c r="CQ3654">
        <v>0</v>
      </c>
      <c r="CR3654">
        <v>2</v>
      </c>
      <c r="CS3654">
        <v>0</v>
      </c>
      <c r="CT3654">
        <v>2</v>
      </c>
      <c r="CU3654">
        <v>0</v>
      </c>
      <c r="CV3654">
        <v>5</v>
      </c>
      <c r="CW3654" t="s">
        <v>120</v>
      </c>
      <c r="CX3654">
        <v>257</v>
      </c>
      <c r="CY3654">
        <v>0</v>
      </c>
      <c r="CZ3654" t="s">
        <v>615</v>
      </c>
      <c r="DA3654" t="s">
        <v>616</v>
      </c>
      <c r="DD3654">
        <v>16518361</v>
      </c>
      <c r="DE3654" t="s">
        <v>123</v>
      </c>
    </row>
    <row r="3655" spans="1:109" x14ac:dyDescent="0.3">
      <c r="A3655" t="str">
        <f>"19:35:54.000"</f>
        <v>19:35:54.000</v>
      </c>
      <c r="B3655" t="s">
        <v>110</v>
      </c>
      <c r="C3655" t="str">
        <f t="shared" si="171"/>
        <v>ffdfd3c0</v>
      </c>
      <c r="D3655" t="s">
        <v>111</v>
      </c>
      <c r="E3655">
        <v>18</v>
      </c>
      <c r="F3655">
        <v>1018</v>
      </c>
      <c r="G3655" t="s">
        <v>112</v>
      </c>
      <c r="J3655" t="s">
        <v>113</v>
      </c>
      <c r="K3655">
        <v>0</v>
      </c>
      <c r="L3655">
        <v>3</v>
      </c>
      <c r="M3655">
        <v>0</v>
      </c>
      <c r="N3655">
        <v>2</v>
      </c>
      <c r="O3655">
        <v>1</v>
      </c>
      <c r="P3655">
        <v>0</v>
      </c>
      <c r="Q3655">
        <v>0</v>
      </c>
      <c r="R3655" t="s">
        <v>114</v>
      </c>
      <c r="S3655" t="str">
        <f>"19:35:53.734"</f>
        <v>19:35:53.734</v>
      </c>
      <c r="T3655" t="str">
        <f>"19:35:53.734"</f>
        <v>19:35:53.734</v>
      </c>
      <c r="U3655" t="str">
        <f t="shared" si="172"/>
        <v>a1cdbe</v>
      </c>
      <c r="V3655">
        <v>0</v>
      </c>
      <c r="W3655">
        <v>0</v>
      </c>
      <c r="X3655">
        <v>2</v>
      </c>
      <c r="Y3655">
        <v>0</v>
      </c>
      <c r="Z3655">
        <v>0</v>
      </c>
      <c r="AB3655">
        <v>0</v>
      </c>
      <c r="AC3655">
        <v>9</v>
      </c>
      <c r="AD3655">
        <v>3</v>
      </c>
      <c r="AE3655">
        <v>0</v>
      </c>
      <c r="AF3655">
        <v>9</v>
      </c>
      <c r="AG3655" t="s">
        <v>158</v>
      </c>
      <c r="AH3655">
        <v>0</v>
      </c>
      <c r="AI3655">
        <v>3</v>
      </c>
      <c r="AJ3655">
        <v>1</v>
      </c>
      <c r="AK3655">
        <v>0</v>
      </c>
      <c r="AL3655" t="s">
        <v>6882</v>
      </c>
      <c r="AM3655">
        <v>47.031097000000003</v>
      </c>
      <c r="AN3655" t="s">
        <v>6883</v>
      </c>
      <c r="AO3655">
        <v>-123.866322</v>
      </c>
      <c r="AP3655">
        <v>100</v>
      </c>
      <c r="AQ3655">
        <v>2100</v>
      </c>
      <c r="AR3655" t="s">
        <v>118</v>
      </c>
      <c r="AS3655">
        <v>-76</v>
      </c>
      <c r="AT3655">
        <v>24</v>
      </c>
      <c r="AU3655">
        <v>64</v>
      </c>
      <c r="BC3655">
        <v>1200</v>
      </c>
      <c r="BD3655">
        <v>1</v>
      </c>
      <c r="BE3655" t="str">
        <f t="shared" si="173"/>
        <v xml:space="preserve">N215T   </v>
      </c>
      <c r="BF3655">
        <v>1</v>
      </c>
      <c r="BH3655">
        <v>0</v>
      </c>
      <c r="BI3655">
        <v>0</v>
      </c>
      <c r="BJ3655">
        <v>0</v>
      </c>
      <c r="BK3655">
        <v>2475</v>
      </c>
      <c r="BL3655">
        <v>375</v>
      </c>
      <c r="BM3655" t="s">
        <v>119</v>
      </c>
      <c r="BN3655">
        <v>1</v>
      </c>
      <c r="BO3655">
        <v>1</v>
      </c>
      <c r="BP3655">
        <v>1</v>
      </c>
      <c r="BQ3655">
        <v>0</v>
      </c>
      <c r="BT3655">
        <v>0</v>
      </c>
      <c r="BU3655">
        <v>0</v>
      </c>
      <c r="BV3655">
        <v>0</v>
      </c>
      <c r="CC3655" t="str">
        <f>"19:35:53.742"</f>
        <v>19:35:53.742</v>
      </c>
      <c r="CD3655" t="str">
        <f>"742069283"</f>
        <v>742069283</v>
      </c>
      <c r="CQ3655">
        <v>0</v>
      </c>
      <c r="CR3655">
        <v>2</v>
      </c>
      <c r="CS3655">
        <v>0</v>
      </c>
      <c r="CT3655">
        <v>2</v>
      </c>
      <c r="CU3655">
        <v>0</v>
      </c>
      <c r="CV3655">
        <v>5</v>
      </c>
      <c r="CW3655" t="s">
        <v>120</v>
      </c>
      <c r="CX3655">
        <v>257</v>
      </c>
      <c r="CY3655">
        <v>0</v>
      </c>
      <c r="CZ3655" t="s">
        <v>615</v>
      </c>
      <c r="DA3655" t="s">
        <v>616</v>
      </c>
      <c r="DD3655">
        <v>16518717</v>
      </c>
      <c r="DE3655" t="s">
        <v>123</v>
      </c>
    </row>
    <row r="3656" spans="1:109" x14ac:dyDescent="0.3">
      <c r="A3656" t="str">
        <f>"19:35:55.000"</f>
        <v>19:35:55.000</v>
      </c>
      <c r="B3656" t="s">
        <v>110</v>
      </c>
      <c r="C3656" t="str">
        <f t="shared" si="171"/>
        <v>ffdfd3c0</v>
      </c>
      <c r="D3656" t="s">
        <v>111</v>
      </c>
      <c r="E3656">
        <v>18</v>
      </c>
      <c r="F3656">
        <v>1018</v>
      </c>
      <c r="G3656" t="s">
        <v>112</v>
      </c>
      <c r="J3656" t="s">
        <v>113</v>
      </c>
      <c r="K3656">
        <v>0</v>
      </c>
      <c r="L3656">
        <v>3</v>
      </c>
      <c r="M3656">
        <v>0</v>
      </c>
      <c r="N3656">
        <v>2</v>
      </c>
      <c r="O3656">
        <v>1</v>
      </c>
      <c r="P3656">
        <v>0</v>
      </c>
      <c r="Q3656">
        <v>0</v>
      </c>
      <c r="R3656" t="s">
        <v>114</v>
      </c>
      <c r="S3656" t="str">
        <f>"19:35:54.773"</f>
        <v>19:35:54.773</v>
      </c>
      <c r="T3656" t="str">
        <f>"19:35:54.273"</f>
        <v>19:35:54.273</v>
      </c>
      <c r="U3656" t="str">
        <f t="shared" si="172"/>
        <v>a1cdbe</v>
      </c>
      <c r="V3656">
        <v>0</v>
      </c>
      <c r="W3656">
        <v>0</v>
      </c>
      <c r="X3656">
        <v>2</v>
      </c>
      <c r="Y3656">
        <v>0</v>
      </c>
      <c r="Z3656">
        <v>0</v>
      </c>
      <c r="AB3656">
        <v>0</v>
      </c>
      <c r="AC3656">
        <v>9</v>
      </c>
      <c r="AD3656">
        <v>3</v>
      </c>
      <c r="AE3656">
        <v>0</v>
      </c>
      <c r="AF3656">
        <v>9</v>
      </c>
      <c r="AG3656" t="s">
        <v>158</v>
      </c>
      <c r="AH3656">
        <v>0</v>
      </c>
      <c r="AI3656">
        <v>3</v>
      </c>
      <c r="AJ3656">
        <v>1</v>
      </c>
      <c r="AK3656">
        <v>0</v>
      </c>
      <c r="AL3656" t="s">
        <v>6884</v>
      </c>
      <c r="AM3656">
        <v>47.031182999999999</v>
      </c>
      <c r="AN3656" t="s">
        <v>6885</v>
      </c>
      <c r="AO3656">
        <v>-123.86685799999999</v>
      </c>
      <c r="AP3656">
        <v>100</v>
      </c>
      <c r="AQ3656">
        <v>2100</v>
      </c>
      <c r="AR3656" t="s">
        <v>118</v>
      </c>
      <c r="AS3656">
        <v>-76</v>
      </c>
      <c r="AT3656">
        <v>24</v>
      </c>
      <c r="AU3656">
        <v>128</v>
      </c>
      <c r="BC3656">
        <v>1200</v>
      </c>
      <c r="BD3656">
        <v>1</v>
      </c>
      <c r="BE3656" t="str">
        <f t="shared" si="173"/>
        <v xml:space="preserve">N215T   </v>
      </c>
      <c r="BF3656">
        <v>1</v>
      </c>
      <c r="BH3656">
        <v>0</v>
      </c>
      <c r="BI3656">
        <v>0</v>
      </c>
      <c r="BJ3656">
        <v>0</v>
      </c>
      <c r="BK3656">
        <v>2475</v>
      </c>
      <c r="BL3656">
        <v>375</v>
      </c>
      <c r="BM3656" t="s">
        <v>119</v>
      </c>
      <c r="BN3656">
        <v>1</v>
      </c>
      <c r="BO3656">
        <v>1</v>
      </c>
      <c r="BP3656">
        <v>1</v>
      </c>
      <c r="BQ3656">
        <v>0</v>
      </c>
      <c r="BT3656">
        <v>0</v>
      </c>
      <c r="BU3656">
        <v>0</v>
      </c>
      <c r="BV3656">
        <v>0</v>
      </c>
      <c r="CC3656" t="str">
        <f>"19:35:54.773"</f>
        <v>19:35:54.773</v>
      </c>
      <c r="CD3656" t="str">
        <f>"776967324"</f>
        <v>776967324</v>
      </c>
      <c r="CQ3656">
        <v>0</v>
      </c>
      <c r="CR3656">
        <v>2</v>
      </c>
      <c r="CS3656">
        <v>0</v>
      </c>
      <c r="CT3656">
        <v>2</v>
      </c>
      <c r="CU3656">
        <v>0</v>
      </c>
      <c r="CV3656">
        <v>4</v>
      </c>
      <c r="CW3656" t="s">
        <v>120</v>
      </c>
      <c r="CX3656">
        <v>257</v>
      </c>
      <c r="CY3656">
        <v>0</v>
      </c>
      <c r="CZ3656" t="s">
        <v>615</v>
      </c>
      <c r="DA3656" t="s">
        <v>616</v>
      </c>
      <c r="DD3656">
        <v>16519144</v>
      </c>
      <c r="DE3656" t="s">
        <v>123</v>
      </c>
    </row>
    <row r="3657" spans="1:109" x14ac:dyDescent="0.3">
      <c r="A3657" t="str">
        <f>"19:35:56.008"</f>
        <v>19:35:56.008</v>
      </c>
      <c r="B3657" t="s">
        <v>110</v>
      </c>
      <c r="C3657" t="str">
        <f t="shared" si="171"/>
        <v>ffdfd3c0</v>
      </c>
      <c r="D3657" t="s">
        <v>111</v>
      </c>
      <c r="E3657">
        <v>18</v>
      </c>
      <c r="F3657">
        <v>1018</v>
      </c>
      <c r="G3657" t="s">
        <v>112</v>
      </c>
      <c r="J3657" t="s">
        <v>113</v>
      </c>
      <c r="K3657">
        <v>0</v>
      </c>
      <c r="L3657">
        <v>3</v>
      </c>
      <c r="M3657">
        <v>0</v>
      </c>
      <c r="N3657">
        <v>2</v>
      </c>
      <c r="O3657">
        <v>1</v>
      </c>
      <c r="P3657">
        <v>0</v>
      </c>
      <c r="Q3657">
        <v>0</v>
      </c>
      <c r="R3657" t="s">
        <v>114</v>
      </c>
      <c r="S3657" t="str">
        <f>"19:35:55.766"</f>
        <v>19:35:55.766</v>
      </c>
      <c r="T3657" t="str">
        <f>"19:35:55.469"</f>
        <v>19:35:55.469</v>
      </c>
      <c r="U3657" t="str">
        <f t="shared" si="172"/>
        <v>a1cdbe</v>
      </c>
      <c r="V3657">
        <v>0</v>
      </c>
      <c r="W3657">
        <v>0</v>
      </c>
      <c r="X3657">
        <v>2</v>
      </c>
      <c r="Y3657">
        <v>0</v>
      </c>
      <c r="Z3657">
        <v>0</v>
      </c>
      <c r="AB3657">
        <v>0</v>
      </c>
      <c r="AC3657">
        <v>9</v>
      </c>
      <c r="AD3657">
        <v>3</v>
      </c>
      <c r="AE3657">
        <v>0</v>
      </c>
      <c r="AF3657">
        <v>9</v>
      </c>
      <c r="AG3657" t="s">
        <v>158</v>
      </c>
      <c r="AH3657">
        <v>0</v>
      </c>
      <c r="AI3657">
        <v>3</v>
      </c>
      <c r="AJ3657">
        <v>1</v>
      </c>
      <c r="AK3657">
        <v>0</v>
      </c>
      <c r="AL3657" t="s">
        <v>6886</v>
      </c>
      <c r="AM3657">
        <v>47.031312</v>
      </c>
      <c r="AN3657" t="s">
        <v>6887</v>
      </c>
      <c r="AO3657">
        <v>-123.867395</v>
      </c>
      <c r="AP3657">
        <v>100</v>
      </c>
      <c r="AQ3657">
        <v>2100</v>
      </c>
      <c r="AR3657" t="s">
        <v>118</v>
      </c>
      <c r="AS3657">
        <v>-76</v>
      </c>
      <c r="AT3657">
        <v>24</v>
      </c>
      <c r="AU3657">
        <v>64</v>
      </c>
      <c r="BC3657">
        <v>1200</v>
      </c>
      <c r="BD3657">
        <v>1</v>
      </c>
      <c r="BE3657" t="str">
        <f t="shared" si="173"/>
        <v xml:space="preserve">N215T   </v>
      </c>
      <c r="BF3657">
        <v>1</v>
      </c>
      <c r="BH3657">
        <v>0</v>
      </c>
      <c r="BI3657">
        <v>0</v>
      </c>
      <c r="BJ3657">
        <v>0</v>
      </c>
      <c r="BK3657">
        <v>2500</v>
      </c>
      <c r="BL3657">
        <v>400</v>
      </c>
      <c r="BM3657" t="s">
        <v>119</v>
      </c>
      <c r="BN3657">
        <v>1</v>
      </c>
      <c r="BO3657">
        <v>1</v>
      </c>
      <c r="BP3657">
        <v>1</v>
      </c>
      <c r="BQ3657">
        <v>0</v>
      </c>
      <c r="BT3657">
        <v>0</v>
      </c>
      <c r="BU3657">
        <v>0</v>
      </c>
      <c r="BV3657">
        <v>0</v>
      </c>
      <c r="CC3657" t="str">
        <f>"19:35:55.766"</f>
        <v>19:35:55.766</v>
      </c>
      <c r="CD3657" t="str">
        <f>"766869796"</f>
        <v>766869796</v>
      </c>
      <c r="CQ3657">
        <v>0</v>
      </c>
      <c r="CR3657">
        <v>2</v>
      </c>
      <c r="CS3657">
        <v>0</v>
      </c>
      <c r="CT3657">
        <v>2</v>
      </c>
      <c r="CU3657">
        <v>0</v>
      </c>
      <c r="CV3657">
        <v>3</v>
      </c>
      <c r="CW3657" t="s">
        <v>120</v>
      </c>
      <c r="CX3657">
        <v>257</v>
      </c>
      <c r="CY3657">
        <v>0</v>
      </c>
      <c r="CZ3657" t="s">
        <v>615</v>
      </c>
      <c r="DA3657" t="s">
        <v>616</v>
      </c>
      <c r="DD3657">
        <v>16519575</v>
      </c>
      <c r="DE3657" t="s">
        <v>123</v>
      </c>
    </row>
    <row r="3658" spans="1:109" x14ac:dyDescent="0.3">
      <c r="A3658" t="str">
        <f>"19:35:57.117"</f>
        <v>19:35:57.117</v>
      </c>
      <c r="B3658" t="s">
        <v>110</v>
      </c>
      <c r="C3658" t="str">
        <f t="shared" si="171"/>
        <v>ffdfd3c0</v>
      </c>
      <c r="D3658" t="s">
        <v>111</v>
      </c>
      <c r="E3658">
        <v>18</v>
      </c>
      <c r="F3658">
        <v>1018</v>
      </c>
      <c r="G3658" t="s">
        <v>112</v>
      </c>
      <c r="J3658" t="s">
        <v>113</v>
      </c>
      <c r="K3658">
        <v>0</v>
      </c>
      <c r="L3658">
        <v>3</v>
      </c>
      <c r="M3658">
        <v>0</v>
      </c>
      <c r="N3658">
        <v>2</v>
      </c>
      <c r="O3658">
        <v>1</v>
      </c>
      <c r="P3658">
        <v>0</v>
      </c>
      <c r="Q3658">
        <v>0</v>
      </c>
      <c r="R3658" t="s">
        <v>114</v>
      </c>
      <c r="S3658" t="str">
        <f>"19:35:56.859"</f>
        <v>19:35:56.859</v>
      </c>
      <c r="T3658" t="str">
        <f>"19:35:56.859"</f>
        <v>19:35:56.859</v>
      </c>
      <c r="U3658" t="str">
        <f t="shared" si="172"/>
        <v>a1cdbe</v>
      </c>
      <c r="V3658">
        <v>0</v>
      </c>
      <c r="W3658">
        <v>0</v>
      </c>
      <c r="X3658">
        <v>2</v>
      </c>
      <c r="Y3658">
        <v>0</v>
      </c>
      <c r="Z3658">
        <v>0</v>
      </c>
      <c r="AB3658">
        <v>0</v>
      </c>
      <c r="AC3658">
        <v>9</v>
      </c>
      <c r="AD3658">
        <v>3</v>
      </c>
      <c r="AE3658">
        <v>0</v>
      </c>
      <c r="AF3658">
        <v>9</v>
      </c>
      <c r="AG3658" t="s">
        <v>158</v>
      </c>
      <c r="AH3658">
        <v>0</v>
      </c>
      <c r="AI3658">
        <v>3</v>
      </c>
      <c r="AJ3658">
        <v>1</v>
      </c>
      <c r="AK3658">
        <v>0</v>
      </c>
      <c r="AL3658" t="s">
        <v>6888</v>
      </c>
      <c r="AM3658">
        <v>47.031419</v>
      </c>
      <c r="AN3658" t="s">
        <v>6889</v>
      </c>
      <c r="AO3658">
        <v>-123.867974</v>
      </c>
      <c r="AP3658">
        <v>100</v>
      </c>
      <c r="AQ3658">
        <v>2100</v>
      </c>
      <c r="AR3658" t="s">
        <v>118</v>
      </c>
      <c r="AS3658">
        <v>-75</v>
      </c>
      <c r="AT3658">
        <v>24</v>
      </c>
      <c r="AU3658">
        <v>64</v>
      </c>
      <c r="BC3658">
        <v>1200</v>
      </c>
      <c r="BD3658">
        <v>1</v>
      </c>
      <c r="BE3658" t="str">
        <f t="shared" si="173"/>
        <v xml:space="preserve">N215T   </v>
      </c>
      <c r="BF3658">
        <v>1</v>
      </c>
      <c r="BH3658">
        <v>0</v>
      </c>
      <c r="BI3658">
        <v>0</v>
      </c>
      <c r="BJ3658">
        <v>0</v>
      </c>
      <c r="BK3658">
        <v>2500</v>
      </c>
      <c r="BL3658">
        <v>400</v>
      </c>
      <c r="BM3658" t="s">
        <v>119</v>
      </c>
      <c r="BN3658">
        <v>1</v>
      </c>
      <c r="BO3658">
        <v>1</v>
      </c>
      <c r="BP3658">
        <v>1</v>
      </c>
      <c r="BQ3658">
        <v>0</v>
      </c>
      <c r="BT3658">
        <v>0</v>
      </c>
      <c r="BU3658">
        <v>0</v>
      </c>
      <c r="BV3658">
        <v>0</v>
      </c>
      <c r="CC3658" t="str">
        <f>"19:35:56.859"</f>
        <v>19:35:56.859</v>
      </c>
      <c r="CD3658" t="str">
        <f>"861761990"</f>
        <v>861761990</v>
      </c>
      <c r="CQ3658">
        <v>0</v>
      </c>
      <c r="CR3658">
        <v>2</v>
      </c>
      <c r="CS3658">
        <v>0</v>
      </c>
      <c r="CT3658">
        <v>2</v>
      </c>
      <c r="CU3658">
        <v>0</v>
      </c>
      <c r="CV3658">
        <v>5</v>
      </c>
      <c r="CW3658" t="s">
        <v>120</v>
      </c>
      <c r="CX3658">
        <v>257</v>
      </c>
      <c r="CY3658">
        <v>0</v>
      </c>
      <c r="CZ3658" t="s">
        <v>615</v>
      </c>
      <c r="DA3658" t="s">
        <v>616</v>
      </c>
      <c r="DD3658">
        <v>16520024</v>
      </c>
      <c r="DE3658" t="s">
        <v>123</v>
      </c>
    </row>
    <row r="3659" spans="1:109" x14ac:dyDescent="0.3">
      <c r="A3659" t="str">
        <f>"19:35:58.125"</f>
        <v>19:35:58.125</v>
      </c>
      <c r="B3659" t="s">
        <v>110</v>
      </c>
      <c r="C3659" t="str">
        <f t="shared" si="171"/>
        <v>ffdfd3c0</v>
      </c>
      <c r="D3659" t="s">
        <v>111</v>
      </c>
      <c r="E3659">
        <v>18</v>
      </c>
      <c r="F3659">
        <v>1018</v>
      </c>
      <c r="G3659" t="s">
        <v>112</v>
      </c>
      <c r="J3659" t="s">
        <v>113</v>
      </c>
      <c r="K3659">
        <v>0</v>
      </c>
      <c r="L3659">
        <v>3</v>
      </c>
      <c r="M3659">
        <v>0</v>
      </c>
      <c r="N3659">
        <v>2</v>
      </c>
      <c r="O3659">
        <v>1</v>
      </c>
      <c r="P3659">
        <v>0</v>
      </c>
      <c r="Q3659">
        <v>0</v>
      </c>
      <c r="R3659" t="s">
        <v>114</v>
      </c>
      <c r="S3659" t="str">
        <f>"19:35:57.875"</f>
        <v>19:35:57.875</v>
      </c>
      <c r="T3659" t="str">
        <f>"19:35:57.773"</f>
        <v>19:35:57.773</v>
      </c>
      <c r="U3659" t="str">
        <f t="shared" si="172"/>
        <v>a1cdbe</v>
      </c>
      <c r="V3659">
        <v>0</v>
      </c>
      <c r="W3659">
        <v>0</v>
      </c>
      <c r="X3659">
        <v>2</v>
      </c>
      <c r="Y3659">
        <v>0</v>
      </c>
      <c r="Z3659">
        <v>0</v>
      </c>
      <c r="AB3659">
        <v>0</v>
      </c>
      <c r="AC3659">
        <v>9</v>
      </c>
      <c r="AD3659">
        <v>3</v>
      </c>
      <c r="AE3659">
        <v>0</v>
      </c>
      <c r="AF3659">
        <v>9</v>
      </c>
      <c r="AG3659" t="s">
        <v>158</v>
      </c>
      <c r="AH3659">
        <v>0</v>
      </c>
      <c r="AI3659">
        <v>3</v>
      </c>
      <c r="AJ3659">
        <v>1</v>
      </c>
      <c r="AK3659">
        <v>0</v>
      </c>
      <c r="AL3659" t="s">
        <v>6890</v>
      </c>
      <c r="AM3659">
        <v>47.031548000000001</v>
      </c>
      <c r="AN3659" t="s">
        <v>6891</v>
      </c>
      <c r="AO3659">
        <v>-123.86844600000001</v>
      </c>
      <c r="AP3659">
        <v>100</v>
      </c>
      <c r="AQ3659">
        <v>2100</v>
      </c>
      <c r="AR3659" t="s">
        <v>118</v>
      </c>
      <c r="AS3659">
        <v>-75</v>
      </c>
      <c r="AT3659">
        <v>24</v>
      </c>
      <c r="AU3659">
        <v>64</v>
      </c>
      <c r="BC3659">
        <v>1200</v>
      </c>
      <c r="BD3659">
        <v>1</v>
      </c>
      <c r="BE3659" t="str">
        <f t="shared" si="173"/>
        <v xml:space="preserve">N215T   </v>
      </c>
      <c r="BF3659">
        <v>1</v>
      </c>
      <c r="BH3659">
        <v>0</v>
      </c>
      <c r="BI3659">
        <v>0</v>
      </c>
      <c r="BJ3659">
        <v>0</v>
      </c>
      <c r="BK3659">
        <v>2500</v>
      </c>
      <c r="BL3659">
        <v>400</v>
      </c>
      <c r="BM3659" t="s">
        <v>119</v>
      </c>
      <c r="BN3659">
        <v>1</v>
      </c>
      <c r="BO3659">
        <v>1</v>
      </c>
      <c r="BP3659">
        <v>1</v>
      </c>
      <c r="BQ3659">
        <v>0</v>
      </c>
      <c r="BT3659">
        <v>0</v>
      </c>
      <c r="BU3659">
        <v>0</v>
      </c>
      <c r="BV3659">
        <v>0</v>
      </c>
      <c r="CC3659" t="str">
        <f>"19:35:57.883"</f>
        <v>19:35:57.883</v>
      </c>
      <c r="CD3659" t="str">
        <f>"881661518"</f>
        <v>881661518</v>
      </c>
      <c r="CQ3659">
        <v>0</v>
      </c>
      <c r="CR3659">
        <v>2</v>
      </c>
      <c r="CS3659">
        <v>0</v>
      </c>
      <c r="CT3659">
        <v>2</v>
      </c>
      <c r="CU3659">
        <v>0</v>
      </c>
      <c r="CV3659">
        <v>4</v>
      </c>
      <c r="CW3659" t="s">
        <v>120</v>
      </c>
      <c r="CX3659">
        <v>257</v>
      </c>
      <c r="CY3659">
        <v>0</v>
      </c>
      <c r="CZ3659" t="s">
        <v>615</v>
      </c>
      <c r="DA3659" t="s">
        <v>616</v>
      </c>
      <c r="DD3659">
        <v>16520414</v>
      </c>
      <c r="DE3659" t="s">
        <v>123</v>
      </c>
    </row>
    <row r="3660" spans="1:109" x14ac:dyDescent="0.3">
      <c r="A3660" t="str">
        <f>"19:35:59.023"</f>
        <v>19:35:59.023</v>
      </c>
      <c r="B3660" t="s">
        <v>110</v>
      </c>
      <c r="C3660" t="str">
        <f t="shared" si="171"/>
        <v>ffdfd3c0</v>
      </c>
      <c r="D3660" t="s">
        <v>111</v>
      </c>
      <c r="E3660">
        <v>18</v>
      </c>
      <c r="F3660">
        <v>1018</v>
      </c>
      <c r="G3660" t="s">
        <v>112</v>
      </c>
      <c r="J3660" t="s">
        <v>113</v>
      </c>
      <c r="K3660">
        <v>0</v>
      </c>
      <c r="L3660">
        <v>3</v>
      </c>
      <c r="M3660">
        <v>0</v>
      </c>
      <c r="N3660">
        <v>2</v>
      </c>
      <c r="O3660">
        <v>1</v>
      </c>
      <c r="P3660">
        <v>0</v>
      </c>
      <c r="Q3660">
        <v>0</v>
      </c>
      <c r="R3660" t="s">
        <v>114</v>
      </c>
      <c r="S3660" t="str">
        <f>"19:35:58.789"</f>
        <v>19:35:58.789</v>
      </c>
      <c r="T3660" t="str">
        <f>"19:35:58.688"</f>
        <v>19:35:58.688</v>
      </c>
      <c r="U3660" t="str">
        <f t="shared" si="172"/>
        <v>a1cdbe</v>
      </c>
      <c r="V3660">
        <v>0</v>
      </c>
      <c r="W3660">
        <v>0</v>
      </c>
      <c r="X3660">
        <v>2</v>
      </c>
      <c r="Y3660">
        <v>0</v>
      </c>
      <c r="Z3660">
        <v>0</v>
      </c>
      <c r="AB3660">
        <v>0</v>
      </c>
      <c r="AC3660">
        <v>9</v>
      </c>
      <c r="AD3660">
        <v>3</v>
      </c>
      <c r="AE3660">
        <v>0</v>
      </c>
      <c r="AF3660">
        <v>9</v>
      </c>
      <c r="AG3660" t="s">
        <v>158</v>
      </c>
      <c r="AH3660">
        <v>0</v>
      </c>
      <c r="AI3660">
        <v>3</v>
      </c>
      <c r="AJ3660">
        <v>1</v>
      </c>
      <c r="AK3660">
        <v>0</v>
      </c>
      <c r="AL3660" t="s">
        <v>6892</v>
      </c>
      <c r="AM3660">
        <v>47.031655000000001</v>
      </c>
      <c r="AN3660" t="s">
        <v>6893</v>
      </c>
      <c r="AO3660">
        <v>-123.86891799999999</v>
      </c>
      <c r="AP3660">
        <v>100</v>
      </c>
      <c r="AQ3660">
        <v>2100</v>
      </c>
      <c r="AR3660" t="s">
        <v>118</v>
      </c>
      <c r="AS3660">
        <v>-76</v>
      </c>
      <c r="AT3660">
        <v>24</v>
      </c>
      <c r="AU3660">
        <v>0</v>
      </c>
      <c r="BC3660">
        <v>1200</v>
      </c>
      <c r="BD3660">
        <v>1</v>
      </c>
      <c r="BE3660" t="str">
        <f t="shared" si="173"/>
        <v xml:space="preserve">N215T   </v>
      </c>
      <c r="BF3660">
        <v>1</v>
      </c>
      <c r="BH3660">
        <v>0</v>
      </c>
      <c r="BI3660">
        <v>0</v>
      </c>
      <c r="BJ3660">
        <v>0</v>
      </c>
      <c r="BK3660">
        <v>2500</v>
      </c>
      <c r="BL3660">
        <v>400</v>
      </c>
      <c r="BM3660" t="s">
        <v>119</v>
      </c>
      <c r="BN3660">
        <v>1</v>
      </c>
      <c r="BO3660">
        <v>1</v>
      </c>
      <c r="BP3660">
        <v>1</v>
      </c>
      <c r="BQ3660">
        <v>0</v>
      </c>
      <c r="BT3660">
        <v>0</v>
      </c>
      <c r="BU3660">
        <v>0</v>
      </c>
      <c r="BV3660">
        <v>0</v>
      </c>
      <c r="CC3660" t="str">
        <f>"19:35:58.797"</f>
        <v>19:35:58.797</v>
      </c>
      <c r="CD3660" t="str">
        <f>"796571408"</f>
        <v>796571408</v>
      </c>
      <c r="CQ3660">
        <v>0</v>
      </c>
      <c r="CR3660">
        <v>2</v>
      </c>
      <c r="CS3660">
        <v>0</v>
      </c>
      <c r="CT3660">
        <v>2</v>
      </c>
      <c r="CU3660">
        <v>0</v>
      </c>
      <c r="CV3660">
        <v>4</v>
      </c>
      <c r="CW3660" t="s">
        <v>120</v>
      </c>
      <c r="CX3660">
        <v>257</v>
      </c>
      <c r="CY3660">
        <v>0</v>
      </c>
      <c r="CZ3660" t="s">
        <v>615</v>
      </c>
      <c r="DA3660" t="s">
        <v>616</v>
      </c>
      <c r="DD3660">
        <v>16520794</v>
      </c>
      <c r="DE3660" t="s">
        <v>123</v>
      </c>
    </row>
    <row r="3661" spans="1:109" x14ac:dyDescent="0.3">
      <c r="A3661" t="str">
        <f>"19:36:00.078"</f>
        <v>19:36:00.078</v>
      </c>
      <c r="B3661" t="s">
        <v>110</v>
      </c>
      <c r="C3661" t="str">
        <f t="shared" si="171"/>
        <v>ffdfd3c0</v>
      </c>
      <c r="D3661" t="s">
        <v>111</v>
      </c>
      <c r="E3661">
        <v>18</v>
      </c>
      <c r="F3661">
        <v>1018</v>
      </c>
      <c r="G3661" t="s">
        <v>112</v>
      </c>
      <c r="J3661" t="s">
        <v>113</v>
      </c>
      <c r="K3661">
        <v>0</v>
      </c>
      <c r="L3661">
        <v>3</v>
      </c>
      <c r="M3661">
        <v>0</v>
      </c>
      <c r="N3661">
        <v>2</v>
      </c>
      <c r="O3661">
        <v>1</v>
      </c>
      <c r="P3661">
        <v>0</v>
      </c>
      <c r="Q3661">
        <v>0</v>
      </c>
      <c r="R3661" t="s">
        <v>114</v>
      </c>
      <c r="S3661" t="str">
        <f>"19:35:59.828"</f>
        <v>19:35:59.828</v>
      </c>
      <c r="T3661" t="str">
        <f>"19:35:59.828"</f>
        <v>19:35:59.828</v>
      </c>
      <c r="U3661" t="str">
        <f t="shared" si="172"/>
        <v>a1cdbe</v>
      </c>
      <c r="V3661">
        <v>0</v>
      </c>
      <c r="W3661">
        <v>0</v>
      </c>
      <c r="X3661">
        <v>2</v>
      </c>
      <c r="Y3661">
        <v>0</v>
      </c>
      <c r="Z3661">
        <v>0</v>
      </c>
      <c r="AB3661">
        <v>0</v>
      </c>
      <c r="AC3661">
        <v>9</v>
      </c>
      <c r="AD3661">
        <v>3</v>
      </c>
      <c r="AE3661">
        <v>0</v>
      </c>
      <c r="AF3661">
        <v>9</v>
      </c>
      <c r="AG3661" t="s">
        <v>158</v>
      </c>
      <c r="AH3661">
        <v>0</v>
      </c>
      <c r="AI3661">
        <v>3</v>
      </c>
      <c r="AJ3661">
        <v>1</v>
      </c>
      <c r="AK3661">
        <v>0</v>
      </c>
      <c r="AL3661" t="s">
        <v>6894</v>
      </c>
      <c r="AM3661">
        <v>47.031762999999998</v>
      </c>
      <c r="AN3661" t="s">
        <v>6895</v>
      </c>
      <c r="AO3661">
        <v>-123.869433</v>
      </c>
      <c r="AP3661">
        <v>100</v>
      </c>
      <c r="AQ3661">
        <v>2100</v>
      </c>
      <c r="AR3661" t="s">
        <v>118</v>
      </c>
      <c r="AS3661">
        <v>-76</v>
      </c>
      <c r="AT3661">
        <v>24</v>
      </c>
      <c r="AU3661">
        <v>0</v>
      </c>
      <c r="BC3661">
        <v>1200</v>
      </c>
      <c r="BD3661">
        <v>1</v>
      </c>
      <c r="BE3661" t="str">
        <f t="shared" si="173"/>
        <v xml:space="preserve">N215T   </v>
      </c>
      <c r="BF3661">
        <v>1</v>
      </c>
      <c r="BH3661">
        <v>0</v>
      </c>
      <c r="BI3661">
        <v>0</v>
      </c>
      <c r="BJ3661">
        <v>0</v>
      </c>
      <c r="BK3661">
        <v>2500</v>
      </c>
      <c r="BL3661">
        <v>400</v>
      </c>
      <c r="BM3661" t="s">
        <v>119</v>
      </c>
      <c r="BN3661">
        <v>1</v>
      </c>
      <c r="BO3661">
        <v>1</v>
      </c>
      <c r="BP3661">
        <v>1</v>
      </c>
      <c r="BQ3661">
        <v>0</v>
      </c>
      <c r="BT3661">
        <v>0</v>
      </c>
      <c r="BU3661">
        <v>0</v>
      </c>
      <c r="BV3661">
        <v>0</v>
      </c>
      <c r="CC3661" t="str">
        <f>"19:35:59.828"</f>
        <v>19:35:59.828</v>
      </c>
      <c r="CD3661" t="str">
        <f>"831469445"</f>
        <v>831469445</v>
      </c>
      <c r="CQ3661">
        <v>0</v>
      </c>
      <c r="CR3661">
        <v>2</v>
      </c>
      <c r="CS3661">
        <v>0</v>
      </c>
      <c r="CT3661">
        <v>2</v>
      </c>
      <c r="CU3661">
        <v>0</v>
      </c>
      <c r="CV3661">
        <v>4</v>
      </c>
      <c r="CW3661" t="s">
        <v>120</v>
      </c>
      <c r="CX3661">
        <v>257</v>
      </c>
      <c r="CY3661">
        <v>0</v>
      </c>
      <c r="CZ3661" t="s">
        <v>615</v>
      </c>
      <c r="DA3661" t="s">
        <v>616</v>
      </c>
      <c r="DD3661">
        <v>16521272</v>
      </c>
      <c r="DE3661" t="s">
        <v>123</v>
      </c>
    </row>
    <row r="3662" spans="1:109" x14ac:dyDescent="0.3">
      <c r="A3662" t="str">
        <f>"19:36:01.188"</f>
        <v>19:36:01.188</v>
      </c>
      <c r="B3662" t="s">
        <v>110</v>
      </c>
      <c r="C3662" t="str">
        <f t="shared" si="171"/>
        <v>ffdfd3c0</v>
      </c>
      <c r="D3662" t="s">
        <v>111</v>
      </c>
      <c r="E3662">
        <v>18</v>
      </c>
      <c r="F3662">
        <v>1018</v>
      </c>
      <c r="G3662" t="s">
        <v>112</v>
      </c>
      <c r="J3662" t="s">
        <v>113</v>
      </c>
      <c r="K3662">
        <v>0</v>
      </c>
      <c r="L3662">
        <v>3</v>
      </c>
      <c r="M3662">
        <v>0</v>
      </c>
      <c r="N3662">
        <v>2</v>
      </c>
      <c r="O3662">
        <v>1</v>
      </c>
      <c r="P3662">
        <v>0</v>
      </c>
      <c r="Q3662">
        <v>0</v>
      </c>
      <c r="R3662" t="s">
        <v>114</v>
      </c>
      <c r="S3662" t="str">
        <f>"19:36:00.922"</f>
        <v>19:36:00.922</v>
      </c>
      <c r="T3662" t="str">
        <f>"19:36:00.625"</f>
        <v>19:36:00.625</v>
      </c>
      <c r="U3662" t="str">
        <f t="shared" si="172"/>
        <v>a1cdbe</v>
      </c>
      <c r="V3662">
        <v>0</v>
      </c>
      <c r="W3662">
        <v>0</v>
      </c>
      <c r="X3662">
        <v>2</v>
      </c>
      <c r="Y3662">
        <v>0</v>
      </c>
      <c r="Z3662">
        <v>0</v>
      </c>
      <c r="AB3662">
        <v>0</v>
      </c>
      <c r="AC3662">
        <v>9</v>
      </c>
      <c r="AD3662">
        <v>3</v>
      </c>
      <c r="AE3662">
        <v>0</v>
      </c>
      <c r="AF3662">
        <v>9</v>
      </c>
      <c r="AG3662" t="s">
        <v>158</v>
      </c>
      <c r="AH3662">
        <v>0</v>
      </c>
      <c r="AI3662">
        <v>3</v>
      </c>
      <c r="AJ3662">
        <v>1</v>
      </c>
      <c r="AK3662">
        <v>0</v>
      </c>
      <c r="AL3662" t="s">
        <v>6896</v>
      </c>
      <c r="AM3662">
        <v>47.031869999999998</v>
      </c>
      <c r="AN3662" t="s">
        <v>6897</v>
      </c>
      <c r="AO3662">
        <v>-123.870034</v>
      </c>
      <c r="AP3662">
        <v>100</v>
      </c>
      <c r="AQ3662">
        <v>2100</v>
      </c>
      <c r="AR3662" t="s">
        <v>118</v>
      </c>
      <c r="AS3662">
        <v>-76</v>
      </c>
      <c r="AT3662">
        <v>24</v>
      </c>
      <c r="AU3662">
        <v>0</v>
      </c>
      <c r="BC3662">
        <v>1200</v>
      </c>
      <c r="BD3662">
        <v>1</v>
      </c>
      <c r="BE3662" t="str">
        <f t="shared" si="173"/>
        <v xml:space="preserve">N215T   </v>
      </c>
      <c r="BF3662">
        <v>1</v>
      </c>
      <c r="BH3662">
        <v>0</v>
      </c>
      <c r="BI3662">
        <v>0</v>
      </c>
      <c r="BJ3662">
        <v>0</v>
      </c>
      <c r="BK3662">
        <v>2500</v>
      </c>
      <c r="BL3662">
        <v>400</v>
      </c>
      <c r="BM3662" t="s">
        <v>119</v>
      </c>
      <c r="BN3662">
        <v>1</v>
      </c>
      <c r="BO3662">
        <v>1</v>
      </c>
      <c r="BP3662">
        <v>1</v>
      </c>
      <c r="BQ3662">
        <v>0</v>
      </c>
      <c r="BT3662">
        <v>0</v>
      </c>
      <c r="BU3662">
        <v>0</v>
      </c>
      <c r="BV3662">
        <v>0</v>
      </c>
      <c r="CC3662" t="str">
        <f>"19:36:00.930"</f>
        <v>19:36:00.930</v>
      </c>
      <c r="CD3662" t="str">
        <f>"926361604"</f>
        <v>926361604</v>
      </c>
      <c r="CQ3662">
        <v>0</v>
      </c>
      <c r="CR3662">
        <v>2</v>
      </c>
      <c r="CS3662">
        <v>0</v>
      </c>
      <c r="CT3662">
        <v>2</v>
      </c>
      <c r="CU3662">
        <v>0</v>
      </c>
      <c r="CV3662">
        <v>4</v>
      </c>
      <c r="CW3662" t="s">
        <v>120</v>
      </c>
      <c r="CX3662">
        <v>257</v>
      </c>
      <c r="CY3662">
        <v>0</v>
      </c>
      <c r="CZ3662" t="s">
        <v>615</v>
      </c>
      <c r="DA3662" t="s">
        <v>616</v>
      </c>
      <c r="DD3662">
        <v>16521733</v>
      </c>
      <c r="DE3662" t="s">
        <v>123</v>
      </c>
    </row>
    <row r="3663" spans="1:109" x14ac:dyDescent="0.3">
      <c r="A3663" t="str">
        <f>"19:36:02.141"</f>
        <v>19:36:02.141</v>
      </c>
      <c r="B3663" t="s">
        <v>110</v>
      </c>
      <c r="C3663" t="str">
        <f t="shared" si="171"/>
        <v>ffdfd3c0</v>
      </c>
      <c r="D3663" t="s">
        <v>111</v>
      </c>
      <c r="E3663">
        <v>18</v>
      </c>
      <c r="F3663">
        <v>1018</v>
      </c>
      <c r="G3663" t="s">
        <v>112</v>
      </c>
      <c r="J3663" t="s">
        <v>113</v>
      </c>
      <c r="K3663">
        <v>0</v>
      </c>
      <c r="L3663">
        <v>3</v>
      </c>
      <c r="M3663">
        <v>0</v>
      </c>
      <c r="N3663">
        <v>2</v>
      </c>
      <c r="O3663">
        <v>1</v>
      </c>
      <c r="P3663">
        <v>0</v>
      </c>
      <c r="Q3663">
        <v>0</v>
      </c>
      <c r="R3663" t="s">
        <v>114</v>
      </c>
      <c r="S3663" t="str">
        <f>"19:36:01.898"</f>
        <v>19:36:01.898</v>
      </c>
      <c r="T3663" t="str">
        <f>"19:36:01.797"</f>
        <v>19:36:01.797</v>
      </c>
      <c r="U3663" t="str">
        <f t="shared" si="172"/>
        <v>a1cdbe</v>
      </c>
      <c r="V3663">
        <v>0</v>
      </c>
      <c r="W3663">
        <v>0</v>
      </c>
      <c r="X3663">
        <v>2</v>
      </c>
      <c r="Y3663">
        <v>0</v>
      </c>
      <c r="Z3663">
        <v>0</v>
      </c>
      <c r="AB3663">
        <v>0</v>
      </c>
      <c r="AC3663">
        <v>9</v>
      </c>
      <c r="AD3663">
        <v>3</v>
      </c>
      <c r="AE3663">
        <v>0</v>
      </c>
      <c r="AF3663">
        <v>9</v>
      </c>
      <c r="AG3663" t="s">
        <v>158</v>
      </c>
      <c r="AH3663">
        <v>0</v>
      </c>
      <c r="AI3663">
        <v>3</v>
      </c>
      <c r="AJ3663">
        <v>1</v>
      </c>
      <c r="AK3663">
        <v>0</v>
      </c>
      <c r="AL3663" t="s">
        <v>6898</v>
      </c>
      <c r="AM3663">
        <v>47.031956000000001</v>
      </c>
      <c r="AN3663" t="s">
        <v>6899</v>
      </c>
      <c r="AO3663">
        <v>-123.87050600000001</v>
      </c>
      <c r="AP3663">
        <v>100</v>
      </c>
      <c r="AQ3663">
        <v>2100</v>
      </c>
      <c r="AR3663" t="s">
        <v>118</v>
      </c>
      <c r="AS3663">
        <v>-76</v>
      </c>
      <c r="AT3663">
        <v>24</v>
      </c>
      <c r="AU3663">
        <v>0</v>
      </c>
      <c r="BC3663">
        <v>1200</v>
      </c>
      <c r="BD3663">
        <v>1</v>
      </c>
      <c r="BE3663" t="str">
        <f t="shared" si="173"/>
        <v xml:space="preserve">N215T   </v>
      </c>
      <c r="BF3663">
        <v>1</v>
      </c>
      <c r="BH3663">
        <v>0</v>
      </c>
      <c r="BI3663">
        <v>0</v>
      </c>
      <c r="BJ3663">
        <v>0</v>
      </c>
      <c r="BK3663">
        <v>2500</v>
      </c>
      <c r="BL3663">
        <v>400</v>
      </c>
      <c r="BM3663" t="s">
        <v>119</v>
      </c>
      <c r="BN3663">
        <v>1</v>
      </c>
      <c r="BO3663">
        <v>1</v>
      </c>
      <c r="BP3663">
        <v>1</v>
      </c>
      <c r="BQ3663">
        <v>0</v>
      </c>
      <c r="BT3663">
        <v>0</v>
      </c>
      <c r="BU3663">
        <v>0</v>
      </c>
      <c r="BV3663">
        <v>0</v>
      </c>
      <c r="CC3663" t="str">
        <f>"19:36:01.898"</f>
        <v>19:36:01.898</v>
      </c>
      <c r="CD3663" t="str">
        <f>"901265571"</f>
        <v>901265571</v>
      </c>
      <c r="CQ3663">
        <v>0</v>
      </c>
      <c r="CR3663">
        <v>2</v>
      </c>
      <c r="CS3663">
        <v>0</v>
      </c>
      <c r="CT3663">
        <v>2</v>
      </c>
      <c r="CU3663">
        <v>0</v>
      </c>
      <c r="CV3663">
        <v>5</v>
      </c>
      <c r="CW3663" t="s">
        <v>120</v>
      </c>
      <c r="CX3663">
        <v>257</v>
      </c>
      <c r="CY3663">
        <v>0</v>
      </c>
      <c r="CZ3663" t="s">
        <v>615</v>
      </c>
      <c r="DA3663" t="s">
        <v>616</v>
      </c>
      <c r="DD3663">
        <v>16522097</v>
      </c>
      <c r="DE3663" t="s">
        <v>123</v>
      </c>
    </row>
    <row r="3664" spans="1:109" x14ac:dyDescent="0.3">
      <c r="A3664" t="str">
        <f>"19:36:03.094"</f>
        <v>19:36:03.094</v>
      </c>
      <c r="B3664" t="s">
        <v>110</v>
      </c>
      <c r="C3664" t="str">
        <f t="shared" si="171"/>
        <v>ffdfd3c0</v>
      </c>
      <c r="D3664" t="s">
        <v>111</v>
      </c>
      <c r="E3664">
        <v>18</v>
      </c>
      <c r="F3664">
        <v>1018</v>
      </c>
      <c r="G3664" t="s">
        <v>112</v>
      </c>
      <c r="J3664" t="s">
        <v>113</v>
      </c>
      <c r="K3664">
        <v>0</v>
      </c>
      <c r="L3664">
        <v>3</v>
      </c>
      <c r="M3664">
        <v>0</v>
      </c>
      <c r="N3664">
        <v>2</v>
      </c>
      <c r="O3664">
        <v>1</v>
      </c>
      <c r="P3664">
        <v>0</v>
      </c>
      <c r="Q3664">
        <v>0</v>
      </c>
      <c r="R3664" t="s">
        <v>114</v>
      </c>
      <c r="S3664" t="str">
        <f>"19:36:02.891"</f>
        <v>19:36:02.891</v>
      </c>
      <c r="T3664" t="str">
        <f>"19:36:02.789"</f>
        <v>19:36:02.789</v>
      </c>
      <c r="U3664" t="str">
        <f t="shared" si="172"/>
        <v>a1cdbe</v>
      </c>
      <c r="V3664">
        <v>0</v>
      </c>
      <c r="W3664">
        <v>0</v>
      </c>
      <c r="X3664">
        <v>2</v>
      </c>
      <c r="Y3664">
        <v>0</v>
      </c>
      <c r="Z3664">
        <v>0</v>
      </c>
      <c r="AB3664">
        <v>0</v>
      </c>
      <c r="AC3664">
        <v>9</v>
      </c>
      <c r="AD3664">
        <v>3</v>
      </c>
      <c r="AE3664">
        <v>0</v>
      </c>
      <c r="AF3664">
        <v>9</v>
      </c>
      <c r="AG3664" t="s">
        <v>158</v>
      </c>
      <c r="AH3664">
        <v>0</v>
      </c>
      <c r="AI3664">
        <v>3</v>
      </c>
      <c r="AJ3664">
        <v>1</v>
      </c>
      <c r="AK3664">
        <v>0</v>
      </c>
      <c r="AL3664" t="s">
        <v>6900</v>
      </c>
      <c r="AM3664">
        <v>47.032105999999999</v>
      </c>
      <c r="AN3664" t="s">
        <v>6901</v>
      </c>
      <c r="AO3664">
        <v>-123.87097799999999</v>
      </c>
      <c r="AP3664">
        <v>100</v>
      </c>
      <c r="AQ3664">
        <v>2100</v>
      </c>
      <c r="AR3664" t="s">
        <v>118</v>
      </c>
      <c r="AS3664">
        <v>-76</v>
      </c>
      <c r="AT3664">
        <v>23</v>
      </c>
      <c r="AU3664">
        <v>0</v>
      </c>
      <c r="BC3664">
        <v>1200</v>
      </c>
      <c r="BD3664">
        <v>1</v>
      </c>
      <c r="BE3664" t="str">
        <f t="shared" si="173"/>
        <v xml:space="preserve">N215T   </v>
      </c>
      <c r="BF3664">
        <v>1</v>
      </c>
      <c r="BH3664">
        <v>0</v>
      </c>
      <c r="BI3664">
        <v>0</v>
      </c>
      <c r="BJ3664">
        <v>0</v>
      </c>
      <c r="BK3664">
        <v>2500</v>
      </c>
      <c r="BL3664">
        <v>400</v>
      </c>
      <c r="BM3664" t="s">
        <v>119</v>
      </c>
      <c r="BN3664">
        <v>1</v>
      </c>
      <c r="BO3664">
        <v>1</v>
      </c>
      <c r="BP3664">
        <v>1</v>
      </c>
      <c r="BQ3664">
        <v>0</v>
      </c>
      <c r="BT3664">
        <v>0</v>
      </c>
      <c r="BU3664">
        <v>0</v>
      </c>
      <c r="BV3664">
        <v>0</v>
      </c>
      <c r="CC3664" t="str">
        <f>"19:36:02.891"</f>
        <v>19:36:02.891</v>
      </c>
      <c r="CD3664" t="str">
        <f>"891168050"</f>
        <v>891168050</v>
      </c>
      <c r="CQ3664">
        <v>0</v>
      </c>
      <c r="CR3664">
        <v>2</v>
      </c>
      <c r="CS3664">
        <v>0</v>
      </c>
      <c r="CT3664">
        <v>2</v>
      </c>
      <c r="CU3664">
        <v>0</v>
      </c>
      <c r="CV3664">
        <v>4</v>
      </c>
      <c r="CW3664" t="s">
        <v>120</v>
      </c>
      <c r="CX3664">
        <v>257</v>
      </c>
      <c r="CY3664">
        <v>0</v>
      </c>
      <c r="CZ3664" t="s">
        <v>615</v>
      </c>
      <c r="DA3664" t="s">
        <v>616</v>
      </c>
      <c r="DD3664">
        <v>16522492</v>
      </c>
      <c r="DE3664" t="s">
        <v>123</v>
      </c>
    </row>
    <row r="3665" spans="1:109" x14ac:dyDescent="0.3">
      <c r="A3665" t="str">
        <f>"19:36:04.102"</f>
        <v>19:36:04.102</v>
      </c>
      <c r="B3665" t="s">
        <v>110</v>
      </c>
      <c r="C3665" t="str">
        <f t="shared" si="171"/>
        <v>ffdfd3c0</v>
      </c>
      <c r="D3665" t="s">
        <v>111</v>
      </c>
      <c r="E3665">
        <v>18</v>
      </c>
      <c r="F3665">
        <v>1018</v>
      </c>
      <c r="G3665" t="s">
        <v>112</v>
      </c>
      <c r="J3665" t="s">
        <v>113</v>
      </c>
      <c r="K3665">
        <v>0</v>
      </c>
      <c r="L3665">
        <v>3</v>
      </c>
      <c r="M3665">
        <v>0</v>
      </c>
      <c r="N3665">
        <v>2</v>
      </c>
      <c r="O3665">
        <v>1</v>
      </c>
      <c r="P3665">
        <v>0</v>
      </c>
      <c r="Q3665">
        <v>0</v>
      </c>
      <c r="R3665" t="s">
        <v>114</v>
      </c>
      <c r="S3665" t="str">
        <f>"19:36:03.891"</f>
        <v>19:36:03.891</v>
      </c>
      <c r="T3665" t="str">
        <f>"19:36:03.891"</f>
        <v>19:36:03.891</v>
      </c>
      <c r="U3665" t="str">
        <f t="shared" si="172"/>
        <v>a1cdbe</v>
      </c>
      <c r="V3665">
        <v>0</v>
      </c>
      <c r="W3665">
        <v>0</v>
      </c>
      <c r="X3665">
        <v>2</v>
      </c>
      <c r="Y3665">
        <v>0</v>
      </c>
      <c r="Z3665">
        <v>0</v>
      </c>
      <c r="AB3665">
        <v>0</v>
      </c>
      <c r="AC3665">
        <v>9</v>
      </c>
      <c r="AD3665">
        <v>3</v>
      </c>
      <c r="AE3665">
        <v>0</v>
      </c>
      <c r="AF3665">
        <v>9</v>
      </c>
      <c r="AG3665" t="s">
        <v>158</v>
      </c>
      <c r="AH3665">
        <v>0</v>
      </c>
      <c r="AI3665">
        <v>3</v>
      </c>
      <c r="AJ3665">
        <v>1</v>
      </c>
      <c r="AK3665">
        <v>0</v>
      </c>
      <c r="AL3665" t="s">
        <v>643</v>
      </c>
      <c r="AM3665">
        <v>47.032192000000002</v>
      </c>
      <c r="AN3665" t="s">
        <v>6902</v>
      </c>
      <c r="AO3665">
        <v>-123.87155799999999</v>
      </c>
      <c r="AP3665">
        <v>100</v>
      </c>
      <c r="AQ3665">
        <v>2100</v>
      </c>
      <c r="AR3665" t="s">
        <v>118</v>
      </c>
      <c r="AS3665">
        <v>-76</v>
      </c>
      <c r="AT3665">
        <v>23</v>
      </c>
      <c r="AU3665">
        <v>64</v>
      </c>
      <c r="BC3665">
        <v>1200</v>
      </c>
      <c r="BD3665">
        <v>1</v>
      </c>
      <c r="BE3665" t="str">
        <f t="shared" si="173"/>
        <v xml:space="preserve">N215T   </v>
      </c>
      <c r="BF3665">
        <v>1</v>
      </c>
      <c r="BH3665">
        <v>0</v>
      </c>
      <c r="BI3665">
        <v>0</v>
      </c>
      <c r="BJ3665">
        <v>0</v>
      </c>
      <c r="BK3665">
        <v>2500</v>
      </c>
      <c r="BL3665">
        <v>400</v>
      </c>
      <c r="BM3665" t="s">
        <v>119</v>
      </c>
      <c r="BN3665">
        <v>1</v>
      </c>
      <c r="BO3665">
        <v>1</v>
      </c>
      <c r="BP3665">
        <v>1</v>
      </c>
      <c r="BQ3665">
        <v>0</v>
      </c>
      <c r="BT3665">
        <v>0</v>
      </c>
      <c r="BU3665">
        <v>0</v>
      </c>
      <c r="BV3665">
        <v>0</v>
      </c>
      <c r="CC3665" t="str">
        <f>"19:36:03.898"</f>
        <v>19:36:03.898</v>
      </c>
      <c r="CD3665" t="str">
        <f>"896069064"</f>
        <v>896069064</v>
      </c>
      <c r="CQ3665">
        <v>0</v>
      </c>
      <c r="CR3665">
        <v>2</v>
      </c>
      <c r="CS3665">
        <v>0</v>
      </c>
      <c r="CT3665">
        <v>2</v>
      </c>
      <c r="CU3665">
        <v>0</v>
      </c>
      <c r="CV3665">
        <v>4</v>
      </c>
      <c r="CW3665" t="s">
        <v>120</v>
      </c>
      <c r="CX3665">
        <v>257</v>
      </c>
      <c r="CY3665">
        <v>0</v>
      </c>
      <c r="CZ3665" t="s">
        <v>615</v>
      </c>
      <c r="DA3665" t="s">
        <v>616</v>
      </c>
      <c r="DD3665">
        <v>16522881</v>
      </c>
      <c r="DE3665" t="s">
        <v>123</v>
      </c>
    </row>
    <row r="3666" spans="1:109" x14ac:dyDescent="0.3">
      <c r="A3666" t="str">
        <f>"19:36:04.953"</f>
        <v>19:36:04.953</v>
      </c>
      <c r="B3666" t="s">
        <v>110</v>
      </c>
      <c r="C3666" t="str">
        <f t="shared" si="171"/>
        <v>ffdfd3c0</v>
      </c>
      <c r="D3666" t="s">
        <v>111</v>
      </c>
      <c r="E3666">
        <v>18</v>
      </c>
      <c r="F3666">
        <v>1018</v>
      </c>
      <c r="G3666" t="s">
        <v>112</v>
      </c>
      <c r="J3666" t="s">
        <v>113</v>
      </c>
      <c r="K3666">
        <v>0</v>
      </c>
      <c r="L3666">
        <v>3</v>
      </c>
      <c r="M3666">
        <v>0</v>
      </c>
      <c r="N3666">
        <v>2</v>
      </c>
      <c r="O3666">
        <v>1</v>
      </c>
      <c r="P3666">
        <v>0</v>
      </c>
      <c r="Q3666">
        <v>0</v>
      </c>
      <c r="R3666" t="s">
        <v>114</v>
      </c>
      <c r="S3666" t="str">
        <f>"19:36:04.719"</f>
        <v>19:36:04.719</v>
      </c>
      <c r="T3666" t="str">
        <f>"19:36:04.516"</f>
        <v>19:36:04.516</v>
      </c>
      <c r="U3666" t="str">
        <f t="shared" si="172"/>
        <v>a1cdbe</v>
      </c>
      <c r="V3666">
        <v>0</v>
      </c>
      <c r="W3666">
        <v>0</v>
      </c>
      <c r="X3666">
        <v>2</v>
      </c>
      <c r="Y3666">
        <v>0</v>
      </c>
      <c r="Z3666">
        <v>0</v>
      </c>
      <c r="AB3666">
        <v>0</v>
      </c>
      <c r="AC3666">
        <v>9</v>
      </c>
      <c r="AD3666">
        <v>3</v>
      </c>
      <c r="AE3666">
        <v>0</v>
      </c>
      <c r="AF3666">
        <v>9</v>
      </c>
      <c r="AG3666" t="s">
        <v>158</v>
      </c>
      <c r="AH3666">
        <v>0</v>
      </c>
      <c r="AI3666">
        <v>3</v>
      </c>
      <c r="AJ3666">
        <v>1</v>
      </c>
      <c r="AK3666">
        <v>0</v>
      </c>
      <c r="AL3666" t="s">
        <v>6903</v>
      </c>
      <c r="AM3666">
        <v>47.032277999999998</v>
      </c>
      <c r="AN3666" t="s">
        <v>6904</v>
      </c>
      <c r="AO3666">
        <v>-123.871987</v>
      </c>
      <c r="AP3666">
        <v>100</v>
      </c>
      <c r="AQ3666">
        <v>2100</v>
      </c>
      <c r="AR3666" t="s">
        <v>118</v>
      </c>
      <c r="AS3666">
        <v>-76</v>
      </c>
      <c r="AT3666">
        <v>23</v>
      </c>
      <c r="AU3666">
        <v>64</v>
      </c>
      <c r="BC3666">
        <v>1200</v>
      </c>
      <c r="BD3666">
        <v>1</v>
      </c>
      <c r="BE3666" t="str">
        <f t="shared" si="173"/>
        <v xml:space="preserve">N215T   </v>
      </c>
      <c r="BF3666">
        <v>1</v>
      </c>
      <c r="BH3666">
        <v>0</v>
      </c>
      <c r="BI3666">
        <v>0</v>
      </c>
      <c r="BJ3666">
        <v>0</v>
      </c>
      <c r="BK3666">
        <v>2500</v>
      </c>
      <c r="BL3666">
        <v>400</v>
      </c>
      <c r="BM3666" t="s">
        <v>119</v>
      </c>
      <c r="BN3666">
        <v>1</v>
      </c>
      <c r="BO3666">
        <v>1</v>
      </c>
      <c r="BP3666">
        <v>1</v>
      </c>
      <c r="BQ3666">
        <v>0</v>
      </c>
      <c r="BT3666">
        <v>0</v>
      </c>
      <c r="BU3666">
        <v>0</v>
      </c>
      <c r="BV3666">
        <v>0</v>
      </c>
      <c r="CC3666" t="str">
        <f>"19:36:04.719"</f>
        <v>19:36:04.719</v>
      </c>
      <c r="CD3666" t="str">
        <f>"720987824"</f>
        <v>720987824</v>
      </c>
      <c r="CQ3666">
        <v>0</v>
      </c>
      <c r="CR3666">
        <v>2</v>
      </c>
      <c r="CS3666">
        <v>0</v>
      </c>
      <c r="CT3666">
        <v>2</v>
      </c>
      <c r="CU3666">
        <v>0</v>
      </c>
      <c r="CV3666">
        <v>4</v>
      </c>
      <c r="CW3666" t="s">
        <v>120</v>
      </c>
      <c r="CX3666">
        <v>257</v>
      </c>
      <c r="CY3666">
        <v>0</v>
      </c>
      <c r="CZ3666" t="s">
        <v>615</v>
      </c>
      <c r="DA3666" t="s">
        <v>616</v>
      </c>
      <c r="DD3666">
        <v>16523204</v>
      </c>
      <c r="DE3666" t="s">
        <v>123</v>
      </c>
    </row>
    <row r="3667" spans="1:109" x14ac:dyDescent="0.3">
      <c r="A3667" t="str">
        <f>"19:36:05.914"</f>
        <v>19:36:05.914</v>
      </c>
      <c r="B3667" t="s">
        <v>110</v>
      </c>
      <c r="C3667" t="str">
        <f t="shared" si="171"/>
        <v>ffdfd3c0</v>
      </c>
      <c r="D3667" t="s">
        <v>111</v>
      </c>
      <c r="E3667">
        <v>18</v>
      </c>
      <c r="F3667">
        <v>1018</v>
      </c>
      <c r="G3667" t="s">
        <v>112</v>
      </c>
      <c r="J3667" t="s">
        <v>113</v>
      </c>
      <c r="K3667">
        <v>0</v>
      </c>
      <c r="L3667">
        <v>3</v>
      </c>
      <c r="M3667">
        <v>0</v>
      </c>
      <c r="N3667">
        <v>2</v>
      </c>
      <c r="O3667">
        <v>1</v>
      </c>
      <c r="P3667">
        <v>0</v>
      </c>
      <c r="Q3667">
        <v>0</v>
      </c>
      <c r="R3667" t="s">
        <v>114</v>
      </c>
      <c r="S3667" t="str">
        <f>"19:36:05.633"</f>
        <v>19:36:05.633</v>
      </c>
      <c r="T3667" t="str">
        <f>"19:36:05.430"</f>
        <v>19:36:05.430</v>
      </c>
      <c r="U3667" t="str">
        <f t="shared" si="172"/>
        <v>a1cdbe</v>
      </c>
      <c r="V3667">
        <v>0</v>
      </c>
      <c r="W3667">
        <v>0</v>
      </c>
      <c r="X3667">
        <v>2</v>
      </c>
      <c r="Y3667">
        <v>0</v>
      </c>
      <c r="Z3667">
        <v>0</v>
      </c>
      <c r="AB3667">
        <v>0</v>
      </c>
      <c r="AC3667">
        <v>9</v>
      </c>
      <c r="AD3667">
        <v>3</v>
      </c>
      <c r="AE3667">
        <v>0</v>
      </c>
      <c r="AF3667">
        <v>9</v>
      </c>
      <c r="AG3667" t="s">
        <v>158</v>
      </c>
      <c r="AH3667">
        <v>0</v>
      </c>
      <c r="AI3667">
        <v>3</v>
      </c>
      <c r="AJ3667">
        <v>1</v>
      </c>
      <c r="AK3667">
        <v>0</v>
      </c>
      <c r="AL3667" t="s">
        <v>6905</v>
      </c>
      <c r="AM3667">
        <v>47.032384999999998</v>
      </c>
      <c r="AN3667" t="s">
        <v>6906</v>
      </c>
      <c r="AO3667">
        <v>-123.87243700000001</v>
      </c>
      <c r="AP3667">
        <v>100</v>
      </c>
      <c r="AQ3667">
        <v>2100</v>
      </c>
      <c r="AR3667" t="s">
        <v>118</v>
      </c>
      <c r="AS3667">
        <v>-76</v>
      </c>
      <c r="AT3667">
        <v>23</v>
      </c>
      <c r="AU3667">
        <v>64</v>
      </c>
      <c r="BC3667">
        <v>1200</v>
      </c>
      <c r="BD3667">
        <v>1</v>
      </c>
      <c r="BE3667" t="str">
        <f t="shared" si="173"/>
        <v xml:space="preserve">N215T   </v>
      </c>
      <c r="BF3667">
        <v>1</v>
      </c>
      <c r="BH3667">
        <v>0</v>
      </c>
      <c r="BI3667">
        <v>0</v>
      </c>
      <c r="BJ3667">
        <v>0</v>
      </c>
      <c r="BK3667">
        <v>2500</v>
      </c>
      <c r="BL3667">
        <v>400</v>
      </c>
      <c r="BM3667" t="s">
        <v>119</v>
      </c>
      <c r="BN3667">
        <v>1</v>
      </c>
      <c r="BO3667">
        <v>1</v>
      </c>
      <c r="BP3667">
        <v>1</v>
      </c>
      <c r="BQ3667">
        <v>0</v>
      </c>
      <c r="BT3667">
        <v>0</v>
      </c>
      <c r="BU3667">
        <v>0</v>
      </c>
      <c r="BV3667">
        <v>0</v>
      </c>
      <c r="CC3667" t="str">
        <f>"19:36:05.633"</f>
        <v>19:36:05.633</v>
      </c>
      <c r="CD3667" t="str">
        <f>"635897693"</f>
        <v>635897693</v>
      </c>
      <c r="CQ3667">
        <v>0</v>
      </c>
      <c r="CR3667">
        <v>2</v>
      </c>
      <c r="CS3667">
        <v>0</v>
      </c>
      <c r="CT3667">
        <v>2</v>
      </c>
      <c r="CU3667">
        <v>0</v>
      </c>
      <c r="CV3667">
        <v>5</v>
      </c>
      <c r="CW3667" t="s">
        <v>120</v>
      </c>
      <c r="CX3667">
        <v>257</v>
      </c>
      <c r="CY3667">
        <v>0</v>
      </c>
      <c r="CZ3667" t="s">
        <v>615</v>
      </c>
      <c r="DA3667" t="s">
        <v>616</v>
      </c>
      <c r="DD3667">
        <v>16523588</v>
      </c>
      <c r="DE3667" t="s">
        <v>123</v>
      </c>
    </row>
    <row r="3668" spans="1:109" x14ac:dyDescent="0.3">
      <c r="A3668" t="str">
        <f>"19:36:06.914"</f>
        <v>19:36:06.914</v>
      </c>
      <c r="B3668" t="s">
        <v>110</v>
      </c>
      <c r="C3668" t="str">
        <f t="shared" si="171"/>
        <v>ffdfd3c0</v>
      </c>
      <c r="D3668" t="s">
        <v>111</v>
      </c>
      <c r="E3668">
        <v>18</v>
      </c>
      <c r="F3668">
        <v>1018</v>
      </c>
      <c r="G3668" t="s">
        <v>112</v>
      </c>
      <c r="J3668" t="s">
        <v>113</v>
      </c>
      <c r="K3668">
        <v>0</v>
      </c>
      <c r="L3668">
        <v>3</v>
      </c>
      <c r="M3668">
        <v>0</v>
      </c>
      <c r="N3668">
        <v>2</v>
      </c>
      <c r="O3668">
        <v>1</v>
      </c>
      <c r="P3668">
        <v>0</v>
      </c>
      <c r="Q3668">
        <v>0</v>
      </c>
      <c r="R3668" t="s">
        <v>114</v>
      </c>
      <c r="S3668" t="str">
        <f>"19:36:06.664"</f>
        <v>19:36:06.664</v>
      </c>
      <c r="T3668" t="str">
        <f>"19:36:06.266"</f>
        <v>19:36:06.266</v>
      </c>
      <c r="U3668" t="str">
        <f t="shared" si="172"/>
        <v>a1cdbe</v>
      </c>
      <c r="V3668">
        <v>0</v>
      </c>
      <c r="W3668">
        <v>0</v>
      </c>
      <c r="X3668">
        <v>2</v>
      </c>
      <c r="Y3668">
        <v>0</v>
      </c>
      <c r="Z3668">
        <v>0</v>
      </c>
      <c r="AB3668">
        <v>0</v>
      </c>
      <c r="AC3668">
        <v>9</v>
      </c>
      <c r="AD3668">
        <v>3</v>
      </c>
      <c r="AE3668">
        <v>0</v>
      </c>
      <c r="AF3668">
        <v>9</v>
      </c>
      <c r="AG3668" t="s">
        <v>115</v>
      </c>
      <c r="AH3668">
        <v>0</v>
      </c>
      <c r="AI3668">
        <v>0</v>
      </c>
      <c r="AJ3668">
        <v>1</v>
      </c>
      <c r="AK3668">
        <v>0</v>
      </c>
      <c r="AL3668" t="s">
        <v>6907</v>
      </c>
      <c r="AM3668">
        <v>47.032471000000001</v>
      </c>
      <c r="AN3668" t="s">
        <v>6908</v>
      </c>
      <c r="AO3668">
        <v>-123.872952</v>
      </c>
      <c r="AP3668">
        <v>100</v>
      </c>
      <c r="AQ3668">
        <v>2100</v>
      </c>
      <c r="AR3668" t="s">
        <v>118</v>
      </c>
      <c r="AS3668">
        <v>-76</v>
      </c>
      <c r="AT3668">
        <v>23</v>
      </c>
      <c r="AU3668">
        <v>0</v>
      </c>
      <c r="BC3668">
        <v>1200</v>
      </c>
      <c r="BD3668">
        <v>1</v>
      </c>
      <c r="BE3668" t="str">
        <f t="shared" si="173"/>
        <v xml:space="preserve">N215T   </v>
      </c>
      <c r="BF3668">
        <v>1</v>
      </c>
      <c r="BH3668">
        <v>0</v>
      </c>
      <c r="BI3668">
        <v>0</v>
      </c>
      <c r="BJ3668">
        <v>0</v>
      </c>
      <c r="BK3668">
        <v>2500</v>
      </c>
      <c r="BL3668">
        <v>400</v>
      </c>
      <c r="BM3668" t="s">
        <v>119</v>
      </c>
      <c r="BN3668">
        <v>1</v>
      </c>
      <c r="BO3668">
        <v>1</v>
      </c>
      <c r="BP3668">
        <v>1</v>
      </c>
      <c r="BQ3668">
        <v>0</v>
      </c>
      <c r="BT3668">
        <v>0</v>
      </c>
      <c r="BU3668">
        <v>0</v>
      </c>
      <c r="BV3668">
        <v>0</v>
      </c>
      <c r="CC3668" t="str">
        <f>"19:36:06.672"</f>
        <v>19:36:06.672</v>
      </c>
      <c r="CD3668" t="str">
        <f>"670795746"</f>
        <v>670795746</v>
      </c>
      <c r="CQ3668">
        <v>0</v>
      </c>
      <c r="CR3668">
        <v>2</v>
      </c>
      <c r="CS3668">
        <v>0</v>
      </c>
      <c r="CT3668">
        <v>2</v>
      </c>
      <c r="CU3668">
        <v>0</v>
      </c>
      <c r="CV3668">
        <v>5</v>
      </c>
      <c r="CW3668" t="s">
        <v>120</v>
      </c>
      <c r="CX3668">
        <v>257</v>
      </c>
      <c r="CY3668">
        <v>0</v>
      </c>
      <c r="CZ3668" t="s">
        <v>615</v>
      </c>
      <c r="DA3668" t="s">
        <v>616</v>
      </c>
      <c r="DD3668">
        <v>16524005</v>
      </c>
      <c r="DE3668" t="s">
        <v>123</v>
      </c>
    </row>
    <row r="3669" spans="1:109" x14ac:dyDescent="0.3">
      <c r="A3669" t="str">
        <f>"19:36:07.922"</f>
        <v>19:36:07.922</v>
      </c>
      <c r="B3669" t="s">
        <v>110</v>
      </c>
      <c r="C3669" t="str">
        <f t="shared" si="171"/>
        <v>ffdfd3c0</v>
      </c>
      <c r="D3669" t="s">
        <v>111</v>
      </c>
      <c r="E3669">
        <v>18</v>
      </c>
      <c r="F3669">
        <v>1018</v>
      </c>
      <c r="G3669" t="s">
        <v>112</v>
      </c>
      <c r="J3669" t="s">
        <v>113</v>
      </c>
      <c r="K3669">
        <v>0</v>
      </c>
      <c r="L3669">
        <v>3</v>
      </c>
      <c r="M3669">
        <v>0</v>
      </c>
      <c r="N3669">
        <v>2</v>
      </c>
      <c r="O3669">
        <v>1</v>
      </c>
      <c r="P3669">
        <v>0</v>
      </c>
      <c r="Q3669">
        <v>0</v>
      </c>
      <c r="R3669" t="s">
        <v>114</v>
      </c>
      <c r="S3669" t="str">
        <f>"19:36:07.672"</f>
        <v>19:36:07.672</v>
      </c>
      <c r="T3669" t="str">
        <f>"19:36:07.273"</f>
        <v>19:36:07.273</v>
      </c>
      <c r="U3669" t="str">
        <f t="shared" si="172"/>
        <v>a1cdbe</v>
      </c>
      <c r="V3669">
        <v>0</v>
      </c>
      <c r="W3669">
        <v>0</v>
      </c>
      <c r="X3669">
        <v>2</v>
      </c>
      <c r="Y3669">
        <v>0</v>
      </c>
      <c r="Z3669">
        <v>0</v>
      </c>
      <c r="AB3669">
        <v>0</v>
      </c>
      <c r="AC3669">
        <v>9</v>
      </c>
      <c r="AD3669">
        <v>3</v>
      </c>
      <c r="AE3669">
        <v>0</v>
      </c>
      <c r="AF3669">
        <v>9</v>
      </c>
      <c r="AG3669" t="s">
        <v>115</v>
      </c>
      <c r="AH3669">
        <v>0</v>
      </c>
      <c r="AI3669">
        <v>0</v>
      </c>
      <c r="AJ3669">
        <v>1</v>
      </c>
      <c r="AK3669">
        <v>0</v>
      </c>
      <c r="AL3669" t="s">
        <v>6909</v>
      </c>
      <c r="AM3669">
        <v>47.032598999999998</v>
      </c>
      <c r="AN3669" t="s">
        <v>6910</v>
      </c>
      <c r="AO3669">
        <v>-123.87346700000001</v>
      </c>
      <c r="AP3669">
        <v>100</v>
      </c>
      <c r="AQ3669">
        <v>2100</v>
      </c>
      <c r="AR3669" t="s">
        <v>118</v>
      </c>
      <c r="AS3669">
        <v>-76</v>
      </c>
      <c r="AT3669">
        <v>22</v>
      </c>
      <c r="AU3669">
        <v>0</v>
      </c>
      <c r="BC3669">
        <v>1200</v>
      </c>
      <c r="BD3669">
        <v>1</v>
      </c>
      <c r="BE3669" t="str">
        <f t="shared" si="173"/>
        <v xml:space="preserve">N215T   </v>
      </c>
      <c r="BF3669">
        <v>1</v>
      </c>
      <c r="BH3669">
        <v>0</v>
      </c>
      <c r="BI3669">
        <v>0</v>
      </c>
      <c r="BJ3669">
        <v>0</v>
      </c>
      <c r="BK3669">
        <v>2500</v>
      </c>
      <c r="BL3669">
        <v>400</v>
      </c>
      <c r="BM3669" t="s">
        <v>119</v>
      </c>
      <c r="BN3669">
        <v>1</v>
      </c>
      <c r="BO3669">
        <v>1</v>
      </c>
      <c r="BP3669">
        <v>1</v>
      </c>
      <c r="BQ3669">
        <v>0</v>
      </c>
      <c r="BT3669">
        <v>0</v>
      </c>
      <c r="BU3669">
        <v>0</v>
      </c>
      <c r="BV3669">
        <v>0</v>
      </c>
      <c r="CC3669" t="str">
        <f>"19:36:07.672"</f>
        <v>19:36:07.672</v>
      </c>
      <c r="CD3669" t="str">
        <f>"675696735"</f>
        <v>675696735</v>
      </c>
      <c r="CQ3669">
        <v>0</v>
      </c>
      <c r="CR3669">
        <v>2</v>
      </c>
      <c r="CS3669">
        <v>0</v>
      </c>
      <c r="CT3669">
        <v>2</v>
      </c>
      <c r="CU3669">
        <v>0</v>
      </c>
      <c r="CV3669">
        <v>4</v>
      </c>
      <c r="CW3669" t="s">
        <v>120</v>
      </c>
      <c r="CX3669">
        <v>257</v>
      </c>
      <c r="CY3669">
        <v>0</v>
      </c>
      <c r="CZ3669" t="s">
        <v>615</v>
      </c>
      <c r="DA3669" t="s">
        <v>616</v>
      </c>
      <c r="DD3669">
        <v>16524403</v>
      </c>
      <c r="DE3669" t="s">
        <v>123</v>
      </c>
    </row>
    <row r="3670" spans="1:109" x14ac:dyDescent="0.3">
      <c r="A3670" t="str">
        <f>"19:36:08.875"</f>
        <v>19:36:08.875</v>
      </c>
      <c r="B3670" t="s">
        <v>110</v>
      </c>
      <c r="C3670" t="str">
        <f t="shared" si="171"/>
        <v>ffdfd3c0</v>
      </c>
      <c r="D3670" t="s">
        <v>111</v>
      </c>
      <c r="E3670">
        <v>18</v>
      </c>
      <c r="F3670">
        <v>1018</v>
      </c>
      <c r="G3670" t="s">
        <v>112</v>
      </c>
      <c r="J3670" t="s">
        <v>113</v>
      </c>
      <c r="K3670">
        <v>0</v>
      </c>
      <c r="L3670">
        <v>3</v>
      </c>
      <c r="M3670">
        <v>0</v>
      </c>
      <c r="N3670">
        <v>2</v>
      </c>
      <c r="O3670">
        <v>1</v>
      </c>
      <c r="P3670">
        <v>0</v>
      </c>
      <c r="Q3670">
        <v>0</v>
      </c>
      <c r="R3670" t="s">
        <v>114</v>
      </c>
      <c r="S3670" t="str">
        <f>"19:36:08.664"</f>
        <v>19:36:08.664</v>
      </c>
      <c r="T3670" t="str">
        <f>"19:36:08.367"</f>
        <v>19:36:08.367</v>
      </c>
      <c r="U3670" t="str">
        <f t="shared" si="172"/>
        <v>a1cdbe</v>
      </c>
      <c r="V3670">
        <v>0</v>
      </c>
      <c r="W3670">
        <v>0</v>
      </c>
      <c r="X3670">
        <v>2</v>
      </c>
      <c r="Y3670">
        <v>0</v>
      </c>
      <c r="Z3670">
        <v>0</v>
      </c>
      <c r="AB3670">
        <v>0</v>
      </c>
      <c r="AC3670">
        <v>9</v>
      </c>
      <c r="AD3670">
        <v>3</v>
      </c>
      <c r="AE3670">
        <v>0</v>
      </c>
      <c r="AF3670">
        <v>9</v>
      </c>
      <c r="AG3670" t="s">
        <v>115</v>
      </c>
      <c r="AH3670">
        <v>0</v>
      </c>
      <c r="AI3670">
        <v>0</v>
      </c>
      <c r="AJ3670">
        <v>1</v>
      </c>
      <c r="AK3670">
        <v>0</v>
      </c>
      <c r="AL3670" t="s">
        <v>6911</v>
      </c>
      <c r="AM3670">
        <v>47.032707000000002</v>
      </c>
      <c r="AN3670" t="s">
        <v>6912</v>
      </c>
      <c r="AO3670">
        <v>-123.874025</v>
      </c>
      <c r="AP3670">
        <v>100</v>
      </c>
      <c r="AQ3670">
        <v>2100</v>
      </c>
      <c r="AR3670" t="s">
        <v>118</v>
      </c>
      <c r="AS3670">
        <v>-76</v>
      </c>
      <c r="AT3670">
        <v>22</v>
      </c>
      <c r="AU3670">
        <v>0</v>
      </c>
      <c r="BC3670">
        <v>1200</v>
      </c>
      <c r="BD3670">
        <v>1</v>
      </c>
      <c r="BE3670" t="str">
        <f t="shared" si="173"/>
        <v xml:space="preserve">N215T   </v>
      </c>
      <c r="BF3670">
        <v>1</v>
      </c>
      <c r="BH3670">
        <v>0</v>
      </c>
      <c r="BI3670">
        <v>0</v>
      </c>
      <c r="BJ3670">
        <v>0</v>
      </c>
      <c r="BK3670">
        <v>2500</v>
      </c>
      <c r="BL3670">
        <v>400</v>
      </c>
      <c r="BM3670" t="s">
        <v>119</v>
      </c>
      <c r="BN3670">
        <v>1</v>
      </c>
      <c r="BO3670">
        <v>1</v>
      </c>
      <c r="BP3670">
        <v>1</v>
      </c>
      <c r="BQ3670">
        <v>0</v>
      </c>
      <c r="BT3670">
        <v>0</v>
      </c>
      <c r="BU3670">
        <v>0</v>
      </c>
      <c r="BV3670">
        <v>0</v>
      </c>
      <c r="CC3670" t="str">
        <f>"19:36:08.664"</f>
        <v>19:36:08.664</v>
      </c>
      <c r="CD3670" t="str">
        <f>"665599247"</f>
        <v>665599247</v>
      </c>
      <c r="CQ3670">
        <v>0</v>
      </c>
      <c r="CR3670">
        <v>2</v>
      </c>
      <c r="CS3670">
        <v>0</v>
      </c>
      <c r="CT3670">
        <v>2</v>
      </c>
      <c r="CU3670">
        <v>0</v>
      </c>
      <c r="CV3670">
        <v>4</v>
      </c>
      <c r="CW3670" t="s">
        <v>120</v>
      </c>
      <c r="CX3670">
        <v>257</v>
      </c>
      <c r="CY3670">
        <v>0</v>
      </c>
      <c r="CZ3670" t="s">
        <v>615</v>
      </c>
      <c r="DA3670" t="s">
        <v>616</v>
      </c>
      <c r="DD3670">
        <v>16524805</v>
      </c>
      <c r="DE3670" t="s">
        <v>123</v>
      </c>
    </row>
    <row r="3671" spans="1:109" x14ac:dyDescent="0.3">
      <c r="A3671" t="str">
        <f>"19:36:09.984"</f>
        <v>19:36:09.984</v>
      </c>
      <c r="B3671" t="s">
        <v>110</v>
      </c>
      <c r="C3671" t="str">
        <f t="shared" si="171"/>
        <v>ffdfd3c0</v>
      </c>
      <c r="D3671" t="s">
        <v>111</v>
      </c>
      <c r="E3671">
        <v>18</v>
      </c>
      <c r="F3671">
        <v>1018</v>
      </c>
      <c r="G3671" t="s">
        <v>112</v>
      </c>
      <c r="J3671" t="s">
        <v>113</v>
      </c>
      <c r="K3671">
        <v>0</v>
      </c>
      <c r="L3671">
        <v>3</v>
      </c>
      <c r="M3671">
        <v>0</v>
      </c>
      <c r="N3671">
        <v>2</v>
      </c>
      <c r="O3671">
        <v>1</v>
      </c>
      <c r="P3671">
        <v>0</v>
      </c>
      <c r="Q3671">
        <v>0</v>
      </c>
      <c r="R3671" t="s">
        <v>114</v>
      </c>
      <c r="S3671" t="str">
        <f>"19:36:09.773"</f>
        <v>19:36:09.773</v>
      </c>
      <c r="T3671" t="str">
        <f>"19:36:08.773"</f>
        <v>19:36:08.773</v>
      </c>
      <c r="U3671" t="str">
        <f t="shared" si="172"/>
        <v>a1cdbe</v>
      </c>
      <c r="V3671">
        <v>0</v>
      </c>
      <c r="W3671">
        <v>0</v>
      </c>
      <c r="X3671">
        <v>2</v>
      </c>
      <c r="Y3671">
        <v>0</v>
      </c>
      <c r="Z3671">
        <v>0</v>
      </c>
      <c r="AB3671">
        <v>0</v>
      </c>
      <c r="AC3671">
        <v>9</v>
      </c>
      <c r="AD3671">
        <v>3</v>
      </c>
      <c r="AE3671">
        <v>0</v>
      </c>
      <c r="AF3671">
        <v>9</v>
      </c>
      <c r="AG3671" t="s">
        <v>115</v>
      </c>
      <c r="AH3671">
        <v>0</v>
      </c>
      <c r="AI3671">
        <v>0</v>
      </c>
      <c r="AJ3671">
        <v>1</v>
      </c>
      <c r="AK3671">
        <v>0</v>
      </c>
      <c r="AL3671" t="s">
        <v>6913</v>
      </c>
      <c r="AM3671">
        <v>47.032792999999998</v>
      </c>
      <c r="AN3671" t="s">
        <v>6914</v>
      </c>
      <c r="AO3671">
        <v>-123.874583</v>
      </c>
      <c r="AP3671">
        <v>100</v>
      </c>
      <c r="AQ3671">
        <v>2100</v>
      </c>
      <c r="AR3671" t="s">
        <v>118</v>
      </c>
      <c r="AS3671">
        <v>-76</v>
      </c>
      <c r="AT3671">
        <v>22</v>
      </c>
      <c r="AU3671">
        <v>0</v>
      </c>
      <c r="BC3671">
        <v>1200</v>
      </c>
      <c r="BD3671">
        <v>1</v>
      </c>
      <c r="BE3671" t="str">
        <f t="shared" si="173"/>
        <v xml:space="preserve">N215T   </v>
      </c>
      <c r="BF3671">
        <v>1</v>
      </c>
      <c r="BH3671">
        <v>0</v>
      </c>
      <c r="BI3671">
        <v>0</v>
      </c>
      <c r="BJ3671">
        <v>0</v>
      </c>
      <c r="BK3671">
        <v>2500</v>
      </c>
      <c r="BL3671">
        <v>400</v>
      </c>
      <c r="BM3671" t="s">
        <v>119</v>
      </c>
      <c r="BN3671">
        <v>1</v>
      </c>
      <c r="BO3671">
        <v>1</v>
      </c>
      <c r="BP3671">
        <v>1</v>
      </c>
      <c r="BQ3671">
        <v>0</v>
      </c>
      <c r="BT3671">
        <v>0</v>
      </c>
      <c r="BU3671">
        <v>0</v>
      </c>
      <c r="BV3671">
        <v>0</v>
      </c>
      <c r="CC3671" t="str">
        <f>"19:36:09.773"</f>
        <v>19:36:09.773</v>
      </c>
      <c r="CD3671" t="str">
        <f>"775588540"</f>
        <v>775588540</v>
      </c>
      <c r="CQ3671">
        <v>0</v>
      </c>
      <c r="CR3671">
        <v>2</v>
      </c>
      <c r="CS3671">
        <v>0</v>
      </c>
      <c r="CT3671">
        <v>2</v>
      </c>
      <c r="CU3671">
        <v>0</v>
      </c>
      <c r="CV3671">
        <v>1</v>
      </c>
      <c r="CW3671" t="s">
        <v>120</v>
      </c>
      <c r="CX3671">
        <v>261</v>
      </c>
      <c r="CY3671">
        <v>3</v>
      </c>
      <c r="CZ3671" t="s">
        <v>121</v>
      </c>
      <c r="DA3671" t="s">
        <v>122</v>
      </c>
      <c r="DD3671">
        <v>4033229</v>
      </c>
      <c r="DE3671" t="s">
        <v>123</v>
      </c>
    </row>
    <row r="3672" spans="1:109" x14ac:dyDescent="0.3">
      <c r="A3672" t="str">
        <f>"19:36:10.984"</f>
        <v>19:36:10.984</v>
      </c>
      <c r="B3672" t="s">
        <v>110</v>
      </c>
      <c r="C3672" t="str">
        <f t="shared" si="171"/>
        <v>ffdfd3c0</v>
      </c>
      <c r="D3672" t="s">
        <v>111</v>
      </c>
      <c r="E3672">
        <v>18</v>
      </c>
      <c r="F3672">
        <v>1018</v>
      </c>
      <c r="G3672" t="s">
        <v>112</v>
      </c>
      <c r="J3672" t="s">
        <v>113</v>
      </c>
      <c r="K3672">
        <v>0</v>
      </c>
      <c r="L3672">
        <v>3</v>
      </c>
      <c r="M3672">
        <v>0</v>
      </c>
      <c r="N3672">
        <v>2</v>
      </c>
      <c r="O3672">
        <v>1</v>
      </c>
      <c r="P3672">
        <v>0</v>
      </c>
      <c r="Q3672">
        <v>0</v>
      </c>
      <c r="R3672" t="s">
        <v>114</v>
      </c>
      <c r="S3672" t="str">
        <f>"19:36:10.750"</f>
        <v>19:36:10.750</v>
      </c>
      <c r="T3672" t="str">
        <f>"19:36:10.352"</f>
        <v>19:36:10.352</v>
      </c>
      <c r="U3672" t="str">
        <f t="shared" si="172"/>
        <v>a1cdbe</v>
      </c>
      <c r="V3672">
        <v>0</v>
      </c>
      <c r="W3672">
        <v>0</v>
      </c>
      <c r="X3672">
        <v>2</v>
      </c>
      <c r="Y3672">
        <v>0</v>
      </c>
      <c r="Z3672">
        <v>0</v>
      </c>
      <c r="AB3672">
        <v>0</v>
      </c>
      <c r="AC3672">
        <v>9</v>
      </c>
      <c r="AD3672">
        <v>3</v>
      </c>
      <c r="AE3672">
        <v>0</v>
      </c>
      <c r="AF3672">
        <v>9</v>
      </c>
      <c r="AG3672" t="s">
        <v>115</v>
      </c>
      <c r="AH3672">
        <v>0</v>
      </c>
      <c r="AI3672">
        <v>0</v>
      </c>
      <c r="AJ3672">
        <v>1</v>
      </c>
      <c r="AK3672">
        <v>0</v>
      </c>
      <c r="AL3672" t="s">
        <v>6915</v>
      </c>
      <c r="AM3672">
        <v>47.032899999999998</v>
      </c>
      <c r="AN3672" t="s">
        <v>6916</v>
      </c>
      <c r="AO3672">
        <v>-123.875077</v>
      </c>
      <c r="AP3672">
        <v>100</v>
      </c>
      <c r="AQ3672">
        <v>2100</v>
      </c>
      <c r="AR3672" t="s">
        <v>118</v>
      </c>
      <c r="AS3672">
        <v>-76</v>
      </c>
      <c r="AT3672">
        <v>22</v>
      </c>
      <c r="AU3672">
        <v>-64</v>
      </c>
      <c r="BC3672">
        <v>1200</v>
      </c>
      <c r="BD3672">
        <v>1</v>
      </c>
      <c r="BE3672" t="str">
        <f t="shared" si="173"/>
        <v xml:space="preserve">N215T   </v>
      </c>
      <c r="BF3672">
        <v>1</v>
      </c>
      <c r="BH3672">
        <v>0</v>
      </c>
      <c r="BI3672">
        <v>0</v>
      </c>
      <c r="BJ3672">
        <v>0</v>
      </c>
      <c r="BK3672">
        <v>2500</v>
      </c>
      <c r="BL3672">
        <v>400</v>
      </c>
      <c r="BM3672" t="s">
        <v>119</v>
      </c>
      <c r="BN3672">
        <v>1</v>
      </c>
      <c r="BO3672">
        <v>1</v>
      </c>
      <c r="BP3672">
        <v>1</v>
      </c>
      <c r="BQ3672">
        <v>0</v>
      </c>
      <c r="BT3672">
        <v>0</v>
      </c>
      <c r="BU3672">
        <v>0</v>
      </c>
      <c r="BV3672">
        <v>0</v>
      </c>
      <c r="CC3672" t="str">
        <f>"19:36:10.750"</f>
        <v>19:36:10.750</v>
      </c>
      <c r="CD3672" t="str">
        <f>"750393893"</f>
        <v>750393893</v>
      </c>
      <c r="CQ3672">
        <v>0</v>
      </c>
      <c r="CR3672">
        <v>2</v>
      </c>
      <c r="CS3672">
        <v>0</v>
      </c>
      <c r="CT3672">
        <v>2</v>
      </c>
      <c r="CU3672">
        <v>0</v>
      </c>
      <c r="CV3672">
        <v>4</v>
      </c>
      <c r="CW3672" t="s">
        <v>120</v>
      </c>
      <c r="CX3672">
        <v>257</v>
      </c>
      <c r="CY3672">
        <v>0</v>
      </c>
      <c r="CZ3672" t="s">
        <v>615</v>
      </c>
      <c r="DA3672" t="s">
        <v>616</v>
      </c>
      <c r="DD3672">
        <v>16525691</v>
      </c>
      <c r="DE3672" t="s">
        <v>123</v>
      </c>
    </row>
    <row r="3673" spans="1:109" x14ac:dyDescent="0.3">
      <c r="A3673" t="str">
        <f>"19:36:11.945"</f>
        <v>19:36:11.945</v>
      </c>
      <c r="B3673" t="s">
        <v>110</v>
      </c>
      <c r="C3673" t="str">
        <f t="shared" si="171"/>
        <v>ffdfd3c0</v>
      </c>
      <c r="D3673" t="s">
        <v>111</v>
      </c>
      <c r="E3673">
        <v>18</v>
      </c>
      <c r="F3673">
        <v>1018</v>
      </c>
      <c r="G3673" t="s">
        <v>112</v>
      </c>
      <c r="J3673" t="s">
        <v>113</v>
      </c>
      <c r="K3673">
        <v>0</v>
      </c>
      <c r="L3673">
        <v>3</v>
      </c>
      <c r="M3673">
        <v>0</v>
      </c>
      <c r="N3673">
        <v>2</v>
      </c>
      <c r="O3673">
        <v>1</v>
      </c>
      <c r="P3673">
        <v>0</v>
      </c>
      <c r="Q3673">
        <v>0</v>
      </c>
      <c r="R3673" t="s">
        <v>114</v>
      </c>
      <c r="S3673" t="str">
        <f>"19:36:11.719"</f>
        <v>19:36:11.719</v>
      </c>
      <c r="T3673" t="str">
        <f>"19:36:11.219"</f>
        <v>19:36:11.219</v>
      </c>
      <c r="U3673" t="str">
        <f t="shared" si="172"/>
        <v>a1cdbe</v>
      </c>
      <c r="V3673">
        <v>0</v>
      </c>
      <c r="W3673">
        <v>0</v>
      </c>
      <c r="X3673">
        <v>2</v>
      </c>
      <c r="Y3673">
        <v>0</v>
      </c>
      <c r="Z3673">
        <v>0</v>
      </c>
      <c r="AB3673">
        <v>0</v>
      </c>
      <c r="AC3673">
        <v>9</v>
      </c>
      <c r="AD3673">
        <v>3</v>
      </c>
      <c r="AE3673">
        <v>0</v>
      </c>
      <c r="AF3673">
        <v>9</v>
      </c>
      <c r="AG3673" t="s">
        <v>115</v>
      </c>
      <c r="AH3673">
        <v>0</v>
      </c>
      <c r="AI3673">
        <v>0</v>
      </c>
      <c r="AJ3673">
        <v>1</v>
      </c>
      <c r="AK3673">
        <v>0</v>
      </c>
      <c r="AL3673" t="s">
        <v>6917</v>
      </c>
      <c r="AM3673">
        <v>47.032964</v>
      </c>
      <c r="AN3673" t="s">
        <v>6918</v>
      </c>
      <c r="AO3673">
        <v>-123.875592</v>
      </c>
      <c r="AP3673">
        <v>100</v>
      </c>
      <c r="AQ3673">
        <v>2100</v>
      </c>
      <c r="AR3673" t="s">
        <v>118</v>
      </c>
      <c r="AS3673">
        <v>-76</v>
      </c>
      <c r="AT3673">
        <v>21</v>
      </c>
      <c r="AU3673">
        <v>-64</v>
      </c>
      <c r="BC3673">
        <v>1200</v>
      </c>
      <c r="BD3673">
        <v>1</v>
      </c>
      <c r="BE3673" t="str">
        <f t="shared" si="173"/>
        <v xml:space="preserve">N215T   </v>
      </c>
      <c r="BF3673">
        <v>1</v>
      </c>
      <c r="BH3673">
        <v>0</v>
      </c>
      <c r="BI3673">
        <v>0</v>
      </c>
      <c r="BJ3673">
        <v>0</v>
      </c>
      <c r="BK3673">
        <v>2500</v>
      </c>
      <c r="BL3673">
        <v>400</v>
      </c>
      <c r="BM3673" t="s">
        <v>119</v>
      </c>
      <c r="BN3673">
        <v>1</v>
      </c>
      <c r="BO3673">
        <v>1</v>
      </c>
      <c r="BP3673">
        <v>1</v>
      </c>
      <c r="BQ3673">
        <v>0</v>
      </c>
      <c r="BT3673">
        <v>0</v>
      </c>
      <c r="BU3673">
        <v>0</v>
      </c>
      <c r="BV3673">
        <v>0</v>
      </c>
      <c r="CC3673" t="str">
        <f>"19:36:11.727"</f>
        <v>19:36:11.727</v>
      </c>
      <c r="CD3673" t="str">
        <f>"725297853"</f>
        <v>725297853</v>
      </c>
      <c r="CQ3673">
        <v>0</v>
      </c>
      <c r="CR3673">
        <v>2</v>
      </c>
      <c r="CS3673">
        <v>0</v>
      </c>
      <c r="CT3673">
        <v>2</v>
      </c>
      <c r="CU3673">
        <v>0</v>
      </c>
      <c r="CV3673">
        <v>4</v>
      </c>
      <c r="CW3673" t="s">
        <v>120</v>
      </c>
      <c r="CX3673">
        <v>257</v>
      </c>
      <c r="CY3673">
        <v>0</v>
      </c>
      <c r="CZ3673" t="s">
        <v>615</v>
      </c>
      <c r="DA3673" t="s">
        <v>616</v>
      </c>
      <c r="DD3673">
        <v>16526091</v>
      </c>
      <c r="DE3673" t="s">
        <v>123</v>
      </c>
    </row>
    <row r="3674" spans="1:109" x14ac:dyDescent="0.3">
      <c r="A3674" t="str">
        <f>"19:36:13.102"</f>
        <v>19:36:13.102</v>
      </c>
      <c r="B3674" t="s">
        <v>110</v>
      </c>
      <c r="C3674" t="str">
        <f t="shared" si="171"/>
        <v>ffdfd3c0</v>
      </c>
      <c r="D3674" t="s">
        <v>111</v>
      </c>
      <c r="E3674">
        <v>18</v>
      </c>
      <c r="F3674">
        <v>1018</v>
      </c>
      <c r="G3674" t="s">
        <v>112</v>
      </c>
      <c r="J3674" t="s">
        <v>113</v>
      </c>
      <c r="K3674">
        <v>0</v>
      </c>
      <c r="L3674">
        <v>3</v>
      </c>
      <c r="M3674">
        <v>0</v>
      </c>
      <c r="N3674">
        <v>2</v>
      </c>
      <c r="O3674">
        <v>1</v>
      </c>
      <c r="P3674">
        <v>0</v>
      </c>
      <c r="Q3674">
        <v>0</v>
      </c>
      <c r="R3674" t="s">
        <v>114</v>
      </c>
      <c r="S3674" t="str">
        <f>"19:36:12.891"</f>
        <v>19:36:12.891</v>
      </c>
      <c r="T3674" t="str">
        <f>"19:36:12.789"</f>
        <v>19:36:12.789</v>
      </c>
      <c r="U3674" t="str">
        <f t="shared" si="172"/>
        <v>a1cdbe</v>
      </c>
      <c r="V3674">
        <v>0</v>
      </c>
      <c r="W3674">
        <v>0</v>
      </c>
      <c r="X3674">
        <v>2</v>
      </c>
      <c r="Y3674">
        <v>0</v>
      </c>
      <c r="Z3674">
        <v>0</v>
      </c>
      <c r="AB3674">
        <v>0</v>
      </c>
      <c r="AC3674">
        <v>9</v>
      </c>
      <c r="AD3674">
        <v>3</v>
      </c>
      <c r="AE3674">
        <v>0</v>
      </c>
      <c r="AF3674">
        <v>9</v>
      </c>
      <c r="AG3674" t="s">
        <v>115</v>
      </c>
      <c r="AH3674">
        <v>0</v>
      </c>
      <c r="AI3674">
        <v>0</v>
      </c>
      <c r="AJ3674">
        <v>1</v>
      </c>
      <c r="AK3674">
        <v>0</v>
      </c>
      <c r="AL3674" t="s">
        <v>6919</v>
      </c>
      <c r="AM3674">
        <v>47.033113999999998</v>
      </c>
      <c r="AN3674" t="s">
        <v>6920</v>
      </c>
      <c r="AO3674">
        <v>-123.876214</v>
      </c>
      <c r="AP3674">
        <v>100</v>
      </c>
      <c r="AQ3674">
        <v>2100</v>
      </c>
      <c r="AR3674" t="s">
        <v>118</v>
      </c>
      <c r="AS3674">
        <v>-77</v>
      </c>
      <c r="AT3674">
        <v>21</v>
      </c>
      <c r="AU3674">
        <v>-64</v>
      </c>
      <c r="BC3674">
        <v>1200</v>
      </c>
      <c r="BD3674">
        <v>1</v>
      </c>
      <c r="BE3674" t="str">
        <f t="shared" si="173"/>
        <v xml:space="preserve">N215T   </v>
      </c>
      <c r="BF3674">
        <v>1</v>
      </c>
      <c r="BH3674">
        <v>0</v>
      </c>
      <c r="BI3674">
        <v>0</v>
      </c>
      <c r="BJ3674">
        <v>0</v>
      </c>
      <c r="BK3674">
        <v>2500</v>
      </c>
      <c r="BL3674">
        <v>400</v>
      </c>
      <c r="BM3674" t="s">
        <v>119</v>
      </c>
      <c r="BN3674">
        <v>1</v>
      </c>
      <c r="BO3674">
        <v>1</v>
      </c>
      <c r="BP3674">
        <v>1</v>
      </c>
      <c r="BQ3674">
        <v>0</v>
      </c>
      <c r="BT3674">
        <v>0</v>
      </c>
      <c r="BU3674">
        <v>0</v>
      </c>
      <c r="BV3674">
        <v>0</v>
      </c>
      <c r="CC3674" t="str">
        <f>"19:36:12.898"</f>
        <v>19:36:12.898</v>
      </c>
      <c r="CD3674" t="str">
        <f>"895182624"</f>
        <v>895182624</v>
      </c>
      <c r="CQ3674">
        <v>0</v>
      </c>
      <c r="CR3674">
        <v>2</v>
      </c>
      <c r="CS3674">
        <v>0</v>
      </c>
      <c r="CT3674">
        <v>2</v>
      </c>
      <c r="CU3674">
        <v>0</v>
      </c>
      <c r="CV3674">
        <v>5</v>
      </c>
      <c r="CW3674" t="s">
        <v>120</v>
      </c>
      <c r="CX3674">
        <v>257</v>
      </c>
      <c r="CY3674">
        <v>0</v>
      </c>
      <c r="CZ3674" t="s">
        <v>615</v>
      </c>
      <c r="DA3674" t="s">
        <v>616</v>
      </c>
      <c r="DD3674">
        <v>16526566</v>
      </c>
      <c r="DE3674" t="s">
        <v>123</v>
      </c>
    </row>
    <row r="3675" spans="1:109" x14ac:dyDescent="0.3">
      <c r="A3675" t="str">
        <f>"19:36:14.008"</f>
        <v>19:36:14.008</v>
      </c>
      <c r="B3675" t="s">
        <v>110</v>
      </c>
      <c r="C3675" t="str">
        <f t="shared" si="171"/>
        <v>ffdfd3c0</v>
      </c>
      <c r="D3675" t="s">
        <v>111</v>
      </c>
      <c r="E3675">
        <v>18</v>
      </c>
      <c r="F3675">
        <v>1018</v>
      </c>
      <c r="G3675" t="s">
        <v>112</v>
      </c>
      <c r="J3675" t="s">
        <v>113</v>
      </c>
      <c r="K3675">
        <v>0</v>
      </c>
      <c r="L3675">
        <v>3</v>
      </c>
      <c r="M3675">
        <v>0</v>
      </c>
      <c r="N3675">
        <v>2</v>
      </c>
      <c r="O3675">
        <v>1</v>
      </c>
      <c r="P3675">
        <v>0</v>
      </c>
      <c r="Q3675">
        <v>0</v>
      </c>
      <c r="R3675" t="s">
        <v>114</v>
      </c>
      <c r="S3675" t="str">
        <f>"19:36:13.750"</f>
        <v>19:36:13.750</v>
      </c>
      <c r="T3675" t="str">
        <f>"19:36:13.648"</f>
        <v>19:36:13.648</v>
      </c>
      <c r="U3675" t="str">
        <f t="shared" si="172"/>
        <v>a1cdbe</v>
      </c>
      <c r="V3675">
        <v>0</v>
      </c>
      <c r="W3675">
        <v>0</v>
      </c>
      <c r="X3675">
        <v>2</v>
      </c>
      <c r="Y3675">
        <v>0</v>
      </c>
      <c r="Z3675">
        <v>0</v>
      </c>
      <c r="AB3675">
        <v>0</v>
      </c>
      <c r="AC3675">
        <v>9</v>
      </c>
      <c r="AD3675">
        <v>3</v>
      </c>
      <c r="AE3675">
        <v>0</v>
      </c>
      <c r="AF3675">
        <v>9</v>
      </c>
      <c r="AG3675" t="s">
        <v>115</v>
      </c>
      <c r="AH3675">
        <v>0</v>
      </c>
      <c r="AI3675">
        <v>0</v>
      </c>
      <c r="AJ3675">
        <v>1</v>
      </c>
      <c r="AK3675">
        <v>0</v>
      </c>
      <c r="AL3675" t="s">
        <v>6921</v>
      </c>
      <c r="AM3675">
        <v>47.033200000000001</v>
      </c>
      <c r="AN3675" t="s">
        <v>6922</v>
      </c>
      <c r="AO3675">
        <v>-123.876622</v>
      </c>
      <c r="AP3675">
        <v>100</v>
      </c>
      <c r="AQ3675">
        <v>2100</v>
      </c>
      <c r="AR3675" t="s">
        <v>118</v>
      </c>
      <c r="AS3675">
        <v>-77</v>
      </c>
      <c r="AT3675">
        <v>21</v>
      </c>
      <c r="AU3675">
        <v>-64</v>
      </c>
      <c r="BC3675">
        <v>1200</v>
      </c>
      <c r="BD3675">
        <v>1</v>
      </c>
      <c r="BE3675" t="str">
        <f t="shared" si="173"/>
        <v xml:space="preserve">N215T   </v>
      </c>
      <c r="BF3675">
        <v>1</v>
      </c>
      <c r="BH3675">
        <v>0</v>
      </c>
      <c r="BI3675">
        <v>0</v>
      </c>
      <c r="BJ3675">
        <v>0</v>
      </c>
      <c r="BK3675">
        <v>2500</v>
      </c>
      <c r="BL3675">
        <v>400</v>
      </c>
      <c r="BM3675" t="s">
        <v>119</v>
      </c>
      <c r="BN3675">
        <v>1</v>
      </c>
      <c r="BO3675">
        <v>1</v>
      </c>
      <c r="BP3675">
        <v>1</v>
      </c>
      <c r="BQ3675">
        <v>0</v>
      </c>
      <c r="BT3675">
        <v>0</v>
      </c>
      <c r="BU3675">
        <v>0</v>
      </c>
      <c r="BV3675">
        <v>0</v>
      </c>
      <c r="CC3675" t="str">
        <f>"19:36:13.750"</f>
        <v>19:36:13.750</v>
      </c>
      <c r="CD3675" t="str">
        <f>"750098390"</f>
        <v>750098390</v>
      </c>
      <c r="CQ3675">
        <v>0</v>
      </c>
      <c r="CR3675">
        <v>2</v>
      </c>
      <c r="CS3675">
        <v>0</v>
      </c>
      <c r="CT3675">
        <v>2</v>
      </c>
      <c r="CU3675">
        <v>0</v>
      </c>
      <c r="CV3675">
        <v>5</v>
      </c>
      <c r="CW3675" t="s">
        <v>120</v>
      </c>
      <c r="CX3675">
        <v>257</v>
      </c>
      <c r="CY3675">
        <v>0</v>
      </c>
      <c r="CZ3675" t="s">
        <v>615</v>
      </c>
      <c r="DA3675" t="s">
        <v>616</v>
      </c>
      <c r="DD3675">
        <v>16526931</v>
      </c>
      <c r="DE3675" t="s">
        <v>123</v>
      </c>
    </row>
    <row r="3676" spans="1:109" x14ac:dyDescent="0.3">
      <c r="A3676" t="str">
        <f>"19:36:14.961"</f>
        <v>19:36:14.961</v>
      </c>
      <c r="B3676" t="s">
        <v>110</v>
      </c>
      <c r="C3676" t="str">
        <f t="shared" si="171"/>
        <v>ffdfd3c0</v>
      </c>
      <c r="D3676" t="s">
        <v>111</v>
      </c>
      <c r="E3676">
        <v>18</v>
      </c>
      <c r="F3676">
        <v>1018</v>
      </c>
      <c r="G3676" t="s">
        <v>112</v>
      </c>
      <c r="J3676" t="s">
        <v>113</v>
      </c>
      <c r="K3676">
        <v>0</v>
      </c>
      <c r="L3676">
        <v>3</v>
      </c>
      <c r="M3676">
        <v>0</v>
      </c>
      <c r="N3676">
        <v>2</v>
      </c>
      <c r="O3676">
        <v>1</v>
      </c>
      <c r="P3676">
        <v>0</v>
      </c>
      <c r="Q3676">
        <v>0</v>
      </c>
      <c r="R3676" t="s">
        <v>114</v>
      </c>
      <c r="S3676" t="str">
        <f>"19:36:14.703"</f>
        <v>19:36:14.703</v>
      </c>
      <c r="T3676" t="str">
        <f>"19:36:14.203"</f>
        <v>19:36:14.203</v>
      </c>
      <c r="U3676" t="str">
        <f t="shared" si="172"/>
        <v>a1cdbe</v>
      </c>
      <c r="V3676">
        <v>0</v>
      </c>
      <c r="W3676">
        <v>0</v>
      </c>
      <c r="X3676">
        <v>2</v>
      </c>
      <c r="Y3676">
        <v>0</v>
      </c>
      <c r="Z3676">
        <v>0</v>
      </c>
      <c r="AB3676">
        <v>0</v>
      </c>
      <c r="AC3676">
        <v>9</v>
      </c>
      <c r="AD3676">
        <v>3</v>
      </c>
      <c r="AE3676">
        <v>0</v>
      </c>
      <c r="AF3676">
        <v>9</v>
      </c>
      <c r="AG3676" t="s">
        <v>115</v>
      </c>
      <c r="AH3676">
        <v>0</v>
      </c>
      <c r="AI3676">
        <v>0</v>
      </c>
      <c r="AJ3676">
        <v>1</v>
      </c>
      <c r="AK3676">
        <v>0</v>
      </c>
      <c r="AL3676" t="s">
        <v>637</v>
      </c>
      <c r="AM3676">
        <v>47.033265</v>
      </c>
      <c r="AN3676" t="s">
        <v>6923</v>
      </c>
      <c r="AO3676">
        <v>-123.877115</v>
      </c>
      <c r="AP3676">
        <v>100</v>
      </c>
      <c r="AQ3676">
        <v>2100</v>
      </c>
      <c r="AR3676" t="s">
        <v>118</v>
      </c>
      <c r="AS3676">
        <v>-77</v>
      </c>
      <c r="AT3676">
        <v>21</v>
      </c>
      <c r="AU3676">
        <v>-128</v>
      </c>
      <c r="BC3676">
        <v>1200</v>
      </c>
      <c r="BD3676">
        <v>1</v>
      </c>
      <c r="BE3676" t="str">
        <f t="shared" si="173"/>
        <v xml:space="preserve">N215T   </v>
      </c>
      <c r="BF3676">
        <v>1</v>
      </c>
      <c r="BH3676">
        <v>0</v>
      </c>
      <c r="BI3676">
        <v>0</v>
      </c>
      <c r="BJ3676">
        <v>0</v>
      </c>
      <c r="BK3676">
        <v>2500</v>
      </c>
      <c r="BL3676">
        <v>400</v>
      </c>
      <c r="BM3676" t="s">
        <v>119</v>
      </c>
      <c r="BN3676">
        <v>1</v>
      </c>
      <c r="BO3676">
        <v>1</v>
      </c>
      <c r="BP3676">
        <v>1</v>
      </c>
      <c r="BQ3676">
        <v>0</v>
      </c>
      <c r="BT3676">
        <v>0</v>
      </c>
      <c r="BU3676">
        <v>0</v>
      </c>
      <c r="BV3676">
        <v>0</v>
      </c>
      <c r="CC3676" t="str">
        <f>"19:36:14.711"</f>
        <v>19:36:14.711</v>
      </c>
      <c r="CD3676" t="str">
        <f>"710003844"</f>
        <v>710003844</v>
      </c>
      <c r="CQ3676">
        <v>0</v>
      </c>
      <c r="CR3676">
        <v>2</v>
      </c>
      <c r="CS3676">
        <v>0</v>
      </c>
      <c r="CT3676">
        <v>2</v>
      </c>
      <c r="CU3676">
        <v>0</v>
      </c>
      <c r="CV3676">
        <v>5</v>
      </c>
      <c r="CW3676" t="s">
        <v>120</v>
      </c>
      <c r="CX3676">
        <v>257</v>
      </c>
      <c r="CY3676">
        <v>0</v>
      </c>
      <c r="CZ3676" t="s">
        <v>615</v>
      </c>
      <c r="DA3676" t="s">
        <v>616</v>
      </c>
      <c r="DD3676">
        <v>16527328</v>
      </c>
      <c r="DE3676" t="s">
        <v>123</v>
      </c>
    </row>
    <row r="3677" spans="1:109" x14ac:dyDescent="0.3">
      <c r="A3677" t="str">
        <f>"19:36:15.961"</f>
        <v>19:36:15.961</v>
      </c>
      <c r="B3677" t="s">
        <v>110</v>
      </c>
      <c r="C3677" t="str">
        <f t="shared" si="171"/>
        <v>ffdfd3c0</v>
      </c>
      <c r="D3677" t="s">
        <v>111</v>
      </c>
      <c r="E3677">
        <v>18</v>
      </c>
      <c r="F3677">
        <v>1018</v>
      </c>
      <c r="G3677" t="s">
        <v>112</v>
      </c>
      <c r="J3677" t="s">
        <v>113</v>
      </c>
      <c r="K3677">
        <v>0</v>
      </c>
      <c r="L3677">
        <v>3</v>
      </c>
      <c r="M3677">
        <v>0</v>
      </c>
      <c r="N3677">
        <v>2</v>
      </c>
      <c r="O3677">
        <v>1</v>
      </c>
      <c r="P3677">
        <v>0</v>
      </c>
      <c r="Q3677">
        <v>0</v>
      </c>
      <c r="R3677" t="s">
        <v>114</v>
      </c>
      <c r="S3677" t="str">
        <f>"19:36:15.742"</f>
        <v>19:36:15.742</v>
      </c>
      <c r="T3677" t="str">
        <f>"19:36:15.344"</f>
        <v>19:36:15.344</v>
      </c>
      <c r="U3677" t="str">
        <f t="shared" si="172"/>
        <v>a1cdbe</v>
      </c>
      <c r="V3677">
        <v>0</v>
      </c>
      <c r="W3677">
        <v>0</v>
      </c>
      <c r="X3677">
        <v>2</v>
      </c>
      <c r="Y3677">
        <v>0</v>
      </c>
      <c r="Z3677">
        <v>0</v>
      </c>
      <c r="AB3677">
        <v>0</v>
      </c>
      <c r="AC3677">
        <v>9</v>
      </c>
      <c r="AD3677">
        <v>3</v>
      </c>
      <c r="AE3677">
        <v>0</v>
      </c>
      <c r="AF3677">
        <v>9</v>
      </c>
      <c r="AG3677" t="s">
        <v>115</v>
      </c>
      <c r="AH3677">
        <v>0</v>
      </c>
      <c r="AI3677">
        <v>0</v>
      </c>
      <c r="AJ3677">
        <v>1</v>
      </c>
      <c r="AK3677">
        <v>0</v>
      </c>
      <c r="AL3677" t="s">
        <v>6924</v>
      </c>
      <c r="AM3677">
        <v>47.033392999999997</v>
      </c>
      <c r="AN3677" t="s">
        <v>6925</v>
      </c>
      <c r="AO3677">
        <v>-123.877652</v>
      </c>
      <c r="AP3677">
        <v>100</v>
      </c>
      <c r="AQ3677">
        <v>2100</v>
      </c>
      <c r="AR3677" t="s">
        <v>118</v>
      </c>
      <c r="AS3677">
        <v>-77</v>
      </c>
      <c r="AT3677">
        <v>21</v>
      </c>
      <c r="AU3677">
        <v>-192</v>
      </c>
      <c r="BC3677">
        <v>1200</v>
      </c>
      <c r="BD3677">
        <v>1</v>
      </c>
      <c r="BE3677" t="str">
        <f t="shared" si="173"/>
        <v xml:space="preserve">N215T   </v>
      </c>
      <c r="BF3677">
        <v>1</v>
      </c>
      <c r="BH3677">
        <v>0</v>
      </c>
      <c r="BI3677">
        <v>0</v>
      </c>
      <c r="BJ3677">
        <v>0</v>
      </c>
      <c r="BK3677">
        <v>2500</v>
      </c>
      <c r="BL3677">
        <v>400</v>
      </c>
      <c r="BM3677" t="s">
        <v>119</v>
      </c>
      <c r="BN3677">
        <v>1</v>
      </c>
      <c r="BO3677">
        <v>1</v>
      </c>
      <c r="BP3677">
        <v>1</v>
      </c>
      <c r="BQ3677">
        <v>0</v>
      </c>
      <c r="BT3677">
        <v>0</v>
      </c>
      <c r="BU3677">
        <v>0</v>
      </c>
      <c r="BV3677">
        <v>0</v>
      </c>
      <c r="CC3677" t="str">
        <f>"19:36:15.742"</f>
        <v>19:36:15.742</v>
      </c>
      <c r="CD3677" t="str">
        <f>"744901902"</f>
        <v>744901902</v>
      </c>
      <c r="CQ3677">
        <v>0</v>
      </c>
      <c r="CR3677">
        <v>2</v>
      </c>
      <c r="CS3677">
        <v>0</v>
      </c>
      <c r="CT3677">
        <v>2</v>
      </c>
      <c r="CU3677">
        <v>0</v>
      </c>
      <c r="CV3677">
        <v>5</v>
      </c>
      <c r="CW3677" t="s">
        <v>120</v>
      </c>
      <c r="CX3677">
        <v>257</v>
      </c>
      <c r="CY3677">
        <v>0</v>
      </c>
      <c r="CZ3677" t="s">
        <v>615</v>
      </c>
      <c r="DA3677" t="s">
        <v>616</v>
      </c>
      <c r="DD3677">
        <v>16527746</v>
      </c>
      <c r="DE3677" t="s">
        <v>123</v>
      </c>
    </row>
    <row r="3678" spans="1:109" x14ac:dyDescent="0.3">
      <c r="A3678" t="str">
        <f>"19:36:17.023"</f>
        <v>19:36:17.023</v>
      </c>
      <c r="B3678" t="s">
        <v>110</v>
      </c>
      <c r="C3678" t="str">
        <f t="shared" si="171"/>
        <v>ffdfd3c0</v>
      </c>
      <c r="D3678" t="s">
        <v>111</v>
      </c>
      <c r="E3678">
        <v>18</v>
      </c>
      <c r="F3678">
        <v>1018</v>
      </c>
      <c r="G3678" t="s">
        <v>112</v>
      </c>
      <c r="J3678" t="s">
        <v>113</v>
      </c>
      <c r="K3678">
        <v>0</v>
      </c>
      <c r="L3678">
        <v>3</v>
      </c>
      <c r="M3678">
        <v>0</v>
      </c>
      <c r="N3678">
        <v>2</v>
      </c>
      <c r="O3678">
        <v>1</v>
      </c>
      <c r="P3678">
        <v>0</v>
      </c>
      <c r="Q3678">
        <v>0</v>
      </c>
      <c r="R3678" t="s">
        <v>114</v>
      </c>
      <c r="S3678" t="str">
        <f>"19:36:16.773"</f>
        <v>19:36:16.773</v>
      </c>
      <c r="T3678" t="str">
        <f>"19:36:16.375"</f>
        <v>19:36:16.375</v>
      </c>
      <c r="U3678" t="str">
        <f t="shared" si="172"/>
        <v>a1cdbe</v>
      </c>
      <c r="V3678">
        <v>0</v>
      </c>
      <c r="W3678">
        <v>0</v>
      </c>
      <c r="X3678">
        <v>2</v>
      </c>
      <c r="Y3678">
        <v>0</v>
      </c>
      <c r="Z3678">
        <v>0</v>
      </c>
      <c r="AB3678">
        <v>0</v>
      </c>
      <c r="AC3678">
        <v>9</v>
      </c>
      <c r="AD3678">
        <v>3</v>
      </c>
      <c r="AE3678">
        <v>0</v>
      </c>
      <c r="AF3678">
        <v>9</v>
      </c>
      <c r="AG3678" t="s">
        <v>158</v>
      </c>
      <c r="AH3678">
        <v>0</v>
      </c>
      <c r="AI3678">
        <v>3</v>
      </c>
      <c r="AJ3678">
        <v>1</v>
      </c>
      <c r="AK3678">
        <v>0</v>
      </c>
      <c r="AL3678" t="s">
        <v>6926</v>
      </c>
      <c r="AM3678">
        <v>47.033479</v>
      </c>
      <c r="AN3678" t="s">
        <v>6927</v>
      </c>
      <c r="AO3678">
        <v>-123.87818799999999</v>
      </c>
      <c r="AP3678">
        <v>100</v>
      </c>
      <c r="AQ3678">
        <v>2100</v>
      </c>
      <c r="AR3678" t="s">
        <v>118</v>
      </c>
      <c r="AS3678">
        <v>-77</v>
      </c>
      <c r="AT3678">
        <v>22</v>
      </c>
      <c r="AU3678">
        <v>-192</v>
      </c>
      <c r="BC3678">
        <v>1200</v>
      </c>
      <c r="BD3678">
        <v>1</v>
      </c>
      <c r="BE3678" t="str">
        <f t="shared" si="173"/>
        <v xml:space="preserve">N215T   </v>
      </c>
      <c r="BF3678">
        <v>1</v>
      </c>
      <c r="BH3678">
        <v>0</v>
      </c>
      <c r="BI3678">
        <v>0</v>
      </c>
      <c r="BJ3678">
        <v>0</v>
      </c>
      <c r="BK3678">
        <v>2500</v>
      </c>
      <c r="BL3678">
        <v>400</v>
      </c>
      <c r="BM3678" t="s">
        <v>119</v>
      </c>
      <c r="BN3678">
        <v>1</v>
      </c>
      <c r="BO3678">
        <v>1</v>
      </c>
      <c r="BP3678">
        <v>1</v>
      </c>
      <c r="BQ3678">
        <v>0</v>
      </c>
      <c r="BT3678">
        <v>0</v>
      </c>
      <c r="BU3678">
        <v>0</v>
      </c>
      <c r="BV3678">
        <v>0</v>
      </c>
      <c r="CC3678" t="str">
        <f>"19:36:16.781"</f>
        <v>19:36:16.781</v>
      </c>
      <c r="CD3678" t="str">
        <f>"779799961"</f>
        <v>779799961</v>
      </c>
      <c r="CQ3678">
        <v>0</v>
      </c>
      <c r="CR3678">
        <v>2</v>
      </c>
      <c r="CS3678">
        <v>0</v>
      </c>
      <c r="CT3678">
        <v>2</v>
      </c>
      <c r="CU3678">
        <v>0</v>
      </c>
      <c r="CV3678">
        <v>5</v>
      </c>
      <c r="CW3678" t="s">
        <v>120</v>
      </c>
      <c r="CX3678">
        <v>257</v>
      </c>
      <c r="CY3678">
        <v>0</v>
      </c>
      <c r="CZ3678" t="s">
        <v>615</v>
      </c>
      <c r="DA3678" t="s">
        <v>616</v>
      </c>
      <c r="DD3678">
        <v>16528155</v>
      </c>
      <c r="DE3678" t="s">
        <v>123</v>
      </c>
    </row>
    <row r="3679" spans="1:109" x14ac:dyDescent="0.3">
      <c r="A3679" t="str">
        <f>"19:36:18.180"</f>
        <v>19:36:18.180</v>
      </c>
      <c r="B3679" t="s">
        <v>110</v>
      </c>
      <c r="C3679" t="str">
        <f t="shared" si="171"/>
        <v>ffdfd3c0</v>
      </c>
      <c r="D3679" t="s">
        <v>111</v>
      </c>
      <c r="E3679">
        <v>18</v>
      </c>
      <c r="F3679">
        <v>1018</v>
      </c>
      <c r="G3679" t="s">
        <v>112</v>
      </c>
      <c r="J3679" t="s">
        <v>113</v>
      </c>
      <c r="K3679">
        <v>0</v>
      </c>
      <c r="L3679">
        <v>3</v>
      </c>
      <c r="M3679">
        <v>0</v>
      </c>
      <c r="N3679">
        <v>2</v>
      </c>
      <c r="O3679">
        <v>1</v>
      </c>
      <c r="P3679">
        <v>0</v>
      </c>
      <c r="Q3679">
        <v>0</v>
      </c>
      <c r="R3679" t="s">
        <v>114</v>
      </c>
      <c r="S3679" t="str">
        <f>"19:36:17.898"</f>
        <v>19:36:17.898</v>
      </c>
      <c r="T3679" t="str">
        <f>"19:36:17.898"</f>
        <v>19:36:17.898</v>
      </c>
      <c r="U3679" t="str">
        <f t="shared" si="172"/>
        <v>a1cdbe</v>
      </c>
      <c r="V3679">
        <v>0</v>
      </c>
      <c r="W3679">
        <v>0</v>
      </c>
      <c r="X3679">
        <v>2</v>
      </c>
      <c r="Y3679">
        <v>0</v>
      </c>
      <c r="Z3679">
        <v>0</v>
      </c>
      <c r="AB3679">
        <v>0</v>
      </c>
      <c r="AC3679">
        <v>9</v>
      </c>
      <c r="AD3679">
        <v>3</v>
      </c>
      <c r="AE3679">
        <v>0</v>
      </c>
      <c r="AF3679">
        <v>9</v>
      </c>
      <c r="AG3679" t="s">
        <v>158</v>
      </c>
      <c r="AH3679">
        <v>0</v>
      </c>
      <c r="AI3679">
        <v>3</v>
      </c>
      <c r="AJ3679">
        <v>1</v>
      </c>
      <c r="AK3679">
        <v>0</v>
      </c>
      <c r="AL3679" t="s">
        <v>6928</v>
      </c>
      <c r="AM3679">
        <v>47.033586999999997</v>
      </c>
      <c r="AN3679" t="s">
        <v>6929</v>
      </c>
      <c r="AO3679">
        <v>-123.87881</v>
      </c>
      <c r="AP3679">
        <v>100</v>
      </c>
      <c r="AQ3679">
        <v>2100</v>
      </c>
      <c r="AR3679" t="s">
        <v>118</v>
      </c>
      <c r="AS3679">
        <v>-78</v>
      </c>
      <c r="AT3679">
        <v>23</v>
      </c>
      <c r="AU3679">
        <v>-192</v>
      </c>
      <c r="BC3679">
        <v>1200</v>
      </c>
      <c r="BD3679">
        <v>1</v>
      </c>
      <c r="BE3679" t="str">
        <f t="shared" si="173"/>
        <v xml:space="preserve">N215T   </v>
      </c>
      <c r="BF3679">
        <v>1</v>
      </c>
      <c r="BH3679">
        <v>0</v>
      </c>
      <c r="BI3679">
        <v>0</v>
      </c>
      <c r="BJ3679">
        <v>0</v>
      </c>
      <c r="BK3679">
        <v>2475</v>
      </c>
      <c r="BL3679">
        <v>375</v>
      </c>
      <c r="BM3679" t="s">
        <v>119</v>
      </c>
      <c r="BN3679">
        <v>1</v>
      </c>
      <c r="BO3679">
        <v>1</v>
      </c>
      <c r="BP3679">
        <v>1</v>
      </c>
      <c r="BQ3679">
        <v>0</v>
      </c>
      <c r="BT3679">
        <v>0</v>
      </c>
      <c r="BU3679">
        <v>0</v>
      </c>
      <c r="BV3679">
        <v>0</v>
      </c>
      <c r="CC3679" t="str">
        <f>"19:36:17.906"</f>
        <v>19:36:17.906</v>
      </c>
      <c r="CD3679" t="str">
        <f>"904689170"</f>
        <v>904689170</v>
      </c>
      <c r="CQ3679">
        <v>0</v>
      </c>
      <c r="CR3679">
        <v>2</v>
      </c>
      <c r="CS3679">
        <v>0</v>
      </c>
      <c r="CT3679">
        <v>2</v>
      </c>
      <c r="CU3679">
        <v>0</v>
      </c>
      <c r="CV3679">
        <v>5</v>
      </c>
      <c r="CW3679" t="s">
        <v>120</v>
      </c>
      <c r="CX3679">
        <v>257</v>
      </c>
      <c r="CY3679">
        <v>0</v>
      </c>
      <c r="CZ3679" t="s">
        <v>615</v>
      </c>
      <c r="DA3679" t="s">
        <v>616</v>
      </c>
      <c r="DD3679">
        <v>16528614</v>
      </c>
      <c r="DE3679" t="s">
        <v>123</v>
      </c>
    </row>
    <row r="3680" spans="1:109" x14ac:dyDescent="0.3">
      <c r="A3680" t="str">
        <f>"19:36:18.984"</f>
        <v>19:36:18.984</v>
      </c>
      <c r="B3680" t="s">
        <v>110</v>
      </c>
      <c r="C3680" t="str">
        <f t="shared" si="171"/>
        <v>ffdfd3c0</v>
      </c>
      <c r="D3680" t="s">
        <v>111</v>
      </c>
      <c r="E3680">
        <v>18</v>
      </c>
      <c r="F3680">
        <v>1018</v>
      </c>
      <c r="G3680" t="s">
        <v>112</v>
      </c>
      <c r="J3680" t="s">
        <v>113</v>
      </c>
      <c r="K3680">
        <v>0</v>
      </c>
      <c r="L3680">
        <v>3</v>
      </c>
      <c r="M3680">
        <v>0</v>
      </c>
      <c r="N3680">
        <v>2</v>
      </c>
      <c r="O3680">
        <v>1</v>
      </c>
      <c r="P3680">
        <v>0</v>
      </c>
      <c r="Q3680">
        <v>0</v>
      </c>
      <c r="R3680" t="s">
        <v>114</v>
      </c>
      <c r="S3680" t="str">
        <f>"19:36:18.758"</f>
        <v>19:36:18.758</v>
      </c>
      <c r="T3680" t="str">
        <f>"19:36:18.359"</f>
        <v>19:36:18.359</v>
      </c>
      <c r="U3680" t="str">
        <f t="shared" si="172"/>
        <v>a1cdbe</v>
      </c>
      <c r="V3680">
        <v>0</v>
      </c>
      <c r="W3680">
        <v>0</v>
      </c>
      <c r="X3680">
        <v>2</v>
      </c>
      <c r="Y3680">
        <v>0</v>
      </c>
      <c r="Z3680">
        <v>0</v>
      </c>
      <c r="AB3680">
        <v>0</v>
      </c>
      <c r="AC3680">
        <v>9</v>
      </c>
      <c r="AD3680">
        <v>3</v>
      </c>
      <c r="AE3680">
        <v>0</v>
      </c>
      <c r="AF3680">
        <v>9</v>
      </c>
      <c r="AG3680" t="s">
        <v>158</v>
      </c>
      <c r="AH3680">
        <v>0</v>
      </c>
      <c r="AI3680">
        <v>3</v>
      </c>
      <c r="AJ3680">
        <v>1</v>
      </c>
      <c r="AK3680">
        <v>0</v>
      </c>
      <c r="AL3680" t="s">
        <v>6930</v>
      </c>
      <c r="AM3680">
        <v>47.033715000000001</v>
      </c>
      <c r="AN3680" t="s">
        <v>6931</v>
      </c>
      <c r="AO3680">
        <v>-123.87921799999999</v>
      </c>
      <c r="AP3680">
        <v>100</v>
      </c>
      <c r="AQ3680">
        <v>2100</v>
      </c>
      <c r="AR3680" t="s">
        <v>118</v>
      </c>
      <c r="AS3680">
        <v>-78</v>
      </c>
      <c r="AT3680">
        <v>23</v>
      </c>
      <c r="AU3680">
        <v>-192</v>
      </c>
      <c r="BC3680">
        <v>1200</v>
      </c>
      <c r="BD3680">
        <v>1</v>
      </c>
      <c r="BE3680" t="str">
        <f t="shared" si="173"/>
        <v xml:space="preserve">N215T   </v>
      </c>
      <c r="BF3680">
        <v>1</v>
      </c>
      <c r="BH3680">
        <v>0</v>
      </c>
      <c r="BI3680">
        <v>0</v>
      </c>
      <c r="BJ3680">
        <v>0</v>
      </c>
      <c r="BK3680">
        <v>2475</v>
      </c>
      <c r="BL3680">
        <v>375</v>
      </c>
      <c r="BM3680" t="s">
        <v>119</v>
      </c>
      <c r="BN3680">
        <v>1</v>
      </c>
      <c r="BO3680">
        <v>1</v>
      </c>
      <c r="BP3680">
        <v>1</v>
      </c>
      <c r="BQ3680">
        <v>0</v>
      </c>
      <c r="BT3680">
        <v>0</v>
      </c>
      <c r="BU3680">
        <v>0</v>
      </c>
      <c r="BV3680">
        <v>0</v>
      </c>
      <c r="CC3680" t="str">
        <f>"19:36:18.758"</f>
        <v>19:36:18.758</v>
      </c>
      <c r="CD3680" t="str">
        <f>"759604971"</f>
        <v>759604971</v>
      </c>
      <c r="CQ3680">
        <v>0</v>
      </c>
      <c r="CR3680">
        <v>2</v>
      </c>
      <c r="CS3680">
        <v>0</v>
      </c>
      <c r="CT3680">
        <v>2</v>
      </c>
      <c r="CU3680">
        <v>0</v>
      </c>
      <c r="CV3680">
        <v>5</v>
      </c>
      <c r="CW3680" t="s">
        <v>120</v>
      </c>
      <c r="CX3680">
        <v>257</v>
      </c>
      <c r="CY3680">
        <v>0</v>
      </c>
      <c r="CZ3680" t="s">
        <v>615</v>
      </c>
      <c r="DA3680" t="s">
        <v>616</v>
      </c>
      <c r="DD3680">
        <v>16528976</v>
      </c>
      <c r="DE3680" t="s">
        <v>123</v>
      </c>
    </row>
    <row r="3681" spans="1:109" x14ac:dyDescent="0.3">
      <c r="A3681" t="str">
        <f>"19:36:20.039"</f>
        <v>19:36:20.039</v>
      </c>
      <c r="B3681" t="s">
        <v>110</v>
      </c>
      <c r="C3681" t="str">
        <f t="shared" si="171"/>
        <v>ffdfd3c0</v>
      </c>
      <c r="D3681" t="s">
        <v>111</v>
      </c>
      <c r="E3681">
        <v>18</v>
      </c>
      <c r="F3681">
        <v>1018</v>
      </c>
      <c r="G3681" t="s">
        <v>112</v>
      </c>
      <c r="J3681" t="s">
        <v>113</v>
      </c>
      <c r="K3681">
        <v>0</v>
      </c>
      <c r="L3681">
        <v>3</v>
      </c>
      <c r="M3681">
        <v>0</v>
      </c>
      <c r="N3681">
        <v>2</v>
      </c>
      <c r="O3681">
        <v>1</v>
      </c>
      <c r="P3681">
        <v>0</v>
      </c>
      <c r="Q3681">
        <v>0</v>
      </c>
      <c r="R3681" t="s">
        <v>114</v>
      </c>
      <c r="S3681" t="str">
        <f>"19:36:19.820"</f>
        <v>19:36:19.820</v>
      </c>
      <c r="T3681" t="str">
        <f>"19:36:19.422"</f>
        <v>19:36:19.422</v>
      </c>
      <c r="U3681" t="str">
        <f t="shared" si="172"/>
        <v>a1cdbe</v>
      </c>
      <c r="V3681">
        <v>0</v>
      </c>
      <c r="W3681">
        <v>0</v>
      </c>
      <c r="X3681">
        <v>2</v>
      </c>
      <c r="Y3681">
        <v>0</v>
      </c>
      <c r="Z3681">
        <v>0</v>
      </c>
      <c r="AB3681">
        <v>0</v>
      </c>
      <c r="AC3681">
        <v>9</v>
      </c>
      <c r="AD3681">
        <v>3</v>
      </c>
      <c r="AE3681">
        <v>0</v>
      </c>
      <c r="AF3681">
        <v>9</v>
      </c>
      <c r="AG3681" t="s">
        <v>158</v>
      </c>
      <c r="AH3681">
        <v>0</v>
      </c>
      <c r="AI3681">
        <v>3</v>
      </c>
      <c r="AJ3681">
        <v>1</v>
      </c>
      <c r="AK3681">
        <v>0</v>
      </c>
      <c r="AL3681" t="s">
        <v>6932</v>
      </c>
      <c r="AM3681">
        <v>47.033822999999998</v>
      </c>
      <c r="AN3681" t="s">
        <v>6933</v>
      </c>
      <c r="AO3681">
        <v>-123.879797</v>
      </c>
      <c r="AP3681">
        <v>100</v>
      </c>
      <c r="AQ3681">
        <v>2100</v>
      </c>
      <c r="AR3681" t="s">
        <v>118</v>
      </c>
      <c r="AS3681">
        <v>-78</v>
      </c>
      <c r="AT3681">
        <v>23</v>
      </c>
      <c r="AU3681">
        <v>-128</v>
      </c>
      <c r="BC3681">
        <v>1200</v>
      </c>
      <c r="BD3681">
        <v>1</v>
      </c>
      <c r="BE3681" t="str">
        <f t="shared" si="173"/>
        <v xml:space="preserve">N215T   </v>
      </c>
      <c r="BF3681">
        <v>1</v>
      </c>
      <c r="BH3681">
        <v>0</v>
      </c>
      <c r="BI3681">
        <v>0</v>
      </c>
      <c r="BJ3681">
        <v>0</v>
      </c>
      <c r="BK3681">
        <v>2475</v>
      </c>
      <c r="BL3681">
        <v>375</v>
      </c>
      <c r="BM3681" t="s">
        <v>119</v>
      </c>
      <c r="BN3681">
        <v>1</v>
      </c>
      <c r="BO3681">
        <v>1</v>
      </c>
      <c r="BP3681">
        <v>1</v>
      </c>
      <c r="BQ3681">
        <v>0</v>
      </c>
      <c r="BT3681">
        <v>0</v>
      </c>
      <c r="BU3681">
        <v>0</v>
      </c>
      <c r="BV3681">
        <v>0</v>
      </c>
      <c r="CC3681" t="str">
        <f>"19:36:19.828"</f>
        <v>19:36:19.828</v>
      </c>
      <c r="CD3681" t="str">
        <f>"824500068"</f>
        <v>824500068</v>
      </c>
      <c r="CQ3681">
        <v>0</v>
      </c>
      <c r="CR3681">
        <v>2</v>
      </c>
      <c r="CS3681">
        <v>0</v>
      </c>
      <c r="CT3681">
        <v>2</v>
      </c>
      <c r="CU3681">
        <v>0</v>
      </c>
      <c r="CV3681">
        <v>4</v>
      </c>
      <c r="CW3681" t="s">
        <v>120</v>
      </c>
      <c r="CX3681">
        <v>257</v>
      </c>
      <c r="CY3681">
        <v>0</v>
      </c>
      <c r="CZ3681" t="s">
        <v>615</v>
      </c>
      <c r="DA3681" t="s">
        <v>616</v>
      </c>
      <c r="DD3681">
        <v>16529427</v>
      </c>
      <c r="DE3681" t="s">
        <v>123</v>
      </c>
    </row>
    <row r="3682" spans="1:109" x14ac:dyDescent="0.3">
      <c r="A3682" t="str">
        <f>"19:36:21.141"</f>
        <v>19:36:21.141</v>
      </c>
      <c r="B3682" t="s">
        <v>110</v>
      </c>
      <c r="C3682" t="str">
        <f t="shared" si="171"/>
        <v>ffdfd3c0</v>
      </c>
      <c r="D3682" t="s">
        <v>111</v>
      </c>
      <c r="E3682">
        <v>18</v>
      </c>
      <c r="F3682">
        <v>1018</v>
      </c>
      <c r="G3682" t="s">
        <v>112</v>
      </c>
      <c r="J3682" t="s">
        <v>113</v>
      </c>
      <c r="K3682">
        <v>0</v>
      </c>
      <c r="L3682">
        <v>3</v>
      </c>
      <c r="M3682">
        <v>0</v>
      </c>
      <c r="N3682">
        <v>2</v>
      </c>
      <c r="O3682">
        <v>1</v>
      </c>
      <c r="P3682">
        <v>0</v>
      </c>
      <c r="Q3682">
        <v>0</v>
      </c>
      <c r="R3682" t="s">
        <v>114</v>
      </c>
      <c r="S3682" t="str">
        <f>"19:36:20.859"</f>
        <v>19:36:20.859</v>
      </c>
      <c r="T3682" t="str">
        <f>"19:36:20.859"</f>
        <v>19:36:20.859</v>
      </c>
      <c r="U3682" t="str">
        <f t="shared" si="172"/>
        <v>a1cdbe</v>
      </c>
      <c r="V3682">
        <v>0</v>
      </c>
      <c r="W3682">
        <v>0</v>
      </c>
      <c r="X3682">
        <v>2</v>
      </c>
      <c r="Y3682">
        <v>0</v>
      </c>
      <c r="Z3682">
        <v>0</v>
      </c>
      <c r="AB3682">
        <v>0</v>
      </c>
      <c r="AC3682">
        <v>9</v>
      </c>
      <c r="AD3682">
        <v>3</v>
      </c>
      <c r="AE3682">
        <v>0</v>
      </c>
      <c r="AF3682">
        <v>9</v>
      </c>
      <c r="AG3682" t="s">
        <v>158</v>
      </c>
      <c r="AH3682">
        <v>0</v>
      </c>
      <c r="AI3682">
        <v>3</v>
      </c>
      <c r="AJ3682">
        <v>1</v>
      </c>
      <c r="AK3682">
        <v>0</v>
      </c>
      <c r="AL3682" t="s">
        <v>633</v>
      </c>
      <c r="AM3682">
        <v>47.033929999999998</v>
      </c>
      <c r="AN3682" t="s">
        <v>6934</v>
      </c>
      <c r="AO3682">
        <v>-123.880398</v>
      </c>
      <c r="AP3682">
        <v>100</v>
      </c>
      <c r="AQ3682">
        <v>2100</v>
      </c>
      <c r="AR3682" t="s">
        <v>118</v>
      </c>
      <c r="AS3682">
        <v>-78</v>
      </c>
      <c r="AT3682">
        <v>23</v>
      </c>
      <c r="AU3682">
        <v>-128</v>
      </c>
      <c r="BC3682">
        <v>1200</v>
      </c>
      <c r="BD3682">
        <v>1</v>
      </c>
      <c r="BE3682" t="str">
        <f t="shared" si="173"/>
        <v xml:space="preserve">N215T   </v>
      </c>
      <c r="BF3682">
        <v>1</v>
      </c>
      <c r="BH3682">
        <v>0</v>
      </c>
      <c r="BI3682">
        <v>0</v>
      </c>
      <c r="BJ3682">
        <v>0</v>
      </c>
      <c r="BK3682">
        <v>2475</v>
      </c>
      <c r="BL3682">
        <v>375</v>
      </c>
      <c r="BM3682" t="s">
        <v>119</v>
      </c>
      <c r="BN3682">
        <v>1</v>
      </c>
      <c r="BO3682">
        <v>1</v>
      </c>
      <c r="BP3682">
        <v>1</v>
      </c>
      <c r="BQ3682">
        <v>0</v>
      </c>
      <c r="BT3682">
        <v>0</v>
      </c>
      <c r="BU3682">
        <v>0</v>
      </c>
      <c r="BV3682">
        <v>0</v>
      </c>
      <c r="CC3682" t="str">
        <f>"19:36:20.859"</f>
        <v>19:36:20.859</v>
      </c>
      <c r="CD3682" t="str">
        <f>"859398123"</f>
        <v>859398123</v>
      </c>
      <c r="CQ3682">
        <v>0</v>
      </c>
      <c r="CR3682">
        <v>2</v>
      </c>
      <c r="CS3682">
        <v>0</v>
      </c>
      <c r="CT3682">
        <v>2</v>
      </c>
      <c r="CU3682">
        <v>0</v>
      </c>
      <c r="CV3682">
        <v>5</v>
      </c>
      <c r="CW3682" t="s">
        <v>120</v>
      </c>
      <c r="CX3682">
        <v>257</v>
      </c>
      <c r="CY3682">
        <v>0</v>
      </c>
      <c r="CZ3682" t="s">
        <v>615</v>
      </c>
      <c r="DA3682" t="s">
        <v>616</v>
      </c>
      <c r="DD3682">
        <v>16529849</v>
      </c>
      <c r="DE3682" t="s">
        <v>123</v>
      </c>
    </row>
    <row r="3683" spans="1:109" x14ac:dyDescent="0.3">
      <c r="A3683" t="str">
        <f>"19:36:22.047"</f>
        <v>19:36:22.047</v>
      </c>
      <c r="B3683" t="s">
        <v>110</v>
      </c>
      <c r="C3683" t="str">
        <f t="shared" si="171"/>
        <v>ffdfd3c0</v>
      </c>
      <c r="D3683" t="s">
        <v>111</v>
      </c>
      <c r="E3683">
        <v>18</v>
      </c>
      <c r="F3683">
        <v>1018</v>
      </c>
      <c r="G3683" t="s">
        <v>112</v>
      </c>
      <c r="J3683" t="s">
        <v>113</v>
      </c>
      <c r="K3683">
        <v>0</v>
      </c>
      <c r="L3683">
        <v>3</v>
      </c>
      <c r="M3683">
        <v>0</v>
      </c>
      <c r="N3683">
        <v>2</v>
      </c>
      <c r="O3683">
        <v>1</v>
      </c>
      <c r="P3683">
        <v>0</v>
      </c>
      <c r="Q3683">
        <v>0</v>
      </c>
      <c r="R3683" t="s">
        <v>114</v>
      </c>
      <c r="S3683" t="str">
        <f>"19:36:21.773"</f>
        <v>19:36:21.773</v>
      </c>
      <c r="T3683" t="str">
        <f>"19:36:21.672"</f>
        <v>19:36:21.672</v>
      </c>
      <c r="U3683" t="str">
        <f t="shared" si="172"/>
        <v>a1cdbe</v>
      </c>
      <c r="V3683">
        <v>0</v>
      </c>
      <c r="W3683">
        <v>0</v>
      </c>
      <c r="X3683">
        <v>2</v>
      </c>
      <c r="Y3683">
        <v>0</v>
      </c>
      <c r="Z3683">
        <v>0</v>
      </c>
      <c r="AB3683">
        <v>0</v>
      </c>
      <c r="AC3683">
        <v>9</v>
      </c>
      <c r="AD3683">
        <v>3</v>
      </c>
      <c r="AE3683">
        <v>0</v>
      </c>
      <c r="AF3683">
        <v>9</v>
      </c>
      <c r="AG3683" t="s">
        <v>158</v>
      </c>
      <c r="AH3683">
        <v>0</v>
      </c>
      <c r="AI3683">
        <v>3</v>
      </c>
      <c r="AJ3683">
        <v>1</v>
      </c>
      <c r="AK3683">
        <v>0</v>
      </c>
      <c r="AL3683" t="s">
        <v>6935</v>
      </c>
      <c r="AM3683">
        <v>47.034058999999999</v>
      </c>
      <c r="AN3683" t="s">
        <v>6936</v>
      </c>
      <c r="AO3683">
        <v>-123.880849</v>
      </c>
      <c r="AP3683">
        <v>100</v>
      </c>
      <c r="AQ3683">
        <v>2100</v>
      </c>
      <c r="AR3683" t="s">
        <v>118</v>
      </c>
      <c r="AS3683">
        <v>-78</v>
      </c>
      <c r="AT3683">
        <v>24</v>
      </c>
      <c r="AU3683">
        <v>-128</v>
      </c>
      <c r="BC3683">
        <v>1200</v>
      </c>
      <c r="BD3683">
        <v>1</v>
      </c>
      <c r="BE3683" t="str">
        <f t="shared" si="173"/>
        <v xml:space="preserve">N215T   </v>
      </c>
      <c r="BF3683">
        <v>1</v>
      </c>
      <c r="BH3683">
        <v>0</v>
      </c>
      <c r="BI3683">
        <v>0</v>
      </c>
      <c r="BJ3683">
        <v>0</v>
      </c>
      <c r="BK3683">
        <v>2475</v>
      </c>
      <c r="BL3683">
        <v>375</v>
      </c>
      <c r="BM3683" t="s">
        <v>119</v>
      </c>
      <c r="BN3683">
        <v>1</v>
      </c>
      <c r="BO3683">
        <v>1</v>
      </c>
      <c r="BP3683">
        <v>1</v>
      </c>
      <c r="BQ3683">
        <v>0</v>
      </c>
      <c r="BT3683">
        <v>0</v>
      </c>
      <c r="BU3683">
        <v>0</v>
      </c>
      <c r="BV3683">
        <v>0</v>
      </c>
      <c r="CC3683" t="str">
        <f>"19:36:21.773"</f>
        <v>19:36:21.773</v>
      </c>
      <c r="CD3683" t="str">
        <f>"774307992"</f>
        <v>774307992</v>
      </c>
      <c r="CQ3683">
        <v>0</v>
      </c>
      <c r="CR3683">
        <v>2</v>
      </c>
      <c r="CS3683">
        <v>0</v>
      </c>
      <c r="CT3683">
        <v>2</v>
      </c>
      <c r="CU3683">
        <v>0</v>
      </c>
      <c r="CV3683">
        <v>5</v>
      </c>
      <c r="CW3683" t="s">
        <v>120</v>
      </c>
      <c r="CX3683">
        <v>257</v>
      </c>
      <c r="CY3683">
        <v>0</v>
      </c>
      <c r="CZ3683" t="s">
        <v>615</v>
      </c>
      <c r="DA3683" t="s">
        <v>616</v>
      </c>
      <c r="DD3683">
        <v>16530244</v>
      </c>
      <c r="DE3683" t="s">
        <v>123</v>
      </c>
    </row>
    <row r="3684" spans="1:109" x14ac:dyDescent="0.3">
      <c r="A3684" t="str">
        <f>"19:36:23.156"</f>
        <v>19:36:23.156</v>
      </c>
      <c r="B3684" t="s">
        <v>110</v>
      </c>
      <c r="C3684" t="str">
        <f t="shared" si="171"/>
        <v>ffdfd3c0</v>
      </c>
      <c r="D3684" t="s">
        <v>111</v>
      </c>
      <c r="E3684">
        <v>18</v>
      </c>
      <c r="F3684">
        <v>1018</v>
      </c>
      <c r="G3684" t="s">
        <v>112</v>
      </c>
      <c r="J3684" t="s">
        <v>113</v>
      </c>
      <c r="K3684">
        <v>0</v>
      </c>
      <c r="L3684">
        <v>3</v>
      </c>
      <c r="M3684">
        <v>0</v>
      </c>
      <c r="N3684">
        <v>2</v>
      </c>
      <c r="O3684">
        <v>1</v>
      </c>
      <c r="P3684">
        <v>0</v>
      </c>
      <c r="Q3684">
        <v>0</v>
      </c>
      <c r="R3684" t="s">
        <v>114</v>
      </c>
      <c r="S3684" t="str">
        <f>"19:36:22.898"</f>
        <v>19:36:22.898</v>
      </c>
      <c r="T3684" t="str">
        <f>"19:36:22.797"</f>
        <v>19:36:22.797</v>
      </c>
      <c r="U3684" t="str">
        <f t="shared" si="172"/>
        <v>a1cdbe</v>
      </c>
      <c r="V3684">
        <v>0</v>
      </c>
      <c r="W3684">
        <v>0</v>
      </c>
      <c r="X3684">
        <v>2</v>
      </c>
      <c r="Y3684">
        <v>0</v>
      </c>
      <c r="Z3684">
        <v>0</v>
      </c>
      <c r="AB3684">
        <v>0</v>
      </c>
      <c r="AC3684">
        <v>9</v>
      </c>
      <c r="AD3684">
        <v>3</v>
      </c>
      <c r="AE3684">
        <v>0</v>
      </c>
      <c r="AF3684">
        <v>9</v>
      </c>
      <c r="AG3684" t="s">
        <v>158</v>
      </c>
      <c r="AH3684">
        <v>0</v>
      </c>
      <c r="AI3684">
        <v>3</v>
      </c>
      <c r="AJ3684">
        <v>1</v>
      </c>
      <c r="AK3684">
        <v>0</v>
      </c>
      <c r="AL3684" t="s">
        <v>6937</v>
      </c>
      <c r="AM3684">
        <v>47.034165999999999</v>
      </c>
      <c r="AN3684" t="s">
        <v>6938</v>
      </c>
      <c r="AO3684">
        <v>-123.881428</v>
      </c>
      <c r="AP3684">
        <v>100</v>
      </c>
      <c r="AQ3684">
        <v>2100</v>
      </c>
      <c r="AR3684" t="s">
        <v>118</v>
      </c>
      <c r="AS3684">
        <v>-79</v>
      </c>
      <c r="AT3684">
        <v>24</v>
      </c>
      <c r="AU3684">
        <v>-64</v>
      </c>
      <c r="BC3684">
        <v>1200</v>
      </c>
      <c r="BD3684">
        <v>1</v>
      </c>
      <c r="BE3684" t="str">
        <f t="shared" si="173"/>
        <v xml:space="preserve">N215T   </v>
      </c>
      <c r="BF3684">
        <v>1</v>
      </c>
      <c r="BH3684">
        <v>0</v>
      </c>
      <c r="BI3684">
        <v>0</v>
      </c>
      <c r="BJ3684">
        <v>0</v>
      </c>
      <c r="BK3684">
        <v>2475</v>
      </c>
      <c r="BL3684">
        <v>375</v>
      </c>
      <c r="BM3684" t="s">
        <v>119</v>
      </c>
      <c r="BN3684">
        <v>1</v>
      </c>
      <c r="BO3684">
        <v>1</v>
      </c>
      <c r="BP3684">
        <v>1</v>
      </c>
      <c r="BQ3684">
        <v>0</v>
      </c>
      <c r="BT3684">
        <v>0</v>
      </c>
      <c r="BU3684">
        <v>0</v>
      </c>
      <c r="BV3684">
        <v>0</v>
      </c>
      <c r="CC3684" t="str">
        <f>"19:36:22.898"</f>
        <v>19:36:22.898</v>
      </c>
      <c r="CD3684" t="str">
        <f>"899197199"</f>
        <v>899197199</v>
      </c>
      <c r="CQ3684">
        <v>0</v>
      </c>
      <c r="CR3684">
        <v>2</v>
      </c>
      <c r="CS3684">
        <v>0</v>
      </c>
      <c r="CT3684">
        <v>2</v>
      </c>
      <c r="CU3684">
        <v>0</v>
      </c>
      <c r="CV3684">
        <v>5</v>
      </c>
      <c r="CW3684" t="s">
        <v>120</v>
      </c>
      <c r="CX3684">
        <v>257</v>
      </c>
      <c r="CY3684">
        <v>0</v>
      </c>
      <c r="CZ3684" t="s">
        <v>615</v>
      </c>
      <c r="DA3684" t="s">
        <v>616</v>
      </c>
      <c r="DD3684">
        <v>16530737</v>
      </c>
      <c r="DE3684" t="s">
        <v>123</v>
      </c>
    </row>
    <row r="3685" spans="1:109" x14ac:dyDescent="0.3">
      <c r="A3685" t="str">
        <f>"19:36:24.109"</f>
        <v>19:36:24.109</v>
      </c>
      <c r="B3685" t="s">
        <v>110</v>
      </c>
      <c r="C3685" t="str">
        <f t="shared" si="171"/>
        <v>ffdfd3c0</v>
      </c>
      <c r="D3685" t="s">
        <v>111</v>
      </c>
      <c r="E3685">
        <v>18</v>
      </c>
      <c r="F3685">
        <v>1018</v>
      </c>
      <c r="G3685" t="s">
        <v>112</v>
      </c>
      <c r="J3685" t="s">
        <v>113</v>
      </c>
      <c r="K3685">
        <v>0</v>
      </c>
      <c r="L3685">
        <v>3</v>
      </c>
      <c r="M3685">
        <v>0</v>
      </c>
      <c r="N3685">
        <v>2</v>
      </c>
      <c r="O3685">
        <v>1</v>
      </c>
      <c r="P3685">
        <v>0</v>
      </c>
      <c r="Q3685">
        <v>0</v>
      </c>
      <c r="R3685" t="s">
        <v>114</v>
      </c>
      <c r="S3685" t="str">
        <f>"19:36:23.867"</f>
        <v>19:36:23.867</v>
      </c>
      <c r="T3685" t="str">
        <f>"19:36:23.367"</f>
        <v>19:36:23.367</v>
      </c>
      <c r="U3685" t="str">
        <f t="shared" si="172"/>
        <v>a1cdbe</v>
      </c>
      <c r="V3685">
        <v>0</v>
      </c>
      <c r="W3685">
        <v>0</v>
      </c>
      <c r="X3685">
        <v>2</v>
      </c>
      <c r="Y3685">
        <v>0</v>
      </c>
      <c r="Z3685">
        <v>0</v>
      </c>
      <c r="AB3685">
        <v>0</v>
      </c>
      <c r="AC3685">
        <v>9</v>
      </c>
      <c r="AD3685">
        <v>3</v>
      </c>
      <c r="AE3685">
        <v>0</v>
      </c>
      <c r="AF3685">
        <v>9</v>
      </c>
      <c r="AG3685" t="s">
        <v>158</v>
      </c>
      <c r="AH3685">
        <v>0</v>
      </c>
      <c r="AI3685">
        <v>3</v>
      </c>
      <c r="AJ3685">
        <v>1</v>
      </c>
      <c r="AK3685">
        <v>0</v>
      </c>
      <c r="AL3685" t="s">
        <v>631</v>
      </c>
      <c r="AM3685">
        <v>47.034295</v>
      </c>
      <c r="AN3685" t="s">
        <v>6939</v>
      </c>
      <c r="AO3685">
        <v>-123.881986</v>
      </c>
      <c r="AP3685">
        <v>100</v>
      </c>
      <c r="AQ3685">
        <v>2100</v>
      </c>
      <c r="AR3685" t="s">
        <v>118</v>
      </c>
      <c r="AS3685">
        <v>-79</v>
      </c>
      <c r="AT3685">
        <v>24</v>
      </c>
      <c r="AU3685">
        <v>-64</v>
      </c>
      <c r="BC3685">
        <v>1200</v>
      </c>
      <c r="BD3685">
        <v>1</v>
      </c>
      <c r="BE3685" t="str">
        <f t="shared" si="173"/>
        <v xml:space="preserve">N215T   </v>
      </c>
      <c r="BF3685">
        <v>1</v>
      </c>
      <c r="BH3685">
        <v>0</v>
      </c>
      <c r="BI3685">
        <v>0</v>
      </c>
      <c r="BJ3685">
        <v>0</v>
      </c>
      <c r="BK3685">
        <v>2475</v>
      </c>
      <c r="BL3685">
        <v>375</v>
      </c>
      <c r="BM3685" t="s">
        <v>119</v>
      </c>
      <c r="BN3685">
        <v>1</v>
      </c>
      <c r="BO3685">
        <v>1</v>
      </c>
      <c r="BP3685">
        <v>1</v>
      </c>
      <c r="BQ3685">
        <v>0</v>
      </c>
      <c r="BT3685">
        <v>0</v>
      </c>
      <c r="BU3685">
        <v>0</v>
      </c>
      <c r="BV3685">
        <v>0</v>
      </c>
      <c r="CC3685" t="str">
        <f>"19:36:23.875"</f>
        <v>19:36:23.875</v>
      </c>
      <c r="CD3685" t="str">
        <f>"874101171"</f>
        <v>874101171</v>
      </c>
      <c r="CQ3685">
        <v>0</v>
      </c>
      <c r="CR3685">
        <v>2</v>
      </c>
      <c r="CS3685">
        <v>0</v>
      </c>
      <c r="CT3685">
        <v>2</v>
      </c>
      <c r="CU3685">
        <v>0</v>
      </c>
      <c r="CV3685">
        <v>5</v>
      </c>
      <c r="CW3685" t="s">
        <v>120</v>
      </c>
      <c r="CX3685">
        <v>257</v>
      </c>
      <c r="CY3685">
        <v>0</v>
      </c>
      <c r="CZ3685" t="s">
        <v>615</v>
      </c>
      <c r="DA3685" t="s">
        <v>616</v>
      </c>
      <c r="DD3685">
        <v>16531188</v>
      </c>
      <c r="DE3685" t="s">
        <v>123</v>
      </c>
    </row>
    <row r="3686" spans="1:109" x14ac:dyDescent="0.3">
      <c r="A3686" t="str">
        <f>"19:36:25.063"</f>
        <v>19:36:25.063</v>
      </c>
      <c r="B3686" t="s">
        <v>110</v>
      </c>
      <c r="C3686" t="str">
        <f t="shared" si="171"/>
        <v>ffdfd3c0</v>
      </c>
      <c r="D3686" t="s">
        <v>111</v>
      </c>
      <c r="E3686">
        <v>18</v>
      </c>
      <c r="F3686">
        <v>1018</v>
      </c>
      <c r="G3686" t="s">
        <v>112</v>
      </c>
      <c r="J3686" t="s">
        <v>113</v>
      </c>
      <c r="K3686">
        <v>0</v>
      </c>
      <c r="L3686">
        <v>3</v>
      </c>
      <c r="M3686">
        <v>0</v>
      </c>
      <c r="N3686">
        <v>2</v>
      </c>
      <c r="O3686">
        <v>1</v>
      </c>
      <c r="P3686">
        <v>0</v>
      </c>
      <c r="Q3686">
        <v>0</v>
      </c>
      <c r="R3686" t="s">
        <v>114</v>
      </c>
      <c r="S3686" t="str">
        <f>"19:36:24.813"</f>
        <v>19:36:24.813</v>
      </c>
      <c r="T3686" t="str">
        <f>"19:36:24.414"</f>
        <v>19:36:24.414</v>
      </c>
      <c r="U3686" t="str">
        <f t="shared" si="172"/>
        <v>a1cdbe</v>
      </c>
      <c r="V3686">
        <v>0</v>
      </c>
      <c r="W3686">
        <v>0</v>
      </c>
      <c r="X3686">
        <v>2</v>
      </c>
      <c r="Y3686">
        <v>0</v>
      </c>
      <c r="Z3686">
        <v>0</v>
      </c>
      <c r="AB3686">
        <v>0</v>
      </c>
      <c r="AC3686">
        <v>9</v>
      </c>
      <c r="AD3686">
        <v>3</v>
      </c>
      <c r="AE3686">
        <v>0</v>
      </c>
      <c r="AF3686">
        <v>9</v>
      </c>
      <c r="AG3686" t="s">
        <v>158</v>
      </c>
      <c r="AH3686">
        <v>0</v>
      </c>
      <c r="AI3686">
        <v>3</v>
      </c>
      <c r="AJ3686">
        <v>1</v>
      </c>
      <c r="AK3686">
        <v>0</v>
      </c>
      <c r="AL3686" t="s">
        <v>6940</v>
      </c>
      <c r="AM3686">
        <v>47.034337999999998</v>
      </c>
      <c r="AN3686" t="s">
        <v>6941</v>
      </c>
      <c r="AO3686">
        <v>-123.882458</v>
      </c>
      <c r="AP3686">
        <v>100</v>
      </c>
      <c r="AQ3686">
        <v>2100</v>
      </c>
      <c r="AR3686" t="s">
        <v>118</v>
      </c>
      <c r="AS3686">
        <v>-79</v>
      </c>
      <c r="AT3686">
        <v>24</v>
      </c>
      <c r="AU3686">
        <v>-64</v>
      </c>
      <c r="BC3686">
        <v>1200</v>
      </c>
      <c r="BD3686">
        <v>1</v>
      </c>
      <c r="BE3686" t="str">
        <f t="shared" si="173"/>
        <v xml:space="preserve">N215T   </v>
      </c>
      <c r="BF3686">
        <v>1</v>
      </c>
      <c r="BH3686">
        <v>0</v>
      </c>
      <c r="BI3686">
        <v>0</v>
      </c>
      <c r="BJ3686">
        <v>0</v>
      </c>
      <c r="BK3686">
        <v>2475</v>
      </c>
      <c r="BL3686">
        <v>375</v>
      </c>
      <c r="BM3686" t="s">
        <v>119</v>
      </c>
      <c r="BN3686">
        <v>1</v>
      </c>
      <c r="BO3686">
        <v>1</v>
      </c>
      <c r="BP3686">
        <v>1</v>
      </c>
      <c r="BQ3686">
        <v>0</v>
      </c>
      <c r="BT3686">
        <v>0</v>
      </c>
      <c r="BU3686">
        <v>0</v>
      </c>
      <c r="BV3686">
        <v>0</v>
      </c>
      <c r="CC3686" t="str">
        <f>"19:36:24.820"</f>
        <v>19:36:24.820</v>
      </c>
      <c r="CD3686" t="str">
        <f>"819008095"</f>
        <v>819008095</v>
      </c>
      <c r="CQ3686">
        <v>0</v>
      </c>
      <c r="CR3686">
        <v>2</v>
      </c>
      <c r="CS3686">
        <v>0</v>
      </c>
      <c r="CT3686">
        <v>2</v>
      </c>
      <c r="CU3686">
        <v>0</v>
      </c>
      <c r="CV3686">
        <v>5</v>
      </c>
      <c r="CW3686" t="s">
        <v>120</v>
      </c>
      <c r="CX3686">
        <v>257</v>
      </c>
      <c r="CY3686">
        <v>0</v>
      </c>
      <c r="CZ3686" t="s">
        <v>615</v>
      </c>
      <c r="DA3686" t="s">
        <v>616</v>
      </c>
      <c r="DD3686">
        <v>16531549</v>
      </c>
      <c r="DE3686" t="s">
        <v>123</v>
      </c>
    </row>
    <row r="3687" spans="1:109" x14ac:dyDescent="0.3">
      <c r="A3687" t="str">
        <f>"19:36:26.117"</f>
        <v>19:36:26.117</v>
      </c>
      <c r="B3687" t="s">
        <v>110</v>
      </c>
      <c r="C3687" t="str">
        <f t="shared" si="171"/>
        <v>ffdfd3c0</v>
      </c>
      <c r="D3687" t="s">
        <v>111</v>
      </c>
      <c r="E3687">
        <v>18</v>
      </c>
      <c r="F3687">
        <v>1018</v>
      </c>
      <c r="G3687" t="s">
        <v>112</v>
      </c>
      <c r="J3687" t="s">
        <v>113</v>
      </c>
      <c r="K3687">
        <v>0</v>
      </c>
      <c r="L3687">
        <v>3</v>
      </c>
      <c r="M3687">
        <v>0</v>
      </c>
      <c r="N3687">
        <v>2</v>
      </c>
      <c r="O3687">
        <v>1</v>
      </c>
      <c r="P3687">
        <v>0</v>
      </c>
      <c r="Q3687">
        <v>0</v>
      </c>
      <c r="R3687" t="s">
        <v>114</v>
      </c>
      <c r="S3687" t="str">
        <f>"19:36:25.867"</f>
        <v>19:36:25.867</v>
      </c>
      <c r="T3687" t="str">
        <f>"19:36:25.070"</f>
        <v>19:36:25.070</v>
      </c>
      <c r="U3687" t="str">
        <f t="shared" si="172"/>
        <v>a1cdbe</v>
      </c>
      <c r="V3687">
        <v>0</v>
      </c>
      <c r="W3687">
        <v>0</v>
      </c>
      <c r="X3687">
        <v>2</v>
      </c>
      <c r="Y3687">
        <v>0</v>
      </c>
      <c r="Z3687">
        <v>0</v>
      </c>
      <c r="AB3687">
        <v>0</v>
      </c>
      <c r="AC3687">
        <v>9</v>
      </c>
      <c r="AD3687">
        <v>3</v>
      </c>
      <c r="AE3687">
        <v>0</v>
      </c>
      <c r="AF3687">
        <v>9</v>
      </c>
      <c r="AG3687" t="s">
        <v>158</v>
      </c>
      <c r="AH3687">
        <v>0</v>
      </c>
      <c r="AI3687">
        <v>3</v>
      </c>
      <c r="AJ3687">
        <v>1</v>
      </c>
      <c r="AK3687">
        <v>0</v>
      </c>
      <c r="AL3687" t="s">
        <v>6942</v>
      </c>
      <c r="AM3687">
        <v>47.034466000000002</v>
      </c>
      <c r="AN3687" t="s">
        <v>6943</v>
      </c>
      <c r="AO3687">
        <v>-123.883038</v>
      </c>
      <c r="AP3687">
        <v>100</v>
      </c>
      <c r="AQ3687">
        <v>2100</v>
      </c>
      <c r="AR3687" t="s">
        <v>118</v>
      </c>
      <c r="AS3687">
        <v>-79</v>
      </c>
      <c r="AT3687">
        <v>24</v>
      </c>
      <c r="AU3687">
        <v>0</v>
      </c>
      <c r="BC3687">
        <v>1200</v>
      </c>
      <c r="BD3687">
        <v>1</v>
      </c>
      <c r="BE3687" t="str">
        <f t="shared" si="173"/>
        <v xml:space="preserve">N215T   </v>
      </c>
      <c r="BF3687">
        <v>1</v>
      </c>
      <c r="BH3687">
        <v>0</v>
      </c>
      <c r="BI3687">
        <v>0</v>
      </c>
      <c r="BJ3687">
        <v>0</v>
      </c>
      <c r="BK3687">
        <v>2475</v>
      </c>
      <c r="BL3687">
        <v>375</v>
      </c>
      <c r="BM3687" t="s">
        <v>119</v>
      </c>
      <c r="BN3687">
        <v>1</v>
      </c>
      <c r="BO3687">
        <v>1</v>
      </c>
      <c r="BP3687">
        <v>1</v>
      </c>
      <c r="BQ3687">
        <v>0</v>
      </c>
      <c r="BT3687">
        <v>0</v>
      </c>
      <c r="BU3687">
        <v>0</v>
      </c>
      <c r="BV3687">
        <v>0</v>
      </c>
      <c r="CC3687" t="str">
        <f>"19:36:25.867"</f>
        <v>19:36:25.867</v>
      </c>
      <c r="CD3687" t="str">
        <f>"868904682"</f>
        <v>868904682</v>
      </c>
      <c r="CQ3687">
        <v>0</v>
      </c>
      <c r="CR3687">
        <v>2</v>
      </c>
      <c r="CS3687">
        <v>0</v>
      </c>
      <c r="CT3687">
        <v>2</v>
      </c>
      <c r="CU3687">
        <v>0</v>
      </c>
      <c r="CV3687">
        <v>5</v>
      </c>
      <c r="CW3687" t="s">
        <v>120</v>
      </c>
      <c r="CX3687">
        <v>257</v>
      </c>
      <c r="CY3687">
        <v>0</v>
      </c>
      <c r="CZ3687" t="s">
        <v>615</v>
      </c>
      <c r="DA3687" t="s">
        <v>616</v>
      </c>
      <c r="DD3687">
        <v>16531971</v>
      </c>
      <c r="DE3687" t="s">
        <v>123</v>
      </c>
    </row>
    <row r="3688" spans="1:109" x14ac:dyDescent="0.3">
      <c r="A3688" t="str">
        <f>"19:36:27.023"</f>
        <v>19:36:27.023</v>
      </c>
      <c r="B3688" t="s">
        <v>110</v>
      </c>
      <c r="C3688" t="str">
        <f t="shared" si="171"/>
        <v>ffdfd3c0</v>
      </c>
      <c r="D3688" t="s">
        <v>111</v>
      </c>
      <c r="E3688">
        <v>18</v>
      </c>
      <c r="F3688">
        <v>1018</v>
      </c>
      <c r="G3688" t="s">
        <v>112</v>
      </c>
      <c r="J3688" t="s">
        <v>113</v>
      </c>
      <c r="K3688">
        <v>0</v>
      </c>
      <c r="L3688">
        <v>3</v>
      </c>
      <c r="M3688">
        <v>0</v>
      </c>
      <c r="N3688">
        <v>2</v>
      </c>
      <c r="O3688">
        <v>1</v>
      </c>
      <c r="P3688">
        <v>0</v>
      </c>
      <c r="Q3688">
        <v>0</v>
      </c>
      <c r="R3688" t="s">
        <v>114</v>
      </c>
      <c r="S3688" t="str">
        <f>"19:36:26.828"</f>
        <v>19:36:26.828</v>
      </c>
      <c r="T3688" t="str">
        <f>"19:36:26.430"</f>
        <v>19:36:26.430</v>
      </c>
      <c r="U3688" t="str">
        <f t="shared" si="172"/>
        <v>a1cdbe</v>
      </c>
      <c r="V3688">
        <v>0</v>
      </c>
      <c r="W3688">
        <v>0</v>
      </c>
      <c r="X3688">
        <v>2</v>
      </c>
      <c r="Y3688">
        <v>0</v>
      </c>
      <c r="Z3688">
        <v>0</v>
      </c>
      <c r="AB3688">
        <v>0</v>
      </c>
      <c r="AC3688">
        <v>9</v>
      </c>
      <c r="AD3688">
        <v>3</v>
      </c>
      <c r="AE3688">
        <v>0</v>
      </c>
      <c r="AF3688">
        <v>9</v>
      </c>
      <c r="AG3688" t="s">
        <v>158</v>
      </c>
      <c r="AH3688">
        <v>0</v>
      </c>
      <c r="AI3688">
        <v>3</v>
      </c>
      <c r="AJ3688">
        <v>1</v>
      </c>
      <c r="AK3688">
        <v>0</v>
      </c>
      <c r="AL3688" t="s">
        <v>6944</v>
      </c>
      <c r="AM3688">
        <v>47.034573999999999</v>
      </c>
      <c r="AN3688" t="s">
        <v>6945</v>
      </c>
      <c r="AO3688">
        <v>-123.88355300000001</v>
      </c>
      <c r="AP3688">
        <v>100</v>
      </c>
      <c r="AQ3688">
        <v>2100</v>
      </c>
      <c r="AR3688" t="s">
        <v>118</v>
      </c>
      <c r="AS3688">
        <v>-79</v>
      </c>
      <c r="AT3688">
        <v>24</v>
      </c>
      <c r="AU3688">
        <v>0</v>
      </c>
      <c r="BC3688">
        <v>1200</v>
      </c>
      <c r="BD3688">
        <v>1</v>
      </c>
      <c r="BE3688" t="str">
        <f t="shared" si="173"/>
        <v xml:space="preserve">N215T   </v>
      </c>
      <c r="BF3688">
        <v>1</v>
      </c>
      <c r="BH3688">
        <v>0</v>
      </c>
      <c r="BI3688">
        <v>0</v>
      </c>
      <c r="BJ3688">
        <v>0</v>
      </c>
      <c r="BK3688">
        <v>2475</v>
      </c>
      <c r="BL3688">
        <v>375</v>
      </c>
      <c r="BM3688" t="s">
        <v>119</v>
      </c>
      <c r="BN3688">
        <v>1</v>
      </c>
      <c r="BO3688">
        <v>1</v>
      </c>
      <c r="BP3688">
        <v>1</v>
      </c>
      <c r="BQ3688">
        <v>0</v>
      </c>
      <c r="BT3688">
        <v>0</v>
      </c>
      <c r="BU3688">
        <v>0</v>
      </c>
      <c r="BV3688">
        <v>0</v>
      </c>
      <c r="CC3688" t="str">
        <f>"19:36:26.828"</f>
        <v>19:36:26.828</v>
      </c>
      <c r="CD3688" t="str">
        <f>"828810107"</f>
        <v>828810107</v>
      </c>
      <c r="CQ3688">
        <v>0</v>
      </c>
      <c r="CR3688">
        <v>2</v>
      </c>
      <c r="CS3688">
        <v>0</v>
      </c>
      <c r="CT3688">
        <v>2</v>
      </c>
      <c r="CU3688">
        <v>0</v>
      </c>
      <c r="CV3688">
        <v>3</v>
      </c>
      <c r="CW3688" t="s">
        <v>120</v>
      </c>
      <c r="CX3688">
        <v>257</v>
      </c>
      <c r="CY3688">
        <v>0</v>
      </c>
      <c r="CZ3688" t="s">
        <v>615</v>
      </c>
      <c r="DA3688" t="s">
        <v>616</v>
      </c>
      <c r="DD3688">
        <v>16532362</v>
      </c>
      <c r="DE3688" t="s">
        <v>123</v>
      </c>
    </row>
    <row r="3689" spans="1:109" x14ac:dyDescent="0.3">
      <c r="A3689" t="str">
        <f>"19:36:28.281"</f>
        <v>19:36:28.281</v>
      </c>
      <c r="B3689" t="s">
        <v>110</v>
      </c>
      <c r="C3689" t="str">
        <f t="shared" si="171"/>
        <v>ffdfd3c0</v>
      </c>
      <c r="D3689" t="s">
        <v>111</v>
      </c>
      <c r="E3689">
        <v>18</v>
      </c>
      <c r="F3689">
        <v>1018</v>
      </c>
      <c r="G3689" t="s">
        <v>112</v>
      </c>
      <c r="J3689" t="s">
        <v>113</v>
      </c>
      <c r="K3689">
        <v>0</v>
      </c>
      <c r="L3689">
        <v>3</v>
      </c>
      <c r="M3689">
        <v>0</v>
      </c>
      <c r="N3689">
        <v>2</v>
      </c>
      <c r="O3689">
        <v>1</v>
      </c>
      <c r="P3689">
        <v>0</v>
      </c>
      <c r="Q3689">
        <v>0</v>
      </c>
      <c r="R3689" t="s">
        <v>114</v>
      </c>
      <c r="S3689" t="str">
        <f>"19:36:27.992"</f>
        <v>19:36:27.992</v>
      </c>
      <c r="T3689" t="str">
        <f>"19:36:27.891"</f>
        <v>19:36:27.891</v>
      </c>
      <c r="U3689" t="str">
        <f t="shared" si="172"/>
        <v>a1cdbe</v>
      </c>
      <c r="V3689">
        <v>0</v>
      </c>
      <c r="W3689">
        <v>0</v>
      </c>
      <c r="X3689">
        <v>2</v>
      </c>
      <c r="Y3689">
        <v>0</v>
      </c>
      <c r="Z3689">
        <v>0</v>
      </c>
      <c r="AB3689">
        <v>0</v>
      </c>
      <c r="AC3689">
        <v>9</v>
      </c>
      <c r="AD3689">
        <v>3</v>
      </c>
      <c r="AE3689">
        <v>0</v>
      </c>
      <c r="AF3689">
        <v>9</v>
      </c>
      <c r="AG3689" t="s">
        <v>158</v>
      </c>
      <c r="AH3689">
        <v>0</v>
      </c>
      <c r="AI3689">
        <v>3</v>
      </c>
      <c r="AJ3689">
        <v>1</v>
      </c>
      <c r="AK3689">
        <v>0</v>
      </c>
      <c r="AL3689" t="s">
        <v>6946</v>
      </c>
      <c r="AM3689">
        <v>47.034723999999997</v>
      </c>
      <c r="AN3689" t="s">
        <v>6947</v>
      </c>
      <c r="AO3689">
        <v>-123.884175</v>
      </c>
      <c r="AP3689">
        <v>100</v>
      </c>
      <c r="AQ3689">
        <v>2100</v>
      </c>
      <c r="AR3689" t="s">
        <v>118</v>
      </c>
      <c r="AS3689">
        <v>-79</v>
      </c>
      <c r="AT3689">
        <v>25</v>
      </c>
      <c r="AU3689">
        <v>0</v>
      </c>
      <c r="BC3689">
        <v>1200</v>
      </c>
      <c r="BD3689">
        <v>1</v>
      </c>
      <c r="BE3689" t="str">
        <f t="shared" si="173"/>
        <v xml:space="preserve">N215T   </v>
      </c>
      <c r="BF3689">
        <v>1</v>
      </c>
      <c r="BH3689">
        <v>0</v>
      </c>
      <c r="BI3689">
        <v>0</v>
      </c>
      <c r="BJ3689">
        <v>0</v>
      </c>
      <c r="BK3689">
        <v>2475</v>
      </c>
      <c r="BL3689">
        <v>375</v>
      </c>
      <c r="BM3689" t="s">
        <v>119</v>
      </c>
      <c r="BN3689">
        <v>1</v>
      </c>
      <c r="BO3689">
        <v>1</v>
      </c>
      <c r="BP3689">
        <v>1</v>
      </c>
      <c r="BQ3689">
        <v>0</v>
      </c>
      <c r="BT3689">
        <v>0</v>
      </c>
      <c r="BU3689">
        <v>0</v>
      </c>
      <c r="BV3689">
        <v>0</v>
      </c>
      <c r="CC3689" t="str">
        <f>"19:36:28.000"</f>
        <v>19:36:28.000</v>
      </c>
      <c r="CD3689" t="str">
        <f>"998694908"</f>
        <v>998694908</v>
      </c>
      <c r="CQ3689">
        <v>0</v>
      </c>
      <c r="CR3689">
        <v>2</v>
      </c>
      <c r="CS3689">
        <v>0</v>
      </c>
      <c r="CT3689">
        <v>2</v>
      </c>
      <c r="CU3689">
        <v>0</v>
      </c>
      <c r="CV3689">
        <v>5</v>
      </c>
      <c r="CW3689" t="s">
        <v>120</v>
      </c>
      <c r="CX3689">
        <v>257</v>
      </c>
      <c r="CY3689">
        <v>0</v>
      </c>
      <c r="CZ3689" t="s">
        <v>615</v>
      </c>
      <c r="DA3689" t="s">
        <v>616</v>
      </c>
      <c r="DD3689">
        <v>16532805</v>
      </c>
      <c r="DE3689" t="s">
        <v>123</v>
      </c>
    </row>
    <row r="3690" spans="1:109" x14ac:dyDescent="0.3">
      <c r="A3690" t="str">
        <f>"19:36:29.086"</f>
        <v>19:36:29.086</v>
      </c>
      <c r="B3690" t="s">
        <v>110</v>
      </c>
      <c r="C3690" t="str">
        <f t="shared" si="171"/>
        <v>ffdfd3c0</v>
      </c>
      <c r="D3690" t="s">
        <v>111</v>
      </c>
      <c r="E3690">
        <v>18</v>
      </c>
      <c r="F3690">
        <v>1018</v>
      </c>
      <c r="G3690" t="s">
        <v>112</v>
      </c>
      <c r="J3690" t="s">
        <v>113</v>
      </c>
      <c r="K3690">
        <v>0</v>
      </c>
      <c r="L3690">
        <v>3</v>
      </c>
      <c r="M3690">
        <v>0</v>
      </c>
      <c r="N3690">
        <v>2</v>
      </c>
      <c r="O3690">
        <v>1</v>
      </c>
      <c r="P3690">
        <v>0</v>
      </c>
      <c r="Q3690">
        <v>0</v>
      </c>
      <c r="R3690" t="s">
        <v>114</v>
      </c>
      <c r="S3690" t="str">
        <f>"19:36:28.852"</f>
        <v>19:36:28.852</v>
      </c>
      <c r="T3690" t="str">
        <f>"19:36:28.852"</f>
        <v>19:36:28.852</v>
      </c>
      <c r="U3690" t="str">
        <f t="shared" si="172"/>
        <v>a1cdbe</v>
      </c>
      <c r="V3690">
        <v>0</v>
      </c>
      <c r="W3690">
        <v>0</v>
      </c>
      <c r="X3690">
        <v>2</v>
      </c>
      <c r="Y3690">
        <v>0</v>
      </c>
      <c r="Z3690">
        <v>0</v>
      </c>
      <c r="AB3690">
        <v>0</v>
      </c>
      <c r="AC3690">
        <v>9</v>
      </c>
      <c r="AD3690">
        <v>3</v>
      </c>
      <c r="AE3690">
        <v>0</v>
      </c>
      <c r="AF3690">
        <v>9</v>
      </c>
      <c r="AG3690" t="s">
        <v>158</v>
      </c>
      <c r="AH3690">
        <v>0</v>
      </c>
      <c r="AI3690">
        <v>3</v>
      </c>
      <c r="AJ3690">
        <v>1</v>
      </c>
      <c r="AK3690">
        <v>0</v>
      </c>
      <c r="AL3690" t="s">
        <v>6948</v>
      </c>
      <c r="AM3690">
        <v>47.034852999999998</v>
      </c>
      <c r="AN3690" t="s">
        <v>6949</v>
      </c>
      <c r="AO3690">
        <v>-123.884647</v>
      </c>
      <c r="AP3690">
        <v>100</v>
      </c>
      <c r="AQ3690">
        <v>2100</v>
      </c>
      <c r="AR3690" t="s">
        <v>118</v>
      </c>
      <c r="AS3690">
        <v>-79</v>
      </c>
      <c r="AT3690">
        <v>25</v>
      </c>
      <c r="AU3690">
        <v>0</v>
      </c>
      <c r="BC3690">
        <v>1200</v>
      </c>
      <c r="BD3690">
        <v>1</v>
      </c>
      <c r="BE3690" t="str">
        <f t="shared" si="173"/>
        <v xml:space="preserve">N215T   </v>
      </c>
      <c r="BF3690">
        <v>1</v>
      </c>
      <c r="BH3690">
        <v>0</v>
      </c>
      <c r="BI3690">
        <v>0</v>
      </c>
      <c r="BJ3690">
        <v>0</v>
      </c>
      <c r="BK3690">
        <v>2475</v>
      </c>
      <c r="BL3690">
        <v>375</v>
      </c>
      <c r="BM3690" t="s">
        <v>119</v>
      </c>
      <c r="BN3690">
        <v>1</v>
      </c>
      <c r="BO3690">
        <v>1</v>
      </c>
      <c r="BP3690">
        <v>1</v>
      </c>
      <c r="BQ3690">
        <v>0</v>
      </c>
      <c r="BT3690">
        <v>0</v>
      </c>
      <c r="BU3690">
        <v>0</v>
      </c>
      <c r="BV3690">
        <v>0</v>
      </c>
      <c r="CC3690" t="str">
        <f>"19:36:28.852"</f>
        <v>19:36:28.852</v>
      </c>
      <c r="CD3690" t="str">
        <f>"853610689"</f>
        <v>853610689</v>
      </c>
      <c r="CQ3690">
        <v>0</v>
      </c>
      <c r="CR3690">
        <v>2</v>
      </c>
      <c r="CS3690">
        <v>0</v>
      </c>
      <c r="CT3690">
        <v>2</v>
      </c>
      <c r="CU3690">
        <v>0</v>
      </c>
      <c r="CV3690">
        <v>5</v>
      </c>
      <c r="CW3690" t="s">
        <v>120</v>
      </c>
      <c r="CX3690">
        <v>257</v>
      </c>
      <c r="CY3690">
        <v>0</v>
      </c>
      <c r="CZ3690" t="s">
        <v>615</v>
      </c>
      <c r="DA3690" t="s">
        <v>616</v>
      </c>
      <c r="DD3690">
        <v>16533134</v>
      </c>
      <c r="DE3690" t="s">
        <v>123</v>
      </c>
    </row>
    <row r="3691" spans="1:109" x14ac:dyDescent="0.3">
      <c r="A3691" t="str">
        <f>"19:36:30.148"</f>
        <v>19:36:30.148</v>
      </c>
      <c r="B3691" t="s">
        <v>110</v>
      </c>
      <c r="C3691" t="str">
        <f t="shared" si="171"/>
        <v>ffdfd3c0</v>
      </c>
      <c r="D3691" t="s">
        <v>111</v>
      </c>
      <c r="E3691">
        <v>18</v>
      </c>
      <c r="F3691">
        <v>1018</v>
      </c>
      <c r="G3691" t="s">
        <v>112</v>
      </c>
      <c r="J3691" t="s">
        <v>113</v>
      </c>
      <c r="K3691">
        <v>0</v>
      </c>
      <c r="L3691">
        <v>3</v>
      </c>
      <c r="M3691">
        <v>0</v>
      </c>
      <c r="N3691">
        <v>2</v>
      </c>
      <c r="O3691">
        <v>1</v>
      </c>
      <c r="P3691">
        <v>0</v>
      </c>
      <c r="Q3691">
        <v>0</v>
      </c>
      <c r="R3691" t="s">
        <v>114</v>
      </c>
      <c r="S3691" t="str">
        <f>"19:36:29.898"</f>
        <v>19:36:29.898</v>
      </c>
      <c r="T3691" t="str">
        <f>"19:36:29.898"</f>
        <v>19:36:29.898</v>
      </c>
      <c r="U3691" t="str">
        <f t="shared" si="172"/>
        <v>a1cdbe</v>
      </c>
      <c r="V3691">
        <v>0</v>
      </c>
      <c r="W3691">
        <v>0</v>
      </c>
      <c r="X3691">
        <v>2</v>
      </c>
      <c r="Y3691">
        <v>0</v>
      </c>
      <c r="Z3691">
        <v>0</v>
      </c>
      <c r="AB3691">
        <v>0</v>
      </c>
      <c r="AC3691">
        <v>9</v>
      </c>
      <c r="AD3691">
        <v>3</v>
      </c>
      <c r="AE3691">
        <v>0</v>
      </c>
      <c r="AF3691">
        <v>9</v>
      </c>
      <c r="AG3691" t="s">
        <v>158</v>
      </c>
      <c r="AH3691">
        <v>0</v>
      </c>
      <c r="AI3691">
        <v>3</v>
      </c>
      <c r="AJ3691">
        <v>1</v>
      </c>
      <c r="AK3691">
        <v>0</v>
      </c>
      <c r="AL3691" t="s">
        <v>6950</v>
      </c>
      <c r="AM3691">
        <v>47.034937999999997</v>
      </c>
      <c r="AN3691" t="s">
        <v>6951</v>
      </c>
      <c r="AO3691">
        <v>-123.885226</v>
      </c>
      <c r="AP3691">
        <v>100</v>
      </c>
      <c r="AQ3691">
        <v>2100</v>
      </c>
      <c r="AR3691" t="s">
        <v>118</v>
      </c>
      <c r="AS3691">
        <v>-79</v>
      </c>
      <c r="AT3691">
        <v>25</v>
      </c>
      <c r="AU3691">
        <v>0</v>
      </c>
      <c r="BC3691">
        <v>1200</v>
      </c>
      <c r="BD3691">
        <v>1</v>
      </c>
      <c r="BE3691" t="str">
        <f t="shared" si="173"/>
        <v xml:space="preserve">N215T   </v>
      </c>
      <c r="BF3691">
        <v>1</v>
      </c>
      <c r="BH3691">
        <v>0</v>
      </c>
      <c r="BI3691">
        <v>0</v>
      </c>
      <c r="BJ3691">
        <v>0</v>
      </c>
      <c r="BK3691">
        <v>2475</v>
      </c>
      <c r="BL3691">
        <v>375</v>
      </c>
      <c r="BM3691" t="s">
        <v>119</v>
      </c>
      <c r="BN3691">
        <v>1</v>
      </c>
      <c r="BO3691">
        <v>1</v>
      </c>
      <c r="BP3691">
        <v>1</v>
      </c>
      <c r="BQ3691">
        <v>0</v>
      </c>
      <c r="BT3691">
        <v>0</v>
      </c>
      <c r="BU3691">
        <v>0</v>
      </c>
      <c r="BV3691">
        <v>0</v>
      </c>
      <c r="CC3691" t="str">
        <f>"19:36:29.906"</f>
        <v>19:36:29.906</v>
      </c>
      <c r="CD3691" t="str">
        <f>"903507283"</f>
        <v>903507283</v>
      </c>
      <c r="CQ3691">
        <v>0</v>
      </c>
      <c r="CR3691">
        <v>2</v>
      </c>
      <c r="CS3691">
        <v>0</v>
      </c>
      <c r="CT3691">
        <v>2</v>
      </c>
      <c r="CU3691">
        <v>0</v>
      </c>
      <c r="CV3691">
        <v>5</v>
      </c>
      <c r="CW3691" t="s">
        <v>120</v>
      </c>
      <c r="CX3691">
        <v>257</v>
      </c>
      <c r="CY3691">
        <v>0</v>
      </c>
      <c r="CZ3691" t="s">
        <v>615</v>
      </c>
      <c r="DA3691" t="s">
        <v>616</v>
      </c>
      <c r="DD3691">
        <v>16533527</v>
      </c>
      <c r="DE3691" t="s">
        <v>123</v>
      </c>
    </row>
    <row r="3692" spans="1:109" x14ac:dyDescent="0.3">
      <c r="A3692" t="str">
        <f>"19:36:31.148"</f>
        <v>19:36:31.148</v>
      </c>
      <c r="B3692" t="s">
        <v>110</v>
      </c>
      <c r="C3692" t="str">
        <f t="shared" si="171"/>
        <v>ffdfd3c0</v>
      </c>
      <c r="D3692" t="s">
        <v>111</v>
      </c>
      <c r="E3692">
        <v>18</v>
      </c>
      <c r="F3692">
        <v>1018</v>
      </c>
      <c r="G3692" t="s">
        <v>112</v>
      </c>
      <c r="J3692" t="s">
        <v>113</v>
      </c>
      <c r="K3692">
        <v>0</v>
      </c>
      <c r="L3692">
        <v>3</v>
      </c>
      <c r="M3692">
        <v>0</v>
      </c>
      <c r="N3692">
        <v>2</v>
      </c>
      <c r="O3692">
        <v>1</v>
      </c>
      <c r="P3692">
        <v>0</v>
      </c>
      <c r="Q3692">
        <v>0</v>
      </c>
      <c r="R3692" t="s">
        <v>114</v>
      </c>
      <c r="S3692" t="str">
        <f>"19:36:30.922"</f>
        <v>19:36:30.922</v>
      </c>
      <c r="T3692" t="str">
        <f>"19:36:30.922"</f>
        <v>19:36:30.922</v>
      </c>
      <c r="U3692" t="str">
        <f t="shared" si="172"/>
        <v>a1cdbe</v>
      </c>
      <c r="V3692">
        <v>0</v>
      </c>
      <c r="W3692">
        <v>0</v>
      </c>
      <c r="X3692">
        <v>2</v>
      </c>
      <c r="Y3692">
        <v>0</v>
      </c>
      <c r="Z3692">
        <v>0</v>
      </c>
      <c r="AB3692">
        <v>0</v>
      </c>
      <c r="AC3692">
        <v>9</v>
      </c>
      <c r="AD3692">
        <v>3</v>
      </c>
      <c r="AE3692">
        <v>0</v>
      </c>
      <c r="AF3692">
        <v>9</v>
      </c>
      <c r="AG3692" t="s">
        <v>158</v>
      </c>
      <c r="AH3692">
        <v>0</v>
      </c>
      <c r="AI3692">
        <v>3</v>
      </c>
      <c r="AJ3692">
        <v>1</v>
      </c>
      <c r="AK3692">
        <v>0</v>
      </c>
      <c r="AL3692" t="s">
        <v>6952</v>
      </c>
      <c r="AM3692">
        <v>47.035088999999999</v>
      </c>
      <c r="AN3692" t="s">
        <v>6953</v>
      </c>
      <c r="AO3692">
        <v>-123.885677</v>
      </c>
      <c r="AP3692">
        <v>100</v>
      </c>
      <c r="AQ3692">
        <v>2100</v>
      </c>
      <c r="AR3692" t="s">
        <v>118</v>
      </c>
      <c r="AS3692">
        <v>-79</v>
      </c>
      <c r="AT3692">
        <v>25</v>
      </c>
      <c r="AU3692">
        <v>0</v>
      </c>
      <c r="BC3692">
        <v>1200</v>
      </c>
      <c r="BD3692">
        <v>1</v>
      </c>
      <c r="BE3692" t="str">
        <f t="shared" si="173"/>
        <v xml:space="preserve">N215T   </v>
      </c>
      <c r="BF3692">
        <v>1</v>
      </c>
      <c r="BH3692">
        <v>0</v>
      </c>
      <c r="BI3692">
        <v>0</v>
      </c>
      <c r="BJ3692">
        <v>0</v>
      </c>
      <c r="BK3692">
        <v>2475</v>
      </c>
      <c r="BL3692">
        <v>375</v>
      </c>
      <c r="BM3692" t="s">
        <v>119</v>
      </c>
      <c r="BN3692">
        <v>1</v>
      </c>
      <c r="BO3692">
        <v>1</v>
      </c>
      <c r="BP3692">
        <v>1</v>
      </c>
      <c r="BQ3692">
        <v>0</v>
      </c>
      <c r="BT3692">
        <v>0</v>
      </c>
      <c r="BU3692">
        <v>0</v>
      </c>
      <c r="BV3692">
        <v>0</v>
      </c>
      <c r="CC3692" t="str">
        <f>"19:36:30.922"</f>
        <v>19:36:30.922</v>
      </c>
      <c r="CD3692" t="str">
        <f>"923406819"</f>
        <v>923406819</v>
      </c>
      <c r="CQ3692">
        <v>0</v>
      </c>
      <c r="CR3692">
        <v>2</v>
      </c>
      <c r="CS3692">
        <v>0</v>
      </c>
      <c r="CT3692">
        <v>2</v>
      </c>
      <c r="CU3692">
        <v>0</v>
      </c>
      <c r="CV3692">
        <v>5</v>
      </c>
      <c r="CW3692" t="s">
        <v>120</v>
      </c>
      <c r="CX3692">
        <v>257</v>
      </c>
      <c r="CY3692">
        <v>0</v>
      </c>
      <c r="CZ3692" t="s">
        <v>615</v>
      </c>
      <c r="DA3692" t="s">
        <v>616</v>
      </c>
      <c r="DD3692">
        <v>16533927</v>
      </c>
      <c r="DE3692" t="s">
        <v>123</v>
      </c>
    </row>
    <row r="3693" spans="1:109" x14ac:dyDescent="0.3">
      <c r="A3693" t="str">
        <f>"19:36:32.250"</f>
        <v>19:36:32.250</v>
      </c>
      <c r="B3693" t="s">
        <v>110</v>
      </c>
      <c r="C3693" t="str">
        <f t="shared" si="171"/>
        <v>ffdfd3c0</v>
      </c>
      <c r="D3693" t="s">
        <v>111</v>
      </c>
      <c r="E3693">
        <v>18</v>
      </c>
      <c r="F3693">
        <v>1018</v>
      </c>
      <c r="G3693" t="s">
        <v>112</v>
      </c>
      <c r="J3693" t="s">
        <v>113</v>
      </c>
      <c r="K3693">
        <v>0</v>
      </c>
      <c r="L3693">
        <v>3</v>
      </c>
      <c r="M3693">
        <v>0</v>
      </c>
      <c r="N3693">
        <v>2</v>
      </c>
      <c r="O3693">
        <v>1</v>
      </c>
      <c r="P3693">
        <v>0</v>
      </c>
      <c r="Q3693">
        <v>0</v>
      </c>
      <c r="R3693" t="s">
        <v>114</v>
      </c>
      <c r="S3693" t="str">
        <f>"19:36:32.000"</f>
        <v>19:36:32.000</v>
      </c>
      <c r="T3693" t="str">
        <f>"19:36:32.000"</f>
        <v>19:36:32.000</v>
      </c>
      <c r="U3693" t="str">
        <f t="shared" si="172"/>
        <v>a1cdbe</v>
      </c>
      <c r="V3693">
        <v>0</v>
      </c>
      <c r="W3693">
        <v>0</v>
      </c>
      <c r="X3693">
        <v>2</v>
      </c>
      <c r="Y3693">
        <v>0</v>
      </c>
      <c r="Z3693">
        <v>0</v>
      </c>
      <c r="AB3693">
        <v>0</v>
      </c>
      <c r="AC3693">
        <v>9</v>
      </c>
      <c r="AD3693">
        <v>3</v>
      </c>
      <c r="AE3693">
        <v>0</v>
      </c>
      <c r="AF3693">
        <v>9</v>
      </c>
      <c r="AG3693" t="s">
        <v>158</v>
      </c>
      <c r="AH3693">
        <v>0</v>
      </c>
      <c r="AI3693">
        <v>3</v>
      </c>
      <c r="AJ3693">
        <v>1</v>
      </c>
      <c r="AK3693">
        <v>0</v>
      </c>
      <c r="AL3693" t="s">
        <v>6954</v>
      </c>
      <c r="AM3693">
        <v>47.035173999999998</v>
      </c>
      <c r="AN3693" t="s">
        <v>6955</v>
      </c>
      <c r="AO3693">
        <v>-123.88629899999999</v>
      </c>
      <c r="AP3693">
        <v>100</v>
      </c>
      <c r="AQ3693">
        <v>2100</v>
      </c>
      <c r="AR3693" t="s">
        <v>118</v>
      </c>
      <c r="AS3693">
        <v>-79</v>
      </c>
      <c r="AT3693">
        <v>25</v>
      </c>
      <c r="AU3693">
        <v>-64</v>
      </c>
      <c r="BC3693">
        <v>1200</v>
      </c>
      <c r="BD3693">
        <v>1</v>
      </c>
      <c r="BE3693" t="str">
        <f t="shared" si="173"/>
        <v xml:space="preserve">N215T   </v>
      </c>
      <c r="BF3693">
        <v>1</v>
      </c>
      <c r="BH3693">
        <v>0</v>
      </c>
      <c r="BI3693">
        <v>0</v>
      </c>
      <c r="BJ3693">
        <v>0</v>
      </c>
      <c r="BK3693">
        <v>2475</v>
      </c>
      <c r="BL3693">
        <v>375</v>
      </c>
      <c r="BM3693" t="s">
        <v>119</v>
      </c>
      <c r="BN3693">
        <v>1</v>
      </c>
      <c r="BO3693">
        <v>1</v>
      </c>
      <c r="BP3693">
        <v>1</v>
      </c>
      <c r="BQ3693">
        <v>0</v>
      </c>
      <c r="BT3693">
        <v>0</v>
      </c>
      <c r="BU3693">
        <v>0</v>
      </c>
      <c r="BV3693">
        <v>0</v>
      </c>
      <c r="CC3693" t="str">
        <f>"19:36:32.000"</f>
        <v>19:36:32.000</v>
      </c>
      <c r="CD3693" t="str">
        <f>"003300471"</f>
        <v>003300471</v>
      </c>
      <c r="CQ3693">
        <v>0</v>
      </c>
      <c r="CR3693">
        <v>2</v>
      </c>
      <c r="CS3693">
        <v>0</v>
      </c>
      <c r="CT3693">
        <v>2</v>
      </c>
      <c r="CU3693">
        <v>0</v>
      </c>
      <c r="CV3693">
        <v>5</v>
      </c>
      <c r="CW3693" t="s">
        <v>120</v>
      </c>
      <c r="CX3693">
        <v>257</v>
      </c>
      <c r="CY3693">
        <v>0</v>
      </c>
      <c r="CZ3693" t="s">
        <v>615</v>
      </c>
      <c r="DA3693" t="s">
        <v>616</v>
      </c>
      <c r="DD3693">
        <v>16534350</v>
      </c>
      <c r="DE3693" t="s">
        <v>123</v>
      </c>
    </row>
    <row r="3694" spans="1:109" x14ac:dyDescent="0.3">
      <c r="A3694" t="str">
        <f>"19:36:33.055"</f>
        <v>19:36:33.055</v>
      </c>
      <c r="B3694" t="s">
        <v>110</v>
      </c>
      <c r="C3694" t="str">
        <f t="shared" si="171"/>
        <v>ffdfd3c0</v>
      </c>
      <c r="D3694" t="s">
        <v>111</v>
      </c>
      <c r="E3694">
        <v>18</v>
      </c>
      <c r="F3694">
        <v>1018</v>
      </c>
      <c r="G3694" t="s">
        <v>112</v>
      </c>
      <c r="J3694" t="s">
        <v>113</v>
      </c>
      <c r="K3694">
        <v>0</v>
      </c>
      <c r="L3694">
        <v>3</v>
      </c>
      <c r="M3694">
        <v>0</v>
      </c>
      <c r="N3694">
        <v>2</v>
      </c>
      <c r="O3694">
        <v>1</v>
      </c>
      <c r="P3694">
        <v>0</v>
      </c>
      <c r="Q3694">
        <v>0</v>
      </c>
      <c r="R3694" t="s">
        <v>114</v>
      </c>
      <c r="S3694" t="str">
        <f>"19:36:32.852"</f>
        <v>19:36:32.852</v>
      </c>
      <c r="T3694" t="str">
        <f>"19:36:32.852"</f>
        <v>19:36:32.852</v>
      </c>
      <c r="U3694" t="str">
        <f t="shared" si="172"/>
        <v>a1cdbe</v>
      </c>
      <c r="V3694">
        <v>0</v>
      </c>
      <c r="W3694">
        <v>0</v>
      </c>
      <c r="X3694">
        <v>2</v>
      </c>
      <c r="Y3694">
        <v>0</v>
      </c>
      <c r="Z3694">
        <v>0</v>
      </c>
      <c r="AB3694">
        <v>0</v>
      </c>
      <c r="AC3694">
        <v>9</v>
      </c>
      <c r="AD3694">
        <v>3</v>
      </c>
      <c r="AE3694">
        <v>0</v>
      </c>
      <c r="AF3694">
        <v>9</v>
      </c>
      <c r="AG3694" t="s">
        <v>158</v>
      </c>
      <c r="AH3694">
        <v>0</v>
      </c>
      <c r="AI3694">
        <v>3</v>
      </c>
      <c r="AJ3694">
        <v>1</v>
      </c>
      <c r="AK3694">
        <v>0</v>
      </c>
      <c r="AL3694" t="s">
        <v>6956</v>
      </c>
      <c r="AM3694">
        <v>47.035302999999999</v>
      </c>
      <c r="AN3694" t="s">
        <v>6957</v>
      </c>
      <c r="AO3694">
        <v>-123.886771</v>
      </c>
      <c r="AP3694">
        <v>100</v>
      </c>
      <c r="AQ3694">
        <v>2100</v>
      </c>
      <c r="AR3694" t="s">
        <v>118</v>
      </c>
      <c r="AS3694">
        <v>-79</v>
      </c>
      <c r="AT3694">
        <v>25</v>
      </c>
      <c r="AU3694">
        <v>0</v>
      </c>
      <c r="BC3694">
        <v>1200</v>
      </c>
      <c r="BD3694">
        <v>1</v>
      </c>
      <c r="BE3694" t="str">
        <f t="shared" si="173"/>
        <v xml:space="preserve">N215T   </v>
      </c>
      <c r="BF3694">
        <v>1</v>
      </c>
      <c r="BH3694">
        <v>0</v>
      </c>
      <c r="BI3694">
        <v>0</v>
      </c>
      <c r="BJ3694">
        <v>0</v>
      </c>
      <c r="BK3694">
        <v>2475</v>
      </c>
      <c r="BL3694">
        <v>375</v>
      </c>
      <c r="BM3694" t="s">
        <v>119</v>
      </c>
      <c r="BN3694">
        <v>1</v>
      </c>
      <c r="BO3694">
        <v>1</v>
      </c>
      <c r="BP3694">
        <v>1</v>
      </c>
      <c r="BQ3694">
        <v>0</v>
      </c>
      <c r="BT3694">
        <v>0</v>
      </c>
      <c r="BU3694">
        <v>0</v>
      </c>
      <c r="BV3694">
        <v>0</v>
      </c>
      <c r="CC3694" t="str">
        <f>"19:36:32.859"</f>
        <v>19:36:32.859</v>
      </c>
      <c r="CD3694" t="str">
        <f>"858216246"</f>
        <v>858216246</v>
      </c>
      <c r="CQ3694">
        <v>0</v>
      </c>
      <c r="CR3694">
        <v>2</v>
      </c>
      <c r="CS3694">
        <v>0</v>
      </c>
      <c r="CT3694">
        <v>2</v>
      </c>
      <c r="CU3694">
        <v>0</v>
      </c>
      <c r="CV3694">
        <v>4</v>
      </c>
      <c r="CW3694" t="s">
        <v>120</v>
      </c>
      <c r="CX3694">
        <v>257</v>
      </c>
      <c r="CY3694">
        <v>0</v>
      </c>
      <c r="CZ3694" t="s">
        <v>615</v>
      </c>
      <c r="DA3694" t="s">
        <v>616</v>
      </c>
      <c r="DD3694">
        <v>16534671</v>
      </c>
      <c r="DE3694" t="s">
        <v>123</v>
      </c>
    </row>
    <row r="3695" spans="1:109" x14ac:dyDescent="0.3">
      <c r="A3695" t="str">
        <f>"19:36:34.164"</f>
        <v>19:36:34.164</v>
      </c>
      <c r="B3695" t="s">
        <v>110</v>
      </c>
      <c r="C3695" t="str">
        <f t="shared" si="171"/>
        <v>ffdfd3c0</v>
      </c>
      <c r="D3695" t="s">
        <v>111</v>
      </c>
      <c r="E3695">
        <v>18</v>
      </c>
      <c r="F3695">
        <v>1018</v>
      </c>
      <c r="G3695" t="s">
        <v>112</v>
      </c>
      <c r="J3695" t="s">
        <v>113</v>
      </c>
      <c r="K3695">
        <v>0</v>
      </c>
      <c r="L3695">
        <v>3</v>
      </c>
      <c r="M3695">
        <v>0</v>
      </c>
      <c r="N3695">
        <v>2</v>
      </c>
      <c r="O3695">
        <v>1</v>
      </c>
      <c r="P3695">
        <v>0</v>
      </c>
      <c r="Q3695">
        <v>0</v>
      </c>
      <c r="R3695" t="s">
        <v>114</v>
      </c>
      <c r="S3695" t="str">
        <f>"19:36:33.891"</f>
        <v>19:36:33.891</v>
      </c>
      <c r="T3695" t="str">
        <f>"19:36:33.891"</f>
        <v>19:36:33.891</v>
      </c>
      <c r="U3695" t="str">
        <f t="shared" si="172"/>
        <v>a1cdbe</v>
      </c>
      <c r="V3695">
        <v>0</v>
      </c>
      <c r="W3695">
        <v>0</v>
      </c>
      <c r="X3695">
        <v>2</v>
      </c>
      <c r="Y3695">
        <v>0</v>
      </c>
      <c r="Z3695">
        <v>0</v>
      </c>
      <c r="AB3695">
        <v>0</v>
      </c>
      <c r="AC3695">
        <v>9</v>
      </c>
      <c r="AD3695">
        <v>3</v>
      </c>
      <c r="AE3695">
        <v>0</v>
      </c>
      <c r="AF3695">
        <v>9</v>
      </c>
      <c r="AG3695" t="s">
        <v>158</v>
      </c>
      <c r="AH3695">
        <v>0</v>
      </c>
      <c r="AI3695">
        <v>3</v>
      </c>
      <c r="AJ3695">
        <v>1</v>
      </c>
      <c r="AK3695">
        <v>0</v>
      </c>
      <c r="AL3695" t="s">
        <v>6958</v>
      </c>
      <c r="AM3695">
        <v>47.035409999999999</v>
      </c>
      <c r="AN3695" t="s">
        <v>6959</v>
      </c>
      <c r="AO3695">
        <v>-123.88732899999999</v>
      </c>
      <c r="AP3695">
        <v>100</v>
      </c>
      <c r="AQ3695">
        <v>2100</v>
      </c>
      <c r="AR3695" t="s">
        <v>118</v>
      </c>
      <c r="AS3695">
        <v>-79</v>
      </c>
      <c r="AT3695">
        <v>25</v>
      </c>
      <c r="AU3695">
        <v>0</v>
      </c>
      <c r="BC3695">
        <v>1200</v>
      </c>
      <c r="BD3695">
        <v>1</v>
      </c>
      <c r="BE3695" t="str">
        <f t="shared" si="173"/>
        <v xml:space="preserve">N215T   </v>
      </c>
      <c r="BF3695">
        <v>1</v>
      </c>
      <c r="BH3695">
        <v>0</v>
      </c>
      <c r="BI3695">
        <v>0</v>
      </c>
      <c r="BJ3695">
        <v>0</v>
      </c>
      <c r="BK3695">
        <v>2475</v>
      </c>
      <c r="BL3695">
        <v>375</v>
      </c>
      <c r="BM3695" t="s">
        <v>119</v>
      </c>
      <c r="BN3695">
        <v>1</v>
      </c>
      <c r="BO3695">
        <v>1</v>
      </c>
      <c r="BP3695">
        <v>1</v>
      </c>
      <c r="BQ3695">
        <v>0</v>
      </c>
      <c r="BT3695">
        <v>0</v>
      </c>
      <c r="BU3695">
        <v>0</v>
      </c>
      <c r="BV3695">
        <v>0</v>
      </c>
      <c r="CC3695" t="str">
        <f>"19:36:33.891"</f>
        <v>19:36:33.891</v>
      </c>
      <c r="CD3695" t="str">
        <f>"893114304"</f>
        <v>893114304</v>
      </c>
      <c r="CQ3695">
        <v>0</v>
      </c>
      <c r="CR3695">
        <v>2</v>
      </c>
      <c r="CS3695">
        <v>0</v>
      </c>
      <c r="CT3695">
        <v>2</v>
      </c>
      <c r="CU3695">
        <v>0</v>
      </c>
      <c r="CV3695">
        <v>5</v>
      </c>
      <c r="CW3695" t="s">
        <v>120</v>
      </c>
      <c r="CX3695">
        <v>257</v>
      </c>
      <c r="CY3695">
        <v>0</v>
      </c>
      <c r="CZ3695" t="s">
        <v>615</v>
      </c>
      <c r="DA3695" t="s">
        <v>616</v>
      </c>
      <c r="DD3695">
        <v>16535041</v>
      </c>
      <c r="DE3695" t="s">
        <v>123</v>
      </c>
    </row>
    <row r="3696" spans="1:109" x14ac:dyDescent="0.3">
      <c r="A3696" t="str">
        <f>"19:36:35.164"</f>
        <v>19:36:35.164</v>
      </c>
      <c r="B3696" t="s">
        <v>110</v>
      </c>
      <c r="C3696" t="str">
        <f t="shared" si="171"/>
        <v>ffdfd3c0</v>
      </c>
      <c r="D3696" t="s">
        <v>111</v>
      </c>
      <c r="E3696">
        <v>18</v>
      </c>
      <c r="F3696">
        <v>1018</v>
      </c>
      <c r="G3696" t="s">
        <v>112</v>
      </c>
      <c r="J3696" t="s">
        <v>113</v>
      </c>
      <c r="K3696">
        <v>0</v>
      </c>
      <c r="L3696">
        <v>3</v>
      </c>
      <c r="M3696">
        <v>0</v>
      </c>
      <c r="N3696">
        <v>2</v>
      </c>
      <c r="O3696">
        <v>1</v>
      </c>
      <c r="P3696">
        <v>0</v>
      </c>
      <c r="Q3696">
        <v>0</v>
      </c>
      <c r="R3696" t="s">
        <v>114</v>
      </c>
      <c r="S3696" t="str">
        <f>"19:36:34.891"</f>
        <v>19:36:34.891</v>
      </c>
      <c r="T3696" t="str">
        <f>"19:36:34.891"</f>
        <v>19:36:34.891</v>
      </c>
      <c r="U3696" t="str">
        <f t="shared" si="172"/>
        <v>a1cdbe</v>
      </c>
      <c r="V3696">
        <v>0</v>
      </c>
      <c r="W3696">
        <v>0</v>
      </c>
      <c r="X3696">
        <v>2</v>
      </c>
      <c r="Y3696">
        <v>0</v>
      </c>
      <c r="Z3696">
        <v>0</v>
      </c>
      <c r="AB3696">
        <v>0</v>
      </c>
      <c r="AC3696">
        <v>9</v>
      </c>
      <c r="AD3696">
        <v>3</v>
      </c>
      <c r="AE3696">
        <v>0</v>
      </c>
      <c r="AF3696">
        <v>9</v>
      </c>
      <c r="AG3696" t="s">
        <v>158</v>
      </c>
      <c r="AH3696">
        <v>0</v>
      </c>
      <c r="AI3696">
        <v>3</v>
      </c>
      <c r="AJ3696">
        <v>1</v>
      </c>
      <c r="AK3696">
        <v>0</v>
      </c>
      <c r="AL3696" t="s">
        <v>6960</v>
      </c>
      <c r="AM3696">
        <v>47.035539</v>
      </c>
      <c r="AN3696" t="s">
        <v>6961</v>
      </c>
      <c r="AO3696">
        <v>-123.88788700000001</v>
      </c>
      <c r="AP3696">
        <v>100</v>
      </c>
      <c r="AQ3696">
        <v>2100</v>
      </c>
      <c r="AR3696" t="s">
        <v>118</v>
      </c>
      <c r="AS3696">
        <v>-79</v>
      </c>
      <c r="AT3696">
        <v>24</v>
      </c>
      <c r="AU3696">
        <v>-64</v>
      </c>
      <c r="BC3696">
        <v>1200</v>
      </c>
      <c r="BD3696">
        <v>1</v>
      </c>
      <c r="BE3696" t="str">
        <f t="shared" si="173"/>
        <v xml:space="preserve">N215T   </v>
      </c>
      <c r="BF3696">
        <v>1</v>
      </c>
      <c r="BH3696">
        <v>0</v>
      </c>
      <c r="BI3696">
        <v>0</v>
      </c>
      <c r="BJ3696">
        <v>0</v>
      </c>
      <c r="BK3696">
        <v>2475</v>
      </c>
      <c r="BL3696">
        <v>375</v>
      </c>
      <c r="BM3696" t="s">
        <v>119</v>
      </c>
      <c r="BN3696">
        <v>1</v>
      </c>
      <c r="BO3696">
        <v>1</v>
      </c>
      <c r="BP3696">
        <v>1</v>
      </c>
      <c r="BQ3696">
        <v>0</v>
      </c>
      <c r="BT3696">
        <v>0</v>
      </c>
      <c r="BU3696">
        <v>0</v>
      </c>
      <c r="BV3696">
        <v>0</v>
      </c>
      <c r="CC3696" t="str">
        <f>"19:36:34.898"</f>
        <v>19:36:34.898</v>
      </c>
      <c r="CD3696" t="str">
        <f>"898015317"</f>
        <v>898015317</v>
      </c>
      <c r="CQ3696">
        <v>0</v>
      </c>
      <c r="CR3696">
        <v>2</v>
      </c>
      <c r="CS3696">
        <v>0</v>
      </c>
      <c r="CT3696">
        <v>2</v>
      </c>
      <c r="CU3696">
        <v>0</v>
      </c>
      <c r="CV3696">
        <v>4</v>
      </c>
      <c r="CW3696" t="s">
        <v>120</v>
      </c>
      <c r="CX3696">
        <v>257</v>
      </c>
      <c r="CY3696">
        <v>0</v>
      </c>
      <c r="CZ3696" t="s">
        <v>615</v>
      </c>
      <c r="DA3696" t="s">
        <v>616</v>
      </c>
      <c r="DD3696">
        <v>16535445</v>
      </c>
      <c r="DE3696" t="s">
        <v>123</v>
      </c>
    </row>
    <row r="3697" spans="1:109" x14ac:dyDescent="0.3">
      <c r="A3697" t="str">
        <f>"19:36:36.219"</f>
        <v>19:36:36.219</v>
      </c>
      <c r="B3697" t="s">
        <v>110</v>
      </c>
      <c r="C3697" t="str">
        <f t="shared" si="171"/>
        <v>ffdfd3c0</v>
      </c>
      <c r="D3697" t="s">
        <v>111</v>
      </c>
      <c r="E3697">
        <v>18</v>
      </c>
      <c r="F3697">
        <v>1018</v>
      </c>
      <c r="G3697" t="s">
        <v>112</v>
      </c>
      <c r="J3697" t="s">
        <v>113</v>
      </c>
      <c r="K3697">
        <v>0</v>
      </c>
      <c r="L3697">
        <v>3</v>
      </c>
      <c r="M3697">
        <v>0</v>
      </c>
      <c r="N3697">
        <v>2</v>
      </c>
      <c r="O3697">
        <v>1</v>
      </c>
      <c r="P3697">
        <v>0</v>
      </c>
      <c r="Q3697">
        <v>0</v>
      </c>
      <c r="R3697" t="s">
        <v>114</v>
      </c>
      <c r="S3697" t="str">
        <f>"19:36:35.977"</f>
        <v>19:36:35.977</v>
      </c>
      <c r="T3697" t="str">
        <f>"19:36:35.977"</f>
        <v>19:36:35.977</v>
      </c>
      <c r="U3697" t="str">
        <f t="shared" si="172"/>
        <v>a1cdbe</v>
      </c>
      <c r="V3697">
        <v>0</v>
      </c>
      <c r="W3697">
        <v>0</v>
      </c>
      <c r="X3697">
        <v>2</v>
      </c>
      <c r="Y3697">
        <v>0</v>
      </c>
      <c r="Z3697">
        <v>0</v>
      </c>
      <c r="AB3697">
        <v>0</v>
      </c>
      <c r="AC3697">
        <v>9</v>
      </c>
      <c r="AD3697">
        <v>3</v>
      </c>
      <c r="AE3697">
        <v>0</v>
      </c>
      <c r="AF3697">
        <v>9</v>
      </c>
      <c r="AG3697" t="s">
        <v>158</v>
      </c>
      <c r="AH3697">
        <v>0</v>
      </c>
      <c r="AI3697">
        <v>3</v>
      </c>
      <c r="AJ3697">
        <v>1</v>
      </c>
      <c r="AK3697">
        <v>0</v>
      </c>
      <c r="AL3697" t="s">
        <v>6962</v>
      </c>
      <c r="AM3697">
        <v>47.035625000000003</v>
      </c>
      <c r="AN3697" t="s">
        <v>6963</v>
      </c>
      <c r="AO3697">
        <v>-123.888423</v>
      </c>
      <c r="AP3697">
        <v>100</v>
      </c>
      <c r="AQ3697">
        <v>2100</v>
      </c>
      <c r="AR3697" t="s">
        <v>118</v>
      </c>
      <c r="AS3697">
        <v>-79</v>
      </c>
      <c r="AT3697">
        <v>24</v>
      </c>
      <c r="AU3697">
        <v>-64</v>
      </c>
      <c r="BC3697">
        <v>1200</v>
      </c>
      <c r="BD3697">
        <v>1</v>
      </c>
      <c r="BE3697" t="str">
        <f t="shared" si="173"/>
        <v xml:space="preserve">N215T   </v>
      </c>
      <c r="BF3697">
        <v>1</v>
      </c>
      <c r="BH3697">
        <v>0</v>
      </c>
      <c r="BI3697">
        <v>0</v>
      </c>
      <c r="BJ3697">
        <v>0</v>
      </c>
      <c r="BK3697">
        <v>2475</v>
      </c>
      <c r="BL3697">
        <v>375</v>
      </c>
      <c r="BM3697" t="s">
        <v>119</v>
      </c>
      <c r="BN3697">
        <v>1</v>
      </c>
      <c r="BO3697">
        <v>1</v>
      </c>
      <c r="BP3697">
        <v>1</v>
      </c>
      <c r="BQ3697">
        <v>0</v>
      </c>
      <c r="BT3697">
        <v>0</v>
      </c>
      <c r="BU3697">
        <v>0</v>
      </c>
      <c r="BV3697">
        <v>0</v>
      </c>
      <c r="CC3697" t="str">
        <f>"19:36:35.977"</f>
        <v>19:36:35.977</v>
      </c>
      <c r="CD3697" t="str">
        <f>"977908961"</f>
        <v>977908961</v>
      </c>
      <c r="CQ3697">
        <v>0</v>
      </c>
      <c r="CR3697">
        <v>2</v>
      </c>
      <c r="CS3697">
        <v>0</v>
      </c>
      <c r="CT3697">
        <v>2</v>
      </c>
      <c r="CU3697">
        <v>0</v>
      </c>
      <c r="CV3697">
        <v>4</v>
      </c>
      <c r="CW3697" t="s">
        <v>120</v>
      </c>
      <c r="CX3697">
        <v>257</v>
      </c>
      <c r="CY3697">
        <v>0</v>
      </c>
      <c r="CZ3697" t="s">
        <v>615</v>
      </c>
      <c r="DA3697" t="s">
        <v>616</v>
      </c>
      <c r="DD3697">
        <v>16535891</v>
      </c>
      <c r="DE3697" t="s">
        <v>123</v>
      </c>
    </row>
    <row r="3698" spans="1:109" x14ac:dyDescent="0.3">
      <c r="A3698" t="str">
        <f>"19:36:37.180"</f>
        <v>19:36:37.180</v>
      </c>
      <c r="B3698" t="s">
        <v>110</v>
      </c>
      <c r="C3698" t="str">
        <f t="shared" si="171"/>
        <v>ffdfd3c0</v>
      </c>
      <c r="D3698" t="s">
        <v>111</v>
      </c>
      <c r="E3698">
        <v>18</v>
      </c>
      <c r="F3698">
        <v>1018</v>
      </c>
      <c r="G3698" t="s">
        <v>112</v>
      </c>
      <c r="J3698" t="s">
        <v>113</v>
      </c>
      <c r="K3698">
        <v>0</v>
      </c>
      <c r="L3698">
        <v>3</v>
      </c>
      <c r="M3698">
        <v>0</v>
      </c>
      <c r="N3698">
        <v>2</v>
      </c>
      <c r="O3698">
        <v>1</v>
      </c>
      <c r="P3698">
        <v>0</v>
      </c>
      <c r="Q3698">
        <v>0</v>
      </c>
      <c r="R3698" t="s">
        <v>114</v>
      </c>
      <c r="S3698" t="str">
        <f>"19:36:36.938"</f>
        <v>19:36:36.938</v>
      </c>
      <c r="T3698" t="str">
        <f>"19:36:36.438"</f>
        <v>19:36:36.438</v>
      </c>
      <c r="U3698" t="str">
        <f t="shared" si="172"/>
        <v>a1cdbe</v>
      </c>
      <c r="V3698">
        <v>0</v>
      </c>
      <c r="W3698">
        <v>0</v>
      </c>
      <c r="X3698">
        <v>2</v>
      </c>
      <c r="Y3698">
        <v>0</v>
      </c>
      <c r="Z3698">
        <v>0</v>
      </c>
      <c r="AB3698">
        <v>0</v>
      </c>
      <c r="AC3698">
        <v>9</v>
      </c>
      <c r="AD3698">
        <v>3</v>
      </c>
      <c r="AE3698">
        <v>0</v>
      </c>
      <c r="AF3698">
        <v>9</v>
      </c>
      <c r="AG3698" t="s">
        <v>158</v>
      </c>
      <c r="AH3698">
        <v>0</v>
      </c>
      <c r="AI3698">
        <v>3</v>
      </c>
      <c r="AJ3698">
        <v>1</v>
      </c>
      <c r="AK3698">
        <v>0</v>
      </c>
      <c r="AL3698" t="s">
        <v>6964</v>
      </c>
      <c r="AM3698">
        <v>47.035710999999999</v>
      </c>
      <c r="AN3698" t="s">
        <v>6965</v>
      </c>
      <c r="AO3698">
        <v>-123.888981</v>
      </c>
      <c r="AP3698">
        <v>100</v>
      </c>
      <c r="AQ3698">
        <v>2100</v>
      </c>
      <c r="AR3698" t="s">
        <v>118</v>
      </c>
      <c r="AS3698">
        <v>-79</v>
      </c>
      <c r="AT3698">
        <v>24</v>
      </c>
      <c r="AU3698">
        <v>-128</v>
      </c>
      <c r="BC3698">
        <v>1200</v>
      </c>
      <c r="BD3698">
        <v>1</v>
      </c>
      <c r="BE3698" t="str">
        <f t="shared" si="173"/>
        <v xml:space="preserve">N215T   </v>
      </c>
      <c r="BF3698">
        <v>1</v>
      </c>
      <c r="BH3698">
        <v>0</v>
      </c>
      <c r="BI3698">
        <v>0</v>
      </c>
      <c r="BJ3698">
        <v>0</v>
      </c>
      <c r="BK3698">
        <v>2475</v>
      </c>
      <c r="BL3698">
        <v>375</v>
      </c>
      <c r="BM3698" t="s">
        <v>119</v>
      </c>
      <c r="BN3698">
        <v>1</v>
      </c>
      <c r="BO3698">
        <v>1</v>
      </c>
      <c r="BP3698">
        <v>1</v>
      </c>
      <c r="BQ3698">
        <v>0</v>
      </c>
      <c r="BT3698">
        <v>0</v>
      </c>
      <c r="BU3698">
        <v>0</v>
      </c>
      <c r="BV3698">
        <v>0</v>
      </c>
      <c r="CC3698" t="str">
        <f>"19:36:36.938"</f>
        <v>19:36:36.938</v>
      </c>
      <c r="CD3698" t="str">
        <f>"937814418"</f>
        <v>937814418</v>
      </c>
      <c r="CQ3698">
        <v>0</v>
      </c>
      <c r="CR3698">
        <v>2</v>
      </c>
      <c r="CS3698">
        <v>0</v>
      </c>
      <c r="CT3698">
        <v>2</v>
      </c>
      <c r="CU3698">
        <v>0</v>
      </c>
      <c r="CV3698">
        <v>4</v>
      </c>
      <c r="CW3698" t="s">
        <v>120</v>
      </c>
      <c r="CX3698">
        <v>257</v>
      </c>
      <c r="CY3698">
        <v>0</v>
      </c>
      <c r="CZ3698" t="s">
        <v>615</v>
      </c>
      <c r="DA3698" t="s">
        <v>616</v>
      </c>
      <c r="DD3698">
        <v>16536272</v>
      </c>
      <c r="DE3698" t="s">
        <v>123</v>
      </c>
    </row>
    <row r="3699" spans="1:109" x14ac:dyDescent="0.3">
      <c r="A3699" t="str">
        <f>"19:36:38.133"</f>
        <v>19:36:38.133</v>
      </c>
      <c r="B3699" t="s">
        <v>110</v>
      </c>
      <c r="C3699" t="str">
        <f t="shared" si="171"/>
        <v>ffdfd3c0</v>
      </c>
      <c r="D3699" t="s">
        <v>111</v>
      </c>
      <c r="E3699">
        <v>18</v>
      </c>
      <c r="F3699">
        <v>1018</v>
      </c>
      <c r="G3699" t="s">
        <v>112</v>
      </c>
      <c r="J3699" t="s">
        <v>113</v>
      </c>
      <c r="K3699">
        <v>0</v>
      </c>
      <c r="L3699">
        <v>3</v>
      </c>
      <c r="M3699">
        <v>0</v>
      </c>
      <c r="N3699">
        <v>2</v>
      </c>
      <c r="O3699">
        <v>1</v>
      </c>
      <c r="P3699">
        <v>0</v>
      </c>
      <c r="Q3699">
        <v>0</v>
      </c>
      <c r="R3699" t="s">
        <v>114</v>
      </c>
      <c r="S3699" t="str">
        <f>"19:36:37.875"</f>
        <v>19:36:37.875</v>
      </c>
      <c r="T3699" t="str">
        <f>"19:36:37.477"</f>
        <v>19:36:37.477</v>
      </c>
      <c r="U3699" t="str">
        <f t="shared" si="172"/>
        <v>a1cdbe</v>
      </c>
      <c r="V3699">
        <v>0</v>
      </c>
      <c r="W3699">
        <v>0</v>
      </c>
      <c r="X3699">
        <v>2</v>
      </c>
      <c r="Y3699">
        <v>0</v>
      </c>
      <c r="Z3699">
        <v>0</v>
      </c>
      <c r="AB3699">
        <v>0</v>
      </c>
      <c r="AC3699">
        <v>9</v>
      </c>
      <c r="AD3699">
        <v>3</v>
      </c>
      <c r="AE3699">
        <v>0</v>
      </c>
      <c r="AF3699">
        <v>9</v>
      </c>
      <c r="AG3699" t="s">
        <v>158</v>
      </c>
      <c r="AH3699">
        <v>0</v>
      </c>
      <c r="AI3699">
        <v>3</v>
      </c>
      <c r="AJ3699">
        <v>1</v>
      </c>
      <c r="AK3699">
        <v>0</v>
      </c>
      <c r="AL3699" t="s">
        <v>6966</v>
      </c>
      <c r="AM3699">
        <v>47.035817999999999</v>
      </c>
      <c r="AN3699" t="s">
        <v>6967</v>
      </c>
      <c r="AO3699">
        <v>-123.889432</v>
      </c>
      <c r="AP3699">
        <v>100</v>
      </c>
      <c r="AQ3699">
        <v>2100</v>
      </c>
      <c r="AR3699" t="s">
        <v>118</v>
      </c>
      <c r="AS3699">
        <v>-79</v>
      </c>
      <c r="AT3699">
        <v>24</v>
      </c>
      <c r="AU3699">
        <v>-128</v>
      </c>
      <c r="BC3699">
        <v>1200</v>
      </c>
      <c r="BD3699">
        <v>1</v>
      </c>
      <c r="BE3699" t="str">
        <f t="shared" si="173"/>
        <v xml:space="preserve">N215T   </v>
      </c>
      <c r="BF3699">
        <v>1</v>
      </c>
      <c r="BH3699">
        <v>0</v>
      </c>
      <c r="BI3699">
        <v>0</v>
      </c>
      <c r="BJ3699">
        <v>0</v>
      </c>
      <c r="BK3699">
        <v>2475</v>
      </c>
      <c r="BL3699">
        <v>375</v>
      </c>
      <c r="BM3699" t="s">
        <v>119</v>
      </c>
      <c r="BN3699">
        <v>1</v>
      </c>
      <c r="BO3699">
        <v>1</v>
      </c>
      <c r="BP3699">
        <v>1</v>
      </c>
      <c r="BQ3699">
        <v>0</v>
      </c>
      <c r="BT3699">
        <v>0</v>
      </c>
      <c r="BU3699">
        <v>0</v>
      </c>
      <c r="BV3699">
        <v>0</v>
      </c>
      <c r="CC3699" t="str">
        <f>"19:36:37.883"</f>
        <v>19:36:37.883</v>
      </c>
      <c r="CD3699" t="str">
        <f>"882721341"</f>
        <v>882721341</v>
      </c>
      <c r="CQ3699">
        <v>0</v>
      </c>
      <c r="CR3699">
        <v>2</v>
      </c>
      <c r="CS3699">
        <v>0</v>
      </c>
      <c r="CT3699">
        <v>2</v>
      </c>
      <c r="CU3699">
        <v>0</v>
      </c>
      <c r="CV3699">
        <v>4</v>
      </c>
      <c r="CW3699" t="s">
        <v>120</v>
      </c>
      <c r="CX3699">
        <v>257</v>
      </c>
      <c r="CY3699">
        <v>0</v>
      </c>
      <c r="CZ3699" t="s">
        <v>615</v>
      </c>
      <c r="DA3699" t="s">
        <v>616</v>
      </c>
      <c r="DD3699">
        <v>16536618</v>
      </c>
      <c r="DE3699" t="s">
        <v>123</v>
      </c>
    </row>
    <row r="3700" spans="1:109" x14ac:dyDescent="0.3">
      <c r="A3700" t="str">
        <f>"19:36:39.289"</f>
        <v>19:36:39.289</v>
      </c>
      <c r="B3700" t="s">
        <v>110</v>
      </c>
      <c r="C3700" t="str">
        <f t="shared" si="171"/>
        <v>ffdfd3c0</v>
      </c>
      <c r="D3700" t="s">
        <v>111</v>
      </c>
      <c r="E3700">
        <v>18</v>
      </c>
      <c r="F3700">
        <v>1018</v>
      </c>
      <c r="G3700" t="s">
        <v>112</v>
      </c>
      <c r="J3700" t="s">
        <v>113</v>
      </c>
      <c r="K3700">
        <v>0</v>
      </c>
      <c r="L3700">
        <v>3</v>
      </c>
      <c r="M3700">
        <v>0</v>
      </c>
      <c r="N3700">
        <v>2</v>
      </c>
      <c r="O3700">
        <v>1</v>
      </c>
      <c r="P3700">
        <v>0</v>
      </c>
      <c r="Q3700">
        <v>0</v>
      </c>
      <c r="R3700" t="s">
        <v>114</v>
      </c>
      <c r="S3700" t="str">
        <f>"19:36:39.047"</f>
        <v>19:36:39.047</v>
      </c>
      <c r="T3700" t="str">
        <f>"19:36:38.945"</f>
        <v>19:36:38.945</v>
      </c>
      <c r="U3700" t="str">
        <f t="shared" si="172"/>
        <v>a1cdbe</v>
      </c>
      <c r="V3700">
        <v>0</v>
      </c>
      <c r="W3700">
        <v>0</v>
      </c>
      <c r="X3700">
        <v>2</v>
      </c>
      <c r="Y3700">
        <v>0</v>
      </c>
      <c r="Z3700">
        <v>0</v>
      </c>
      <c r="AB3700">
        <v>0</v>
      </c>
      <c r="AC3700">
        <v>9</v>
      </c>
      <c r="AD3700">
        <v>3</v>
      </c>
      <c r="AE3700">
        <v>0</v>
      </c>
      <c r="AF3700">
        <v>9</v>
      </c>
      <c r="AG3700" t="s">
        <v>158</v>
      </c>
      <c r="AH3700">
        <v>0</v>
      </c>
      <c r="AI3700">
        <v>3</v>
      </c>
      <c r="AJ3700">
        <v>1</v>
      </c>
      <c r="AK3700">
        <v>0</v>
      </c>
      <c r="AL3700" t="s">
        <v>6968</v>
      </c>
      <c r="AM3700">
        <v>47.035967999999997</v>
      </c>
      <c r="AN3700" t="s">
        <v>6969</v>
      </c>
      <c r="AO3700">
        <v>-123.89007599999999</v>
      </c>
      <c r="AP3700">
        <v>100</v>
      </c>
      <c r="AQ3700">
        <v>2100</v>
      </c>
      <c r="AR3700" t="s">
        <v>118</v>
      </c>
      <c r="AS3700">
        <v>-79</v>
      </c>
      <c r="AT3700">
        <v>23</v>
      </c>
      <c r="AU3700">
        <v>-128</v>
      </c>
      <c r="BC3700">
        <v>1200</v>
      </c>
      <c r="BD3700">
        <v>1</v>
      </c>
      <c r="BE3700" t="str">
        <f t="shared" si="173"/>
        <v xml:space="preserve">N215T   </v>
      </c>
      <c r="BF3700">
        <v>1</v>
      </c>
      <c r="BH3700">
        <v>0</v>
      </c>
      <c r="BI3700">
        <v>0</v>
      </c>
      <c r="BJ3700">
        <v>0</v>
      </c>
      <c r="BK3700">
        <v>2450</v>
      </c>
      <c r="BL3700">
        <v>350</v>
      </c>
      <c r="BM3700" t="s">
        <v>119</v>
      </c>
      <c r="BN3700">
        <v>1</v>
      </c>
      <c r="BO3700">
        <v>1</v>
      </c>
      <c r="BP3700">
        <v>1</v>
      </c>
      <c r="BQ3700">
        <v>0</v>
      </c>
      <c r="BT3700">
        <v>0</v>
      </c>
      <c r="BU3700">
        <v>0</v>
      </c>
      <c r="BV3700">
        <v>0</v>
      </c>
      <c r="CC3700" t="str">
        <f>"19:36:39.055"</f>
        <v>19:36:39.055</v>
      </c>
      <c r="CD3700" t="str">
        <f>"052606086"</f>
        <v>052606086</v>
      </c>
      <c r="CQ3700">
        <v>0</v>
      </c>
      <c r="CR3700">
        <v>2</v>
      </c>
      <c r="CS3700">
        <v>0</v>
      </c>
      <c r="CT3700">
        <v>2</v>
      </c>
      <c r="CU3700">
        <v>0</v>
      </c>
      <c r="CV3700">
        <v>5</v>
      </c>
      <c r="CW3700" t="s">
        <v>120</v>
      </c>
      <c r="CX3700">
        <v>257</v>
      </c>
      <c r="CY3700">
        <v>0</v>
      </c>
      <c r="CZ3700" t="s">
        <v>615</v>
      </c>
      <c r="DA3700" t="s">
        <v>616</v>
      </c>
      <c r="DD3700">
        <v>16537039</v>
      </c>
      <c r="DE3700" t="s">
        <v>123</v>
      </c>
    </row>
    <row r="3701" spans="1:109" x14ac:dyDescent="0.3">
      <c r="A3701" t="str">
        <f>"19:36:40.141"</f>
        <v>19:36:40.141</v>
      </c>
      <c r="B3701" t="s">
        <v>110</v>
      </c>
      <c r="C3701" t="str">
        <f t="shared" si="171"/>
        <v>ffdfd3c0</v>
      </c>
      <c r="D3701" t="s">
        <v>111</v>
      </c>
      <c r="E3701">
        <v>18</v>
      </c>
      <c r="F3701">
        <v>1018</v>
      </c>
      <c r="G3701" t="s">
        <v>112</v>
      </c>
      <c r="J3701" t="s">
        <v>113</v>
      </c>
      <c r="K3701">
        <v>0</v>
      </c>
      <c r="L3701">
        <v>3</v>
      </c>
      <c r="M3701">
        <v>0</v>
      </c>
      <c r="N3701">
        <v>2</v>
      </c>
      <c r="O3701">
        <v>1</v>
      </c>
      <c r="P3701">
        <v>0</v>
      </c>
      <c r="Q3701">
        <v>0</v>
      </c>
      <c r="R3701" t="s">
        <v>114</v>
      </c>
      <c r="S3701" t="str">
        <f>"19:36:39.906"</f>
        <v>19:36:39.906</v>
      </c>
      <c r="T3701" t="str">
        <f>"19:36:39.508"</f>
        <v>19:36:39.508</v>
      </c>
      <c r="U3701" t="str">
        <f t="shared" si="172"/>
        <v>a1cdbe</v>
      </c>
      <c r="V3701">
        <v>0</v>
      </c>
      <c r="W3701">
        <v>0</v>
      </c>
      <c r="X3701">
        <v>2</v>
      </c>
      <c r="Y3701">
        <v>0</v>
      </c>
      <c r="Z3701">
        <v>0</v>
      </c>
      <c r="AB3701">
        <v>0</v>
      </c>
      <c r="AC3701">
        <v>9</v>
      </c>
      <c r="AD3701">
        <v>3</v>
      </c>
      <c r="AE3701">
        <v>0</v>
      </c>
      <c r="AF3701">
        <v>9</v>
      </c>
      <c r="AG3701" t="s">
        <v>158</v>
      </c>
      <c r="AH3701">
        <v>0</v>
      </c>
      <c r="AI3701">
        <v>3</v>
      </c>
      <c r="AJ3701">
        <v>1</v>
      </c>
      <c r="AK3701">
        <v>0</v>
      </c>
      <c r="AL3701" t="s">
        <v>6970</v>
      </c>
      <c r="AM3701">
        <v>47.036054</v>
      </c>
      <c r="AN3701" t="s">
        <v>6971</v>
      </c>
      <c r="AO3701">
        <v>-123.890505</v>
      </c>
      <c r="AP3701">
        <v>100</v>
      </c>
      <c r="AQ3701">
        <v>2100</v>
      </c>
      <c r="AR3701" t="s">
        <v>118</v>
      </c>
      <c r="AS3701">
        <v>-79</v>
      </c>
      <c r="AT3701">
        <v>23</v>
      </c>
      <c r="AU3701">
        <v>-128</v>
      </c>
      <c r="BC3701">
        <v>1200</v>
      </c>
      <c r="BD3701">
        <v>1</v>
      </c>
      <c r="BE3701" t="str">
        <f t="shared" si="173"/>
        <v xml:space="preserve">N215T   </v>
      </c>
      <c r="BF3701">
        <v>1</v>
      </c>
      <c r="BH3701">
        <v>0</v>
      </c>
      <c r="BI3701">
        <v>0</v>
      </c>
      <c r="BJ3701">
        <v>0</v>
      </c>
      <c r="BK3701">
        <v>2450</v>
      </c>
      <c r="BL3701">
        <v>350</v>
      </c>
      <c r="BM3701" t="s">
        <v>119</v>
      </c>
      <c r="BN3701">
        <v>1</v>
      </c>
      <c r="BO3701">
        <v>1</v>
      </c>
      <c r="BP3701">
        <v>1</v>
      </c>
      <c r="BQ3701">
        <v>0</v>
      </c>
      <c r="BT3701">
        <v>0</v>
      </c>
      <c r="BU3701">
        <v>0</v>
      </c>
      <c r="BV3701">
        <v>0</v>
      </c>
      <c r="CC3701" t="str">
        <f>"19:36:39.906"</f>
        <v>19:36:39.906</v>
      </c>
      <c r="CD3701" t="str">
        <f>"907521896"</f>
        <v>907521896</v>
      </c>
      <c r="CQ3701">
        <v>0</v>
      </c>
      <c r="CR3701">
        <v>2</v>
      </c>
      <c r="CS3701">
        <v>0</v>
      </c>
      <c r="CT3701">
        <v>2</v>
      </c>
      <c r="CU3701">
        <v>0</v>
      </c>
      <c r="CV3701">
        <v>5</v>
      </c>
      <c r="CW3701" t="s">
        <v>120</v>
      </c>
      <c r="CX3701">
        <v>257</v>
      </c>
      <c r="CY3701">
        <v>0</v>
      </c>
      <c r="CZ3701" t="s">
        <v>615</v>
      </c>
      <c r="DA3701" t="s">
        <v>616</v>
      </c>
      <c r="DD3701">
        <v>16537363</v>
      </c>
      <c r="DE3701" t="s">
        <v>123</v>
      </c>
    </row>
    <row r="3702" spans="1:109" x14ac:dyDescent="0.3">
      <c r="A3702" t="str">
        <f>"19:36:41.148"</f>
        <v>19:36:41.148</v>
      </c>
      <c r="B3702" t="s">
        <v>110</v>
      </c>
      <c r="C3702" t="str">
        <f t="shared" si="171"/>
        <v>ffdfd3c0</v>
      </c>
      <c r="D3702" t="s">
        <v>111</v>
      </c>
      <c r="E3702">
        <v>18</v>
      </c>
      <c r="F3702">
        <v>1018</v>
      </c>
      <c r="G3702" t="s">
        <v>112</v>
      </c>
      <c r="J3702" t="s">
        <v>113</v>
      </c>
      <c r="K3702">
        <v>0</v>
      </c>
      <c r="L3702">
        <v>3</v>
      </c>
      <c r="M3702">
        <v>0</v>
      </c>
      <c r="N3702">
        <v>2</v>
      </c>
      <c r="O3702">
        <v>1</v>
      </c>
      <c r="P3702">
        <v>0</v>
      </c>
      <c r="Q3702">
        <v>0</v>
      </c>
      <c r="R3702" t="s">
        <v>114</v>
      </c>
      <c r="S3702" t="str">
        <f>"19:36:40.906"</f>
        <v>19:36:40.906</v>
      </c>
      <c r="T3702" t="str">
        <f>"19:36:40.609"</f>
        <v>19:36:40.609</v>
      </c>
      <c r="U3702" t="str">
        <f t="shared" si="172"/>
        <v>a1cdbe</v>
      </c>
      <c r="V3702">
        <v>0</v>
      </c>
      <c r="W3702">
        <v>0</v>
      </c>
      <c r="X3702">
        <v>2</v>
      </c>
      <c r="Y3702">
        <v>0</v>
      </c>
      <c r="Z3702">
        <v>0</v>
      </c>
      <c r="AB3702">
        <v>0</v>
      </c>
      <c r="AC3702">
        <v>9</v>
      </c>
      <c r="AD3702">
        <v>3</v>
      </c>
      <c r="AE3702">
        <v>0</v>
      </c>
      <c r="AF3702">
        <v>9</v>
      </c>
      <c r="AG3702" t="s">
        <v>158</v>
      </c>
      <c r="AH3702">
        <v>0</v>
      </c>
      <c r="AI3702">
        <v>3</v>
      </c>
      <c r="AJ3702">
        <v>1</v>
      </c>
      <c r="AK3702">
        <v>0</v>
      </c>
      <c r="AL3702" t="s">
        <v>6972</v>
      </c>
      <c r="AM3702">
        <v>47.036183000000001</v>
      </c>
      <c r="AN3702" t="s">
        <v>6973</v>
      </c>
      <c r="AO3702">
        <v>-123.891041</v>
      </c>
      <c r="AP3702">
        <v>100</v>
      </c>
      <c r="AQ3702">
        <v>2100</v>
      </c>
      <c r="AR3702" t="s">
        <v>118</v>
      </c>
      <c r="AS3702">
        <v>-79</v>
      </c>
      <c r="AT3702">
        <v>22</v>
      </c>
      <c r="AU3702">
        <v>-64</v>
      </c>
      <c r="BC3702">
        <v>1200</v>
      </c>
      <c r="BD3702">
        <v>1</v>
      </c>
      <c r="BE3702" t="str">
        <f t="shared" si="173"/>
        <v xml:space="preserve">N215T   </v>
      </c>
      <c r="BF3702">
        <v>1</v>
      </c>
      <c r="BH3702">
        <v>0</v>
      </c>
      <c r="BI3702">
        <v>0</v>
      </c>
      <c r="BJ3702">
        <v>0</v>
      </c>
      <c r="BK3702">
        <v>2450</v>
      </c>
      <c r="BL3702">
        <v>350</v>
      </c>
      <c r="BM3702" t="s">
        <v>119</v>
      </c>
      <c r="BN3702">
        <v>1</v>
      </c>
      <c r="BO3702">
        <v>1</v>
      </c>
      <c r="BP3702">
        <v>1</v>
      </c>
      <c r="BQ3702">
        <v>0</v>
      </c>
      <c r="BT3702">
        <v>0</v>
      </c>
      <c r="BU3702">
        <v>0</v>
      </c>
      <c r="BV3702">
        <v>0</v>
      </c>
      <c r="CC3702" t="str">
        <f>"19:36:40.914"</f>
        <v>19:36:40.914</v>
      </c>
      <c r="CD3702" t="str">
        <f>"912422905"</f>
        <v>912422905</v>
      </c>
      <c r="CQ3702">
        <v>0</v>
      </c>
      <c r="CR3702">
        <v>2</v>
      </c>
      <c r="CS3702">
        <v>0</v>
      </c>
      <c r="CT3702">
        <v>2</v>
      </c>
      <c r="CU3702">
        <v>0</v>
      </c>
      <c r="CV3702">
        <v>5</v>
      </c>
      <c r="CW3702" t="s">
        <v>120</v>
      </c>
      <c r="CX3702">
        <v>257</v>
      </c>
      <c r="CY3702">
        <v>0</v>
      </c>
      <c r="CZ3702" t="s">
        <v>615</v>
      </c>
      <c r="DA3702" t="s">
        <v>616</v>
      </c>
      <c r="DD3702">
        <v>16537768</v>
      </c>
      <c r="DE3702" t="s">
        <v>123</v>
      </c>
    </row>
    <row r="3703" spans="1:109" x14ac:dyDescent="0.3">
      <c r="A3703" t="str">
        <f>"19:36:42.211"</f>
        <v>19:36:42.211</v>
      </c>
      <c r="B3703" t="s">
        <v>110</v>
      </c>
      <c r="C3703" t="str">
        <f t="shared" si="171"/>
        <v>ffdfd3c0</v>
      </c>
      <c r="D3703" t="s">
        <v>111</v>
      </c>
      <c r="E3703">
        <v>18</v>
      </c>
      <c r="F3703">
        <v>1018</v>
      </c>
      <c r="G3703" t="s">
        <v>112</v>
      </c>
      <c r="J3703" t="s">
        <v>113</v>
      </c>
      <c r="K3703">
        <v>0</v>
      </c>
      <c r="L3703">
        <v>3</v>
      </c>
      <c r="M3703">
        <v>0</v>
      </c>
      <c r="N3703">
        <v>2</v>
      </c>
      <c r="O3703">
        <v>1</v>
      </c>
      <c r="P3703">
        <v>0</v>
      </c>
      <c r="Q3703">
        <v>0</v>
      </c>
      <c r="R3703" t="s">
        <v>114</v>
      </c>
      <c r="S3703" t="str">
        <f>"19:36:41.945"</f>
        <v>19:36:41.945</v>
      </c>
      <c r="T3703" t="str">
        <f>"19:36:41.547"</f>
        <v>19:36:41.547</v>
      </c>
      <c r="U3703" t="str">
        <f t="shared" si="172"/>
        <v>a1cdbe</v>
      </c>
      <c r="V3703">
        <v>0</v>
      </c>
      <c r="W3703">
        <v>0</v>
      </c>
      <c r="X3703">
        <v>2</v>
      </c>
      <c r="Y3703">
        <v>0</v>
      </c>
      <c r="Z3703">
        <v>0</v>
      </c>
      <c r="AB3703">
        <v>0</v>
      </c>
      <c r="AC3703">
        <v>9</v>
      </c>
      <c r="AD3703">
        <v>3</v>
      </c>
      <c r="AE3703">
        <v>0</v>
      </c>
      <c r="AF3703">
        <v>9</v>
      </c>
      <c r="AG3703" t="s">
        <v>158</v>
      </c>
      <c r="AH3703">
        <v>0</v>
      </c>
      <c r="AI3703">
        <v>3</v>
      </c>
      <c r="AJ3703">
        <v>1</v>
      </c>
      <c r="AK3703">
        <v>0</v>
      </c>
      <c r="AL3703" t="s">
        <v>6974</v>
      </c>
      <c r="AM3703">
        <v>47.036247000000003</v>
      </c>
      <c r="AN3703" t="s">
        <v>6975</v>
      </c>
      <c r="AO3703">
        <v>-123.891621</v>
      </c>
      <c r="AP3703">
        <v>100</v>
      </c>
      <c r="AQ3703">
        <v>2100</v>
      </c>
      <c r="AR3703" t="s">
        <v>118</v>
      </c>
      <c r="AS3703">
        <v>-79</v>
      </c>
      <c r="AT3703">
        <v>22</v>
      </c>
      <c r="AU3703">
        <v>0</v>
      </c>
      <c r="BC3703">
        <v>1200</v>
      </c>
      <c r="BD3703">
        <v>1</v>
      </c>
      <c r="BE3703" t="str">
        <f t="shared" si="173"/>
        <v xml:space="preserve">N215T   </v>
      </c>
      <c r="BF3703">
        <v>1</v>
      </c>
      <c r="BH3703">
        <v>0</v>
      </c>
      <c r="BI3703">
        <v>0</v>
      </c>
      <c r="BJ3703">
        <v>0</v>
      </c>
      <c r="BK3703">
        <v>2450</v>
      </c>
      <c r="BL3703">
        <v>350</v>
      </c>
      <c r="BM3703" t="s">
        <v>119</v>
      </c>
      <c r="BN3703">
        <v>1</v>
      </c>
      <c r="BO3703">
        <v>1</v>
      </c>
      <c r="BP3703">
        <v>1</v>
      </c>
      <c r="BQ3703">
        <v>0</v>
      </c>
      <c r="BT3703">
        <v>0</v>
      </c>
      <c r="BU3703">
        <v>0</v>
      </c>
      <c r="BV3703">
        <v>0</v>
      </c>
      <c r="CC3703" t="str">
        <f>"19:36:41.945"</f>
        <v>19:36:41.945</v>
      </c>
      <c r="CD3703" t="str">
        <f>"947320961"</f>
        <v>947320961</v>
      </c>
      <c r="CQ3703">
        <v>0</v>
      </c>
      <c r="CR3703">
        <v>2</v>
      </c>
      <c r="CS3703">
        <v>0</v>
      </c>
      <c r="CT3703">
        <v>2</v>
      </c>
      <c r="CU3703">
        <v>0</v>
      </c>
      <c r="CV3703">
        <v>5</v>
      </c>
      <c r="CW3703" t="s">
        <v>120</v>
      </c>
      <c r="CX3703">
        <v>257</v>
      </c>
      <c r="CY3703">
        <v>0</v>
      </c>
      <c r="CZ3703" t="s">
        <v>615</v>
      </c>
      <c r="DA3703" t="s">
        <v>616</v>
      </c>
      <c r="DD3703">
        <v>16538175</v>
      </c>
      <c r="DE3703" t="s">
        <v>123</v>
      </c>
    </row>
    <row r="3704" spans="1:109" x14ac:dyDescent="0.3">
      <c r="A3704" t="str">
        <f>"19:36:43.211"</f>
        <v>19:36:43.211</v>
      </c>
      <c r="B3704" t="s">
        <v>110</v>
      </c>
      <c r="C3704" t="str">
        <f t="shared" si="171"/>
        <v>ffdfd3c0</v>
      </c>
      <c r="D3704" t="s">
        <v>111</v>
      </c>
      <c r="E3704">
        <v>18</v>
      </c>
      <c r="F3704">
        <v>1018</v>
      </c>
      <c r="G3704" t="s">
        <v>112</v>
      </c>
      <c r="J3704" t="s">
        <v>113</v>
      </c>
      <c r="K3704">
        <v>0</v>
      </c>
      <c r="L3704">
        <v>3</v>
      </c>
      <c r="M3704">
        <v>0</v>
      </c>
      <c r="N3704">
        <v>2</v>
      </c>
      <c r="O3704">
        <v>1</v>
      </c>
      <c r="P3704">
        <v>0</v>
      </c>
      <c r="Q3704">
        <v>0</v>
      </c>
      <c r="R3704" t="s">
        <v>114</v>
      </c>
      <c r="S3704" t="str">
        <f>"19:36:42.992"</f>
        <v>19:36:42.992</v>
      </c>
      <c r="T3704" t="str">
        <f>"19:36:42.891"</f>
        <v>19:36:42.891</v>
      </c>
      <c r="U3704" t="str">
        <f t="shared" si="172"/>
        <v>a1cdbe</v>
      </c>
      <c r="V3704">
        <v>0</v>
      </c>
      <c r="W3704">
        <v>0</v>
      </c>
      <c r="X3704">
        <v>2</v>
      </c>
      <c r="Y3704">
        <v>0</v>
      </c>
      <c r="Z3704">
        <v>0</v>
      </c>
      <c r="AB3704">
        <v>0</v>
      </c>
      <c r="AC3704">
        <v>9</v>
      </c>
      <c r="AD3704">
        <v>3</v>
      </c>
      <c r="AE3704">
        <v>0</v>
      </c>
      <c r="AF3704">
        <v>9</v>
      </c>
      <c r="AG3704" t="s">
        <v>158</v>
      </c>
      <c r="AH3704">
        <v>0</v>
      </c>
      <c r="AI3704">
        <v>3</v>
      </c>
      <c r="AJ3704">
        <v>1</v>
      </c>
      <c r="AK3704">
        <v>0</v>
      </c>
      <c r="AL3704" t="s">
        <v>6976</v>
      </c>
      <c r="AM3704">
        <v>47.036375999999997</v>
      </c>
      <c r="AN3704" t="s">
        <v>6977</v>
      </c>
      <c r="AO3704">
        <v>-123.892179</v>
      </c>
      <c r="AP3704">
        <v>100</v>
      </c>
      <c r="AQ3704">
        <v>2100</v>
      </c>
      <c r="AR3704" t="s">
        <v>118</v>
      </c>
      <c r="AS3704">
        <v>-79</v>
      </c>
      <c r="AT3704">
        <v>21</v>
      </c>
      <c r="AU3704">
        <v>64</v>
      </c>
      <c r="BC3704">
        <v>1200</v>
      </c>
      <c r="BD3704">
        <v>1</v>
      </c>
      <c r="BE3704" t="str">
        <f t="shared" si="173"/>
        <v xml:space="preserve">N215T   </v>
      </c>
      <c r="BF3704">
        <v>1</v>
      </c>
      <c r="BH3704">
        <v>0</v>
      </c>
      <c r="BI3704">
        <v>0</v>
      </c>
      <c r="BJ3704">
        <v>0</v>
      </c>
      <c r="BK3704">
        <v>2450</v>
      </c>
      <c r="BL3704">
        <v>350</v>
      </c>
      <c r="BM3704" t="s">
        <v>119</v>
      </c>
      <c r="BN3704">
        <v>1</v>
      </c>
      <c r="BO3704">
        <v>1</v>
      </c>
      <c r="BP3704">
        <v>1</v>
      </c>
      <c r="BQ3704">
        <v>0</v>
      </c>
      <c r="BT3704">
        <v>0</v>
      </c>
      <c r="BU3704">
        <v>0</v>
      </c>
      <c r="BV3704">
        <v>0</v>
      </c>
      <c r="CC3704" t="str">
        <f>"19:36:43.000"</f>
        <v>19:36:43.000</v>
      </c>
      <c r="CD3704" t="str">
        <f>"997317512"</f>
        <v>997317512</v>
      </c>
      <c r="CQ3704">
        <v>0</v>
      </c>
      <c r="CR3704">
        <v>2</v>
      </c>
      <c r="CS3704">
        <v>0</v>
      </c>
      <c r="CT3704">
        <v>2</v>
      </c>
      <c r="CU3704">
        <v>0</v>
      </c>
      <c r="CV3704">
        <v>3</v>
      </c>
      <c r="CW3704" t="s">
        <v>120</v>
      </c>
      <c r="CX3704">
        <v>261</v>
      </c>
      <c r="CY3704">
        <v>3</v>
      </c>
      <c r="CZ3704" t="s">
        <v>121</v>
      </c>
      <c r="DA3704" t="s">
        <v>122</v>
      </c>
      <c r="DD3704">
        <v>4040499</v>
      </c>
      <c r="DE3704" t="s">
        <v>123</v>
      </c>
    </row>
    <row r="3705" spans="1:109" x14ac:dyDescent="0.3">
      <c r="A3705" t="str">
        <f>"19:36:44.367"</f>
        <v>19:36:44.367</v>
      </c>
      <c r="B3705" t="s">
        <v>110</v>
      </c>
      <c r="C3705" t="str">
        <f t="shared" si="171"/>
        <v>ffdfd3c0</v>
      </c>
      <c r="D3705" t="s">
        <v>111</v>
      </c>
      <c r="E3705">
        <v>18</v>
      </c>
      <c r="F3705">
        <v>1018</v>
      </c>
      <c r="G3705" t="s">
        <v>112</v>
      </c>
      <c r="J3705" t="s">
        <v>113</v>
      </c>
      <c r="K3705">
        <v>0</v>
      </c>
      <c r="L3705">
        <v>3</v>
      </c>
      <c r="M3705">
        <v>0</v>
      </c>
      <c r="N3705">
        <v>2</v>
      </c>
      <c r="O3705">
        <v>1</v>
      </c>
      <c r="P3705">
        <v>0</v>
      </c>
      <c r="Q3705">
        <v>0</v>
      </c>
      <c r="R3705" t="s">
        <v>114</v>
      </c>
      <c r="S3705" t="str">
        <f>"19:36:44.117"</f>
        <v>19:36:44.117</v>
      </c>
      <c r="T3705" t="str">
        <f>"19:36:43.914"</f>
        <v>19:36:43.914</v>
      </c>
      <c r="U3705" t="str">
        <f t="shared" si="172"/>
        <v>a1cdbe</v>
      </c>
      <c r="V3705">
        <v>0</v>
      </c>
      <c r="W3705">
        <v>0</v>
      </c>
      <c r="X3705">
        <v>2</v>
      </c>
      <c r="Y3705">
        <v>0</v>
      </c>
      <c r="Z3705">
        <v>0</v>
      </c>
      <c r="AB3705">
        <v>0</v>
      </c>
      <c r="AC3705">
        <v>9</v>
      </c>
      <c r="AD3705">
        <v>3</v>
      </c>
      <c r="AE3705">
        <v>0</v>
      </c>
      <c r="AF3705">
        <v>9</v>
      </c>
      <c r="AG3705" t="s">
        <v>158</v>
      </c>
      <c r="AH3705">
        <v>0</v>
      </c>
      <c r="AI3705">
        <v>3</v>
      </c>
      <c r="AJ3705">
        <v>1</v>
      </c>
      <c r="AK3705">
        <v>0</v>
      </c>
      <c r="AL3705" t="s">
        <v>6978</v>
      </c>
      <c r="AM3705">
        <v>47.036462</v>
      </c>
      <c r="AN3705" t="s">
        <v>6979</v>
      </c>
      <c r="AO3705">
        <v>-123.892758</v>
      </c>
      <c r="AP3705">
        <v>100</v>
      </c>
      <c r="AQ3705">
        <v>2100</v>
      </c>
      <c r="AR3705" t="s">
        <v>118</v>
      </c>
      <c r="AS3705">
        <v>-79</v>
      </c>
      <c r="AT3705">
        <v>20</v>
      </c>
      <c r="AU3705">
        <v>128</v>
      </c>
      <c r="BC3705">
        <v>1200</v>
      </c>
      <c r="BD3705">
        <v>1</v>
      </c>
      <c r="BE3705" t="str">
        <f t="shared" si="173"/>
        <v xml:space="preserve">N215T   </v>
      </c>
      <c r="BF3705">
        <v>1</v>
      </c>
      <c r="BH3705">
        <v>0</v>
      </c>
      <c r="BI3705">
        <v>0</v>
      </c>
      <c r="BJ3705">
        <v>0</v>
      </c>
      <c r="BK3705">
        <v>2450</v>
      </c>
      <c r="BL3705">
        <v>350</v>
      </c>
      <c r="BM3705" t="s">
        <v>119</v>
      </c>
      <c r="BN3705">
        <v>1</v>
      </c>
      <c r="BO3705">
        <v>1</v>
      </c>
      <c r="BP3705">
        <v>1</v>
      </c>
      <c r="BQ3705">
        <v>0</v>
      </c>
      <c r="BT3705">
        <v>0</v>
      </c>
      <c r="BU3705">
        <v>0</v>
      </c>
      <c r="BV3705">
        <v>0</v>
      </c>
      <c r="CC3705" t="str">
        <f>"19:36:44.125"</f>
        <v>19:36:44.125</v>
      </c>
      <c r="CD3705" t="str">
        <f>"122106740"</f>
        <v>122106740</v>
      </c>
      <c r="CQ3705">
        <v>0</v>
      </c>
      <c r="CR3705">
        <v>2</v>
      </c>
      <c r="CS3705">
        <v>0</v>
      </c>
      <c r="CT3705">
        <v>2</v>
      </c>
      <c r="CU3705">
        <v>0</v>
      </c>
      <c r="CV3705">
        <v>5</v>
      </c>
      <c r="CW3705" t="s">
        <v>120</v>
      </c>
      <c r="CX3705">
        <v>257</v>
      </c>
      <c r="CY3705">
        <v>0</v>
      </c>
      <c r="CZ3705" t="s">
        <v>615</v>
      </c>
      <c r="DA3705" t="s">
        <v>616</v>
      </c>
      <c r="DD3705">
        <v>16538985</v>
      </c>
      <c r="DE3705" t="s">
        <v>123</v>
      </c>
    </row>
    <row r="3706" spans="1:109" x14ac:dyDescent="0.3">
      <c r="A3706" t="str">
        <f>"19:36:45.273"</f>
        <v>19:36:45.273</v>
      </c>
      <c r="B3706" t="s">
        <v>110</v>
      </c>
      <c r="C3706" t="str">
        <f t="shared" si="171"/>
        <v>ffdfd3c0</v>
      </c>
      <c r="D3706" t="s">
        <v>111</v>
      </c>
      <c r="E3706">
        <v>18</v>
      </c>
      <c r="F3706">
        <v>1018</v>
      </c>
      <c r="G3706" t="s">
        <v>112</v>
      </c>
      <c r="J3706" t="s">
        <v>113</v>
      </c>
      <c r="K3706">
        <v>0</v>
      </c>
      <c r="L3706">
        <v>3</v>
      </c>
      <c r="M3706">
        <v>0</v>
      </c>
      <c r="N3706">
        <v>2</v>
      </c>
      <c r="O3706">
        <v>1</v>
      </c>
      <c r="P3706">
        <v>0</v>
      </c>
      <c r="Q3706">
        <v>0</v>
      </c>
      <c r="R3706" t="s">
        <v>114</v>
      </c>
      <c r="S3706" t="str">
        <f>"19:36:45.031"</f>
        <v>19:36:45.031</v>
      </c>
      <c r="T3706" t="str">
        <f>"19:36:44.930"</f>
        <v>19:36:44.930</v>
      </c>
      <c r="U3706" t="str">
        <f t="shared" si="172"/>
        <v>a1cdbe</v>
      </c>
      <c r="V3706">
        <v>0</v>
      </c>
      <c r="W3706">
        <v>0</v>
      </c>
      <c r="X3706">
        <v>2</v>
      </c>
      <c r="Y3706">
        <v>0</v>
      </c>
      <c r="Z3706">
        <v>0</v>
      </c>
      <c r="AB3706">
        <v>0</v>
      </c>
      <c r="AC3706">
        <v>9</v>
      </c>
      <c r="AD3706">
        <v>3</v>
      </c>
      <c r="AE3706">
        <v>0</v>
      </c>
      <c r="AF3706">
        <v>9</v>
      </c>
      <c r="AG3706" t="s">
        <v>158</v>
      </c>
      <c r="AH3706">
        <v>0</v>
      </c>
      <c r="AI3706">
        <v>3</v>
      </c>
      <c r="AJ3706">
        <v>1</v>
      </c>
      <c r="AK3706">
        <v>0</v>
      </c>
      <c r="AL3706" t="s">
        <v>6980</v>
      </c>
      <c r="AM3706">
        <v>47.036569</v>
      </c>
      <c r="AN3706" t="s">
        <v>6981</v>
      </c>
      <c r="AO3706">
        <v>-123.89325100000001</v>
      </c>
      <c r="AP3706">
        <v>100</v>
      </c>
      <c r="AQ3706">
        <v>2100</v>
      </c>
      <c r="AR3706" t="s">
        <v>118</v>
      </c>
      <c r="AS3706">
        <v>-79</v>
      </c>
      <c r="AT3706">
        <v>19</v>
      </c>
      <c r="AU3706">
        <v>192</v>
      </c>
      <c r="BC3706">
        <v>1200</v>
      </c>
      <c r="BD3706">
        <v>1</v>
      </c>
      <c r="BE3706" t="str">
        <f t="shared" si="173"/>
        <v xml:space="preserve">N215T   </v>
      </c>
      <c r="BF3706">
        <v>1</v>
      </c>
      <c r="BH3706">
        <v>0</v>
      </c>
      <c r="BI3706">
        <v>0</v>
      </c>
      <c r="BJ3706">
        <v>0</v>
      </c>
      <c r="BK3706">
        <v>2475</v>
      </c>
      <c r="BL3706">
        <v>375</v>
      </c>
      <c r="BM3706" t="s">
        <v>119</v>
      </c>
      <c r="BN3706">
        <v>1</v>
      </c>
      <c r="BO3706">
        <v>1</v>
      </c>
      <c r="BP3706">
        <v>1</v>
      </c>
      <c r="BQ3706">
        <v>0</v>
      </c>
      <c r="BT3706">
        <v>0</v>
      </c>
      <c r="BU3706">
        <v>0</v>
      </c>
      <c r="BV3706">
        <v>0</v>
      </c>
      <c r="CC3706" t="str">
        <f>"19:36:45.039"</f>
        <v>19:36:45.039</v>
      </c>
      <c r="CD3706" t="str">
        <f>"037016622"</f>
        <v>037016622</v>
      </c>
      <c r="CQ3706">
        <v>0</v>
      </c>
      <c r="CR3706">
        <v>2</v>
      </c>
      <c r="CS3706">
        <v>0</v>
      </c>
      <c r="CT3706">
        <v>2</v>
      </c>
      <c r="CU3706">
        <v>0</v>
      </c>
      <c r="CV3706">
        <v>5</v>
      </c>
      <c r="CW3706" t="s">
        <v>120</v>
      </c>
      <c r="CX3706">
        <v>257</v>
      </c>
      <c r="CY3706">
        <v>0</v>
      </c>
      <c r="CZ3706" t="s">
        <v>615</v>
      </c>
      <c r="DA3706" t="s">
        <v>616</v>
      </c>
      <c r="DD3706">
        <v>16539332</v>
      </c>
      <c r="DE3706" t="s">
        <v>123</v>
      </c>
    </row>
    <row r="3707" spans="1:109" x14ac:dyDescent="0.3">
      <c r="A3707" t="str">
        <f>"19:36:46.227"</f>
        <v>19:36:46.227</v>
      </c>
      <c r="B3707" t="s">
        <v>110</v>
      </c>
      <c r="C3707" t="str">
        <f t="shared" si="171"/>
        <v>ffdfd3c0</v>
      </c>
      <c r="D3707" t="s">
        <v>111</v>
      </c>
      <c r="E3707">
        <v>18</v>
      </c>
      <c r="F3707">
        <v>1018</v>
      </c>
      <c r="G3707" t="s">
        <v>112</v>
      </c>
      <c r="J3707" t="s">
        <v>113</v>
      </c>
      <c r="K3707">
        <v>0</v>
      </c>
      <c r="L3707">
        <v>3</v>
      </c>
      <c r="M3707">
        <v>0</v>
      </c>
      <c r="N3707">
        <v>2</v>
      </c>
      <c r="O3707">
        <v>1</v>
      </c>
      <c r="P3707">
        <v>0</v>
      </c>
      <c r="Q3707">
        <v>0</v>
      </c>
      <c r="R3707" t="s">
        <v>114</v>
      </c>
      <c r="S3707" t="str">
        <f>"19:36:45.977"</f>
        <v>19:36:45.977</v>
      </c>
      <c r="T3707" t="str">
        <f>"19:36:44.977"</f>
        <v>19:36:44.977</v>
      </c>
      <c r="U3707" t="str">
        <f t="shared" si="172"/>
        <v>a1cdbe</v>
      </c>
      <c r="V3707">
        <v>0</v>
      </c>
      <c r="W3707">
        <v>0</v>
      </c>
      <c r="X3707">
        <v>2</v>
      </c>
      <c r="Y3707">
        <v>0</v>
      </c>
      <c r="Z3707">
        <v>0</v>
      </c>
      <c r="AB3707">
        <v>0</v>
      </c>
      <c r="AC3707">
        <v>9</v>
      </c>
      <c r="AD3707">
        <v>3</v>
      </c>
      <c r="AE3707">
        <v>0</v>
      </c>
      <c r="AF3707">
        <v>9</v>
      </c>
      <c r="AG3707" t="s">
        <v>158</v>
      </c>
      <c r="AH3707">
        <v>0</v>
      </c>
      <c r="AI3707">
        <v>3</v>
      </c>
      <c r="AJ3707">
        <v>1</v>
      </c>
      <c r="AK3707">
        <v>0</v>
      </c>
      <c r="AL3707" t="s">
        <v>6982</v>
      </c>
      <c r="AM3707">
        <v>47.036633000000002</v>
      </c>
      <c r="AN3707" t="s">
        <v>6983</v>
      </c>
      <c r="AO3707">
        <v>-123.893788</v>
      </c>
      <c r="AP3707">
        <v>100</v>
      </c>
      <c r="AQ3707">
        <v>2100</v>
      </c>
      <c r="AR3707" t="s">
        <v>118</v>
      </c>
      <c r="AS3707">
        <v>-79</v>
      </c>
      <c r="AT3707">
        <v>19</v>
      </c>
      <c r="AU3707">
        <v>192</v>
      </c>
      <c r="BC3707">
        <v>1200</v>
      </c>
      <c r="BD3707">
        <v>1</v>
      </c>
      <c r="BE3707" t="str">
        <f t="shared" si="173"/>
        <v xml:space="preserve">N215T   </v>
      </c>
      <c r="BF3707">
        <v>1</v>
      </c>
      <c r="BH3707">
        <v>0</v>
      </c>
      <c r="BI3707">
        <v>0</v>
      </c>
      <c r="BJ3707">
        <v>0</v>
      </c>
      <c r="BK3707">
        <v>2475</v>
      </c>
      <c r="BL3707">
        <v>375</v>
      </c>
      <c r="BM3707" t="s">
        <v>119</v>
      </c>
      <c r="BN3707">
        <v>1</v>
      </c>
      <c r="BO3707">
        <v>1</v>
      </c>
      <c r="BP3707">
        <v>1</v>
      </c>
      <c r="BQ3707">
        <v>0</v>
      </c>
      <c r="BT3707">
        <v>0</v>
      </c>
      <c r="BU3707">
        <v>0</v>
      </c>
      <c r="BV3707">
        <v>0</v>
      </c>
      <c r="CC3707" t="str">
        <f>"19:36:45.984"</f>
        <v>19:36:45.984</v>
      </c>
      <c r="CD3707" t="str">
        <f>"981923525"</f>
        <v>981923525</v>
      </c>
      <c r="CQ3707">
        <v>0</v>
      </c>
      <c r="CR3707">
        <v>2</v>
      </c>
      <c r="CS3707">
        <v>0</v>
      </c>
      <c r="CT3707">
        <v>2</v>
      </c>
      <c r="CU3707">
        <v>0</v>
      </c>
      <c r="CV3707">
        <v>5</v>
      </c>
      <c r="CW3707" t="s">
        <v>120</v>
      </c>
      <c r="CX3707">
        <v>257</v>
      </c>
      <c r="CY3707">
        <v>0</v>
      </c>
      <c r="CZ3707" t="s">
        <v>615</v>
      </c>
      <c r="DA3707" t="s">
        <v>616</v>
      </c>
      <c r="DD3707">
        <v>16539742</v>
      </c>
      <c r="DE3707" t="s">
        <v>123</v>
      </c>
    </row>
    <row r="3708" spans="1:109" x14ac:dyDescent="0.3">
      <c r="A3708" t="str">
        <f>"19:36:47.180"</f>
        <v>19:36:47.180</v>
      </c>
      <c r="B3708" t="s">
        <v>110</v>
      </c>
      <c r="C3708" t="str">
        <f t="shared" si="171"/>
        <v>ffdfd3c0</v>
      </c>
      <c r="D3708" t="s">
        <v>111</v>
      </c>
      <c r="E3708">
        <v>18</v>
      </c>
      <c r="F3708">
        <v>1018</v>
      </c>
      <c r="G3708" t="s">
        <v>112</v>
      </c>
      <c r="J3708" t="s">
        <v>113</v>
      </c>
      <c r="K3708">
        <v>0</v>
      </c>
      <c r="L3708">
        <v>3</v>
      </c>
      <c r="M3708">
        <v>0</v>
      </c>
      <c r="N3708">
        <v>2</v>
      </c>
      <c r="O3708">
        <v>1</v>
      </c>
      <c r="P3708">
        <v>0</v>
      </c>
      <c r="Q3708">
        <v>0</v>
      </c>
      <c r="R3708" t="s">
        <v>114</v>
      </c>
      <c r="S3708" t="str">
        <f>"19:36:46.969"</f>
        <v>19:36:46.969</v>
      </c>
      <c r="T3708" t="str">
        <f>"19:36:46.969"</f>
        <v>19:36:46.969</v>
      </c>
      <c r="U3708" t="str">
        <f t="shared" si="172"/>
        <v>a1cdbe</v>
      </c>
      <c r="V3708">
        <v>0</v>
      </c>
      <c r="W3708">
        <v>0</v>
      </c>
      <c r="X3708">
        <v>2</v>
      </c>
      <c r="Y3708">
        <v>0</v>
      </c>
      <c r="Z3708">
        <v>0</v>
      </c>
      <c r="AB3708">
        <v>0</v>
      </c>
      <c r="AC3708">
        <v>9</v>
      </c>
      <c r="AD3708">
        <v>3</v>
      </c>
      <c r="AE3708">
        <v>0</v>
      </c>
      <c r="AF3708">
        <v>9</v>
      </c>
      <c r="AG3708" t="s">
        <v>158</v>
      </c>
      <c r="AH3708">
        <v>0</v>
      </c>
      <c r="AI3708">
        <v>3</v>
      </c>
      <c r="AJ3708">
        <v>1</v>
      </c>
      <c r="AK3708">
        <v>0</v>
      </c>
      <c r="AL3708" t="s">
        <v>6984</v>
      </c>
      <c r="AM3708">
        <v>47.036698000000001</v>
      </c>
      <c r="AN3708" t="s">
        <v>6985</v>
      </c>
      <c r="AO3708">
        <v>-123.89430299999999</v>
      </c>
      <c r="AP3708">
        <v>100</v>
      </c>
      <c r="AQ3708">
        <v>2100</v>
      </c>
      <c r="AR3708" t="s">
        <v>118</v>
      </c>
      <c r="AS3708">
        <v>-78</v>
      </c>
      <c r="AT3708">
        <v>18</v>
      </c>
      <c r="AU3708">
        <v>128</v>
      </c>
      <c r="BC3708">
        <v>1200</v>
      </c>
      <c r="BD3708">
        <v>1</v>
      </c>
      <c r="BE3708" t="str">
        <f t="shared" si="173"/>
        <v xml:space="preserve">N215T   </v>
      </c>
      <c r="BF3708">
        <v>1</v>
      </c>
      <c r="BH3708">
        <v>0</v>
      </c>
      <c r="BI3708">
        <v>0</v>
      </c>
      <c r="BJ3708">
        <v>0</v>
      </c>
      <c r="BK3708">
        <v>2475</v>
      </c>
      <c r="BL3708">
        <v>375</v>
      </c>
      <c r="BM3708" t="s">
        <v>119</v>
      </c>
      <c r="BN3708">
        <v>1</v>
      </c>
      <c r="BO3708">
        <v>1</v>
      </c>
      <c r="BP3708">
        <v>1</v>
      </c>
      <c r="BQ3708">
        <v>0</v>
      </c>
      <c r="BT3708">
        <v>0</v>
      </c>
      <c r="BU3708">
        <v>0</v>
      </c>
      <c r="BV3708">
        <v>0</v>
      </c>
      <c r="CC3708" t="str">
        <f>"19:36:46.969"</f>
        <v>19:36:46.969</v>
      </c>
      <c r="CD3708" t="str">
        <f>"971826045"</f>
        <v>971826045</v>
      </c>
      <c r="CQ3708">
        <v>0</v>
      </c>
      <c r="CR3708">
        <v>2</v>
      </c>
      <c r="CS3708">
        <v>0</v>
      </c>
      <c r="CT3708">
        <v>2</v>
      </c>
      <c r="CU3708">
        <v>0</v>
      </c>
      <c r="CV3708">
        <v>4</v>
      </c>
      <c r="CW3708" t="s">
        <v>120</v>
      </c>
      <c r="CX3708">
        <v>257</v>
      </c>
      <c r="CY3708">
        <v>0</v>
      </c>
      <c r="CZ3708" t="s">
        <v>615</v>
      </c>
      <c r="DA3708" t="s">
        <v>616</v>
      </c>
      <c r="DD3708">
        <v>16540130</v>
      </c>
      <c r="DE3708" t="s">
        <v>123</v>
      </c>
    </row>
    <row r="3709" spans="1:109" x14ac:dyDescent="0.3">
      <c r="A3709" t="str">
        <f>"19:36:48.086"</f>
        <v>19:36:48.086</v>
      </c>
      <c r="B3709" t="s">
        <v>110</v>
      </c>
      <c r="C3709" t="str">
        <f t="shared" si="171"/>
        <v>ffdfd3c0</v>
      </c>
      <c r="D3709" t="s">
        <v>111</v>
      </c>
      <c r="E3709">
        <v>18</v>
      </c>
      <c r="F3709">
        <v>1018</v>
      </c>
      <c r="G3709" t="s">
        <v>112</v>
      </c>
      <c r="J3709" t="s">
        <v>113</v>
      </c>
      <c r="K3709">
        <v>0</v>
      </c>
      <c r="L3709">
        <v>3</v>
      </c>
      <c r="M3709">
        <v>0</v>
      </c>
      <c r="N3709">
        <v>2</v>
      </c>
      <c r="O3709">
        <v>1</v>
      </c>
      <c r="P3709">
        <v>0</v>
      </c>
      <c r="Q3709">
        <v>0</v>
      </c>
      <c r="R3709" t="s">
        <v>114</v>
      </c>
      <c r="S3709" t="str">
        <f>"19:36:47.867"</f>
        <v>19:36:47.867</v>
      </c>
      <c r="T3709" t="str">
        <f>"19:36:47.469"</f>
        <v>19:36:47.469</v>
      </c>
      <c r="U3709" t="str">
        <f t="shared" si="172"/>
        <v>a1cdbe</v>
      </c>
      <c r="V3709">
        <v>0</v>
      </c>
      <c r="W3709">
        <v>0</v>
      </c>
      <c r="X3709">
        <v>2</v>
      </c>
      <c r="Y3709">
        <v>0</v>
      </c>
      <c r="Z3709">
        <v>0</v>
      </c>
      <c r="AB3709">
        <v>0</v>
      </c>
      <c r="AC3709">
        <v>9</v>
      </c>
      <c r="AD3709">
        <v>3</v>
      </c>
      <c r="AE3709">
        <v>0</v>
      </c>
      <c r="AF3709">
        <v>9</v>
      </c>
      <c r="AG3709" t="s">
        <v>158</v>
      </c>
      <c r="AH3709">
        <v>0</v>
      </c>
      <c r="AI3709">
        <v>3</v>
      </c>
      <c r="AJ3709">
        <v>1</v>
      </c>
      <c r="AK3709">
        <v>0</v>
      </c>
      <c r="AL3709" t="s">
        <v>617</v>
      </c>
      <c r="AM3709">
        <v>47.036805000000001</v>
      </c>
      <c r="AN3709" t="s">
        <v>6986</v>
      </c>
      <c r="AO3709">
        <v>-123.894732</v>
      </c>
      <c r="AP3709">
        <v>100</v>
      </c>
      <c r="AQ3709">
        <v>2100</v>
      </c>
      <c r="AR3709" t="s">
        <v>118</v>
      </c>
      <c r="AS3709">
        <v>-78</v>
      </c>
      <c r="AT3709">
        <v>18</v>
      </c>
      <c r="AU3709">
        <v>64</v>
      </c>
      <c r="BC3709">
        <v>1200</v>
      </c>
      <c r="BD3709">
        <v>1</v>
      </c>
      <c r="BE3709" t="str">
        <f t="shared" si="173"/>
        <v xml:space="preserve">N215T   </v>
      </c>
      <c r="BF3709">
        <v>1</v>
      </c>
      <c r="BH3709">
        <v>0</v>
      </c>
      <c r="BI3709">
        <v>0</v>
      </c>
      <c r="BJ3709">
        <v>0</v>
      </c>
      <c r="BK3709">
        <v>2475</v>
      </c>
      <c r="BL3709">
        <v>375</v>
      </c>
      <c r="BM3709" t="s">
        <v>119</v>
      </c>
      <c r="BN3709">
        <v>1</v>
      </c>
      <c r="BO3709">
        <v>1</v>
      </c>
      <c r="BP3709">
        <v>1</v>
      </c>
      <c r="BQ3709">
        <v>0</v>
      </c>
      <c r="BT3709">
        <v>0</v>
      </c>
      <c r="BU3709">
        <v>0</v>
      </c>
      <c r="BV3709">
        <v>0</v>
      </c>
      <c r="CC3709" t="str">
        <f>"19:36:47.875"</f>
        <v>19:36:47.875</v>
      </c>
      <c r="CD3709" t="str">
        <f>"871837611"</f>
        <v>871837611</v>
      </c>
      <c r="CQ3709">
        <v>0</v>
      </c>
      <c r="CR3709">
        <v>2</v>
      </c>
      <c r="CS3709">
        <v>0</v>
      </c>
      <c r="CT3709">
        <v>2</v>
      </c>
      <c r="CU3709">
        <v>0</v>
      </c>
      <c r="CV3709">
        <v>4</v>
      </c>
      <c r="CW3709" t="s">
        <v>120</v>
      </c>
      <c r="CX3709">
        <v>261</v>
      </c>
      <c r="CY3709">
        <v>3</v>
      </c>
      <c r="CZ3709" t="s">
        <v>121</v>
      </c>
      <c r="DA3709" t="s">
        <v>122</v>
      </c>
      <c r="DD3709">
        <v>4041535</v>
      </c>
      <c r="DE3709" t="s">
        <v>123</v>
      </c>
    </row>
    <row r="3710" spans="1:109" x14ac:dyDescent="0.3">
      <c r="A3710" t="str">
        <f>"19:36:49.195"</f>
        <v>19:36:49.195</v>
      </c>
      <c r="B3710" t="s">
        <v>110</v>
      </c>
      <c r="C3710" t="str">
        <f t="shared" si="171"/>
        <v>ffdfd3c0</v>
      </c>
      <c r="D3710" t="s">
        <v>111</v>
      </c>
      <c r="E3710">
        <v>18</v>
      </c>
      <c r="F3710">
        <v>1018</v>
      </c>
      <c r="G3710" t="s">
        <v>112</v>
      </c>
      <c r="J3710" t="s">
        <v>113</v>
      </c>
      <c r="K3710">
        <v>0</v>
      </c>
      <c r="L3710">
        <v>3</v>
      </c>
      <c r="M3710">
        <v>0</v>
      </c>
      <c r="N3710">
        <v>2</v>
      </c>
      <c r="O3710">
        <v>1</v>
      </c>
      <c r="P3710">
        <v>0</v>
      </c>
      <c r="Q3710">
        <v>0</v>
      </c>
      <c r="R3710" t="s">
        <v>114</v>
      </c>
      <c r="S3710" t="str">
        <f>"19:36:48.930"</f>
        <v>19:36:48.930</v>
      </c>
      <c r="T3710" t="str">
        <f>"19:36:48.531"</f>
        <v>19:36:48.531</v>
      </c>
      <c r="U3710" t="str">
        <f t="shared" si="172"/>
        <v>a1cdbe</v>
      </c>
      <c r="V3710">
        <v>0</v>
      </c>
      <c r="W3710">
        <v>0</v>
      </c>
      <c r="X3710">
        <v>2</v>
      </c>
      <c r="Y3710">
        <v>0</v>
      </c>
      <c r="Z3710">
        <v>0</v>
      </c>
      <c r="AB3710">
        <v>0</v>
      </c>
      <c r="AC3710">
        <v>9</v>
      </c>
      <c r="AD3710">
        <v>3</v>
      </c>
      <c r="AE3710">
        <v>0</v>
      </c>
      <c r="AF3710">
        <v>9</v>
      </c>
      <c r="AG3710" t="s">
        <v>158</v>
      </c>
      <c r="AH3710">
        <v>0</v>
      </c>
      <c r="AI3710">
        <v>3</v>
      </c>
      <c r="AJ3710">
        <v>1</v>
      </c>
      <c r="AK3710">
        <v>0</v>
      </c>
      <c r="AL3710" t="s">
        <v>6987</v>
      </c>
      <c r="AM3710">
        <v>47.03687</v>
      </c>
      <c r="AN3710" t="s">
        <v>6988</v>
      </c>
      <c r="AO3710">
        <v>-123.89529</v>
      </c>
      <c r="AP3710">
        <v>100</v>
      </c>
      <c r="AQ3710">
        <v>2100</v>
      </c>
      <c r="AR3710" t="s">
        <v>118</v>
      </c>
      <c r="AS3710">
        <v>-79</v>
      </c>
      <c r="AT3710">
        <v>18</v>
      </c>
      <c r="AU3710">
        <v>0</v>
      </c>
      <c r="BC3710">
        <v>1200</v>
      </c>
      <c r="BD3710">
        <v>1</v>
      </c>
      <c r="BE3710" t="str">
        <f t="shared" si="173"/>
        <v xml:space="preserve">N215T   </v>
      </c>
      <c r="BF3710">
        <v>1</v>
      </c>
      <c r="BH3710">
        <v>0</v>
      </c>
      <c r="BI3710">
        <v>0</v>
      </c>
      <c r="BJ3710">
        <v>0</v>
      </c>
      <c r="BK3710">
        <v>2475</v>
      </c>
      <c r="BL3710">
        <v>375</v>
      </c>
      <c r="BM3710" t="s">
        <v>119</v>
      </c>
      <c r="BN3710">
        <v>1</v>
      </c>
      <c r="BO3710">
        <v>1</v>
      </c>
      <c r="BP3710">
        <v>1</v>
      </c>
      <c r="BQ3710">
        <v>0</v>
      </c>
      <c r="BT3710">
        <v>0</v>
      </c>
      <c r="BU3710">
        <v>0</v>
      </c>
      <c r="BV3710">
        <v>0</v>
      </c>
      <c r="CC3710" t="str">
        <f>"19:36:48.938"</f>
        <v>19:36:48.938</v>
      </c>
      <c r="CD3710" t="str">
        <f>"936732718"</f>
        <v>936732718</v>
      </c>
      <c r="CQ3710">
        <v>0</v>
      </c>
      <c r="CR3710">
        <v>2</v>
      </c>
      <c r="CS3710">
        <v>0</v>
      </c>
      <c r="CT3710">
        <v>2</v>
      </c>
      <c r="CU3710">
        <v>0</v>
      </c>
      <c r="CV3710">
        <v>4</v>
      </c>
      <c r="CW3710" t="s">
        <v>120</v>
      </c>
      <c r="CX3710">
        <v>261</v>
      </c>
      <c r="CY3710">
        <v>3</v>
      </c>
      <c r="CZ3710" t="s">
        <v>121</v>
      </c>
      <c r="DA3710" t="s">
        <v>122</v>
      </c>
      <c r="DD3710">
        <v>4041756</v>
      </c>
      <c r="DE3710" t="s">
        <v>123</v>
      </c>
    </row>
    <row r="3711" spans="1:109" x14ac:dyDescent="0.3">
      <c r="A3711" t="str">
        <f>"19:36:50.148"</f>
        <v>19:36:50.148</v>
      </c>
      <c r="B3711" t="s">
        <v>110</v>
      </c>
      <c r="C3711" t="str">
        <f t="shared" si="171"/>
        <v>ffdfd3c0</v>
      </c>
      <c r="D3711" t="s">
        <v>111</v>
      </c>
      <c r="E3711">
        <v>18</v>
      </c>
      <c r="F3711">
        <v>1018</v>
      </c>
      <c r="G3711" t="s">
        <v>112</v>
      </c>
      <c r="J3711" t="s">
        <v>113</v>
      </c>
      <c r="K3711">
        <v>0</v>
      </c>
      <c r="L3711">
        <v>3</v>
      </c>
      <c r="M3711">
        <v>0</v>
      </c>
      <c r="N3711">
        <v>2</v>
      </c>
      <c r="O3711">
        <v>1</v>
      </c>
      <c r="P3711">
        <v>0</v>
      </c>
      <c r="Q3711">
        <v>0</v>
      </c>
      <c r="R3711" t="s">
        <v>114</v>
      </c>
      <c r="S3711" t="str">
        <f>"19:36:49.891"</f>
        <v>19:36:49.891</v>
      </c>
      <c r="T3711" t="str">
        <f>"19:36:49.594"</f>
        <v>19:36:49.594</v>
      </c>
      <c r="U3711" t="str">
        <f t="shared" si="172"/>
        <v>a1cdbe</v>
      </c>
      <c r="V3711">
        <v>0</v>
      </c>
      <c r="W3711">
        <v>0</v>
      </c>
      <c r="X3711">
        <v>2</v>
      </c>
      <c r="Y3711">
        <v>0</v>
      </c>
      <c r="Z3711">
        <v>0</v>
      </c>
      <c r="AB3711">
        <v>0</v>
      </c>
      <c r="AC3711">
        <v>9</v>
      </c>
      <c r="AD3711">
        <v>3</v>
      </c>
      <c r="AE3711">
        <v>0</v>
      </c>
      <c r="AF3711">
        <v>9</v>
      </c>
      <c r="AG3711" t="s">
        <v>158</v>
      </c>
      <c r="AH3711">
        <v>0</v>
      </c>
      <c r="AI3711">
        <v>3</v>
      </c>
      <c r="AJ3711">
        <v>1</v>
      </c>
      <c r="AK3711">
        <v>0</v>
      </c>
      <c r="AL3711" t="s">
        <v>6989</v>
      </c>
      <c r="AM3711">
        <v>47.036934000000002</v>
      </c>
      <c r="AN3711" t="s">
        <v>6990</v>
      </c>
      <c r="AO3711">
        <v>-123.895848</v>
      </c>
      <c r="AP3711">
        <v>100</v>
      </c>
      <c r="AQ3711">
        <v>2100</v>
      </c>
      <c r="AR3711" t="s">
        <v>118</v>
      </c>
      <c r="AS3711">
        <v>-79</v>
      </c>
      <c r="AT3711">
        <v>17</v>
      </c>
      <c r="AU3711">
        <v>0</v>
      </c>
      <c r="BC3711">
        <v>1200</v>
      </c>
      <c r="BD3711">
        <v>1</v>
      </c>
      <c r="BE3711" t="str">
        <f t="shared" si="173"/>
        <v xml:space="preserve">N215T   </v>
      </c>
      <c r="BF3711">
        <v>1</v>
      </c>
      <c r="BH3711">
        <v>0</v>
      </c>
      <c r="BI3711">
        <v>0</v>
      </c>
      <c r="BJ3711">
        <v>0</v>
      </c>
      <c r="BK3711">
        <v>2475</v>
      </c>
      <c r="BL3711">
        <v>375</v>
      </c>
      <c r="BM3711" t="s">
        <v>119</v>
      </c>
      <c r="BN3711">
        <v>1</v>
      </c>
      <c r="BO3711">
        <v>1</v>
      </c>
      <c r="BP3711">
        <v>1</v>
      </c>
      <c r="BQ3711">
        <v>0</v>
      </c>
      <c r="BT3711">
        <v>0</v>
      </c>
      <c r="BU3711">
        <v>0</v>
      </c>
      <c r="BV3711">
        <v>0</v>
      </c>
      <c r="CC3711" t="str">
        <f>"19:36:49.898"</f>
        <v>19:36:49.898</v>
      </c>
      <c r="CD3711" t="str">
        <f>"896638268"</f>
        <v>896638268</v>
      </c>
      <c r="CQ3711">
        <v>0</v>
      </c>
      <c r="CR3711">
        <v>2</v>
      </c>
      <c r="CS3711">
        <v>0</v>
      </c>
      <c r="CT3711">
        <v>2</v>
      </c>
      <c r="CU3711">
        <v>0</v>
      </c>
      <c r="CV3711">
        <v>4</v>
      </c>
      <c r="CW3711" t="s">
        <v>120</v>
      </c>
      <c r="CX3711">
        <v>261</v>
      </c>
      <c r="CY3711">
        <v>3</v>
      </c>
      <c r="CZ3711" t="s">
        <v>121</v>
      </c>
      <c r="DA3711" t="s">
        <v>122</v>
      </c>
      <c r="DD3711">
        <v>4041963</v>
      </c>
      <c r="DE3711" t="s">
        <v>123</v>
      </c>
    </row>
    <row r="3712" spans="1:109" x14ac:dyDescent="0.3">
      <c r="A3712" t="str">
        <f>"19:36:51.203"</f>
        <v>19:36:51.203</v>
      </c>
      <c r="B3712" t="s">
        <v>110</v>
      </c>
      <c r="C3712" t="str">
        <f t="shared" si="171"/>
        <v>ffdfd3c0</v>
      </c>
      <c r="D3712" t="s">
        <v>111</v>
      </c>
      <c r="E3712">
        <v>18</v>
      </c>
      <c r="F3712">
        <v>1018</v>
      </c>
      <c r="G3712" t="s">
        <v>112</v>
      </c>
      <c r="J3712" t="s">
        <v>113</v>
      </c>
      <c r="K3712">
        <v>0</v>
      </c>
      <c r="L3712">
        <v>3</v>
      </c>
      <c r="M3712">
        <v>0</v>
      </c>
      <c r="N3712">
        <v>2</v>
      </c>
      <c r="O3712">
        <v>1</v>
      </c>
      <c r="P3712">
        <v>0</v>
      </c>
      <c r="Q3712">
        <v>0</v>
      </c>
      <c r="R3712" t="s">
        <v>114</v>
      </c>
      <c r="S3712" t="str">
        <f>"19:36:51.000"</f>
        <v>19:36:51.000</v>
      </c>
      <c r="T3712" t="str">
        <f>"19:36:50.703"</f>
        <v>19:36:50.703</v>
      </c>
      <c r="U3712" t="str">
        <f t="shared" si="172"/>
        <v>a1cdbe</v>
      </c>
      <c r="V3712">
        <v>0</v>
      </c>
      <c r="W3712">
        <v>0</v>
      </c>
      <c r="X3712">
        <v>2</v>
      </c>
      <c r="Y3712">
        <v>0</v>
      </c>
      <c r="Z3712">
        <v>0</v>
      </c>
      <c r="AB3712">
        <v>0</v>
      </c>
      <c r="AC3712">
        <v>9</v>
      </c>
      <c r="AD3712">
        <v>3</v>
      </c>
      <c r="AE3712">
        <v>0</v>
      </c>
      <c r="AF3712">
        <v>9</v>
      </c>
      <c r="AG3712" t="s">
        <v>158</v>
      </c>
      <c r="AH3712">
        <v>0</v>
      </c>
      <c r="AI3712">
        <v>3</v>
      </c>
      <c r="AJ3712">
        <v>1</v>
      </c>
      <c r="AK3712">
        <v>0</v>
      </c>
      <c r="AL3712" t="s">
        <v>6991</v>
      </c>
      <c r="AM3712">
        <v>47.037041000000002</v>
      </c>
      <c r="AN3712" t="s">
        <v>6992</v>
      </c>
      <c r="AO3712">
        <v>-123.896406</v>
      </c>
      <c r="AP3712">
        <v>100</v>
      </c>
      <c r="AQ3712">
        <v>2100</v>
      </c>
      <c r="AR3712" t="s">
        <v>118</v>
      </c>
      <c r="AS3712">
        <v>-79</v>
      </c>
      <c r="AT3712">
        <v>18</v>
      </c>
      <c r="AU3712">
        <v>-64</v>
      </c>
      <c r="BC3712">
        <v>1200</v>
      </c>
      <c r="BD3712">
        <v>1</v>
      </c>
      <c r="BE3712" t="str">
        <f t="shared" si="173"/>
        <v xml:space="preserve">N215T   </v>
      </c>
      <c r="BF3712">
        <v>1</v>
      </c>
      <c r="BH3712">
        <v>0</v>
      </c>
      <c r="BI3712">
        <v>0</v>
      </c>
      <c r="BJ3712">
        <v>0</v>
      </c>
      <c r="BK3712">
        <v>2475</v>
      </c>
      <c r="BL3712">
        <v>375</v>
      </c>
      <c r="BM3712" t="s">
        <v>119</v>
      </c>
      <c r="BN3712">
        <v>1</v>
      </c>
      <c r="BO3712">
        <v>1</v>
      </c>
      <c r="BP3712">
        <v>1</v>
      </c>
      <c r="BQ3712">
        <v>0</v>
      </c>
      <c r="BT3712">
        <v>0</v>
      </c>
      <c r="BU3712">
        <v>0</v>
      </c>
      <c r="BV3712">
        <v>0</v>
      </c>
      <c r="CC3712" t="str">
        <f>"19:36:51.008"</f>
        <v>19:36:51.008</v>
      </c>
      <c r="CD3712" t="str">
        <f>"006528989"</f>
        <v>006528989</v>
      </c>
      <c r="CQ3712">
        <v>0</v>
      </c>
      <c r="CR3712">
        <v>2</v>
      </c>
      <c r="CS3712">
        <v>0</v>
      </c>
      <c r="CT3712">
        <v>2</v>
      </c>
      <c r="CU3712">
        <v>0</v>
      </c>
      <c r="CV3712">
        <v>4</v>
      </c>
      <c r="CW3712" t="s">
        <v>120</v>
      </c>
      <c r="CX3712">
        <v>261</v>
      </c>
      <c r="CY3712">
        <v>3</v>
      </c>
      <c r="CZ3712" t="s">
        <v>121</v>
      </c>
      <c r="DA3712" t="s">
        <v>122</v>
      </c>
      <c r="DD3712">
        <v>4042192</v>
      </c>
      <c r="DE3712" t="s">
        <v>123</v>
      </c>
    </row>
    <row r="3713" spans="1:109" x14ac:dyDescent="0.3">
      <c r="A3713" t="str">
        <f>"19:36:52.156"</f>
        <v>19:36:52.156</v>
      </c>
      <c r="B3713" t="s">
        <v>110</v>
      </c>
      <c r="C3713" t="str">
        <f t="shared" si="171"/>
        <v>ffdfd3c0</v>
      </c>
      <c r="D3713" t="s">
        <v>111</v>
      </c>
      <c r="E3713">
        <v>18</v>
      </c>
      <c r="F3713">
        <v>1018</v>
      </c>
      <c r="G3713" t="s">
        <v>112</v>
      </c>
      <c r="J3713" t="s">
        <v>113</v>
      </c>
      <c r="K3713">
        <v>0</v>
      </c>
      <c r="L3713">
        <v>3</v>
      </c>
      <c r="M3713">
        <v>0</v>
      </c>
      <c r="N3713">
        <v>2</v>
      </c>
      <c r="O3713">
        <v>1</v>
      </c>
      <c r="P3713">
        <v>0</v>
      </c>
      <c r="Q3713">
        <v>0</v>
      </c>
      <c r="R3713" t="s">
        <v>114</v>
      </c>
      <c r="S3713" t="str">
        <f>"19:36:51.930"</f>
        <v>19:36:51.930</v>
      </c>
      <c r="T3713" t="str">
        <f>"19:36:51.727"</f>
        <v>19:36:51.727</v>
      </c>
      <c r="U3713" t="str">
        <f t="shared" si="172"/>
        <v>a1cdbe</v>
      </c>
      <c r="V3713">
        <v>0</v>
      </c>
      <c r="W3713">
        <v>0</v>
      </c>
      <c r="X3713">
        <v>2</v>
      </c>
      <c r="Y3713">
        <v>0</v>
      </c>
      <c r="Z3713">
        <v>0</v>
      </c>
      <c r="AB3713">
        <v>0</v>
      </c>
      <c r="AC3713">
        <v>9</v>
      </c>
      <c r="AD3713">
        <v>3</v>
      </c>
      <c r="AE3713">
        <v>0</v>
      </c>
      <c r="AF3713">
        <v>9</v>
      </c>
      <c r="AG3713" t="s">
        <v>158</v>
      </c>
      <c r="AH3713">
        <v>0</v>
      </c>
      <c r="AI3713">
        <v>3</v>
      </c>
      <c r="AJ3713">
        <v>1</v>
      </c>
      <c r="AK3713">
        <v>0</v>
      </c>
      <c r="AL3713" t="s">
        <v>6993</v>
      </c>
      <c r="AM3713">
        <v>47.037126999999998</v>
      </c>
      <c r="AN3713" t="s">
        <v>6994</v>
      </c>
      <c r="AO3713">
        <v>-123.896899</v>
      </c>
      <c r="AP3713">
        <v>100</v>
      </c>
      <c r="AQ3713">
        <v>2100</v>
      </c>
      <c r="AR3713" t="s">
        <v>118</v>
      </c>
      <c r="AS3713">
        <v>-79</v>
      </c>
      <c r="AT3713">
        <v>18</v>
      </c>
      <c r="AU3713">
        <v>-128</v>
      </c>
      <c r="BC3713">
        <v>1200</v>
      </c>
      <c r="BD3713">
        <v>1</v>
      </c>
      <c r="BE3713" t="str">
        <f t="shared" si="173"/>
        <v xml:space="preserve">N215T   </v>
      </c>
      <c r="BF3713">
        <v>1</v>
      </c>
      <c r="BH3713">
        <v>0</v>
      </c>
      <c r="BI3713">
        <v>0</v>
      </c>
      <c r="BJ3713">
        <v>0</v>
      </c>
      <c r="BK3713">
        <v>2475</v>
      </c>
      <c r="BL3713">
        <v>375</v>
      </c>
      <c r="BM3713" t="s">
        <v>119</v>
      </c>
      <c r="BN3713">
        <v>1</v>
      </c>
      <c r="BO3713">
        <v>1</v>
      </c>
      <c r="BP3713">
        <v>1</v>
      </c>
      <c r="BQ3713">
        <v>0</v>
      </c>
      <c r="BT3713">
        <v>0</v>
      </c>
      <c r="BU3713">
        <v>0</v>
      </c>
      <c r="BV3713">
        <v>0</v>
      </c>
      <c r="CC3713" t="str">
        <f>"19:36:51.938"</f>
        <v>19:36:51.938</v>
      </c>
      <c r="CD3713" t="str">
        <f>"936336966"</f>
        <v>936336966</v>
      </c>
      <c r="CQ3713">
        <v>0</v>
      </c>
      <c r="CR3713">
        <v>2</v>
      </c>
      <c r="CS3713">
        <v>0</v>
      </c>
      <c r="CT3713">
        <v>2</v>
      </c>
      <c r="CU3713">
        <v>0</v>
      </c>
      <c r="CV3713">
        <v>5</v>
      </c>
      <c r="CW3713" t="s">
        <v>120</v>
      </c>
      <c r="CX3713">
        <v>257</v>
      </c>
      <c r="CY3713">
        <v>0</v>
      </c>
      <c r="CZ3713" t="s">
        <v>615</v>
      </c>
      <c r="DA3713" t="s">
        <v>616</v>
      </c>
      <c r="DD3713">
        <v>16541994</v>
      </c>
      <c r="DE3713" t="s">
        <v>123</v>
      </c>
    </row>
    <row r="3714" spans="1:109" x14ac:dyDescent="0.3">
      <c r="A3714" t="str">
        <f>"19:36:53.266"</f>
        <v>19:36:53.266</v>
      </c>
      <c r="B3714" t="s">
        <v>110</v>
      </c>
      <c r="C3714" t="str">
        <f t="shared" ref="C3714:C3777" si="174">"ffdfd3c0"</f>
        <v>ffdfd3c0</v>
      </c>
      <c r="D3714" t="s">
        <v>111</v>
      </c>
      <c r="E3714">
        <v>18</v>
      </c>
      <c r="F3714">
        <v>1018</v>
      </c>
      <c r="G3714" t="s">
        <v>112</v>
      </c>
      <c r="J3714" t="s">
        <v>113</v>
      </c>
      <c r="K3714">
        <v>0</v>
      </c>
      <c r="L3714">
        <v>3</v>
      </c>
      <c r="M3714">
        <v>0</v>
      </c>
      <c r="N3714">
        <v>2</v>
      </c>
      <c r="O3714">
        <v>1</v>
      </c>
      <c r="P3714">
        <v>0</v>
      </c>
      <c r="Q3714">
        <v>0</v>
      </c>
      <c r="R3714" t="s">
        <v>114</v>
      </c>
      <c r="S3714" t="str">
        <f>"19:36:53.031"</f>
        <v>19:36:53.031</v>
      </c>
      <c r="T3714" t="str">
        <f>"19:36:52.633"</f>
        <v>19:36:52.633</v>
      </c>
      <c r="U3714" t="str">
        <f t="shared" ref="U3714:U3777" si="175">"a1cdbe"</f>
        <v>a1cdbe</v>
      </c>
      <c r="V3714">
        <v>0</v>
      </c>
      <c r="W3714">
        <v>0</v>
      </c>
      <c r="X3714">
        <v>2</v>
      </c>
      <c r="Y3714">
        <v>0</v>
      </c>
      <c r="Z3714">
        <v>0</v>
      </c>
      <c r="AB3714">
        <v>0</v>
      </c>
      <c r="AC3714">
        <v>9</v>
      </c>
      <c r="AD3714">
        <v>3</v>
      </c>
      <c r="AE3714">
        <v>0</v>
      </c>
      <c r="AF3714">
        <v>9</v>
      </c>
      <c r="AG3714" t="s">
        <v>158</v>
      </c>
      <c r="AH3714">
        <v>0</v>
      </c>
      <c r="AI3714">
        <v>3</v>
      </c>
      <c r="AJ3714">
        <v>1</v>
      </c>
      <c r="AK3714">
        <v>0</v>
      </c>
      <c r="AL3714" t="s">
        <v>6995</v>
      </c>
      <c r="AM3714">
        <v>47.037213000000001</v>
      </c>
      <c r="AN3714" t="s">
        <v>6996</v>
      </c>
      <c r="AO3714">
        <v>-123.897479</v>
      </c>
      <c r="AP3714">
        <v>100</v>
      </c>
      <c r="AQ3714">
        <v>2100</v>
      </c>
      <c r="AR3714" t="s">
        <v>118</v>
      </c>
      <c r="AS3714">
        <v>-79</v>
      </c>
      <c r="AT3714">
        <v>18</v>
      </c>
      <c r="AU3714">
        <v>-192</v>
      </c>
      <c r="BC3714">
        <v>1200</v>
      </c>
      <c r="BD3714">
        <v>1</v>
      </c>
      <c r="BE3714" t="str">
        <f t="shared" ref="BE3714:BE3777" si="176">"N215T   "</f>
        <v xml:space="preserve">N215T   </v>
      </c>
      <c r="BF3714">
        <v>1</v>
      </c>
      <c r="BH3714">
        <v>0</v>
      </c>
      <c r="BI3714">
        <v>0</v>
      </c>
      <c r="BJ3714">
        <v>0</v>
      </c>
      <c r="BK3714">
        <v>2475</v>
      </c>
      <c r="BL3714">
        <v>375</v>
      </c>
      <c r="BM3714" t="s">
        <v>119</v>
      </c>
      <c r="BN3714">
        <v>1</v>
      </c>
      <c r="BO3714">
        <v>1</v>
      </c>
      <c r="BP3714">
        <v>1</v>
      </c>
      <c r="BQ3714">
        <v>0</v>
      </c>
      <c r="BT3714">
        <v>0</v>
      </c>
      <c r="BU3714">
        <v>0</v>
      </c>
      <c r="BV3714">
        <v>0</v>
      </c>
      <c r="CC3714" t="str">
        <f>"19:36:53.031"</f>
        <v>19:36:53.031</v>
      </c>
      <c r="CD3714" t="str">
        <f>"031329638"</f>
        <v>031329638</v>
      </c>
      <c r="CQ3714">
        <v>0</v>
      </c>
      <c r="CR3714">
        <v>2</v>
      </c>
      <c r="CS3714">
        <v>0</v>
      </c>
      <c r="CT3714">
        <v>2</v>
      </c>
      <c r="CU3714">
        <v>0</v>
      </c>
      <c r="CV3714">
        <v>4</v>
      </c>
      <c r="CW3714" t="s">
        <v>120</v>
      </c>
      <c r="CX3714">
        <v>261</v>
      </c>
      <c r="CY3714">
        <v>3</v>
      </c>
      <c r="CZ3714" t="s">
        <v>121</v>
      </c>
      <c r="DA3714" t="s">
        <v>122</v>
      </c>
      <c r="DD3714">
        <v>4042565</v>
      </c>
      <c r="DE3714" t="s">
        <v>123</v>
      </c>
    </row>
    <row r="3715" spans="1:109" x14ac:dyDescent="0.3">
      <c r="A3715" t="str">
        <f>"19:36:54.219"</f>
        <v>19:36:54.219</v>
      </c>
      <c r="B3715" t="s">
        <v>110</v>
      </c>
      <c r="C3715" t="str">
        <f t="shared" si="174"/>
        <v>ffdfd3c0</v>
      </c>
      <c r="D3715" t="s">
        <v>111</v>
      </c>
      <c r="E3715">
        <v>18</v>
      </c>
      <c r="F3715">
        <v>1018</v>
      </c>
      <c r="G3715" t="s">
        <v>112</v>
      </c>
      <c r="J3715" t="s">
        <v>113</v>
      </c>
      <c r="K3715">
        <v>0</v>
      </c>
      <c r="L3715">
        <v>3</v>
      </c>
      <c r="M3715">
        <v>0</v>
      </c>
      <c r="N3715">
        <v>2</v>
      </c>
      <c r="O3715">
        <v>1</v>
      </c>
      <c r="P3715">
        <v>0</v>
      </c>
      <c r="Q3715">
        <v>0</v>
      </c>
      <c r="R3715" t="s">
        <v>114</v>
      </c>
      <c r="S3715" t="str">
        <f>"19:36:53.969"</f>
        <v>19:36:53.969</v>
      </c>
      <c r="T3715" t="str">
        <f>"19:36:53.570"</f>
        <v>19:36:53.570</v>
      </c>
      <c r="U3715" t="str">
        <f t="shared" si="175"/>
        <v>a1cdbe</v>
      </c>
      <c r="V3715">
        <v>0</v>
      </c>
      <c r="W3715">
        <v>0</v>
      </c>
      <c r="X3715">
        <v>2</v>
      </c>
      <c r="Y3715">
        <v>0</v>
      </c>
      <c r="Z3715">
        <v>0</v>
      </c>
      <c r="AB3715">
        <v>0</v>
      </c>
      <c r="AC3715">
        <v>9</v>
      </c>
      <c r="AD3715">
        <v>3</v>
      </c>
      <c r="AE3715">
        <v>0</v>
      </c>
      <c r="AF3715">
        <v>9</v>
      </c>
      <c r="AG3715" t="s">
        <v>158</v>
      </c>
      <c r="AH3715">
        <v>0</v>
      </c>
      <c r="AI3715">
        <v>3</v>
      </c>
      <c r="AJ3715">
        <v>1</v>
      </c>
      <c r="AK3715">
        <v>0</v>
      </c>
      <c r="AL3715" t="s">
        <v>6997</v>
      </c>
      <c r="AM3715">
        <v>47.037277000000003</v>
      </c>
      <c r="AN3715" t="s">
        <v>6998</v>
      </c>
      <c r="AO3715">
        <v>-123.898036</v>
      </c>
      <c r="AP3715">
        <v>100</v>
      </c>
      <c r="AQ3715">
        <v>2100</v>
      </c>
      <c r="AR3715" t="s">
        <v>118</v>
      </c>
      <c r="AS3715">
        <v>-79</v>
      </c>
      <c r="AT3715">
        <v>19</v>
      </c>
      <c r="AU3715">
        <v>-192</v>
      </c>
      <c r="BC3715">
        <v>1200</v>
      </c>
      <c r="BD3715">
        <v>1</v>
      </c>
      <c r="BE3715" t="str">
        <f t="shared" si="176"/>
        <v xml:space="preserve">N215T   </v>
      </c>
      <c r="BF3715">
        <v>1</v>
      </c>
      <c r="BH3715">
        <v>0</v>
      </c>
      <c r="BI3715">
        <v>0</v>
      </c>
      <c r="BJ3715">
        <v>0</v>
      </c>
      <c r="BK3715">
        <v>2475</v>
      </c>
      <c r="BL3715">
        <v>375</v>
      </c>
      <c r="BM3715" t="s">
        <v>119</v>
      </c>
      <c r="BN3715">
        <v>1</v>
      </c>
      <c r="BO3715">
        <v>1</v>
      </c>
      <c r="BP3715">
        <v>1</v>
      </c>
      <c r="BQ3715">
        <v>0</v>
      </c>
      <c r="BT3715">
        <v>0</v>
      </c>
      <c r="BU3715">
        <v>0</v>
      </c>
      <c r="BV3715">
        <v>0</v>
      </c>
      <c r="CC3715" t="str">
        <f>"19:36:53.977"</f>
        <v>19:36:53.977</v>
      </c>
      <c r="CD3715" t="str">
        <f>"976136010"</f>
        <v>976136010</v>
      </c>
      <c r="CQ3715">
        <v>0</v>
      </c>
      <c r="CR3715">
        <v>2</v>
      </c>
      <c r="CS3715">
        <v>0</v>
      </c>
      <c r="CT3715">
        <v>2</v>
      </c>
      <c r="CU3715">
        <v>0</v>
      </c>
      <c r="CV3715">
        <v>5</v>
      </c>
      <c r="CW3715" t="s">
        <v>120</v>
      </c>
      <c r="CX3715">
        <v>257</v>
      </c>
      <c r="CY3715">
        <v>0</v>
      </c>
      <c r="CZ3715" t="s">
        <v>615</v>
      </c>
      <c r="DA3715" t="s">
        <v>616</v>
      </c>
      <c r="DD3715">
        <v>16542704</v>
      </c>
      <c r="DE3715" t="s">
        <v>123</v>
      </c>
    </row>
    <row r="3716" spans="1:109" x14ac:dyDescent="0.3">
      <c r="A3716" t="str">
        <f>"19:36:55.125"</f>
        <v>19:36:55.125</v>
      </c>
      <c r="B3716" t="s">
        <v>110</v>
      </c>
      <c r="C3716" t="str">
        <f t="shared" si="174"/>
        <v>ffdfd3c0</v>
      </c>
      <c r="D3716" t="s">
        <v>111</v>
      </c>
      <c r="E3716">
        <v>18</v>
      </c>
      <c r="F3716">
        <v>1018</v>
      </c>
      <c r="G3716" t="s">
        <v>112</v>
      </c>
      <c r="J3716" t="s">
        <v>113</v>
      </c>
      <c r="K3716">
        <v>0</v>
      </c>
      <c r="L3716">
        <v>3</v>
      </c>
      <c r="M3716">
        <v>0</v>
      </c>
      <c r="N3716">
        <v>2</v>
      </c>
      <c r="O3716">
        <v>1</v>
      </c>
      <c r="P3716">
        <v>0</v>
      </c>
      <c r="Q3716">
        <v>0</v>
      </c>
      <c r="R3716" t="s">
        <v>114</v>
      </c>
      <c r="S3716" t="str">
        <f>"19:36:54.859"</f>
        <v>19:36:54.859</v>
      </c>
      <c r="T3716" t="str">
        <f>"19:36:54.563"</f>
        <v>19:36:54.563</v>
      </c>
      <c r="U3716" t="str">
        <f t="shared" si="175"/>
        <v>a1cdbe</v>
      </c>
      <c r="V3716">
        <v>0</v>
      </c>
      <c r="W3716">
        <v>0</v>
      </c>
      <c r="X3716">
        <v>2</v>
      </c>
      <c r="Y3716">
        <v>0</v>
      </c>
      <c r="Z3716">
        <v>0</v>
      </c>
      <c r="AB3716">
        <v>0</v>
      </c>
      <c r="AC3716">
        <v>9</v>
      </c>
      <c r="AD3716">
        <v>3</v>
      </c>
      <c r="AE3716">
        <v>0</v>
      </c>
      <c r="AF3716">
        <v>9</v>
      </c>
      <c r="AG3716" t="s">
        <v>158</v>
      </c>
      <c r="AH3716">
        <v>0</v>
      </c>
      <c r="AI3716">
        <v>3</v>
      </c>
      <c r="AJ3716">
        <v>1</v>
      </c>
      <c r="AK3716">
        <v>0</v>
      </c>
      <c r="AL3716" t="s">
        <v>6999</v>
      </c>
      <c r="AM3716">
        <v>47.037362999999999</v>
      </c>
      <c r="AN3716" t="s">
        <v>7000</v>
      </c>
      <c r="AO3716">
        <v>-123.89852999999999</v>
      </c>
      <c r="AP3716">
        <v>100</v>
      </c>
      <c r="AQ3716">
        <v>2100</v>
      </c>
      <c r="AR3716" t="s">
        <v>118</v>
      </c>
      <c r="AS3716">
        <v>-79</v>
      </c>
      <c r="AT3716">
        <v>19</v>
      </c>
      <c r="AU3716">
        <v>-128</v>
      </c>
      <c r="BC3716">
        <v>1200</v>
      </c>
      <c r="BD3716">
        <v>1</v>
      </c>
      <c r="BE3716" t="str">
        <f t="shared" si="176"/>
        <v xml:space="preserve">N215T   </v>
      </c>
      <c r="BF3716">
        <v>1</v>
      </c>
      <c r="BH3716">
        <v>0</v>
      </c>
      <c r="BI3716">
        <v>0</v>
      </c>
      <c r="BJ3716">
        <v>0</v>
      </c>
      <c r="BK3716">
        <v>2450</v>
      </c>
      <c r="BL3716">
        <v>350</v>
      </c>
      <c r="BM3716" t="s">
        <v>119</v>
      </c>
      <c r="BN3716">
        <v>1</v>
      </c>
      <c r="BO3716">
        <v>1</v>
      </c>
      <c r="BP3716">
        <v>1</v>
      </c>
      <c r="BQ3716">
        <v>0</v>
      </c>
      <c r="BT3716">
        <v>0</v>
      </c>
      <c r="BU3716">
        <v>0</v>
      </c>
      <c r="BV3716">
        <v>0</v>
      </c>
      <c r="CC3716" t="str">
        <f>"19:36:54.859"</f>
        <v>19:36:54.859</v>
      </c>
      <c r="CD3716" t="str">
        <f>"861149429"</f>
        <v>861149429</v>
      </c>
      <c r="CQ3716">
        <v>0</v>
      </c>
      <c r="CR3716">
        <v>2</v>
      </c>
      <c r="CS3716">
        <v>0</v>
      </c>
      <c r="CT3716">
        <v>2</v>
      </c>
      <c r="CU3716">
        <v>0</v>
      </c>
      <c r="CV3716">
        <v>4</v>
      </c>
      <c r="CW3716" t="s">
        <v>120</v>
      </c>
      <c r="CX3716">
        <v>261</v>
      </c>
      <c r="CY3716">
        <v>3</v>
      </c>
      <c r="CZ3716" t="s">
        <v>121</v>
      </c>
      <c r="DA3716" t="s">
        <v>122</v>
      </c>
      <c r="DD3716">
        <v>4042929</v>
      </c>
      <c r="DE3716" t="s">
        <v>123</v>
      </c>
    </row>
    <row r="3717" spans="1:109" x14ac:dyDescent="0.3">
      <c r="A3717" t="str">
        <f>"19:36:56.078"</f>
        <v>19:36:56.078</v>
      </c>
      <c r="B3717" t="s">
        <v>110</v>
      </c>
      <c r="C3717" t="str">
        <f t="shared" si="174"/>
        <v>ffdfd3c0</v>
      </c>
      <c r="D3717" t="s">
        <v>111</v>
      </c>
      <c r="E3717">
        <v>18</v>
      </c>
      <c r="F3717">
        <v>1018</v>
      </c>
      <c r="G3717" t="s">
        <v>112</v>
      </c>
      <c r="J3717" t="s">
        <v>113</v>
      </c>
      <c r="K3717">
        <v>0</v>
      </c>
      <c r="L3717">
        <v>3</v>
      </c>
      <c r="M3717">
        <v>0</v>
      </c>
      <c r="N3717">
        <v>2</v>
      </c>
      <c r="O3717">
        <v>1</v>
      </c>
      <c r="P3717">
        <v>0</v>
      </c>
      <c r="Q3717">
        <v>0</v>
      </c>
      <c r="R3717" t="s">
        <v>114</v>
      </c>
      <c r="S3717" t="str">
        <f>"19:36:55.836"</f>
        <v>19:36:55.836</v>
      </c>
      <c r="T3717" t="str">
        <f>"19:36:55.633"</f>
        <v>19:36:55.633</v>
      </c>
      <c r="U3717" t="str">
        <f t="shared" si="175"/>
        <v>a1cdbe</v>
      </c>
      <c r="V3717">
        <v>0</v>
      </c>
      <c r="W3717">
        <v>0</v>
      </c>
      <c r="X3717">
        <v>2</v>
      </c>
      <c r="Y3717">
        <v>0</v>
      </c>
      <c r="Z3717">
        <v>0</v>
      </c>
      <c r="AB3717">
        <v>0</v>
      </c>
      <c r="AC3717">
        <v>9</v>
      </c>
      <c r="AD3717">
        <v>3</v>
      </c>
      <c r="AE3717">
        <v>0</v>
      </c>
      <c r="AF3717">
        <v>9</v>
      </c>
      <c r="AG3717" t="s">
        <v>158</v>
      </c>
      <c r="AH3717">
        <v>0</v>
      </c>
      <c r="AI3717">
        <v>3</v>
      </c>
      <c r="AJ3717">
        <v>1</v>
      </c>
      <c r="AK3717">
        <v>0</v>
      </c>
      <c r="AL3717" t="s">
        <v>7001</v>
      </c>
      <c r="AM3717">
        <v>47.037449000000002</v>
      </c>
      <c r="AN3717" t="s">
        <v>7002</v>
      </c>
      <c r="AO3717">
        <v>-123.899024</v>
      </c>
      <c r="AP3717">
        <v>100</v>
      </c>
      <c r="AQ3717">
        <v>2100</v>
      </c>
      <c r="AR3717" t="s">
        <v>118</v>
      </c>
      <c r="AS3717">
        <v>-79</v>
      </c>
      <c r="AT3717">
        <v>20</v>
      </c>
      <c r="AU3717">
        <v>-64</v>
      </c>
      <c r="BC3717">
        <v>1200</v>
      </c>
      <c r="BD3717">
        <v>1</v>
      </c>
      <c r="BE3717" t="str">
        <f t="shared" si="176"/>
        <v xml:space="preserve">N215T   </v>
      </c>
      <c r="BF3717">
        <v>1</v>
      </c>
      <c r="BH3717">
        <v>0</v>
      </c>
      <c r="BI3717">
        <v>0</v>
      </c>
      <c r="BJ3717">
        <v>0</v>
      </c>
      <c r="BK3717">
        <v>2450</v>
      </c>
      <c r="BL3717">
        <v>350</v>
      </c>
      <c r="BM3717" t="s">
        <v>119</v>
      </c>
      <c r="BN3717">
        <v>1</v>
      </c>
      <c r="BO3717">
        <v>1</v>
      </c>
      <c r="BP3717">
        <v>1</v>
      </c>
      <c r="BQ3717">
        <v>0</v>
      </c>
      <c r="BT3717">
        <v>0</v>
      </c>
      <c r="BU3717">
        <v>0</v>
      </c>
      <c r="BV3717">
        <v>0</v>
      </c>
      <c r="CC3717" t="str">
        <f>"19:36:55.836"</f>
        <v>19:36:55.836</v>
      </c>
      <c r="CD3717" t="str">
        <f>"835952820"</f>
        <v>835952820</v>
      </c>
      <c r="CQ3717">
        <v>0</v>
      </c>
      <c r="CR3717">
        <v>2</v>
      </c>
      <c r="CS3717">
        <v>0</v>
      </c>
      <c r="CT3717">
        <v>2</v>
      </c>
      <c r="CU3717">
        <v>0</v>
      </c>
      <c r="CV3717">
        <v>4</v>
      </c>
      <c r="CW3717" t="s">
        <v>120</v>
      </c>
      <c r="CX3717">
        <v>257</v>
      </c>
      <c r="CY3717">
        <v>0</v>
      </c>
      <c r="CZ3717" t="s">
        <v>615</v>
      </c>
      <c r="DA3717" t="s">
        <v>616</v>
      </c>
      <c r="DD3717">
        <v>16543441</v>
      </c>
      <c r="DE3717" t="s">
        <v>123</v>
      </c>
    </row>
    <row r="3718" spans="1:109" x14ac:dyDescent="0.3">
      <c r="A3718" t="str">
        <f>"19:36:57.289"</f>
        <v>19:36:57.289</v>
      </c>
      <c r="B3718" t="s">
        <v>110</v>
      </c>
      <c r="C3718" t="str">
        <f t="shared" si="174"/>
        <v>ffdfd3c0</v>
      </c>
      <c r="D3718" t="s">
        <v>111</v>
      </c>
      <c r="E3718">
        <v>18</v>
      </c>
      <c r="F3718">
        <v>1018</v>
      </c>
      <c r="G3718" t="s">
        <v>112</v>
      </c>
      <c r="J3718" t="s">
        <v>113</v>
      </c>
      <c r="K3718">
        <v>0</v>
      </c>
      <c r="L3718">
        <v>3</v>
      </c>
      <c r="M3718">
        <v>0</v>
      </c>
      <c r="N3718">
        <v>2</v>
      </c>
      <c r="O3718">
        <v>1</v>
      </c>
      <c r="P3718">
        <v>0</v>
      </c>
      <c r="Q3718">
        <v>0</v>
      </c>
      <c r="R3718" t="s">
        <v>114</v>
      </c>
      <c r="S3718" t="str">
        <f>"19:36:57.000"</f>
        <v>19:36:57.000</v>
      </c>
      <c r="T3718" t="str">
        <f>"19:36:56.703"</f>
        <v>19:36:56.703</v>
      </c>
      <c r="U3718" t="str">
        <f t="shared" si="175"/>
        <v>a1cdbe</v>
      </c>
      <c r="V3718">
        <v>0</v>
      </c>
      <c r="W3718">
        <v>0</v>
      </c>
      <c r="X3718">
        <v>2</v>
      </c>
      <c r="Y3718">
        <v>0</v>
      </c>
      <c r="Z3718">
        <v>0</v>
      </c>
      <c r="AB3718">
        <v>0</v>
      </c>
      <c r="AC3718">
        <v>9</v>
      </c>
      <c r="AD3718">
        <v>3</v>
      </c>
      <c r="AE3718">
        <v>0</v>
      </c>
      <c r="AF3718">
        <v>9</v>
      </c>
      <c r="AG3718" t="s">
        <v>158</v>
      </c>
      <c r="AH3718">
        <v>0</v>
      </c>
      <c r="AI3718">
        <v>3</v>
      </c>
      <c r="AJ3718">
        <v>1</v>
      </c>
      <c r="AK3718">
        <v>0</v>
      </c>
      <c r="AL3718" t="s">
        <v>7003</v>
      </c>
      <c r="AM3718">
        <v>47.037534999999998</v>
      </c>
      <c r="AN3718" t="s">
        <v>7004</v>
      </c>
      <c r="AO3718">
        <v>-123.899646</v>
      </c>
      <c r="AP3718">
        <v>100</v>
      </c>
      <c r="AQ3718">
        <v>2100</v>
      </c>
      <c r="AR3718" t="s">
        <v>118</v>
      </c>
      <c r="AS3718">
        <v>-79</v>
      </c>
      <c r="AT3718">
        <v>20</v>
      </c>
      <c r="AU3718">
        <v>0</v>
      </c>
      <c r="BC3718">
        <v>1200</v>
      </c>
      <c r="BD3718">
        <v>1</v>
      </c>
      <c r="BE3718" t="str">
        <f t="shared" si="176"/>
        <v xml:space="preserve">N215T   </v>
      </c>
      <c r="BF3718">
        <v>1</v>
      </c>
      <c r="BH3718">
        <v>0</v>
      </c>
      <c r="BI3718">
        <v>0</v>
      </c>
      <c r="BJ3718">
        <v>0</v>
      </c>
      <c r="BK3718">
        <v>2450</v>
      </c>
      <c r="BL3718">
        <v>350</v>
      </c>
      <c r="BM3718" t="s">
        <v>119</v>
      </c>
      <c r="BN3718">
        <v>1</v>
      </c>
      <c r="BO3718">
        <v>1</v>
      </c>
      <c r="BP3718">
        <v>1</v>
      </c>
      <c r="BQ3718">
        <v>0</v>
      </c>
      <c r="BT3718">
        <v>0</v>
      </c>
      <c r="BU3718">
        <v>0</v>
      </c>
      <c r="BV3718">
        <v>0</v>
      </c>
      <c r="CC3718" t="str">
        <f>"19:36:57.008"</f>
        <v>19:36:57.008</v>
      </c>
      <c r="CD3718" t="str">
        <f>"005837573"</f>
        <v>005837573</v>
      </c>
      <c r="CQ3718">
        <v>0</v>
      </c>
      <c r="CR3718">
        <v>2</v>
      </c>
      <c r="CS3718">
        <v>0</v>
      </c>
      <c r="CT3718">
        <v>2</v>
      </c>
      <c r="CU3718">
        <v>0</v>
      </c>
      <c r="CV3718">
        <v>4</v>
      </c>
      <c r="CW3718" t="s">
        <v>120</v>
      </c>
      <c r="CX3718">
        <v>257</v>
      </c>
      <c r="CY3718">
        <v>0</v>
      </c>
      <c r="CZ3718" t="s">
        <v>615</v>
      </c>
      <c r="DA3718" t="s">
        <v>616</v>
      </c>
      <c r="DD3718">
        <v>16543866</v>
      </c>
      <c r="DE3718" t="s">
        <v>123</v>
      </c>
    </row>
    <row r="3719" spans="1:109" x14ac:dyDescent="0.3">
      <c r="A3719" t="str">
        <f>"19:36:58.289"</f>
        <v>19:36:58.289</v>
      </c>
      <c r="B3719" t="s">
        <v>110</v>
      </c>
      <c r="C3719" t="str">
        <f t="shared" si="174"/>
        <v>ffdfd3c0</v>
      </c>
      <c r="D3719" t="s">
        <v>111</v>
      </c>
      <c r="E3719">
        <v>18</v>
      </c>
      <c r="F3719">
        <v>1018</v>
      </c>
      <c r="G3719" t="s">
        <v>112</v>
      </c>
      <c r="J3719" t="s">
        <v>113</v>
      </c>
      <c r="K3719">
        <v>0</v>
      </c>
      <c r="L3719">
        <v>3</v>
      </c>
      <c r="M3719">
        <v>0</v>
      </c>
      <c r="N3719">
        <v>2</v>
      </c>
      <c r="O3719">
        <v>1</v>
      </c>
      <c r="P3719">
        <v>0</v>
      </c>
      <c r="Q3719">
        <v>0</v>
      </c>
      <c r="R3719" t="s">
        <v>114</v>
      </c>
      <c r="S3719" t="str">
        <f>"19:36:58.055"</f>
        <v>19:36:58.055</v>
      </c>
      <c r="T3719" t="str">
        <f>"19:36:57.555"</f>
        <v>19:36:57.555</v>
      </c>
      <c r="U3719" t="str">
        <f t="shared" si="175"/>
        <v>a1cdbe</v>
      </c>
      <c r="V3719">
        <v>0</v>
      </c>
      <c r="W3719">
        <v>0</v>
      </c>
      <c r="X3719">
        <v>2</v>
      </c>
      <c r="Y3719">
        <v>0</v>
      </c>
      <c r="Z3719">
        <v>0</v>
      </c>
      <c r="AB3719">
        <v>0</v>
      </c>
      <c r="AC3719">
        <v>9</v>
      </c>
      <c r="AD3719">
        <v>3</v>
      </c>
      <c r="AE3719">
        <v>0</v>
      </c>
      <c r="AF3719">
        <v>9</v>
      </c>
      <c r="AG3719" t="s">
        <v>158</v>
      </c>
      <c r="AH3719">
        <v>0</v>
      </c>
      <c r="AI3719">
        <v>3</v>
      </c>
      <c r="AJ3719">
        <v>1</v>
      </c>
      <c r="AK3719">
        <v>0</v>
      </c>
      <c r="AL3719" t="s">
        <v>7005</v>
      </c>
      <c r="AM3719">
        <v>47.037641999999998</v>
      </c>
      <c r="AN3719" t="s">
        <v>7006</v>
      </c>
      <c r="AO3719">
        <v>-123.90024699999999</v>
      </c>
      <c r="AP3719">
        <v>100</v>
      </c>
      <c r="AQ3719">
        <v>2100</v>
      </c>
      <c r="AR3719" t="s">
        <v>118</v>
      </c>
      <c r="AS3719">
        <v>-79</v>
      </c>
      <c r="AT3719">
        <v>19</v>
      </c>
      <c r="AU3719">
        <v>0</v>
      </c>
      <c r="BC3719">
        <v>1200</v>
      </c>
      <c r="BD3719">
        <v>1</v>
      </c>
      <c r="BE3719" t="str">
        <f t="shared" si="176"/>
        <v xml:space="preserve">N215T   </v>
      </c>
      <c r="BF3719">
        <v>1</v>
      </c>
      <c r="BH3719">
        <v>0</v>
      </c>
      <c r="BI3719">
        <v>0</v>
      </c>
      <c r="BJ3719">
        <v>0</v>
      </c>
      <c r="BK3719">
        <v>2450</v>
      </c>
      <c r="BL3719">
        <v>350</v>
      </c>
      <c r="BM3719" t="s">
        <v>119</v>
      </c>
      <c r="BN3719">
        <v>1</v>
      </c>
      <c r="BO3719">
        <v>1</v>
      </c>
      <c r="BP3719">
        <v>1</v>
      </c>
      <c r="BQ3719">
        <v>0</v>
      </c>
      <c r="BT3719">
        <v>0</v>
      </c>
      <c r="BU3719">
        <v>0</v>
      </c>
      <c r="BV3719">
        <v>0</v>
      </c>
      <c r="CC3719" t="str">
        <f>"19:36:58.055"</f>
        <v>19:36:58.055</v>
      </c>
      <c r="CD3719" t="str">
        <f>"055734178"</f>
        <v>055734178</v>
      </c>
      <c r="CQ3719">
        <v>0</v>
      </c>
      <c r="CR3719">
        <v>2</v>
      </c>
      <c r="CS3719">
        <v>0</v>
      </c>
      <c r="CT3719">
        <v>2</v>
      </c>
      <c r="CU3719">
        <v>0</v>
      </c>
      <c r="CV3719">
        <v>5</v>
      </c>
      <c r="CW3719" t="s">
        <v>120</v>
      </c>
      <c r="CX3719">
        <v>257</v>
      </c>
      <c r="CY3719">
        <v>0</v>
      </c>
      <c r="CZ3719" t="s">
        <v>615</v>
      </c>
      <c r="DA3719" t="s">
        <v>616</v>
      </c>
      <c r="DD3719">
        <v>16544241</v>
      </c>
      <c r="DE3719" t="s">
        <v>123</v>
      </c>
    </row>
    <row r="3720" spans="1:109" x14ac:dyDescent="0.3">
      <c r="A3720" t="str">
        <f>"19:36:59.297"</f>
        <v>19:36:59.297</v>
      </c>
      <c r="B3720" t="s">
        <v>110</v>
      </c>
      <c r="C3720" t="str">
        <f t="shared" si="174"/>
        <v>ffdfd3c0</v>
      </c>
      <c r="D3720" t="s">
        <v>111</v>
      </c>
      <c r="E3720">
        <v>18</v>
      </c>
      <c r="F3720">
        <v>1018</v>
      </c>
      <c r="G3720" t="s">
        <v>112</v>
      </c>
      <c r="J3720" t="s">
        <v>113</v>
      </c>
      <c r="K3720">
        <v>0</v>
      </c>
      <c r="L3720">
        <v>3</v>
      </c>
      <c r="M3720">
        <v>0</v>
      </c>
      <c r="N3720">
        <v>2</v>
      </c>
      <c r="O3720">
        <v>1</v>
      </c>
      <c r="P3720">
        <v>0</v>
      </c>
      <c r="Q3720">
        <v>0</v>
      </c>
      <c r="R3720" t="s">
        <v>114</v>
      </c>
      <c r="S3720" t="str">
        <f>"19:36:59.055"</f>
        <v>19:36:59.055</v>
      </c>
      <c r="T3720" t="str">
        <f>"19:36:58.656"</f>
        <v>19:36:58.656</v>
      </c>
      <c r="U3720" t="str">
        <f t="shared" si="175"/>
        <v>a1cdbe</v>
      </c>
      <c r="V3720">
        <v>0</v>
      </c>
      <c r="W3720">
        <v>0</v>
      </c>
      <c r="X3720">
        <v>2</v>
      </c>
      <c r="Y3720">
        <v>0</v>
      </c>
      <c r="Z3720">
        <v>0</v>
      </c>
      <c r="AB3720">
        <v>0</v>
      </c>
      <c r="AC3720">
        <v>9</v>
      </c>
      <c r="AD3720">
        <v>3</v>
      </c>
      <c r="AE3720">
        <v>0</v>
      </c>
      <c r="AF3720">
        <v>9</v>
      </c>
      <c r="AG3720" t="s">
        <v>158</v>
      </c>
      <c r="AH3720">
        <v>0</v>
      </c>
      <c r="AI3720">
        <v>3</v>
      </c>
      <c r="AJ3720">
        <v>1</v>
      </c>
      <c r="AK3720">
        <v>0</v>
      </c>
      <c r="AL3720" t="s">
        <v>7007</v>
      </c>
      <c r="AM3720">
        <v>47.037728000000001</v>
      </c>
      <c r="AN3720" t="s">
        <v>7008</v>
      </c>
      <c r="AO3720">
        <v>-123.900719</v>
      </c>
      <c r="AP3720">
        <v>100</v>
      </c>
      <c r="AQ3720">
        <v>2100</v>
      </c>
      <c r="AR3720" t="s">
        <v>118</v>
      </c>
      <c r="AS3720">
        <v>-79</v>
      </c>
      <c r="AT3720">
        <v>19</v>
      </c>
      <c r="AU3720">
        <v>0</v>
      </c>
      <c r="BC3720">
        <v>1200</v>
      </c>
      <c r="BD3720">
        <v>1</v>
      </c>
      <c r="BE3720" t="str">
        <f t="shared" si="176"/>
        <v xml:space="preserve">N215T   </v>
      </c>
      <c r="BF3720">
        <v>1</v>
      </c>
      <c r="BH3720">
        <v>0</v>
      </c>
      <c r="BI3720">
        <v>0</v>
      </c>
      <c r="BJ3720">
        <v>0</v>
      </c>
      <c r="BK3720">
        <v>2450</v>
      </c>
      <c r="BL3720">
        <v>350</v>
      </c>
      <c r="BM3720" t="s">
        <v>119</v>
      </c>
      <c r="BN3720">
        <v>1</v>
      </c>
      <c r="BO3720">
        <v>1</v>
      </c>
      <c r="BP3720">
        <v>1</v>
      </c>
      <c r="BQ3720">
        <v>0</v>
      </c>
      <c r="BT3720">
        <v>0</v>
      </c>
      <c r="BU3720">
        <v>0</v>
      </c>
      <c r="BV3720">
        <v>0</v>
      </c>
      <c r="CC3720" t="str">
        <f>"19:36:59.063"</f>
        <v>19:36:59.063</v>
      </c>
      <c r="CD3720" t="str">
        <f>"060635175"</f>
        <v>060635175</v>
      </c>
      <c r="CQ3720">
        <v>0</v>
      </c>
      <c r="CR3720">
        <v>2</v>
      </c>
      <c r="CS3720">
        <v>0</v>
      </c>
      <c r="CT3720">
        <v>2</v>
      </c>
      <c r="CU3720">
        <v>0</v>
      </c>
      <c r="CV3720">
        <v>5</v>
      </c>
      <c r="CW3720" t="s">
        <v>120</v>
      </c>
      <c r="CX3720">
        <v>257</v>
      </c>
      <c r="CY3720">
        <v>0</v>
      </c>
      <c r="CZ3720" t="s">
        <v>615</v>
      </c>
      <c r="DA3720" t="s">
        <v>616</v>
      </c>
      <c r="DD3720">
        <v>16544585</v>
      </c>
      <c r="DE3720" t="s">
        <v>123</v>
      </c>
    </row>
    <row r="3721" spans="1:109" x14ac:dyDescent="0.3">
      <c r="A3721" t="str">
        <f>"19:37:00.203"</f>
        <v>19:37:00.203</v>
      </c>
      <c r="B3721" t="s">
        <v>110</v>
      </c>
      <c r="C3721" t="str">
        <f t="shared" si="174"/>
        <v>ffdfd3c0</v>
      </c>
      <c r="D3721" t="s">
        <v>111</v>
      </c>
      <c r="E3721">
        <v>18</v>
      </c>
      <c r="F3721">
        <v>1018</v>
      </c>
      <c r="G3721" t="s">
        <v>112</v>
      </c>
      <c r="J3721" t="s">
        <v>113</v>
      </c>
      <c r="K3721">
        <v>0</v>
      </c>
      <c r="L3721">
        <v>3</v>
      </c>
      <c r="M3721">
        <v>0</v>
      </c>
      <c r="N3721">
        <v>2</v>
      </c>
      <c r="O3721">
        <v>1</v>
      </c>
      <c r="P3721">
        <v>0</v>
      </c>
      <c r="Q3721">
        <v>0</v>
      </c>
      <c r="R3721" t="s">
        <v>114</v>
      </c>
      <c r="S3721" t="str">
        <f>"19:36:59.984"</f>
        <v>19:36:59.984</v>
      </c>
      <c r="T3721" t="str">
        <f>"19:36:59.586"</f>
        <v>19:36:59.586</v>
      </c>
      <c r="U3721" t="str">
        <f t="shared" si="175"/>
        <v>a1cdbe</v>
      </c>
      <c r="V3721">
        <v>0</v>
      </c>
      <c r="W3721">
        <v>0</v>
      </c>
      <c r="X3721">
        <v>2</v>
      </c>
      <c r="Y3721">
        <v>0</v>
      </c>
      <c r="Z3721">
        <v>0</v>
      </c>
      <c r="AB3721">
        <v>0</v>
      </c>
      <c r="AC3721">
        <v>9</v>
      </c>
      <c r="AD3721">
        <v>3</v>
      </c>
      <c r="AE3721">
        <v>0</v>
      </c>
      <c r="AF3721">
        <v>9</v>
      </c>
      <c r="AG3721" t="s">
        <v>158</v>
      </c>
      <c r="AH3721">
        <v>0</v>
      </c>
      <c r="AI3721">
        <v>3</v>
      </c>
      <c r="AJ3721">
        <v>1</v>
      </c>
      <c r="AK3721">
        <v>0</v>
      </c>
      <c r="AL3721" t="s">
        <v>7009</v>
      </c>
      <c r="AM3721">
        <v>47.037835000000001</v>
      </c>
      <c r="AN3721" t="s">
        <v>7010</v>
      </c>
      <c r="AO3721">
        <v>-123.90127699999999</v>
      </c>
      <c r="AP3721">
        <v>100</v>
      </c>
      <c r="AQ3721">
        <v>2100</v>
      </c>
      <c r="AR3721" t="s">
        <v>118</v>
      </c>
      <c r="AS3721">
        <v>-79</v>
      </c>
      <c r="AT3721">
        <v>19</v>
      </c>
      <c r="AU3721">
        <v>0</v>
      </c>
      <c r="BC3721">
        <v>1200</v>
      </c>
      <c r="BD3721">
        <v>1</v>
      </c>
      <c r="BE3721" t="str">
        <f t="shared" si="176"/>
        <v xml:space="preserve">N215T   </v>
      </c>
      <c r="BF3721">
        <v>1</v>
      </c>
      <c r="BH3721">
        <v>0</v>
      </c>
      <c r="BI3721">
        <v>0</v>
      </c>
      <c r="BJ3721">
        <v>0</v>
      </c>
      <c r="BK3721">
        <v>2450</v>
      </c>
      <c r="BL3721">
        <v>350</v>
      </c>
      <c r="BM3721" t="s">
        <v>119</v>
      </c>
      <c r="BN3721">
        <v>1</v>
      </c>
      <c r="BO3721">
        <v>1</v>
      </c>
      <c r="BP3721">
        <v>1</v>
      </c>
      <c r="BQ3721">
        <v>0</v>
      </c>
      <c r="BT3721">
        <v>0</v>
      </c>
      <c r="BU3721">
        <v>0</v>
      </c>
      <c r="BV3721">
        <v>0</v>
      </c>
      <c r="CC3721" t="str">
        <f>"19:36:59.992"</f>
        <v>19:36:59.992</v>
      </c>
      <c r="CD3721" t="str">
        <f>"990543568"</f>
        <v>990543568</v>
      </c>
      <c r="CQ3721">
        <v>0</v>
      </c>
      <c r="CR3721">
        <v>2</v>
      </c>
      <c r="CS3721">
        <v>0</v>
      </c>
      <c r="CT3721">
        <v>2</v>
      </c>
      <c r="CU3721">
        <v>0</v>
      </c>
      <c r="CV3721">
        <v>4</v>
      </c>
      <c r="CW3721" t="s">
        <v>120</v>
      </c>
      <c r="CX3721">
        <v>257</v>
      </c>
      <c r="CY3721">
        <v>0</v>
      </c>
      <c r="CZ3721" t="s">
        <v>615</v>
      </c>
      <c r="DA3721" t="s">
        <v>616</v>
      </c>
      <c r="DD3721">
        <v>16544976</v>
      </c>
      <c r="DE3721" t="s">
        <v>123</v>
      </c>
    </row>
    <row r="3722" spans="1:109" x14ac:dyDescent="0.3">
      <c r="A3722" t="str">
        <f>"19:37:01.109"</f>
        <v>19:37:01.109</v>
      </c>
      <c r="B3722" t="s">
        <v>110</v>
      </c>
      <c r="C3722" t="str">
        <f t="shared" si="174"/>
        <v>ffdfd3c0</v>
      </c>
      <c r="D3722" t="s">
        <v>111</v>
      </c>
      <c r="E3722">
        <v>18</v>
      </c>
      <c r="F3722">
        <v>1018</v>
      </c>
      <c r="G3722" t="s">
        <v>112</v>
      </c>
      <c r="J3722" t="s">
        <v>113</v>
      </c>
      <c r="K3722">
        <v>0</v>
      </c>
      <c r="L3722">
        <v>3</v>
      </c>
      <c r="M3722">
        <v>0</v>
      </c>
      <c r="N3722">
        <v>2</v>
      </c>
      <c r="O3722">
        <v>1</v>
      </c>
      <c r="P3722">
        <v>0</v>
      </c>
      <c r="Q3722">
        <v>0</v>
      </c>
      <c r="R3722" t="s">
        <v>114</v>
      </c>
      <c r="S3722" t="str">
        <f>"19:37:00.875"</f>
        <v>19:37:00.875</v>
      </c>
      <c r="T3722" t="str">
        <f>"19:37:00.672"</f>
        <v>19:37:00.672</v>
      </c>
      <c r="U3722" t="str">
        <f t="shared" si="175"/>
        <v>a1cdbe</v>
      </c>
      <c r="V3722">
        <v>0</v>
      </c>
      <c r="W3722">
        <v>0</v>
      </c>
      <c r="X3722">
        <v>2</v>
      </c>
      <c r="Y3722">
        <v>0</v>
      </c>
      <c r="Z3722">
        <v>0</v>
      </c>
      <c r="AB3722">
        <v>0</v>
      </c>
      <c r="AC3722">
        <v>9</v>
      </c>
      <c r="AD3722">
        <v>3</v>
      </c>
      <c r="AE3722">
        <v>0</v>
      </c>
      <c r="AF3722">
        <v>9</v>
      </c>
      <c r="AG3722" t="s">
        <v>158</v>
      </c>
      <c r="AH3722">
        <v>0</v>
      </c>
      <c r="AI3722">
        <v>3</v>
      </c>
      <c r="AJ3722">
        <v>1</v>
      </c>
      <c r="AK3722">
        <v>0</v>
      </c>
      <c r="AL3722" t="s">
        <v>609</v>
      </c>
      <c r="AM3722">
        <v>47.037920999999997</v>
      </c>
      <c r="AN3722" t="s">
        <v>7011</v>
      </c>
      <c r="AO3722">
        <v>-123.901684</v>
      </c>
      <c r="AP3722">
        <v>100</v>
      </c>
      <c r="AQ3722">
        <v>2100</v>
      </c>
      <c r="AR3722" t="s">
        <v>118</v>
      </c>
      <c r="AS3722">
        <v>-79</v>
      </c>
      <c r="AT3722">
        <v>19</v>
      </c>
      <c r="AU3722">
        <v>0</v>
      </c>
      <c r="BC3722">
        <v>1200</v>
      </c>
      <c r="BD3722">
        <v>1</v>
      </c>
      <c r="BE3722" t="str">
        <f t="shared" si="176"/>
        <v xml:space="preserve">N215T   </v>
      </c>
      <c r="BF3722">
        <v>1</v>
      </c>
      <c r="BH3722">
        <v>0</v>
      </c>
      <c r="BI3722">
        <v>0</v>
      </c>
      <c r="BJ3722">
        <v>0</v>
      </c>
      <c r="BK3722">
        <v>2450</v>
      </c>
      <c r="BL3722">
        <v>350</v>
      </c>
      <c r="BM3722" t="s">
        <v>119</v>
      </c>
      <c r="BN3722">
        <v>1</v>
      </c>
      <c r="BO3722">
        <v>1</v>
      </c>
      <c r="BP3722">
        <v>1</v>
      </c>
      <c r="BQ3722">
        <v>0</v>
      </c>
      <c r="BT3722">
        <v>0</v>
      </c>
      <c r="BU3722">
        <v>0</v>
      </c>
      <c r="BV3722">
        <v>0</v>
      </c>
      <c r="CC3722" t="str">
        <f>"19:37:00.875"</f>
        <v>19:37:00.875</v>
      </c>
      <c r="CD3722" t="str">
        <f>"875456405"</f>
        <v>875456405</v>
      </c>
      <c r="CQ3722">
        <v>0</v>
      </c>
      <c r="CR3722">
        <v>2</v>
      </c>
      <c r="CS3722">
        <v>0</v>
      </c>
      <c r="CT3722">
        <v>2</v>
      </c>
      <c r="CU3722">
        <v>0</v>
      </c>
      <c r="CV3722">
        <v>5</v>
      </c>
      <c r="CW3722" t="s">
        <v>120</v>
      </c>
      <c r="CX3722">
        <v>257</v>
      </c>
      <c r="CY3722">
        <v>0</v>
      </c>
      <c r="CZ3722" t="s">
        <v>615</v>
      </c>
      <c r="DA3722" t="s">
        <v>616</v>
      </c>
      <c r="DD3722">
        <v>16545323</v>
      </c>
      <c r="DE3722" t="s">
        <v>123</v>
      </c>
    </row>
    <row r="3723" spans="1:109" x14ac:dyDescent="0.3">
      <c r="A3723" t="str">
        <f>"19:37:02.211"</f>
        <v>19:37:02.211</v>
      </c>
      <c r="B3723" t="s">
        <v>110</v>
      </c>
      <c r="C3723" t="str">
        <f t="shared" si="174"/>
        <v>ffdfd3c0</v>
      </c>
      <c r="D3723" t="s">
        <v>111</v>
      </c>
      <c r="E3723">
        <v>18</v>
      </c>
      <c r="F3723">
        <v>1018</v>
      </c>
      <c r="G3723" t="s">
        <v>112</v>
      </c>
      <c r="J3723" t="s">
        <v>113</v>
      </c>
      <c r="K3723">
        <v>0</v>
      </c>
      <c r="L3723">
        <v>3</v>
      </c>
      <c r="M3723">
        <v>0</v>
      </c>
      <c r="N3723">
        <v>2</v>
      </c>
      <c r="O3723">
        <v>1</v>
      </c>
      <c r="P3723">
        <v>0</v>
      </c>
      <c r="Q3723">
        <v>0</v>
      </c>
      <c r="R3723" t="s">
        <v>114</v>
      </c>
      <c r="S3723" t="str">
        <f>"19:37:01.984"</f>
        <v>19:37:01.984</v>
      </c>
      <c r="T3723" t="str">
        <f>"19:37:01.688"</f>
        <v>19:37:01.688</v>
      </c>
      <c r="U3723" t="str">
        <f t="shared" si="175"/>
        <v>a1cdbe</v>
      </c>
      <c r="V3723">
        <v>0</v>
      </c>
      <c r="W3723">
        <v>0</v>
      </c>
      <c r="X3723">
        <v>2</v>
      </c>
      <c r="Y3723">
        <v>0</v>
      </c>
      <c r="Z3723">
        <v>0</v>
      </c>
      <c r="AB3723">
        <v>0</v>
      </c>
      <c r="AC3723">
        <v>9</v>
      </c>
      <c r="AD3723">
        <v>3</v>
      </c>
      <c r="AE3723">
        <v>0</v>
      </c>
      <c r="AF3723">
        <v>9</v>
      </c>
      <c r="AG3723" t="s">
        <v>158</v>
      </c>
      <c r="AH3723">
        <v>0</v>
      </c>
      <c r="AI3723">
        <v>3</v>
      </c>
      <c r="AJ3723">
        <v>1</v>
      </c>
      <c r="AK3723">
        <v>0</v>
      </c>
      <c r="AL3723" t="s">
        <v>7012</v>
      </c>
      <c r="AM3723">
        <v>47.038007</v>
      </c>
      <c r="AN3723" t="s">
        <v>7013</v>
      </c>
      <c r="AO3723">
        <v>-123.90230699999999</v>
      </c>
      <c r="AP3723">
        <v>100</v>
      </c>
      <c r="AQ3723">
        <v>2100</v>
      </c>
      <c r="AR3723" t="s">
        <v>118</v>
      </c>
      <c r="AS3723">
        <v>-79</v>
      </c>
      <c r="AT3723">
        <v>19</v>
      </c>
      <c r="AU3723">
        <v>-64</v>
      </c>
      <c r="BC3723">
        <v>1200</v>
      </c>
      <c r="BD3723">
        <v>1</v>
      </c>
      <c r="BE3723" t="str">
        <f t="shared" si="176"/>
        <v xml:space="preserve">N215T   </v>
      </c>
      <c r="BF3723">
        <v>1</v>
      </c>
      <c r="BH3723">
        <v>0</v>
      </c>
      <c r="BI3723">
        <v>0</v>
      </c>
      <c r="BJ3723">
        <v>0</v>
      </c>
      <c r="BK3723">
        <v>2450</v>
      </c>
      <c r="BL3723">
        <v>350</v>
      </c>
      <c r="BM3723" t="s">
        <v>119</v>
      </c>
      <c r="BN3723">
        <v>1</v>
      </c>
      <c r="BO3723">
        <v>1</v>
      </c>
      <c r="BP3723">
        <v>1</v>
      </c>
      <c r="BQ3723">
        <v>0</v>
      </c>
      <c r="BT3723">
        <v>0</v>
      </c>
      <c r="BU3723">
        <v>0</v>
      </c>
      <c r="BV3723">
        <v>0</v>
      </c>
      <c r="CC3723" t="str">
        <f>"19:37:01.984"</f>
        <v>19:37:01.984</v>
      </c>
      <c r="CD3723" t="str">
        <f>"985347062"</f>
        <v>985347062</v>
      </c>
      <c r="CQ3723">
        <v>0</v>
      </c>
      <c r="CR3723">
        <v>2</v>
      </c>
      <c r="CS3723">
        <v>0</v>
      </c>
      <c r="CT3723">
        <v>2</v>
      </c>
      <c r="CU3723">
        <v>0</v>
      </c>
      <c r="CV3723">
        <v>5</v>
      </c>
      <c r="CW3723" t="s">
        <v>120</v>
      </c>
      <c r="CX3723">
        <v>257</v>
      </c>
      <c r="CY3723">
        <v>0</v>
      </c>
      <c r="CZ3723" t="s">
        <v>615</v>
      </c>
      <c r="DA3723" t="s">
        <v>616</v>
      </c>
      <c r="DD3723">
        <v>16545696</v>
      </c>
      <c r="DE3723" t="s">
        <v>123</v>
      </c>
    </row>
    <row r="3724" spans="1:109" x14ac:dyDescent="0.3">
      <c r="A3724" t="str">
        <f>"19:37:03.266"</f>
        <v>19:37:03.266</v>
      </c>
      <c r="B3724" t="s">
        <v>110</v>
      </c>
      <c r="C3724" t="str">
        <f t="shared" si="174"/>
        <v>ffdfd3c0</v>
      </c>
      <c r="D3724" t="s">
        <v>111</v>
      </c>
      <c r="E3724">
        <v>18</v>
      </c>
      <c r="F3724">
        <v>1018</v>
      </c>
      <c r="G3724" t="s">
        <v>112</v>
      </c>
      <c r="J3724" t="s">
        <v>113</v>
      </c>
      <c r="K3724">
        <v>0</v>
      </c>
      <c r="L3724">
        <v>3</v>
      </c>
      <c r="M3724">
        <v>0</v>
      </c>
      <c r="N3724">
        <v>2</v>
      </c>
      <c r="O3724">
        <v>1</v>
      </c>
      <c r="P3724">
        <v>0</v>
      </c>
      <c r="Q3724">
        <v>0</v>
      </c>
      <c r="R3724" t="s">
        <v>114</v>
      </c>
      <c r="S3724" t="str">
        <f>"19:37:03.000"</f>
        <v>19:37:03.000</v>
      </c>
      <c r="T3724" t="str">
        <f>"19:37:03.000"</f>
        <v>19:37:03.000</v>
      </c>
      <c r="U3724" t="str">
        <f t="shared" si="175"/>
        <v>a1cdbe</v>
      </c>
      <c r="V3724">
        <v>0</v>
      </c>
      <c r="W3724">
        <v>0</v>
      </c>
      <c r="X3724">
        <v>2</v>
      </c>
      <c r="Y3724">
        <v>0</v>
      </c>
      <c r="Z3724">
        <v>0</v>
      </c>
      <c r="AB3724">
        <v>0</v>
      </c>
      <c r="AC3724">
        <v>9</v>
      </c>
      <c r="AD3724">
        <v>3</v>
      </c>
      <c r="AE3724">
        <v>0</v>
      </c>
      <c r="AF3724">
        <v>9</v>
      </c>
      <c r="AG3724" t="s">
        <v>158</v>
      </c>
      <c r="AH3724">
        <v>0</v>
      </c>
      <c r="AI3724">
        <v>3</v>
      </c>
      <c r="AJ3724">
        <v>1</v>
      </c>
      <c r="AK3724">
        <v>0</v>
      </c>
      <c r="AL3724" t="s">
        <v>7014</v>
      </c>
      <c r="AM3724">
        <v>47.038114</v>
      </c>
      <c r="AN3724" t="s">
        <v>7015</v>
      </c>
      <c r="AO3724">
        <v>-123.902822</v>
      </c>
      <c r="AP3724">
        <v>100</v>
      </c>
      <c r="AQ3724">
        <v>2100</v>
      </c>
      <c r="AR3724" t="s">
        <v>118</v>
      </c>
      <c r="AS3724">
        <v>-79</v>
      </c>
      <c r="AT3724">
        <v>19</v>
      </c>
      <c r="AU3724">
        <v>-128</v>
      </c>
      <c r="BC3724">
        <v>1200</v>
      </c>
      <c r="BD3724">
        <v>1</v>
      </c>
      <c r="BE3724" t="str">
        <f t="shared" si="176"/>
        <v xml:space="preserve">N215T   </v>
      </c>
      <c r="BF3724">
        <v>1</v>
      </c>
      <c r="BH3724">
        <v>0</v>
      </c>
      <c r="BI3724">
        <v>0</v>
      </c>
      <c r="BJ3724">
        <v>0</v>
      </c>
      <c r="BK3724">
        <v>2450</v>
      </c>
      <c r="BL3724">
        <v>350</v>
      </c>
      <c r="BM3724" t="s">
        <v>119</v>
      </c>
      <c r="BN3724">
        <v>1</v>
      </c>
      <c r="BO3724">
        <v>1</v>
      </c>
      <c r="BP3724">
        <v>1</v>
      </c>
      <c r="BQ3724">
        <v>0</v>
      </c>
      <c r="BT3724">
        <v>0</v>
      </c>
      <c r="BU3724">
        <v>0</v>
      </c>
      <c r="BV3724">
        <v>0</v>
      </c>
      <c r="CC3724" t="str">
        <f>"19:37:03.008"</f>
        <v>19:37:03.008</v>
      </c>
      <c r="CD3724" t="str">
        <f>"005246602"</f>
        <v>005246602</v>
      </c>
      <c r="CQ3724">
        <v>0</v>
      </c>
      <c r="CR3724">
        <v>2</v>
      </c>
      <c r="CS3724">
        <v>0</v>
      </c>
      <c r="CT3724">
        <v>2</v>
      </c>
      <c r="CU3724">
        <v>0</v>
      </c>
      <c r="CV3724">
        <v>5</v>
      </c>
      <c r="CW3724" t="s">
        <v>120</v>
      </c>
      <c r="CX3724">
        <v>257</v>
      </c>
      <c r="CY3724">
        <v>0</v>
      </c>
      <c r="CZ3724" t="s">
        <v>615</v>
      </c>
      <c r="DA3724" t="s">
        <v>616</v>
      </c>
      <c r="DD3724">
        <v>16546060</v>
      </c>
      <c r="DE3724" t="s">
        <v>123</v>
      </c>
    </row>
    <row r="3725" spans="1:109" x14ac:dyDescent="0.3">
      <c r="A3725" t="str">
        <f>"19:37:04.273"</f>
        <v>19:37:04.273</v>
      </c>
      <c r="B3725" t="s">
        <v>110</v>
      </c>
      <c r="C3725" t="str">
        <f t="shared" si="174"/>
        <v>ffdfd3c0</v>
      </c>
      <c r="D3725" t="s">
        <v>111</v>
      </c>
      <c r="E3725">
        <v>18</v>
      </c>
      <c r="F3725">
        <v>1018</v>
      </c>
      <c r="G3725" t="s">
        <v>112</v>
      </c>
      <c r="J3725" t="s">
        <v>113</v>
      </c>
      <c r="K3725">
        <v>0</v>
      </c>
      <c r="L3725">
        <v>3</v>
      </c>
      <c r="M3725">
        <v>0</v>
      </c>
      <c r="N3725">
        <v>2</v>
      </c>
      <c r="O3725">
        <v>1</v>
      </c>
      <c r="P3725">
        <v>0</v>
      </c>
      <c r="Q3725">
        <v>0</v>
      </c>
      <c r="R3725" t="s">
        <v>114</v>
      </c>
      <c r="S3725" t="str">
        <f>"19:37:04.039"</f>
        <v>19:37:04.039</v>
      </c>
      <c r="T3725" t="str">
        <f>"19:37:03.938"</f>
        <v>19:37:03.938</v>
      </c>
      <c r="U3725" t="str">
        <f t="shared" si="175"/>
        <v>a1cdbe</v>
      </c>
      <c r="V3725">
        <v>0</v>
      </c>
      <c r="W3725">
        <v>0</v>
      </c>
      <c r="X3725">
        <v>2</v>
      </c>
      <c r="Y3725">
        <v>0</v>
      </c>
      <c r="Z3725">
        <v>0</v>
      </c>
      <c r="AB3725">
        <v>0</v>
      </c>
      <c r="AC3725">
        <v>9</v>
      </c>
      <c r="AD3725">
        <v>3</v>
      </c>
      <c r="AE3725">
        <v>0</v>
      </c>
      <c r="AF3725">
        <v>9</v>
      </c>
      <c r="AG3725" t="s">
        <v>158</v>
      </c>
      <c r="AH3725">
        <v>0</v>
      </c>
      <c r="AI3725">
        <v>3</v>
      </c>
      <c r="AJ3725">
        <v>1</v>
      </c>
      <c r="AK3725">
        <v>0</v>
      </c>
      <c r="AL3725" t="s">
        <v>7016</v>
      </c>
      <c r="AM3725">
        <v>47.038200000000003</v>
      </c>
      <c r="AN3725" t="s">
        <v>7017</v>
      </c>
      <c r="AO3725">
        <v>-123.903401</v>
      </c>
      <c r="AP3725">
        <v>100</v>
      </c>
      <c r="AQ3725">
        <v>2100</v>
      </c>
      <c r="AR3725" t="s">
        <v>118</v>
      </c>
      <c r="AS3725">
        <v>-79</v>
      </c>
      <c r="AT3725">
        <v>20</v>
      </c>
      <c r="AU3725">
        <v>-192</v>
      </c>
      <c r="BC3725">
        <v>1200</v>
      </c>
      <c r="BD3725">
        <v>1</v>
      </c>
      <c r="BE3725" t="str">
        <f t="shared" si="176"/>
        <v xml:space="preserve">N215T   </v>
      </c>
      <c r="BF3725">
        <v>1</v>
      </c>
      <c r="BH3725">
        <v>0</v>
      </c>
      <c r="BI3725">
        <v>0</v>
      </c>
      <c r="BJ3725">
        <v>0</v>
      </c>
      <c r="BK3725">
        <v>2450</v>
      </c>
      <c r="BL3725">
        <v>350</v>
      </c>
      <c r="BM3725" t="s">
        <v>119</v>
      </c>
      <c r="BN3725">
        <v>1</v>
      </c>
      <c r="BO3725">
        <v>1</v>
      </c>
      <c r="BP3725">
        <v>1</v>
      </c>
      <c r="BQ3725">
        <v>0</v>
      </c>
      <c r="BT3725">
        <v>0</v>
      </c>
      <c r="BU3725">
        <v>0</v>
      </c>
      <c r="BV3725">
        <v>0</v>
      </c>
      <c r="CC3725" t="str">
        <f>"19:37:04.039"</f>
        <v>19:37:04.039</v>
      </c>
      <c r="CD3725" t="str">
        <f>"040144674"</f>
        <v>040144674</v>
      </c>
      <c r="CQ3725">
        <v>0</v>
      </c>
      <c r="CR3725">
        <v>2</v>
      </c>
      <c r="CS3725">
        <v>0</v>
      </c>
      <c r="CT3725">
        <v>2</v>
      </c>
      <c r="CU3725">
        <v>0</v>
      </c>
      <c r="CV3725">
        <v>5</v>
      </c>
      <c r="CW3725" t="s">
        <v>120</v>
      </c>
      <c r="CX3725">
        <v>257</v>
      </c>
      <c r="CY3725">
        <v>0</v>
      </c>
      <c r="CZ3725" t="s">
        <v>615</v>
      </c>
      <c r="DA3725" t="s">
        <v>616</v>
      </c>
      <c r="DD3725">
        <v>16546429</v>
      </c>
      <c r="DE3725" t="s">
        <v>123</v>
      </c>
    </row>
    <row r="3726" spans="1:109" x14ac:dyDescent="0.3">
      <c r="A3726" t="str">
        <f>"19:37:05.328"</f>
        <v>19:37:05.328</v>
      </c>
      <c r="B3726" t="s">
        <v>110</v>
      </c>
      <c r="C3726" t="str">
        <f t="shared" si="174"/>
        <v>ffdfd3c0</v>
      </c>
      <c r="D3726" t="s">
        <v>111</v>
      </c>
      <c r="E3726">
        <v>18</v>
      </c>
      <c r="F3726">
        <v>1018</v>
      </c>
      <c r="G3726" t="s">
        <v>112</v>
      </c>
      <c r="J3726" t="s">
        <v>113</v>
      </c>
      <c r="K3726">
        <v>0</v>
      </c>
      <c r="L3726">
        <v>3</v>
      </c>
      <c r="M3726">
        <v>0</v>
      </c>
      <c r="N3726">
        <v>2</v>
      </c>
      <c r="O3726">
        <v>1</v>
      </c>
      <c r="P3726">
        <v>0</v>
      </c>
      <c r="Q3726">
        <v>0</v>
      </c>
      <c r="R3726" t="s">
        <v>114</v>
      </c>
      <c r="S3726" t="str">
        <f>"19:37:05.102"</f>
        <v>19:37:05.102</v>
      </c>
      <c r="T3726" t="str">
        <f>"19:37:05.000"</f>
        <v>19:37:05.000</v>
      </c>
      <c r="U3726" t="str">
        <f t="shared" si="175"/>
        <v>a1cdbe</v>
      </c>
      <c r="V3726">
        <v>0</v>
      </c>
      <c r="W3726">
        <v>0</v>
      </c>
      <c r="X3726">
        <v>2</v>
      </c>
      <c r="Y3726">
        <v>0</v>
      </c>
      <c r="Z3726">
        <v>0</v>
      </c>
      <c r="AB3726">
        <v>0</v>
      </c>
      <c r="AC3726">
        <v>9</v>
      </c>
      <c r="AD3726">
        <v>3</v>
      </c>
      <c r="AE3726">
        <v>0</v>
      </c>
      <c r="AF3726">
        <v>9</v>
      </c>
      <c r="AG3726" t="s">
        <v>158</v>
      </c>
      <c r="AH3726">
        <v>0</v>
      </c>
      <c r="AI3726">
        <v>3</v>
      </c>
      <c r="AJ3726">
        <v>1</v>
      </c>
      <c r="AK3726">
        <v>0</v>
      </c>
      <c r="AL3726" t="s">
        <v>7018</v>
      </c>
      <c r="AM3726">
        <v>47.038285999999999</v>
      </c>
      <c r="AN3726" t="s">
        <v>7019</v>
      </c>
      <c r="AO3726">
        <v>-123.903959</v>
      </c>
      <c r="AP3726">
        <v>100</v>
      </c>
      <c r="AQ3726">
        <v>2100</v>
      </c>
      <c r="AR3726" t="s">
        <v>118</v>
      </c>
      <c r="AS3726">
        <v>-79</v>
      </c>
      <c r="AT3726">
        <v>20</v>
      </c>
      <c r="AU3726">
        <v>-192</v>
      </c>
      <c r="BC3726">
        <v>1200</v>
      </c>
      <c r="BD3726">
        <v>1</v>
      </c>
      <c r="BE3726" t="str">
        <f t="shared" si="176"/>
        <v xml:space="preserve">N215T   </v>
      </c>
      <c r="BF3726">
        <v>1</v>
      </c>
      <c r="BH3726">
        <v>0</v>
      </c>
      <c r="BI3726">
        <v>0</v>
      </c>
      <c r="BJ3726">
        <v>0</v>
      </c>
      <c r="BK3726">
        <v>2450</v>
      </c>
      <c r="BL3726">
        <v>350</v>
      </c>
      <c r="BM3726" t="s">
        <v>119</v>
      </c>
      <c r="BN3726">
        <v>1</v>
      </c>
      <c r="BO3726">
        <v>1</v>
      </c>
      <c r="BP3726">
        <v>1</v>
      </c>
      <c r="BQ3726">
        <v>0</v>
      </c>
      <c r="BT3726">
        <v>0</v>
      </c>
      <c r="BU3726">
        <v>0</v>
      </c>
      <c r="BV3726">
        <v>0</v>
      </c>
      <c r="CC3726" t="str">
        <f>"19:37:05.102"</f>
        <v>19:37:05.102</v>
      </c>
      <c r="CD3726" t="str">
        <f>"105039770"</f>
        <v>105039770</v>
      </c>
      <c r="CQ3726">
        <v>0</v>
      </c>
      <c r="CR3726">
        <v>2</v>
      </c>
      <c r="CS3726">
        <v>0</v>
      </c>
      <c r="CT3726">
        <v>2</v>
      </c>
      <c r="CU3726">
        <v>0</v>
      </c>
      <c r="CV3726">
        <v>5</v>
      </c>
      <c r="CW3726" t="s">
        <v>120</v>
      </c>
      <c r="CX3726">
        <v>257</v>
      </c>
      <c r="CY3726">
        <v>0</v>
      </c>
      <c r="CZ3726" t="s">
        <v>615</v>
      </c>
      <c r="DA3726" t="s">
        <v>616</v>
      </c>
      <c r="DD3726">
        <v>16546823</v>
      </c>
      <c r="DE3726" t="s">
        <v>123</v>
      </c>
    </row>
    <row r="3727" spans="1:109" x14ac:dyDescent="0.3">
      <c r="A3727" t="str">
        <f>"19:37:06.234"</f>
        <v>19:37:06.234</v>
      </c>
      <c r="B3727" t="s">
        <v>110</v>
      </c>
      <c r="C3727" t="str">
        <f t="shared" si="174"/>
        <v>ffdfd3c0</v>
      </c>
      <c r="D3727" t="s">
        <v>111</v>
      </c>
      <c r="E3727">
        <v>18</v>
      </c>
      <c r="F3727">
        <v>1018</v>
      </c>
      <c r="G3727" t="s">
        <v>112</v>
      </c>
      <c r="J3727" t="s">
        <v>113</v>
      </c>
      <c r="K3727">
        <v>0</v>
      </c>
      <c r="L3727">
        <v>3</v>
      </c>
      <c r="M3727">
        <v>0</v>
      </c>
      <c r="N3727">
        <v>2</v>
      </c>
      <c r="O3727">
        <v>1</v>
      </c>
      <c r="P3727">
        <v>0</v>
      </c>
      <c r="Q3727">
        <v>0</v>
      </c>
      <c r="R3727" t="s">
        <v>114</v>
      </c>
      <c r="S3727" t="str">
        <f>"19:37:06.016"</f>
        <v>19:37:06.016</v>
      </c>
      <c r="T3727" t="str">
        <f>"19:37:06.016"</f>
        <v>19:37:06.016</v>
      </c>
      <c r="U3727" t="str">
        <f t="shared" si="175"/>
        <v>a1cdbe</v>
      </c>
      <c r="V3727">
        <v>0</v>
      </c>
      <c r="W3727">
        <v>0</v>
      </c>
      <c r="X3727">
        <v>2</v>
      </c>
      <c r="Y3727">
        <v>0</v>
      </c>
      <c r="Z3727">
        <v>0</v>
      </c>
      <c r="AB3727">
        <v>0</v>
      </c>
      <c r="AC3727">
        <v>9</v>
      </c>
      <c r="AD3727">
        <v>3</v>
      </c>
      <c r="AE3727">
        <v>0</v>
      </c>
      <c r="AF3727">
        <v>9</v>
      </c>
      <c r="AG3727" t="s">
        <v>158</v>
      </c>
      <c r="AH3727">
        <v>0</v>
      </c>
      <c r="AI3727">
        <v>3</v>
      </c>
      <c r="AJ3727">
        <v>1</v>
      </c>
      <c r="AK3727">
        <v>0</v>
      </c>
      <c r="AL3727" t="s">
        <v>7020</v>
      </c>
      <c r="AM3727">
        <v>47.038372000000003</v>
      </c>
      <c r="AN3727" t="s">
        <v>7021</v>
      </c>
      <c r="AO3727">
        <v>-123.904431</v>
      </c>
      <c r="AP3727">
        <v>100</v>
      </c>
      <c r="AQ3727">
        <v>2100</v>
      </c>
      <c r="AR3727" t="s">
        <v>118</v>
      </c>
      <c r="AS3727">
        <v>-80</v>
      </c>
      <c r="AT3727">
        <v>20</v>
      </c>
      <c r="AU3727">
        <v>-128</v>
      </c>
      <c r="BC3727">
        <v>1200</v>
      </c>
      <c r="BD3727">
        <v>1</v>
      </c>
      <c r="BE3727" t="str">
        <f t="shared" si="176"/>
        <v xml:space="preserve">N215T   </v>
      </c>
      <c r="BF3727">
        <v>1</v>
      </c>
      <c r="BH3727">
        <v>0</v>
      </c>
      <c r="BI3727">
        <v>0</v>
      </c>
      <c r="BJ3727">
        <v>0</v>
      </c>
      <c r="BK3727">
        <v>2450</v>
      </c>
      <c r="BL3727">
        <v>350</v>
      </c>
      <c r="BM3727" t="s">
        <v>119</v>
      </c>
      <c r="BN3727">
        <v>1</v>
      </c>
      <c r="BO3727">
        <v>1</v>
      </c>
      <c r="BP3727">
        <v>1</v>
      </c>
      <c r="BQ3727">
        <v>0</v>
      </c>
      <c r="BT3727">
        <v>0</v>
      </c>
      <c r="BU3727">
        <v>0</v>
      </c>
      <c r="BV3727">
        <v>0</v>
      </c>
      <c r="CC3727" t="str">
        <f>"19:37:06.023"</f>
        <v>19:37:06.023</v>
      </c>
      <c r="CD3727" t="str">
        <f>"019949651"</f>
        <v>019949651</v>
      </c>
      <c r="CQ3727">
        <v>0</v>
      </c>
      <c r="CR3727">
        <v>2</v>
      </c>
      <c r="CS3727">
        <v>0</v>
      </c>
      <c r="CT3727">
        <v>2</v>
      </c>
      <c r="CU3727">
        <v>0</v>
      </c>
      <c r="CV3727">
        <v>5</v>
      </c>
      <c r="CW3727" t="s">
        <v>120</v>
      </c>
      <c r="CX3727">
        <v>257</v>
      </c>
      <c r="CY3727">
        <v>0</v>
      </c>
      <c r="CZ3727" t="s">
        <v>615</v>
      </c>
      <c r="DA3727" t="s">
        <v>616</v>
      </c>
      <c r="DD3727">
        <v>16547195</v>
      </c>
      <c r="DE3727" t="s">
        <v>123</v>
      </c>
    </row>
    <row r="3728" spans="1:109" x14ac:dyDescent="0.3">
      <c r="A3728" t="str">
        <f>"19:37:07.438"</f>
        <v>19:37:07.438</v>
      </c>
      <c r="B3728" t="s">
        <v>110</v>
      </c>
      <c r="C3728" t="str">
        <f t="shared" si="174"/>
        <v>ffdfd3c0</v>
      </c>
      <c r="D3728" t="s">
        <v>111</v>
      </c>
      <c r="E3728">
        <v>18</v>
      </c>
      <c r="F3728">
        <v>1018</v>
      </c>
      <c r="G3728" t="s">
        <v>112</v>
      </c>
      <c r="J3728" t="s">
        <v>113</v>
      </c>
      <c r="K3728">
        <v>0</v>
      </c>
      <c r="L3728">
        <v>3</v>
      </c>
      <c r="M3728">
        <v>0</v>
      </c>
      <c r="N3728">
        <v>2</v>
      </c>
      <c r="O3728">
        <v>1</v>
      </c>
      <c r="P3728">
        <v>0</v>
      </c>
      <c r="Q3728">
        <v>0</v>
      </c>
      <c r="R3728" t="s">
        <v>114</v>
      </c>
      <c r="S3728" t="str">
        <f>"19:37:07.203"</f>
        <v>19:37:07.203</v>
      </c>
      <c r="T3728" t="str">
        <f>"19:37:07.203"</f>
        <v>19:37:07.203</v>
      </c>
      <c r="U3728" t="str">
        <f t="shared" si="175"/>
        <v>a1cdbe</v>
      </c>
      <c r="V3728">
        <v>0</v>
      </c>
      <c r="W3728">
        <v>0</v>
      </c>
      <c r="X3728">
        <v>2</v>
      </c>
      <c r="Y3728">
        <v>0</v>
      </c>
      <c r="Z3728">
        <v>0</v>
      </c>
      <c r="AB3728">
        <v>0</v>
      </c>
      <c r="AC3728">
        <v>9</v>
      </c>
      <c r="AD3728">
        <v>3</v>
      </c>
      <c r="AE3728">
        <v>0</v>
      </c>
      <c r="AF3728">
        <v>9</v>
      </c>
      <c r="AG3728" t="s">
        <v>158</v>
      </c>
      <c r="AH3728">
        <v>0</v>
      </c>
      <c r="AI3728">
        <v>3</v>
      </c>
      <c r="AJ3728">
        <v>1</v>
      </c>
      <c r="AK3728">
        <v>0</v>
      </c>
      <c r="AL3728" t="s">
        <v>7022</v>
      </c>
      <c r="AM3728">
        <v>47.038522</v>
      </c>
      <c r="AN3728" t="s">
        <v>7023</v>
      </c>
      <c r="AO3728">
        <v>-123.905118</v>
      </c>
      <c r="AP3728">
        <v>100</v>
      </c>
      <c r="AQ3728">
        <v>2100</v>
      </c>
      <c r="AR3728" t="s">
        <v>118</v>
      </c>
      <c r="AS3728">
        <v>-80</v>
      </c>
      <c r="AT3728">
        <v>20</v>
      </c>
      <c r="AU3728">
        <v>-128</v>
      </c>
      <c r="BC3728">
        <v>1200</v>
      </c>
      <c r="BD3728">
        <v>1</v>
      </c>
      <c r="BE3728" t="str">
        <f t="shared" si="176"/>
        <v xml:space="preserve">N215T   </v>
      </c>
      <c r="BF3728">
        <v>1</v>
      </c>
      <c r="BH3728">
        <v>0</v>
      </c>
      <c r="BI3728">
        <v>0</v>
      </c>
      <c r="BJ3728">
        <v>0</v>
      </c>
      <c r="BK3728">
        <v>2450</v>
      </c>
      <c r="BL3728">
        <v>350</v>
      </c>
      <c r="BM3728" t="s">
        <v>119</v>
      </c>
      <c r="BN3728">
        <v>1</v>
      </c>
      <c r="BO3728">
        <v>1</v>
      </c>
      <c r="BP3728">
        <v>1</v>
      </c>
      <c r="BQ3728">
        <v>0</v>
      </c>
      <c r="BT3728">
        <v>0</v>
      </c>
      <c r="BU3728">
        <v>0</v>
      </c>
      <c r="BV3728">
        <v>0</v>
      </c>
      <c r="CC3728" t="str">
        <f>"19:37:07.203"</f>
        <v>19:37:07.203</v>
      </c>
      <c r="CD3728" t="str">
        <f>"204832925"</f>
        <v>204832925</v>
      </c>
      <c r="CQ3728">
        <v>0</v>
      </c>
      <c r="CR3728">
        <v>2</v>
      </c>
      <c r="CS3728">
        <v>0</v>
      </c>
      <c r="CT3728">
        <v>2</v>
      </c>
      <c r="CU3728">
        <v>0</v>
      </c>
      <c r="CV3728">
        <v>5</v>
      </c>
      <c r="CW3728" t="s">
        <v>120</v>
      </c>
      <c r="CX3728">
        <v>257</v>
      </c>
      <c r="CY3728">
        <v>0</v>
      </c>
      <c r="CZ3728" t="s">
        <v>615</v>
      </c>
      <c r="DA3728" t="s">
        <v>616</v>
      </c>
      <c r="DD3728">
        <v>16547625</v>
      </c>
      <c r="DE3728" t="s">
        <v>123</v>
      </c>
    </row>
    <row r="3729" spans="1:109" x14ac:dyDescent="0.3">
      <c r="A3729" t="str">
        <f>"19:37:08.594"</f>
        <v>19:37:08.594</v>
      </c>
      <c r="B3729" t="s">
        <v>110</v>
      </c>
      <c r="C3729" t="str">
        <f t="shared" si="174"/>
        <v>ffdfd3c0</v>
      </c>
      <c r="D3729" t="s">
        <v>111</v>
      </c>
      <c r="E3729">
        <v>18</v>
      </c>
      <c r="F3729">
        <v>1018</v>
      </c>
      <c r="G3729" t="s">
        <v>112</v>
      </c>
      <c r="J3729" t="s">
        <v>113</v>
      </c>
      <c r="K3729">
        <v>0</v>
      </c>
      <c r="L3729">
        <v>3</v>
      </c>
      <c r="M3729">
        <v>0</v>
      </c>
      <c r="N3729">
        <v>2</v>
      </c>
      <c r="O3729">
        <v>1</v>
      </c>
      <c r="P3729">
        <v>0</v>
      </c>
      <c r="Q3729">
        <v>0</v>
      </c>
      <c r="R3729" t="s">
        <v>114</v>
      </c>
      <c r="S3729" t="str">
        <f>"19:37:08.313"</f>
        <v>19:37:08.313</v>
      </c>
      <c r="T3729" t="str">
        <f>"19:37:08.109"</f>
        <v>19:37:08.109</v>
      </c>
      <c r="U3729" t="str">
        <f t="shared" si="175"/>
        <v>a1cdbe</v>
      </c>
      <c r="V3729">
        <v>0</v>
      </c>
      <c r="W3729">
        <v>0</v>
      </c>
      <c r="X3729">
        <v>2</v>
      </c>
      <c r="Y3729">
        <v>0</v>
      </c>
      <c r="Z3729">
        <v>0</v>
      </c>
      <c r="AB3729">
        <v>0</v>
      </c>
      <c r="AC3729">
        <v>9</v>
      </c>
      <c r="AD3729">
        <v>3</v>
      </c>
      <c r="AE3729">
        <v>0</v>
      </c>
      <c r="AF3729">
        <v>9</v>
      </c>
      <c r="AG3729" t="s">
        <v>158</v>
      </c>
      <c r="AH3729">
        <v>0</v>
      </c>
      <c r="AI3729">
        <v>3</v>
      </c>
      <c r="AJ3729">
        <v>1</v>
      </c>
      <c r="AK3729">
        <v>0</v>
      </c>
      <c r="AL3729" t="s">
        <v>7024</v>
      </c>
      <c r="AM3729">
        <v>47.038608000000004</v>
      </c>
      <c r="AN3729" t="s">
        <v>7025</v>
      </c>
      <c r="AO3729">
        <v>-123.90571799999999</v>
      </c>
      <c r="AP3729">
        <v>100</v>
      </c>
      <c r="AQ3729">
        <v>2100</v>
      </c>
      <c r="AR3729" t="s">
        <v>118</v>
      </c>
      <c r="AS3729">
        <v>-80</v>
      </c>
      <c r="AT3729">
        <v>21</v>
      </c>
      <c r="AU3729">
        <v>-128</v>
      </c>
      <c r="BC3729">
        <v>1200</v>
      </c>
      <c r="BD3729">
        <v>1</v>
      </c>
      <c r="BE3729" t="str">
        <f t="shared" si="176"/>
        <v xml:space="preserve">N215T   </v>
      </c>
      <c r="BF3729">
        <v>1</v>
      </c>
      <c r="BH3729">
        <v>0</v>
      </c>
      <c r="BI3729">
        <v>0</v>
      </c>
      <c r="BJ3729">
        <v>0</v>
      </c>
      <c r="BK3729">
        <v>2450</v>
      </c>
      <c r="BL3729">
        <v>350</v>
      </c>
      <c r="BM3729" t="s">
        <v>119</v>
      </c>
      <c r="BN3729">
        <v>1</v>
      </c>
      <c r="BO3729">
        <v>1</v>
      </c>
      <c r="BP3729">
        <v>1</v>
      </c>
      <c r="BQ3729">
        <v>0</v>
      </c>
      <c r="BT3729">
        <v>0</v>
      </c>
      <c r="BU3729">
        <v>0</v>
      </c>
      <c r="BV3729">
        <v>0</v>
      </c>
      <c r="CC3729" t="str">
        <f>"19:37:08.313"</f>
        <v>19:37:08.313</v>
      </c>
      <c r="CD3729" t="str">
        <f>"314723593"</f>
        <v>314723593</v>
      </c>
      <c r="CQ3729">
        <v>0</v>
      </c>
      <c r="CR3729">
        <v>2</v>
      </c>
      <c r="CS3729">
        <v>0</v>
      </c>
      <c r="CT3729">
        <v>2</v>
      </c>
      <c r="CU3729">
        <v>0</v>
      </c>
      <c r="CV3729">
        <v>5</v>
      </c>
      <c r="CW3729" t="s">
        <v>120</v>
      </c>
      <c r="CX3729">
        <v>257</v>
      </c>
      <c r="CY3729">
        <v>0</v>
      </c>
      <c r="CZ3729" t="s">
        <v>615</v>
      </c>
      <c r="DA3729" t="s">
        <v>616</v>
      </c>
      <c r="DD3729">
        <v>16547994</v>
      </c>
      <c r="DE3729" t="s">
        <v>123</v>
      </c>
    </row>
    <row r="3730" spans="1:109" x14ac:dyDescent="0.3">
      <c r="A3730" t="str">
        <f>"19:37:09.500"</f>
        <v>19:37:09.500</v>
      </c>
      <c r="B3730" t="s">
        <v>110</v>
      </c>
      <c r="C3730" t="str">
        <f t="shared" si="174"/>
        <v>ffdfd3c0</v>
      </c>
      <c r="D3730" t="s">
        <v>111</v>
      </c>
      <c r="E3730">
        <v>18</v>
      </c>
      <c r="F3730">
        <v>1018</v>
      </c>
      <c r="G3730" t="s">
        <v>112</v>
      </c>
      <c r="J3730" t="s">
        <v>113</v>
      </c>
      <c r="K3730">
        <v>0</v>
      </c>
      <c r="L3730">
        <v>3</v>
      </c>
      <c r="M3730">
        <v>0</v>
      </c>
      <c r="N3730">
        <v>2</v>
      </c>
      <c r="O3730">
        <v>1</v>
      </c>
      <c r="P3730">
        <v>0</v>
      </c>
      <c r="Q3730">
        <v>0</v>
      </c>
      <c r="R3730" t="s">
        <v>114</v>
      </c>
      <c r="S3730" t="str">
        <f>"19:37:09.258"</f>
        <v>19:37:09.258</v>
      </c>
      <c r="T3730" t="str">
        <f>"19:37:09.055"</f>
        <v>19:37:09.055</v>
      </c>
      <c r="U3730" t="str">
        <f t="shared" si="175"/>
        <v>a1cdbe</v>
      </c>
      <c r="V3730">
        <v>0</v>
      </c>
      <c r="W3730">
        <v>0</v>
      </c>
      <c r="X3730">
        <v>2</v>
      </c>
      <c r="Y3730">
        <v>0</v>
      </c>
      <c r="Z3730">
        <v>0</v>
      </c>
      <c r="AB3730">
        <v>0</v>
      </c>
      <c r="AC3730">
        <v>9</v>
      </c>
      <c r="AD3730">
        <v>3</v>
      </c>
      <c r="AE3730">
        <v>0</v>
      </c>
      <c r="AF3730">
        <v>9</v>
      </c>
      <c r="AG3730" t="s">
        <v>158</v>
      </c>
      <c r="AH3730">
        <v>0</v>
      </c>
      <c r="AI3730">
        <v>3</v>
      </c>
      <c r="AJ3730">
        <v>1</v>
      </c>
      <c r="AK3730">
        <v>0</v>
      </c>
      <c r="AL3730" t="s">
        <v>7026</v>
      </c>
      <c r="AM3730">
        <v>47.038693000000002</v>
      </c>
      <c r="AN3730" t="s">
        <v>7027</v>
      </c>
      <c r="AO3730">
        <v>-123.906212</v>
      </c>
      <c r="AP3730">
        <v>100</v>
      </c>
      <c r="AQ3730">
        <v>2100</v>
      </c>
      <c r="AR3730" t="s">
        <v>118</v>
      </c>
      <c r="AS3730">
        <v>-80</v>
      </c>
      <c r="AT3730">
        <v>21</v>
      </c>
      <c r="AU3730">
        <v>-64</v>
      </c>
      <c r="BC3730">
        <v>1200</v>
      </c>
      <c r="BD3730">
        <v>1</v>
      </c>
      <c r="BE3730" t="str">
        <f t="shared" si="176"/>
        <v xml:space="preserve">N215T   </v>
      </c>
      <c r="BF3730">
        <v>1</v>
      </c>
      <c r="BH3730">
        <v>0</v>
      </c>
      <c r="BI3730">
        <v>0</v>
      </c>
      <c r="BJ3730">
        <v>0</v>
      </c>
      <c r="BK3730">
        <v>2450</v>
      </c>
      <c r="BL3730">
        <v>350</v>
      </c>
      <c r="BM3730" t="s">
        <v>119</v>
      </c>
      <c r="BN3730">
        <v>1</v>
      </c>
      <c r="BO3730">
        <v>1</v>
      </c>
      <c r="BP3730">
        <v>1</v>
      </c>
      <c r="BQ3730">
        <v>0</v>
      </c>
      <c r="BT3730">
        <v>0</v>
      </c>
      <c r="BU3730">
        <v>0</v>
      </c>
      <c r="BV3730">
        <v>0</v>
      </c>
      <c r="CC3730" t="str">
        <f>"19:37:09.258"</f>
        <v>19:37:09.258</v>
      </c>
      <c r="CD3730" t="str">
        <f>"259630535"</f>
        <v>259630535</v>
      </c>
      <c r="CQ3730">
        <v>0</v>
      </c>
      <c r="CR3730">
        <v>2</v>
      </c>
      <c r="CS3730">
        <v>0</v>
      </c>
      <c r="CT3730">
        <v>2</v>
      </c>
      <c r="CU3730">
        <v>0</v>
      </c>
      <c r="CV3730">
        <v>5</v>
      </c>
      <c r="CW3730" t="s">
        <v>120</v>
      </c>
      <c r="CX3730">
        <v>257</v>
      </c>
      <c r="CY3730">
        <v>0</v>
      </c>
      <c r="CZ3730" t="s">
        <v>615</v>
      </c>
      <c r="DA3730" t="s">
        <v>616</v>
      </c>
      <c r="DD3730">
        <v>16548318</v>
      </c>
      <c r="DE3730" t="s">
        <v>123</v>
      </c>
    </row>
    <row r="3731" spans="1:109" x14ac:dyDescent="0.3">
      <c r="A3731" t="str">
        <f>"19:37:10.352"</f>
        <v>19:37:10.352</v>
      </c>
      <c r="B3731" t="s">
        <v>110</v>
      </c>
      <c r="C3731" t="str">
        <f t="shared" si="174"/>
        <v>ffdfd3c0</v>
      </c>
      <c r="D3731" t="s">
        <v>111</v>
      </c>
      <c r="E3731">
        <v>18</v>
      </c>
      <c r="F3731">
        <v>1018</v>
      </c>
      <c r="G3731" t="s">
        <v>112</v>
      </c>
      <c r="J3731" t="s">
        <v>113</v>
      </c>
      <c r="K3731">
        <v>0</v>
      </c>
      <c r="L3731">
        <v>3</v>
      </c>
      <c r="M3731">
        <v>0</v>
      </c>
      <c r="N3731">
        <v>2</v>
      </c>
      <c r="O3731">
        <v>1</v>
      </c>
      <c r="P3731">
        <v>0</v>
      </c>
      <c r="Q3731">
        <v>0</v>
      </c>
      <c r="R3731" t="s">
        <v>114</v>
      </c>
      <c r="S3731" t="str">
        <f>"19:37:10.125"</f>
        <v>19:37:10.125</v>
      </c>
      <c r="T3731" t="str">
        <f>"19:37:10.023"</f>
        <v>19:37:10.023</v>
      </c>
      <c r="U3731" t="str">
        <f t="shared" si="175"/>
        <v>a1cdbe</v>
      </c>
      <c r="V3731">
        <v>0</v>
      </c>
      <c r="W3731">
        <v>0</v>
      </c>
      <c r="X3731">
        <v>2</v>
      </c>
      <c r="Y3731">
        <v>0</v>
      </c>
      <c r="Z3731">
        <v>0</v>
      </c>
      <c r="AB3731">
        <v>0</v>
      </c>
      <c r="AC3731">
        <v>9</v>
      </c>
      <c r="AD3731">
        <v>3</v>
      </c>
      <c r="AE3731">
        <v>0</v>
      </c>
      <c r="AF3731">
        <v>9</v>
      </c>
      <c r="AG3731" t="s">
        <v>158</v>
      </c>
      <c r="AH3731">
        <v>0</v>
      </c>
      <c r="AI3731">
        <v>3</v>
      </c>
      <c r="AJ3731">
        <v>1</v>
      </c>
      <c r="AK3731">
        <v>0</v>
      </c>
      <c r="AL3731" t="s">
        <v>7028</v>
      </c>
      <c r="AM3731">
        <v>47.038778999999998</v>
      </c>
      <c r="AN3731" t="s">
        <v>7029</v>
      </c>
      <c r="AO3731">
        <v>-123.906684</v>
      </c>
      <c r="AP3731">
        <v>100</v>
      </c>
      <c r="AQ3731">
        <v>2100</v>
      </c>
      <c r="AR3731" t="s">
        <v>118</v>
      </c>
      <c r="AS3731">
        <v>-80</v>
      </c>
      <c r="AT3731">
        <v>21</v>
      </c>
      <c r="AU3731">
        <v>-128</v>
      </c>
      <c r="BC3731">
        <v>1200</v>
      </c>
      <c r="BD3731">
        <v>1</v>
      </c>
      <c r="BE3731" t="str">
        <f t="shared" si="176"/>
        <v xml:space="preserve">N215T   </v>
      </c>
      <c r="BF3731">
        <v>1</v>
      </c>
      <c r="BH3731">
        <v>0</v>
      </c>
      <c r="BI3731">
        <v>0</v>
      </c>
      <c r="BJ3731">
        <v>0</v>
      </c>
      <c r="BK3731">
        <v>2450</v>
      </c>
      <c r="BL3731">
        <v>350</v>
      </c>
      <c r="BM3731" t="s">
        <v>119</v>
      </c>
      <c r="BN3731">
        <v>1</v>
      </c>
      <c r="BO3731">
        <v>1</v>
      </c>
      <c r="BP3731">
        <v>1</v>
      </c>
      <c r="BQ3731">
        <v>0</v>
      </c>
      <c r="BT3731">
        <v>0</v>
      </c>
      <c r="BU3731">
        <v>0</v>
      </c>
      <c r="BV3731">
        <v>0</v>
      </c>
      <c r="CC3731" t="str">
        <f>"19:37:10.133"</f>
        <v>19:37:10.133</v>
      </c>
      <c r="CD3731" t="str">
        <f>"129544841"</f>
        <v>129544841</v>
      </c>
      <c r="CQ3731">
        <v>0</v>
      </c>
      <c r="CR3731">
        <v>2</v>
      </c>
      <c r="CS3731">
        <v>0</v>
      </c>
      <c r="CT3731">
        <v>2</v>
      </c>
      <c r="CU3731">
        <v>0</v>
      </c>
      <c r="CV3731">
        <v>5</v>
      </c>
      <c r="CW3731" t="s">
        <v>120</v>
      </c>
      <c r="CX3731">
        <v>257</v>
      </c>
      <c r="CY3731">
        <v>0</v>
      </c>
      <c r="CZ3731" t="s">
        <v>615</v>
      </c>
      <c r="DA3731" t="s">
        <v>616</v>
      </c>
      <c r="DD3731">
        <v>16548657</v>
      </c>
      <c r="DE3731" t="s">
        <v>123</v>
      </c>
    </row>
    <row r="3732" spans="1:109" x14ac:dyDescent="0.3">
      <c r="A3732" t="str">
        <f>"19:37:11.313"</f>
        <v>19:37:11.313</v>
      </c>
      <c r="B3732" t="s">
        <v>110</v>
      </c>
      <c r="C3732" t="str">
        <f t="shared" si="174"/>
        <v>ffdfd3c0</v>
      </c>
      <c r="D3732" t="s">
        <v>111</v>
      </c>
      <c r="E3732">
        <v>18</v>
      </c>
      <c r="F3732">
        <v>1018</v>
      </c>
      <c r="G3732" t="s">
        <v>112</v>
      </c>
      <c r="J3732" t="s">
        <v>113</v>
      </c>
      <c r="K3732">
        <v>0</v>
      </c>
      <c r="L3732">
        <v>3</v>
      </c>
      <c r="M3732">
        <v>0</v>
      </c>
      <c r="N3732">
        <v>2</v>
      </c>
      <c r="O3732">
        <v>1</v>
      </c>
      <c r="P3732">
        <v>0</v>
      </c>
      <c r="Q3732">
        <v>0</v>
      </c>
      <c r="R3732" t="s">
        <v>114</v>
      </c>
      <c r="S3732" t="str">
        <f>"19:37:11.086"</f>
        <v>19:37:11.086</v>
      </c>
      <c r="T3732" t="str">
        <f>"19:37:10.984"</f>
        <v>19:37:10.984</v>
      </c>
      <c r="U3732" t="str">
        <f t="shared" si="175"/>
        <v>a1cdbe</v>
      </c>
      <c r="V3732">
        <v>0</v>
      </c>
      <c r="W3732">
        <v>0</v>
      </c>
      <c r="X3732">
        <v>2</v>
      </c>
      <c r="Y3732">
        <v>0</v>
      </c>
      <c r="Z3732">
        <v>0</v>
      </c>
      <c r="AB3732">
        <v>0</v>
      </c>
      <c r="AC3732">
        <v>9</v>
      </c>
      <c r="AD3732">
        <v>3</v>
      </c>
      <c r="AE3732">
        <v>0</v>
      </c>
      <c r="AF3732">
        <v>9</v>
      </c>
      <c r="AG3732" t="s">
        <v>158</v>
      </c>
      <c r="AH3732">
        <v>0</v>
      </c>
      <c r="AI3732">
        <v>3</v>
      </c>
      <c r="AJ3732">
        <v>1</v>
      </c>
      <c r="AK3732">
        <v>0</v>
      </c>
      <c r="AL3732" t="s">
        <v>7030</v>
      </c>
      <c r="AM3732">
        <v>47.038843999999997</v>
      </c>
      <c r="AN3732" t="s">
        <v>7031</v>
      </c>
      <c r="AO3732">
        <v>-123.90719900000001</v>
      </c>
      <c r="AP3732">
        <v>100</v>
      </c>
      <c r="AQ3732">
        <v>2100</v>
      </c>
      <c r="AR3732" t="s">
        <v>118</v>
      </c>
      <c r="AS3732">
        <v>-80</v>
      </c>
      <c r="AT3732">
        <v>22</v>
      </c>
      <c r="AU3732">
        <v>-64</v>
      </c>
      <c r="BC3732">
        <v>1200</v>
      </c>
      <c r="BD3732">
        <v>1</v>
      </c>
      <c r="BE3732" t="str">
        <f t="shared" si="176"/>
        <v xml:space="preserve">N215T   </v>
      </c>
      <c r="BF3732">
        <v>1</v>
      </c>
      <c r="BH3732">
        <v>0</v>
      </c>
      <c r="BI3732">
        <v>0</v>
      </c>
      <c r="BJ3732">
        <v>0</v>
      </c>
      <c r="BK3732">
        <v>2425</v>
      </c>
      <c r="BL3732">
        <v>325</v>
      </c>
      <c r="BM3732" t="s">
        <v>119</v>
      </c>
      <c r="BN3732">
        <v>1</v>
      </c>
      <c r="BO3732">
        <v>1</v>
      </c>
      <c r="BP3732">
        <v>1</v>
      </c>
      <c r="BQ3732">
        <v>0</v>
      </c>
      <c r="BT3732">
        <v>0</v>
      </c>
      <c r="BU3732">
        <v>0</v>
      </c>
      <c r="BV3732">
        <v>0</v>
      </c>
      <c r="CC3732" t="str">
        <f>"19:37:11.086"</f>
        <v>19:37:11.086</v>
      </c>
      <c r="CD3732" t="str">
        <f>"089450297"</f>
        <v>089450297</v>
      </c>
      <c r="CQ3732">
        <v>0</v>
      </c>
      <c r="CR3732">
        <v>2</v>
      </c>
      <c r="CS3732">
        <v>0</v>
      </c>
      <c r="CT3732">
        <v>2</v>
      </c>
      <c r="CU3732">
        <v>0</v>
      </c>
      <c r="CV3732">
        <v>5</v>
      </c>
      <c r="CW3732" t="s">
        <v>120</v>
      </c>
      <c r="CX3732">
        <v>257</v>
      </c>
      <c r="CY3732">
        <v>0</v>
      </c>
      <c r="CZ3732" t="s">
        <v>615</v>
      </c>
      <c r="DA3732" t="s">
        <v>616</v>
      </c>
      <c r="DD3732">
        <v>16549001</v>
      </c>
      <c r="DE3732" t="s">
        <v>123</v>
      </c>
    </row>
    <row r="3733" spans="1:109" x14ac:dyDescent="0.3">
      <c r="A3733" t="str">
        <f>"19:37:12.367"</f>
        <v>19:37:12.367</v>
      </c>
      <c r="B3733" t="s">
        <v>110</v>
      </c>
      <c r="C3733" t="str">
        <f t="shared" si="174"/>
        <v>ffdfd3c0</v>
      </c>
      <c r="D3733" t="s">
        <v>111</v>
      </c>
      <c r="E3733">
        <v>18</v>
      </c>
      <c r="F3733">
        <v>1018</v>
      </c>
      <c r="G3733" t="s">
        <v>112</v>
      </c>
      <c r="J3733" t="s">
        <v>113</v>
      </c>
      <c r="K3733">
        <v>0</v>
      </c>
      <c r="L3733">
        <v>3</v>
      </c>
      <c r="M3733">
        <v>0</v>
      </c>
      <c r="N3733">
        <v>2</v>
      </c>
      <c r="O3733">
        <v>1</v>
      </c>
      <c r="P3733">
        <v>0</v>
      </c>
      <c r="Q3733">
        <v>0</v>
      </c>
      <c r="R3733" t="s">
        <v>114</v>
      </c>
      <c r="S3733" t="str">
        <f>"19:37:12.164"</f>
        <v>19:37:12.164</v>
      </c>
      <c r="T3733" t="str">
        <f>"19:37:12.164"</f>
        <v>19:37:12.164</v>
      </c>
      <c r="U3733" t="str">
        <f t="shared" si="175"/>
        <v>a1cdbe</v>
      </c>
      <c r="V3733">
        <v>0</v>
      </c>
      <c r="W3733">
        <v>0</v>
      </c>
      <c r="X3733">
        <v>2</v>
      </c>
      <c r="Y3733">
        <v>0</v>
      </c>
      <c r="Z3733">
        <v>0</v>
      </c>
      <c r="AB3733">
        <v>0</v>
      </c>
      <c r="AC3733">
        <v>9</v>
      </c>
      <c r="AD3733">
        <v>3</v>
      </c>
      <c r="AE3733">
        <v>0</v>
      </c>
      <c r="AF3733">
        <v>9</v>
      </c>
      <c r="AG3733" t="s">
        <v>158</v>
      </c>
      <c r="AH3733">
        <v>0</v>
      </c>
      <c r="AI3733">
        <v>3</v>
      </c>
      <c r="AJ3733">
        <v>1</v>
      </c>
      <c r="AK3733">
        <v>0</v>
      </c>
      <c r="AL3733" t="s">
        <v>7032</v>
      </c>
      <c r="AM3733">
        <v>47.038994000000002</v>
      </c>
      <c r="AN3733" t="s">
        <v>7033</v>
      </c>
      <c r="AO3733">
        <v>-123.907757</v>
      </c>
      <c r="AP3733">
        <v>100</v>
      </c>
      <c r="AQ3733">
        <v>2100</v>
      </c>
      <c r="AR3733" t="s">
        <v>118</v>
      </c>
      <c r="AS3733">
        <v>-79</v>
      </c>
      <c r="AT3733">
        <v>22</v>
      </c>
      <c r="AU3733">
        <v>-64</v>
      </c>
      <c r="BC3733">
        <v>1200</v>
      </c>
      <c r="BD3733">
        <v>1</v>
      </c>
      <c r="BE3733" t="str">
        <f t="shared" si="176"/>
        <v xml:space="preserve">N215T   </v>
      </c>
      <c r="BF3733">
        <v>1</v>
      </c>
      <c r="BH3733">
        <v>0</v>
      </c>
      <c r="BI3733">
        <v>0</v>
      </c>
      <c r="BJ3733">
        <v>0</v>
      </c>
      <c r="BK3733">
        <v>2450</v>
      </c>
      <c r="BL3733">
        <v>350</v>
      </c>
      <c r="BM3733" t="s">
        <v>119</v>
      </c>
      <c r="BN3733">
        <v>1</v>
      </c>
      <c r="BO3733">
        <v>1</v>
      </c>
      <c r="BP3733">
        <v>1</v>
      </c>
      <c r="BQ3733">
        <v>0</v>
      </c>
      <c r="BT3733">
        <v>0</v>
      </c>
      <c r="BU3733">
        <v>0</v>
      </c>
      <c r="BV3733">
        <v>0</v>
      </c>
      <c r="CC3733" t="str">
        <f>"19:37:12.172"</f>
        <v>19:37:12.172</v>
      </c>
      <c r="CD3733" t="str">
        <f>"169343922"</f>
        <v>169343922</v>
      </c>
      <c r="CQ3733">
        <v>0</v>
      </c>
      <c r="CR3733">
        <v>2</v>
      </c>
      <c r="CS3733">
        <v>0</v>
      </c>
      <c r="CT3733">
        <v>2</v>
      </c>
      <c r="CU3733">
        <v>0</v>
      </c>
      <c r="CV3733">
        <v>5</v>
      </c>
      <c r="CW3733" t="s">
        <v>120</v>
      </c>
      <c r="CX3733">
        <v>257</v>
      </c>
      <c r="CY3733">
        <v>0</v>
      </c>
      <c r="CZ3733" t="s">
        <v>615</v>
      </c>
      <c r="DA3733" t="s">
        <v>616</v>
      </c>
      <c r="DD3733">
        <v>16549401</v>
      </c>
      <c r="DE3733" t="s">
        <v>123</v>
      </c>
    </row>
    <row r="3734" spans="1:109" x14ac:dyDescent="0.3">
      <c r="A3734" t="str">
        <f>"19:37:13.422"</f>
        <v>19:37:13.422</v>
      </c>
      <c r="B3734" t="s">
        <v>110</v>
      </c>
      <c r="C3734" t="str">
        <f t="shared" si="174"/>
        <v>ffdfd3c0</v>
      </c>
      <c r="D3734" t="s">
        <v>111</v>
      </c>
      <c r="E3734">
        <v>18</v>
      </c>
      <c r="F3734">
        <v>1018</v>
      </c>
      <c r="G3734" t="s">
        <v>112</v>
      </c>
      <c r="J3734" t="s">
        <v>113</v>
      </c>
      <c r="K3734">
        <v>0</v>
      </c>
      <c r="L3734">
        <v>3</v>
      </c>
      <c r="M3734">
        <v>0</v>
      </c>
      <c r="N3734">
        <v>2</v>
      </c>
      <c r="O3734">
        <v>1</v>
      </c>
      <c r="P3734">
        <v>0</v>
      </c>
      <c r="Q3734">
        <v>0</v>
      </c>
      <c r="R3734" t="s">
        <v>114</v>
      </c>
      <c r="S3734" t="str">
        <f>"19:37:13.156"</f>
        <v>19:37:13.156</v>
      </c>
      <c r="T3734" t="str">
        <f>"19:37:13.156"</f>
        <v>19:37:13.156</v>
      </c>
      <c r="U3734" t="str">
        <f t="shared" si="175"/>
        <v>a1cdbe</v>
      </c>
      <c r="V3734">
        <v>0</v>
      </c>
      <c r="W3734">
        <v>0</v>
      </c>
      <c r="X3734">
        <v>2</v>
      </c>
      <c r="Y3734">
        <v>0</v>
      </c>
      <c r="Z3734">
        <v>0</v>
      </c>
      <c r="AB3734">
        <v>0</v>
      </c>
      <c r="AC3734">
        <v>9</v>
      </c>
      <c r="AD3734">
        <v>3</v>
      </c>
      <c r="AE3734">
        <v>0</v>
      </c>
      <c r="AF3734">
        <v>9</v>
      </c>
      <c r="AG3734" t="s">
        <v>158</v>
      </c>
      <c r="AH3734">
        <v>0</v>
      </c>
      <c r="AI3734">
        <v>3</v>
      </c>
      <c r="AJ3734">
        <v>1</v>
      </c>
      <c r="AK3734">
        <v>0</v>
      </c>
      <c r="AL3734" t="s">
        <v>7034</v>
      </c>
      <c r="AM3734">
        <v>47.039057999999997</v>
      </c>
      <c r="AN3734" t="s">
        <v>7035</v>
      </c>
      <c r="AO3734">
        <v>-123.908272</v>
      </c>
      <c r="AP3734">
        <v>100</v>
      </c>
      <c r="AQ3734">
        <v>2100</v>
      </c>
      <c r="AR3734" t="s">
        <v>118</v>
      </c>
      <c r="AS3734">
        <v>-79</v>
      </c>
      <c r="AT3734">
        <v>22</v>
      </c>
      <c r="AU3734">
        <v>-64</v>
      </c>
      <c r="BC3734">
        <v>1200</v>
      </c>
      <c r="BD3734">
        <v>1</v>
      </c>
      <c r="BE3734" t="str">
        <f t="shared" si="176"/>
        <v xml:space="preserve">N215T   </v>
      </c>
      <c r="BF3734">
        <v>1</v>
      </c>
      <c r="BH3734">
        <v>0</v>
      </c>
      <c r="BI3734">
        <v>0</v>
      </c>
      <c r="BJ3734">
        <v>0</v>
      </c>
      <c r="BK3734">
        <v>2450</v>
      </c>
      <c r="BL3734">
        <v>350</v>
      </c>
      <c r="BM3734" t="s">
        <v>119</v>
      </c>
      <c r="BN3734">
        <v>1</v>
      </c>
      <c r="BO3734">
        <v>1</v>
      </c>
      <c r="BP3734">
        <v>1</v>
      </c>
      <c r="BQ3734">
        <v>0</v>
      </c>
      <c r="BT3734">
        <v>0</v>
      </c>
      <c r="BU3734">
        <v>0</v>
      </c>
      <c r="BV3734">
        <v>0</v>
      </c>
      <c r="CC3734" t="str">
        <f>"19:37:13.156"</f>
        <v>19:37:13.156</v>
      </c>
      <c r="CD3734" t="str">
        <f>"159246398"</f>
        <v>159246398</v>
      </c>
      <c r="CQ3734">
        <v>0</v>
      </c>
      <c r="CR3734">
        <v>2</v>
      </c>
      <c r="CS3734">
        <v>0</v>
      </c>
      <c r="CT3734">
        <v>2</v>
      </c>
      <c r="CU3734">
        <v>0</v>
      </c>
      <c r="CV3734">
        <v>5</v>
      </c>
      <c r="CW3734" t="s">
        <v>120</v>
      </c>
      <c r="CX3734">
        <v>257</v>
      </c>
      <c r="CY3734">
        <v>0</v>
      </c>
      <c r="CZ3734" t="s">
        <v>615</v>
      </c>
      <c r="DA3734" t="s">
        <v>616</v>
      </c>
      <c r="DD3734">
        <v>16549751</v>
      </c>
      <c r="DE3734" t="s">
        <v>123</v>
      </c>
    </row>
    <row r="3735" spans="1:109" x14ac:dyDescent="0.3">
      <c r="A3735" t="str">
        <f>"19:37:14.477"</f>
        <v>19:37:14.477</v>
      </c>
      <c r="B3735" t="s">
        <v>110</v>
      </c>
      <c r="C3735" t="str">
        <f t="shared" si="174"/>
        <v>ffdfd3c0</v>
      </c>
      <c r="D3735" t="s">
        <v>111</v>
      </c>
      <c r="E3735">
        <v>18</v>
      </c>
      <c r="F3735">
        <v>1018</v>
      </c>
      <c r="G3735" t="s">
        <v>112</v>
      </c>
      <c r="J3735" t="s">
        <v>113</v>
      </c>
      <c r="K3735">
        <v>0</v>
      </c>
      <c r="L3735">
        <v>3</v>
      </c>
      <c r="M3735">
        <v>0</v>
      </c>
      <c r="N3735">
        <v>2</v>
      </c>
      <c r="O3735">
        <v>1</v>
      </c>
      <c r="P3735">
        <v>0</v>
      </c>
      <c r="Q3735">
        <v>0</v>
      </c>
      <c r="R3735" t="s">
        <v>114</v>
      </c>
      <c r="S3735" t="str">
        <f>"19:37:14.234"</f>
        <v>19:37:14.234</v>
      </c>
      <c r="T3735" t="str">
        <f>"19:37:14.133"</f>
        <v>19:37:14.133</v>
      </c>
      <c r="U3735" t="str">
        <f t="shared" si="175"/>
        <v>a1cdbe</v>
      </c>
      <c r="V3735">
        <v>0</v>
      </c>
      <c r="W3735">
        <v>0</v>
      </c>
      <c r="X3735">
        <v>2</v>
      </c>
      <c r="Y3735">
        <v>0</v>
      </c>
      <c r="Z3735">
        <v>0</v>
      </c>
      <c r="AB3735">
        <v>0</v>
      </c>
      <c r="AC3735">
        <v>9</v>
      </c>
      <c r="AD3735">
        <v>3</v>
      </c>
      <c r="AE3735">
        <v>0</v>
      </c>
      <c r="AF3735">
        <v>9</v>
      </c>
      <c r="AG3735" t="s">
        <v>158</v>
      </c>
      <c r="AH3735">
        <v>0</v>
      </c>
      <c r="AI3735">
        <v>3</v>
      </c>
      <c r="AJ3735">
        <v>1</v>
      </c>
      <c r="AK3735">
        <v>0</v>
      </c>
      <c r="AL3735" t="s">
        <v>7036</v>
      </c>
      <c r="AM3735">
        <v>47.039164999999997</v>
      </c>
      <c r="AN3735" t="s">
        <v>7037</v>
      </c>
      <c r="AO3735">
        <v>-123.908873</v>
      </c>
      <c r="AP3735">
        <v>100</v>
      </c>
      <c r="AQ3735">
        <v>2100</v>
      </c>
      <c r="AR3735" t="s">
        <v>118</v>
      </c>
      <c r="AS3735">
        <v>-79</v>
      </c>
      <c r="AT3735">
        <v>22</v>
      </c>
      <c r="AU3735">
        <v>0</v>
      </c>
      <c r="BC3735">
        <v>1200</v>
      </c>
      <c r="BD3735">
        <v>1</v>
      </c>
      <c r="BE3735" t="str">
        <f t="shared" si="176"/>
        <v xml:space="preserve">N215T   </v>
      </c>
      <c r="BF3735">
        <v>1</v>
      </c>
      <c r="BH3735">
        <v>0</v>
      </c>
      <c r="BI3735">
        <v>0</v>
      </c>
      <c r="BJ3735">
        <v>0</v>
      </c>
      <c r="BK3735">
        <v>2450</v>
      </c>
      <c r="BL3735">
        <v>350</v>
      </c>
      <c r="BM3735" t="s">
        <v>119</v>
      </c>
      <c r="BN3735">
        <v>1</v>
      </c>
      <c r="BO3735">
        <v>1</v>
      </c>
      <c r="BP3735">
        <v>1</v>
      </c>
      <c r="BQ3735">
        <v>0</v>
      </c>
      <c r="BT3735">
        <v>0</v>
      </c>
      <c r="BU3735">
        <v>0</v>
      </c>
      <c r="BV3735">
        <v>0</v>
      </c>
      <c r="CC3735" t="str">
        <f>"19:37:14.242"</f>
        <v>19:37:14.242</v>
      </c>
      <c r="CD3735" t="str">
        <f>"239140028"</f>
        <v>239140028</v>
      </c>
      <c r="CQ3735">
        <v>0</v>
      </c>
      <c r="CR3735">
        <v>2</v>
      </c>
      <c r="CS3735">
        <v>0</v>
      </c>
      <c r="CT3735">
        <v>2</v>
      </c>
      <c r="CU3735">
        <v>0</v>
      </c>
      <c r="CV3735">
        <v>4</v>
      </c>
      <c r="CW3735" t="s">
        <v>120</v>
      </c>
      <c r="CX3735">
        <v>257</v>
      </c>
      <c r="CY3735">
        <v>0</v>
      </c>
      <c r="CZ3735" t="s">
        <v>615</v>
      </c>
      <c r="DA3735" t="s">
        <v>616</v>
      </c>
      <c r="DD3735">
        <v>16550108</v>
      </c>
      <c r="DE3735" t="s">
        <v>123</v>
      </c>
    </row>
    <row r="3736" spans="1:109" x14ac:dyDescent="0.3">
      <c r="A3736" t="str">
        <f>"19:37:15.328"</f>
        <v>19:37:15.328</v>
      </c>
      <c r="B3736" t="s">
        <v>110</v>
      </c>
      <c r="C3736" t="str">
        <f t="shared" si="174"/>
        <v>ffdfd3c0</v>
      </c>
      <c r="D3736" t="s">
        <v>111</v>
      </c>
      <c r="E3736">
        <v>18</v>
      </c>
      <c r="F3736">
        <v>1018</v>
      </c>
      <c r="G3736" t="s">
        <v>112</v>
      </c>
      <c r="J3736" t="s">
        <v>113</v>
      </c>
      <c r="K3736">
        <v>0</v>
      </c>
      <c r="L3736">
        <v>3</v>
      </c>
      <c r="M3736">
        <v>0</v>
      </c>
      <c r="N3736">
        <v>2</v>
      </c>
      <c r="O3736">
        <v>1</v>
      </c>
      <c r="P3736">
        <v>0</v>
      </c>
      <c r="Q3736">
        <v>0</v>
      </c>
      <c r="R3736" t="s">
        <v>114</v>
      </c>
      <c r="S3736" t="str">
        <f>"19:37:15.094"</f>
        <v>19:37:15.094</v>
      </c>
      <c r="T3736" t="str">
        <f>"19:37:15.094"</f>
        <v>19:37:15.094</v>
      </c>
      <c r="U3736" t="str">
        <f t="shared" si="175"/>
        <v>a1cdbe</v>
      </c>
      <c r="V3736">
        <v>0</v>
      </c>
      <c r="W3736">
        <v>0</v>
      </c>
      <c r="X3736">
        <v>2</v>
      </c>
      <c r="Y3736">
        <v>0</v>
      </c>
      <c r="Z3736">
        <v>0</v>
      </c>
      <c r="AB3736">
        <v>0</v>
      </c>
      <c r="AC3736">
        <v>9</v>
      </c>
      <c r="AD3736">
        <v>3</v>
      </c>
      <c r="AE3736">
        <v>0</v>
      </c>
      <c r="AF3736">
        <v>9</v>
      </c>
      <c r="AG3736" t="s">
        <v>158</v>
      </c>
      <c r="AH3736">
        <v>0</v>
      </c>
      <c r="AI3736">
        <v>3</v>
      </c>
      <c r="AJ3736">
        <v>1</v>
      </c>
      <c r="AK3736">
        <v>0</v>
      </c>
      <c r="AL3736" t="s">
        <v>7038</v>
      </c>
      <c r="AM3736">
        <v>47.039273000000001</v>
      </c>
      <c r="AN3736" t="s">
        <v>7039</v>
      </c>
      <c r="AO3736">
        <v>-123.90936600000001</v>
      </c>
      <c r="AP3736">
        <v>100</v>
      </c>
      <c r="AQ3736">
        <v>2100</v>
      </c>
      <c r="AR3736" t="s">
        <v>118</v>
      </c>
      <c r="AS3736">
        <v>-79</v>
      </c>
      <c r="AT3736">
        <v>22</v>
      </c>
      <c r="AU3736">
        <v>0</v>
      </c>
      <c r="BC3736">
        <v>1200</v>
      </c>
      <c r="BD3736">
        <v>1</v>
      </c>
      <c r="BE3736" t="str">
        <f t="shared" si="176"/>
        <v xml:space="preserve">N215T   </v>
      </c>
      <c r="BF3736">
        <v>1</v>
      </c>
      <c r="BH3736">
        <v>0</v>
      </c>
      <c r="BI3736">
        <v>0</v>
      </c>
      <c r="BJ3736">
        <v>0</v>
      </c>
      <c r="BK3736">
        <v>2450</v>
      </c>
      <c r="BL3736">
        <v>350</v>
      </c>
      <c r="BM3736" t="s">
        <v>119</v>
      </c>
      <c r="BN3736">
        <v>1</v>
      </c>
      <c r="BO3736">
        <v>1</v>
      </c>
      <c r="BP3736">
        <v>1</v>
      </c>
      <c r="BQ3736">
        <v>0</v>
      </c>
      <c r="BT3736">
        <v>0</v>
      </c>
      <c r="BU3736">
        <v>0</v>
      </c>
      <c r="BV3736">
        <v>0</v>
      </c>
      <c r="CC3736" t="str">
        <f>"19:37:15.094"</f>
        <v>19:37:15.094</v>
      </c>
      <c r="CD3736" t="str">
        <f>"094055814"</f>
        <v>094055814</v>
      </c>
      <c r="CQ3736">
        <v>0</v>
      </c>
      <c r="CR3736">
        <v>2</v>
      </c>
      <c r="CS3736">
        <v>0</v>
      </c>
      <c r="CT3736">
        <v>2</v>
      </c>
      <c r="CU3736">
        <v>0</v>
      </c>
      <c r="CV3736">
        <v>4</v>
      </c>
      <c r="CW3736" t="s">
        <v>120</v>
      </c>
      <c r="CX3736">
        <v>257</v>
      </c>
      <c r="CY3736">
        <v>0</v>
      </c>
      <c r="CZ3736" t="s">
        <v>615</v>
      </c>
      <c r="DA3736" t="s">
        <v>616</v>
      </c>
      <c r="DD3736">
        <v>16550430</v>
      </c>
      <c r="DE3736" t="s">
        <v>123</v>
      </c>
    </row>
    <row r="3737" spans="1:109" x14ac:dyDescent="0.3">
      <c r="A3737" t="str">
        <f>"19:37:16.289"</f>
        <v>19:37:16.289</v>
      </c>
      <c r="B3737" t="s">
        <v>110</v>
      </c>
      <c r="C3737" t="str">
        <f t="shared" si="174"/>
        <v>ffdfd3c0</v>
      </c>
      <c r="D3737" t="s">
        <v>111</v>
      </c>
      <c r="E3737">
        <v>18</v>
      </c>
      <c r="F3737">
        <v>1018</v>
      </c>
      <c r="G3737" t="s">
        <v>112</v>
      </c>
      <c r="J3737" t="s">
        <v>113</v>
      </c>
      <c r="K3737">
        <v>0</v>
      </c>
      <c r="L3737">
        <v>3</v>
      </c>
      <c r="M3737">
        <v>0</v>
      </c>
      <c r="N3737">
        <v>2</v>
      </c>
      <c r="O3737">
        <v>1</v>
      </c>
      <c r="P3737">
        <v>0</v>
      </c>
      <c r="Q3737">
        <v>0</v>
      </c>
      <c r="R3737" t="s">
        <v>114</v>
      </c>
      <c r="S3737" t="str">
        <f>"19:37:16.078"</f>
        <v>19:37:16.078</v>
      </c>
      <c r="T3737" t="str">
        <f>"19:37:16.078"</f>
        <v>19:37:16.078</v>
      </c>
      <c r="U3737" t="str">
        <f t="shared" si="175"/>
        <v>a1cdbe</v>
      </c>
      <c r="V3737">
        <v>0</v>
      </c>
      <c r="W3737">
        <v>0</v>
      </c>
      <c r="X3737">
        <v>2</v>
      </c>
      <c r="Y3737">
        <v>0</v>
      </c>
      <c r="Z3737">
        <v>0</v>
      </c>
      <c r="AB3737">
        <v>0</v>
      </c>
      <c r="AC3737">
        <v>9</v>
      </c>
      <c r="AD3737">
        <v>3</v>
      </c>
      <c r="AE3737">
        <v>0</v>
      </c>
      <c r="AF3737">
        <v>9</v>
      </c>
      <c r="AG3737" t="s">
        <v>158</v>
      </c>
      <c r="AH3737">
        <v>0</v>
      </c>
      <c r="AI3737">
        <v>3</v>
      </c>
      <c r="AJ3737">
        <v>1</v>
      </c>
      <c r="AK3737">
        <v>0</v>
      </c>
      <c r="AL3737" t="s">
        <v>7040</v>
      </c>
      <c r="AM3737">
        <v>47.039380000000001</v>
      </c>
      <c r="AN3737" t="s">
        <v>7041</v>
      </c>
      <c r="AO3737">
        <v>-123.90985999999999</v>
      </c>
      <c r="AP3737">
        <v>100</v>
      </c>
      <c r="AQ3737">
        <v>2100</v>
      </c>
      <c r="AR3737" t="s">
        <v>118</v>
      </c>
      <c r="AS3737">
        <v>-79</v>
      </c>
      <c r="AT3737">
        <v>22</v>
      </c>
      <c r="AU3737">
        <v>0</v>
      </c>
      <c r="BC3737">
        <v>1200</v>
      </c>
      <c r="BD3737">
        <v>1</v>
      </c>
      <c r="BE3737" t="str">
        <f t="shared" si="176"/>
        <v xml:space="preserve">N215T   </v>
      </c>
      <c r="BF3737">
        <v>1</v>
      </c>
      <c r="BH3737">
        <v>0</v>
      </c>
      <c r="BI3737">
        <v>0</v>
      </c>
      <c r="BJ3737">
        <v>0</v>
      </c>
      <c r="BK3737">
        <v>2425</v>
      </c>
      <c r="BL3737">
        <v>325</v>
      </c>
      <c r="BM3737" t="s">
        <v>119</v>
      </c>
      <c r="BN3737">
        <v>1</v>
      </c>
      <c r="BO3737">
        <v>1</v>
      </c>
      <c r="BP3737">
        <v>1</v>
      </c>
      <c r="BQ3737">
        <v>0</v>
      </c>
      <c r="BT3737">
        <v>0</v>
      </c>
      <c r="BU3737">
        <v>0</v>
      </c>
      <c r="BV3737">
        <v>0</v>
      </c>
      <c r="CC3737" t="str">
        <f>"19:37:16.086"</f>
        <v>19:37:16.086</v>
      </c>
      <c r="CD3737" t="str">
        <f>"083958300"</f>
        <v>083958300</v>
      </c>
      <c r="CQ3737">
        <v>0</v>
      </c>
      <c r="CR3737">
        <v>2</v>
      </c>
      <c r="CS3737">
        <v>0</v>
      </c>
      <c r="CT3737">
        <v>2</v>
      </c>
      <c r="CU3737">
        <v>0</v>
      </c>
      <c r="CV3737">
        <v>5</v>
      </c>
      <c r="CW3737" t="s">
        <v>120</v>
      </c>
      <c r="CX3737">
        <v>257</v>
      </c>
      <c r="CY3737">
        <v>0</v>
      </c>
      <c r="CZ3737" t="s">
        <v>615</v>
      </c>
      <c r="DA3737" t="s">
        <v>616</v>
      </c>
      <c r="DD3737">
        <v>16550751</v>
      </c>
      <c r="DE3737" t="s">
        <v>123</v>
      </c>
    </row>
    <row r="3738" spans="1:109" x14ac:dyDescent="0.3">
      <c r="A3738" t="str">
        <f>"19:37:17.344"</f>
        <v>19:37:17.344</v>
      </c>
      <c r="B3738" t="s">
        <v>110</v>
      </c>
      <c r="C3738" t="str">
        <f t="shared" si="174"/>
        <v>ffdfd3c0</v>
      </c>
      <c r="D3738" t="s">
        <v>111</v>
      </c>
      <c r="E3738">
        <v>18</v>
      </c>
      <c r="F3738">
        <v>1018</v>
      </c>
      <c r="G3738" t="s">
        <v>112</v>
      </c>
      <c r="J3738" t="s">
        <v>113</v>
      </c>
      <c r="K3738">
        <v>0</v>
      </c>
      <c r="L3738">
        <v>3</v>
      </c>
      <c r="M3738">
        <v>0</v>
      </c>
      <c r="N3738">
        <v>2</v>
      </c>
      <c r="O3738">
        <v>1</v>
      </c>
      <c r="P3738">
        <v>0</v>
      </c>
      <c r="Q3738">
        <v>0</v>
      </c>
      <c r="R3738" t="s">
        <v>114</v>
      </c>
      <c r="S3738" t="str">
        <f>"19:37:17.102"</f>
        <v>19:37:17.102</v>
      </c>
      <c r="T3738" t="str">
        <f>"19:37:16.703"</f>
        <v>19:37:16.703</v>
      </c>
      <c r="U3738" t="str">
        <f t="shared" si="175"/>
        <v>a1cdbe</v>
      </c>
      <c r="V3738">
        <v>0</v>
      </c>
      <c r="W3738">
        <v>0</v>
      </c>
      <c r="X3738">
        <v>2</v>
      </c>
      <c r="Y3738">
        <v>0</v>
      </c>
      <c r="Z3738">
        <v>0</v>
      </c>
      <c r="AB3738">
        <v>0</v>
      </c>
      <c r="AC3738">
        <v>9</v>
      </c>
      <c r="AD3738">
        <v>3</v>
      </c>
      <c r="AE3738">
        <v>0</v>
      </c>
      <c r="AF3738">
        <v>9</v>
      </c>
      <c r="AG3738" t="s">
        <v>158</v>
      </c>
      <c r="AH3738">
        <v>0</v>
      </c>
      <c r="AI3738">
        <v>3</v>
      </c>
      <c r="AJ3738">
        <v>1</v>
      </c>
      <c r="AK3738">
        <v>0</v>
      </c>
      <c r="AL3738" t="s">
        <v>7042</v>
      </c>
      <c r="AM3738">
        <v>47.039444000000003</v>
      </c>
      <c r="AN3738" t="s">
        <v>7043</v>
      </c>
      <c r="AO3738">
        <v>-123.910439</v>
      </c>
      <c r="AP3738">
        <v>100</v>
      </c>
      <c r="AQ3738">
        <v>2100</v>
      </c>
      <c r="AR3738" t="s">
        <v>118</v>
      </c>
      <c r="AS3738">
        <v>-79</v>
      </c>
      <c r="AT3738">
        <v>21</v>
      </c>
      <c r="AU3738">
        <v>-64</v>
      </c>
      <c r="BC3738">
        <v>1200</v>
      </c>
      <c r="BD3738">
        <v>1</v>
      </c>
      <c r="BE3738" t="str">
        <f t="shared" si="176"/>
        <v xml:space="preserve">N215T   </v>
      </c>
      <c r="BF3738">
        <v>1</v>
      </c>
      <c r="BH3738">
        <v>0</v>
      </c>
      <c r="BI3738">
        <v>0</v>
      </c>
      <c r="BJ3738">
        <v>0</v>
      </c>
      <c r="BK3738">
        <v>2450</v>
      </c>
      <c r="BL3738">
        <v>350</v>
      </c>
      <c r="BM3738" t="s">
        <v>119</v>
      </c>
      <c r="BN3738">
        <v>1</v>
      </c>
      <c r="BO3738">
        <v>1</v>
      </c>
      <c r="BP3738">
        <v>1</v>
      </c>
      <c r="BQ3738">
        <v>0</v>
      </c>
      <c r="BT3738">
        <v>0</v>
      </c>
      <c r="BU3738">
        <v>0</v>
      </c>
      <c r="BV3738">
        <v>0</v>
      </c>
      <c r="CC3738" t="str">
        <f>"19:37:17.102"</f>
        <v>19:37:17.102</v>
      </c>
      <c r="CD3738" t="str">
        <f>"103959388"</f>
        <v>103959388</v>
      </c>
      <c r="CQ3738">
        <v>0</v>
      </c>
      <c r="CR3738">
        <v>2</v>
      </c>
      <c r="CS3738">
        <v>0</v>
      </c>
      <c r="CT3738">
        <v>2</v>
      </c>
      <c r="CU3738">
        <v>0</v>
      </c>
      <c r="CV3738">
        <v>2</v>
      </c>
      <c r="CW3738" t="s">
        <v>120</v>
      </c>
      <c r="CX3738">
        <v>261</v>
      </c>
      <c r="CY3738">
        <v>2</v>
      </c>
      <c r="CZ3738" t="s">
        <v>121</v>
      </c>
      <c r="DA3738" t="s">
        <v>122</v>
      </c>
      <c r="DD3738">
        <v>16560202</v>
      </c>
      <c r="DE3738" t="s">
        <v>123</v>
      </c>
    </row>
    <row r="3739" spans="1:109" x14ac:dyDescent="0.3">
      <c r="A3739" t="str">
        <f>"19:37:18.344"</f>
        <v>19:37:18.344</v>
      </c>
      <c r="B3739" t="s">
        <v>110</v>
      </c>
      <c r="C3739" t="str">
        <f t="shared" si="174"/>
        <v>ffdfd3c0</v>
      </c>
      <c r="D3739" t="s">
        <v>111</v>
      </c>
      <c r="E3739">
        <v>18</v>
      </c>
      <c r="F3739">
        <v>1018</v>
      </c>
      <c r="G3739" t="s">
        <v>112</v>
      </c>
      <c r="J3739" t="s">
        <v>113</v>
      </c>
      <c r="K3739">
        <v>0</v>
      </c>
      <c r="L3739">
        <v>3</v>
      </c>
      <c r="M3739">
        <v>0</v>
      </c>
      <c r="N3739">
        <v>2</v>
      </c>
      <c r="O3739">
        <v>1</v>
      </c>
      <c r="P3739">
        <v>0</v>
      </c>
      <c r="Q3739">
        <v>0</v>
      </c>
      <c r="R3739" t="s">
        <v>114</v>
      </c>
      <c r="S3739" t="str">
        <f>"19:37:18.102"</f>
        <v>19:37:18.102</v>
      </c>
      <c r="T3739" t="str">
        <f>"19:37:18.102"</f>
        <v>19:37:18.102</v>
      </c>
      <c r="U3739" t="str">
        <f t="shared" si="175"/>
        <v>a1cdbe</v>
      </c>
      <c r="V3739">
        <v>0</v>
      </c>
      <c r="W3739">
        <v>0</v>
      </c>
      <c r="X3739">
        <v>2</v>
      </c>
      <c r="Y3739">
        <v>0</v>
      </c>
      <c r="Z3739">
        <v>0</v>
      </c>
      <c r="AB3739">
        <v>0</v>
      </c>
      <c r="AC3739">
        <v>9</v>
      </c>
      <c r="AD3739">
        <v>3</v>
      </c>
      <c r="AE3739">
        <v>0</v>
      </c>
      <c r="AF3739">
        <v>9</v>
      </c>
      <c r="AG3739" t="s">
        <v>158</v>
      </c>
      <c r="AH3739">
        <v>0</v>
      </c>
      <c r="AI3739">
        <v>3</v>
      </c>
      <c r="AJ3739">
        <v>1</v>
      </c>
      <c r="AK3739">
        <v>0</v>
      </c>
      <c r="AL3739" t="s">
        <v>7044</v>
      </c>
      <c r="AM3739">
        <v>47.039572999999997</v>
      </c>
      <c r="AN3739" t="s">
        <v>7045</v>
      </c>
      <c r="AO3739">
        <v>-123.910954</v>
      </c>
      <c r="AP3739">
        <v>100</v>
      </c>
      <c r="AQ3739">
        <v>2100</v>
      </c>
      <c r="AR3739" t="s">
        <v>118</v>
      </c>
      <c r="AS3739">
        <v>-79</v>
      </c>
      <c r="AT3739">
        <v>21</v>
      </c>
      <c r="AU3739">
        <v>-64</v>
      </c>
      <c r="BC3739">
        <v>1200</v>
      </c>
      <c r="BD3739">
        <v>1</v>
      </c>
      <c r="BE3739" t="str">
        <f t="shared" si="176"/>
        <v xml:space="preserve">N215T   </v>
      </c>
      <c r="BF3739">
        <v>1</v>
      </c>
      <c r="BH3739">
        <v>0</v>
      </c>
      <c r="BI3739">
        <v>0</v>
      </c>
      <c r="BJ3739">
        <v>0</v>
      </c>
      <c r="BK3739">
        <v>2425</v>
      </c>
      <c r="BL3739">
        <v>325</v>
      </c>
      <c r="BM3739" t="s">
        <v>119</v>
      </c>
      <c r="BN3739">
        <v>1</v>
      </c>
      <c r="BO3739">
        <v>1</v>
      </c>
      <c r="BP3739">
        <v>1</v>
      </c>
      <c r="BQ3739">
        <v>0</v>
      </c>
      <c r="BT3739">
        <v>0</v>
      </c>
      <c r="BU3739">
        <v>0</v>
      </c>
      <c r="BV3739">
        <v>0</v>
      </c>
      <c r="CC3739" t="str">
        <f>"19:37:18.109"</f>
        <v>19:37:18.109</v>
      </c>
      <c r="CD3739" t="str">
        <f>"108758906"</f>
        <v>108758906</v>
      </c>
      <c r="CQ3739">
        <v>0</v>
      </c>
      <c r="CR3739">
        <v>2</v>
      </c>
      <c r="CS3739">
        <v>0</v>
      </c>
      <c r="CT3739">
        <v>2</v>
      </c>
      <c r="CU3739">
        <v>0</v>
      </c>
      <c r="CV3739">
        <v>4</v>
      </c>
      <c r="CW3739" t="s">
        <v>120</v>
      </c>
      <c r="CX3739">
        <v>257</v>
      </c>
      <c r="CY3739">
        <v>0</v>
      </c>
      <c r="CZ3739" t="s">
        <v>615</v>
      </c>
      <c r="DA3739" t="s">
        <v>616</v>
      </c>
      <c r="DD3739">
        <v>16551448</v>
      </c>
      <c r="DE3739" t="s">
        <v>123</v>
      </c>
    </row>
    <row r="3740" spans="1:109" x14ac:dyDescent="0.3">
      <c r="A3740" t="str">
        <f>"19:37:19.352"</f>
        <v>19:37:19.352</v>
      </c>
      <c r="B3740" t="s">
        <v>110</v>
      </c>
      <c r="C3740" t="str">
        <f t="shared" si="174"/>
        <v>ffdfd3c0</v>
      </c>
      <c r="D3740" t="s">
        <v>111</v>
      </c>
      <c r="E3740">
        <v>18</v>
      </c>
      <c r="F3740">
        <v>1018</v>
      </c>
      <c r="G3740" t="s">
        <v>112</v>
      </c>
      <c r="J3740" t="s">
        <v>113</v>
      </c>
      <c r="K3740">
        <v>0</v>
      </c>
      <c r="L3740">
        <v>3</v>
      </c>
      <c r="M3740">
        <v>0</v>
      </c>
      <c r="N3740">
        <v>2</v>
      </c>
      <c r="O3740">
        <v>1</v>
      </c>
      <c r="P3740">
        <v>0</v>
      </c>
      <c r="Q3740">
        <v>0</v>
      </c>
      <c r="R3740" t="s">
        <v>114</v>
      </c>
      <c r="S3740" t="str">
        <f>"19:37:19.109"</f>
        <v>19:37:19.109</v>
      </c>
      <c r="T3740" t="str">
        <f>"19:37:18.711"</f>
        <v>19:37:18.711</v>
      </c>
      <c r="U3740" t="str">
        <f t="shared" si="175"/>
        <v>a1cdbe</v>
      </c>
      <c r="V3740">
        <v>0</v>
      </c>
      <c r="W3740">
        <v>0</v>
      </c>
      <c r="X3740">
        <v>2</v>
      </c>
      <c r="Y3740">
        <v>0</v>
      </c>
      <c r="Z3740">
        <v>0</v>
      </c>
      <c r="AB3740">
        <v>0</v>
      </c>
      <c r="AC3740">
        <v>9</v>
      </c>
      <c r="AD3740">
        <v>3</v>
      </c>
      <c r="AE3740">
        <v>0</v>
      </c>
      <c r="AF3740">
        <v>9</v>
      </c>
      <c r="AG3740" t="s">
        <v>158</v>
      </c>
      <c r="AH3740">
        <v>0</v>
      </c>
      <c r="AI3740">
        <v>3</v>
      </c>
      <c r="AJ3740">
        <v>1</v>
      </c>
      <c r="AK3740">
        <v>0</v>
      </c>
      <c r="AL3740" t="s">
        <v>7046</v>
      </c>
      <c r="AM3740">
        <v>47.039679999999997</v>
      </c>
      <c r="AN3740" t="s">
        <v>7047</v>
      </c>
      <c r="AO3740">
        <v>-123.91149</v>
      </c>
      <c r="AP3740">
        <v>100</v>
      </c>
      <c r="AQ3740">
        <v>2100</v>
      </c>
      <c r="AR3740" t="s">
        <v>118</v>
      </c>
      <c r="AS3740">
        <v>-79</v>
      </c>
      <c r="AT3740">
        <v>21</v>
      </c>
      <c r="AU3740">
        <v>-64</v>
      </c>
      <c r="BC3740">
        <v>1200</v>
      </c>
      <c r="BD3740">
        <v>1</v>
      </c>
      <c r="BE3740" t="str">
        <f t="shared" si="176"/>
        <v xml:space="preserve">N215T   </v>
      </c>
      <c r="BF3740">
        <v>1</v>
      </c>
      <c r="BH3740">
        <v>0</v>
      </c>
      <c r="BI3740">
        <v>0</v>
      </c>
      <c r="BJ3740">
        <v>0</v>
      </c>
      <c r="BK3740">
        <v>2425</v>
      </c>
      <c r="BL3740">
        <v>325</v>
      </c>
      <c r="BM3740" t="s">
        <v>119</v>
      </c>
      <c r="BN3740">
        <v>1</v>
      </c>
      <c r="BO3740">
        <v>1</v>
      </c>
      <c r="BP3740">
        <v>1</v>
      </c>
      <c r="BQ3740">
        <v>0</v>
      </c>
      <c r="BT3740">
        <v>0</v>
      </c>
      <c r="BU3740">
        <v>0</v>
      </c>
      <c r="BV3740">
        <v>0</v>
      </c>
      <c r="CC3740" t="str">
        <f>"19:37:19.117"</f>
        <v>19:37:19.117</v>
      </c>
      <c r="CD3740" t="str">
        <f>"113659891"</f>
        <v>113659891</v>
      </c>
      <c r="CQ3740">
        <v>0</v>
      </c>
      <c r="CR3740">
        <v>2</v>
      </c>
      <c r="CS3740">
        <v>0</v>
      </c>
      <c r="CT3740">
        <v>2</v>
      </c>
      <c r="CU3740">
        <v>0</v>
      </c>
      <c r="CV3740">
        <v>4</v>
      </c>
      <c r="CW3740" t="s">
        <v>120</v>
      </c>
      <c r="CX3740">
        <v>257</v>
      </c>
      <c r="CY3740">
        <v>0</v>
      </c>
      <c r="CZ3740" t="s">
        <v>615</v>
      </c>
      <c r="DA3740" t="s">
        <v>616</v>
      </c>
      <c r="DD3740">
        <v>16551776</v>
      </c>
      <c r="DE3740" t="s">
        <v>123</v>
      </c>
    </row>
    <row r="3741" spans="1:109" x14ac:dyDescent="0.3">
      <c r="A3741" t="str">
        <f>"19:37:20.359"</f>
        <v>19:37:20.359</v>
      </c>
      <c r="B3741" t="s">
        <v>110</v>
      </c>
      <c r="C3741" t="str">
        <f t="shared" si="174"/>
        <v>ffdfd3c0</v>
      </c>
      <c r="D3741" t="s">
        <v>111</v>
      </c>
      <c r="E3741">
        <v>18</v>
      </c>
      <c r="F3741">
        <v>1018</v>
      </c>
      <c r="G3741" t="s">
        <v>112</v>
      </c>
      <c r="J3741" t="s">
        <v>113</v>
      </c>
      <c r="K3741">
        <v>0</v>
      </c>
      <c r="L3741">
        <v>3</v>
      </c>
      <c r="M3741">
        <v>0</v>
      </c>
      <c r="N3741">
        <v>2</v>
      </c>
      <c r="O3741">
        <v>1</v>
      </c>
      <c r="P3741">
        <v>0</v>
      </c>
      <c r="Q3741">
        <v>0</v>
      </c>
      <c r="R3741" t="s">
        <v>114</v>
      </c>
      <c r="S3741" t="str">
        <f>"19:37:20.133"</f>
        <v>19:37:20.133</v>
      </c>
      <c r="T3741" t="str">
        <f>"19:37:19.734"</f>
        <v>19:37:19.734</v>
      </c>
      <c r="U3741" t="str">
        <f t="shared" si="175"/>
        <v>a1cdbe</v>
      </c>
      <c r="V3741">
        <v>0</v>
      </c>
      <c r="W3741">
        <v>0</v>
      </c>
      <c r="X3741">
        <v>2</v>
      </c>
      <c r="Y3741">
        <v>0</v>
      </c>
      <c r="Z3741">
        <v>0</v>
      </c>
      <c r="AB3741">
        <v>0</v>
      </c>
      <c r="AC3741">
        <v>9</v>
      </c>
      <c r="AD3741">
        <v>3</v>
      </c>
      <c r="AE3741">
        <v>0</v>
      </c>
      <c r="AF3741">
        <v>9</v>
      </c>
      <c r="AG3741" t="s">
        <v>158</v>
      </c>
      <c r="AH3741">
        <v>0</v>
      </c>
      <c r="AI3741">
        <v>3</v>
      </c>
      <c r="AJ3741">
        <v>1</v>
      </c>
      <c r="AK3741">
        <v>0</v>
      </c>
      <c r="AL3741" t="s">
        <v>7048</v>
      </c>
      <c r="AM3741">
        <v>47.039788000000001</v>
      </c>
      <c r="AN3741" t="s">
        <v>7049</v>
      </c>
      <c r="AO3741">
        <v>-123.912048</v>
      </c>
      <c r="AP3741">
        <v>100</v>
      </c>
      <c r="AQ3741">
        <v>2100</v>
      </c>
      <c r="AR3741" t="s">
        <v>118</v>
      </c>
      <c r="AS3741">
        <v>-79</v>
      </c>
      <c r="AT3741">
        <v>21</v>
      </c>
      <c r="AU3741">
        <v>-64</v>
      </c>
      <c r="BC3741">
        <v>1200</v>
      </c>
      <c r="BD3741">
        <v>1</v>
      </c>
      <c r="BE3741" t="str">
        <f t="shared" si="176"/>
        <v xml:space="preserve">N215T   </v>
      </c>
      <c r="BF3741">
        <v>1</v>
      </c>
      <c r="BH3741">
        <v>0</v>
      </c>
      <c r="BI3741">
        <v>0</v>
      </c>
      <c r="BJ3741">
        <v>0</v>
      </c>
      <c r="BK3741">
        <v>2425</v>
      </c>
      <c r="BL3741">
        <v>325</v>
      </c>
      <c r="BM3741" t="s">
        <v>119</v>
      </c>
      <c r="BN3741">
        <v>1</v>
      </c>
      <c r="BO3741">
        <v>1</v>
      </c>
      <c r="BP3741">
        <v>1</v>
      </c>
      <c r="BQ3741">
        <v>0</v>
      </c>
      <c r="BT3741">
        <v>0</v>
      </c>
      <c r="BU3741">
        <v>0</v>
      </c>
      <c r="BV3741">
        <v>0</v>
      </c>
      <c r="CC3741" t="str">
        <f>"19:37:20.133"</f>
        <v>19:37:20.133</v>
      </c>
      <c r="CD3741" t="str">
        <f>"133559420"</f>
        <v>133559420</v>
      </c>
      <c r="CQ3741">
        <v>0</v>
      </c>
      <c r="CR3741">
        <v>2</v>
      </c>
      <c r="CS3741">
        <v>0</v>
      </c>
      <c r="CT3741">
        <v>2</v>
      </c>
      <c r="CU3741">
        <v>0</v>
      </c>
      <c r="CV3741">
        <v>5</v>
      </c>
      <c r="CW3741" t="s">
        <v>120</v>
      </c>
      <c r="CX3741">
        <v>257</v>
      </c>
      <c r="CY3741">
        <v>0</v>
      </c>
      <c r="CZ3741" t="s">
        <v>615</v>
      </c>
      <c r="DA3741" t="s">
        <v>616</v>
      </c>
      <c r="DD3741">
        <v>16552121</v>
      </c>
      <c r="DE3741" t="s">
        <v>123</v>
      </c>
    </row>
    <row r="3742" spans="1:109" x14ac:dyDescent="0.3">
      <c r="A3742" t="str">
        <f>"19:37:21.461"</f>
        <v>19:37:21.461</v>
      </c>
      <c r="B3742" t="s">
        <v>110</v>
      </c>
      <c r="C3742" t="str">
        <f t="shared" si="174"/>
        <v>ffdfd3c0</v>
      </c>
      <c r="D3742" t="s">
        <v>111</v>
      </c>
      <c r="E3742">
        <v>18</v>
      </c>
      <c r="F3742">
        <v>1018</v>
      </c>
      <c r="G3742" t="s">
        <v>112</v>
      </c>
      <c r="J3742" t="s">
        <v>113</v>
      </c>
      <c r="K3742">
        <v>0</v>
      </c>
      <c r="L3742">
        <v>3</v>
      </c>
      <c r="M3742">
        <v>0</v>
      </c>
      <c r="N3742">
        <v>2</v>
      </c>
      <c r="O3742">
        <v>1</v>
      </c>
      <c r="P3742">
        <v>0</v>
      </c>
      <c r="Q3742">
        <v>0</v>
      </c>
      <c r="R3742" t="s">
        <v>114</v>
      </c>
      <c r="S3742" t="str">
        <f>"19:37:21.242"</f>
        <v>19:37:21.242</v>
      </c>
      <c r="T3742" t="str">
        <f>"19:37:21.242"</f>
        <v>19:37:21.242</v>
      </c>
      <c r="U3742" t="str">
        <f t="shared" si="175"/>
        <v>a1cdbe</v>
      </c>
      <c r="V3742">
        <v>0</v>
      </c>
      <c r="W3742">
        <v>0</v>
      </c>
      <c r="X3742">
        <v>2</v>
      </c>
      <c r="Y3742">
        <v>0</v>
      </c>
      <c r="Z3742">
        <v>0</v>
      </c>
      <c r="AB3742">
        <v>0</v>
      </c>
      <c r="AC3742">
        <v>9</v>
      </c>
      <c r="AD3742">
        <v>3</v>
      </c>
      <c r="AE3742">
        <v>0</v>
      </c>
      <c r="AF3742">
        <v>9</v>
      </c>
      <c r="AG3742" t="s">
        <v>158</v>
      </c>
      <c r="AH3742">
        <v>0</v>
      </c>
      <c r="AI3742">
        <v>3</v>
      </c>
      <c r="AJ3742">
        <v>1</v>
      </c>
      <c r="AK3742">
        <v>0</v>
      </c>
      <c r="AL3742" t="s">
        <v>599</v>
      </c>
      <c r="AM3742">
        <v>47.039895000000001</v>
      </c>
      <c r="AN3742" t="s">
        <v>7050</v>
      </c>
      <c r="AO3742">
        <v>-123.912606</v>
      </c>
      <c r="AP3742">
        <v>100</v>
      </c>
      <c r="AQ3742">
        <v>2100</v>
      </c>
      <c r="AR3742" t="s">
        <v>118</v>
      </c>
      <c r="AS3742">
        <v>-79</v>
      </c>
      <c r="AT3742">
        <v>22</v>
      </c>
      <c r="AU3742">
        <v>0</v>
      </c>
      <c r="BC3742">
        <v>1200</v>
      </c>
      <c r="BD3742">
        <v>1</v>
      </c>
      <c r="BE3742" t="str">
        <f t="shared" si="176"/>
        <v xml:space="preserve">N215T   </v>
      </c>
      <c r="BF3742">
        <v>1</v>
      </c>
      <c r="BH3742">
        <v>0</v>
      </c>
      <c r="BI3742">
        <v>0</v>
      </c>
      <c r="BJ3742">
        <v>0</v>
      </c>
      <c r="BK3742">
        <v>2425</v>
      </c>
      <c r="BL3742">
        <v>325</v>
      </c>
      <c r="BM3742" t="s">
        <v>119</v>
      </c>
      <c r="BN3742">
        <v>1</v>
      </c>
      <c r="BO3742">
        <v>1</v>
      </c>
      <c r="BP3742">
        <v>1</v>
      </c>
      <c r="BQ3742">
        <v>0</v>
      </c>
      <c r="BT3742">
        <v>0</v>
      </c>
      <c r="BU3742">
        <v>0</v>
      </c>
      <c r="BV3742">
        <v>0</v>
      </c>
      <c r="CC3742" t="str">
        <f>"19:37:21.242"</f>
        <v>19:37:21.242</v>
      </c>
      <c r="CD3742" t="str">
        <f>"243450113"</f>
        <v>243450113</v>
      </c>
      <c r="CQ3742">
        <v>0</v>
      </c>
      <c r="CR3742">
        <v>2</v>
      </c>
      <c r="CS3742">
        <v>0</v>
      </c>
      <c r="CT3742">
        <v>2</v>
      </c>
      <c r="CU3742">
        <v>0</v>
      </c>
      <c r="CV3742">
        <v>5</v>
      </c>
      <c r="CW3742" t="s">
        <v>120</v>
      </c>
      <c r="CX3742">
        <v>257</v>
      </c>
      <c r="CY3742">
        <v>0</v>
      </c>
      <c r="CZ3742" t="s">
        <v>615</v>
      </c>
      <c r="DA3742" t="s">
        <v>616</v>
      </c>
      <c r="DD3742">
        <v>16552543</v>
      </c>
      <c r="DE3742" t="s">
        <v>123</v>
      </c>
    </row>
    <row r="3743" spans="1:109" x14ac:dyDescent="0.3">
      <c r="A3743" t="str">
        <f>"19:37:22.570"</f>
        <v>19:37:22.570</v>
      </c>
      <c r="B3743" t="s">
        <v>110</v>
      </c>
      <c r="C3743" t="str">
        <f t="shared" si="174"/>
        <v>ffdfd3c0</v>
      </c>
      <c r="D3743" t="s">
        <v>111</v>
      </c>
      <c r="E3743">
        <v>18</v>
      </c>
      <c r="F3743">
        <v>1018</v>
      </c>
      <c r="G3743" t="s">
        <v>112</v>
      </c>
      <c r="J3743" t="s">
        <v>113</v>
      </c>
      <c r="K3743">
        <v>0</v>
      </c>
      <c r="L3743">
        <v>3</v>
      </c>
      <c r="M3743">
        <v>0</v>
      </c>
      <c r="N3743">
        <v>2</v>
      </c>
      <c r="O3743">
        <v>1</v>
      </c>
      <c r="P3743">
        <v>0</v>
      </c>
      <c r="Q3743">
        <v>0</v>
      </c>
      <c r="R3743" t="s">
        <v>114</v>
      </c>
      <c r="S3743" t="str">
        <f>"19:37:22.352"</f>
        <v>19:37:22.352</v>
      </c>
      <c r="T3743" t="str">
        <f>"19:37:22.148"</f>
        <v>19:37:22.148</v>
      </c>
      <c r="U3743" t="str">
        <f t="shared" si="175"/>
        <v>a1cdbe</v>
      </c>
      <c r="V3743">
        <v>0</v>
      </c>
      <c r="W3743">
        <v>0</v>
      </c>
      <c r="X3743">
        <v>2</v>
      </c>
      <c r="Y3743">
        <v>0</v>
      </c>
      <c r="Z3743">
        <v>0</v>
      </c>
      <c r="AB3743">
        <v>0</v>
      </c>
      <c r="AC3743">
        <v>9</v>
      </c>
      <c r="AD3743">
        <v>3</v>
      </c>
      <c r="AE3743">
        <v>0</v>
      </c>
      <c r="AF3743">
        <v>9</v>
      </c>
      <c r="AG3743" t="s">
        <v>158</v>
      </c>
      <c r="AH3743">
        <v>0</v>
      </c>
      <c r="AI3743">
        <v>3</v>
      </c>
      <c r="AJ3743">
        <v>1</v>
      </c>
      <c r="AK3743">
        <v>0</v>
      </c>
      <c r="AL3743" t="s">
        <v>7051</v>
      </c>
      <c r="AM3743">
        <v>47.040002000000001</v>
      </c>
      <c r="AN3743" t="s">
        <v>7052</v>
      </c>
      <c r="AO3743">
        <v>-123.913186</v>
      </c>
      <c r="AP3743">
        <v>100</v>
      </c>
      <c r="AQ3743">
        <v>2100</v>
      </c>
      <c r="AR3743" t="s">
        <v>118</v>
      </c>
      <c r="AS3743">
        <v>-79</v>
      </c>
      <c r="AT3743">
        <v>22</v>
      </c>
      <c r="AU3743">
        <v>0</v>
      </c>
      <c r="BC3743">
        <v>1200</v>
      </c>
      <c r="BD3743">
        <v>1</v>
      </c>
      <c r="BE3743" t="str">
        <f t="shared" si="176"/>
        <v xml:space="preserve">N215T   </v>
      </c>
      <c r="BF3743">
        <v>1</v>
      </c>
      <c r="BH3743">
        <v>0</v>
      </c>
      <c r="BI3743">
        <v>0</v>
      </c>
      <c r="BJ3743">
        <v>0</v>
      </c>
      <c r="BK3743">
        <v>2425</v>
      </c>
      <c r="BL3743">
        <v>325</v>
      </c>
      <c r="BM3743" t="s">
        <v>119</v>
      </c>
      <c r="BN3743">
        <v>1</v>
      </c>
      <c r="BO3743">
        <v>1</v>
      </c>
      <c r="BP3743">
        <v>1</v>
      </c>
      <c r="BQ3743">
        <v>0</v>
      </c>
      <c r="BT3743">
        <v>0</v>
      </c>
      <c r="BU3743">
        <v>0</v>
      </c>
      <c r="BV3743">
        <v>0</v>
      </c>
      <c r="CC3743" t="str">
        <f>"19:37:22.352"</f>
        <v>19:37:22.352</v>
      </c>
      <c r="CD3743" t="str">
        <f>"353340770"</f>
        <v>353340770</v>
      </c>
      <c r="CQ3743">
        <v>0</v>
      </c>
      <c r="CR3743">
        <v>2</v>
      </c>
      <c r="CS3743">
        <v>0</v>
      </c>
      <c r="CT3743">
        <v>2</v>
      </c>
      <c r="CU3743">
        <v>0</v>
      </c>
      <c r="CV3743">
        <v>4</v>
      </c>
      <c r="CW3743" t="s">
        <v>120</v>
      </c>
      <c r="CX3743">
        <v>257</v>
      </c>
      <c r="CY3743">
        <v>0</v>
      </c>
      <c r="CZ3743" t="s">
        <v>615</v>
      </c>
      <c r="DA3743" t="s">
        <v>616</v>
      </c>
      <c r="DD3743">
        <v>16552922</v>
      </c>
      <c r="DE3743" t="s">
        <v>123</v>
      </c>
    </row>
    <row r="3744" spans="1:109" x14ac:dyDescent="0.3">
      <c r="A3744" t="str">
        <f>"19:37:24.031"</f>
        <v>19:37:24.031</v>
      </c>
      <c r="B3744" t="s">
        <v>110</v>
      </c>
      <c r="C3744" t="str">
        <f t="shared" si="174"/>
        <v>ffdfd3c0</v>
      </c>
      <c r="D3744" t="s">
        <v>111</v>
      </c>
      <c r="E3744">
        <v>18</v>
      </c>
      <c r="F3744">
        <v>1018</v>
      </c>
      <c r="G3744" t="s">
        <v>112</v>
      </c>
      <c r="J3744" t="s">
        <v>113</v>
      </c>
      <c r="K3744">
        <v>0</v>
      </c>
      <c r="L3744">
        <v>3</v>
      </c>
      <c r="M3744">
        <v>0</v>
      </c>
      <c r="N3744">
        <v>2</v>
      </c>
      <c r="O3744">
        <v>1</v>
      </c>
      <c r="P3744">
        <v>0</v>
      </c>
      <c r="Q3744">
        <v>0</v>
      </c>
      <c r="R3744" t="s">
        <v>114</v>
      </c>
      <c r="S3744" t="str">
        <f>"19:37:23.773"</f>
        <v>19:37:23.773</v>
      </c>
      <c r="T3744" t="str">
        <f>"19:37:23.477"</f>
        <v>19:37:23.477</v>
      </c>
      <c r="U3744" t="str">
        <f t="shared" si="175"/>
        <v>a1cdbe</v>
      </c>
      <c r="V3744">
        <v>0</v>
      </c>
      <c r="W3744">
        <v>0</v>
      </c>
      <c r="X3744">
        <v>2</v>
      </c>
      <c r="Y3744">
        <v>0</v>
      </c>
      <c r="Z3744">
        <v>0</v>
      </c>
      <c r="AB3744">
        <v>0</v>
      </c>
      <c r="AC3744">
        <v>9</v>
      </c>
      <c r="AD3744">
        <v>3</v>
      </c>
      <c r="AE3744">
        <v>0</v>
      </c>
      <c r="AF3744">
        <v>9</v>
      </c>
      <c r="AG3744" t="s">
        <v>158</v>
      </c>
      <c r="AH3744">
        <v>0</v>
      </c>
      <c r="AI3744">
        <v>3</v>
      </c>
      <c r="AJ3744">
        <v>1</v>
      </c>
      <c r="AK3744">
        <v>0</v>
      </c>
      <c r="AL3744" t="s">
        <v>7053</v>
      </c>
      <c r="AM3744">
        <v>47.040152999999997</v>
      </c>
      <c r="AN3744" t="s">
        <v>7054</v>
      </c>
      <c r="AO3744">
        <v>-123.91395799999999</v>
      </c>
      <c r="AP3744">
        <v>100</v>
      </c>
      <c r="AQ3744">
        <v>2100</v>
      </c>
      <c r="AR3744" t="s">
        <v>118</v>
      </c>
      <c r="AS3744">
        <v>-79</v>
      </c>
      <c r="AT3744">
        <v>22</v>
      </c>
      <c r="AU3744">
        <v>-64</v>
      </c>
      <c r="BC3744">
        <v>1200</v>
      </c>
      <c r="BD3744">
        <v>1</v>
      </c>
      <c r="BE3744" t="str">
        <f t="shared" si="176"/>
        <v xml:space="preserve">N215T   </v>
      </c>
      <c r="BF3744">
        <v>1</v>
      </c>
      <c r="BH3744">
        <v>0</v>
      </c>
      <c r="BI3744">
        <v>0</v>
      </c>
      <c r="BJ3744">
        <v>0</v>
      </c>
      <c r="BK3744">
        <v>2425</v>
      </c>
      <c r="BL3744">
        <v>325</v>
      </c>
      <c r="BM3744" t="s">
        <v>119</v>
      </c>
      <c r="BN3744">
        <v>1</v>
      </c>
      <c r="BO3744">
        <v>1</v>
      </c>
      <c r="BP3744">
        <v>1</v>
      </c>
      <c r="BQ3744">
        <v>0</v>
      </c>
      <c r="BT3744">
        <v>0</v>
      </c>
      <c r="BU3744">
        <v>0</v>
      </c>
      <c r="BV3744">
        <v>0</v>
      </c>
      <c r="CC3744" t="str">
        <f>"19:37:23.781"</f>
        <v>19:37:23.781</v>
      </c>
      <c r="CD3744" t="str">
        <f>"778200418"</f>
        <v>778200418</v>
      </c>
      <c r="CQ3744">
        <v>0</v>
      </c>
      <c r="CR3744">
        <v>2</v>
      </c>
      <c r="CS3744">
        <v>0</v>
      </c>
      <c r="CT3744">
        <v>2</v>
      </c>
      <c r="CU3744">
        <v>0</v>
      </c>
      <c r="CV3744">
        <v>5</v>
      </c>
      <c r="CW3744" t="s">
        <v>120</v>
      </c>
      <c r="CX3744">
        <v>257</v>
      </c>
      <c r="CY3744">
        <v>0</v>
      </c>
      <c r="CZ3744" t="s">
        <v>615</v>
      </c>
      <c r="DA3744" t="s">
        <v>616</v>
      </c>
      <c r="DD3744">
        <v>16553447</v>
      </c>
      <c r="DE3744" t="s">
        <v>123</v>
      </c>
    </row>
    <row r="3745" spans="1:109" x14ac:dyDescent="0.3">
      <c r="A3745" t="str">
        <f>"19:37:25.086"</f>
        <v>19:37:25.086</v>
      </c>
      <c r="B3745" t="s">
        <v>110</v>
      </c>
      <c r="C3745" t="str">
        <f t="shared" si="174"/>
        <v>ffdfd3c0</v>
      </c>
      <c r="D3745" t="s">
        <v>111</v>
      </c>
      <c r="E3745">
        <v>18</v>
      </c>
      <c r="F3745">
        <v>1018</v>
      </c>
      <c r="G3745" t="s">
        <v>112</v>
      </c>
      <c r="J3745" t="s">
        <v>113</v>
      </c>
      <c r="K3745">
        <v>0</v>
      </c>
      <c r="L3745">
        <v>3</v>
      </c>
      <c r="M3745">
        <v>0</v>
      </c>
      <c r="N3745">
        <v>2</v>
      </c>
      <c r="O3745">
        <v>1</v>
      </c>
      <c r="P3745">
        <v>0</v>
      </c>
      <c r="Q3745">
        <v>0</v>
      </c>
      <c r="R3745" t="s">
        <v>114</v>
      </c>
      <c r="S3745" t="str">
        <f>"19:37:24.852"</f>
        <v>19:37:24.852</v>
      </c>
      <c r="T3745" t="str">
        <f>"19:37:24.555"</f>
        <v>19:37:24.555</v>
      </c>
      <c r="U3745" t="str">
        <f t="shared" si="175"/>
        <v>a1cdbe</v>
      </c>
      <c r="V3745">
        <v>0</v>
      </c>
      <c r="W3745">
        <v>0</v>
      </c>
      <c r="X3745">
        <v>2</v>
      </c>
      <c r="Y3745">
        <v>0</v>
      </c>
      <c r="Z3745">
        <v>0</v>
      </c>
      <c r="AB3745">
        <v>0</v>
      </c>
      <c r="AC3745">
        <v>9</v>
      </c>
      <c r="AD3745">
        <v>3</v>
      </c>
      <c r="AE3745">
        <v>0</v>
      </c>
      <c r="AF3745">
        <v>9</v>
      </c>
      <c r="AG3745" t="s">
        <v>158</v>
      </c>
      <c r="AH3745">
        <v>0</v>
      </c>
      <c r="AI3745">
        <v>3</v>
      </c>
      <c r="AJ3745">
        <v>1</v>
      </c>
      <c r="AK3745">
        <v>0</v>
      </c>
      <c r="AL3745" t="s">
        <v>7055</v>
      </c>
      <c r="AM3745">
        <v>47.040260000000004</v>
      </c>
      <c r="AN3745" t="s">
        <v>7056</v>
      </c>
      <c r="AO3745">
        <v>-123.91451600000001</v>
      </c>
      <c r="AP3745">
        <v>100</v>
      </c>
      <c r="AQ3745">
        <v>2100</v>
      </c>
      <c r="AR3745" t="s">
        <v>118</v>
      </c>
      <c r="AS3745">
        <v>-79</v>
      </c>
      <c r="AT3745">
        <v>23</v>
      </c>
      <c r="AU3745">
        <v>-64</v>
      </c>
      <c r="BC3745">
        <v>1200</v>
      </c>
      <c r="BD3745">
        <v>1</v>
      </c>
      <c r="BE3745" t="str">
        <f t="shared" si="176"/>
        <v xml:space="preserve">N215T   </v>
      </c>
      <c r="BF3745">
        <v>1</v>
      </c>
      <c r="BH3745">
        <v>0</v>
      </c>
      <c r="BI3745">
        <v>0</v>
      </c>
      <c r="BJ3745">
        <v>0</v>
      </c>
      <c r="BK3745">
        <v>2425</v>
      </c>
      <c r="BL3745">
        <v>325</v>
      </c>
      <c r="BM3745" t="s">
        <v>119</v>
      </c>
      <c r="BN3745">
        <v>1</v>
      </c>
      <c r="BO3745">
        <v>1</v>
      </c>
      <c r="BP3745">
        <v>1</v>
      </c>
      <c r="BQ3745">
        <v>0</v>
      </c>
      <c r="BT3745">
        <v>0</v>
      </c>
      <c r="BU3745">
        <v>0</v>
      </c>
      <c r="BV3745">
        <v>0</v>
      </c>
      <c r="CC3745" t="str">
        <f>"19:37:24.859"</f>
        <v>19:37:24.859</v>
      </c>
      <c r="CD3745" t="str">
        <f>"858094060"</f>
        <v>858094060</v>
      </c>
      <c r="CQ3745">
        <v>0</v>
      </c>
      <c r="CR3745">
        <v>2</v>
      </c>
      <c r="CS3745">
        <v>0</v>
      </c>
      <c r="CT3745">
        <v>2</v>
      </c>
      <c r="CU3745">
        <v>0</v>
      </c>
      <c r="CV3745">
        <v>4</v>
      </c>
      <c r="CW3745" t="s">
        <v>120</v>
      </c>
      <c r="CX3745">
        <v>257</v>
      </c>
      <c r="CY3745">
        <v>0</v>
      </c>
      <c r="CZ3745" t="s">
        <v>615</v>
      </c>
      <c r="DA3745" t="s">
        <v>616</v>
      </c>
      <c r="DD3745">
        <v>16553800</v>
      </c>
      <c r="DE3745" t="s">
        <v>123</v>
      </c>
    </row>
    <row r="3746" spans="1:109" x14ac:dyDescent="0.3">
      <c r="A3746" t="str">
        <f>"19:37:26.141"</f>
        <v>19:37:26.141</v>
      </c>
      <c r="B3746" t="s">
        <v>110</v>
      </c>
      <c r="C3746" t="str">
        <f t="shared" si="174"/>
        <v>ffdfd3c0</v>
      </c>
      <c r="D3746" t="s">
        <v>111</v>
      </c>
      <c r="E3746">
        <v>18</v>
      </c>
      <c r="F3746">
        <v>1018</v>
      </c>
      <c r="G3746" t="s">
        <v>112</v>
      </c>
      <c r="J3746" t="s">
        <v>113</v>
      </c>
      <c r="K3746">
        <v>0</v>
      </c>
      <c r="L3746">
        <v>3</v>
      </c>
      <c r="M3746">
        <v>0</v>
      </c>
      <c r="N3746">
        <v>2</v>
      </c>
      <c r="O3746">
        <v>1</v>
      </c>
      <c r="P3746">
        <v>0</v>
      </c>
      <c r="Q3746">
        <v>0</v>
      </c>
      <c r="R3746" t="s">
        <v>114</v>
      </c>
      <c r="S3746" t="str">
        <f>"19:37:25.891"</f>
        <v>19:37:25.891</v>
      </c>
      <c r="T3746" t="str">
        <f>"19:37:25.492"</f>
        <v>19:37:25.492</v>
      </c>
      <c r="U3746" t="str">
        <f t="shared" si="175"/>
        <v>a1cdbe</v>
      </c>
      <c r="V3746">
        <v>0</v>
      </c>
      <c r="W3746">
        <v>0</v>
      </c>
      <c r="X3746">
        <v>2</v>
      </c>
      <c r="Y3746">
        <v>0</v>
      </c>
      <c r="Z3746">
        <v>0</v>
      </c>
      <c r="AB3746">
        <v>0</v>
      </c>
      <c r="AC3746">
        <v>9</v>
      </c>
      <c r="AD3746">
        <v>3</v>
      </c>
      <c r="AE3746">
        <v>0</v>
      </c>
      <c r="AF3746">
        <v>9</v>
      </c>
      <c r="AG3746" t="s">
        <v>158</v>
      </c>
      <c r="AH3746">
        <v>0</v>
      </c>
      <c r="AI3746">
        <v>3</v>
      </c>
      <c r="AJ3746">
        <v>1</v>
      </c>
      <c r="AK3746">
        <v>0</v>
      </c>
      <c r="AL3746" t="s">
        <v>7057</v>
      </c>
      <c r="AM3746">
        <v>47.040388999999998</v>
      </c>
      <c r="AN3746" t="s">
        <v>7058</v>
      </c>
      <c r="AO3746">
        <v>-123.915074</v>
      </c>
      <c r="AP3746">
        <v>100</v>
      </c>
      <c r="AQ3746">
        <v>2100</v>
      </c>
      <c r="AR3746" t="s">
        <v>118</v>
      </c>
      <c r="AS3746">
        <v>-79</v>
      </c>
      <c r="AT3746">
        <v>23</v>
      </c>
      <c r="AU3746">
        <v>-64</v>
      </c>
      <c r="BC3746">
        <v>1200</v>
      </c>
      <c r="BD3746">
        <v>1</v>
      </c>
      <c r="BE3746" t="str">
        <f t="shared" si="176"/>
        <v xml:space="preserve">N215T   </v>
      </c>
      <c r="BF3746">
        <v>1</v>
      </c>
      <c r="BH3746">
        <v>0</v>
      </c>
      <c r="BI3746">
        <v>0</v>
      </c>
      <c r="BJ3746">
        <v>0</v>
      </c>
      <c r="BK3746">
        <v>2425</v>
      </c>
      <c r="BL3746">
        <v>325</v>
      </c>
      <c r="BM3746" t="s">
        <v>119</v>
      </c>
      <c r="BN3746">
        <v>1</v>
      </c>
      <c r="BO3746">
        <v>1</v>
      </c>
      <c r="BP3746">
        <v>1</v>
      </c>
      <c r="BQ3746">
        <v>0</v>
      </c>
      <c r="BT3746">
        <v>0</v>
      </c>
      <c r="BU3746">
        <v>0</v>
      </c>
      <c r="BV3746">
        <v>0</v>
      </c>
      <c r="CC3746" t="str">
        <f>"19:37:25.891"</f>
        <v>19:37:25.891</v>
      </c>
      <c r="CD3746" t="str">
        <f>"892992136"</f>
        <v>892992136</v>
      </c>
      <c r="CQ3746">
        <v>0</v>
      </c>
      <c r="CR3746">
        <v>2</v>
      </c>
      <c r="CS3746">
        <v>0</v>
      </c>
      <c r="CT3746">
        <v>2</v>
      </c>
      <c r="CU3746">
        <v>0</v>
      </c>
      <c r="CV3746">
        <v>5</v>
      </c>
      <c r="CW3746" t="s">
        <v>120</v>
      </c>
      <c r="CX3746">
        <v>257</v>
      </c>
      <c r="CY3746">
        <v>0</v>
      </c>
      <c r="CZ3746" t="s">
        <v>615</v>
      </c>
      <c r="DA3746" t="s">
        <v>616</v>
      </c>
      <c r="DD3746">
        <v>16554166</v>
      </c>
      <c r="DE3746" t="s">
        <v>123</v>
      </c>
    </row>
    <row r="3747" spans="1:109" x14ac:dyDescent="0.3">
      <c r="A3747" t="str">
        <f>"19:37:26.992"</f>
        <v>19:37:26.992</v>
      </c>
      <c r="B3747" t="s">
        <v>110</v>
      </c>
      <c r="C3747" t="str">
        <f t="shared" si="174"/>
        <v>ffdfd3c0</v>
      </c>
      <c r="D3747" t="s">
        <v>111</v>
      </c>
      <c r="E3747">
        <v>18</v>
      </c>
      <c r="F3747">
        <v>1018</v>
      </c>
      <c r="G3747" t="s">
        <v>112</v>
      </c>
      <c r="J3747" t="s">
        <v>113</v>
      </c>
      <c r="K3747">
        <v>0</v>
      </c>
      <c r="L3747">
        <v>3</v>
      </c>
      <c r="M3747">
        <v>0</v>
      </c>
      <c r="N3747">
        <v>2</v>
      </c>
      <c r="O3747">
        <v>1</v>
      </c>
      <c r="P3747">
        <v>0</v>
      </c>
      <c r="Q3747">
        <v>0</v>
      </c>
      <c r="R3747" t="s">
        <v>114</v>
      </c>
      <c r="S3747" t="str">
        <f>"19:37:26.742"</f>
        <v>19:37:26.742</v>
      </c>
      <c r="T3747" t="str">
        <f>"19:37:26.539"</f>
        <v>19:37:26.539</v>
      </c>
      <c r="U3747" t="str">
        <f t="shared" si="175"/>
        <v>a1cdbe</v>
      </c>
      <c r="V3747">
        <v>0</v>
      </c>
      <c r="W3747">
        <v>0</v>
      </c>
      <c r="X3747">
        <v>2</v>
      </c>
      <c r="Y3747">
        <v>0</v>
      </c>
      <c r="Z3747">
        <v>0</v>
      </c>
      <c r="AB3747">
        <v>0</v>
      </c>
      <c r="AC3747">
        <v>9</v>
      </c>
      <c r="AD3747">
        <v>3</v>
      </c>
      <c r="AE3747">
        <v>0</v>
      </c>
      <c r="AF3747">
        <v>9</v>
      </c>
      <c r="AG3747" t="s">
        <v>158</v>
      </c>
      <c r="AH3747">
        <v>0</v>
      </c>
      <c r="AI3747">
        <v>3</v>
      </c>
      <c r="AJ3747">
        <v>1</v>
      </c>
      <c r="AK3747">
        <v>0</v>
      </c>
      <c r="AL3747" t="s">
        <v>7059</v>
      </c>
      <c r="AM3747">
        <v>47.040474000000003</v>
      </c>
      <c r="AN3747" t="s">
        <v>7060</v>
      </c>
      <c r="AO3747">
        <v>-123.915567</v>
      </c>
      <c r="AP3747">
        <v>100</v>
      </c>
      <c r="AQ3747">
        <v>2100</v>
      </c>
      <c r="AR3747" t="s">
        <v>118</v>
      </c>
      <c r="AS3747">
        <v>-79</v>
      </c>
      <c r="AT3747">
        <v>23</v>
      </c>
      <c r="AU3747">
        <v>0</v>
      </c>
      <c r="BC3747">
        <v>1200</v>
      </c>
      <c r="BD3747">
        <v>1</v>
      </c>
      <c r="BE3747" t="str">
        <f t="shared" si="176"/>
        <v xml:space="preserve">N215T   </v>
      </c>
      <c r="BF3747">
        <v>1</v>
      </c>
      <c r="BH3747">
        <v>0</v>
      </c>
      <c r="BI3747">
        <v>0</v>
      </c>
      <c r="BJ3747">
        <v>0</v>
      </c>
      <c r="BK3747">
        <v>2425</v>
      </c>
      <c r="BL3747">
        <v>325</v>
      </c>
      <c r="BM3747" t="s">
        <v>119</v>
      </c>
      <c r="BN3747">
        <v>1</v>
      </c>
      <c r="BO3747">
        <v>1</v>
      </c>
      <c r="BP3747">
        <v>1</v>
      </c>
      <c r="BQ3747">
        <v>0</v>
      </c>
      <c r="BT3747">
        <v>0</v>
      </c>
      <c r="BU3747">
        <v>0</v>
      </c>
      <c r="BV3747">
        <v>0</v>
      </c>
      <c r="CC3747" t="str">
        <f>"19:37:26.750"</f>
        <v>19:37:26.750</v>
      </c>
      <c r="CD3747" t="str">
        <f>"747907902"</f>
        <v>747907902</v>
      </c>
      <c r="CQ3747">
        <v>0</v>
      </c>
      <c r="CR3747">
        <v>2</v>
      </c>
      <c r="CS3747">
        <v>0</v>
      </c>
      <c r="CT3747">
        <v>2</v>
      </c>
      <c r="CU3747">
        <v>0</v>
      </c>
      <c r="CV3747">
        <v>5</v>
      </c>
      <c r="CW3747" t="s">
        <v>120</v>
      </c>
      <c r="CX3747">
        <v>257</v>
      </c>
      <c r="CY3747">
        <v>0</v>
      </c>
      <c r="CZ3747" t="s">
        <v>615</v>
      </c>
      <c r="DA3747" t="s">
        <v>616</v>
      </c>
      <c r="DD3747">
        <v>16554463</v>
      </c>
      <c r="DE3747" t="s">
        <v>123</v>
      </c>
    </row>
    <row r="3748" spans="1:109" x14ac:dyDescent="0.3">
      <c r="A3748" t="str">
        <f>"19:37:27.945"</f>
        <v>19:37:27.945</v>
      </c>
      <c r="B3748" t="s">
        <v>110</v>
      </c>
      <c r="C3748" t="str">
        <f t="shared" si="174"/>
        <v>ffdfd3c0</v>
      </c>
      <c r="D3748" t="s">
        <v>111</v>
      </c>
      <c r="E3748">
        <v>18</v>
      </c>
      <c r="F3748">
        <v>1018</v>
      </c>
      <c r="G3748" t="s">
        <v>112</v>
      </c>
      <c r="J3748" t="s">
        <v>113</v>
      </c>
      <c r="K3748">
        <v>0</v>
      </c>
      <c r="L3748">
        <v>3</v>
      </c>
      <c r="M3748">
        <v>0</v>
      </c>
      <c r="N3748">
        <v>2</v>
      </c>
      <c r="O3748">
        <v>1</v>
      </c>
      <c r="P3748">
        <v>0</v>
      </c>
      <c r="Q3748">
        <v>0</v>
      </c>
      <c r="R3748" t="s">
        <v>114</v>
      </c>
      <c r="S3748" t="str">
        <f>"19:37:27.703"</f>
        <v>19:37:27.703</v>
      </c>
      <c r="T3748" t="str">
        <f>"19:37:27.203"</f>
        <v>19:37:27.203</v>
      </c>
      <c r="U3748" t="str">
        <f t="shared" si="175"/>
        <v>a1cdbe</v>
      </c>
      <c r="V3748">
        <v>0</v>
      </c>
      <c r="W3748">
        <v>0</v>
      </c>
      <c r="X3748">
        <v>2</v>
      </c>
      <c r="Y3748">
        <v>0</v>
      </c>
      <c r="Z3748">
        <v>0</v>
      </c>
      <c r="AB3748">
        <v>0</v>
      </c>
      <c r="AC3748">
        <v>9</v>
      </c>
      <c r="AD3748">
        <v>3</v>
      </c>
      <c r="AE3748">
        <v>0</v>
      </c>
      <c r="AF3748">
        <v>9</v>
      </c>
      <c r="AG3748" t="s">
        <v>158</v>
      </c>
      <c r="AH3748">
        <v>0</v>
      </c>
      <c r="AI3748">
        <v>3</v>
      </c>
      <c r="AJ3748">
        <v>1</v>
      </c>
      <c r="AK3748">
        <v>0</v>
      </c>
      <c r="AL3748" t="s">
        <v>7061</v>
      </c>
      <c r="AM3748">
        <v>47.040582000000001</v>
      </c>
      <c r="AN3748" t="s">
        <v>7062</v>
      </c>
      <c r="AO3748">
        <v>-123.916104</v>
      </c>
      <c r="AP3748">
        <v>100</v>
      </c>
      <c r="AQ3748">
        <v>2100</v>
      </c>
      <c r="AR3748" t="s">
        <v>118</v>
      </c>
      <c r="AS3748">
        <v>-79</v>
      </c>
      <c r="AT3748">
        <v>23</v>
      </c>
      <c r="AU3748">
        <v>0</v>
      </c>
      <c r="BC3748">
        <v>1200</v>
      </c>
      <c r="BD3748">
        <v>1</v>
      </c>
      <c r="BE3748" t="str">
        <f t="shared" si="176"/>
        <v xml:space="preserve">N215T   </v>
      </c>
      <c r="BF3748">
        <v>1</v>
      </c>
      <c r="BH3748">
        <v>0</v>
      </c>
      <c r="BI3748">
        <v>0</v>
      </c>
      <c r="BJ3748">
        <v>0</v>
      </c>
      <c r="BK3748">
        <v>2425</v>
      </c>
      <c r="BL3748">
        <v>325</v>
      </c>
      <c r="BM3748" t="s">
        <v>119</v>
      </c>
      <c r="BN3748">
        <v>1</v>
      </c>
      <c r="BO3748">
        <v>1</v>
      </c>
      <c r="BP3748">
        <v>1</v>
      </c>
      <c r="BQ3748">
        <v>0</v>
      </c>
      <c r="BT3748">
        <v>0</v>
      </c>
      <c r="BU3748">
        <v>0</v>
      </c>
      <c r="BV3748">
        <v>0</v>
      </c>
      <c r="CC3748" t="str">
        <f>"19:37:27.711"</f>
        <v>19:37:27.711</v>
      </c>
      <c r="CD3748" t="str">
        <f>"707813341"</f>
        <v>707813341</v>
      </c>
      <c r="CQ3748">
        <v>0</v>
      </c>
      <c r="CR3748">
        <v>2</v>
      </c>
      <c r="CS3748">
        <v>0</v>
      </c>
      <c r="CT3748">
        <v>2</v>
      </c>
      <c r="CU3748">
        <v>0</v>
      </c>
      <c r="CV3748">
        <v>3</v>
      </c>
      <c r="CW3748" t="s">
        <v>120</v>
      </c>
      <c r="CX3748">
        <v>257</v>
      </c>
      <c r="CY3748">
        <v>0</v>
      </c>
      <c r="CZ3748" t="s">
        <v>615</v>
      </c>
      <c r="DA3748" t="s">
        <v>616</v>
      </c>
      <c r="DD3748">
        <v>16554810</v>
      </c>
      <c r="DE3748" t="s">
        <v>123</v>
      </c>
    </row>
    <row r="3749" spans="1:109" x14ac:dyDescent="0.3">
      <c r="A3749" t="str">
        <f>"19:37:29.000"</f>
        <v>19:37:29.000</v>
      </c>
      <c r="B3749" t="s">
        <v>110</v>
      </c>
      <c r="C3749" t="str">
        <f t="shared" si="174"/>
        <v>ffdfd3c0</v>
      </c>
      <c r="D3749" t="s">
        <v>111</v>
      </c>
      <c r="E3749">
        <v>18</v>
      </c>
      <c r="F3749">
        <v>1018</v>
      </c>
      <c r="G3749" t="s">
        <v>112</v>
      </c>
      <c r="J3749" t="s">
        <v>113</v>
      </c>
      <c r="K3749">
        <v>0</v>
      </c>
      <c r="L3749">
        <v>3</v>
      </c>
      <c r="M3749">
        <v>0</v>
      </c>
      <c r="N3749">
        <v>2</v>
      </c>
      <c r="O3749">
        <v>1</v>
      </c>
      <c r="P3749">
        <v>0</v>
      </c>
      <c r="Q3749">
        <v>0</v>
      </c>
      <c r="R3749" t="s">
        <v>114</v>
      </c>
      <c r="S3749" t="str">
        <f>"19:37:28.766"</f>
        <v>19:37:28.766</v>
      </c>
      <c r="T3749" t="str">
        <f>"19:37:28.766"</f>
        <v>19:37:28.766</v>
      </c>
      <c r="U3749" t="str">
        <f t="shared" si="175"/>
        <v>a1cdbe</v>
      </c>
      <c r="V3749">
        <v>0</v>
      </c>
      <c r="W3749">
        <v>0</v>
      </c>
      <c r="X3749">
        <v>2</v>
      </c>
      <c r="Y3749">
        <v>0</v>
      </c>
      <c r="Z3749">
        <v>0</v>
      </c>
      <c r="AB3749">
        <v>0</v>
      </c>
      <c r="AC3749">
        <v>9</v>
      </c>
      <c r="AD3749">
        <v>3</v>
      </c>
      <c r="AE3749">
        <v>0</v>
      </c>
      <c r="AF3749">
        <v>9</v>
      </c>
      <c r="AG3749" t="s">
        <v>158</v>
      </c>
      <c r="AH3749">
        <v>0</v>
      </c>
      <c r="AI3749">
        <v>3</v>
      </c>
      <c r="AJ3749">
        <v>1</v>
      </c>
      <c r="AK3749">
        <v>0</v>
      </c>
      <c r="AL3749" t="s">
        <v>7063</v>
      </c>
      <c r="AM3749">
        <v>47.040667999999997</v>
      </c>
      <c r="AN3749" t="s">
        <v>7064</v>
      </c>
      <c r="AO3749">
        <v>-123.91664</v>
      </c>
      <c r="AP3749">
        <v>100</v>
      </c>
      <c r="AQ3749">
        <v>2100</v>
      </c>
      <c r="AR3749" t="s">
        <v>118</v>
      </c>
      <c r="AS3749">
        <v>-78</v>
      </c>
      <c r="AT3749">
        <v>23</v>
      </c>
      <c r="AU3749">
        <v>0</v>
      </c>
      <c r="BC3749">
        <v>1200</v>
      </c>
      <c r="BD3749">
        <v>1</v>
      </c>
      <c r="BE3749" t="str">
        <f t="shared" si="176"/>
        <v xml:space="preserve">N215T   </v>
      </c>
      <c r="BF3749">
        <v>1</v>
      </c>
      <c r="BH3749">
        <v>0</v>
      </c>
      <c r="BI3749">
        <v>0</v>
      </c>
      <c r="BJ3749">
        <v>0</v>
      </c>
      <c r="BK3749">
        <v>2425</v>
      </c>
      <c r="BL3749">
        <v>325</v>
      </c>
      <c r="BM3749" t="s">
        <v>119</v>
      </c>
      <c r="BN3749">
        <v>1</v>
      </c>
      <c r="BO3749">
        <v>1</v>
      </c>
      <c r="BP3749">
        <v>1</v>
      </c>
      <c r="BQ3749">
        <v>0</v>
      </c>
      <c r="BT3749">
        <v>0</v>
      </c>
      <c r="BU3749">
        <v>0</v>
      </c>
      <c r="BV3749">
        <v>0</v>
      </c>
      <c r="CC3749" t="str">
        <f>"19:37:28.773"</f>
        <v>19:37:28.773</v>
      </c>
      <c r="CD3749" t="str">
        <f>"772708472"</f>
        <v>772708472</v>
      </c>
      <c r="CQ3749">
        <v>0</v>
      </c>
      <c r="CR3749">
        <v>2</v>
      </c>
      <c r="CS3749">
        <v>0</v>
      </c>
      <c r="CT3749">
        <v>2</v>
      </c>
      <c r="CU3749">
        <v>0</v>
      </c>
      <c r="CV3749">
        <v>4</v>
      </c>
      <c r="CW3749" t="s">
        <v>120</v>
      </c>
      <c r="CX3749">
        <v>257</v>
      </c>
      <c r="CY3749">
        <v>0</v>
      </c>
      <c r="CZ3749" t="s">
        <v>615</v>
      </c>
      <c r="DA3749" t="s">
        <v>616</v>
      </c>
      <c r="DD3749">
        <v>16555168</v>
      </c>
      <c r="DE3749" t="s">
        <v>123</v>
      </c>
    </row>
    <row r="3750" spans="1:109" x14ac:dyDescent="0.3">
      <c r="A3750" t="str">
        <f>"19:37:30.055"</f>
        <v>19:37:30.055</v>
      </c>
      <c r="B3750" t="s">
        <v>110</v>
      </c>
      <c r="C3750" t="str">
        <f t="shared" si="174"/>
        <v>ffdfd3c0</v>
      </c>
      <c r="D3750" t="s">
        <v>111</v>
      </c>
      <c r="E3750">
        <v>18</v>
      </c>
      <c r="F3750">
        <v>1018</v>
      </c>
      <c r="G3750" t="s">
        <v>112</v>
      </c>
      <c r="J3750" t="s">
        <v>113</v>
      </c>
      <c r="K3750">
        <v>0</v>
      </c>
      <c r="L3750">
        <v>3</v>
      </c>
      <c r="M3750">
        <v>0</v>
      </c>
      <c r="N3750">
        <v>2</v>
      </c>
      <c r="O3750">
        <v>1</v>
      </c>
      <c r="P3750">
        <v>0</v>
      </c>
      <c r="Q3750">
        <v>0</v>
      </c>
      <c r="R3750" t="s">
        <v>114</v>
      </c>
      <c r="S3750" t="str">
        <f>"19:37:29.789"</f>
        <v>19:37:29.789</v>
      </c>
      <c r="T3750" t="str">
        <f>"19:37:29.586"</f>
        <v>19:37:29.586</v>
      </c>
      <c r="U3750" t="str">
        <f t="shared" si="175"/>
        <v>a1cdbe</v>
      </c>
      <c r="V3750">
        <v>0</v>
      </c>
      <c r="W3750">
        <v>0</v>
      </c>
      <c r="X3750">
        <v>2</v>
      </c>
      <c r="Y3750">
        <v>0</v>
      </c>
      <c r="Z3750">
        <v>0</v>
      </c>
      <c r="AB3750">
        <v>0</v>
      </c>
      <c r="AC3750">
        <v>9</v>
      </c>
      <c r="AD3750">
        <v>3</v>
      </c>
      <c r="AE3750">
        <v>0</v>
      </c>
      <c r="AF3750">
        <v>9</v>
      </c>
      <c r="AG3750" t="s">
        <v>158</v>
      </c>
      <c r="AH3750">
        <v>0</v>
      </c>
      <c r="AI3750">
        <v>3</v>
      </c>
      <c r="AJ3750">
        <v>1</v>
      </c>
      <c r="AK3750">
        <v>0</v>
      </c>
      <c r="AL3750" t="s">
        <v>7065</v>
      </c>
      <c r="AM3750">
        <v>47.040796</v>
      </c>
      <c r="AN3750" t="s">
        <v>7066</v>
      </c>
      <c r="AO3750">
        <v>-123.917198</v>
      </c>
      <c r="AP3750">
        <v>100</v>
      </c>
      <c r="AQ3750">
        <v>2100</v>
      </c>
      <c r="AR3750" t="s">
        <v>118</v>
      </c>
      <c r="AS3750">
        <v>-78</v>
      </c>
      <c r="AT3750">
        <v>23</v>
      </c>
      <c r="AU3750">
        <v>0</v>
      </c>
      <c r="BC3750">
        <v>1200</v>
      </c>
      <c r="BD3750">
        <v>1</v>
      </c>
      <c r="BE3750" t="str">
        <f t="shared" si="176"/>
        <v xml:space="preserve">N215T   </v>
      </c>
      <c r="BF3750">
        <v>1</v>
      </c>
      <c r="BH3750">
        <v>0</v>
      </c>
      <c r="BI3750">
        <v>0</v>
      </c>
      <c r="BJ3750">
        <v>0</v>
      </c>
      <c r="BK3750">
        <v>2425</v>
      </c>
      <c r="BL3750">
        <v>325</v>
      </c>
      <c r="BM3750" t="s">
        <v>119</v>
      </c>
      <c r="BN3750">
        <v>1</v>
      </c>
      <c r="BO3750">
        <v>1</v>
      </c>
      <c r="BP3750">
        <v>1</v>
      </c>
      <c r="BQ3750">
        <v>0</v>
      </c>
      <c r="BT3750">
        <v>0</v>
      </c>
      <c r="BU3750">
        <v>0</v>
      </c>
      <c r="BV3750">
        <v>0</v>
      </c>
      <c r="CC3750" t="str">
        <f>"19:37:29.789"</f>
        <v>19:37:29.789</v>
      </c>
      <c r="CD3750" t="str">
        <f>"792608016"</f>
        <v>792608016</v>
      </c>
      <c r="CQ3750">
        <v>0</v>
      </c>
      <c r="CR3750">
        <v>2</v>
      </c>
      <c r="CS3750">
        <v>0</v>
      </c>
      <c r="CT3750">
        <v>2</v>
      </c>
      <c r="CU3750">
        <v>0</v>
      </c>
      <c r="CV3750">
        <v>5</v>
      </c>
      <c r="CW3750" t="s">
        <v>120</v>
      </c>
      <c r="CX3750">
        <v>257</v>
      </c>
      <c r="CY3750">
        <v>0</v>
      </c>
      <c r="CZ3750" t="s">
        <v>615</v>
      </c>
      <c r="DA3750" t="s">
        <v>616</v>
      </c>
      <c r="DD3750">
        <v>16555508</v>
      </c>
      <c r="DE3750" t="s">
        <v>123</v>
      </c>
    </row>
    <row r="3751" spans="1:109" x14ac:dyDescent="0.3">
      <c r="A3751" t="str">
        <f>"19:37:31.063"</f>
        <v>19:37:31.063</v>
      </c>
      <c r="B3751" t="s">
        <v>110</v>
      </c>
      <c r="C3751" t="str">
        <f t="shared" si="174"/>
        <v>ffdfd3c0</v>
      </c>
      <c r="D3751" t="s">
        <v>111</v>
      </c>
      <c r="E3751">
        <v>18</v>
      </c>
      <c r="F3751">
        <v>1018</v>
      </c>
      <c r="G3751" t="s">
        <v>112</v>
      </c>
      <c r="J3751" t="s">
        <v>113</v>
      </c>
      <c r="K3751">
        <v>0</v>
      </c>
      <c r="L3751">
        <v>3</v>
      </c>
      <c r="M3751">
        <v>0</v>
      </c>
      <c r="N3751">
        <v>2</v>
      </c>
      <c r="O3751">
        <v>1</v>
      </c>
      <c r="P3751">
        <v>0</v>
      </c>
      <c r="Q3751">
        <v>0</v>
      </c>
      <c r="R3751" t="s">
        <v>114</v>
      </c>
      <c r="S3751" t="str">
        <f>"19:37:30.820"</f>
        <v>19:37:30.820</v>
      </c>
      <c r="T3751" t="str">
        <f>"19:37:30.719"</f>
        <v>19:37:30.719</v>
      </c>
      <c r="U3751" t="str">
        <f t="shared" si="175"/>
        <v>a1cdbe</v>
      </c>
      <c r="V3751">
        <v>0</v>
      </c>
      <c r="W3751">
        <v>0</v>
      </c>
      <c r="X3751">
        <v>2</v>
      </c>
      <c r="Y3751">
        <v>0</v>
      </c>
      <c r="Z3751">
        <v>0</v>
      </c>
      <c r="AB3751">
        <v>0</v>
      </c>
      <c r="AC3751">
        <v>9</v>
      </c>
      <c r="AD3751">
        <v>3</v>
      </c>
      <c r="AE3751">
        <v>0</v>
      </c>
      <c r="AF3751">
        <v>9</v>
      </c>
      <c r="AG3751" t="s">
        <v>158</v>
      </c>
      <c r="AH3751">
        <v>0</v>
      </c>
      <c r="AI3751">
        <v>3</v>
      </c>
      <c r="AJ3751">
        <v>1</v>
      </c>
      <c r="AK3751">
        <v>0</v>
      </c>
      <c r="AL3751" t="s">
        <v>7067</v>
      </c>
      <c r="AM3751">
        <v>47.040903999999998</v>
      </c>
      <c r="AN3751" t="s">
        <v>7068</v>
      </c>
      <c r="AO3751">
        <v>-123.917756</v>
      </c>
      <c r="AP3751">
        <v>100</v>
      </c>
      <c r="AQ3751">
        <v>2100</v>
      </c>
      <c r="AR3751" t="s">
        <v>118</v>
      </c>
      <c r="AS3751">
        <v>-78</v>
      </c>
      <c r="AT3751">
        <v>24</v>
      </c>
      <c r="AU3751">
        <v>64</v>
      </c>
      <c r="BC3751">
        <v>1200</v>
      </c>
      <c r="BD3751">
        <v>1</v>
      </c>
      <c r="BE3751" t="str">
        <f t="shared" si="176"/>
        <v xml:space="preserve">N215T   </v>
      </c>
      <c r="BF3751">
        <v>1</v>
      </c>
      <c r="BH3751">
        <v>0</v>
      </c>
      <c r="BI3751">
        <v>0</v>
      </c>
      <c r="BJ3751">
        <v>0</v>
      </c>
      <c r="BK3751">
        <v>2425</v>
      </c>
      <c r="BL3751">
        <v>325</v>
      </c>
      <c r="BM3751" t="s">
        <v>119</v>
      </c>
      <c r="BN3751">
        <v>1</v>
      </c>
      <c r="BO3751">
        <v>1</v>
      </c>
      <c r="BP3751">
        <v>1</v>
      </c>
      <c r="BQ3751">
        <v>0</v>
      </c>
      <c r="BT3751">
        <v>0</v>
      </c>
      <c r="BU3751">
        <v>0</v>
      </c>
      <c r="BV3751">
        <v>0</v>
      </c>
      <c r="CC3751" t="str">
        <f>"19:37:30.828"</f>
        <v>19:37:30.828</v>
      </c>
      <c r="CD3751" t="str">
        <f>"827506093"</f>
        <v>827506093</v>
      </c>
      <c r="CQ3751">
        <v>0</v>
      </c>
      <c r="CR3751">
        <v>2</v>
      </c>
      <c r="CS3751">
        <v>0</v>
      </c>
      <c r="CT3751">
        <v>2</v>
      </c>
      <c r="CU3751">
        <v>0</v>
      </c>
      <c r="CV3751">
        <v>5</v>
      </c>
      <c r="CW3751" t="s">
        <v>120</v>
      </c>
      <c r="CX3751">
        <v>257</v>
      </c>
      <c r="CY3751">
        <v>0</v>
      </c>
      <c r="CZ3751" t="s">
        <v>615</v>
      </c>
      <c r="DA3751" t="s">
        <v>616</v>
      </c>
      <c r="DD3751">
        <v>16555893</v>
      </c>
      <c r="DE3751" t="s">
        <v>123</v>
      </c>
    </row>
    <row r="3752" spans="1:109" x14ac:dyDescent="0.3">
      <c r="A3752" t="str">
        <f>"19:37:32.016"</f>
        <v>19:37:32.016</v>
      </c>
      <c r="B3752" t="s">
        <v>110</v>
      </c>
      <c r="C3752" t="str">
        <f t="shared" si="174"/>
        <v>ffdfd3c0</v>
      </c>
      <c r="D3752" t="s">
        <v>111</v>
      </c>
      <c r="E3752">
        <v>18</v>
      </c>
      <c r="F3752">
        <v>1018</v>
      </c>
      <c r="G3752" t="s">
        <v>112</v>
      </c>
      <c r="J3752" t="s">
        <v>113</v>
      </c>
      <c r="K3752">
        <v>0</v>
      </c>
      <c r="L3752">
        <v>3</v>
      </c>
      <c r="M3752">
        <v>0</v>
      </c>
      <c r="N3752">
        <v>2</v>
      </c>
      <c r="O3752">
        <v>1</v>
      </c>
      <c r="P3752">
        <v>0</v>
      </c>
      <c r="Q3752">
        <v>0</v>
      </c>
      <c r="R3752" t="s">
        <v>114</v>
      </c>
      <c r="S3752" t="str">
        <f>"19:37:31.797"</f>
        <v>19:37:31.797</v>
      </c>
      <c r="T3752" t="str">
        <f>"19:37:31.797"</f>
        <v>19:37:31.797</v>
      </c>
      <c r="U3752" t="str">
        <f t="shared" si="175"/>
        <v>a1cdbe</v>
      </c>
      <c r="V3752">
        <v>0</v>
      </c>
      <c r="W3752">
        <v>0</v>
      </c>
      <c r="X3752">
        <v>2</v>
      </c>
      <c r="Y3752">
        <v>0</v>
      </c>
      <c r="Z3752">
        <v>0</v>
      </c>
      <c r="AB3752">
        <v>0</v>
      </c>
      <c r="AC3752">
        <v>9</v>
      </c>
      <c r="AD3752">
        <v>3</v>
      </c>
      <c r="AE3752">
        <v>0</v>
      </c>
      <c r="AF3752">
        <v>9</v>
      </c>
      <c r="AG3752" t="s">
        <v>158</v>
      </c>
      <c r="AH3752">
        <v>0</v>
      </c>
      <c r="AI3752">
        <v>3</v>
      </c>
      <c r="AJ3752">
        <v>1</v>
      </c>
      <c r="AK3752">
        <v>0</v>
      </c>
      <c r="AL3752" t="s">
        <v>7069</v>
      </c>
      <c r="AM3752">
        <v>47.041032000000001</v>
      </c>
      <c r="AN3752" t="s">
        <v>7070</v>
      </c>
      <c r="AO3752">
        <v>-123.91825</v>
      </c>
      <c r="AP3752">
        <v>100</v>
      </c>
      <c r="AQ3752">
        <v>2100</v>
      </c>
      <c r="AR3752" t="s">
        <v>118</v>
      </c>
      <c r="AS3752">
        <v>-78</v>
      </c>
      <c r="AT3752">
        <v>24</v>
      </c>
      <c r="AU3752">
        <v>64</v>
      </c>
      <c r="BC3752">
        <v>1200</v>
      </c>
      <c r="BD3752">
        <v>1</v>
      </c>
      <c r="BE3752" t="str">
        <f t="shared" si="176"/>
        <v xml:space="preserve">N215T   </v>
      </c>
      <c r="BF3752">
        <v>1</v>
      </c>
      <c r="BH3752">
        <v>0</v>
      </c>
      <c r="BI3752">
        <v>0</v>
      </c>
      <c r="BJ3752">
        <v>0</v>
      </c>
      <c r="BK3752">
        <v>2425</v>
      </c>
      <c r="BL3752">
        <v>325</v>
      </c>
      <c r="BM3752" t="s">
        <v>119</v>
      </c>
      <c r="BN3752">
        <v>1</v>
      </c>
      <c r="BO3752">
        <v>1</v>
      </c>
      <c r="BP3752">
        <v>1</v>
      </c>
      <c r="BQ3752">
        <v>0</v>
      </c>
      <c r="BT3752">
        <v>0</v>
      </c>
      <c r="BU3752">
        <v>0</v>
      </c>
      <c r="BV3752">
        <v>0</v>
      </c>
      <c r="CC3752" t="str">
        <f>"19:37:31.805"</f>
        <v>19:37:31.805</v>
      </c>
      <c r="CD3752" t="str">
        <f>"802410065"</f>
        <v>802410065</v>
      </c>
      <c r="CQ3752">
        <v>0</v>
      </c>
      <c r="CR3752">
        <v>2</v>
      </c>
      <c r="CS3752">
        <v>0</v>
      </c>
      <c r="CT3752">
        <v>2</v>
      </c>
      <c r="CU3752">
        <v>0</v>
      </c>
      <c r="CV3752">
        <v>5</v>
      </c>
      <c r="CW3752" t="s">
        <v>120</v>
      </c>
      <c r="CX3752">
        <v>257</v>
      </c>
      <c r="CY3752">
        <v>0</v>
      </c>
      <c r="CZ3752" t="s">
        <v>615</v>
      </c>
      <c r="DA3752" t="s">
        <v>616</v>
      </c>
      <c r="DD3752">
        <v>16556235</v>
      </c>
      <c r="DE3752" t="s">
        <v>123</v>
      </c>
    </row>
    <row r="3753" spans="1:109" x14ac:dyDescent="0.3">
      <c r="A3753" t="str">
        <f>"19:37:33.172"</f>
        <v>19:37:33.172</v>
      </c>
      <c r="B3753" t="s">
        <v>110</v>
      </c>
      <c r="C3753" t="str">
        <f t="shared" si="174"/>
        <v>ffdfd3c0</v>
      </c>
      <c r="D3753" t="s">
        <v>111</v>
      </c>
      <c r="E3753">
        <v>18</v>
      </c>
      <c r="F3753">
        <v>1018</v>
      </c>
      <c r="G3753" t="s">
        <v>112</v>
      </c>
      <c r="J3753" t="s">
        <v>113</v>
      </c>
      <c r="K3753">
        <v>0</v>
      </c>
      <c r="L3753">
        <v>3</v>
      </c>
      <c r="M3753">
        <v>0</v>
      </c>
      <c r="N3753">
        <v>2</v>
      </c>
      <c r="O3753">
        <v>1</v>
      </c>
      <c r="P3753">
        <v>0</v>
      </c>
      <c r="Q3753">
        <v>0</v>
      </c>
      <c r="R3753" t="s">
        <v>114</v>
      </c>
      <c r="S3753" t="str">
        <f>"19:37:32.953"</f>
        <v>19:37:32.953</v>
      </c>
      <c r="T3753" t="str">
        <f>"19:37:32.852"</f>
        <v>19:37:32.852</v>
      </c>
      <c r="U3753" t="str">
        <f t="shared" si="175"/>
        <v>a1cdbe</v>
      </c>
      <c r="V3753">
        <v>0</v>
      </c>
      <c r="W3753">
        <v>0</v>
      </c>
      <c r="X3753">
        <v>2</v>
      </c>
      <c r="Y3753">
        <v>0</v>
      </c>
      <c r="Z3753">
        <v>0</v>
      </c>
      <c r="AB3753">
        <v>0</v>
      </c>
      <c r="AC3753">
        <v>9</v>
      </c>
      <c r="AD3753">
        <v>3</v>
      </c>
      <c r="AE3753">
        <v>0</v>
      </c>
      <c r="AF3753">
        <v>9</v>
      </c>
      <c r="AG3753" t="s">
        <v>158</v>
      </c>
      <c r="AH3753">
        <v>0</v>
      </c>
      <c r="AI3753">
        <v>3</v>
      </c>
      <c r="AJ3753">
        <v>1</v>
      </c>
      <c r="AK3753">
        <v>0</v>
      </c>
      <c r="AL3753" t="s">
        <v>7071</v>
      </c>
      <c r="AM3753">
        <v>47.041117999999997</v>
      </c>
      <c r="AN3753" t="s">
        <v>7072</v>
      </c>
      <c r="AO3753">
        <v>-123.91885000000001</v>
      </c>
      <c r="AP3753">
        <v>100</v>
      </c>
      <c r="AQ3753">
        <v>2100</v>
      </c>
      <c r="AR3753" t="s">
        <v>118</v>
      </c>
      <c r="AS3753">
        <v>-78</v>
      </c>
      <c r="AT3753">
        <v>24</v>
      </c>
      <c r="AU3753">
        <v>64</v>
      </c>
      <c r="BC3753">
        <v>1200</v>
      </c>
      <c r="BD3753">
        <v>1</v>
      </c>
      <c r="BE3753" t="str">
        <f t="shared" si="176"/>
        <v xml:space="preserve">N215T   </v>
      </c>
      <c r="BF3753">
        <v>1</v>
      </c>
      <c r="BH3753">
        <v>0</v>
      </c>
      <c r="BI3753">
        <v>0</v>
      </c>
      <c r="BJ3753">
        <v>0</v>
      </c>
      <c r="BK3753">
        <v>2425</v>
      </c>
      <c r="BL3753">
        <v>325</v>
      </c>
      <c r="BM3753" t="s">
        <v>119</v>
      </c>
      <c r="BN3753">
        <v>1</v>
      </c>
      <c r="BO3753">
        <v>1</v>
      </c>
      <c r="BP3753">
        <v>1</v>
      </c>
      <c r="BQ3753">
        <v>0</v>
      </c>
      <c r="BT3753">
        <v>0</v>
      </c>
      <c r="BU3753">
        <v>0</v>
      </c>
      <c r="BV3753">
        <v>0</v>
      </c>
      <c r="CC3753" t="str">
        <f>"19:37:32.961"</f>
        <v>19:37:32.961</v>
      </c>
      <c r="CD3753" t="str">
        <f>"957296331"</f>
        <v>957296331</v>
      </c>
      <c r="CQ3753">
        <v>0</v>
      </c>
      <c r="CR3753">
        <v>2</v>
      </c>
      <c r="CS3753">
        <v>0</v>
      </c>
      <c r="CT3753">
        <v>2</v>
      </c>
      <c r="CU3753">
        <v>0</v>
      </c>
      <c r="CV3753">
        <v>4</v>
      </c>
      <c r="CW3753" t="s">
        <v>120</v>
      </c>
      <c r="CX3753">
        <v>257</v>
      </c>
      <c r="CY3753">
        <v>0</v>
      </c>
      <c r="CZ3753" t="s">
        <v>615</v>
      </c>
      <c r="DA3753" t="s">
        <v>616</v>
      </c>
      <c r="DD3753">
        <v>16556597</v>
      </c>
      <c r="DE3753" t="s">
        <v>123</v>
      </c>
    </row>
    <row r="3754" spans="1:109" x14ac:dyDescent="0.3">
      <c r="A3754" t="str">
        <f>"19:37:34.078"</f>
        <v>19:37:34.078</v>
      </c>
      <c r="B3754" t="s">
        <v>110</v>
      </c>
      <c r="C3754" t="str">
        <f t="shared" si="174"/>
        <v>ffdfd3c0</v>
      </c>
      <c r="D3754" t="s">
        <v>111</v>
      </c>
      <c r="E3754">
        <v>18</v>
      </c>
      <c r="F3754">
        <v>1018</v>
      </c>
      <c r="G3754" t="s">
        <v>112</v>
      </c>
      <c r="J3754" t="s">
        <v>113</v>
      </c>
      <c r="K3754">
        <v>0</v>
      </c>
      <c r="L3754">
        <v>3</v>
      </c>
      <c r="M3754">
        <v>0</v>
      </c>
      <c r="N3754">
        <v>2</v>
      </c>
      <c r="O3754">
        <v>1</v>
      </c>
      <c r="P3754">
        <v>0</v>
      </c>
      <c r="Q3754">
        <v>0</v>
      </c>
      <c r="R3754" t="s">
        <v>114</v>
      </c>
      <c r="S3754" t="str">
        <f>"19:37:33.836"</f>
        <v>19:37:33.836</v>
      </c>
      <c r="T3754" t="str">
        <f>"19:37:33.336"</f>
        <v>19:37:33.336</v>
      </c>
      <c r="U3754" t="str">
        <f t="shared" si="175"/>
        <v>a1cdbe</v>
      </c>
      <c r="V3754">
        <v>0</v>
      </c>
      <c r="W3754">
        <v>0</v>
      </c>
      <c r="X3754">
        <v>2</v>
      </c>
      <c r="Y3754">
        <v>0</v>
      </c>
      <c r="Z3754">
        <v>0</v>
      </c>
      <c r="AB3754">
        <v>0</v>
      </c>
      <c r="AC3754">
        <v>9</v>
      </c>
      <c r="AD3754">
        <v>3</v>
      </c>
      <c r="AE3754">
        <v>0</v>
      </c>
      <c r="AF3754">
        <v>9</v>
      </c>
      <c r="AG3754" t="s">
        <v>158</v>
      </c>
      <c r="AH3754">
        <v>0</v>
      </c>
      <c r="AI3754">
        <v>3</v>
      </c>
      <c r="AJ3754">
        <v>1</v>
      </c>
      <c r="AK3754">
        <v>0</v>
      </c>
      <c r="AL3754" t="s">
        <v>7073</v>
      </c>
      <c r="AM3754">
        <v>47.041268000000002</v>
      </c>
      <c r="AN3754" t="s">
        <v>7074</v>
      </c>
      <c r="AO3754">
        <v>-123.919301</v>
      </c>
      <c r="AP3754">
        <v>100</v>
      </c>
      <c r="AQ3754">
        <v>2100</v>
      </c>
      <c r="AR3754" t="s">
        <v>118</v>
      </c>
      <c r="AS3754">
        <v>-77</v>
      </c>
      <c r="AT3754">
        <v>24</v>
      </c>
      <c r="AU3754">
        <v>128</v>
      </c>
      <c r="BC3754">
        <v>1200</v>
      </c>
      <c r="BD3754">
        <v>1</v>
      </c>
      <c r="BE3754" t="str">
        <f t="shared" si="176"/>
        <v xml:space="preserve">N215T   </v>
      </c>
      <c r="BF3754">
        <v>1</v>
      </c>
      <c r="BH3754">
        <v>0</v>
      </c>
      <c r="BI3754">
        <v>0</v>
      </c>
      <c r="BJ3754">
        <v>0</v>
      </c>
      <c r="BK3754">
        <v>2425</v>
      </c>
      <c r="BL3754">
        <v>325</v>
      </c>
      <c r="BM3754" t="s">
        <v>119</v>
      </c>
      <c r="BN3754">
        <v>1</v>
      </c>
      <c r="BO3754">
        <v>1</v>
      </c>
      <c r="BP3754">
        <v>1</v>
      </c>
      <c r="BQ3754">
        <v>0</v>
      </c>
      <c r="BT3754">
        <v>0</v>
      </c>
      <c r="BU3754">
        <v>0</v>
      </c>
      <c r="BV3754">
        <v>0</v>
      </c>
      <c r="CC3754" t="str">
        <f>"19:37:33.844"</f>
        <v>19:37:33.844</v>
      </c>
      <c r="CD3754" t="str">
        <f>"842209126"</f>
        <v>842209126</v>
      </c>
      <c r="CQ3754">
        <v>0</v>
      </c>
      <c r="CR3754">
        <v>2</v>
      </c>
      <c r="CS3754">
        <v>0</v>
      </c>
      <c r="CT3754">
        <v>2</v>
      </c>
      <c r="CU3754">
        <v>0</v>
      </c>
      <c r="CV3754">
        <v>4</v>
      </c>
      <c r="CW3754" t="s">
        <v>120</v>
      </c>
      <c r="CX3754">
        <v>257</v>
      </c>
      <c r="CY3754">
        <v>0</v>
      </c>
      <c r="CZ3754" t="s">
        <v>615</v>
      </c>
      <c r="DA3754" t="s">
        <v>616</v>
      </c>
      <c r="DD3754">
        <v>16556879</v>
      </c>
      <c r="DE3754" t="s">
        <v>123</v>
      </c>
    </row>
    <row r="3755" spans="1:109" x14ac:dyDescent="0.3">
      <c r="A3755" t="str">
        <f>"19:37:34.938"</f>
        <v>19:37:34.938</v>
      </c>
      <c r="B3755" t="s">
        <v>110</v>
      </c>
      <c r="C3755" t="str">
        <f t="shared" si="174"/>
        <v>ffdfd3c0</v>
      </c>
      <c r="D3755" t="s">
        <v>111</v>
      </c>
      <c r="E3755">
        <v>18</v>
      </c>
      <c r="F3755">
        <v>1018</v>
      </c>
      <c r="G3755" t="s">
        <v>112</v>
      </c>
      <c r="J3755" t="s">
        <v>113</v>
      </c>
      <c r="K3755">
        <v>0</v>
      </c>
      <c r="L3755">
        <v>3</v>
      </c>
      <c r="M3755">
        <v>0</v>
      </c>
      <c r="N3755">
        <v>2</v>
      </c>
      <c r="O3755">
        <v>1</v>
      </c>
      <c r="P3755">
        <v>0</v>
      </c>
      <c r="Q3755">
        <v>0</v>
      </c>
      <c r="R3755" t="s">
        <v>114</v>
      </c>
      <c r="S3755" t="str">
        <f>"19:37:34.734"</f>
        <v>19:37:34.734</v>
      </c>
      <c r="T3755" t="str">
        <f>"19:37:34.336"</f>
        <v>19:37:34.336</v>
      </c>
      <c r="U3755" t="str">
        <f t="shared" si="175"/>
        <v>a1cdbe</v>
      </c>
      <c r="V3755">
        <v>0</v>
      </c>
      <c r="W3755">
        <v>0</v>
      </c>
      <c r="X3755">
        <v>2</v>
      </c>
      <c r="Y3755">
        <v>0</v>
      </c>
      <c r="Z3755">
        <v>0</v>
      </c>
      <c r="AB3755">
        <v>0</v>
      </c>
      <c r="AC3755">
        <v>9</v>
      </c>
      <c r="AD3755">
        <v>3</v>
      </c>
      <c r="AE3755">
        <v>0</v>
      </c>
      <c r="AF3755">
        <v>9</v>
      </c>
      <c r="AG3755" t="s">
        <v>158</v>
      </c>
      <c r="AH3755">
        <v>0</v>
      </c>
      <c r="AI3755">
        <v>3</v>
      </c>
      <c r="AJ3755">
        <v>1</v>
      </c>
      <c r="AK3755">
        <v>0</v>
      </c>
      <c r="AL3755" t="s">
        <v>7075</v>
      </c>
      <c r="AM3755">
        <v>47.041311</v>
      </c>
      <c r="AN3755" t="s">
        <v>7076</v>
      </c>
      <c r="AO3755">
        <v>-123.91979499999999</v>
      </c>
      <c r="AP3755">
        <v>100</v>
      </c>
      <c r="AQ3755">
        <v>2100</v>
      </c>
      <c r="AR3755" t="s">
        <v>118</v>
      </c>
      <c r="AS3755">
        <v>-77</v>
      </c>
      <c r="AT3755">
        <v>24</v>
      </c>
      <c r="AU3755">
        <v>128</v>
      </c>
      <c r="BC3755">
        <v>1200</v>
      </c>
      <c r="BD3755">
        <v>1</v>
      </c>
      <c r="BE3755" t="str">
        <f t="shared" si="176"/>
        <v xml:space="preserve">N215T   </v>
      </c>
      <c r="BF3755">
        <v>1</v>
      </c>
      <c r="BH3755">
        <v>0</v>
      </c>
      <c r="BI3755">
        <v>0</v>
      </c>
      <c r="BJ3755">
        <v>0</v>
      </c>
      <c r="BK3755">
        <v>2450</v>
      </c>
      <c r="BL3755">
        <v>350</v>
      </c>
      <c r="BM3755" t="s">
        <v>119</v>
      </c>
      <c r="BN3755">
        <v>1</v>
      </c>
      <c r="BO3755">
        <v>1</v>
      </c>
      <c r="BP3755">
        <v>1</v>
      </c>
      <c r="BQ3755">
        <v>0</v>
      </c>
      <c r="BT3755">
        <v>0</v>
      </c>
      <c r="BU3755">
        <v>0</v>
      </c>
      <c r="BV3755">
        <v>0</v>
      </c>
      <c r="CC3755" t="str">
        <f>"19:37:34.742"</f>
        <v>19:37:34.742</v>
      </c>
      <c r="CD3755" t="str">
        <f>"742120509"</f>
        <v>742120509</v>
      </c>
      <c r="CQ3755">
        <v>0</v>
      </c>
      <c r="CR3755">
        <v>2</v>
      </c>
      <c r="CS3755">
        <v>0</v>
      </c>
      <c r="CT3755">
        <v>2</v>
      </c>
      <c r="CU3755">
        <v>0</v>
      </c>
      <c r="CV3755">
        <v>5</v>
      </c>
      <c r="CW3755" t="s">
        <v>120</v>
      </c>
      <c r="CX3755">
        <v>257</v>
      </c>
      <c r="CY3755">
        <v>0</v>
      </c>
      <c r="CZ3755" t="s">
        <v>615</v>
      </c>
      <c r="DA3755" t="s">
        <v>616</v>
      </c>
      <c r="DD3755">
        <v>16557154</v>
      </c>
      <c r="DE3755" t="s">
        <v>123</v>
      </c>
    </row>
    <row r="3756" spans="1:109" x14ac:dyDescent="0.3">
      <c r="A3756" t="str">
        <f>"19:37:35.891"</f>
        <v>19:37:35.891</v>
      </c>
      <c r="B3756" t="s">
        <v>110</v>
      </c>
      <c r="C3756" t="str">
        <f t="shared" si="174"/>
        <v>ffdfd3c0</v>
      </c>
      <c r="D3756" t="s">
        <v>111</v>
      </c>
      <c r="E3756">
        <v>18</v>
      </c>
      <c r="F3756">
        <v>1018</v>
      </c>
      <c r="G3756" t="s">
        <v>112</v>
      </c>
      <c r="J3756" t="s">
        <v>113</v>
      </c>
      <c r="K3756">
        <v>0</v>
      </c>
      <c r="L3756">
        <v>3</v>
      </c>
      <c r="M3756">
        <v>0</v>
      </c>
      <c r="N3756">
        <v>2</v>
      </c>
      <c r="O3756">
        <v>1</v>
      </c>
      <c r="P3756">
        <v>0</v>
      </c>
      <c r="Q3756">
        <v>0</v>
      </c>
      <c r="R3756" t="s">
        <v>114</v>
      </c>
      <c r="S3756" t="str">
        <f>"19:37:35.656"</f>
        <v>19:37:35.656</v>
      </c>
      <c r="T3756" t="str">
        <f>"19:37:35.656"</f>
        <v>19:37:35.656</v>
      </c>
      <c r="U3756" t="str">
        <f t="shared" si="175"/>
        <v>a1cdbe</v>
      </c>
      <c r="V3756">
        <v>0</v>
      </c>
      <c r="W3756">
        <v>0</v>
      </c>
      <c r="X3756">
        <v>2</v>
      </c>
      <c r="Y3756">
        <v>0</v>
      </c>
      <c r="Z3756">
        <v>0</v>
      </c>
      <c r="AB3756">
        <v>0</v>
      </c>
      <c r="AC3756">
        <v>9</v>
      </c>
      <c r="AD3756">
        <v>3</v>
      </c>
      <c r="AE3756">
        <v>0</v>
      </c>
      <c r="AF3756">
        <v>9</v>
      </c>
      <c r="AG3756" t="s">
        <v>158</v>
      </c>
      <c r="AH3756">
        <v>0</v>
      </c>
      <c r="AI3756">
        <v>3</v>
      </c>
      <c r="AJ3756">
        <v>1</v>
      </c>
      <c r="AK3756">
        <v>0</v>
      </c>
      <c r="AL3756" t="s">
        <v>7077</v>
      </c>
      <c r="AM3756">
        <v>47.041440000000001</v>
      </c>
      <c r="AN3756" t="s">
        <v>7078</v>
      </c>
      <c r="AO3756">
        <v>-123.920288</v>
      </c>
      <c r="AP3756">
        <v>100</v>
      </c>
      <c r="AQ3756">
        <v>2100</v>
      </c>
      <c r="AR3756" t="s">
        <v>118</v>
      </c>
      <c r="AS3756">
        <v>-77</v>
      </c>
      <c r="AT3756">
        <v>24</v>
      </c>
      <c r="AU3756">
        <v>128</v>
      </c>
      <c r="BC3756">
        <v>1200</v>
      </c>
      <c r="BD3756">
        <v>1</v>
      </c>
      <c r="BE3756" t="str">
        <f t="shared" si="176"/>
        <v xml:space="preserve">N215T   </v>
      </c>
      <c r="BF3756">
        <v>1</v>
      </c>
      <c r="BH3756">
        <v>0</v>
      </c>
      <c r="BI3756">
        <v>0</v>
      </c>
      <c r="BJ3756">
        <v>0</v>
      </c>
      <c r="BK3756">
        <v>2425</v>
      </c>
      <c r="BL3756">
        <v>325</v>
      </c>
      <c r="BM3756" t="s">
        <v>119</v>
      </c>
      <c r="BN3756">
        <v>1</v>
      </c>
      <c r="BO3756">
        <v>1</v>
      </c>
      <c r="BP3756">
        <v>1</v>
      </c>
      <c r="BQ3756">
        <v>0</v>
      </c>
      <c r="BT3756">
        <v>0</v>
      </c>
      <c r="BU3756">
        <v>0</v>
      </c>
      <c r="BV3756">
        <v>0</v>
      </c>
      <c r="CC3756" t="str">
        <f>"19:37:35.656"</f>
        <v>19:37:35.656</v>
      </c>
      <c r="CD3756" t="str">
        <f>"657030375"</f>
        <v>657030375</v>
      </c>
      <c r="CQ3756">
        <v>0</v>
      </c>
      <c r="CR3756">
        <v>2</v>
      </c>
      <c r="CS3756">
        <v>0</v>
      </c>
      <c r="CT3756">
        <v>2</v>
      </c>
      <c r="CU3756">
        <v>0</v>
      </c>
      <c r="CV3756">
        <v>4</v>
      </c>
      <c r="CW3756" t="s">
        <v>120</v>
      </c>
      <c r="CX3756">
        <v>257</v>
      </c>
      <c r="CY3756">
        <v>0</v>
      </c>
      <c r="CZ3756" t="s">
        <v>615</v>
      </c>
      <c r="DA3756" t="s">
        <v>616</v>
      </c>
      <c r="DD3756">
        <v>16557507</v>
      </c>
      <c r="DE3756" t="s">
        <v>123</v>
      </c>
    </row>
    <row r="3757" spans="1:109" x14ac:dyDescent="0.3">
      <c r="A3757" t="str">
        <f>"19:37:36.992"</f>
        <v>19:37:36.992</v>
      </c>
      <c r="B3757" t="s">
        <v>110</v>
      </c>
      <c r="C3757" t="str">
        <f t="shared" si="174"/>
        <v>ffdfd3c0</v>
      </c>
      <c r="D3757" t="s">
        <v>111</v>
      </c>
      <c r="E3757">
        <v>18</v>
      </c>
      <c r="F3757">
        <v>1018</v>
      </c>
      <c r="G3757" t="s">
        <v>112</v>
      </c>
      <c r="J3757" t="s">
        <v>113</v>
      </c>
      <c r="K3757">
        <v>0</v>
      </c>
      <c r="L3757">
        <v>3</v>
      </c>
      <c r="M3757">
        <v>0</v>
      </c>
      <c r="N3757">
        <v>2</v>
      </c>
      <c r="O3757">
        <v>1</v>
      </c>
      <c r="P3757">
        <v>0</v>
      </c>
      <c r="Q3757">
        <v>0</v>
      </c>
      <c r="R3757" t="s">
        <v>114</v>
      </c>
      <c r="S3757" t="str">
        <f>"19:37:36.750"</f>
        <v>19:37:36.750</v>
      </c>
      <c r="T3757" t="str">
        <f>"19:37:36.648"</f>
        <v>19:37:36.648</v>
      </c>
      <c r="U3757" t="str">
        <f t="shared" si="175"/>
        <v>a1cdbe</v>
      </c>
      <c r="V3757">
        <v>0</v>
      </c>
      <c r="W3757">
        <v>0</v>
      </c>
      <c r="X3757">
        <v>2</v>
      </c>
      <c r="Y3757">
        <v>0</v>
      </c>
      <c r="Z3757">
        <v>0</v>
      </c>
      <c r="AB3757">
        <v>0</v>
      </c>
      <c r="AC3757">
        <v>9</v>
      </c>
      <c r="AD3757">
        <v>3</v>
      </c>
      <c r="AE3757">
        <v>0</v>
      </c>
      <c r="AF3757">
        <v>9</v>
      </c>
      <c r="AG3757" t="s">
        <v>158</v>
      </c>
      <c r="AH3757">
        <v>0</v>
      </c>
      <c r="AI3757">
        <v>3</v>
      </c>
      <c r="AJ3757">
        <v>1</v>
      </c>
      <c r="AK3757">
        <v>0</v>
      </c>
      <c r="AL3757" t="s">
        <v>7079</v>
      </c>
      <c r="AM3757">
        <v>47.041589999999999</v>
      </c>
      <c r="AN3757" t="s">
        <v>7080</v>
      </c>
      <c r="AO3757">
        <v>-123.920846</v>
      </c>
      <c r="AP3757">
        <v>100</v>
      </c>
      <c r="AQ3757">
        <v>2100</v>
      </c>
      <c r="AR3757" t="s">
        <v>118</v>
      </c>
      <c r="AS3757">
        <v>-77</v>
      </c>
      <c r="AT3757">
        <v>24</v>
      </c>
      <c r="AU3757">
        <v>128</v>
      </c>
      <c r="BC3757">
        <v>1200</v>
      </c>
      <c r="BD3757">
        <v>1</v>
      </c>
      <c r="BE3757" t="str">
        <f t="shared" si="176"/>
        <v xml:space="preserve">N215T   </v>
      </c>
      <c r="BF3757">
        <v>1</v>
      </c>
      <c r="BH3757">
        <v>0</v>
      </c>
      <c r="BI3757">
        <v>0</v>
      </c>
      <c r="BJ3757">
        <v>0</v>
      </c>
      <c r="BK3757">
        <v>2450</v>
      </c>
      <c r="BL3757">
        <v>350</v>
      </c>
      <c r="BM3757" t="s">
        <v>119</v>
      </c>
      <c r="BN3757">
        <v>1</v>
      </c>
      <c r="BO3757">
        <v>1</v>
      </c>
      <c r="BP3757">
        <v>1</v>
      </c>
      <c r="BQ3757">
        <v>0</v>
      </c>
      <c r="BT3757">
        <v>0</v>
      </c>
      <c r="BU3757">
        <v>0</v>
      </c>
      <c r="BV3757">
        <v>0</v>
      </c>
      <c r="CC3757" t="str">
        <f>"19:37:36.750"</f>
        <v>19:37:36.750</v>
      </c>
      <c r="CD3757" t="str">
        <f>"751922547"</f>
        <v>751922547</v>
      </c>
      <c r="CQ3757">
        <v>0</v>
      </c>
      <c r="CR3757">
        <v>2</v>
      </c>
      <c r="CS3757">
        <v>0</v>
      </c>
      <c r="CT3757">
        <v>2</v>
      </c>
      <c r="CU3757">
        <v>0</v>
      </c>
      <c r="CV3757">
        <v>5</v>
      </c>
      <c r="CW3757" t="s">
        <v>120</v>
      </c>
      <c r="CX3757">
        <v>257</v>
      </c>
      <c r="CY3757">
        <v>0</v>
      </c>
      <c r="CZ3757" t="s">
        <v>615</v>
      </c>
      <c r="DA3757" t="s">
        <v>616</v>
      </c>
      <c r="DD3757">
        <v>16557916</v>
      </c>
      <c r="DE3757" t="s">
        <v>123</v>
      </c>
    </row>
    <row r="3758" spans="1:109" x14ac:dyDescent="0.3">
      <c r="A3758" t="str">
        <f>"19:37:37.953"</f>
        <v>19:37:37.953</v>
      </c>
      <c r="B3758" t="s">
        <v>110</v>
      </c>
      <c r="C3758" t="str">
        <f t="shared" si="174"/>
        <v>ffdfd3c0</v>
      </c>
      <c r="D3758" t="s">
        <v>111</v>
      </c>
      <c r="E3758">
        <v>18</v>
      </c>
      <c r="F3758">
        <v>1018</v>
      </c>
      <c r="G3758" t="s">
        <v>112</v>
      </c>
      <c r="J3758" t="s">
        <v>113</v>
      </c>
      <c r="K3758">
        <v>0</v>
      </c>
      <c r="L3758">
        <v>3</v>
      </c>
      <c r="M3758">
        <v>0</v>
      </c>
      <c r="N3758">
        <v>2</v>
      </c>
      <c r="O3758">
        <v>1</v>
      </c>
      <c r="P3758">
        <v>0</v>
      </c>
      <c r="Q3758">
        <v>0</v>
      </c>
      <c r="R3758" t="s">
        <v>114</v>
      </c>
      <c r="S3758" t="str">
        <f>"19:37:37.727"</f>
        <v>19:37:37.727</v>
      </c>
      <c r="T3758" t="str">
        <f>"19:37:37.625"</f>
        <v>19:37:37.625</v>
      </c>
      <c r="U3758" t="str">
        <f t="shared" si="175"/>
        <v>a1cdbe</v>
      </c>
      <c r="V3758">
        <v>0</v>
      </c>
      <c r="W3758">
        <v>0</v>
      </c>
      <c r="X3758">
        <v>2</v>
      </c>
      <c r="Y3758">
        <v>0</v>
      </c>
      <c r="Z3758">
        <v>0</v>
      </c>
      <c r="AB3758">
        <v>0</v>
      </c>
      <c r="AC3758">
        <v>9</v>
      </c>
      <c r="AD3758">
        <v>3</v>
      </c>
      <c r="AE3758">
        <v>0</v>
      </c>
      <c r="AF3758">
        <v>9</v>
      </c>
      <c r="AG3758" t="s">
        <v>158</v>
      </c>
      <c r="AH3758">
        <v>0</v>
      </c>
      <c r="AI3758">
        <v>3</v>
      </c>
      <c r="AJ3758">
        <v>1</v>
      </c>
      <c r="AK3758">
        <v>0</v>
      </c>
      <c r="AL3758" t="s">
        <v>7081</v>
      </c>
      <c r="AM3758">
        <v>47.041676000000002</v>
      </c>
      <c r="AN3758" t="s">
        <v>7082</v>
      </c>
      <c r="AO3758">
        <v>-123.921318</v>
      </c>
      <c r="AP3758">
        <v>100</v>
      </c>
      <c r="AQ3758">
        <v>2100</v>
      </c>
      <c r="AR3758" t="s">
        <v>118</v>
      </c>
      <c r="AS3758">
        <v>-76</v>
      </c>
      <c r="AT3758">
        <v>24</v>
      </c>
      <c r="AU3758">
        <v>64</v>
      </c>
      <c r="BC3758">
        <v>1200</v>
      </c>
      <c r="BD3758">
        <v>1</v>
      </c>
      <c r="BE3758" t="str">
        <f t="shared" si="176"/>
        <v xml:space="preserve">N215T   </v>
      </c>
      <c r="BF3758">
        <v>1</v>
      </c>
      <c r="BH3758">
        <v>0</v>
      </c>
      <c r="BI3758">
        <v>0</v>
      </c>
      <c r="BJ3758">
        <v>0</v>
      </c>
      <c r="BK3758">
        <v>2450</v>
      </c>
      <c r="BL3758">
        <v>350</v>
      </c>
      <c r="BM3758" t="s">
        <v>119</v>
      </c>
      <c r="BN3758">
        <v>1</v>
      </c>
      <c r="BO3758">
        <v>1</v>
      </c>
      <c r="BP3758">
        <v>1</v>
      </c>
      <c r="BQ3758">
        <v>0</v>
      </c>
      <c r="BT3758">
        <v>0</v>
      </c>
      <c r="BU3758">
        <v>0</v>
      </c>
      <c r="BV3758">
        <v>0</v>
      </c>
      <c r="CC3758" t="str">
        <f>"19:37:37.727"</f>
        <v>19:37:37.727</v>
      </c>
      <c r="CD3758" t="str">
        <f>"726826518"</f>
        <v>726826518</v>
      </c>
      <c r="CQ3758">
        <v>0</v>
      </c>
      <c r="CR3758">
        <v>2</v>
      </c>
      <c r="CS3758">
        <v>0</v>
      </c>
      <c r="CT3758">
        <v>2</v>
      </c>
      <c r="CU3758">
        <v>0</v>
      </c>
      <c r="CV3758">
        <v>5</v>
      </c>
      <c r="CW3758" t="s">
        <v>120</v>
      </c>
      <c r="CX3758">
        <v>257</v>
      </c>
      <c r="CY3758">
        <v>0</v>
      </c>
      <c r="CZ3758" t="s">
        <v>615</v>
      </c>
      <c r="DA3758" t="s">
        <v>616</v>
      </c>
      <c r="DD3758">
        <v>16558230</v>
      </c>
      <c r="DE3758" t="s">
        <v>123</v>
      </c>
    </row>
    <row r="3759" spans="1:109" x14ac:dyDescent="0.3">
      <c r="A3759" t="str">
        <f>"19:37:39.109"</f>
        <v>19:37:39.109</v>
      </c>
      <c r="B3759" t="s">
        <v>110</v>
      </c>
      <c r="C3759" t="str">
        <f t="shared" si="174"/>
        <v>ffdfd3c0</v>
      </c>
      <c r="D3759" t="s">
        <v>111</v>
      </c>
      <c r="E3759">
        <v>18</v>
      </c>
      <c r="F3759">
        <v>1018</v>
      </c>
      <c r="G3759" t="s">
        <v>112</v>
      </c>
      <c r="J3759" t="s">
        <v>113</v>
      </c>
      <c r="K3759">
        <v>0</v>
      </c>
      <c r="L3759">
        <v>3</v>
      </c>
      <c r="M3759">
        <v>0</v>
      </c>
      <c r="N3759">
        <v>2</v>
      </c>
      <c r="O3759">
        <v>1</v>
      </c>
      <c r="P3759">
        <v>0</v>
      </c>
      <c r="Q3759">
        <v>0</v>
      </c>
      <c r="R3759" t="s">
        <v>114</v>
      </c>
      <c r="S3759" t="str">
        <f>"19:37:38.836"</f>
        <v>19:37:38.836</v>
      </c>
      <c r="T3759" t="str">
        <f>"19:37:38.734"</f>
        <v>19:37:38.734</v>
      </c>
      <c r="U3759" t="str">
        <f t="shared" si="175"/>
        <v>a1cdbe</v>
      </c>
      <c r="V3759">
        <v>0</v>
      </c>
      <c r="W3759">
        <v>0</v>
      </c>
      <c r="X3759">
        <v>2</v>
      </c>
      <c r="Y3759">
        <v>0</v>
      </c>
      <c r="Z3759">
        <v>0</v>
      </c>
      <c r="AB3759">
        <v>0</v>
      </c>
      <c r="AC3759">
        <v>9</v>
      </c>
      <c r="AD3759">
        <v>3</v>
      </c>
      <c r="AE3759">
        <v>0</v>
      </c>
      <c r="AF3759">
        <v>9</v>
      </c>
      <c r="AG3759" t="s">
        <v>158</v>
      </c>
      <c r="AH3759">
        <v>0</v>
      </c>
      <c r="AI3759">
        <v>3</v>
      </c>
      <c r="AJ3759">
        <v>1</v>
      </c>
      <c r="AK3759">
        <v>0</v>
      </c>
      <c r="AL3759" t="s">
        <v>7083</v>
      </c>
      <c r="AM3759">
        <v>47.041804999999997</v>
      </c>
      <c r="AN3759" t="s">
        <v>7084</v>
      </c>
      <c r="AO3759">
        <v>-123.921876</v>
      </c>
      <c r="AP3759">
        <v>100</v>
      </c>
      <c r="AQ3759">
        <v>2100</v>
      </c>
      <c r="AR3759" t="s">
        <v>118</v>
      </c>
      <c r="AS3759">
        <v>-76</v>
      </c>
      <c r="AT3759">
        <v>24</v>
      </c>
      <c r="AU3759">
        <v>64</v>
      </c>
      <c r="BC3759">
        <v>1200</v>
      </c>
      <c r="BD3759">
        <v>1</v>
      </c>
      <c r="BE3759" t="str">
        <f t="shared" si="176"/>
        <v xml:space="preserve">N215T   </v>
      </c>
      <c r="BF3759">
        <v>1</v>
      </c>
      <c r="BH3759">
        <v>0</v>
      </c>
      <c r="BI3759">
        <v>0</v>
      </c>
      <c r="BJ3759">
        <v>0</v>
      </c>
      <c r="BK3759">
        <v>2450</v>
      </c>
      <c r="BL3759">
        <v>350</v>
      </c>
      <c r="BM3759" t="s">
        <v>119</v>
      </c>
      <c r="BN3759">
        <v>1</v>
      </c>
      <c r="BO3759">
        <v>1</v>
      </c>
      <c r="BP3759">
        <v>1</v>
      </c>
      <c r="BQ3759">
        <v>0</v>
      </c>
      <c r="BT3759">
        <v>0</v>
      </c>
      <c r="BU3759">
        <v>0</v>
      </c>
      <c r="BV3759">
        <v>0</v>
      </c>
      <c r="CC3759" t="str">
        <f>"19:37:38.836"</f>
        <v>19:37:38.836</v>
      </c>
      <c r="CD3759" t="str">
        <f>"836717192"</f>
        <v>836717192</v>
      </c>
      <c r="CQ3759">
        <v>0</v>
      </c>
      <c r="CR3759">
        <v>2</v>
      </c>
      <c r="CS3759">
        <v>0</v>
      </c>
      <c r="CT3759">
        <v>2</v>
      </c>
      <c r="CU3759">
        <v>0</v>
      </c>
      <c r="CV3759">
        <v>5</v>
      </c>
      <c r="CW3759" t="s">
        <v>120</v>
      </c>
      <c r="CX3759">
        <v>257</v>
      </c>
      <c r="CY3759">
        <v>0</v>
      </c>
      <c r="CZ3759" t="s">
        <v>615</v>
      </c>
      <c r="DA3759" t="s">
        <v>616</v>
      </c>
      <c r="DD3759">
        <v>16558575</v>
      </c>
      <c r="DE3759" t="s">
        <v>123</v>
      </c>
    </row>
    <row r="3760" spans="1:109" x14ac:dyDescent="0.3">
      <c r="A3760" t="str">
        <f>"19:37:39.961"</f>
        <v>19:37:39.961</v>
      </c>
      <c r="B3760" t="s">
        <v>110</v>
      </c>
      <c r="C3760" t="str">
        <f t="shared" si="174"/>
        <v>ffdfd3c0</v>
      </c>
      <c r="D3760" t="s">
        <v>111</v>
      </c>
      <c r="E3760">
        <v>18</v>
      </c>
      <c r="F3760">
        <v>1018</v>
      </c>
      <c r="G3760" t="s">
        <v>112</v>
      </c>
      <c r="J3760" t="s">
        <v>113</v>
      </c>
      <c r="K3760">
        <v>0</v>
      </c>
      <c r="L3760">
        <v>3</v>
      </c>
      <c r="M3760">
        <v>0</v>
      </c>
      <c r="N3760">
        <v>2</v>
      </c>
      <c r="O3760">
        <v>1</v>
      </c>
      <c r="P3760">
        <v>0</v>
      </c>
      <c r="Q3760">
        <v>0</v>
      </c>
      <c r="R3760" t="s">
        <v>114</v>
      </c>
      <c r="S3760" t="str">
        <f>"19:37:39.688"</f>
        <v>19:37:39.688</v>
      </c>
      <c r="T3760" t="str">
        <f>"19:37:39.688"</f>
        <v>19:37:39.688</v>
      </c>
      <c r="U3760" t="str">
        <f t="shared" si="175"/>
        <v>a1cdbe</v>
      </c>
      <c r="V3760">
        <v>0</v>
      </c>
      <c r="W3760">
        <v>0</v>
      </c>
      <c r="X3760">
        <v>2</v>
      </c>
      <c r="Y3760">
        <v>0</v>
      </c>
      <c r="Z3760">
        <v>0</v>
      </c>
      <c r="AB3760">
        <v>0</v>
      </c>
      <c r="AC3760">
        <v>9</v>
      </c>
      <c r="AD3760">
        <v>3</v>
      </c>
      <c r="AE3760">
        <v>0</v>
      </c>
      <c r="AF3760">
        <v>9</v>
      </c>
      <c r="AG3760" t="s">
        <v>158</v>
      </c>
      <c r="AH3760">
        <v>0</v>
      </c>
      <c r="AI3760">
        <v>3</v>
      </c>
      <c r="AJ3760">
        <v>1</v>
      </c>
      <c r="AK3760">
        <v>0</v>
      </c>
      <c r="AL3760" t="s">
        <v>7085</v>
      </c>
      <c r="AM3760">
        <v>47.041891</v>
      </c>
      <c r="AN3760" t="s">
        <v>7086</v>
      </c>
      <c r="AO3760">
        <v>-123.922348</v>
      </c>
      <c r="AP3760">
        <v>100</v>
      </c>
      <c r="AQ3760">
        <v>2100</v>
      </c>
      <c r="AR3760" t="s">
        <v>118</v>
      </c>
      <c r="AS3760">
        <v>-76</v>
      </c>
      <c r="AT3760">
        <v>24</v>
      </c>
      <c r="AU3760">
        <v>128</v>
      </c>
      <c r="BC3760">
        <v>1200</v>
      </c>
      <c r="BD3760">
        <v>1</v>
      </c>
      <c r="BE3760" t="str">
        <f t="shared" si="176"/>
        <v xml:space="preserve">N215T   </v>
      </c>
      <c r="BF3760">
        <v>1</v>
      </c>
      <c r="BH3760">
        <v>0</v>
      </c>
      <c r="BI3760">
        <v>0</v>
      </c>
      <c r="BJ3760">
        <v>0</v>
      </c>
      <c r="BK3760">
        <v>2450</v>
      </c>
      <c r="BL3760">
        <v>350</v>
      </c>
      <c r="BM3760" t="s">
        <v>119</v>
      </c>
      <c r="BN3760">
        <v>1</v>
      </c>
      <c r="BO3760">
        <v>1</v>
      </c>
      <c r="BP3760">
        <v>1</v>
      </c>
      <c r="BQ3760">
        <v>0</v>
      </c>
      <c r="BT3760">
        <v>0</v>
      </c>
      <c r="BU3760">
        <v>0</v>
      </c>
      <c r="BV3760">
        <v>0</v>
      </c>
      <c r="CC3760" t="str">
        <f>"19:37:39.695"</f>
        <v>19:37:39.695</v>
      </c>
      <c r="CD3760" t="str">
        <f>"691632970"</f>
        <v>691632970</v>
      </c>
      <c r="CQ3760">
        <v>0</v>
      </c>
      <c r="CR3760">
        <v>2</v>
      </c>
      <c r="CS3760">
        <v>0</v>
      </c>
      <c r="CT3760">
        <v>2</v>
      </c>
      <c r="CU3760">
        <v>0</v>
      </c>
      <c r="CV3760">
        <v>4</v>
      </c>
      <c r="CW3760" t="s">
        <v>120</v>
      </c>
      <c r="CX3760">
        <v>257</v>
      </c>
      <c r="CY3760">
        <v>0</v>
      </c>
      <c r="CZ3760" t="s">
        <v>615</v>
      </c>
      <c r="DA3760" t="s">
        <v>616</v>
      </c>
      <c r="DD3760">
        <v>16558863</v>
      </c>
      <c r="DE3760" t="s">
        <v>123</v>
      </c>
    </row>
    <row r="3761" spans="1:109" x14ac:dyDescent="0.3">
      <c r="A3761" t="str">
        <f>"19:37:40.867"</f>
        <v>19:37:40.867</v>
      </c>
      <c r="B3761" t="s">
        <v>110</v>
      </c>
      <c r="C3761" t="str">
        <f t="shared" si="174"/>
        <v>ffdfd3c0</v>
      </c>
      <c r="D3761" t="s">
        <v>111</v>
      </c>
      <c r="E3761">
        <v>18</v>
      </c>
      <c r="F3761">
        <v>1018</v>
      </c>
      <c r="G3761" t="s">
        <v>112</v>
      </c>
      <c r="J3761" t="s">
        <v>113</v>
      </c>
      <c r="K3761">
        <v>0</v>
      </c>
      <c r="L3761">
        <v>3</v>
      </c>
      <c r="M3761">
        <v>0</v>
      </c>
      <c r="N3761">
        <v>2</v>
      </c>
      <c r="O3761">
        <v>1</v>
      </c>
      <c r="P3761">
        <v>0</v>
      </c>
      <c r="Q3761">
        <v>0</v>
      </c>
      <c r="R3761" t="s">
        <v>114</v>
      </c>
      <c r="S3761" t="str">
        <f>"19:37:40.617"</f>
        <v>19:37:40.617</v>
      </c>
      <c r="T3761" t="str">
        <f>"19:37:40.617"</f>
        <v>19:37:40.617</v>
      </c>
      <c r="U3761" t="str">
        <f t="shared" si="175"/>
        <v>a1cdbe</v>
      </c>
      <c r="V3761">
        <v>0</v>
      </c>
      <c r="W3761">
        <v>0</v>
      </c>
      <c r="X3761">
        <v>2</v>
      </c>
      <c r="Y3761">
        <v>0</v>
      </c>
      <c r="Z3761">
        <v>0</v>
      </c>
      <c r="AB3761">
        <v>0</v>
      </c>
      <c r="AC3761">
        <v>9</v>
      </c>
      <c r="AD3761">
        <v>3</v>
      </c>
      <c r="AE3761">
        <v>0</v>
      </c>
      <c r="AF3761">
        <v>9</v>
      </c>
      <c r="AG3761" t="s">
        <v>158</v>
      </c>
      <c r="AH3761">
        <v>0</v>
      </c>
      <c r="AI3761">
        <v>3</v>
      </c>
      <c r="AJ3761">
        <v>1</v>
      </c>
      <c r="AK3761">
        <v>0</v>
      </c>
      <c r="AL3761" t="s">
        <v>7087</v>
      </c>
      <c r="AM3761">
        <v>47.041975999999998</v>
      </c>
      <c r="AN3761" t="s">
        <v>7088</v>
      </c>
      <c r="AO3761">
        <v>-123.92282</v>
      </c>
      <c r="AP3761">
        <v>100</v>
      </c>
      <c r="AQ3761">
        <v>2100</v>
      </c>
      <c r="AR3761" t="s">
        <v>118</v>
      </c>
      <c r="AS3761">
        <v>-76</v>
      </c>
      <c r="AT3761">
        <v>24</v>
      </c>
      <c r="AU3761">
        <v>128</v>
      </c>
      <c r="BC3761">
        <v>1200</v>
      </c>
      <c r="BD3761">
        <v>1</v>
      </c>
      <c r="BE3761" t="str">
        <f t="shared" si="176"/>
        <v xml:space="preserve">N215T   </v>
      </c>
      <c r="BF3761">
        <v>1</v>
      </c>
      <c r="BH3761">
        <v>0</v>
      </c>
      <c r="BI3761">
        <v>0</v>
      </c>
      <c r="BJ3761">
        <v>0</v>
      </c>
      <c r="BK3761">
        <v>2450</v>
      </c>
      <c r="BL3761">
        <v>350</v>
      </c>
      <c r="BM3761" t="s">
        <v>119</v>
      </c>
      <c r="BN3761">
        <v>1</v>
      </c>
      <c r="BO3761">
        <v>1</v>
      </c>
      <c r="BP3761">
        <v>1</v>
      </c>
      <c r="BQ3761">
        <v>0</v>
      </c>
      <c r="BT3761">
        <v>0</v>
      </c>
      <c r="BU3761">
        <v>0</v>
      </c>
      <c r="BV3761">
        <v>0</v>
      </c>
      <c r="CC3761" t="str">
        <f>"19:37:40.625"</f>
        <v>19:37:40.625</v>
      </c>
      <c r="CD3761" t="str">
        <f>"621541409"</f>
        <v>621541409</v>
      </c>
      <c r="CQ3761">
        <v>0</v>
      </c>
      <c r="CR3761">
        <v>2</v>
      </c>
      <c r="CS3761">
        <v>0</v>
      </c>
      <c r="CT3761">
        <v>2</v>
      </c>
      <c r="CU3761">
        <v>0</v>
      </c>
      <c r="CV3761">
        <v>4</v>
      </c>
      <c r="CW3761" t="s">
        <v>120</v>
      </c>
      <c r="CX3761">
        <v>257</v>
      </c>
      <c r="CY3761">
        <v>0</v>
      </c>
      <c r="CZ3761" t="s">
        <v>615</v>
      </c>
      <c r="DA3761" t="s">
        <v>616</v>
      </c>
      <c r="DD3761">
        <v>16559182</v>
      </c>
      <c r="DE3761" t="s">
        <v>123</v>
      </c>
    </row>
    <row r="3762" spans="1:109" x14ac:dyDescent="0.3">
      <c r="A3762" t="str">
        <f>"19:37:42.023"</f>
        <v>19:37:42.023</v>
      </c>
      <c r="B3762" t="s">
        <v>110</v>
      </c>
      <c r="C3762" t="str">
        <f t="shared" si="174"/>
        <v>ffdfd3c0</v>
      </c>
      <c r="D3762" t="s">
        <v>111</v>
      </c>
      <c r="E3762">
        <v>18</v>
      </c>
      <c r="F3762">
        <v>1018</v>
      </c>
      <c r="G3762" t="s">
        <v>112</v>
      </c>
      <c r="J3762" t="s">
        <v>113</v>
      </c>
      <c r="K3762">
        <v>0</v>
      </c>
      <c r="L3762">
        <v>3</v>
      </c>
      <c r="M3762">
        <v>0</v>
      </c>
      <c r="N3762">
        <v>2</v>
      </c>
      <c r="O3762">
        <v>1</v>
      </c>
      <c r="P3762">
        <v>0</v>
      </c>
      <c r="Q3762">
        <v>0</v>
      </c>
      <c r="R3762" t="s">
        <v>114</v>
      </c>
      <c r="S3762" t="str">
        <f>"19:37:41.773"</f>
        <v>19:37:41.773</v>
      </c>
      <c r="T3762" t="str">
        <f>"19:37:41.273"</f>
        <v>19:37:41.273</v>
      </c>
      <c r="U3762" t="str">
        <f t="shared" si="175"/>
        <v>a1cdbe</v>
      </c>
      <c r="V3762">
        <v>0</v>
      </c>
      <c r="W3762">
        <v>0</v>
      </c>
      <c r="X3762">
        <v>2</v>
      </c>
      <c r="Y3762">
        <v>0</v>
      </c>
      <c r="Z3762">
        <v>0</v>
      </c>
      <c r="AB3762">
        <v>0</v>
      </c>
      <c r="AC3762">
        <v>9</v>
      </c>
      <c r="AD3762">
        <v>3</v>
      </c>
      <c r="AE3762">
        <v>0</v>
      </c>
      <c r="AF3762">
        <v>9</v>
      </c>
      <c r="AG3762" t="s">
        <v>158</v>
      </c>
      <c r="AH3762">
        <v>0</v>
      </c>
      <c r="AI3762">
        <v>3</v>
      </c>
      <c r="AJ3762">
        <v>1</v>
      </c>
      <c r="AK3762">
        <v>0</v>
      </c>
      <c r="AL3762" t="s">
        <v>7089</v>
      </c>
      <c r="AM3762">
        <v>47.042104999999999</v>
      </c>
      <c r="AN3762" t="s">
        <v>7090</v>
      </c>
      <c r="AO3762">
        <v>-123.923378</v>
      </c>
      <c r="AP3762">
        <v>100</v>
      </c>
      <c r="AQ3762">
        <v>2100</v>
      </c>
      <c r="AR3762" t="s">
        <v>118</v>
      </c>
      <c r="AS3762">
        <v>-76</v>
      </c>
      <c r="AT3762">
        <v>24</v>
      </c>
      <c r="AU3762">
        <v>128</v>
      </c>
      <c r="BC3762">
        <v>1200</v>
      </c>
      <c r="BD3762">
        <v>1</v>
      </c>
      <c r="BE3762" t="str">
        <f t="shared" si="176"/>
        <v xml:space="preserve">N215T   </v>
      </c>
      <c r="BF3762">
        <v>1</v>
      </c>
      <c r="BH3762">
        <v>0</v>
      </c>
      <c r="BI3762">
        <v>0</v>
      </c>
      <c r="BJ3762">
        <v>0</v>
      </c>
      <c r="BK3762">
        <v>2450</v>
      </c>
      <c r="BL3762">
        <v>350</v>
      </c>
      <c r="BM3762" t="s">
        <v>119</v>
      </c>
      <c r="BN3762">
        <v>1</v>
      </c>
      <c r="BO3762">
        <v>1</v>
      </c>
      <c r="BP3762">
        <v>1</v>
      </c>
      <c r="BQ3762">
        <v>0</v>
      </c>
      <c r="BT3762">
        <v>0</v>
      </c>
      <c r="BU3762">
        <v>0</v>
      </c>
      <c r="BV3762">
        <v>0</v>
      </c>
      <c r="CC3762" t="str">
        <f>"19:37:41.773"</f>
        <v>19:37:41.773</v>
      </c>
      <c r="CD3762" t="str">
        <f>"776427651"</f>
        <v>776427651</v>
      </c>
      <c r="CQ3762">
        <v>0</v>
      </c>
      <c r="CR3762">
        <v>2</v>
      </c>
      <c r="CS3762">
        <v>0</v>
      </c>
      <c r="CT3762">
        <v>2</v>
      </c>
      <c r="CU3762">
        <v>0</v>
      </c>
      <c r="CV3762">
        <v>4</v>
      </c>
      <c r="CW3762" t="s">
        <v>120</v>
      </c>
      <c r="CX3762">
        <v>257</v>
      </c>
      <c r="CY3762">
        <v>0</v>
      </c>
      <c r="CZ3762" t="s">
        <v>615</v>
      </c>
      <c r="DA3762" t="s">
        <v>616</v>
      </c>
      <c r="DD3762">
        <v>16559570</v>
      </c>
      <c r="DE3762" t="s">
        <v>123</v>
      </c>
    </row>
    <row r="3763" spans="1:109" x14ac:dyDescent="0.3">
      <c r="A3763" t="str">
        <f>"19:37:43.180"</f>
        <v>19:37:43.180</v>
      </c>
      <c r="B3763" t="s">
        <v>110</v>
      </c>
      <c r="C3763" t="str">
        <f t="shared" si="174"/>
        <v>ffdfd3c0</v>
      </c>
      <c r="D3763" t="s">
        <v>111</v>
      </c>
      <c r="E3763">
        <v>18</v>
      </c>
      <c r="F3763">
        <v>1018</v>
      </c>
      <c r="G3763" t="s">
        <v>112</v>
      </c>
      <c r="J3763" t="s">
        <v>113</v>
      </c>
      <c r="K3763">
        <v>0</v>
      </c>
      <c r="L3763">
        <v>3</v>
      </c>
      <c r="M3763">
        <v>0</v>
      </c>
      <c r="N3763">
        <v>2</v>
      </c>
      <c r="O3763">
        <v>1</v>
      </c>
      <c r="P3763">
        <v>0</v>
      </c>
      <c r="Q3763">
        <v>0</v>
      </c>
      <c r="R3763" t="s">
        <v>114</v>
      </c>
      <c r="S3763" t="str">
        <f>"19:37:42.961"</f>
        <v>19:37:42.961</v>
      </c>
      <c r="T3763" t="str">
        <f>"19:37:42.961"</f>
        <v>19:37:42.961</v>
      </c>
      <c r="U3763" t="str">
        <f t="shared" si="175"/>
        <v>a1cdbe</v>
      </c>
      <c r="V3763">
        <v>0</v>
      </c>
      <c r="W3763">
        <v>0</v>
      </c>
      <c r="X3763">
        <v>2</v>
      </c>
      <c r="Y3763">
        <v>0</v>
      </c>
      <c r="Z3763">
        <v>0</v>
      </c>
      <c r="AB3763">
        <v>0</v>
      </c>
      <c r="AC3763">
        <v>9</v>
      </c>
      <c r="AD3763">
        <v>3</v>
      </c>
      <c r="AE3763">
        <v>0</v>
      </c>
      <c r="AF3763">
        <v>9</v>
      </c>
      <c r="AG3763" t="s">
        <v>158</v>
      </c>
      <c r="AH3763">
        <v>0</v>
      </c>
      <c r="AI3763">
        <v>3</v>
      </c>
      <c r="AJ3763">
        <v>1</v>
      </c>
      <c r="AK3763">
        <v>0</v>
      </c>
      <c r="AL3763" t="s">
        <v>7091</v>
      </c>
      <c r="AM3763">
        <v>47.042254999999997</v>
      </c>
      <c r="AN3763" t="s">
        <v>7092</v>
      </c>
      <c r="AO3763">
        <v>-123.92402199999999</v>
      </c>
      <c r="AP3763">
        <v>100</v>
      </c>
      <c r="AQ3763">
        <v>2100</v>
      </c>
      <c r="AR3763" t="s">
        <v>118</v>
      </c>
      <c r="AS3763">
        <v>-76</v>
      </c>
      <c r="AT3763">
        <v>24</v>
      </c>
      <c r="AU3763">
        <v>128</v>
      </c>
      <c r="BC3763">
        <v>1200</v>
      </c>
      <c r="BD3763">
        <v>1</v>
      </c>
      <c r="BE3763" t="str">
        <f t="shared" si="176"/>
        <v xml:space="preserve">N215T   </v>
      </c>
      <c r="BF3763">
        <v>1</v>
      </c>
      <c r="BH3763">
        <v>0</v>
      </c>
      <c r="BI3763">
        <v>0</v>
      </c>
      <c r="BJ3763">
        <v>0</v>
      </c>
      <c r="BK3763">
        <v>2450</v>
      </c>
      <c r="BL3763">
        <v>350</v>
      </c>
      <c r="BM3763" t="s">
        <v>119</v>
      </c>
      <c r="BN3763">
        <v>1</v>
      </c>
      <c r="BO3763">
        <v>1</v>
      </c>
      <c r="BP3763">
        <v>1</v>
      </c>
      <c r="BQ3763">
        <v>0</v>
      </c>
      <c r="BT3763">
        <v>0</v>
      </c>
      <c r="BU3763">
        <v>0</v>
      </c>
      <c r="BV3763">
        <v>0</v>
      </c>
      <c r="CC3763" t="str">
        <f>"19:37:42.961"</f>
        <v>19:37:42.961</v>
      </c>
      <c r="CD3763" t="str">
        <f>"961425523"</f>
        <v>961425523</v>
      </c>
      <c r="CQ3763">
        <v>0</v>
      </c>
      <c r="CR3763">
        <v>2</v>
      </c>
      <c r="CS3763">
        <v>0</v>
      </c>
      <c r="CT3763">
        <v>2</v>
      </c>
      <c r="CU3763">
        <v>0</v>
      </c>
      <c r="CV3763">
        <v>1</v>
      </c>
      <c r="CW3763" t="s">
        <v>120</v>
      </c>
      <c r="CX3763">
        <v>253</v>
      </c>
      <c r="CY3763">
        <v>2</v>
      </c>
      <c r="CZ3763" t="s">
        <v>7093</v>
      </c>
      <c r="DA3763" t="s">
        <v>7094</v>
      </c>
      <c r="DD3763">
        <v>13964903</v>
      </c>
      <c r="DE3763" t="s">
        <v>123</v>
      </c>
    </row>
    <row r="3764" spans="1:109" x14ac:dyDescent="0.3">
      <c r="A3764" t="str">
        <f>"19:37:44.188"</f>
        <v>19:37:44.188</v>
      </c>
      <c r="B3764" t="s">
        <v>110</v>
      </c>
      <c r="C3764" t="str">
        <f t="shared" si="174"/>
        <v>ffdfd3c0</v>
      </c>
      <c r="D3764" t="s">
        <v>111</v>
      </c>
      <c r="E3764">
        <v>18</v>
      </c>
      <c r="F3764">
        <v>1018</v>
      </c>
      <c r="G3764" t="s">
        <v>112</v>
      </c>
      <c r="J3764" t="s">
        <v>113</v>
      </c>
      <c r="K3764">
        <v>0</v>
      </c>
      <c r="L3764">
        <v>3</v>
      </c>
      <c r="M3764">
        <v>0</v>
      </c>
      <c r="N3764">
        <v>2</v>
      </c>
      <c r="O3764">
        <v>1</v>
      </c>
      <c r="P3764">
        <v>0</v>
      </c>
      <c r="Q3764">
        <v>0</v>
      </c>
      <c r="R3764" t="s">
        <v>114</v>
      </c>
      <c r="S3764" t="str">
        <f>"19:37:43.961"</f>
        <v>19:37:43.961</v>
      </c>
      <c r="T3764" t="str">
        <f>"19:37:43.859"</f>
        <v>19:37:43.859</v>
      </c>
      <c r="U3764" t="str">
        <f t="shared" si="175"/>
        <v>a1cdbe</v>
      </c>
      <c r="V3764">
        <v>0</v>
      </c>
      <c r="W3764">
        <v>0</v>
      </c>
      <c r="X3764">
        <v>2</v>
      </c>
      <c r="Y3764">
        <v>0</v>
      </c>
      <c r="Z3764">
        <v>0</v>
      </c>
      <c r="AB3764">
        <v>0</v>
      </c>
      <c r="AC3764">
        <v>9</v>
      </c>
      <c r="AD3764">
        <v>3</v>
      </c>
      <c r="AE3764">
        <v>0</v>
      </c>
      <c r="AF3764">
        <v>9</v>
      </c>
      <c r="AG3764" t="s">
        <v>158</v>
      </c>
      <c r="AH3764">
        <v>0</v>
      </c>
      <c r="AI3764">
        <v>3</v>
      </c>
      <c r="AJ3764">
        <v>1</v>
      </c>
      <c r="AK3764">
        <v>0</v>
      </c>
      <c r="AL3764" t="s">
        <v>7095</v>
      </c>
      <c r="AM3764">
        <v>47.042363000000002</v>
      </c>
      <c r="AN3764" t="s">
        <v>7096</v>
      </c>
      <c r="AO3764">
        <v>-123.924537</v>
      </c>
      <c r="AP3764">
        <v>100</v>
      </c>
      <c r="AQ3764">
        <v>2100</v>
      </c>
      <c r="AR3764" t="s">
        <v>118</v>
      </c>
      <c r="AS3764">
        <v>-76</v>
      </c>
      <c r="AT3764">
        <v>23</v>
      </c>
      <c r="AU3764">
        <v>128</v>
      </c>
      <c r="BC3764">
        <v>1200</v>
      </c>
      <c r="BD3764">
        <v>1</v>
      </c>
      <c r="BE3764" t="str">
        <f t="shared" si="176"/>
        <v xml:space="preserve">N215T   </v>
      </c>
      <c r="BF3764">
        <v>1</v>
      </c>
      <c r="BH3764">
        <v>0</v>
      </c>
      <c r="BI3764">
        <v>0</v>
      </c>
      <c r="BJ3764">
        <v>0</v>
      </c>
      <c r="BK3764">
        <v>2450</v>
      </c>
      <c r="BL3764">
        <v>350</v>
      </c>
      <c r="BM3764" t="s">
        <v>119</v>
      </c>
      <c r="BN3764">
        <v>1</v>
      </c>
      <c r="BO3764">
        <v>1</v>
      </c>
      <c r="BP3764">
        <v>1</v>
      </c>
      <c r="BQ3764">
        <v>0</v>
      </c>
      <c r="BT3764">
        <v>0</v>
      </c>
      <c r="BU3764">
        <v>0</v>
      </c>
      <c r="BV3764">
        <v>0</v>
      </c>
      <c r="CC3764" t="str">
        <f>"19:37:43.969"</f>
        <v>19:37:43.969</v>
      </c>
      <c r="CD3764" t="str">
        <f>"966211935"</f>
        <v>966211935</v>
      </c>
      <c r="CQ3764">
        <v>0</v>
      </c>
      <c r="CR3764">
        <v>2</v>
      </c>
      <c r="CS3764">
        <v>0</v>
      </c>
      <c r="CT3764">
        <v>2</v>
      </c>
      <c r="CU3764">
        <v>0</v>
      </c>
      <c r="CV3764">
        <v>3</v>
      </c>
      <c r="CW3764" t="s">
        <v>120</v>
      </c>
      <c r="CX3764">
        <v>257</v>
      </c>
      <c r="CY3764">
        <v>0</v>
      </c>
      <c r="CZ3764" t="s">
        <v>615</v>
      </c>
      <c r="DA3764" t="s">
        <v>616</v>
      </c>
      <c r="DD3764">
        <v>16560301</v>
      </c>
      <c r="DE3764" t="s">
        <v>123</v>
      </c>
    </row>
    <row r="3765" spans="1:109" x14ac:dyDescent="0.3">
      <c r="A3765" t="str">
        <f>"19:37:45.188"</f>
        <v>19:37:45.188</v>
      </c>
      <c r="B3765" t="s">
        <v>110</v>
      </c>
      <c r="C3765" t="str">
        <f t="shared" si="174"/>
        <v>ffdfd3c0</v>
      </c>
      <c r="D3765" t="s">
        <v>111</v>
      </c>
      <c r="E3765">
        <v>18</v>
      </c>
      <c r="F3765">
        <v>1018</v>
      </c>
      <c r="G3765" t="s">
        <v>112</v>
      </c>
      <c r="J3765" t="s">
        <v>113</v>
      </c>
      <c r="K3765">
        <v>0</v>
      </c>
      <c r="L3765">
        <v>3</v>
      </c>
      <c r="M3765">
        <v>0</v>
      </c>
      <c r="N3765">
        <v>2</v>
      </c>
      <c r="O3765">
        <v>1</v>
      </c>
      <c r="P3765">
        <v>0</v>
      </c>
      <c r="Q3765">
        <v>0</v>
      </c>
      <c r="R3765" t="s">
        <v>114</v>
      </c>
      <c r="S3765" t="str">
        <f>"19:37:44.969"</f>
        <v>19:37:44.969</v>
      </c>
      <c r="T3765" t="str">
        <f>"19:37:44.867"</f>
        <v>19:37:44.867</v>
      </c>
      <c r="U3765" t="str">
        <f t="shared" si="175"/>
        <v>a1cdbe</v>
      </c>
      <c r="V3765">
        <v>0</v>
      </c>
      <c r="W3765">
        <v>0</v>
      </c>
      <c r="X3765">
        <v>2</v>
      </c>
      <c r="Y3765">
        <v>0</v>
      </c>
      <c r="Z3765">
        <v>0</v>
      </c>
      <c r="AB3765">
        <v>0</v>
      </c>
      <c r="AC3765">
        <v>9</v>
      </c>
      <c r="AD3765">
        <v>3</v>
      </c>
      <c r="AE3765">
        <v>0</v>
      </c>
      <c r="AF3765">
        <v>9</v>
      </c>
      <c r="AG3765" t="s">
        <v>158</v>
      </c>
      <c r="AH3765">
        <v>0</v>
      </c>
      <c r="AI3765">
        <v>3</v>
      </c>
      <c r="AJ3765">
        <v>1</v>
      </c>
      <c r="AK3765">
        <v>0</v>
      </c>
      <c r="AL3765" t="s">
        <v>7097</v>
      </c>
      <c r="AM3765">
        <v>47.042470000000002</v>
      </c>
      <c r="AN3765" t="s">
        <v>7098</v>
      </c>
      <c r="AO3765">
        <v>-123.925073</v>
      </c>
      <c r="AP3765">
        <v>100</v>
      </c>
      <c r="AQ3765">
        <v>2100</v>
      </c>
      <c r="AR3765" t="s">
        <v>118</v>
      </c>
      <c r="AS3765">
        <v>-76</v>
      </c>
      <c r="AT3765">
        <v>23</v>
      </c>
      <c r="AU3765">
        <v>128</v>
      </c>
      <c r="BC3765">
        <v>1200</v>
      </c>
      <c r="BD3765">
        <v>1</v>
      </c>
      <c r="BE3765" t="str">
        <f t="shared" si="176"/>
        <v xml:space="preserve">N215T   </v>
      </c>
      <c r="BF3765">
        <v>1</v>
      </c>
      <c r="BH3765">
        <v>0</v>
      </c>
      <c r="BI3765">
        <v>0</v>
      </c>
      <c r="BJ3765">
        <v>0</v>
      </c>
      <c r="BK3765">
        <v>2450</v>
      </c>
      <c r="BL3765">
        <v>350</v>
      </c>
      <c r="BM3765" t="s">
        <v>119</v>
      </c>
      <c r="BN3765">
        <v>1</v>
      </c>
      <c r="BO3765">
        <v>1</v>
      </c>
      <c r="BP3765">
        <v>1</v>
      </c>
      <c r="BQ3765">
        <v>0</v>
      </c>
      <c r="BT3765">
        <v>0</v>
      </c>
      <c r="BU3765">
        <v>0</v>
      </c>
      <c r="BV3765">
        <v>0</v>
      </c>
      <c r="CC3765" t="str">
        <f>"19:37:44.969"</f>
        <v>19:37:44.969</v>
      </c>
      <c r="CD3765" t="str">
        <f>"971112978"</f>
        <v>971112978</v>
      </c>
      <c r="CQ3765">
        <v>0</v>
      </c>
      <c r="CR3765">
        <v>2</v>
      </c>
      <c r="CS3765">
        <v>0</v>
      </c>
      <c r="CT3765">
        <v>2</v>
      </c>
      <c r="CU3765">
        <v>0</v>
      </c>
      <c r="CV3765">
        <v>5</v>
      </c>
      <c r="CW3765" t="s">
        <v>120</v>
      </c>
      <c r="CX3765">
        <v>257</v>
      </c>
      <c r="CY3765">
        <v>0</v>
      </c>
      <c r="CZ3765" t="s">
        <v>615</v>
      </c>
      <c r="DA3765" t="s">
        <v>616</v>
      </c>
      <c r="DD3765">
        <v>16560629</v>
      </c>
      <c r="DE3765" t="s">
        <v>123</v>
      </c>
    </row>
    <row r="3766" spans="1:109" x14ac:dyDescent="0.3">
      <c r="A3766" t="str">
        <f>"19:37:46.195"</f>
        <v>19:37:46.195</v>
      </c>
      <c r="B3766" t="s">
        <v>110</v>
      </c>
      <c r="C3766" t="str">
        <f t="shared" si="174"/>
        <v>ffdfd3c0</v>
      </c>
      <c r="D3766" t="s">
        <v>111</v>
      </c>
      <c r="E3766">
        <v>18</v>
      </c>
      <c r="F3766">
        <v>1018</v>
      </c>
      <c r="G3766" t="s">
        <v>112</v>
      </c>
      <c r="J3766" t="s">
        <v>113</v>
      </c>
      <c r="K3766">
        <v>0</v>
      </c>
      <c r="L3766">
        <v>3</v>
      </c>
      <c r="M3766">
        <v>0</v>
      </c>
      <c r="N3766">
        <v>2</v>
      </c>
      <c r="O3766">
        <v>1</v>
      </c>
      <c r="P3766">
        <v>0</v>
      </c>
      <c r="Q3766">
        <v>0</v>
      </c>
      <c r="R3766" t="s">
        <v>114</v>
      </c>
      <c r="S3766" t="str">
        <f>"19:37:45.930"</f>
        <v>19:37:45.930</v>
      </c>
      <c r="T3766" t="str">
        <f>"19:37:45.828"</f>
        <v>19:37:45.828</v>
      </c>
      <c r="U3766" t="str">
        <f t="shared" si="175"/>
        <v>a1cdbe</v>
      </c>
      <c r="V3766">
        <v>0</v>
      </c>
      <c r="W3766">
        <v>0</v>
      </c>
      <c r="X3766">
        <v>2</v>
      </c>
      <c r="Y3766">
        <v>0</v>
      </c>
      <c r="Z3766">
        <v>0</v>
      </c>
      <c r="AB3766">
        <v>0</v>
      </c>
      <c r="AC3766">
        <v>9</v>
      </c>
      <c r="AD3766">
        <v>3</v>
      </c>
      <c r="AE3766">
        <v>0</v>
      </c>
      <c r="AF3766">
        <v>9</v>
      </c>
      <c r="AG3766" t="s">
        <v>158</v>
      </c>
      <c r="AH3766">
        <v>0</v>
      </c>
      <c r="AI3766">
        <v>3</v>
      </c>
      <c r="AJ3766">
        <v>1</v>
      </c>
      <c r="AK3766">
        <v>0</v>
      </c>
      <c r="AL3766" t="s">
        <v>7099</v>
      </c>
      <c r="AM3766">
        <v>47.042577000000001</v>
      </c>
      <c r="AN3766" t="s">
        <v>7100</v>
      </c>
      <c r="AO3766">
        <v>-123.92550199999999</v>
      </c>
      <c r="AP3766">
        <v>100</v>
      </c>
      <c r="AQ3766">
        <v>2100</v>
      </c>
      <c r="AR3766" t="s">
        <v>118</v>
      </c>
      <c r="AS3766">
        <v>-76</v>
      </c>
      <c r="AT3766">
        <v>23</v>
      </c>
      <c r="AU3766">
        <v>128</v>
      </c>
      <c r="BC3766">
        <v>1200</v>
      </c>
      <c r="BD3766">
        <v>1</v>
      </c>
      <c r="BE3766" t="str">
        <f t="shared" si="176"/>
        <v xml:space="preserve">N215T   </v>
      </c>
      <c r="BF3766">
        <v>1</v>
      </c>
      <c r="BH3766">
        <v>0</v>
      </c>
      <c r="BI3766">
        <v>0</v>
      </c>
      <c r="BJ3766">
        <v>0</v>
      </c>
      <c r="BK3766">
        <v>2450</v>
      </c>
      <c r="BL3766">
        <v>350</v>
      </c>
      <c r="BM3766" t="s">
        <v>119</v>
      </c>
      <c r="BN3766">
        <v>1</v>
      </c>
      <c r="BO3766">
        <v>1</v>
      </c>
      <c r="BP3766">
        <v>1</v>
      </c>
      <c r="BQ3766">
        <v>0</v>
      </c>
      <c r="BT3766">
        <v>0</v>
      </c>
      <c r="BU3766">
        <v>0</v>
      </c>
      <c r="BV3766">
        <v>0</v>
      </c>
      <c r="CC3766" t="str">
        <f>"19:37:45.930"</f>
        <v>19:37:45.930</v>
      </c>
      <c r="CD3766" t="str">
        <f>"931018432"</f>
        <v>931018432</v>
      </c>
      <c r="CQ3766">
        <v>0</v>
      </c>
      <c r="CR3766">
        <v>2</v>
      </c>
      <c r="CS3766">
        <v>0</v>
      </c>
      <c r="CT3766">
        <v>2</v>
      </c>
      <c r="CU3766">
        <v>0</v>
      </c>
      <c r="CV3766">
        <v>4</v>
      </c>
      <c r="CW3766" t="s">
        <v>120</v>
      </c>
      <c r="CX3766">
        <v>257</v>
      </c>
      <c r="CY3766">
        <v>0</v>
      </c>
      <c r="CZ3766" t="s">
        <v>615</v>
      </c>
      <c r="DA3766" t="s">
        <v>616</v>
      </c>
      <c r="DD3766">
        <v>16560994</v>
      </c>
      <c r="DE3766" t="s">
        <v>123</v>
      </c>
    </row>
    <row r="3767" spans="1:109" x14ac:dyDescent="0.3">
      <c r="A3767" t="str">
        <f>"19:37:47.047"</f>
        <v>19:37:47.047</v>
      </c>
      <c r="B3767" t="s">
        <v>110</v>
      </c>
      <c r="C3767" t="str">
        <f t="shared" si="174"/>
        <v>ffdfd3c0</v>
      </c>
      <c r="D3767" t="s">
        <v>111</v>
      </c>
      <c r="E3767">
        <v>18</v>
      </c>
      <c r="F3767">
        <v>1018</v>
      </c>
      <c r="G3767" t="s">
        <v>112</v>
      </c>
      <c r="J3767" t="s">
        <v>113</v>
      </c>
      <c r="K3767">
        <v>0</v>
      </c>
      <c r="L3767">
        <v>3</v>
      </c>
      <c r="M3767">
        <v>0</v>
      </c>
      <c r="N3767">
        <v>2</v>
      </c>
      <c r="O3767">
        <v>1</v>
      </c>
      <c r="P3767">
        <v>0</v>
      </c>
      <c r="Q3767">
        <v>0</v>
      </c>
      <c r="R3767" t="s">
        <v>114</v>
      </c>
      <c r="S3767" t="str">
        <f>"19:37:46.797"</f>
        <v>19:37:46.797</v>
      </c>
      <c r="T3767" t="str">
        <f>"19:37:46.797"</f>
        <v>19:37:46.797</v>
      </c>
      <c r="U3767" t="str">
        <f t="shared" si="175"/>
        <v>a1cdbe</v>
      </c>
      <c r="V3767">
        <v>0</v>
      </c>
      <c r="W3767">
        <v>0</v>
      </c>
      <c r="X3767">
        <v>2</v>
      </c>
      <c r="Y3767">
        <v>0</v>
      </c>
      <c r="Z3767">
        <v>0</v>
      </c>
      <c r="AB3767">
        <v>0</v>
      </c>
      <c r="AC3767">
        <v>9</v>
      </c>
      <c r="AD3767">
        <v>3</v>
      </c>
      <c r="AE3767">
        <v>0</v>
      </c>
      <c r="AF3767">
        <v>9</v>
      </c>
      <c r="AG3767" t="s">
        <v>158</v>
      </c>
      <c r="AH3767">
        <v>0</v>
      </c>
      <c r="AI3767">
        <v>3</v>
      </c>
      <c r="AJ3767">
        <v>1</v>
      </c>
      <c r="AK3767">
        <v>0</v>
      </c>
      <c r="AL3767" t="s">
        <v>7101</v>
      </c>
      <c r="AM3767">
        <v>47.042642000000001</v>
      </c>
      <c r="AN3767" t="s">
        <v>7102</v>
      </c>
      <c r="AO3767">
        <v>-123.925996</v>
      </c>
      <c r="AP3767">
        <v>100</v>
      </c>
      <c r="AQ3767">
        <v>2100</v>
      </c>
      <c r="AR3767" t="s">
        <v>118</v>
      </c>
      <c r="AS3767">
        <v>-76</v>
      </c>
      <c r="AT3767">
        <v>23</v>
      </c>
      <c r="AU3767">
        <v>128</v>
      </c>
      <c r="BC3767">
        <v>1200</v>
      </c>
      <c r="BD3767">
        <v>1</v>
      </c>
      <c r="BE3767" t="str">
        <f t="shared" si="176"/>
        <v xml:space="preserve">N215T   </v>
      </c>
      <c r="BF3767">
        <v>1</v>
      </c>
      <c r="BH3767">
        <v>0</v>
      </c>
      <c r="BI3767">
        <v>0</v>
      </c>
      <c r="BJ3767">
        <v>0</v>
      </c>
      <c r="BK3767">
        <v>2475</v>
      </c>
      <c r="BL3767">
        <v>375</v>
      </c>
      <c r="BM3767" t="s">
        <v>119</v>
      </c>
      <c r="BN3767">
        <v>1</v>
      </c>
      <c r="BO3767">
        <v>1</v>
      </c>
      <c r="BP3767">
        <v>1</v>
      </c>
      <c r="BQ3767">
        <v>0</v>
      </c>
      <c r="BT3767">
        <v>0</v>
      </c>
      <c r="BU3767">
        <v>0</v>
      </c>
      <c r="BV3767">
        <v>0</v>
      </c>
      <c r="CC3767" t="str">
        <f>"19:37:46.805"</f>
        <v>19:37:46.805</v>
      </c>
      <c r="CD3767" t="str">
        <f>"800932738"</f>
        <v>800932738</v>
      </c>
      <c r="CQ3767">
        <v>0</v>
      </c>
      <c r="CR3767">
        <v>2</v>
      </c>
      <c r="CS3767">
        <v>0</v>
      </c>
      <c r="CT3767">
        <v>2</v>
      </c>
      <c r="CU3767">
        <v>0</v>
      </c>
      <c r="CV3767">
        <v>4</v>
      </c>
      <c r="CW3767" t="s">
        <v>120</v>
      </c>
      <c r="CX3767">
        <v>257</v>
      </c>
      <c r="CY3767">
        <v>0</v>
      </c>
      <c r="CZ3767" t="s">
        <v>615</v>
      </c>
      <c r="DA3767" t="s">
        <v>616</v>
      </c>
      <c r="DD3767">
        <v>16561299</v>
      </c>
      <c r="DE3767" t="s">
        <v>123</v>
      </c>
    </row>
    <row r="3768" spans="1:109" x14ac:dyDescent="0.3">
      <c r="A3768" t="str">
        <f>"19:37:48.055"</f>
        <v>19:37:48.055</v>
      </c>
      <c r="B3768" t="s">
        <v>110</v>
      </c>
      <c r="C3768" t="str">
        <f t="shared" si="174"/>
        <v>ffdfd3c0</v>
      </c>
      <c r="D3768" t="s">
        <v>111</v>
      </c>
      <c r="E3768">
        <v>18</v>
      </c>
      <c r="F3768">
        <v>1018</v>
      </c>
      <c r="G3768" t="s">
        <v>112</v>
      </c>
      <c r="J3768" t="s">
        <v>113</v>
      </c>
      <c r="K3768">
        <v>0</v>
      </c>
      <c r="L3768">
        <v>3</v>
      </c>
      <c r="M3768">
        <v>0</v>
      </c>
      <c r="N3768">
        <v>2</v>
      </c>
      <c r="O3768">
        <v>1</v>
      </c>
      <c r="P3768">
        <v>0</v>
      </c>
      <c r="Q3768">
        <v>0</v>
      </c>
      <c r="R3768" t="s">
        <v>114</v>
      </c>
      <c r="S3768" t="str">
        <f>"19:37:47.805"</f>
        <v>19:37:47.805</v>
      </c>
      <c r="T3768" t="str">
        <f>"19:37:47.305"</f>
        <v>19:37:47.305</v>
      </c>
      <c r="U3768" t="str">
        <f t="shared" si="175"/>
        <v>a1cdbe</v>
      </c>
      <c r="V3768">
        <v>0</v>
      </c>
      <c r="W3768">
        <v>0</v>
      </c>
      <c r="X3768">
        <v>2</v>
      </c>
      <c r="Y3768">
        <v>0</v>
      </c>
      <c r="Z3768">
        <v>0</v>
      </c>
      <c r="AB3768">
        <v>0</v>
      </c>
      <c r="AC3768">
        <v>9</v>
      </c>
      <c r="AD3768">
        <v>3</v>
      </c>
      <c r="AE3768">
        <v>0</v>
      </c>
      <c r="AF3768">
        <v>9</v>
      </c>
      <c r="AG3768" t="s">
        <v>158</v>
      </c>
      <c r="AH3768">
        <v>0</v>
      </c>
      <c r="AI3768">
        <v>3</v>
      </c>
      <c r="AJ3768">
        <v>1</v>
      </c>
      <c r="AK3768">
        <v>0</v>
      </c>
      <c r="AL3768" t="s">
        <v>586</v>
      </c>
      <c r="AM3768">
        <v>47.042749000000001</v>
      </c>
      <c r="AN3768" t="s">
        <v>7103</v>
      </c>
      <c r="AO3768">
        <v>-123.926489</v>
      </c>
      <c r="AP3768">
        <v>100</v>
      </c>
      <c r="AQ3768">
        <v>2100</v>
      </c>
      <c r="AR3768" t="s">
        <v>118</v>
      </c>
      <c r="AS3768">
        <v>-76</v>
      </c>
      <c r="AT3768">
        <v>23</v>
      </c>
      <c r="AU3768">
        <v>128</v>
      </c>
      <c r="BC3768">
        <v>1200</v>
      </c>
      <c r="BD3768">
        <v>1</v>
      </c>
      <c r="BE3768" t="str">
        <f t="shared" si="176"/>
        <v xml:space="preserve">N215T   </v>
      </c>
      <c r="BF3768">
        <v>1</v>
      </c>
      <c r="BH3768">
        <v>0</v>
      </c>
      <c r="BI3768">
        <v>0</v>
      </c>
      <c r="BJ3768">
        <v>0</v>
      </c>
      <c r="BK3768">
        <v>2475</v>
      </c>
      <c r="BL3768">
        <v>375</v>
      </c>
      <c r="BM3768" t="s">
        <v>119</v>
      </c>
      <c r="BN3768">
        <v>1</v>
      </c>
      <c r="BO3768">
        <v>1</v>
      </c>
      <c r="BP3768">
        <v>1</v>
      </c>
      <c r="BQ3768">
        <v>0</v>
      </c>
      <c r="BT3768">
        <v>0</v>
      </c>
      <c r="BU3768">
        <v>0</v>
      </c>
      <c r="BV3768">
        <v>0</v>
      </c>
      <c r="CC3768" t="str">
        <f>"19:37:47.805"</f>
        <v>19:37:47.805</v>
      </c>
      <c r="CD3768" t="str">
        <f>"805833753"</f>
        <v>805833753</v>
      </c>
      <c r="CQ3768">
        <v>0</v>
      </c>
      <c r="CR3768">
        <v>2</v>
      </c>
      <c r="CS3768">
        <v>0</v>
      </c>
      <c r="CT3768">
        <v>2</v>
      </c>
      <c r="CU3768">
        <v>0</v>
      </c>
      <c r="CV3768">
        <v>4</v>
      </c>
      <c r="CW3768" t="s">
        <v>120</v>
      </c>
      <c r="CX3768">
        <v>257</v>
      </c>
      <c r="CY3768">
        <v>0</v>
      </c>
      <c r="CZ3768" t="s">
        <v>615</v>
      </c>
      <c r="DA3768" t="s">
        <v>616</v>
      </c>
      <c r="DD3768">
        <v>16561663</v>
      </c>
      <c r="DE3768" t="s">
        <v>123</v>
      </c>
    </row>
    <row r="3769" spans="1:109" x14ac:dyDescent="0.3">
      <c r="A3769" t="str">
        <f>"19:37:49.008"</f>
        <v>19:37:49.008</v>
      </c>
      <c r="B3769" t="s">
        <v>110</v>
      </c>
      <c r="C3769" t="str">
        <f t="shared" si="174"/>
        <v>ffdfd3c0</v>
      </c>
      <c r="D3769" t="s">
        <v>111</v>
      </c>
      <c r="E3769">
        <v>18</v>
      </c>
      <c r="F3769">
        <v>1018</v>
      </c>
      <c r="G3769" t="s">
        <v>112</v>
      </c>
      <c r="J3769" t="s">
        <v>113</v>
      </c>
      <c r="K3769">
        <v>0</v>
      </c>
      <c r="L3769">
        <v>3</v>
      </c>
      <c r="M3769">
        <v>0</v>
      </c>
      <c r="N3769">
        <v>2</v>
      </c>
      <c r="O3769">
        <v>1</v>
      </c>
      <c r="P3769">
        <v>0</v>
      </c>
      <c r="Q3769">
        <v>0</v>
      </c>
      <c r="R3769" t="s">
        <v>114</v>
      </c>
      <c r="S3769" t="str">
        <f>"19:37:48.805"</f>
        <v>19:37:48.805</v>
      </c>
      <c r="T3769" t="str">
        <f>"19:37:48.305"</f>
        <v>19:37:48.305</v>
      </c>
      <c r="U3769" t="str">
        <f t="shared" si="175"/>
        <v>a1cdbe</v>
      </c>
      <c r="V3769">
        <v>0</v>
      </c>
      <c r="W3769">
        <v>0</v>
      </c>
      <c r="X3769">
        <v>2</v>
      </c>
      <c r="Y3769">
        <v>0</v>
      </c>
      <c r="Z3769">
        <v>0</v>
      </c>
      <c r="AB3769">
        <v>0</v>
      </c>
      <c r="AC3769">
        <v>9</v>
      </c>
      <c r="AD3769">
        <v>3</v>
      </c>
      <c r="AE3769">
        <v>0</v>
      </c>
      <c r="AF3769">
        <v>9</v>
      </c>
      <c r="AG3769" t="s">
        <v>158</v>
      </c>
      <c r="AH3769">
        <v>0</v>
      </c>
      <c r="AI3769">
        <v>3</v>
      </c>
      <c r="AJ3769">
        <v>1</v>
      </c>
      <c r="AK3769">
        <v>0</v>
      </c>
      <c r="AL3769" t="s">
        <v>7104</v>
      </c>
      <c r="AM3769">
        <v>47.042856</v>
      </c>
      <c r="AN3769" t="s">
        <v>7105</v>
      </c>
      <c r="AO3769">
        <v>-123.927026</v>
      </c>
      <c r="AP3769">
        <v>100</v>
      </c>
      <c r="AQ3769">
        <v>2100</v>
      </c>
      <c r="AR3769" t="s">
        <v>118</v>
      </c>
      <c r="AS3769">
        <v>-76</v>
      </c>
      <c r="AT3769">
        <v>23</v>
      </c>
      <c r="AU3769">
        <v>128</v>
      </c>
      <c r="BC3769">
        <v>1200</v>
      </c>
      <c r="BD3769">
        <v>1</v>
      </c>
      <c r="BE3769" t="str">
        <f t="shared" si="176"/>
        <v xml:space="preserve">N215T   </v>
      </c>
      <c r="BF3769">
        <v>1</v>
      </c>
      <c r="BH3769">
        <v>0</v>
      </c>
      <c r="BI3769">
        <v>0</v>
      </c>
      <c r="BJ3769">
        <v>0</v>
      </c>
      <c r="BK3769">
        <v>2475</v>
      </c>
      <c r="BL3769">
        <v>375</v>
      </c>
      <c r="BM3769" t="s">
        <v>119</v>
      </c>
      <c r="BN3769">
        <v>1</v>
      </c>
      <c r="BO3769">
        <v>1</v>
      </c>
      <c r="BP3769">
        <v>1</v>
      </c>
      <c r="BQ3769">
        <v>0</v>
      </c>
      <c r="BT3769">
        <v>0</v>
      </c>
      <c r="BU3769">
        <v>0</v>
      </c>
      <c r="BV3769">
        <v>0</v>
      </c>
      <c r="CC3769" t="str">
        <f>"19:37:48.813"</f>
        <v>19:37:48.813</v>
      </c>
      <c r="CD3769" t="str">
        <f>"810734780"</f>
        <v>810734780</v>
      </c>
      <c r="CQ3769">
        <v>0</v>
      </c>
      <c r="CR3769">
        <v>2</v>
      </c>
      <c r="CS3769">
        <v>0</v>
      </c>
      <c r="CT3769">
        <v>2</v>
      </c>
      <c r="CU3769">
        <v>0</v>
      </c>
      <c r="CV3769">
        <v>5</v>
      </c>
      <c r="CW3769" t="s">
        <v>120</v>
      </c>
      <c r="CX3769">
        <v>257</v>
      </c>
      <c r="CY3769">
        <v>0</v>
      </c>
      <c r="CZ3769" t="s">
        <v>615</v>
      </c>
      <c r="DA3769" t="s">
        <v>616</v>
      </c>
      <c r="DD3769">
        <v>16562014</v>
      </c>
      <c r="DE3769" t="s">
        <v>123</v>
      </c>
    </row>
    <row r="3770" spans="1:109" x14ac:dyDescent="0.3">
      <c r="A3770" t="str">
        <f>"19:37:50.016"</f>
        <v>19:37:50.016</v>
      </c>
      <c r="B3770" t="s">
        <v>110</v>
      </c>
      <c r="C3770" t="str">
        <f t="shared" si="174"/>
        <v>ffdfd3c0</v>
      </c>
      <c r="D3770" t="s">
        <v>111</v>
      </c>
      <c r="E3770">
        <v>18</v>
      </c>
      <c r="F3770">
        <v>1018</v>
      </c>
      <c r="G3770" t="s">
        <v>112</v>
      </c>
      <c r="J3770" t="s">
        <v>113</v>
      </c>
      <c r="K3770">
        <v>0</v>
      </c>
      <c r="L3770">
        <v>3</v>
      </c>
      <c r="M3770">
        <v>0</v>
      </c>
      <c r="N3770">
        <v>2</v>
      </c>
      <c r="O3770">
        <v>1</v>
      </c>
      <c r="P3770">
        <v>0</v>
      </c>
      <c r="Q3770">
        <v>0</v>
      </c>
      <c r="R3770" t="s">
        <v>114</v>
      </c>
      <c r="S3770" t="str">
        <f>"19:37:49.813"</f>
        <v>19:37:49.813</v>
      </c>
      <c r="T3770" t="str">
        <f>"19:37:49.711"</f>
        <v>19:37:49.711</v>
      </c>
      <c r="U3770" t="str">
        <f t="shared" si="175"/>
        <v>a1cdbe</v>
      </c>
      <c r="V3770">
        <v>0</v>
      </c>
      <c r="W3770">
        <v>0</v>
      </c>
      <c r="X3770">
        <v>2</v>
      </c>
      <c r="Y3770">
        <v>0</v>
      </c>
      <c r="Z3770">
        <v>0</v>
      </c>
      <c r="AB3770">
        <v>0</v>
      </c>
      <c r="AC3770">
        <v>9</v>
      </c>
      <c r="AD3770">
        <v>3</v>
      </c>
      <c r="AE3770">
        <v>0</v>
      </c>
      <c r="AF3770">
        <v>9</v>
      </c>
      <c r="AG3770" t="s">
        <v>158</v>
      </c>
      <c r="AH3770">
        <v>0</v>
      </c>
      <c r="AI3770">
        <v>3</v>
      </c>
      <c r="AJ3770">
        <v>1</v>
      </c>
      <c r="AK3770">
        <v>0</v>
      </c>
      <c r="AL3770" t="s">
        <v>7106</v>
      </c>
      <c r="AM3770">
        <v>47.042985000000002</v>
      </c>
      <c r="AN3770" t="s">
        <v>7107</v>
      </c>
      <c r="AO3770">
        <v>-123.92754100000001</v>
      </c>
      <c r="AP3770">
        <v>100</v>
      </c>
      <c r="AQ3770">
        <v>2100</v>
      </c>
      <c r="AR3770" t="s">
        <v>118</v>
      </c>
      <c r="AS3770">
        <v>-76</v>
      </c>
      <c r="AT3770">
        <v>23</v>
      </c>
      <c r="AU3770">
        <v>128</v>
      </c>
      <c r="BC3770">
        <v>1200</v>
      </c>
      <c r="BD3770">
        <v>1</v>
      </c>
      <c r="BE3770" t="str">
        <f t="shared" si="176"/>
        <v xml:space="preserve">N215T   </v>
      </c>
      <c r="BF3770">
        <v>1</v>
      </c>
      <c r="BH3770">
        <v>0</v>
      </c>
      <c r="BI3770">
        <v>0</v>
      </c>
      <c r="BJ3770">
        <v>0</v>
      </c>
      <c r="BK3770">
        <v>2475</v>
      </c>
      <c r="BL3770">
        <v>375</v>
      </c>
      <c r="BM3770" t="s">
        <v>119</v>
      </c>
      <c r="BN3770">
        <v>1</v>
      </c>
      <c r="BO3770">
        <v>1</v>
      </c>
      <c r="BP3770">
        <v>1</v>
      </c>
      <c r="BQ3770">
        <v>0</v>
      </c>
      <c r="BT3770">
        <v>0</v>
      </c>
      <c r="BU3770">
        <v>0</v>
      </c>
      <c r="BV3770">
        <v>0</v>
      </c>
      <c r="CC3770" t="str">
        <f>"19:37:49.813"</f>
        <v>19:37:49.813</v>
      </c>
      <c r="CD3770" t="str">
        <f>"815635814"</f>
        <v>815635814</v>
      </c>
      <c r="CQ3770">
        <v>0</v>
      </c>
      <c r="CR3770">
        <v>2</v>
      </c>
      <c r="CS3770">
        <v>0</v>
      </c>
      <c r="CT3770">
        <v>2</v>
      </c>
      <c r="CU3770">
        <v>0</v>
      </c>
      <c r="CV3770">
        <v>5</v>
      </c>
      <c r="CW3770" t="s">
        <v>120</v>
      </c>
      <c r="CX3770">
        <v>257</v>
      </c>
      <c r="CY3770">
        <v>0</v>
      </c>
      <c r="CZ3770" t="s">
        <v>615</v>
      </c>
      <c r="DA3770" t="s">
        <v>616</v>
      </c>
      <c r="DD3770">
        <v>16562356</v>
      </c>
      <c r="DE3770" t="s">
        <v>123</v>
      </c>
    </row>
    <row r="3771" spans="1:109" x14ac:dyDescent="0.3">
      <c r="A3771" t="str">
        <f>"19:37:50.867"</f>
        <v>19:37:50.867</v>
      </c>
      <c r="B3771" t="s">
        <v>110</v>
      </c>
      <c r="C3771" t="str">
        <f t="shared" si="174"/>
        <v>ffdfd3c0</v>
      </c>
      <c r="D3771" t="s">
        <v>111</v>
      </c>
      <c r="E3771">
        <v>18</v>
      </c>
      <c r="F3771">
        <v>1018</v>
      </c>
      <c r="G3771" t="s">
        <v>112</v>
      </c>
      <c r="J3771" t="s">
        <v>113</v>
      </c>
      <c r="K3771">
        <v>0</v>
      </c>
      <c r="L3771">
        <v>3</v>
      </c>
      <c r="M3771">
        <v>0</v>
      </c>
      <c r="N3771">
        <v>2</v>
      </c>
      <c r="O3771">
        <v>1</v>
      </c>
      <c r="P3771">
        <v>0</v>
      </c>
      <c r="Q3771">
        <v>0</v>
      </c>
      <c r="R3771" t="s">
        <v>114</v>
      </c>
      <c r="S3771" t="str">
        <f>"19:37:50.648"</f>
        <v>19:37:50.648</v>
      </c>
      <c r="T3771" t="str">
        <f>"19:37:50.250"</f>
        <v>19:37:50.250</v>
      </c>
      <c r="U3771" t="str">
        <f t="shared" si="175"/>
        <v>a1cdbe</v>
      </c>
      <c r="V3771">
        <v>0</v>
      </c>
      <c r="W3771">
        <v>0</v>
      </c>
      <c r="X3771">
        <v>2</v>
      </c>
      <c r="Y3771">
        <v>0</v>
      </c>
      <c r="Z3771">
        <v>0</v>
      </c>
      <c r="AB3771">
        <v>0</v>
      </c>
      <c r="AC3771">
        <v>9</v>
      </c>
      <c r="AD3771">
        <v>3</v>
      </c>
      <c r="AE3771">
        <v>0</v>
      </c>
      <c r="AF3771">
        <v>9</v>
      </c>
      <c r="AG3771" t="s">
        <v>158</v>
      </c>
      <c r="AH3771">
        <v>0</v>
      </c>
      <c r="AI3771">
        <v>3</v>
      </c>
      <c r="AJ3771">
        <v>1</v>
      </c>
      <c r="AK3771">
        <v>0</v>
      </c>
      <c r="AL3771" t="s">
        <v>7108</v>
      </c>
      <c r="AM3771">
        <v>47.043028</v>
      </c>
      <c r="AN3771" t="s">
        <v>7109</v>
      </c>
      <c r="AO3771">
        <v>-123.92797</v>
      </c>
      <c r="AP3771">
        <v>100</v>
      </c>
      <c r="AQ3771">
        <v>2100</v>
      </c>
      <c r="AR3771" t="s">
        <v>118</v>
      </c>
      <c r="AS3771">
        <v>-76</v>
      </c>
      <c r="AT3771">
        <v>23</v>
      </c>
      <c r="AU3771">
        <v>64</v>
      </c>
      <c r="BC3771">
        <v>1200</v>
      </c>
      <c r="BD3771">
        <v>1</v>
      </c>
      <c r="BE3771" t="str">
        <f t="shared" si="176"/>
        <v xml:space="preserve">N215T   </v>
      </c>
      <c r="BF3771">
        <v>1</v>
      </c>
      <c r="BH3771">
        <v>0</v>
      </c>
      <c r="BI3771">
        <v>0</v>
      </c>
      <c r="BJ3771">
        <v>0</v>
      </c>
      <c r="BK3771">
        <v>2475</v>
      </c>
      <c r="BL3771">
        <v>375</v>
      </c>
      <c r="BM3771" t="s">
        <v>119</v>
      </c>
      <c r="BN3771">
        <v>1</v>
      </c>
      <c r="BO3771">
        <v>1</v>
      </c>
      <c r="BP3771">
        <v>1</v>
      </c>
      <c r="BQ3771">
        <v>0</v>
      </c>
      <c r="BT3771">
        <v>0</v>
      </c>
      <c r="BU3771">
        <v>0</v>
      </c>
      <c r="BV3771">
        <v>0</v>
      </c>
      <c r="CC3771" t="str">
        <f>"19:37:50.656"</f>
        <v>19:37:50.656</v>
      </c>
      <c r="CD3771" t="str">
        <f>"655553062"</f>
        <v>655553062</v>
      </c>
      <c r="CQ3771">
        <v>0</v>
      </c>
      <c r="CR3771">
        <v>2</v>
      </c>
      <c r="CS3771">
        <v>0</v>
      </c>
      <c r="CT3771">
        <v>2</v>
      </c>
      <c r="CU3771">
        <v>0</v>
      </c>
      <c r="CV3771">
        <v>5</v>
      </c>
      <c r="CW3771" t="s">
        <v>120</v>
      </c>
      <c r="CX3771">
        <v>257</v>
      </c>
      <c r="CY3771">
        <v>0</v>
      </c>
      <c r="CZ3771" t="s">
        <v>615</v>
      </c>
      <c r="DA3771" t="s">
        <v>616</v>
      </c>
      <c r="DD3771">
        <v>16562675</v>
      </c>
      <c r="DE3771" t="s">
        <v>123</v>
      </c>
    </row>
    <row r="3772" spans="1:109" x14ac:dyDescent="0.3">
      <c r="A3772" t="str">
        <f>"19:37:51.977"</f>
        <v>19:37:51.977</v>
      </c>
      <c r="B3772" t="s">
        <v>110</v>
      </c>
      <c r="C3772" t="str">
        <f t="shared" si="174"/>
        <v>ffdfd3c0</v>
      </c>
      <c r="D3772" t="s">
        <v>111</v>
      </c>
      <c r="E3772">
        <v>18</v>
      </c>
      <c r="F3772">
        <v>1018</v>
      </c>
      <c r="G3772" t="s">
        <v>112</v>
      </c>
      <c r="J3772" t="s">
        <v>113</v>
      </c>
      <c r="K3772">
        <v>0</v>
      </c>
      <c r="L3772">
        <v>3</v>
      </c>
      <c r="M3772">
        <v>0</v>
      </c>
      <c r="N3772">
        <v>2</v>
      </c>
      <c r="O3772">
        <v>1</v>
      </c>
      <c r="P3772">
        <v>0</v>
      </c>
      <c r="Q3772">
        <v>0</v>
      </c>
      <c r="R3772" t="s">
        <v>114</v>
      </c>
      <c r="S3772" t="str">
        <f>"19:37:51.734"</f>
        <v>19:37:51.734</v>
      </c>
      <c r="T3772" t="str">
        <f>"19:37:51.734"</f>
        <v>19:37:51.734</v>
      </c>
      <c r="U3772" t="str">
        <f t="shared" si="175"/>
        <v>a1cdbe</v>
      </c>
      <c r="V3772">
        <v>0</v>
      </c>
      <c r="W3772">
        <v>0</v>
      </c>
      <c r="X3772">
        <v>2</v>
      </c>
      <c r="Y3772">
        <v>0</v>
      </c>
      <c r="Z3772">
        <v>0</v>
      </c>
      <c r="AB3772">
        <v>0</v>
      </c>
      <c r="AC3772">
        <v>9</v>
      </c>
      <c r="AD3772">
        <v>3</v>
      </c>
      <c r="AE3772">
        <v>0</v>
      </c>
      <c r="AF3772">
        <v>9</v>
      </c>
      <c r="AG3772" t="s">
        <v>158</v>
      </c>
      <c r="AH3772">
        <v>0</v>
      </c>
      <c r="AI3772">
        <v>3</v>
      </c>
      <c r="AJ3772">
        <v>1</v>
      </c>
      <c r="AK3772">
        <v>0</v>
      </c>
      <c r="AL3772" t="s">
        <v>7110</v>
      </c>
      <c r="AM3772">
        <v>47.043177999999997</v>
      </c>
      <c r="AN3772" t="s">
        <v>7111</v>
      </c>
      <c r="AO3772">
        <v>-123.928528</v>
      </c>
      <c r="AP3772">
        <v>100</v>
      </c>
      <c r="AQ3772">
        <v>2100</v>
      </c>
      <c r="AR3772" t="s">
        <v>118</v>
      </c>
      <c r="AS3772">
        <v>-76</v>
      </c>
      <c r="AT3772">
        <v>22</v>
      </c>
      <c r="AU3772">
        <v>64</v>
      </c>
      <c r="BC3772">
        <v>1200</v>
      </c>
      <c r="BD3772">
        <v>1</v>
      </c>
      <c r="BE3772" t="str">
        <f t="shared" si="176"/>
        <v xml:space="preserve">N215T   </v>
      </c>
      <c r="BF3772">
        <v>1</v>
      </c>
      <c r="BH3772">
        <v>0</v>
      </c>
      <c r="BI3772">
        <v>0</v>
      </c>
      <c r="BJ3772">
        <v>0</v>
      </c>
      <c r="BK3772">
        <v>2475</v>
      </c>
      <c r="BL3772">
        <v>375</v>
      </c>
      <c r="BM3772" t="s">
        <v>119</v>
      </c>
      <c r="BN3772">
        <v>1</v>
      </c>
      <c r="BO3772">
        <v>1</v>
      </c>
      <c r="BP3772">
        <v>1</v>
      </c>
      <c r="BQ3772">
        <v>0</v>
      </c>
      <c r="BT3772">
        <v>0</v>
      </c>
      <c r="BU3772">
        <v>0</v>
      </c>
      <c r="BV3772">
        <v>0</v>
      </c>
      <c r="CC3772" t="str">
        <f>"19:37:51.734"</f>
        <v>19:37:51.734</v>
      </c>
      <c r="CD3772" t="str">
        <f>"735446650"</f>
        <v>735446650</v>
      </c>
      <c r="CQ3772">
        <v>0</v>
      </c>
      <c r="CR3772">
        <v>2</v>
      </c>
      <c r="CS3772">
        <v>0</v>
      </c>
      <c r="CT3772">
        <v>2</v>
      </c>
      <c r="CU3772">
        <v>0</v>
      </c>
      <c r="CV3772">
        <v>2</v>
      </c>
      <c r="CW3772" t="s">
        <v>120</v>
      </c>
      <c r="CX3772">
        <v>257</v>
      </c>
      <c r="CY3772">
        <v>3</v>
      </c>
      <c r="CZ3772" t="s">
        <v>615</v>
      </c>
      <c r="DA3772" t="s">
        <v>616</v>
      </c>
      <c r="DD3772">
        <v>9390288</v>
      </c>
      <c r="DE3772" t="s">
        <v>123</v>
      </c>
    </row>
    <row r="3773" spans="1:109" x14ac:dyDescent="0.3">
      <c r="A3773" t="str">
        <f>"19:37:52.930"</f>
        <v>19:37:52.930</v>
      </c>
      <c r="B3773" t="s">
        <v>110</v>
      </c>
      <c r="C3773" t="str">
        <f t="shared" si="174"/>
        <v>ffdfd3c0</v>
      </c>
      <c r="D3773" t="s">
        <v>111</v>
      </c>
      <c r="E3773">
        <v>18</v>
      </c>
      <c r="F3773">
        <v>1018</v>
      </c>
      <c r="G3773" t="s">
        <v>112</v>
      </c>
      <c r="J3773" t="s">
        <v>113</v>
      </c>
      <c r="K3773">
        <v>0</v>
      </c>
      <c r="L3773">
        <v>3</v>
      </c>
      <c r="M3773">
        <v>0</v>
      </c>
      <c r="N3773">
        <v>2</v>
      </c>
      <c r="O3773">
        <v>1</v>
      </c>
      <c r="P3773">
        <v>0</v>
      </c>
      <c r="Q3773">
        <v>0</v>
      </c>
      <c r="R3773" t="s">
        <v>114</v>
      </c>
      <c r="S3773" t="str">
        <f>"19:37:52.703"</f>
        <v>19:37:52.703</v>
      </c>
      <c r="T3773" t="str">
        <f>"19:37:52.602"</f>
        <v>19:37:52.602</v>
      </c>
      <c r="U3773" t="str">
        <f t="shared" si="175"/>
        <v>a1cdbe</v>
      </c>
      <c r="V3773">
        <v>0</v>
      </c>
      <c r="W3773">
        <v>0</v>
      </c>
      <c r="X3773">
        <v>2</v>
      </c>
      <c r="Y3773">
        <v>0</v>
      </c>
      <c r="Z3773">
        <v>0</v>
      </c>
      <c r="AB3773">
        <v>0</v>
      </c>
      <c r="AC3773">
        <v>9</v>
      </c>
      <c r="AD3773">
        <v>3</v>
      </c>
      <c r="AE3773">
        <v>0</v>
      </c>
      <c r="AF3773">
        <v>9</v>
      </c>
      <c r="AG3773" t="s">
        <v>158</v>
      </c>
      <c r="AH3773">
        <v>0</v>
      </c>
      <c r="AI3773">
        <v>3</v>
      </c>
      <c r="AJ3773">
        <v>1</v>
      </c>
      <c r="AK3773">
        <v>0</v>
      </c>
      <c r="AL3773" t="s">
        <v>7112</v>
      </c>
      <c r="AM3773">
        <v>47.043264000000001</v>
      </c>
      <c r="AN3773" t="s">
        <v>7113</v>
      </c>
      <c r="AO3773">
        <v>-123.92902100000001</v>
      </c>
      <c r="AP3773">
        <v>100</v>
      </c>
      <c r="AQ3773">
        <v>2100</v>
      </c>
      <c r="AR3773" t="s">
        <v>118</v>
      </c>
      <c r="AS3773">
        <v>-76</v>
      </c>
      <c r="AT3773">
        <v>22</v>
      </c>
      <c r="AU3773">
        <v>0</v>
      </c>
      <c r="BC3773">
        <v>1200</v>
      </c>
      <c r="BD3773">
        <v>1</v>
      </c>
      <c r="BE3773" t="str">
        <f t="shared" si="176"/>
        <v xml:space="preserve">N215T   </v>
      </c>
      <c r="BF3773">
        <v>1</v>
      </c>
      <c r="BH3773">
        <v>0</v>
      </c>
      <c r="BI3773">
        <v>0</v>
      </c>
      <c r="BJ3773">
        <v>0</v>
      </c>
      <c r="BK3773">
        <v>2475</v>
      </c>
      <c r="BL3773">
        <v>375</v>
      </c>
      <c r="BM3773" t="s">
        <v>119</v>
      </c>
      <c r="BN3773">
        <v>1</v>
      </c>
      <c r="BO3773">
        <v>1</v>
      </c>
      <c r="BP3773">
        <v>1</v>
      </c>
      <c r="BQ3773">
        <v>0</v>
      </c>
      <c r="BT3773">
        <v>0</v>
      </c>
      <c r="BU3773">
        <v>0</v>
      </c>
      <c r="BV3773">
        <v>0</v>
      </c>
      <c r="CC3773" t="str">
        <f>"19:37:52.711"</f>
        <v>19:37:52.711</v>
      </c>
      <c r="CD3773" t="str">
        <f>"710350685"</f>
        <v>710350685</v>
      </c>
      <c r="CQ3773">
        <v>0</v>
      </c>
      <c r="CR3773">
        <v>2</v>
      </c>
      <c r="CS3773">
        <v>0</v>
      </c>
      <c r="CT3773">
        <v>2</v>
      </c>
      <c r="CU3773">
        <v>0</v>
      </c>
      <c r="CV3773">
        <v>3</v>
      </c>
      <c r="CW3773" t="s">
        <v>120</v>
      </c>
      <c r="CX3773">
        <v>257</v>
      </c>
      <c r="CY3773">
        <v>0</v>
      </c>
      <c r="CZ3773" t="s">
        <v>615</v>
      </c>
      <c r="DA3773" t="s">
        <v>616</v>
      </c>
      <c r="DD3773">
        <v>16563366</v>
      </c>
      <c r="DE3773" t="s">
        <v>123</v>
      </c>
    </row>
    <row r="3774" spans="1:109" x14ac:dyDescent="0.3">
      <c r="A3774" t="str">
        <f>"19:37:53.984"</f>
        <v>19:37:53.984</v>
      </c>
      <c r="B3774" t="s">
        <v>110</v>
      </c>
      <c r="C3774" t="str">
        <f t="shared" si="174"/>
        <v>ffdfd3c0</v>
      </c>
      <c r="D3774" t="s">
        <v>111</v>
      </c>
      <c r="E3774">
        <v>18</v>
      </c>
      <c r="F3774">
        <v>1018</v>
      </c>
      <c r="G3774" t="s">
        <v>112</v>
      </c>
      <c r="J3774" t="s">
        <v>113</v>
      </c>
      <c r="K3774">
        <v>0</v>
      </c>
      <c r="L3774">
        <v>3</v>
      </c>
      <c r="M3774">
        <v>0</v>
      </c>
      <c r="N3774">
        <v>2</v>
      </c>
      <c r="O3774">
        <v>1</v>
      </c>
      <c r="P3774">
        <v>0</v>
      </c>
      <c r="Q3774">
        <v>0</v>
      </c>
      <c r="R3774" t="s">
        <v>114</v>
      </c>
      <c r="S3774" t="str">
        <f>"19:37:53.773"</f>
        <v>19:37:53.773</v>
      </c>
      <c r="T3774" t="str">
        <f>"19:37:53.570"</f>
        <v>19:37:53.570</v>
      </c>
      <c r="U3774" t="str">
        <f t="shared" si="175"/>
        <v>a1cdbe</v>
      </c>
      <c r="V3774">
        <v>0</v>
      </c>
      <c r="W3774">
        <v>0</v>
      </c>
      <c r="X3774">
        <v>2</v>
      </c>
      <c r="Y3774">
        <v>0</v>
      </c>
      <c r="Z3774">
        <v>0</v>
      </c>
      <c r="AB3774">
        <v>0</v>
      </c>
      <c r="AC3774">
        <v>9</v>
      </c>
      <c r="AD3774">
        <v>3</v>
      </c>
      <c r="AE3774">
        <v>0</v>
      </c>
      <c r="AF3774">
        <v>9</v>
      </c>
      <c r="AG3774" t="s">
        <v>158</v>
      </c>
      <c r="AH3774">
        <v>0</v>
      </c>
      <c r="AI3774">
        <v>3</v>
      </c>
      <c r="AJ3774">
        <v>1</v>
      </c>
      <c r="AK3774">
        <v>0</v>
      </c>
      <c r="AL3774" t="s">
        <v>7114</v>
      </c>
      <c r="AM3774">
        <v>47.043371</v>
      </c>
      <c r="AN3774" t="s">
        <v>7115</v>
      </c>
      <c r="AO3774">
        <v>-123.929579</v>
      </c>
      <c r="AP3774">
        <v>100</v>
      </c>
      <c r="AQ3774">
        <v>2100</v>
      </c>
      <c r="AR3774" t="s">
        <v>118</v>
      </c>
      <c r="AS3774">
        <v>-76</v>
      </c>
      <c r="AT3774">
        <v>22</v>
      </c>
      <c r="AU3774">
        <v>0</v>
      </c>
      <c r="BC3774">
        <v>1200</v>
      </c>
      <c r="BD3774">
        <v>1</v>
      </c>
      <c r="BE3774" t="str">
        <f t="shared" si="176"/>
        <v xml:space="preserve">N215T   </v>
      </c>
      <c r="BF3774">
        <v>1</v>
      </c>
      <c r="BH3774">
        <v>0</v>
      </c>
      <c r="BI3774">
        <v>0</v>
      </c>
      <c r="BJ3774">
        <v>0</v>
      </c>
      <c r="BK3774">
        <v>2475</v>
      </c>
      <c r="BL3774">
        <v>375</v>
      </c>
      <c r="BM3774" t="s">
        <v>119</v>
      </c>
      <c r="BN3774">
        <v>1</v>
      </c>
      <c r="BO3774">
        <v>1</v>
      </c>
      <c r="BP3774">
        <v>1</v>
      </c>
      <c r="BQ3774">
        <v>0</v>
      </c>
      <c r="BT3774">
        <v>0</v>
      </c>
      <c r="BU3774">
        <v>0</v>
      </c>
      <c r="BV3774">
        <v>0</v>
      </c>
      <c r="CC3774" t="str">
        <f>"19:37:53.773"</f>
        <v>19:37:53.773</v>
      </c>
      <c r="CD3774" t="str">
        <f>"775245771"</f>
        <v>775245771</v>
      </c>
      <c r="CQ3774">
        <v>0</v>
      </c>
      <c r="CR3774">
        <v>2</v>
      </c>
      <c r="CS3774">
        <v>0</v>
      </c>
      <c r="CT3774">
        <v>2</v>
      </c>
      <c r="CU3774">
        <v>0</v>
      </c>
      <c r="CV3774">
        <v>5</v>
      </c>
      <c r="CW3774" t="s">
        <v>120</v>
      </c>
      <c r="CX3774">
        <v>257</v>
      </c>
      <c r="CY3774">
        <v>0</v>
      </c>
      <c r="CZ3774" t="s">
        <v>615</v>
      </c>
      <c r="DA3774" t="s">
        <v>616</v>
      </c>
      <c r="DD3774">
        <v>16563737</v>
      </c>
      <c r="DE3774" t="s">
        <v>123</v>
      </c>
    </row>
    <row r="3775" spans="1:109" x14ac:dyDescent="0.3">
      <c r="A3775" t="str">
        <f>"19:37:54.992"</f>
        <v>19:37:54.992</v>
      </c>
      <c r="B3775" t="s">
        <v>110</v>
      </c>
      <c r="C3775" t="str">
        <f t="shared" si="174"/>
        <v>ffdfd3c0</v>
      </c>
      <c r="D3775" t="s">
        <v>111</v>
      </c>
      <c r="E3775">
        <v>18</v>
      </c>
      <c r="F3775">
        <v>1018</v>
      </c>
      <c r="G3775" t="s">
        <v>112</v>
      </c>
      <c r="J3775" t="s">
        <v>113</v>
      </c>
      <c r="K3775">
        <v>0</v>
      </c>
      <c r="L3775">
        <v>3</v>
      </c>
      <c r="M3775">
        <v>0</v>
      </c>
      <c r="N3775">
        <v>2</v>
      </c>
      <c r="O3775">
        <v>1</v>
      </c>
      <c r="P3775">
        <v>0</v>
      </c>
      <c r="Q3775">
        <v>0</v>
      </c>
      <c r="R3775" t="s">
        <v>114</v>
      </c>
      <c r="S3775" t="str">
        <f>"19:37:54.758"</f>
        <v>19:37:54.758</v>
      </c>
      <c r="T3775" t="str">
        <f>"19:37:54.656"</f>
        <v>19:37:54.656</v>
      </c>
      <c r="U3775" t="str">
        <f t="shared" si="175"/>
        <v>a1cdbe</v>
      </c>
      <c r="V3775">
        <v>0</v>
      </c>
      <c r="W3775">
        <v>0</v>
      </c>
      <c r="X3775">
        <v>2</v>
      </c>
      <c r="Y3775">
        <v>0</v>
      </c>
      <c r="Z3775">
        <v>0</v>
      </c>
      <c r="AB3775">
        <v>0</v>
      </c>
      <c r="AC3775">
        <v>9</v>
      </c>
      <c r="AD3775">
        <v>3</v>
      </c>
      <c r="AE3775">
        <v>0</v>
      </c>
      <c r="AF3775">
        <v>9</v>
      </c>
      <c r="AG3775" t="s">
        <v>158</v>
      </c>
      <c r="AH3775">
        <v>0</v>
      </c>
      <c r="AI3775">
        <v>3</v>
      </c>
      <c r="AJ3775">
        <v>1</v>
      </c>
      <c r="AK3775">
        <v>0</v>
      </c>
      <c r="AL3775" t="s">
        <v>7116</v>
      </c>
      <c r="AM3775">
        <v>47.043500000000002</v>
      </c>
      <c r="AN3775" t="s">
        <v>7117</v>
      </c>
      <c r="AO3775">
        <v>-123.930116</v>
      </c>
      <c r="AP3775">
        <v>100</v>
      </c>
      <c r="AQ3775">
        <v>2100</v>
      </c>
      <c r="AR3775" t="s">
        <v>118</v>
      </c>
      <c r="AS3775">
        <v>-76</v>
      </c>
      <c r="AT3775">
        <v>22</v>
      </c>
      <c r="AU3775">
        <v>64</v>
      </c>
      <c r="BC3775">
        <v>1200</v>
      </c>
      <c r="BD3775">
        <v>1</v>
      </c>
      <c r="BE3775" t="str">
        <f t="shared" si="176"/>
        <v xml:space="preserve">N215T   </v>
      </c>
      <c r="BF3775">
        <v>1</v>
      </c>
      <c r="BH3775">
        <v>0</v>
      </c>
      <c r="BI3775">
        <v>0</v>
      </c>
      <c r="BJ3775">
        <v>0</v>
      </c>
      <c r="BK3775">
        <v>2475</v>
      </c>
      <c r="BL3775">
        <v>375</v>
      </c>
      <c r="BM3775" t="s">
        <v>119</v>
      </c>
      <c r="BN3775">
        <v>1</v>
      </c>
      <c r="BO3775">
        <v>1</v>
      </c>
      <c r="BP3775">
        <v>1</v>
      </c>
      <c r="BQ3775">
        <v>0</v>
      </c>
      <c r="BT3775">
        <v>0</v>
      </c>
      <c r="BU3775">
        <v>0</v>
      </c>
      <c r="BV3775">
        <v>0</v>
      </c>
      <c r="CC3775" t="str">
        <f>"19:37:54.766"</f>
        <v>19:37:54.766</v>
      </c>
      <c r="CD3775" t="str">
        <f>"765148278"</f>
        <v>765148278</v>
      </c>
      <c r="CQ3775">
        <v>0</v>
      </c>
      <c r="CR3775">
        <v>2</v>
      </c>
      <c r="CS3775">
        <v>0</v>
      </c>
      <c r="CT3775">
        <v>2</v>
      </c>
      <c r="CU3775">
        <v>0</v>
      </c>
      <c r="CV3775">
        <v>5</v>
      </c>
      <c r="CW3775" t="s">
        <v>120</v>
      </c>
      <c r="CX3775">
        <v>257</v>
      </c>
      <c r="CY3775">
        <v>0</v>
      </c>
      <c r="CZ3775" t="s">
        <v>615</v>
      </c>
      <c r="DA3775" t="s">
        <v>616</v>
      </c>
      <c r="DD3775">
        <v>16564073</v>
      </c>
      <c r="DE3775" t="s">
        <v>123</v>
      </c>
    </row>
    <row r="3776" spans="1:109" x14ac:dyDescent="0.3">
      <c r="A3776" t="str">
        <f>"19:37:56.047"</f>
        <v>19:37:56.047</v>
      </c>
      <c r="B3776" t="s">
        <v>110</v>
      </c>
      <c r="C3776" t="str">
        <f t="shared" si="174"/>
        <v>ffdfd3c0</v>
      </c>
      <c r="D3776" t="s">
        <v>111</v>
      </c>
      <c r="E3776">
        <v>18</v>
      </c>
      <c r="F3776">
        <v>1018</v>
      </c>
      <c r="G3776" t="s">
        <v>112</v>
      </c>
      <c r="J3776" t="s">
        <v>113</v>
      </c>
      <c r="K3776">
        <v>0</v>
      </c>
      <c r="L3776">
        <v>3</v>
      </c>
      <c r="M3776">
        <v>0</v>
      </c>
      <c r="N3776">
        <v>2</v>
      </c>
      <c r="O3776">
        <v>1</v>
      </c>
      <c r="P3776">
        <v>0</v>
      </c>
      <c r="Q3776">
        <v>0</v>
      </c>
      <c r="R3776" t="s">
        <v>114</v>
      </c>
      <c r="S3776" t="str">
        <f>"19:37:55.844"</f>
        <v>19:37:55.844</v>
      </c>
      <c r="T3776" t="str">
        <f>"19:37:55.344"</f>
        <v>19:37:55.344</v>
      </c>
      <c r="U3776" t="str">
        <f t="shared" si="175"/>
        <v>a1cdbe</v>
      </c>
      <c r="V3776">
        <v>0</v>
      </c>
      <c r="W3776">
        <v>0</v>
      </c>
      <c r="X3776">
        <v>2</v>
      </c>
      <c r="Y3776">
        <v>0</v>
      </c>
      <c r="Z3776">
        <v>0</v>
      </c>
      <c r="AB3776">
        <v>0</v>
      </c>
      <c r="AC3776">
        <v>9</v>
      </c>
      <c r="AD3776">
        <v>3</v>
      </c>
      <c r="AE3776">
        <v>0</v>
      </c>
      <c r="AF3776">
        <v>9</v>
      </c>
      <c r="AG3776" t="s">
        <v>158</v>
      </c>
      <c r="AH3776">
        <v>0</v>
      </c>
      <c r="AI3776">
        <v>3</v>
      </c>
      <c r="AJ3776">
        <v>1</v>
      </c>
      <c r="AK3776">
        <v>0</v>
      </c>
      <c r="AL3776" t="s">
        <v>7118</v>
      </c>
      <c r="AM3776">
        <v>47.043607000000002</v>
      </c>
      <c r="AN3776" t="s">
        <v>7119</v>
      </c>
      <c r="AO3776">
        <v>-123.93063100000001</v>
      </c>
      <c r="AP3776">
        <v>100</v>
      </c>
      <c r="AQ3776">
        <v>2100</v>
      </c>
      <c r="AR3776" t="s">
        <v>118</v>
      </c>
      <c r="AS3776">
        <v>-76</v>
      </c>
      <c r="AT3776">
        <v>22</v>
      </c>
      <c r="AU3776">
        <v>64</v>
      </c>
      <c r="BC3776">
        <v>1200</v>
      </c>
      <c r="BD3776">
        <v>1</v>
      </c>
      <c r="BE3776" t="str">
        <f t="shared" si="176"/>
        <v xml:space="preserve">N215T   </v>
      </c>
      <c r="BF3776">
        <v>1</v>
      </c>
      <c r="BH3776">
        <v>0</v>
      </c>
      <c r="BI3776">
        <v>0</v>
      </c>
      <c r="BJ3776">
        <v>0</v>
      </c>
      <c r="BK3776">
        <v>2475</v>
      </c>
      <c r="BL3776">
        <v>375</v>
      </c>
      <c r="BM3776" t="s">
        <v>119</v>
      </c>
      <c r="BN3776">
        <v>1</v>
      </c>
      <c r="BO3776">
        <v>1</v>
      </c>
      <c r="BP3776">
        <v>1</v>
      </c>
      <c r="BQ3776">
        <v>0</v>
      </c>
      <c r="BT3776">
        <v>0</v>
      </c>
      <c r="BU3776">
        <v>0</v>
      </c>
      <c r="BV3776">
        <v>0</v>
      </c>
      <c r="CC3776" t="str">
        <f>"19:37:55.844"</f>
        <v>19:37:55.844</v>
      </c>
      <c r="CD3776" t="str">
        <f>"845041896"</f>
        <v>845041896</v>
      </c>
      <c r="CQ3776">
        <v>0</v>
      </c>
      <c r="CR3776">
        <v>2</v>
      </c>
      <c r="CS3776">
        <v>0</v>
      </c>
      <c r="CT3776">
        <v>2</v>
      </c>
      <c r="CU3776">
        <v>0</v>
      </c>
      <c r="CV3776">
        <v>3</v>
      </c>
      <c r="CW3776" t="s">
        <v>120</v>
      </c>
      <c r="CX3776">
        <v>257</v>
      </c>
      <c r="CY3776">
        <v>0</v>
      </c>
      <c r="CZ3776" t="s">
        <v>615</v>
      </c>
      <c r="DA3776" t="s">
        <v>616</v>
      </c>
      <c r="DD3776">
        <v>16564459</v>
      </c>
      <c r="DE3776" t="s">
        <v>123</v>
      </c>
    </row>
    <row r="3777" spans="1:109" x14ac:dyDescent="0.3">
      <c r="A3777" t="str">
        <f>"19:37:57.156"</f>
        <v>19:37:57.156</v>
      </c>
      <c r="B3777" t="s">
        <v>110</v>
      </c>
      <c r="C3777" t="str">
        <f t="shared" si="174"/>
        <v>ffdfd3c0</v>
      </c>
      <c r="D3777" t="s">
        <v>111</v>
      </c>
      <c r="E3777">
        <v>18</v>
      </c>
      <c r="F3777">
        <v>1018</v>
      </c>
      <c r="G3777" t="s">
        <v>112</v>
      </c>
      <c r="J3777" t="s">
        <v>113</v>
      </c>
      <c r="K3777">
        <v>0</v>
      </c>
      <c r="L3777">
        <v>3</v>
      </c>
      <c r="M3777">
        <v>0</v>
      </c>
      <c r="N3777">
        <v>2</v>
      </c>
      <c r="O3777">
        <v>1</v>
      </c>
      <c r="P3777">
        <v>0</v>
      </c>
      <c r="Q3777">
        <v>0</v>
      </c>
      <c r="R3777" t="s">
        <v>114</v>
      </c>
      <c r="S3777" t="str">
        <f>"19:37:56.953"</f>
        <v>19:37:56.953</v>
      </c>
      <c r="T3777" t="str">
        <f>"19:37:56.852"</f>
        <v>19:37:56.852</v>
      </c>
      <c r="U3777" t="str">
        <f t="shared" si="175"/>
        <v>a1cdbe</v>
      </c>
      <c r="V3777">
        <v>0</v>
      </c>
      <c r="W3777">
        <v>0</v>
      </c>
      <c r="X3777">
        <v>2</v>
      </c>
      <c r="Y3777">
        <v>0</v>
      </c>
      <c r="Z3777">
        <v>0</v>
      </c>
      <c r="AB3777">
        <v>0</v>
      </c>
      <c r="AC3777">
        <v>9</v>
      </c>
      <c r="AD3777">
        <v>3</v>
      </c>
      <c r="AE3777">
        <v>0</v>
      </c>
      <c r="AF3777">
        <v>9</v>
      </c>
      <c r="AG3777" t="s">
        <v>158</v>
      </c>
      <c r="AH3777">
        <v>0</v>
      </c>
      <c r="AI3777">
        <v>3</v>
      </c>
      <c r="AJ3777">
        <v>1</v>
      </c>
      <c r="AK3777">
        <v>0</v>
      </c>
      <c r="AL3777" t="s">
        <v>7120</v>
      </c>
      <c r="AM3777">
        <v>47.043692999999998</v>
      </c>
      <c r="AN3777" t="s">
        <v>7121</v>
      </c>
      <c r="AO3777">
        <v>-123.93120999999999</v>
      </c>
      <c r="AP3777">
        <v>100</v>
      </c>
      <c r="AQ3777">
        <v>2100</v>
      </c>
      <c r="AR3777" t="s">
        <v>118</v>
      </c>
      <c r="AS3777">
        <v>-77</v>
      </c>
      <c r="AT3777">
        <v>22</v>
      </c>
      <c r="AU3777">
        <v>64</v>
      </c>
      <c r="BC3777">
        <v>1200</v>
      </c>
      <c r="BD3777">
        <v>1</v>
      </c>
      <c r="BE3777" t="str">
        <f t="shared" si="176"/>
        <v xml:space="preserve">N215T   </v>
      </c>
      <c r="BF3777">
        <v>1</v>
      </c>
      <c r="BH3777">
        <v>0</v>
      </c>
      <c r="BI3777">
        <v>0</v>
      </c>
      <c r="BJ3777">
        <v>0</v>
      </c>
      <c r="BK3777">
        <v>2475</v>
      </c>
      <c r="BL3777">
        <v>375</v>
      </c>
      <c r="BM3777" t="s">
        <v>119</v>
      </c>
      <c r="BN3777">
        <v>1</v>
      </c>
      <c r="BO3777">
        <v>1</v>
      </c>
      <c r="BP3777">
        <v>1</v>
      </c>
      <c r="BQ3777">
        <v>0</v>
      </c>
      <c r="BT3777">
        <v>0</v>
      </c>
      <c r="BU3777">
        <v>0</v>
      </c>
      <c r="BV3777">
        <v>0</v>
      </c>
      <c r="CC3777" t="str">
        <f>"19:37:56.953"</f>
        <v>19:37:56.953</v>
      </c>
      <c r="CD3777" t="str">
        <f>"954932569"</f>
        <v>954932569</v>
      </c>
      <c r="CQ3777">
        <v>0</v>
      </c>
      <c r="CR3777">
        <v>2</v>
      </c>
      <c r="CS3777">
        <v>0</v>
      </c>
      <c r="CT3777">
        <v>2</v>
      </c>
      <c r="CU3777">
        <v>0</v>
      </c>
      <c r="CV3777">
        <v>4</v>
      </c>
      <c r="CW3777" t="s">
        <v>120</v>
      </c>
      <c r="CX3777">
        <v>257</v>
      </c>
      <c r="CY3777">
        <v>0</v>
      </c>
      <c r="CZ3777" t="s">
        <v>615</v>
      </c>
      <c r="DA3777" t="s">
        <v>616</v>
      </c>
      <c r="DD3777">
        <v>16564827</v>
      </c>
      <c r="DE3777" t="s">
        <v>123</v>
      </c>
    </row>
    <row r="3778" spans="1:109" x14ac:dyDescent="0.3">
      <c r="A3778" t="str">
        <f>"19:37:58.211"</f>
        <v>19:37:58.211</v>
      </c>
      <c r="B3778" t="s">
        <v>110</v>
      </c>
      <c r="C3778" t="str">
        <f t="shared" ref="C3778:C3841" si="177">"ffdfd3c0"</f>
        <v>ffdfd3c0</v>
      </c>
      <c r="D3778" t="s">
        <v>111</v>
      </c>
      <c r="E3778">
        <v>18</v>
      </c>
      <c r="F3778">
        <v>1018</v>
      </c>
      <c r="G3778" t="s">
        <v>112</v>
      </c>
      <c r="J3778" t="s">
        <v>113</v>
      </c>
      <c r="K3778">
        <v>0</v>
      </c>
      <c r="L3778">
        <v>3</v>
      </c>
      <c r="M3778">
        <v>0</v>
      </c>
      <c r="N3778">
        <v>2</v>
      </c>
      <c r="O3778">
        <v>1</v>
      </c>
      <c r="P3778">
        <v>0</v>
      </c>
      <c r="Q3778">
        <v>0</v>
      </c>
      <c r="R3778" t="s">
        <v>114</v>
      </c>
      <c r="S3778" t="str">
        <f>"19:37:57.953"</f>
        <v>19:37:57.953</v>
      </c>
      <c r="T3778" t="str">
        <f>"19:37:57.852"</f>
        <v>19:37:57.852</v>
      </c>
      <c r="U3778" t="str">
        <f t="shared" ref="U3778:U3841" si="178">"a1cdbe"</f>
        <v>a1cdbe</v>
      </c>
      <c r="V3778">
        <v>0</v>
      </c>
      <c r="W3778">
        <v>0</v>
      </c>
      <c r="X3778">
        <v>2</v>
      </c>
      <c r="Y3778">
        <v>0</v>
      </c>
      <c r="Z3778">
        <v>0</v>
      </c>
      <c r="AB3778">
        <v>0</v>
      </c>
      <c r="AC3778">
        <v>9</v>
      </c>
      <c r="AD3778">
        <v>3</v>
      </c>
      <c r="AE3778">
        <v>0</v>
      </c>
      <c r="AF3778">
        <v>9</v>
      </c>
      <c r="AG3778" t="s">
        <v>158</v>
      </c>
      <c r="AH3778">
        <v>0</v>
      </c>
      <c r="AI3778">
        <v>3</v>
      </c>
      <c r="AJ3778">
        <v>1</v>
      </c>
      <c r="AK3778">
        <v>0</v>
      </c>
      <c r="AL3778" t="s">
        <v>7122</v>
      </c>
      <c r="AM3778">
        <v>47.043821999999999</v>
      </c>
      <c r="AN3778" t="s">
        <v>7123</v>
      </c>
      <c r="AO3778">
        <v>-123.931746</v>
      </c>
      <c r="AP3778">
        <v>100</v>
      </c>
      <c r="AQ3778">
        <v>2100</v>
      </c>
      <c r="AR3778" t="s">
        <v>118</v>
      </c>
      <c r="AS3778">
        <v>-77</v>
      </c>
      <c r="AT3778">
        <v>21</v>
      </c>
      <c r="AU3778">
        <v>64</v>
      </c>
      <c r="BC3778">
        <v>1200</v>
      </c>
      <c r="BD3778">
        <v>1</v>
      </c>
      <c r="BE3778" t="str">
        <f t="shared" ref="BE3778:BE3841" si="179">"N215T   "</f>
        <v xml:space="preserve">N215T   </v>
      </c>
      <c r="BF3778">
        <v>1</v>
      </c>
      <c r="BH3778">
        <v>0</v>
      </c>
      <c r="BI3778">
        <v>0</v>
      </c>
      <c r="BJ3778">
        <v>0</v>
      </c>
      <c r="BK3778">
        <v>2475</v>
      </c>
      <c r="BL3778">
        <v>375</v>
      </c>
      <c r="BM3778" t="s">
        <v>119</v>
      </c>
      <c r="BN3778">
        <v>1</v>
      </c>
      <c r="BO3778">
        <v>1</v>
      </c>
      <c r="BP3778">
        <v>1</v>
      </c>
      <c r="BQ3778">
        <v>0</v>
      </c>
      <c r="BT3778">
        <v>0</v>
      </c>
      <c r="BU3778">
        <v>0</v>
      </c>
      <c r="BV3778">
        <v>0</v>
      </c>
      <c r="CC3778" t="str">
        <f>"19:37:57.961"</f>
        <v>19:37:57.961</v>
      </c>
      <c r="CD3778" t="str">
        <f>"959833593"</f>
        <v>959833593</v>
      </c>
      <c r="CQ3778">
        <v>0</v>
      </c>
      <c r="CR3778">
        <v>2</v>
      </c>
      <c r="CS3778">
        <v>0</v>
      </c>
      <c r="CT3778">
        <v>2</v>
      </c>
      <c r="CU3778">
        <v>0</v>
      </c>
      <c r="CV3778">
        <v>5</v>
      </c>
      <c r="CW3778" t="s">
        <v>120</v>
      </c>
      <c r="CX3778">
        <v>257</v>
      </c>
      <c r="CY3778">
        <v>0</v>
      </c>
      <c r="CZ3778" t="s">
        <v>615</v>
      </c>
      <c r="DA3778" t="s">
        <v>616</v>
      </c>
      <c r="DD3778">
        <v>16565164</v>
      </c>
      <c r="DE3778" t="s">
        <v>123</v>
      </c>
    </row>
    <row r="3779" spans="1:109" x14ac:dyDescent="0.3">
      <c r="A3779" t="str">
        <f>"19:37:59.164"</f>
        <v>19:37:59.164</v>
      </c>
      <c r="B3779" t="s">
        <v>110</v>
      </c>
      <c r="C3779" t="str">
        <f t="shared" si="177"/>
        <v>ffdfd3c0</v>
      </c>
      <c r="D3779" t="s">
        <v>111</v>
      </c>
      <c r="E3779">
        <v>18</v>
      </c>
      <c r="F3779">
        <v>1018</v>
      </c>
      <c r="G3779" t="s">
        <v>112</v>
      </c>
      <c r="J3779" t="s">
        <v>113</v>
      </c>
      <c r="K3779">
        <v>0</v>
      </c>
      <c r="L3779">
        <v>3</v>
      </c>
      <c r="M3779">
        <v>0</v>
      </c>
      <c r="N3779">
        <v>2</v>
      </c>
      <c r="O3779">
        <v>1</v>
      </c>
      <c r="P3779">
        <v>0</v>
      </c>
      <c r="Q3779">
        <v>0</v>
      </c>
      <c r="R3779" t="s">
        <v>114</v>
      </c>
      <c r="S3779" t="str">
        <f>"19:37:58.945"</f>
        <v>19:37:58.945</v>
      </c>
      <c r="T3779" t="str">
        <f>"19:37:58.742"</f>
        <v>19:37:58.742</v>
      </c>
      <c r="U3779" t="str">
        <f t="shared" si="178"/>
        <v>a1cdbe</v>
      </c>
      <c r="V3779">
        <v>0</v>
      </c>
      <c r="W3779">
        <v>0</v>
      </c>
      <c r="X3779">
        <v>2</v>
      </c>
      <c r="Y3779">
        <v>0</v>
      </c>
      <c r="Z3779">
        <v>0</v>
      </c>
      <c r="AB3779">
        <v>0</v>
      </c>
      <c r="AC3779">
        <v>9</v>
      </c>
      <c r="AD3779">
        <v>3</v>
      </c>
      <c r="AE3779">
        <v>0</v>
      </c>
      <c r="AF3779">
        <v>9</v>
      </c>
      <c r="AG3779" t="s">
        <v>158</v>
      </c>
      <c r="AH3779">
        <v>0</v>
      </c>
      <c r="AI3779">
        <v>3</v>
      </c>
      <c r="AJ3779">
        <v>1</v>
      </c>
      <c r="AK3779">
        <v>0</v>
      </c>
      <c r="AL3779" t="s">
        <v>7124</v>
      </c>
      <c r="AM3779">
        <v>47.043928999999999</v>
      </c>
      <c r="AN3779" t="s">
        <v>7125</v>
      </c>
      <c r="AO3779">
        <v>-123.932261</v>
      </c>
      <c r="AP3779">
        <v>100</v>
      </c>
      <c r="AQ3779">
        <v>2100</v>
      </c>
      <c r="AR3779" t="s">
        <v>118</v>
      </c>
      <c r="AS3779">
        <v>-77</v>
      </c>
      <c r="AT3779">
        <v>21</v>
      </c>
      <c r="AU3779">
        <v>64</v>
      </c>
      <c r="BC3779">
        <v>1200</v>
      </c>
      <c r="BD3779">
        <v>1</v>
      </c>
      <c r="BE3779" t="str">
        <f t="shared" si="179"/>
        <v xml:space="preserve">N215T   </v>
      </c>
      <c r="BF3779">
        <v>1</v>
      </c>
      <c r="BH3779">
        <v>0</v>
      </c>
      <c r="BI3779">
        <v>0</v>
      </c>
      <c r="BJ3779">
        <v>0</v>
      </c>
      <c r="BK3779">
        <v>2475</v>
      </c>
      <c r="BL3779">
        <v>375</v>
      </c>
      <c r="BM3779" t="s">
        <v>119</v>
      </c>
      <c r="BN3779">
        <v>1</v>
      </c>
      <c r="BO3779">
        <v>1</v>
      </c>
      <c r="BP3779">
        <v>1</v>
      </c>
      <c r="BQ3779">
        <v>0</v>
      </c>
      <c r="BT3779">
        <v>0</v>
      </c>
      <c r="BU3779">
        <v>0</v>
      </c>
      <c r="BV3779">
        <v>0</v>
      </c>
      <c r="CC3779" t="str">
        <f>"19:37:58.953"</f>
        <v>19:37:58.953</v>
      </c>
      <c r="CD3779" t="str">
        <f>"949736071"</f>
        <v>949736071</v>
      </c>
      <c r="CQ3779">
        <v>0</v>
      </c>
      <c r="CR3779">
        <v>2</v>
      </c>
      <c r="CS3779">
        <v>0</v>
      </c>
      <c r="CT3779">
        <v>2</v>
      </c>
      <c r="CU3779">
        <v>0</v>
      </c>
      <c r="CV3779">
        <v>4</v>
      </c>
      <c r="CW3779" t="s">
        <v>120</v>
      </c>
      <c r="CX3779">
        <v>257</v>
      </c>
      <c r="CY3779">
        <v>0</v>
      </c>
      <c r="CZ3779" t="s">
        <v>615</v>
      </c>
      <c r="DA3779" t="s">
        <v>616</v>
      </c>
      <c r="DD3779">
        <v>16565496</v>
      </c>
      <c r="DE3779" t="s">
        <v>123</v>
      </c>
    </row>
    <row r="3780" spans="1:109" x14ac:dyDescent="0.3">
      <c r="A3780" t="str">
        <f>"19:38:00.117"</f>
        <v>19:38:00.117</v>
      </c>
      <c r="B3780" t="s">
        <v>110</v>
      </c>
      <c r="C3780" t="str">
        <f t="shared" si="177"/>
        <v>ffdfd3c0</v>
      </c>
      <c r="D3780" t="s">
        <v>111</v>
      </c>
      <c r="E3780">
        <v>18</v>
      </c>
      <c r="F3780">
        <v>1018</v>
      </c>
      <c r="G3780" t="s">
        <v>112</v>
      </c>
      <c r="J3780" t="s">
        <v>113</v>
      </c>
      <c r="K3780">
        <v>0</v>
      </c>
      <c r="L3780">
        <v>3</v>
      </c>
      <c r="M3780">
        <v>0</v>
      </c>
      <c r="N3780">
        <v>2</v>
      </c>
      <c r="O3780">
        <v>1</v>
      </c>
      <c r="P3780">
        <v>0</v>
      </c>
      <c r="Q3780">
        <v>0</v>
      </c>
      <c r="R3780" t="s">
        <v>114</v>
      </c>
      <c r="S3780" t="str">
        <f>"19:37:59.906"</f>
        <v>19:37:59.906</v>
      </c>
      <c r="T3780" t="str">
        <f>"19:37:59.906"</f>
        <v>19:37:59.906</v>
      </c>
      <c r="U3780" t="str">
        <f t="shared" si="178"/>
        <v>a1cdbe</v>
      </c>
      <c r="V3780">
        <v>0</v>
      </c>
      <c r="W3780">
        <v>0</v>
      </c>
      <c r="X3780">
        <v>2</v>
      </c>
      <c r="Y3780">
        <v>0</v>
      </c>
      <c r="Z3780">
        <v>0</v>
      </c>
      <c r="AB3780">
        <v>0</v>
      </c>
      <c r="AC3780">
        <v>9</v>
      </c>
      <c r="AD3780">
        <v>3</v>
      </c>
      <c r="AE3780">
        <v>0</v>
      </c>
      <c r="AF3780">
        <v>9</v>
      </c>
      <c r="AG3780" t="s">
        <v>158</v>
      </c>
      <c r="AH3780">
        <v>0</v>
      </c>
      <c r="AI3780">
        <v>3</v>
      </c>
      <c r="AJ3780">
        <v>1</v>
      </c>
      <c r="AK3780">
        <v>0</v>
      </c>
      <c r="AL3780" t="s">
        <v>7126</v>
      </c>
      <c r="AM3780">
        <v>47.044015000000002</v>
      </c>
      <c r="AN3780" t="s">
        <v>7127</v>
      </c>
      <c r="AO3780">
        <v>-123.932755</v>
      </c>
      <c r="AP3780">
        <v>100</v>
      </c>
      <c r="AQ3780">
        <v>2100</v>
      </c>
      <c r="AR3780" t="s">
        <v>118</v>
      </c>
      <c r="AS3780">
        <v>-77</v>
      </c>
      <c r="AT3780">
        <v>21</v>
      </c>
      <c r="AU3780">
        <v>64</v>
      </c>
      <c r="BC3780">
        <v>1200</v>
      </c>
      <c r="BD3780">
        <v>1</v>
      </c>
      <c r="BE3780" t="str">
        <f t="shared" si="179"/>
        <v xml:space="preserve">N215T   </v>
      </c>
      <c r="BF3780">
        <v>1</v>
      </c>
      <c r="BH3780">
        <v>0</v>
      </c>
      <c r="BI3780">
        <v>0</v>
      </c>
      <c r="BJ3780">
        <v>0</v>
      </c>
      <c r="BK3780">
        <v>2475</v>
      </c>
      <c r="BL3780">
        <v>375</v>
      </c>
      <c r="BM3780" t="s">
        <v>119</v>
      </c>
      <c r="BN3780">
        <v>1</v>
      </c>
      <c r="BO3780">
        <v>1</v>
      </c>
      <c r="BP3780">
        <v>1</v>
      </c>
      <c r="BQ3780">
        <v>0</v>
      </c>
      <c r="BT3780">
        <v>0</v>
      </c>
      <c r="BU3780">
        <v>0</v>
      </c>
      <c r="BV3780">
        <v>0</v>
      </c>
      <c r="CC3780" t="str">
        <f>"19:37:59.906"</f>
        <v>19:37:59.906</v>
      </c>
      <c r="CD3780" t="str">
        <f>"909641543"</f>
        <v>909641543</v>
      </c>
      <c r="CQ3780">
        <v>0</v>
      </c>
      <c r="CR3780">
        <v>2</v>
      </c>
      <c r="CS3780">
        <v>0</v>
      </c>
      <c r="CT3780">
        <v>2</v>
      </c>
      <c r="CU3780">
        <v>0</v>
      </c>
      <c r="CV3780">
        <v>5</v>
      </c>
      <c r="CW3780" t="s">
        <v>120</v>
      </c>
      <c r="CX3780">
        <v>257</v>
      </c>
      <c r="CY3780">
        <v>0</v>
      </c>
      <c r="CZ3780" t="s">
        <v>615</v>
      </c>
      <c r="DA3780" t="s">
        <v>616</v>
      </c>
      <c r="DD3780">
        <v>16565853</v>
      </c>
      <c r="DE3780" t="s">
        <v>123</v>
      </c>
    </row>
    <row r="3781" spans="1:109" x14ac:dyDescent="0.3">
      <c r="A3781" t="str">
        <f>"19:38:01.078"</f>
        <v>19:38:01.078</v>
      </c>
      <c r="B3781" t="s">
        <v>110</v>
      </c>
      <c r="C3781" t="str">
        <f t="shared" si="177"/>
        <v>ffdfd3c0</v>
      </c>
      <c r="D3781" t="s">
        <v>111</v>
      </c>
      <c r="E3781">
        <v>18</v>
      </c>
      <c r="F3781">
        <v>1018</v>
      </c>
      <c r="G3781" t="s">
        <v>112</v>
      </c>
      <c r="J3781" t="s">
        <v>113</v>
      </c>
      <c r="K3781">
        <v>0</v>
      </c>
      <c r="L3781">
        <v>3</v>
      </c>
      <c r="M3781">
        <v>0</v>
      </c>
      <c r="N3781">
        <v>2</v>
      </c>
      <c r="O3781">
        <v>1</v>
      </c>
      <c r="P3781">
        <v>0</v>
      </c>
      <c r="Q3781">
        <v>0</v>
      </c>
      <c r="R3781" t="s">
        <v>114</v>
      </c>
      <c r="S3781" t="str">
        <f>"19:38:00.883"</f>
        <v>19:38:00.883</v>
      </c>
      <c r="T3781" t="str">
        <f>"19:38:00.781"</f>
        <v>19:38:00.781</v>
      </c>
      <c r="U3781" t="str">
        <f t="shared" si="178"/>
        <v>a1cdbe</v>
      </c>
      <c r="V3781">
        <v>0</v>
      </c>
      <c r="W3781">
        <v>0</v>
      </c>
      <c r="X3781">
        <v>2</v>
      </c>
      <c r="Y3781">
        <v>0</v>
      </c>
      <c r="Z3781">
        <v>0</v>
      </c>
      <c r="AB3781">
        <v>0</v>
      </c>
      <c r="AC3781">
        <v>9</v>
      </c>
      <c r="AD3781">
        <v>3</v>
      </c>
      <c r="AE3781">
        <v>0</v>
      </c>
      <c r="AF3781">
        <v>9</v>
      </c>
      <c r="AG3781" t="s">
        <v>158</v>
      </c>
      <c r="AH3781">
        <v>0</v>
      </c>
      <c r="AI3781">
        <v>3</v>
      </c>
      <c r="AJ3781">
        <v>1</v>
      </c>
      <c r="AK3781">
        <v>0</v>
      </c>
      <c r="AL3781" t="s">
        <v>7128</v>
      </c>
      <c r="AM3781">
        <v>47.044100999999998</v>
      </c>
      <c r="AN3781" t="s">
        <v>7129</v>
      </c>
      <c r="AO3781">
        <v>-123.93326999999999</v>
      </c>
      <c r="AP3781">
        <v>100</v>
      </c>
      <c r="AQ3781">
        <v>2100</v>
      </c>
      <c r="AR3781" t="s">
        <v>118</v>
      </c>
      <c r="AS3781">
        <v>-77</v>
      </c>
      <c r="AT3781">
        <v>21</v>
      </c>
      <c r="AU3781">
        <v>128</v>
      </c>
      <c r="BC3781">
        <v>1200</v>
      </c>
      <c r="BD3781">
        <v>1</v>
      </c>
      <c r="BE3781" t="str">
        <f t="shared" si="179"/>
        <v xml:space="preserve">N215T   </v>
      </c>
      <c r="BF3781">
        <v>1</v>
      </c>
      <c r="BH3781">
        <v>0</v>
      </c>
      <c r="BI3781">
        <v>0</v>
      </c>
      <c r="BJ3781">
        <v>0</v>
      </c>
      <c r="BK3781">
        <v>2475</v>
      </c>
      <c r="BL3781">
        <v>375</v>
      </c>
      <c r="BM3781" t="s">
        <v>119</v>
      </c>
      <c r="BN3781">
        <v>1</v>
      </c>
      <c r="BO3781">
        <v>1</v>
      </c>
      <c r="BP3781">
        <v>1</v>
      </c>
      <c r="BQ3781">
        <v>0</v>
      </c>
      <c r="BT3781">
        <v>0</v>
      </c>
      <c r="BU3781">
        <v>0</v>
      </c>
      <c r="BV3781">
        <v>0</v>
      </c>
      <c r="CC3781" t="str">
        <f>"19:38:00.883"</f>
        <v>19:38:00.883</v>
      </c>
      <c r="CD3781" t="str">
        <f>"884545502"</f>
        <v>884545502</v>
      </c>
      <c r="CQ3781">
        <v>0</v>
      </c>
      <c r="CR3781">
        <v>2</v>
      </c>
      <c r="CS3781">
        <v>0</v>
      </c>
      <c r="CT3781">
        <v>2</v>
      </c>
      <c r="CU3781">
        <v>0</v>
      </c>
      <c r="CV3781">
        <v>4</v>
      </c>
      <c r="CW3781" t="s">
        <v>120</v>
      </c>
      <c r="CX3781">
        <v>257</v>
      </c>
      <c r="CY3781">
        <v>0</v>
      </c>
      <c r="CZ3781" t="s">
        <v>615</v>
      </c>
      <c r="DA3781" t="s">
        <v>616</v>
      </c>
      <c r="DD3781">
        <v>16566204</v>
      </c>
      <c r="DE3781" t="s">
        <v>123</v>
      </c>
    </row>
    <row r="3782" spans="1:109" x14ac:dyDescent="0.3">
      <c r="A3782" t="str">
        <f>"19:38:02.133"</f>
        <v>19:38:02.133</v>
      </c>
      <c r="B3782" t="s">
        <v>110</v>
      </c>
      <c r="C3782" t="str">
        <f t="shared" si="177"/>
        <v>ffdfd3c0</v>
      </c>
      <c r="D3782" t="s">
        <v>111</v>
      </c>
      <c r="E3782">
        <v>18</v>
      </c>
      <c r="F3782">
        <v>1018</v>
      </c>
      <c r="G3782" t="s">
        <v>112</v>
      </c>
      <c r="J3782" t="s">
        <v>113</v>
      </c>
      <c r="K3782">
        <v>0</v>
      </c>
      <c r="L3782">
        <v>3</v>
      </c>
      <c r="M3782">
        <v>0</v>
      </c>
      <c r="N3782">
        <v>2</v>
      </c>
      <c r="O3782">
        <v>1</v>
      </c>
      <c r="P3782">
        <v>0</v>
      </c>
      <c r="Q3782">
        <v>0</v>
      </c>
      <c r="R3782" t="s">
        <v>114</v>
      </c>
      <c r="S3782" t="str">
        <f>"19:38:01.859"</f>
        <v>19:38:01.859</v>
      </c>
      <c r="T3782" t="str">
        <f>"19:38:01.461"</f>
        <v>19:38:01.461</v>
      </c>
      <c r="U3782" t="str">
        <f t="shared" si="178"/>
        <v>a1cdbe</v>
      </c>
      <c r="V3782">
        <v>0</v>
      </c>
      <c r="W3782">
        <v>0</v>
      </c>
      <c r="X3782">
        <v>2</v>
      </c>
      <c r="Y3782">
        <v>0</v>
      </c>
      <c r="Z3782">
        <v>0</v>
      </c>
      <c r="AB3782">
        <v>0</v>
      </c>
      <c r="AC3782">
        <v>9</v>
      </c>
      <c r="AD3782">
        <v>3</v>
      </c>
      <c r="AE3782">
        <v>0</v>
      </c>
      <c r="AF3782">
        <v>9</v>
      </c>
      <c r="AG3782" t="s">
        <v>158</v>
      </c>
      <c r="AH3782">
        <v>0</v>
      </c>
      <c r="AI3782">
        <v>3</v>
      </c>
      <c r="AJ3782">
        <v>1</v>
      </c>
      <c r="AK3782">
        <v>0</v>
      </c>
      <c r="AL3782" t="s">
        <v>7130</v>
      </c>
      <c r="AM3782">
        <v>47.044207999999998</v>
      </c>
      <c r="AN3782" t="s">
        <v>7131</v>
      </c>
      <c r="AO3782">
        <v>-123.933742</v>
      </c>
      <c r="AP3782">
        <v>100</v>
      </c>
      <c r="AQ3782">
        <v>2100</v>
      </c>
      <c r="AR3782" t="s">
        <v>118</v>
      </c>
      <c r="AS3782">
        <v>-77</v>
      </c>
      <c r="AT3782">
        <v>21</v>
      </c>
      <c r="AU3782">
        <v>128</v>
      </c>
      <c r="BC3782">
        <v>1200</v>
      </c>
      <c r="BD3782">
        <v>1</v>
      </c>
      <c r="BE3782" t="str">
        <f t="shared" si="179"/>
        <v xml:space="preserve">N215T   </v>
      </c>
      <c r="BF3782">
        <v>1</v>
      </c>
      <c r="BH3782">
        <v>0</v>
      </c>
      <c r="BI3782">
        <v>0</v>
      </c>
      <c r="BJ3782">
        <v>0</v>
      </c>
      <c r="BK3782">
        <v>2475</v>
      </c>
      <c r="BL3782">
        <v>375</v>
      </c>
      <c r="BM3782" t="s">
        <v>119</v>
      </c>
      <c r="BN3782">
        <v>1</v>
      </c>
      <c r="BO3782">
        <v>1</v>
      </c>
      <c r="BP3782">
        <v>1</v>
      </c>
      <c r="BQ3782">
        <v>0</v>
      </c>
      <c r="BT3782">
        <v>0</v>
      </c>
      <c r="BU3782">
        <v>0</v>
      </c>
      <c r="BV3782">
        <v>0</v>
      </c>
      <c r="CC3782" t="str">
        <f>"19:38:01.859"</f>
        <v>19:38:01.859</v>
      </c>
      <c r="CD3782" t="str">
        <f>"859449489"</f>
        <v>859449489</v>
      </c>
      <c r="CQ3782">
        <v>0</v>
      </c>
      <c r="CR3782">
        <v>2</v>
      </c>
      <c r="CS3782">
        <v>0</v>
      </c>
      <c r="CT3782">
        <v>2</v>
      </c>
      <c r="CU3782">
        <v>0</v>
      </c>
      <c r="CV3782">
        <v>4</v>
      </c>
      <c r="CW3782" t="s">
        <v>120</v>
      </c>
      <c r="CX3782">
        <v>257</v>
      </c>
      <c r="CY3782">
        <v>0</v>
      </c>
      <c r="CZ3782" t="s">
        <v>615</v>
      </c>
      <c r="DA3782" t="s">
        <v>616</v>
      </c>
      <c r="DD3782">
        <v>16566508</v>
      </c>
      <c r="DE3782" t="s">
        <v>123</v>
      </c>
    </row>
    <row r="3783" spans="1:109" x14ac:dyDescent="0.3">
      <c r="A3783" t="str">
        <f>"19:38:03.086"</f>
        <v>19:38:03.086</v>
      </c>
      <c r="B3783" t="s">
        <v>110</v>
      </c>
      <c r="C3783" t="str">
        <f t="shared" si="177"/>
        <v>ffdfd3c0</v>
      </c>
      <c r="D3783" t="s">
        <v>111</v>
      </c>
      <c r="E3783">
        <v>18</v>
      </c>
      <c r="F3783">
        <v>1018</v>
      </c>
      <c r="G3783" t="s">
        <v>112</v>
      </c>
      <c r="J3783" t="s">
        <v>113</v>
      </c>
      <c r="K3783">
        <v>0</v>
      </c>
      <c r="L3783">
        <v>3</v>
      </c>
      <c r="M3783">
        <v>0</v>
      </c>
      <c r="N3783">
        <v>2</v>
      </c>
      <c r="O3783">
        <v>1</v>
      </c>
      <c r="P3783">
        <v>0</v>
      </c>
      <c r="Q3783">
        <v>0</v>
      </c>
      <c r="R3783" t="s">
        <v>114</v>
      </c>
      <c r="S3783" t="str">
        <f>"19:38:02.875"</f>
        <v>19:38:02.875</v>
      </c>
      <c r="T3783" t="str">
        <f>"19:38:02.375"</f>
        <v>19:38:02.375</v>
      </c>
      <c r="U3783" t="str">
        <f t="shared" si="178"/>
        <v>a1cdbe</v>
      </c>
      <c r="V3783">
        <v>0</v>
      </c>
      <c r="W3783">
        <v>0</v>
      </c>
      <c r="X3783">
        <v>2</v>
      </c>
      <c r="Y3783">
        <v>0</v>
      </c>
      <c r="Z3783">
        <v>0</v>
      </c>
      <c r="AB3783">
        <v>0</v>
      </c>
      <c r="AC3783">
        <v>9</v>
      </c>
      <c r="AD3783">
        <v>3</v>
      </c>
      <c r="AE3783">
        <v>0</v>
      </c>
      <c r="AF3783">
        <v>9</v>
      </c>
      <c r="AG3783" t="s">
        <v>158</v>
      </c>
      <c r="AH3783">
        <v>0</v>
      </c>
      <c r="AI3783">
        <v>3</v>
      </c>
      <c r="AJ3783">
        <v>1</v>
      </c>
      <c r="AK3783">
        <v>0</v>
      </c>
      <c r="AL3783" t="s">
        <v>7132</v>
      </c>
      <c r="AM3783">
        <v>47.044271999999999</v>
      </c>
      <c r="AN3783" t="s">
        <v>7133</v>
      </c>
      <c r="AO3783">
        <v>-123.93429999999999</v>
      </c>
      <c r="AP3783">
        <v>100</v>
      </c>
      <c r="AQ3783">
        <v>2100</v>
      </c>
      <c r="AR3783" t="s">
        <v>118</v>
      </c>
      <c r="AS3783">
        <v>-77</v>
      </c>
      <c r="AT3783">
        <v>20</v>
      </c>
      <c r="AU3783">
        <v>128</v>
      </c>
      <c r="BC3783">
        <v>1200</v>
      </c>
      <c r="BD3783">
        <v>1</v>
      </c>
      <c r="BE3783" t="str">
        <f t="shared" si="179"/>
        <v xml:space="preserve">N215T   </v>
      </c>
      <c r="BF3783">
        <v>1</v>
      </c>
      <c r="BH3783">
        <v>0</v>
      </c>
      <c r="BI3783">
        <v>0</v>
      </c>
      <c r="BJ3783">
        <v>0</v>
      </c>
      <c r="BK3783">
        <v>2475</v>
      </c>
      <c r="BL3783">
        <v>375</v>
      </c>
      <c r="BM3783" t="s">
        <v>119</v>
      </c>
      <c r="BN3783">
        <v>1</v>
      </c>
      <c r="BO3783">
        <v>1</v>
      </c>
      <c r="BP3783">
        <v>1</v>
      </c>
      <c r="BQ3783">
        <v>0</v>
      </c>
      <c r="BT3783">
        <v>0</v>
      </c>
      <c r="BU3783">
        <v>0</v>
      </c>
      <c r="BV3783">
        <v>0</v>
      </c>
      <c r="CC3783" t="str">
        <f>"19:38:02.883"</f>
        <v>19:38:02.883</v>
      </c>
      <c r="CD3783" t="str">
        <f>"879349009"</f>
        <v>879349009</v>
      </c>
      <c r="CQ3783">
        <v>0</v>
      </c>
      <c r="CR3783">
        <v>2</v>
      </c>
      <c r="CS3783">
        <v>0</v>
      </c>
      <c r="CT3783">
        <v>2</v>
      </c>
      <c r="CU3783">
        <v>0</v>
      </c>
      <c r="CV3783">
        <v>4</v>
      </c>
      <c r="CW3783" t="s">
        <v>120</v>
      </c>
      <c r="CX3783">
        <v>257</v>
      </c>
      <c r="CY3783">
        <v>0</v>
      </c>
      <c r="CZ3783" t="s">
        <v>615</v>
      </c>
      <c r="DA3783" t="s">
        <v>616</v>
      </c>
      <c r="DD3783">
        <v>16566791</v>
      </c>
      <c r="DE3783" t="s">
        <v>123</v>
      </c>
    </row>
    <row r="3784" spans="1:109" x14ac:dyDescent="0.3">
      <c r="A3784" t="str">
        <f>"19:38:04.094"</f>
        <v>19:38:04.094</v>
      </c>
      <c r="B3784" t="s">
        <v>110</v>
      </c>
      <c r="C3784" t="str">
        <f t="shared" si="177"/>
        <v>ffdfd3c0</v>
      </c>
      <c r="D3784" t="s">
        <v>111</v>
      </c>
      <c r="E3784">
        <v>18</v>
      </c>
      <c r="F3784">
        <v>1018</v>
      </c>
      <c r="G3784" t="s">
        <v>112</v>
      </c>
      <c r="J3784" t="s">
        <v>113</v>
      </c>
      <c r="K3784">
        <v>0</v>
      </c>
      <c r="L3784">
        <v>3</v>
      </c>
      <c r="M3784">
        <v>0</v>
      </c>
      <c r="N3784">
        <v>2</v>
      </c>
      <c r="O3784">
        <v>1</v>
      </c>
      <c r="P3784">
        <v>0</v>
      </c>
      <c r="Q3784">
        <v>0</v>
      </c>
      <c r="R3784" t="s">
        <v>114</v>
      </c>
      <c r="S3784" t="str">
        <f>"19:38:03.867"</f>
        <v>19:38:03.867</v>
      </c>
      <c r="T3784" t="str">
        <f>"19:38:03.766"</f>
        <v>19:38:03.766</v>
      </c>
      <c r="U3784" t="str">
        <f t="shared" si="178"/>
        <v>a1cdbe</v>
      </c>
      <c r="V3784">
        <v>0</v>
      </c>
      <c r="W3784">
        <v>0</v>
      </c>
      <c r="X3784">
        <v>2</v>
      </c>
      <c r="Y3784">
        <v>0</v>
      </c>
      <c r="Z3784">
        <v>0</v>
      </c>
      <c r="AB3784">
        <v>0</v>
      </c>
      <c r="AC3784">
        <v>9</v>
      </c>
      <c r="AD3784">
        <v>3</v>
      </c>
      <c r="AE3784">
        <v>0</v>
      </c>
      <c r="AF3784">
        <v>9</v>
      </c>
      <c r="AG3784" t="s">
        <v>158</v>
      </c>
      <c r="AH3784">
        <v>0</v>
      </c>
      <c r="AI3784">
        <v>3</v>
      </c>
      <c r="AJ3784">
        <v>1</v>
      </c>
      <c r="AK3784">
        <v>0</v>
      </c>
      <c r="AL3784" t="s">
        <v>7134</v>
      </c>
      <c r="AM3784">
        <v>47.044379999999997</v>
      </c>
      <c r="AN3784" t="s">
        <v>7135</v>
      </c>
      <c r="AO3784">
        <v>-123.934793</v>
      </c>
      <c r="AP3784">
        <v>100</v>
      </c>
      <c r="AQ3784">
        <v>2100</v>
      </c>
      <c r="AR3784" t="s">
        <v>118</v>
      </c>
      <c r="AS3784">
        <v>-78</v>
      </c>
      <c r="AT3784">
        <v>20</v>
      </c>
      <c r="AU3784">
        <v>128</v>
      </c>
      <c r="BC3784">
        <v>1200</v>
      </c>
      <c r="BD3784">
        <v>1</v>
      </c>
      <c r="BE3784" t="str">
        <f t="shared" si="179"/>
        <v xml:space="preserve">N215T   </v>
      </c>
      <c r="BF3784">
        <v>1</v>
      </c>
      <c r="BH3784">
        <v>0</v>
      </c>
      <c r="BI3784">
        <v>0</v>
      </c>
      <c r="BJ3784">
        <v>0</v>
      </c>
      <c r="BK3784">
        <v>2475</v>
      </c>
      <c r="BL3784">
        <v>375</v>
      </c>
      <c r="BM3784" t="s">
        <v>119</v>
      </c>
      <c r="BN3784">
        <v>1</v>
      </c>
      <c r="BO3784">
        <v>1</v>
      </c>
      <c r="BP3784">
        <v>1</v>
      </c>
      <c r="BQ3784">
        <v>0</v>
      </c>
      <c r="BT3784">
        <v>0</v>
      </c>
      <c r="BU3784">
        <v>0</v>
      </c>
      <c r="BV3784">
        <v>0</v>
      </c>
      <c r="CC3784" t="str">
        <f>"19:38:03.867"</f>
        <v>19:38:03.867</v>
      </c>
      <c r="CD3784" t="str">
        <f>"869251486"</f>
        <v>869251486</v>
      </c>
      <c r="CQ3784">
        <v>0</v>
      </c>
      <c r="CR3784">
        <v>2</v>
      </c>
      <c r="CS3784">
        <v>0</v>
      </c>
      <c r="CT3784">
        <v>2</v>
      </c>
      <c r="CU3784">
        <v>0</v>
      </c>
      <c r="CV3784">
        <v>4</v>
      </c>
      <c r="CW3784" t="s">
        <v>120</v>
      </c>
      <c r="CX3784">
        <v>257</v>
      </c>
      <c r="CY3784">
        <v>0</v>
      </c>
      <c r="CZ3784" t="s">
        <v>615</v>
      </c>
      <c r="DA3784" t="s">
        <v>616</v>
      </c>
      <c r="DD3784">
        <v>16567103</v>
      </c>
      <c r="DE3784" t="s">
        <v>123</v>
      </c>
    </row>
    <row r="3785" spans="1:109" x14ac:dyDescent="0.3">
      <c r="A3785" t="str">
        <f>"19:38:05.094"</f>
        <v>19:38:05.094</v>
      </c>
      <c r="B3785" t="s">
        <v>110</v>
      </c>
      <c r="C3785" t="str">
        <f t="shared" si="177"/>
        <v>ffdfd3c0</v>
      </c>
      <c r="D3785" t="s">
        <v>111</v>
      </c>
      <c r="E3785">
        <v>18</v>
      </c>
      <c r="F3785">
        <v>1018</v>
      </c>
      <c r="G3785" t="s">
        <v>112</v>
      </c>
      <c r="J3785" t="s">
        <v>113</v>
      </c>
      <c r="K3785">
        <v>0</v>
      </c>
      <c r="L3785">
        <v>3</v>
      </c>
      <c r="M3785">
        <v>0</v>
      </c>
      <c r="N3785">
        <v>2</v>
      </c>
      <c r="O3785">
        <v>1</v>
      </c>
      <c r="P3785">
        <v>0</v>
      </c>
      <c r="Q3785">
        <v>0</v>
      </c>
      <c r="R3785" t="s">
        <v>114</v>
      </c>
      <c r="S3785" t="str">
        <f>"19:38:04.883"</f>
        <v>19:38:04.883</v>
      </c>
      <c r="T3785" t="str">
        <f>"19:38:04.781"</f>
        <v>19:38:04.781</v>
      </c>
      <c r="U3785" t="str">
        <f t="shared" si="178"/>
        <v>a1cdbe</v>
      </c>
      <c r="V3785">
        <v>0</v>
      </c>
      <c r="W3785">
        <v>0</v>
      </c>
      <c r="X3785">
        <v>2</v>
      </c>
      <c r="Y3785">
        <v>0</v>
      </c>
      <c r="Z3785">
        <v>0</v>
      </c>
      <c r="AB3785">
        <v>0</v>
      </c>
      <c r="AC3785">
        <v>9</v>
      </c>
      <c r="AD3785">
        <v>3</v>
      </c>
      <c r="AE3785">
        <v>0</v>
      </c>
      <c r="AF3785">
        <v>9</v>
      </c>
      <c r="AG3785" t="s">
        <v>158</v>
      </c>
      <c r="AH3785">
        <v>0</v>
      </c>
      <c r="AI3785">
        <v>3</v>
      </c>
      <c r="AJ3785">
        <v>1</v>
      </c>
      <c r="AK3785">
        <v>0</v>
      </c>
      <c r="AL3785" t="s">
        <v>7136</v>
      </c>
      <c r="AM3785">
        <v>47.044466</v>
      </c>
      <c r="AN3785" t="s">
        <v>7137</v>
      </c>
      <c r="AO3785">
        <v>-123.93532999999999</v>
      </c>
      <c r="AP3785">
        <v>100</v>
      </c>
      <c r="AQ3785">
        <v>2100</v>
      </c>
      <c r="AR3785" t="s">
        <v>118</v>
      </c>
      <c r="AS3785">
        <v>-78</v>
      </c>
      <c r="AT3785">
        <v>20</v>
      </c>
      <c r="AU3785">
        <v>128</v>
      </c>
      <c r="BC3785">
        <v>1200</v>
      </c>
      <c r="BD3785">
        <v>1</v>
      </c>
      <c r="BE3785" t="str">
        <f t="shared" si="179"/>
        <v xml:space="preserve">N215T   </v>
      </c>
      <c r="BF3785">
        <v>1</v>
      </c>
      <c r="BH3785">
        <v>0</v>
      </c>
      <c r="BI3785">
        <v>0</v>
      </c>
      <c r="BJ3785">
        <v>0</v>
      </c>
      <c r="BK3785">
        <v>2500</v>
      </c>
      <c r="BL3785">
        <v>400</v>
      </c>
      <c r="BM3785" t="s">
        <v>119</v>
      </c>
      <c r="BN3785">
        <v>1</v>
      </c>
      <c r="BO3785">
        <v>1</v>
      </c>
      <c r="BP3785">
        <v>1</v>
      </c>
      <c r="BQ3785">
        <v>0</v>
      </c>
      <c r="BT3785">
        <v>0</v>
      </c>
      <c r="BU3785">
        <v>0</v>
      </c>
      <c r="BV3785">
        <v>0</v>
      </c>
      <c r="CC3785" t="str">
        <f>"19:38:04.891"</f>
        <v>19:38:04.891</v>
      </c>
      <c r="CD3785" t="str">
        <f>"889151035"</f>
        <v>889151035</v>
      </c>
      <c r="CQ3785">
        <v>0</v>
      </c>
      <c r="CR3785">
        <v>2</v>
      </c>
      <c r="CS3785">
        <v>0</v>
      </c>
      <c r="CT3785">
        <v>2</v>
      </c>
      <c r="CU3785">
        <v>0</v>
      </c>
      <c r="CV3785">
        <v>4</v>
      </c>
      <c r="CW3785" t="s">
        <v>120</v>
      </c>
      <c r="CX3785">
        <v>257</v>
      </c>
      <c r="CY3785">
        <v>0</v>
      </c>
      <c r="CZ3785" t="s">
        <v>615</v>
      </c>
      <c r="DA3785" t="s">
        <v>616</v>
      </c>
      <c r="DD3785">
        <v>16567414</v>
      </c>
      <c r="DE3785" t="s">
        <v>123</v>
      </c>
    </row>
    <row r="3786" spans="1:109" x14ac:dyDescent="0.3">
      <c r="A3786" t="str">
        <f>"19:38:06.055"</f>
        <v>19:38:06.055</v>
      </c>
      <c r="B3786" t="s">
        <v>110</v>
      </c>
      <c r="C3786" t="str">
        <f t="shared" si="177"/>
        <v>ffdfd3c0</v>
      </c>
      <c r="D3786" t="s">
        <v>111</v>
      </c>
      <c r="E3786">
        <v>18</v>
      </c>
      <c r="F3786">
        <v>1018</v>
      </c>
      <c r="G3786" t="s">
        <v>112</v>
      </c>
      <c r="J3786" t="s">
        <v>113</v>
      </c>
      <c r="K3786">
        <v>0</v>
      </c>
      <c r="L3786">
        <v>3</v>
      </c>
      <c r="M3786">
        <v>0</v>
      </c>
      <c r="N3786">
        <v>2</v>
      </c>
      <c r="O3786">
        <v>1</v>
      </c>
      <c r="P3786">
        <v>0</v>
      </c>
      <c r="Q3786">
        <v>0</v>
      </c>
      <c r="R3786" t="s">
        <v>114</v>
      </c>
      <c r="S3786" t="str">
        <f>"19:38:05.844"</f>
        <v>19:38:05.844</v>
      </c>
      <c r="T3786" t="str">
        <f>"19:38:05.844"</f>
        <v>19:38:05.844</v>
      </c>
      <c r="U3786" t="str">
        <f t="shared" si="178"/>
        <v>a1cdbe</v>
      </c>
      <c r="V3786">
        <v>0</v>
      </c>
      <c r="W3786">
        <v>0</v>
      </c>
      <c r="X3786">
        <v>2</v>
      </c>
      <c r="Y3786">
        <v>0</v>
      </c>
      <c r="Z3786">
        <v>0</v>
      </c>
      <c r="AB3786">
        <v>0</v>
      </c>
      <c r="AC3786">
        <v>9</v>
      </c>
      <c r="AD3786">
        <v>3</v>
      </c>
      <c r="AE3786">
        <v>0</v>
      </c>
      <c r="AF3786">
        <v>9</v>
      </c>
      <c r="AG3786" t="s">
        <v>158</v>
      </c>
      <c r="AH3786">
        <v>0</v>
      </c>
      <c r="AI3786">
        <v>3</v>
      </c>
      <c r="AJ3786">
        <v>1</v>
      </c>
      <c r="AK3786">
        <v>0</v>
      </c>
      <c r="AL3786" t="s">
        <v>7138</v>
      </c>
      <c r="AM3786">
        <v>47.044573</v>
      </c>
      <c r="AN3786" t="s">
        <v>7139</v>
      </c>
      <c r="AO3786">
        <v>-123.935845</v>
      </c>
      <c r="AP3786">
        <v>100</v>
      </c>
      <c r="AQ3786">
        <v>2100</v>
      </c>
      <c r="AR3786" t="s">
        <v>118</v>
      </c>
      <c r="AS3786">
        <v>-77</v>
      </c>
      <c r="AT3786">
        <v>19</v>
      </c>
      <c r="AU3786">
        <v>128</v>
      </c>
      <c r="BC3786">
        <v>1200</v>
      </c>
      <c r="BD3786">
        <v>1</v>
      </c>
      <c r="BE3786" t="str">
        <f t="shared" si="179"/>
        <v xml:space="preserve">N215T   </v>
      </c>
      <c r="BF3786">
        <v>1</v>
      </c>
      <c r="BH3786">
        <v>0</v>
      </c>
      <c r="BI3786">
        <v>0</v>
      </c>
      <c r="BJ3786">
        <v>0</v>
      </c>
      <c r="BK3786">
        <v>2500</v>
      </c>
      <c r="BL3786">
        <v>400</v>
      </c>
      <c r="BM3786" t="s">
        <v>119</v>
      </c>
      <c r="BN3786">
        <v>1</v>
      </c>
      <c r="BO3786">
        <v>1</v>
      </c>
      <c r="BP3786">
        <v>1</v>
      </c>
      <c r="BQ3786">
        <v>0</v>
      </c>
      <c r="BT3786">
        <v>0</v>
      </c>
      <c r="BU3786">
        <v>0</v>
      </c>
      <c r="BV3786">
        <v>0</v>
      </c>
      <c r="CC3786" t="str">
        <f>"19:38:05.852"</f>
        <v>19:38:05.852</v>
      </c>
      <c r="CD3786" t="str">
        <f>"849056489"</f>
        <v>849056489</v>
      </c>
      <c r="CQ3786">
        <v>0</v>
      </c>
      <c r="CR3786">
        <v>2</v>
      </c>
      <c r="CS3786">
        <v>0</v>
      </c>
      <c r="CT3786">
        <v>2</v>
      </c>
      <c r="CU3786">
        <v>0</v>
      </c>
      <c r="CV3786">
        <v>5</v>
      </c>
      <c r="CW3786" t="s">
        <v>120</v>
      </c>
      <c r="CX3786">
        <v>257</v>
      </c>
      <c r="CY3786">
        <v>0</v>
      </c>
      <c r="CZ3786" t="s">
        <v>615</v>
      </c>
      <c r="DA3786" t="s">
        <v>616</v>
      </c>
      <c r="DD3786">
        <v>16567732</v>
      </c>
      <c r="DE3786" t="s">
        <v>123</v>
      </c>
    </row>
    <row r="3787" spans="1:109" x14ac:dyDescent="0.3">
      <c r="A3787" t="str">
        <f>"19:38:07.008"</f>
        <v>19:38:07.008</v>
      </c>
      <c r="B3787" t="s">
        <v>110</v>
      </c>
      <c r="C3787" t="str">
        <f t="shared" si="177"/>
        <v>ffdfd3c0</v>
      </c>
      <c r="D3787" t="s">
        <v>111</v>
      </c>
      <c r="E3787">
        <v>18</v>
      </c>
      <c r="F3787">
        <v>1018</v>
      </c>
      <c r="G3787" t="s">
        <v>112</v>
      </c>
      <c r="J3787" t="s">
        <v>113</v>
      </c>
      <c r="K3787">
        <v>0</v>
      </c>
      <c r="L3787">
        <v>3</v>
      </c>
      <c r="M3787">
        <v>0</v>
      </c>
      <c r="N3787">
        <v>2</v>
      </c>
      <c r="O3787">
        <v>1</v>
      </c>
      <c r="P3787">
        <v>0</v>
      </c>
      <c r="Q3787">
        <v>0</v>
      </c>
      <c r="R3787" t="s">
        <v>114</v>
      </c>
      <c r="S3787" t="str">
        <f>"19:38:06.758"</f>
        <v>19:38:06.758</v>
      </c>
      <c r="T3787" t="str">
        <f>"19:38:06.461"</f>
        <v>19:38:06.461</v>
      </c>
      <c r="U3787" t="str">
        <f t="shared" si="178"/>
        <v>a1cdbe</v>
      </c>
      <c r="V3787">
        <v>0</v>
      </c>
      <c r="W3787">
        <v>0</v>
      </c>
      <c r="X3787">
        <v>2</v>
      </c>
      <c r="Y3787">
        <v>0</v>
      </c>
      <c r="Z3787">
        <v>0</v>
      </c>
      <c r="AB3787">
        <v>0</v>
      </c>
      <c r="AC3787">
        <v>9</v>
      </c>
      <c r="AD3787">
        <v>3</v>
      </c>
      <c r="AE3787">
        <v>0</v>
      </c>
      <c r="AF3787">
        <v>9</v>
      </c>
      <c r="AG3787" t="s">
        <v>158</v>
      </c>
      <c r="AH3787">
        <v>0</v>
      </c>
      <c r="AI3787">
        <v>3</v>
      </c>
      <c r="AJ3787">
        <v>1</v>
      </c>
      <c r="AK3787">
        <v>0</v>
      </c>
      <c r="AL3787" t="s">
        <v>576</v>
      </c>
      <c r="AM3787">
        <v>47.044637000000002</v>
      </c>
      <c r="AN3787" t="s">
        <v>7140</v>
      </c>
      <c r="AO3787">
        <v>-123.93635999999999</v>
      </c>
      <c r="AP3787">
        <v>100</v>
      </c>
      <c r="AQ3787">
        <v>2100</v>
      </c>
      <c r="AR3787" t="s">
        <v>118</v>
      </c>
      <c r="AS3787">
        <v>-77</v>
      </c>
      <c r="AT3787">
        <v>19</v>
      </c>
      <c r="AU3787">
        <v>128</v>
      </c>
      <c r="BC3787">
        <v>1200</v>
      </c>
      <c r="BD3787">
        <v>1</v>
      </c>
      <c r="BE3787" t="str">
        <f t="shared" si="179"/>
        <v xml:space="preserve">N215T   </v>
      </c>
      <c r="BF3787">
        <v>1</v>
      </c>
      <c r="BH3787">
        <v>0</v>
      </c>
      <c r="BI3787">
        <v>0</v>
      </c>
      <c r="BJ3787">
        <v>0</v>
      </c>
      <c r="BK3787">
        <v>2500</v>
      </c>
      <c r="BL3787">
        <v>400</v>
      </c>
      <c r="BM3787" t="s">
        <v>119</v>
      </c>
      <c r="BN3787">
        <v>1</v>
      </c>
      <c r="BO3787">
        <v>1</v>
      </c>
      <c r="BP3787">
        <v>1</v>
      </c>
      <c r="BQ3787">
        <v>0</v>
      </c>
      <c r="BT3787">
        <v>0</v>
      </c>
      <c r="BU3787">
        <v>0</v>
      </c>
      <c r="BV3787">
        <v>0</v>
      </c>
      <c r="CC3787" t="str">
        <f>"19:38:06.766"</f>
        <v>19:38:06.766</v>
      </c>
      <c r="CD3787" t="str">
        <f>"763966355"</f>
        <v>763966355</v>
      </c>
      <c r="CQ3787">
        <v>0</v>
      </c>
      <c r="CR3787">
        <v>2</v>
      </c>
      <c r="CS3787">
        <v>0</v>
      </c>
      <c r="CT3787">
        <v>2</v>
      </c>
      <c r="CU3787">
        <v>0</v>
      </c>
      <c r="CV3787">
        <v>4</v>
      </c>
      <c r="CW3787" t="s">
        <v>120</v>
      </c>
      <c r="CX3787">
        <v>257</v>
      </c>
      <c r="CY3787">
        <v>0</v>
      </c>
      <c r="CZ3787" t="s">
        <v>615</v>
      </c>
      <c r="DA3787" t="s">
        <v>616</v>
      </c>
      <c r="DD3787">
        <v>16568001</v>
      </c>
      <c r="DE3787" t="s">
        <v>123</v>
      </c>
    </row>
    <row r="3788" spans="1:109" x14ac:dyDescent="0.3">
      <c r="A3788" t="str">
        <f>"19:38:08.008"</f>
        <v>19:38:08.008</v>
      </c>
      <c r="B3788" t="s">
        <v>110</v>
      </c>
      <c r="C3788" t="str">
        <f t="shared" si="177"/>
        <v>ffdfd3c0</v>
      </c>
      <c r="D3788" t="s">
        <v>111</v>
      </c>
      <c r="E3788">
        <v>18</v>
      </c>
      <c r="F3788">
        <v>1018</v>
      </c>
      <c r="G3788" t="s">
        <v>112</v>
      </c>
      <c r="J3788" t="s">
        <v>113</v>
      </c>
      <c r="K3788">
        <v>0</v>
      </c>
      <c r="L3788">
        <v>3</v>
      </c>
      <c r="M3788">
        <v>0</v>
      </c>
      <c r="N3788">
        <v>2</v>
      </c>
      <c r="O3788">
        <v>1</v>
      </c>
      <c r="P3788">
        <v>0</v>
      </c>
      <c r="Q3788">
        <v>0</v>
      </c>
      <c r="R3788" t="s">
        <v>114</v>
      </c>
      <c r="S3788" t="str">
        <f>"19:38:07.797"</f>
        <v>19:38:07.797</v>
      </c>
      <c r="T3788" t="str">
        <f>"19:38:07.398"</f>
        <v>19:38:07.398</v>
      </c>
      <c r="U3788" t="str">
        <f t="shared" si="178"/>
        <v>a1cdbe</v>
      </c>
      <c r="V3788">
        <v>0</v>
      </c>
      <c r="W3788">
        <v>0</v>
      </c>
      <c r="X3788">
        <v>2</v>
      </c>
      <c r="Y3788">
        <v>0</v>
      </c>
      <c r="Z3788">
        <v>0</v>
      </c>
      <c r="AB3788">
        <v>0</v>
      </c>
      <c r="AC3788">
        <v>9</v>
      </c>
      <c r="AD3788">
        <v>3</v>
      </c>
      <c r="AE3788">
        <v>0</v>
      </c>
      <c r="AF3788">
        <v>9</v>
      </c>
      <c r="AG3788" t="s">
        <v>158</v>
      </c>
      <c r="AH3788">
        <v>0</v>
      </c>
      <c r="AI3788">
        <v>3</v>
      </c>
      <c r="AJ3788">
        <v>1</v>
      </c>
      <c r="AK3788">
        <v>0</v>
      </c>
      <c r="AL3788" t="s">
        <v>7141</v>
      </c>
      <c r="AM3788">
        <v>47.044722999999998</v>
      </c>
      <c r="AN3788" t="s">
        <v>7142</v>
      </c>
      <c r="AO3788">
        <v>-123.93691800000001</v>
      </c>
      <c r="AP3788">
        <v>100</v>
      </c>
      <c r="AQ3788">
        <v>2100</v>
      </c>
      <c r="AR3788" t="s">
        <v>118</v>
      </c>
      <c r="AS3788">
        <v>-77</v>
      </c>
      <c r="AT3788">
        <v>19</v>
      </c>
      <c r="AU3788">
        <v>64</v>
      </c>
      <c r="BC3788">
        <v>1200</v>
      </c>
      <c r="BD3788">
        <v>1</v>
      </c>
      <c r="BE3788" t="str">
        <f t="shared" si="179"/>
        <v xml:space="preserve">N215T   </v>
      </c>
      <c r="BF3788">
        <v>1</v>
      </c>
      <c r="BH3788">
        <v>0</v>
      </c>
      <c r="BI3788">
        <v>0</v>
      </c>
      <c r="BJ3788">
        <v>0</v>
      </c>
      <c r="BK3788">
        <v>2500</v>
      </c>
      <c r="BL3788">
        <v>400</v>
      </c>
      <c r="BM3788" t="s">
        <v>119</v>
      </c>
      <c r="BN3788">
        <v>1</v>
      </c>
      <c r="BO3788">
        <v>1</v>
      </c>
      <c r="BP3788">
        <v>1</v>
      </c>
      <c r="BQ3788">
        <v>0</v>
      </c>
      <c r="BT3788">
        <v>0</v>
      </c>
      <c r="BU3788">
        <v>0</v>
      </c>
      <c r="BV3788">
        <v>0</v>
      </c>
      <c r="CC3788" t="str">
        <f>"19:38:07.797"</f>
        <v>19:38:07.797</v>
      </c>
      <c r="CD3788" t="str">
        <f>"798864429"</f>
        <v>798864429</v>
      </c>
      <c r="CQ3788">
        <v>0</v>
      </c>
      <c r="CR3788">
        <v>2</v>
      </c>
      <c r="CS3788">
        <v>0</v>
      </c>
      <c r="CT3788">
        <v>2</v>
      </c>
      <c r="CU3788">
        <v>0</v>
      </c>
      <c r="CV3788">
        <v>5</v>
      </c>
      <c r="CW3788" t="s">
        <v>120</v>
      </c>
      <c r="CX3788">
        <v>257</v>
      </c>
      <c r="CY3788">
        <v>0</v>
      </c>
      <c r="CZ3788" t="s">
        <v>615</v>
      </c>
      <c r="DA3788" t="s">
        <v>616</v>
      </c>
      <c r="DD3788">
        <v>16568324</v>
      </c>
      <c r="DE3788" t="s">
        <v>123</v>
      </c>
    </row>
    <row r="3789" spans="1:109" x14ac:dyDescent="0.3">
      <c r="A3789" t="str">
        <f>"19:38:09.172"</f>
        <v>19:38:09.172</v>
      </c>
      <c r="B3789" t="s">
        <v>110</v>
      </c>
      <c r="C3789" t="str">
        <f t="shared" si="177"/>
        <v>ffdfd3c0</v>
      </c>
      <c r="D3789" t="s">
        <v>111</v>
      </c>
      <c r="E3789">
        <v>18</v>
      </c>
      <c r="F3789">
        <v>1018</v>
      </c>
      <c r="G3789" t="s">
        <v>112</v>
      </c>
      <c r="J3789" t="s">
        <v>113</v>
      </c>
      <c r="K3789">
        <v>0</v>
      </c>
      <c r="L3789">
        <v>3</v>
      </c>
      <c r="M3789">
        <v>0</v>
      </c>
      <c r="N3789">
        <v>2</v>
      </c>
      <c r="O3789">
        <v>1</v>
      </c>
      <c r="P3789">
        <v>0</v>
      </c>
      <c r="Q3789">
        <v>0</v>
      </c>
      <c r="R3789" t="s">
        <v>114</v>
      </c>
      <c r="S3789" t="str">
        <f>"19:38:08.953"</f>
        <v>19:38:08.953</v>
      </c>
      <c r="T3789" t="str">
        <f>"19:38:08.953"</f>
        <v>19:38:08.953</v>
      </c>
      <c r="U3789" t="str">
        <f t="shared" si="178"/>
        <v>a1cdbe</v>
      </c>
      <c r="V3789">
        <v>0</v>
      </c>
      <c r="W3789">
        <v>0</v>
      </c>
      <c r="X3789">
        <v>2</v>
      </c>
      <c r="Y3789">
        <v>0</v>
      </c>
      <c r="Z3789">
        <v>0</v>
      </c>
      <c r="AB3789">
        <v>0</v>
      </c>
      <c r="AC3789">
        <v>9</v>
      </c>
      <c r="AD3789">
        <v>3</v>
      </c>
      <c r="AE3789">
        <v>0</v>
      </c>
      <c r="AF3789">
        <v>9</v>
      </c>
      <c r="AG3789" t="s">
        <v>158</v>
      </c>
      <c r="AH3789">
        <v>0</v>
      </c>
      <c r="AI3789">
        <v>3</v>
      </c>
      <c r="AJ3789">
        <v>1</v>
      </c>
      <c r="AK3789">
        <v>0</v>
      </c>
      <c r="AL3789" t="s">
        <v>7143</v>
      </c>
      <c r="AM3789">
        <v>47.044809000000001</v>
      </c>
      <c r="AN3789" t="s">
        <v>7144</v>
      </c>
      <c r="AO3789">
        <v>-123.937476</v>
      </c>
      <c r="AP3789">
        <v>100</v>
      </c>
      <c r="AQ3789">
        <v>2100</v>
      </c>
      <c r="AR3789" t="s">
        <v>118</v>
      </c>
      <c r="AS3789">
        <v>-77</v>
      </c>
      <c r="AT3789">
        <v>19</v>
      </c>
      <c r="AU3789">
        <v>0</v>
      </c>
      <c r="BC3789">
        <v>1200</v>
      </c>
      <c r="BD3789">
        <v>1</v>
      </c>
      <c r="BE3789" t="str">
        <f t="shared" si="179"/>
        <v xml:space="preserve">N215T   </v>
      </c>
      <c r="BF3789">
        <v>1</v>
      </c>
      <c r="BH3789">
        <v>0</v>
      </c>
      <c r="BI3789">
        <v>0</v>
      </c>
      <c r="BJ3789">
        <v>0</v>
      </c>
      <c r="BK3789">
        <v>2500</v>
      </c>
      <c r="BL3789">
        <v>400</v>
      </c>
      <c r="BM3789" t="s">
        <v>119</v>
      </c>
      <c r="BN3789">
        <v>1</v>
      </c>
      <c r="BO3789">
        <v>1</v>
      </c>
      <c r="BP3789">
        <v>1</v>
      </c>
      <c r="BQ3789">
        <v>0</v>
      </c>
      <c r="BT3789">
        <v>0</v>
      </c>
      <c r="BU3789">
        <v>0</v>
      </c>
      <c r="BV3789">
        <v>0</v>
      </c>
      <c r="CC3789" t="str">
        <f>"19:38:08.953"</f>
        <v>19:38:08.953</v>
      </c>
      <c r="CD3789" t="str">
        <f>"953750676"</f>
        <v>953750676</v>
      </c>
      <c r="CQ3789">
        <v>0</v>
      </c>
      <c r="CR3789">
        <v>2</v>
      </c>
      <c r="CS3789">
        <v>0</v>
      </c>
      <c r="CT3789">
        <v>2</v>
      </c>
      <c r="CU3789">
        <v>0</v>
      </c>
      <c r="CV3789">
        <v>4</v>
      </c>
      <c r="CW3789" t="s">
        <v>120</v>
      </c>
      <c r="CX3789">
        <v>257</v>
      </c>
      <c r="CY3789">
        <v>0</v>
      </c>
      <c r="CZ3789" t="s">
        <v>615</v>
      </c>
      <c r="DA3789" t="s">
        <v>616</v>
      </c>
      <c r="DD3789">
        <v>16568682</v>
      </c>
      <c r="DE3789" t="s">
        <v>123</v>
      </c>
    </row>
    <row r="3790" spans="1:109" x14ac:dyDescent="0.3">
      <c r="A3790" t="str">
        <f>"19:38:10.172"</f>
        <v>19:38:10.172</v>
      </c>
      <c r="B3790" t="s">
        <v>110</v>
      </c>
      <c r="C3790" t="str">
        <f t="shared" si="177"/>
        <v>ffdfd3c0</v>
      </c>
      <c r="D3790" t="s">
        <v>111</v>
      </c>
      <c r="E3790">
        <v>18</v>
      </c>
      <c r="F3790">
        <v>1018</v>
      </c>
      <c r="G3790" t="s">
        <v>112</v>
      </c>
      <c r="J3790" t="s">
        <v>113</v>
      </c>
      <c r="K3790">
        <v>0</v>
      </c>
      <c r="L3790">
        <v>3</v>
      </c>
      <c r="M3790">
        <v>0</v>
      </c>
      <c r="N3790">
        <v>2</v>
      </c>
      <c r="O3790">
        <v>1</v>
      </c>
      <c r="P3790">
        <v>0</v>
      </c>
      <c r="Q3790">
        <v>0</v>
      </c>
      <c r="R3790" t="s">
        <v>114</v>
      </c>
      <c r="S3790" t="str">
        <f>"19:38:09.906"</f>
        <v>19:38:09.906</v>
      </c>
      <c r="T3790" t="str">
        <f>"19:38:09.406"</f>
        <v>19:38:09.406</v>
      </c>
      <c r="U3790" t="str">
        <f t="shared" si="178"/>
        <v>a1cdbe</v>
      </c>
      <c r="V3790">
        <v>0</v>
      </c>
      <c r="W3790">
        <v>0</v>
      </c>
      <c r="X3790">
        <v>2</v>
      </c>
      <c r="Y3790">
        <v>0</v>
      </c>
      <c r="Z3790">
        <v>0</v>
      </c>
      <c r="AB3790">
        <v>0</v>
      </c>
      <c r="AC3790">
        <v>9</v>
      </c>
      <c r="AD3790">
        <v>3</v>
      </c>
      <c r="AE3790">
        <v>0</v>
      </c>
      <c r="AF3790">
        <v>9</v>
      </c>
      <c r="AG3790" t="s">
        <v>158</v>
      </c>
      <c r="AH3790">
        <v>0</v>
      </c>
      <c r="AI3790">
        <v>3</v>
      </c>
      <c r="AJ3790">
        <v>1</v>
      </c>
      <c r="AK3790">
        <v>0</v>
      </c>
      <c r="AL3790" t="s">
        <v>7145</v>
      </c>
      <c r="AM3790">
        <v>47.044894999999997</v>
      </c>
      <c r="AN3790" t="s">
        <v>7146</v>
      </c>
      <c r="AO3790">
        <v>-123.937969</v>
      </c>
      <c r="AP3790">
        <v>100</v>
      </c>
      <c r="AQ3790">
        <v>2100</v>
      </c>
      <c r="AR3790" t="s">
        <v>118</v>
      </c>
      <c r="AS3790">
        <v>-77</v>
      </c>
      <c r="AT3790">
        <v>19</v>
      </c>
      <c r="AU3790">
        <v>0</v>
      </c>
      <c r="BC3790">
        <v>1200</v>
      </c>
      <c r="BD3790">
        <v>1</v>
      </c>
      <c r="BE3790" t="str">
        <f t="shared" si="179"/>
        <v xml:space="preserve">N215T   </v>
      </c>
      <c r="BF3790">
        <v>1</v>
      </c>
      <c r="BH3790">
        <v>0</v>
      </c>
      <c r="BI3790">
        <v>0</v>
      </c>
      <c r="BJ3790">
        <v>0</v>
      </c>
      <c r="BK3790">
        <v>2500</v>
      </c>
      <c r="BL3790">
        <v>400</v>
      </c>
      <c r="BM3790" t="s">
        <v>119</v>
      </c>
      <c r="BN3790">
        <v>1</v>
      </c>
      <c r="BO3790">
        <v>1</v>
      </c>
      <c r="BP3790">
        <v>1</v>
      </c>
      <c r="BQ3790">
        <v>0</v>
      </c>
      <c r="BT3790">
        <v>0</v>
      </c>
      <c r="BU3790">
        <v>0</v>
      </c>
      <c r="BV3790">
        <v>0</v>
      </c>
      <c r="CC3790" t="str">
        <f>"19:38:09.914"</f>
        <v>19:38:09.914</v>
      </c>
      <c r="CD3790" t="str">
        <f>"913656108"</f>
        <v>913656108</v>
      </c>
      <c r="CQ3790">
        <v>0</v>
      </c>
      <c r="CR3790">
        <v>2</v>
      </c>
      <c r="CS3790">
        <v>0</v>
      </c>
      <c r="CT3790">
        <v>2</v>
      </c>
      <c r="CU3790">
        <v>0</v>
      </c>
      <c r="CV3790">
        <v>4</v>
      </c>
      <c r="CW3790" t="s">
        <v>120</v>
      </c>
      <c r="CX3790">
        <v>257</v>
      </c>
      <c r="CY3790">
        <v>0</v>
      </c>
      <c r="CZ3790" t="s">
        <v>615</v>
      </c>
      <c r="DA3790" t="s">
        <v>616</v>
      </c>
      <c r="DD3790">
        <v>16569009</v>
      </c>
      <c r="DE3790" t="s">
        <v>123</v>
      </c>
    </row>
    <row r="3791" spans="1:109" x14ac:dyDescent="0.3">
      <c r="A3791" t="str">
        <f>"19:38:11.125"</f>
        <v>19:38:11.125</v>
      </c>
      <c r="B3791" t="s">
        <v>110</v>
      </c>
      <c r="C3791" t="str">
        <f t="shared" si="177"/>
        <v>ffdfd3c0</v>
      </c>
      <c r="D3791" t="s">
        <v>111</v>
      </c>
      <c r="E3791">
        <v>18</v>
      </c>
      <c r="F3791">
        <v>1018</v>
      </c>
      <c r="G3791" t="s">
        <v>112</v>
      </c>
      <c r="J3791" t="s">
        <v>113</v>
      </c>
      <c r="K3791">
        <v>0</v>
      </c>
      <c r="L3791">
        <v>3</v>
      </c>
      <c r="M3791">
        <v>0</v>
      </c>
      <c r="N3791">
        <v>2</v>
      </c>
      <c r="O3791">
        <v>1</v>
      </c>
      <c r="P3791">
        <v>0</v>
      </c>
      <c r="Q3791">
        <v>0</v>
      </c>
      <c r="R3791" t="s">
        <v>114</v>
      </c>
      <c r="S3791" t="str">
        <f>"19:38:10.914"</f>
        <v>19:38:10.914</v>
      </c>
      <c r="T3791" t="str">
        <f>"19:38:10.516"</f>
        <v>19:38:10.516</v>
      </c>
      <c r="U3791" t="str">
        <f t="shared" si="178"/>
        <v>a1cdbe</v>
      </c>
      <c r="V3791">
        <v>0</v>
      </c>
      <c r="W3791">
        <v>0</v>
      </c>
      <c r="X3791">
        <v>2</v>
      </c>
      <c r="Y3791">
        <v>0</v>
      </c>
      <c r="Z3791">
        <v>0</v>
      </c>
      <c r="AB3791">
        <v>0</v>
      </c>
      <c r="AC3791">
        <v>9</v>
      </c>
      <c r="AD3791">
        <v>3</v>
      </c>
      <c r="AE3791">
        <v>0</v>
      </c>
      <c r="AF3791">
        <v>9</v>
      </c>
      <c r="AG3791" t="s">
        <v>158</v>
      </c>
      <c r="AH3791">
        <v>0</v>
      </c>
      <c r="AI3791">
        <v>3</v>
      </c>
      <c r="AJ3791">
        <v>1</v>
      </c>
      <c r="AK3791">
        <v>0</v>
      </c>
      <c r="AL3791" t="s">
        <v>7147</v>
      </c>
      <c r="AM3791">
        <v>47.045023</v>
      </c>
      <c r="AN3791" t="s">
        <v>7148</v>
      </c>
      <c r="AO3791">
        <v>-123.938484</v>
      </c>
      <c r="AP3791">
        <v>100</v>
      </c>
      <c r="AQ3791">
        <v>2100</v>
      </c>
      <c r="AR3791" t="s">
        <v>118</v>
      </c>
      <c r="AS3791">
        <v>-78</v>
      </c>
      <c r="AT3791">
        <v>19</v>
      </c>
      <c r="AU3791">
        <v>-64</v>
      </c>
      <c r="BC3791">
        <v>1200</v>
      </c>
      <c r="BD3791">
        <v>1</v>
      </c>
      <c r="BE3791" t="str">
        <f t="shared" si="179"/>
        <v xml:space="preserve">N215T   </v>
      </c>
      <c r="BF3791">
        <v>1</v>
      </c>
      <c r="BH3791">
        <v>0</v>
      </c>
      <c r="BI3791">
        <v>0</v>
      </c>
      <c r="BJ3791">
        <v>0</v>
      </c>
      <c r="BK3791">
        <v>2500</v>
      </c>
      <c r="BL3791">
        <v>400</v>
      </c>
      <c r="BM3791" t="s">
        <v>119</v>
      </c>
      <c r="BN3791">
        <v>1</v>
      </c>
      <c r="BO3791">
        <v>1</v>
      </c>
      <c r="BP3791">
        <v>1</v>
      </c>
      <c r="BQ3791">
        <v>0</v>
      </c>
      <c r="BT3791">
        <v>0</v>
      </c>
      <c r="BU3791">
        <v>0</v>
      </c>
      <c r="BV3791">
        <v>0</v>
      </c>
      <c r="CC3791" t="str">
        <f>"19:38:10.922"</f>
        <v>19:38:10.922</v>
      </c>
      <c r="CD3791" t="str">
        <f>"918557114"</f>
        <v>918557114</v>
      </c>
      <c r="CQ3791">
        <v>0</v>
      </c>
      <c r="CR3791">
        <v>2</v>
      </c>
      <c r="CS3791">
        <v>0</v>
      </c>
      <c r="CT3791">
        <v>2</v>
      </c>
      <c r="CU3791">
        <v>0</v>
      </c>
      <c r="CV3791">
        <v>4</v>
      </c>
      <c r="CW3791" t="s">
        <v>120</v>
      </c>
      <c r="CX3791">
        <v>257</v>
      </c>
      <c r="CY3791">
        <v>0</v>
      </c>
      <c r="CZ3791" t="s">
        <v>615</v>
      </c>
      <c r="DA3791" t="s">
        <v>616</v>
      </c>
      <c r="DD3791">
        <v>16569371</v>
      </c>
      <c r="DE3791" t="s">
        <v>123</v>
      </c>
    </row>
    <row r="3792" spans="1:109" x14ac:dyDescent="0.3">
      <c r="A3792" t="str">
        <f>"19:38:12.086"</f>
        <v>19:38:12.086</v>
      </c>
      <c r="B3792" t="s">
        <v>110</v>
      </c>
      <c r="C3792" t="str">
        <f t="shared" si="177"/>
        <v>ffdfd3c0</v>
      </c>
      <c r="D3792" t="s">
        <v>111</v>
      </c>
      <c r="E3792">
        <v>18</v>
      </c>
      <c r="F3792">
        <v>1018</v>
      </c>
      <c r="G3792" t="s">
        <v>112</v>
      </c>
      <c r="J3792" t="s">
        <v>113</v>
      </c>
      <c r="K3792">
        <v>0</v>
      </c>
      <c r="L3792">
        <v>3</v>
      </c>
      <c r="M3792">
        <v>0</v>
      </c>
      <c r="N3792">
        <v>2</v>
      </c>
      <c r="O3792">
        <v>1</v>
      </c>
      <c r="P3792">
        <v>0</v>
      </c>
      <c r="Q3792">
        <v>0</v>
      </c>
      <c r="R3792" t="s">
        <v>114</v>
      </c>
      <c r="S3792" t="str">
        <f>"19:38:11.859"</f>
        <v>19:38:11.859</v>
      </c>
      <c r="T3792" t="str">
        <f>"19:38:11.461"</f>
        <v>19:38:11.461</v>
      </c>
      <c r="U3792" t="str">
        <f t="shared" si="178"/>
        <v>a1cdbe</v>
      </c>
      <c r="V3792">
        <v>0</v>
      </c>
      <c r="W3792">
        <v>0</v>
      </c>
      <c r="X3792">
        <v>2</v>
      </c>
      <c r="Y3792">
        <v>0</v>
      </c>
      <c r="Z3792">
        <v>0</v>
      </c>
      <c r="AB3792">
        <v>0</v>
      </c>
      <c r="AC3792">
        <v>9</v>
      </c>
      <c r="AD3792">
        <v>3</v>
      </c>
      <c r="AE3792">
        <v>0</v>
      </c>
      <c r="AF3792">
        <v>9</v>
      </c>
      <c r="AG3792" t="s">
        <v>158</v>
      </c>
      <c r="AH3792">
        <v>0</v>
      </c>
      <c r="AI3792">
        <v>3</v>
      </c>
      <c r="AJ3792">
        <v>1</v>
      </c>
      <c r="AK3792">
        <v>0</v>
      </c>
      <c r="AL3792" t="s">
        <v>574</v>
      </c>
      <c r="AM3792">
        <v>47.045088</v>
      </c>
      <c r="AN3792" t="s">
        <v>7149</v>
      </c>
      <c r="AO3792">
        <v>-123.939021</v>
      </c>
      <c r="AP3792">
        <v>100</v>
      </c>
      <c r="AQ3792">
        <v>2100</v>
      </c>
      <c r="AR3792" t="s">
        <v>118</v>
      </c>
      <c r="AS3792">
        <v>-78</v>
      </c>
      <c r="AT3792">
        <v>19</v>
      </c>
      <c r="AU3792">
        <v>-64</v>
      </c>
      <c r="BC3792">
        <v>1200</v>
      </c>
      <c r="BD3792">
        <v>1</v>
      </c>
      <c r="BE3792" t="str">
        <f t="shared" si="179"/>
        <v xml:space="preserve">N215T   </v>
      </c>
      <c r="BF3792">
        <v>1</v>
      </c>
      <c r="BH3792">
        <v>0</v>
      </c>
      <c r="BI3792">
        <v>0</v>
      </c>
      <c r="BJ3792">
        <v>0</v>
      </c>
      <c r="BK3792">
        <v>2500</v>
      </c>
      <c r="BL3792">
        <v>400</v>
      </c>
      <c r="BM3792" t="s">
        <v>119</v>
      </c>
      <c r="BN3792">
        <v>1</v>
      </c>
      <c r="BO3792">
        <v>1</v>
      </c>
      <c r="BP3792">
        <v>1</v>
      </c>
      <c r="BQ3792">
        <v>0</v>
      </c>
      <c r="BT3792">
        <v>0</v>
      </c>
      <c r="BU3792">
        <v>0</v>
      </c>
      <c r="BV3792">
        <v>0</v>
      </c>
      <c r="CC3792" t="str">
        <f>"19:38:11.867"</f>
        <v>19:38:11.867</v>
      </c>
      <c r="CD3792" t="str">
        <f>"863464050"</f>
        <v>863464050</v>
      </c>
      <c r="CQ3792">
        <v>0</v>
      </c>
      <c r="CR3792">
        <v>2</v>
      </c>
      <c r="CS3792">
        <v>0</v>
      </c>
      <c r="CT3792">
        <v>2</v>
      </c>
      <c r="CU3792">
        <v>0</v>
      </c>
      <c r="CV3792">
        <v>5</v>
      </c>
      <c r="CW3792" t="s">
        <v>120</v>
      </c>
      <c r="CX3792">
        <v>257</v>
      </c>
      <c r="CY3792">
        <v>0</v>
      </c>
      <c r="CZ3792" t="s">
        <v>615</v>
      </c>
      <c r="DA3792" t="s">
        <v>616</v>
      </c>
      <c r="DD3792">
        <v>16569685</v>
      </c>
      <c r="DE3792" t="s">
        <v>123</v>
      </c>
    </row>
    <row r="3793" spans="1:109" x14ac:dyDescent="0.3">
      <c r="A3793" t="str">
        <f>"19:38:13.086"</f>
        <v>19:38:13.086</v>
      </c>
      <c r="B3793" t="s">
        <v>110</v>
      </c>
      <c r="C3793" t="str">
        <f t="shared" si="177"/>
        <v>ffdfd3c0</v>
      </c>
      <c r="D3793" t="s">
        <v>111</v>
      </c>
      <c r="E3793">
        <v>18</v>
      </c>
      <c r="F3793">
        <v>1018</v>
      </c>
      <c r="G3793" t="s">
        <v>112</v>
      </c>
      <c r="J3793" t="s">
        <v>113</v>
      </c>
      <c r="K3793">
        <v>0</v>
      </c>
      <c r="L3793">
        <v>3</v>
      </c>
      <c r="M3793">
        <v>0</v>
      </c>
      <c r="N3793">
        <v>2</v>
      </c>
      <c r="O3793">
        <v>1</v>
      </c>
      <c r="P3793">
        <v>0</v>
      </c>
      <c r="Q3793">
        <v>0</v>
      </c>
      <c r="R3793" t="s">
        <v>114</v>
      </c>
      <c r="S3793" t="str">
        <f>"19:38:12.852"</f>
        <v>19:38:12.852</v>
      </c>
      <c r="T3793" t="str">
        <f>"19:38:12.852"</f>
        <v>19:38:12.852</v>
      </c>
      <c r="U3793" t="str">
        <f t="shared" si="178"/>
        <v>a1cdbe</v>
      </c>
      <c r="V3793">
        <v>0</v>
      </c>
      <c r="W3793">
        <v>0</v>
      </c>
      <c r="X3793">
        <v>2</v>
      </c>
      <c r="Y3793">
        <v>0</v>
      </c>
      <c r="Z3793">
        <v>0</v>
      </c>
      <c r="AB3793">
        <v>0</v>
      </c>
      <c r="AC3793">
        <v>9</v>
      </c>
      <c r="AD3793">
        <v>3</v>
      </c>
      <c r="AE3793">
        <v>0</v>
      </c>
      <c r="AF3793">
        <v>9</v>
      </c>
      <c r="AG3793" t="s">
        <v>158</v>
      </c>
      <c r="AH3793">
        <v>0</v>
      </c>
      <c r="AI3793">
        <v>3</v>
      </c>
      <c r="AJ3793">
        <v>1</v>
      </c>
      <c r="AK3793">
        <v>0</v>
      </c>
      <c r="AL3793" t="s">
        <v>7150</v>
      </c>
      <c r="AM3793">
        <v>47.045152000000002</v>
      </c>
      <c r="AN3793" t="s">
        <v>7151</v>
      </c>
      <c r="AO3793">
        <v>-123.939514</v>
      </c>
      <c r="AP3793">
        <v>100</v>
      </c>
      <c r="AQ3793">
        <v>2100</v>
      </c>
      <c r="AR3793" t="s">
        <v>118</v>
      </c>
      <c r="AS3793">
        <v>-78</v>
      </c>
      <c r="AT3793">
        <v>19</v>
      </c>
      <c r="AU3793">
        <v>-64</v>
      </c>
      <c r="BC3793">
        <v>1200</v>
      </c>
      <c r="BD3793">
        <v>1</v>
      </c>
      <c r="BE3793" t="str">
        <f t="shared" si="179"/>
        <v xml:space="preserve">N215T   </v>
      </c>
      <c r="BF3793">
        <v>1</v>
      </c>
      <c r="BH3793">
        <v>0</v>
      </c>
      <c r="BI3793">
        <v>0</v>
      </c>
      <c r="BJ3793">
        <v>0</v>
      </c>
      <c r="BK3793">
        <v>2500</v>
      </c>
      <c r="BL3793">
        <v>400</v>
      </c>
      <c r="BM3793" t="s">
        <v>119</v>
      </c>
      <c r="BN3793">
        <v>1</v>
      </c>
      <c r="BO3793">
        <v>1</v>
      </c>
      <c r="BP3793">
        <v>1</v>
      </c>
      <c r="BQ3793">
        <v>0</v>
      </c>
      <c r="BT3793">
        <v>0</v>
      </c>
      <c r="BU3793">
        <v>0</v>
      </c>
      <c r="BV3793">
        <v>0</v>
      </c>
      <c r="CC3793" t="str">
        <f>"19:38:12.852"</f>
        <v>19:38:12.852</v>
      </c>
      <c r="CD3793" t="str">
        <f>"853366537"</f>
        <v>853366537</v>
      </c>
      <c r="CQ3793">
        <v>0</v>
      </c>
      <c r="CR3793">
        <v>2</v>
      </c>
      <c r="CS3793">
        <v>0</v>
      </c>
      <c r="CT3793">
        <v>2</v>
      </c>
      <c r="CU3793">
        <v>0</v>
      </c>
      <c r="CV3793">
        <v>2</v>
      </c>
      <c r="CW3793" t="s">
        <v>120</v>
      </c>
      <c r="CX3793">
        <v>257</v>
      </c>
      <c r="CY3793">
        <v>0</v>
      </c>
      <c r="CZ3793" t="s">
        <v>615</v>
      </c>
      <c r="DA3793" t="s">
        <v>616</v>
      </c>
      <c r="DD3793">
        <v>16570001</v>
      </c>
      <c r="DE3793" t="s">
        <v>123</v>
      </c>
    </row>
    <row r="3794" spans="1:109" x14ac:dyDescent="0.3">
      <c r="A3794" t="str">
        <f>"19:38:14.141"</f>
        <v>19:38:14.141</v>
      </c>
      <c r="B3794" t="s">
        <v>110</v>
      </c>
      <c r="C3794" t="str">
        <f t="shared" si="177"/>
        <v>ffdfd3c0</v>
      </c>
      <c r="D3794" t="s">
        <v>111</v>
      </c>
      <c r="E3794">
        <v>18</v>
      </c>
      <c r="F3794">
        <v>1018</v>
      </c>
      <c r="G3794" t="s">
        <v>112</v>
      </c>
      <c r="J3794" t="s">
        <v>113</v>
      </c>
      <c r="K3794">
        <v>0</v>
      </c>
      <c r="L3794">
        <v>3</v>
      </c>
      <c r="M3794">
        <v>0</v>
      </c>
      <c r="N3794">
        <v>2</v>
      </c>
      <c r="O3794">
        <v>1</v>
      </c>
      <c r="P3794">
        <v>0</v>
      </c>
      <c r="Q3794">
        <v>0</v>
      </c>
      <c r="R3794" t="s">
        <v>114</v>
      </c>
      <c r="S3794" t="str">
        <f>"19:38:13.930"</f>
        <v>19:38:13.930</v>
      </c>
      <c r="T3794" t="str">
        <f>"19:38:13.930"</f>
        <v>19:38:13.930</v>
      </c>
      <c r="U3794" t="str">
        <f t="shared" si="178"/>
        <v>a1cdbe</v>
      </c>
      <c r="V3794">
        <v>0</v>
      </c>
      <c r="W3794">
        <v>0</v>
      </c>
      <c r="X3794">
        <v>2</v>
      </c>
      <c r="Y3794">
        <v>0</v>
      </c>
      <c r="Z3794">
        <v>0</v>
      </c>
      <c r="AB3794">
        <v>0</v>
      </c>
      <c r="AC3794">
        <v>9</v>
      </c>
      <c r="AD3794">
        <v>3</v>
      </c>
      <c r="AE3794">
        <v>0</v>
      </c>
      <c r="AF3794">
        <v>9</v>
      </c>
      <c r="AG3794" t="s">
        <v>158</v>
      </c>
      <c r="AH3794">
        <v>0</v>
      </c>
      <c r="AI3794">
        <v>3</v>
      </c>
      <c r="AJ3794">
        <v>1</v>
      </c>
      <c r="AK3794">
        <v>0</v>
      </c>
      <c r="AL3794" t="s">
        <v>7152</v>
      </c>
      <c r="AM3794">
        <v>47.045281000000003</v>
      </c>
      <c r="AN3794" t="s">
        <v>7153</v>
      </c>
      <c r="AO3794">
        <v>-123.940072</v>
      </c>
      <c r="AP3794">
        <v>100</v>
      </c>
      <c r="AQ3794">
        <v>2100</v>
      </c>
      <c r="AR3794" t="s">
        <v>118</v>
      </c>
      <c r="AS3794">
        <v>-78</v>
      </c>
      <c r="AT3794">
        <v>19</v>
      </c>
      <c r="AU3794">
        <v>-64</v>
      </c>
      <c r="BC3794">
        <v>1200</v>
      </c>
      <c r="BD3794">
        <v>1</v>
      </c>
      <c r="BE3794" t="str">
        <f t="shared" si="179"/>
        <v xml:space="preserve">N215T   </v>
      </c>
      <c r="BF3794">
        <v>1</v>
      </c>
      <c r="BH3794">
        <v>0</v>
      </c>
      <c r="BI3794">
        <v>0</v>
      </c>
      <c r="BJ3794">
        <v>0</v>
      </c>
      <c r="BK3794">
        <v>2500</v>
      </c>
      <c r="BL3794">
        <v>400</v>
      </c>
      <c r="BM3794" t="s">
        <v>119</v>
      </c>
      <c r="BN3794">
        <v>1</v>
      </c>
      <c r="BO3794">
        <v>1</v>
      </c>
      <c r="BP3794">
        <v>1</v>
      </c>
      <c r="BQ3794">
        <v>0</v>
      </c>
      <c r="BT3794">
        <v>0</v>
      </c>
      <c r="BU3794">
        <v>0</v>
      </c>
      <c r="BV3794">
        <v>0</v>
      </c>
      <c r="CC3794" t="str">
        <f>"19:38:13.930"</f>
        <v>19:38:13.930</v>
      </c>
      <c r="CD3794" t="str">
        <f>"933260163"</f>
        <v>933260163</v>
      </c>
      <c r="CQ3794">
        <v>0</v>
      </c>
      <c r="CR3794">
        <v>2</v>
      </c>
      <c r="CS3794">
        <v>0</v>
      </c>
      <c r="CT3794">
        <v>2</v>
      </c>
      <c r="CU3794">
        <v>0</v>
      </c>
      <c r="CV3794">
        <v>5</v>
      </c>
      <c r="CW3794" t="s">
        <v>120</v>
      </c>
      <c r="CX3794">
        <v>257</v>
      </c>
      <c r="CY3794">
        <v>0</v>
      </c>
      <c r="CZ3794" t="s">
        <v>615</v>
      </c>
      <c r="DA3794" t="s">
        <v>616</v>
      </c>
      <c r="DD3794">
        <v>16570380</v>
      </c>
      <c r="DE3794" t="s">
        <v>123</v>
      </c>
    </row>
    <row r="3795" spans="1:109" x14ac:dyDescent="0.3">
      <c r="A3795" t="str">
        <f>"19:38:15.047"</f>
        <v>19:38:15.047</v>
      </c>
      <c r="B3795" t="s">
        <v>110</v>
      </c>
      <c r="C3795" t="str">
        <f t="shared" si="177"/>
        <v>ffdfd3c0</v>
      </c>
      <c r="D3795" t="s">
        <v>111</v>
      </c>
      <c r="E3795">
        <v>18</v>
      </c>
      <c r="F3795">
        <v>1018</v>
      </c>
      <c r="G3795" t="s">
        <v>112</v>
      </c>
      <c r="J3795" t="s">
        <v>113</v>
      </c>
      <c r="K3795">
        <v>0</v>
      </c>
      <c r="L3795">
        <v>3</v>
      </c>
      <c r="M3795">
        <v>0</v>
      </c>
      <c r="N3795">
        <v>2</v>
      </c>
      <c r="O3795">
        <v>1</v>
      </c>
      <c r="P3795">
        <v>0</v>
      </c>
      <c r="Q3795">
        <v>0</v>
      </c>
      <c r="R3795" t="s">
        <v>114</v>
      </c>
      <c r="S3795" t="str">
        <f>"19:38:14.844"</f>
        <v>19:38:14.844</v>
      </c>
      <c r="T3795" t="str">
        <f>"19:38:14.844"</f>
        <v>19:38:14.844</v>
      </c>
      <c r="U3795" t="str">
        <f t="shared" si="178"/>
        <v>a1cdbe</v>
      </c>
      <c r="V3795">
        <v>0</v>
      </c>
      <c r="W3795">
        <v>0</v>
      </c>
      <c r="X3795">
        <v>2</v>
      </c>
      <c r="Y3795">
        <v>0</v>
      </c>
      <c r="Z3795">
        <v>0</v>
      </c>
      <c r="AB3795">
        <v>0</v>
      </c>
      <c r="AC3795">
        <v>9</v>
      </c>
      <c r="AD3795">
        <v>3</v>
      </c>
      <c r="AE3795">
        <v>0</v>
      </c>
      <c r="AF3795">
        <v>9</v>
      </c>
      <c r="AG3795" t="s">
        <v>158</v>
      </c>
      <c r="AH3795">
        <v>0</v>
      </c>
      <c r="AI3795">
        <v>3</v>
      </c>
      <c r="AJ3795">
        <v>1</v>
      </c>
      <c r="AK3795">
        <v>0</v>
      </c>
      <c r="AL3795" t="s">
        <v>7154</v>
      </c>
      <c r="AM3795">
        <v>47.045324000000001</v>
      </c>
      <c r="AN3795" t="s">
        <v>7155</v>
      </c>
      <c r="AO3795">
        <v>-123.94060899999999</v>
      </c>
      <c r="AP3795">
        <v>100</v>
      </c>
      <c r="AQ3795">
        <v>2100</v>
      </c>
      <c r="AR3795" t="s">
        <v>118</v>
      </c>
      <c r="AS3795">
        <v>-78</v>
      </c>
      <c r="AT3795">
        <v>19</v>
      </c>
      <c r="AU3795">
        <v>-64</v>
      </c>
      <c r="BC3795">
        <v>1200</v>
      </c>
      <c r="BD3795">
        <v>1</v>
      </c>
      <c r="BE3795" t="str">
        <f t="shared" si="179"/>
        <v xml:space="preserve">N215T   </v>
      </c>
      <c r="BF3795">
        <v>1</v>
      </c>
      <c r="BH3795">
        <v>0</v>
      </c>
      <c r="BI3795">
        <v>0</v>
      </c>
      <c r="BJ3795">
        <v>0</v>
      </c>
      <c r="BK3795">
        <v>2500</v>
      </c>
      <c r="BL3795">
        <v>400</v>
      </c>
      <c r="BM3795" t="s">
        <v>119</v>
      </c>
      <c r="BN3795">
        <v>1</v>
      </c>
      <c r="BO3795">
        <v>1</v>
      </c>
      <c r="BP3795">
        <v>1</v>
      </c>
      <c r="BQ3795">
        <v>0</v>
      </c>
      <c r="BT3795">
        <v>0</v>
      </c>
      <c r="BU3795">
        <v>0</v>
      </c>
      <c r="BV3795">
        <v>0</v>
      </c>
      <c r="CC3795" t="str">
        <f>"19:38:14.852"</f>
        <v>19:38:14.852</v>
      </c>
      <c r="CD3795" t="str">
        <f>"848170053"</f>
        <v>848170053</v>
      </c>
      <c r="CQ3795">
        <v>0</v>
      </c>
      <c r="CR3795">
        <v>2</v>
      </c>
      <c r="CS3795">
        <v>0</v>
      </c>
      <c r="CT3795">
        <v>2</v>
      </c>
      <c r="CU3795">
        <v>0</v>
      </c>
      <c r="CV3795">
        <v>5</v>
      </c>
      <c r="CW3795" t="s">
        <v>120</v>
      </c>
      <c r="CX3795">
        <v>257</v>
      </c>
      <c r="CY3795">
        <v>0</v>
      </c>
      <c r="CZ3795" t="s">
        <v>615</v>
      </c>
      <c r="DA3795" t="s">
        <v>616</v>
      </c>
      <c r="DD3795">
        <v>16570681</v>
      </c>
      <c r="DE3795" t="s">
        <v>123</v>
      </c>
    </row>
    <row r="3796" spans="1:109" x14ac:dyDescent="0.3">
      <c r="A3796" t="str">
        <f>"19:38:16.203"</f>
        <v>19:38:16.203</v>
      </c>
      <c r="B3796" t="s">
        <v>110</v>
      </c>
      <c r="C3796" t="str">
        <f t="shared" si="177"/>
        <v>ffdfd3c0</v>
      </c>
      <c r="D3796" t="s">
        <v>111</v>
      </c>
      <c r="E3796">
        <v>18</v>
      </c>
      <c r="F3796">
        <v>1018</v>
      </c>
      <c r="G3796" t="s">
        <v>112</v>
      </c>
      <c r="J3796" t="s">
        <v>113</v>
      </c>
      <c r="K3796">
        <v>0</v>
      </c>
      <c r="L3796">
        <v>3</v>
      </c>
      <c r="M3796">
        <v>0</v>
      </c>
      <c r="N3796">
        <v>2</v>
      </c>
      <c r="O3796">
        <v>1</v>
      </c>
      <c r="P3796">
        <v>0</v>
      </c>
      <c r="Q3796">
        <v>0</v>
      </c>
      <c r="R3796" t="s">
        <v>114</v>
      </c>
      <c r="S3796" t="str">
        <f>"19:38:15.938"</f>
        <v>19:38:15.938</v>
      </c>
      <c r="T3796" t="str">
        <f>"19:38:15.438"</f>
        <v>19:38:15.438</v>
      </c>
      <c r="U3796" t="str">
        <f t="shared" si="178"/>
        <v>a1cdbe</v>
      </c>
      <c r="V3796">
        <v>0</v>
      </c>
      <c r="W3796">
        <v>0</v>
      </c>
      <c r="X3796">
        <v>2</v>
      </c>
      <c r="Y3796">
        <v>0</v>
      </c>
      <c r="Z3796">
        <v>0</v>
      </c>
      <c r="AB3796">
        <v>0</v>
      </c>
      <c r="AC3796">
        <v>9</v>
      </c>
      <c r="AD3796">
        <v>3</v>
      </c>
      <c r="AE3796">
        <v>0</v>
      </c>
      <c r="AF3796">
        <v>9</v>
      </c>
      <c r="AG3796" t="s">
        <v>158</v>
      </c>
      <c r="AH3796">
        <v>0</v>
      </c>
      <c r="AI3796">
        <v>3</v>
      </c>
      <c r="AJ3796">
        <v>1</v>
      </c>
      <c r="AK3796">
        <v>0</v>
      </c>
      <c r="AL3796" t="s">
        <v>7156</v>
      </c>
      <c r="AM3796">
        <v>47.045431000000001</v>
      </c>
      <c r="AN3796" t="s">
        <v>7157</v>
      </c>
      <c r="AO3796">
        <v>-123.941166</v>
      </c>
      <c r="AP3796">
        <v>100</v>
      </c>
      <c r="AQ3796">
        <v>2100</v>
      </c>
      <c r="AR3796" t="s">
        <v>118</v>
      </c>
      <c r="AS3796">
        <v>-78</v>
      </c>
      <c r="AT3796">
        <v>19</v>
      </c>
      <c r="AU3796">
        <v>0</v>
      </c>
      <c r="BC3796">
        <v>1200</v>
      </c>
      <c r="BD3796">
        <v>1</v>
      </c>
      <c r="BE3796" t="str">
        <f t="shared" si="179"/>
        <v xml:space="preserve">N215T   </v>
      </c>
      <c r="BF3796">
        <v>1</v>
      </c>
      <c r="BH3796">
        <v>0</v>
      </c>
      <c r="BI3796">
        <v>0</v>
      </c>
      <c r="BJ3796">
        <v>0</v>
      </c>
      <c r="BK3796">
        <v>2500</v>
      </c>
      <c r="BL3796">
        <v>400</v>
      </c>
      <c r="BM3796" t="s">
        <v>119</v>
      </c>
      <c r="BN3796">
        <v>1</v>
      </c>
      <c r="BO3796">
        <v>1</v>
      </c>
      <c r="BP3796">
        <v>1</v>
      </c>
      <c r="BQ3796">
        <v>0</v>
      </c>
      <c r="BT3796">
        <v>0</v>
      </c>
      <c r="BU3796">
        <v>0</v>
      </c>
      <c r="BV3796">
        <v>0</v>
      </c>
      <c r="CC3796" t="str">
        <f>"19:38:15.945"</f>
        <v>19:38:15.945</v>
      </c>
      <c r="CD3796" t="str">
        <f>"943062208"</f>
        <v>943062208</v>
      </c>
      <c r="CQ3796">
        <v>0</v>
      </c>
      <c r="CR3796">
        <v>2</v>
      </c>
      <c r="CS3796">
        <v>0</v>
      </c>
      <c r="CT3796">
        <v>2</v>
      </c>
      <c r="CU3796">
        <v>0</v>
      </c>
      <c r="CV3796">
        <v>5</v>
      </c>
      <c r="CW3796" t="s">
        <v>120</v>
      </c>
      <c r="CX3796">
        <v>257</v>
      </c>
      <c r="CY3796">
        <v>0</v>
      </c>
      <c r="CZ3796" t="s">
        <v>615</v>
      </c>
      <c r="DA3796" t="s">
        <v>616</v>
      </c>
      <c r="DD3796">
        <v>16571035</v>
      </c>
      <c r="DE3796" t="s">
        <v>123</v>
      </c>
    </row>
    <row r="3797" spans="1:109" x14ac:dyDescent="0.3">
      <c r="A3797" t="str">
        <f>"19:38:17.164"</f>
        <v>19:38:17.164</v>
      </c>
      <c r="B3797" t="s">
        <v>110</v>
      </c>
      <c r="C3797" t="str">
        <f t="shared" si="177"/>
        <v>ffdfd3c0</v>
      </c>
      <c r="D3797" t="s">
        <v>111</v>
      </c>
      <c r="E3797">
        <v>18</v>
      </c>
      <c r="F3797">
        <v>1018</v>
      </c>
      <c r="G3797" t="s">
        <v>112</v>
      </c>
      <c r="J3797" t="s">
        <v>113</v>
      </c>
      <c r="K3797">
        <v>0</v>
      </c>
      <c r="L3797">
        <v>3</v>
      </c>
      <c r="M3797">
        <v>0</v>
      </c>
      <c r="N3797">
        <v>2</v>
      </c>
      <c r="O3797">
        <v>1</v>
      </c>
      <c r="P3797">
        <v>0</v>
      </c>
      <c r="Q3797">
        <v>0</v>
      </c>
      <c r="R3797" t="s">
        <v>114</v>
      </c>
      <c r="S3797" t="str">
        <f>"19:38:16.945"</f>
        <v>19:38:16.945</v>
      </c>
      <c r="T3797" t="str">
        <f>"19:38:16.445"</f>
        <v>19:38:16.445</v>
      </c>
      <c r="U3797" t="str">
        <f t="shared" si="178"/>
        <v>a1cdbe</v>
      </c>
      <c r="V3797">
        <v>0</v>
      </c>
      <c r="W3797">
        <v>0</v>
      </c>
      <c r="X3797">
        <v>2</v>
      </c>
      <c r="Y3797">
        <v>0</v>
      </c>
      <c r="Z3797">
        <v>0</v>
      </c>
      <c r="AB3797">
        <v>0</v>
      </c>
      <c r="AC3797">
        <v>9</v>
      </c>
      <c r="AD3797">
        <v>3</v>
      </c>
      <c r="AE3797">
        <v>0</v>
      </c>
      <c r="AF3797">
        <v>9</v>
      </c>
      <c r="AG3797" t="s">
        <v>158</v>
      </c>
      <c r="AH3797">
        <v>0</v>
      </c>
      <c r="AI3797">
        <v>3</v>
      </c>
      <c r="AJ3797">
        <v>1</v>
      </c>
      <c r="AK3797">
        <v>0</v>
      </c>
      <c r="AL3797" t="s">
        <v>7158</v>
      </c>
      <c r="AM3797">
        <v>47.045496</v>
      </c>
      <c r="AN3797" t="s">
        <v>7159</v>
      </c>
      <c r="AO3797">
        <v>-123.941703</v>
      </c>
      <c r="AP3797">
        <v>100</v>
      </c>
      <c r="AQ3797">
        <v>2100</v>
      </c>
      <c r="AR3797" t="s">
        <v>118</v>
      </c>
      <c r="AS3797">
        <v>-78</v>
      </c>
      <c r="AT3797">
        <v>20</v>
      </c>
      <c r="AU3797">
        <v>0</v>
      </c>
      <c r="BC3797">
        <v>1200</v>
      </c>
      <c r="BD3797">
        <v>1</v>
      </c>
      <c r="BE3797" t="str">
        <f t="shared" si="179"/>
        <v xml:space="preserve">N215T   </v>
      </c>
      <c r="BF3797">
        <v>1</v>
      </c>
      <c r="BH3797">
        <v>0</v>
      </c>
      <c r="BI3797">
        <v>0</v>
      </c>
      <c r="BJ3797">
        <v>0</v>
      </c>
      <c r="BK3797">
        <v>2475</v>
      </c>
      <c r="BL3797">
        <v>375</v>
      </c>
      <c r="BM3797" t="s">
        <v>119</v>
      </c>
      <c r="BN3797">
        <v>1</v>
      </c>
      <c r="BO3797">
        <v>1</v>
      </c>
      <c r="BP3797">
        <v>1</v>
      </c>
      <c r="BQ3797">
        <v>0</v>
      </c>
      <c r="BT3797">
        <v>0</v>
      </c>
      <c r="BU3797">
        <v>0</v>
      </c>
      <c r="BV3797">
        <v>0</v>
      </c>
      <c r="CC3797" t="str">
        <f>"19:38:16.945"</f>
        <v>19:38:16.945</v>
      </c>
      <c r="CD3797" t="str">
        <f>"947963212"</f>
        <v>947963212</v>
      </c>
      <c r="CQ3797">
        <v>0</v>
      </c>
      <c r="CR3797">
        <v>2</v>
      </c>
      <c r="CS3797">
        <v>0</v>
      </c>
      <c r="CT3797">
        <v>2</v>
      </c>
      <c r="CU3797">
        <v>0</v>
      </c>
      <c r="CV3797">
        <v>4</v>
      </c>
      <c r="CW3797" t="s">
        <v>120</v>
      </c>
      <c r="CX3797">
        <v>257</v>
      </c>
      <c r="CY3797">
        <v>0</v>
      </c>
      <c r="CZ3797" t="s">
        <v>615</v>
      </c>
      <c r="DA3797" t="s">
        <v>616</v>
      </c>
      <c r="DD3797">
        <v>16571348</v>
      </c>
      <c r="DE3797" t="s">
        <v>123</v>
      </c>
    </row>
    <row r="3798" spans="1:109" x14ac:dyDescent="0.3">
      <c r="A3798" t="str">
        <f>"19:38:18.063"</f>
        <v>19:38:18.063</v>
      </c>
      <c r="B3798" t="s">
        <v>110</v>
      </c>
      <c r="C3798" t="str">
        <f t="shared" si="177"/>
        <v>ffdfd3c0</v>
      </c>
      <c r="D3798" t="s">
        <v>111</v>
      </c>
      <c r="E3798">
        <v>18</v>
      </c>
      <c r="F3798">
        <v>1018</v>
      </c>
      <c r="G3798" t="s">
        <v>112</v>
      </c>
      <c r="J3798" t="s">
        <v>113</v>
      </c>
      <c r="K3798">
        <v>0</v>
      </c>
      <c r="L3798">
        <v>3</v>
      </c>
      <c r="M3798">
        <v>0</v>
      </c>
      <c r="N3798">
        <v>2</v>
      </c>
      <c r="O3798">
        <v>1</v>
      </c>
      <c r="P3798">
        <v>0</v>
      </c>
      <c r="Q3798">
        <v>0</v>
      </c>
      <c r="R3798" t="s">
        <v>114</v>
      </c>
      <c r="S3798" t="str">
        <f>"19:38:17.813"</f>
        <v>19:38:17.813</v>
      </c>
      <c r="T3798" t="str">
        <f>"19:38:17.516"</f>
        <v>19:38:17.516</v>
      </c>
      <c r="U3798" t="str">
        <f t="shared" si="178"/>
        <v>a1cdbe</v>
      </c>
      <c r="V3798">
        <v>0</v>
      </c>
      <c r="W3798">
        <v>0</v>
      </c>
      <c r="X3798">
        <v>2</v>
      </c>
      <c r="Y3798">
        <v>0</v>
      </c>
      <c r="Z3798">
        <v>0</v>
      </c>
      <c r="AB3798">
        <v>0</v>
      </c>
      <c r="AC3798">
        <v>9</v>
      </c>
      <c r="AD3798">
        <v>3</v>
      </c>
      <c r="AE3798">
        <v>0</v>
      </c>
      <c r="AF3798">
        <v>9</v>
      </c>
      <c r="AG3798" t="s">
        <v>158</v>
      </c>
      <c r="AH3798">
        <v>0</v>
      </c>
      <c r="AI3798">
        <v>3</v>
      </c>
      <c r="AJ3798">
        <v>1</v>
      </c>
      <c r="AK3798">
        <v>0</v>
      </c>
      <c r="AL3798" t="s">
        <v>7160</v>
      </c>
      <c r="AM3798">
        <v>47.045603</v>
      </c>
      <c r="AN3798" t="s">
        <v>7161</v>
      </c>
      <c r="AO3798">
        <v>-123.942196</v>
      </c>
      <c r="AP3798">
        <v>100</v>
      </c>
      <c r="AQ3798">
        <v>2100</v>
      </c>
      <c r="AR3798" t="s">
        <v>118</v>
      </c>
      <c r="AS3798">
        <v>-78</v>
      </c>
      <c r="AT3798">
        <v>20</v>
      </c>
      <c r="AU3798">
        <v>0</v>
      </c>
      <c r="BC3798">
        <v>1200</v>
      </c>
      <c r="BD3798">
        <v>1</v>
      </c>
      <c r="BE3798" t="str">
        <f t="shared" si="179"/>
        <v xml:space="preserve">N215T   </v>
      </c>
      <c r="BF3798">
        <v>1</v>
      </c>
      <c r="BH3798">
        <v>0</v>
      </c>
      <c r="BI3798">
        <v>0</v>
      </c>
      <c r="BJ3798">
        <v>0</v>
      </c>
      <c r="BK3798">
        <v>2500</v>
      </c>
      <c r="BL3798">
        <v>400</v>
      </c>
      <c r="BM3798" t="s">
        <v>119</v>
      </c>
      <c r="BN3798">
        <v>1</v>
      </c>
      <c r="BO3798">
        <v>1</v>
      </c>
      <c r="BP3798">
        <v>1</v>
      </c>
      <c r="BQ3798">
        <v>0</v>
      </c>
      <c r="BT3798">
        <v>0</v>
      </c>
      <c r="BU3798">
        <v>0</v>
      </c>
      <c r="BV3798">
        <v>0</v>
      </c>
      <c r="CC3798" t="str">
        <f>"19:38:17.820"</f>
        <v>19:38:17.820</v>
      </c>
      <c r="CD3798" t="str">
        <f>"817877510"</f>
        <v>817877510</v>
      </c>
      <c r="CQ3798">
        <v>0</v>
      </c>
      <c r="CR3798">
        <v>2</v>
      </c>
      <c r="CS3798">
        <v>0</v>
      </c>
      <c r="CT3798">
        <v>2</v>
      </c>
      <c r="CU3798">
        <v>0</v>
      </c>
      <c r="CV3798">
        <v>4</v>
      </c>
      <c r="CW3798" t="s">
        <v>120</v>
      </c>
      <c r="CX3798">
        <v>257</v>
      </c>
      <c r="CY3798">
        <v>0</v>
      </c>
      <c r="CZ3798" t="s">
        <v>615</v>
      </c>
      <c r="DA3798" t="s">
        <v>616</v>
      </c>
      <c r="DD3798">
        <v>16571646</v>
      </c>
      <c r="DE3798" t="s">
        <v>123</v>
      </c>
    </row>
    <row r="3799" spans="1:109" x14ac:dyDescent="0.3">
      <c r="A3799" t="str">
        <f>"19:38:19.070"</f>
        <v>19:38:19.070</v>
      </c>
      <c r="B3799" t="s">
        <v>110</v>
      </c>
      <c r="C3799" t="str">
        <f t="shared" si="177"/>
        <v>ffdfd3c0</v>
      </c>
      <c r="D3799" t="s">
        <v>111</v>
      </c>
      <c r="E3799">
        <v>18</v>
      </c>
      <c r="F3799">
        <v>1018</v>
      </c>
      <c r="G3799" t="s">
        <v>112</v>
      </c>
      <c r="J3799" t="s">
        <v>113</v>
      </c>
      <c r="K3799">
        <v>0</v>
      </c>
      <c r="L3799">
        <v>3</v>
      </c>
      <c r="M3799">
        <v>0</v>
      </c>
      <c r="N3799">
        <v>2</v>
      </c>
      <c r="O3799">
        <v>1</v>
      </c>
      <c r="P3799">
        <v>0</v>
      </c>
      <c r="Q3799">
        <v>0</v>
      </c>
      <c r="R3799" t="s">
        <v>114</v>
      </c>
      <c r="S3799" t="str">
        <f>"19:38:18.852"</f>
        <v>19:38:18.852</v>
      </c>
      <c r="T3799" t="str">
        <f>"19:38:18.852"</f>
        <v>19:38:18.852</v>
      </c>
      <c r="U3799" t="str">
        <f t="shared" si="178"/>
        <v>a1cdbe</v>
      </c>
      <c r="V3799">
        <v>0</v>
      </c>
      <c r="W3799">
        <v>0</v>
      </c>
      <c r="X3799">
        <v>2</v>
      </c>
      <c r="Y3799">
        <v>0</v>
      </c>
      <c r="Z3799">
        <v>0</v>
      </c>
      <c r="AB3799">
        <v>0</v>
      </c>
      <c r="AC3799">
        <v>9</v>
      </c>
      <c r="AD3799">
        <v>3</v>
      </c>
      <c r="AE3799">
        <v>0</v>
      </c>
      <c r="AF3799">
        <v>9</v>
      </c>
      <c r="AG3799" t="s">
        <v>158</v>
      </c>
      <c r="AH3799">
        <v>0</v>
      </c>
      <c r="AI3799">
        <v>3</v>
      </c>
      <c r="AJ3799">
        <v>1</v>
      </c>
      <c r="AK3799">
        <v>0</v>
      </c>
      <c r="AL3799" t="s">
        <v>7162</v>
      </c>
      <c r="AM3799">
        <v>47.04571</v>
      </c>
      <c r="AN3799" t="s">
        <v>7163</v>
      </c>
      <c r="AO3799">
        <v>-123.942733</v>
      </c>
      <c r="AP3799">
        <v>100</v>
      </c>
      <c r="AQ3799">
        <v>2100</v>
      </c>
      <c r="AR3799" t="s">
        <v>118</v>
      </c>
      <c r="AS3799">
        <v>-78</v>
      </c>
      <c r="AT3799">
        <v>21</v>
      </c>
      <c r="AU3799">
        <v>64</v>
      </c>
      <c r="BC3799">
        <v>1200</v>
      </c>
      <c r="BD3799">
        <v>1</v>
      </c>
      <c r="BE3799" t="str">
        <f t="shared" si="179"/>
        <v xml:space="preserve">N215T   </v>
      </c>
      <c r="BF3799">
        <v>1</v>
      </c>
      <c r="BH3799">
        <v>0</v>
      </c>
      <c r="BI3799">
        <v>0</v>
      </c>
      <c r="BJ3799">
        <v>0</v>
      </c>
      <c r="BK3799">
        <v>2500</v>
      </c>
      <c r="BL3799">
        <v>400</v>
      </c>
      <c r="BM3799" t="s">
        <v>119</v>
      </c>
      <c r="BN3799">
        <v>1</v>
      </c>
      <c r="BO3799">
        <v>1</v>
      </c>
      <c r="BP3799">
        <v>1</v>
      </c>
      <c r="BQ3799">
        <v>0</v>
      </c>
      <c r="BT3799">
        <v>0</v>
      </c>
      <c r="BU3799">
        <v>0</v>
      </c>
      <c r="BV3799">
        <v>0</v>
      </c>
      <c r="CC3799" t="str">
        <f>"19:38:18.852"</f>
        <v>19:38:18.852</v>
      </c>
      <c r="CD3799" t="str">
        <f>"852775573"</f>
        <v>852775573</v>
      </c>
      <c r="CQ3799">
        <v>0</v>
      </c>
      <c r="CR3799">
        <v>2</v>
      </c>
      <c r="CS3799">
        <v>0</v>
      </c>
      <c r="CT3799">
        <v>2</v>
      </c>
      <c r="CU3799">
        <v>0</v>
      </c>
      <c r="CV3799">
        <v>4</v>
      </c>
      <c r="CW3799" t="s">
        <v>120</v>
      </c>
      <c r="CX3799">
        <v>257</v>
      </c>
      <c r="CY3799">
        <v>0</v>
      </c>
      <c r="CZ3799" t="s">
        <v>615</v>
      </c>
      <c r="DA3799" t="s">
        <v>616</v>
      </c>
      <c r="DD3799">
        <v>16571965</v>
      </c>
      <c r="DE3799" t="s">
        <v>123</v>
      </c>
    </row>
    <row r="3800" spans="1:109" x14ac:dyDescent="0.3">
      <c r="A3800" t="str">
        <f>"19:38:20.125"</f>
        <v>19:38:20.125</v>
      </c>
      <c r="B3800" t="s">
        <v>110</v>
      </c>
      <c r="C3800" t="str">
        <f t="shared" si="177"/>
        <v>ffdfd3c0</v>
      </c>
      <c r="D3800" t="s">
        <v>111</v>
      </c>
      <c r="E3800">
        <v>18</v>
      </c>
      <c r="F3800">
        <v>1018</v>
      </c>
      <c r="G3800" t="s">
        <v>112</v>
      </c>
      <c r="J3800" t="s">
        <v>113</v>
      </c>
      <c r="K3800">
        <v>0</v>
      </c>
      <c r="L3800">
        <v>3</v>
      </c>
      <c r="M3800">
        <v>0</v>
      </c>
      <c r="N3800">
        <v>2</v>
      </c>
      <c r="O3800">
        <v>1</v>
      </c>
      <c r="P3800">
        <v>0</v>
      </c>
      <c r="Q3800">
        <v>0</v>
      </c>
      <c r="R3800" t="s">
        <v>114</v>
      </c>
      <c r="S3800" t="str">
        <f>"19:38:19.883"</f>
        <v>19:38:19.883</v>
      </c>
      <c r="T3800" t="str">
        <f>"19:38:19.781"</f>
        <v>19:38:19.781</v>
      </c>
      <c r="U3800" t="str">
        <f t="shared" si="178"/>
        <v>a1cdbe</v>
      </c>
      <c r="V3800">
        <v>0</v>
      </c>
      <c r="W3800">
        <v>0</v>
      </c>
      <c r="X3800">
        <v>2</v>
      </c>
      <c r="Y3800">
        <v>0</v>
      </c>
      <c r="Z3800">
        <v>0</v>
      </c>
      <c r="AB3800">
        <v>0</v>
      </c>
      <c r="AC3800">
        <v>9</v>
      </c>
      <c r="AD3800">
        <v>3</v>
      </c>
      <c r="AE3800">
        <v>0</v>
      </c>
      <c r="AF3800">
        <v>9</v>
      </c>
      <c r="AG3800" t="s">
        <v>158</v>
      </c>
      <c r="AH3800">
        <v>0</v>
      </c>
      <c r="AI3800">
        <v>3</v>
      </c>
      <c r="AJ3800">
        <v>1</v>
      </c>
      <c r="AK3800">
        <v>0</v>
      </c>
      <c r="AL3800" t="s">
        <v>7164</v>
      </c>
      <c r="AM3800">
        <v>47.045839000000001</v>
      </c>
      <c r="AN3800" t="s">
        <v>7165</v>
      </c>
      <c r="AO3800">
        <v>-123.943248</v>
      </c>
      <c r="AP3800">
        <v>100</v>
      </c>
      <c r="AQ3800">
        <v>2100</v>
      </c>
      <c r="AR3800" t="s">
        <v>118</v>
      </c>
      <c r="AS3800">
        <v>-78</v>
      </c>
      <c r="AT3800">
        <v>21</v>
      </c>
      <c r="AU3800">
        <v>64</v>
      </c>
      <c r="BC3800">
        <v>1200</v>
      </c>
      <c r="BD3800">
        <v>1</v>
      </c>
      <c r="BE3800" t="str">
        <f t="shared" si="179"/>
        <v xml:space="preserve">N215T   </v>
      </c>
      <c r="BF3800">
        <v>1</v>
      </c>
      <c r="BH3800">
        <v>0</v>
      </c>
      <c r="BI3800">
        <v>0</v>
      </c>
      <c r="BJ3800">
        <v>0</v>
      </c>
      <c r="BK3800">
        <v>2500</v>
      </c>
      <c r="BL3800">
        <v>400</v>
      </c>
      <c r="BM3800" t="s">
        <v>119</v>
      </c>
      <c r="BN3800">
        <v>1</v>
      </c>
      <c r="BO3800">
        <v>1</v>
      </c>
      <c r="BP3800">
        <v>1</v>
      </c>
      <c r="BQ3800">
        <v>0</v>
      </c>
      <c r="BT3800">
        <v>0</v>
      </c>
      <c r="BU3800">
        <v>0</v>
      </c>
      <c r="BV3800">
        <v>0</v>
      </c>
      <c r="CC3800" t="str">
        <f>"19:38:19.891"</f>
        <v>19:38:19.891</v>
      </c>
      <c r="CD3800" t="str">
        <f>"887673658"</f>
        <v>887673658</v>
      </c>
      <c r="CQ3800">
        <v>0</v>
      </c>
      <c r="CR3800">
        <v>2</v>
      </c>
      <c r="CS3800">
        <v>0</v>
      </c>
      <c r="CT3800">
        <v>2</v>
      </c>
      <c r="CU3800">
        <v>0</v>
      </c>
      <c r="CV3800">
        <v>5</v>
      </c>
      <c r="CW3800" t="s">
        <v>120</v>
      </c>
      <c r="CX3800">
        <v>257</v>
      </c>
      <c r="CY3800">
        <v>0</v>
      </c>
      <c r="CZ3800" t="s">
        <v>615</v>
      </c>
      <c r="DA3800" t="s">
        <v>616</v>
      </c>
      <c r="DD3800">
        <v>16572310</v>
      </c>
      <c r="DE3800" t="s">
        <v>123</v>
      </c>
    </row>
    <row r="3801" spans="1:109" x14ac:dyDescent="0.3">
      <c r="A3801" t="str">
        <f>"19:38:21.180"</f>
        <v>19:38:21.180</v>
      </c>
      <c r="B3801" t="s">
        <v>110</v>
      </c>
      <c r="C3801" t="str">
        <f t="shared" si="177"/>
        <v>ffdfd3c0</v>
      </c>
      <c r="D3801" t="s">
        <v>111</v>
      </c>
      <c r="E3801">
        <v>18</v>
      </c>
      <c r="F3801">
        <v>1018</v>
      </c>
      <c r="G3801" t="s">
        <v>112</v>
      </c>
      <c r="J3801" t="s">
        <v>113</v>
      </c>
      <c r="K3801">
        <v>0</v>
      </c>
      <c r="L3801">
        <v>3</v>
      </c>
      <c r="M3801">
        <v>0</v>
      </c>
      <c r="N3801">
        <v>2</v>
      </c>
      <c r="O3801">
        <v>1</v>
      </c>
      <c r="P3801">
        <v>0</v>
      </c>
      <c r="Q3801">
        <v>0</v>
      </c>
      <c r="R3801" t="s">
        <v>114</v>
      </c>
      <c r="S3801" t="str">
        <f>"19:38:20.922"</f>
        <v>19:38:20.922</v>
      </c>
      <c r="T3801" t="str">
        <f>"19:38:20.820"</f>
        <v>19:38:20.820</v>
      </c>
      <c r="U3801" t="str">
        <f t="shared" si="178"/>
        <v>a1cdbe</v>
      </c>
      <c r="V3801">
        <v>0</v>
      </c>
      <c r="W3801">
        <v>0</v>
      </c>
      <c r="X3801">
        <v>2</v>
      </c>
      <c r="Y3801">
        <v>0</v>
      </c>
      <c r="Z3801">
        <v>0</v>
      </c>
      <c r="AB3801">
        <v>0</v>
      </c>
      <c r="AC3801">
        <v>9</v>
      </c>
      <c r="AD3801">
        <v>3</v>
      </c>
      <c r="AE3801">
        <v>0</v>
      </c>
      <c r="AF3801">
        <v>9</v>
      </c>
      <c r="AG3801" t="s">
        <v>158</v>
      </c>
      <c r="AH3801">
        <v>0</v>
      </c>
      <c r="AI3801">
        <v>3</v>
      </c>
      <c r="AJ3801">
        <v>1</v>
      </c>
      <c r="AK3801">
        <v>0</v>
      </c>
      <c r="AL3801" t="s">
        <v>7166</v>
      </c>
      <c r="AM3801">
        <v>47.045924999999997</v>
      </c>
      <c r="AN3801" t="s">
        <v>7167</v>
      </c>
      <c r="AO3801">
        <v>-123.943849</v>
      </c>
      <c r="AP3801">
        <v>100</v>
      </c>
      <c r="AQ3801">
        <v>2100</v>
      </c>
      <c r="AR3801" t="s">
        <v>118</v>
      </c>
      <c r="AS3801">
        <v>-78</v>
      </c>
      <c r="AT3801">
        <v>21</v>
      </c>
      <c r="AU3801">
        <v>128</v>
      </c>
      <c r="BC3801">
        <v>1200</v>
      </c>
      <c r="BD3801">
        <v>1</v>
      </c>
      <c r="BE3801" t="str">
        <f t="shared" si="179"/>
        <v xml:space="preserve">N215T   </v>
      </c>
      <c r="BF3801">
        <v>1</v>
      </c>
      <c r="BH3801">
        <v>0</v>
      </c>
      <c r="BI3801">
        <v>0</v>
      </c>
      <c r="BJ3801">
        <v>0</v>
      </c>
      <c r="BK3801">
        <v>2500</v>
      </c>
      <c r="BL3801">
        <v>400</v>
      </c>
      <c r="BM3801" t="s">
        <v>119</v>
      </c>
      <c r="BN3801">
        <v>1</v>
      </c>
      <c r="BO3801">
        <v>1</v>
      </c>
      <c r="BP3801">
        <v>1</v>
      </c>
      <c r="BQ3801">
        <v>0</v>
      </c>
      <c r="BT3801">
        <v>0</v>
      </c>
      <c r="BU3801">
        <v>0</v>
      </c>
      <c r="BV3801">
        <v>0</v>
      </c>
      <c r="CC3801" t="str">
        <f>"19:38:20.922"</f>
        <v>19:38:20.922</v>
      </c>
      <c r="CD3801" t="str">
        <f>"922571691"</f>
        <v>922571691</v>
      </c>
      <c r="CQ3801">
        <v>0</v>
      </c>
      <c r="CR3801">
        <v>2</v>
      </c>
      <c r="CS3801">
        <v>0</v>
      </c>
      <c r="CT3801">
        <v>2</v>
      </c>
      <c r="CU3801">
        <v>0</v>
      </c>
      <c r="CV3801">
        <v>4</v>
      </c>
      <c r="CW3801" t="s">
        <v>120</v>
      </c>
      <c r="CX3801">
        <v>257</v>
      </c>
      <c r="CY3801">
        <v>0</v>
      </c>
      <c r="CZ3801" t="s">
        <v>615</v>
      </c>
      <c r="DA3801" t="s">
        <v>616</v>
      </c>
      <c r="DD3801">
        <v>16572671</v>
      </c>
      <c r="DE3801" t="s">
        <v>123</v>
      </c>
    </row>
    <row r="3802" spans="1:109" x14ac:dyDescent="0.3">
      <c r="A3802" t="str">
        <f>"19:38:22.234"</f>
        <v>19:38:22.234</v>
      </c>
      <c r="B3802" t="s">
        <v>110</v>
      </c>
      <c r="C3802" t="str">
        <f t="shared" si="177"/>
        <v>ffdfd3c0</v>
      </c>
      <c r="D3802" t="s">
        <v>111</v>
      </c>
      <c r="E3802">
        <v>18</v>
      </c>
      <c r="F3802">
        <v>1018</v>
      </c>
      <c r="G3802" t="s">
        <v>112</v>
      </c>
      <c r="J3802" t="s">
        <v>113</v>
      </c>
      <c r="K3802">
        <v>0</v>
      </c>
      <c r="L3802">
        <v>3</v>
      </c>
      <c r="M3802">
        <v>0</v>
      </c>
      <c r="N3802">
        <v>2</v>
      </c>
      <c r="O3802">
        <v>1</v>
      </c>
      <c r="P3802">
        <v>0</v>
      </c>
      <c r="Q3802">
        <v>0</v>
      </c>
      <c r="R3802" t="s">
        <v>114</v>
      </c>
      <c r="S3802" t="str">
        <f>"19:38:21.953"</f>
        <v>19:38:21.953</v>
      </c>
      <c r="T3802" t="str">
        <f>"19:38:21.750"</f>
        <v>19:38:21.750</v>
      </c>
      <c r="U3802" t="str">
        <f t="shared" si="178"/>
        <v>a1cdbe</v>
      </c>
      <c r="V3802">
        <v>0</v>
      </c>
      <c r="W3802">
        <v>0</v>
      </c>
      <c r="X3802">
        <v>2</v>
      </c>
      <c r="Y3802">
        <v>0</v>
      </c>
      <c r="Z3802">
        <v>0</v>
      </c>
      <c r="AB3802">
        <v>0</v>
      </c>
      <c r="AC3802">
        <v>9</v>
      </c>
      <c r="AD3802">
        <v>3</v>
      </c>
      <c r="AE3802">
        <v>0</v>
      </c>
      <c r="AF3802">
        <v>9</v>
      </c>
      <c r="AG3802" t="s">
        <v>158</v>
      </c>
      <c r="AH3802">
        <v>0</v>
      </c>
      <c r="AI3802">
        <v>3</v>
      </c>
      <c r="AJ3802">
        <v>1</v>
      </c>
      <c r="AK3802">
        <v>0</v>
      </c>
      <c r="AL3802" t="s">
        <v>7168</v>
      </c>
      <c r="AM3802">
        <v>47.046010000000003</v>
      </c>
      <c r="AN3802" t="s">
        <v>7169</v>
      </c>
      <c r="AO3802">
        <v>-123.94436399999999</v>
      </c>
      <c r="AP3802">
        <v>100</v>
      </c>
      <c r="AQ3802">
        <v>2100</v>
      </c>
      <c r="AR3802" t="s">
        <v>118</v>
      </c>
      <c r="AS3802">
        <v>-78</v>
      </c>
      <c r="AT3802">
        <v>22</v>
      </c>
      <c r="AU3802">
        <v>128</v>
      </c>
      <c r="BC3802">
        <v>1200</v>
      </c>
      <c r="BD3802">
        <v>1</v>
      </c>
      <c r="BE3802" t="str">
        <f t="shared" si="179"/>
        <v xml:space="preserve">N215T   </v>
      </c>
      <c r="BF3802">
        <v>1</v>
      </c>
      <c r="BH3802">
        <v>0</v>
      </c>
      <c r="BI3802">
        <v>0</v>
      </c>
      <c r="BJ3802">
        <v>0</v>
      </c>
      <c r="BK3802">
        <v>2500</v>
      </c>
      <c r="BL3802">
        <v>400</v>
      </c>
      <c r="BM3802" t="s">
        <v>119</v>
      </c>
      <c r="BN3802">
        <v>1</v>
      </c>
      <c r="BO3802">
        <v>1</v>
      </c>
      <c r="BP3802">
        <v>1</v>
      </c>
      <c r="BQ3802">
        <v>0</v>
      </c>
      <c r="BT3802">
        <v>0</v>
      </c>
      <c r="BU3802">
        <v>0</v>
      </c>
      <c r="BV3802">
        <v>0</v>
      </c>
      <c r="CC3802" t="str">
        <f>"19:38:21.961"</f>
        <v>19:38:21.961</v>
      </c>
      <c r="CD3802" t="str">
        <f>"957469775"</f>
        <v>957469775</v>
      </c>
      <c r="CQ3802">
        <v>0</v>
      </c>
      <c r="CR3802">
        <v>2</v>
      </c>
      <c r="CS3802">
        <v>0</v>
      </c>
      <c r="CT3802">
        <v>2</v>
      </c>
      <c r="CU3802">
        <v>0</v>
      </c>
      <c r="CV3802">
        <v>4</v>
      </c>
      <c r="CW3802" t="s">
        <v>120</v>
      </c>
      <c r="CX3802">
        <v>257</v>
      </c>
      <c r="CY3802">
        <v>0</v>
      </c>
      <c r="CZ3802" t="s">
        <v>615</v>
      </c>
      <c r="DA3802" t="s">
        <v>616</v>
      </c>
      <c r="DD3802">
        <v>16573039</v>
      </c>
      <c r="DE3802" t="s">
        <v>123</v>
      </c>
    </row>
    <row r="3803" spans="1:109" x14ac:dyDescent="0.3">
      <c r="A3803" t="str">
        <f>"19:38:23.141"</f>
        <v>19:38:23.141</v>
      </c>
      <c r="B3803" t="s">
        <v>110</v>
      </c>
      <c r="C3803" t="str">
        <f t="shared" si="177"/>
        <v>ffdfd3c0</v>
      </c>
      <c r="D3803" t="s">
        <v>111</v>
      </c>
      <c r="E3803">
        <v>18</v>
      </c>
      <c r="F3803">
        <v>1018</v>
      </c>
      <c r="G3803" t="s">
        <v>112</v>
      </c>
      <c r="J3803" t="s">
        <v>113</v>
      </c>
      <c r="K3803">
        <v>0</v>
      </c>
      <c r="L3803">
        <v>3</v>
      </c>
      <c r="M3803">
        <v>0</v>
      </c>
      <c r="N3803">
        <v>2</v>
      </c>
      <c r="O3803">
        <v>1</v>
      </c>
      <c r="P3803">
        <v>0</v>
      </c>
      <c r="Q3803">
        <v>0</v>
      </c>
      <c r="R3803" t="s">
        <v>114</v>
      </c>
      <c r="S3803" t="str">
        <f>"19:38:22.898"</f>
        <v>19:38:22.898</v>
      </c>
      <c r="T3803" t="str">
        <f>"19:38:22.898"</f>
        <v>19:38:22.898</v>
      </c>
      <c r="U3803" t="str">
        <f t="shared" si="178"/>
        <v>a1cdbe</v>
      </c>
      <c r="V3803">
        <v>0</v>
      </c>
      <c r="W3803">
        <v>0</v>
      </c>
      <c r="X3803">
        <v>2</v>
      </c>
      <c r="Y3803">
        <v>0</v>
      </c>
      <c r="Z3803">
        <v>0</v>
      </c>
      <c r="AB3803">
        <v>0</v>
      </c>
      <c r="AC3803">
        <v>9</v>
      </c>
      <c r="AD3803">
        <v>3</v>
      </c>
      <c r="AE3803">
        <v>0</v>
      </c>
      <c r="AF3803">
        <v>9</v>
      </c>
      <c r="AG3803" t="s">
        <v>158</v>
      </c>
      <c r="AH3803">
        <v>0</v>
      </c>
      <c r="AI3803">
        <v>3</v>
      </c>
      <c r="AJ3803">
        <v>1</v>
      </c>
      <c r="AK3803">
        <v>0</v>
      </c>
      <c r="AL3803" t="s">
        <v>7170</v>
      </c>
      <c r="AM3803">
        <v>47.046118</v>
      </c>
      <c r="AN3803" t="s">
        <v>7171</v>
      </c>
      <c r="AO3803">
        <v>-123.944879</v>
      </c>
      <c r="AP3803">
        <v>100</v>
      </c>
      <c r="AQ3803">
        <v>2100</v>
      </c>
      <c r="AR3803" t="s">
        <v>118</v>
      </c>
      <c r="AS3803">
        <v>-78</v>
      </c>
      <c r="AT3803">
        <v>22</v>
      </c>
      <c r="AU3803">
        <v>128</v>
      </c>
      <c r="BC3803">
        <v>1200</v>
      </c>
      <c r="BD3803">
        <v>1</v>
      </c>
      <c r="BE3803" t="str">
        <f t="shared" si="179"/>
        <v xml:space="preserve">N215T   </v>
      </c>
      <c r="BF3803">
        <v>1</v>
      </c>
      <c r="BH3803">
        <v>0</v>
      </c>
      <c r="BI3803">
        <v>0</v>
      </c>
      <c r="BJ3803">
        <v>0</v>
      </c>
      <c r="BK3803">
        <v>2500</v>
      </c>
      <c r="BL3803">
        <v>400</v>
      </c>
      <c r="BM3803" t="s">
        <v>119</v>
      </c>
      <c r="BN3803">
        <v>1</v>
      </c>
      <c r="BO3803">
        <v>1</v>
      </c>
      <c r="BP3803">
        <v>1</v>
      </c>
      <c r="BQ3803">
        <v>0</v>
      </c>
      <c r="BT3803">
        <v>0</v>
      </c>
      <c r="BU3803">
        <v>0</v>
      </c>
      <c r="BV3803">
        <v>0</v>
      </c>
      <c r="CC3803" t="str">
        <f>"19:38:22.906"</f>
        <v>19:38:22.906</v>
      </c>
      <c r="CD3803" t="str">
        <f>"902376730"</f>
        <v>902376730</v>
      </c>
      <c r="CQ3803">
        <v>0</v>
      </c>
      <c r="CR3803">
        <v>2</v>
      </c>
      <c r="CS3803">
        <v>0</v>
      </c>
      <c r="CT3803">
        <v>2</v>
      </c>
      <c r="CU3803">
        <v>0</v>
      </c>
      <c r="CV3803">
        <v>2</v>
      </c>
      <c r="CW3803" t="s">
        <v>120</v>
      </c>
      <c r="CX3803">
        <v>257</v>
      </c>
      <c r="CY3803">
        <v>3</v>
      </c>
      <c r="CZ3803" t="s">
        <v>615</v>
      </c>
      <c r="DA3803" t="s">
        <v>616</v>
      </c>
      <c r="DD3803">
        <v>9395594</v>
      </c>
      <c r="DE3803" t="s">
        <v>123</v>
      </c>
    </row>
    <row r="3804" spans="1:109" x14ac:dyDescent="0.3">
      <c r="A3804" t="str">
        <f>"19:38:24.195"</f>
        <v>19:38:24.195</v>
      </c>
      <c r="B3804" t="s">
        <v>110</v>
      </c>
      <c r="C3804" t="str">
        <f t="shared" si="177"/>
        <v>ffdfd3c0</v>
      </c>
      <c r="D3804" t="s">
        <v>111</v>
      </c>
      <c r="E3804">
        <v>18</v>
      </c>
      <c r="F3804">
        <v>1018</v>
      </c>
      <c r="G3804" t="s">
        <v>112</v>
      </c>
      <c r="J3804" t="s">
        <v>113</v>
      </c>
      <c r="K3804">
        <v>0</v>
      </c>
      <c r="L3804">
        <v>3</v>
      </c>
      <c r="M3804">
        <v>0</v>
      </c>
      <c r="N3804">
        <v>2</v>
      </c>
      <c r="O3804">
        <v>1</v>
      </c>
      <c r="P3804">
        <v>0</v>
      </c>
      <c r="Q3804">
        <v>0</v>
      </c>
      <c r="R3804" t="s">
        <v>114</v>
      </c>
      <c r="S3804" t="str">
        <f>"19:38:23.977"</f>
        <v>19:38:23.977</v>
      </c>
      <c r="T3804" t="str">
        <f>"19:38:23.477"</f>
        <v>19:38:23.477</v>
      </c>
      <c r="U3804" t="str">
        <f t="shared" si="178"/>
        <v>a1cdbe</v>
      </c>
      <c r="V3804">
        <v>0</v>
      </c>
      <c r="W3804">
        <v>0</v>
      </c>
      <c r="X3804">
        <v>2</v>
      </c>
      <c r="Y3804">
        <v>0</v>
      </c>
      <c r="Z3804">
        <v>0</v>
      </c>
      <c r="AB3804">
        <v>0</v>
      </c>
      <c r="AC3804">
        <v>9</v>
      </c>
      <c r="AD3804">
        <v>3</v>
      </c>
      <c r="AE3804">
        <v>0</v>
      </c>
      <c r="AF3804">
        <v>9</v>
      </c>
      <c r="AG3804" t="s">
        <v>158</v>
      </c>
      <c r="AH3804">
        <v>0</v>
      </c>
      <c r="AI3804">
        <v>3</v>
      </c>
      <c r="AJ3804">
        <v>1</v>
      </c>
      <c r="AK3804">
        <v>0</v>
      </c>
      <c r="AL3804" t="s">
        <v>7172</v>
      </c>
      <c r="AM3804">
        <v>47.046247000000001</v>
      </c>
      <c r="AN3804" t="s">
        <v>7173</v>
      </c>
      <c r="AO3804">
        <v>-123.945415</v>
      </c>
      <c r="AP3804">
        <v>100</v>
      </c>
      <c r="AQ3804">
        <v>2100</v>
      </c>
      <c r="AR3804" t="s">
        <v>118</v>
      </c>
      <c r="AS3804">
        <v>-78</v>
      </c>
      <c r="AT3804">
        <v>22</v>
      </c>
      <c r="AU3804">
        <v>128</v>
      </c>
      <c r="BC3804">
        <v>1200</v>
      </c>
      <c r="BD3804">
        <v>1</v>
      </c>
      <c r="BE3804" t="str">
        <f t="shared" si="179"/>
        <v xml:space="preserve">N215T   </v>
      </c>
      <c r="BF3804">
        <v>1</v>
      </c>
      <c r="BH3804">
        <v>0</v>
      </c>
      <c r="BI3804">
        <v>0</v>
      </c>
      <c r="BJ3804">
        <v>0</v>
      </c>
      <c r="BK3804">
        <v>2500</v>
      </c>
      <c r="BL3804">
        <v>400</v>
      </c>
      <c r="BM3804" t="s">
        <v>119</v>
      </c>
      <c r="BN3804">
        <v>1</v>
      </c>
      <c r="BO3804">
        <v>1</v>
      </c>
      <c r="BP3804">
        <v>1</v>
      </c>
      <c r="BQ3804">
        <v>0</v>
      </c>
      <c r="BT3804">
        <v>0</v>
      </c>
      <c r="BU3804">
        <v>0</v>
      </c>
      <c r="BV3804">
        <v>0</v>
      </c>
      <c r="CC3804" t="str">
        <f>"19:38:23.984"</f>
        <v>19:38:23.984</v>
      </c>
      <c r="CD3804" t="str">
        <f>"982270324"</f>
        <v>982270324</v>
      </c>
      <c r="CQ3804">
        <v>0</v>
      </c>
      <c r="CR3804">
        <v>2</v>
      </c>
      <c r="CS3804">
        <v>0</v>
      </c>
      <c r="CT3804">
        <v>2</v>
      </c>
      <c r="CU3804">
        <v>0</v>
      </c>
      <c r="CV3804">
        <v>5</v>
      </c>
      <c r="CW3804" t="s">
        <v>120</v>
      </c>
      <c r="CX3804">
        <v>257</v>
      </c>
      <c r="CY3804">
        <v>0</v>
      </c>
      <c r="CZ3804" t="s">
        <v>615</v>
      </c>
      <c r="DA3804" t="s">
        <v>616</v>
      </c>
      <c r="DD3804">
        <v>16573738</v>
      </c>
      <c r="DE3804" t="s">
        <v>123</v>
      </c>
    </row>
    <row r="3805" spans="1:109" x14ac:dyDescent="0.3">
      <c r="A3805" t="str">
        <f>"19:38:25.703"</f>
        <v>19:38:25.703</v>
      </c>
      <c r="B3805" t="s">
        <v>110</v>
      </c>
      <c r="C3805" t="str">
        <f t="shared" si="177"/>
        <v>ffdfd3c0</v>
      </c>
      <c r="D3805" t="s">
        <v>111</v>
      </c>
      <c r="E3805">
        <v>18</v>
      </c>
      <c r="F3805">
        <v>1018</v>
      </c>
      <c r="G3805" t="s">
        <v>112</v>
      </c>
      <c r="J3805" t="s">
        <v>113</v>
      </c>
      <c r="K3805">
        <v>0</v>
      </c>
      <c r="L3805">
        <v>3</v>
      </c>
      <c r="M3805">
        <v>0</v>
      </c>
      <c r="N3805">
        <v>2</v>
      </c>
      <c r="O3805">
        <v>1</v>
      </c>
      <c r="P3805">
        <v>0</v>
      </c>
      <c r="Q3805">
        <v>0</v>
      </c>
      <c r="R3805" t="s">
        <v>114</v>
      </c>
      <c r="S3805" t="str">
        <f>"19:38:25.508"</f>
        <v>19:38:25.508</v>
      </c>
      <c r="T3805" t="str">
        <f>"19:38:25.406"</f>
        <v>19:38:25.406</v>
      </c>
      <c r="U3805" t="str">
        <f t="shared" si="178"/>
        <v>a1cdbe</v>
      </c>
      <c r="V3805">
        <v>0</v>
      </c>
      <c r="W3805">
        <v>0</v>
      </c>
      <c r="X3805">
        <v>2</v>
      </c>
      <c r="Y3805">
        <v>0</v>
      </c>
      <c r="Z3805">
        <v>0</v>
      </c>
      <c r="AB3805">
        <v>0</v>
      </c>
      <c r="AC3805">
        <v>9</v>
      </c>
      <c r="AD3805">
        <v>3</v>
      </c>
      <c r="AE3805">
        <v>0</v>
      </c>
      <c r="AF3805">
        <v>9</v>
      </c>
      <c r="AG3805" t="s">
        <v>158</v>
      </c>
      <c r="AH3805">
        <v>0</v>
      </c>
      <c r="AI3805">
        <v>3</v>
      </c>
      <c r="AJ3805">
        <v>1</v>
      </c>
      <c r="AK3805">
        <v>0</v>
      </c>
      <c r="AL3805" t="s">
        <v>7174</v>
      </c>
      <c r="AM3805">
        <v>47.046396999999999</v>
      </c>
      <c r="AN3805" t="s">
        <v>7175</v>
      </c>
      <c r="AO3805">
        <v>-123.946209</v>
      </c>
      <c r="AP3805">
        <v>100</v>
      </c>
      <c r="AQ3805">
        <v>2100</v>
      </c>
      <c r="AR3805" t="s">
        <v>118</v>
      </c>
      <c r="AS3805">
        <v>-77</v>
      </c>
      <c r="AT3805">
        <v>23</v>
      </c>
      <c r="AU3805">
        <v>128</v>
      </c>
      <c r="BC3805">
        <v>1200</v>
      </c>
      <c r="BD3805">
        <v>1</v>
      </c>
      <c r="BE3805" t="str">
        <f t="shared" si="179"/>
        <v xml:space="preserve">N215T   </v>
      </c>
      <c r="BF3805">
        <v>1</v>
      </c>
      <c r="BH3805">
        <v>0</v>
      </c>
      <c r="BI3805">
        <v>0</v>
      </c>
      <c r="BJ3805">
        <v>0</v>
      </c>
      <c r="BK3805">
        <v>2500</v>
      </c>
      <c r="BL3805">
        <v>400</v>
      </c>
      <c r="BM3805" t="s">
        <v>119</v>
      </c>
      <c r="BN3805">
        <v>1</v>
      </c>
      <c r="BO3805">
        <v>1</v>
      </c>
      <c r="BP3805">
        <v>1</v>
      </c>
      <c r="BQ3805">
        <v>0</v>
      </c>
      <c r="BT3805">
        <v>0</v>
      </c>
      <c r="BU3805">
        <v>0</v>
      </c>
      <c r="BV3805">
        <v>0</v>
      </c>
      <c r="CC3805" t="str">
        <f>"19:38:25.516"</f>
        <v>19:38:25.516</v>
      </c>
      <c r="CD3805" t="str">
        <f>"512119631"</f>
        <v>512119631</v>
      </c>
      <c r="CQ3805">
        <v>0</v>
      </c>
      <c r="CR3805">
        <v>2</v>
      </c>
      <c r="CS3805">
        <v>0</v>
      </c>
      <c r="CT3805">
        <v>2</v>
      </c>
      <c r="CU3805">
        <v>0</v>
      </c>
      <c r="CV3805">
        <v>4</v>
      </c>
      <c r="CW3805" t="s">
        <v>120</v>
      </c>
      <c r="CX3805">
        <v>257</v>
      </c>
      <c r="CY3805">
        <v>0</v>
      </c>
      <c r="CZ3805" t="s">
        <v>615</v>
      </c>
      <c r="DA3805" t="s">
        <v>616</v>
      </c>
      <c r="DD3805">
        <v>16574230</v>
      </c>
      <c r="DE3805" t="s">
        <v>123</v>
      </c>
    </row>
    <row r="3806" spans="1:109" x14ac:dyDescent="0.3">
      <c r="A3806" t="str">
        <f>"19:38:26.711"</f>
        <v>19:38:26.711</v>
      </c>
      <c r="B3806" t="s">
        <v>110</v>
      </c>
      <c r="C3806" t="str">
        <f t="shared" si="177"/>
        <v>ffdfd3c0</v>
      </c>
      <c r="D3806" t="s">
        <v>111</v>
      </c>
      <c r="E3806">
        <v>18</v>
      </c>
      <c r="F3806">
        <v>1018</v>
      </c>
      <c r="G3806" t="s">
        <v>112</v>
      </c>
      <c r="J3806" t="s">
        <v>113</v>
      </c>
      <c r="K3806">
        <v>0</v>
      </c>
      <c r="L3806">
        <v>3</v>
      </c>
      <c r="M3806">
        <v>0</v>
      </c>
      <c r="N3806">
        <v>2</v>
      </c>
      <c r="O3806">
        <v>1</v>
      </c>
      <c r="P3806">
        <v>0</v>
      </c>
      <c r="Q3806">
        <v>0</v>
      </c>
      <c r="R3806" t="s">
        <v>114</v>
      </c>
      <c r="S3806" t="str">
        <f>"19:38:26.500"</f>
        <v>19:38:26.500</v>
      </c>
      <c r="T3806" t="str">
        <f>"19:38:25.398"</f>
        <v>19:38:25.398</v>
      </c>
      <c r="U3806" t="str">
        <f t="shared" si="178"/>
        <v>a1cdbe</v>
      </c>
      <c r="V3806">
        <v>0</v>
      </c>
      <c r="W3806">
        <v>0</v>
      </c>
      <c r="X3806">
        <v>2</v>
      </c>
      <c r="Y3806">
        <v>0</v>
      </c>
      <c r="Z3806">
        <v>0</v>
      </c>
      <c r="AB3806">
        <v>0</v>
      </c>
      <c r="AC3806">
        <v>9</v>
      </c>
      <c r="AD3806">
        <v>3</v>
      </c>
      <c r="AE3806">
        <v>0</v>
      </c>
      <c r="AF3806">
        <v>9</v>
      </c>
      <c r="AG3806" t="s">
        <v>158</v>
      </c>
      <c r="AH3806">
        <v>0</v>
      </c>
      <c r="AI3806">
        <v>3</v>
      </c>
      <c r="AJ3806">
        <v>1</v>
      </c>
      <c r="AK3806">
        <v>0</v>
      </c>
      <c r="AL3806" t="s">
        <v>7176</v>
      </c>
      <c r="AM3806">
        <v>47.046483000000002</v>
      </c>
      <c r="AN3806" t="s">
        <v>7177</v>
      </c>
      <c r="AO3806">
        <v>-123.946724</v>
      </c>
      <c r="AP3806">
        <v>100</v>
      </c>
      <c r="AQ3806">
        <v>2100</v>
      </c>
      <c r="AR3806" t="s">
        <v>118</v>
      </c>
      <c r="AS3806">
        <v>-77</v>
      </c>
      <c r="AT3806">
        <v>23</v>
      </c>
      <c r="AU3806">
        <v>128</v>
      </c>
      <c r="BC3806">
        <v>1200</v>
      </c>
      <c r="BD3806">
        <v>1</v>
      </c>
      <c r="BE3806" t="str">
        <f t="shared" si="179"/>
        <v xml:space="preserve">N215T   </v>
      </c>
      <c r="BF3806">
        <v>1</v>
      </c>
      <c r="BH3806">
        <v>0</v>
      </c>
      <c r="BI3806">
        <v>0</v>
      </c>
      <c r="BJ3806">
        <v>0</v>
      </c>
      <c r="BK3806">
        <v>2500</v>
      </c>
      <c r="BL3806">
        <v>400</v>
      </c>
      <c r="BM3806" t="s">
        <v>119</v>
      </c>
      <c r="BN3806">
        <v>1</v>
      </c>
      <c r="BO3806">
        <v>1</v>
      </c>
      <c r="BP3806">
        <v>1</v>
      </c>
      <c r="BQ3806">
        <v>0</v>
      </c>
      <c r="BT3806">
        <v>0</v>
      </c>
      <c r="BU3806">
        <v>0</v>
      </c>
      <c r="BV3806">
        <v>0</v>
      </c>
      <c r="CC3806" t="str">
        <f>"19:38:26.500"</f>
        <v>19:38:26.500</v>
      </c>
      <c r="CD3806" t="str">
        <f>"502022130"</f>
        <v>502022130</v>
      </c>
      <c r="CQ3806">
        <v>0</v>
      </c>
      <c r="CR3806">
        <v>2</v>
      </c>
      <c r="CS3806">
        <v>0</v>
      </c>
      <c r="CT3806">
        <v>2</v>
      </c>
      <c r="CU3806">
        <v>0</v>
      </c>
      <c r="CV3806">
        <v>4</v>
      </c>
      <c r="CW3806" t="s">
        <v>120</v>
      </c>
      <c r="CX3806">
        <v>257</v>
      </c>
      <c r="CY3806">
        <v>0</v>
      </c>
      <c r="CZ3806" t="s">
        <v>615</v>
      </c>
      <c r="DA3806" t="s">
        <v>616</v>
      </c>
      <c r="DD3806">
        <v>16574547</v>
      </c>
      <c r="DE3806" t="s">
        <v>123</v>
      </c>
    </row>
    <row r="3807" spans="1:109" x14ac:dyDescent="0.3">
      <c r="A3807" t="str">
        <f>"19:38:27.766"</f>
        <v>19:38:27.766</v>
      </c>
      <c r="B3807" t="s">
        <v>110</v>
      </c>
      <c r="C3807" t="str">
        <f t="shared" si="177"/>
        <v>ffdfd3c0</v>
      </c>
      <c r="D3807" t="s">
        <v>111</v>
      </c>
      <c r="E3807">
        <v>18</v>
      </c>
      <c r="F3807">
        <v>1018</v>
      </c>
      <c r="G3807" t="s">
        <v>112</v>
      </c>
      <c r="J3807" t="s">
        <v>113</v>
      </c>
      <c r="K3807">
        <v>0</v>
      </c>
      <c r="L3807">
        <v>3</v>
      </c>
      <c r="M3807">
        <v>0</v>
      </c>
      <c r="N3807">
        <v>2</v>
      </c>
      <c r="O3807">
        <v>1</v>
      </c>
      <c r="P3807">
        <v>0</v>
      </c>
      <c r="Q3807">
        <v>0</v>
      </c>
      <c r="R3807" t="s">
        <v>114</v>
      </c>
      <c r="S3807" t="str">
        <f>"19:38:27.500"</f>
        <v>19:38:27.500</v>
      </c>
      <c r="T3807" t="str">
        <f>"19:38:27.000"</f>
        <v>19:38:27.000</v>
      </c>
      <c r="U3807" t="str">
        <f t="shared" si="178"/>
        <v>a1cdbe</v>
      </c>
      <c r="V3807">
        <v>0</v>
      </c>
      <c r="W3807">
        <v>0</v>
      </c>
      <c r="X3807">
        <v>2</v>
      </c>
      <c r="Y3807">
        <v>0</v>
      </c>
      <c r="Z3807">
        <v>0</v>
      </c>
      <c r="AB3807">
        <v>0</v>
      </c>
      <c r="AC3807">
        <v>9</v>
      </c>
      <c r="AD3807">
        <v>3</v>
      </c>
      <c r="AE3807">
        <v>0</v>
      </c>
      <c r="AF3807">
        <v>9</v>
      </c>
      <c r="AG3807" t="s">
        <v>158</v>
      </c>
      <c r="AH3807">
        <v>0</v>
      </c>
      <c r="AI3807">
        <v>3</v>
      </c>
      <c r="AJ3807">
        <v>1</v>
      </c>
      <c r="AK3807">
        <v>0</v>
      </c>
      <c r="AL3807" t="s">
        <v>570</v>
      </c>
      <c r="AM3807">
        <v>47.046568000000001</v>
      </c>
      <c r="AN3807" t="s">
        <v>7178</v>
      </c>
      <c r="AO3807">
        <v>-123.94726</v>
      </c>
      <c r="AP3807">
        <v>100</v>
      </c>
      <c r="AQ3807">
        <v>2100</v>
      </c>
      <c r="AR3807" t="s">
        <v>118</v>
      </c>
      <c r="AS3807">
        <v>-77</v>
      </c>
      <c r="AT3807">
        <v>23</v>
      </c>
      <c r="AU3807">
        <v>64</v>
      </c>
      <c r="BC3807">
        <v>1200</v>
      </c>
      <c r="BD3807">
        <v>1</v>
      </c>
      <c r="BE3807" t="str">
        <f t="shared" si="179"/>
        <v xml:space="preserve">N215T   </v>
      </c>
      <c r="BF3807">
        <v>1</v>
      </c>
      <c r="BH3807">
        <v>0</v>
      </c>
      <c r="BI3807">
        <v>0</v>
      </c>
      <c r="BJ3807">
        <v>0</v>
      </c>
      <c r="BK3807">
        <v>2500</v>
      </c>
      <c r="BL3807">
        <v>400</v>
      </c>
      <c r="BM3807" t="s">
        <v>119</v>
      </c>
      <c r="BN3807">
        <v>1</v>
      </c>
      <c r="BO3807">
        <v>1</v>
      </c>
      <c r="BP3807">
        <v>1</v>
      </c>
      <c r="BQ3807">
        <v>0</v>
      </c>
      <c r="BT3807">
        <v>0</v>
      </c>
      <c r="BU3807">
        <v>0</v>
      </c>
      <c r="BV3807">
        <v>0</v>
      </c>
      <c r="CC3807" t="str">
        <f>"19:38:27.508"</f>
        <v>19:38:27.508</v>
      </c>
      <c r="CD3807" t="str">
        <f>"506923168"</f>
        <v>506923168</v>
      </c>
      <c r="CQ3807">
        <v>0</v>
      </c>
      <c r="CR3807">
        <v>2</v>
      </c>
      <c r="CS3807">
        <v>0</v>
      </c>
      <c r="CT3807">
        <v>2</v>
      </c>
      <c r="CU3807">
        <v>0</v>
      </c>
      <c r="CV3807">
        <v>5</v>
      </c>
      <c r="CW3807" t="s">
        <v>120</v>
      </c>
      <c r="CX3807">
        <v>257</v>
      </c>
      <c r="CY3807">
        <v>0</v>
      </c>
      <c r="CZ3807" t="s">
        <v>615</v>
      </c>
      <c r="DA3807" t="s">
        <v>616</v>
      </c>
      <c r="DD3807">
        <v>16574883</v>
      </c>
      <c r="DE3807" t="s">
        <v>123</v>
      </c>
    </row>
    <row r="3808" spans="1:109" x14ac:dyDescent="0.3">
      <c r="A3808" t="str">
        <f>"19:38:28.672"</f>
        <v>19:38:28.672</v>
      </c>
      <c r="B3808" t="s">
        <v>110</v>
      </c>
      <c r="C3808" t="str">
        <f t="shared" si="177"/>
        <v>ffdfd3c0</v>
      </c>
      <c r="D3808" t="s">
        <v>111</v>
      </c>
      <c r="E3808">
        <v>18</v>
      </c>
      <c r="F3808">
        <v>1018</v>
      </c>
      <c r="G3808" t="s">
        <v>112</v>
      </c>
      <c r="J3808" t="s">
        <v>113</v>
      </c>
      <c r="K3808">
        <v>0</v>
      </c>
      <c r="L3808">
        <v>3</v>
      </c>
      <c r="M3808">
        <v>0</v>
      </c>
      <c r="N3808">
        <v>2</v>
      </c>
      <c r="O3808">
        <v>1</v>
      </c>
      <c r="P3808">
        <v>0</v>
      </c>
      <c r="Q3808">
        <v>0</v>
      </c>
      <c r="R3808" t="s">
        <v>114</v>
      </c>
      <c r="S3808" t="str">
        <f>"19:38:28.430"</f>
        <v>19:38:28.430</v>
      </c>
      <c r="T3808" t="str">
        <f>"19:38:28.430"</f>
        <v>19:38:28.430</v>
      </c>
      <c r="U3808" t="str">
        <f t="shared" si="178"/>
        <v>a1cdbe</v>
      </c>
      <c r="V3808">
        <v>0</v>
      </c>
      <c r="W3808">
        <v>0</v>
      </c>
      <c r="X3808">
        <v>2</v>
      </c>
      <c r="Y3808">
        <v>0</v>
      </c>
      <c r="Z3808">
        <v>0</v>
      </c>
      <c r="AB3808">
        <v>0</v>
      </c>
      <c r="AC3808">
        <v>9</v>
      </c>
      <c r="AD3808">
        <v>3</v>
      </c>
      <c r="AE3808">
        <v>0</v>
      </c>
      <c r="AF3808">
        <v>9</v>
      </c>
      <c r="AG3808" t="s">
        <v>158</v>
      </c>
      <c r="AH3808">
        <v>0</v>
      </c>
      <c r="AI3808">
        <v>3</v>
      </c>
      <c r="AJ3808">
        <v>1</v>
      </c>
      <c r="AK3808">
        <v>0</v>
      </c>
      <c r="AL3808" t="s">
        <v>7179</v>
      </c>
      <c r="AM3808">
        <v>47.046697000000002</v>
      </c>
      <c r="AN3808" t="s">
        <v>7180</v>
      </c>
      <c r="AO3808">
        <v>-123.947754</v>
      </c>
      <c r="AP3808">
        <v>100</v>
      </c>
      <c r="AQ3808">
        <v>2100</v>
      </c>
      <c r="AR3808" t="s">
        <v>118</v>
      </c>
      <c r="AS3808">
        <v>-77</v>
      </c>
      <c r="AT3808">
        <v>24</v>
      </c>
      <c r="AU3808">
        <v>0</v>
      </c>
      <c r="BC3808">
        <v>1200</v>
      </c>
      <c r="BD3808">
        <v>1</v>
      </c>
      <c r="BE3808" t="str">
        <f t="shared" si="179"/>
        <v xml:space="preserve">N215T   </v>
      </c>
      <c r="BF3808">
        <v>1</v>
      </c>
      <c r="BH3808">
        <v>0</v>
      </c>
      <c r="BI3808">
        <v>0</v>
      </c>
      <c r="BJ3808">
        <v>0</v>
      </c>
      <c r="BK3808">
        <v>2500</v>
      </c>
      <c r="BL3808">
        <v>400</v>
      </c>
      <c r="BM3808" t="s">
        <v>119</v>
      </c>
      <c r="BN3808">
        <v>1</v>
      </c>
      <c r="BO3808">
        <v>1</v>
      </c>
      <c r="BP3808">
        <v>1</v>
      </c>
      <c r="BQ3808">
        <v>0</v>
      </c>
      <c r="BT3808">
        <v>0</v>
      </c>
      <c r="BU3808">
        <v>0</v>
      </c>
      <c r="BV3808">
        <v>0</v>
      </c>
      <c r="CC3808" t="str">
        <f>"19:38:28.438"</f>
        <v>19:38:28.438</v>
      </c>
      <c r="CD3808" t="str">
        <f>"436831587"</f>
        <v>436831587</v>
      </c>
      <c r="CQ3808">
        <v>0</v>
      </c>
      <c r="CR3808">
        <v>2</v>
      </c>
      <c r="CS3808">
        <v>0</v>
      </c>
      <c r="CT3808">
        <v>2</v>
      </c>
      <c r="CU3808">
        <v>0</v>
      </c>
      <c r="CV3808">
        <v>1</v>
      </c>
      <c r="CW3808" t="s">
        <v>120</v>
      </c>
      <c r="CX3808">
        <v>257</v>
      </c>
      <c r="CY3808">
        <v>0</v>
      </c>
      <c r="CZ3808" t="s">
        <v>615</v>
      </c>
      <c r="DA3808" t="s">
        <v>616</v>
      </c>
      <c r="DD3808">
        <v>16575179</v>
      </c>
      <c r="DE3808" t="s">
        <v>123</v>
      </c>
    </row>
    <row r="3809" spans="1:109" x14ac:dyDescent="0.3">
      <c r="A3809" t="str">
        <f>"19:38:29.727"</f>
        <v>19:38:29.727</v>
      </c>
      <c r="B3809" t="s">
        <v>110</v>
      </c>
      <c r="C3809" t="str">
        <f t="shared" si="177"/>
        <v>ffdfd3c0</v>
      </c>
      <c r="D3809" t="s">
        <v>111</v>
      </c>
      <c r="E3809">
        <v>18</v>
      </c>
      <c r="F3809">
        <v>1018</v>
      </c>
      <c r="G3809" t="s">
        <v>112</v>
      </c>
      <c r="J3809" t="s">
        <v>113</v>
      </c>
      <c r="K3809">
        <v>0</v>
      </c>
      <c r="L3809">
        <v>3</v>
      </c>
      <c r="M3809">
        <v>0</v>
      </c>
      <c r="N3809">
        <v>2</v>
      </c>
      <c r="O3809">
        <v>1</v>
      </c>
      <c r="P3809">
        <v>0</v>
      </c>
      <c r="Q3809">
        <v>0</v>
      </c>
      <c r="R3809" t="s">
        <v>114</v>
      </c>
      <c r="S3809" t="str">
        <f>"19:38:29.469"</f>
        <v>19:38:29.469</v>
      </c>
      <c r="T3809" t="str">
        <f>"19:38:28.969"</f>
        <v>19:38:28.969</v>
      </c>
      <c r="U3809" t="str">
        <f t="shared" si="178"/>
        <v>a1cdbe</v>
      </c>
      <c r="V3809">
        <v>0</v>
      </c>
      <c r="W3809">
        <v>0</v>
      </c>
      <c r="X3809">
        <v>2</v>
      </c>
      <c r="Y3809">
        <v>0</v>
      </c>
      <c r="Z3809">
        <v>0</v>
      </c>
      <c r="AB3809">
        <v>0</v>
      </c>
      <c r="AC3809">
        <v>9</v>
      </c>
      <c r="AD3809">
        <v>3</v>
      </c>
      <c r="AE3809">
        <v>0</v>
      </c>
      <c r="AF3809">
        <v>9</v>
      </c>
      <c r="AG3809" t="s">
        <v>158</v>
      </c>
      <c r="AH3809">
        <v>0</v>
      </c>
      <c r="AI3809">
        <v>3</v>
      </c>
      <c r="AJ3809">
        <v>1</v>
      </c>
      <c r="AK3809">
        <v>0</v>
      </c>
      <c r="AL3809" t="s">
        <v>7181</v>
      </c>
      <c r="AM3809">
        <v>47.046804000000002</v>
      </c>
      <c r="AN3809" t="s">
        <v>7182</v>
      </c>
      <c r="AO3809">
        <v>-123.948312</v>
      </c>
      <c r="AP3809">
        <v>100</v>
      </c>
      <c r="AQ3809">
        <v>2100</v>
      </c>
      <c r="AR3809" t="s">
        <v>118</v>
      </c>
      <c r="AS3809">
        <v>-77</v>
      </c>
      <c r="AT3809">
        <v>24</v>
      </c>
      <c r="AU3809">
        <v>-64</v>
      </c>
      <c r="BC3809">
        <v>1200</v>
      </c>
      <c r="BD3809">
        <v>1</v>
      </c>
      <c r="BE3809" t="str">
        <f t="shared" si="179"/>
        <v xml:space="preserve">N215T   </v>
      </c>
      <c r="BF3809">
        <v>1</v>
      </c>
      <c r="BH3809">
        <v>0</v>
      </c>
      <c r="BI3809">
        <v>0</v>
      </c>
      <c r="BJ3809">
        <v>0</v>
      </c>
      <c r="BK3809">
        <v>2500</v>
      </c>
      <c r="BL3809">
        <v>400</v>
      </c>
      <c r="BM3809" t="s">
        <v>119</v>
      </c>
      <c r="BN3809">
        <v>1</v>
      </c>
      <c r="BO3809">
        <v>1</v>
      </c>
      <c r="BP3809">
        <v>1</v>
      </c>
      <c r="BQ3809">
        <v>0</v>
      </c>
      <c r="BT3809">
        <v>0</v>
      </c>
      <c r="BU3809">
        <v>0</v>
      </c>
      <c r="BV3809">
        <v>0</v>
      </c>
      <c r="CC3809" t="str">
        <f>"19:38:29.469"</f>
        <v>19:38:29.469</v>
      </c>
      <c r="CD3809" t="str">
        <f>"471729629"</f>
        <v>471729629</v>
      </c>
      <c r="CQ3809">
        <v>0</v>
      </c>
      <c r="CR3809">
        <v>2</v>
      </c>
      <c r="CS3809">
        <v>0</v>
      </c>
      <c r="CT3809">
        <v>2</v>
      </c>
      <c r="CU3809">
        <v>0</v>
      </c>
      <c r="CV3809">
        <v>3</v>
      </c>
      <c r="CW3809" t="s">
        <v>120</v>
      </c>
      <c r="CX3809">
        <v>257</v>
      </c>
      <c r="CY3809">
        <v>0</v>
      </c>
      <c r="CZ3809" t="s">
        <v>615</v>
      </c>
      <c r="DA3809" t="s">
        <v>616</v>
      </c>
      <c r="DD3809">
        <v>16575521</v>
      </c>
      <c r="DE3809" t="s">
        <v>123</v>
      </c>
    </row>
    <row r="3810" spans="1:109" x14ac:dyDescent="0.3">
      <c r="A3810" t="str">
        <f>"19:38:30.633"</f>
        <v>19:38:30.633</v>
      </c>
      <c r="B3810" t="s">
        <v>110</v>
      </c>
      <c r="C3810" t="str">
        <f t="shared" si="177"/>
        <v>ffdfd3c0</v>
      </c>
      <c r="D3810" t="s">
        <v>111</v>
      </c>
      <c r="E3810">
        <v>18</v>
      </c>
      <c r="F3810">
        <v>1018</v>
      </c>
      <c r="G3810" t="s">
        <v>112</v>
      </c>
      <c r="J3810" t="s">
        <v>113</v>
      </c>
      <c r="K3810">
        <v>0</v>
      </c>
      <c r="L3810">
        <v>3</v>
      </c>
      <c r="M3810">
        <v>0</v>
      </c>
      <c r="N3810">
        <v>2</v>
      </c>
      <c r="O3810">
        <v>1</v>
      </c>
      <c r="P3810">
        <v>0</v>
      </c>
      <c r="Q3810">
        <v>0</v>
      </c>
      <c r="R3810" t="s">
        <v>114</v>
      </c>
      <c r="S3810" t="str">
        <f>"19:38:30.414"</f>
        <v>19:38:30.414</v>
      </c>
      <c r="T3810" t="str">
        <f>"19:38:30.016"</f>
        <v>19:38:30.016</v>
      </c>
      <c r="U3810" t="str">
        <f t="shared" si="178"/>
        <v>a1cdbe</v>
      </c>
      <c r="V3810">
        <v>0</v>
      </c>
      <c r="W3810">
        <v>0</v>
      </c>
      <c r="X3810">
        <v>2</v>
      </c>
      <c r="Y3810">
        <v>0</v>
      </c>
      <c r="Z3810">
        <v>0</v>
      </c>
      <c r="AB3810">
        <v>0</v>
      </c>
      <c r="AC3810">
        <v>9</v>
      </c>
      <c r="AD3810">
        <v>3</v>
      </c>
      <c r="AE3810">
        <v>0</v>
      </c>
      <c r="AF3810">
        <v>9</v>
      </c>
      <c r="AG3810" t="s">
        <v>158</v>
      </c>
      <c r="AH3810">
        <v>0</v>
      </c>
      <c r="AI3810">
        <v>3</v>
      </c>
      <c r="AJ3810">
        <v>1</v>
      </c>
      <c r="AK3810">
        <v>0</v>
      </c>
      <c r="AL3810" t="s">
        <v>7183</v>
      </c>
      <c r="AM3810">
        <v>47.046933000000003</v>
      </c>
      <c r="AN3810" t="s">
        <v>7184</v>
      </c>
      <c r="AO3810">
        <v>-123.948784</v>
      </c>
      <c r="AP3810">
        <v>100</v>
      </c>
      <c r="AQ3810">
        <v>2100</v>
      </c>
      <c r="AR3810" t="s">
        <v>118</v>
      </c>
      <c r="AS3810">
        <v>-77</v>
      </c>
      <c r="AT3810">
        <v>25</v>
      </c>
      <c r="AU3810">
        <v>-64</v>
      </c>
      <c r="BC3810">
        <v>1200</v>
      </c>
      <c r="BD3810">
        <v>1</v>
      </c>
      <c r="BE3810" t="str">
        <f t="shared" si="179"/>
        <v xml:space="preserve">N215T   </v>
      </c>
      <c r="BF3810">
        <v>1</v>
      </c>
      <c r="BH3810">
        <v>0</v>
      </c>
      <c r="BI3810">
        <v>0</v>
      </c>
      <c r="BJ3810">
        <v>0</v>
      </c>
      <c r="BK3810">
        <v>2500</v>
      </c>
      <c r="BL3810">
        <v>400</v>
      </c>
      <c r="BM3810" t="s">
        <v>119</v>
      </c>
      <c r="BN3810">
        <v>1</v>
      </c>
      <c r="BO3810">
        <v>1</v>
      </c>
      <c r="BP3810">
        <v>1</v>
      </c>
      <c r="BQ3810">
        <v>0</v>
      </c>
      <c r="BT3810">
        <v>0</v>
      </c>
      <c r="BU3810">
        <v>0</v>
      </c>
      <c r="BV3810">
        <v>0</v>
      </c>
      <c r="CC3810" t="str">
        <f>"19:38:30.414"</f>
        <v>19:38:30.414</v>
      </c>
      <c r="CD3810" t="str">
        <f>"416636577"</f>
        <v>416636577</v>
      </c>
      <c r="CQ3810">
        <v>0</v>
      </c>
      <c r="CR3810">
        <v>2</v>
      </c>
      <c r="CS3810">
        <v>0</v>
      </c>
      <c r="CT3810">
        <v>2</v>
      </c>
      <c r="CU3810">
        <v>0</v>
      </c>
      <c r="CV3810">
        <v>2</v>
      </c>
      <c r="CW3810" t="s">
        <v>120</v>
      </c>
      <c r="CX3810">
        <v>257</v>
      </c>
      <c r="CY3810">
        <v>0</v>
      </c>
      <c r="CZ3810" t="s">
        <v>615</v>
      </c>
      <c r="DA3810" t="s">
        <v>616</v>
      </c>
      <c r="DD3810">
        <v>16575812</v>
      </c>
      <c r="DE3810" t="s">
        <v>123</v>
      </c>
    </row>
    <row r="3811" spans="1:109" x14ac:dyDescent="0.3">
      <c r="A3811" t="str">
        <f>"19:38:31.789"</f>
        <v>19:38:31.789</v>
      </c>
      <c r="B3811" t="s">
        <v>110</v>
      </c>
      <c r="C3811" t="str">
        <f t="shared" si="177"/>
        <v>ffdfd3c0</v>
      </c>
      <c r="D3811" t="s">
        <v>111</v>
      </c>
      <c r="E3811">
        <v>18</v>
      </c>
      <c r="F3811">
        <v>1018</v>
      </c>
      <c r="G3811" t="s">
        <v>112</v>
      </c>
      <c r="J3811" t="s">
        <v>113</v>
      </c>
      <c r="K3811">
        <v>0</v>
      </c>
      <c r="L3811">
        <v>3</v>
      </c>
      <c r="M3811">
        <v>0</v>
      </c>
      <c r="N3811">
        <v>2</v>
      </c>
      <c r="O3811">
        <v>1</v>
      </c>
      <c r="P3811">
        <v>0</v>
      </c>
      <c r="Q3811">
        <v>0</v>
      </c>
      <c r="R3811" t="s">
        <v>114</v>
      </c>
      <c r="S3811" t="str">
        <f>"19:38:31.508"</f>
        <v>19:38:31.508</v>
      </c>
      <c r="T3811" t="str">
        <f>"19:38:31.508"</f>
        <v>19:38:31.508</v>
      </c>
      <c r="U3811" t="str">
        <f t="shared" si="178"/>
        <v>a1cdbe</v>
      </c>
      <c r="V3811">
        <v>0</v>
      </c>
      <c r="W3811">
        <v>0</v>
      </c>
      <c r="X3811">
        <v>2</v>
      </c>
      <c r="Y3811">
        <v>0</v>
      </c>
      <c r="Z3811">
        <v>0</v>
      </c>
      <c r="AB3811">
        <v>0</v>
      </c>
      <c r="AC3811">
        <v>9</v>
      </c>
      <c r="AD3811">
        <v>3</v>
      </c>
      <c r="AE3811">
        <v>0</v>
      </c>
      <c r="AF3811">
        <v>9</v>
      </c>
      <c r="AG3811" t="s">
        <v>158</v>
      </c>
      <c r="AH3811">
        <v>0</v>
      </c>
      <c r="AI3811">
        <v>3</v>
      </c>
      <c r="AJ3811">
        <v>1</v>
      </c>
      <c r="AK3811">
        <v>0</v>
      </c>
      <c r="AL3811" t="s">
        <v>7185</v>
      </c>
      <c r="AM3811">
        <v>47.047040000000003</v>
      </c>
      <c r="AN3811" t="s">
        <v>7186</v>
      </c>
      <c r="AO3811">
        <v>-123.94936300000001</v>
      </c>
      <c r="AP3811">
        <v>100</v>
      </c>
      <c r="AQ3811">
        <v>2100</v>
      </c>
      <c r="AR3811" t="s">
        <v>118</v>
      </c>
      <c r="AS3811">
        <v>-77</v>
      </c>
      <c r="AT3811">
        <v>25</v>
      </c>
      <c r="AU3811">
        <v>-64</v>
      </c>
      <c r="BC3811">
        <v>1200</v>
      </c>
      <c r="BD3811">
        <v>1</v>
      </c>
      <c r="BE3811" t="str">
        <f t="shared" si="179"/>
        <v xml:space="preserve">N215T   </v>
      </c>
      <c r="BF3811">
        <v>1</v>
      </c>
      <c r="BH3811">
        <v>0</v>
      </c>
      <c r="BI3811">
        <v>0</v>
      </c>
      <c r="BJ3811">
        <v>0</v>
      </c>
      <c r="BK3811">
        <v>2500</v>
      </c>
      <c r="BL3811">
        <v>400</v>
      </c>
      <c r="BM3811" t="s">
        <v>119</v>
      </c>
      <c r="BN3811">
        <v>1</v>
      </c>
      <c r="BO3811">
        <v>1</v>
      </c>
      <c r="BP3811">
        <v>1</v>
      </c>
      <c r="BQ3811">
        <v>0</v>
      </c>
      <c r="BT3811">
        <v>0</v>
      </c>
      <c r="BU3811">
        <v>0</v>
      </c>
      <c r="BV3811">
        <v>0</v>
      </c>
      <c r="CC3811" t="str">
        <f>"19:38:31.508"</f>
        <v>19:38:31.508</v>
      </c>
      <c r="CD3811" t="str">
        <f>"511528742"</f>
        <v>511528742</v>
      </c>
      <c r="CQ3811">
        <v>0</v>
      </c>
      <c r="CR3811">
        <v>2</v>
      </c>
      <c r="CS3811">
        <v>0</v>
      </c>
      <c r="CT3811">
        <v>2</v>
      </c>
      <c r="CU3811">
        <v>0</v>
      </c>
      <c r="CV3811">
        <v>1</v>
      </c>
      <c r="CW3811" t="s">
        <v>120</v>
      </c>
      <c r="CX3811">
        <v>257</v>
      </c>
      <c r="CY3811">
        <v>0</v>
      </c>
      <c r="CZ3811" t="s">
        <v>615</v>
      </c>
      <c r="DA3811" t="s">
        <v>616</v>
      </c>
      <c r="DD3811">
        <v>16576187</v>
      </c>
      <c r="DE3811" t="s">
        <v>123</v>
      </c>
    </row>
    <row r="3812" spans="1:109" x14ac:dyDescent="0.3">
      <c r="A3812" t="str">
        <f>"19:38:32.789"</f>
        <v>19:38:32.789</v>
      </c>
      <c r="B3812" t="s">
        <v>110</v>
      </c>
      <c r="C3812" t="str">
        <f t="shared" si="177"/>
        <v>ffdfd3c0</v>
      </c>
      <c r="D3812" t="s">
        <v>111</v>
      </c>
      <c r="E3812">
        <v>18</v>
      </c>
      <c r="F3812">
        <v>1018</v>
      </c>
      <c r="G3812" t="s">
        <v>112</v>
      </c>
      <c r="J3812" t="s">
        <v>113</v>
      </c>
      <c r="K3812">
        <v>0</v>
      </c>
      <c r="L3812">
        <v>3</v>
      </c>
      <c r="M3812">
        <v>0</v>
      </c>
      <c r="N3812">
        <v>2</v>
      </c>
      <c r="O3812">
        <v>1</v>
      </c>
      <c r="P3812">
        <v>0</v>
      </c>
      <c r="Q3812">
        <v>0</v>
      </c>
      <c r="R3812" t="s">
        <v>114</v>
      </c>
      <c r="S3812" t="str">
        <f>"19:38:32.539"</f>
        <v>19:38:32.539</v>
      </c>
      <c r="T3812" t="str">
        <f>"19:38:32.438"</f>
        <v>19:38:32.438</v>
      </c>
      <c r="U3812" t="str">
        <f t="shared" si="178"/>
        <v>a1cdbe</v>
      </c>
      <c r="V3812">
        <v>0</v>
      </c>
      <c r="W3812">
        <v>0</v>
      </c>
      <c r="X3812">
        <v>2</v>
      </c>
      <c r="Y3812">
        <v>0</v>
      </c>
      <c r="Z3812">
        <v>0</v>
      </c>
      <c r="AB3812">
        <v>0</v>
      </c>
      <c r="AC3812">
        <v>9</v>
      </c>
      <c r="AD3812">
        <v>3</v>
      </c>
      <c r="AE3812">
        <v>0</v>
      </c>
      <c r="AF3812">
        <v>9</v>
      </c>
      <c r="AG3812" t="s">
        <v>158</v>
      </c>
      <c r="AH3812">
        <v>0</v>
      </c>
      <c r="AI3812">
        <v>3</v>
      </c>
      <c r="AJ3812">
        <v>1</v>
      </c>
      <c r="AK3812">
        <v>0</v>
      </c>
      <c r="AL3812" t="s">
        <v>7187</v>
      </c>
      <c r="AM3812">
        <v>47.047168999999997</v>
      </c>
      <c r="AN3812" t="s">
        <v>7188</v>
      </c>
      <c r="AO3812">
        <v>-123.949878</v>
      </c>
      <c r="AP3812">
        <v>100</v>
      </c>
      <c r="AQ3812">
        <v>2100</v>
      </c>
      <c r="AR3812" t="s">
        <v>118</v>
      </c>
      <c r="AS3812">
        <v>-77</v>
      </c>
      <c r="AT3812">
        <v>26</v>
      </c>
      <c r="AU3812">
        <v>-128</v>
      </c>
      <c r="BC3812">
        <v>1200</v>
      </c>
      <c r="BD3812">
        <v>1</v>
      </c>
      <c r="BE3812" t="str">
        <f t="shared" si="179"/>
        <v xml:space="preserve">N215T   </v>
      </c>
      <c r="BF3812">
        <v>1</v>
      </c>
      <c r="BH3812">
        <v>0</v>
      </c>
      <c r="BI3812">
        <v>0</v>
      </c>
      <c r="BJ3812">
        <v>0</v>
      </c>
      <c r="BK3812">
        <v>2500</v>
      </c>
      <c r="BL3812">
        <v>400</v>
      </c>
      <c r="BM3812" t="s">
        <v>119</v>
      </c>
      <c r="BN3812">
        <v>1</v>
      </c>
      <c r="BO3812">
        <v>1</v>
      </c>
      <c r="BP3812">
        <v>1</v>
      </c>
      <c r="BQ3812">
        <v>0</v>
      </c>
      <c r="BT3812">
        <v>0</v>
      </c>
      <c r="BU3812">
        <v>0</v>
      </c>
      <c r="BV3812">
        <v>0</v>
      </c>
      <c r="CC3812" t="str">
        <f>"19:38:32.547"</f>
        <v>19:38:32.547</v>
      </c>
      <c r="CD3812" t="str">
        <f>"546426814"</f>
        <v>546426814</v>
      </c>
      <c r="CQ3812">
        <v>0</v>
      </c>
      <c r="CR3812">
        <v>2</v>
      </c>
      <c r="CS3812">
        <v>0</v>
      </c>
      <c r="CT3812">
        <v>2</v>
      </c>
      <c r="CU3812">
        <v>0</v>
      </c>
      <c r="CV3812">
        <v>4</v>
      </c>
      <c r="CW3812" t="s">
        <v>120</v>
      </c>
      <c r="CX3812">
        <v>257</v>
      </c>
      <c r="CY3812">
        <v>0</v>
      </c>
      <c r="CZ3812" t="s">
        <v>615</v>
      </c>
      <c r="DA3812" t="s">
        <v>616</v>
      </c>
      <c r="DD3812">
        <v>16576529</v>
      </c>
      <c r="DE3812" t="s">
        <v>123</v>
      </c>
    </row>
    <row r="3813" spans="1:109" x14ac:dyDescent="0.3">
      <c r="A3813" t="str">
        <f>"19:38:33.695"</f>
        <v>19:38:33.695</v>
      </c>
      <c r="B3813" t="s">
        <v>110</v>
      </c>
      <c r="C3813" t="str">
        <f t="shared" si="177"/>
        <v>ffdfd3c0</v>
      </c>
      <c r="D3813" t="s">
        <v>111</v>
      </c>
      <c r="E3813">
        <v>18</v>
      </c>
      <c r="F3813">
        <v>1018</v>
      </c>
      <c r="G3813" t="s">
        <v>112</v>
      </c>
      <c r="J3813" t="s">
        <v>113</v>
      </c>
      <c r="K3813">
        <v>0</v>
      </c>
      <c r="L3813">
        <v>3</v>
      </c>
      <c r="M3813">
        <v>0</v>
      </c>
      <c r="N3813">
        <v>2</v>
      </c>
      <c r="O3813">
        <v>1</v>
      </c>
      <c r="P3813">
        <v>0</v>
      </c>
      <c r="Q3813">
        <v>0</v>
      </c>
      <c r="R3813" t="s">
        <v>114</v>
      </c>
      <c r="S3813" t="str">
        <f>"19:38:33.461"</f>
        <v>19:38:33.461</v>
      </c>
      <c r="T3813" t="str">
        <f>"19:38:33.461"</f>
        <v>19:38:33.461</v>
      </c>
      <c r="U3813" t="str">
        <f t="shared" si="178"/>
        <v>a1cdbe</v>
      </c>
      <c r="V3813">
        <v>0</v>
      </c>
      <c r="W3813">
        <v>0</v>
      </c>
      <c r="X3813">
        <v>2</v>
      </c>
      <c r="Y3813">
        <v>0</v>
      </c>
      <c r="Z3813">
        <v>0</v>
      </c>
      <c r="AB3813">
        <v>0</v>
      </c>
      <c r="AC3813">
        <v>9</v>
      </c>
      <c r="AD3813">
        <v>3</v>
      </c>
      <c r="AE3813">
        <v>0</v>
      </c>
      <c r="AF3813">
        <v>9</v>
      </c>
      <c r="AG3813" t="s">
        <v>158</v>
      </c>
      <c r="AH3813">
        <v>0</v>
      </c>
      <c r="AI3813">
        <v>3</v>
      </c>
      <c r="AJ3813">
        <v>1</v>
      </c>
      <c r="AK3813">
        <v>0</v>
      </c>
      <c r="AL3813" t="s">
        <v>7189</v>
      </c>
      <c r="AM3813">
        <v>47.047275999999997</v>
      </c>
      <c r="AN3813" t="s">
        <v>7190</v>
      </c>
      <c r="AO3813">
        <v>-123.95035</v>
      </c>
      <c r="AP3813">
        <v>100</v>
      </c>
      <c r="AQ3813">
        <v>2100</v>
      </c>
      <c r="AR3813" t="s">
        <v>118</v>
      </c>
      <c r="AS3813">
        <v>-77</v>
      </c>
      <c r="AT3813">
        <v>27</v>
      </c>
      <c r="AU3813">
        <v>-128</v>
      </c>
      <c r="BC3813">
        <v>1200</v>
      </c>
      <c r="BD3813">
        <v>1</v>
      </c>
      <c r="BE3813" t="str">
        <f t="shared" si="179"/>
        <v xml:space="preserve">N215T   </v>
      </c>
      <c r="BF3813">
        <v>1</v>
      </c>
      <c r="BH3813">
        <v>0</v>
      </c>
      <c r="BI3813">
        <v>0</v>
      </c>
      <c r="BJ3813">
        <v>0</v>
      </c>
      <c r="BK3813">
        <v>2500</v>
      </c>
      <c r="BL3813">
        <v>400</v>
      </c>
      <c r="BM3813" t="s">
        <v>119</v>
      </c>
      <c r="BN3813">
        <v>1</v>
      </c>
      <c r="BO3813">
        <v>1</v>
      </c>
      <c r="BP3813">
        <v>1</v>
      </c>
      <c r="BQ3813">
        <v>0</v>
      </c>
      <c r="BT3813">
        <v>0</v>
      </c>
      <c r="BU3813">
        <v>0</v>
      </c>
      <c r="BV3813">
        <v>0</v>
      </c>
      <c r="CC3813" t="str">
        <f>"19:38:33.461"</f>
        <v>19:38:33.461</v>
      </c>
      <c r="CD3813" t="str">
        <f>"461336685"</f>
        <v>461336685</v>
      </c>
      <c r="CQ3813">
        <v>0</v>
      </c>
      <c r="CR3813">
        <v>2</v>
      </c>
      <c r="CS3813">
        <v>0</v>
      </c>
      <c r="CT3813">
        <v>2</v>
      </c>
      <c r="CU3813">
        <v>0</v>
      </c>
      <c r="CV3813">
        <v>2</v>
      </c>
      <c r="CW3813" t="s">
        <v>120</v>
      </c>
      <c r="CX3813">
        <v>257</v>
      </c>
      <c r="CY3813">
        <v>0</v>
      </c>
      <c r="CZ3813" t="s">
        <v>615</v>
      </c>
      <c r="DA3813" t="s">
        <v>616</v>
      </c>
      <c r="DD3813">
        <v>16576852</v>
      </c>
      <c r="DE3813" t="s">
        <v>123</v>
      </c>
    </row>
    <row r="3814" spans="1:109" x14ac:dyDescent="0.3">
      <c r="A3814" t="str">
        <f>"19:38:34.750"</f>
        <v>19:38:34.750</v>
      </c>
      <c r="B3814" t="s">
        <v>110</v>
      </c>
      <c r="C3814" t="str">
        <f t="shared" si="177"/>
        <v>ffdfd3c0</v>
      </c>
      <c r="D3814" t="s">
        <v>111</v>
      </c>
      <c r="E3814">
        <v>18</v>
      </c>
      <c r="F3814">
        <v>1018</v>
      </c>
      <c r="G3814" t="s">
        <v>112</v>
      </c>
      <c r="J3814" t="s">
        <v>113</v>
      </c>
      <c r="K3814">
        <v>0</v>
      </c>
      <c r="L3814">
        <v>3</v>
      </c>
      <c r="M3814">
        <v>0</v>
      </c>
      <c r="N3814">
        <v>2</v>
      </c>
      <c r="O3814">
        <v>1</v>
      </c>
      <c r="P3814">
        <v>0</v>
      </c>
      <c r="Q3814">
        <v>0</v>
      </c>
      <c r="R3814" t="s">
        <v>114</v>
      </c>
      <c r="S3814" t="str">
        <f>"19:38:34.508"</f>
        <v>19:38:34.508</v>
      </c>
      <c r="T3814" t="str">
        <f>"19:38:34.109"</f>
        <v>19:38:34.109</v>
      </c>
      <c r="U3814" t="str">
        <f t="shared" si="178"/>
        <v>a1cdbe</v>
      </c>
      <c r="V3814">
        <v>0</v>
      </c>
      <c r="W3814">
        <v>0</v>
      </c>
      <c r="X3814">
        <v>2</v>
      </c>
      <c r="Y3814">
        <v>0</v>
      </c>
      <c r="Z3814">
        <v>0</v>
      </c>
      <c r="AB3814">
        <v>0</v>
      </c>
      <c r="AC3814">
        <v>9</v>
      </c>
      <c r="AD3814">
        <v>3</v>
      </c>
      <c r="AE3814">
        <v>0</v>
      </c>
      <c r="AF3814">
        <v>9</v>
      </c>
      <c r="AG3814" t="s">
        <v>158</v>
      </c>
      <c r="AH3814">
        <v>0</v>
      </c>
      <c r="AI3814">
        <v>3</v>
      </c>
      <c r="AJ3814">
        <v>1</v>
      </c>
      <c r="AK3814">
        <v>0</v>
      </c>
      <c r="AL3814" t="s">
        <v>7191</v>
      </c>
      <c r="AM3814">
        <v>47.047384000000001</v>
      </c>
      <c r="AN3814" t="s">
        <v>7192</v>
      </c>
      <c r="AO3814">
        <v>-123.950908</v>
      </c>
      <c r="AP3814">
        <v>100</v>
      </c>
      <c r="AQ3814">
        <v>2100</v>
      </c>
      <c r="AR3814" t="s">
        <v>118</v>
      </c>
      <c r="AS3814">
        <v>-76</v>
      </c>
      <c r="AT3814">
        <v>27</v>
      </c>
      <c r="AU3814">
        <v>-128</v>
      </c>
      <c r="BC3814">
        <v>1200</v>
      </c>
      <c r="BD3814">
        <v>1</v>
      </c>
      <c r="BE3814" t="str">
        <f t="shared" si="179"/>
        <v xml:space="preserve">N215T   </v>
      </c>
      <c r="BF3814">
        <v>1</v>
      </c>
      <c r="BH3814">
        <v>0</v>
      </c>
      <c r="BI3814">
        <v>0</v>
      </c>
      <c r="BJ3814">
        <v>0</v>
      </c>
      <c r="BK3814">
        <v>2500</v>
      </c>
      <c r="BL3814">
        <v>400</v>
      </c>
      <c r="BM3814" t="s">
        <v>119</v>
      </c>
      <c r="BN3814">
        <v>1</v>
      </c>
      <c r="BO3814">
        <v>1</v>
      </c>
      <c r="BP3814">
        <v>1</v>
      </c>
      <c r="BQ3814">
        <v>0</v>
      </c>
      <c r="BT3814">
        <v>0</v>
      </c>
      <c r="BU3814">
        <v>0</v>
      </c>
      <c r="BV3814">
        <v>0</v>
      </c>
      <c r="CC3814" t="str">
        <f>"19:38:34.508"</f>
        <v>19:38:34.508</v>
      </c>
      <c r="CD3814" t="str">
        <f>"511233320"</f>
        <v>511233320</v>
      </c>
      <c r="CQ3814">
        <v>0</v>
      </c>
      <c r="CR3814">
        <v>2</v>
      </c>
      <c r="CS3814">
        <v>0</v>
      </c>
      <c r="CT3814">
        <v>2</v>
      </c>
      <c r="CU3814">
        <v>0</v>
      </c>
      <c r="CV3814">
        <v>2</v>
      </c>
      <c r="CW3814" t="s">
        <v>120</v>
      </c>
      <c r="CX3814">
        <v>257</v>
      </c>
      <c r="CY3814">
        <v>0</v>
      </c>
      <c r="CZ3814" t="s">
        <v>615</v>
      </c>
      <c r="DA3814" t="s">
        <v>616</v>
      </c>
      <c r="DD3814">
        <v>16577183</v>
      </c>
      <c r="DE3814" t="s">
        <v>123</v>
      </c>
    </row>
    <row r="3815" spans="1:109" x14ac:dyDescent="0.3">
      <c r="A3815" t="str">
        <f>"19:38:35.711"</f>
        <v>19:38:35.711</v>
      </c>
      <c r="B3815" t="s">
        <v>110</v>
      </c>
      <c r="C3815" t="str">
        <f t="shared" si="177"/>
        <v>ffdfd3c0</v>
      </c>
      <c r="D3815" t="s">
        <v>111</v>
      </c>
      <c r="E3815">
        <v>18</v>
      </c>
      <c r="F3815">
        <v>1018</v>
      </c>
      <c r="G3815" t="s">
        <v>112</v>
      </c>
      <c r="J3815" t="s">
        <v>113</v>
      </c>
      <c r="K3815">
        <v>0</v>
      </c>
      <c r="L3815">
        <v>3</v>
      </c>
      <c r="M3815">
        <v>0</v>
      </c>
      <c r="N3815">
        <v>2</v>
      </c>
      <c r="O3815">
        <v>1</v>
      </c>
      <c r="P3815">
        <v>0</v>
      </c>
      <c r="Q3815">
        <v>0</v>
      </c>
      <c r="R3815" t="s">
        <v>114</v>
      </c>
      <c r="S3815" t="str">
        <f>"19:38:35.469"</f>
        <v>19:38:35.469</v>
      </c>
      <c r="T3815" t="str">
        <f>"19:38:34.672"</f>
        <v>19:38:34.672</v>
      </c>
      <c r="U3815" t="str">
        <f t="shared" si="178"/>
        <v>a1cdbe</v>
      </c>
      <c r="V3815">
        <v>0</v>
      </c>
      <c r="W3815">
        <v>0</v>
      </c>
      <c r="X3815">
        <v>2</v>
      </c>
      <c r="Y3815">
        <v>0</v>
      </c>
      <c r="Z3815">
        <v>0</v>
      </c>
      <c r="AB3815">
        <v>0</v>
      </c>
      <c r="AC3815">
        <v>9</v>
      </c>
      <c r="AD3815">
        <v>3</v>
      </c>
      <c r="AE3815">
        <v>0</v>
      </c>
      <c r="AF3815">
        <v>9</v>
      </c>
      <c r="AG3815" t="s">
        <v>158</v>
      </c>
      <c r="AH3815">
        <v>0</v>
      </c>
      <c r="AI3815">
        <v>3</v>
      </c>
      <c r="AJ3815">
        <v>1</v>
      </c>
      <c r="AK3815">
        <v>0</v>
      </c>
      <c r="AL3815" t="s">
        <v>7193</v>
      </c>
      <c r="AM3815">
        <v>47.047555000000003</v>
      </c>
      <c r="AN3815" t="s">
        <v>7194</v>
      </c>
      <c r="AO3815">
        <v>-123.95142300000001</v>
      </c>
      <c r="AP3815">
        <v>100</v>
      </c>
      <c r="AQ3815">
        <v>2100</v>
      </c>
      <c r="AR3815" t="s">
        <v>118</v>
      </c>
      <c r="AS3815">
        <v>-76</v>
      </c>
      <c r="AT3815">
        <v>28</v>
      </c>
      <c r="AU3815">
        <v>-128</v>
      </c>
      <c r="BC3815">
        <v>1200</v>
      </c>
      <c r="BD3815">
        <v>1</v>
      </c>
      <c r="BE3815" t="str">
        <f t="shared" si="179"/>
        <v xml:space="preserve">N215T   </v>
      </c>
      <c r="BF3815">
        <v>1</v>
      </c>
      <c r="BH3815">
        <v>0</v>
      </c>
      <c r="BI3815">
        <v>0</v>
      </c>
      <c r="BJ3815">
        <v>0</v>
      </c>
      <c r="BK3815">
        <v>2500</v>
      </c>
      <c r="BL3815">
        <v>400</v>
      </c>
      <c r="BM3815" t="s">
        <v>119</v>
      </c>
      <c r="BN3815">
        <v>1</v>
      </c>
      <c r="BO3815">
        <v>1</v>
      </c>
      <c r="BP3815">
        <v>1</v>
      </c>
      <c r="BQ3815">
        <v>0</v>
      </c>
      <c r="BT3815">
        <v>0</v>
      </c>
      <c r="BU3815">
        <v>0</v>
      </c>
      <c r="BV3815">
        <v>0</v>
      </c>
      <c r="CC3815" t="str">
        <f>"19:38:35.469"</f>
        <v>19:38:35.469</v>
      </c>
      <c r="CD3815" t="str">
        <f>"471138760"</f>
        <v>471138760</v>
      </c>
      <c r="CQ3815">
        <v>0</v>
      </c>
      <c r="CR3815">
        <v>2</v>
      </c>
      <c r="CS3815">
        <v>0</v>
      </c>
      <c r="CT3815">
        <v>2</v>
      </c>
      <c r="CU3815">
        <v>0</v>
      </c>
      <c r="CV3815">
        <v>3</v>
      </c>
      <c r="CW3815" t="s">
        <v>120</v>
      </c>
      <c r="CX3815">
        <v>257</v>
      </c>
      <c r="CY3815">
        <v>0</v>
      </c>
      <c r="CZ3815" t="s">
        <v>615</v>
      </c>
      <c r="DA3815" t="s">
        <v>616</v>
      </c>
      <c r="DD3815">
        <v>16577506</v>
      </c>
      <c r="DE3815" t="s">
        <v>123</v>
      </c>
    </row>
    <row r="3816" spans="1:109" x14ac:dyDescent="0.3">
      <c r="A3816" t="str">
        <f>"19:38:36.867"</f>
        <v>19:38:36.867</v>
      </c>
      <c r="B3816" t="s">
        <v>110</v>
      </c>
      <c r="C3816" t="str">
        <f t="shared" si="177"/>
        <v>ffdfd3c0</v>
      </c>
      <c r="D3816" t="s">
        <v>111</v>
      </c>
      <c r="E3816">
        <v>18</v>
      </c>
      <c r="F3816">
        <v>1018</v>
      </c>
      <c r="G3816" t="s">
        <v>112</v>
      </c>
      <c r="J3816" t="s">
        <v>113</v>
      </c>
      <c r="K3816">
        <v>0</v>
      </c>
      <c r="L3816">
        <v>3</v>
      </c>
      <c r="M3816">
        <v>0</v>
      </c>
      <c r="N3816">
        <v>2</v>
      </c>
      <c r="O3816">
        <v>1</v>
      </c>
      <c r="P3816">
        <v>0</v>
      </c>
      <c r="Q3816">
        <v>0</v>
      </c>
      <c r="R3816" t="s">
        <v>114</v>
      </c>
      <c r="S3816" t="str">
        <f>"19:38:36.641"</f>
        <v>19:38:36.641</v>
      </c>
      <c r="T3816" t="str">
        <f>"19:38:36.438"</f>
        <v>19:38:36.438</v>
      </c>
      <c r="U3816" t="str">
        <f t="shared" si="178"/>
        <v>a1cdbe</v>
      </c>
      <c r="V3816">
        <v>0</v>
      </c>
      <c r="W3816">
        <v>0</v>
      </c>
      <c r="X3816">
        <v>2</v>
      </c>
      <c r="Y3816">
        <v>0</v>
      </c>
      <c r="Z3816">
        <v>0</v>
      </c>
      <c r="AB3816">
        <v>0</v>
      </c>
      <c r="AC3816">
        <v>9</v>
      </c>
      <c r="AD3816">
        <v>3</v>
      </c>
      <c r="AE3816">
        <v>0</v>
      </c>
      <c r="AF3816">
        <v>9</v>
      </c>
      <c r="AG3816" t="s">
        <v>158</v>
      </c>
      <c r="AH3816">
        <v>0</v>
      </c>
      <c r="AI3816">
        <v>3</v>
      </c>
      <c r="AJ3816">
        <v>1</v>
      </c>
      <c r="AK3816">
        <v>0</v>
      </c>
      <c r="AL3816" t="s">
        <v>7195</v>
      </c>
      <c r="AM3816">
        <v>47.047683999999997</v>
      </c>
      <c r="AN3816" t="s">
        <v>7196</v>
      </c>
      <c r="AO3816">
        <v>-123.951981</v>
      </c>
      <c r="AP3816">
        <v>100</v>
      </c>
      <c r="AQ3816">
        <v>2100</v>
      </c>
      <c r="AR3816" t="s">
        <v>118</v>
      </c>
      <c r="AS3816">
        <v>-76</v>
      </c>
      <c r="AT3816">
        <v>29</v>
      </c>
      <c r="AU3816">
        <v>-64</v>
      </c>
      <c r="BC3816">
        <v>1200</v>
      </c>
      <c r="BD3816">
        <v>1</v>
      </c>
      <c r="BE3816" t="str">
        <f t="shared" si="179"/>
        <v xml:space="preserve">N215T   </v>
      </c>
      <c r="BF3816">
        <v>1</v>
      </c>
      <c r="BH3816">
        <v>0</v>
      </c>
      <c r="BI3816">
        <v>0</v>
      </c>
      <c r="BJ3816">
        <v>0</v>
      </c>
      <c r="BK3816">
        <v>2500</v>
      </c>
      <c r="BL3816">
        <v>400</v>
      </c>
      <c r="BM3816" t="s">
        <v>119</v>
      </c>
      <c r="BN3816">
        <v>1</v>
      </c>
      <c r="BO3816">
        <v>1</v>
      </c>
      <c r="BP3816">
        <v>1</v>
      </c>
      <c r="BQ3816">
        <v>0</v>
      </c>
      <c r="BT3816">
        <v>0</v>
      </c>
      <c r="BU3816">
        <v>0</v>
      </c>
      <c r="BV3816">
        <v>0</v>
      </c>
      <c r="CC3816" t="str">
        <f>"19:38:36.641"</f>
        <v>19:38:36.641</v>
      </c>
      <c r="CD3816" t="str">
        <f>"641023534"</f>
        <v>641023534</v>
      </c>
      <c r="CQ3816">
        <v>0</v>
      </c>
      <c r="CR3816">
        <v>2</v>
      </c>
      <c r="CS3816">
        <v>0</v>
      </c>
      <c r="CT3816">
        <v>2</v>
      </c>
      <c r="CU3816">
        <v>0</v>
      </c>
      <c r="CV3816">
        <v>2</v>
      </c>
      <c r="CW3816" t="s">
        <v>120</v>
      </c>
      <c r="CX3816">
        <v>257</v>
      </c>
      <c r="CY3816">
        <v>0</v>
      </c>
      <c r="CZ3816" t="s">
        <v>615</v>
      </c>
      <c r="DA3816" t="s">
        <v>616</v>
      </c>
      <c r="DD3816">
        <v>16577923</v>
      </c>
      <c r="DE3816" t="s">
        <v>123</v>
      </c>
    </row>
    <row r="3817" spans="1:109" x14ac:dyDescent="0.3">
      <c r="A3817" t="str">
        <f>"19:38:37.820"</f>
        <v>19:38:37.820</v>
      </c>
      <c r="B3817" t="s">
        <v>110</v>
      </c>
      <c r="C3817" t="str">
        <f t="shared" si="177"/>
        <v>ffdfd3c0</v>
      </c>
      <c r="D3817" t="s">
        <v>111</v>
      </c>
      <c r="E3817">
        <v>18</v>
      </c>
      <c r="F3817">
        <v>1018</v>
      </c>
      <c r="G3817" t="s">
        <v>112</v>
      </c>
      <c r="J3817" t="s">
        <v>113</v>
      </c>
      <c r="K3817">
        <v>0</v>
      </c>
      <c r="L3817">
        <v>3</v>
      </c>
      <c r="M3817">
        <v>0</v>
      </c>
      <c r="N3817">
        <v>2</v>
      </c>
      <c r="O3817">
        <v>1</v>
      </c>
      <c r="P3817">
        <v>0</v>
      </c>
      <c r="Q3817">
        <v>0</v>
      </c>
      <c r="R3817" t="s">
        <v>114</v>
      </c>
      <c r="S3817" t="str">
        <f>"19:38:37.594"</f>
        <v>19:38:37.594</v>
      </c>
      <c r="T3817" t="str">
        <f>"19:38:37.492"</f>
        <v>19:38:37.492</v>
      </c>
      <c r="U3817" t="str">
        <f t="shared" si="178"/>
        <v>a1cdbe</v>
      </c>
      <c r="V3817">
        <v>0</v>
      </c>
      <c r="W3817">
        <v>0</v>
      </c>
      <c r="X3817">
        <v>2</v>
      </c>
      <c r="Y3817">
        <v>0</v>
      </c>
      <c r="Z3817">
        <v>0</v>
      </c>
      <c r="AB3817">
        <v>0</v>
      </c>
      <c r="AC3817">
        <v>9</v>
      </c>
      <c r="AD3817">
        <v>3</v>
      </c>
      <c r="AE3817">
        <v>0</v>
      </c>
      <c r="AF3817">
        <v>9</v>
      </c>
      <c r="AG3817" t="s">
        <v>158</v>
      </c>
      <c r="AH3817">
        <v>0</v>
      </c>
      <c r="AI3817">
        <v>3</v>
      </c>
      <c r="AJ3817">
        <v>1</v>
      </c>
      <c r="AK3817">
        <v>0</v>
      </c>
      <c r="AL3817" t="s">
        <v>7197</v>
      </c>
      <c r="AM3817">
        <v>47.047856000000003</v>
      </c>
      <c r="AN3817" t="s">
        <v>7198</v>
      </c>
      <c r="AO3817">
        <v>-123.952496</v>
      </c>
      <c r="AP3817">
        <v>100</v>
      </c>
      <c r="AQ3817">
        <v>2100</v>
      </c>
      <c r="AR3817" t="s">
        <v>118</v>
      </c>
      <c r="AS3817">
        <v>-76</v>
      </c>
      <c r="AT3817">
        <v>29</v>
      </c>
      <c r="AU3817">
        <v>-64</v>
      </c>
      <c r="BC3817">
        <v>1200</v>
      </c>
      <c r="BD3817">
        <v>1</v>
      </c>
      <c r="BE3817" t="str">
        <f t="shared" si="179"/>
        <v xml:space="preserve">N215T   </v>
      </c>
      <c r="BF3817">
        <v>1</v>
      </c>
      <c r="BH3817">
        <v>0</v>
      </c>
      <c r="BI3817">
        <v>0</v>
      </c>
      <c r="BJ3817">
        <v>0</v>
      </c>
      <c r="BK3817">
        <v>2500</v>
      </c>
      <c r="BL3817">
        <v>400</v>
      </c>
      <c r="BM3817" t="s">
        <v>119</v>
      </c>
      <c r="BN3817">
        <v>1</v>
      </c>
      <c r="BO3817">
        <v>1</v>
      </c>
      <c r="BP3817">
        <v>1</v>
      </c>
      <c r="BQ3817">
        <v>0</v>
      </c>
      <c r="BT3817">
        <v>0</v>
      </c>
      <c r="BU3817">
        <v>0</v>
      </c>
      <c r="BV3817">
        <v>0</v>
      </c>
      <c r="CC3817" t="str">
        <f>"19:38:37.602"</f>
        <v>19:38:37.602</v>
      </c>
      <c r="CD3817" t="str">
        <f>"600928986"</f>
        <v>600928986</v>
      </c>
      <c r="CQ3817">
        <v>0</v>
      </c>
      <c r="CR3817">
        <v>2</v>
      </c>
      <c r="CS3817">
        <v>0</v>
      </c>
      <c r="CT3817">
        <v>2</v>
      </c>
      <c r="CU3817">
        <v>0</v>
      </c>
      <c r="CV3817">
        <v>4</v>
      </c>
      <c r="CW3817" t="s">
        <v>120</v>
      </c>
      <c r="CX3817">
        <v>257</v>
      </c>
      <c r="CY3817">
        <v>0</v>
      </c>
      <c r="CZ3817" t="s">
        <v>615</v>
      </c>
      <c r="DA3817" t="s">
        <v>616</v>
      </c>
      <c r="DD3817">
        <v>16578249</v>
      </c>
      <c r="DE3817" t="s">
        <v>123</v>
      </c>
    </row>
    <row r="3818" spans="1:109" x14ac:dyDescent="0.3">
      <c r="A3818" t="str">
        <f>"19:38:38.828"</f>
        <v>19:38:38.828</v>
      </c>
      <c r="B3818" t="s">
        <v>110</v>
      </c>
      <c r="C3818" t="str">
        <f t="shared" si="177"/>
        <v>ffdfd3c0</v>
      </c>
      <c r="D3818" t="s">
        <v>111</v>
      </c>
      <c r="E3818">
        <v>18</v>
      </c>
      <c r="F3818">
        <v>1018</v>
      </c>
      <c r="G3818" t="s">
        <v>112</v>
      </c>
      <c r="J3818" t="s">
        <v>113</v>
      </c>
      <c r="K3818">
        <v>0</v>
      </c>
      <c r="L3818">
        <v>3</v>
      </c>
      <c r="M3818">
        <v>0</v>
      </c>
      <c r="N3818">
        <v>2</v>
      </c>
      <c r="O3818">
        <v>1</v>
      </c>
      <c r="P3818">
        <v>0</v>
      </c>
      <c r="Q3818">
        <v>0</v>
      </c>
      <c r="R3818" t="s">
        <v>114</v>
      </c>
      <c r="S3818" t="str">
        <f>"19:38:38.602"</f>
        <v>19:38:38.602</v>
      </c>
      <c r="T3818" t="str">
        <f>"19:38:38.602"</f>
        <v>19:38:38.602</v>
      </c>
      <c r="U3818" t="str">
        <f t="shared" si="178"/>
        <v>a1cdbe</v>
      </c>
      <c r="V3818">
        <v>0</v>
      </c>
      <c r="W3818">
        <v>0</v>
      </c>
      <c r="X3818">
        <v>2</v>
      </c>
      <c r="Y3818">
        <v>0</v>
      </c>
      <c r="Z3818">
        <v>0</v>
      </c>
      <c r="AB3818">
        <v>0</v>
      </c>
      <c r="AC3818">
        <v>9</v>
      </c>
      <c r="AD3818">
        <v>3</v>
      </c>
      <c r="AE3818">
        <v>0</v>
      </c>
      <c r="AF3818">
        <v>9</v>
      </c>
      <c r="AG3818" t="s">
        <v>158</v>
      </c>
      <c r="AH3818">
        <v>0</v>
      </c>
      <c r="AI3818">
        <v>3</v>
      </c>
      <c r="AJ3818">
        <v>1</v>
      </c>
      <c r="AK3818">
        <v>0</v>
      </c>
      <c r="AL3818" t="s">
        <v>7199</v>
      </c>
      <c r="AM3818">
        <v>47.047963000000003</v>
      </c>
      <c r="AN3818" t="s">
        <v>7200</v>
      </c>
      <c r="AO3818">
        <v>-123.952968</v>
      </c>
      <c r="AP3818">
        <v>100</v>
      </c>
      <c r="AQ3818">
        <v>2100</v>
      </c>
      <c r="AR3818" t="s">
        <v>118</v>
      </c>
      <c r="AS3818">
        <v>-75</v>
      </c>
      <c r="AT3818">
        <v>30</v>
      </c>
      <c r="AU3818">
        <v>0</v>
      </c>
      <c r="BC3818">
        <v>1200</v>
      </c>
      <c r="BD3818">
        <v>1</v>
      </c>
      <c r="BE3818" t="str">
        <f t="shared" si="179"/>
        <v xml:space="preserve">N215T   </v>
      </c>
      <c r="BF3818">
        <v>1</v>
      </c>
      <c r="BH3818">
        <v>0</v>
      </c>
      <c r="BI3818">
        <v>0</v>
      </c>
      <c r="BJ3818">
        <v>0</v>
      </c>
      <c r="BK3818">
        <v>2500</v>
      </c>
      <c r="BL3818">
        <v>400</v>
      </c>
      <c r="BM3818" t="s">
        <v>119</v>
      </c>
      <c r="BN3818">
        <v>1</v>
      </c>
      <c r="BO3818">
        <v>1</v>
      </c>
      <c r="BP3818">
        <v>1</v>
      </c>
      <c r="BQ3818">
        <v>0</v>
      </c>
      <c r="BT3818">
        <v>0</v>
      </c>
      <c r="BU3818">
        <v>0</v>
      </c>
      <c r="BV3818">
        <v>0</v>
      </c>
      <c r="CC3818" t="str">
        <f>"19:38:38.609"</f>
        <v>19:38:38.609</v>
      </c>
      <c r="CD3818" t="str">
        <f>"605830029"</f>
        <v>605830029</v>
      </c>
      <c r="CQ3818">
        <v>0</v>
      </c>
      <c r="CR3818">
        <v>2</v>
      </c>
      <c r="CS3818">
        <v>0</v>
      </c>
      <c r="CT3818">
        <v>2</v>
      </c>
      <c r="CU3818">
        <v>0</v>
      </c>
      <c r="CV3818">
        <v>3</v>
      </c>
      <c r="CW3818" t="s">
        <v>120</v>
      </c>
      <c r="CX3818">
        <v>257</v>
      </c>
      <c r="CY3818">
        <v>0</v>
      </c>
      <c r="CZ3818" t="s">
        <v>615</v>
      </c>
      <c r="DA3818" t="s">
        <v>616</v>
      </c>
      <c r="DD3818">
        <v>16578570</v>
      </c>
      <c r="DE3818" t="s">
        <v>123</v>
      </c>
    </row>
    <row r="3819" spans="1:109" x14ac:dyDescent="0.3">
      <c r="A3819" t="str">
        <f>"19:38:39.984"</f>
        <v>19:38:39.984</v>
      </c>
      <c r="B3819" t="s">
        <v>110</v>
      </c>
      <c r="C3819" t="str">
        <f t="shared" si="177"/>
        <v>ffdfd3c0</v>
      </c>
      <c r="D3819" t="s">
        <v>111</v>
      </c>
      <c r="E3819">
        <v>18</v>
      </c>
      <c r="F3819">
        <v>1018</v>
      </c>
      <c r="G3819" t="s">
        <v>112</v>
      </c>
      <c r="J3819" t="s">
        <v>113</v>
      </c>
      <c r="K3819">
        <v>0</v>
      </c>
      <c r="L3819">
        <v>3</v>
      </c>
      <c r="M3819">
        <v>0</v>
      </c>
      <c r="N3819">
        <v>2</v>
      </c>
      <c r="O3819">
        <v>1</v>
      </c>
      <c r="P3819">
        <v>0</v>
      </c>
      <c r="Q3819">
        <v>0</v>
      </c>
      <c r="R3819" t="s">
        <v>114</v>
      </c>
      <c r="S3819" t="str">
        <f>"19:38:39.711"</f>
        <v>19:38:39.711</v>
      </c>
      <c r="T3819" t="str">
        <f>"19:38:39.109"</f>
        <v>19:38:39.109</v>
      </c>
      <c r="U3819" t="str">
        <f t="shared" si="178"/>
        <v>a1cdbe</v>
      </c>
      <c r="V3819">
        <v>0</v>
      </c>
      <c r="W3819">
        <v>0</v>
      </c>
      <c r="X3819">
        <v>2</v>
      </c>
      <c r="Y3819">
        <v>0</v>
      </c>
      <c r="Z3819">
        <v>0</v>
      </c>
      <c r="AB3819">
        <v>0</v>
      </c>
      <c r="AC3819">
        <v>9</v>
      </c>
      <c r="AD3819">
        <v>3</v>
      </c>
      <c r="AE3819">
        <v>0</v>
      </c>
      <c r="AF3819">
        <v>9</v>
      </c>
      <c r="AG3819" t="s">
        <v>158</v>
      </c>
      <c r="AH3819">
        <v>0</v>
      </c>
      <c r="AI3819">
        <v>3</v>
      </c>
      <c r="AJ3819">
        <v>1</v>
      </c>
      <c r="AK3819">
        <v>0</v>
      </c>
      <c r="AL3819" t="s">
        <v>7201</v>
      </c>
      <c r="AM3819">
        <v>47.048135000000002</v>
      </c>
      <c r="AN3819" t="s">
        <v>7202</v>
      </c>
      <c r="AO3819">
        <v>-123.95359000000001</v>
      </c>
      <c r="AP3819">
        <v>100</v>
      </c>
      <c r="AQ3819">
        <v>2100</v>
      </c>
      <c r="AR3819" t="s">
        <v>118</v>
      </c>
      <c r="AS3819">
        <v>-75</v>
      </c>
      <c r="AT3819">
        <v>30</v>
      </c>
      <c r="AU3819">
        <v>0</v>
      </c>
      <c r="BC3819">
        <v>1200</v>
      </c>
      <c r="BD3819">
        <v>1</v>
      </c>
      <c r="BE3819" t="str">
        <f t="shared" si="179"/>
        <v xml:space="preserve">N215T   </v>
      </c>
      <c r="BF3819">
        <v>1</v>
      </c>
      <c r="BH3819">
        <v>0</v>
      </c>
      <c r="BI3819">
        <v>0</v>
      </c>
      <c r="BJ3819">
        <v>0</v>
      </c>
      <c r="BK3819">
        <v>2500</v>
      </c>
      <c r="BL3819">
        <v>400</v>
      </c>
      <c r="BM3819" t="s">
        <v>119</v>
      </c>
      <c r="BN3819">
        <v>1</v>
      </c>
      <c r="BO3819">
        <v>1</v>
      </c>
      <c r="BP3819">
        <v>1</v>
      </c>
      <c r="BQ3819">
        <v>0</v>
      </c>
      <c r="BT3819">
        <v>0</v>
      </c>
      <c r="BU3819">
        <v>0</v>
      </c>
      <c r="BV3819">
        <v>0</v>
      </c>
      <c r="CC3819" t="str">
        <f>"19:38:39.719"</f>
        <v>19:38:39.719</v>
      </c>
      <c r="CD3819" t="str">
        <f>"715720740"</f>
        <v>715720740</v>
      </c>
      <c r="CQ3819">
        <v>0</v>
      </c>
      <c r="CR3819">
        <v>2</v>
      </c>
      <c r="CS3819">
        <v>0</v>
      </c>
      <c r="CT3819">
        <v>2</v>
      </c>
      <c r="CU3819">
        <v>0</v>
      </c>
      <c r="CV3819">
        <v>2</v>
      </c>
      <c r="CW3819" t="s">
        <v>120</v>
      </c>
      <c r="CX3819">
        <v>257</v>
      </c>
      <c r="CY3819">
        <v>0</v>
      </c>
      <c r="CZ3819" t="s">
        <v>615</v>
      </c>
      <c r="DA3819" t="s">
        <v>616</v>
      </c>
      <c r="DD3819">
        <v>16578924</v>
      </c>
      <c r="DE3819" t="s">
        <v>123</v>
      </c>
    </row>
    <row r="3820" spans="1:109" x14ac:dyDescent="0.3">
      <c r="A3820" t="str">
        <f>"19:38:40.836"</f>
        <v>19:38:40.836</v>
      </c>
      <c r="B3820" t="s">
        <v>110</v>
      </c>
      <c r="C3820" t="str">
        <f t="shared" si="177"/>
        <v>ffdfd3c0</v>
      </c>
      <c r="D3820" t="s">
        <v>111</v>
      </c>
      <c r="E3820">
        <v>18</v>
      </c>
      <c r="F3820">
        <v>1018</v>
      </c>
      <c r="G3820" t="s">
        <v>112</v>
      </c>
      <c r="J3820" t="s">
        <v>113</v>
      </c>
      <c r="K3820">
        <v>0</v>
      </c>
      <c r="L3820">
        <v>3</v>
      </c>
      <c r="M3820">
        <v>0</v>
      </c>
      <c r="N3820">
        <v>2</v>
      </c>
      <c r="O3820">
        <v>1</v>
      </c>
      <c r="P3820">
        <v>0</v>
      </c>
      <c r="Q3820">
        <v>0</v>
      </c>
      <c r="R3820" t="s">
        <v>114</v>
      </c>
      <c r="S3820" t="str">
        <f>"19:38:40.609"</f>
        <v>19:38:40.609</v>
      </c>
      <c r="T3820" t="str">
        <f>"19:38:40.609"</f>
        <v>19:38:40.609</v>
      </c>
      <c r="U3820" t="str">
        <f t="shared" si="178"/>
        <v>a1cdbe</v>
      </c>
      <c r="V3820">
        <v>0</v>
      </c>
      <c r="W3820">
        <v>0</v>
      </c>
      <c r="X3820">
        <v>2</v>
      </c>
      <c r="Y3820">
        <v>0</v>
      </c>
      <c r="Z3820">
        <v>0</v>
      </c>
      <c r="AB3820">
        <v>0</v>
      </c>
      <c r="AC3820">
        <v>9</v>
      </c>
      <c r="AD3820">
        <v>3</v>
      </c>
      <c r="AE3820">
        <v>0</v>
      </c>
      <c r="AF3820">
        <v>9</v>
      </c>
      <c r="AG3820" t="s">
        <v>158</v>
      </c>
      <c r="AH3820">
        <v>0</v>
      </c>
      <c r="AI3820">
        <v>3</v>
      </c>
      <c r="AJ3820">
        <v>1</v>
      </c>
      <c r="AK3820">
        <v>0</v>
      </c>
      <c r="AL3820" t="s">
        <v>7203</v>
      </c>
      <c r="AM3820">
        <v>47.048242000000002</v>
      </c>
      <c r="AN3820" t="s">
        <v>7204</v>
      </c>
      <c r="AO3820">
        <v>-123.95402</v>
      </c>
      <c r="AP3820">
        <v>100</v>
      </c>
      <c r="AQ3820">
        <v>2100</v>
      </c>
      <c r="AR3820" t="s">
        <v>118</v>
      </c>
      <c r="AS3820">
        <v>-75</v>
      </c>
      <c r="AT3820">
        <v>31</v>
      </c>
      <c r="AU3820">
        <v>64</v>
      </c>
      <c r="BC3820">
        <v>1200</v>
      </c>
      <c r="BD3820">
        <v>1</v>
      </c>
      <c r="BE3820" t="str">
        <f t="shared" si="179"/>
        <v xml:space="preserve">N215T   </v>
      </c>
      <c r="BF3820">
        <v>1</v>
      </c>
      <c r="BH3820">
        <v>0</v>
      </c>
      <c r="BI3820">
        <v>0</v>
      </c>
      <c r="BJ3820">
        <v>0</v>
      </c>
      <c r="BK3820">
        <v>2500</v>
      </c>
      <c r="BL3820">
        <v>400</v>
      </c>
      <c r="BM3820" t="s">
        <v>119</v>
      </c>
      <c r="BN3820">
        <v>1</v>
      </c>
      <c r="BO3820">
        <v>1</v>
      </c>
      <c r="BP3820">
        <v>1</v>
      </c>
      <c r="BQ3820">
        <v>0</v>
      </c>
      <c r="BT3820">
        <v>0</v>
      </c>
      <c r="BU3820">
        <v>0</v>
      </c>
      <c r="BV3820">
        <v>0</v>
      </c>
      <c r="CC3820" t="str">
        <f>"19:38:40.617"</f>
        <v>19:38:40.617</v>
      </c>
      <c r="CD3820" t="str">
        <f>"615738633"</f>
        <v>615738633</v>
      </c>
      <c r="CQ3820">
        <v>0</v>
      </c>
      <c r="CR3820">
        <v>2</v>
      </c>
      <c r="CS3820">
        <v>0</v>
      </c>
      <c r="CT3820">
        <v>2</v>
      </c>
      <c r="CU3820">
        <v>0</v>
      </c>
      <c r="CV3820">
        <v>1</v>
      </c>
      <c r="CW3820" t="s">
        <v>120</v>
      </c>
      <c r="CX3820">
        <v>253</v>
      </c>
      <c r="CY3820">
        <v>2</v>
      </c>
      <c r="CZ3820" t="s">
        <v>7093</v>
      </c>
      <c r="DA3820" t="s">
        <v>7094</v>
      </c>
      <c r="DD3820">
        <v>13968164</v>
      </c>
      <c r="DE3820" t="s">
        <v>123</v>
      </c>
    </row>
    <row r="3821" spans="1:109" x14ac:dyDescent="0.3">
      <c r="A3821" t="str">
        <f>"19:38:41.938"</f>
        <v>19:38:41.938</v>
      </c>
      <c r="B3821" t="s">
        <v>110</v>
      </c>
      <c r="C3821" t="str">
        <f t="shared" si="177"/>
        <v>ffdfd3c0</v>
      </c>
      <c r="D3821" t="s">
        <v>111</v>
      </c>
      <c r="E3821">
        <v>18</v>
      </c>
      <c r="F3821">
        <v>1018</v>
      </c>
      <c r="G3821" t="s">
        <v>112</v>
      </c>
      <c r="J3821" t="s">
        <v>113</v>
      </c>
      <c r="K3821">
        <v>0</v>
      </c>
      <c r="L3821">
        <v>3</v>
      </c>
      <c r="M3821">
        <v>0</v>
      </c>
      <c r="N3821">
        <v>2</v>
      </c>
      <c r="O3821">
        <v>1</v>
      </c>
      <c r="P3821">
        <v>0</v>
      </c>
      <c r="Q3821">
        <v>0</v>
      </c>
      <c r="R3821" t="s">
        <v>114</v>
      </c>
      <c r="S3821" t="str">
        <f>"19:38:41.680"</f>
        <v>19:38:41.680</v>
      </c>
      <c r="T3821" t="str">
        <f>"19:38:41.680"</f>
        <v>19:38:41.680</v>
      </c>
      <c r="U3821" t="str">
        <f t="shared" si="178"/>
        <v>a1cdbe</v>
      </c>
      <c r="V3821">
        <v>0</v>
      </c>
      <c r="W3821">
        <v>0</v>
      </c>
      <c r="X3821">
        <v>2</v>
      </c>
      <c r="Y3821">
        <v>0</v>
      </c>
      <c r="Z3821">
        <v>0</v>
      </c>
      <c r="AB3821">
        <v>0</v>
      </c>
      <c r="AC3821">
        <v>9</v>
      </c>
      <c r="AD3821">
        <v>3</v>
      </c>
      <c r="AE3821">
        <v>0</v>
      </c>
      <c r="AF3821">
        <v>9</v>
      </c>
      <c r="AG3821" t="s">
        <v>158</v>
      </c>
      <c r="AH3821">
        <v>0</v>
      </c>
      <c r="AI3821">
        <v>3</v>
      </c>
      <c r="AJ3821">
        <v>1</v>
      </c>
      <c r="AK3821">
        <v>0</v>
      </c>
      <c r="AL3821" t="s">
        <v>7205</v>
      </c>
      <c r="AM3821">
        <v>47.048392</v>
      </c>
      <c r="AN3821" t="s">
        <v>7206</v>
      </c>
      <c r="AO3821">
        <v>-123.954556</v>
      </c>
      <c r="AP3821">
        <v>100</v>
      </c>
      <c r="AQ3821">
        <v>2100</v>
      </c>
      <c r="AR3821" t="s">
        <v>118</v>
      </c>
      <c r="AS3821">
        <v>-74</v>
      </c>
      <c r="AT3821">
        <v>32</v>
      </c>
      <c r="AU3821">
        <v>64</v>
      </c>
      <c r="BC3821">
        <v>1200</v>
      </c>
      <c r="BD3821">
        <v>1</v>
      </c>
      <c r="BE3821" t="str">
        <f t="shared" si="179"/>
        <v xml:space="preserve">N215T   </v>
      </c>
      <c r="BF3821">
        <v>1</v>
      </c>
      <c r="BH3821">
        <v>0</v>
      </c>
      <c r="BI3821">
        <v>0</v>
      </c>
      <c r="BJ3821">
        <v>0</v>
      </c>
      <c r="BK3821">
        <v>2500</v>
      </c>
      <c r="BL3821">
        <v>400</v>
      </c>
      <c r="BM3821" t="s">
        <v>119</v>
      </c>
      <c r="BN3821">
        <v>1</v>
      </c>
      <c r="BO3821">
        <v>1</v>
      </c>
      <c r="BP3821">
        <v>1</v>
      </c>
      <c r="BQ3821">
        <v>0</v>
      </c>
      <c r="BT3821">
        <v>0</v>
      </c>
      <c r="BU3821">
        <v>0</v>
      </c>
      <c r="BV3821">
        <v>0</v>
      </c>
      <c r="CC3821" t="str">
        <f>"19:38:41.680"</f>
        <v>19:38:41.680</v>
      </c>
      <c r="CD3821" t="str">
        <f>"680633558"</f>
        <v>680633558</v>
      </c>
      <c r="CQ3821">
        <v>0</v>
      </c>
      <c r="CR3821">
        <v>2</v>
      </c>
      <c r="CS3821">
        <v>0</v>
      </c>
      <c r="CT3821">
        <v>2</v>
      </c>
      <c r="CU3821">
        <v>0</v>
      </c>
      <c r="CV3821">
        <v>1</v>
      </c>
      <c r="CW3821" t="s">
        <v>120</v>
      </c>
      <c r="CX3821">
        <v>253</v>
      </c>
      <c r="CY3821">
        <v>2</v>
      </c>
      <c r="CZ3821" t="s">
        <v>7093</v>
      </c>
      <c r="DA3821" t="s">
        <v>7094</v>
      </c>
      <c r="DD3821">
        <v>13968221</v>
      </c>
      <c r="DE3821" t="s">
        <v>123</v>
      </c>
    </row>
    <row r="3822" spans="1:109" x14ac:dyDescent="0.3">
      <c r="A3822" t="str">
        <f>"19:38:44.406"</f>
        <v>19:38:44.406</v>
      </c>
      <c r="B3822" t="s">
        <v>110</v>
      </c>
      <c r="C3822" t="str">
        <f t="shared" si="177"/>
        <v>ffdfd3c0</v>
      </c>
      <c r="D3822" t="s">
        <v>111</v>
      </c>
      <c r="E3822">
        <v>18</v>
      </c>
      <c r="F3822">
        <v>1018</v>
      </c>
      <c r="G3822" t="s">
        <v>112</v>
      </c>
      <c r="J3822" t="s">
        <v>113</v>
      </c>
      <c r="K3822">
        <v>0</v>
      </c>
      <c r="L3822">
        <v>3</v>
      </c>
      <c r="M3822">
        <v>0</v>
      </c>
      <c r="N3822">
        <v>2</v>
      </c>
      <c r="O3822">
        <v>1</v>
      </c>
      <c r="P3822">
        <v>0</v>
      </c>
      <c r="Q3822">
        <v>0</v>
      </c>
      <c r="R3822" t="s">
        <v>114</v>
      </c>
      <c r="S3822" t="str">
        <f>"19:38:44.195"</f>
        <v>19:38:44.195</v>
      </c>
      <c r="T3822" t="str">
        <f>"19:38:42.195"</f>
        <v>19:38:42.195</v>
      </c>
      <c r="U3822" t="str">
        <f t="shared" si="178"/>
        <v>a1cdbe</v>
      </c>
      <c r="V3822">
        <v>0</v>
      </c>
      <c r="W3822">
        <v>0</v>
      </c>
      <c r="X3822">
        <v>2</v>
      </c>
      <c r="Y3822">
        <v>0</v>
      </c>
      <c r="Z3822">
        <v>0</v>
      </c>
      <c r="AB3822">
        <v>0</v>
      </c>
      <c r="AC3822">
        <v>9</v>
      </c>
      <c r="AD3822">
        <v>3</v>
      </c>
      <c r="AE3822">
        <v>0</v>
      </c>
      <c r="AF3822">
        <v>9</v>
      </c>
      <c r="AG3822" t="s">
        <v>158</v>
      </c>
      <c r="AH3822">
        <v>0</v>
      </c>
      <c r="AI3822">
        <v>3</v>
      </c>
      <c r="AJ3822">
        <v>1</v>
      </c>
      <c r="AK3822">
        <v>0</v>
      </c>
      <c r="AL3822" t="s">
        <v>564</v>
      </c>
      <c r="AM3822">
        <v>47.0488</v>
      </c>
      <c r="AN3822" t="s">
        <v>7207</v>
      </c>
      <c r="AO3822">
        <v>-123.955843</v>
      </c>
      <c r="AP3822">
        <v>100</v>
      </c>
      <c r="AQ3822">
        <v>2100</v>
      </c>
      <c r="AR3822" t="s">
        <v>118</v>
      </c>
      <c r="AS3822">
        <v>-74</v>
      </c>
      <c r="AT3822">
        <v>32</v>
      </c>
      <c r="AU3822">
        <v>64</v>
      </c>
      <c r="BC3822">
        <v>1200</v>
      </c>
      <c r="BD3822">
        <v>1</v>
      </c>
      <c r="BE3822" t="str">
        <f t="shared" si="179"/>
        <v xml:space="preserve">N215T   </v>
      </c>
      <c r="BF3822">
        <v>1</v>
      </c>
      <c r="BH3822">
        <v>0</v>
      </c>
      <c r="BI3822">
        <v>0</v>
      </c>
      <c r="BJ3822">
        <v>0</v>
      </c>
      <c r="BK3822">
        <v>2500</v>
      </c>
      <c r="BL3822">
        <v>400</v>
      </c>
      <c r="BM3822" t="s">
        <v>119</v>
      </c>
      <c r="BN3822">
        <v>1</v>
      </c>
      <c r="BO3822">
        <v>1</v>
      </c>
      <c r="BP3822">
        <v>1</v>
      </c>
      <c r="BQ3822">
        <v>0</v>
      </c>
      <c r="BT3822">
        <v>0</v>
      </c>
      <c r="BU3822">
        <v>0</v>
      </c>
      <c r="BV3822">
        <v>0</v>
      </c>
      <c r="CC3822" t="str">
        <f>"19:38:44.203"</f>
        <v>19:38:44.203</v>
      </c>
      <c r="CD3822" t="str">
        <f>"200384979"</f>
        <v>200384979</v>
      </c>
      <c r="CQ3822">
        <v>0</v>
      </c>
      <c r="CR3822">
        <v>2</v>
      </c>
      <c r="CS3822">
        <v>0</v>
      </c>
      <c r="CT3822">
        <v>2</v>
      </c>
      <c r="CU3822">
        <v>0</v>
      </c>
      <c r="CV3822">
        <v>1</v>
      </c>
      <c r="CW3822" t="s">
        <v>120</v>
      </c>
      <c r="CX3822">
        <v>253</v>
      </c>
      <c r="CY3822">
        <v>2</v>
      </c>
      <c r="CZ3822" t="s">
        <v>7093</v>
      </c>
      <c r="DA3822" t="s">
        <v>7094</v>
      </c>
      <c r="DD3822">
        <v>13968385</v>
      </c>
      <c r="DE3822" t="s">
        <v>123</v>
      </c>
    </row>
    <row r="3823" spans="1:109" x14ac:dyDescent="0.3">
      <c r="A3823" t="str">
        <f>"19:38:45.359"</f>
        <v>19:38:45.359</v>
      </c>
      <c r="B3823" t="s">
        <v>110</v>
      </c>
      <c r="C3823" t="str">
        <f t="shared" si="177"/>
        <v>ffdfd3c0</v>
      </c>
      <c r="D3823" t="s">
        <v>111</v>
      </c>
      <c r="E3823">
        <v>18</v>
      </c>
      <c r="F3823">
        <v>1018</v>
      </c>
      <c r="G3823" t="s">
        <v>112</v>
      </c>
      <c r="J3823" t="s">
        <v>113</v>
      </c>
      <c r="K3823">
        <v>0</v>
      </c>
      <c r="L3823">
        <v>3</v>
      </c>
      <c r="M3823">
        <v>0</v>
      </c>
      <c r="N3823">
        <v>2</v>
      </c>
      <c r="O3823">
        <v>1</v>
      </c>
      <c r="P3823">
        <v>0</v>
      </c>
      <c r="Q3823">
        <v>0</v>
      </c>
      <c r="R3823" t="s">
        <v>114</v>
      </c>
      <c r="S3823" t="str">
        <f>"19:38:45.078"</f>
        <v>19:38:45.078</v>
      </c>
      <c r="T3823" t="str">
        <f>"19:38:40.680"</f>
        <v>19:38:40.680</v>
      </c>
      <c r="U3823" t="str">
        <f t="shared" si="178"/>
        <v>a1cdbe</v>
      </c>
      <c r="V3823">
        <v>0</v>
      </c>
      <c r="W3823">
        <v>0</v>
      </c>
      <c r="X3823">
        <v>2</v>
      </c>
      <c r="Y3823">
        <v>0</v>
      </c>
      <c r="Z3823">
        <v>0</v>
      </c>
      <c r="AB3823">
        <v>0</v>
      </c>
      <c r="AC3823">
        <v>9</v>
      </c>
      <c r="AD3823">
        <v>3</v>
      </c>
      <c r="AE3823">
        <v>0</v>
      </c>
      <c r="AF3823">
        <v>9</v>
      </c>
      <c r="AG3823" t="s">
        <v>158</v>
      </c>
      <c r="AH3823">
        <v>0</v>
      </c>
      <c r="AI3823">
        <v>3</v>
      </c>
      <c r="AJ3823">
        <v>1</v>
      </c>
      <c r="AK3823">
        <v>0</v>
      </c>
      <c r="AL3823" t="s">
        <v>7208</v>
      </c>
      <c r="AM3823">
        <v>47.048949999999998</v>
      </c>
      <c r="AN3823" t="s">
        <v>7209</v>
      </c>
      <c r="AO3823">
        <v>-123.956273</v>
      </c>
      <c r="AP3823">
        <v>100</v>
      </c>
      <c r="AQ3823">
        <v>2100</v>
      </c>
      <c r="AR3823" t="s">
        <v>118</v>
      </c>
      <c r="AS3823">
        <v>-75</v>
      </c>
      <c r="AT3823">
        <v>31</v>
      </c>
      <c r="AU3823">
        <v>64</v>
      </c>
      <c r="BC3823">
        <v>1200</v>
      </c>
      <c r="BD3823">
        <v>1</v>
      </c>
      <c r="BE3823" t="str">
        <f t="shared" si="179"/>
        <v xml:space="preserve">N215T   </v>
      </c>
      <c r="BF3823">
        <v>1</v>
      </c>
      <c r="BH3823">
        <v>0</v>
      </c>
      <c r="BI3823">
        <v>0</v>
      </c>
      <c r="BJ3823">
        <v>0</v>
      </c>
      <c r="BK3823">
        <v>2500</v>
      </c>
      <c r="BL3823">
        <v>400</v>
      </c>
      <c r="BM3823" t="s">
        <v>119</v>
      </c>
      <c r="BN3823">
        <v>1</v>
      </c>
      <c r="BO3823">
        <v>1</v>
      </c>
      <c r="BP3823">
        <v>1</v>
      </c>
      <c r="BQ3823">
        <v>0</v>
      </c>
      <c r="BT3823">
        <v>0</v>
      </c>
      <c r="BU3823">
        <v>0</v>
      </c>
      <c r="BV3823">
        <v>0</v>
      </c>
      <c r="CC3823" t="str">
        <f>"19:38:45.086"</f>
        <v>19:38:45.086</v>
      </c>
      <c r="CD3823" t="str">
        <f>"085191972"</f>
        <v>085191972</v>
      </c>
      <c r="CQ3823">
        <v>0</v>
      </c>
      <c r="CR3823">
        <v>2</v>
      </c>
      <c r="CS3823">
        <v>0</v>
      </c>
      <c r="CT3823">
        <v>2</v>
      </c>
      <c r="CU3823">
        <v>0</v>
      </c>
      <c r="CV3823">
        <v>2</v>
      </c>
      <c r="CW3823" t="s">
        <v>120</v>
      </c>
      <c r="CX3823">
        <v>257</v>
      </c>
      <c r="CY3823">
        <v>0</v>
      </c>
      <c r="CZ3823" t="s">
        <v>615</v>
      </c>
      <c r="DA3823" t="s">
        <v>616</v>
      </c>
      <c r="DD3823">
        <v>16580751</v>
      </c>
      <c r="DE3823" t="s">
        <v>123</v>
      </c>
    </row>
    <row r="3824" spans="1:109" x14ac:dyDescent="0.3">
      <c r="A3824" t="str">
        <f>"19:38:46.922"</f>
        <v>19:38:46.922</v>
      </c>
      <c r="B3824" t="s">
        <v>110</v>
      </c>
      <c r="C3824" t="str">
        <f t="shared" si="177"/>
        <v>ffdfd3c0</v>
      </c>
      <c r="D3824" t="s">
        <v>111</v>
      </c>
      <c r="E3824">
        <v>18</v>
      </c>
      <c r="F3824">
        <v>1018</v>
      </c>
      <c r="G3824" t="s">
        <v>112</v>
      </c>
      <c r="J3824" t="s">
        <v>113</v>
      </c>
      <c r="K3824">
        <v>0</v>
      </c>
      <c r="L3824">
        <v>3</v>
      </c>
      <c r="M3824">
        <v>0</v>
      </c>
      <c r="N3824">
        <v>2</v>
      </c>
      <c r="O3824">
        <v>1</v>
      </c>
      <c r="P3824">
        <v>0</v>
      </c>
      <c r="Q3824">
        <v>0</v>
      </c>
      <c r="R3824" t="s">
        <v>114</v>
      </c>
      <c r="S3824" t="str">
        <f>"19:38:46.672"</f>
        <v>19:38:46.672</v>
      </c>
      <c r="T3824" t="str">
        <f>"19:38:46.469"</f>
        <v>19:38:46.469</v>
      </c>
      <c r="U3824" t="str">
        <f t="shared" si="178"/>
        <v>a1cdbe</v>
      </c>
      <c r="V3824">
        <v>0</v>
      </c>
      <c r="W3824">
        <v>0</v>
      </c>
      <c r="X3824">
        <v>2</v>
      </c>
      <c r="Y3824">
        <v>0</v>
      </c>
      <c r="Z3824">
        <v>0</v>
      </c>
      <c r="AB3824">
        <v>0</v>
      </c>
      <c r="AC3824">
        <v>9</v>
      </c>
      <c r="AD3824">
        <v>3</v>
      </c>
      <c r="AE3824">
        <v>0</v>
      </c>
      <c r="AF3824">
        <v>9</v>
      </c>
      <c r="AG3824" t="s">
        <v>158</v>
      </c>
      <c r="AH3824">
        <v>0</v>
      </c>
      <c r="AI3824">
        <v>3</v>
      </c>
      <c r="AJ3824">
        <v>1</v>
      </c>
      <c r="AK3824">
        <v>0</v>
      </c>
      <c r="AL3824" t="s">
        <v>563</v>
      </c>
      <c r="AM3824">
        <v>47.049185999999999</v>
      </c>
      <c r="AN3824" t="s">
        <v>7210</v>
      </c>
      <c r="AO3824">
        <v>-123.95704499999999</v>
      </c>
      <c r="AP3824">
        <v>100</v>
      </c>
      <c r="AQ3824">
        <v>2100</v>
      </c>
      <c r="AR3824" t="s">
        <v>118</v>
      </c>
      <c r="AS3824">
        <v>-73</v>
      </c>
      <c r="AT3824">
        <v>34</v>
      </c>
      <c r="AU3824">
        <v>64</v>
      </c>
      <c r="BC3824">
        <v>1200</v>
      </c>
      <c r="BD3824">
        <v>1</v>
      </c>
      <c r="BE3824" t="str">
        <f t="shared" si="179"/>
        <v xml:space="preserve">N215T   </v>
      </c>
      <c r="BF3824">
        <v>1</v>
      </c>
      <c r="BH3824">
        <v>0</v>
      </c>
      <c r="BI3824">
        <v>0</v>
      </c>
      <c r="BJ3824">
        <v>0</v>
      </c>
      <c r="BK3824">
        <v>2500</v>
      </c>
      <c r="BL3824">
        <v>400</v>
      </c>
      <c r="BM3824" t="s">
        <v>119</v>
      </c>
      <c r="BN3824">
        <v>1</v>
      </c>
      <c r="BO3824">
        <v>1</v>
      </c>
      <c r="BP3824">
        <v>1</v>
      </c>
      <c r="BQ3824">
        <v>0</v>
      </c>
      <c r="BT3824">
        <v>0</v>
      </c>
      <c r="BU3824">
        <v>0</v>
      </c>
      <c r="BV3824">
        <v>0</v>
      </c>
      <c r="CC3824" t="str">
        <f>"19:38:46.672"</f>
        <v>19:38:46.672</v>
      </c>
      <c r="CD3824" t="str">
        <f>"675140878"</f>
        <v>675140878</v>
      </c>
      <c r="CQ3824">
        <v>0</v>
      </c>
      <c r="CR3824">
        <v>2</v>
      </c>
      <c r="CS3824">
        <v>0</v>
      </c>
      <c r="CT3824">
        <v>2</v>
      </c>
      <c r="CU3824">
        <v>0</v>
      </c>
      <c r="CV3824">
        <v>2</v>
      </c>
      <c r="CW3824" t="s">
        <v>120</v>
      </c>
      <c r="CX3824">
        <v>253</v>
      </c>
      <c r="CY3824">
        <v>2</v>
      </c>
      <c r="CZ3824" t="s">
        <v>7093</v>
      </c>
      <c r="DA3824" t="s">
        <v>7094</v>
      </c>
      <c r="DD3824">
        <v>13968528</v>
      </c>
      <c r="DE3824" t="s">
        <v>123</v>
      </c>
    </row>
    <row r="3825" spans="1:109" x14ac:dyDescent="0.3">
      <c r="A3825" t="str">
        <f>"19:38:47.875"</f>
        <v>19:38:47.875</v>
      </c>
      <c r="B3825" t="s">
        <v>110</v>
      </c>
      <c r="C3825" t="str">
        <f t="shared" si="177"/>
        <v>ffdfd3c0</v>
      </c>
      <c r="D3825" t="s">
        <v>111</v>
      </c>
      <c r="E3825">
        <v>18</v>
      </c>
      <c r="F3825">
        <v>1018</v>
      </c>
      <c r="G3825" t="s">
        <v>112</v>
      </c>
      <c r="J3825" t="s">
        <v>113</v>
      </c>
      <c r="K3825">
        <v>0</v>
      </c>
      <c r="L3825">
        <v>3</v>
      </c>
      <c r="M3825">
        <v>0</v>
      </c>
      <c r="N3825">
        <v>2</v>
      </c>
      <c r="O3825">
        <v>1</v>
      </c>
      <c r="P3825">
        <v>0</v>
      </c>
      <c r="Q3825">
        <v>0</v>
      </c>
      <c r="R3825" t="s">
        <v>114</v>
      </c>
      <c r="S3825" t="str">
        <f>"19:38:47.586"</f>
        <v>19:38:47.586</v>
      </c>
      <c r="T3825" t="str">
        <f>"19:38:47.383"</f>
        <v>19:38:47.383</v>
      </c>
      <c r="U3825" t="str">
        <f t="shared" si="178"/>
        <v>a1cdbe</v>
      </c>
      <c r="V3825">
        <v>0</v>
      </c>
      <c r="W3825">
        <v>0</v>
      </c>
      <c r="X3825">
        <v>2</v>
      </c>
      <c r="Y3825">
        <v>0</v>
      </c>
      <c r="Z3825">
        <v>0</v>
      </c>
      <c r="AB3825">
        <v>0</v>
      </c>
      <c r="AC3825">
        <v>9</v>
      </c>
      <c r="AD3825">
        <v>3</v>
      </c>
      <c r="AE3825">
        <v>0</v>
      </c>
      <c r="AF3825">
        <v>9</v>
      </c>
      <c r="AG3825" t="s">
        <v>158</v>
      </c>
      <c r="AH3825">
        <v>0</v>
      </c>
      <c r="AI3825">
        <v>3</v>
      </c>
      <c r="AJ3825">
        <v>1</v>
      </c>
      <c r="AK3825">
        <v>0</v>
      </c>
      <c r="AL3825" t="s">
        <v>7211</v>
      </c>
      <c r="AM3825">
        <v>47.049315</v>
      </c>
      <c r="AN3825" t="s">
        <v>7212</v>
      </c>
      <c r="AO3825">
        <v>-123.95749600000001</v>
      </c>
      <c r="AP3825">
        <v>100</v>
      </c>
      <c r="AQ3825">
        <v>2100</v>
      </c>
      <c r="AR3825" t="s">
        <v>118</v>
      </c>
      <c r="AS3825">
        <v>-73</v>
      </c>
      <c r="AT3825">
        <v>35</v>
      </c>
      <c r="AU3825">
        <v>64</v>
      </c>
      <c r="BC3825">
        <v>1200</v>
      </c>
      <c r="BD3825">
        <v>1</v>
      </c>
      <c r="BE3825" t="str">
        <f t="shared" si="179"/>
        <v xml:space="preserve">N215T   </v>
      </c>
      <c r="BF3825">
        <v>1</v>
      </c>
      <c r="BH3825">
        <v>0</v>
      </c>
      <c r="BI3825">
        <v>0</v>
      </c>
      <c r="BJ3825">
        <v>0</v>
      </c>
      <c r="BK3825">
        <v>2500</v>
      </c>
      <c r="BL3825">
        <v>400</v>
      </c>
      <c r="BM3825" t="s">
        <v>119</v>
      </c>
      <c r="BN3825">
        <v>1</v>
      </c>
      <c r="BO3825">
        <v>1</v>
      </c>
      <c r="BP3825">
        <v>1</v>
      </c>
      <c r="BQ3825">
        <v>0</v>
      </c>
      <c r="BT3825">
        <v>0</v>
      </c>
      <c r="BU3825">
        <v>0</v>
      </c>
      <c r="BV3825">
        <v>0</v>
      </c>
      <c r="CC3825" t="str">
        <f>"19:38:47.594"</f>
        <v>19:38:47.594</v>
      </c>
      <c r="CD3825" t="str">
        <f>"590050612"</f>
        <v>590050612</v>
      </c>
      <c r="CQ3825">
        <v>0</v>
      </c>
      <c r="CR3825">
        <v>2</v>
      </c>
      <c r="CS3825">
        <v>0</v>
      </c>
      <c r="CT3825">
        <v>2</v>
      </c>
      <c r="CU3825">
        <v>0</v>
      </c>
      <c r="CV3825">
        <v>2</v>
      </c>
      <c r="CW3825" t="s">
        <v>120</v>
      </c>
      <c r="CX3825">
        <v>253</v>
      </c>
      <c r="CY3825">
        <v>2</v>
      </c>
      <c r="CZ3825" t="s">
        <v>7093</v>
      </c>
      <c r="DA3825" t="s">
        <v>7094</v>
      </c>
      <c r="DD3825">
        <v>13968586</v>
      </c>
      <c r="DE3825" t="s">
        <v>123</v>
      </c>
    </row>
    <row r="3826" spans="1:109" x14ac:dyDescent="0.3">
      <c r="A3826" t="str">
        <f>"19:38:48.930"</f>
        <v>19:38:48.930</v>
      </c>
      <c r="B3826" t="s">
        <v>110</v>
      </c>
      <c r="C3826" t="str">
        <f t="shared" si="177"/>
        <v>ffdfd3c0</v>
      </c>
      <c r="D3826" t="s">
        <v>111</v>
      </c>
      <c r="E3826">
        <v>18</v>
      </c>
      <c r="F3826">
        <v>1018</v>
      </c>
      <c r="G3826" t="s">
        <v>112</v>
      </c>
      <c r="J3826" t="s">
        <v>113</v>
      </c>
      <c r="K3826">
        <v>0</v>
      </c>
      <c r="L3826">
        <v>3</v>
      </c>
      <c r="M3826">
        <v>0</v>
      </c>
      <c r="N3826">
        <v>2</v>
      </c>
      <c r="O3826">
        <v>1</v>
      </c>
      <c r="P3826">
        <v>0</v>
      </c>
      <c r="Q3826">
        <v>0</v>
      </c>
      <c r="R3826" t="s">
        <v>114</v>
      </c>
      <c r="S3826" t="str">
        <f>"19:38:48.695"</f>
        <v>19:38:48.695</v>
      </c>
      <c r="T3826" t="str">
        <f>"19:38:48.398"</f>
        <v>19:38:48.398</v>
      </c>
      <c r="U3826" t="str">
        <f t="shared" si="178"/>
        <v>a1cdbe</v>
      </c>
      <c r="V3826">
        <v>0</v>
      </c>
      <c r="W3826">
        <v>0</v>
      </c>
      <c r="X3826">
        <v>2</v>
      </c>
      <c r="Y3826">
        <v>0</v>
      </c>
      <c r="Z3826">
        <v>0</v>
      </c>
      <c r="AB3826">
        <v>0</v>
      </c>
      <c r="AC3826">
        <v>9</v>
      </c>
      <c r="AD3826">
        <v>3</v>
      </c>
      <c r="AE3826">
        <v>0</v>
      </c>
      <c r="AF3826">
        <v>9</v>
      </c>
      <c r="AG3826" t="s">
        <v>158</v>
      </c>
      <c r="AH3826">
        <v>0</v>
      </c>
      <c r="AI3826">
        <v>3</v>
      </c>
      <c r="AJ3826">
        <v>1</v>
      </c>
      <c r="AK3826">
        <v>0</v>
      </c>
      <c r="AL3826" t="s">
        <v>7213</v>
      </c>
      <c r="AM3826">
        <v>47.049508000000003</v>
      </c>
      <c r="AN3826" t="s">
        <v>7214</v>
      </c>
      <c r="AO3826">
        <v>-123.958032</v>
      </c>
      <c r="AP3826">
        <v>100</v>
      </c>
      <c r="AQ3826">
        <v>2100</v>
      </c>
      <c r="AR3826" t="s">
        <v>118</v>
      </c>
      <c r="AS3826">
        <v>-73</v>
      </c>
      <c r="AT3826">
        <v>35</v>
      </c>
      <c r="AU3826">
        <v>0</v>
      </c>
      <c r="BC3826">
        <v>1200</v>
      </c>
      <c r="BD3826">
        <v>1</v>
      </c>
      <c r="BE3826" t="str">
        <f t="shared" si="179"/>
        <v xml:space="preserve">N215T   </v>
      </c>
      <c r="BF3826">
        <v>1</v>
      </c>
      <c r="BH3826">
        <v>0</v>
      </c>
      <c r="BI3826">
        <v>0</v>
      </c>
      <c r="BJ3826">
        <v>0</v>
      </c>
      <c r="BK3826">
        <v>2500</v>
      </c>
      <c r="BL3826">
        <v>400</v>
      </c>
      <c r="BM3826" t="s">
        <v>119</v>
      </c>
      <c r="BN3826">
        <v>1</v>
      </c>
      <c r="BO3826">
        <v>1</v>
      </c>
      <c r="BP3826">
        <v>1</v>
      </c>
      <c r="BQ3826">
        <v>0</v>
      </c>
      <c r="BT3826">
        <v>0</v>
      </c>
      <c r="BU3826">
        <v>0</v>
      </c>
      <c r="BV3826">
        <v>0</v>
      </c>
      <c r="CC3826" t="str">
        <f>"19:38:48.703"</f>
        <v>19:38:48.703</v>
      </c>
      <c r="CD3826" t="str">
        <f>"699941064"</f>
        <v>699941064</v>
      </c>
      <c r="CQ3826">
        <v>0</v>
      </c>
      <c r="CR3826">
        <v>2</v>
      </c>
      <c r="CS3826">
        <v>0</v>
      </c>
      <c r="CT3826">
        <v>2</v>
      </c>
      <c r="CU3826">
        <v>0</v>
      </c>
      <c r="CV3826">
        <v>1</v>
      </c>
      <c r="CW3826" t="s">
        <v>120</v>
      </c>
      <c r="CX3826">
        <v>253</v>
      </c>
      <c r="CY3826">
        <v>2</v>
      </c>
      <c r="CZ3826" t="s">
        <v>7093</v>
      </c>
      <c r="DA3826" t="s">
        <v>7094</v>
      </c>
      <c r="DD3826">
        <v>13968651</v>
      </c>
      <c r="DE3826" t="s">
        <v>123</v>
      </c>
    </row>
    <row r="3827" spans="1:109" x14ac:dyDescent="0.3">
      <c r="A3827" t="str">
        <f>"19:38:49.883"</f>
        <v>19:38:49.883</v>
      </c>
      <c r="B3827" t="s">
        <v>110</v>
      </c>
      <c r="C3827" t="str">
        <f t="shared" si="177"/>
        <v>ffdfd3c0</v>
      </c>
      <c r="D3827" t="s">
        <v>111</v>
      </c>
      <c r="E3827">
        <v>18</v>
      </c>
      <c r="F3827">
        <v>1018</v>
      </c>
      <c r="G3827" t="s">
        <v>112</v>
      </c>
      <c r="J3827" t="s">
        <v>113</v>
      </c>
      <c r="K3827">
        <v>0</v>
      </c>
      <c r="L3827">
        <v>3</v>
      </c>
      <c r="M3827">
        <v>0</v>
      </c>
      <c r="N3827">
        <v>2</v>
      </c>
      <c r="O3827">
        <v>1</v>
      </c>
      <c r="P3827">
        <v>0</v>
      </c>
      <c r="Q3827">
        <v>0</v>
      </c>
      <c r="R3827" t="s">
        <v>114</v>
      </c>
      <c r="S3827" t="str">
        <f>"19:38:49.656"</f>
        <v>19:38:49.656</v>
      </c>
      <c r="T3827" t="str">
        <f>"19:38:49.555"</f>
        <v>19:38:49.555</v>
      </c>
      <c r="U3827" t="str">
        <f t="shared" si="178"/>
        <v>a1cdbe</v>
      </c>
      <c r="V3827">
        <v>0</v>
      </c>
      <c r="W3827">
        <v>0</v>
      </c>
      <c r="X3827">
        <v>2</v>
      </c>
      <c r="Y3827">
        <v>0</v>
      </c>
      <c r="Z3827">
        <v>0</v>
      </c>
      <c r="AB3827">
        <v>0</v>
      </c>
      <c r="AC3827">
        <v>9</v>
      </c>
      <c r="AD3827">
        <v>3</v>
      </c>
      <c r="AE3827">
        <v>0</v>
      </c>
      <c r="AF3827">
        <v>9</v>
      </c>
      <c r="AG3827" t="s">
        <v>158</v>
      </c>
      <c r="AH3827">
        <v>0</v>
      </c>
      <c r="AI3827">
        <v>3</v>
      </c>
      <c r="AJ3827">
        <v>1</v>
      </c>
      <c r="AK3827">
        <v>0</v>
      </c>
      <c r="AL3827" t="s">
        <v>7215</v>
      </c>
      <c r="AM3827">
        <v>47.049680000000002</v>
      </c>
      <c r="AN3827" t="s">
        <v>7216</v>
      </c>
      <c r="AO3827">
        <v>-123.95852600000001</v>
      </c>
      <c r="AP3827">
        <v>100</v>
      </c>
      <c r="AQ3827">
        <v>2100</v>
      </c>
      <c r="AR3827" t="s">
        <v>118</v>
      </c>
      <c r="AS3827">
        <v>-73</v>
      </c>
      <c r="AT3827">
        <v>35</v>
      </c>
      <c r="AU3827">
        <v>0</v>
      </c>
      <c r="BC3827">
        <v>1200</v>
      </c>
      <c r="BD3827">
        <v>1</v>
      </c>
      <c r="BE3827" t="str">
        <f t="shared" si="179"/>
        <v xml:space="preserve">N215T   </v>
      </c>
      <c r="BF3827">
        <v>1</v>
      </c>
      <c r="BH3827">
        <v>0</v>
      </c>
      <c r="BI3827">
        <v>0</v>
      </c>
      <c r="BJ3827">
        <v>0</v>
      </c>
      <c r="BK3827">
        <v>2500</v>
      </c>
      <c r="BL3827">
        <v>400</v>
      </c>
      <c r="BM3827" t="s">
        <v>119</v>
      </c>
      <c r="BN3827">
        <v>1</v>
      </c>
      <c r="BO3827">
        <v>1</v>
      </c>
      <c r="BP3827">
        <v>1</v>
      </c>
      <c r="BQ3827">
        <v>0</v>
      </c>
      <c r="BT3827">
        <v>0</v>
      </c>
      <c r="BU3827">
        <v>0</v>
      </c>
      <c r="BV3827">
        <v>0</v>
      </c>
      <c r="CC3827" t="str">
        <f>"19:38:49.656"</f>
        <v>19:38:49.656</v>
      </c>
      <c r="CD3827" t="str">
        <f>"659741449"</f>
        <v>659741449</v>
      </c>
      <c r="CQ3827">
        <v>0</v>
      </c>
      <c r="CR3827">
        <v>2</v>
      </c>
      <c r="CS3827">
        <v>0</v>
      </c>
      <c r="CT3827">
        <v>2</v>
      </c>
      <c r="CU3827">
        <v>0</v>
      </c>
      <c r="CV3827">
        <v>3</v>
      </c>
      <c r="CW3827" t="s">
        <v>120</v>
      </c>
      <c r="CX3827">
        <v>257</v>
      </c>
      <c r="CY3827">
        <v>0</v>
      </c>
      <c r="CZ3827" t="s">
        <v>615</v>
      </c>
      <c r="DA3827" t="s">
        <v>616</v>
      </c>
      <c r="DD3827">
        <v>16582391</v>
      </c>
      <c r="DE3827" t="s">
        <v>123</v>
      </c>
    </row>
    <row r="3828" spans="1:109" x14ac:dyDescent="0.3">
      <c r="A3828" t="str">
        <f>"19:38:50.789"</f>
        <v>19:38:50.789</v>
      </c>
      <c r="B3828" t="s">
        <v>110</v>
      </c>
      <c r="C3828" t="str">
        <f t="shared" si="177"/>
        <v>ffdfd3c0</v>
      </c>
      <c r="D3828" t="s">
        <v>111</v>
      </c>
      <c r="E3828">
        <v>18</v>
      </c>
      <c r="F3828">
        <v>1018</v>
      </c>
      <c r="G3828" t="s">
        <v>112</v>
      </c>
      <c r="J3828" t="s">
        <v>113</v>
      </c>
      <c r="K3828">
        <v>0</v>
      </c>
      <c r="L3828">
        <v>3</v>
      </c>
      <c r="M3828">
        <v>0</v>
      </c>
      <c r="N3828">
        <v>2</v>
      </c>
      <c r="O3828">
        <v>1</v>
      </c>
      <c r="P3828">
        <v>0</v>
      </c>
      <c r="Q3828">
        <v>0</v>
      </c>
      <c r="R3828" t="s">
        <v>114</v>
      </c>
      <c r="S3828" t="str">
        <f>"19:38:50.555"</f>
        <v>19:38:50.555</v>
      </c>
      <c r="T3828" t="str">
        <f>"19:38:50.453"</f>
        <v>19:38:50.453</v>
      </c>
      <c r="U3828" t="str">
        <f t="shared" si="178"/>
        <v>a1cdbe</v>
      </c>
      <c r="V3828">
        <v>0</v>
      </c>
      <c r="W3828">
        <v>0</v>
      </c>
      <c r="X3828">
        <v>2</v>
      </c>
      <c r="Y3828">
        <v>0</v>
      </c>
      <c r="Z3828">
        <v>0</v>
      </c>
      <c r="AB3828">
        <v>0</v>
      </c>
      <c r="AC3828">
        <v>9</v>
      </c>
      <c r="AD3828">
        <v>3</v>
      </c>
      <c r="AE3828">
        <v>0</v>
      </c>
      <c r="AF3828">
        <v>9</v>
      </c>
      <c r="AG3828" t="s">
        <v>158</v>
      </c>
      <c r="AH3828">
        <v>0</v>
      </c>
      <c r="AI3828">
        <v>3</v>
      </c>
      <c r="AJ3828">
        <v>1</v>
      </c>
      <c r="AK3828">
        <v>0</v>
      </c>
      <c r="AL3828" t="s">
        <v>7217</v>
      </c>
      <c r="AM3828">
        <v>47.049787000000002</v>
      </c>
      <c r="AN3828" t="s">
        <v>7218</v>
      </c>
      <c r="AO3828">
        <v>-123.958955</v>
      </c>
      <c r="AP3828">
        <v>100</v>
      </c>
      <c r="AQ3828">
        <v>2100</v>
      </c>
      <c r="AR3828" t="s">
        <v>118</v>
      </c>
      <c r="AS3828">
        <v>-72</v>
      </c>
      <c r="AT3828">
        <v>34</v>
      </c>
      <c r="AU3828">
        <v>0</v>
      </c>
      <c r="BC3828">
        <v>1200</v>
      </c>
      <c r="BD3828">
        <v>1</v>
      </c>
      <c r="BE3828" t="str">
        <f t="shared" si="179"/>
        <v xml:space="preserve">N215T   </v>
      </c>
      <c r="BF3828">
        <v>1</v>
      </c>
      <c r="BH3828">
        <v>0</v>
      </c>
      <c r="BI3828">
        <v>0</v>
      </c>
      <c r="BJ3828">
        <v>0</v>
      </c>
      <c r="BK3828">
        <v>2500</v>
      </c>
      <c r="BL3828">
        <v>400</v>
      </c>
      <c r="BM3828" t="s">
        <v>119</v>
      </c>
      <c r="BN3828">
        <v>1</v>
      </c>
      <c r="BO3828">
        <v>1</v>
      </c>
      <c r="BP3828">
        <v>1</v>
      </c>
      <c r="BQ3828">
        <v>0</v>
      </c>
      <c r="BT3828">
        <v>0</v>
      </c>
      <c r="BU3828">
        <v>0</v>
      </c>
      <c r="BV3828">
        <v>0</v>
      </c>
      <c r="CC3828" t="str">
        <f>"19:38:50.563"</f>
        <v>19:38:50.563</v>
      </c>
      <c r="CD3828" t="str">
        <f>"559652827"</f>
        <v>559652827</v>
      </c>
      <c r="CQ3828">
        <v>0</v>
      </c>
      <c r="CR3828">
        <v>2</v>
      </c>
      <c r="CS3828">
        <v>0</v>
      </c>
      <c r="CT3828">
        <v>2</v>
      </c>
      <c r="CU3828">
        <v>0</v>
      </c>
      <c r="CV3828">
        <v>2</v>
      </c>
      <c r="CW3828" t="s">
        <v>120</v>
      </c>
      <c r="CX3828">
        <v>257</v>
      </c>
      <c r="CY3828">
        <v>0</v>
      </c>
      <c r="CZ3828" t="s">
        <v>615</v>
      </c>
      <c r="DA3828" t="s">
        <v>616</v>
      </c>
      <c r="DD3828">
        <v>16582715</v>
      </c>
      <c r="DE3828" t="s">
        <v>123</v>
      </c>
    </row>
    <row r="3829" spans="1:109" x14ac:dyDescent="0.3">
      <c r="A3829" t="str">
        <f>"19:38:51.844"</f>
        <v>19:38:51.844</v>
      </c>
      <c r="B3829" t="s">
        <v>110</v>
      </c>
      <c r="C3829" t="str">
        <f t="shared" si="177"/>
        <v>ffdfd3c0</v>
      </c>
      <c r="D3829" t="s">
        <v>111</v>
      </c>
      <c r="E3829">
        <v>18</v>
      </c>
      <c r="F3829">
        <v>1018</v>
      </c>
      <c r="G3829" t="s">
        <v>112</v>
      </c>
      <c r="J3829" t="s">
        <v>113</v>
      </c>
      <c r="K3829">
        <v>0</v>
      </c>
      <c r="L3829">
        <v>3</v>
      </c>
      <c r="M3829">
        <v>0</v>
      </c>
      <c r="N3829">
        <v>2</v>
      </c>
      <c r="O3829">
        <v>1</v>
      </c>
      <c r="P3829">
        <v>0</v>
      </c>
      <c r="Q3829">
        <v>0</v>
      </c>
      <c r="R3829" t="s">
        <v>114</v>
      </c>
      <c r="S3829" t="str">
        <f>"19:38:51.617"</f>
        <v>19:38:51.617</v>
      </c>
      <c r="T3829" t="str">
        <f>"19:38:51.617"</f>
        <v>19:38:51.617</v>
      </c>
      <c r="U3829" t="str">
        <f t="shared" si="178"/>
        <v>a1cdbe</v>
      </c>
      <c r="V3829">
        <v>0</v>
      </c>
      <c r="W3829">
        <v>0</v>
      </c>
      <c r="X3829">
        <v>2</v>
      </c>
      <c r="Y3829">
        <v>0</v>
      </c>
      <c r="Z3829">
        <v>0</v>
      </c>
      <c r="AB3829">
        <v>0</v>
      </c>
      <c r="AC3829">
        <v>9</v>
      </c>
      <c r="AD3829">
        <v>3</v>
      </c>
      <c r="AE3829">
        <v>0</v>
      </c>
      <c r="AF3829">
        <v>9</v>
      </c>
      <c r="AG3829" t="s">
        <v>158</v>
      </c>
      <c r="AH3829">
        <v>0</v>
      </c>
      <c r="AI3829">
        <v>3</v>
      </c>
      <c r="AJ3829">
        <v>1</v>
      </c>
      <c r="AK3829">
        <v>0</v>
      </c>
      <c r="AL3829" t="s">
        <v>7219</v>
      </c>
      <c r="AM3829">
        <v>47.049959000000001</v>
      </c>
      <c r="AN3829" t="s">
        <v>7220</v>
      </c>
      <c r="AO3829">
        <v>-123.959491</v>
      </c>
      <c r="AP3829">
        <v>100</v>
      </c>
      <c r="AQ3829">
        <v>2100</v>
      </c>
      <c r="AR3829" t="s">
        <v>118</v>
      </c>
      <c r="AS3829">
        <v>-72</v>
      </c>
      <c r="AT3829">
        <v>34</v>
      </c>
      <c r="AU3829">
        <v>64</v>
      </c>
      <c r="BC3829">
        <v>1200</v>
      </c>
      <c r="BD3829">
        <v>1</v>
      </c>
      <c r="BE3829" t="str">
        <f t="shared" si="179"/>
        <v xml:space="preserve">N215T   </v>
      </c>
      <c r="BF3829">
        <v>1</v>
      </c>
      <c r="BH3829">
        <v>0</v>
      </c>
      <c r="BI3829">
        <v>0</v>
      </c>
      <c r="BJ3829">
        <v>0</v>
      </c>
      <c r="BK3829">
        <v>2500</v>
      </c>
      <c r="BL3829">
        <v>400</v>
      </c>
      <c r="BM3829" t="s">
        <v>119</v>
      </c>
      <c r="BN3829">
        <v>1</v>
      </c>
      <c r="BO3829">
        <v>1</v>
      </c>
      <c r="BP3829">
        <v>1</v>
      </c>
      <c r="BQ3829">
        <v>0</v>
      </c>
      <c r="BT3829">
        <v>0</v>
      </c>
      <c r="BU3829">
        <v>0</v>
      </c>
      <c r="BV3829">
        <v>0</v>
      </c>
      <c r="CC3829" t="str">
        <f>"19:38:51.625"</f>
        <v>19:38:51.625</v>
      </c>
      <c r="CD3829" t="str">
        <f>"624547934"</f>
        <v>624547934</v>
      </c>
      <c r="CQ3829">
        <v>0</v>
      </c>
      <c r="CR3829">
        <v>2</v>
      </c>
      <c r="CS3829">
        <v>0</v>
      </c>
      <c r="CT3829">
        <v>2</v>
      </c>
      <c r="CU3829">
        <v>0</v>
      </c>
      <c r="CV3829">
        <v>2</v>
      </c>
      <c r="CW3829" t="s">
        <v>120</v>
      </c>
      <c r="CX3829">
        <v>257</v>
      </c>
      <c r="CY3829">
        <v>0</v>
      </c>
      <c r="CZ3829" t="s">
        <v>615</v>
      </c>
      <c r="DA3829" t="s">
        <v>616</v>
      </c>
      <c r="DD3829">
        <v>16583085</v>
      </c>
      <c r="DE3829" t="s">
        <v>123</v>
      </c>
    </row>
    <row r="3830" spans="1:109" x14ac:dyDescent="0.3">
      <c r="A3830" t="str">
        <f>"19:38:52.898"</f>
        <v>19:38:52.898</v>
      </c>
      <c r="B3830" t="s">
        <v>110</v>
      </c>
      <c r="C3830" t="str">
        <f t="shared" si="177"/>
        <v>ffdfd3c0</v>
      </c>
      <c r="D3830" t="s">
        <v>111</v>
      </c>
      <c r="E3830">
        <v>18</v>
      </c>
      <c r="F3830">
        <v>1018</v>
      </c>
      <c r="G3830" t="s">
        <v>112</v>
      </c>
      <c r="J3830" t="s">
        <v>113</v>
      </c>
      <c r="K3830">
        <v>0</v>
      </c>
      <c r="L3830">
        <v>3</v>
      </c>
      <c r="M3830">
        <v>0</v>
      </c>
      <c r="N3830">
        <v>2</v>
      </c>
      <c r="O3830">
        <v>1</v>
      </c>
      <c r="P3830">
        <v>0</v>
      </c>
      <c r="Q3830">
        <v>0</v>
      </c>
      <c r="R3830" t="s">
        <v>114</v>
      </c>
      <c r="S3830" t="str">
        <f>"19:38:52.656"</f>
        <v>19:38:52.656</v>
      </c>
      <c r="T3830" t="str">
        <f>"19:38:52.656"</f>
        <v>19:38:52.656</v>
      </c>
      <c r="U3830" t="str">
        <f t="shared" si="178"/>
        <v>a1cdbe</v>
      </c>
      <c r="V3830">
        <v>0</v>
      </c>
      <c r="W3830">
        <v>0</v>
      </c>
      <c r="X3830">
        <v>2</v>
      </c>
      <c r="Y3830">
        <v>0</v>
      </c>
      <c r="Z3830">
        <v>0</v>
      </c>
      <c r="AB3830">
        <v>0</v>
      </c>
      <c r="AC3830">
        <v>9</v>
      </c>
      <c r="AD3830">
        <v>3</v>
      </c>
      <c r="AE3830">
        <v>0</v>
      </c>
      <c r="AF3830">
        <v>9</v>
      </c>
      <c r="AG3830" t="s">
        <v>158</v>
      </c>
      <c r="AH3830">
        <v>0</v>
      </c>
      <c r="AI3830">
        <v>3</v>
      </c>
      <c r="AJ3830">
        <v>1</v>
      </c>
      <c r="AK3830">
        <v>0</v>
      </c>
      <c r="AL3830" t="s">
        <v>7221</v>
      </c>
      <c r="AM3830">
        <v>47.050108999999999</v>
      </c>
      <c r="AN3830" t="s">
        <v>7222</v>
      </c>
      <c r="AO3830">
        <v>-123.96000600000001</v>
      </c>
      <c r="AP3830">
        <v>100</v>
      </c>
      <c r="AQ3830">
        <v>2100</v>
      </c>
      <c r="AR3830" t="s">
        <v>118</v>
      </c>
      <c r="AS3830">
        <v>-72</v>
      </c>
      <c r="AT3830">
        <v>34</v>
      </c>
      <c r="AU3830">
        <v>64</v>
      </c>
      <c r="BC3830">
        <v>1200</v>
      </c>
      <c r="BD3830">
        <v>1</v>
      </c>
      <c r="BE3830" t="str">
        <f t="shared" si="179"/>
        <v xml:space="preserve">N215T   </v>
      </c>
      <c r="BF3830">
        <v>1</v>
      </c>
      <c r="BH3830">
        <v>0</v>
      </c>
      <c r="BI3830">
        <v>0</v>
      </c>
      <c r="BJ3830">
        <v>0</v>
      </c>
      <c r="BK3830">
        <v>2500</v>
      </c>
      <c r="BL3830">
        <v>400</v>
      </c>
      <c r="BM3830" t="s">
        <v>119</v>
      </c>
      <c r="BN3830">
        <v>1</v>
      </c>
      <c r="BO3830">
        <v>1</v>
      </c>
      <c r="BP3830">
        <v>1</v>
      </c>
      <c r="BQ3830">
        <v>0</v>
      </c>
      <c r="BT3830">
        <v>0</v>
      </c>
      <c r="BU3830">
        <v>0</v>
      </c>
      <c r="BV3830">
        <v>0</v>
      </c>
      <c r="CC3830" t="str">
        <f>"19:38:52.656"</f>
        <v>19:38:52.656</v>
      </c>
      <c r="CD3830" t="str">
        <f>"659446047"</f>
        <v>659446047</v>
      </c>
      <c r="CQ3830">
        <v>0</v>
      </c>
      <c r="CR3830">
        <v>2</v>
      </c>
      <c r="CS3830">
        <v>0</v>
      </c>
      <c r="CT3830">
        <v>2</v>
      </c>
      <c r="CU3830">
        <v>0</v>
      </c>
      <c r="CV3830">
        <v>3</v>
      </c>
      <c r="CW3830" t="s">
        <v>120</v>
      </c>
      <c r="CX3830">
        <v>257</v>
      </c>
      <c r="CY3830">
        <v>0</v>
      </c>
      <c r="CZ3830" t="s">
        <v>615</v>
      </c>
      <c r="DA3830" t="s">
        <v>616</v>
      </c>
      <c r="DD3830">
        <v>16583413</v>
      </c>
      <c r="DE3830" t="s">
        <v>123</v>
      </c>
    </row>
    <row r="3831" spans="1:109" x14ac:dyDescent="0.3">
      <c r="A3831" t="str">
        <f>"19:38:53.906"</f>
        <v>19:38:53.906</v>
      </c>
      <c r="B3831" t="s">
        <v>110</v>
      </c>
      <c r="C3831" t="str">
        <f t="shared" si="177"/>
        <v>ffdfd3c0</v>
      </c>
      <c r="D3831" t="s">
        <v>111</v>
      </c>
      <c r="E3831">
        <v>18</v>
      </c>
      <c r="F3831">
        <v>1018</v>
      </c>
      <c r="G3831" t="s">
        <v>112</v>
      </c>
      <c r="J3831" t="s">
        <v>113</v>
      </c>
      <c r="K3831">
        <v>0</v>
      </c>
      <c r="L3831">
        <v>3</v>
      </c>
      <c r="M3831">
        <v>0</v>
      </c>
      <c r="N3831">
        <v>2</v>
      </c>
      <c r="O3831">
        <v>1</v>
      </c>
      <c r="P3831">
        <v>0</v>
      </c>
      <c r="Q3831">
        <v>0</v>
      </c>
      <c r="R3831" t="s">
        <v>114</v>
      </c>
      <c r="S3831" t="str">
        <f>"19:38:53.648"</f>
        <v>19:38:53.648</v>
      </c>
      <c r="T3831" t="str">
        <f>"19:38:53.547"</f>
        <v>19:38:53.547</v>
      </c>
      <c r="U3831" t="str">
        <f t="shared" si="178"/>
        <v>a1cdbe</v>
      </c>
      <c r="V3831">
        <v>0</v>
      </c>
      <c r="W3831">
        <v>0</v>
      </c>
      <c r="X3831">
        <v>2</v>
      </c>
      <c r="Y3831">
        <v>0</v>
      </c>
      <c r="Z3831">
        <v>0</v>
      </c>
      <c r="AB3831">
        <v>0</v>
      </c>
      <c r="AC3831">
        <v>9</v>
      </c>
      <c r="AD3831">
        <v>3</v>
      </c>
      <c r="AE3831">
        <v>0</v>
      </c>
      <c r="AF3831">
        <v>9</v>
      </c>
      <c r="AG3831" t="s">
        <v>158</v>
      </c>
      <c r="AH3831">
        <v>0</v>
      </c>
      <c r="AI3831">
        <v>3</v>
      </c>
      <c r="AJ3831">
        <v>1</v>
      </c>
      <c r="AK3831">
        <v>0</v>
      </c>
      <c r="AL3831" t="s">
        <v>7223</v>
      </c>
      <c r="AM3831">
        <v>47.050280999999998</v>
      </c>
      <c r="AN3831" t="s">
        <v>7224</v>
      </c>
      <c r="AO3831">
        <v>-123.96045700000001</v>
      </c>
      <c r="AP3831">
        <v>100</v>
      </c>
      <c r="AQ3831">
        <v>2100</v>
      </c>
      <c r="AR3831" t="s">
        <v>118</v>
      </c>
      <c r="AS3831">
        <v>-73</v>
      </c>
      <c r="AT3831">
        <v>33</v>
      </c>
      <c r="AU3831">
        <v>64</v>
      </c>
      <c r="BC3831">
        <v>1200</v>
      </c>
      <c r="BD3831">
        <v>1</v>
      </c>
      <c r="BE3831" t="str">
        <f t="shared" si="179"/>
        <v xml:space="preserve">N215T   </v>
      </c>
      <c r="BF3831">
        <v>1</v>
      </c>
      <c r="BH3831">
        <v>0</v>
      </c>
      <c r="BI3831">
        <v>0</v>
      </c>
      <c r="BJ3831">
        <v>0</v>
      </c>
      <c r="BK3831">
        <v>2500</v>
      </c>
      <c r="BL3831">
        <v>400</v>
      </c>
      <c r="BM3831" t="s">
        <v>119</v>
      </c>
      <c r="BN3831">
        <v>1</v>
      </c>
      <c r="BO3831">
        <v>1</v>
      </c>
      <c r="BP3831">
        <v>1</v>
      </c>
      <c r="BQ3831">
        <v>0</v>
      </c>
      <c r="BT3831">
        <v>0</v>
      </c>
      <c r="BU3831">
        <v>0</v>
      </c>
      <c r="BV3831">
        <v>0</v>
      </c>
      <c r="CC3831" t="str">
        <f>"19:38:53.648"</f>
        <v>19:38:53.648</v>
      </c>
      <c r="CD3831" t="str">
        <f>"649348564"</f>
        <v>649348564</v>
      </c>
      <c r="CQ3831">
        <v>0</v>
      </c>
      <c r="CR3831">
        <v>2</v>
      </c>
      <c r="CS3831">
        <v>0</v>
      </c>
      <c r="CT3831">
        <v>2</v>
      </c>
      <c r="CU3831">
        <v>0</v>
      </c>
      <c r="CV3831">
        <v>3</v>
      </c>
      <c r="CW3831" t="s">
        <v>120</v>
      </c>
      <c r="CX3831">
        <v>257</v>
      </c>
      <c r="CY3831">
        <v>0</v>
      </c>
      <c r="CZ3831" t="s">
        <v>615</v>
      </c>
      <c r="DA3831" t="s">
        <v>616</v>
      </c>
      <c r="DD3831">
        <v>16583747</v>
      </c>
      <c r="DE3831" t="s">
        <v>123</v>
      </c>
    </row>
    <row r="3832" spans="1:109" x14ac:dyDescent="0.3">
      <c r="A3832" t="str">
        <f>"19:38:54.859"</f>
        <v>19:38:54.859</v>
      </c>
      <c r="B3832" t="s">
        <v>110</v>
      </c>
      <c r="C3832" t="str">
        <f t="shared" si="177"/>
        <v>ffdfd3c0</v>
      </c>
      <c r="D3832" t="s">
        <v>111</v>
      </c>
      <c r="E3832">
        <v>18</v>
      </c>
      <c r="F3832">
        <v>1018</v>
      </c>
      <c r="G3832" t="s">
        <v>112</v>
      </c>
      <c r="J3832" t="s">
        <v>113</v>
      </c>
      <c r="K3832">
        <v>0</v>
      </c>
      <c r="L3832">
        <v>3</v>
      </c>
      <c r="M3832">
        <v>0</v>
      </c>
      <c r="N3832">
        <v>2</v>
      </c>
      <c r="O3832">
        <v>1</v>
      </c>
      <c r="P3832">
        <v>0</v>
      </c>
      <c r="Q3832">
        <v>0</v>
      </c>
      <c r="R3832" t="s">
        <v>114</v>
      </c>
      <c r="S3832" t="str">
        <f>"19:38:54.617"</f>
        <v>19:38:54.617</v>
      </c>
      <c r="T3832" t="str">
        <f>"19:38:54.617"</f>
        <v>19:38:54.617</v>
      </c>
      <c r="U3832" t="str">
        <f t="shared" si="178"/>
        <v>a1cdbe</v>
      </c>
      <c r="V3832">
        <v>0</v>
      </c>
      <c r="W3832">
        <v>0</v>
      </c>
      <c r="X3832">
        <v>2</v>
      </c>
      <c r="Y3832">
        <v>0</v>
      </c>
      <c r="Z3832">
        <v>0</v>
      </c>
      <c r="AB3832">
        <v>0</v>
      </c>
      <c r="AC3832">
        <v>9</v>
      </c>
      <c r="AD3832">
        <v>3</v>
      </c>
      <c r="AE3832">
        <v>0</v>
      </c>
      <c r="AF3832">
        <v>9</v>
      </c>
      <c r="AG3832" t="s">
        <v>158</v>
      </c>
      <c r="AH3832">
        <v>0</v>
      </c>
      <c r="AI3832">
        <v>3</v>
      </c>
      <c r="AJ3832">
        <v>1</v>
      </c>
      <c r="AK3832">
        <v>0</v>
      </c>
      <c r="AL3832" t="s">
        <v>7225</v>
      </c>
      <c r="AM3832">
        <v>47.050431000000003</v>
      </c>
      <c r="AN3832" t="s">
        <v>7226</v>
      </c>
      <c r="AO3832">
        <v>-123.960993</v>
      </c>
      <c r="AP3832">
        <v>100</v>
      </c>
      <c r="AQ3832">
        <v>2100</v>
      </c>
      <c r="AR3832" t="s">
        <v>118</v>
      </c>
      <c r="AS3832">
        <v>-73</v>
      </c>
      <c r="AT3832">
        <v>32</v>
      </c>
      <c r="AU3832">
        <v>64</v>
      </c>
      <c r="BC3832">
        <v>1200</v>
      </c>
      <c r="BD3832">
        <v>1</v>
      </c>
      <c r="BE3832" t="str">
        <f t="shared" si="179"/>
        <v xml:space="preserve">N215T   </v>
      </c>
      <c r="BF3832">
        <v>1</v>
      </c>
      <c r="BH3832">
        <v>0</v>
      </c>
      <c r="BI3832">
        <v>0</v>
      </c>
      <c r="BJ3832">
        <v>0</v>
      </c>
      <c r="BK3832">
        <v>2500</v>
      </c>
      <c r="BL3832">
        <v>400</v>
      </c>
      <c r="BM3832" t="s">
        <v>119</v>
      </c>
      <c r="BN3832">
        <v>1</v>
      </c>
      <c r="BO3832">
        <v>1</v>
      </c>
      <c r="BP3832">
        <v>1</v>
      </c>
      <c r="BQ3832">
        <v>0</v>
      </c>
      <c r="BT3832">
        <v>0</v>
      </c>
      <c r="BU3832">
        <v>0</v>
      </c>
      <c r="BV3832">
        <v>0</v>
      </c>
      <c r="CC3832" t="str">
        <f>"19:38:54.625"</f>
        <v>19:38:54.625</v>
      </c>
      <c r="CD3832" t="str">
        <f>"624356652"</f>
        <v>624356652</v>
      </c>
      <c r="CQ3832">
        <v>0</v>
      </c>
      <c r="CR3832">
        <v>2</v>
      </c>
      <c r="CS3832">
        <v>0</v>
      </c>
      <c r="CT3832">
        <v>2</v>
      </c>
      <c r="CU3832">
        <v>0</v>
      </c>
      <c r="CV3832">
        <v>2</v>
      </c>
      <c r="CW3832" t="s">
        <v>120</v>
      </c>
      <c r="CX3832">
        <v>253</v>
      </c>
      <c r="CY3832">
        <v>2</v>
      </c>
      <c r="CZ3832" t="s">
        <v>7093</v>
      </c>
      <c r="DA3832" t="s">
        <v>7094</v>
      </c>
      <c r="DD3832">
        <v>13968969</v>
      </c>
      <c r="DE3832" t="s">
        <v>123</v>
      </c>
    </row>
    <row r="3833" spans="1:109" x14ac:dyDescent="0.3">
      <c r="A3833" t="str">
        <f>"19:38:55.867"</f>
        <v>19:38:55.867</v>
      </c>
      <c r="B3833" t="s">
        <v>110</v>
      </c>
      <c r="C3833" t="str">
        <f t="shared" si="177"/>
        <v>ffdfd3c0</v>
      </c>
      <c r="D3833" t="s">
        <v>111</v>
      </c>
      <c r="E3833">
        <v>18</v>
      </c>
      <c r="F3833">
        <v>1018</v>
      </c>
      <c r="G3833" t="s">
        <v>112</v>
      </c>
      <c r="J3833" t="s">
        <v>113</v>
      </c>
      <c r="K3833">
        <v>0</v>
      </c>
      <c r="L3833">
        <v>3</v>
      </c>
      <c r="M3833">
        <v>0</v>
      </c>
      <c r="N3833">
        <v>2</v>
      </c>
      <c r="O3833">
        <v>1</v>
      </c>
      <c r="P3833">
        <v>0</v>
      </c>
      <c r="Q3833">
        <v>0</v>
      </c>
      <c r="R3833" t="s">
        <v>114</v>
      </c>
      <c r="S3833" t="str">
        <f>"19:38:55.594"</f>
        <v>19:38:55.594</v>
      </c>
      <c r="T3833" t="str">
        <f>"19:38:55.195"</f>
        <v>19:38:55.195</v>
      </c>
      <c r="U3833" t="str">
        <f t="shared" si="178"/>
        <v>a1cdbe</v>
      </c>
      <c r="V3833">
        <v>0</v>
      </c>
      <c r="W3833">
        <v>0</v>
      </c>
      <c r="X3833">
        <v>2</v>
      </c>
      <c r="Y3833">
        <v>0</v>
      </c>
      <c r="Z3833">
        <v>0</v>
      </c>
      <c r="AB3833">
        <v>0</v>
      </c>
      <c r="AC3833">
        <v>9</v>
      </c>
      <c r="AD3833">
        <v>3</v>
      </c>
      <c r="AE3833">
        <v>0</v>
      </c>
      <c r="AF3833">
        <v>9</v>
      </c>
      <c r="AG3833" t="s">
        <v>158</v>
      </c>
      <c r="AH3833">
        <v>0</v>
      </c>
      <c r="AI3833">
        <v>3</v>
      </c>
      <c r="AJ3833">
        <v>1</v>
      </c>
      <c r="AK3833">
        <v>0</v>
      </c>
      <c r="AL3833" t="s">
        <v>7227</v>
      </c>
      <c r="AM3833">
        <v>47.050601999999998</v>
      </c>
      <c r="AN3833" t="s">
        <v>7228</v>
      </c>
      <c r="AO3833">
        <v>-123.96148700000001</v>
      </c>
      <c r="AP3833">
        <v>100</v>
      </c>
      <c r="AQ3833">
        <v>2100</v>
      </c>
      <c r="AR3833" t="s">
        <v>118</v>
      </c>
      <c r="AS3833">
        <v>-73</v>
      </c>
      <c r="AT3833">
        <v>32</v>
      </c>
      <c r="AU3833">
        <v>64</v>
      </c>
      <c r="BC3833">
        <v>1200</v>
      </c>
      <c r="BD3833">
        <v>1</v>
      </c>
      <c r="BE3833" t="str">
        <f t="shared" si="179"/>
        <v xml:space="preserve">N215T   </v>
      </c>
      <c r="BF3833">
        <v>1</v>
      </c>
      <c r="BH3833">
        <v>0</v>
      </c>
      <c r="BI3833">
        <v>0</v>
      </c>
      <c r="BJ3833">
        <v>0</v>
      </c>
      <c r="BK3833">
        <v>2500</v>
      </c>
      <c r="BL3833">
        <v>400</v>
      </c>
      <c r="BM3833" t="s">
        <v>119</v>
      </c>
      <c r="BN3833">
        <v>1</v>
      </c>
      <c r="BO3833">
        <v>1</v>
      </c>
      <c r="BP3833">
        <v>1</v>
      </c>
      <c r="BQ3833">
        <v>0</v>
      </c>
      <c r="BT3833">
        <v>0</v>
      </c>
      <c r="BU3833">
        <v>0</v>
      </c>
      <c r="BV3833">
        <v>0</v>
      </c>
      <c r="CC3833" t="str">
        <f>"19:38:55.602"</f>
        <v>19:38:55.602</v>
      </c>
      <c r="CD3833" t="str">
        <f>"599260456"</f>
        <v>599260456</v>
      </c>
      <c r="CQ3833">
        <v>0</v>
      </c>
      <c r="CR3833">
        <v>2</v>
      </c>
      <c r="CS3833">
        <v>0</v>
      </c>
      <c r="CT3833">
        <v>2</v>
      </c>
      <c r="CU3833">
        <v>0</v>
      </c>
      <c r="CV3833">
        <v>2</v>
      </c>
      <c r="CW3833" t="s">
        <v>120</v>
      </c>
      <c r="CX3833">
        <v>253</v>
      </c>
      <c r="CY3833">
        <v>2</v>
      </c>
      <c r="CZ3833" t="s">
        <v>7093</v>
      </c>
      <c r="DA3833" t="s">
        <v>7094</v>
      </c>
      <c r="DD3833">
        <v>13969020</v>
      </c>
      <c r="DE3833" t="s">
        <v>123</v>
      </c>
    </row>
    <row r="3834" spans="1:109" x14ac:dyDescent="0.3">
      <c r="A3834" t="str">
        <f>"19:38:56.820"</f>
        <v>19:38:56.820</v>
      </c>
      <c r="B3834" t="s">
        <v>110</v>
      </c>
      <c r="C3834" t="str">
        <f t="shared" si="177"/>
        <v>ffdfd3c0</v>
      </c>
      <c r="D3834" t="s">
        <v>111</v>
      </c>
      <c r="E3834">
        <v>18</v>
      </c>
      <c r="F3834">
        <v>1018</v>
      </c>
      <c r="G3834" t="s">
        <v>112</v>
      </c>
      <c r="J3834" t="s">
        <v>113</v>
      </c>
      <c r="K3834">
        <v>0</v>
      </c>
      <c r="L3834">
        <v>3</v>
      </c>
      <c r="M3834">
        <v>0</v>
      </c>
      <c r="N3834">
        <v>2</v>
      </c>
      <c r="O3834">
        <v>1</v>
      </c>
      <c r="P3834">
        <v>0</v>
      </c>
      <c r="Q3834">
        <v>0</v>
      </c>
      <c r="R3834" t="s">
        <v>114</v>
      </c>
      <c r="S3834" t="str">
        <f>"19:38:56.602"</f>
        <v>19:38:56.602</v>
      </c>
      <c r="T3834" t="str">
        <f>"19:38:56.305"</f>
        <v>19:38:56.305</v>
      </c>
      <c r="U3834" t="str">
        <f t="shared" si="178"/>
        <v>a1cdbe</v>
      </c>
      <c r="V3834">
        <v>0</v>
      </c>
      <c r="W3834">
        <v>0</v>
      </c>
      <c r="X3834">
        <v>2</v>
      </c>
      <c r="Y3834">
        <v>0</v>
      </c>
      <c r="Z3834">
        <v>0</v>
      </c>
      <c r="AB3834">
        <v>0</v>
      </c>
      <c r="AC3834">
        <v>9</v>
      </c>
      <c r="AD3834">
        <v>3</v>
      </c>
      <c r="AE3834">
        <v>0</v>
      </c>
      <c r="AF3834">
        <v>9</v>
      </c>
      <c r="AG3834" t="s">
        <v>158</v>
      </c>
      <c r="AH3834">
        <v>0</v>
      </c>
      <c r="AI3834">
        <v>3</v>
      </c>
      <c r="AJ3834">
        <v>1</v>
      </c>
      <c r="AK3834">
        <v>0</v>
      </c>
      <c r="AL3834" t="s">
        <v>7229</v>
      </c>
      <c r="AM3834">
        <v>47.050710000000002</v>
      </c>
      <c r="AN3834" t="s">
        <v>7230</v>
      </c>
      <c r="AO3834">
        <v>-123.961916</v>
      </c>
      <c r="AP3834">
        <v>100</v>
      </c>
      <c r="AQ3834">
        <v>2100</v>
      </c>
      <c r="AR3834" t="s">
        <v>118</v>
      </c>
      <c r="AS3834">
        <v>-74</v>
      </c>
      <c r="AT3834">
        <v>32</v>
      </c>
      <c r="AU3834">
        <v>64</v>
      </c>
      <c r="BC3834">
        <v>1200</v>
      </c>
      <c r="BD3834">
        <v>1</v>
      </c>
      <c r="BE3834" t="str">
        <f t="shared" si="179"/>
        <v xml:space="preserve">N215T   </v>
      </c>
      <c r="BF3834">
        <v>1</v>
      </c>
      <c r="BH3834">
        <v>0</v>
      </c>
      <c r="BI3834">
        <v>0</v>
      </c>
      <c r="BJ3834">
        <v>0</v>
      </c>
      <c r="BK3834">
        <v>2500</v>
      </c>
      <c r="BL3834">
        <v>400</v>
      </c>
      <c r="BM3834" t="s">
        <v>119</v>
      </c>
      <c r="BN3834">
        <v>1</v>
      </c>
      <c r="BO3834">
        <v>1</v>
      </c>
      <c r="BP3834">
        <v>1</v>
      </c>
      <c r="BQ3834">
        <v>0</v>
      </c>
      <c r="BT3834">
        <v>0</v>
      </c>
      <c r="BU3834">
        <v>0</v>
      </c>
      <c r="BV3834">
        <v>0</v>
      </c>
      <c r="CC3834" t="str">
        <f>"19:38:56.602"</f>
        <v>19:38:56.602</v>
      </c>
      <c r="CD3834" t="str">
        <f>"604161342"</f>
        <v>604161342</v>
      </c>
      <c r="CQ3834">
        <v>0</v>
      </c>
      <c r="CR3834">
        <v>2</v>
      </c>
      <c r="CS3834">
        <v>0</v>
      </c>
      <c r="CT3834">
        <v>2</v>
      </c>
      <c r="CU3834">
        <v>0</v>
      </c>
      <c r="CV3834">
        <v>2</v>
      </c>
      <c r="CW3834" t="s">
        <v>120</v>
      </c>
      <c r="CX3834">
        <v>253</v>
      </c>
      <c r="CY3834">
        <v>2</v>
      </c>
      <c r="CZ3834" t="s">
        <v>7093</v>
      </c>
      <c r="DA3834" t="s">
        <v>7094</v>
      </c>
      <c r="DD3834">
        <v>13969090</v>
      </c>
      <c r="DE3834" t="s">
        <v>123</v>
      </c>
    </row>
    <row r="3835" spans="1:109" x14ac:dyDescent="0.3">
      <c r="A3835" t="str">
        <f>"19:38:57.977"</f>
        <v>19:38:57.977</v>
      </c>
      <c r="B3835" t="s">
        <v>110</v>
      </c>
      <c r="C3835" t="str">
        <f t="shared" si="177"/>
        <v>ffdfd3c0</v>
      </c>
      <c r="D3835" t="s">
        <v>111</v>
      </c>
      <c r="E3835">
        <v>18</v>
      </c>
      <c r="F3835">
        <v>1018</v>
      </c>
      <c r="G3835" t="s">
        <v>112</v>
      </c>
      <c r="J3835" t="s">
        <v>113</v>
      </c>
      <c r="K3835">
        <v>0</v>
      </c>
      <c r="L3835">
        <v>3</v>
      </c>
      <c r="M3835">
        <v>0</v>
      </c>
      <c r="N3835">
        <v>2</v>
      </c>
      <c r="O3835">
        <v>1</v>
      </c>
      <c r="P3835">
        <v>0</v>
      </c>
      <c r="Q3835">
        <v>0</v>
      </c>
      <c r="R3835" t="s">
        <v>114</v>
      </c>
      <c r="S3835" t="str">
        <f>"19:38:57.727"</f>
        <v>19:38:57.727</v>
      </c>
      <c r="T3835" t="str">
        <f>"19:38:57.625"</f>
        <v>19:38:57.625</v>
      </c>
      <c r="U3835" t="str">
        <f t="shared" si="178"/>
        <v>a1cdbe</v>
      </c>
      <c r="V3835">
        <v>0</v>
      </c>
      <c r="W3835">
        <v>0</v>
      </c>
      <c r="X3835">
        <v>2</v>
      </c>
      <c r="Y3835">
        <v>0</v>
      </c>
      <c r="Z3835">
        <v>0</v>
      </c>
      <c r="AB3835">
        <v>0</v>
      </c>
      <c r="AC3835">
        <v>9</v>
      </c>
      <c r="AD3835">
        <v>3</v>
      </c>
      <c r="AE3835">
        <v>0</v>
      </c>
      <c r="AF3835">
        <v>9</v>
      </c>
      <c r="AG3835" t="s">
        <v>158</v>
      </c>
      <c r="AH3835">
        <v>0</v>
      </c>
      <c r="AI3835">
        <v>3</v>
      </c>
      <c r="AJ3835">
        <v>1</v>
      </c>
      <c r="AK3835">
        <v>0</v>
      </c>
      <c r="AL3835" t="s">
        <v>7231</v>
      </c>
      <c r="AM3835">
        <v>47.050924000000002</v>
      </c>
      <c r="AN3835" t="s">
        <v>7232</v>
      </c>
      <c r="AO3835">
        <v>-123.96251700000001</v>
      </c>
      <c r="AP3835">
        <v>100</v>
      </c>
      <c r="AQ3835">
        <v>2100</v>
      </c>
      <c r="AR3835" t="s">
        <v>118</v>
      </c>
      <c r="AS3835">
        <v>-74</v>
      </c>
      <c r="AT3835">
        <v>32</v>
      </c>
      <c r="AU3835">
        <v>64</v>
      </c>
      <c r="BC3835">
        <v>1200</v>
      </c>
      <c r="BD3835">
        <v>1</v>
      </c>
      <c r="BE3835" t="str">
        <f t="shared" si="179"/>
        <v xml:space="preserve">N215T   </v>
      </c>
      <c r="BF3835">
        <v>1</v>
      </c>
      <c r="BH3835">
        <v>0</v>
      </c>
      <c r="BI3835">
        <v>0</v>
      </c>
      <c r="BJ3835">
        <v>0</v>
      </c>
      <c r="BK3835">
        <v>2500</v>
      </c>
      <c r="BL3835">
        <v>400</v>
      </c>
      <c r="BM3835" t="s">
        <v>119</v>
      </c>
      <c r="BN3835">
        <v>1</v>
      </c>
      <c r="BO3835">
        <v>1</v>
      </c>
      <c r="BP3835">
        <v>1</v>
      </c>
      <c r="BQ3835">
        <v>0</v>
      </c>
      <c r="BT3835">
        <v>0</v>
      </c>
      <c r="BU3835">
        <v>0</v>
      </c>
      <c r="BV3835">
        <v>0</v>
      </c>
      <c r="CC3835" t="str">
        <f>"19:38:57.727"</f>
        <v>19:38:57.727</v>
      </c>
      <c r="CD3835" t="str">
        <f>"729050397"</f>
        <v>729050397</v>
      </c>
      <c r="CQ3835">
        <v>0</v>
      </c>
      <c r="CR3835">
        <v>2</v>
      </c>
      <c r="CS3835">
        <v>0</v>
      </c>
      <c r="CT3835">
        <v>2</v>
      </c>
      <c r="CU3835">
        <v>0</v>
      </c>
      <c r="CV3835">
        <v>2</v>
      </c>
      <c r="CW3835" t="s">
        <v>120</v>
      </c>
      <c r="CX3835">
        <v>253</v>
      </c>
      <c r="CY3835">
        <v>2</v>
      </c>
      <c r="CZ3835" t="s">
        <v>7093</v>
      </c>
      <c r="DA3835" t="s">
        <v>7094</v>
      </c>
      <c r="DD3835">
        <v>13969159</v>
      </c>
      <c r="DE3835" t="s">
        <v>123</v>
      </c>
    </row>
    <row r="3836" spans="1:109" x14ac:dyDescent="0.3">
      <c r="A3836" t="str">
        <f>"19:38:59.383"</f>
        <v>19:38:59.383</v>
      </c>
      <c r="B3836" t="s">
        <v>110</v>
      </c>
      <c r="C3836" t="str">
        <f t="shared" si="177"/>
        <v>ffdfd3c0</v>
      </c>
      <c r="D3836" t="s">
        <v>111</v>
      </c>
      <c r="E3836">
        <v>18</v>
      </c>
      <c r="F3836">
        <v>1018</v>
      </c>
      <c r="G3836" t="s">
        <v>112</v>
      </c>
      <c r="J3836" t="s">
        <v>113</v>
      </c>
      <c r="K3836">
        <v>0</v>
      </c>
      <c r="L3836">
        <v>3</v>
      </c>
      <c r="M3836">
        <v>0</v>
      </c>
      <c r="N3836">
        <v>2</v>
      </c>
      <c r="O3836">
        <v>1</v>
      </c>
      <c r="P3836">
        <v>0</v>
      </c>
      <c r="Q3836">
        <v>0</v>
      </c>
      <c r="R3836" t="s">
        <v>114</v>
      </c>
      <c r="S3836" t="str">
        <f>"19:38:59.148"</f>
        <v>19:38:59.148</v>
      </c>
      <c r="T3836" t="str">
        <f>"19:38:57.547"</f>
        <v>19:38:57.547</v>
      </c>
      <c r="U3836" t="str">
        <f t="shared" si="178"/>
        <v>a1cdbe</v>
      </c>
      <c r="V3836">
        <v>0</v>
      </c>
      <c r="W3836">
        <v>0</v>
      </c>
      <c r="X3836">
        <v>2</v>
      </c>
      <c r="Y3836">
        <v>0</v>
      </c>
      <c r="Z3836">
        <v>0</v>
      </c>
      <c r="AB3836">
        <v>0</v>
      </c>
      <c r="AC3836">
        <v>9</v>
      </c>
      <c r="AD3836">
        <v>3</v>
      </c>
      <c r="AE3836">
        <v>0</v>
      </c>
      <c r="AF3836">
        <v>9</v>
      </c>
      <c r="AG3836" t="s">
        <v>158</v>
      </c>
      <c r="AH3836">
        <v>0</v>
      </c>
      <c r="AI3836">
        <v>3</v>
      </c>
      <c r="AJ3836">
        <v>1</v>
      </c>
      <c r="AK3836">
        <v>0</v>
      </c>
      <c r="AL3836" t="s">
        <v>7233</v>
      </c>
      <c r="AM3836">
        <v>47.051096000000001</v>
      </c>
      <c r="AN3836" t="s">
        <v>7234</v>
      </c>
      <c r="AO3836">
        <v>-123.963246</v>
      </c>
      <c r="AP3836">
        <v>100</v>
      </c>
      <c r="AQ3836">
        <v>2100</v>
      </c>
      <c r="AR3836" t="s">
        <v>118</v>
      </c>
      <c r="AS3836">
        <v>-74</v>
      </c>
      <c r="AT3836">
        <v>32</v>
      </c>
      <c r="AU3836">
        <v>64</v>
      </c>
      <c r="BC3836">
        <v>1200</v>
      </c>
      <c r="BD3836">
        <v>1</v>
      </c>
      <c r="BE3836" t="str">
        <f t="shared" si="179"/>
        <v xml:space="preserve">N215T   </v>
      </c>
      <c r="BF3836">
        <v>1</v>
      </c>
      <c r="BH3836">
        <v>0</v>
      </c>
      <c r="BI3836">
        <v>0</v>
      </c>
      <c r="BJ3836">
        <v>0</v>
      </c>
      <c r="BK3836">
        <v>2500</v>
      </c>
      <c r="BL3836">
        <v>400</v>
      </c>
      <c r="BM3836" t="s">
        <v>119</v>
      </c>
      <c r="BN3836">
        <v>1</v>
      </c>
      <c r="BO3836">
        <v>1</v>
      </c>
      <c r="BP3836">
        <v>1</v>
      </c>
      <c r="BQ3836">
        <v>0</v>
      </c>
      <c r="BT3836">
        <v>0</v>
      </c>
      <c r="BU3836">
        <v>0</v>
      </c>
      <c r="BV3836">
        <v>0</v>
      </c>
      <c r="CC3836" t="str">
        <f>"19:38:59.156"</f>
        <v>19:38:59.156</v>
      </c>
      <c r="CD3836" t="str">
        <f>"153909770"</f>
        <v>153909770</v>
      </c>
      <c r="CQ3836">
        <v>0</v>
      </c>
      <c r="CR3836">
        <v>2</v>
      </c>
      <c r="CS3836">
        <v>0</v>
      </c>
      <c r="CT3836">
        <v>2</v>
      </c>
      <c r="CU3836">
        <v>0</v>
      </c>
      <c r="CV3836">
        <v>1</v>
      </c>
      <c r="CW3836" t="s">
        <v>120</v>
      </c>
      <c r="CX3836">
        <v>253</v>
      </c>
      <c r="CY3836">
        <v>2</v>
      </c>
      <c r="CZ3836" t="s">
        <v>7093</v>
      </c>
      <c r="DA3836" t="s">
        <v>7094</v>
      </c>
      <c r="DD3836">
        <v>13969257</v>
      </c>
      <c r="DE3836" t="s">
        <v>123</v>
      </c>
    </row>
    <row r="3837" spans="1:109" x14ac:dyDescent="0.3">
      <c r="A3837" t="str">
        <f>"19:39:00.539"</f>
        <v>19:39:00.539</v>
      </c>
      <c r="B3837" t="s">
        <v>110</v>
      </c>
      <c r="C3837" t="str">
        <f t="shared" si="177"/>
        <v>ffdfd3c0</v>
      </c>
      <c r="D3837" t="s">
        <v>111</v>
      </c>
      <c r="E3837">
        <v>18</v>
      </c>
      <c r="F3837">
        <v>1018</v>
      </c>
      <c r="G3837" t="s">
        <v>112</v>
      </c>
      <c r="J3837" t="s">
        <v>113</v>
      </c>
      <c r="K3837">
        <v>0</v>
      </c>
      <c r="L3837">
        <v>3</v>
      </c>
      <c r="M3837">
        <v>0</v>
      </c>
      <c r="N3837">
        <v>2</v>
      </c>
      <c r="O3837">
        <v>1</v>
      </c>
      <c r="P3837">
        <v>0</v>
      </c>
      <c r="Q3837">
        <v>0</v>
      </c>
      <c r="R3837" t="s">
        <v>114</v>
      </c>
      <c r="S3837" t="str">
        <f>"19:39:00.273"</f>
        <v>19:39:00.273</v>
      </c>
      <c r="T3837" t="str">
        <f>"19:39:00.172"</f>
        <v>19:39:00.172</v>
      </c>
      <c r="U3837" t="str">
        <f t="shared" si="178"/>
        <v>a1cdbe</v>
      </c>
      <c r="V3837">
        <v>0</v>
      </c>
      <c r="W3837">
        <v>0</v>
      </c>
      <c r="X3837">
        <v>2</v>
      </c>
      <c r="Y3837">
        <v>0</v>
      </c>
      <c r="Z3837">
        <v>0</v>
      </c>
      <c r="AB3837">
        <v>0</v>
      </c>
      <c r="AC3837">
        <v>9</v>
      </c>
      <c r="AD3837">
        <v>3</v>
      </c>
      <c r="AE3837">
        <v>0</v>
      </c>
      <c r="AF3837">
        <v>9</v>
      </c>
      <c r="AG3837" t="s">
        <v>158</v>
      </c>
      <c r="AH3837">
        <v>0</v>
      </c>
      <c r="AI3837">
        <v>3</v>
      </c>
      <c r="AJ3837">
        <v>1</v>
      </c>
      <c r="AK3837">
        <v>0</v>
      </c>
      <c r="AL3837" t="s">
        <v>7235</v>
      </c>
      <c r="AM3837">
        <v>47.051268</v>
      </c>
      <c r="AN3837" t="s">
        <v>7236</v>
      </c>
      <c r="AO3837">
        <v>-123.963804</v>
      </c>
      <c r="AP3837">
        <v>100</v>
      </c>
      <c r="AQ3837">
        <v>2100</v>
      </c>
      <c r="AR3837" t="s">
        <v>118</v>
      </c>
      <c r="AS3837">
        <v>-75</v>
      </c>
      <c r="AT3837">
        <v>34</v>
      </c>
      <c r="AU3837">
        <v>0</v>
      </c>
      <c r="BC3837">
        <v>1200</v>
      </c>
      <c r="BD3837">
        <v>1</v>
      </c>
      <c r="BE3837" t="str">
        <f t="shared" si="179"/>
        <v xml:space="preserve">N215T   </v>
      </c>
      <c r="BF3837">
        <v>1</v>
      </c>
      <c r="BH3837">
        <v>0</v>
      </c>
      <c r="BI3837">
        <v>0</v>
      </c>
      <c r="BJ3837">
        <v>0</v>
      </c>
      <c r="BK3837">
        <v>2500</v>
      </c>
      <c r="BL3837">
        <v>400</v>
      </c>
      <c r="BM3837" t="s">
        <v>119</v>
      </c>
      <c r="BN3837">
        <v>1</v>
      </c>
      <c r="BO3837">
        <v>1</v>
      </c>
      <c r="BP3837">
        <v>1</v>
      </c>
      <c r="BQ3837">
        <v>0</v>
      </c>
      <c r="BT3837">
        <v>0</v>
      </c>
      <c r="BU3837">
        <v>0</v>
      </c>
      <c r="BV3837">
        <v>0</v>
      </c>
      <c r="CC3837" t="str">
        <f>"19:39:00.281"</f>
        <v>19:39:00.281</v>
      </c>
      <c r="CD3837" t="str">
        <f>"278798866"</f>
        <v>278798866</v>
      </c>
      <c r="CQ3837">
        <v>0</v>
      </c>
      <c r="CR3837">
        <v>2</v>
      </c>
      <c r="CS3837">
        <v>0</v>
      </c>
      <c r="CT3837">
        <v>2</v>
      </c>
      <c r="CU3837">
        <v>0</v>
      </c>
      <c r="CV3837">
        <v>2</v>
      </c>
      <c r="CW3837" t="s">
        <v>120</v>
      </c>
      <c r="CX3837">
        <v>253</v>
      </c>
      <c r="CY3837">
        <v>2</v>
      </c>
      <c r="CZ3837" t="s">
        <v>7093</v>
      </c>
      <c r="DA3837" t="s">
        <v>7094</v>
      </c>
      <c r="DD3837">
        <v>13969329</v>
      </c>
      <c r="DE3837" t="s">
        <v>123</v>
      </c>
    </row>
    <row r="3838" spans="1:109" x14ac:dyDescent="0.3">
      <c r="A3838" t="str">
        <f>"19:39:01.547"</f>
        <v>19:39:01.547</v>
      </c>
      <c r="B3838" t="s">
        <v>110</v>
      </c>
      <c r="C3838" t="str">
        <f t="shared" si="177"/>
        <v>ffdfd3c0</v>
      </c>
      <c r="D3838" t="s">
        <v>111</v>
      </c>
      <c r="E3838">
        <v>18</v>
      </c>
      <c r="F3838">
        <v>1018</v>
      </c>
      <c r="G3838" t="s">
        <v>112</v>
      </c>
      <c r="J3838" t="s">
        <v>113</v>
      </c>
      <c r="K3838">
        <v>0</v>
      </c>
      <c r="L3838">
        <v>3</v>
      </c>
      <c r="M3838">
        <v>0</v>
      </c>
      <c r="N3838">
        <v>2</v>
      </c>
      <c r="O3838">
        <v>1</v>
      </c>
      <c r="P3838">
        <v>0</v>
      </c>
      <c r="Q3838">
        <v>0</v>
      </c>
      <c r="R3838" t="s">
        <v>114</v>
      </c>
      <c r="S3838" t="str">
        <f>"19:39:01.281"</f>
        <v>19:39:01.281</v>
      </c>
      <c r="T3838" t="str">
        <f>"19:39:01.078"</f>
        <v>19:39:01.078</v>
      </c>
      <c r="U3838" t="str">
        <f t="shared" si="178"/>
        <v>a1cdbe</v>
      </c>
      <c r="V3838">
        <v>0</v>
      </c>
      <c r="W3838">
        <v>0</v>
      </c>
      <c r="X3838">
        <v>2</v>
      </c>
      <c r="Y3838">
        <v>0</v>
      </c>
      <c r="Z3838">
        <v>0</v>
      </c>
      <c r="AB3838">
        <v>0</v>
      </c>
      <c r="AC3838">
        <v>9</v>
      </c>
      <c r="AD3838">
        <v>3</v>
      </c>
      <c r="AE3838">
        <v>0</v>
      </c>
      <c r="AF3838">
        <v>9</v>
      </c>
      <c r="AG3838" t="s">
        <v>158</v>
      </c>
      <c r="AH3838">
        <v>0</v>
      </c>
      <c r="AI3838">
        <v>3</v>
      </c>
      <c r="AJ3838">
        <v>1</v>
      </c>
      <c r="AK3838">
        <v>0</v>
      </c>
      <c r="AL3838" t="s">
        <v>7237</v>
      </c>
      <c r="AM3838">
        <v>47.051461000000003</v>
      </c>
      <c r="AN3838" t="s">
        <v>7238</v>
      </c>
      <c r="AO3838">
        <v>-123.96436199999999</v>
      </c>
      <c r="AP3838">
        <v>100</v>
      </c>
      <c r="AQ3838">
        <v>2100</v>
      </c>
      <c r="AR3838" t="s">
        <v>118</v>
      </c>
      <c r="AS3838">
        <v>-75</v>
      </c>
      <c r="AT3838">
        <v>34</v>
      </c>
      <c r="AU3838">
        <v>-64</v>
      </c>
      <c r="BC3838">
        <v>1200</v>
      </c>
      <c r="BD3838">
        <v>1</v>
      </c>
      <c r="BE3838" t="str">
        <f t="shared" si="179"/>
        <v xml:space="preserve">N215T   </v>
      </c>
      <c r="BF3838">
        <v>1</v>
      </c>
      <c r="BH3838">
        <v>0</v>
      </c>
      <c r="BI3838">
        <v>0</v>
      </c>
      <c r="BJ3838">
        <v>0</v>
      </c>
      <c r="BK3838">
        <v>2525</v>
      </c>
      <c r="BL3838">
        <v>425</v>
      </c>
      <c r="BM3838" t="s">
        <v>119</v>
      </c>
      <c r="BN3838">
        <v>1</v>
      </c>
      <c r="BO3838">
        <v>1</v>
      </c>
      <c r="BP3838">
        <v>1</v>
      </c>
      <c r="BQ3838">
        <v>0</v>
      </c>
      <c r="BT3838">
        <v>0</v>
      </c>
      <c r="BU3838">
        <v>0</v>
      </c>
      <c r="BV3838">
        <v>0</v>
      </c>
      <c r="CC3838" t="str">
        <f>"19:39:01.281"</f>
        <v>19:39:01.281</v>
      </c>
      <c r="CD3838" t="str">
        <f>"283596746"</f>
        <v>283596746</v>
      </c>
      <c r="CQ3838">
        <v>0</v>
      </c>
      <c r="CR3838">
        <v>2</v>
      </c>
      <c r="CS3838">
        <v>0</v>
      </c>
      <c r="CT3838">
        <v>2</v>
      </c>
      <c r="CU3838">
        <v>0</v>
      </c>
      <c r="CV3838">
        <v>3</v>
      </c>
      <c r="CW3838" t="s">
        <v>120</v>
      </c>
      <c r="CX3838">
        <v>257</v>
      </c>
      <c r="CY3838">
        <v>0</v>
      </c>
      <c r="CZ3838" t="s">
        <v>615</v>
      </c>
      <c r="DA3838" t="s">
        <v>616</v>
      </c>
      <c r="DD3838">
        <v>16586430</v>
      </c>
      <c r="DE3838" t="s">
        <v>123</v>
      </c>
    </row>
    <row r="3839" spans="1:109" x14ac:dyDescent="0.3">
      <c r="A3839" t="str">
        <f>"19:39:02.453"</f>
        <v>19:39:02.453</v>
      </c>
      <c r="B3839" t="s">
        <v>110</v>
      </c>
      <c r="C3839" t="str">
        <f t="shared" si="177"/>
        <v>ffdfd3c0</v>
      </c>
      <c r="D3839" t="s">
        <v>111</v>
      </c>
      <c r="E3839">
        <v>18</v>
      </c>
      <c r="F3839">
        <v>1018</v>
      </c>
      <c r="G3839" t="s">
        <v>112</v>
      </c>
      <c r="J3839" t="s">
        <v>113</v>
      </c>
      <c r="K3839">
        <v>0</v>
      </c>
      <c r="L3839">
        <v>3</v>
      </c>
      <c r="M3839">
        <v>0</v>
      </c>
      <c r="N3839">
        <v>2</v>
      </c>
      <c r="O3839">
        <v>1</v>
      </c>
      <c r="P3839">
        <v>0</v>
      </c>
      <c r="Q3839">
        <v>0</v>
      </c>
      <c r="R3839" t="s">
        <v>114</v>
      </c>
      <c r="S3839" t="str">
        <f>"19:39:02.180"</f>
        <v>19:39:02.180</v>
      </c>
      <c r="T3839" t="str">
        <f>"19:39:01.680"</f>
        <v>19:39:01.680</v>
      </c>
      <c r="U3839" t="str">
        <f t="shared" si="178"/>
        <v>a1cdbe</v>
      </c>
      <c r="V3839">
        <v>0</v>
      </c>
      <c r="W3839">
        <v>0</v>
      </c>
      <c r="X3839">
        <v>2</v>
      </c>
      <c r="Y3839">
        <v>0</v>
      </c>
      <c r="Z3839">
        <v>0</v>
      </c>
      <c r="AB3839">
        <v>0</v>
      </c>
      <c r="AC3839">
        <v>9</v>
      </c>
      <c r="AD3839">
        <v>3</v>
      </c>
      <c r="AE3839">
        <v>0</v>
      </c>
      <c r="AF3839">
        <v>9</v>
      </c>
      <c r="AG3839" t="s">
        <v>158</v>
      </c>
      <c r="AH3839">
        <v>0</v>
      </c>
      <c r="AI3839">
        <v>3</v>
      </c>
      <c r="AJ3839">
        <v>1</v>
      </c>
      <c r="AK3839">
        <v>0</v>
      </c>
      <c r="AL3839" t="s">
        <v>7239</v>
      </c>
      <c r="AM3839">
        <v>47.051611000000001</v>
      </c>
      <c r="AN3839" t="s">
        <v>7240</v>
      </c>
      <c r="AO3839">
        <v>-123.96479100000001</v>
      </c>
      <c r="AP3839">
        <v>100</v>
      </c>
      <c r="AQ3839">
        <v>2100</v>
      </c>
      <c r="AR3839" t="s">
        <v>118</v>
      </c>
      <c r="AS3839">
        <v>-75</v>
      </c>
      <c r="AT3839">
        <v>34</v>
      </c>
      <c r="AU3839">
        <v>-64</v>
      </c>
      <c r="BC3839">
        <v>1200</v>
      </c>
      <c r="BD3839">
        <v>1</v>
      </c>
      <c r="BE3839" t="str">
        <f t="shared" si="179"/>
        <v xml:space="preserve">N215T   </v>
      </c>
      <c r="BF3839">
        <v>1</v>
      </c>
      <c r="BH3839">
        <v>0</v>
      </c>
      <c r="BI3839">
        <v>0</v>
      </c>
      <c r="BJ3839">
        <v>0</v>
      </c>
      <c r="BK3839">
        <v>2500</v>
      </c>
      <c r="BL3839">
        <v>400</v>
      </c>
      <c r="BM3839" t="s">
        <v>119</v>
      </c>
      <c r="BN3839">
        <v>1</v>
      </c>
      <c r="BO3839">
        <v>1</v>
      </c>
      <c r="BP3839">
        <v>1</v>
      </c>
      <c r="BQ3839">
        <v>0</v>
      </c>
      <c r="BT3839">
        <v>0</v>
      </c>
      <c r="BU3839">
        <v>0</v>
      </c>
      <c r="BV3839">
        <v>0</v>
      </c>
      <c r="CC3839" t="str">
        <f>"19:39:02.180"</f>
        <v>19:39:02.180</v>
      </c>
      <c r="CD3839" t="str">
        <f>"183508118"</f>
        <v>183508118</v>
      </c>
      <c r="CQ3839">
        <v>0</v>
      </c>
      <c r="CR3839">
        <v>2</v>
      </c>
      <c r="CS3839">
        <v>0</v>
      </c>
      <c r="CT3839">
        <v>2</v>
      </c>
      <c r="CU3839">
        <v>0</v>
      </c>
      <c r="CV3839">
        <v>3</v>
      </c>
      <c r="CW3839" t="s">
        <v>120</v>
      </c>
      <c r="CX3839">
        <v>257</v>
      </c>
      <c r="CY3839">
        <v>0</v>
      </c>
      <c r="CZ3839" t="s">
        <v>615</v>
      </c>
      <c r="DA3839" t="s">
        <v>616</v>
      </c>
      <c r="DD3839">
        <v>16586728</v>
      </c>
      <c r="DE3839" t="s">
        <v>123</v>
      </c>
    </row>
    <row r="3840" spans="1:109" x14ac:dyDescent="0.3">
      <c r="A3840" t="str">
        <f>"19:39:03.352"</f>
        <v>19:39:03.352</v>
      </c>
      <c r="B3840" t="s">
        <v>110</v>
      </c>
      <c r="C3840" t="str">
        <f t="shared" si="177"/>
        <v>ffdfd3c0</v>
      </c>
      <c r="D3840" t="s">
        <v>111</v>
      </c>
      <c r="E3840">
        <v>18</v>
      </c>
      <c r="F3840">
        <v>1018</v>
      </c>
      <c r="G3840" t="s">
        <v>112</v>
      </c>
      <c r="J3840" t="s">
        <v>113</v>
      </c>
      <c r="K3840">
        <v>0</v>
      </c>
      <c r="L3840">
        <v>3</v>
      </c>
      <c r="M3840">
        <v>0</v>
      </c>
      <c r="N3840">
        <v>2</v>
      </c>
      <c r="O3840">
        <v>1</v>
      </c>
      <c r="P3840">
        <v>0</v>
      </c>
      <c r="Q3840">
        <v>0</v>
      </c>
      <c r="R3840" t="s">
        <v>114</v>
      </c>
      <c r="S3840" t="str">
        <f>"19:39:03.109"</f>
        <v>19:39:03.109</v>
      </c>
      <c r="T3840" t="str">
        <f>"19:39:01.711"</f>
        <v>19:39:01.711</v>
      </c>
      <c r="U3840" t="str">
        <f t="shared" si="178"/>
        <v>a1cdbe</v>
      </c>
      <c r="V3840">
        <v>0</v>
      </c>
      <c r="W3840">
        <v>0</v>
      </c>
      <c r="X3840">
        <v>2</v>
      </c>
      <c r="Y3840">
        <v>0</v>
      </c>
      <c r="Z3840">
        <v>0</v>
      </c>
      <c r="AB3840">
        <v>0</v>
      </c>
      <c r="AC3840">
        <v>9</v>
      </c>
      <c r="AD3840">
        <v>3</v>
      </c>
      <c r="AE3840">
        <v>0</v>
      </c>
      <c r="AF3840">
        <v>9</v>
      </c>
      <c r="AG3840" t="s">
        <v>158</v>
      </c>
      <c r="AH3840">
        <v>0</v>
      </c>
      <c r="AI3840">
        <v>3</v>
      </c>
      <c r="AJ3840">
        <v>1</v>
      </c>
      <c r="AK3840">
        <v>0</v>
      </c>
      <c r="AL3840" t="s">
        <v>7241</v>
      </c>
      <c r="AM3840">
        <v>47.051740000000002</v>
      </c>
      <c r="AN3840" t="s">
        <v>7242</v>
      </c>
      <c r="AO3840">
        <v>-123.96528499999999</v>
      </c>
      <c r="AP3840">
        <v>100</v>
      </c>
      <c r="AQ3840">
        <v>2100</v>
      </c>
      <c r="AR3840" t="s">
        <v>118</v>
      </c>
      <c r="AS3840">
        <v>-75</v>
      </c>
      <c r="AT3840">
        <v>34</v>
      </c>
      <c r="AU3840">
        <v>-64</v>
      </c>
      <c r="BC3840">
        <v>1200</v>
      </c>
      <c r="BD3840">
        <v>1</v>
      </c>
      <c r="BE3840" t="str">
        <f t="shared" si="179"/>
        <v xml:space="preserve">N215T   </v>
      </c>
      <c r="BF3840">
        <v>1</v>
      </c>
      <c r="BH3840">
        <v>0</v>
      </c>
      <c r="BI3840">
        <v>0</v>
      </c>
      <c r="BJ3840">
        <v>0</v>
      </c>
      <c r="BK3840">
        <v>2500</v>
      </c>
      <c r="BL3840">
        <v>400</v>
      </c>
      <c r="BM3840" t="s">
        <v>119</v>
      </c>
      <c r="BN3840">
        <v>1</v>
      </c>
      <c r="BO3840">
        <v>1</v>
      </c>
      <c r="BP3840">
        <v>1</v>
      </c>
      <c r="BQ3840">
        <v>0</v>
      </c>
      <c r="BT3840">
        <v>0</v>
      </c>
      <c r="BU3840">
        <v>0</v>
      </c>
      <c r="BV3840">
        <v>0</v>
      </c>
      <c r="CC3840" t="str">
        <f>"19:39:03.117"</f>
        <v>19:39:03.117</v>
      </c>
      <c r="CD3840" t="str">
        <f>"113416651"</f>
        <v>113416651</v>
      </c>
      <c r="CQ3840">
        <v>0</v>
      </c>
      <c r="CR3840">
        <v>2</v>
      </c>
      <c r="CS3840">
        <v>0</v>
      </c>
      <c r="CT3840">
        <v>2</v>
      </c>
      <c r="CU3840">
        <v>0</v>
      </c>
      <c r="CV3840">
        <v>2</v>
      </c>
      <c r="CW3840" t="s">
        <v>120</v>
      </c>
      <c r="CX3840">
        <v>257</v>
      </c>
      <c r="CY3840">
        <v>0</v>
      </c>
      <c r="CZ3840" t="s">
        <v>615</v>
      </c>
      <c r="DA3840" t="s">
        <v>616</v>
      </c>
      <c r="DD3840">
        <v>16587024</v>
      </c>
      <c r="DE3840" t="s">
        <v>123</v>
      </c>
    </row>
    <row r="3841" spans="1:109" x14ac:dyDescent="0.3">
      <c r="A3841" t="str">
        <f>"19:39:05.016"</f>
        <v>19:39:05.016</v>
      </c>
      <c r="B3841" t="s">
        <v>110</v>
      </c>
      <c r="C3841" t="str">
        <f t="shared" si="177"/>
        <v>ffdfd3c0</v>
      </c>
      <c r="D3841" t="s">
        <v>111</v>
      </c>
      <c r="E3841">
        <v>18</v>
      </c>
      <c r="F3841">
        <v>1018</v>
      </c>
      <c r="G3841" t="s">
        <v>112</v>
      </c>
      <c r="J3841" t="s">
        <v>113</v>
      </c>
      <c r="K3841">
        <v>0</v>
      </c>
      <c r="L3841">
        <v>3</v>
      </c>
      <c r="M3841">
        <v>0</v>
      </c>
      <c r="N3841">
        <v>2</v>
      </c>
      <c r="O3841">
        <v>1</v>
      </c>
      <c r="P3841">
        <v>0</v>
      </c>
      <c r="Q3841">
        <v>0</v>
      </c>
      <c r="R3841" t="s">
        <v>114</v>
      </c>
      <c r="S3841" t="str">
        <f>"19:39:04.742"</f>
        <v>19:39:04.742</v>
      </c>
      <c r="T3841" t="str">
        <f>"19:39:04.641"</f>
        <v>19:39:04.641</v>
      </c>
      <c r="U3841" t="str">
        <f t="shared" si="178"/>
        <v>a1cdbe</v>
      </c>
      <c r="V3841">
        <v>0</v>
      </c>
      <c r="W3841">
        <v>0</v>
      </c>
      <c r="X3841">
        <v>2</v>
      </c>
      <c r="Y3841">
        <v>0</v>
      </c>
      <c r="Z3841">
        <v>0</v>
      </c>
      <c r="AB3841">
        <v>0</v>
      </c>
      <c r="AC3841">
        <v>9</v>
      </c>
      <c r="AD3841">
        <v>3</v>
      </c>
      <c r="AE3841">
        <v>0</v>
      </c>
      <c r="AF3841">
        <v>9</v>
      </c>
      <c r="AG3841" t="s">
        <v>158</v>
      </c>
      <c r="AH3841">
        <v>0</v>
      </c>
      <c r="AI3841">
        <v>3</v>
      </c>
      <c r="AJ3841">
        <v>1</v>
      </c>
      <c r="AK3841">
        <v>0</v>
      </c>
      <c r="AL3841" t="s">
        <v>7243</v>
      </c>
      <c r="AM3841">
        <v>47.051976000000003</v>
      </c>
      <c r="AN3841" t="s">
        <v>7244</v>
      </c>
      <c r="AO3841">
        <v>-123.96605700000001</v>
      </c>
      <c r="AP3841">
        <v>100</v>
      </c>
      <c r="AQ3841">
        <v>2100</v>
      </c>
      <c r="AR3841" t="s">
        <v>118</v>
      </c>
      <c r="AS3841">
        <v>-76</v>
      </c>
      <c r="AT3841">
        <v>34</v>
      </c>
      <c r="AU3841">
        <v>-64</v>
      </c>
      <c r="BC3841">
        <v>1200</v>
      </c>
      <c r="BD3841">
        <v>1</v>
      </c>
      <c r="BE3841" t="str">
        <f t="shared" si="179"/>
        <v xml:space="preserve">N215T   </v>
      </c>
      <c r="BF3841">
        <v>1</v>
      </c>
      <c r="BH3841">
        <v>0</v>
      </c>
      <c r="BI3841">
        <v>0</v>
      </c>
      <c r="BJ3841">
        <v>0</v>
      </c>
      <c r="BK3841">
        <v>2500</v>
      </c>
      <c r="BL3841">
        <v>400</v>
      </c>
      <c r="BM3841" t="s">
        <v>119</v>
      </c>
      <c r="BN3841">
        <v>1</v>
      </c>
      <c r="BO3841">
        <v>1</v>
      </c>
      <c r="BP3841">
        <v>1</v>
      </c>
      <c r="BQ3841">
        <v>0</v>
      </c>
      <c r="BT3841">
        <v>0</v>
      </c>
      <c r="BU3841">
        <v>0</v>
      </c>
      <c r="BV3841">
        <v>0</v>
      </c>
      <c r="CC3841" t="str">
        <f>"19:39:04.750"</f>
        <v>19:39:04.750</v>
      </c>
      <c r="CD3841" t="str">
        <f>"748357942"</f>
        <v>748357942</v>
      </c>
      <c r="CQ3841">
        <v>0</v>
      </c>
      <c r="CR3841">
        <v>2</v>
      </c>
      <c r="CS3841">
        <v>0</v>
      </c>
      <c r="CT3841">
        <v>2</v>
      </c>
      <c r="CU3841">
        <v>0</v>
      </c>
      <c r="CV3841">
        <v>1</v>
      </c>
      <c r="CW3841" t="s">
        <v>120</v>
      </c>
      <c r="CX3841">
        <v>253</v>
      </c>
      <c r="CY3841">
        <v>2</v>
      </c>
      <c r="CZ3841" t="s">
        <v>7093</v>
      </c>
      <c r="DA3841" t="s">
        <v>7094</v>
      </c>
      <c r="DD3841">
        <v>13969607</v>
      </c>
      <c r="DE3841" t="s">
        <v>123</v>
      </c>
    </row>
    <row r="3842" spans="1:109" x14ac:dyDescent="0.3">
      <c r="A3842" t="str">
        <f>"19:39:05.867"</f>
        <v>19:39:05.867</v>
      </c>
      <c r="B3842" t="s">
        <v>110</v>
      </c>
      <c r="C3842" t="str">
        <f t="shared" ref="C3842:C3905" si="180">"ffdfd3c0"</f>
        <v>ffdfd3c0</v>
      </c>
      <c r="D3842" t="s">
        <v>111</v>
      </c>
      <c r="E3842">
        <v>18</v>
      </c>
      <c r="F3842">
        <v>1018</v>
      </c>
      <c r="G3842" t="s">
        <v>112</v>
      </c>
      <c r="J3842" t="s">
        <v>113</v>
      </c>
      <c r="K3842">
        <v>0</v>
      </c>
      <c r="L3842">
        <v>3</v>
      </c>
      <c r="M3842">
        <v>0</v>
      </c>
      <c r="N3842">
        <v>2</v>
      </c>
      <c r="O3842">
        <v>1</v>
      </c>
      <c r="P3842">
        <v>0</v>
      </c>
      <c r="Q3842">
        <v>0</v>
      </c>
      <c r="R3842" t="s">
        <v>114</v>
      </c>
      <c r="S3842" t="str">
        <f>"19:39:05.641"</f>
        <v>19:39:05.641</v>
      </c>
      <c r="T3842" t="str">
        <f>"19:39:04.141"</f>
        <v>19:39:04.141</v>
      </c>
      <c r="U3842" t="str">
        <f t="shared" ref="U3842:U3905" si="181">"a1cdbe"</f>
        <v>a1cdbe</v>
      </c>
      <c r="V3842">
        <v>0</v>
      </c>
      <c r="W3842">
        <v>0</v>
      </c>
      <c r="X3842">
        <v>2</v>
      </c>
      <c r="Y3842">
        <v>0</v>
      </c>
      <c r="Z3842">
        <v>0</v>
      </c>
      <c r="AB3842">
        <v>0</v>
      </c>
      <c r="AC3842">
        <v>9</v>
      </c>
      <c r="AD3842">
        <v>3</v>
      </c>
      <c r="AE3842">
        <v>0</v>
      </c>
      <c r="AF3842">
        <v>9</v>
      </c>
      <c r="AG3842" t="s">
        <v>158</v>
      </c>
      <c r="AH3842">
        <v>0</v>
      </c>
      <c r="AI3842">
        <v>3</v>
      </c>
      <c r="AJ3842">
        <v>1</v>
      </c>
      <c r="AK3842">
        <v>0</v>
      </c>
      <c r="AL3842" t="s">
        <v>7245</v>
      </c>
      <c r="AM3842">
        <v>47.052146999999998</v>
      </c>
      <c r="AN3842" t="s">
        <v>7246</v>
      </c>
      <c r="AO3842">
        <v>-123.966572</v>
      </c>
      <c r="AP3842">
        <v>100</v>
      </c>
      <c r="AQ3842">
        <v>2100</v>
      </c>
      <c r="AR3842" t="s">
        <v>118</v>
      </c>
      <c r="AS3842">
        <v>-76</v>
      </c>
      <c r="AT3842">
        <v>34</v>
      </c>
      <c r="AU3842">
        <v>-64</v>
      </c>
      <c r="BC3842">
        <v>1200</v>
      </c>
      <c r="BD3842">
        <v>1</v>
      </c>
      <c r="BE3842" t="str">
        <f t="shared" ref="BE3842:BE3905" si="182">"N215T   "</f>
        <v xml:space="preserve">N215T   </v>
      </c>
      <c r="BF3842">
        <v>1</v>
      </c>
      <c r="BH3842">
        <v>0</v>
      </c>
      <c r="BI3842">
        <v>0</v>
      </c>
      <c r="BJ3842">
        <v>0</v>
      </c>
      <c r="BK3842">
        <v>2500</v>
      </c>
      <c r="BL3842">
        <v>400</v>
      </c>
      <c r="BM3842" t="s">
        <v>119</v>
      </c>
      <c r="BN3842">
        <v>1</v>
      </c>
      <c r="BO3842">
        <v>1</v>
      </c>
      <c r="BP3842">
        <v>1</v>
      </c>
      <c r="BQ3842">
        <v>0</v>
      </c>
      <c r="BT3842">
        <v>0</v>
      </c>
      <c r="BU3842">
        <v>0</v>
      </c>
      <c r="BV3842">
        <v>0</v>
      </c>
      <c r="CC3842" t="str">
        <f>"19:39:05.648"</f>
        <v>19:39:05.648</v>
      </c>
      <c r="CD3842" t="str">
        <f>"648166935"</f>
        <v>648166935</v>
      </c>
      <c r="CQ3842">
        <v>0</v>
      </c>
      <c r="CR3842">
        <v>2</v>
      </c>
      <c r="CS3842">
        <v>0</v>
      </c>
      <c r="CT3842">
        <v>2</v>
      </c>
      <c r="CU3842">
        <v>0</v>
      </c>
      <c r="CV3842">
        <v>2</v>
      </c>
      <c r="CW3842" t="s">
        <v>120</v>
      </c>
      <c r="CX3842">
        <v>257</v>
      </c>
      <c r="CY3842">
        <v>0</v>
      </c>
      <c r="CZ3842" t="s">
        <v>615</v>
      </c>
      <c r="DA3842" t="s">
        <v>616</v>
      </c>
      <c r="DD3842">
        <v>16587844</v>
      </c>
      <c r="DE3842" t="s">
        <v>123</v>
      </c>
    </row>
    <row r="3843" spans="1:109" x14ac:dyDescent="0.3">
      <c r="A3843" t="str">
        <f>"19:39:07.328"</f>
        <v>19:39:07.328</v>
      </c>
      <c r="B3843" t="s">
        <v>110</v>
      </c>
      <c r="C3843" t="str">
        <f t="shared" si="180"/>
        <v>ffdfd3c0</v>
      </c>
      <c r="D3843" t="s">
        <v>111</v>
      </c>
      <c r="E3843">
        <v>18</v>
      </c>
      <c r="F3843">
        <v>1018</v>
      </c>
      <c r="G3843" t="s">
        <v>112</v>
      </c>
      <c r="J3843" t="s">
        <v>113</v>
      </c>
      <c r="K3843">
        <v>0</v>
      </c>
      <c r="L3843">
        <v>3</v>
      </c>
      <c r="M3843">
        <v>0</v>
      </c>
      <c r="N3843">
        <v>2</v>
      </c>
      <c r="O3843">
        <v>1</v>
      </c>
      <c r="P3843">
        <v>0</v>
      </c>
      <c r="Q3843">
        <v>0</v>
      </c>
      <c r="R3843" t="s">
        <v>114</v>
      </c>
      <c r="S3843" t="str">
        <f>"19:39:07.086"</f>
        <v>19:39:07.086</v>
      </c>
      <c r="T3843" t="str">
        <f>"19:39:06.789"</f>
        <v>19:39:06.789</v>
      </c>
      <c r="U3843" t="str">
        <f t="shared" si="181"/>
        <v>a1cdbe</v>
      </c>
      <c r="V3843">
        <v>0</v>
      </c>
      <c r="W3843">
        <v>0</v>
      </c>
      <c r="X3843">
        <v>2</v>
      </c>
      <c r="Y3843">
        <v>0</v>
      </c>
      <c r="Z3843">
        <v>0</v>
      </c>
      <c r="AB3843">
        <v>0</v>
      </c>
      <c r="AC3843">
        <v>9</v>
      </c>
      <c r="AD3843">
        <v>3</v>
      </c>
      <c r="AE3843">
        <v>0</v>
      </c>
      <c r="AF3843">
        <v>9</v>
      </c>
      <c r="AG3843" t="s">
        <v>158</v>
      </c>
      <c r="AH3843">
        <v>0</v>
      </c>
      <c r="AI3843">
        <v>3</v>
      </c>
      <c r="AJ3843">
        <v>1</v>
      </c>
      <c r="AK3843">
        <v>0</v>
      </c>
      <c r="AL3843" t="s">
        <v>549</v>
      </c>
      <c r="AM3843">
        <v>47.052340999999998</v>
      </c>
      <c r="AN3843" t="s">
        <v>7247</v>
      </c>
      <c r="AO3843">
        <v>-123.96732299999999</v>
      </c>
      <c r="AP3843">
        <v>100</v>
      </c>
      <c r="AQ3843">
        <v>2100</v>
      </c>
      <c r="AR3843" t="s">
        <v>118</v>
      </c>
      <c r="AS3843">
        <v>-76</v>
      </c>
      <c r="AT3843">
        <v>32</v>
      </c>
      <c r="AU3843">
        <v>0</v>
      </c>
      <c r="BC3843">
        <v>1200</v>
      </c>
      <c r="BD3843">
        <v>1</v>
      </c>
      <c r="BE3843" t="str">
        <f t="shared" si="182"/>
        <v xml:space="preserve">N215T   </v>
      </c>
      <c r="BF3843">
        <v>1</v>
      </c>
      <c r="BH3843">
        <v>0</v>
      </c>
      <c r="BI3843">
        <v>0</v>
      </c>
      <c r="BJ3843">
        <v>0</v>
      </c>
      <c r="BK3843">
        <v>2500</v>
      </c>
      <c r="BL3843">
        <v>400</v>
      </c>
      <c r="BM3843" t="s">
        <v>119</v>
      </c>
      <c r="BN3843">
        <v>1</v>
      </c>
      <c r="BO3843">
        <v>1</v>
      </c>
      <c r="BP3843">
        <v>1</v>
      </c>
      <c r="BQ3843">
        <v>0</v>
      </c>
      <c r="BT3843">
        <v>0</v>
      </c>
      <c r="BU3843">
        <v>0</v>
      </c>
      <c r="BV3843">
        <v>0</v>
      </c>
      <c r="CC3843" t="str">
        <f>"19:39:07.086"</f>
        <v>19:39:07.086</v>
      </c>
      <c r="CD3843" t="str">
        <f>"088025118"</f>
        <v>088025118</v>
      </c>
      <c r="CQ3843">
        <v>0</v>
      </c>
      <c r="CR3843">
        <v>2</v>
      </c>
      <c r="CS3843">
        <v>0</v>
      </c>
      <c r="CT3843">
        <v>2</v>
      </c>
      <c r="CU3843">
        <v>0</v>
      </c>
      <c r="CV3843">
        <v>3</v>
      </c>
      <c r="CW3843" t="s">
        <v>120</v>
      </c>
      <c r="CX3843">
        <v>257</v>
      </c>
      <c r="CY3843">
        <v>0</v>
      </c>
      <c r="CZ3843" t="s">
        <v>615</v>
      </c>
      <c r="DA3843" t="s">
        <v>616</v>
      </c>
      <c r="DD3843">
        <v>16588294</v>
      </c>
      <c r="DE3843" t="s">
        <v>123</v>
      </c>
    </row>
    <row r="3844" spans="1:109" x14ac:dyDescent="0.3">
      <c r="A3844" t="str">
        <f>"19:39:08.281"</f>
        <v>19:39:08.281</v>
      </c>
      <c r="B3844" t="s">
        <v>110</v>
      </c>
      <c r="C3844" t="str">
        <f t="shared" si="180"/>
        <v>ffdfd3c0</v>
      </c>
      <c r="D3844" t="s">
        <v>111</v>
      </c>
      <c r="E3844">
        <v>18</v>
      </c>
      <c r="F3844">
        <v>1018</v>
      </c>
      <c r="G3844" t="s">
        <v>112</v>
      </c>
      <c r="J3844" t="s">
        <v>113</v>
      </c>
      <c r="K3844">
        <v>0</v>
      </c>
      <c r="L3844">
        <v>3</v>
      </c>
      <c r="M3844">
        <v>0</v>
      </c>
      <c r="N3844">
        <v>2</v>
      </c>
      <c r="O3844">
        <v>1</v>
      </c>
      <c r="P3844">
        <v>0</v>
      </c>
      <c r="Q3844">
        <v>0</v>
      </c>
      <c r="R3844" t="s">
        <v>114</v>
      </c>
      <c r="S3844" t="str">
        <f>"19:39:08.000"</f>
        <v>19:39:08.000</v>
      </c>
      <c r="T3844" t="str">
        <f>"19:39:07.703"</f>
        <v>19:39:07.703</v>
      </c>
      <c r="U3844" t="str">
        <f t="shared" si="181"/>
        <v>a1cdbe</v>
      </c>
      <c r="V3844">
        <v>0</v>
      </c>
      <c r="W3844">
        <v>0</v>
      </c>
      <c r="X3844">
        <v>2</v>
      </c>
      <c r="Y3844">
        <v>0</v>
      </c>
      <c r="Z3844">
        <v>0</v>
      </c>
      <c r="AB3844">
        <v>0</v>
      </c>
      <c r="AC3844">
        <v>9</v>
      </c>
      <c r="AD3844">
        <v>3</v>
      </c>
      <c r="AE3844">
        <v>0</v>
      </c>
      <c r="AF3844">
        <v>9</v>
      </c>
      <c r="AG3844" t="s">
        <v>158</v>
      </c>
      <c r="AH3844">
        <v>0</v>
      </c>
      <c r="AI3844">
        <v>3</v>
      </c>
      <c r="AJ3844">
        <v>1</v>
      </c>
      <c r="AK3844">
        <v>0</v>
      </c>
      <c r="AL3844" t="s">
        <v>7248</v>
      </c>
      <c r="AM3844">
        <v>47.052469000000002</v>
      </c>
      <c r="AN3844" t="s">
        <v>7249</v>
      </c>
      <c r="AO3844">
        <v>-123.967795</v>
      </c>
      <c r="AP3844">
        <v>100</v>
      </c>
      <c r="AQ3844">
        <v>2100</v>
      </c>
      <c r="AR3844" t="s">
        <v>118</v>
      </c>
      <c r="AS3844">
        <v>-76</v>
      </c>
      <c r="AT3844">
        <v>31</v>
      </c>
      <c r="AU3844">
        <v>0</v>
      </c>
      <c r="BC3844">
        <v>1200</v>
      </c>
      <c r="BD3844">
        <v>1</v>
      </c>
      <c r="BE3844" t="str">
        <f t="shared" si="182"/>
        <v xml:space="preserve">N215T   </v>
      </c>
      <c r="BF3844">
        <v>1</v>
      </c>
      <c r="BH3844">
        <v>0</v>
      </c>
      <c r="BI3844">
        <v>0</v>
      </c>
      <c r="BJ3844">
        <v>0</v>
      </c>
      <c r="BK3844">
        <v>2500</v>
      </c>
      <c r="BL3844">
        <v>400</v>
      </c>
      <c r="BM3844" t="s">
        <v>119</v>
      </c>
      <c r="BN3844">
        <v>1</v>
      </c>
      <c r="BO3844">
        <v>1</v>
      </c>
      <c r="BP3844">
        <v>1</v>
      </c>
      <c r="BQ3844">
        <v>0</v>
      </c>
      <c r="BT3844">
        <v>0</v>
      </c>
      <c r="BU3844">
        <v>0</v>
      </c>
      <c r="BV3844">
        <v>0</v>
      </c>
      <c r="CC3844" t="str">
        <f>"19:39:08.000"</f>
        <v>19:39:08.000</v>
      </c>
      <c r="CD3844" t="str">
        <f>"002935021"</f>
        <v>002935021</v>
      </c>
      <c r="CQ3844">
        <v>0</v>
      </c>
      <c r="CR3844">
        <v>2</v>
      </c>
      <c r="CS3844">
        <v>0</v>
      </c>
      <c r="CT3844">
        <v>2</v>
      </c>
      <c r="CU3844">
        <v>0</v>
      </c>
      <c r="CV3844">
        <v>2</v>
      </c>
      <c r="CW3844" t="s">
        <v>120</v>
      </c>
      <c r="CX3844">
        <v>257</v>
      </c>
      <c r="CY3844">
        <v>0</v>
      </c>
      <c r="CZ3844" t="s">
        <v>615</v>
      </c>
      <c r="DA3844" t="s">
        <v>616</v>
      </c>
      <c r="DD3844">
        <v>16588576</v>
      </c>
      <c r="DE3844" t="s">
        <v>123</v>
      </c>
    </row>
    <row r="3845" spans="1:109" x14ac:dyDescent="0.3">
      <c r="A3845" t="str">
        <f>"19:39:09.336"</f>
        <v>19:39:09.336</v>
      </c>
      <c r="B3845" t="s">
        <v>110</v>
      </c>
      <c r="C3845" t="str">
        <f t="shared" si="180"/>
        <v>ffdfd3c0</v>
      </c>
      <c r="D3845" t="s">
        <v>111</v>
      </c>
      <c r="E3845">
        <v>18</v>
      </c>
      <c r="F3845">
        <v>1018</v>
      </c>
      <c r="G3845" t="s">
        <v>112</v>
      </c>
      <c r="J3845" t="s">
        <v>113</v>
      </c>
      <c r="K3845">
        <v>0</v>
      </c>
      <c r="L3845">
        <v>3</v>
      </c>
      <c r="M3845">
        <v>0</v>
      </c>
      <c r="N3845">
        <v>2</v>
      </c>
      <c r="O3845">
        <v>1</v>
      </c>
      <c r="P3845">
        <v>0</v>
      </c>
      <c r="Q3845">
        <v>0</v>
      </c>
      <c r="R3845" t="s">
        <v>114</v>
      </c>
      <c r="S3845" t="str">
        <f>"19:39:09.047"</f>
        <v>19:39:09.047</v>
      </c>
      <c r="T3845" t="str">
        <f>"19:39:08.148"</f>
        <v>19:39:08.148</v>
      </c>
      <c r="U3845" t="str">
        <f t="shared" si="181"/>
        <v>a1cdbe</v>
      </c>
      <c r="V3845">
        <v>0</v>
      </c>
      <c r="W3845">
        <v>0</v>
      </c>
      <c r="X3845">
        <v>2</v>
      </c>
      <c r="Y3845">
        <v>0</v>
      </c>
      <c r="Z3845">
        <v>0</v>
      </c>
      <c r="AB3845">
        <v>0</v>
      </c>
      <c r="AC3845">
        <v>9</v>
      </c>
      <c r="AD3845">
        <v>3</v>
      </c>
      <c r="AE3845">
        <v>0</v>
      </c>
      <c r="AF3845">
        <v>9</v>
      </c>
      <c r="AG3845" t="s">
        <v>158</v>
      </c>
      <c r="AH3845">
        <v>0</v>
      </c>
      <c r="AI3845">
        <v>3</v>
      </c>
      <c r="AJ3845">
        <v>1</v>
      </c>
      <c r="AK3845">
        <v>0</v>
      </c>
      <c r="AL3845" t="s">
        <v>7250</v>
      </c>
      <c r="AM3845">
        <v>47.052619</v>
      </c>
      <c r="AN3845" t="s">
        <v>7251</v>
      </c>
      <c r="AO3845">
        <v>-123.96831</v>
      </c>
      <c r="AP3845">
        <v>100</v>
      </c>
      <c r="AQ3845">
        <v>2100</v>
      </c>
      <c r="AR3845" t="s">
        <v>118</v>
      </c>
      <c r="AS3845">
        <v>-76</v>
      </c>
      <c r="AT3845">
        <v>30</v>
      </c>
      <c r="AU3845">
        <v>0</v>
      </c>
      <c r="BC3845">
        <v>1200</v>
      </c>
      <c r="BD3845">
        <v>1</v>
      </c>
      <c r="BE3845" t="str">
        <f t="shared" si="182"/>
        <v xml:space="preserve">N215T   </v>
      </c>
      <c r="BF3845">
        <v>1</v>
      </c>
      <c r="BH3845">
        <v>0</v>
      </c>
      <c r="BI3845">
        <v>0</v>
      </c>
      <c r="BJ3845">
        <v>0</v>
      </c>
      <c r="BK3845">
        <v>2500</v>
      </c>
      <c r="BL3845">
        <v>400</v>
      </c>
      <c r="BM3845" t="s">
        <v>119</v>
      </c>
      <c r="BN3845">
        <v>1</v>
      </c>
      <c r="BO3845">
        <v>1</v>
      </c>
      <c r="BP3845">
        <v>1</v>
      </c>
      <c r="BQ3845">
        <v>0</v>
      </c>
      <c r="BT3845">
        <v>0</v>
      </c>
      <c r="BU3845">
        <v>0</v>
      </c>
      <c r="BV3845">
        <v>0</v>
      </c>
      <c r="CC3845" t="str">
        <f>"19:39:09.055"</f>
        <v>19:39:09.055</v>
      </c>
      <c r="CD3845" t="str">
        <f>"052831610"</f>
        <v>052831610</v>
      </c>
      <c r="CQ3845">
        <v>0</v>
      </c>
      <c r="CR3845">
        <v>2</v>
      </c>
      <c r="CS3845">
        <v>0</v>
      </c>
      <c r="CT3845">
        <v>2</v>
      </c>
      <c r="CU3845">
        <v>0</v>
      </c>
      <c r="CV3845">
        <v>2</v>
      </c>
      <c r="CW3845" t="s">
        <v>120</v>
      </c>
      <c r="CX3845">
        <v>257</v>
      </c>
      <c r="CY3845">
        <v>0</v>
      </c>
      <c r="CZ3845" t="s">
        <v>615</v>
      </c>
      <c r="DA3845" t="s">
        <v>616</v>
      </c>
      <c r="DD3845">
        <v>16588912</v>
      </c>
      <c r="DE3845" t="s">
        <v>123</v>
      </c>
    </row>
    <row r="3846" spans="1:109" x14ac:dyDescent="0.3">
      <c r="A3846" t="str">
        <f>"19:39:10.297"</f>
        <v>19:39:10.297</v>
      </c>
      <c r="B3846" t="s">
        <v>110</v>
      </c>
      <c r="C3846" t="str">
        <f t="shared" si="180"/>
        <v>ffdfd3c0</v>
      </c>
      <c r="D3846" t="s">
        <v>111</v>
      </c>
      <c r="E3846">
        <v>18</v>
      </c>
      <c r="F3846">
        <v>1018</v>
      </c>
      <c r="G3846" t="s">
        <v>112</v>
      </c>
      <c r="J3846" t="s">
        <v>113</v>
      </c>
      <c r="K3846">
        <v>0</v>
      </c>
      <c r="L3846">
        <v>3</v>
      </c>
      <c r="M3846">
        <v>0</v>
      </c>
      <c r="N3846">
        <v>2</v>
      </c>
      <c r="O3846">
        <v>1</v>
      </c>
      <c r="P3846">
        <v>0</v>
      </c>
      <c r="Q3846">
        <v>0</v>
      </c>
      <c r="R3846" t="s">
        <v>114</v>
      </c>
      <c r="S3846" t="str">
        <f>"19:39:10.023"</f>
        <v>19:39:10.023</v>
      </c>
      <c r="T3846" t="str">
        <f>"19:39:09.625"</f>
        <v>19:39:09.625</v>
      </c>
      <c r="U3846" t="str">
        <f t="shared" si="181"/>
        <v>a1cdbe</v>
      </c>
      <c r="V3846">
        <v>0</v>
      </c>
      <c r="W3846">
        <v>0</v>
      </c>
      <c r="X3846">
        <v>2</v>
      </c>
      <c r="Y3846">
        <v>0</v>
      </c>
      <c r="Z3846">
        <v>0</v>
      </c>
      <c r="AB3846">
        <v>0</v>
      </c>
      <c r="AC3846">
        <v>9</v>
      </c>
      <c r="AD3846">
        <v>3</v>
      </c>
      <c r="AE3846">
        <v>0</v>
      </c>
      <c r="AF3846">
        <v>9</v>
      </c>
      <c r="AG3846" t="s">
        <v>158</v>
      </c>
      <c r="AH3846">
        <v>0</v>
      </c>
      <c r="AI3846">
        <v>3</v>
      </c>
      <c r="AJ3846">
        <v>1</v>
      </c>
      <c r="AK3846">
        <v>0</v>
      </c>
      <c r="AL3846" t="s">
        <v>7252</v>
      </c>
      <c r="AM3846">
        <v>47.052748000000001</v>
      </c>
      <c r="AN3846" t="s">
        <v>7253</v>
      </c>
      <c r="AO3846">
        <v>-123.968825</v>
      </c>
      <c r="AP3846">
        <v>100</v>
      </c>
      <c r="AQ3846">
        <v>2100</v>
      </c>
      <c r="AR3846" t="s">
        <v>118</v>
      </c>
      <c r="AS3846">
        <v>-76</v>
      </c>
      <c r="AT3846">
        <v>28</v>
      </c>
      <c r="AU3846">
        <v>64</v>
      </c>
      <c r="BC3846">
        <v>1200</v>
      </c>
      <c r="BD3846">
        <v>1</v>
      </c>
      <c r="BE3846" t="str">
        <f t="shared" si="182"/>
        <v xml:space="preserve">N215T   </v>
      </c>
      <c r="BF3846">
        <v>1</v>
      </c>
      <c r="BH3846">
        <v>0</v>
      </c>
      <c r="BI3846">
        <v>0</v>
      </c>
      <c r="BJ3846">
        <v>0</v>
      </c>
      <c r="BK3846">
        <v>2500</v>
      </c>
      <c r="BL3846">
        <v>400</v>
      </c>
      <c r="BM3846" t="s">
        <v>119</v>
      </c>
      <c r="BN3846">
        <v>1</v>
      </c>
      <c r="BO3846">
        <v>1</v>
      </c>
      <c r="BP3846">
        <v>1</v>
      </c>
      <c r="BQ3846">
        <v>0</v>
      </c>
      <c r="BT3846">
        <v>0</v>
      </c>
      <c r="BU3846">
        <v>0</v>
      </c>
      <c r="BV3846">
        <v>0</v>
      </c>
      <c r="CC3846" t="str">
        <f>"19:39:10.031"</f>
        <v>19:39:10.031</v>
      </c>
      <c r="CD3846" t="str">
        <f>"027735634"</f>
        <v>027735634</v>
      </c>
      <c r="CQ3846">
        <v>0</v>
      </c>
      <c r="CR3846">
        <v>2</v>
      </c>
      <c r="CS3846">
        <v>0</v>
      </c>
      <c r="CT3846">
        <v>2</v>
      </c>
      <c r="CU3846">
        <v>0</v>
      </c>
      <c r="CV3846">
        <v>2</v>
      </c>
      <c r="CW3846" t="s">
        <v>120</v>
      </c>
      <c r="CX3846">
        <v>257</v>
      </c>
      <c r="CY3846">
        <v>0</v>
      </c>
      <c r="CZ3846" t="s">
        <v>615</v>
      </c>
      <c r="DA3846" t="s">
        <v>616</v>
      </c>
      <c r="DD3846">
        <v>16589252</v>
      </c>
      <c r="DE3846" t="s">
        <v>123</v>
      </c>
    </row>
    <row r="3847" spans="1:109" x14ac:dyDescent="0.3">
      <c r="A3847" t="str">
        <f>"19:39:11.398"</f>
        <v>19:39:11.398</v>
      </c>
      <c r="B3847" t="s">
        <v>110</v>
      </c>
      <c r="C3847" t="str">
        <f t="shared" si="180"/>
        <v>ffdfd3c0</v>
      </c>
      <c r="D3847" t="s">
        <v>111</v>
      </c>
      <c r="E3847">
        <v>18</v>
      </c>
      <c r="F3847">
        <v>1018</v>
      </c>
      <c r="G3847" t="s">
        <v>112</v>
      </c>
      <c r="J3847" t="s">
        <v>113</v>
      </c>
      <c r="K3847">
        <v>0</v>
      </c>
      <c r="L3847">
        <v>3</v>
      </c>
      <c r="M3847">
        <v>0</v>
      </c>
      <c r="N3847">
        <v>2</v>
      </c>
      <c r="O3847">
        <v>1</v>
      </c>
      <c r="P3847">
        <v>0</v>
      </c>
      <c r="Q3847">
        <v>0</v>
      </c>
      <c r="R3847" t="s">
        <v>114</v>
      </c>
      <c r="S3847" t="str">
        <f>"19:39:11.148"</f>
        <v>19:39:11.148</v>
      </c>
      <c r="T3847" t="str">
        <f>"19:39:10.648"</f>
        <v>19:39:10.648</v>
      </c>
      <c r="U3847" t="str">
        <f t="shared" si="181"/>
        <v>a1cdbe</v>
      </c>
      <c r="V3847">
        <v>0</v>
      </c>
      <c r="W3847">
        <v>0</v>
      </c>
      <c r="X3847">
        <v>2</v>
      </c>
      <c r="Y3847">
        <v>0</v>
      </c>
      <c r="Z3847">
        <v>0</v>
      </c>
      <c r="AB3847">
        <v>0</v>
      </c>
      <c r="AC3847">
        <v>9</v>
      </c>
      <c r="AD3847">
        <v>3</v>
      </c>
      <c r="AE3847">
        <v>0</v>
      </c>
      <c r="AF3847">
        <v>9</v>
      </c>
      <c r="AG3847" t="s">
        <v>158</v>
      </c>
      <c r="AH3847">
        <v>0</v>
      </c>
      <c r="AI3847">
        <v>3</v>
      </c>
      <c r="AJ3847">
        <v>1</v>
      </c>
      <c r="AK3847">
        <v>0</v>
      </c>
      <c r="AL3847" t="s">
        <v>7254</v>
      </c>
      <c r="AM3847">
        <v>47.052855000000001</v>
      </c>
      <c r="AN3847" t="s">
        <v>7255</v>
      </c>
      <c r="AO3847">
        <v>-123.96938299999999</v>
      </c>
      <c r="AP3847">
        <v>100</v>
      </c>
      <c r="AQ3847">
        <v>2100</v>
      </c>
      <c r="AR3847" t="s">
        <v>118</v>
      </c>
      <c r="AS3847">
        <v>-77</v>
      </c>
      <c r="AT3847">
        <v>27</v>
      </c>
      <c r="AU3847">
        <v>64</v>
      </c>
      <c r="BC3847">
        <v>1200</v>
      </c>
      <c r="BD3847">
        <v>1</v>
      </c>
      <c r="BE3847" t="str">
        <f t="shared" si="182"/>
        <v xml:space="preserve">N215T   </v>
      </c>
      <c r="BF3847">
        <v>1</v>
      </c>
      <c r="BH3847">
        <v>0</v>
      </c>
      <c r="BI3847">
        <v>0</v>
      </c>
      <c r="BJ3847">
        <v>0</v>
      </c>
      <c r="BK3847">
        <v>2500</v>
      </c>
      <c r="BL3847">
        <v>400</v>
      </c>
      <c r="BM3847" t="s">
        <v>119</v>
      </c>
      <c r="BN3847">
        <v>1</v>
      </c>
      <c r="BO3847">
        <v>1</v>
      </c>
      <c r="BP3847">
        <v>1</v>
      </c>
      <c r="BQ3847">
        <v>0</v>
      </c>
      <c r="BT3847">
        <v>0</v>
      </c>
      <c r="BU3847">
        <v>0</v>
      </c>
      <c r="BV3847">
        <v>0</v>
      </c>
      <c r="CC3847" t="str">
        <f>"19:39:11.156"</f>
        <v>19:39:11.156</v>
      </c>
      <c r="CD3847" t="str">
        <f>"152624858"</f>
        <v>152624858</v>
      </c>
      <c r="CQ3847">
        <v>0</v>
      </c>
      <c r="CR3847">
        <v>2</v>
      </c>
      <c r="CS3847">
        <v>0</v>
      </c>
      <c r="CT3847">
        <v>2</v>
      </c>
      <c r="CU3847">
        <v>0</v>
      </c>
      <c r="CV3847">
        <v>4</v>
      </c>
      <c r="CW3847" t="s">
        <v>120</v>
      </c>
      <c r="CX3847">
        <v>257</v>
      </c>
      <c r="CY3847">
        <v>0</v>
      </c>
      <c r="CZ3847" t="s">
        <v>615</v>
      </c>
      <c r="DA3847" t="s">
        <v>616</v>
      </c>
      <c r="DD3847">
        <v>16589644</v>
      </c>
      <c r="DE3847" t="s">
        <v>123</v>
      </c>
    </row>
    <row r="3848" spans="1:109" x14ac:dyDescent="0.3">
      <c r="A3848" t="str">
        <f>"19:39:12.453"</f>
        <v>19:39:12.453</v>
      </c>
      <c r="B3848" t="s">
        <v>110</v>
      </c>
      <c r="C3848" t="str">
        <f t="shared" si="180"/>
        <v>ffdfd3c0</v>
      </c>
      <c r="D3848" t="s">
        <v>111</v>
      </c>
      <c r="E3848">
        <v>18</v>
      </c>
      <c r="F3848">
        <v>1018</v>
      </c>
      <c r="G3848" t="s">
        <v>112</v>
      </c>
      <c r="J3848" t="s">
        <v>113</v>
      </c>
      <c r="K3848">
        <v>0</v>
      </c>
      <c r="L3848">
        <v>3</v>
      </c>
      <c r="M3848">
        <v>0</v>
      </c>
      <c r="N3848">
        <v>2</v>
      </c>
      <c r="O3848">
        <v>1</v>
      </c>
      <c r="P3848">
        <v>0</v>
      </c>
      <c r="Q3848">
        <v>0</v>
      </c>
      <c r="R3848" t="s">
        <v>114</v>
      </c>
      <c r="S3848" t="str">
        <f>"19:39:12.195"</f>
        <v>19:39:12.195</v>
      </c>
      <c r="T3848" t="str">
        <f>"19:39:11.898"</f>
        <v>19:39:11.898</v>
      </c>
      <c r="U3848" t="str">
        <f t="shared" si="181"/>
        <v>a1cdbe</v>
      </c>
      <c r="V3848">
        <v>0</v>
      </c>
      <c r="W3848">
        <v>0</v>
      </c>
      <c r="X3848">
        <v>2</v>
      </c>
      <c r="Y3848">
        <v>0</v>
      </c>
      <c r="Z3848">
        <v>0</v>
      </c>
      <c r="AB3848">
        <v>0</v>
      </c>
      <c r="AC3848">
        <v>9</v>
      </c>
      <c r="AD3848">
        <v>3</v>
      </c>
      <c r="AE3848">
        <v>0</v>
      </c>
      <c r="AF3848">
        <v>9</v>
      </c>
      <c r="AG3848" t="s">
        <v>158</v>
      </c>
      <c r="AH3848">
        <v>0</v>
      </c>
      <c r="AI3848">
        <v>3</v>
      </c>
      <c r="AJ3848">
        <v>1</v>
      </c>
      <c r="AK3848">
        <v>0</v>
      </c>
      <c r="AL3848" t="s">
        <v>7256</v>
      </c>
      <c r="AM3848">
        <v>47.053006000000003</v>
      </c>
      <c r="AN3848" t="s">
        <v>7257</v>
      </c>
      <c r="AO3848">
        <v>-123.96994100000001</v>
      </c>
      <c r="AP3848">
        <v>100</v>
      </c>
      <c r="AQ3848">
        <v>2100</v>
      </c>
      <c r="AR3848" t="s">
        <v>118</v>
      </c>
      <c r="AS3848">
        <v>-77</v>
      </c>
      <c r="AT3848">
        <v>25</v>
      </c>
      <c r="AU3848">
        <v>64</v>
      </c>
      <c r="BC3848">
        <v>1200</v>
      </c>
      <c r="BD3848">
        <v>1</v>
      </c>
      <c r="BE3848" t="str">
        <f t="shared" si="182"/>
        <v xml:space="preserve">N215T   </v>
      </c>
      <c r="BF3848">
        <v>1</v>
      </c>
      <c r="BH3848">
        <v>0</v>
      </c>
      <c r="BI3848">
        <v>0</v>
      </c>
      <c r="BJ3848">
        <v>0</v>
      </c>
      <c r="BK3848">
        <v>2500</v>
      </c>
      <c r="BL3848">
        <v>400</v>
      </c>
      <c r="BM3848" t="s">
        <v>119</v>
      </c>
      <c r="BN3848">
        <v>1</v>
      </c>
      <c r="BO3848">
        <v>1</v>
      </c>
      <c r="BP3848">
        <v>1</v>
      </c>
      <c r="BQ3848">
        <v>0</v>
      </c>
      <c r="BT3848">
        <v>0</v>
      </c>
      <c r="BU3848">
        <v>0</v>
      </c>
      <c r="BV3848">
        <v>0</v>
      </c>
      <c r="CC3848" t="str">
        <f>"19:39:12.203"</f>
        <v>19:39:12.203</v>
      </c>
      <c r="CD3848" t="str">
        <f>"202521418"</f>
        <v>202521418</v>
      </c>
      <c r="CQ3848">
        <v>0</v>
      </c>
      <c r="CR3848">
        <v>2</v>
      </c>
      <c r="CS3848">
        <v>0</v>
      </c>
      <c r="CT3848">
        <v>2</v>
      </c>
      <c r="CU3848">
        <v>0</v>
      </c>
      <c r="CV3848">
        <v>3</v>
      </c>
      <c r="CW3848" t="s">
        <v>120</v>
      </c>
      <c r="CX3848">
        <v>257</v>
      </c>
      <c r="CY3848">
        <v>0</v>
      </c>
      <c r="CZ3848" t="s">
        <v>615</v>
      </c>
      <c r="DA3848" t="s">
        <v>616</v>
      </c>
      <c r="DD3848">
        <v>16590009</v>
      </c>
      <c r="DE3848" t="s">
        <v>123</v>
      </c>
    </row>
    <row r="3849" spans="1:109" x14ac:dyDescent="0.3">
      <c r="A3849" t="str">
        <f>"19:39:13.461"</f>
        <v>19:39:13.461</v>
      </c>
      <c r="B3849" t="s">
        <v>110</v>
      </c>
      <c r="C3849" t="str">
        <f t="shared" si="180"/>
        <v>ffdfd3c0</v>
      </c>
      <c r="D3849" t="s">
        <v>111</v>
      </c>
      <c r="E3849">
        <v>18</v>
      </c>
      <c r="F3849">
        <v>1018</v>
      </c>
      <c r="G3849" t="s">
        <v>112</v>
      </c>
      <c r="J3849" t="s">
        <v>113</v>
      </c>
      <c r="K3849">
        <v>0</v>
      </c>
      <c r="L3849">
        <v>3</v>
      </c>
      <c r="M3849">
        <v>0</v>
      </c>
      <c r="N3849">
        <v>2</v>
      </c>
      <c r="O3849">
        <v>1</v>
      </c>
      <c r="P3849">
        <v>0</v>
      </c>
      <c r="Q3849">
        <v>0</v>
      </c>
      <c r="R3849" t="s">
        <v>114</v>
      </c>
      <c r="S3849" t="str">
        <f>"19:39:13.219"</f>
        <v>19:39:13.219</v>
      </c>
      <c r="T3849" t="str">
        <f>"19:39:12.820"</f>
        <v>19:39:12.820</v>
      </c>
      <c r="U3849" t="str">
        <f t="shared" si="181"/>
        <v>a1cdbe</v>
      </c>
      <c r="V3849">
        <v>0</v>
      </c>
      <c r="W3849">
        <v>0</v>
      </c>
      <c r="X3849">
        <v>2</v>
      </c>
      <c r="Y3849">
        <v>0</v>
      </c>
      <c r="Z3849">
        <v>0</v>
      </c>
      <c r="AB3849">
        <v>0</v>
      </c>
      <c r="AC3849">
        <v>9</v>
      </c>
      <c r="AD3849">
        <v>3</v>
      </c>
      <c r="AE3849">
        <v>0</v>
      </c>
      <c r="AF3849">
        <v>9</v>
      </c>
      <c r="AG3849" t="s">
        <v>158</v>
      </c>
      <c r="AH3849">
        <v>0</v>
      </c>
      <c r="AI3849">
        <v>3</v>
      </c>
      <c r="AJ3849">
        <v>1</v>
      </c>
      <c r="AK3849">
        <v>0</v>
      </c>
      <c r="AL3849" t="s">
        <v>7258</v>
      </c>
      <c r="AM3849">
        <v>47.053113000000003</v>
      </c>
      <c r="AN3849" t="s">
        <v>7259</v>
      </c>
      <c r="AO3849">
        <v>-123.970478</v>
      </c>
      <c r="AP3849">
        <v>100</v>
      </c>
      <c r="AQ3849">
        <v>2100</v>
      </c>
      <c r="AR3849" t="s">
        <v>118</v>
      </c>
      <c r="AS3849">
        <v>-77</v>
      </c>
      <c r="AT3849">
        <v>24</v>
      </c>
      <c r="AU3849">
        <v>64</v>
      </c>
      <c r="BC3849">
        <v>1200</v>
      </c>
      <c r="BD3849">
        <v>1</v>
      </c>
      <c r="BE3849" t="str">
        <f t="shared" si="182"/>
        <v xml:space="preserve">N215T   </v>
      </c>
      <c r="BF3849">
        <v>1</v>
      </c>
      <c r="BH3849">
        <v>0</v>
      </c>
      <c r="BI3849">
        <v>0</v>
      </c>
      <c r="BJ3849">
        <v>0</v>
      </c>
      <c r="BK3849">
        <v>2500</v>
      </c>
      <c r="BL3849">
        <v>400</v>
      </c>
      <c r="BM3849" t="s">
        <v>119</v>
      </c>
      <c r="BN3849">
        <v>1</v>
      </c>
      <c r="BO3849">
        <v>1</v>
      </c>
      <c r="BP3849">
        <v>1</v>
      </c>
      <c r="BQ3849">
        <v>0</v>
      </c>
      <c r="BT3849">
        <v>0</v>
      </c>
      <c r="BU3849">
        <v>0</v>
      </c>
      <c r="BV3849">
        <v>0</v>
      </c>
      <c r="CC3849" t="str">
        <f>"19:39:13.219"</f>
        <v>19:39:13.219</v>
      </c>
      <c r="CD3849" t="str">
        <f>"222420962"</f>
        <v>222420962</v>
      </c>
      <c r="CQ3849">
        <v>0</v>
      </c>
      <c r="CR3849">
        <v>2</v>
      </c>
      <c r="CS3849">
        <v>0</v>
      </c>
      <c r="CT3849">
        <v>2</v>
      </c>
      <c r="CU3849">
        <v>0</v>
      </c>
      <c r="CV3849">
        <v>3</v>
      </c>
      <c r="CW3849" t="s">
        <v>120</v>
      </c>
      <c r="CX3849">
        <v>257</v>
      </c>
      <c r="CY3849">
        <v>0</v>
      </c>
      <c r="CZ3849" t="s">
        <v>615</v>
      </c>
      <c r="DA3849" t="s">
        <v>616</v>
      </c>
      <c r="DD3849">
        <v>16590340</v>
      </c>
      <c r="DE3849" t="s">
        <v>123</v>
      </c>
    </row>
    <row r="3850" spans="1:109" x14ac:dyDescent="0.3">
      <c r="A3850" t="str">
        <f>"19:39:14.570"</f>
        <v>19:39:14.570</v>
      </c>
      <c r="B3850" t="s">
        <v>110</v>
      </c>
      <c r="C3850" t="str">
        <f t="shared" si="180"/>
        <v>ffdfd3c0</v>
      </c>
      <c r="D3850" t="s">
        <v>111</v>
      </c>
      <c r="E3850">
        <v>18</v>
      </c>
      <c r="F3850">
        <v>1018</v>
      </c>
      <c r="G3850" t="s">
        <v>112</v>
      </c>
      <c r="J3850" t="s">
        <v>113</v>
      </c>
      <c r="K3850">
        <v>0</v>
      </c>
      <c r="L3850">
        <v>3</v>
      </c>
      <c r="M3850">
        <v>0</v>
      </c>
      <c r="N3850">
        <v>2</v>
      </c>
      <c r="O3850">
        <v>1</v>
      </c>
      <c r="P3850">
        <v>0</v>
      </c>
      <c r="Q3850">
        <v>0</v>
      </c>
      <c r="R3850" t="s">
        <v>114</v>
      </c>
      <c r="S3850" t="str">
        <f>"19:39:14.313"</f>
        <v>19:39:14.313</v>
      </c>
      <c r="T3850" t="str">
        <f>"19:39:14.313"</f>
        <v>19:39:14.313</v>
      </c>
      <c r="U3850" t="str">
        <f t="shared" si="181"/>
        <v>a1cdbe</v>
      </c>
      <c r="V3850">
        <v>0</v>
      </c>
      <c r="W3850">
        <v>0</v>
      </c>
      <c r="X3850">
        <v>2</v>
      </c>
      <c r="Y3850">
        <v>0</v>
      </c>
      <c r="Z3850">
        <v>0</v>
      </c>
      <c r="AB3850">
        <v>0</v>
      </c>
      <c r="AC3850">
        <v>9</v>
      </c>
      <c r="AD3850">
        <v>3</v>
      </c>
      <c r="AE3850">
        <v>0</v>
      </c>
      <c r="AF3850">
        <v>9</v>
      </c>
      <c r="AG3850" t="s">
        <v>158</v>
      </c>
      <c r="AH3850">
        <v>0</v>
      </c>
      <c r="AI3850">
        <v>3</v>
      </c>
      <c r="AJ3850">
        <v>1</v>
      </c>
      <c r="AK3850">
        <v>0</v>
      </c>
      <c r="AL3850" t="s">
        <v>7260</v>
      </c>
      <c r="AM3850">
        <v>47.053241999999997</v>
      </c>
      <c r="AN3850" t="s">
        <v>7261</v>
      </c>
      <c r="AO3850">
        <v>-123.971057</v>
      </c>
      <c r="AP3850">
        <v>100</v>
      </c>
      <c r="AQ3850">
        <v>2100</v>
      </c>
      <c r="AR3850" t="s">
        <v>118</v>
      </c>
      <c r="AS3850">
        <v>-77</v>
      </c>
      <c r="AT3850">
        <v>24</v>
      </c>
      <c r="AU3850">
        <v>64</v>
      </c>
      <c r="BC3850">
        <v>1200</v>
      </c>
      <c r="BD3850">
        <v>1</v>
      </c>
      <c r="BE3850" t="str">
        <f t="shared" si="182"/>
        <v xml:space="preserve">N215T   </v>
      </c>
      <c r="BF3850">
        <v>1</v>
      </c>
      <c r="BH3850">
        <v>0</v>
      </c>
      <c r="BI3850">
        <v>0</v>
      </c>
      <c r="BJ3850">
        <v>0</v>
      </c>
      <c r="BK3850">
        <v>2525</v>
      </c>
      <c r="BL3850">
        <v>425</v>
      </c>
      <c r="BM3850" t="s">
        <v>119</v>
      </c>
      <c r="BN3850">
        <v>1</v>
      </c>
      <c r="BO3850">
        <v>1</v>
      </c>
      <c r="BP3850">
        <v>1</v>
      </c>
      <c r="BQ3850">
        <v>0</v>
      </c>
      <c r="BT3850">
        <v>0</v>
      </c>
      <c r="BU3850">
        <v>0</v>
      </c>
      <c r="BV3850">
        <v>0</v>
      </c>
      <c r="CC3850" t="str">
        <f>"19:39:14.320"</f>
        <v>19:39:14.320</v>
      </c>
      <c r="CD3850" t="str">
        <f>"317313154"</f>
        <v>317313154</v>
      </c>
      <c r="CQ3850">
        <v>0</v>
      </c>
      <c r="CR3850">
        <v>2</v>
      </c>
      <c r="CS3850">
        <v>0</v>
      </c>
      <c r="CT3850">
        <v>2</v>
      </c>
      <c r="CU3850">
        <v>0</v>
      </c>
      <c r="CV3850">
        <v>3</v>
      </c>
      <c r="CW3850" t="s">
        <v>120</v>
      </c>
      <c r="CX3850">
        <v>257</v>
      </c>
      <c r="CY3850">
        <v>0</v>
      </c>
      <c r="CZ3850" t="s">
        <v>615</v>
      </c>
      <c r="DA3850" t="s">
        <v>616</v>
      </c>
      <c r="DD3850">
        <v>16590728</v>
      </c>
      <c r="DE3850" t="s">
        <v>123</v>
      </c>
    </row>
    <row r="3851" spans="1:109" x14ac:dyDescent="0.3">
      <c r="A3851" t="str">
        <f>"19:39:15.672"</f>
        <v>19:39:15.672</v>
      </c>
      <c r="B3851" t="s">
        <v>110</v>
      </c>
      <c r="C3851" t="str">
        <f t="shared" si="180"/>
        <v>ffdfd3c0</v>
      </c>
      <c r="D3851" t="s">
        <v>111</v>
      </c>
      <c r="E3851">
        <v>18</v>
      </c>
      <c r="F3851">
        <v>1018</v>
      </c>
      <c r="G3851" t="s">
        <v>112</v>
      </c>
      <c r="J3851" t="s">
        <v>113</v>
      </c>
      <c r="K3851">
        <v>0</v>
      </c>
      <c r="L3851">
        <v>3</v>
      </c>
      <c r="M3851">
        <v>0</v>
      </c>
      <c r="N3851">
        <v>2</v>
      </c>
      <c r="O3851">
        <v>1</v>
      </c>
      <c r="P3851">
        <v>0</v>
      </c>
      <c r="Q3851">
        <v>0</v>
      </c>
      <c r="R3851" t="s">
        <v>114</v>
      </c>
      <c r="S3851" t="str">
        <f>"19:39:15.438"</f>
        <v>19:39:15.438</v>
      </c>
      <c r="T3851" t="str">
        <f>"19:39:14.836"</f>
        <v>19:39:14.836</v>
      </c>
      <c r="U3851" t="str">
        <f t="shared" si="181"/>
        <v>a1cdbe</v>
      </c>
      <c r="V3851">
        <v>0</v>
      </c>
      <c r="W3851">
        <v>0</v>
      </c>
      <c r="X3851">
        <v>2</v>
      </c>
      <c r="Y3851">
        <v>0</v>
      </c>
      <c r="Z3851">
        <v>0</v>
      </c>
      <c r="AB3851">
        <v>0</v>
      </c>
      <c r="AC3851">
        <v>9</v>
      </c>
      <c r="AD3851">
        <v>3</v>
      </c>
      <c r="AE3851">
        <v>0</v>
      </c>
      <c r="AF3851">
        <v>9</v>
      </c>
      <c r="AG3851" t="s">
        <v>158</v>
      </c>
      <c r="AH3851">
        <v>0</v>
      </c>
      <c r="AI3851">
        <v>3</v>
      </c>
      <c r="AJ3851">
        <v>1</v>
      </c>
      <c r="AK3851">
        <v>0</v>
      </c>
      <c r="AL3851" t="s">
        <v>7262</v>
      </c>
      <c r="AM3851">
        <v>47.053370000000001</v>
      </c>
      <c r="AN3851" t="s">
        <v>7263</v>
      </c>
      <c r="AO3851">
        <v>-123.971636</v>
      </c>
      <c r="AP3851">
        <v>100</v>
      </c>
      <c r="AQ3851">
        <v>2100</v>
      </c>
      <c r="AR3851" t="s">
        <v>118</v>
      </c>
      <c r="AS3851">
        <v>-77</v>
      </c>
      <c r="AT3851">
        <v>23</v>
      </c>
      <c r="AU3851">
        <v>64</v>
      </c>
      <c r="BC3851">
        <v>1200</v>
      </c>
      <c r="BD3851">
        <v>1</v>
      </c>
      <c r="BE3851" t="str">
        <f t="shared" si="182"/>
        <v xml:space="preserve">N215T   </v>
      </c>
      <c r="BF3851">
        <v>1</v>
      </c>
      <c r="BH3851">
        <v>0</v>
      </c>
      <c r="BI3851">
        <v>0</v>
      </c>
      <c r="BJ3851">
        <v>0</v>
      </c>
      <c r="BK3851">
        <v>2525</v>
      </c>
      <c r="BL3851">
        <v>425</v>
      </c>
      <c r="BM3851" t="s">
        <v>119</v>
      </c>
      <c r="BN3851">
        <v>1</v>
      </c>
      <c r="BO3851">
        <v>1</v>
      </c>
      <c r="BP3851">
        <v>1</v>
      </c>
      <c r="BQ3851">
        <v>0</v>
      </c>
      <c r="BT3851">
        <v>0</v>
      </c>
      <c r="BU3851">
        <v>0</v>
      </c>
      <c r="BV3851">
        <v>0</v>
      </c>
      <c r="CC3851" t="str">
        <f>"19:39:15.445"</f>
        <v>19:39:15.445</v>
      </c>
      <c r="CD3851" t="str">
        <f>"442202359"</f>
        <v>442202359</v>
      </c>
      <c r="CQ3851">
        <v>0</v>
      </c>
      <c r="CR3851">
        <v>2</v>
      </c>
      <c r="CS3851">
        <v>0</v>
      </c>
      <c r="CT3851">
        <v>2</v>
      </c>
      <c r="CU3851">
        <v>0</v>
      </c>
      <c r="CV3851">
        <v>3</v>
      </c>
      <c r="CW3851" t="s">
        <v>120</v>
      </c>
      <c r="CX3851">
        <v>257</v>
      </c>
      <c r="CY3851">
        <v>0</v>
      </c>
      <c r="CZ3851" t="s">
        <v>615</v>
      </c>
      <c r="DA3851" t="s">
        <v>616</v>
      </c>
      <c r="DD3851">
        <v>16591112</v>
      </c>
      <c r="DE3851" t="s">
        <v>123</v>
      </c>
    </row>
    <row r="3852" spans="1:109" x14ac:dyDescent="0.3">
      <c r="A3852" t="str">
        <f>"19:39:16.625"</f>
        <v>19:39:16.625</v>
      </c>
      <c r="B3852" t="s">
        <v>110</v>
      </c>
      <c r="C3852" t="str">
        <f t="shared" si="180"/>
        <v>ffdfd3c0</v>
      </c>
      <c r="D3852" t="s">
        <v>111</v>
      </c>
      <c r="E3852">
        <v>18</v>
      </c>
      <c r="F3852">
        <v>1018</v>
      </c>
      <c r="G3852" t="s">
        <v>112</v>
      </c>
      <c r="J3852" t="s">
        <v>113</v>
      </c>
      <c r="K3852">
        <v>0</v>
      </c>
      <c r="L3852">
        <v>3</v>
      </c>
      <c r="M3852">
        <v>0</v>
      </c>
      <c r="N3852">
        <v>2</v>
      </c>
      <c r="O3852">
        <v>1</v>
      </c>
      <c r="P3852">
        <v>0</v>
      </c>
      <c r="Q3852">
        <v>0</v>
      </c>
      <c r="R3852" t="s">
        <v>114</v>
      </c>
      <c r="S3852" t="str">
        <f>"19:39:16.383"</f>
        <v>19:39:16.383</v>
      </c>
      <c r="T3852" t="str">
        <f>"19:39:16.281"</f>
        <v>19:39:16.281</v>
      </c>
      <c r="U3852" t="str">
        <f t="shared" si="181"/>
        <v>a1cdbe</v>
      </c>
      <c r="V3852">
        <v>0</v>
      </c>
      <c r="W3852">
        <v>0</v>
      </c>
      <c r="X3852">
        <v>2</v>
      </c>
      <c r="Y3852">
        <v>0</v>
      </c>
      <c r="Z3852">
        <v>0</v>
      </c>
      <c r="AB3852">
        <v>0</v>
      </c>
      <c r="AC3852">
        <v>9</v>
      </c>
      <c r="AD3852">
        <v>3</v>
      </c>
      <c r="AE3852">
        <v>0</v>
      </c>
      <c r="AF3852">
        <v>9</v>
      </c>
      <c r="AG3852" t="s">
        <v>158</v>
      </c>
      <c r="AH3852">
        <v>0</v>
      </c>
      <c r="AI3852">
        <v>3</v>
      </c>
      <c r="AJ3852">
        <v>1</v>
      </c>
      <c r="AK3852">
        <v>0</v>
      </c>
      <c r="AL3852" t="s">
        <v>543</v>
      </c>
      <c r="AM3852">
        <v>47.053435</v>
      </c>
      <c r="AN3852" t="s">
        <v>7264</v>
      </c>
      <c r="AO3852">
        <v>-123.97213000000001</v>
      </c>
      <c r="AP3852">
        <v>100</v>
      </c>
      <c r="AQ3852">
        <v>2100</v>
      </c>
      <c r="AR3852" t="s">
        <v>118</v>
      </c>
      <c r="AS3852">
        <v>-77</v>
      </c>
      <c r="AT3852">
        <v>23</v>
      </c>
      <c r="AU3852">
        <v>64</v>
      </c>
      <c r="BC3852">
        <v>1200</v>
      </c>
      <c r="BD3852">
        <v>1</v>
      </c>
      <c r="BE3852" t="str">
        <f t="shared" si="182"/>
        <v xml:space="preserve">N215T   </v>
      </c>
      <c r="BF3852">
        <v>1</v>
      </c>
      <c r="BH3852">
        <v>0</v>
      </c>
      <c r="BI3852">
        <v>0</v>
      </c>
      <c r="BJ3852">
        <v>0</v>
      </c>
      <c r="BK3852">
        <v>2525</v>
      </c>
      <c r="BL3852">
        <v>425</v>
      </c>
      <c r="BM3852" t="s">
        <v>119</v>
      </c>
      <c r="BN3852">
        <v>1</v>
      </c>
      <c r="BO3852">
        <v>1</v>
      </c>
      <c r="BP3852">
        <v>1</v>
      </c>
      <c r="BQ3852">
        <v>0</v>
      </c>
      <c r="BT3852">
        <v>0</v>
      </c>
      <c r="BU3852">
        <v>0</v>
      </c>
      <c r="BV3852">
        <v>0</v>
      </c>
      <c r="CC3852" t="str">
        <f>"19:39:16.391"</f>
        <v>19:39:16.391</v>
      </c>
      <c r="CD3852" t="str">
        <f>"387109276"</f>
        <v>387109276</v>
      </c>
      <c r="CQ3852">
        <v>0</v>
      </c>
      <c r="CR3852">
        <v>2</v>
      </c>
      <c r="CS3852">
        <v>0</v>
      </c>
      <c r="CT3852">
        <v>2</v>
      </c>
      <c r="CU3852">
        <v>0</v>
      </c>
      <c r="CV3852">
        <v>3</v>
      </c>
      <c r="CW3852" t="s">
        <v>120</v>
      </c>
      <c r="CX3852">
        <v>257</v>
      </c>
      <c r="CY3852">
        <v>0</v>
      </c>
      <c r="CZ3852" t="s">
        <v>615</v>
      </c>
      <c r="DA3852" t="s">
        <v>616</v>
      </c>
      <c r="DD3852">
        <v>16591409</v>
      </c>
      <c r="DE3852" t="s">
        <v>123</v>
      </c>
    </row>
    <row r="3853" spans="1:109" x14ac:dyDescent="0.3">
      <c r="A3853" t="str">
        <f>"19:39:17.734"</f>
        <v>19:39:17.734</v>
      </c>
      <c r="B3853" t="s">
        <v>110</v>
      </c>
      <c r="C3853" t="str">
        <f t="shared" si="180"/>
        <v>ffdfd3c0</v>
      </c>
      <c r="D3853" t="s">
        <v>111</v>
      </c>
      <c r="E3853">
        <v>18</v>
      </c>
      <c r="F3853">
        <v>1018</v>
      </c>
      <c r="G3853" t="s">
        <v>112</v>
      </c>
      <c r="J3853" t="s">
        <v>113</v>
      </c>
      <c r="K3853">
        <v>0</v>
      </c>
      <c r="L3853">
        <v>3</v>
      </c>
      <c r="M3853">
        <v>0</v>
      </c>
      <c r="N3853">
        <v>2</v>
      </c>
      <c r="O3853">
        <v>1</v>
      </c>
      <c r="P3853">
        <v>0</v>
      </c>
      <c r="Q3853">
        <v>0</v>
      </c>
      <c r="R3853" t="s">
        <v>114</v>
      </c>
      <c r="S3853" t="str">
        <f>"19:39:17.445"</f>
        <v>19:39:17.445</v>
      </c>
      <c r="T3853" t="str">
        <f>"19:39:17.344"</f>
        <v>19:39:17.344</v>
      </c>
      <c r="U3853" t="str">
        <f t="shared" si="181"/>
        <v>a1cdbe</v>
      </c>
      <c r="V3853">
        <v>0</v>
      </c>
      <c r="W3853">
        <v>0</v>
      </c>
      <c r="X3853">
        <v>2</v>
      </c>
      <c r="Y3853">
        <v>0</v>
      </c>
      <c r="Z3853">
        <v>0</v>
      </c>
      <c r="AB3853">
        <v>0</v>
      </c>
      <c r="AC3853">
        <v>9</v>
      </c>
      <c r="AD3853">
        <v>3</v>
      </c>
      <c r="AE3853">
        <v>0</v>
      </c>
      <c r="AF3853">
        <v>9</v>
      </c>
      <c r="AG3853" t="s">
        <v>158</v>
      </c>
      <c r="AH3853">
        <v>0</v>
      </c>
      <c r="AI3853">
        <v>3</v>
      </c>
      <c r="AJ3853">
        <v>1</v>
      </c>
      <c r="AK3853">
        <v>0</v>
      </c>
      <c r="AL3853" t="s">
        <v>7265</v>
      </c>
      <c r="AM3853">
        <v>47.053564000000001</v>
      </c>
      <c r="AN3853" t="s">
        <v>7266</v>
      </c>
      <c r="AO3853">
        <v>-123.97268800000001</v>
      </c>
      <c r="AP3853">
        <v>100</v>
      </c>
      <c r="AQ3853">
        <v>2100</v>
      </c>
      <c r="AR3853" t="s">
        <v>118</v>
      </c>
      <c r="AS3853">
        <v>-77</v>
      </c>
      <c r="AT3853">
        <v>23</v>
      </c>
      <c r="AU3853">
        <v>64</v>
      </c>
      <c r="BC3853">
        <v>1200</v>
      </c>
      <c r="BD3853">
        <v>1</v>
      </c>
      <c r="BE3853" t="str">
        <f t="shared" si="182"/>
        <v xml:space="preserve">N215T   </v>
      </c>
      <c r="BF3853">
        <v>1</v>
      </c>
      <c r="BH3853">
        <v>0</v>
      </c>
      <c r="BI3853">
        <v>0</v>
      </c>
      <c r="BJ3853">
        <v>0</v>
      </c>
      <c r="BK3853">
        <v>2525</v>
      </c>
      <c r="BL3853">
        <v>425</v>
      </c>
      <c r="BM3853" t="s">
        <v>119</v>
      </c>
      <c r="BN3853">
        <v>1</v>
      </c>
      <c r="BO3853">
        <v>1</v>
      </c>
      <c r="BP3853">
        <v>1</v>
      </c>
      <c r="BQ3853">
        <v>0</v>
      </c>
      <c r="BT3853">
        <v>0</v>
      </c>
      <c r="BU3853">
        <v>0</v>
      </c>
      <c r="BV3853">
        <v>0</v>
      </c>
      <c r="CC3853" t="str">
        <f>"19:39:17.453"</f>
        <v>19:39:17.453</v>
      </c>
      <c r="CD3853" t="str">
        <f>"452104797"</f>
        <v>452104797</v>
      </c>
      <c r="CQ3853">
        <v>0</v>
      </c>
      <c r="CR3853">
        <v>2</v>
      </c>
      <c r="CS3853">
        <v>0</v>
      </c>
      <c r="CT3853">
        <v>2</v>
      </c>
      <c r="CU3853">
        <v>0</v>
      </c>
      <c r="CV3853">
        <v>2</v>
      </c>
      <c r="CW3853" t="s">
        <v>120</v>
      </c>
      <c r="CX3853">
        <v>253</v>
      </c>
      <c r="CY3853">
        <v>2</v>
      </c>
      <c r="CZ3853" t="s">
        <v>7093</v>
      </c>
      <c r="DA3853" t="s">
        <v>7094</v>
      </c>
      <c r="DD3853">
        <v>13970392</v>
      </c>
      <c r="DE3853" t="s">
        <v>123</v>
      </c>
    </row>
    <row r="3854" spans="1:109" x14ac:dyDescent="0.3">
      <c r="A3854" t="str">
        <f>"19:39:18.633"</f>
        <v>19:39:18.633</v>
      </c>
      <c r="B3854" t="s">
        <v>110</v>
      </c>
      <c r="C3854" t="str">
        <f t="shared" si="180"/>
        <v>ffdfd3c0</v>
      </c>
      <c r="D3854" t="s">
        <v>111</v>
      </c>
      <c r="E3854">
        <v>18</v>
      </c>
      <c r="F3854">
        <v>1018</v>
      </c>
      <c r="G3854" t="s">
        <v>112</v>
      </c>
      <c r="J3854" t="s">
        <v>113</v>
      </c>
      <c r="K3854">
        <v>0</v>
      </c>
      <c r="L3854">
        <v>3</v>
      </c>
      <c r="M3854">
        <v>0</v>
      </c>
      <c r="N3854">
        <v>2</v>
      </c>
      <c r="O3854">
        <v>1</v>
      </c>
      <c r="P3854">
        <v>0</v>
      </c>
      <c r="Q3854">
        <v>0</v>
      </c>
      <c r="R3854" t="s">
        <v>114</v>
      </c>
      <c r="S3854" t="str">
        <f>"19:39:18.422"</f>
        <v>19:39:18.422</v>
      </c>
      <c r="T3854" t="str">
        <f>"19:39:18.320"</f>
        <v>19:39:18.320</v>
      </c>
      <c r="U3854" t="str">
        <f t="shared" si="181"/>
        <v>a1cdbe</v>
      </c>
      <c r="V3854">
        <v>0</v>
      </c>
      <c r="W3854">
        <v>0</v>
      </c>
      <c r="X3854">
        <v>2</v>
      </c>
      <c r="Y3854">
        <v>0</v>
      </c>
      <c r="Z3854">
        <v>0</v>
      </c>
      <c r="AB3854">
        <v>0</v>
      </c>
      <c r="AC3854">
        <v>9</v>
      </c>
      <c r="AD3854">
        <v>3</v>
      </c>
      <c r="AE3854">
        <v>0</v>
      </c>
      <c r="AF3854">
        <v>9</v>
      </c>
      <c r="AG3854" t="s">
        <v>158</v>
      </c>
      <c r="AH3854">
        <v>0</v>
      </c>
      <c r="AI3854">
        <v>3</v>
      </c>
      <c r="AJ3854">
        <v>1</v>
      </c>
      <c r="AK3854">
        <v>0</v>
      </c>
      <c r="AL3854" t="s">
        <v>7267</v>
      </c>
      <c r="AM3854">
        <v>47.053671000000001</v>
      </c>
      <c r="AN3854" t="s">
        <v>7268</v>
      </c>
      <c r="AO3854">
        <v>-123.97315999999999</v>
      </c>
      <c r="AP3854">
        <v>100</v>
      </c>
      <c r="AQ3854">
        <v>2100</v>
      </c>
      <c r="AR3854" t="s">
        <v>118</v>
      </c>
      <c r="AS3854">
        <v>-77</v>
      </c>
      <c r="AT3854">
        <v>23</v>
      </c>
      <c r="AU3854">
        <v>64</v>
      </c>
      <c r="BC3854">
        <v>1200</v>
      </c>
      <c r="BD3854">
        <v>1</v>
      </c>
      <c r="BE3854" t="str">
        <f t="shared" si="182"/>
        <v xml:space="preserve">N215T   </v>
      </c>
      <c r="BF3854">
        <v>1</v>
      </c>
      <c r="BH3854">
        <v>0</v>
      </c>
      <c r="BI3854">
        <v>0</v>
      </c>
      <c r="BJ3854">
        <v>0</v>
      </c>
      <c r="BK3854">
        <v>2525</v>
      </c>
      <c r="BL3854">
        <v>425</v>
      </c>
      <c r="BM3854" t="s">
        <v>119</v>
      </c>
      <c r="BN3854">
        <v>1</v>
      </c>
      <c r="BO3854">
        <v>1</v>
      </c>
      <c r="BP3854">
        <v>1</v>
      </c>
      <c r="BQ3854">
        <v>0</v>
      </c>
      <c r="BT3854">
        <v>0</v>
      </c>
      <c r="BU3854">
        <v>0</v>
      </c>
      <c r="BV3854">
        <v>0</v>
      </c>
      <c r="CC3854" t="str">
        <f>"19:39:18.430"</f>
        <v>19:39:18.430</v>
      </c>
      <c r="CD3854" t="str">
        <f>"427008701"</f>
        <v>427008701</v>
      </c>
      <c r="CQ3854">
        <v>0</v>
      </c>
      <c r="CR3854">
        <v>2</v>
      </c>
      <c r="CS3854">
        <v>0</v>
      </c>
      <c r="CT3854">
        <v>2</v>
      </c>
      <c r="CU3854">
        <v>0</v>
      </c>
      <c r="CV3854">
        <v>2</v>
      </c>
      <c r="CW3854" t="s">
        <v>120</v>
      </c>
      <c r="CX3854">
        <v>253</v>
      </c>
      <c r="CY3854">
        <v>2</v>
      </c>
      <c r="CZ3854" t="s">
        <v>7093</v>
      </c>
      <c r="DA3854" t="s">
        <v>7094</v>
      </c>
      <c r="DD3854">
        <v>13970443</v>
      </c>
      <c r="DE3854" t="s">
        <v>123</v>
      </c>
    </row>
    <row r="3855" spans="1:109" x14ac:dyDescent="0.3">
      <c r="A3855" t="str">
        <f>"19:39:19.594"</f>
        <v>19:39:19.594</v>
      </c>
      <c r="B3855" t="s">
        <v>110</v>
      </c>
      <c r="C3855" t="str">
        <f t="shared" si="180"/>
        <v>ffdfd3c0</v>
      </c>
      <c r="D3855" t="s">
        <v>111</v>
      </c>
      <c r="E3855">
        <v>18</v>
      </c>
      <c r="F3855">
        <v>1018</v>
      </c>
      <c r="G3855" t="s">
        <v>112</v>
      </c>
      <c r="J3855" t="s">
        <v>113</v>
      </c>
      <c r="K3855">
        <v>0</v>
      </c>
      <c r="L3855">
        <v>3</v>
      </c>
      <c r="M3855">
        <v>0</v>
      </c>
      <c r="N3855">
        <v>2</v>
      </c>
      <c r="O3855">
        <v>1</v>
      </c>
      <c r="P3855">
        <v>0</v>
      </c>
      <c r="Q3855">
        <v>0</v>
      </c>
      <c r="R3855" t="s">
        <v>114</v>
      </c>
      <c r="S3855" t="str">
        <f>"19:39:19.352"</f>
        <v>19:39:19.352</v>
      </c>
      <c r="T3855" t="str">
        <f>"19:39:19.352"</f>
        <v>19:39:19.352</v>
      </c>
      <c r="U3855" t="str">
        <f t="shared" si="181"/>
        <v>a1cdbe</v>
      </c>
      <c r="V3855">
        <v>0</v>
      </c>
      <c r="W3855">
        <v>0</v>
      </c>
      <c r="X3855">
        <v>2</v>
      </c>
      <c r="Y3855">
        <v>0</v>
      </c>
      <c r="Z3855">
        <v>0</v>
      </c>
      <c r="AB3855">
        <v>0</v>
      </c>
      <c r="AC3855">
        <v>9</v>
      </c>
      <c r="AD3855">
        <v>3</v>
      </c>
      <c r="AE3855">
        <v>0</v>
      </c>
      <c r="AF3855">
        <v>9</v>
      </c>
      <c r="AG3855" t="s">
        <v>158</v>
      </c>
      <c r="AH3855">
        <v>0</v>
      </c>
      <c r="AI3855">
        <v>3</v>
      </c>
      <c r="AJ3855">
        <v>1</v>
      </c>
      <c r="AK3855">
        <v>0</v>
      </c>
      <c r="AL3855" t="s">
        <v>7269</v>
      </c>
      <c r="AM3855">
        <v>47.053800000000003</v>
      </c>
      <c r="AN3855" t="s">
        <v>7270</v>
      </c>
      <c r="AO3855">
        <v>-123.973675</v>
      </c>
      <c r="AP3855">
        <v>100</v>
      </c>
      <c r="AQ3855">
        <v>2100</v>
      </c>
      <c r="AR3855" t="s">
        <v>118</v>
      </c>
      <c r="AS3855">
        <v>-77</v>
      </c>
      <c r="AT3855">
        <v>23</v>
      </c>
      <c r="AU3855">
        <v>64</v>
      </c>
      <c r="BC3855">
        <v>1200</v>
      </c>
      <c r="BD3855">
        <v>1</v>
      </c>
      <c r="BE3855" t="str">
        <f t="shared" si="182"/>
        <v xml:space="preserve">N215T   </v>
      </c>
      <c r="BF3855">
        <v>1</v>
      </c>
      <c r="BH3855">
        <v>0</v>
      </c>
      <c r="BI3855">
        <v>0</v>
      </c>
      <c r="BJ3855">
        <v>0</v>
      </c>
      <c r="BK3855">
        <v>2525</v>
      </c>
      <c r="BL3855">
        <v>425</v>
      </c>
      <c r="BM3855" t="s">
        <v>119</v>
      </c>
      <c r="BN3855">
        <v>1</v>
      </c>
      <c r="BO3855">
        <v>1</v>
      </c>
      <c r="BP3855">
        <v>1</v>
      </c>
      <c r="BQ3855">
        <v>0</v>
      </c>
      <c r="BT3855">
        <v>0</v>
      </c>
      <c r="BU3855">
        <v>0</v>
      </c>
      <c r="BV3855">
        <v>0</v>
      </c>
      <c r="CC3855" t="str">
        <f>"19:39:19.359"</f>
        <v>19:39:19.359</v>
      </c>
      <c r="CD3855" t="str">
        <f>"356816766"</f>
        <v>356816766</v>
      </c>
      <c r="CQ3855">
        <v>0</v>
      </c>
      <c r="CR3855">
        <v>2</v>
      </c>
      <c r="CS3855">
        <v>0</v>
      </c>
      <c r="CT3855">
        <v>2</v>
      </c>
      <c r="CU3855">
        <v>0</v>
      </c>
      <c r="CV3855">
        <v>2</v>
      </c>
      <c r="CW3855" t="s">
        <v>120</v>
      </c>
      <c r="CX3855">
        <v>257</v>
      </c>
      <c r="CY3855">
        <v>0</v>
      </c>
      <c r="CZ3855" t="s">
        <v>615</v>
      </c>
      <c r="DA3855" t="s">
        <v>616</v>
      </c>
      <c r="DD3855">
        <v>16592354</v>
      </c>
      <c r="DE3855" t="s">
        <v>123</v>
      </c>
    </row>
    <row r="3856" spans="1:109" x14ac:dyDescent="0.3">
      <c r="A3856" t="str">
        <f>"19:39:20.492"</f>
        <v>19:39:20.492</v>
      </c>
      <c r="B3856" t="s">
        <v>110</v>
      </c>
      <c r="C3856" t="str">
        <f t="shared" si="180"/>
        <v>ffdfd3c0</v>
      </c>
      <c r="D3856" t="s">
        <v>111</v>
      </c>
      <c r="E3856">
        <v>18</v>
      </c>
      <c r="F3856">
        <v>1018</v>
      </c>
      <c r="G3856" t="s">
        <v>112</v>
      </c>
      <c r="J3856" t="s">
        <v>113</v>
      </c>
      <c r="K3856">
        <v>0</v>
      </c>
      <c r="L3856">
        <v>3</v>
      </c>
      <c r="M3856">
        <v>0</v>
      </c>
      <c r="N3856">
        <v>2</v>
      </c>
      <c r="O3856">
        <v>1</v>
      </c>
      <c r="P3856">
        <v>0</v>
      </c>
      <c r="Q3856">
        <v>0</v>
      </c>
      <c r="R3856" t="s">
        <v>114</v>
      </c>
      <c r="S3856" t="str">
        <f>"19:39:20.250"</f>
        <v>19:39:20.250</v>
      </c>
      <c r="T3856" t="str">
        <f>"19:39:19.852"</f>
        <v>19:39:19.852</v>
      </c>
      <c r="U3856" t="str">
        <f t="shared" si="181"/>
        <v>a1cdbe</v>
      </c>
      <c r="V3856">
        <v>0</v>
      </c>
      <c r="W3856">
        <v>0</v>
      </c>
      <c r="X3856">
        <v>2</v>
      </c>
      <c r="Y3856">
        <v>0</v>
      </c>
      <c r="Z3856">
        <v>0</v>
      </c>
      <c r="AB3856">
        <v>0</v>
      </c>
      <c r="AC3856">
        <v>9</v>
      </c>
      <c r="AD3856">
        <v>3</v>
      </c>
      <c r="AE3856">
        <v>0</v>
      </c>
      <c r="AF3856">
        <v>9</v>
      </c>
      <c r="AG3856" t="s">
        <v>158</v>
      </c>
      <c r="AH3856">
        <v>0</v>
      </c>
      <c r="AI3856">
        <v>3</v>
      </c>
      <c r="AJ3856">
        <v>1</v>
      </c>
      <c r="AK3856">
        <v>0</v>
      </c>
      <c r="AL3856" t="s">
        <v>7271</v>
      </c>
      <c r="AM3856">
        <v>47.053885000000001</v>
      </c>
      <c r="AN3856" t="s">
        <v>7272</v>
      </c>
      <c r="AO3856">
        <v>-123.97416800000001</v>
      </c>
      <c r="AP3856">
        <v>100</v>
      </c>
      <c r="AQ3856">
        <v>2100</v>
      </c>
      <c r="AR3856" t="s">
        <v>118</v>
      </c>
      <c r="AS3856">
        <v>-76</v>
      </c>
      <c r="AT3856">
        <v>23</v>
      </c>
      <c r="AU3856">
        <v>64</v>
      </c>
      <c r="BC3856">
        <v>1200</v>
      </c>
      <c r="BD3856">
        <v>1</v>
      </c>
      <c r="BE3856" t="str">
        <f t="shared" si="182"/>
        <v xml:space="preserve">N215T   </v>
      </c>
      <c r="BF3856">
        <v>1</v>
      </c>
      <c r="BH3856">
        <v>0</v>
      </c>
      <c r="BI3856">
        <v>0</v>
      </c>
      <c r="BJ3856">
        <v>0</v>
      </c>
      <c r="BK3856">
        <v>2525</v>
      </c>
      <c r="BL3856">
        <v>425</v>
      </c>
      <c r="BM3856" t="s">
        <v>119</v>
      </c>
      <c r="BN3856">
        <v>1</v>
      </c>
      <c r="BO3856">
        <v>1</v>
      </c>
      <c r="BP3856">
        <v>1</v>
      </c>
      <c r="BQ3856">
        <v>0</v>
      </c>
      <c r="BT3856">
        <v>0</v>
      </c>
      <c r="BU3856">
        <v>0</v>
      </c>
      <c r="BV3856">
        <v>0</v>
      </c>
      <c r="CC3856" t="str">
        <f>"19:39:20.258"</f>
        <v>19:39:20.258</v>
      </c>
      <c r="CD3856" t="str">
        <f>"256728152"</f>
        <v>256728152</v>
      </c>
      <c r="CQ3856">
        <v>0</v>
      </c>
      <c r="CR3856">
        <v>2</v>
      </c>
      <c r="CS3856">
        <v>0</v>
      </c>
      <c r="CT3856">
        <v>2</v>
      </c>
      <c r="CU3856">
        <v>0</v>
      </c>
      <c r="CV3856">
        <v>4</v>
      </c>
      <c r="CW3856" t="s">
        <v>120</v>
      </c>
      <c r="CX3856">
        <v>257</v>
      </c>
      <c r="CY3856">
        <v>0</v>
      </c>
      <c r="CZ3856" t="s">
        <v>615</v>
      </c>
      <c r="DA3856" t="s">
        <v>616</v>
      </c>
      <c r="DD3856">
        <v>16592613</v>
      </c>
      <c r="DE3856" t="s">
        <v>123</v>
      </c>
    </row>
    <row r="3857" spans="1:109" x14ac:dyDescent="0.3">
      <c r="A3857" t="str">
        <f>"19:39:21.398"</f>
        <v>19:39:21.398</v>
      </c>
      <c r="B3857" t="s">
        <v>110</v>
      </c>
      <c r="C3857" t="str">
        <f t="shared" si="180"/>
        <v>ffdfd3c0</v>
      </c>
      <c r="D3857" t="s">
        <v>111</v>
      </c>
      <c r="E3857">
        <v>18</v>
      </c>
      <c r="F3857">
        <v>1018</v>
      </c>
      <c r="G3857" t="s">
        <v>112</v>
      </c>
      <c r="J3857" t="s">
        <v>113</v>
      </c>
      <c r="K3857">
        <v>0</v>
      </c>
      <c r="L3857">
        <v>3</v>
      </c>
      <c r="M3857">
        <v>0</v>
      </c>
      <c r="N3857">
        <v>2</v>
      </c>
      <c r="O3857">
        <v>1</v>
      </c>
      <c r="P3857">
        <v>0</v>
      </c>
      <c r="Q3857">
        <v>0</v>
      </c>
      <c r="R3857" t="s">
        <v>114</v>
      </c>
      <c r="S3857" t="str">
        <f>"19:39:21.164"</f>
        <v>19:39:21.164</v>
      </c>
      <c r="T3857" t="str">
        <f>"19:39:21.164"</f>
        <v>19:39:21.164</v>
      </c>
      <c r="U3857" t="str">
        <f t="shared" si="181"/>
        <v>a1cdbe</v>
      </c>
      <c r="V3857">
        <v>0</v>
      </c>
      <c r="W3857">
        <v>0</v>
      </c>
      <c r="X3857">
        <v>2</v>
      </c>
      <c r="Y3857">
        <v>0</v>
      </c>
      <c r="Z3857">
        <v>0</v>
      </c>
      <c r="AB3857">
        <v>0</v>
      </c>
      <c r="AC3857">
        <v>9</v>
      </c>
      <c r="AD3857">
        <v>3</v>
      </c>
      <c r="AE3857">
        <v>0</v>
      </c>
      <c r="AF3857">
        <v>9</v>
      </c>
      <c r="AG3857" t="s">
        <v>158</v>
      </c>
      <c r="AH3857">
        <v>0</v>
      </c>
      <c r="AI3857">
        <v>3</v>
      </c>
      <c r="AJ3857">
        <v>1</v>
      </c>
      <c r="AK3857">
        <v>0</v>
      </c>
      <c r="AL3857" t="s">
        <v>7273</v>
      </c>
      <c r="AM3857">
        <v>47.053992999999998</v>
      </c>
      <c r="AN3857" t="s">
        <v>7274</v>
      </c>
      <c r="AO3857">
        <v>-123.974597</v>
      </c>
      <c r="AP3857">
        <v>100</v>
      </c>
      <c r="AQ3857">
        <v>2100</v>
      </c>
      <c r="AR3857" t="s">
        <v>118</v>
      </c>
      <c r="AS3857">
        <v>-76</v>
      </c>
      <c r="AT3857">
        <v>23</v>
      </c>
      <c r="AU3857">
        <v>128</v>
      </c>
      <c r="BC3857">
        <v>1200</v>
      </c>
      <c r="BD3857">
        <v>1</v>
      </c>
      <c r="BE3857" t="str">
        <f t="shared" si="182"/>
        <v xml:space="preserve">N215T   </v>
      </c>
      <c r="BF3857">
        <v>1</v>
      </c>
      <c r="BH3857">
        <v>0</v>
      </c>
      <c r="BI3857">
        <v>0</v>
      </c>
      <c r="BJ3857">
        <v>0</v>
      </c>
      <c r="BK3857">
        <v>2525</v>
      </c>
      <c r="BL3857">
        <v>425</v>
      </c>
      <c r="BM3857" t="s">
        <v>119</v>
      </c>
      <c r="BN3857">
        <v>1</v>
      </c>
      <c r="BO3857">
        <v>1</v>
      </c>
      <c r="BP3857">
        <v>1</v>
      </c>
      <c r="BQ3857">
        <v>0</v>
      </c>
      <c r="BT3857">
        <v>0</v>
      </c>
      <c r="BU3857">
        <v>0</v>
      </c>
      <c r="BV3857">
        <v>0</v>
      </c>
      <c r="CC3857" t="str">
        <f>"19:39:21.172"</f>
        <v>19:39:21.172</v>
      </c>
      <c r="CD3857" t="str">
        <f>"171638043"</f>
        <v>171638043</v>
      </c>
      <c r="CQ3857">
        <v>0</v>
      </c>
      <c r="CR3857">
        <v>2</v>
      </c>
      <c r="CS3857">
        <v>0</v>
      </c>
      <c r="CT3857">
        <v>2</v>
      </c>
      <c r="CU3857">
        <v>0</v>
      </c>
      <c r="CV3857">
        <v>4</v>
      </c>
      <c r="CW3857" t="s">
        <v>120</v>
      </c>
      <c r="CX3857">
        <v>257</v>
      </c>
      <c r="CY3857">
        <v>0</v>
      </c>
      <c r="CZ3857" t="s">
        <v>615</v>
      </c>
      <c r="DA3857" t="s">
        <v>616</v>
      </c>
      <c r="DD3857">
        <v>16592892</v>
      </c>
      <c r="DE3857" t="s">
        <v>123</v>
      </c>
    </row>
    <row r="3858" spans="1:109" x14ac:dyDescent="0.3">
      <c r="A3858" t="str">
        <f>"19:39:22.406"</f>
        <v>19:39:22.406</v>
      </c>
      <c r="B3858" t="s">
        <v>110</v>
      </c>
      <c r="C3858" t="str">
        <f t="shared" si="180"/>
        <v>ffdfd3c0</v>
      </c>
      <c r="D3858" t="s">
        <v>111</v>
      </c>
      <c r="E3858">
        <v>18</v>
      </c>
      <c r="F3858">
        <v>1018</v>
      </c>
      <c r="G3858" t="s">
        <v>112</v>
      </c>
      <c r="J3858" t="s">
        <v>113</v>
      </c>
      <c r="K3858">
        <v>0</v>
      </c>
      <c r="L3858">
        <v>3</v>
      </c>
      <c r="M3858">
        <v>0</v>
      </c>
      <c r="N3858">
        <v>2</v>
      </c>
      <c r="O3858">
        <v>1</v>
      </c>
      <c r="P3858">
        <v>0</v>
      </c>
      <c r="Q3858">
        <v>0</v>
      </c>
      <c r="R3858" t="s">
        <v>114</v>
      </c>
      <c r="S3858" t="str">
        <f>"19:39:22.172"</f>
        <v>19:39:22.172</v>
      </c>
      <c r="T3858" t="str">
        <f>"19:39:21.570"</f>
        <v>19:39:21.570</v>
      </c>
      <c r="U3858" t="str">
        <f t="shared" si="181"/>
        <v>a1cdbe</v>
      </c>
      <c r="V3858">
        <v>0</v>
      </c>
      <c r="W3858">
        <v>0</v>
      </c>
      <c r="X3858">
        <v>2</v>
      </c>
      <c r="Y3858">
        <v>0</v>
      </c>
      <c r="Z3858">
        <v>0</v>
      </c>
      <c r="AB3858">
        <v>0</v>
      </c>
      <c r="AC3858">
        <v>9</v>
      </c>
      <c r="AD3858">
        <v>3</v>
      </c>
      <c r="AE3858">
        <v>0</v>
      </c>
      <c r="AF3858">
        <v>9</v>
      </c>
      <c r="AG3858" t="s">
        <v>158</v>
      </c>
      <c r="AH3858">
        <v>0</v>
      </c>
      <c r="AI3858">
        <v>3</v>
      </c>
      <c r="AJ3858">
        <v>1</v>
      </c>
      <c r="AK3858">
        <v>0</v>
      </c>
      <c r="AL3858" t="s">
        <v>7275</v>
      </c>
      <c r="AM3858">
        <v>47.054079000000002</v>
      </c>
      <c r="AN3858" t="s">
        <v>7276</v>
      </c>
      <c r="AO3858">
        <v>-123.975155</v>
      </c>
      <c r="AP3858">
        <v>100</v>
      </c>
      <c r="AQ3858">
        <v>2100</v>
      </c>
      <c r="AR3858" t="s">
        <v>118</v>
      </c>
      <c r="AS3858">
        <v>-76</v>
      </c>
      <c r="AT3858">
        <v>23</v>
      </c>
      <c r="AU3858">
        <v>128</v>
      </c>
      <c r="BC3858">
        <v>1200</v>
      </c>
      <c r="BD3858">
        <v>1</v>
      </c>
      <c r="BE3858" t="str">
        <f t="shared" si="182"/>
        <v xml:space="preserve">N215T   </v>
      </c>
      <c r="BF3858">
        <v>1</v>
      </c>
      <c r="BH3858">
        <v>0</v>
      </c>
      <c r="BI3858">
        <v>0</v>
      </c>
      <c r="BJ3858">
        <v>0</v>
      </c>
      <c r="BK3858">
        <v>2525</v>
      </c>
      <c r="BL3858">
        <v>425</v>
      </c>
      <c r="BM3858" t="s">
        <v>119</v>
      </c>
      <c r="BN3858">
        <v>1</v>
      </c>
      <c r="BO3858">
        <v>1</v>
      </c>
      <c r="BP3858">
        <v>1</v>
      </c>
      <c r="BQ3858">
        <v>0</v>
      </c>
      <c r="BT3858">
        <v>0</v>
      </c>
      <c r="BU3858">
        <v>0</v>
      </c>
      <c r="BV3858">
        <v>0</v>
      </c>
      <c r="CC3858" t="str">
        <f>"19:39:22.180"</f>
        <v>19:39:22.180</v>
      </c>
      <c r="CD3858" t="str">
        <f>"176539063"</f>
        <v>176539063</v>
      </c>
      <c r="CQ3858">
        <v>0</v>
      </c>
      <c r="CR3858">
        <v>2</v>
      </c>
      <c r="CS3858">
        <v>0</v>
      </c>
      <c r="CT3858">
        <v>2</v>
      </c>
      <c r="CU3858">
        <v>0</v>
      </c>
      <c r="CV3858">
        <v>2</v>
      </c>
      <c r="CW3858" t="s">
        <v>120</v>
      </c>
      <c r="CX3858">
        <v>257</v>
      </c>
      <c r="CY3858">
        <v>0</v>
      </c>
      <c r="CZ3858" t="s">
        <v>615</v>
      </c>
      <c r="DA3858" t="s">
        <v>616</v>
      </c>
      <c r="DD3858">
        <v>16593216</v>
      </c>
      <c r="DE3858" t="s">
        <v>123</v>
      </c>
    </row>
    <row r="3859" spans="1:109" x14ac:dyDescent="0.3">
      <c r="A3859" t="str">
        <f>"19:39:23.414"</f>
        <v>19:39:23.414</v>
      </c>
      <c r="B3859" t="s">
        <v>110</v>
      </c>
      <c r="C3859" t="str">
        <f t="shared" si="180"/>
        <v>ffdfd3c0</v>
      </c>
      <c r="D3859" t="s">
        <v>111</v>
      </c>
      <c r="E3859">
        <v>18</v>
      </c>
      <c r="F3859">
        <v>1018</v>
      </c>
      <c r="G3859" t="s">
        <v>112</v>
      </c>
      <c r="J3859" t="s">
        <v>113</v>
      </c>
      <c r="K3859">
        <v>0</v>
      </c>
      <c r="L3859">
        <v>3</v>
      </c>
      <c r="M3859">
        <v>0</v>
      </c>
      <c r="N3859">
        <v>2</v>
      </c>
      <c r="O3859">
        <v>1</v>
      </c>
      <c r="P3859">
        <v>0</v>
      </c>
      <c r="Q3859">
        <v>0</v>
      </c>
      <c r="R3859" t="s">
        <v>114</v>
      </c>
      <c r="S3859" t="str">
        <f>"19:39:23.164"</f>
        <v>19:39:23.164</v>
      </c>
      <c r="T3859" t="str">
        <f>"19:39:22.961"</f>
        <v>19:39:22.961</v>
      </c>
      <c r="U3859" t="str">
        <f t="shared" si="181"/>
        <v>a1cdbe</v>
      </c>
      <c r="V3859">
        <v>0</v>
      </c>
      <c r="W3859">
        <v>0</v>
      </c>
      <c r="X3859">
        <v>2</v>
      </c>
      <c r="Y3859">
        <v>0</v>
      </c>
      <c r="Z3859">
        <v>0</v>
      </c>
      <c r="AB3859">
        <v>0</v>
      </c>
      <c r="AC3859">
        <v>9</v>
      </c>
      <c r="AD3859">
        <v>3</v>
      </c>
      <c r="AE3859">
        <v>0</v>
      </c>
      <c r="AF3859">
        <v>9</v>
      </c>
      <c r="AG3859" t="s">
        <v>158</v>
      </c>
      <c r="AH3859">
        <v>0</v>
      </c>
      <c r="AI3859">
        <v>3</v>
      </c>
      <c r="AJ3859">
        <v>1</v>
      </c>
      <c r="AK3859">
        <v>0</v>
      </c>
      <c r="AL3859" t="s">
        <v>539</v>
      </c>
      <c r="AM3859">
        <v>47.054164</v>
      </c>
      <c r="AN3859" t="s">
        <v>7277</v>
      </c>
      <c r="AO3859">
        <v>-123.975627</v>
      </c>
      <c r="AP3859">
        <v>100</v>
      </c>
      <c r="AQ3859">
        <v>2100</v>
      </c>
      <c r="AR3859" t="s">
        <v>118</v>
      </c>
      <c r="AS3859">
        <v>-76</v>
      </c>
      <c r="AT3859">
        <v>23</v>
      </c>
      <c r="AU3859">
        <v>128</v>
      </c>
      <c r="BC3859">
        <v>1200</v>
      </c>
      <c r="BD3859">
        <v>1</v>
      </c>
      <c r="BE3859" t="str">
        <f t="shared" si="182"/>
        <v xml:space="preserve">N215T   </v>
      </c>
      <c r="BF3859">
        <v>1</v>
      </c>
      <c r="BH3859">
        <v>0</v>
      </c>
      <c r="BI3859">
        <v>0</v>
      </c>
      <c r="BJ3859">
        <v>0</v>
      </c>
      <c r="BK3859">
        <v>2525</v>
      </c>
      <c r="BL3859">
        <v>425</v>
      </c>
      <c r="BM3859" t="s">
        <v>119</v>
      </c>
      <c r="BN3859">
        <v>1</v>
      </c>
      <c r="BO3859">
        <v>1</v>
      </c>
      <c r="BP3859">
        <v>1</v>
      </c>
      <c r="BQ3859">
        <v>0</v>
      </c>
      <c r="BT3859">
        <v>0</v>
      </c>
      <c r="BU3859">
        <v>0</v>
      </c>
      <c r="BV3859">
        <v>0</v>
      </c>
      <c r="CC3859" t="str">
        <f>"19:39:23.164"</f>
        <v>19:39:23.164</v>
      </c>
      <c r="CD3859" t="str">
        <f>"166441613"</f>
        <v>166441613</v>
      </c>
      <c r="CQ3859">
        <v>0</v>
      </c>
      <c r="CR3859">
        <v>2</v>
      </c>
      <c r="CS3859">
        <v>0</v>
      </c>
      <c r="CT3859">
        <v>2</v>
      </c>
      <c r="CU3859">
        <v>0</v>
      </c>
      <c r="CV3859">
        <v>2</v>
      </c>
      <c r="CW3859" t="s">
        <v>120</v>
      </c>
      <c r="CX3859">
        <v>257</v>
      </c>
      <c r="CY3859">
        <v>0</v>
      </c>
      <c r="CZ3859" t="s">
        <v>615</v>
      </c>
      <c r="DA3859" t="s">
        <v>616</v>
      </c>
      <c r="DD3859">
        <v>16593514</v>
      </c>
      <c r="DE3859" t="s">
        <v>123</v>
      </c>
    </row>
    <row r="3860" spans="1:109" x14ac:dyDescent="0.3">
      <c r="A3860" t="str">
        <f>"19:39:25.023"</f>
        <v>19:39:25.023</v>
      </c>
      <c r="B3860" t="s">
        <v>110</v>
      </c>
      <c r="C3860" t="str">
        <f t="shared" si="180"/>
        <v>ffdfd3c0</v>
      </c>
      <c r="D3860" t="s">
        <v>111</v>
      </c>
      <c r="E3860">
        <v>18</v>
      </c>
      <c r="F3860">
        <v>1018</v>
      </c>
      <c r="G3860" t="s">
        <v>112</v>
      </c>
      <c r="J3860" t="s">
        <v>113</v>
      </c>
      <c r="K3860">
        <v>0</v>
      </c>
      <c r="L3860">
        <v>3</v>
      </c>
      <c r="M3860">
        <v>0</v>
      </c>
      <c r="N3860">
        <v>2</v>
      </c>
      <c r="O3860">
        <v>1</v>
      </c>
      <c r="P3860">
        <v>0</v>
      </c>
      <c r="Q3860">
        <v>0</v>
      </c>
      <c r="R3860" t="s">
        <v>114</v>
      </c>
      <c r="S3860" t="str">
        <f>"19:39:24.766"</f>
        <v>19:39:24.766</v>
      </c>
      <c r="T3860" t="str">
        <f>"19:39:24.563"</f>
        <v>19:39:24.563</v>
      </c>
      <c r="U3860" t="str">
        <f t="shared" si="181"/>
        <v>a1cdbe</v>
      </c>
      <c r="V3860">
        <v>0</v>
      </c>
      <c r="W3860">
        <v>0</v>
      </c>
      <c r="X3860">
        <v>2</v>
      </c>
      <c r="Y3860">
        <v>0</v>
      </c>
      <c r="Z3860">
        <v>0</v>
      </c>
      <c r="AB3860">
        <v>0</v>
      </c>
      <c r="AC3860">
        <v>9</v>
      </c>
      <c r="AD3860">
        <v>3</v>
      </c>
      <c r="AE3860">
        <v>0</v>
      </c>
      <c r="AF3860">
        <v>9</v>
      </c>
      <c r="AG3860" t="s">
        <v>158</v>
      </c>
      <c r="AH3860">
        <v>0</v>
      </c>
      <c r="AI3860">
        <v>3</v>
      </c>
      <c r="AJ3860">
        <v>1</v>
      </c>
      <c r="AK3860">
        <v>0</v>
      </c>
      <c r="AL3860" t="s">
        <v>7278</v>
      </c>
      <c r="AM3860">
        <v>47.054358000000001</v>
      </c>
      <c r="AN3860" t="s">
        <v>7279</v>
      </c>
      <c r="AO3860">
        <v>-123.97646400000001</v>
      </c>
      <c r="AP3860">
        <v>100</v>
      </c>
      <c r="AQ3860">
        <v>2100</v>
      </c>
      <c r="AR3860" t="s">
        <v>118</v>
      </c>
      <c r="AS3860">
        <v>-75</v>
      </c>
      <c r="AT3860">
        <v>23</v>
      </c>
      <c r="AU3860">
        <v>64</v>
      </c>
      <c r="BC3860">
        <v>1200</v>
      </c>
      <c r="BD3860">
        <v>1</v>
      </c>
      <c r="BE3860" t="str">
        <f t="shared" si="182"/>
        <v xml:space="preserve">N215T   </v>
      </c>
      <c r="BF3860">
        <v>1</v>
      </c>
      <c r="BH3860">
        <v>0</v>
      </c>
      <c r="BI3860">
        <v>0</v>
      </c>
      <c r="BJ3860">
        <v>0</v>
      </c>
      <c r="BK3860">
        <v>2525</v>
      </c>
      <c r="BL3860">
        <v>425</v>
      </c>
      <c r="BM3860" t="s">
        <v>119</v>
      </c>
      <c r="BN3860">
        <v>1</v>
      </c>
      <c r="BO3860">
        <v>1</v>
      </c>
      <c r="BP3860">
        <v>1</v>
      </c>
      <c r="BQ3860">
        <v>0</v>
      </c>
      <c r="BT3860">
        <v>0</v>
      </c>
      <c r="BU3860">
        <v>0</v>
      </c>
      <c r="BV3860">
        <v>0</v>
      </c>
      <c r="CC3860" t="str">
        <f>"19:39:24.773"</f>
        <v>19:39:24.773</v>
      </c>
      <c r="CD3860" t="str">
        <f>"771283513"</f>
        <v>771283513</v>
      </c>
      <c r="CQ3860">
        <v>0</v>
      </c>
      <c r="CR3860">
        <v>2</v>
      </c>
      <c r="CS3860">
        <v>0</v>
      </c>
      <c r="CT3860">
        <v>2</v>
      </c>
      <c r="CU3860">
        <v>0</v>
      </c>
      <c r="CV3860">
        <v>2</v>
      </c>
      <c r="CW3860" t="s">
        <v>120</v>
      </c>
      <c r="CX3860">
        <v>257</v>
      </c>
      <c r="CY3860">
        <v>0</v>
      </c>
      <c r="CZ3860" t="s">
        <v>615</v>
      </c>
      <c r="DA3860" t="s">
        <v>616</v>
      </c>
      <c r="DD3860">
        <v>16594029</v>
      </c>
      <c r="DE3860" t="s">
        <v>123</v>
      </c>
    </row>
    <row r="3861" spans="1:109" x14ac:dyDescent="0.3">
      <c r="A3861" t="str">
        <f>"19:39:25.977"</f>
        <v>19:39:25.977</v>
      </c>
      <c r="B3861" t="s">
        <v>110</v>
      </c>
      <c r="C3861" t="str">
        <f t="shared" si="180"/>
        <v>ffdfd3c0</v>
      </c>
      <c r="D3861" t="s">
        <v>111</v>
      </c>
      <c r="E3861">
        <v>18</v>
      </c>
      <c r="F3861">
        <v>1018</v>
      </c>
      <c r="G3861" t="s">
        <v>112</v>
      </c>
      <c r="J3861" t="s">
        <v>113</v>
      </c>
      <c r="K3861">
        <v>0</v>
      </c>
      <c r="L3861">
        <v>3</v>
      </c>
      <c r="M3861">
        <v>0</v>
      </c>
      <c r="N3861">
        <v>2</v>
      </c>
      <c r="O3861">
        <v>1</v>
      </c>
      <c r="P3861">
        <v>0</v>
      </c>
      <c r="Q3861">
        <v>0</v>
      </c>
      <c r="R3861" t="s">
        <v>114</v>
      </c>
      <c r="S3861" t="str">
        <f>"19:39:25.742"</f>
        <v>19:39:25.742</v>
      </c>
      <c r="T3861" t="str">
        <f>"19:39:25.641"</f>
        <v>19:39:25.641</v>
      </c>
      <c r="U3861" t="str">
        <f t="shared" si="181"/>
        <v>a1cdbe</v>
      </c>
      <c r="V3861">
        <v>0</v>
      </c>
      <c r="W3861">
        <v>0</v>
      </c>
      <c r="X3861">
        <v>2</v>
      </c>
      <c r="Y3861">
        <v>0</v>
      </c>
      <c r="Z3861">
        <v>0</v>
      </c>
      <c r="AB3861">
        <v>0</v>
      </c>
      <c r="AC3861">
        <v>9</v>
      </c>
      <c r="AD3861">
        <v>3</v>
      </c>
      <c r="AE3861">
        <v>0</v>
      </c>
      <c r="AF3861">
        <v>9</v>
      </c>
      <c r="AG3861" t="s">
        <v>158</v>
      </c>
      <c r="AH3861">
        <v>0</v>
      </c>
      <c r="AI3861">
        <v>3</v>
      </c>
      <c r="AJ3861">
        <v>1</v>
      </c>
      <c r="AK3861">
        <v>0</v>
      </c>
      <c r="AL3861" t="s">
        <v>7280</v>
      </c>
      <c r="AM3861">
        <v>47.054442999999999</v>
      </c>
      <c r="AN3861" t="s">
        <v>7281</v>
      </c>
      <c r="AO3861">
        <v>-123.97693599999999</v>
      </c>
      <c r="AP3861">
        <v>100</v>
      </c>
      <c r="AQ3861">
        <v>2200</v>
      </c>
      <c r="AR3861" t="s">
        <v>118</v>
      </c>
      <c r="AS3861">
        <v>-75</v>
      </c>
      <c r="AT3861">
        <v>23</v>
      </c>
      <c r="AU3861">
        <v>0</v>
      </c>
      <c r="BC3861">
        <v>1200</v>
      </c>
      <c r="BD3861">
        <v>1</v>
      </c>
      <c r="BE3861" t="str">
        <f t="shared" si="182"/>
        <v xml:space="preserve">N215T   </v>
      </c>
      <c r="BF3861">
        <v>1</v>
      </c>
      <c r="BH3861">
        <v>0</v>
      </c>
      <c r="BI3861">
        <v>0</v>
      </c>
      <c r="BJ3861">
        <v>0</v>
      </c>
      <c r="BK3861">
        <v>2525</v>
      </c>
      <c r="BL3861">
        <v>325</v>
      </c>
      <c r="BM3861" t="s">
        <v>119</v>
      </c>
      <c r="BN3861">
        <v>1</v>
      </c>
      <c r="BO3861">
        <v>1</v>
      </c>
      <c r="BP3861">
        <v>1</v>
      </c>
      <c r="BQ3861">
        <v>0</v>
      </c>
      <c r="BT3861">
        <v>0</v>
      </c>
      <c r="BU3861">
        <v>0</v>
      </c>
      <c r="BV3861">
        <v>0</v>
      </c>
      <c r="CC3861" t="str">
        <f>"19:39:25.750"</f>
        <v>19:39:25.750</v>
      </c>
      <c r="CD3861" t="str">
        <f>"746286761"</f>
        <v>746286761</v>
      </c>
      <c r="CQ3861">
        <v>0</v>
      </c>
      <c r="CR3861">
        <v>2</v>
      </c>
      <c r="CS3861">
        <v>0</v>
      </c>
      <c r="CT3861">
        <v>2</v>
      </c>
      <c r="CU3861">
        <v>0</v>
      </c>
      <c r="CV3861">
        <v>1</v>
      </c>
      <c r="CW3861" t="s">
        <v>120</v>
      </c>
      <c r="CX3861">
        <v>253</v>
      </c>
      <c r="CY3861">
        <v>2</v>
      </c>
      <c r="CZ3861" t="s">
        <v>7093</v>
      </c>
      <c r="DA3861" t="s">
        <v>7094</v>
      </c>
      <c r="DD3861">
        <v>13970906</v>
      </c>
      <c r="DE3861" t="s">
        <v>123</v>
      </c>
    </row>
    <row r="3862" spans="1:109" x14ac:dyDescent="0.3">
      <c r="A3862" t="str">
        <f>"19:39:27.031"</f>
        <v>19:39:27.031</v>
      </c>
      <c r="B3862" t="s">
        <v>110</v>
      </c>
      <c r="C3862" t="str">
        <f t="shared" si="180"/>
        <v>ffdfd3c0</v>
      </c>
      <c r="D3862" t="s">
        <v>111</v>
      </c>
      <c r="E3862">
        <v>18</v>
      </c>
      <c r="F3862">
        <v>1018</v>
      </c>
      <c r="G3862" t="s">
        <v>112</v>
      </c>
      <c r="J3862" t="s">
        <v>113</v>
      </c>
      <c r="K3862">
        <v>0</v>
      </c>
      <c r="L3862">
        <v>3</v>
      </c>
      <c r="M3862">
        <v>0</v>
      </c>
      <c r="N3862">
        <v>2</v>
      </c>
      <c r="O3862">
        <v>1</v>
      </c>
      <c r="P3862">
        <v>0</v>
      </c>
      <c r="Q3862">
        <v>0</v>
      </c>
      <c r="R3862" t="s">
        <v>114</v>
      </c>
      <c r="S3862" t="str">
        <f>"19:39:26.773"</f>
        <v>19:39:26.773</v>
      </c>
      <c r="T3862" t="str">
        <f>"19:39:26.773"</f>
        <v>19:39:26.773</v>
      </c>
      <c r="U3862" t="str">
        <f t="shared" si="181"/>
        <v>a1cdbe</v>
      </c>
      <c r="V3862">
        <v>0</v>
      </c>
      <c r="W3862">
        <v>0</v>
      </c>
      <c r="X3862">
        <v>2</v>
      </c>
      <c r="Y3862">
        <v>0</v>
      </c>
      <c r="Z3862">
        <v>0</v>
      </c>
      <c r="AB3862">
        <v>0</v>
      </c>
      <c r="AC3862">
        <v>9</v>
      </c>
      <c r="AD3862">
        <v>3</v>
      </c>
      <c r="AE3862">
        <v>0</v>
      </c>
      <c r="AF3862">
        <v>9</v>
      </c>
      <c r="AG3862" t="s">
        <v>158</v>
      </c>
      <c r="AH3862">
        <v>0</v>
      </c>
      <c r="AI3862">
        <v>3</v>
      </c>
      <c r="AJ3862">
        <v>1</v>
      </c>
      <c r="AK3862">
        <v>0</v>
      </c>
      <c r="AL3862" t="s">
        <v>7282</v>
      </c>
      <c r="AM3862">
        <v>47.054572</v>
      </c>
      <c r="AN3862" t="s">
        <v>7283</v>
      </c>
      <c r="AO3862">
        <v>-123.97749399999999</v>
      </c>
      <c r="AP3862">
        <v>100</v>
      </c>
      <c r="AQ3862">
        <v>2200</v>
      </c>
      <c r="AR3862" t="s">
        <v>118</v>
      </c>
      <c r="AS3862">
        <v>-76</v>
      </c>
      <c r="AT3862">
        <v>24</v>
      </c>
      <c r="AU3862">
        <v>0</v>
      </c>
      <c r="BC3862">
        <v>1200</v>
      </c>
      <c r="BD3862">
        <v>1</v>
      </c>
      <c r="BE3862" t="str">
        <f t="shared" si="182"/>
        <v xml:space="preserve">N215T   </v>
      </c>
      <c r="BF3862">
        <v>1</v>
      </c>
      <c r="BH3862">
        <v>0</v>
      </c>
      <c r="BI3862">
        <v>0</v>
      </c>
      <c r="BJ3862">
        <v>0</v>
      </c>
      <c r="BK3862">
        <v>2525</v>
      </c>
      <c r="BL3862">
        <v>325</v>
      </c>
      <c r="BM3862" t="s">
        <v>119</v>
      </c>
      <c r="BN3862">
        <v>1</v>
      </c>
      <c r="BO3862">
        <v>1</v>
      </c>
      <c r="BP3862">
        <v>1</v>
      </c>
      <c r="BQ3862">
        <v>0</v>
      </c>
      <c r="BT3862">
        <v>0</v>
      </c>
      <c r="BU3862">
        <v>0</v>
      </c>
      <c r="BV3862">
        <v>0</v>
      </c>
      <c r="CC3862" t="str">
        <f>"19:39:26.781"</f>
        <v>19:39:26.781</v>
      </c>
      <c r="CD3862" t="str">
        <f>"781184654"</f>
        <v>781184654</v>
      </c>
      <c r="CQ3862">
        <v>0</v>
      </c>
      <c r="CR3862">
        <v>2</v>
      </c>
      <c r="CS3862">
        <v>0</v>
      </c>
      <c r="CT3862">
        <v>2</v>
      </c>
      <c r="CU3862">
        <v>0</v>
      </c>
      <c r="CV3862">
        <v>3</v>
      </c>
      <c r="CW3862" t="s">
        <v>120</v>
      </c>
      <c r="CX3862">
        <v>253</v>
      </c>
      <c r="CY3862">
        <v>2</v>
      </c>
      <c r="CZ3862" t="s">
        <v>7093</v>
      </c>
      <c r="DA3862" t="s">
        <v>7094</v>
      </c>
      <c r="DD3862">
        <v>13970967</v>
      </c>
      <c r="DE3862" t="s">
        <v>123</v>
      </c>
    </row>
    <row r="3863" spans="1:109" x14ac:dyDescent="0.3">
      <c r="A3863" t="str">
        <f>"19:39:27.984"</f>
        <v>19:39:27.984</v>
      </c>
      <c r="B3863" t="s">
        <v>110</v>
      </c>
      <c r="C3863" t="str">
        <f t="shared" si="180"/>
        <v>ffdfd3c0</v>
      </c>
      <c r="D3863" t="s">
        <v>111</v>
      </c>
      <c r="E3863">
        <v>18</v>
      </c>
      <c r="F3863">
        <v>1018</v>
      </c>
      <c r="G3863" t="s">
        <v>112</v>
      </c>
      <c r="J3863" t="s">
        <v>113</v>
      </c>
      <c r="K3863">
        <v>0</v>
      </c>
      <c r="L3863">
        <v>3</v>
      </c>
      <c r="M3863">
        <v>0</v>
      </c>
      <c r="N3863">
        <v>2</v>
      </c>
      <c r="O3863">
        <v>1</v>
      </c>
      <c r="P3863">
        <v>0</v>
      </c>
      <c r="Q3863">
        <v>0</v>
      </c>
      <c r="R3863" t="s">
        <v>114</v>
      </c>
      <c r="S3863" t="str">
        <f>"19:39:27.750"</f>
        <v>19:39:27.750</v>
      </c>
      <c r="T3863" t="str">
        <f>"19:39:27.352"</f>
        <v>19:39:27.352</v>
      </c>
      <c r="U3863" t="str">
        <f t="shared" si="181"/>
        <v>a1cdbe</v>
      </c>
      <c r="V3863">
        <v>0</v>
      </c>
      <c r="W3863">
        <v>0</v>
      </c>
      <c r="X3863">
        <v>2</v>
      </c>
      <c r="Y3863">
        <v>0</v>
      </c>
      <c r="Z3863">
        <v>0</v>
      </c>
      <c r="AB3863">
        <v>0</v>
      </c>
      <c r="AC3863">
        <v>9</v>
      </c>
      <c r="AD3863">
        <v>3</v>
      </c>
      <c r="AE3863">
        <v>0</v>
      </c>
      <c r="AF3863">
        <v>9</v>
      </c>
      <c r="AG3863" t="s">
        <v>158</v>
      </c>
      <c r="AH3863">
        <v>0</v>
      </c>
      <c r="AI3863">
        <v>3</v>
      </c>
      <c r="AJ3863">
        <v>1</v>
      </c>
      <c r="AK3863">
        <v>0</v>
      </c>
      <c r="AL3863" t="s">
        <v>7284</v>
      </c>
      <c r="AM3863">
        <v>47.054679</v>
      </c>
      <c r="AN3863" t="s">
        <v>7285</v>
      </c>
      <c r="AO3863">
        <v>-123.977966</v>
      </c>
      <c r="AP3863">
        <v>100</v>
      </c>
      <c r="AQ3863">
        <v>2200</v>
      </c>
      <c r="AR3863" t="s">
        <v>118</v>
      </c>
      <c r="AS3863">
        <v>-76</v>
      </c>
      <c r="AT3863">
        <v>24</v>
      </c>
      <c r="AU3863">
        <v>0</v>
      </c>
      <c r="BC3863">
        <v>1200</v>
      </c>
      <c r="BD3863">
        <v>1</v>
      </c>
      <c r="BE3863" t="str">
        <f t="shared" si="182"/>
        <v xml:space="preserve">N215T   </v>
      </c>
      <c r="BF3863">
        <v>1</v>
      </c>
      <c r="BH3863">
        <v>0</v>
      </c>
      <c r="BI3863">
        <v>0</v>
      </c>
      <c r="BJ3863">
        <v>0</v>
      </c>
      <c r="BK3863">
        <v>2525</v>
      </c>
      <c r="BL3863">
        <v>325</v>
      </c>
      <c r="BM3863" t="s">
        <v>119</v>
      </c>
      <c r="BN3863">
        <v>1</v>
      </c>
      <c r="BO3863">
        <v>1</v>
      </c>
      <c r="BP3863">
        <v>1</v>
      </c>
      <c r="BQ3863">
        <v>0</v>
      </c>
      <c r="BT3863">
        <v>0</v>
      </c>
      <c r="BU3863">
        <v>0</v>
      </c>
      <c r="BV3863">
        <v>0</v>
      </c>
      <c r="CC3863" t="str">
        <f>"19:39:27.758"</f>
        <v>19:39:27.758</v>
      </c>
      <c r="CD3863" t="str">
        <f>"756088459"</f>
        <v>756088459</v>
      </c>
      <c r="CQ3863">
        <v>0</v>
      </c>
      <c r="CR3863">
        <v>2</v>
      </c>
      <c r="CS3863">
        <v>0</v>
      </c>
      <c r="CT3863">
        <v>2</v>
      </c>
      <c r="CU3863">
        <v>0</v>
      </c>
      <c r="CV3863">
        <v>2</v>
      </c>
      <c r="CW3863" t="s">
        <v>120</v>
      </c>
      <c r="CX3863">
        <v>253</v>
      </c>
      <c r="CY3863">
        <v>2</v>
      </c>
      <c r="CZ3863" t="s">
        <v>7093</v>
      </c>
      <c r="DA3863" t="s">
        <v>7094</v>
      </c>
      <c r="DD3863">
        <v>13971026</v>
      </c>
      <c r="DE3863" t="s">
        <v>123</v>
      </c>
    </row>
    <row r="3864" spans="1:109" x14ac:dyDescent="0.3">
      <c r="A3864" t="str">
        <f>"19:39:28.891"</f>
        <v>19:39:28.891</v>
      </c>
      <c r="B3864" t="s">
        <v>110</v>
      </c>
      <c r="C3864" t="str">
        <f t="shared" si="180"/>
        <v>ffdfd3c0</v>
      </c>
      <c r="D3864" t="s">
        <v>111</v>
      </c>
      <c r="E3864">
        <v>18</v>
      </c>
      <c r="F3864">
        <v>1018</v>
      </c>
      <c r="G3864" t="s">
        <v>112</v>
      </c>
      <c r="J3864" t="s">
        <v>113</v>
      </c>
      <c r="K3864">
        <v>0</v>
      </c>
      <c r="L3864">
        <v>3</v>
      </c>
      <c r="M3864">
        <v>0</v>
      </c>
      <c r="N3864">
        <v>2</v>
      </c>
      <c r="O3864">
        <v>1</v>
      </c>
      <c r="P3864">
        <v>0</v>
      </c>
      <c r="Q3864">
        <v>0</v>
      </c>
      <c r="R3864" t="s">
        <v>114</v>
      </c>
      <c r="S3864" t="str">
        <f>"19:39:28.648"</f>
        <v>19:39:28.648</v>
      </c>
      <c r="T3864" t="str">
        <f>"19:39:28.352"</f>
        <v>19:39:28.352</v>
      </c>
      <c r="U3864" t="str">
        <f t="shared" si="181"/>
        <v>a1cdbe</v>
      </c>
      <c r="V3864">
        <v>0</v>
      </c>
      <c r="W3864">
        <v>0</v>
      </c>
      <c r="X3864">
        <v>2</v>
      </c>
      <c r="Y3864">
        <v>0</v>
      </c>
      <c r="Z3864">
        <v>0</v>
      </c>
      <c r="AB3864">
        <v>0</v>
      </c>
      <c r="AC3864">
        <v>9</v>
      </c>
      <c r="AD3864">
        <v>3</v>
      </c>
      <c r="AE3864">
        <v>0</v>
      </c>
      <c r="AF3864">
        <v>9</v>
      </c>
      <c r="AG3864" t="s">
        <v>158</v>
      </c>
      <c r="AH3864">
        <v>0</v>
      </c>
      <c r="AI3864">
        <v>3</v>
      </c>
      <c r="AJ3864">
        <v>1</v>
      </c>
      <c r="AK3864">
        <v>0</v>
      </c>
      <c r="AL3864" t="s">
        <v>7286</v>
      </c>
      <c r="AM3864">
        <v>47.054765000000003</v>
      </c>
      <c r="AN3864" t="s">
        <v>7287</v>
      </c>
      <c r="AO3864">
        <v>-123.97846</v>
      </c>
      <c r="AP3864">
        <v>100</v>
      </c>
      <c r="AQ3864">
        <v>2100</v>
      </c>
      <c r="AR3864" t="s">
        <v>118</v>
      </c>
      <c r="AS3864">
        <v>-76</v>
      </c>
      <c r="AT3864">
        <v>24</v>
      </c>
      <c r="AU3864">
        <v>0</v>
      </c>
      <c r="BC3864">
        <v>1200</v>
      </c>
      <c r="BD3864">
        <v>1</v>
      </c>
      <c r="BE3864" t="str">
        <f t="shared" si="182"/>
        <v xml:space="preserve">N215T   </v>
      </c>
      <c r="BF3864">
        <v>1</v>
      </c>
      <c r="BH3864">
        <v>0</v>
      </c>
      <c r="BI3864">
        <v>0</v>
      </c>
      <c r="BJ3864">
        <v>0</v>
      </c>
      <c r="BK3864">
        <v>2625</v>
      </c>
      <c r="BL3864">
        <v>525</v>
      </c>
      <c r="BM3864" t="s">
        <v>119</v>
      </c>
      <c r="BN3864">
        <v>1</v>
      </c>
      <c r="BO3864">
        <v>1</v>
      </c>
      <c r="BP3864">
        <v>1</v>
      </c>
      <c r="BQ3864">
        <v>0</v>
      </c>
      <c r="BT3864">
        <v>0</v>
      </c>
      <c r="BU3864">
        <v>0</v>
      </c>
      <c r="BV3864">
        <v>0</v>
      </c>
      <c r="CC3864" t="str">
        <f>"19:39:28.656"</f>
        <v>19:39:28.656</v>
      </c>
      <c r="CD3864" t="str">
        <f>"655900929"</f>
        <v>655900929</v>
      </c>
      <c r="CQ3864">
        <v>0</v>
      </c>
      <c r="CR3864">
        <v>2</v>
      </c>
      <c r="CS3864">
        <v>0</v>
      </c>
      <c r="CT3864">
        <v>2</v>
      </c>
      <c r="CU3864">
        <v>0</v>
      </c>
      <c r="CV3864">
        <v>3</v>
      </c>
      <c r="CW3864" t="s">
        <v>120</v>
      </c>
      <c r="CX3864">
        <v>257</v>
      </c>
      <c r="CY3864">
        <v>0</v>
      </c>
      <c r="CZ3864" t="s">
        <v>615</v>
      </c>
      <c r="DA3864" t="s">
        <v>616</v>
      </c>
      <c r="DD3864">
        <v>16595182</v>
      </c>
      <c r="DE3864" t="s">
        <v>123</v>
      </c>
    </row>
    <row r="3865" spans="1:109" x14ac:dyDescent="0.3">
      <c r="A3865" t="str">
        <f>"19:39:29.844"</f>
        <v>19:39:29.844</v>
      </c>
      <c r="B3865" t="s">
        <v>110</v>
      </c>
      <c r="C3865" t="str">
        <f t="shared" si="180"/>
        <v>ffdfd3c0</v>
      </c>
      <c r="D3865" t="s">
        <v>111</v>
      </c>
      <c r="E3865">
        <v>18</v>
      </c>
      <c r="F3865">
        <v>1018</v>
      </c>
      <c r="G3865" t="s">
        <v>112</v>
      </c>
      <c r="J3865" t="s">
        <v>113</v>
      </c>
      <c r="K3865">
        <v>0</v>
      </c>
      <c r="L3865">
        <v>3</v>
      </c>
      <c r="M3865">
        <v>0</v>
      </c>
      <c r="N3865">
        <v>2</v>
      </c>
      <c r="O3865">
        <v>1</v>
      </c>
      <c r="P3865">
        <v>0</v>
      </c>
      <c r="Q3865">
        <v>0</v>
      </c>
      <c r="R3865" t="s">
        <v>114</v>
      </c>
      <c r="S3865" t="str">
        <f>"19:39:29.570"</f>
        <v>19:39:29.570</v>
      </c>
      <c r="T3865" t="str">
        <f>"19:39:29.273"</f>
        <v>19:39:29.273</v>
      </c>
      <c r="U3865" t="str">
        <f t="shared" si="181"/>
        <v>a1cdbe</v>
      </c>
      <c r="V3865">
        <v>0</v>
      </c>
      <c r="W3865">
        <v>0</v>
      </c>
      <c r="X3865">
        <v>2</v>
      </c>
      <c r="Y3865">
        <v>0</v>
      </c>
      <c r="Z3865">
        <v>0</v>
      </c>
      <c r="AB3865">
        <v>0</v>
      </c>
      <c r="AC3865">
        <v>9</v>
      </c>
      <c r="AD3865">
        <v>3</v>
      </c>
      <c r="AE3865">
        <v>0</v>
      </c>
      <c r="AF3865">
        <v>9</v>
      </c>
      <c r="AG3865" t="s">
        <v>158</v>
      </c>
      <c r="AH3865">
        <v>0</v>
      </c>
      <c r="AI3865">
        <v>3</v>
      </c>
      <c r="AJ3865">
        <v>1</v>
      </c>
      <c r="AK3865">
        <v>0</v>
      </c>
      <c r="AL3865" t="s">
        <v>7288</v>
      </c>
      <c r="AM3865">
        <v>47.054893999999997</v>
      </c>
      <c r="AN3865" t="s">
        <v>7289</v>
      </c>
      <c r="AO3865">
        <v>-123.978932</v>
      </c>
      <c r="AP3865">
        <v>100</v>
      </c>
      <c r="AQ3865">
        <v>2100</v>
      </c>
      <c r="AR3865" t="s">
        <v>118</v>
      </c>
      <c r="AS3865">
        <v>-76</v>
      </c>
      <c r="AT3865">
        <v>24</v>
      </c>
      <c r="AU3865">
        <v>-64</v>
      </c>
      <c r="BC3865">
        <v>1200</v>
      </c>
      <c r="BD3865">
        <v>1</v>
      </c>
      <c r="BE3865" t="str">
        <f t="shared" si="182"/>
        <v xml:space="preserve">N215T   </v>
      </c>
      <c r="BF3865">
        <v>1</v>
      </c>
      <c r="BH3865">
        <v>0</v>
      </c>
      <c r="BI3865">
        <v>0</v>
      </c>
      <c r="BJ3865">
        <v>0</v>
      </c>
      <c r="BK3865">
        <v>2525</v>
      </c>
      <c r="BL3865">
        <v>425</v>
      </c>
      <c r="BM3865" t="s">
        <v>119</v>
      </c>
      <c r="BN3865">
        <v>1</v>
      </c>
      <c r="BO3865">
        <v>1</v>
      </c>
      <c r="BP3865">
        <v>1</v>
      </c>
      <c r="BQ3865">
        <v>0</v>
      </c>
      <c r="BT3865">
        <v>0</v>
      </c>
      <c r="BU3865">
        <v>0</v>
      </c>
      <c r="BV3865">
        <v>0</v>
      </c>
      <c r="CC3865" t="str">
        <f>"19:39:29.570"</f>
        <v>19:39:29.570</v>
      </c>
      <c r="CD3865" t="str">
        <f>"570810745"</f>
        <v>570810745</v>
      </c>
      <c r="CQ3865">
        <v>0</v>
      </c>
      <c r="CR3865">
        <v>2</v>
      </c>
      <c r="CS3865">
        <v>0</v>
      </c>
      <c r="CT3865">
        <v>2</v>
      </c>
      <c r="CU3865">
        <v>0</v>
      </c>
      <c r="CV3865">
        <v>1</v>
      </c>
      <c r="CW3865" t="s">
        <v>120</v>
      </c>
      <c r="CX3865">
        <v>257</v>
      </c>
      <c r="CY3865">
        <v>0</v>
      </c>
      <c r="CZ3865" t="s">
        <v>615</v>
      </c>
      <c r="DA3865" t="s">
        <v>616</v>
      </c>
      <c r="DD3865">
        <v>16595439</v>
      </c>
      <c r="DE3865" t="s">
        <v>123</v>
      </c>
    </row>
    <row r="3866" spans="1:109" x14ac:dyDescent="0.3">
      <c r="A3866" t="str">
        <f>"19:39:30.953"</f>
        <v>19:39:30.953</v>
      </c>
      <c r="B3866" t="s">
        <v>110</v>
      </c>
      <c r="C3866" t="str">
        <f t="shared" si="180"/>
        <v>ffdfd3c0</v>
      </c>
      <c r="D3866" t="s">
        <v>111</v>
      </c>
      <c r="E3866">
        <v>18</v>
      </c>
      <c r="F3866">
        <v>1018</v>
      </c>
      <c r="G3866" t="s">
        <v>112</v>
      </c>
      <c r="J3866" t="s">
        <v>113</v>
      </c>
      <c r="K3866">
        <v>0</v>
      </c>
      <c r="L3866">
        <v>3</v>
      </c>
      <c r="M3866">
        <v>0</v>
      </c>
      <c r="N3866">
        <v>2</v>
      </c>
      <c r="O3866">
        <v>1</v>
      </c>
      <c r="P3866">
        <v>0</v>
      </c>
      <c r="Q3866">
        <v>0</v>
      </c>
      <c r="R3866" t="s">
        <v>114</v>
      </c>
      <c r="S3866" t="str">
        <f>"19:39:30.719"</f>
        <v>19:39:30.719</v>
      </c>
      <c r="T3866" t="str">
        <f>"19:39:30.320"</f>
        <v>19:39:30.320</v>
      </c>
      <c r="U3866" t="str">
        <f t="shared" si="181"/>
        <v>a1cdbe</v>
      </c>
      <c r="V3866">
        <v>0</v>
      </c>
      <c r="W3866">
        <v>0</v>
      </c>
      <c r="X3866">
        <v>2</v>
      </c>
      <c r="Y3866">
        <v>0</v>
      </c>
      <c r="Z3866">
        <v>0</v>
      </c>
      <c r="AB3866">
        <v>0</v>
      </c>
      <c r="AC3866">
        <v>9</v>
      </c>
      <c r="AD3866">
        <v>3</v>
      </c>
      <c r="AE3866">
        <v>0</v>
      </c>
      <c r="AF3866">
        <v>9</v>
      </c>
      <c r="AG3866" t="s">
        <v>158</v>
      </c>
      <c r="AH3866">
        <v>0</v>
      </c>
      <c r="AI3866">
        <v>3</v>
      </c>
      <c r="AJ3866">
        <v>1</v>
      </c>
      <c r="AK3866">
        <v>0</v>
      </c>
      <c r="AL3866" t="s">
        <v>7290</v>
      </c>
      <c r="AM3866">
        <v>47.055000999999997</v>
      </c>
      <c r="AN3866" t="s">
        <v>7291</v>
      </c>
      <c r="AO3866">
        <v>-123.979511</v>
      </c>
      <c r="AP3866">
        <v>100</v>
      </c>
      <c r="AQ3866">
        <v>2100</v>
      </c>
      <c r="AR3866" t="s">
        <v>118</v>
      </c>
      <c r="AS3866">
        <v>-77</v>
      </c>
      <c r="AT3866">
        <v>23</v>
      </c>
      <c r="AU3866">
        <v>-64</v>
      </c>
      <c r="BC3866">
        <v>1200</v>
      </c>
      <c r="BD3866">
        <v>1</v>
      </c>
      <c r="BE3866" t="str">
        <f t="shared" si="182"/>
        <v xml:space="preserve">N215T   </v>
      </c>
      <c r="BF3866">
        <v>1</v>
      </c>
      <c r="BH3866">
        <v>0</v>
      </c>
      <c r="BI3866">
        <v>0</v>
      </c>
      <c r="BJ3866">
        <v>0</v>
      </c>
      <c r="BK3866">
        <v>2525</v>
      </c>
      <c r="BL3866">
        <v>425</v>
      </c>
      <c r="BM3866" t="s">
        <v>119</v>
      </c>
      <c r="BN3866">
        <v>1</v>
      </c>
      <c r="BO3866">
        <v>1</v>
      </c>
      <c r="BP3866">
        <v>1</v>
      </c>
      <c r="BQ3866">
        <v>0</v>
      </c>
      <c r="BT3866">
        <v>0</v>
      </c>
      <c r="BU3866">
        <v>0</v>
      </c>
      <c r="BV3866">
        <v>0</v>
      </c>
      <c r="CC3866" t="str">
        <f>"19:39:30.727"</f>
        <v>19:39:30.727</v>
      </c>
      <c r="CD3866" t="str">
        <f>"725795541"</f>
        <v>725795541</v>
      </c>
      <c r="CQ3866">
        <v>0</v>
      </c>
      <c r="CR3866">
        <v>2</v>
      </c>
      <c r="CS3866">
        <v>0</v>
      </c>
      <c r="CT3866">
        <v>2</v>
      </c>
      <c r="CU3866">
        <v>0</v>
      </c>
      <c r="CV3866">
        <v>2</v>
      </c>
      <c r="CW3866" t="s">
        <v>120</v>
      </c>
      <c r="CX3866">
        <v>253</v>
      </c>
      <c r="CY3866">
        <v>2</v>
      </c>
      <c r="CZ3866" t="s">
        <v>7093</v>
      </c>
      <c r="DA3866" t="s">
        <v>7094</v>
      </c>
      <c r="DD3866">
        <v>13971209</v>
      </c>
      <c r="DE3866" t="s">
        <v>123</v>
      </c>
    </row>
    <row r="3867" spans="1:109" x14ac:dyDescent="0.3">
      <c r="A3867" t="str">
        <f>"19:39:31.953"</f>
        <v>19:39:31.953</v>
      </c>
      <c r="B3867" t="s">
        <v>110</v>
      </c>
      <c r="C3867" t="str">
        <f t="shared" si="180"/>
        <v>ffdfd3c0</v>
      </c>
      <c r="D3867" t="s">
        <v>111</v>
      </c>
      <c r="E3867">
        <v>18</v>
      </c>
      <c r="F3867">
        <v>1018</v>
      </c>
      <c r="G3867" t="s">
        <v>112</v>
      </c>
      <c r="J3867" t="s">
        <v>113</v>
      </c>
      <c r="K3867">
        <v>0</v>
      </c>
      <c r="L3867">
        <v>3</v>
      </c>
      <c r="M3867">
        <v>0</v>
      </c>
      <c r="N3867">
        <v>2</v>
      </c>
      <c r="O3867">
        <v>1</v>
      </c>
      <c r="P3867">
        <v>0</v>
      </c>
      <c r="Q3867">
        <v>0</v>
      </c>
      <c r="R3867" t="s">
        <v>114</v>
      </c>
      <c r="S3867" t="str">
        <f>"19:39:31.711"</f>
        <v>19:39:31.711</v>
      </c>
      <c r="T3867" t="str">
        <f>"19:39:31.414"</f>
        <v>19:39:31.414</v>
      </c>
      <c r="U3867" t="str">
        <f t="shared" si="181"/>
        <v>a1cdbe</v>
      </c>
      <c r="V3867">
        <v>0</v>
      </c>
      <c r="W3867">
        <v>0</v>
      </c>
      <c r="X3867">
        <v>2</v>
      </c>
      <c r="Y3867">
        <v>0</v>
      </c>
      <c r="Z3867">
        <v>0</v>
      </c>
      <c r="AB3867">
        <v>0</v>
      </c>
      <c r="AC3867">
        <v>9</v>
      </c>
      <c r="AD3867">
        <v>3</v>
      </c>
      <c r="AE3867">
        <v>0</v>
      </c>
      <c r="AF3867">
        <v>9</v>
      </c>
      <c r="AG3867" t="s">
        <v>158</v>
      </c>
      <c r="AH3867">
        <v>0</v>
      </c>
      <c r="AI3867">
        <v>3</v>
      </c>
      <c r="AJ3867">
        <v>1</v>
      </c>
      <c r="AK3867">
        <v>0</v>
      </c>
      <c r="AL3867" t="s">
        <v>7292</v>
      </c>
      <c r="AM3867">
        <v>47.055129999999998</v>
      </c>
      <c r="AN3867" t="s">
        <v>7293</v>
      </c>
      <c r="AO3867">
        <v>-123.980026</v>
      </c>
      <c r="AP3867">
        <v>100</v>
      </c>
      <c r="AQ3867">
        <v>2100</v>
      </c>
      <c r="AR3867" t="s">
        <v>118</v>
      </c>
      <c r="AS3867">
        <v>-77</v>
      </c>
      <c r="AT3867">
        <v>23</v>
      </c>
      <c r="AU3867">
        <v>-64</v>
      </c>
      <c r="BC3867">
        <v>1200</v>
      </c>
      <c r="BD3867">
        <v>1</v>
      </c>
      <c r="BE3867" t="str">
        <f t="shared" si="182"/>
        <v xml:space="preserve">N215T   </v>
      </c>
      <c r="BF3867">
        <v>1</v>
      </c>
      <c r="BH3867">
        <v>0</v>
      </c>
      <c r="BI3867">
        <v>0</v>
      </c>
      <c r="BJ3867">
        <v>0</v>
      </c>
      <c r="BK3867">
        <v>2525</v>
      </c>
      <c r="BL3867">
        <v>425</v>
      </c>
      <c r="BM3867" t="s">
        <v>119</v>
      </c>
      <c r="BN3867">
        <v>1</v>
      </c>
      <c r="BO3867">
        <v>1</v>
      </c>
      <c r="BP3867">
        <v>1</v>
      </c>
      <c r="BQ3867">
        <v>0</v>
      </c>
      <c r="BT3867">
        <v>0</v>
      </c>
      <c r="BU3867">
        <v>0</v>
      </c>
      <c r="BV3867">
        <v>0</v>
      </c>
      <c r="CC3867" t="str">
        <f>"19:39:31.719"</f>
        <v>19:39:31.719</v>
      </c>
      <c r="CD3867" t="str">
        <f>"715697895"</f>
        <v>715697895</v>
      </c>
      <c r="CQ3867">
        <v>0</v>
      </c>
      <c r="CR3867">
        <v>2</v>
      </c>
      <c r="CS3867">
        <v>0</v>
      </c>
      <c r="CT3867">
        <v>2</v>
      </c>
      <c r="CU3867">
        <v>0</v>
      </c>
      <c r="CV3867">
        <v>1</v>
      </c>
      <c r="CW3867" t="s">
        <v>120</v>
      </c>
      <c r="CX3867">
        <v>253</v>
      </c>
      <c r="CY3867">
        <v>2</v>
      </c>
      <c r="CZ3867" t="s">
        <v>7093</v>
      </c>
      <c r="DA3867" t="s">
        <v>7094</v>
      </c>
      <c r="DD3867">
        <v>13971275</v>
      </c>
      <c r="DE3867" t="s">
        <v>123</v>
      </c>
    </row>
    <row r="3868" spans="1:109" x14ac:dyDescent="0.3">
      <c r="A3868" t="str">
        <f>"19:39:32.961"</f>
        <v>19:39:32.961</v>
      </c>
      <c r="B3868" t="s">
        <v>110</v>
      </c>
      <c r="C3868" t="str">
        <f t="shared" si="180"/>
        <v>ffdfd3c0</v>
      </c>
      <c r="D3868" t="s">
        <v>111</v>
      </c>
      <c r="E3868">
        <v>18</v>
      </c>
      <c r="F3868">
        <v>1018</v>
      </c>
      <c r="G3868" t="s">
        <v>112</v>
      </c>
      <c r="J3868" t="s">
        <v>113</v>
      </c>
      <c r="K3868">
        <v>0</v>
      </c>
      <c r="L3868">
        <v>3</v>
      </c>
      <c r="M3868">
        <v>0</v>
      </c>
      <c r="N3868">
        <v>2</v>
      </c>
      <c r="O3868">
        <v>1</v>
      </c>
      <c r="P3868">
        <v>0</v>
      </c>
      <c r="Q3868">
        <v>0</v>
      </c>
      <c r="R3868" t="s">
        <v>114</v>
      </c>
      <c r="S3868" t="str">
        <f>"19:39:32.734"</f>
        <v>19:39:32.734</v>
      </c>
      <c r="T3868" t="str">
        <f>"19:39:32.336"</f>
        <v>19:39:32.336</v>
      </c>
      <c r="U3868" t="str">
        <f t="shared" si="181"/>
        <v>a1cdbe</v>
      </c>
      <c r="V3868">
        <v>0</v>
      </c>
      <c r="W3868">
        <v>0</v>
      </c>
      <c r="X3868">
        <v>2</v>
      </c>
      <c r="Y3868">
        <v>0</v>
      </c>
      <c r="Z3868">
        <v>0</v>
      </c>
      <c r="AB3868">
        <v>0</v>
      </c>
      <c r="AC3868">
        <v>9</v>
      </c>
      <c r="AD3868">
        <v>3</v>
      </c>
      <c r="AE3868">
        <v>0</v>
      </c>
      <c r="AF3868">
        <v>9</v>
      </c>
      <c r="AG3868" t="s">
        <v>158</v>
      </c>
      <c r="AH3868">
        <v>0</v>
      </c>
      <c r="AI3868">
        <v>3</v>
      </c>
      <c r="AJ3868">
        <v>1</v>
      </c>
      <c r="AK3868">
        <v>0</v>
      </c>
      <c r="AL3868" t="s">
        <v>7294</v>
      </c>
      <c r="AM3868">
        <v>47.055236999999998</v>
      </c>
      <c r="AN3868" t="s">
        <v>7295</v>
      </c>
      <c r="AO3868">
        <v>-123.980563</v>
      </c>
      <c r="AP3868">
        <v>100</v>
      </c>
      <c r="AQ3868">
        <v>2100</v>
      </c>
      <c r="AR3868" t="s">
        <v>118</v>
      </c>
      <c r="AS3868">
        <v>-77</v>
      </c>
      <c r="AT3868">
        <v>23</v>
      </c>
      <c r="AU3868">
        <v>-64</v>
      </c>
      <c r="BC3868">
        <v>1200</v>
      </c>
      <c r="BD3868">
        <v>1</v>
      </c>
      <c r="BE3868" t="str">
        <f t="shared" si="182"/>
        <v xml:space="preserve">N215T   </v>
      </c>
      <c r="BF3868">
        <v>1</v>
      </c>
      <c r="BH3868">
        <v>0</v>
      </c>
      <c r="BI3868">
        <v>0</v>
      </c>
      <c r="BJ3868">
        <v>0</v>
      </c>
      <c r="BK3868">
        <v>2525</v>
      </c>
      <c r="BL3868">
        <v>425</v>
      </c>
      <c r="BM3868" t="s">
        <v>119</v>
      </c>
      <c r="BN3868">
        <v>1</v>
      </c>
      <c r="BO3868">
        <v>1</v>
      </c>
      <c r="BP3868">
        <v>1</v>
      </c>
      <c r="BQ3868">
        <v>0</v>
      </c>
      <c r="BT3868">
        <v>0</v>
      </c>
      <c r="BU3868">
        <v>0</v>
      </c>
      <c r="BV3868">
        <v>0</v>
      </c>
      <c r="CC3868" t="str">
        <f>"19:39:32.734"</f>
        <v>19:39:32.734</v>
      </c>
      <c r="CD3868" t="str">
        <f>"735499116"</f>
        <v>735499116</v>
      </c>
      <c r="CQ3868">
        <v>0</v>
      </c>
      <c r="CR3868">
        <v>2</v>
      </c>
      <c r="CS3868">
        <v>0</v>
      </c>
      <c r="CT3868">
        <v>2</v>
      </c>
      <c r="CU3868">
        <v>0</v>
      </c>
      <c r="CV3868">
        <v>2</v>
      </c>
      <c r="CW3868" t="s">
        <v>120</v>
      </c>
      <c r="CX3868">
        <v>257</v>
      </c>
      <c r="CY3868">
        <v>0</v>
      </c>
      <c r="CZ3868" t="s">
        <v>615</v>
      </c>
      <c r="DA3868" t="s">
        <v>616</v>
      </c>
      <c r="DD3868">
        <v>16596382</v>
      </c>
      <c r="DE3868" t="s">
        <v>123</v>
      </c>
    </row>
    <row r="3869" spans="1:109" x14ac:dyDescent="0.3">
      <c r="A3869" t="str">
        <f>"19:39:34.070"</f>
        <v>19:39:34.070</v>
      </c>
      <c r="B3869" t="s">
        <v>110</v>
      </c>
      <c r="C3869" t="str">
        <f t="shared" si="180"/>
        <v>ffdfd3c0</v>
      </c>
      <c r="D3869" t="s">
        <v>111</v>
      </c>
      <c r="E3869">
        <v>18</v>
      </c>
      <c r="F3869">
        <v>1018</v>
      </c>
      <c r="G3869" t="s">
        <v>112</v>
      </c>
      <c r="J3869" t="s">
        <v>113</v>
      </c>
      <c r="K3869">
        <v>0</v>
      </c>
      <c r="L3869">
        <v>3</v>
      </c>
      <c r="M3869">
        <v>0</v>
      </c>
      <c r="N3869">
        <v>2</v>
      </c>
      <c r="O3869">
        <v>1</v>
      </c>
      <c r="P3869">
        <v>0</v>
      </c>
      <c r="Q3869">
        <v>0</v>
      </c>
      <c r="R3869" t="s">
        <v>114</v>
      </c>
      <c r="S3869" t="str">
        <f>"19:39:33.828"</f>
        <v>19:39:33.828</v>
      </c>
      <c r="T3869" t="str">
        <f>"19:39:33.328"</f>
        <v>19:39:33.328</v>
      </c>
      <c r="U3869" t="str">
        <f t="shared" si="181"/>
        <v>a1cdbe</v>
      </c>
      <c r="V3869">
        <v>0</v>
      </c>
      <c r="W3869">
        <v>0</v>
      </c>
      <c r="X3869">
        <v>2</v>
      </c>
      <c r="Y3869">
        <v>0</v>
      </c>
      <c r="Z3869">
        <v>0</v>
      </c>
      <c r="AB3869">
        <v>0</v>
      </c>
      <c r="AC3869">
        <v>9</v>
      </c>
      <c r="AD3869">
        <v>3</v>
      </c>
      <c r="AE3869">
        <v>0</v>
      </c>
      <c r="AF3869">
        <v>9</v>
      </c>
      <c r="AG3869" t="s">
        <v>158</v>
      </c>
      <c r="AH3869">
        <v>0</v>
      </c>
      <c r="AI3869">
        <v>3</v>
      </c>
      <c r="AJ3869">
        <v>1</v>
      </c>
      <c r="AK3869">
        <v>0</v>
      </c>
      <c r="AL3869" t="s">
        <v>7296</v>
      </c>
      <c r="AM3869">
        <v>47.055323000000001</v>
      </c>
      <c r="AN3869" t="s">
        <v>7297</v>
      </c>
      <c r="AO3869">
        <v>-123.98114200000001</v>
      </c>
      <c r="AP3869">
        <v>100</v>
      </c>
      <c r="AQ3869">
        <v>2100</v>
      </c>
      <c r="AR3869" t="s">
        <v>118</v>
      </c>
      <c r="AS3869">
        <v>-78</v>
      </c>
      <c r="AT3869">
        <v>23</v>
      </c>
      <c r="AU3869">
        <v>-64</v>
      </c>
      <c r="BC3869">
        <v>1200</v>
      </c>
      <c r="BD3869">
        <v>1</v>
      </c>
      <c r="BE3869" t="str">
        <f t="shared" si="182"/>
        <v xml:space="preserve">N215T   </v>
      </c>
      <c r="BF3869">
        <v>1</v>
      </c>
      <c r="BH3869">
        <v>0</v>
      </c>
      <c r="BI3869">
        <v>0</v>
      </c>
      <c r="BJ3869">
        <v>0</v>
      </c>
      <c r="BK3869">
        <v>2525</v>
      </c>
      <c r="BL3869">
        <v>425</v>
      </c>
      <c r="BM3869" t="s">
        <v>119</v>
      </c>
      <c r="BN3869">
        <v>1</v>
      </c>
      <c r="BO3869">
        <v>1</v>
      </c>
      <c r="BP3869">
        <v>1</v>
      </c>
      <c r="BQ3869">
        <v>0</v>
      </c>
      <c r="BT3869">
        <v>0</v>
      </c>
      <c r="BU3869">
        <v>0</v>
      </c>
      <c r="BV3869">
        <v>0</v>
      </c>
      <c r="CC3869" t="str">
        <f>"19:39:33.828"</f>
        <v>19:39:33.828</v>
      </c>
      <c r="CD3869" t="str">
        <f>"830391267"</f>
        <v>830391267</v>
      </c>
      <c r="CQ3869">
        <v>0</v>
      </c>
      <c r="CR3869">
        <v>2</v>
      </c>
      <c r="CS3869">
        <v>0</v>
      </c>
      <c r="CT3869">
        <v>2</v>
      </c>
      <c r="CU3869">
        <v>0</v>
      </c>
      <c r="CV3869">
        <v>3</v>
      </c>
      <c r="CW3869" t="s">
        <v>120</v>
      </c>
      <c r="CX3869">
        <v>257</v>
      </c>
      <c r="CY3869">
        <v>0</v>
      </c>
      <c r="CZ3869" t="s">
        <v>615</v>
      </c>
      <c r="DA3869" t="s">
        <v>616</v>
      </c>
      <c r="DD3869">
        <v>16596741</v>
      </c>
      <c r="DE3869" t="s">
        <v>123</v>
      </c>
    </row>
    <row r="3870" spans="1:109" x14ac:dyDescent="0.3">
      <c r="A3870" t="str">
        <f>"19:39:35.023"</f>
        <v>19:39:35.023</v>
      </c>
      <c r="B3870" t="s">
        <v>110</v>
      </c>
      <c r="C3870" t="str">
        <f t="shared" si="180"/>
        <v>ffdfd3c0</v>
      </c>
      <c r="D3870" t="s">
        <v>111</v>
      </c>
      <c r="E3870">
        <v>18</v>
      </c>
      <c r="F3870">
        <v>1018</v>
      </c>
      <c r="G3870" t="s">
        <v>112</v>
      </c>
      <c r="J3870" t="s">
        <v>113</v>
      </c>
      <c r="K3870">
        <v>0</v>
      </c>
      <c r="L3870">
        <v>3</v>
      </c>
      <c r="M3870">
        <v>0</v>
      </c>
      <c r="N3870">
        <v>2</v>
      </c>
      <c r="O3870">
        <v>1</v>
      </c>
      <c r="P3870">
        <v>0</v>
      </c>
      <c r="Q3870">
        <v>0</v>
      </c>
      <c r="R3870" t="s">
        <v>114</v>
      </c>
      <c r="S3870" t="str">
        <f>"19:39:34.742"</f>
        <v>19:39:34.742</v>
      </c>
      <c r="T3870" t="str">
        <f>"19:39:34.742"</f>
        <v>19:39:34.742</v>
      </c>
      <c r="U3870" t="str">
        <f t="shared" si="181"/>
        <v>a1cdbe</v>
      </c>
      <c r="V3870">
        <v>0</v>
      </c>
      <c r="W3870">
        <v>0</v>
      </c>
      <c r="X3870">
        <v>2</v>
      </c>
      <c r="Y3870">
        <v>0</v>
      </c>
      <c r="Z3870">
        <v>0</v>
      </c>
      <c r="AB3870">
        <v>0</v>
      </c>
      <c r="AC3870">
        <v>9</v>
      </c>
      <c r="AD3870">
        <v>3</v>
      </c>
      <c r="AE3870">
        <v>0</v>
      </c>
      <c r="AF3870">
        <v>9</v>
      </c>
      <c r="AG3870" t="s">
        <v>158</v>
      </c>
      <c r="AH3870">
        <v>0</v>
      </c>
      <c r="AI3870">
        <v>3</v>
      </c>
      <c r="AJ3870">
        <v>1</v>
      </c>
      <c r="AK3870">
        <v>0</v>
      </c>
      <c r="AL3870" t="s">
        <v>7298</v>
      </c>
      <c r="AM3870">
        <v>47.055452000000002</v>
      </c>
      <c r="AN3870" t="s">
        <v>7299</v>
      </c>
      <c r="AO3870">
        <v>-123.98161399999999</v>
      </c>
      <c r="AP3870">
        <v>100</v>
      </c>
      <c r="AQ3870">
        <v>2100</v>
      </c>
      <c r="AR3870" t="s">
        <v>118</v>
      </c>
      <c r="AS3870">
        <v>-78</v>
      </c>
      <c r="AT3870">
        <v>23</v>
      </c>
      <c r="AU3870">
        <v>-64</v>
      </c>
      <c r="BC3870">
        <v>1200</v>
      </c>
      <c r="BD3870">
        <v>1</v>
      </c>
      <c r="BE3870" t="str">
        <f t="shared" si="182"/>
        <v xml:space="preserve">N215T   </v>
      </c>
      <c r="BF3870">
        <v>1</v>
      </c>
      <c r="BH3870">
        <v>0</v>
      </c>
      <c r="BI3870">
        <v>0</v>
      </c>
      <c r="BJ3870">
        <v>0</v>
      </c>
      <c r="BK3870">
        <v>2525</v>
      </c>
      <c r="BL3870">
        <v>425</v>
      </c>
      <c r="BM3870" t="s">
        <v>119</v>
      </c>
      <c r="BN3870">
        <v>1</v>
      </c>
      <c r="BO3870">
        <v>1</v>
      </c>
      <c r="BP3870">
        <v>1</v>
      </c>
      <c r="BQ3870">
        <v>0</v>
      </c>
      <c r="BT3870">
        <v>0</v>
      </c>
      <c r="BU3870">
        <v>0</v>
      </c>
      <c r="BV3870">
        <v>0</v>
      </c>
      <c r="CC3870" t="str">
        <f>"19:39:34.742"</f>
        <v>19:39:34.742</v>
      </c>
      <c r="CD3870" t="str">
        <f>"745301158"</f>
        <v>745301158</v>
      </c>
      <c r="CQ3870">
        <v>0</v>
      </c>
      <c r="CR3870">
        <v>2</v>
      </c>
      <c r="CS3870">
        <v>0</v>
      </c>
      <c r="CT3870">
        <v>2</v>
      </c>
      <c r="CU3870">
        <v>0</v>
      </c>
      <c r="CV3870">
        <v>3</v>
      </c>
      <c r="CW3870" t="s">
        <v>120</v>
      </c>
      <c r="CX3870">
        <v>257</v>
      </c>
      <c r="CY3870">
        <v>0</v>
      </c>
      <c r="CZ3870" t="s">
        <v>615</v>
      </c>
      <c r="DA3870" t="s">
        <v>616</v>
      </c>
      <c r="DD3870">
        <v>16597024</v>
      </c>
      <c r="DE3870" t="s">
        <v>123</v>
      </c>
    </row>
    <row r="3871" spans="1:109" x14ac:dyDescent="0.3">
      <c r="A3871" t="str">
        <f>"19:39:35.930"</f>
        <v>19:39:35.930</v>
      </c>
      <c r="B3871" t="s">
        <v>110</v>
      </c>
      <c r="C3871" t="str">
        <f t="shared" si="180"/>
        <v>ffdfd3c0</v>
      </c>
      <c r="D3871" t="s">
        <v>111</v>
      </c>
      <c r="E3871">
        <v>18</v>
      </c>
      <c r="F3871">
        <v>1018</v>
      </c>
      <c r="G3871" t="s">
        <v>112</v>
      </c>
      <c r="J3871" t="s">
        <v>113</v>
      </c>
      <c r="K3871">
        <v>0</v>
      </c>
      <c r="L3871">
        <v>3</v>
      </c>
      <c r="M3871">
        <v>0</v>
      </c>
      <c r="N3871">
        <v>2</v>
      </c>
      <c r="O3871">
        <v>1</v>
      </c>
      <c r="P3871">
        <v>0</v>
      </c>
      <c r="Q3871">
        <v>0</v>
      </c>
      <c r="R3871" t="s">
        <v>114</v>
      </c>
      <c r="S3871" t="str">
        <f>"19:39:35.641"</f>
        <v>19:39:35.641</v>
      </c>
      <c r="T3871" t="str">
        <f>"19:39:35.641"</f>
        <v>19:39:35.641</v>
      </c>
      <c r="U3871" t="str">
        <f t="shared" si="181"/>
        <v>a1cdbe</v>
      </c>
      <c r="V3871">
        <v>0</v>
      </c>
      <c r="W3871">
        <v>0</v>
      </c>
      <c r="X3871">
        <v>2</v>
      </c>
      <c r="Y3871">
        <v>0</v>
      </c>
      <c r="Z3871">
        <v>0</v>
      </c>
      <c r="AB3871">
        <v>0</v>
      </c>
      <c r="AC3871">
        <v>9</v>
      </c>
      <c r="AD3871">
        <v>3</v>
      </c>
      <c r="AE3871">
        <v>0</v>
      </c>
      <c r="AF3871">
        <v>9</v>
      </c>
      <c r="AG3871" t="s">
        <v>158</v>
      </c>
      <c r="AH3871">
        <v>0</v>
      </c>
      <c r="AI3871">
        <v>3</v>
      </c>
      <c r="AJ3871">
        <v>1</v>
      </c>
      <c r="AK3871">
        <v>0</v>
      </c>
      <c r="AL3871" t="s">
        <v>7300</v>
      </c>
      <c r="AM3871">
        <v>47.055537999999999</v>
      </c>
      <c r="AN3871" t="s">
        <v>7301</v>
      </c>
      <c r="AO3871">
        <v>-123.982086</v>
      </c>
      <c r="AP3871">
        <v>100</v>
      </c>
      <c r="AQ3871">
        <v>2100</v>
      </c>
      <c r="AR3871" t="s">
        <v>118</v>
      </c>
      <c r="AS3871">
        <v>-79</v>
      </c>
      <c r="AT3871">
        <v>22</v>
      </c>
      <c r="AU3871">
        <v>0</v>
      </c>
      <c r="BC3871">
        <v>1200</v>
      </c>
      <c r="BD3871">
        <v>1</v>
      </c>
      <c r="BE3871" t="str">
        <f t="shared" si="182"/>
        <v xml:space="preserve">N215T   </v>
      </c>
      <c r="BF3871">
        <v>1</v>
      </c>
      <c r="BH3871">
        <v>0</v>
      </c>
      <c r="BI3871">
        <v>0</v>
      </c>
      <c r="BJ3871">
        <v>0</v>
      </c>
      <c r="BK3871">
        <v>2525</v>
      </c>
      <c r="BL3871">
        <v>425</v>
      </c>
      <c r="BM3871" t="s">
        <v>119</v>
      </c>
      <c r="BN3871">
        <v>1</v>
      </c>
      <c r="BO3871">
        <v>1</v>
      </c>
      <c r="BP3871">
        <v>1</v>
      </c>
      <c r="BQ3871">
        <v>0</v>
      </c>
      <c r="BT3871">
        <v>0</v>
      </c>
      <c r="BU3871">
        <v>0</v>
      </c>
      <c r="BV3871">
        <v>0</v>
      </c>
      <c r="CC3871" t="str">
        <f>"19:39:35.648"</f>
        <v>19:39:35.648</v>
      </c>
      <c r="CD3871" t="str">
        <f>"645212516"</f>
        <v>645212516</v>
      </c>
      <c r="CQ3871">
        <v>0</v>
      </c>
      <c r="CR3871">
        <v>2</v>
      </c>
      <c r="CS3871">
        <v>0</v>
      </c>
      <c r="CT3871">
        <v>2</v>
      </c>
      <c r="CU3871">
        <v>0</v>
      </c>
      <c r="CV3871">
        <v>4</v>
      </c>
      <c r="CW3871" t="s">
        <v>120</v>
      </c>
      <c r="CX3871">
        <v>257</v>
      </c>
      <c r="CY3871">
        <v>0</v>
      </c>
      <c r="CZ3871" t="s">
        <v>615</v>
      </c>
      <c r="DA3871" t="s">
        <v>616</v>
      </c>
      <c r="DD3871">
        <v>16597335</v>
      </c>
      <c r="DE3871" t="s">
        <v>123</v>
      </c>
    </row>
    <row r="3872" spans="1:109" x14ac:dyDescent="0.3">
      <c r="A3872" t="str">
        <f>"19:39:36.984"</f>
        <v>19:39:36.984</v>
      </c>
      <c r="B3872" t="s">
        <v>110</v>
      </c>
      <c r="C3872" t="str">
        <f t="shared" si="180"/>
        <v>ffdfd3c0</v>
      </c>
      <c r="D3872" t="s">
        <v>111</v>
      </c>
      <c r="E3872">
        <v>18</v>
      </c>
      <c r="F3872">
        <v>1018</v>
      </c>
      <c r="G3872" t="s">
        <v>112</v>
      </c>
      <c r="J3872" t="s">
        <v>113</v>
      </c>
      <c r="K3872">
        <v>0</v>
      </c>
      <c r="L3872">
        <v>3</v>
      </c>
      <c r="M3872">
        <v>0</v>
      </c>
      <c r="N3872">
        <v>2</v>
      </c>
      <c r="O3872">
        <v>1</v>
      </c>
      <c r="P3872">
        <v>0</v>
      </c>
      <c r="Q3872">
        <v>0</v>
      </c>
      <c r="R3872" t="s">
        <v>114</v>
      </c>
      <c r="S3872" t="str">
        <f>"19:39:36.734"</f>
        <v>19:39:36.734</v>
      </c>
      <c r="T3872" t="str">
        <f>"19:39:36.633"</f>
        <v>19:39:36.633</v>
      </c>
      <c r="U3872" t="str">
        <f t="shared" si="181"/>
        <v>a1cdbe</v>
      </c>
      <c r="V3872">
        <v>0</v>
      </c>
      <c r="W3872">
        <v>0</v>
      </c>
      <c r="X3872">
        <v>2</v>
      </c>
      <c r="Y3872">
        <v>0</v>
      </c>
      <c r="Z3872">
        <v>0</v>
      </c>
      <c r="AB3872">
        <v>0</v>
      </c>
      <c r="AC3872">
        <v>9</v>
      </c>
      <c r="AD3872">
        <v>3</v>
      </c>
      <c r="AE3872">
        <v>0</v>
      </c>
      <c r="AF3872">
        <v>9</v>
      </c>
      <c r="AG3872" t="s">
        <v>158</v>
      </c>
      <c r="AH3872">
        <v>0</v>
      </c>
      <c r="AI3872">
        <v>3</v>
      </c>
      <c r="AJ3872">
        <v>1</v>
      </c>
      <c r="AK3872">
        <v>0</v>
      </c>
      <c r="AL3872" t="s">
        <v>7302</v>
      </c>
      <c r="AM3872">
        <v>47.055644999999998</v>
      </c>
      <c r="AN3872" t="s">
        <v>7303</v>
      </c>
      <c r="AO3872">
        <v>-123.982687</v>
      </c>
      <c r="AP3872">
        <v>100</v>
      </c>
      <c r="AQ3872">
        <v>2100</v>
      </c>
      <c r="AR3872" t="s">
        <v>118</v>
      </c>
      <c r="AS3872">
        <v>-79</v>
      </c>
      <c r="AT3872">
        <v>22</v>
      </c>
      <c r="AU3872">
        <v>0</v>
      </c>
      <c r="BC3872">
        <v>1200</v>
      </c>
      <c r="BD3872">
        <v>1</v>
      </c>
      <c r="BE3872" t="str">
        <f t="shared" si="182"/>
        <v xml:space="preserve">N215T   </v>
      </c>
      <c r="BF3872">
        <v>1</v>
      </c>
      <c r="BH3872">
        <v>0</v>
      </c>
      <c r="BI3872">
        <v>0</v>
      </c>
      <c r="BJ3872">
        <v>0</v>
      </c>
      <c r="BK3872">
        <v>2525</v>
      </c>
      <c r="BL3872">
        <v>425</v>
      </c>
      <c r="BM3872" t="s">
        <v>119</v>
      </c>
      <c r="BN3872">
        <v>1</v>
      </c>
      <c r="BO3872">
        <v>1</v>
      </c>
      <c r="BP3872">
        <v>1</v>
      </c>
      <c r="BQ3872">
        <v>0</v>
      </c>
      <c r="BT3872">
        <v>0</v>
      </c>
      <c r="BU3872">
        <v>0</v>
      </c>
      <c r="BV3872">
        <v>0</v>
      </c>
      <c r="CC3872" t="str">
        <f>"19:39:36.742"</f>
        <v>19:39:36.742</v>
      </c>
      <c r="CD3872" t="str">
        <f>"740104675"</f>
        <v>740104675</v>
      </c>
      <c r="CQ3872">
        <v>0</v>
      </c>
      <c r="CR3872">
        <v>2</v>
      </c>
      <c r="CS3872">
        <v>0</v>
      </c>
      <c r="CT3872">
        <v>2</v>
      </c>
      <c r="CU3872">
        <v>0</v>
      </c>
      <c r="CV3872">
        <v>5</v>
      </c>
      <c r="CW3872" t="s">
        <v>120</v>
      </c>
      <c r="CX3872">
        <v>257</v>
      </c>
      <c r="CY3872">
        <v>0</v>
      </c>
      <c r="CZ3872" t="s">
        <v>615</v>
      </c>
      <c r="DA3872" t="s">
        <v>616</v>
      </c>
      <c r="DD3872">
        <v>16597717</v>
      </c>
      <c r="DE3872" t="s">
        <v>123</v>
      </c>
    </row>
    <row r="3873" spans="1:109" x14ac:dyDescent="0.3">
      <c r="A3873" t="str">
        <f>"19:39:38.039"</f>
        <v>19:39:38.039</v>
      </c>
      <c r="B3873" t="s">
        <v>110</v>
      </c>
      <c r="C3873" t="str">
        <f t="shared" si="180"/>
        <v>ffdfd3c0</v>
      </c>
      <c r="D3873" t="s">
        <v>111</v>
      </c>
      <c r="E3873">
        <v>18</v>
      </c>
      <c r="F3873">
        <v>1018</v>
      </c>
      <c r="G3873" t="s">
        <v>112</v>
      </c>
      <c r="J3873" t="s">
        <v>113</v>
      </c>
      <c r="K3873">
        <v>0</v>
      </c>
      <c r="L3873">
        <v>3</v>
      </c>
      <c r="M3873">
        <v>0</v>
      </c>
      <c r="N3873">
        <v>2</v>
      </c>
      <c r="O3873">
        <v>1</v>
      </c>
      <c r="P3873">
        <v>0</v>
      </c>
      <c r="Q3873">
        <v>0</v>
      </c>
      <c r="R3873" t="s">
        <v>114</v>
      </c>
      <c r="S3873" t="str">
        <f>"19:39:37.828"</f>
        <v>19:39:37.828</v>
      </c>
      <c r="T3873" t="str">
        <f>"19:39:37.727"</f>
        <v>19:39:37.727</v>
      </c>
      <c r="U3873" t="str">
        <f t="shared" si="181"/>
        <v>a1cdbe</v>
      </c>
      <c r="V3873">
        <v>0</v>
      </c>
      <c r="W3873">
        <v>0</v>
      </c>
      <c r="X3873">
        <v>2</v>
      </c>
      <c r="Y3873">
        <v>0</v>
      </c>
      <c r="Z3873">
        <v>0</v>
      </c>
      <c r="AB3873">
        <v>0</v>
      </c>
      <c r="AC3873">
        <v>9</v>
      </c>
      <c r="AD3873">
        <v>3</v>
      </c>
      <c r="AE3873">
        <v>0</v>
      </c>
      <c r="AF3873">
        <v>9</v>
      </c>
      <c r="AG3873" t="s">
        <v>158</v>
      </c>
      <c r="AH3873">
        <v>0</v>
      </c>
      <c r="AI3873">
        <v>3</v>
      </c>
      <c r="AJ3873">
        <v>1</v>
      </c>
      <c r="AK3873">
        <v>0</v>
      </c>
      <c r="AL3873" t="s">
        <v>7304</v>
      </c>
      <c r="AM3873">
        <v>47.055751999999998</v>
      </c>
      <c r="AN3873" t="s">
        <v>7305</v>
      </c>
      <c r="AO3873">
        <v>-123.983245</v>
      </c>
      <c r="AP3873">
        <v>100</v>
      </c>
      <c r="AQ3873">
        <v>2100</v>
      </c>
      <c r="AR3873" t="s">
        <v>118</v>
      </c>
      <c r="AS3873">
        <v>-79</v>
      </c>
      <c r="AT3873">
        <v>22</v>
      </c>
      <c r="AU3873">
        <v>0</v>
      </c>
      <c r="BC3873">
        <v>1200</v>
      </c>
      <c r="BD3873">
        <v>1</v>
      </c>
      <c r="BE3873" t="str">
        <f t="shared" si="182"/>
        <v xml:space="preserve">N215T   </v>
      </c>
      <c r="BF3873">
        <v>1</v>
      </c>
      <c r="BH3873">
        <v>0</v>
      </c>
      <c r="BI3873">
        <v>0</v>
      </c>
      <c r="BJ3873">
        <v>0</v>
      </c>
      <c r="BK3873">
        <v>2525</v>
      </c>
      <c r="BL3873">
        <v>425</v>
      </c>
      <c r="BM3873" t="s">
        <v>119</v>
      </c>
      <c r="BN3873">
        <v>1</v>
      </c>
      <c r="BO3873">
        <v>1</v>
      </c>
      <c r="BP3873">
        <v>1</v>
      </c>
      <c r="BQ3873">
        <v>0</v>
      </c>
      <c r="BT3873">
        <v>0</v>
      </c>
      <c r="BU3873">
        <v>0</v>
      </c>
      <c r="BV3873">
        <v>0</v>
      </c>
      <c r="CC3873" t="str">
        <f>"19:39:37.836"</f>
        <v>19:39:37.836</v>
      </c>
      <c r="CD3873" t="str">
        <f>"834996829"</f>
        <v>834996829</v>
      </c>
      <c r="CQ3873">
        <v>0</v>
      </c>
      <c r="CR3873">
        <v>2</v>
      </c>
      <c r="CS3873">
        <v>0</v>
      </c>
      <c r="CT3873">
        <v>2</v>
      </c>
      <c r="CU3873">
        <v>0</v>
      </c>
      <c r="CV3873">
        <v>4</v>
      </c>
      <c r="CW3873" t="s">
        <v>120</v>
      </c>
      <c r="CX3873">
        <v>257</v>
      </c>
      <c r="CY3873">
        <v>0</v>
      </c>
      <c r="CZ3873" t="s">
        <v>615</v>
      </c>
      <c r="DA3873" t="s">
        <v>616</v>
      </c>
      <c r="DD3873">
        <v>16598059</v>
      </c>
      <c r="DE3873" t="s">
        <v>123</v>
      </c>
    </row>
    <row r="3874" spans="1:109" x14ac:dyDescent="0.3">
      <c r="A3874" t="str">
        <f>"19:39:39.141"</f>
        <v>19:39:39.141</v>
      </c>
      <c r="B3874" t="s">
        <v>110</v>
      </c>
      <c r="C3874" t="str">
        <f t="shared" si="180"/>
        <v>ffdfd3c0</v>
      </c>
      <c r="D3874" t="s">
        <v>111</v>
      </c>
      <c r="E3874">
        <v>18</v>
      </c>
      <c r="F3874">
        <v>1018</v>
      </c>
      <c r="G3874" t="s">
        <v>112</v>
      </c>
      <c r="J3874" t="s">
        <v>113</v>
      </c>
      <c r="K3874">
        <v>0</v>
      </c>
      <c r="L3874">
        <v>3</v>
      </c>
      <c r="M3874">
        <v>0</v>
      </c>
      <c r="N3874">
        <v>2</v>
      </c>
      <c r="O3874">
        <v>1</v>
      </c>
      <c r="P3874">
        <v>0</v>
      </c>
      <c r="Q3874">
        <v>0</v>
      </c>
      <c r="R3874" t="s">
        <v>114</v>
      </c>
      <c r="S3874" t="str">
        <f>"19:39:38.898"</f>
        <v>19:39:38.898</v>
      </c>
      <c r="T3874" t="str">
        <f>"19:39:38.195"</f>
        <v>19:39:38.195</v>
      </c>
      <c r="U3874" t="str">
        <f t="shared" si="181"/>
        <v>a1cdbe</v>
      </c>
      <c r="V3874">
        <v>0</v>
      </c>
      <c r="W3874">
        <v>0</v>
      </c>
      <c r="X3874">
        <v>2</v>
      </c>
      <c r="Y3874">
        <v>0</v>
      </c>
      <c r="Z3874">
        <v>0</v>
      </c>
      <c r="AB3874">
        <v>0</v>
      </c>
      <c r="AC3874">
        <v>9</v>
      </c>
      <c r="AD3874">
        <v>3</v>
      </c>
      <c r="AE3874">
        <v>0</v>
      </c>
      <c r="AF3874">
        <v>9</v>
      </c>
      <c r="AG3874" t="s">
        <v>158</v>
      </c>
      <c r="AH3874">
        <v>0</v>
      </c>
      <c r="AI3874">
        <v>3</v>
      </c>
      <c r="AJ3874">
        <v>1</v>
      </c>
      <c r="AK3874">
        <v>0</v>
      </c>
      <c r="AL3874" t="s">
        <v>7306</v>
      </c>
      <c r="AM3874">
        <v>47.055860000000003</v>
      </c>
      <c r="AN3874" t="s">
        <v>7307</v>
      </c>
      <c r="AO3874">
        <v>-123.983867</v>
      </c>
      <c r="AP3874">
        <v>100</v>
      </c>
      <c r="AQ3874">
        <v>2100</v>
      </c>
      <c r="AR3874" t="s">
        <v>118</v>
      </c>
      <c r="AS3874">
        <v>-79</v>
      </c>
      <c r="AT3874">
        <v>22</v>
      </c>
      <c r="AU3874">
        <v>0</v>
      </c>
      <c r="BC3874">
        <v>1200</v>
      </c>
      <c r="BD3874">
        <v>1</v>
      </c>
      <c r="BE3874" t="str">
        <f t="shared" si="182"/>
        <v xml:space="preserve">N215T   </v>
      </c>
      <c r="BF3874">
        <v>1</v>
      </c>
      <c r="BH3874">
        <v>0</v>
      </c>
      <c r="BI3874">
        <v>0</v>
      </c>
      <c r="BJ3874">
        <v>0</v>
      </c>
      <c r="BK3874">
        <v>2525</v>
      </c>
      <c r="BL3874">
        <v>425</v>
      </c>
      <c r="BM3874" t="s">
        <v>119</v>
      </c>
      <c r="BN3874">
        <v>1</v>
      </c>
      <c r="BO3874">
        <v>1</v>
      </c>
      <c r="BP3874">
        <v>1</v>
      </c>
      <c r="BQ3874">
        <v>0</v>
      </c>
      <c r="BT3874">
        <v>0</v>
      </c>
      <c r="BU3874">
        <v>0</v>
      </c>
      <c r="BV3874">
        <v>0</v>
      </c>
      <c r="CC3874" t="str">
        <f>"19:39:38.898"</f>
        <v>19:39:38.898</v>
      </c>
      <c r="CD3874" t="str">
        <f>"899891953"</f>
        <v>899891953</v>
      </c>
      <c r="CQ3874">
        <v>0</v>
      </c>
      <c r="CR3874">
        <v>2</v>
      </c>
      <c r="CS3874">
        <v>0</v>
      </c>
      <c r="CT3874">
        <v>2</v>
      </c>
      <c r="CU3874">
        <v>0</v>
      </c>
      <c r="CV3874">
        <v>4</v>
      </c>
      <c r="CW3874" t="s">
        <v>120</v>
      </c>
      <c r="CX3874">
        <v>257</v>
      </c>
      <c r="CY3874">
        <v>0</v>
      </c>
      <c r="CZ3874" t="s">
        <v>615</v>
      </c>
      <c r="DA3874" t="s">
        <v>616</v>
      </c>
      <c r="DD3874">
        <v>16598391</v>
      </c>
      <c r="DE3874" t="s">
        <v>123</v>
      </c>
    </row>
    <row r="3875" spans="1:109" x14ac:dyDescent="0.3">
      <c r="A3875" t="str">
        <f>"19:39:40.250"</f>
        <v>19:39:40.250</v>
      </c>
      <c r="B3875" t="s">
        <v>110</v>
      </c>
      <c r="C3875" t="str">
        <f t="shared" si="180"/>
        <v>ffdfd3c0</v>
      </c>
      <c r="D3875" t="s">
        <v>111</v>
      </c>
      <c r="E3875">
        <v>18</v>
      </c>
      <c r="F3875">
        <v>1018</v>
      </c>
      <c r="G3875" t="s">
        <v>112</v>
      </c>
      <c r="J3875" t="s">
        <v>113</v>
      </c>
      <c r="K3875">
        <v>0</v>
      </c>
      <c r="L3875">
        <v>3</v>
      </c>
      <c r="M3875">
        <v>0</v>
      </c>
      <c r="N3875">
        <v>2</v>
      </c>
      <c r="O3875">
        <v>1</v>
      </c>
      <c r="P3875">
        <v>0</v>
      </c>
      <c r="Q3875">
        <v>0</v>
      </c>
      <c r="R3875" t="s">
        <v>114</v>
      </c>
      <c r="S3875" t="str">
        <f>"19:39:39.977"</f>
        <v>19:39:39.977</v>
      </c>
      <c r="T3875" t="str">
        <f>"19:39:39.875"</f>
        <v>19:39:39.875</v>
      </c>
      <c r="U3875" t="str">
        <f t="shared" si="181"/>
        <v>a1cdbe</v>
      </c>
      <c r="V3875">
        <v>0</v>
      </c>
      <c r="W3875">
        <v>0</v>
      </c>
      <c r="X3875">
        <v>2</v>
      </c>
      <c r="Y3875">
        <v>0</v>
      </c>
      <c r="Z3875">
        <v>0</v>
      </c>
      <c r="AB3875">
        <v>0</v>
      </c>
      <c r="AC3875">
        <v>9</v>
      </c>
      <c r="AD3875">
        <v>3</v>
      </c>
      <c r="AE3875">
        <v>0</v>
      </c>
      <c r="AF3875">
        <v>9</v>
      </c>
      <c r="AG3875" t="s">
        <v>158</v>
      </c>
      <c r="AH3875">
        <v>0</v>
      </c>
      <c r="AI3875">
        <v>3</v>
      </c>
      <c r="AJ3875">
        <v>1</v>
      </c>
      <c r="AK3875">
        <v>0</v>
      </c>
      <c r="AL3875" t="s">
        <v>531</v>
      </c>
      <c r="AM3875">
        <v>47.055945000000001</v>
      </c>
      <c r="AN3875" t="s">
        <v>7308</v>
      </c>
      <c r="AO3875">
        <v>-123.984425</v>
      </c>
      <c r="AP3875">
        <v>100</v>
      </c>
      <c r="AQ3875">
        <v>2100</v>
      </c>
      <c r="AR3875" t="s">
        <v>118</v>
      </c>
      <c r="AS3875">
        <v>-79</v>
      </c>
      <c r="AT3875">
        <v>21</v>
      </c>
      <c r="AU3875">
        <v>64</v>
      </c>
      <c r="BC3875">
        <v>1200</v>
      </c>
      <c r="BD3875">
        <v>1</v>
      </c>
      <c r="BE3875" t="str">
        <f t="shared" si="182"/>
        <v xml:space="preserve">N215T   </v>
      </c>
      <c r="BF3875">
        <v>1</v>
      </c>
      <c r="BH3875">
        <v>0</v>
      </c>
      <c r="BI3875">
        <v>0</v>
      </c>
      <c r="BJ3875">
        <v>0</v>
      </c>
      <c r="BK3875">
        <v>2525</v>
      </c>
      <c r="BL3875">
        <v>425</v>
      </c>
      <c r="BM3875" t="s">
        <v>119</v>
      </c>
      <c r="BN3875">
        <v>1</v>
      </c>
      <c r="BO3875">
        <v>1</v>
      </c>
      <c r="BP3875">
        <v>1</v>
      </c>
      <c r="BQ3875">
        <v>0</v>
      </c>
      <c r="BT3875">
        <v>0</v>
      </c>
      <c r="BU3875">
        <v>0</v>
      </c>
      <c r="BV3875">
        <v>0</v>
      </c>
      <c r="CC3875" t="str">
        <f>"19:39:39.977"</f>
        <v>19:39:39.977</v>
      </c>
      <c r="CD3875" t="str">
        <f>"979785588"</f>
        <v>979785588</v>
      </c>
      <c r="CQ3875">
        <v>0</v>
      </c>
      <c r="CR3875">
        <v>2</v>
      </c>
      <c r="CS3875">
        <v>0</v>
      </c>
      <c r="CT3875">
        <v>2</v>
      </c>
      <c r="CU3875">
        <v>0</v>
      </c>
      <c r="CV3875">
        <v>4</v>
      </c>
      <c r="CW3875" t="s">
        <v>120</v>
      </c>
      <c r="CX3875">
        <v>257</v>
      </c>
      <c r="CY3875">
        <v>0</v>
      </c>
      <c r="CZ3875" t="s">
        <v>615</v>
      </c>
      <c r="DA3875" t="s">
        <v>616</v>
      </c>
      <c r="DD3875">
        <v>16598731</v>
      </c>
      <c r="DE3875" t="s">
        <v>123</v>
      </c>
    </row>
    <row r="3876" spans="1:109" x14ac:dyDescent="0.3">
      <c r="A3876" t="str">
        <f>"19:39:41.156"</f>
        <v>19:39:41.156</v>
      </c>
      <c r="B3876" t="s">
        <v>110</v>
      </c>
      <c r="C3876" t="str">
        <f t="shared" si="180"/>
        <v>ffdfd3c0</v>
      </c>
      <c r="D3876" t="s">
        <v>111</v>
      </c>
      <c r="E3876">
        <v>18</v>
      </c>
      <c r="F3876">
        <v>1018</v>
      </c>
      <c r="G3876" t="s">
        <v>112</v>
      </c>
      <c r="J3876" t="s">
        <v>113</v>
      </c>
      <c r="K3876">
        <v>0</v>
      </c>
      <c r="L3876">
        <v>3</v>
      </c>
      <c r="M3876">
        <v>0</v>
      </c>
      <c r="N3876">
        <v>2</v>
      </c>
      <c r="O3876">
        <v>1</v>
      </c>
      <c r="P3876">
        <v>0</v>
      </c>
      <c r="Q3876">
        <v>0</v>
      </c>
      <c r="R3876" t="s">
        <v>114</v>
      </c>
      <c r="S3876" t="str">
        <f>"19:39:40.906"</f>
        <v>19:39:40.906</v>
      </c>
      <c r="T3876" t="str">
        <f>"19:39:40.906"</f>
        <v>19:39:40.906</v>
      </c>
      <c r="U3876" t="str">
        <f t="shared" si="181"/>
        <v>a1cdbe</v>
      </c>
      <c r="V3876">
        <v>0</v>
      </c>
      <c r="W3876">
        <v>0</v>
      </c>
      <c r="X3876">
        <v>2</v>
      </c>
      <c r="Y3876">
        <v>0</v>
      </c>
      <c r="Z3876">
        <v>0</v>
      </c>
      <c r="AB3876">
        <v>0</v>
      </c>
      <c r="AC3876">
        <v>9</v>
      </c>
      <c r="AD3876">
        <v>3</v>
      </c>
      <c r="AE3876">
        <v>0</v>
      </c>
      <c r="AF3876">
        <v>9</v>
      </c>
      <c r="AG3876" t="s">
        <v>158</v>
      </c>
      <c r="AH3876">
        <v>0</v>
      </c>
      <c r="AI3876">
        <v>3</v>
      </c>
      <c r="AJ3876">
        <v>1</v>
      </c>
      <c r="AK3876">
        <v>0</v>
      </c>
      <c r="AL3876" t="s">
        <v>7309</v>
      </c>
      <c r="AM3876">
        <v>47.056052999999999</v>
      </c>
      <c r="AN3876" t="s">
        <v>7310</v>
      </c>
      <c r="AO3876">
        <v>-123.984897</v>
      </c>
      <c r="AP3876">
        <v>100</v>
      </c>
      <c r="AQ3876">
        <v>2100</v>
      </c>
      <c r="AR3876" t="s">
        <v>118</v>
      </c>
      <c r="AS3876">
        <v>-79</v>
      </c>
      <c r="AT3876">
        <v>21</v>
      </c>
      <c r="AU3876">
        <v>64</v>
      </c>
      <c r="BC3876">
        <v>1200</v>
      </c>
      <c r="BD3876">
        <v>1</v>
      </c>
      <c r="BE3876" t="str">
        <f t="shared" si="182"/>
        <v xml:space="preserve">N215T   </v>
      </c>
      <c r="BF3876">
        <v>1</v>
      </c>
      <c r="BH3876">
        <v>0</v>
      </c>
      <c r="BI3876">
        <v>0</v>
      </c>
      <c r="BJ3876">
        <v>0</v>
      </c>
      <c r="BK3876">
        <v>2525</v>
      </c>
      <c r="BL3876">
        <v>425</v>
      </c>
      <c r="BM3876" t="s">
        <v>119</v>
      </c>
      <c r="BN3876">
        <v>1</v>
      </c>
      <c r="BO3876">
        <v>1</v>
      </c>
      <c r="BP3876">
        <v>1</v>
      </c>
      <c r="BQ3876">
        <v>0</v>
      </c>
      <c r="BT3876">
        <v>0</v>
      </c>
      <c r="BU3876">
        <v>0</v>
      </c>
      <c r="BV3876">
        <v>0</v>
      </c>
      <c r="CC3876" t="str">
        <f>"19:39:40.906"</f>
        <v>19:39:40.906</v>
      </c>
      <c r="CD3876" t="str">
        <f>"909694014"</f>
        <v>909694014</v>
      </c>
      <c r="CQ3876">
        <v>0</v>
      </c>
      <c r="CR3876">
        <v>2</v>
      </c>
      <c r="CS3876">
        <v>0</v>
      </c>
      <c r="CT3876">
        <v>2</v>
      </c>
      <c r="CU3876">
        <v>0</v>
      </c>
      <c r="CV3876">
        <v>3</v>
      </c>
      <c r="CW3876" t="s">
        <v>120</v>
      </c>
      <c r="CX3876">
        <v>257</v>
      </c>
      <c r="CY3876">
        <v>0</v>
      </c>
      <c r="CZ3876" t="s">
        <v>615</v>
      </c>
      <c r="DA3876" t="s">
        <v>616</v>
      </c>
      <c r="DD3876">
        <v>16599041</v>
      </c>
      <c r="DE3876" t="s">
        <v>123</v>
      </c>
    </row>
    <row r="3877" spans="1:109" x14ac:dyDescent="0.3">
      <c r="A3877" t="str">
        <f>"19:39:42.016"</f>
        <v>19:39:42.016</v>
      </c>
      <c r="B3877" t="s">
        <v>110</v>
      </c>
      <c r="C3877" t="str">
        <f t="shared" si="180"/>
        <v>ffdfd3c0</v>
      </c>
      <c r="D3877" t="s">
        <v>111</v>
      </c>
      <c r="E3877">
        <v>18</v>
      </c>
      <c r="F3877">
        <v>1018</v>
      </c>
      <c r="G3877" t="s">
        <v>112</v>
      </c>
      <c r="J3877" t="s">
        <v>113</v>
      </c>
      <c r="K3877">
        <v>0</v>
      </c>
      <c r="L3877">
        <v>3</v>
      </c>
      <c r="M3877">
        <v>0</v>
      </c>
      <c r="N3877">
        <v>2</v>
      </c>
      <c r="O3877">
        <v>1</v>
      </c>
      <c r="P3877">
        <v>0</v>
      </c>
      <c r="Q3877">
        <v>0</v>
      </c>
      <c r="R3877" t="s">
        <v>114</v>
      </c>
      <c r="S3877" t="str">
        <f>"19:39:41.758"</f>
        <v>19:39:41.758</v>
      </c>
      <c r="T3877" t="str">
        <f>"19:39:41.359"</f>
        <v>19:39:41.359</v>
      </c>
      <c r="U3877" t="str">
        <f t="shared" si="181"/>
        <v>a1cdbe</v>
      </c>
      <c r="V3877">
        <v>0</v>
      </c>
      <c r="W3877">
        <v>0</v>
      </c>
      <c r="X3877">
        <v>2</v>
      </c>
      <c r="Y3877">
        <v>0</v>
      </c>
      <c r="Z3877">
        <v>0</v>
      </c>
      <c r="AB3877">
        <v>0</v>
      </c>
      <c r="AC3877">
        <v>9</v>
      </c>
      <c r="AD3877">
        <v>3</v>
      </c>
      <c r="AE3877">
        <v>0</v>
      </c>
      <c r="AF3877">
        <v>9</v>
      </c>
      <c r="AG3877" t="s">
        <v>158</v>
      </c>
      <c r="AH3877">
        <v>0</v>
      </c>
      <c r="AI3877">
        <v>3</v>
      </c>
      <c r="AJ3877">
        <v>1</v>
      </c>
      <c r="AK3877">
        <v>0</v>
      </c>
      <c r="AL3877" t="s">
        <v>7311</v>
      </c>
      <c r="AM3877">
        <v>47.056117</v>
      </c>
      <c r="AN3877" t="s">
        <v>7312</v>
      </c>
      <c r="AO3877">
        <v>-123.98536900000001</v>
      </c>
      <c r="AP3877">
        <v>100</v>
      </c>
      <c r="AQ3877">
        <v>2100</v>
      </c>
      <c r="AR3877" t="s">
        <v>118</v>
      </c>
      <c r="AS3877">
        <v>-79</v>
      </c>
      <c r="AT3877">
        <v>21</v>
      </c>
      <c r="AU3877">
        <v>64</v>
      </c>
      <c r="BC3877">
        <v>1200</v>
      </c>
      <c r="BD3877">
        <v>1</v>
      </c>
      <c r="BE3877" t="str">
        <f t="shared" si="182"/>
        <v xml:space="preserve">N215T   </v>
      </c>
      <c r="BF3877">
        <v>1</v>
      </c>
      <c r="BH3877">
        <v>0</v>
      </c>
      <c r="BI3877">
        <v>0</v>
      </c>
      <c r="BJ3877">
        <v>0</v>
      </c>
      <c r="BK3877">
        <v>2525</v>
      </c>
      <c r="BL3877">
        <v>425</v>
      </c>
      <c r="BM3877" t="s">
        <v>119</v>
      </c>
      <c r="BN3877">
        <v>1</v>
      </c>
      <c r="BO3877">
        <v>1</v>
      </c>
      <c r="BP3877">
        <v>1</v>
      </c>
      <c r="BQ3877">
        <v>0</v>
      </c>
      <c r="BT3877">
        <v>0</v>
      </c>
      <c r="BU3877">
        <v>0</v>
      </c>
      <c r="BV3877">
        <v>0</v>
      </c>
      <c r="CC3877" t="str">
        <f>"19:39:41.766"</f>
        <v>19:39:41.766</v>
      </c>
      <c r="CD3877" t="str">
        <f>"764609785"</f>
        <v>764609785</v>
      </c>
      <c r="CQ3877">
        <v>0</v>
      </c>
      <c r="CR3877">
        <v>2</v>
      </c>
      <c r="CS3877">
        <v>0</v>
      </c>
      <c r="CT3877">
        <v>2</v>
      </c>
      <c r="CU3877">
        <v>0</v>
      </c>
      <c r="CV3877">
        <v>4</v>
      </c>
      <c r="CW3877" t="s">
        <v>120</v>
      </c>
      <c r="CX3877">
        <v>257</v>
      </c>
      <c r="CY3877">
        <v>0</v>
      </c>
      <c r="CZ3877" t="s">
        <v>615</v>
      </c>
      <c r="DA3877" t="s">
        <v>616</v>
      </c>
      <c r="DD3877">
        <v>16599301</v>
      </c>
      <c r="DE3877" t="s">
        <v>123</v>
      </c>
    </row>
    <row r="3878" spans="1:109" x14ac:dyDescent="0.3">
      <c r="A3878" t="str">
        <f>"19:39:43.570"</f>
        <v>19:39:43.570</v>
      </c>
      <c r="B3878" t="s">
        <v>110</v>
      </c>
      <c r="C3878" t="str">
        <f t="shared" si="180"/>
        <v>ffdfd3c0</v>
      </c>
      <c r="D3878" t="s">
        <v>111</v>
      </c>
      <c r="E3878">
        <v>18</v>
      </c>
      <c r="F3878">
        <v>1018</v>
      </c>
      <c r="G3878" t="s">
        <v>112</v>
      </c>
      <c r="J3878" t="s">
        <v>113</v>
      </c>
      <c r="K3878">
        <v>0</v>
      </c>
      <c r="L3878">
        <v>3</v>
      </c>
      <c r="M3878">
        <v>0</v>
      </c>
      <c r="N3878">
        <v>2</v>
      </c>
      <c r="O3878">
        <v>1</v>
      </c>
      <c r="P3878">
        <v>0</v>
      </c>
      <c r="Q3878">
        <v>0</v>
      </c>
      <c r="R3878" t="s">
        <v>114</v>
      </c>
      <c r="S3878" t="str">
        <f>"19:39:43.305"</f>
        <v>19:39:43.305</v>
      </c>
      <c r="T3878" t="str">
        <f>"19:39:43.305"</f>
        <v>19:39:43.305</v>
      </c>
      <c r="U3878" t="str">
        <f t="shared" si="181"/>
        <v>a1cdbe</v>
      </c>
      <c r="V3878">
        <v>0</v>
      </c>
      <c r="W3878">
        <v>0</v>
      </c>
      <c r="X3878">
        <v>2</v>
      </c>
      <c r="Y3878">
        <v>0</v>
      </c>
      <c r="Z3878">
        <v>0</v>
      </c>
      <c r="AB3878">
        <v>0</v>
      </c>
      <c r="AC3878">
        <v>9</v>
      </c>
      <c r="AD3878">
        <v>3</v>
      </c>
      <c r="AE3878">
        <v>0</v>
      </c>
      <c r="AF3878">
        <v>9</v>
      </c>
      <c r="AG3878" t="s">
        <v>158</v>
      </c>
      <c r="AH3878">
        <v>0</v>
      </c>
      <c r="AI3878">
        <v>3</v>
      </c>
      <c r="AJ3878">
        <v>1</v>
      </c>
      <c r="AK3878">
        <v>0</v>
      </c>
      <c r="AL3878" t="s">
        <v>7313</v>
      </c>
      <c r="AM3878">
        <v>47.056266999999998</v>
      </c>
      <c r="AN3878" t="s">
        <v>7314</v>
      </c>
      <c r="AO3878">
        <v>-123.986206</v>
      </c>
      <c r="AP3878">
        <v>100</v>
      </c>
      <c r="AQ3878">
        <v>2200</v>
      </c>
      <c r="AR3878" t="s">
        <v>118</v>
      </c>
      <c r="AS3878">
        <v>-78</v>
      </c>
      <c r="AT3878">
        <v>21</v>
      </c>
      <c r="AU3878">
        <v>128</v>
      </c>
      <c r="BC3878">
        <v>1200</v>
      </c>
      <c r="BD3878">
        <v>1</v>
      </c>
      <c r="BE3878" t="str">
        <f t="shared" si="182"/>
        <v xml:space="preserve">N215T   </v>
      </c>
      <c r="BF3878">
        <v>1</v>
      </c>
      <c r="BH3878">
        <v>0</v>
      </c>
      <c r="BI3878">
        <v>0</v>
      </c>
      <c r="BJ3878">
        <v>0</v>
      </c>
      <c r="BK3878">
        <v>2425</v>
      </c>
      <c r="BL3878">
        <v>225</v>
      </c>
      <c r="BM3878" t="s">
        <v>119</v>
      </c>
      <c r="BN3878">
        <v>1</v>
      </c>
      <c r="BO3878">
        <v>1</v>
      </c>
      <c r="BP3878">
        <v>1</v>
      </c>
      <c r="BQ3878">
        <v>0</v>
      </c>
      <c r="BT3878">
        <v>0</v>
      </c>
      <c r="BU3878">
        <v>0</v>
      </c>
      <c r="BV3878">
        <v>0</v>
      </c>
      <c r="CC3878" t="str">
        <f>"19:39:43.313"</f>
        <v>19:39:43.313</v>
      </c>
      <c r="CD3878" t="str">
        <f>"309457625"</f>
        <v>309457625</v>
      </c>
      <c r="CQ3878">
        <v>0</v>
      </c>
      <c r="CR3878">
        <v>2</v>
      </c>
      <c r="CS3878">
        <v>0</v>
      </c>
      <c r="CT3878">
        <v>2</v>
      </c>
      <c r="CU3878">
        <v>0</v>
      </c>
      <c r="CV3878">
        <v>4</v>
      </c>
      <c r="CW3878" t="s">
        <v>120</v>
      </c>
      <c r="CX3878">
        <v>257</v>
      </c>
      <c r="CY3878">
        <v>0</v>
      </c>
      <c r="CZ3878" t="s">
        <v>615</v>
      </c>
      <c r="DA3878" t="s">
        <v>616</v>
      </c>
      <c r="DD3878">
        <v>16599803</v>
      </c>
      <c r="DE3878" t="s">
        <v>123</v>
      </c>
    </row>
    <row r="3879" spans="1:109" x14ac:dyDescent="0.3">
      <c r="A3879" t="str">
        <f>"19:39:44.625"</f>
        <v>19:39:44.625</v>
      </c>
      <c r="B3879" t="s">
        <v>110</v>
      </c>
      <c r="C3879" t="str">
        <f t="shared" si="180"/>
        <v>ffdfd3c0</v>
      </c>
      <c r="D3879" t="s">
        <v>111</v>
      </c>
      <c r="E3879">
        <v>18</v>
      </c>
      <c r="F3879">
        <v>1018</v>
      </c>
      <c r="G3879" t="s">
        <v>112</v>
      </c>
      <c r="J3879" t="s">
        <v>113</v>
      </c>
      <c r="K3879">
        <v>0</v>
      </c>
      <c r="L3879">
        <v>3</v>
      </c>
      <c r="M3879">
        <v>0</v>
      </c>
      <c r="N3879">
        <v>2</v>
      </c>
      <c r="O3879">
        <v>1</v>
      </c>
      <c r="P3879">
        <v>0</v>
      </c>
      <c r="Q3879">
        <v>0</v>
      </c>
      <c r="R3879" t="s">
        <v>114</v>
      </c>
      <c r="S3879" t="str">
        <f>"19:39:44.367"</f>
        <v>19:39:44.367</v>
      </c>
      <c r="T3879" t="str">
        <f>"19:39:44.164"</f>
        <v>19:39:44.164</v>
      </c>
      <c r="U3879" t="str">
        <f t="shared" si="181"/>
        <v>a1cdbe</v>
      </c>
      <c r="V3879">
        <v>0</v>
      </c>
      <c r="W3879">
        <v>0</v>
      </c>
      <c r="X3879">
        <v>2</v>
      </c>
      <c r="Y3879">
        <v>0</v>
      </c>
      <c r="Z3879">
        <v>0</v>
      </c>
      <c r="AB3879">
        <v>0</v>
      </c>
      <c r="AC3879">
        <v>9</v>
      </c>
      <c r="AD3879">
        <v>3</v>
      </c>
      <c r="AE3879">
        <v>0</v>
      </c>
      <c r="AF3879">
        <v>9</v>
      </c>
      <c r="AG3879" t="s">
        <v>158</v>
      </c>
      <c r="AH3879">
        <v>0</v>
      </c>
      <c r="AI3879">
        <v>3</v>
      </c>
      <c r="AJ3879">
        <v>1</v>
      </c>
      <c r="AK3879">
        <v>0</v>
      </c>
      <c r="AL3879" t="s">
        <v>7315</v>
      </c>
      <c r="AM3879">
        <v>47.056417000000003</v>
      </c>
      <c r="AN3879" t="s">
        <v>7316</v>
      </c>
      <c r="AO3879">
        <v>-123.98676399999999</v>
      </c>
      <c r="AP3879">
        <v>100</v>
      </c>
      <c r="AQ3879">
        <v>2200</v>
      </c>
      <c r="AR3879" t="s">
        <v>118</v>
      </c>
      <c r="AS3879">
        <v>-78</v>
      </c>
      <c r="AT3879">
        <v>22</v>
      </c>
      <c r="AU3879">
        <v>128</v>
      </c>
      <c r="BC3879">
        <v>1200</v>
      </c>
      <c r="BD3879">
        <v>1</v>
      </c>
      <c r="BE3879" t="str">
        <f t="shared" si="182"/>
        <v xml:space="preserve">N215T   </v>
      </c>
      <c r="BF3879">
        <v>1</v>
      </c>
      <c r="BH3879">
        <v>0</v>
      </c>
      <c r="BI3879">
        <v>0</v>
      </c>
      <c r="BJ3879">
        <v>0</v>
      </c>
      <c r="BK3879">
        <v>2525</v>
      </c>
      <c r="BL3879">
        <v>325</v>
      </c>
      <c r="BM3879" t="s">
        <v>119</v>
      </c>
      <c r="BN3879">
        <v>1</v>
      </c>
      <c r="BO3879">
        <v>1</v>
      </c>
      <c r="BP3879">
        <v>1</v>
      </c>
      <c r="BQ3879">
        <v>0</v>
      </c>
      <c r="BT3879">
        <v>0</v>
      </c>
      <c r="BU3879">
        <v>0</v>
      </c>
      <c r="BV3879">
        <v>0</v>
      </c>
      <c r="CC3879" t="str">
        <f>"19:39:44.375"</f>
        <v>19:39:44.375</v>
      </c>
      <c r="CD3879" t="str">
        <f>"374352729"</f>
        <v>374352729</v>
      </c>
      <c r="CQ3879">
        <v>0</v>
      </c>
      <c r="CR3879">
        <v>2</v>
      </c>
      <c r="CS3879">
        <v>0</v>
      </c>
      <c r="CT3879">
        <v>2</v>
      </c>
      <c r="CU3879">
        <v>0</v>
      </c>
      <c r="CV3879">
        <v>3</v>
      </c>
      <c r="CW3879" t="s">
        <v>120</v>
      </c>
      <c r="CX3879">
        <v>257</v>
      </c>
      <c r="CY3879">
        <v>0</v>
      </c>
      <c r="CZ3879" t="s">
        <v>615</v>
      </c>
      <c r="DA3879" t="s">
        <v>616</v>
      </c>
      <c r="DD3879">
        <v>16600129</v>
      </c>
      <c r="DE3879" t="s">
        <v>123</v>
      </c>
    </row>
    <row r="3880" spans="1:109" x14ac:dyDescent="0.3">
      <c r="A3880" t="str">
        <f>"19:39:45.625"</f>
        <v>19:39:45.625</v>
      </c>
      <c r="B3880" t="s">
        <v>110</v>
      </c>
      <c r="C3880" t="str">
        <f t="shared" si="180"/>
        <v>ffdfd3c0</v>
      </c>
      <c r="D3880" t="s">
        <v>111</v>
      </c>
      <c r="E3880">
        <v>18</v>
      </c>
      <c r="F3880">
        <v>1018</v>
      </c>
      <c r="G3880" t="s">
        <v>112</v>
      </c>
      <c r="J3880" t="s">
        <v>113</v>
      </c>
      <c r="K3880">
        <v>0</v>
      </c>
      <c r="L3880">
        <v>3</v>
      </c>
      <c r="M3880">
        <v>0</v>
      </c>
      <c r="N3880">
        <v>2</v>
      </c>
      <c r="O3880">
        <v>1</v>
      </c>
      <c r="P3880">
        <v>0</v>
      </c>
      <c r="Q3880">
        <v>0</v>
      </c>
      <c r="R3880" t="s">
        <v>114</v>
      </c>
      <c r="S3880" t="str">
        <f>"19:39:45.359"</f>
        <v>19:39:45.359</v>
      </c>
      <c r="T3880" t="str">
        <f>"19:39:45.258"</f>
        <v>19:39:45.258</v>
      </c>
      <c r="U3880" t="str">
        <f t="shared" si="181"/>
        <v>a1cdbe</v>
      </c>
      <c r="V3880">
        <v>0</v>
      </c>
      <c r="W3880">
        <v>0</v>
      </c>
      <c r="X3880">
        <v>2</v>
      </c>
      <c r="Y3880">
        <v>0</v>
      </c>
      <c r="Z3880">
        <v>0</v>
      </c>
      <c r="AB3880">
        <v>0</v>
      </c>
      <c r="AC3880">
        <v>9</v>
      </c>
      <c r="AD3880">
        <v>3</v>
      </c>
      <c r="AE3880">
        <v>0</v>
      </c>
      <c r="AF3880">
        <v>9</v>
      </c>
      <c r="AG3880" t="s">
        <v>158</v>
      </c>
      <c r="AH3880">
        <v>0</v>
      </c>
      <c r="AI3880">
        <v>3</v>
      </c>
      <c r="AJ3880">
        <v>1</v>
      </c>
      <c r="AK3880">
        <v>0</v>
      </c>
      <c r="AL3880" t="s">
        <v>7317</v>
      </c>
      <c r="AM3880">
        <v>47.056482000000003</v>
      </c>
      <c r="AN3880" t="s">
        <v>7318</v>
      </c>
      <c r="AO3880">
        <v>-123.987257</v>
      </c>
      <c r="AP3880">
        <v>100</v>
      </c>
      <c r="AQ3880">
        <v>2200</v>
      </c>
      <c r="AR3880" t="s">
        <v>118</v>
      </c>
      <c r="AS3880">
        <v>-78</v>
      </c>
      <c r="AT3880">
        <v>22</v>
      </c>
      <c r="AU3880">
        <v>128</v>
      </c>
      <c r="BC3880">
        <v>1200</v>
      </c>
      <c r="BD3880">
        <v>1</v>
      </c>
      <c r="BE3880" t="str">
        <f t="shared" si="182"/>
        <v xml:space="preserve">N215T   </v>
      </c>
      <c r="BF3880">
        <v>1</v>
      </c>
      <c r="BH3880">
        <v>0</v>
      </c>
      <c r="BI3880">
        <v>0</v>
      </c>
      <c r="BJ3880">
        <v>0</v>
      </c>
      <c r="BK3880">
        <v>2525</v>
      </c>
      <c r="BL3880">
        <v>325</v>
      </c>
      <c r="BM3880" t="s">
        <v>119</v>
      </c>
      <c r="BN3880">
        <v>1</v>
      </c>
      <c r="BO3880">
        <v>1</v>
      </c>
      <c r="BP3880">
        <v>1</v>
      </c>
      <c r="BQ3880">
        <v>0</v>
      </c>
      <c r="BT3880">
        <v>0</v>
      </c>
      <c r="BU3880">
        <v>0</v>
      </c>
      <c r="BV3880">
        <v>0</v>
      </c>
      <c r="CC3880" t="str">
        <f>"19:39:45.367"</f>
        <v>19:39:45.367</v>
      </c>
      <c r="CD3880" t="str">
        <f>"364255266"</f>
        <v>364255266</v>
      </c>
      <c r="CQ3880">
        <v>0</v>
      </c>
      <c r="CR3880">
        <v>2</v>
      </c>
      <c r="CS3880">
        <v>0</v>
      </c>
      <c r="CT3880">
        <v>2</v>
      </c>
      <c r="CU3880">
        <v>0</v>
      </c>
      <c r="CV3880">
        <v>3</v>
      </c>
      <c r="CW3880" t="s">
        <v>120</v>
      </c>
      <c r="CX3880">
        <v>257</v>
      </c>
      <c r="CY3880">
        <v>0</v>
      </c>
      <c r="CZ3880" t="s">
        <v>615</v>
      </c>
      <c r="DA3880" t="s">
        <v>616</v>
      </c>
      <c r="DD3880">
        <v>16600482</v>
      </c>
      <c r="DE3880" t="s">
        <v>123</v>
      </c>
    </row>
    <row r="3881" spans="1:109" x14ac:dyDescent="0.3">
      <c r="A3881" t="str">
        <f>"19:39:46.484"</f>
        <v>19:39:46.484</v>
      </c>
      <c r="B3881" t="s">
        <v>110</v>
      </c>
      <c r="C3881" t="str">
        <f t="shared" si="180"/>
        <v>ffdfd3c0</v>
      </c>
      <c r="D3881" t="s">
        <v>111</v>
      </c>
      <c r="E3881">
        <v>18</v>
      </c>
      <c r="F3881">
        <v>1018</v>
      </c>
      <c r="G3881" t="s">
        <v>112</v>
      </c>
      <c r="J3881" t="s">
        <v>113</v>
      </c>
      <c r="K3881">
        <v>0</v>
      </c>
      <c r="L3881">
        <v>3</v>
      </c>
      <c r="M3881">
        <v>0</v>
      </c>
      <c r="N3881">
        <v>2</v>
      </c>
      <c r="O3881">
        <v>1</v>
      </c>
      <c r="P3881">
        <v>0</v>
      </c>
      <c r="Q3881">
        <v>0</v>
      </c>
      <c r="R3881" t="s">
        <v>114</v>
      </c>
      <c r="S3881" t="str">
        <f>"19:39:46.273"</f>
        <v>19:39:46.273</v>
      </c>
      <c r="T3881" t="str">
        <f>"19:39:45.875"</f>
        <v>19:39:45.875</v>
      </c>
      <c r="U3881" t="str">
        <f t="shared" si="181"/>
        <v>a1cdbe</v>
      </c>
      <c r="V3881">
        <v>0</v>
      </c>
      <c r="W3881">
        <v>0</v>
      </c>
      <c r="X3881">
        <v>2</v>
      </c>
      <c r="Y3881">
        <v>0</v>
      </c>
      <c r="Z3881">
        <v>0</v>
      </c>
      <c r="AB3881">
        <v>0</v>
      </c>
      <c r="AC3881">
        <v>9</v>
      </c>
      <c r="AD3881">
        <v>3</v>
      </c>
      <c r="AE3881">
        <v>0</v>
      </c>
      <c r="AF3881">
        <v>9</v>
      </c>
      <c r="AG3881" t="s">
        <v>158</v>
      </c>
      <c r="AH3881">
        <v>0</v>
      </c>
      <c r="AI3881">
        <v>3</v>
      </c>
      <c r="AJ3881">
        <v>1</v>
      </c>
      <c r="AK3881">
        <v>0</v>
      </c>
      <c r="AL3881" t="s">
        <v>7319</v>
      </c>
      <c r="AM3881">
        <v>47.056589000000002</v>
      </c>
      <c r="AN3881" t="s">
        <v>7320</v>
      </c>
      <c r="AO3881">
        <v>-123.987751</v>
      </c>
      <c r="AP3881">
        <v>100</v>
      </c>
      <c r="AQ3881">
        <v>2200</v>
      </c>
      <c r="AR3881" t="s">
        <v>118</v>
      </c>
      <c r="AS3881">
        <v>-78</v>
      </c>
      <c r="AT3881">
        <v>22</v>
      </c>
      <c r="AU3881">
        <v>128</v>
      </c>
      <c r="BC3881">
        <v>1200</v>
      </c>
      <c r="BD3881">
        <v>1</v>
      </c>
      <c r="BE3881" t="str">
        <f t="shared" si="182"/>
        <v xml:space="preserve">N215T   </v>
      </c>
      <c r="BF3881">
        <v>1</v>
      </c>
      <c r="BH3881">
        <v>0</v>
      </c>
      <c r="BI3881">
        <v>0</v>
      </c>
      <c r="BJ3881">
        <v>0</v>
      </c>
      <c r="BK3881">
        <v>2525</v>
      </c>
      <c r="BL3881">
        <v>325</v>
      </c>
      <c r="BM3881" t="s">
        <v>119</v>
      </c>
      <c r="BN3881">
        <v>1</v>
      </c>
      <c r="BO3881">
        <v>1</v>
      </c>
      <c r="BP3881">
        <v>1</v>
      </c>
      <c r="BQ3881">
        <v>0</v>
      </c>
      <c r="BT3881">
        <v>0</v>
      </c>
      <c r="BU3881">
        <v>0</v>
      </c>
      <c r="BV3881">
        <v>0</v>
      </c>
      <c r="CC3881" t="str">
        <f>"19:39:46.281"</f>
        <v>19:39:46.281</v>
      </c>
      <c r="CD3881" t="str">
        <f>"279165148"</f>
        <v>279165148</v>
      </c>
      <c r="CQ3881">
        <v>0</v>
      </c>
      <c r="CR3881">
        <v>2</v>
      </c>
      <c r="CS3881">
        <v>0</v>
      </c>
      <c r="CT3881">
        <v>2</v>
      </c>
      <c r="CU3881">
        <v>0</v>
      </c>
      <c r="CV3881">
        <v>2</v>
      </c>
      <c r="CW3881" t="s">
        <v>120</v>
      </c>
      <c r="CX3881">
        <v>257</v>
      </c>
      <c r="CY3881">
        <v>0</v>
      </c>
      <c r="CZ3881" t="s">
        <v>615</v>
      </c>
      <c r="DA3881" t="s">
        <v>616</v>
      </c>
      <c r="DD3881">
        <v>16600803</v>
      </c>
      <c r="DE3881" t="s">
        <v>123</v>
      </c>
    </row>
    <row r="3882" spans="1:109" x14ac:dyDescent="0.3">
      <c r="A3882" t="str">
        <f>"19:39:47.641"</f>
        <v>19:39:47.641</v>
      </c>
      <c r="B3882" t="s">
        <v>110</v>
      </c>
      <c r="C3882" t="str">
        <f t="shared" si="180"/>
        <v>ffdfd3c0</v>
      </c>
      <c r="D3882" t="s">
        <v>111</v>
      </c>
      <c r="E3882">
        <v>18</v>
      </c>
      <c r="F3882">
        <v>1018</v>
      </c>
      <c r="G3882" t="s">
        <v>112</v>
      </c>
      <c r="J3882" t="s">
        <v>113</v>
      </c>
      <c r="K3882">
        <v>0</v>
      </c>
      <c r="L3882">
        <v>3</v>
      </c>
      <c r="M3882">
        <v>0</v>
      </c>
      <c r="N3882">
        <v>2</v>
      </c>
      <c r="O3882">
        <v>1</v>
      </c>
      <c r="P3882">
        <v>0</v>
      </c>
      <c r="Q3882">
        <v>0</v>
      </c>
      <c r="R3882" t="s">
        <v>114</v>
      </c>
      <c r="S3882" t="str">
        <f>"19:39:47.398"</f>
        <v>19:39:47.398</v>
      </c>
      <c r="T3882" t="str">
        <f>"19:39:47.102"</f>
        <v>19:39:47.102</v>
      </c>
      <c r="U3882" t="str">
        <f t="shared" si="181"/>
        <v>a1cdbe</v>
      </c>
      <c r="V3882">
        <v>0</v>
      </c>
      <c r="W3882">
        <v>0</v>
      </c>
      <c r="X3882">
        <v>2</v>
      </c>
      <c r="Y3882">
        <v>0</v>
      </c>
      <c r="Z3882">
        <v>0</v>
      </c>
      <c r="AB3882">
        <v>0</v>
      </c>
      <c r="AC3882">
        <v>9</v>
      </c>
      <c r="AD3882">
        <v>3</v>
      </c>
      <c r="AE3882">
        <v>0</v>
      </c>
      <c r="AF3882">
        <v>9</v>
      </c>
      <c r="AG3882" t="s">
        <v>158</v>
      </c>
      <c r="AH3882">
        <v>0</v>
      </c>
      <c r="AI3882">
        <v>3</v>
      </c>
      <c r="AJ3882">
        <v>1</v>
      </c>
      <c r="AK3882">
        <v>0</v>
      </c>
      <c r="AL3882" t="s">
        <v>7321</v>
      </c>
      <c r="AM3882">
        <v>47.056717999999996</v>
      </c>
      <c r="AN3882" t="s">
        <v>7322</v>
      </c>
      <c r="AO3882">
        <v>-123.988309</v>
      </c>
      <c r="AP3882">
        <v>100</v>
      </c>
      <c r="AQ3882">
        <v>2200</v>
      </c>
      <c r="AR3882" t="s">
        <v>118</v>
      </c>
      <c r="AS3882">
        <v>-77</v>
      </c>
      <c r="AT3882">
        <v>23</v>
      </c>
      <c r="AU3882">
        <v>128</v>
      </c>
      <c r="BC3882">
        <v>1200</v>
      </c>
      <c r="BD3882">
        <v>1</v>
      </c>
      <c r="BE3882" t="str">
        <f t="shared" si="182"/>
        <v xml:space="preserve">N215T   </v>
      </c>
      <c r="BF3882">
        <v>1</v>
      </c>
      <c r="BH3882">
        <v>0</v>
      </c>
      <c r="BI3882">
        <v>0</v>
      </c>
      <c r="BJ3882">
        <v>0</v>
      </c>
      <c r="BK3882">
        <v>2525</v>
      </c>
      <c r="BL3882">
        <v>325</v>
      </c>
      <c r="BM3882" t="s">
        <v>119</v>
      </c>
      <c r="BN3882">
        <v>1</v>
      </c>
      <c r="BO3882">
        <v>1</v>
      </c>
      <c r="BP3882">
        <v>1</v>
      </c>
      <c r="BQ3882">
        <v>0</v>
      </c>
      <c r="BT3882">
        <v>0</v>
      </c>
      <c r="BU3882">
        <v>0</v>
      </c>
      <c r="BV3882">
        <v>0</v>
      </c>
      <c r="CC3882" t="str">
        <f>"19:39:47.406"</f>
        <v>19:39:47.406</v>
      </c>
      <c r="CD3882" t="str">
        <f>"404054401"</f>
        <v>404054401</v>
      </c>
      <c r="CQ3882">
        <v>0</v>
      </c>
      <c r="CR3882">
        <v>2</v>
      </c>
      <c r="CS3882">
        <v>0</v>
      </c>
      <c r="CT3882">
        <v>2</v>
      </c>
      <c r="CU3882">
        <v>0</v>
      </c>
      <c r="CV3882">
        <v>2</v>
      </c>
      <c r="CW3882" t="s">
        <v>120</v>
      </c>
      <c r="CX3882">
        <v>257</v>
      </c>
      <c r="CY3882">
        <v>0</v>
      </c>
      <c r="CZ3882" t="s">
        <v>615</v>
      </c>
      <c r="DA3882" t="s">
        <v>616</v>
      </c>
      <c r="DD3882">
        <v>16601135</v>
      </c>
      <c r="DE3882" t="s">
        <v>123</v>
      </c>
    </row>
    <row r="3883" spans="1:109" x14ac:dyDescent="0.3">
      <c r="A3883" t="str">
        <f>"19:39:48.641"</f>
        <v>19:39:48.641</v>
      </c>
      <c r="B3883" t="s">
        <v>110</v>
      </c>
      <c r="C3883" t="str">
        <f t="shared" si="180"/>
        <v>ffdfd3c0</v>
      </c>
      <c r="D3883" t="s">
        <v>111</v>
      </c>
      <c r="E3883">
        <v>18</v>
      </c>
      <c r="F3883">
        <v>1018</v>
      </c>
      <c r="G3883" t="s">
        <v>112</v>
      </c>
      <c r="J3883" t="s">
        <v>113</v>
      </c>
      <c r="K3883">
        <v>0</v>
      </c>
      <c r="L3883">
        <v>3</v>
      </c>
      <c r="M3883">
        <v>0</v>
      </c>
      <c r="N3883">
        <v>2</v>
      </c>
      <c r="O3883">
        <v>1</v>
      </c>
      <c r="P3883">
        <v>0</v>
      </c>
      <c r="Q3883">
        <v>0</v>
      </c>
      <c r="R3883" t="s">
        <v>114</v>
      </c>
      <c r="S3883" t="str">
        <f>"19:39:48.391"</f>
        <v>19:39:48.391</v>
      </c>
      <c r="T3883" t="str">
        <f>"19:39:47.992"</f>
        <v>19:39:47.992</v>
      </c>
      <c r="U3883" t="str">
        <f t="shared" si="181"/>
        <v>a1cdbe</v>
      </c>
      <c r="V3883">
        <v>0</v>
      </c>
      <c r="W3883">
        <v>0</v>
      </c>
      <c r="X3883">
        <v>2</v>
      </c>
      <c r="Y3883">
        <v>0</v>
      </c>
      <c r="Z3883">
        <v>0</v>
      </c>
      <c r="AB3883">
        <v>0</v>
      </c>
      <c r="AC3883">
        <v>9</v>
      </c>
      <c r="AD3883">
        <v>3</v>
      </c>
      <c r="AE3883">
        <v>0</v>
      </c>
      <c r="AF3883">
        <v>9</v>
      </c>
      <c r="AG3883" t="s">
        <v>158</v>
      </c>
      <c r="AH3883">
        <v>0</v>
      </c>
      <c r="AI3883">
        <v>3</v>
      </c>
      <c r="AJ3883">
        <v>1</v>
      </c>
      <c r="AK3883">
        <v>0</v>
      </c>
      <c r="AL3883" t="s">
        <v>7323</v>
      </c>
      <c r="AM3883">
        <v>47.056825000000003</v>
      </c>
      <c r="AN3883" t="s">
        <v>7324</v>
      </c>
      <c r="AO3883">
        <v>-123.988888</v>
      </c>
      <c r="AP3883">
        <v>100</v>
      </c>
      <c r="AQ3883">
        <v>2200</v>
      </c>
      <c r="AR3883" t="s">
        <v>118</v>
      </c>
      <c r="AS3883">
        <v>-77</v>
      </c>
      <c r="AT3883">
        <v>23</v>
      </c>
      <c r="AU3883">
        <v>128</v>
      </c>
      <c r="BC3883">
        <v>1200</v>
      </c>
      <c r="BD3883">
        <v>1</v>
      </c>
      <c r="BE3883" t="str">
        <f t="shared" si="182"/>
        <v xml:space="preserve">N215T   </v>
      </c>
      <c r="BF3883">
        <v>1</v>
      </c>
      <c r="BH3883">
        <v>0</v>
      </c>
      <c r="BI3883">
        <v>0</v>
      </c>
      <c r="BJ3883">
        <v>0</v>
      </c>
      <c r="BK3883">
        <v>2550</v>
      </c>
      <c r="BL3883">
        <v>350</v>
      </c>
      <c r="BM3883" t="s">
        <v>119</v>
      </c>
      <c r="BN3883">
        <v>1</v>
      </c>
      <c r="BO3883">
        <v>1</v>
      </c>
      <c r="BP3883">
        <v>1</v>
      </c>
      <c r="BQ3883">
        <v>0</v>
      </c>
      <c r="BT3883">
        <v>0</v>
      </c>
      <c r="BU3883">
        <v>0</v>
      </c>
      <c r="BV3883">
        <v>0</v>
      </c>
      <c r="CC3883" t="str">
        <f>"19:39:48.391"</f>
        <v>19:39:48.391</v>
      </c>
      <c r="CD3883" t="str">
        <f>"393956847"</f>
        <v>393956847</v>
      </c>
      <c r="CQ3883">
        <v>0</v>
      </c>
      <c r="CR3883">
        <v>2</v>
      </c>
      <c r="CS3883">
        <v>0</v>
      </c>
      <c r="CT3883">
        <v>2</v>
      </c>
      <c r="CU3883">
        <v>0</v>
      </c>
      <c r="CV3883">
        <v>4</v>
      </c>
      <c r="CW3883" t="s">
        <v>120</v>
      </c>
      <c r="CX3883">
        <v>257</v>
      </c>
      <c r="CY3883">
        <v>0</v>
      </c>
      <c r="CZ3883" t="s">
        <v>615</v>
      </c>
      <c r="DA3883" t="s">
        <v>616</v>
      </c>
      <c r="DD3883">
        <v>16601468</v>
      </c>
      <c r="DE3883" t="s">
        <v>123</v>
      </c>
    </row>
    <row r="3884" spans="1:109" x14ac:dyDescent="0.3">
      <c r="A3884" t="str">
        <f>"19:39:49.602"</f>
        <v>19:39:49.602</v>
      </c>
      <c r="B3884" t="s">
        <v>110</v>
      </c>
      <c r="C3884" t="str">
        <f t="shared" si="180"/>
        <v>ffdfd3c0</v>
      </c>
      <c r="D3884" t="s">
        <v>111</v>
      </c>
      <c r="E3884">
        <v>18</v>
      </c>
      <c r="F3884">
        <v>1018</v>
      </c>
      <c r="G3884" t="s">
        <v>112</v>
      </c>
      <c r="J3884" t="s">
        <v>113</v>
      </c>
      <c r="K3884">
        <v>0</v>
      </c>
      <c r="L3884">
        <v>3</v>
      </c>
      <c r="M3884">
        <v>0</v>
      </c>
      <c r="N3884">
        <v>2</v>
      </c>
      <c r="O3884">
        <v>1</v>
      </c>
      <c r="P3884">
        <v>0</v>
      </c>
      <c r="Q3884">
        <v>0</v>
      </c>
      <c r="R3884" t="s">
        <v>114</v>
      </c>
      <c r="S3884" t="str">
        <f>"19:39:49.367"</f>
        <v>19:39:49.367</v>
      </c>
      <c r="T3884" t="str">
        <f>"19:39:48.969"</f>
        <v>19:39:48.969</v>
      </c>
      <c r="U3884" t="str">
        <f t="shared" si="181"/>
        <v>a1cdbe</v>
      </c>
      <c r="V3884">
        <v>0</v>
      </c>
      <c r="W3884">
        <v>0</v>
      </c>
      <c r="X3884">
        <v>2</v>
      </c>
      <c r="Y3884">
        <v>0</v>
      </c>
      <c r="Z3884">
        <v>0</v>
      </c>
      <c r="AB3884">
        <v>0</v>
      </c>
      <c r="AC3884">
        <v>9</v>
      </c>
      <c r="AD3884">
        <v>3</v>
      </c>
      <c r="AE3884">
        <v>0</v>
      </c>
      <c r="AF3884">
        <v>9</v>
      </c>
      <c r="AG3884" t="s">
        <v>158</v>
      </c>
      <c r="AH3884">
        <v>0</v>
      </c>
      <c r="AI3884">
        <v>3</v>
      </c>
      <c r="AJ3884">
        <v>1</v>
      </c>
      <c r="AK3884">
        <v>0</v>
      </c>
      <c r="AL3884" t="s">
        <v>7325</v>
      </c>
      <c r="AM3884">
        <v>47.056910999999999</v>
      </c>
      <c r="AN3884" t="s">
        <v>7326</v>
      </c>
      <c r="AO3884">
        <v>-123.98938200000001</v>
      </c>
      <c r="AP3884">
        <v>100</v>
      </c>
      <c r="AQ3884">
        <v>2200</v>
      </c>
      <c r="AR3884" t="s">
        <v>118</v>
      </c>
      <c r="AS3884">
        <v>-77</v>
      </c>
      <c r="AT3884">
        <v>23</v>
      </c>
      <c r="AU3884">
        <v>64</v>
      </c>
      <c r="BC3884">
        <v>1200</v>
      </c>
      <c r="BD3884">
        <v>1</v>
      </c>
      <c r="BE3884" t="str">
        <f t="shared" si="182"/>
        <v xml:space="preserve">N215T   </v>
      </c>
      <c r="BF3884">
        <v>1</v>
      </c>
      <c r="BH3884">
        <v>0</v>
      </c>
      <c r="BI3884">
        <v>0</v>
      </c>
      <c r="BJ3884">
        <v>0</v>
      </c>
      <c r="BK3884">
        <v>2550</v>
      </c>
      <c r="BL3884">
        <v>350</v>
      </c>
      <c r="BM3884" t="s">
        <v>119</v>
      </c>
      <c r="BN3884">
        <v>1</v>
      </c>
      <c r="BO3884">
        <v>1</v>
      </c>
      <c r="BP3884">
        <v>1</v>
      </c>
      <c r="BQ3884">
        <v>0</v>
      </c>
      <c r="BT3884">
        <v>0</v>
      </c>
      <c r="BU3884">
        <v>0</v>
      </c>
      <c r="BV3884">
        <v>0</v>
      </c>
      <c r="CC3884" t="str">
        <f>"19:39:49.367"</f>
        <v>19:39:49.367</v>
      </c>
      <c r="CD3884" t="str">
        <f>"368860887"</f>
        <v>368860887</v>
      </c>
      <c r="CQ3884">
        <v>0</v>
      </c>
      <c r="CR3884">
        <v>2</v>
      </c>
      <c r="CS3884">
        <v>0</v>
      </c>
      <c r="CT3884">
        <v>2</v>
      </c>
      <c r="CU3884">
        <v>0</v>
      </c>
      <c r="CV3884">
        <v>2</v>
      </c>
      <c r="CW3884" t="s">
        <v>120</v>
      </c>
      <c r="CX3884">
        <v>257</v>
      </c>
      <c r="CY3884">
        <v>0</v>
      </c>
      <c r="CZ3884" t="s">
        <v>615</v>
      </c>
      <c r="DA3884" t="s">
        <v>616</v>
      </c>
      <c r="DD3884">
        <v>16601782</v>
      </c>
      <c r="DE3884" t="s">
        <v>123</v>
      </c>
    </row>
    <row r="3885" spans="1:109" x14ac:dyDescent="0.3">
      <c r="A3885" t="str">
        <f>"19:39:50.508"</f>
        <v>19:39:50.508</v>
      </c>
      <c r="B3885" t="s">
        <v>110</v>
      </c>
      <c r="C3885" t="str">
        <f t="shared" si="180"/>
        <v>ffdfd3c0</v>
      </c>
      <c r="D3885" t="s">
        <v>111</v>
      </c>
      <c r="E3885">
        <v>18</v>
      </c>
      <c r="F3885">
        <v>1018</v>
      </c>
      <c r="G3885" t="s">
        <v>112</v>
      </c>
      <c r="J3885" t="s">
        <v>113</v>
      </c>
      <c r="K3885">
        <v>0</v>
      </c>
      <c r="L3885">
        <v>3</v>
      </c>
      <c r="M3885">
        <v>0</v>
      </c>
      <c r="N3885">
        <v>2</v>
      </c>
      <c r="O3885">
        <v>1</v>
      </c>
      <c r="P3885">
        <v>0</v>
      </c>
      <c r="Q3885">
        <v>0</v>
      </c>
      <c r="R3885" t="s">
        <v>114</v>
      </c>
      <c r="S3885" t="str">
        <f>"19:39:50.281"</f>
        <v>19:39:50.281</v>
      </c>
      <c r="T3885" t="str">
        <f>"19:39:50.281"</f>
        <v>19:39:50.281</v>
      </c>
      <c r="U3885" t="str">
        <f t="shared" si="181"/>
        <v>a1cdbe</v>
      </c>
      <c r="V3885">
        <v>0</v>
      </c>
      <c r="W3885">
        <v>0</v>
      </c>
      <c r="X3885">
        <v>2</v>
      </c>
      <c r="Y3885">
        <v>0</v>
      </c>
      <c r="Z3885">
        <v>0</v>
      </c>
      <c r="AB3885">
        <v>0</v>
      </c>
      <c r="AC3885">
        <v>9</v>
      </c>
      <c r="AD3885">
        <v>3</v>
      </c>
      <c r="AE3885">
        <v>0</v>
      </c>
      <c r="AF3885">
        <v>9</v>
      </c>
      <c r="AG3885" t="s">
        <v>158</v>
      </c>
      <c r="AH3885">
        <v>0</v>
      </c>
      <c r="AI3885">
        <v>3</v>
      </c>
      <c r="AJ3885">
        <v>1</v>
      </c>
      <c r="AK3885">
        <v>0</v>
      </c>
      <c r="AL3885" t="s">
        <v>7327</v>
      </c>
      <c r="AM3885">
        <v>47.056997000000003</v>
      </c>
      <c r="AN3885" t="s">
        <v>7328</v>
      </c>
      <c r="AO3885">
        <v>-123.989875</v>
      </c>
      <c r="AP3885">
        <v>100</v>
      </c>
      <c r="AQ3885">
        <v>2200</v>
      </c>
      <c r="AR3885" t="s">
        <v>118</v>
      </c>
      <c r="AS3885">
        <v>-77</v>
      </c>
      <c r="AT3885">
        <v>24</v>
      </c>
      <c r="AU3885">
        <v>0</v>
      </c>
      <c r="BC3885">
        <v>1200</v>
      </c>
      <c r="BD3885">
        <v>1</v>
      </c>
      <c r="BE3885" t="str">
        <f t="shared" si="182"/>
        <v xml:space="preserve">N215T   </v>
      </c>
      <c r="BF3885">
        <v>1</v>
      </c>
      <c r="BH3885">
        <v>0</v>
      </c>
      <c r="BI3885">
        <v>0</v>
      </c>
      <c r="BJ3885">
        <v>0</v>
      </c>
      <c r="BK3885">
        <v>2550</v>
      </c>
      <c r="BL3885">
        <v>350</v>
      </c>
      <c r="BM3885" t="s">
        <v>119</v>
      </c>
      <c r="BN3885">
        <v>1</v>
      </c>
      <c r="BO3885">
        <v>1</v>
      </c>
      <c r="BP3885">
        <v>1</v>
      </c>
      <c r="BQ3885">
        <v>0</v>
      </c>
      <c r="BT3885">
        <v>0</v>
      </c>
      <c r="BU3885">
        <v>0</v>
      </c>
      <c r="BV3885">
        <v>0</v>
      </c>
      <c r="CC3885" t="str">
        <f>"19:39:50.281"</f>
        <v>19:39:50.281</v>
      </c>
      <c r="CD3885" t="str">
        <f>"283770718"</f>
        <v>283770718</v>
      </c>
      <c r="CQ3885">
        <v>0</v>
      </c>
      <c r="CR3885">
        <v>2</v>
      </c>
      <c r="CS3885">
        <v>0</v>
      </c>
      <c r="CT3885">
        <v>2</v>
      </c>
      <c r="CU3885">
        <v>0</v>
      </c>
      <c r="CV3885">
        <v>2</v>
      </c>
      <c r="CW3885" t="s">
        <v>120</v>
      </c>
      <c r="CX3885">
        <v>257</v>
      </c>
      <c r="CY3885">
        <v>0</v>
      </c>
      <c r="CZ3885" t="s">
        <v>615</v>
      </c>
      <c r="DA3885" t="s">
        <v>616</v>
      </c>
      <c r="DD3885">
        <v>16602088</v>
      </c>
      <c r="DE3885" t="s">
        <v>123</v>
      </c>
    </row>
    <row r="3886" spans="1:109" x14ac:dyDescent="0.3">
      <c r="A3886" t="str">
        <f>"19:39:51.461"</f>
        <v>19:39:51.461</v>
      </c>
      <c r="B3886" t="s">
        <v>110</v>
      </c>
      <c r="C3886" t="str">
        <f t="shared" si="180"/>
        <v>ffdfd3c0</v>
      </c>
      <c r="D3886" t="s">
        <v>111</v>
      </c>
      <c r="E3886">
        <v>18</v>
      </c>
      <c r="F3886">
        <v>1018</v>
      </c>
      <c r="G3886" t="s">
        <v>112</v>
      </c>
      <c r="J3886" t="s">
        <v>113</v>
      </c>
      <c r="K3886">
        <v>0</v>
      </c>
      <c r="L3886">
        <v>3</v>
      </c>
      <c r="M3886">
        <v>0</v>
      </c>
      <c r="N3886">
        <v>2</v>
      </c>
      <c r="O3886">
        <v>1</v>
      </c>
      <c r="P3886">
        <v>0</v>
      </c>
      <c r="Q3886">
        <v>0</v>
      </c>
      <c r="R3886" t="s">
        <v>114</v>
      </c>
      <c r="S3886" t="str">
        <f>"19:39:51.227"</f>
        <v>19:39:51.227</v>
      </c>
      <c r="T3886" t="str">
        <f>"19:39:50.828"</f>
        <v>19:39:50.828</v>
      </c>
      <c r="U3886" t="str">
        <f t="shared" si="181"/>
        <v>a1cdbe</v>
      </c>
      <c r="V3886">
        <v>0</v>
      </c>
      <c r="W3886">
        <v>0</v>
      </c>
      <c r="X3886">
        <v>2</v>
      </c>
      <c r="Y3886">
        <v>0</v>
      </c>
      <c r="Z3886">
        <v>0</v>
      </c>
      <c r="AB3886">
        <v>0</v>
      </c>
      <c r="AC3886">
        <v>9</v>
      </c>
      <c r="AD3886">
        <v>3</v>
      </c>
      <c r="AE3886">
        <v>0</v>
      </c>
      <c r="AF3886">
        <v>9</v>
      </c>
      <c r="AG3886" t="s">
        <v>158</v>
      </c>
      <c r="AH3886">
        <v>0</v>
      </c>
      <c r="AI3886">
        <v>3</v>
      </c>
      <c r="AJ3886">
        <v>1</v>
      </c>
      <c r="AK3886">
        <v>0</v>
      </c>
      <c r="AL3886" t="s">
        <v>7329</v>
      </c>
      <c r="AM3886">
        <v>47.057147000000001</v>
      </c>
      <c r="AN3886" t="s">
        <v>7330</v>
      </c>
      <c r="AO3886">
        <v>-123.990326</v>
      </c>
      <c r="AP3886">
        <v>100</v>
      </c>
      <c r="AQ3886">
        <v>2200</v>
      </c>
      <c r="AR3886" t="s">
        <v>118</v>
      </c>
      <c r="AS3886">
        <v>-77</v>
      </c>
      <c r="AT3886">
        <v>24</v>
      </c>
      <c r="AU3886">
        <v>0</v>
      </c>
      <c r="BC3886">
        <v>1200</v>
      </c>
      <c r="BD3886">
        <v>1</v>
      </c>
      <c r="BE3886" t="str">
        <f t="shared" si="182"/>
        <v xml:space="preserve">N215T   </v>
      </c>
      <c r="BF3886">
        <v>1</v>
      </c>
      <c r="BH3886">
        <v>0</v>
      </c>
      <c r="BI3886">
        <v>0</v>
      </c>
      <c r="BJ3886">
        <v>0</v>
      </c>
      <c r="BK3886">
        <v>2550</v>
      </c>
      <c r="BL3886">
        <v>350</v>
      </c>
      <c r="BM3886" t="s">
        <v>119</v>
      </c>
      <c r="BN3886">
        <v>1</v>
      </c>
      <c r="BO3886">
        <v>1</v>
      </c>
      <c r="BP3886">
        <v>1</v>
      </c>
      <c r="BQ3886">
        <v>0</v>
      </c>
      <c r="BT3886">
        <v>0</v>
      </c>
      <c r="BU3886">
        <v>0</v>
      </c>
      <c r="BV3886">
        <v>0</v>
      </c>
      <c r="CC3886" t="str">
        <f>"19:39:51.227"</f>
        <v>19:39:51.227</v>
      </c>
      <c r="CD3886" t="str">
        <f>"228677652"</f>
        <v>228677652</v>
      </c>
      <c r="CQ3886">
        <v>0</v>
      </c>
      <c r="CR3886">
        <v>2</v>
      </c>
      <c r="CS3886">
        <v>0</v>
      </c>
      <c r="CT3886">
        <v>2</v>
      </c>
      <c r="CU3886">
        <v>0</v>
      </c>
      <c r="CV3886">
        <v>4</v>
      </c>
      <c r="CW3886" t="s">
        <v>120</v>
      </c>
      <c r="CX3886">
        <v>257</v>
      </c>
      <c r="CY3886">
        <v>0</v>
      </c>
      <c r="CZ3886" t="s">
        <v>615</v>
      </c>
      <c r="DA3886" t="s">
        <v>616</v>
      </c>
      <c r="DD3886">
        <v>16602406</v>
      </c>
      <c r="DE3886" t="s">
        <v>123</v>
      </c>
    </row>
    <row r="3887" spans="1:109" x14ac:dyDescent="0.3">
      <c r="A3887" t="str">
        <f>"19:39:52.461"</f>
        <v>19:39:52.461</v>
      </c>
      <c r="B3887" t="s">
        <v>110</v>
      </c>
      <c r="C3887" t="str">
        <f t="shared" si="180"/>
        <v>ffdfd3c0</v>
      </c>
      <c r="D3887" t="s">
        <v>111</v>
      </c>
      <c r="E3887">
        <v>18</v>
      </c>
      <c r="F3887">
        <v>1018</v>
      </c>
      <c r="G3887" t="s">
        <v>112</v>
      </c>
      <c r="J3887" t="s">
        <v>113</v>
      </c>
      <c r="K3887">
        <v>0</v>
      </c>
      <c r="L3887">
        <v>3</v>
      </c>
      <c r="M3887">
        <v>0</v>
      </c>
      <c r="N3887">
        <v>2</v>
      </c>
      <c r="O3887">
        <v>1</v>
      </c>
      <c r="P3887">
        <v>0</v>
      </c>
      <c r="Q3887">
        <v>0</v>
      </c>
      <c r="R3887" t="s">
        <v>114</v>
      </c>
      <c r="S3887" t="str">
        <f>"19:39:52.172"</f>
        <v>19:39:52.172</v>
      </c>
      <c r="T3887" t="str">
        <f>"19:39:51.875"</f>
        <v>19:39:51.875</v>
      </c>
      <c r="U3887" t="str">
        <f t="shared" si="181"/>
        <v>a1cdbe</v>
      </c>
      <c r="V3887">
        <v>0</v>
      </c>
      <c r="W3887">
        <v>0</v>
      </c>
      <c r="X3887">
        <v>2</v>
      </c>
      <c r="Y3887">
        <v>0</v>
      </c>
      <c r="Z3887">
        <v>0</v>
      </c>
      <c r="AB3887">
        <v>0</v>
      </c>
      <c r="AC3887">
        <v>9</v>
      </c>
      <c r="AD3887">
        <v>3</v>
      </c>
      <c r="AE3887">
        <v>0</v>
      </c>
      <c r="AF3887">
        <v>9</v>
      </c>
      <c r="AG3887" t="s">
        <v>158</v>
      </c>
      <c r="AH3887">
        <v>0</v>
      </c>
      <c r="AI3887">
        <v>3</v>
      </c>
      <c r="AJ3887">
        <v>1</v>
      </c>
      <c r="AK3887">
        <v>0</v>
      </c>
      <c r="AL3887" t="s">
        <v>7331</v>
      </c>
      <c r="AM3887">
        <v>47.057232999999997</v>
      </c>
      <c r="AN3887" t="s">
        <v>7332</v>
      </c>
      <c r="AO3887">
        <v>-123.99086200000001</v>
      </c>
      <c r="AP3887">
        <v>100</v>
      </c>
      <c r="AQ3887">
        <v>2200</v>
      </c>
      <c r="AR3887" t="s">
        <v>118</v>
      </c>
      <c r="AS3887">
        <v>-77</v>
      </c>
      <c r="AT3887">
        <v>24</v>
      </c>
      <c r="AU3887">
        <v>-64</v>
      </c>
      <c r="BC3887">
        <v>1200</v>
      </c>
      <c r="BD3887">
        <v>1</v>
      </c>
      <c r="BE3887" t="str">
        <f t="shared" si="182"/>
        <v xml:space="preserve">N215T   </v>
      </c>
      <c r="BF3887">
        <v>1</v>
      </c>
      <c r="BH3887">
        <v>0</v>
      </c>
      <c r="BI3887">
        <v>0</v>
      </c>
      <c r="BJ3887">
        <v>0</v>
      </c>
      <c r="BK3887">
        <v>2550</v>
      </c>
      <c r="BL3887">
        <v>350</v>
      </c>
      <c r="BM3887" t="s">
        <v>119</v>
      </c>
      <c r="BN3887">
        <v>1</v>
      </c>
      <c r="BO3887">
        <v>1</v>
      </c>
      <c r="BP3887">
        <v>1</v>
      </c>
      <c r="BQ3887">
        <v>0</v>
      </c>
      <c r="BT3887">
        <v>0</v>
      </c>
      <c r="BU3887">
        <v>0</v>
      </c>
      <c r="BV3887">
        <v>0</v>
      </c>
      <c r="CC3887" t="str">
        <f>"19:39:52.172"</f>
        <v>19:39:52.172</v>
      </c>
      <c r="CD3887" t="str">
        <f>"173584606"</f>
        <v>173584606</v>
      </c>
      <c r="CQ3887">
        <v>0</v>
      </c>
      <c r="CR3887">
        <v>2</v>
      </c>
      <c r="CS3887">
        <v>0</v>
      </c>
      <c r="CT3887">
        <v>2</v>
      </c>
      <c r="CU3887">
        <v>0</v>
      </c>
      <c r="CV3887">
        <v>3</v>
      </c>
      <c r="CW3887" t="s">
        <v>120</v>
      </c>
      <c r="CX3887">
        <v>257</v>
      </c>
      <c r="CY3887">
        <v>0</v>
      </c>
      <c r="CZ3887" t="s">
        <v>615</v>
      </c>
      <c r="DA3887" t="s">
        <v>616</v>
      </c>
      <c r="DD3887">
        <v>16602689</v>
      </c>
      <c r="DE3887" t="s">
        <v>123</v>
      </c>
    </row>
    <row r="3888" spans="1:109" x14ac:dyDescent="0.3">
      <c r="A3888" t="str">
        <f>"19:39:53.422"</f>
        <v>19:39:53.422</v>
      </c>
      <c r="B3888" t="s">
        <v>110</v>
      </c>
      <c r="C3888" t="str">
        <f t="shared" si="180"/>
        <v>ffdfd3c0</v>
      </c>
      <c r="D3888" t="s">
        <v>111</v>
      </c>
      <c r="E3888">
        <v>18</v>
      </c>
      <c r="F3888">
        <v>1018</v>
      </c>
      <c r="G3888" t="s">
        <v>112</v>
      </c>
      <c r="J3888" t="s">
        <v>113</v>
      </c>
      <c r="K3888">
        <v>0</v>
      </c>
      <c r="L3888">
        <v>3</v>
      </c>
      <c r="M3888">
        <v>0</v>
      </c>
      <c r="N3888">
        <v>2</v>
      </c>
      <c r="O3888">
        <v>1</v>
      </c>
      <c r="P3888">
        <v>0</v>
      </c>
      <c r="Q3888">
        <v>0</v>
      </c>
      <c r="R3888" t="s">
        <v>114</v>
      </c>
      <c r="S3888" t="str">
        <f>"19:39:53.172"</f>
        <v>19:39:53.172</v>
      </c>
      <c r="T3888" t="str">
        <f>"19:39:52.969"</f>
        <v>19:39:52.969</v>
      </c>
      <c r="U3888" t="str">
        <f t="shared" si="181"/>
        <v>a1cdbe</v>
      </c>
      <c r="V3888">
        <v>0</v>
      </c>
      <c r="W3888">
        <v>0</v>
      </c>
      <c r="X3888">
        <v>2</v>
      </c>
      <c r="Y3888">
        <v>0</v>
      </c>
      <c r="Z3888">
        <v>0</v>
      </c>
      <c r="AB3888">
        <v>0</v>
      </c>
      <c r="AC3888">
        <v>9</v>
      </c>
      <c r="AD3888">
        <v>3</v>
      </c>
      <c r="AE3888">
        <v>0</v>
      </c>
      <c r="AF3888">
        <v>9</v>
      </c>
      <c r="AG3888" t="s">
        <v>158</v>
      </c>
      <c r="AH3888">
        <v>0</v>
      </c>
      <c r="AI3888">
        <v>3</v>
      </c>
      <c r="AJ3888">
        <v>1</v>
      </c>
      <c r="AK3888">
        <v>0</v>
      </c>
      <c r="AL3888" t="s">
        <v>7333</v>
      </c>
      <c r="AM3888">
        <v>47.057319</v>
      </c>
      <c r="AN3888" t="s">
        <v>7334</v>
      </c>
      <c r="AO3888">
        <v>-123.99142000000001</v>
      </c>
      <c r="AP3888">
        <v>100</v>
      </c>
      <c r="AQ3888">
        <v>2200</v>
      </c>
      <c r="AR3888" t="s">
        <v>118</v>
      </c>
      <c r="AS3888">
        <v>-78</v>
      </c>
      <c r="AT3888">
        <v>24</v>
      </c>
      <c r="AU3888">
        <v>-128</v>
      </c>
      <c r="BC3888">
        <v>1200</v>
      </c>
      <c r="BD3888">
        <v>1</v>
      </c>
      <c r="BE3888" t="str">
        <f t="shared" si="182"/>
        <v xml:space="preserve">N215T   </v>
      </c>
      <c r="BF3888">
        <v>1</v>
      </c>
      <c r="BH3888">
        <v>0</v>
      </c>
      <c r="BI3888">
        <v>0</v>
      </c>
      <c r="BJ3888">
        <v>0</v>
      </c>
      <c r="BK3888">
        <v>2550</v>
      </c>
      <c r="BL3888">
        <v>350</v>
      </c>
      <c r="BM3888" t="s">
        <v>119</v>
      </c>
      <c r="BN3888">
        <v>1</v>
      </c>
      <c r="BO3888">
        <v>1</v>
      </c>
      <c r="BP3888">
        <v>1</v>
      </c>
      <c r="BQ3888">
        <v>0</v>
      </c>
      <c r="BT3888">
        <v>0</v>
      </c>
      <c r="BU3888">
        <v>0</v>
      </c>
      <c r="BV3888">
        <v>0</v>
      </c>
      <c r="CC3888" t="str">
        <f>"19:39:53.180"</f>
        <v>19:39:53.180</v>
      </c>
      <c r="CD3888" t="str">
        <f>"178485630"</f>
        <v>178485630</v>
      </c>
      <c r="CQ3888">
        <v>0</v>
      </c>
      <c r="CR3888">
        <v>2</v>
      </c>
      <c r="CS3888">
        <v>0</v>
      </c>
      <c r="CT3888">
        <v>2</v>
      </c>
      <c r="CU3888">
        <v>0</v>
      </c>
      <c r="CV3888">
        <v>3</v>
      </c>
      <c r="CW3888" t="s">
        <v>120</v>
      </c>
      <c r="CX3888">
        <v>257</v>
      </c>
      <c r="CY3888">
        <v>0</v>
      </c>
      <c r="CZ3888" t="s">
        <v>615</v>
      </c>
      <c r="DA3888" t="s">
        <v>616</v>
      </c>
      <c r="DD3888">
        <v>16603008</v>
      </c>
      <c r="DE3888" t="s">
        <v>123</v>
      </c>
    </row>
    <row r="3889" spans="1:109" x14ac:dyDescent="0.3">
      <c r="A3889" t="str">
        <f>"19:39:54.523"</f>
        <v>19:39:54.523</v>
      </c>
      <c r="B3889" t="s">
        <v>110</v>
      </c>
      <c r="C3889" t="str">
        <f t="shared" si="180"/>
        <v>ffdfd3c0</v>
      </c>
      <c r="D3889" t="s">
        <v>111</v>
      </c>
      <c r="E3889">
        <v>18</v>
      </c>
      <c r="F3889">
        <v>1018</v>
      </c>
      <c r="G3889" t="s">
        <v>112</v>
      </c>
      <c r="J3889" t="s">
        <v>113</v>
      </c>
      <c r="K3889">
        <v>0</v>
      </c>
      <c r="L3889">
        <v>3</v>
      </c>
      <c r="M3889">
        <v>0</v>
      </c>
      <c r="N3889">
        <v>2</v>
      </c>
      <c r="O3889">
        <v>1</v>
      </c>
      <c r="P3889">
        <v>0</v>
      </c>
      <c r="Q3889">
        <v>0</v>
      </c>
      <c r="R3889" t="s">
        <v>114</v>
      </c>
      <c r="S3889" t="str">
        <f>"19:39:54.281"</f>
        <v>19:39:54.281</v>
      </c>
      <c r="T3889" t="str">
        <f>"19:39:53.984"</f>
        <v>19:39:53.984</v>
      </c>
      <c r="U3889" t="str">
        <f t="shared" si="181"/>
        <v>a1cdbe</v>
      </c>
      <c r="V3889">
        <v>0</v>
      </c>
      <c r="W3889">
        <v>0</v>
      </c>
      <c r="X3889">
        <v>2</v>
      </c>
      <c r="Y3889">
        <v>0</v>
      </c>
      <c r="Z3889">
        <v>0</v>
      </c>
      <c r="AB3889">
        <v>0</v>
      </c>
      <c r="AC3889">
        <v>9</v>
      </c>
      <c r="AD3889">
        <v>3</v>
      </c>
      <c r="AE3889">
        <v>0</v>
      </c>
      <c r="AF3889">
        <v>9</v>
      </c>
      <c r="AG3889" t="s">
        <v>158</v>
      </c>
      <c r="AH3889">
        <v>0</v>
      </c>
      <c r="AI3889">
        <v>3</v>
      </c>
      <c r="AJ3889">
        <v>1</v>
      </c>
      <c r="AK3889">
        <v>0</v>
      </c>
      <c r="AL3889" t="s">
        <v>7335</v>
      </c>
      <c r="AM3889">
        <v>47.057468999999998</v>
      </c>
      <c r="AN3889" t="s">
        <v>7336</v>
      </c>
      <c r="AO3889">
        <v>-123.991978</v>
      </c>
      <c r="AP3889">
        <v>100</v>
      </c>
      <c r="AQ3889">
        <v>2200</v>
      </c>
      <c r="AR3889" t="s">
        <v>118</v>
      </c>
      <c r="AS3889">
        <v>-78</v>
      </c>
      <c r="AT3889">
        <v>24</v>
      </c>
      <c r="AU3889">
        <v>-128</v>
      </c>
      <c r="BC3889">
        <v>1200</v>
      </c>
      <c r="BD3889">
        <v>1</v>
      </c>
      <c r="BE3889" t="str">
        <f t="shared" si="182"/>
        <v xml:space="preserve">N215T   </v>
      </c>
      <c r="BF3889">
        <v>1</v>
      </c>
      <c r="BH3889">
        <v>0</v>
      </c>
      <c r="BI3889">
        <v>0</v>
      </c>
      <c r="BJ3889">
        <v>0</v>
      </c>
      <c r="BK3889">
        <v>2550</v>
      </c>
      <c r="BL3889">
        <v>350</v>
      </c>
      <c r="BM3889" t="s">
        <v>119</v>
      </c>
      <c r="BN3889">
        <v>1</v>
      </c>
      <c r="BO3889">
        <v>1</v>
      </c>
      <c r="BP3889">
        <v>1</v>
      </c>
      <c r="BQ3889">
        <v>0</v>
      </c>
      <c r="BT3889">
        <v>0</v>
      </c>
      <c r="BU3889">
        <v>0</v>
      </c>
      <c r="BV3889">
        <v>0</v>
      </c>
      <c r="CC3889" t="str">
        <f>"19:39:54.289"</f>
        <v>19:39:54.289</v>
      </c>
      <c r="CD3889" t="str">
        <f>"288376330"</f>
        <v>288376330</v>
      </c>
      <c r="CQ3889">
        <v>0</v>
      </c>
      <c r="CR3889">
        <v>2</v>
      </c>
      <c r="CS3889">
        <v>0</v>
      </c>
      <c r="CT3889">
        <v>2</v>
      </c>
      <c r="CU3889">
        <v>0</v>
      </c>
      <c r="CV3889">
        <v>2</v>
      </c>
      <c r="CW3889" t="s">
        <v>120</v>
      </c>
      <c r="CX3889">
        <v>257</v>
      </c>
      <c r="CY3889">
        <v>0</v>
      </c>
      <c r="CZ3889" t="s">
        <v>615</v>
      </c>
      <c r="DA3889" t="s">
        <v>616</v>
      </c>
      <c r="DD3889">
        <v>16603390</v>
      </c>
      <c r="DE3889" t="s">
        <v>123</v>
      </c>
    </row>
    <row r="3890" spans="1:109" x14ac:dyDescent="0.3">
      <c r="A3890" t="str">
        <f>"19:39:55.633"</f>
        <v>19:39:55.633</v>
      </c>
      <c r="B3890" t="s">
        <v>110</v>
      </c>
      <c r="C3890" t="str">
        <f t="shared" si="180"/>
        <v>ffdfd3c0</v>
      </c>
      <c r="D3890" t="s">
        <v>111</v>
      </c>
      <c r="E3890">
        <v>18</v>
      </c>
      <c r="F3890">
        <v>1018</v>
      </c>
      <c r="G3890" t="s">
        <v>112</v>
      </c>
      <c r="J3890" t="s">
        <v>113</v>
      </c>
      <c r="K3890">
        <v>0</v>
      </c>
      <c r="L3890">
        <v>3</v>
      </c>
      <c r="M3890">
        <v>0</v>
      </c>
      <c r="N3890">
        <v>2</v>
      </c>
      <c r="O3890">
        <v>1</v>
      </c>
      <c r="P3890">
        <v>0</v>
      </c>
      <c r="Q3890">
        <v>0</v>
      </c>
      <c r="R3890" t="s">
        <v>114</v>
      </c>
      <c r="S3890" t="str">
        <f>"19:39:55.422"</f>
        <v>19:39:55.422</v>
      </c>
      <c r="T3890" t="str">
        <f>"19:39:54.922"</f>
        <v>19:39:54.922</v>
      </c>
      <c r="U3890" t="str">
        <f t="shared" si="181"/>
        <v>a1cdbe</v>
      </c>
      <c r="V3890">
        <v>0</v>
      </c>
      <c r="W3890">
        <v>0</v>
      </c>
      <c r="X3890">
        <v>2</v>
      </c>
      <c r="Y3890">
        <v>0</v>
      </c>
      <c r="Z3890">
        <v>0</v>
      </c>
      <c r="AB3890">
        <v>0</v>
      </c>
      <c r="AC3890">
        <v>9</v>
      </c>
      <c r="AD3890">
        <v>3</v>
      </c>
      <c r="AE3890">
        <v>0</v>
      </c>
      <c r="AF3890">
        <v>9</v>
      </c>
      <c r="AG3890" t="s">
        <v>158</v>
      </c>
      <c r="AH3890">
        <v>0</v>
      </c>
      <c r="AI3890">
        <v>3</v>
      </c>
      <c r="AJ3890">
        <v>1</v>
      </c>
      <c r="AK3890">
        <v>0</v>
      </c>
      <c r="AL3890" t="s">
        <v>7337</v>
      </c>
      <c r="AM3890">
        <v>47.057619000000003</v>
      </c>
      <c r="AN3890" t="s">
        <v>7338</v>
      </c>
      <c r="AO3890">
        <v>-123.992536</v>
      </c>
      <c r="AP3890">
        <v>100</v>
      </c>
      <c r="AQ3890">
        <v>2200</v>
      </c>
      <c r="AR3890" t="s">
        <v>118</v>
      </c>
      <c r="AS3890">
        <v>-78</v>
      </c>
      <c r="AT3890">
        <v>24</v>
      </c>
      <c r="AU3890">
        <v>-128</v>
      </c>
      <c r="BC3890">
        <v>1200</v>
      </c>
      <c r="BD3890">
        <v>1</v>
      </c>
      <c r="BE3890" t="str">
        <f t="shared" si="182"/>
        <v xml:space="preserve">N215T   </v>
      </c>
      <c r="BF3890">
        <v>1</v>
      </c>
      <c r="BH3890">
        <v>0</v>
      </c>
      <c r="BI3890">
        <v>0</v>
      </c>
      <c r="BJ3890">
        <v>0</v>
      </c>
      <c r="BK3890">
        <v>2525</v>
      </c>
      <c r="BL3890">
        <v>325</v>
      </c>
      <c r="BM3890" t="s">
        <v>119</v>
      </c>
      <c r="BN3890">
        <v>1</v>
      </c>
      <c r="BO3890">
        <v>1</v>
      </c>
      <c r="BP3890">
        <v>1</v>
      </c>
      <c r="BQ3890">
        <v>0</v>
      </c>
      <c r="BT3890">
        <v>0</v>
      </c>
      <c r="BU3890">
        <v>0</v>
      </c>
      <c r="BV3890">
        <v>0</v>
      </c>
      <c r="CC3890" t="str">
        <f>"19:39:55.430"</f>
        <v>19:39:55.430</v>
      </c>
      <c r="CD3890" t="str">
        <f>"428359027"</f>
        <v>428359027</v>
      </c>
      <c r="CQ3890">
        <v>0</v>
      </c>
      <c r="CR3890">
        <v>2</v>
      </c>
      <c r="CS3890">
        <v>0</v>
      </c>
      <c r="CT3890">
        <v>2</v>
      </c>
      <c r="CU3890">
        <v>0</v>
      </c>
      <c r="CV3890">
        <v>2</v>
      </c>
      <c r="CW3890" t="s">
        <v>120</v>
      </c>
      <c r="CX3890">
        <v>253</v>
      </c>
      <c r="CY3890">
        <v>2</v>
      </c>
      <c r="CZ3890" t="s">
        <v>7093</v>
      </c>
      <c r="DA3890" t="s">
        <v>7094</v>
      </c>
      <c r="DD3890">
        <v>13973052</v>
      </c>
      <c r="DE3890" t="s">
        <v>123</v>
      </c>
    </row>
    <row r="3891" spans="1:109" x14ac:dyDescent="0.3">
      <c r="A3891" t="str">
        <f>"19:39:56.539"</f>
        <v>19:39:56.539</v>
      </c>
      <c r="B3891" t="s">
        <v>110</v>
      </c>
      <c r="C3891" t="str">
        <f t="shared" si="180"/>
        <v>ffdfd3c0</v>
      </c>
      <c r="D3891" t="s">
        <v>111</v>
      </c>
      <c r="E3891">
        <v>18</v>
      </c>
      <c r="F3891">
        <v>1018</v>
      </c>
      <c r="G3891" t="s">
        <v>112</v>
      </c>
      <c r="J3891" t="s">
        <v>113</v>
      </c>
      <c r="K3891">
        <v>0</v>
      </c>
      <c r="L3891">
        <v>3</v>
      </c>
      <c r="M3891">
        <v>0</v>
      </c>
      <c r="N3891">
        <v>2</v>
      </c>
      <c r="O3891">
        <v>1</v>
      </c>
      <c r="P3891">
        <v>0</v>
      </c>
      <c r="Q3891">
        <v>0</v>
      </c>
      <c r="R3891" t="s">
        <v>114</v>
      </c>
      <c r="S3891" t="str">
        <f>"19:39:56.297"</f>
        <v>19:39:56.297</v>
      </c>
      <c r="T3891" t="str">
        <f>"19:39:56.094"</f>
        <v>19:39:56.094</v>
      </c>
      <c r="U3891" t="str">
        <f t="shared" si="181"/>
        <v>a1cdbe</v>
      </c>
      <c r="V3891">
        <v>0</v>
      </c>
      <c r="W3891">
        <v>0</v>
      </c>
      <c r="X3891">
        <v>2</v>
      </c>
      <c r="Y3891">
        <v>0</v>
      </c>
      <c r="Z3891">
        <v>0</v>
      </c>
      <c r="AB3891">
        <v>0</v>
      </c>
      <c r="AC3891">
        <v>9</v>
      </c>
      <c r="AD3891">
        <v>3</v>
      </c>
      <c r="AE3891">
        <v>0</v>
      </c>
      <c r="AF3891">
        <v>9</v>
      </c>
      <c r="AG3891" t="s">
        <v>158</v>
      </c>
      <c r="AH3891">
        <v>0</v>
      </c>
      <c r="AI3891">
        <v>3</v>
      </c>
      <c r="AJ3891">
        <v>1</v>
      </c>
      <c r="AK3891">
        <v>0</v>
      </c>
      <c r="AL3891" t="s">
        <v>7339</v>
      </c>
      <c r="AM3891">
        <v>47.057704999999999</v>
      </c>
      <c r="AN3891" t="s">
        <v>7340</v>
      </c>
      <c r="AO3891">
        <v>-123.99303</v>
      </c>
      <c r="AP3891">
        <v>100</v>
      </c>
      <c r="AQ3891">
        <v>2200</v>
      </c>
      <c r="AR3891" t="s">
        <v>118</v>
      </c>
      <c r="AS3891">
        <v>-79</v>
      </c>
      <c r="AT3891">
        <v>24</v>
      </c>
      <c r="AU3891">
        <v>-192</v>
      </c>
      <c r="BC3891">
        <v>1200</v>
      </c>
      <c r="BD3891">
        <v>1</v>
      </c>
      <c r="BE3891" t="str">
        <f t="shared" si="182"/>
        <v xml:space="preserve">N215T   </v>
      </c>
      <c r="BF3891">
        <v>1</v>
      </c>
      <c r="BH3891">
        <v>0</v>
      </c>
      <c r="BI3891">
        <v>0</v>
      </c>
      <c r="BJ3891">
        <v>0</v>
      </c>
      <c r="BK3891">
        <v>2525</v>
      </c>
      <c r="BL3891">
        <v>325</v>
      </c>
      <c r="BM3891" t="s">
        <v>119</v>
      </c>
      <c r="BN3891">
        <v>1</v>
      </c>
      <c r="BO3891">
        <v>1</v>
      </c>
      <c r="BP3891">
        <v>1</v>
      </c>
      <c r="BQ3891">
        <v>0</v>
      </c>
      <c r="BT3891">
        <v>0</v>
      </c>
      <c r="BU3891">
        <v>0</v>
      </c>
      <c r="BV3891">
        <v>0</v>
      </c>
      <c r="CC3891" t="str">
        <f>"19:39:56.297"</f>
        <v>19:39:56.297</v>
      </c>
      <c r="CD3891" t="str">
        <f>"298178400"</f>
        <v>298178400</v>
      </c>
      <c r="CQ3891">
        <v>0</v>
      </c>
      <c r="CR3891">
        <v>2</v>
      </c>
      <c r="CS3891">
        <v>0</v>
      </c>
      <c r="CT3891">
        <v>2</v>
      </c>
      <c r="CU3891">
        <v>0</v>
      </c>
      <c r="CV3891">
        <v>3</v>
      </c>
      <c r="CW3891" t="s">
        <v>120</v>
      </c>
      <c r="CX3891">
        <v>257</v>
      </c>
      <c r="CY3891">
        <v>0</v>
      </c>
      <c r="CZ3891" t="s">
        <v>615</v>
      </c>
      <c r="DA3891" t="s">
        <v>616</v>
      </c>
      <c r="DD3891">
        <v>16604109</v>
      </c>
      <c r="DE3891" t="s">
        <v>123</v>
      </c>
    </row>
    <row r="3892" spans="1:109" x14ac:dyDescent="0.3">
      <c r="A3892" t="str">
        <f>"19:39:57.492"</f>
        <v>19:39:57.492</v>
      </c>
      <c r="B3892" t="s">
        <v>110</v>
      </c>
      <c r="C3892" t="str">
        <f t="shared" si="180"/>
        <v>ffdfd3c0</v>
      </c>
      <c r="D3892" t="s">
        <v>111</v>
      </c>
      <c r="E3892">
        <v>18</v>
      </c>
      <c r="F3892">
        <v>1018</v>
      </c>
      <c r="G3892" t="s">
        <v>112</v>
      </c>
      <c r="J3892" t="s">
        <v>113</v>
      </c>
      <c r="K3892">
        <v>0</v>
      </c>
      <c r="L3892">
        <v>3</v>
      </c>
      <c r="M3892">
        <v>0</v>
      </c>
      <c r="N3892">
        <v>2</v>
      </c>
      <c r="O3892">
        <v>1</v>
      </c>
      <c r="P3892">
        <v>0</v>
      </c>
      <c r="Q3892">
        <v>0</v>
      </c>
      <c r="R3892" t="s">
        <v>114</v>
      </c>
      <c r="S3892" t="str">
        <f>"19:39:57.211"</f>
        <v>19:39:57.211</v>
      </c>
      <c r="T3892" t="str">
        <f>"19:39:57.109"</f>
        <v>19:39:57.109</v>
      </c>
      <c r="U3892" t="str">
        <f t="shared" si="181"/>
        <v>a1cdbe</v>
      </c>
      <c r="V3892">
        <v>0</v>
      </c>
      <c r="W3892">
        <v>0</v>
      </c>
      <c r="X3892">
        <v>2</v>
      </c>
      <c r="Y3892">
        <v>0</v>
      </c>
      <c r="Z3892">
        <v>0</v>
      </c>
      <c r="AB3892">
        <v>0</v>
      </c>
      <c r="AC3892">
        <v>9</v>
      </c>
      <c r="AD3892">
        <v>3</v>
      </c>
      <c r="AE3892">
        <v>0</v>
      </c>
      <c r="AF3892">
        <v>9</v>
      </c>
      <c r="AG3892" t="s">
        <v>158</v>
      </c>
      <c r="AH3892">
        <v>0</v>
      </c>
      <c r="AI3892">
        <v>3</v>
      </c>
      <c r="AJ3892">
        <v>1</v>
      </c>
      <c r="AK3892">
        <v>0</v>
      </c>
      <c r="AL3892" t="s">
        <v>7341</v>
      </c>
      <c r="AM3892">
        <v>47.057791000000002</v>
      </c>
      <c r="AN3892" t="s">
        <v>7342</v>
      </c>
      <c r="AO3892">
        <v>-123.99348000000001</v>
      </c>
      <c r="AP3892">
        <v>100</v>
      </c>
      <c r="AQ3892">
        <v>2200</v>
      </c>
      <c r="AR3892" t="s">
        <v>118</v>
      </c>
      <c r="AS3892">
        <v>-79</v>
      </c>
      <c r="AT3892">
        <v>24</v>
      </c>
      <c r="AU3892">
        <v>-192</v>
      </c>
      <c r="BC3892">
        <v>1200</v>
      </c>
      <c r="BD3892">
        <v>1</v>
      </c>
      <c r="BE3892" t="str">
        <f t="shared" si="182"/>
        <v xml:space="preserve">N215T   </v>
      </c>
      <c r="BF3892">
        <v>1</v>
      </c>
      <c r="BH3892">
        <v>0</v>
      </c>
      <c r="BI3892">
        <v>0</v>
      </c>
      <c r="BJ3892">
        <v>0</v>
      </c>
      <c r="BK3892">
        <v>2525</v>
      </c>
      <c r="BL3892">
        <v>325</v>
      </c>
      <c r="BM3892" t="s">
        <v>119</v>
      </c>
      <c r="BN3892">
        <v>1</v>
      </c>
      <c r="BO3892">
        <v>1</v>
      </c>
      <c r="BP3892">
        <v>1</v>
      </c>
      <c r="BQ3892">
        <v>0</v>
      </c>
      <c r="BT3892">
        <v>0</v>
      </c>
      <c r="BU3892">
        <v>0</v>
      </c>
      <c r="BV3892">
        <v>0</v>
      </c>
      <c r="CC3892" t="str">
        <f>"19:39:57.211"</f>
        <v>19:39:57.211</v>
      </c>
      <c r="CD3892" t="str">
        <f>"213182977"</f>
        <v>213182977</v>
      </c>
      <c r="CQ3892">
        <v>0</v>
      </c>
      <c r="CR3892">
        <v>2</v>
      </c>
      <c r="CS3892">
        <v>0</v>
      </c>
      <c r="CT3892">
        <v>2</v>
      </c>
      <c r="CU3892">
        <v>0</v>
      </c>
      <c r="CV3892">
        <v>2</v>
      </c>
      <c r="CW3892" t="s">
        <v>120</v>
      </c>
      <c r="CX3892">
        <v>253</v>
      </c>
      <c r="CY3892">
        <v>2</v>
      </c>
      <c r="CZ3892" t="s">
        <v>7093</v>
      </c>
      <c r="DA3892" t="s">
        <v>7094</v>
      </c>
      <c r="DD3892">
        <v>13973192</v>
      </c>
      <c r="DE3892" t="s">
        <v>123</v>
      </c>
    </row>
    <row r="3893" spans="1:109" x14ac:dyDescent="0.3">
      <c r="A3893" t="str">
        <f>"19:39:58.445"</f>
        <v>19:39:58.445</v>
      </c>
      <c r="B3893" t="s">
        <v>110</v>
      </c>
      <c r="C3893" t="str">
        <f t="shared" si="180"/>
        <v>ffdfd3c0</v>
      </c>
      <c r="D3893" t="s">
        <v>111</v>
      </c>
      <c r="E3893">
        <v>18</v>
      </c>
      <c r="F3893">
        <v>1018</v>
      </c>
      <c r="G3893" t="s">
        <v>112</v>
      </c>
      <c r="J3893" t="s">
        <v>113</v>
      </c>
      <c r="K3893">
        <v>0</v>
      </c>
      <c r="L3893">
        <v>3</v>
      </c>
      <c r="M3893">
        <v>0</v>
      </c>
      <c r="N3893">
        <v>2</v>
      </c>
      <c r="O3893">
        <v>1</v>
      </c>
      <c r="P3893">
        <v>0</v>
      </c>
      <c r="Q3893">
        <v>0</v>
      </c>
      <c r="R3893" t="s">
        <v>114</v>
      </c>
      <c r="S3893" t="str">
        <f>"19:39:58.195"</f>
        <v>19:39:58.195</v>
      </c>
      <c r="T3893" t="str">
        <f>"19:39:58.094"</f>
        <v>19:39:58.094</v>
      </c>
      <c r="U3893" t="str">
        <f t="shared" si="181"/>
        <v>a1cdbe</v>
      </c>
      <c r="V3893">
        <v>0</v>
      </c>
      <c r="W3893">
        <v>0</v>
      </c>
      <c r="X3893">
        <v>2</v>
      </c>
      <c r="Y3893">
        <v>0</v>
      </c>
      <c r="Z3893">
        <v>0</v>
      </c>
      <c r="AB3893">
        <v>0</v>
      </c>
      <c r="AC3893">
        <v>9</v>
      </c>
      <c r="AD3893">
        <v>3</v>
      </c>
      <c r="AE3893">
        <v>0</v>
      </c>
      <c r="AF3893">
        <v>9</v>
      </c>
      <c r="AG3893" t="s">
        <v>158</v>
      </c>
      <c r="AH3893">
        <v>0</v>
      </c>
      <c r="AI3893">
        <v>3</v>
      </c>
      <c r="AJ3893">
        <v>1</v>
      </c>
      <c r="AK3893">
        <v>0</v>
      </c>
      <c r="AL3893" t="s">
        <v>7343</v>
      </c>
      <c r="AM3893">
        <v>47.057898000000002</v>
      </c>
      <c r="AN3893" t="s">
        <v>7344</v>
      </c>
      <c r="AO3893">
        <v>-123.994017</v>
      </c>
      <c r="AP3893">
        <v>100</v>
      </c>
      <c r="AQ3893">
        <v>2100</v>
      </c>
      <c r="AR3893" t="s">
        <v>118</v>
      </c>
      <c r="AS3893">
        <v>-79</v>
      </c>
      <c r="AT3893">
        <v>24</v>
      </c>
      <c r="AU3893">
        <v>-192</v>
      </c>
      <c r="BC3893">
        <v>1200</v>
      </c>
      <c r="BD3893">
        <v>1</v>
      </c>
      <c r="BE3893" t="str">
        <f t="shared" si="182"/>
        <v xml:space="preserve">N215T   </v>
      </c>
      <c r="BF3893">
        <v>1</v>
      </c>
      <c r="BH3893">
        <v>0</v>
      </c>
      <c r="BI3893">
        <v>0</v>
      </c>
      <c r="BJ3893">
        <v>0</v>
      </c>
      <c r="BK3893">
        <v>2625</v>
      </c>
      <c r="BL3893">
        <v>525</v>
      </c>
      <c r="BM3893" t="s">
        <v>119</v>
      </c>
      <c r="BN3893">
        <v>1</v>
      </c>
      <c r="BO3893">
        <v>1</v>
      </c>
      <c r="BP3893">
        <v>1</v>
      </c>
      <c r="BQ3893">
        <v>0</v>
      </c>
      <c r="BT3893">
        <v>0</v>
      </c>
      <c r="BU3893">
        <v>0</v>
      </c>
      <c r="BV3893">
        <v>0</v>
      </c>
      <c r="CC3893" t="str">
        <f>"19:39:58.203"</f>
        <v>19:39:58.203</v>
      </c>
      <c r="CD3893" t="str">
        <f>"202990783"</f>
        <v>202990783</v>
      </c>
      <c r="CQ3893">
        <v>0</v>
      </c>
      <c r="CR3893">
        <v>2</v>
      </c>
      <c r="CS3893">
        <v>0</v>
      </c>
      <c r="CT3893">
        <v>2</v>
      </c>
      <c r="CU3893">
        <v>0</v>
      </c>
      <c r="CV3893">
        <v>2</v>
      </c>
      <c r="CW3893" t="s">
        <v>120</v>
      </c>
      <c r="CX3893">
        <v>257</v>
      </c>
      <c r="CY3893">
        <v>0</v>
      </c>
      <c r="CZ3893" t="s">
        <v>615</v>
      </c>
      <c r="DA3893" t="s">
        <v>616</v>
      </c>
      <c r="DD3893">
        <v>16604724</v>
      </c>
      <c r="DE3893" t="s">
        <v>123</v>
      </c>
    </row>
    <row r="3894" spans="1:109" x14ac:dyDescent="0.3">
      <c r="A3894" t="str">
        <f>"19:39:59.453"</f>
        <v>19:39:59.453</v>
      </c>
      <c r="B3894" t="s">
        <v>110</v>
      </c>
      <c r="C3894" t="str">
        <f t="shared" si="180"/>
        <v>ffdfd3c0</v>
      </c>
      <c r="D3894" t="s">
        <v>111</v>
      </c>
      <c r="E3894">
        <v>18</v>
      </c>
      <c r="F3894">
        <v>1018</v>
      </c>
      <c r="G3894" t="s">
        <v>112</v>
      </c>
      <c r="J3894" t="s">
        <v>113</v>
      </c>
      <c r="K3894">
        <v>0</v>
      </c>
      <c r="L3894">
        <v>3</v>
      </c>
      <c r="M3894">
        <v>0</v>
      </c>
      <c r="N3894">
        <v>2</v>
      </c>
      <c r="O3894">
        <v>1</v>
      </c>
      <c r="P3894">
        <v>0</v>
      </c>
      <c r="Q3894">
        <v>0</v>
      </c>
      <c r="R3894" t="s">
        <v>114</v>
      </c>
      <c r="S3894" t="str">
        <f>"19:39:59.172"</f>
        <v>19:39:59.172</v>
      </c>
      <c r="T3894" t="str">
        <f>"19:39:59.070"</f>
        <v>19:39:59.070</v>
      </c>
      <c r="U3894" t="str">
        <f t="shared" si="181"/>
        <v>a1cdbe</v>
      </c>
      <c r="V3894">
        <v>0</v>
      </c>
      <c r="W3894">
        <v>0</v>
      </c>
      <c r="X3894">
        <v>2</v>
      </c>
      <c r="Y3894">
        <v>0</v>
      </c>
      <c r="Z3894">
        <v>0</v>
      </c>
      <c r="AB3894">
        <v>0</v>
      </c>
      <c r="AC3894">
        <v>9</v>
      </c>
      <c r="AD3894">
        <v>3</v>
      </c>
      <c r="AE3894">
        <v>0</v>
      </c>
      <c r="AF3894">
        <v>9</v>
      </c>
      <c r="AG3894" t="s">
        <v>158</v>
      </c>
      <c r="AH3894">
        <v>0</v>
      </c>
      <c r="AI3894">
        <v>3</v>
      </c>
      <c r="AJ3894">
        <v>1</v>
      </c>
      <c r="AK3894">
        <v>0</v>
      </c>
      <c r="AL3894" t="s">
        <v>7345</v>
      </c>
      <c r="AM3894">
        <v>47.058005000000001</v>
      </c>
      <c r="AN3894" t="s">
        <v>7346</v>
      </c>
      <c r="AO3894">
        <v>-123.994575</v>
      </c>
      <c r="AP3894">
        <v>100</v>
      </c>
      <c r="AQ3894">
        <v>2100</v>
      </c>
      <c r="AR3894" t="s">
        <v>118</v>
      </c>
      <c r="AS3894">
        <v>-80</v>
      </c>
      <c r="AT3894">
        <v>24</v>
      </c>
      <c r="AU3894">
        <v>-256</v>
      </c>
      <c r="BC3894">
        <v>1200</v>
      </c>
      <c r="BD3894">
        <v>1</v>
      </c>
      <c r="BE3894" t="str">
        <f t="shared" si="182"/>
        <v xml:space="preserve">N215T   </v>
      </c>
      <c r="BF3894">
        <v>1</v>
      </c>
      <c r="BH3894">
        <v>0</v>
      </c>
      <c r="BI3894">
        <v>0</v>
      </c>
      <c r="BJ3894">
        <v>0</v>
      </c>
      <c r="BK3894">
        <v>2525</v>
      </c>
      <c r="BL3894">
        <v>425</v>
      </c>
      <c r="BM3894" t="s">
        <v>119</v>
      </c>
      <c r="BN3894">
        <v>1</v>
      </c>
      <c r="BO3894">
        <v>1</v>
      </c>
      <c r="BP3894">
        <v>1</v>
      </c>
      <c r="BQ3894">
        <v>0</v>
      </c>
      <c r="BT3894">
        <v>0</v>
      </c>
      <c r="BU3894">
        <v>0</v>
      </c>
      <c r="BV3894">
        <v>0</v>
      </c>
      <c r="CC3894" t="str">
        <f>"19:39:59.180"</f>
        <v>19:39:59.180</v>
      </c>
      <c r="CD3894" t="str">
        <f>"177894763"</f>
        <v>177894763</v>
      </c>
      <c r="CQ3894">
        <v>0</v>
      </c>
      <c r="CR3894">
        <v>2</v>
      </c>
      <c r="CS3894">
        <v>0</v>
      </c>
      <c r="CT3894">
        <v>2</v>
      </c>
      <c r="CU3894">
        <v>0</v>
      </c>
      <c r="CV3894">
        <v>3</v>
      </c>
      <c r="CW3894" t="s">
        <v>120</v>
      </c>
      <c r="CX3894">
        <v>257</v>
      </c>
      <c r="CY3894">
        <v>0</v>
      </c>
      <c r="CZ3894" t="s">
        <v>615</v>
      </c>
      <c r="DA3894" t="s">
        <v>616</v>
      </c>
      <c r="DD3894">
        <v>16605064</v>
      </c>
      <c r="DE3894" t="s">
        <v>123</v>
      </c>
    </row>
    <row r="3895" spans="1:109" x14ac:dyDescent="0.3">
      <c r="A3895" t="str">
        <f>"19:40:00.508"</f>
        <v>19:40:00.508</v>
      </c>
      <c r="B3895" t="s">
        <v>110</v>
      </c>
      <c r="C3895" t="str">
        <f t="shared" si="180"/>
        <v>ffdfd3c0</v>
      </c>
      <c r="D3895" t="s">
        <v>111</v>
      </c>
      <c r="E3895">
        <v>18</v>
      </c>
      <c r="F3895">
        <v>1018</v>
      </c>
      <c r="G3895" t="s">
        <v>112</v>
      </c>
      <c r="J3895" t="s">
        <v>113</v>
      </c>
      <c r="K3895">
        <v>0</v>
      </c>
      <c r="L3895">
        <v>3</v>
      </c>
      <c r="M3895">
        <v>0</v>
      </c>
      <c r="N3895">
        <v>2</v>
      </c>
      <c r="O3895">
        <v>1</v>
      </c>
      <c r="P3895">
        <v>0</v>
      </c>
      <c r="Q3895">
        <v>0</v>
      </c>
      <c r="R3895" t="s">
        <v>114</v>
      </c>
      <c r="S3895" t="str">
        <f>"19:40:00.242"</f>
        <v>19:40:00.242</v>
      </c>
      <c r="T3895" t="str">
        <f>"19:40:00.039"</f>
        <v>19:40:00.039</v>
      </c>
      <c r="U3895" t="str">
        <f t="shared" si="181"/>
        <v>a1cdbe</v>
      </c>
      <c r="V3895">
        <v>0</v>
      </c>
      <c r="W3895">
        <v>0</v>
      </c>
      <c r="X3895">
        <v>2</v>
      </c>
      <c r="Y3895">
        <v>0</v>
      </c>
      <c r="Z3895">
        <v>0</v>
      </c>
      <c r="AB3895">
        <v>0</v>
      </c>
      <c r="AC3895">
        <v>9</v>
      </c>
      <c r="AD3895">
        <v>3</v>
      </c>
      <c r="AE3895">
        <v>0</v>
      </c>
      <c r="AF3895">
        <v>9</v>
      </c>
      <c r="AG3895" t="s">
        <v>158</v>
      </c>
      <c r="AH3895">
        <v>0</v>
      </c>
      <c r="AI3895">
        <v>3</v>
      </c>
      <c r="AJ3895">
        <v>1</v>
      </c>
      <c r="AK3895">
        <v>0</v>
      </c>
      <c r="AL3895" t="s">
        <v>520</v>
      </c>
      <c r="AM3895">
        <v>47.058112999999999</v>
      </c>
      <c r="AN3895" t="s">
        <v>7347</v>
      </c>
      <c r="AO3895">
        <v>-123.995154</v>
      </c>
      <c r="AP3895">
        <v>100</v>
      </c>
      <c r="AQ3895">
        <v>2100</v>
      </c>
      <c r="AR3895" t="s">
        <v>118</v>
      </c>
      <c r="AS3895">
        <v>-80</v>
      </c>
      <c r="AT3895">
        <v>24</v>
      </c>
      <c r="AU3895">
        <v>-256</v>
      </c>
      <c r="BC3895">
        <v>1200</v>
      </c>
      <c r="BD3895">
        <v>1</v>
      </c>
      <c r="BE3895" t="str">
        <f t="shared" si="182"/>
        <v xml:space="preserve">N215T   </v>
      </c>
      <c r="BF3895">
        <v>1</v>
      </c>
      <c r="BH3895">
        <v>0</v>
      </c>
      <c r="BI3895">
        <v>0</v>
      </c>
      <c r="BJ3895">
        <v>0</v>
      </c>
      <c r="BK3895">
        <v>2525</v>
      </c>
      <c r="BL3895">
        <v>425</v>
      </c>
      <c r="BM3895" t="s">
        <v>119</v>
      </c>
      <c r="BN3895">
        <v>1</v>
      </c>
      <c r="BO3895">
        <v>1</v>
      </c>
      <c r="BP3895">
        <v>1</v>
      </c>
      <c r="BQ3895">
        <v>0</v>
      </c>
      <c r="BT3895">
        <v>0</v>
      </c>
      <c r="BU3895">
        <v>0</v>
      </c>
      <c r="BV3895">
        <v>0</v>
      </c>
      <c r="CC3895" t="str">
        <f>"19:40:00.242"</f>
        <v>19:40:00.242</v>
      </c>
      <c r="CD3895" t="str">
        <f>"242884175"</f>
        <v>242884175</v>
      </c>
      <c r="CQ3895">
        <v>0</v>
      </c>
      <c r="CR3895">
        <v>2</v>
      </c>
      <c r="CS3895">
        <v>0</v>
      </c>
      <c r="CT3895">
        <v>2</v>
      </c>
      <c r="CU3895">
        <v>0</v>
      </c>
      <c r="CV3895">
        <v>1</v>
      </c>
      <c r="CW3895" t="s">
        <v>120</v>
      </c>
      <c r="CX3895">
        <v>253</v>
      </c>
      <c r="CY3895">
        <v>2</v>
      </c>
      <c r="CZ3895" t="s">
        <v>7093</v>
      </c>
      <c r="DA3895" t="s">
        <v>7094</v>
      </c>
      <c r="DD3895">
        <v>13973436</v>
      </c>
      <c r="DE3895" t="s">
        <v>123</v>
      </c>
    </row>
    <row r="3896" spans="1:109" x14ac:dyDescent="0.3">
      <c r="A3896" t="str">
        <f>"19:40:01.516"</f>
        <v>19:40:01.516</v>
      </c>
      <c r="B3896" t="s">
        <v>110</v>
      </c>
      <c r="C3896" t="str">
        <f t="shared" si="180"/>
        <v>ffdfd3c0</v>
      </c>
      <c r="D3896" t="s">
        <v>111</v>
      </c>
      <c r="E3896">
        <v>18</v>
      </c>
      <c r="F3896">
        <v>1018</v>
      </c>
      <c r="G3896" t="s">
        <v>112</v>
      </c>
      <c r="J3896" t="s">
        <v>113</v>
      </c>
      <c r="K3896">
        <v>0</v>
      </c>
      <c r="L3896">
        <v>3</v>
      </c>
      <c r="M3896">
        <v>0</v>
      </c>
      <c r="N3896">
        <v>2</v>
      </c>
      <c r="O3896">
        <v>1</v>
      </c>
      <c r="P3896">
        <v>0</v>
      </c>
      <c r="Q3896">
        <v>0</v>
      </c>
      <c r="R3896" t="s">
        <v>114</v>
      </c>
      <c r="S3896" t="str">
        <f>"19:40:01.305"</f>
        <v>19:40:01.305</v>
      </c>
      <c r="T3896" t="str">
        <f>"19:40:01.008"</f>
        <v>19:40:01.008</v>
      </c>
      <c r="U3896" t="str">
        <f t="shared" si="181"/>
        <v>a1cdbe</v>
      </c>
      <c r="V3896">
        <v>0</v>
      </c>
      <c r="W3896">
        <v>0</v>
      </c>
      <c r="X3896">
        <v>2</v>
      </c>
      <c r="Y3896">
        <v>0</v>
      </c>
      <c r="Z3896">
        <v>0</v>
      </c>
      <c r="AB3896">
        <v>0</v>
      </c>
      <c r="AC3896">
        <v>9</v>
      </c>
      <c r="AD3896">
        <v>3</v>
      </c>
      <c r="AE3896">
        <v>0</v>
      </c>
      <c r="AF3896">
        <v>9</v>
      </c>
      <c r="AG3896" t="s">
        <v>158</v>
      </c>
      <c r="AH3896">
        <v>0</v>
      </c>
      <c r="AI3896">
        <v>3</v>
      </c>
      <c r="AJ3896">
        <v>1</v>
      </c>
      <c r="AK3896">
        <v>0</v>
      </c>
      <c r="AL3896" t="s">
        <v>7348</v>
      </c>
      <c r="AM3896">
        <v>47.058241000000002</v>
      </c>
      <c r="AN3896" t="s">
        <v>7349</v>
      </c>
      <c r="AO3896">
        <v>-123.995755</v>
      </c>
      <c r="AP3896">
        <v>100</v>
      </c>
      <c r="AQ3896">
        <v>2100</v>
      </c>
      <c r="AR3896" t="s">
        <v>118</v>
      </c>
      <c r="AS3896">
        <v>-80</v>
      </c>
      <c r="AT3896">
        <v>24</v>
      </c>
      <c r="AU3896">
        <v>-256</v>
      </c>
      <c r="BC3896">
        <v>1200</v>
      </c>
      <c r="BD3896">
        <v>1</v>
      </c>
      <c r="BE3896" t="str">
        <f t="shared" si="182"/>
        <v xml:space="preserve">N215T   </v>
      </c>
      <c r="BF3896">
        <v>1</v>
      </c>
      <c r="BH3896">
        <v>0</v>
      </c>
      <c r="BI3896">
        <v>0</v>
      </c>
      <c r="BJ3896">
        <v>0</v>
      </c>
      <c r="BK3896">
        <v>2500</v>
      </c>
      <c r="BL3896">
        <v>400</v>
      </c>
      <c r="BM3896" t="s">
        <v>119</v>
      </c>
      <c r="BN3896">
        <v>1</v>
      </c>
      <c r="BO3896">
        <v>1</v>
      </c>
      <c r="BP3896">
        <v>1</v>
      </c>
      <c r="BQ3896">
        <v>0</v>
      </c>
      <c r="BT3896">
        <v>0</v>
      </c>
      <c r="BU3896">
        <v>0</v>
      </c>
      <c r="BV3896">
        <v>0</v>
      </c>
      <c r="CC3896" t="str">
        <f>"19:40:01.305"</f>
        <v>19:40:01.305</v>
      </c>
      <c r="CD3896" t="str">
        <f>"307685053"</f>
        <v>307685053</v>
      </c>
      <c r="CQ3896">
        <v>0</v>
      </c>
      <c r="CR3896">
        <v>2</v>
      </c>
      <c r="CS3896">
        <v>0</v>
      </c>
      <c r="CT3896">
        <v>2</v>
      </c>
      <c r="CU3896">
        <v>0</v>
      </c>
      <c r="CV3896">
        <v>2</v>
      </c>
      <c r="CW3896" t="s">
        <v>120</v>
      </c>
      <c r="CX3896">
        <v>257</v>
      </c>
      <c r="CY3896">
        <v>0</v>
      </c>
      <c r="CZ3896" t="s">
        <v>615</v>
      </c>
      <c r="DA3896" t="s">
        <v>616</v>
      </c>
      <c r="DD3896">
        <v>16605798</v>
      </c>
      <c r="DE3896" t="s">
        <v>123</v>
      </c>
    </row>
    <row r="3897" spans="1:109" x14ac:dyDescent="0.3">
      <c r="A3897" t="str">
        <f>"19:40:02.672"</f>
        <v>19:40:02.672</v>
      </c>
      <c r="B3897" t="s">
        <v>110</v>
      </c>
      <c r="C3897" t="str">
        <f t="shared" si="180"/>
        <v>ffdfd3c0</v>
      </c>
      <c r="D3897" t="s">
        <v>111</v>
      </c>
      <c r="E3897">
        <v>18</v>
      </c>
      <c r="F3897">
        <v>1018</v>
      </c>
      <c r="G3897" t="s">
        <v>112</v>
      </c>
      <c r="J3897" t="s">
        <v>113</v>
      </c>
      <c r="K3897">
        <v>0</v>
      </c>
      <c r="L3897">
        <v>3</v>
      </c>
      <c r="M3897">
        <v>0</v>
      </c>
      <c r="N3897">
        <v>2</v>
      </c>
      <c r="O3897">
        <v>1</v>
      </c>
      <c r="P3897">
        <v>0</v>
      </c>
      <c r="Q3897">
        <v>0</v>
      </c>
      <c r="R3897" t="s">
        <v>114</v>
      </c>
      <c r="S3897" t="str">
        <f>"19:40:02.461"</f>
        <v>19:40:02.461</v>
      </c>
      <c r="T3897" t="str">
        <f>"19:40:02.063"</f>
        <v>19:40:02.063</v>
      </c>
      <c r="U3897" t="str">
        <f t="shared" si="181"/>
        <v>a1cdbe</v>
      </c>
      <c r="V3897">
        <v>0</v>
      </c>
      <c r="W3897">
        <v>0</v>
      </c>
      <c r="X3897">
        <v>2</v>
      </c>
      <c r="Y3897">
        <v>0</v>
      </c>
      <c r="Z3897">
        <v>0</v>
      </c>
      <c r="AB3897">
        <v>0</v>
      </c>
      <c r="AC3897">
        <v>9</v>
      </c>
      <c r="AD3897">
        <v>3</v>
      </c>
      <c r="AE3897">
        <v>0</v>
      </c>
      <c r="AF3897">
        <v>9</v>
      </c>
      <c r="AG3897" t="s">
        <v>158</v>
      </c>
      <c r="AH3897">
        <v>0</v>
      </c>
      <c r="AI3897">
        <v>3</v>
      </c>
      <c r="AJ3897">
        <v>1</v>
      </c>
      <c r="AK3897">
        <v>0</v>
      </c>
      <c r="AL3897" t="s">
        <v>7350</v>
      </c>
      <c r="AM3897">
        <v>47.058369999999996</v>
      </c>
      <c r="AN3897" t="s">
        <v>7351</v>
      </c>
      <c r="AO3897">
        <v>-123.996377</v>
      </c>
      <c r="AP3897">
        <v>100</v>
      </c>
      <c r="AQ3897">
        <v>2100</v>
      </c>
      <c r="AR3897" t="s">
        <v>118</v>
      </c>
      <c r="AS3897">
        <v>-81</v>
      </c>
      <c r="AT3897">
        <v>24</v>
      </c>
      <c r="AU3897">
        <v>-192</v>
      </c>
      <c r="BC3897">
        <v>1200</v>
      </c>
      <c r="BD3897">
        <v>1</v>
      </c>
      <c r="BE3897" t="str">
        <f t="shared" si="182"/>
        <v xml:space="preserve">N215T   </v>
      </c>
      <c r="BF3897">
        <v>1</v>
      </c>
      <c r="BH3897">
        <v>0</v>
      </c>
      <c r="BI3897">
        <v>0</v>
      </c>
      <c r="BJ3897">
        <v>0</v>
      </c>
      <c r="BK3897">
        <v>2500</v>
      </c>
      <c r="BL3897">
        <v>400</v>
      </c>
      <c r="BM3897" t="s">
        <v>119</v>
      </c>
      <c r="BN3897">
        <v>1</v>
      </c>
      <c r="BO3897">
        <v>1</v>
      </c>
      <c r="BP3897">
        <v>1</v>
      </c>
      <c r="BQ3897">
        <v>0</v>
      </c>
      <c r="BT3897">
        <v>0</v>
      </c>
      <c r="BU3897">
        <v>0</v>
      </c>
      <c r="BV3897">
        <v>0</v>
      </c>
      <c r="CC3897" t="str">
        <f>"19:40:02.461"</f>
        <v>19:40:02.461</v>
      </c>
      <c r="CD3897" t="str">
        <f>"462571239"</f>
        <v>462571239</v>
      </c>
      <c r="CQ3897">
        <v>0</v>
      </c>
      <c r="CR3897">
        <v>2</v>
      </c>
      <c r="CS3897">
        <v>0</v>
      </c>
      <c r="CT3897">
        <v>2</v>
      </c>
      <c r="CU3897">
        <v>0</v>
      </c>
      <c r="CV3897">
        <v>2</v>
      </c>
      <c r="CW3897" t="s">
        <v>120</v>
      </c>
      <c r="CX3897">
        <v>257</v>
      </c>
      <c r="CY3897">
        <v>0</v>
      </c>
      <c r="CZ3897" t="s">
        <v>615</v>
      </c>
      <c r="DA3897" t="s">
        <v>616</v>
      </c>
      <c r="DD3897">
        <v>16606125</v>
      </c>
      <c r="DE3897" t="s">
        <v>123</v>
      </c>
    </row>
    <row r="3898" spans="1:109" x14ac:dyDescent="0.3">
      <c r="A3898" t="str">
        <f>"19:40:03.680"</f>
        <v>19:40:03.680</v>
      </c>
      <c r="B3898" t="s">
        <v>110</v>
      </c>
      <c r="C3898" t="str">
        <f t="shared" si="180"/>
        <v>ffdfd3c0</v>
      </c>
      <c r="D3898" t="s">
        <v>111</v>
      </c>
      <c r="E3898">
        <v>18</v>
      </c>
      <c r="F3898">
        <v>1018</v>
      </c>
      <c r="G3898" t="s">
        <v>112</v>
      </c>
      <c r="J3898" t="s">
        <v>113</v>
      </c>
      <c r="K3898">
        <v>0</v>
      </c>
      <c r="L3898">
        <v>3</v>
      </c>
      <c r="M3898">
        <v>0</v>
      </c>
      <c r="N3898">
        <v>2</v>
      </c>
      <c r="O3898">
        <v>1</v>
      </c>
      <c r="P3898">
        <v>0</v>
      </c>
      <c r="Q3898">
        <v>0</v>
      </c>
      <c r="R3898" t="s">
        <v>114</v>
      </c>
      <c r="S3898" t="str">
        <f>"19:40:03.422"</f>
        <v>19:40:03.422</v>
      </c>
      <c r="T3898" t="str">
        <f>"19:40:03.125"</f>
        <v>19:40:03.125</v>
      </c>
      <c r="U3898" t="str">
        <f t="shared" si="181"/>
        <v>a1cdbe</v>
      </c>
      <c r="V3898">
        <v>0</v>
      </c>
      <c r="W3898">
        <v>0</v>
      </c>
      <c r="X3898">
        <v>2</v>
      </c>
      <c r="Y3898">
        <v>0</v>
      </c>
      <c r="Z3898">
        <v>0</v>
      </c>
      <c r="AB3898">
        <v>0</v>
      </c>
      <c r="AC3898">
        <v>9</v>
      </c>
      <c r="AD3898">
        <v>3</v>
      </c>
      <c r="AE3898">
        <v>0</v>
      </c>
      <c r="AF3898">
        <v>9</v>
      </c>
      <c r="AG3898" t="s">
        <v>158</v>
      </c>
      <c r="AH3898">
        <v>0</v>
      </c>
      <c r="AI3898">
        <v>3</v>
      </c>
      <c r="AJ3898">
        <v>1</v>
      </c>
      <c r="AK3898">
        <v>0</v>
      </c>
      <c r="AL3898" t="s">
        <v>7352</v>
      </c>
      <c r="AM3898">
        <v>47.058498999999998</v>
      </c>
      <c r="AN3898" t="s">
        <v>7353</v>
      </c>
      <c r="AO3898">
        <v>-123.996849</v>
      </c>
      <c r="AP3898">
        <v>100</v>
      </c>
      <c r="AQ3898">
        <v>2100</v>
      </c>
      <c r="AR3898" t="s">
        <v>118</v>
      </c>
      <c r="AS3898">
        <v>-81</v>
      </c>
      <c r="AT3898">
        <v>24</v>
      </c>
      <c r="AU3898">
        <v>-192</v>
      </c>
      <c r="BC3898">
        <v>1200</v>
      </c>
      <c r="BD3898">
        <v>1</v>
      </c>
      <c r="BE3898" t="str">
        <f t="shared" si="182"/>
        <v xml:space="preserve">N215T   </v>
      </c>
      <c r="BF3898">
        <v>1</v>
      </c>
      <c r="BH3898">
        <v>0</v>
      </c>
      <c r="BI3898">
        <v>0</v>
      </c>
      <c r="BJ3898">
        <v>0</v>
      </c>
      <c r="BK3898">
        <v>2500</v>
      </c>
      <c r="BL3898">
        <v>400</v>
      </c>
      <c r="BM3898" t="s">
        <v>119</v>
      </c>
      <c r="BN3898">
        <v>1</v>
      </c>
      <c r="BO3898">
        <v>1</v>
      </c>
      <c r="BP3898">
        <v>1</v>
      </c>
      <c r="BQ3898">
        <v>0</v>
      </c>
      <c r="BT3898">
        <v>0</v>
      </c>
      <c r="BU3898">
        <v>0</v>
      </c>
      <c r="BV3898">
        <v>0</v>
      </c>
      <c r="CC3898" t="str">
        <f>"19:40:03.422"</f>
        <v>19:40:03.422</v>
      </c>
      <c r="CD3898" t="str">
        <f>"422476746"</f>
        <v>422476746</v>
      </c>
      <c r="CQ3898">
        <v>0</v>
      </c>
      <c r="CR3898">
        <v>2</v>
      </c>
      <c r="CS3898">
        <v>0</v>
      </c>
      <c r="CT3898">
        <v>2</v>
      </c>
      <c r="CU3898">
        <v>0</v>
      </c>
      <c r="CV3898">
        <v>4</v>
      </c>
      <c r="CW3898" t="s">
        <v>120</v>
      </c>
      <c r="CX3898">
        <v>257</v>
      </c>
      <c r="CY3898">
        <v>0</v>
      </c>
      <c r="CZ3898" t="s">
        <v>615</v>
      </c>
      <c r="DA3898" t="s">
        <v>616</v>
      </c>
      <c r="DD3898">
        <v>16606438</v>
      </c>
      <c r="DE3898" t="s">
        <v>123</v>
      </c>
    </row>
    <row r="3899" spans="1:109" x14ac:dyDescent="0.3">
      <c r="A3899" t="str">
        <f>"19:40:04.734"</f>
        <v>19:40:04.734</v>
      </c>
      <c r="B3899" t="s">
        <v>110</v>
      </c>
      <c r="C3899" t="str">
        <f t="shared" si="180"/>
        <v>ffdfd3c0</v>
      </c>
      <c r="D3899" t="s">
        <v>111</v>
      </c>
      <c r="E3899">
        <v>18</v>
      </c>
      <c r="F3899">
        <v>1018</v>
      </c>
      <c r="G3899" t="s">
        <v>112</v>
      </c>
      <c r="J3899" t="s">
        <v>113</v>
      </c>
      <c r="K3899">
        <v>0</v>
      </c>
      <c r="L3899">
        <v>3</v>
      </c>
      <c r="M3899">
        <v>0</v>
      </c>
      <c r="N3899">
        <v>2</v>
      </c>
      <c r="O3899">
        <v>1</v>
      </c>
      <c r="P3899">
        <v>0</v>
      </c>
      <c r="Q3899">
        <v>0</v>
      </c>
      <c r="R3899" t="s">
        <v>114</v>
      </c>
      <c r="S3899" t="str">
        <f>"19:40:04.469"</f>
        <v>19:40:04.469</v>
      </c>
      <c r="T3899" t="str">
        <f>"19:40:04.172"</f>
        <v>19:40:04.172</v>
      </c>
      <c r="U3899" t="str">
        <f t="shared" si="181"/>
        <v>a1cdbe</v>
      </c>
      <c r="V3899">
        <v>0</v>
      </c>
      <c r="W3899">
        <v>0</v>
      </c>
      <c r="X3899">
        <v>2</v>
      </c>
      <c r="Y3899">
        <v>0</v>
      </c>
      <c r="Z3899">
        <v>0</v>
      </c>
      <c r="AB3899">
        <v>0</v>
      </c>
      <c r="AC3899">
        <v>9</v>
      </c>
      <c r="AD3899">
        <v>3</v>
      </c>
      <c r="AE3899">
        <v>0</v>
      </c>
      <c r="AF3899">
        <v>9</v>
      </c>
      <c r="AG3899" t="s">
        <v>158</v>
      </c>
      <c r="AH3899">
        <v>0</v>
      </c>
      <c r="AI3899">
        <v>3</v>
      </c>
      <c r="AJ3899">
        <v>1</v>
      </c>
      <c r="AK3899">
        <v>0</v>
      </c>
      <c r="AL3899" t="s">
        <v>7354</v>
      </c>
      <c r="AM3899">
        <v>47.058605999999997</v>
      </c>
      <c r="AN3899" t="s">
        <v>7355</v>
      </c>
      <c r="AO3899">
        <v>-123.997471</v>
      </c>
      <c r="AP3899">
        <v>100</v>
      </c>
      <c r="AQ3899">
        <v>2100</v>
      </c>
      <c r="AR3899" t="s">
        <v>118</v>
      </c>
      <c r="AS3899">
        <v>-81</v>
      </c>
      <c r="AT3899">
        <v>24</v>
      </c>
      <c r="AU3899">
        <v>-192</v>
      </c>
      <c r="BC3899">
        <v>1200</v>
      </c>
      <c r="BD3899">
        <v>1</v>
      </c>
      <c r="BE3899" t="str">
        <f t="shared" si="182"/>
        <v xml:space="preserve">N215T   </v>
      </c>
      <c r="BF3899">
        <v>1</v>
      </c>
      <c r="BH3899">
        <v>0</v>
      </c>
      <c r="BI3899">
        <v>0</v>
      </c>
      <c r="BJ3899">
        <v>0</v>
      </c>
      <c r="BK3899">
        <v>2500</v>
      </c>
      <c r="BL3899">
        <v>400</v>
      </c>
      <c r="BM3899" t="s">
        <v>119</v>
      </c>
      <c r="BN3899">
        <v>1</v>
      </c>
      <c r="BO3899">
        <v>1</v>
      </c>
      <c r="BP3899">
        <v>1</v>
      </c>
      <c r="BQ3899">
        <v>0</v>
      </c>
      <c r="BT3899">
        <v>0</v>
      </c>
      <c r="BU3899">
        <v>0</v>
      </c>
      <c r="BV3899">
        <v>0</v>
      </c>
      <c r="CC3899" t="str">
        <f>"19:40:04.469"</f>
        <v>19:40:04.469</v>
      </c>
      <c r="CD3899" t="str">
        <f>"472373327"</f>
        <v>472373327</v>
      </c>
      <c r="CQ3899">
        <v>0</v>
      </c>
      <c r="CR3899">
        <v>2</v>
      </c>
      <c r="CS3899">
        <v>0</v>
      </c>
      <c r="CT3899">
        <v>2</v>
      </c>
      <c r="CU3899">
        <v>0</v>
      </c>
      <c r="CV3899">
        <v>2</v>
      </c>
      <c r="CW3899" t="s">
        <v>120</v>
      </c>
      <c r="CX3899">
        <v>257</v>
      </c>
      <c r="CY3899">
        <v>0</v>
      </c>
      <c r="CZ3899" t="s">
        <v>615</v>
      </c>
      <c r="DA3899" t="s">
        <v>616</v>
      </c>
      <c r="DD3899">
        <v>16606757</v>
      </c>
      <c r="DE3899" t="s">
        <v>123</v>
      </c>
    </row>
    <row r="3900" spans="1:109" x14ac:dyDescent="0.3">
      <c r="A3900" t="str">
        <f>"19:40:05.688"</f>
        <v>19:40:05.688</v>
      </c>
      <c r="B3900" t="s">
        <v>110</v>
      </c>
      <c r="C3900" t="str">
        <f t="shared" si="180"/>
        <v>ffdfd3c0</v>
      </c>
      <c r="D3900" t="s">
        <v>111</v>
      </c>
      <c r="E3900">
        <v>18</v>
      </c>
      <c r="F3900">
        <v>1018</v>
      </c>
      <c r="G3900" t="s">
        <v>112</v>
      </c>
      <c r="J3900" t="s">
        <v>113</v>
      </c>
      <c r="K3900">
        <v>0</v>
      </c>
      <c r="L3900">
        <v>3</v>
      </c>
      <c r="M3900">
        <v>0</v>
      </c>
      <c r="N3900">
        <v>2</v>
      </c>
      <c r="O3900">
        <v>1</v>
      </c>
      <c r="P3900">
        <v>0</v>
      </c>
      <c r="Q3900">
        <v>0</v>
      </c>
      <c r="R3900" t="s">
        <v>114</v>
      </c>
      <c r="S3900" t="str">
        <f>"19:40:05.445"</f>
        <v>19:40:05.445</v>
      </c>
      <c r="T3900" t="str">
        <f>"19:40:04.945"</f>
        <v>19:40:04.945</v>
      </c>
      <c r="U3900" t="str">
        <f t="shared" si="181"/>
        <v>a1cdbe</v>
      </c>
      <c r="V3900">
        <v>0</v>
      </c>
      <c r="W3900">
        <v>0</v>
      </c>
      <c r="X3900">
        <v>2</v>
      </c>
      <c r="Y3900">
        <v>0</v>
      </c>
      <c r="Z3900">
        <v>0</v>
      </c>
      <c r="AB3900">
        <v>0</v>
      </c>
      <c r="AC3900">
        <v>9</v>
      </c>
      <c r="AD3900">
        <v>3</v>
      </c>
      <c r="AE3900">
        <v>0</v>
      </c>
      <c r="AF3900">
        <v>9</v>
      </c>
      <c r="AG3900" t="s">
        <v>158</v>
      </c>
      <c r="AH3900">
        <v>0</v>
      </c>
      <c r="AI3900">
        <v>3</v>
      </c>
      <c r="AJ3900">
        <v>1</v>
      </c>
      <c r="AK3900">
        <v>0</v>
      </c>
      <c r="AL3900" t="s">
        <v>7356</v>
      </c>
      <c r="AM3900">
        <v>47.058734999999999</v>
      </c>
      <c r="AN3900" t="s">
        <v>7357</v>
      </c>
      <c r="AO3900">
        <v>-123.998029</v>
      </c>
      <c r="AP3900">
        <v>100</v>
      </c>
      <c r="AQ3900">
        <v>2100</v>
      </c>
      <c r="AR3900" t="s">
        <v>118</v>
      </c>
      <c r="AS3900">
        <v>-81</v>
      </c>
      <c r="AT3900">
        <v>24</v>
      </c>
      <c r="AU3900">
        <v>-192</v>
      </c>
      <c r="BC3900">
        <v>1200</v>
      </c>
      <c r="BD3900">
        <v>1</v>
      </c>
      <c r="BE3900" t="str">
        <f t="shared" si="182"/>
        <v xml:space="preserve">N215T   </v>
      </c>
      <c r="BF3900">
        <v>1</v>
      </c>
      <c r="BH3900">
        <v>0</v>
      </c>
      <c r="BI3900">
        <v>0</v>
      </c>
      <c r="BJ3900">
        <v>0</v>
      </c>
      <c r="BK3900">
        <v>2500</v>
      </c>
      <c r="BL3900">
        <v>400</v>
      </c>
      <c r="BM3900" t="s">
        <v>119</v>
      </c>
      <c r="BN3900">
        <v>1</v>
      </c>
      <c r="BO3900">
        <v>1</v>
      </c>
      <c r="BP3900">
        <v>1</v>
      </c>
      <c r="BQ3900">
        <v>0</v>
      </c>
      <c r="BT3900">
        <v>0</v>
      </c>
      <c r="BU3900">
        <v>0</v>
      </c>
      <c r="BV3900">
        <v>0</v>
      </c>
      <c r="CC3900" t="str">
        <f>"19:40:05.445"</f>
        <v>19:40:05.445</v>
      </c>
      <c r="CD3900" t="str">
        <f>"447277375"</f>
        <v>447277375</v>
      </c>
      <c r="CQ3900">
        <v>0</v>
      </c>
      <c r="CR3900">
        <v>2</v>
      </c>
      <c r="CS3900">
        <v>0</v>
      </c>
      <c r="CT3900">
        <v>2</v>
      </c>
      <c r="CU3900">
        <v>0</v>
      </c>
      <c r="CV3900">
        <v>2</v>
      </c>
      <c r="CW3900" t="s">
        <v>120</v>
      </c>
      <c r="CX3900">
        <v>257</v>
      </c>
      <c r="CY3900">
        <v>0</v>
      </c>
      <c r="CZ3900" t="s">
        <v>615</v>
      </c>
      <c r="DA3900" t="s">
        <v>616</v>
      </c>
      <c r="DD3900">
        <v>16607068</v>
      </c>
      <c r="DE3900" t="s">
        <v>123</v>
      </c>
    </row>
    <row r="3901" spans="1:109" x14ac:dyDescent="0.3">
      <c r="A3901" t="str">
        <f>"19:40:07.344"</f>
        <v>19:40:07.344</v>
      </c>
      <c r="B3901" t="s">
        <v>110</v>
      </c>
      <c r="C3901" t="str">
        <f t="shared" si="180"/>
        <v>ffdfd3c0</v>
      </c>
      <c r="D3901" t="s">
        <v>111</v>
      </c>
      <c r="E3901">
        <v>18</v>
      </c>
      <c r="F3901">
        <v>1018</v>
      </c>
      <c r="G3901" t="s">
        <v>112</v>
      </c>
      <c r="J3901" t="s">
        <v>113</v>
      </c>
      <c r="K3901">
        <v>0</v>
      </c>
      <c r="L3901">
        <v>3</v>
      </c>
      <c r="M3901">
        <v>0</v>
      </c>
      <c r="N3901">
        <v>2</v>
      </c>
      <c r="O3901">
        <v>1</v>
      </c>
      <c r="P3901">
        <v>0</v>
      </c>
      <c r="Q3901">
        <v>0</v>
      </c>
      <c r="R3901" t="s">
        <v>114</v>
      </c>
      <c r="S3901" t="str">
        <f>"19:40:07.125"</f>
        <v>19:40:07.125</v>
      </c>
      <c r="T3901" t="str">
        <f>"19:40:07.125"</f>
        <v>19:40:07.125</v>
      </c>
      <c r="U3901" t="str">
        <f t="shared" si="181"/>
        <v>a1cdbe</v>
      </c>
      <c r="V3901">
        <v>0</v>
      </c>
      <c r="W3901">
        <v>0</v>
      </c>
      <c r="X3901">
        <v>2</v>
      </c>
      <c r="Y3901">
        <v>0</v>
      </c>
      <c r="Z3901">
        <v>0</v>
      </c>
      <c r="AB3901">
        <v>0</v>
      </c>
      <c r="AC3901">
        <v>9</v>
      </c>
      <c r="AD3901">
        <v>3</v>
      </c>
      <c r="AE3901">
        <v>0</v>
      </c>
      <c r="AF3901">
        <v>9</v>
      </c>
      <c r="AG3901" t="s">
        <v>158</v>
      </c>
      <c r="AH3901">
        <v>0</v>
      </c>
      <c r="AI3901">
        <v>3</v>
      </c>
      <c r="AJ3901">
        <v>1</v>
      </c>
      <c r="AK3901">
        <v>0</v>
      </c>
      <c r="AL3901" t="s">
        <v>516</v>
      </c>
      <c r="AM3901">
        <v>47.058864</v>
      </c>
      <c r="AN3901" t="s">
        <v>7358</v>
      </c>
      <c r="AO3901">
        <v>-123.998952</v>
      </c>
      <c r="AP3901">
        <v>100</v>
      </c>
      <c r="AQ3901">
        <v>2100</v>
      </c>
      <c r="AR3901" t="s">
        <v>118</v>
      </c>
      <c r="AS3901">
        <v>-82</v>
      </c>
      <c r="AT3901">
        <v>24</v>
      </c>
      <c r="AU3901">
        <v>-128</v>
      </c>
      <c r="BC3901">
        <v>1200</v>
      </c>
      <c r="BD3901">
        <v>1</v>
      </c>
      <c r="BE3901" t="str">
        <f t="shared" si="182"/>
        <v xml:space="preserve">N215T   </v>
      </c>
      <c r="BF3901">
        <v>1</v>
      </c>
      <c r="BH3901">
        <v>0</v>
      </c>
      <c r="BI3901">
        <v>0</v>
      </c>
      <c r="BJ3901">
        <v>0</v>
      </c>
      <c r="BK3901">
        <v>2500</v>
      </c>
      <c r="BL3901">
        <v>400</v>
      </c>
      <c r="BM3901" t="s">
        <v>119</v>
      </c>
      <c r="BN3901">
        <v>1</v>
      </c>
      <c r="BO3901">
        <v>1</v>
      </c>
      <c r="BP3901">
        <v>1</v>
      </c>
      <c r="BQ3901">
        <v>0</v>
      </c>
      <c r="BT3901">
        <v>0</v>
      </c>
      <c r="BU3901">
        <v>0</v>
      </c>
      <c r="BV3901">
        <v>0</v>
      </c>
      <c r="CC3901" t="str">
        <f>"19:40:07.125"</f>
        <v>19:40:07.125</v>
      </c>
      <c r="CD3901" t="str">
        <f>"127111843"</f>
        <v>127111843</v>
      </c>
      <c r="CQ3901">
        <v>0</v>
      </c>
      <c r="CR3901">
        <v>2</v>
      </c>
      <c r="CS3901">
        <v>0</v>
      </c>
      <c r="CT3901">
        <v>2</v>
      </c>
      <c r="CU3901">
        <v>0</v>
      </c>
      <c r="CV3901">
        <v>2</v>
      </c>
      <c r="CW3901" t="s">
        <v>120</v>
      </c>
      <c r="CX3901">
        <v>257</v>
      </c>
      <c r="CY3901">
        <v>0</v>
      </c>
      <c r="CZ3901" t="s">
        <v>615</v>
      </c>
      <c r="DA3901" t="s">
        <v>616</v>
      </c>
      <c r="DD3901">
        <v>16607627</v>
      </c>
      <c r="DE3901" t="s">
        <v>123</v>
      </c>
    </row>
    <row r="3902" spans="1:109" x14ac:dyDescent="0.3">
      <c r="A3902" t="str">
        <f>"19:40:08.305"</f>
        <v>19:40:08.305</v>
      </c>
      <c r="B3902" t="s">
        <v>110</v>
      </c>
      <c r="C3902" t="str">
        <f t="shared" si="180"/>
        <v>ffdfd3c0</v>
      </c>
      <c r="D3902" t="s">
        <v>111</v>
      </c>
      <c r="E3902">
        <v>18</v>
      </c>
      <c r="F3902">
        <v>1018</v>
      </c>
      <c r="G3902" t="s">
        <v>112</v>
      </c>
      <c r="J3902" t="s">
        <v>113</v>
      </c>
      <c r="K3902">
        <v>0</v>
      </c>
      <c r="L3902">
        <v>3</v>
      </c>
      <c r="M3902">
        <v>0</v>
      </c>
      <c r="N3902">
        <v>2</v>
      </c>
      <c r="O3902">
        <v>1</v>
      </c>
      <c r="P3902">
        <v>0</v>
      </c>
      <c r="Q3902">
        <v>0</v>
      </c>
      <c r="R3902" t="s">
        <v>114</v>
      </c>
      <c r="S3902" t="str">
        <f>"19:40:08.070"</f>
        <v>19:40:08.070</v>
      </c>
      <c r="T3902" t="str">
        <f>"19:40:07.172"</f>
        <v>19:40:07.172</v>
      </c>
      <c r="U3902" t="str">
        <f t="shared" si="181"/>
        <v>a1cdbe</v>
      </c>
      <c r="V3902">
        <v>0</v>
      </c>
      <c r="W3902">
        <v>0</v>
      </c>
      <c r="X3902">
        <v>2</v>
      </c>
      <c r="Y3902">
        <v>0</v>
      </c>
      <c r="Z3902">
        <v>0</v>
      </c>
      <c r="AB3902">
        <v>0</v>
      </c>
      <c r="AC3902">
        <v>9</v>
      </c>
      <c r="AD3902">
        <v>3</v>
      </c>
      <c r="AE3902">
        <v>0</v>
      </c>
      <c r="AF3902">
        <v>9</v>
      </c>
      <c r="AG3902" t="s">
        <v>158</v>
      </c>
      <c r="AH3902">
        <v>0</v>
      </c>
      <c r="AI3902">
        <v>3</v>
      </c>
      <c r="AJ3902">
        <v>1</v>
      </c>
      <c r="AK3902">
        <v>0</v>
      </c>
      <c r="AL3902" t="s">
        <v>7359</v>
      </c>
      <c r="AM3902">
        <v>47.058971</v>
      </c>
      <c r="AN3902" t="s">
        <v>7360</v>
      </c>
      <c r="AO3902">
        <v>-123.999467</v>
      </c>
      <c r="AP3902">
        <v>100</v>
      </c>
      <c r="AQ3902">
        <v>2100</v>
      </c>
      <c r="AR3902" t="s">
        <v>118</v>
      </c>
      <c r="AS3902">
        <v>-82</v>
      </c>
      <c r="AT3902">
        <v>24</v>
      </c>
      <c r="AU3902">
        <v>-128</v>
      </c>
      <c r="BC3902">
        <v>1200</v>
      </c>
      <c r="BD3902">
        <v>1</v>
      </c>
      <c r="BE3902" t="str">
        <f t="shared" si="182"/>
        <v xml:space="preserve">N215T   </v>
      </c>
      <c r="BF3902">
        <v>1</v>
      </c>
      <c r="BH3902">
        <v>0</v>
      </c>
      <c r="BI3902">
        <v>0</v>
      </c>
      <c r="BJ3902">
        <v>0</v>
      </c>
      <c r="BK3902">
        <v>2500</v>
      </c>
      <c r="BL3902">
        <v>400</v>
      </c>
      <c r="BM3902" t="s">
        <v>119</v>
      </c>
      <c r="BN3902">
        <v>1</v>
      </c>
      <c r="BO3902">
        <v>1</v>
      </c>
      <c r="BP3902">
        <v>1</v>
      </c>
      <c r="BQ3902">
        <v>0</v>
      </c>
      <c r="BT3902">
        <v>0</v>
      </c>
      <c r="BU3902">
        <v>0</v>
      </c>
      <c r="BV3902">
        <v>0</v>
      </c>
      <c r="CC3902" t="str">
        <f>"19:40:08.070"</f>
        <v>19:40:08.070</v>
      </c>
      <c r="CD3902" t="str">
        <f>"072018817"</f>
        <v>072018817</v>
      </c>
      <c r="CQ3902">
        <v>0</v>
      </c>
      <c r="CR3902">
        <v>2</v>
      </c>
      <c r="CS3902">
        <v>0</v>
      </c>
      <c r="CT3902">
        <v>2</v>
      </c>
      <c r="CU3902">
        <v>0</v>
      </c>
      <c r="CV3902">
        <v>2</v>
      </c>
      <c r="CW3902" t="s">
        <v>120</v>
      </c>
      <c r="CX3902">
        <v>257</v>
      </c>
      <c r="CY3902">
        <v>0</v>
      </c>
      <c r="CZ3902" t="s">
        <v>615</v>
      </c>
      <c r="DA3902" t="s">
        <v>616</v>
      </c>
      <c r="DD3902">
        <v>16607937</v>
      </c>
      <c r="DE3902" t="s">
        <v>123</v>
      </c>
    </row>
    <row r="3903" spans="1:109" x14ac:dyDescent="0.3">
      <c r="A3903" t="str">
        <f>"19:40:09.359"</f>
        <v>19:40:09.359</v>
      </c>
      <c r="B3903" t="s">
        <v>110</v>
      </c>
      <c r="C3903" t="str">
        <f t="shared" si="180"/>
        <v>ffdfd3c0</v>
      </c>
      <c r="D3903" t="s">
        <v>111</v>
      </c>
      <c r="E3903">
        <v>18</v>
      </c>
      <c r="F3903">
        <v>1018</v>
      </c>
      <c r="G3903" t="s">
        <v>112</v>
      </c>
      <c r="J3903" t="s">
        <v>113</v>
      </c>
      <c r="K3903">
        <v>0</v>
      </c>
      <c r="L3903">
        <v>3</v>
      </c>
      <c r="M3903">
        <v>0</v>
      </c>
      <c r="N3903">
        <v>2</v>
      </c>
      <c r="O3903">
        <v>1</v>
      </c>
      <c r="P3903">
        <v>0</v>
      </c>
      <c r="Q3903">
        <v>0</v>
      </c>
      <c r="R3903" t="s">
        <v>114</v>
      </c>
      <c r="S3903" t="str">
        <f>"19:40:09.086"</f>
        <v>19:40:09.086</v>
      </c>
      <c r="T3903" t="str">
        <f>"19:40:08.688"</f>
        <v>19:40:08.688</v>
      </c>
      <c r="U3903" t="str">
        <f t="shared" si="181"/>
        <v>a1cdbe</v>
      </c>
      <c r="V3903">
        <v>0</v>
      </c>
      <c r="W3903">
        <v>0</v>
      </c>
      <c r="X3903">
        <v>2</v>
      </c>
      <c r="Y3903">
        <v>0</v>
      </c>
      <c r="Z3903">
        <v>0</v>
      </c>
      <c r="AB3903">
        <v>0</v>
      </c>
      <c r="AC3903">
        <v>9</v>
      </c>
      <c r="AD3903">
        <v>3</v>
      </c>
      <c r="AE3903">
        <v>0</v>
      </c>
      <c r="AF3903">
        <v>9</v>
      </c>
      <c r="AG3903" t="s">
        <v>158</v>
      </c>
      <c r="AH3903">
        <v>0</v>
      </c>
      <c r="AI3903">
        <v>3</v>
      </c>
      <c r="AJ3903">
        <v>1</v>
      </c>
      <c r="AK3903">
        <v>0</v>
      </c>
      <c r="AL3903" t="s">
        <v>7361</v>
      </c>
      <c r="AM3903">
        <v>47.059100000000001</v>
      </c>
      <c r="AN3903" t="s">
        <v>7362</v>
      </c>
      <c r="AO3903">
        <v>-124.00000300000001</v>
      </c>
      <c r="AP3903">
        <v>100</v>
      </c>
      <c r="AQ3903">
        <v>2100</v>
      </c>
      <c r="AR3903" t="s">
        <v>118</v>
      </c>
      <c r="AS3903">
        <v>-82</v>
      </c>
      <c r="AT3903">
        <v>23</v>
      </c>
      <c r="AU3903">
        <v>-64</v>
      </c>
      <c r="BC3903">
        <v>1200</v>
      </c>
      <c r="BD3903">
        <v>1</v>
      </c>
      <c r="BE3903" t="str">
        <f t="shared" si="182"/>
        <v xml:space="preserve">N215T   </v>
      </c>
      <c r="BF3903">
        <v>1</v>
      </c>
      <c r="BH3903">
        <v>0</v>
      </c>
      <c r="BI3903">
        <v>0</v>
      </c>
      <c r="BJ3903">
        <v>0</v>
      </c>
      <c r="BK3903">
        <v>2475</v>
      </c>
      <c r="BL3903">
        <v>375</v>
      </c>
      <c r="BM3903" t="s">
        <v>119</v>
      </c>
      <c r="BN3903">
        <v>1</v>
      </c>
      <c r="BO3903">
        <v>1</v>
      </c>
      <c r="BP3903">
        <v>1</v>
      </c>
      <c r="BQ3903">
        <v>0</v>
      </c>
      <c r="BT3903">
        <v>0</v>
      </c>
      <c r="BU3903">
        <v>0</v>
      </c>
      <c r="BV3903">
        <v>0</v>
      </c>
      <c r="CC3903" t="str">
        <f>"19:40:09.094"</f>
        <v>19:40:09.094</v>
      </c>
      <c r="CD3903" t="str">
        <f>"091918382"</f>
        <v>091918382</v>
      </c>
      <c r="CQ3903">
        <v>0</v>
      </c>
      <c r="CR3903">
        <v>2</v>
      </c>
      <c r="CS3903">
        <v>0</v>
      </c>
      <c r="CT3903">
        <v>2</v>
      </c>
      <c r="CU3903">
        <v>0</v>
      </c>
      <c r="CV3903">
        <v>4</v>
      </c>
      <c r="CW3903" t="s">
        <v>120</v>
      </c>
      <c r="CX3903">
        <v>257</v>
      </c>
      <c r="CY3903">
        <v>0</v>
      </c>
      <c r="CZ3903" t="s">
        <v>615</v>
      </c>
      <c r="DA3903" t="s">
        <v>616</v>
      </c>
      <c r="DD3903">
        <v>16608280</v>
      </c>
      <c r="DE3903" t="s">
        <v>123</v>
      </c>
    </row>
    <row r="3904" spans="1:109" x14ac:dyDescent="0.3">
      <c r="A3904" t="str">
        <f>"19:40:10.711"</f>
        <v>19:40:10.711</v>
      </c>
      <c r="B3904" t="s">
        <v>110</v>
      </c>
      <c r="C3904" t="str">
        <f t="shared" si="180"/>
        <v>ffdfd3c0</v>
      </c>
      <c r="D3904" t="s">
        <v>111</v>
      </c>
      <c r="E3904">
        <v>18</v>
      </c>
      <c r="F3904">
        <v>1018</v>
      </c>
      <c r="G3904" t="s">
        <v>112</v>
      </c>
      <c r="J3904" t="s">
        <v>113</v>
      </c>
      <c r="K3904">
        <v>0</v>
      </c>
      <c r="L3904">
        <v>3</v>
      </c>
      <c r="M3904">
        <v>0</v>
      </c>
      <c r="N3904">
        <v>2</v>
      </c>
      <c r="O3904">
        <v>1</v>
      </c>
      <c r="P3904">
        <v>0</v>
      </c>
      <c r="Q3904">
        <v>0</v>
      </c>
      <c r="R3904" t="s">
        <v>114</v>
      </c>
      <c r="S3904" t="str">
        <f>"19:40:10.422"</f>
        <v>19:40:10.422</v>
      </c>
      <c r="T3904" t="str">
        <f>"19:40:10.125"</f>
        <v>19:40:10.125</v>
      </c>
      <c r="U3904" t="str">
        <f t="shared" si="181"/>
        <v>a1cdbe</v>
      </c>
      <c r="V3904">
        <v>0</v>
      </c>
      <c r="W3904">
        <v>0</v>
      </c>
      <c r="X3904">
        <v>2</v>
      </c>
      <c r="Y3904">
        <v>0</v>
      </c>
      <c r="Z3904">
        <v>0</v>
      </c>
      <c r="AB3904">
        <v>0</v>
      </c>
      <c r="AC3904">
        <v>9</v>
      </c>
      <c r="AD3904">
        <v>3</v>
      </c>
      <c r="AE3904">
        <v>0</v>
      </c>
      <c r="AF3904">
        <v>9</v>
      </c>
      <c r="AG3904" t="s">
        <v>158</v>
      </c>
      <c r="AH3904">
        <v>0</v>
      </c>
      <c r="AI3904">
        <v>3</v>
      </c>
      <c r="AJ3904">
        <v>1</v>
      </c>
      <c r="AK3904">
        <v>0</v>
      </c>
      <c r="AL3904" t="s">
        <v>7363</v>
      </c>
      <c r="AM3904">
        <v>47.059249999999999</v>
      </c>
      <c r="AN3904" t="s">
        <v>7364</v>
      </c>
      <c r="AO3904">
        <v>-124.000754</v>
      </c>
      <c r="AP3904">
        <v>100</v>
      </c>
      <c r="AQ3904">
        <v>2100</v>
      </c>
      <c r="AR3904" t="s">
        <v>118</v>
      </c>
      <c r="AS3904">
        <v>-82</v>
      </c>
      <c r="AT3904">
        <v>23</v>
      </c>
      <c r="AU3904">
        <v>-64</v>
      </c>
      <c r="BC3904">
        <v>1200</v>
      </c>
      <c r="BD3904">
        <v>1</v>
      </c>
      <c r="BE3904" t="str">
        <f t="shared" si="182"/>
        <v xml:space="preserve">N215T   </v>
      </c>
      <c r="BF3904">
        <v>1</v>
      </c>
      <c r="BH3904">
        <v>0</v>
      </c>
      <c r="BI3904">
        <v>0</v>
      </c>
      <c r="BJ3904">
        <v>0</v>
      </c>
      <c r="BK3904">
        <v>2475</v>
      </c>
      <c r="BL3904">
        <v>375</v>
      </c>
      <c r="BM3904" t="s">
        <v>119</v>
      </c>
      <c r="BN3904">
        <v>1</v>
      </c>
      <c r="BO3904">
        <v>1</v>
      </c>
      <c r="BP3904">
        <v>1</v>
      </c>
      <c r="BQ3904">
        <v>0</v>
      </c>
      <c r="BT3904">
        <v>0</v>
      </c>
      <c r="BU3904">
        <v>0</v>
      </c>
      <c r="BV3904">
        <v>0</v>
      </c>
      <c r="CC3904" t="str">
        <f>"19:40:10.430"</f>
        <v>19:40:10.430</v>
      </c>
      <c r="CD3904" t="str">
        <f>"426879635"</f>
        <v>426879635</v>
      </c>
      <c r="CQ3904">
        <v>0</v>
      </c>
      <c r="CR3904">
        <v>2</v>
      </c>
      <c r="CS3904">
        <v>0</v>
      </c>
      <c r="CT3904">
        <v>2</v>
      </c>
      <c r="CU3904">
        <v>0</v>
      </c>
      <c r="CV3904">
        <v>1</v>
      </c>
      <c r="CW3904" t="s">
        <v>120</v>
      </c>
      <c r="CX3904">
        <v>253</v>
      </c>
      <c r="CY3904">
        <v>2</v>
      </c>
      <c r="CZ3904" t="s">
        <v>7093</v>
      </c>
      <c r="DA3904" t="s">
        <v>7094</v>
      </c>
      <c r="DD3904">
        <v>13974198</v>
      </c>
      <c r="DE3904" t="s">
        <v>123</v>
      </c>
    </row>
    <row r="3905" spans="1:109" x14ac:dyDescent="0.3">
      <c r="A3905" t="str">
        <f>"19:40:11.672"</f>
        <v>19:40:11.672</v>
      </c>
      <c r="B3905" t="s">
        <v>110</v>
      </c>
      <c r="C3905" t="str">
        <f t="shared" si="180"/>
        <v>ffdfd3c0</v>
      </c>
      <c r="D3905" t="s">
        <v>111</v>
      </c>
      <c r="E3905">
        <v>18</v>
      </c>
      <c r="F3905">
        <v>1018</v>
      </c>
      <c r="G3905" t="s">
        <v>112</v>
      </c>
      <c r="J3905" t="s">
        <v>113</v>
      </c>
      <c r="K3905">
        <v>0</v>
      </c>
      <c r="L3905">
        <v>3</v>
      </c>
      <c r="M3905">
        <v>0</v>
      </c>
      <c r="N3905">
        <v>2</v>
      </c>
      <c r="O3905">
        <v>1</v>
      </c>
      <c r="P3905">
        <v>0</v>
      </c>
      <c r="Q3905">
        <v>0</v>
      </c>
      <c r="R3905" t="s">
        <v>114</v>
      </c>
      <c r="S3905" t="str">
        <f>"19:40:11.414"</f>
        <v>19:40:11.414</v>
      </c>
      <c r="T3905" t="str">
        <f>"19:40:11.016"</f>
        <v>19:40:11.016</v>
      </c>
      <c r="U3905" t="str">
        <f t="shared" si="181"/>
        <v>a1cdbe</v>
      </c>
      <c r="V3905">
        <v>0</v>
      </c>
      <c r="W3905">
        <v>0</v>
      </c>
      <c r="X3905">
        <v>2</v>
      </c>
      <c r="Y3905">
        <v>0</v>
      </c>
      <c r="Z3905">
        <v>0</v>
      </c>
      <c r="AB3905">
        <v>0</v>
      </c>
      <c r="AC3905">
        <v>9</v>
      </c>
      <c r="AD3905">
        <v>3</v>
      </c>
      <c r="AE3905">
        <v>0</v>
      </c>
      <c r="AF3905">
        <v>9</v>
      </c>
      <c r="AG3905" t="s">
        <v>158</v>
      </c>
      <c r="AH3905">
        <v>0</v>
      </c>
      <c r="AI3905">
        <v>3</v>
      </c>
      <c r="AJ3905">
        <v>1</v>
      </c>
      <c r="AK3905">
        <v>0</v>
      </c>
      <c r="AL3905" t="s">
        <v>7365</v>
      </c>
      <c r="AM3905">
        <v>47.059336000000002</v>
      </c>
      <c r="AN3905" t="s">
        <v>7366</v>
      </c>
      <c r="AO3905">
        <v>-124.00126899999999</v>
      </c>
      <c r="AP3905">
        <v>100</v>
      </c>
      <c r="AQ3905">
        <v>2100</v>
      </c>
      <c r="AR3905" t="s">
        <v>118</v>
      </c>
      <c r="AS3905">
        <v>-82</v>
      </c>
      <c r="AT3905">
        <v>23</v>
      </c>
      <c r="AU3905">
        <v>-64</v>
      </c>
      <c r="BC3905">
        <v>1200</v>
      </c>
      <c r="BD3905">
        <v>1</v>
      </c>
      <c r="BE3905" t="str">
        <f t="shared" si="182"/>
        <v xml:space="preserve">N215T   </v>
      </c>
      <c r="BF3905">
        <v>1</v>
      </c>
      <c r="BH3905">
        <v>0</v>
      </c>
      <c r="BI3905">
        <v>0</v>
      </c>
      <c r="BJ3905">
        <v>0</v>
      </c>
      <c r="BK3905">
        <v>2475</v>
      </c>
      <c r="BL3905">
        <v>375</v>
      </c>
      <c r="BM3905" t="s">
        <v>119</v>
      </c>
      <c r="BN3905">
        <v>1</v>
      </c>
      <c r="BO3905">
        <v>1</v>
      </c>
      <c r="BP3905">
        <v>1</v>
      </c>
      <c r="BQ3905">
        <v>0</v>
      </c>
      <c r="BT3905">
        <v>0</v>
      </c>
      <c r="BU3905">
        <v>0</v>
      </c>
      <c r="BV3905">
        <v>0</v>
      </c>
      <c r="CC3905" t="str">
        <f>"19:40:11.414"</f>
        <v>19:40:11.414</v>
      </c>
      <c r="CD3905" t="str">
        <f>"416689416"</f>
        <v>416689416</v>
      </c>
      <c r="CQ3905">
        <v>0</v>
      </c>
      <c r="CR3905">
        <v>2</v>
      </c>
      <c r="CS3905">
        <v>0</v>
      </c>
      <c r="CT3905">
        <v>2</v>
      </c>
      <c r="CU3905">
        <v>0</v>
      </c>
      <c r="CV3905">
        <v>3</v>
      </c>
      <c r="CW3905" t="s">
        <v>120</v>
      </c>
      <c r="CX3905">
        <v>257</v>
      </c>
      <c r="CY3905">
        <v>0</v>
      </c>
      <c r="CZ3905" t="s">
        <v>615</v>
      </c>
      <c r="DA3905" t="s">
        <v>616</v>
      </c>
      <c r="DD3905">
        <v>16609054</v>
      </c>
      <c r="DE3905" t="s">
        <v>123</v>
      </c>
    </row>
    <row r="3906" spans="1:109" x14ac:dyDescent="0.3">
      <c r="A3906" t="str">
        <f>"19:40:12.570"</f>
        <v>19:40:12.570</v>
      </c>
      <c r="B3906" t="s">
        <v>110</v>
      </c>
      <c r="C3906" t="str">
        <f t="shared" ref="C3906:C3923" si="183">"ffdfd3c0"</f>
        <v>ffdfd3c0</v>
      </c>
      <c r="D3906" t="s">
        <v>111</v>
      </c>
      <c r="E3906">
        <v>18</v>
      </c>
      <c r="F3906">
        <v>1018</v>
      </c>
      <c r="G3906" t="s">
        <v>112</v>
      </c>
      <c r="J3906" t="s">
        <v>113</v>
      </c>
      <c r="K3906">
        <v>0</v>
      </c>
      <c r="L3906">
        <v>3</v>
      </c>
      <c r="M3906">
        <v>0</v>
      </c>
      <c r="N3906">
        <v>2</v>
      </c>
      <c r="O3906">
        <v>1</v>
      </c>
      <c r="P3906">
        <v>0</v>
      </c>
      <c r="Q3906">
        <v>0</v>
      </c>
      <c r="R3906" t="s">
        <v>114</v>
      </c>
      <c r="S3906" t="str">
        <f>"19:40:12.344"</f>
        <v>19:40:12.344</v>
      </c>
      <c r="T3906" t="str">
        <f>"19:40:11.945"</f>
        <v>19:40:11.945</v>
      </c>
      <c r="U3906" t="str">
        <f t="shared" ref="U3906:U3969" si="184">"a1cdbe"</f>
        <v>a1cdbe</v>
      </c>
      <c r="V3906">
        <v>0</v>
      </c>
      <c r="W3906">
        <v>0</v>
      </c>
      <c r="X3906">
        <v>2</v>
      </c>
      <c r="Y3906">
        <v>0</v>
      </c>
      <c r="Z3906">
        <v>0</v>
      </c>
      <c r="AB3906">
        <v>0</v>
      </c>
      <c r="AC3906">
        <v>9</v>
      </c>
      <c r="AD3906">
        <v>3</v>
      </c>
      <c r="AE3906">
        <v>0</v>
      </c>
      <c r="AF3906">
        <v>9</v>
      </c>
      <c r="AG3906" t="s">
        <v>158</v>
      </c>
      <c r="AH3906">
        <v>0</v>
      </c>
      <c r="AI3906">
        <v>3</v>
      </c>
      <c r="AJ3906">
        <v>1</v>
      </c>
      <c r="AK3906">
        <v>0</v>
      </c>
      <c r="AL3906" t="s">
        <v>7367</v>
      </c>
      <c r="AM3906">
        <v>47.059463999999998</v>
      </c>
      <c r="AN3906" t="s">
        <v>7368</v>
      </c>
      <c r="AO3906">
        <v>-124.001763</v>
      </c>
      <c r="AP3906">
        <v>100</v>
      </c>
      <c r="AQ3906">
        <v>2100</v>
      </c>
      <c r="AR3906" t="s">
        <v>118</v>
      </c>
      <c r="AS3906">
        <v>-82</v>
      </c>
      <c r="AT3906">
        <v>23</v>
      </c>
      <c r="AU3906">
        <v>-64</v>
      </c>
      <c r="BC3906">
        <v>1200</v>
      </c>
      <c r="BD3906">
        <v>1</v>
      </c>
      <c r="BE3906" t="str">
        <f t="shared" ref="BE3906:BE3969" si="185">"N215T   "</f>
        <v xml:space="preserve">N215T   </v>
      </c>
      <c r="BF3906">
        <v>1</v>
      </c>
      <c r="BH3906">
        <v>0</v>
      </c>
      <c r="BI3906">
        <v>0</v>
      </c>
      <c r="BJ3906">
        <v>0</v>
      </c>
      <c r="BK3906">
        <v>2475</v>
      </c>
      <c r="BL3906">
        <v>375</v>
      </c>
      <c r="BM3906" t="s">
        <v>119</v>
      </c>
      <c r="BN3906">
        <v>1</v>
      </c>
      <c r="BO3906">
        <v>1</v>
      </c>
      <c r="BP3906">
        <v>1</v>
      </c>
      <c r="BQ3906">
        <v>0</v>
      </c>
      <c r="BT3906">
        <v>0</v>
      </c>
      <c r="BU3906">
        <v>0</v>
      </c>
      <c r="BV3906">
        <v>0</v>
      </c>
      <c r="CC3906" t="str">
        <f>"19:40:12.344"</f>
        <v>19:40:12.344</v>
      </c>
      <c r="CD3906" t="str">
        <f>"346597831"</f>
        <v>346597831</v>
      </c>
      <c r="CQ3906">
        <v>0</v>
      </c>
      <c r="CR3906">
        <v>2</v>
      </c>
      <c r="CS3906">
        <v>0</v>
      </c>
      <c r="CT3906">
        <v>2</v>
      </c>
      <c r="CU3906">
        <v>0</v>
      </c>
      <c r="CV3906">
        <v>4</v>
      </c>
      <c r="CW3906" t="s">
        <v>120</v>
      </c>
      <c r="CX3906">
        <v>257</v>
      </c>
      <c r="CY3906">
        <v>0</v>
      </c>
      <c r="CZ3906" t="s">
        <v>615</v>
      </c>
      <c r="DA3906" t="s">
        <v>616</v>
      </c>
      <c r="DD3906">
        <v>16609359</v>
      </c>
      <c r="DE3906" t="s">
        <v>123</v>
      </c>
    </row>
    <row r="3907" spans="1:109" x14ac:dyDescent="0.3">
      <c r="A3907" t="str">
        <f>"19:40:13.625"</f>
        <v>19:40:13.625</v>
      </c>
      <c r="B3907" t="s">
        <v>110</v>
      </c>
      <c r="C3907" t="str">
        <f t="shared" si="183"/>
        <v>ffdfd3c0</v>
      </c>
      <c r="D3907" t="s">
        <v>111</v>
      </c>
      <c r="E3907">
        <v>18</v>
      </c>
      <c r="F3907">
        <v>1018</v>
      </c>
      <c r="G3907" t="s">
        <v>112</v>
      </c>
      <c r="J3907" t="s">
        <v>113</v>
      </c>
      <c r="K3907">
        <v>0</v>
      </c>
      <c r="L3907">
        <v>3</v>
      </c>
      <c r="M3907">
        <v>0</v>
      </c>
      <c r="N3907">
        <v>2</v>
      </c>
      <c r="O3907">
        <v>1</v>
      </c>
      <c r="P3907">
        <v>0</v>
      </c>
      <c r="Q3907">
        <v>0</v>
      </c>
      <c r="R3907" t="s">
        <v>114</v>
      </c>
      <c r="S3907" t="str">
        <f>"19:40:13.359"</f>
        <v>19:40:13.359</v>
      </c>
      <c r="T3907" t="str">
        <f>"19:40:12.961"</f>
        <v>19:40:12.961</v>
      </c>
      <c r="U3907" t="str">
        <f t="shared" si="184"/>
        <v>a1cdbe</v>
      </c>
      <c r="V3907">
        <v>0</v>
      </c>
      <c r="W3907">
        <v>0</v>
      </c>
      <c r="X3907">
        <v>2</v>
      </c>
      <c r="Y3907">
        <v>0</v>
      </c>
      <c r="Z3907">
        <v>0</v>
      </c>
      <c r="AB3907">
        <v>0</v>
      </c>
      <c r="AC3907">
        <v>9</v>
      </c>
      <c r="AD3907">
        <v>3</v>
      </c>
      <c r="AE3907">
        <v>0</v>
      </c>
      <c r="AF3907">
        <v>9</v>
      </c>
      <c r="AG3907" t="s">
        <v>158</v>
      </c>
      <c r="AH3907">
        <v>0</v>
      </c>
      <c r="AI3907">
        <v>3</v>
      </c>
      <c r="AJ3907">
        <v>1</v>
      </c>
      <c r="AK3907">
        <v>0</v>
      </c>
      <c r="AL3907" t="s">
        <v>7369</v>
      </c>
      <c r="AM3907">
        <v>47.059572000000003</v>
      </c>
      <c r="AN3907" t="s">
        <v>7370</v>
      </c>
      <c r="AO3907">
        <v>-124.00240700000001</v>
      </c>
      <c r="AP3907">
        <v>100</v>
      </c>
      <c r="AQ3907">
        <v>2100</v>
      </c>
      <c r="AR3907" t="s">
        <v>118</v>
      </c>
      <c r="AS3907">
        <v>-82</v>
      </c>
      <c r="AT3907">
        <v>22</v>
      </c>
      <c r="AU3907">
        <v>0</v>
      </c>
      <c r="BC3907">
        <v>1200</v>
      </c>
      <c r="BD3907">
        <v>1</v>
      </c>
      <c r="BE3907" t="str">
        <f t="shared" si="185"/>
        <v xml:space="preserve">N215T   </v>
      </c>
      <c r="BF3907">
        <v>1</v>
      </c>
      <c r="BH3907">
        <v>0</v>
      </c>
      <c r="BI3907">
        <v>0</v>
      </c>
      <c r="BJ3907">
        <v>0</v>
      </c>
      <c r="BK3907">
        <v>2500</v>
      </c>
      <c r="BL3907">
        <v>400</v>
      </c>
      <c r="BM3907" t="s">
        <v>119</v>
      </c>
      <c r="BN3907">
        <v>1</v>
      </c>
      <c r="BO3907">
        <v>1</v>
      </c>
      <c r="BP3907">
        <v>1</v>
      </c>
      <c r="BQ3907">
        <v>0</v>
      </c>
      <c r="BT3907">
        <v>0</v>
      </c>
      <c r="BU3907">
        <v>0</v>
      </c>
      <c r="BV3907">
        <v>0</v>
      </c>
      <c r="CC3907" t="str">
        <f>"19:40:13.367"</f>
        <v>19:40:13.367</v>
      </c>
      <c r="CD3907" t="str">
        <f>"366497385"</f>
        <v>366497385</v>
      </c>
      <c r="CQ3907">
        <v>0</v>
      </c>
      <c r="CR3907">
        <v>2</v>
      </c>
      <c r="CS3907">
        <v>0</v>
      </c>
      <c r="CT3907">
        <v>2</v>
      </c>
      <c r="CU3907">
        <v>0</v>
      </c>
      <c r="CV3907">
        <v>3</v>
      </c>
      <c r="CW3907" t="s">
        <v>120</v>
      </c>
      <c r="CX3907">
        <v>257</v>
      </c>
      <c r="CY3907">
        <v>0</v>
      </c>
      <c r="CZ3907" t="s">
        <v>615</v>
      </c>
      <c r="DA3907" t="s">
        <v>616</v>
      </c>
      <c r="DD3907">
        <v>16609696</v>
      </c>
      <c r="DE3907" t="s">
        <v>123</v>
      </c>
    </row>
    <row r="3908" spans="1:109" x14ac:dyDescent="0.3">
      <c r="A3908" t="str">
        <f>"19:40:14.789"</f>
        <v>19:40:14.789</v>
      </c>
      <c r="B3908" t="s">
        <v>110</v>
      </c>
      <c r="C3908" t="str">
        <f t="shared" si="183"/>
        <v>ffdfd3c0</v>
      </c>
      <c r="D3908" t="s">
        <v>111</v>
      </c>
      <c r="E3908">
        <v>18</v>
      </c>
      <c r="F3908">
        <v>1018</v>
      </c>
      <c r="G3908" t="s">
        <v>112</v>
      </c>
      <c r="J3908" t="s">
        <v>113</v>
      </c>
      <c r="K3908">
        <v>0</v>
      </c>
      <c r="L3908">
        <v>3</v>
      </c>
      <c r="M3908">
        <v>0</v>
      </c>
      <c r="N3908">
        <v>2</v>
      </c>
      <c r="O3908">
        <v>1</v>
      </c>
      <c r="P3908">
        <v>0</v>
      </c>
      <c r="Q3908">
        <v>0</v>
      </c>
      <c r="R3908" t="s">
        <v>114</v>
      </c>
      <c r="S3908" t="str">
        <f>"19:40:14.500"</f>
        <v>19:40:14.500</v>
      </c>
      <c r="T3908" t="str">
        <f>"19:40:14.102"</f>
        <v>19:40:14.102</v>
      </c>
      <c r="U3908" t="str">
        <f t="shared" si="184"/>
        <v>a1cdbe</v>
      </c>
      <c r="V3908">
        <v>0</v>
      </c>
      <c r="W3908">
        <v>0</v>
      </c>
      <c r="X3908">
        <v>2</v>
      </c>
      <c r="Y3908">
        <v>0</v>
      </c>
      <c r="Z3908">
        <v>0</v>
      </c>
      <c r="AB3908">
        <v>0</v>
      </c>
      <c r="AC3908">
        <v>9</v>
      </c>
      <c r="AD3908">
        <v>3</v>
      </c>
      <c r="AE3908">
        <v>0</v>
      </c>
      <c r="AF3908">
        <v>9</v>
      </c>
      <c r="AG3908" t="s">
        <v>158</v>
      </c>
      <c r="AH3908">
        <v>0</v>
      </c>
      <c r="AI3908">
        <v>3</v>
      </c>
      <c r="AJ3908">
        <v>1</v>
      </c>
      <c r="AK3908">
        <v>0</v>
      </c>
      <c r="AL3908" t="s">
        <v>7371</v>
      </c>
      <c r="AM3908">
        <v>47.059657999999999</v>
      </c>
      <c r="AN3908" t="s">
        <v>7372</v>
      </c>
      <c r="AO3908">
        <v>-124.003029</v>
      </c>
      <c r="AP3908">
        <v>100</v>
      </c>
      <c r="AQ3908">
        <v>2100</v>
      </c>
      <c r="AR3908" t="s">
        <v>118</v>
      </c>
      <c r="AS3908">
        <v>-82</v>
      </c>
      <c r="AT3908">
        <v>22</v>
      </c>
      <c r="AU3908">
        <v>-64</v>
      </c>
      <c r="BC3908">
        <v>1200</v>
      </c>
      <c r="BD3908">
        <v>1</v>
      </c>
      <c r="BE3908" t="str">
        <f t="shared" si="185"/>
        <v xml:space="preserve">N215T   </v>
      </c>
      <c r="BF3908">
        <v>1</v>
      </c>
      <c r="BH3908">
        <v>0</v>
      </c>
      <c r="BI3908">
        <v>0</v>
      </c>
      <c r="BJ3908">
        <v>0</v>
      </c>
      <c r="BK3908">
        <v>2475</v>
      </c>
      <c r="BL3908">
        <v>375</v>
      </c>
      <c r="BM3908" t="s">
        <v>119</v>
      </c>
      <c r="BN3908">
        <v>1</v>
      </c>
      <c r="BO3908">
        <v>1</v>
      </c>
      <c r="BP3908">
        <v>1</v>
      </c>
      <c r="BQ3908">
        <v>0</v>
      </c>
      <c r="BT3908">
        <v>0</v>
      </c>
      <c r="BU3908">
        <v>0</v>
      </c>
      <c r="BV3908">
        <v>0</v>
      </c>
      <c r="CC3908" t="str">
        <f>"19:40:14.508"</f>
        <v>19:40:14.508</v>
      </c>
      <c r="CD3908" t="str">
        <f>"506385090"</f>
        <v>506385090</v>
      </c>
      <c r="CQ3908">
        <v>0</v>
      </c>
      <c r="CR3908">
        <v>2</v>
      </c>
      <c r="CS3908">
        <v>0</v>
      </c>
      <c r="CT3908">
        <v>2</v>
      </c>
      <c r="CU3908">
        <v>0</v>
      </c>
      <c r="CV3908">
        <v>3</v>
      </c>
      <c r="CW3908" t="s">
        <v>120</v>
      </c>
      <c r="CX3908">
        <v>257</v>
      </c>
      <c r="CY3908">
        <v>0</v>
      </c>
      <c r="CZ3908" t="s">
        <v>615</v>
      </c>
      <c r="DA3908" t="s">
        <v>616</v>
      </c>
      <c r="DD3908">
        <v>16610050</v>
      </c>
      <c r="DE3908" t="s">
        <v>123</v>
      </c>
    </row>
    <row r="3909" spans="1:109" x14ac:dyDescent="0.3">
      <c r="A3909" t="str">
        <f>"19:40:15.742"</f>
        <v>19:40:15.742</v>
      </c>
      <c r="B3909" t="s">
        <v>110</v>
      </c>
      <c r="C3909" t="str">
        <f t="shared" si="183"/>
        <v>ffdfd3c0</v>
      </c>
      <c r="D3909" t="s">
        <v>111</v>
      </c>
      <c r="E3909">
        <v>18</v>
      </c>
      <c r="F3909">
        <v>1018</v>
      </c>
      <c r="G3909" t="s">
        <v>112</v>
      </c>
      <c r="J3909" t="s">
        <v>113</v>
      </c>
      <c r="K3909">
        <v>0</v>
      </c>
      <c r="L3909">
        <v>3</v>
      </c>
      <c r="M3909">
        <v>0</v>
      </c>
      <c r="N3909">
        <v>2</v>
      </c>
      <c r="O3909">
        <v>1</v>
      </c>
      <c r="P3909">
        <v>0</v>
      </c>
      <c r="Q3909">
        <v>0</v>
      </c>
      <c r="R3909" t="s">
        <v>114</v>
      </c>
      <c r="S3909" t="str">
        <f>"19:40:15.508"</f>
        <v>19:40:15.508</v>
      </c>
      <c r="T3909" t="str">
        <f>"19:40:15.508"</f>
        <v>19:40:15.508</v>
      </c>
      <c r="U3909" t="str">
        <f t="shared" si="184"/>
        <v>a1cdbe</v>
      </c>
      <c r="V3909">
        <v>0</v>
      </c>
      <c r="W3909">
        <v>0</v>
      </c>
      <c r="X3909">
        <v>2</v>
      </c>
      <c r="Y3909">
        <v>0</v>
      </c>
      <c r="Z3909">
        <v>0</v>
      </c>
      <c r="AB3909">
        <v>0</v>
      </c>
      <c r="AC3909">
        <v>9</v>
      </c>
      <c r="AD3909">
        <v>3</v>
      </c>
      <c r="AE3909">
        <v>0</v>
      </c>
      <c r="AF3909">
        <v>9</v>
      </c>
      <c r="AG3909" t="s">
        <v>158</v>
      </c>
      <c r="AH3909">
        <v>0</v>
      </c>
      <c r="AI3909">
        <v>3</v>
      </c>
      <c r="AJ3909">
        <v>1</v>
      </c>
      <c r="AK3909">
        <v>0</v>
      </c>
      <c r="AL3909" t="s">
        <v>7373</v>
      </c>
      <c r="AM3909">
        <v>47.059786000000003</v>
      </c>
      <c r="AN3909" t="s">
        <v>7374</v>
      </c>
      <c r="AO3909">
        <v>-124.003522</v>
      </c>
      <c r="AP3909">
        <v>100</v>
      </c>
      <c r="AQ3909">
        <v>2100</v>
      </c>
      <c r="AR3909" t="s">
        <v>118</v>
      </c>
      <c r="AS3909">
        <v>-82</v>
      </c>
      <c r="AT3909">
        <v>22</v>
      </c>
      <c r="AU3909">
        <v>-64</v>
      </c>
      <c r="BC3909">
        <v>1200</v>
      </c>
      <c r="BD3909">
        <v>1</v>
      </c>
      <c r="BE3909" t="str">
        <f t="shared" si="185"/>
        <v xml:space="preserve">N215T   </v>
      </c>
      <c r="BF3909">
        <v>1</v>
      </c>
      <c r="BH3909">
        <v>0</v>
      </c>
      <c r="BI3909">
        <v>0</v>
      </c>
      <c r="BJ3909">
        <v>0</v>
      </c>
      <c r="BK3909">
        <v>2475</v>
      </c>
      <c r="BL3909">
        <v>375</v>
      </c>
      <c r="BM3909" t="s">
        <v>119</v>
      </c>
      <c r="BN3909">
        <v>1</v>
      </c>
      <c r="BO3909">
        <v>1</v>
      </c>
      <c r="BP3909">
        <v>1</v>
      </c>
      <c r="BQ3909">
        <v>0</v>
      </c>
      <c r="BT3909">
        <v>0</v>
      </c>
      <c r="BU3909">
        <v>0</v>
      </c>
      <c r="BV3909">
        <v>0</v>
      </c>
      <c r="CC3909" t="str">
        <f>"19:40:15.508"</f>
        <v>19:40:15.508</v>
      </c>
      <c r="CD3909" t="str">
        <f>"511286138"</f>
        <v>511286138</v>
      </c>
      <c r="CQ3909">
        <v>0</v>
      </c>
      <c r="CR3909">
        <v>2</v>
      </c>
      <c r="CS3909">
        <v>0</v>
      </c>
      <c r="CT3909">
        <v>2</v>
      </c>
      <c r="CU3909">
        <v>0</v>
      </c>
      <c r="CV3909">
        <v>3</v>
      </c>
      <c r="CW3909" t="s">
        <v>120</v>
      </c>
      <c r="CX3909">
        <v>257</v>
      </c>
      <c r="CY3909">
        <v>0</v>
      </c>
      <c r="CZ3909" t="s">
        <v>615</v>
      </c>
      <c r="DA3909" t="s">
        <v>616</v>
      </c>
      <c r="DD3909">
        <v>16610398</v>
      </c>
      <c r="DE3909" t="s">
        <v>123</v>
      </c>
    </row>
    <row r="3910" spans="1:109" x14ac:dyDescent="0.3">
      <c r="A3910" t="str">
        <f>"19:40:16.742"</f>
        <v>19:40:16.742</v>
      </c>
      <c r="B3910" t="s">
        <v>110</v>
      </c>
      <c r="C3910" t="str">
        <f t="shared" si="183"/>
        <v>ffdfd3c0</v>
      </c>
      <c r="D3910" t="s">
        <v>111</v>
      </c>
      <c r="E3910">
        <v>18</v>
      </c>
      <c r="F3910">
        <v>1018</v>
      </c>
      <c r="G3910" t="s">
        <v>112</v>
      </c>
      <c r="J3910" t="s">
        <v>113</v>
      </c>
      <c r="K3910">
        <v>0</v>
      </c>
      <c r="L3910">
        <v>3</v>
      </c>
      <c r="M3910">
        <v>0</v>
      </c>
      <c r="N3910">
        <v>2</v>
      </c>
      <c r="O3910">
        <v>1</v>
      </c>
      <c r="P3910">
        <v>0</v>
      </c>
      <c r="Q3910">
        <v>0</v>
      </c>
      <c r="R3910" t="s">
        <v>114</v>
      </c>
      <c r="S3910" t="str">
        <f>"19:40:16.523"</f>
        <v>19:40:16.523</v>
      </c>
      <c r="T3910" t="str">
        <f>"19:40:16.023"</f>
        <v>19:40:16.023</v>
      </c>
      <c r="U3910" t="str">
        <f t="shared" si="184"/>
        <v>a1cdbe</v>
      </c>
      <c r="V3910">
        <v>0</v>
      </c>
      <c r="W3910">
        <v>0</v>
      </c>
      <c r="X3910">
        <v>2</v>
      </c>
      <c r="Y3910">
        <v>0</v>
      </c>
      <c r="Z3910">
        <v>0</v>
      </c>
      <c r="AB3910">
        <v>0</v>
      </c>
      <c r="AC3910">
        <v>9</v>
      </c>
      <c r="AD3910">
        <v>3</v>
      </c>
      <c r="AE3910">
        <v>0</v>
      </c>
      <c r="AF3910">
        <v>9</v>
      </c>
      <c r="AG3910" t="s">
        <v>158</v>
      </c>
      <c r="AH3910">
        <v>0</v>
      </c>
      <c r="AI3910">
        <v>3</v>
      </c>
      <c r="AJ3910">
        <v>1</v>
      </c>
      <c r="AK3910">
        <v>0</v>
      </c>
      <c r="AL3910" t="s">
        <v>7375</v>
      </c>
      <c r="AM3910">
        <v>47.059894</v>
      </c>
      <c r="AN3910" t="s">
        <v>7376</v>
      </c>
      <c r="AO3910">
        <v>-124.00412300000001</v>
      </c>
      <c r="AP3910">
        <v>100</v>
      </c>
      <c r="AQ3910">
        <v>2100</v>
      </c>
      <c r="AR3910" t="s">
        <v>118</v>
      </c>
      <c r="AS3910">
        <v>-82</v>
      </c>
      <c r="AT3910">
        <v>22</v>
      </c>
      <c r="AU3910">
        <v>0</v>
      </c>
      <c r="BC3910">
        <v>1200</v>
      </c>
      <c r="BD3910">
        <v>1</v>
      </c>
      <c r="BE3910" t="str">
        <f t="shared" si="185"/>
        <v xml:space="preserve">N215T   </v>
      </c>
      <c r="BF3910">
        <v>1</v>
      </c>
      <c r="BH3910">
        <v>0</v>
      </c>
      <c r="BI3910">
        <v>0</v>
      </c>
      <c r="BJ3910">
        <v>0</v>
      </c>
      <c r="BK3910">
        <v>2475</v>
      </c>
      <c r="BL3910">
        <v>375</v>
      </c>
      <c r="BM3910" t="s">
        <v>119</v>
      </c>
      <c r="BN3910">
        <v>1</v>
      </c>
      <c r="BO3910">
        <v>1</v>
      </c>
      <c r="BP3910">
        <v>1</v>
      </c>
      <c r="BQ3910">
        <v>0</v>
      </c>
      <c r="BT3910">
        <v>0</v>
      </c>
      <c r="BU3910">
        <v>0</v>
      </c>
      <c r="BV3910">
        <v>0</v>
      </c>
      <c r="CC3910" t="str">
        <f>"19:40:16.531"</f>
        <v>19:40:16.531</v>
      </c>
      <c r="CD3910" t="str">
        <f>"531185708"</f>
        <v>531185708</v>
      </c>
      <c r="CQ3910">
        <v>0</v>
      </c>
      <c r="CR3910">
        <v>2</v>
      </c>
      <c r="CS3910">
        <v>0</v>
      </c>
      <c r="CT3910">
        <v>2</v>
      </c>
      <c r="CU3910">
        <v>0</v>
      </c>
      <c r="CV3910">
        <v>2</v>
      </c>
      <c r="CW3910" t="s">
        <v>120</v>
      </c>
      <c r="CX3910">
        <v>257</v>
      </c>
      <c r="CY3910">
        <v>0</v>
      </c>
      <c r="CZ3910" t="s">
        <v>615</v>
      </c>
      <c r="DA3910" t="s">
        <v>616</v>
      </c>
      <c r="DD3910">
        <v>16610728</v>
      </c>
      <c r="DE3910" t="s">
        <v>123</v>
      </c>
    </row>
    <row r="3911" spans="1:109" x14ac:dyDescent="0.3">
      <c r="A3911" t="str">
        <f>"19:40:17.750"</f>
        <v>19:40:17.750</v>
      </c>
      <c r="B3911" t="s">
        <v>110</v>
      </c>
      <c r="C3911" t="str">
        <f t="shared" si="183"/>
        <v>ffdfd3c0</v>
      </c>
      <c r="D3911" t="s">
        <v>111</v>
      </c>
      <c r="E3911">
        <v>18</v>
      </c>
      <c r="F3911">
        <v>1018</v>
      </c>
      <c r="G3911" t="s">
        <v>112</v>
      </c>
      <c r="J3911" t="s">
        <v>113</v>
      </c>
      <c r="K3911">
        <v>0</v>
      </c>
      <c r="L3911">
        <v>3</v>
      </c>
      <c r="M3911">
        <v>0</v>
      </c>
      <c r="N3911">
        <v>2</v>
      </c>
      <c r="O3911">
        <v>1</v>
      </c>
      <c r="P3911">
        <v>0</v>
      </c>
      <c r="Q3911">
        <v>0</v>
      </c>
      <c r="R3911" t="s">
        <v>114</v>
      </c>
      <c r="S3911" t="str">
        <f>"19:40:17.531"</f>
        <v>19:40:17.531</v>
      </c>
      <c r="T3911" t="str">
        <f>"19:40:17.531"</f>
        <v>19:40:17.531</v>
      </c>
      <c r="U3911" t="str">
        <f t="shared" si="184"/>
        <v>a1cdbe</v>
      </c>
      <c r="V3911">
        <v>0</v>
      </c>
      <c r="W3911">
        <v>0</v>
      </c>
      <c r="X3911">
        <v>2</v>
      </c>
      <c r="Y3911">
        <v>0</v>
      </c>
      <c r="Z3911">
        <v>0</v>
      </c>
      <c r="AB3911">
        <v>0</v>
      </c>
      <c r="AC3911">
        <v>9</v>
      </c>
      <c r="AD3911">
        <v>3</v>
      </c>
      <c r="AE3911">
        <v>0</v>
      </c>
      <c r="AF3911">
        <v>9</v>
      </c>
      <c r="AG3911" t="s">
        <v>158</v>
      </c>
      <c r="AH3911">
        <v>0</v>
      </c>
      <c r="AI3911">
        <v>3</v>
      </c>
      <c r="AJ3911">
        <v>1</v>
      </c>
      <c r="AK3911">
        <v>0</v>
      </c>
      <c r="AL3911" t="s">
        <v>510</v>
      </c>
      <c r="AM3911">
        <v>47.059978999999998</v>
      </c>
      <c r="AN3911" t="s">
        <v>7377</v>
      </c>
      <c r="AO3911">
        <v>-124.004724</v>
      </c>
      <c r="AP3911">
        <v>100</v>
      </c>
      <c r="AQ3911">
        <v>2100</v>
      </c>
      <c r="AR3911" t="s">
        <v>118</v>
      </c>
      <c r="AS3911">
        <v>-82</v>
      </c>
      <c r="AT3911">
        <v>22</v>
      </c>
      <c r="AU3911">
        <v>0</v>
      </c>
      <c r="BC3911">
        <v>1200</v>
      </c>
      <c r="BD3911">
        <v>1</v>
      </c>
      <c r="BE3911" t="str">
        <f t="shared" si="185"/>
        <v xml:space="preserve">N215T   </v>
      </c>
      <c r="BF3911">
        <v>1</v>
      </c>
      <c r="BH3911">
        <v>0</v>
      </c>
      <c r="BI3911">
        <v>0</v>
      </c>
      <c r="BJ3911">
        <v>0</v>
      </c>
      <c r="BK3911">
        <v>2475</v>
      </c>
      <c r="BL3911">
        <v>375</v>
      </c>
      <c r="BM3911" t="s">
        <v>119</v>
      </c>
      <c r="BN3911">
        <v>1</v>
      </c>
      <c r="BO3911">
        <v>1</v>
      </c>
      <c r="BP3911">
        <v>1</v>
      </c>
      <c r="BQ3911">
        <v>0</v>
      </c>
      <c r="BT3911">
        <v>0</v>
      </c>
      <c r="BU3911">
        <v>0</v>
      </c>
      <c r="BV3911">
        <v>0</v>
      </c>
      <c r="CC3911" t="str">
        <f>"19:40:17.539"</f>
        <v>19:40:17.539</v>
      </c>
      <c r="CD3911" t="str">
        <f>"536086716"</f>
        <v>536086716</v>
      </c>
      <c r="CQ3911">
        <v>0</v>
      </c>
      <c r="CR3911">
        <v>2</v>
      </c>
      <c r="CS3911">
        <v>0</v>
      </c>
      <c r="CT3911">
        <v>2</v>
      </c>
      <c r="CU3911">
        <v>0</v>
      </c>
      <c r="CV3911">
        <v>2</v>
      </c>
      <c r="CW3911" t="s">
        <v>120</v>
      </c>
      <c r="CX3911">
        <v>257</v>
      </c>
      <c r="CY3911">
        <v>0</v>
      </c>
      <c r="CZ3911" t="s">
        <v>615</v>
      </c>
      <c r="DA3911" t="s">
        <v>616</v>
      </c>
      <c r="DD3911">
        <v>16611064</v>
      </c>
      <c r="DE3911" t="s">
        <v>123</v>
      </c>
    </row>
    <row r="3912" spans="1:109" x14ac:dyDescent="0.3">
      <c r="A3912" t="str">
        <f>"19:40:18.656"</f>
        <v>19:40:18.656</v>
      </c>
      <c r="B3912" t="s">
        <v>110</v>
      </c>
      <c r="C3912" t="str">
        <f t="shared" si="183"/>
        <v>ffdfd3c0</v>
      </c>
      <c r="D3912" t="s">
        <v>111</v>
      </c>
      <c r="E3912">
        <v>18</v>
      </c>
      <c r="F3912">
        <v>1018</v>
      </c>
      <c r="G3912" t="s">
        <v>112</v>
      </c>
      <c r="J3912" t="s">
        <v>113</v>
      </c>
      <c r="K3912">
        <v>0</v>
      </c>
      <c r="L3912">
        <v>3</v>
      </c>
      <c r="M3912">
        <v>0</v>
      </c>
      <c r="N3912">
        <v>2</v>
      </c>
      <c r="O3912">
        <v>1</v>
      </c>
      <c r="P3912">
        <v>0</v>
      </c>
      <c r="Q3912">
        <v>0</v>
      </c>
      <c r="R3912" t="s">
        <v>114</v>
      </c>
      <c r="S3912" t="str">
        <f>"19:40:18.430"</f>
        <v>19:40:18.430</v>
      </c>
      <c r="T3912" t="str">
        <f>"19:40:18.133"</f>
        <v>19:40:18.133</v>
      </c>
      <c r="U3912" t="str">
        <f t="shared" si="184"/>
        <v>a1cdbe</v>
      </c>
      <c r="V3912">
        <v>0</v>
      </c>
      <c r="W3912">
        <v>0</v>
      </c>
      <c r="X3912">
        <v>2</v>
      </c>
      <c r="Y3912">
        <v>0</v>
      </c>
      <c r="Z3912">
        <v>0</v>
      </c>
      <c r="AB3912">
        <v>0</v>
      </c>
      <c r="AC3912">
        <v>9</v>
      </c>
      <c r="AD3912">
        <v>3</v>
      </c>
      <c r="AE3912">
        <v>0</v>
      </c>
      <c r="AF3912">
        <v>9</v>
      </c>
      <c r="AG3912" t="s">
        <v>158</v>
      </c>
      <c r="AH3912">
        <v>0</v>
      </c>
      <c r="AI3912">
        <v>3</v>
      </c>
      <c r="AJ3912">
        <v>1</v>
      </c>
      <c r="AK3912">
        <v>0</v>
      </c>
      <c r="AL3912" t="s">
        <v>7378</v>
      </c>
      <c r="AM3912">
        <v>47.060065000000002</v>
      </c>
      <c r="AN3912" t="s">
        <v>7379</v>
      </c>
      <c r="AO3912">
        <v>-124.00515300000001</v>
      </c>
      <c r="AP3912">
        <v>100</v>
      </c>
      <c r="AQ3912">
        <v>2100</v>
      </c>
      <c r="AR3912" t="s">
        <v>118</v>
      </c>
      <c r="AS3912">
        <v>-82</v>
      </c>
      <c r="AT3912">
        <v>22</v>
      </c>
      <c r="AU3912">
        <v>0</v>
      </c>
      <c r="BC3912">
        <v>1200</v>
      </c>
      <c r="BD3912">
        <v>1</v>
      </c>
      <c r="BE3912" t="str">
        <f t="shared" si="185"/>
        <v xml:space="preserve">N215T   </v>
      </c>
      <c r="BF3912">
        <v>1</v>
      </c>
      <c r="BH3912">
        <v>0</v>
      </c>
      <c r="BI3912">
        <v>0</v>
      </c>
      <c r="BJ3912">
        <v>0</v>
      </c>
      <c r="BK3912">
        <v>2475</v>
      </c>
      <c r="BL3912">
        <v>375</v>
      </c>
      <c r="BM3912" t="s">
        <v>119</v>
      </c>
      <c r="BN3912">
        <v>1</v>
      </c>
      <c r="BO3912">
        <v>1</v>
      </c>
      <c r="BP3912">
        <v>1</v>
      </c>
      <c r="BQ3912">
        <v>0</v>
      </c>
      <c r="BT3912">
        <v>0</v>
      </c>
      <c r="BU3912">
        <v>0</v>
      </c>
      <c r="BV3912">
        <v>0</v>
      </c>
      <c r="CC3912" t="str">
        <f>"19:40:18.438"</f>
        <v>19:40:18.438</v>
      </c>
      <c r="CD3912" t="str">
        <f>"435998122"</f>
        <v>435998122</v>
      </c>
      <c r="CQ3912">
        <v>0</v>
      </c>
      <c r="CR3912">
        <v>2</v>
      </c>
      <c r="CS3912">
        <v>0</v>
      </c>
      <c r="CT3912">
        <v>2</v>
      </c>
      <c r="CU3912">
        <v>0</v>
      </c>
      <c r="CV3912">
        <v>2</v>
      </c>
      <c r="CW3912" t="s">
        <v>120</v>
      </c>
      <c r="CX3912">
        <v>257</v>
      </c>
      <c r="CY3912">
        <v>0</v>
      </c>
      <c r="CZ3912" t="s">
        <v>615</v>
      </c>
      <c r="DA3912" t="s">
        <v>616</v>
      </c>
      <c r="DD3912">
        <v>16611350</v>
      </c>
      <c r="DE3912" t="s">
        <v>123</v>
      </c>
    </row>
    <row r="3913" spans="1:109" x14ac:dyDescent="0.3">
      <c r="A3913" t="str">
        <f>"19:40:19.656"</f>
        <v>19:40:19.656</v>
      </c>
      <c r="B3913" t="s">
        <v>110</v>
      </c>
      <c r="C3913" t="str">
        <f t="shared" si="183"/>
        <v>ffdfd3c0</v>
      </c>
      <c r="D3913" t="s">
        <v>111</v>
      </c>
      <c r="E3913">
        <v>18</v>
      </c>
      <c r="F3913">
        <v>1018</v>
      </c>
      <c r="G3913" t="s">
        <v>112</v>
      </c>
      <c r="J3913" t="s">
        <v>113</v>
      </c>
      <c r="K3913">
        <v>0</v>
      </c>
      <c r="L3913">
        <v>3</v>
      </c>
      <c r="M3913">
        <v>0</v>
      </c>
      <c r="N3913">
        <v>2</v>
      </c>
      <c r="O3913">
        <v>1</v>
      </c>
      <c r="P3913">
        <v>0</v>
      </c>
      <c r="Q3913">
        <v>0</v>
      </c>
      <c r="R3913" t="s">
        <v>114</v>
      </c>
      <c r="S3913" t="str">
        <f>"19:40:19.469"</f>
        <v>19:40:19.469</v>
      </c>
      <c r="T3913" t="str">
        <f>"19:40:19.469"</f>
        <v>19:40:19.469</v>
      </c>
      <c r="U3913" t="str">
        <f t="shared" si="184"/>
        <v>a1cdbe</v>
      </c>
      <c r="V3913">
        <v>0</v>
      </c>
      <c r="W3913">
        <v>0</v>
      </c>
      <c r="X3913">
        <v>2</v>
      </c>
      <c r="Y3913">
        <v>0</v>
      </c>
      <c r="Z3913">
        <v>0</v>
      </c>
      <c r="AB3913">
        <v>0</v>
      </c>
      <c r="AC3913">
        <v>9</v>
      </c>
      <c r="AD3913">
        <v>3</v>
      </c>
      <c r="AE3913">
        <v>0</v>
      </c>
      <c r="AF3913">
        <v>9</v>
      </c>
      <c r="AG3913" t="s">
        <v>158</v>
      </c>
      <c r="AH3913">
        <v>0</v>
      </c>
      <c r="AI3913">
        <v>3</v>
      </c>
      <c r="AJ3913">
        <v>1</v>
      </c>
      <c r="AK3913">
        <v>0</v>
      </c>
      <c r="AL3913" t="s">
        <v>7380</v>
      </c>
      <c r="AM3913">
        <v>47.060172999999999</v>
      </c>
      <c r="AN3913" t="s">
        <v>7381</v>
      </c>
      <c r="AO3913">
        <v>-124.00571100000001</v>
      </c>
      <c r="AP3913">
        <v>100</v>
      </c>
      <c r="AQ3913">
        <v>2100</v>
      </c>
      <c r="AR3913" t="s">
        <v>118</v>
      </c>
      <c r="AS3913">
        <v>-81</v>
      </c>
      <c r="AT3913">
        <v>22</v>
      </c>
      <c r="AU3913">
        <v>0</v>
      </c>
      <c r="BC3913">
        <v>1200</v>
      </c>
      <c r="BD3913">
        <v>1</v>
      </c>
      <c r="BE3913" t="str">
        <f t="shared" si="185"/>
        <v xml:space="preserve">N215T   </v>
      </c>
      <c r="BF3913">
        <v>1</v>
      </c>
      <c r="BH3913">
        <v>0</v>
      </c>
      <c r="BI3913">
        <v>0</v>
      </c>
      <c r="BJ3913">
        <v>0</v>
      </c>
      <c r="BK3913">
        <v>2475</v>
      </c>
      <c r="BL3913">
        <v>375</v>
      </c>
      <c r="BM3913" t="s">
        <v>119</v>
      </c>
      <c r="BN3913">
        <v>1</v>
      </c>
      <c r="BO3913">
        <v>1</v>
      </c>
      <c r="BP3913">
        <v>1</v>
      </c>
      <c r="BQ3913">
        <v>0</v>
      </c>
      <c r="BT3913">
        <v>0</v>
      </c>
      <c r="BU3913">
        <v>0</v>
      </c>
      <c r="BV3913">
        <v>0</v>
      </c>
      <c r="CC3913" t="str">
        <f>"19:40:19.469"</f>
        <v>19:40:19.469</v>
      </c>
      <c r="CD3913" t="str">
        <f>"470987612"</f>
        <v>470987612</v>
      </c>
      <c r="CQ3913">
        <v>0</v>
      </c>
      <c r="CR3913">
        <v>2</v>
      </c>
      <c r="CS3913">
        <v>0</v>
      </c>
      <c r="CT3913">
        <v>2</v>
      </c>
      <c r="CU3913">
        <v>0</v>
      </c>
      <c r="CV3913">
        <v>1</v>
      </c>
      <c r="CW3913" t="s">
        <v>120</v>
      </c>
      <c r="CX3913">
        <v>253</v>
      </c>
      <c r="CY3913">
        <v>2</v>
      </c>
      <c r="CZ3913" t="s">
        <v>7093</v>
      </c>
      <c r="DA3913" t="s">
        <v>7094</v>
      </c>
      <c r="DD3913">
        <v>13974914</v>
      </c>
      <c r="DE3913" t="s">
        <v>123</v>
      </c>
    </row>
    <row r="3914" spans="1:109" x14ac:dyDescent="0.3">
      <c r="A3914" t="str">
        <f>"19:40:20.766"</f>
        <v>19:40:20.766</v>
      </c>
      <c r="B3914" t="s">
        <v>110</v>
      </c>
      <c r="C3914" t="str">
        <f t="shared" si="183"/>
        <v>ffdfd3c0</v>
      </c>
      <c r="D3914" t="s">
        <v>111</v>
      </c>
      <c r="E3914">
        <v>18</v>
      </c>
      <c r="F3914">
        <v>1018</v>
      </c>
      <c r="G3914" t="s">
        <v>112</v>
      </c>
      <c r="J3914" t="s">
        <v>113</v>
      </c>
      <c r="K3914">
        <v>0</v>
      </c>
      <c r="L3914">
        <v>3</v>
      </c>
      <c r="M3914">
        <v>0</v>
      </c>
      <c r="N3914">
        <v>2</v>
      </c>
      <c r="O3914">
        <v>1</v>
      </c>
      <c r="P3914">
        <v>0</v>
      </c>
      <c r="Q3914">
        <v>0</v>
      </c>
      <c r="R3914" t="s">
        <v>114</v>
      </c>
      <c r="S3914" t="str">
        <f>"19:40:20.484"</f>
        <v>19:40:20.484</v>
      </c>
      <c r="T3914" t="str">
        <f>"19:40:19.984"</f>
        <v>19:40:19.984</v>
      </c>
      <c r="U3914" t="str">
        <f t="shared" si="184"/>
        <v>a1cdbe</v>
      </c>
      <c r="V3914">
        <v>0</v>
      </c>
      <c r="W3914">
        <v>0</v>
      </c>
      <c r="X3914">
        <v>2</v>
      </c>
      <c r="Y3914">
        <v>0</v>
      </c>
      <c r="Z3914">
        <v>0</v>
      </c>
      <c r="AB3914">
        <v>0</v>
      </c>
      <c r="AC3914">
        <v>9</v>
      </c>
      <c r="AD3914">
        <v>3</v>
      </c>
      <c r="AE3914">
        <v>0</v>
      </c>
      <c r="AF3914">
        <v>9</v>
      </c>
      <c r="AG3914" t="s">
        <v>158</v>
      </c>
      <c r="AH3914">
        <v>0</v>
      </c>
      <c r="AI3914">
        <v>3</v>
      </c>
      <c r="AJ3914">
        <v>1</v>
      </c>
      <c r="AK3914">
        <v>0</v>
      </c>
      <c r="AL3914" t="s">
        <v>7382</v>
      </c>
      <c r="AM3914">
        <v>47.060301000000003</v>
      </c>
      <c r="AN3914" t="s">
        <v>7383</v>
      </c>
      <c r="AO3914">
        <v>-124.006333</v>
      </c>
      <c r="AP3914">
        <v>100</v>
      </c>
      <c r="AQ3914">
        <v>2100</v>
      </c>
      <c r="AR3914" t="s">
        <v>118</v>
      </c>
      <c r="AS3914">
        <v>-81</v>
      </c>
      <c r="AT3914">
        <v>22</v>
      </c>
      <c r="AU3914">
        <v>64</v>
      </c>
      <c r="BC3914">
        <v>1200</v>
      </c>
      <c r="BD3914">
        <v>1</v>
      </c>
      <c r="BE3914" t="str">
        <f t="shared" si="185"/>
        <v xml:space="preserve">N215T   </v>
      </c>
      <c r="BF3914">
        <v>1</v>
      </c>
      <c r="BH3914">
        <v>0</v>
      </c>
      <c r="BI3914">
        <v>0</v>
      </c>
      <c r="BJ3914">
        <v>0</v>
      </c>
      <c r="BK3914">
        <v>2475</v>
      </c>
      <c r="BL3914">
        <v>375</v>
      </c>
      <c r="BM3914" t="s">
        <v>119</v>
      </c>
      <c r="BN3914">
        <v>1</v>
      </c>
      <c r="BO3914">
        <v>1</v>
      </c>
      <c r="BP3914">
        <v>1</v>
      </c>
      <c r="BQ3914">
        <v>0</v>
      </c>
      <c r="BT3914">
        <v>0</v>
      </c>
      <c r="BU3914">
        <v>0</v>
      </c>
      <c r="BV3914">
        <v>0</v>
      </c>
      <c r="CC3914" t="str">
        <f>"19:40:20.492"</f>
        <v>19:40:20.492</v>
      </c>
      <c r="CD3914" t="str">
        <f>"490795719"</f>
        <v>490795719</v>
      </c>
      <c r="CQ3914">
        <v>0</v>
      </c>
      <c r="CR3914">
        <v>2</v>
      </c>
      <c r="CS3914">
        <v>0</v>
      </c>
      <c r="CT3914">
        <v>2</v>
      </c>
      <c r="CU3914">
        <v>0</v>
      </c>
      <c r="CV3914">
        <v>1</v>
      </c>
      <c r="CW3914" t="s">
        <v>120</v>
      </c>
      <c r="CX3914">
        <v>257</v>
      </c>
      <c r="CY3914">
        <v>0</v>
      </c>
      <c r="CZ3914" t="s">
        <v>615</v>
      </c>
      <c r="DA3914" t="s">
        <v>616</v>
      </c>
      <c r="DD3914">
        <v>16612012</v>
      </c>
      <c r="DE3914" t="s">
        <v>123</v>
      </c>
    </row>
    <row r="3915" spans="1:109" x14ac:dyDescent="0.3">
      <c r="A3915" t="str">
        <f>"19:40:21.672"</f>
        <v>19:40:21.672</v>
      </c>
      <c r="B3915" t="s">
        <v>110</v>
      </c>
      <c r="C3915" t="str">
        <f t="shared" si="183"/>
        <v>ffdfd3c0</v>
      </c>
      <c r="D3915" t="s">
        <v>111</v>
      </c>
      <c r="E3915">
        <v>18</v>
      </c>
      <c r="F3915">
        <v>1018</v>
      </c>
      <c r="G3915" t="s">
        <v>112</v>
      </c>
      <c r="J3915" t="s">
        <v>113</v>
      </c>
      <c r="K3915">
        <v>0</v>
      </c>
      <c r="L3915">
        <v>3</v>
      </c>
      <c r="M3915">
        <v>0</v>
      </c>
      <c r="N3915">
        <v>2</v>
      </c>
      <c r="O3915">
        <v>1</v>
      </c>
      <c r="P3915">
        <v>0</v>
      </c>
      <c r="Q3915">
        <v>0</v>
      </c>
      <c r="R3915" t="s">
        <v>114</v>
      </c>
      <c r="S3915" t="str">
        <f>"19:40:21.391"</f>
        <v>19:40:21.391</v>
      </c>
      <c r="T3915" t="str">
        <f>"19:40:21.094"</f>
        <v>19:40:21.094</v>
      </c>
      <c r="U3915" t="str">
        <f t="shared" si="184"/>
        <v>a1cdbe</v>
      </c>
      <c r="V3915">
        <v>0</v>
      </c>
      <c r="W3915">
        <v>0</v>
      </c>
      <c r="X3915">
        <v>2</v>
      </c>
      <c r="Y3915">
        <v>0</v>
      </c>
      <c r="Z3915">
        <v>0</v>
      </c>
      <c r="AB3915">
        <v>0</v>
      </c>
      <c r="AC3915">
        <v>9</v>
      </c>
      <c r="AD3915">
        <v>3</v>
      </c>
      <c r="AE3915">
        <v>0</v>
      </c>
      <c r="AF3915">
        <v>9</v>
      </c>
      <c r="AG3915" t="s">
        <v>158</v>
      </c>
      <c r="AH3915">
        <v>0</v>
      </c>
      <c r="AI3915">
        <v>3</v>
      </c>
      <c r="AJ3915">
        <v>1</v>
      </c>
      <c r="AK3915">
        <v>0</v>
      </c>
      <c r="AL3915" t="s">
        <v>7384</v>
      </c>
      <c r="AM3915">
        <v>47.060409</v>
      </c>
      <c r="AN3915" t="s">
        <v>7385</v>
      </c>
      <c r="AO3915">
        <v>-124.00676300000001</v>
      </c>
      <c r="AP3915">
        <v>100</v>
      </c>
      <c r="AQ3915">
        <v>2100</v>
      </c>
      <c r="AR3915" t="s">
        <v>118</v>
      </c>
      <c r="AS3915">
        <v>-81</v>
      </c>
      <c r="AT3915">
        <v>23</v>
      </c>
      <c r="AU3915">
        <v>64</v>
      </c>
      <c r="BC3915">
        <v>1200</v>
      </c>
      <c r="BD3915">
        <v>1</v>
      </c>
      <c r="BE3915" t="str">
        <f t="shared" si="185"/>
        <v xml:space="preserve">N215T   </v>
      </c>
      <c r="BF3915">
        <v>1</v>
      </c>
      <c r="BH3915">
        <v>0</v>
      </c>
      <c r="BI3915">
        <v>0</v>
      </c>
      <c r="BJ3915">
        <v>0</v>
      </c>
      <c r="BK3915">
        <v>2475</v>
      </c>
      <c r="BL3915">
        <v>375</v>
      </c>
      <c r="BM3915" t="s">
        <v>119</v>
      </c>
      <c r="BN3915">
        <v>1</v>
      </c>
      <c r="BO3915">
        <v>1</v>
      </c>
      <c r="BP3915">
        <v>1</v>
      </c>
      <c r="BQ3915">
        <v>0</v>
      </c>
      <c r="BT3915">
        <v>0</v>
      </c>
      <c r="BU3915">
        <v>0</v>
      </c>
      <c r="BV3915">
        <v>0</v>
      </c>
      <c r="CC3915" t="str">
        <f>"19:40:21.391"</f>
        <v>19:40:21.391</v>
      </c>
      <c r="CD3915" t="str">
        <f>"390707087"</f>
        <v>390707087</v>
      </c>
      <c r="CQ3915">
        <v>0</v>
      </c>
      <c r="CR3915">
        <v>2</v>
      </c>
      <c r="CS3915">
        <v>0</v>
      </c>
      <c r="CT3915">
        <v>2</v>
      </c>
      <c r="CU3915">
        <v>0</v>
      </c>
      <c r="CV3915">
        <v>1</v>
      </c>
      <c r="CW3915" t="s">
        <v>120</v>
      </c>
      <c r="CX3915">
        <v>257</v>
      </c>
      <c r="CY3915">
        <v>0</v>
      </c>
      <c r="CZ3915" t="s">
        <v>615</v>
      </c>
      <c r="DA3915" t="s">
        <v>616</v>
      </c>
      <c r="DD3915">
        <v>16612298</v>
      </c>
      <c r="DE3915" t="s">
        <v>123</v>
      </c>
    </row>
    <row r="3916" spans="1:109" x14ac:dyDescent="0.3">
      <c r="A3916" t="str">
        <f>"19:40:22.773"</f>
        <v>19:40:22.773</v>
      </c>
      <c r="B3916" t="s">
        <v>110</v>
      </c>
      <c r="C3916" t="str">
        <f t="shared" si="183"/>
        <v>ffdfd3c0</v>
      </c>
      <c r="D3916" t="s">
        <v>111</v>
      </c>
      <c r="E3916">
        <v>18</v>
      </c>
      <c r="F3916">
        <v>1018</v>
      </c>
      <c r="G3916" t="s">
        <v>112</v>
      </c>
      <c r="J3916" t="s">
        <v>113</v>
      </c>
      <c r="K3916">
        <v>0</v>
      </c>
      <c r="L3916">
        <v>3</v>
      </c>
      <c r="M3916">
        <v>0</v>
      </c>
      <c r="N3916">
        <v>2</v>
      </c>
      <c r="O3916">
        <v>1</v>
      </c>
      <c r="P3916">
        <v>0</v>
      </c>
      <c r="Q3916">
        <v>0</v>
      </c>
      <c r="R3916" t="s">
        <v>114</v>
      </c>
      <c r="S3916" t="str">
        <f>"19:40:22.555"</f>
        <v>19:40:22.555</v>
      </c>
      <c r="T3916" t="str">
        <f>"19:40:22.055"</f>
        <v>19:40:22.055</v>
      </c>
      <c r="U3916" t="str">
        <f t="shared" si="184"/>
        <v>a1cdbe</v>
      </c>
      <c r="V3916">
        <v>0</v>
      </c>
      <c r="W3916">
        <v>0</v>
      </c>
      <c r="X3916">
        <v>2</v>
      </c>
      <c r="Y3916">
        <v>0</v>
      </c>
      <c r="Z3916">
        <v>0</v>
      </c>
      <c r="AB3916">
        <v>0</v>
      </c>
      <c r="AC3916">
        <v>9</v>
      </c>
      <c r="AD3916">
        <v>3</v>
      </c>
      <c r="AE3916">
        <v>0</v>
      </c>
      <c r="AF3916">
        <v>9</v>
      </c>
      <c r="AG3916" t="s">
        <v>158</v>
      </c>
      <c r="AH3916">
        <v>0</v>
      </c>
      <c r="AI3916">
        <v>3</v>
      </c>
      <c r="AJ3916">
        <v>1</v>
      </c>
      <c r="AK3916">
        <v>0</v>
      </c>
      <c r="AL3916" t="s">
        <v>7386</v>
      </c>
      <c r="AM3916">
        <v>47.060536999999997</v>
      </c>
      <c r="AN3916" t="s">
        <v>7387</v>
      </c>
      <c r="AO3916">
        <v>-124.007428</v>
      </c>
      <c r="AP3916">
        <v>100</v>
      </c>
      <c r="AQ3916">
        <v>2100</v>
      </c>
      <c r="AR3916" t="s">
        <v>118</v>
      </c>
      <c r="AS3916">
        <v>-81</v>
      </c>
      <c r="AT3916">
        <v>23</v>
      </c>
      <c r="AU3916">
        <v>64</v>
      </c>
      <c r="BC3916">
        <v>1200</v>
      </c>
      <c r="BD3916">
        <v>1</v>
      </c>
      <c r="BE3916" t="str">
        <f t="shared" si="185"/>
        <v xml:space="preserve">N215T   </v>
      </c>
      <c r="BF3916">
        <v>1</v>
      </c>
      <c r="BH3916">
        <v>0</v>
      </c>
      <c r="BI3916">
        <v>0</v>
      </c>
      <c r="BJ3916">
        <v>0</v>
      </c>
      <c r="BK3916">
        <v>2475</v>
      </c>
      <c r="BL3916">
        <v>375</v>
      </c>
      <c r="BM3916" t="s">
        <v>119</v>
      </c>
      <c r="BN3916">
        <v>1</v>
      </c>
      <c r="BO3916">
        <v>1</v>
      </c>
      <c r="BP3916">
        <v>1</v>
      </c>
      <c r="BQ3916">
        <v>0</v>
      </c>
      <c r="BT3916">
        <v>0</v>
      </c>
      <c r="BU3916">
        <v>0</v>
      </c>
      <c r="BV3916">
        <v>0</v>
      </c>
      <c r="CC3916" t="str">
        <f>"19:40:22.563"</f>
        <v>19:40:22.563</v>
      </c>
      <c r="CD3916" t="str">
        <f>"560591871"</f>
        <v>560591871</v>
      </c>
      <c r="CQ3916">
        <v>0</v>
      </c>
      <c r="CR3916">
        <v>2</v>
      </c>
      <c r="CS3916">
        <v>0</v>
      </c>
      <c r="CT3916">
        <v>2</v>
      </c>
      <c r="CU3916">
        <v>0</v>
      </c>
      <c r="CV3916">
        <v>1</v>
      </c>
      <c r="CW3916" t="s">
        <v>120</v>
      </c>
      <c r="CX3916">
        <v>257</v>
      </c>
      <c r="CY3916">
        <v>0</v>
      </c>
      <c r="CZ3916" t="s">
        <v>615</v>
      </c>
      <c r="DA3916" t="s">
        <v>616</v>
      </c>
      <c r="DD3916">
        <v>16612682</v>
      </c>
      <c r="DE3916" t="s">
        <v>123</v>
      </c>
    </row>
    <row r="3917" spans="1:109" x14ac:dyDescent="0.3">
      <c r="A3917" t="str">
        <f>"19:40:23.828"</f>
        <v>19:40:23.828</v>
      </c>
      <c r="B3917" t="s">
        <v>110</v>
      </c>
      <c r="C3917" t="str">
        <f t="shared" si="183"/>
        <v>ffdfd3c0</v>
      </c>
      <c r="D3917" t="s">
        <v>111</v>
      </c>
      <c r="E3917">
        <v>18</v>
      </c>
      <c r="F3917">
        <v>1018</v>
      </c>
      <c r="G3917" t="s">
        <v>112</v>
      </c>
      <c r="J3917" t="s">
        <v>113</v>
      </c>
      <c r="K3917">
        <v>0</v>
      </c>
      <c r="L3917">
        <v>3</v>
      </c>
      <c r="M3917">
        <v>0</v>
      </c>
      <c r="N3917">
        <v>2</v>
      </c>
      <c r="O3917">
        <v>1</v>
      </c>
      <c r="P3917">
        <v>0</v>
      </c>
      <c r="Q3917">
        <v>0</v>
      </c>
      <c r="R3917" t="s">
        <v>114</v>
      </c>
      <c r="S3917" t="str">
        <f>"19:40:23.563"</f>
        <v>19:40:23.563</v>
      </c>
      <c r="T3917" t="str">
        <f>"19:40:22.664"</f>
        <v>19:40:22.664</v>
      </c>
      <c r="U3917" t="str">
        <f t="shared" si="184"/>
        <v>a1cdbe</v>
      </c>
      <c r="V3917">
        <v>0</v>
      </c>
      <c r="W3917">
        <v>0</v>
      </c>
      <c r="X3917">
        <v>2</v>
      </c>
      <c r="Y3917">
        <v>0</v>
      </c>
      <c r="Z3917">
        <v>0</v>
      </c>
      <c r="AB3917">
        <v>0</v>
      </c>
      <c r="AC3917">
        <v>9</v>
      </c>
      <c r="AD3917">
        <v>3</v>
      </c>
      <c r="AE3917">
        <v>0</v>
      </c>
      <c r="AF3917">
        <v>9</v>
      </c>
      <c r="AG3917" t="s">
        <v>158</v>
      </c>
      <c r="AH3917">
        <v>0</v>
      </c>
      <c r="AI3917">
        <v>3</v>
      </c>
      <c r="AJ3917">
        <v>1</v>
      </c>
      <c r="AK3917">
        <v>0</v>
      </c>
      <c r="AL3917" t="s">
        <v>7388</v>
      </c>
      <c r="AM3917">
        <v>47.060623</v>
      </c>
      <c r="AN3917" t="s">
        <v>7389</v>
      </c>
      <c r="AO3917">
        <v>-124.007964</v>
      </c>
      <c r="AP3917">
        <v>100</v>
      </c>
      <c r="AQ3917">
        <v>2100</v>
      </c>
      <c r="AR3917" t="s">
        <v>118</v>
      </c>
      <c r="AS3917">
        <v>-81</v>
      </c>
      <c r="AT3917">
        <v>23</v>
      </c>
      <c r="AU3917">
        <v>64</v>
      </c>
      <c r="BC3917">
        <v>1200</v>
      </c>
      <c r="BD3917">
        <v>1</v>
      </c>
      <c r="BE3917" t="str">
        <f t="shared" si="185"/>
        <v xml:space="preserve">N215T   </v>
      </c>
      <c r="BF3917">
        <v>1</v>
      </c>
      <c r="BH3917">
        <v>0</v>
      </c>
      <c r="BI3917">
        <v>0</v>
      </c>
      <c r="BJ3917">
        <v>0</v>
      </c>
      <c r="BK3917">
        <v>2475</v>
      </c>
      <c r="BL3917">
        <v>375</v>
      </c>
      <c r="BM3917" t="s">
        <v>119</v>
      </c>
      <c r="BN3917">
        <v>1</v>
      </c>
      <c r="BO3917">
        <v>1</v>
      </c>
      <c r="BP3917">
        <v>1</v>
      </c>
      <c r="BQ3917">
        <v>0</v>
      </c>
      <c r="BT3917">
        <v>0</v>
      </c>
      <c r="BU3917">
        <v>0</v>
      </c>
      <c r="BV3917">
        <v>0</v>
      </c>
      <c r="CC3917" t="str">
        <f>"19:40:23.563"</f>
        <v>19:40:23.563</v>
      </c>
      <c r="CD3917" t="str">
        <f>"565492963"</f>
        <v>565492963</v>
      </c>
      <c r="CQ3917">
        <v>0</v>
      </c>
      <c r="CR3917">
        <v>2</v>
      </c>
      <c r="CS3917">
        <v>0</v>
      </c>
      <c r="CT3917">
        <v>2</v>
      </c>
      <c r="CU3917">
        <v>0</v>
      </c>
      <c r="CV3917">
        <v>2</v>
      </c>
      <c r="CW3917" t="s">
        <v>120</v>
      </c>
      <c r="CX3917">
        <v>257</v>
      </c>
      <c r="CY3917">
        <v>0</v>
      </c>
      <c r="CZ3917" t="s">
        <v>615</v>
      </c>
      <c r="DA3917" t="s">
        <v>616</v>
      </c>
      <c r="DD3917">
        <v>16613036</v>
      </c>
      <c r="DE3917" t="s">
        <v>123</v>
      </c>
    </row>
    <row r="3918" spans="1:109" x14ac:dyDescent="0.3">
      <c r="A3918" t="str">
        <f>"19:40:24.891"</f>
        <v>19:40:24.891</v>
      </c>
      <c r="B3918" t="s">
        <v>110</v>
      </c>
      <c r="C3918" t="str">
        <f t="shared" si="183"/>
        <v>ffdfd3c0</v>
      </c>
      <c r="D3918" t="s">
        <v>111</v>
      </c>
      <c r="E3918">
        <v>18</v>
      </c>
      <c r="F3918">
        <v>1018</v>
      </c>
      <c r="G3918" t="s">
        <v>112</v>
      </c>
      <c r="J3918" t="s">
        <v>113</v>
      </c>
      <c r="K3918">
        <v>0</v>
      </c>
      <c r="L3918">
        <v>3</v>
      </c>
      <c r="M3918">
        <v>0</v>
      </c>
      <c r="N3918">
        <v>2</v>
      </c>
      <c r="O3918">
        <v>1</v>
      </c>
      <c r="P3918">
        <v>0</v>
      </c>
      <c r="Q3918">
        <v>0</v>
      </c>
      <c r="R3918" t="s">
        <v>114</v>
      </c>
      <c r="S3918" t="str">
        <f>"19:40:24.609"</f>
        <v>19:40:24.609</v>
      </c>
      <c r="T3918" t="str">
        <f>"19:40:24.008"</f>
        <v>19:40:24.008</v>
      </c>
      <c r="U3918" t="str">
        <f t="shared" si="184"/>
        <v>a1cdbe</v>
      </c>
      <c r="V3918">
        <v>0</v>
      </c>
      <c r="W3918">
        <v>0</v>
      </c>
      <c r="X3918">
        <v>2</v>
      </c>
      <c r="Y3918">
        <v>0</v>
      </c>
      <c r="Z3918">
        <v>0</v>
      </c>
      <c r="AB3918">
        <v>0</v>
      </c>
      <c r="AC3918">
        <v>9</v>
      </c>
      <c r="AD3918">
        <v>3</v>
      </c>
      <c r="AE3918">
        <v>0</v>
      </c>
      <c r="AF3918">
        <v>9</v>
      </c>
      <c r="AG3918" t="s">
        <v>158</v>
      </c>
      <c r="AH3918">
        <v>0</v>
      </c>
      <c r="AI3918">
        <v>3</v>
      </c>
      <c r="AJ3918">
        <v>1</v>
      </c>
      <c r="AK3918">
        <v>0</v>
      </c>
      <c r="AL3918" t="s">
        <v>7390</v>
      </c>
      <c r="AM3918">
        <v>47.06073</v>
      </c>
      <c r="AN3918" t="s">
        <v>7391</v>
      </c>
      <c r="AO3918">
        <v>-124.008608</v>
      </c>
      <c r="AP3918">
        <v>100</v>
      </c>
      <c r="AQ3918">
        <v>2100</v>
      </c>
      <c r="AR3918" t="s">
        <v>118</v>
      </c>
      <c r="AS3918">
        <v>-80</v>
      </c>
      <c r="AT3918">
        <v>23</v>
      </c>
      <c r="AU3918">
        <v>64</v>
      </c>
      <c r="BC3918">
        <v>1200</v>
      </c>
      <c r="BD3918">
        <v>1</v>
      </c>
      <c r="BE3918" t="str">
        <f t="shared" si="185"/>
        <v xml:space="preserve">N215T   </v>
      </c>
      <c r="BF3918">
        <v>1</v>
      </c>
      <c r="BH3918">
        <v>0</v>
      </c>
      <c r="BI3918">
        <v>0</v>
      </c>
      <c r="BJ3918">
        <v>0</v>
      </c>
      <c r="BK3918">
        <v>2475</v>
      </c>
      <c r="BL3918">
        <v>375</v>
      </c>
      <c r="BM3918" t="s">
        <v>119</v>
      </c>
      <c r="BN3918">
        <v>1</v>
      </c>
      <c r="BO3918">
        <v>1</v>
      </c>
      <c r="BP3918">
        <v>1</v>
      </c>
      <c r="BQ3918">
        <v>0</v>
      </c>
      <c r="BT3918">
        <v>0</v>
      </c>
      <c r="BU3918">
        <v>0</v>
      </c>
      <c r="BV3918">
        <v>0</v>
      </c>
      <c r="CC3918" t="str">
        <f>"19:40:24.617"</f>
        <v>19:40:24.617</v>
      </c>
      <c r="CD3918" t="str">
        <f>"615389528"</f>
        <v>615389528</v>
      </c>
      <c r="CQ3918">
        <v>0</v>
      </c>
      <c r="CR3918">
        <v>2</v>
      </c>
      <c r="CS3918">
        <v>0</v>
      </c>
      <c r="CT3918">
        <v>2</v>
      </c>
      <c r="CU3918">
        <v>0</v>
      </c>
      <c r="CV3918">
        <v>2</v>
      </c>
      <c r="CW3918" t="s">
        <v>120</v>
      </c>
      <c r="CX3918">
        <v>257</v>
      </c>
      <c r="CY3918">
        <v>0</v>
      </c>
      <c r="CZ3918" t="s">
        <v>615</v>
      </c>
      <c r="DA3918" t="s">
        <v>616</v>
      </c>
      <c r="DD3918">
        <v>16613370</v>
      </c>
      <c r="DE3918" t="s">
        <v>123</v>
      </c>
    </row>
    <row r="3919" spans="1:109" x14ac:dyDescent="0.3">
      <c r="A3919" t="str">
        <f>"19:40:25.844"</f>
        <v>19:40:25.844</v>
      </c>
      <c r="B3919" t="s">
        <v>110</v>
      </c>
      <c r="C3919" t="str">
        <f t="shared" si="183"/>
        <v>ffdfd3c0</v>
      </c>
      <c r="D3919" t="s">
        <v>111</v>
      </c>
      <c r="E3919">
        <v>18</v>
      </c>
      <c r="F3919">
        <v>1018</v>
      </c>
      <c r="G3919" t="s">
        <v>112</v>
      </c>
      <c r="J3919" t="s">
        <v>113</v>
      </c>
      <c r="K3919">
        <v>0</v>
      </c>
      <c r="L3919">
        <v>3</v>
      </c>
      <c r="M3919">
        <v>0</v>
      </c>
      <c r="N3919">
        <v>2</v>
      </c>
      <c r="O3919">
        <v>1</v>
      </c>
      <c r="P3919">
        <v>0</v>
      </c>
      <c r="Q3919">
        <v>0</v>
      </c>
      <c r="R3919" t="s">
        <v>114</v>
      </c>
      <c r="S3919" t="str">
        <f>"19:40:25.617"</f>
        <v>19:40:25.617</v>
      </c>
      <c r="T3919" t="str">
        <f>"19:40:25.516"</f>
        <v>19:40:25.516</v>
      </c>
      <c r="U3919" t="str">
        <f t="shared" si="184"/>
        <v>a1cdbe</v>
      </c>
      <c r="V3919">
        <v>0</v>
      </c>
      <c r="W3919">
        <v>0</v>
      </c>
      <c r="X3919">
        <v>2</v>
      </c>
      <c r="Y3919">
        <v>0</v>
      </c>
      <c r="Z3919">
        <v>0</v>
      </c>
      <c r="AB3919">
        <v>0</v>
      </c>
      <c r="AC3919">
        <v>9</v>
      </c>
      <c r="AD3919">
        <v>3</v>
      </c>
      <c r="AE3919">
        <v>0</v>
      </c>
      <c r="AF3919">
        <v>9</v>
      </c>
      <c r="AG3919" t="s">
        <v>158</v>
      </c>
      <c r="AH3919">
        <v>0</v>
      </c>
      <c r="AI3919">
        <v>3</v>
      </c>
      <c r="AJ3919">
        <v>1</v>
      </c>
      <c r="AK3919">
        <v>0</v>
      </c>
      <c r="AL3919" t="s">
        <v>7392</v>
      </c>
      <c r="AM3919">
        <v>47.060859000000001</v>
      </c>
      <c r="AN3919" t="s">
        <v>7393</v>
      </c>
      <c r="AO3919">
        <v>-124.00914400000001</v>
      </c>
      <c r="AP3919">
        <v>100</v>
      </c>
      <c r="AQ3919">
        <v>2100</v>
      </c>
      <c r="AR3919" t="s">
        <v>118</v>
      </c>
      <c r="AS3919">
        <v>-80</v>
      </c>
      <c r="AT3919">
        <v>23</v>
      </c>
      <c r="AU3919">
        <v>128</v>
      </c>
      <c r="BC3919">
        <v>1200</v>
      </c>
      <c r="BD3919">
        <v>1</v>
      </c>
      <c r="BE3919" t="str">
        <f t="shared" si="185"/>
        <v xml:space="preserve">N215T   </v>
      </c>
      <c r="BF3919">
        <v>1</v>
      </c>
      <c r="BH3919">
        <v>0</v>
      </c>
      <c r="BI3919">
        <v>0</v>
      </c>
      <c r="BJ3919">
        <v>0</v>
      </c>
      <c r="BK3919">
        <v>2500</v>
      </c>
      <c r="BL3919">
        <v>400</v>
      </c>
      <c r="BM3919" t="s">
        <v>119</v>
      </c>
      <c r="BN3919">
        <v>1</v>
      </c>
      <c r="BO3919">
        <v>1</v>
      </c>
      <c r="BP3919">
        <v>1</v>
      </c>
      <c r="BQ3919">
        <v>0</v>
      </c>
      <c r="BT3919">
        <v>0</v>
      </c>
      <c r="BU3919">
        <v>0</v>
      </c>
      <c r="BV3919">
        <v>0</v>
      </c>
      <c r="CC3919" t="str">
        <f>"19:40:25.617"</f>
        <v>19:40:25.617</v>
      </c>
      <c r="CD3919" t="str">
        <f>"620290567"</f>
        <v>620290567</v>
      </c>
      <c r="CQ3919">
        <v>0</v>
      </c>
      <c r="CR3919">
        <v>2</v>
      </c>
      <c r="CS3919">
        <v>0</v>
      </c>
      <c r="CT3919">
        <v>2</v>
      </c>
      <c r="CU3919">
        <v>0</v>
      </c>
      <c r="CV3919">
        <v>2</v>
      </c>
      <c r="CW3919" t="s">
        <v>120</v>
      </c>
      <c r="CX3919">
        <v>257</v>
      </c>
      <c r="CY3919">
        <v>0</v>
      </c>
      <c r="CZ3919" t="s">
        <v>615</v>
      </c>
      <c r="DA3919" t="s">
        <v>616</v>
      </c>
      <c r="DD3919">
        <v>16613678</v>
      </c>
      <c r="DE3919" t="s">
        <v>123</v>
      </c>
    </row>
    <row r="3920" spans="1:109" x14ac:dyDescent="0.3">
      <c r="A3920" t="str">
        <f>"19:40:26.898"</f>
        <v>19:40:26.898</v>
      </c>
      <c r="B3920" t="s">
        <v>110</v>
      </c>
      <c r="C3920" t="str">
        <f t="shared" si="183"/>
        <v>ffdfd3c0</v>
      </c>
      <c r="D3920" t="s">
        <v>111</v>
      </c>
      <c r="E3920">
        <v>18</v>
      </c>
      <c r="F3920">
        <v>1018</v>
      </c>
      <c r="G3920" t="s">
        <v>112</v>
      </c>
      <c r="J3920" t="s">
        <v>113</v>
      </c>
      <c r="K3920">
        <v>0</v>
      </c>
      <c r="L3920">
        <v>3</v>
      </c>
      <c r="M3920">
        <v>0</v>
      </c>
      <c r="N3920">
        <v>2</v>
      </c>
      <c r="O3920">
        <v>1</v>
      </c>
      <c r="P3920">
        <v>0</v>
      </c>
      <c r="Q3920">
        <v>0</v>
      </c>
      <c r="R3920" t="s">
        <v>114</v>
      </c>
      <c r="S3920" t="str">
        <f>"19:40:26.609"</f>
        <v>19:40:26.609</v>
      </c>
      <c r="T3920" t="str">
        <f>"19:40:26.508"</f>
        <v>19:40:26.508</v>
      </c>
      <c r="U3920" t="str">
        <f t="shared" si="184"/>
        <v>a1cdbe</v>
      </c>
      <c r="V3920">
        <v>0</v>
      </c>
      <c r="W3920">
        <v>0</v>
      </c>
      <c r="X3920">
        <v>2</v>
      </c>
      <c r="Y3920">
        <v>0</v>
      </c>
      <c r="Z3920">
        <v>0</v>
      </c>
      <c r="AB3920">
        <v>0</v>
      </c>
      <c r="AC3920">
        <v>9</v>
      </c>
      <c r="AD3920">
        <v>3</v>
      </c>
      <c r="AE3920">
        <v>0</v>
      </c>
      <c r="AF3920">
        <v>9</v>
      </c>
      <c r="AG3920" t="s">
        <v>158</v>
      </c>
      <c r="AH3920">
        <v>0</v>
      </c>
      <c r="AI3920">
        <v>3</v>
      </c>
      <c r="AJ3920">
        <v>1</v>
      </c>
      <c r="AK3920">
        <v>0</v>
      </c>
      <c r="AL3920" t="s">
        <v>504</v>
      </c>
      <c r="AM3920">
        <v>47.060966000000001</v>
      </c>
      <c r="AN3920" t="s">
        <v>7394</v>
      </c>
      <c r="AO3920">
        <v>-124.009659</v>
      </c>
      <c r="AP3920">
        <v>100</v>
      </c>
      <c r="AQ3920">
        <v>2100</v>
      </c>
      <c r="AR3920" t="s">
        <v>118</v>
      </c>
      <c r="AS3920">
        <v>-80</v>
      </c>
      <c r="AT3920">
        <v>24</v>
      </c>
      <c r="AU3920">
        <v>128</v>
      </c>
      <c r="BC3920">
        <v>1200</v>
      </c>
      <c r="BD3920">
        <v>1</v>
      </c>
      <c r="BE3920" t="str">
        <f t="shared" si="185"/>
        <v xml:space="preserve">N215T   </v>
      </c>
      <c r="BF3920">
        <v>1</v>
      </c>
      <c r="BH3920">
        <v>0</v>
      </c>
      <c r="BI3920">
        <v>0</v>
      </c>
      <c r="BJ3920">
        <v>0</v>
      </c>
      <c r="BK3920">
        <v>2500</v>
      </c>
      <c r="BL3920">
        <v>400</v>
      </c>
      <c r="BM3920" t="s">
        <v>119</v>
      </c>
      <c r="BN3920">
        <v>1</v>
      </c>
      <c r="BO3920">
        <v>1</v>
      </c>
      <c r="BP3920">
        <v>1</v>
      </c>
      <c r="BQ3920">
        <v>0</v>
      </c>
      <c r="BT3920">
        <v>0</v>
      </c>
      <c r="BU3920">
        <v>0</v>
      </c>
      <c r="BV3920">
        <v>0</v>
      </c>
      <c r="CC3920" t="str">
        <f>"19:40:26.609"</f>
        <v>19:40:26.609</v>
      </c>
      <c r="CD3920" t="str">
        <f>"610193104"</f>
        <v>610193104</v>
      </c>
      <c r="CQ3920">
        <v>0</v>
      </c>
      <c r="CR3920">
        <v>2</v>
      </c>
      <c r="CS3920">
        <v>0</v>
      </c>
      <c r="CT3920">
        <v>2</v>
      </c>
      <c r="CU3920">
        <v>0</v>
      </c>
      <c r="CV3920">
        <v>2</v>
      </c>
      <c r="CW3920" t="s">
        <v>120</v>
      </c>
      <c r="CX3920">
        <v>257</v>
      </c>
      <c r="CY3920">
        <v>0</v>
      </c>
      <c r="CZ3920" t="s">
        <v>615</v>
      </c>
      <c r="DA3920" t="s">
        <v>616</v>
      </c>
      <c r="DD3920">
        <v>16614015</v>
      </c>
      <c r="DE3920" t="s">
        <v>123</v>
      </c>
    </row>
    <row r="3921" spans="1:109" x14ac:dyDescent="0.3">
      <c r="A3921" t="str">
        <f>"19:40:27.852"</f>
        <v>19:40:27.852</v>
      </c>
      <c r="B3921" t="s">
        <v>110</v>
      </c>
      <c r="C3921" t="str">
        <f t="shared" si="183"/>
        <v>ffdfd3c0</v>
      </c>
      <c r="D3921" t="s">
        <v>111</v>
      </c>
      <c r="E3921">
        <v>18</v>
      </c>
      <c r="F3921">
        <v>1018</v>
      </c>
      <c r="G3921" t="s">
        <v>112</v>
      </c>
      <c r="J3921" t="s">
        <v>113</v>
      </c>
      <c r="K3921">
        <v>0</v>
      </c>
      <c r="L3921">
        <v>3</v>
      </c>
      <c r="M3921">
        <v>0</v>
      </c>
      <c r="N3921">
        <v>2</v>
      </c>
      <c r="O3921">
        <v>1</v>
      </c>
      <c r="P3921">
        <v>0</v>
      </c>
      <c r="Q3921">
        <v>0</v>
      </c>
      <c r="R3921" t="s">
        <v>114</v>
      </c>
      <c r="S3921" t="str">
        <f>"19:40:27.594"</f>
        <v>19:40:27.594</v>
      </c>
      <c r="T3921" t="str">
        <f>"19:40:27.492"</f>
        <v>19:40:27.492</v>
      </c>
      <c r="U3921" t="str">
        <f t="shared" si="184"/>
        <v>a1cdbe</v>
      </c>
      <c r="V3921">
        <v>0</v>
      </c>
      <c r="W3921">
        <v>0</v>
      </c>
      <c r="X3921">
        <v>2</v>
      </c>
      <c r="Y3921">
        <v>0</v>
      </c>
      <c r="Z3921">
        <v>0</v>
      </c>
      <c r="AB3921">
        <v>0</v>
      </c>
      <c r="AC3921">
        <v>9</v>
      </c>
      <c r="AD3921">
        <v>3</v>
      </c>
      <c r="AE3921">
        <v>0</v>
      </c>
      <c r="AF3921">
        <v>9</v>
      </c>
      <c r="AG3921" t="s">
        <v>158</v>
      </c>
      <c r="AH3921">
        <v>0</v>
      </c>
      <c r="AI3921">
        <v>3</v>
      </c>
      <c r="AJ3921">
        <v>1</v>
      </c>
      <c r="AK3921">
        <v>0</v>
      </c>
      <c r="AL3921" t="s">
        <v>7395</v>
      </c>
      <c r="AM3921">
        <v>47.061031</v>
      </c>
      <c r="AN3921" t="s">
        <v>7396</v>
      </c>
      <c r="AO3921">
        <v>-124.01017400000001</v>
      </c>
      <c r="AP3921">
        <v>100</v>
      </c>
      <c r="AQ3921">
        <v>2100</v>
      </c>
      <c r="AR3921" t="s">
        <v>118</v>
      </c>
      <c r="AS3921">
        <v>-80</v>
      </c>
      <c r="AT3921">
        <v>24</v>
      </c>
      <c r="AU3921">
        <v>128</v>
      </c>
      <c r="BC3921">
        <v>1200</v>
      </c>
      <c r="BD3921">
        <v>1</v>
      </c>
      <c r="BE3921" t="str">
        <f t="shared" si="185"/>
        <v xml:space="preserve">N215T   </v>
      </c>
      <c r="BF3921">
        <v>1</v>
      </c>
      <c r="BH3921">
        <v>0</v>
      </c>
      <c r="BI3921">
        <v>0</v>
      </c>
      <c r="BJ3921">
        <v>0</v>
      </c>
      <c r="BK3921">
        <v>2500</v>
      </c>
      <c r="BL3921">
        <v>400</v>
      </c>
      <c r="BM3921" t="s">
        <v>119</v>
      </c>
      <c r="BN3921">
        <v>1</v>
      </c>
      <c r="BO3921">
        <v>1</v>
      </c>
      <c r="BP3921">
        <v>1</v>
      </c>
      <c r="BQ3921">
        <v>0</v>
      </c>
      <c r="BT3921">
        <v>0</v>
      </c>
      <c r="BU3921">
        <v>0</v>
      </c>
      <c r="BV3921">
        <v>0</v>
      </c>
      <c r="CC3921" t="str">
        <f>"19:40:27.602"</f>
        <v>19:40:27.602</v>
      </c>
      <c r="CD3921" t="str">
        <f>"600095600"</f>
        <v>600095600</v>
      </c>
      <c r="CQ3921">
        <v>0</v>
      </c>
      <c r="CR3921">
        <v>2</v>
      </c>
      <c r="CS3921">
        <v>0</v>
      </c>
      <c r="CT3921">
        <v>2</v>
      </c>
      <c r="CU3921">
        <v>0</v>
      </c>
      <c r="CV3921">
        <v>1</v>
      </c>
      <c r="CW3921" t="s">
        <v>120</v>
      </c>
      <c r="CX3921">
        <v>257</v>
      </c>
      <c r="CY3921">
        <v>0</v>
      </c>
      <c r="CZ3921" t="s">
        <v>615</v>
      </c>
      <c r="DA3921" t="s">
        <v>616</v>
      </c>
      <c r="DD3921">
        <v>16614352</v>
      </c>
      <c r="DE3921" t="s">
        <v>123</v>
      </c>
    </row>
    <row r="3922" spans="1:109" x14ac:dyDescent="0.3">
      <c r="A3922" t="str">
        <f>"19:40:28.758"</f>
        <v>19:40:28.758</v>
      </c>
      <c r="B3922" t="s">
        <v>110</v>
      </c>
      <c r="C3922" t="str">
        <f t="shared" si="183"/>
        <v>ffdfd3c0</v>
      </c>
      <c r="D3922" t="s">
        <v>111</v>
      </c>
      <c r="E3922">
        <v>18</v>
      </c>
      <c r="F3922">
        <v>1018</v>
      </c>
      <c r="G3922" t="s">
        <v>112</v>
      </c>
      <c r="J3922" t="s">
        <v>113</v>
      </c>
      <c r="K3922">
        <v>0</v>
      </c>
      <c r="L3922">
        <v>3</v>
      </c>
      <c r="M3922">
        <v>0</v>
      </c>
      <c r="N3922">
        <v>2</v>
      </c>
      <c r="O3922">
        <v>1</v>
      </c>
      <c r="P3922">
        <v>0</v>
      </c>
      <c r="Q3922">
        <v>0</v>
      </c>
      <c r="R3922" t="s">
        <v>114</v>
      </c>
      <c r="S3922" t="str">
        <f>"19:40:28.539"</f>
        <v>19:40:28.539</v>
      </c>
      <c r="T3922" t="str">
        <f>"19:40:28.438"</f>
        <v>19:40:28.438</v>
      </c>
      <c r="U3922" t="str">
        <f t="shared" si="184"/>
        <v>a1cdbe</v>
      </c>
      <c r="V3922">
        <v>0</v>
      </c>
      <c r="W3922">
        <v>0</v>
      </c>
      <c r="X3922">
        <v>2</v>
      </c>
      <c r="Y3922">
        <v>0</v>
      </c>
      <c r="Z3922">
        <v>0</v>
      </c>
      <c r="AB3922">
        <v>0</v>
      </c>
      <c r="AC3922">
        <v>9</v>
      </c>
      <c r="AD3922">
        <v>3</v>
      </c>
      <c r="AE3922">
        <v>0</v>
      </c>
      <c r="AF3922">
        <v>9</v>
      </c>
      <c r="AG3922" t="s">
        <v>158</v>
      </c>
      <c r="AH3922">
        <v>0</v>
      </c>
      <c r="AI3922">
        <v>3</v>
      </c>
      <c r="AJ3922">
        <v>1</v>
      </c>
      <c r="AK3922">
        <v>0</v>
      </c>
      <c r="AL3922" t="s">
        <v>7397</v>
      </c>
      <c r="AM3922">
        <v>47.061180999999998</v>
      </c>
      <c r="AN3922" t="s">
        <v>7398</v>
      </c>
      <c r="AO3922">
        <v>-124.01064599999999</v>
      </c>
      <c r="AP3922">
        <v>100</v>
      </c>
      <c r="AQ3922">
        <v>2100</v>
      </c>
      <c r="AR3922" t="s">
        <v>118</v>
      </c>
      <c r="AS3922">
        <v>-79</v>
      </c>
      <c r="AT3922">
        <v>23</v>
      </c>
      <c r="AU3922">
        <v>128</v>
      </c>
      <c r="BC3922">
        <v>1200</v>
      </c>
      <c r="BD3922">
        <v>1</v>
      </c>
      <c r="BE3922" t="str">
        <f t="shared" si="185"/>
        <v xml:space="preserve">N215T   </v>
      </c>
      <c r="BF3922">
        <v>1</v>
      </c>
      <c r="BH3922">
        <v>0</v>
      </c>
      <c r="BI3922">
        <v>0</v>
      </c>
      <c r="BJ3922">
        <v>0</v>
      </c>
      <c r="BK3922">
        <v>2500</v>
      </c>
      <c r="BL3922">
        <v>400</v>
      </c>
      <c r="BM3922" t="s">
        <v>119</v>
      </c>
      <c r="BN3922">
        <v>1</v>
      </c>
      <c r="BO3922">
        <v>1</v>
      </c>
      <c r="BP3922">
        <v>1</v>
      </c>
      <c r="BQ3922">
        <v>0</v>
      </c>
      <c r="BT3922">
        <v>0</v>
      </c>
      <c r="BU3922">
        <v>0</v>
      </c>
      <c r="BV3922">
        <v>0</v>
      </c>
      <c r="CC3922" t="str">
        <f>"19:40:28.547"</f>
        <v>19:40:28.547</v>
      </c>
      <c r="CD3922" t="str">
        <f>"545002540"</f>
        <v>545002540</v>
      </c>
      <c r="CQ3922">
        <v>0</v>
      </c>
      <c r="CR3922">
        <v>2</v>
      </c>
      <c r="CS3922">
        <v>0</v>
      </c>
      <c r="CT3922">
        <v>2</v>
      </c>
      <c r="CU3922">
        <v>0</v>
      </c>
      <c r="CV3922">
        <v>4</v>
      </c>
      <c r="CW3922" t="s">
        <v>120</v>
      </c>
      <c r="CX3922">
        <v>257</v>
      </c>
      <c r="CY3922">
        <v>0</v>
      </c>
      <c r="CZ3922" t="s">
        <v>615</v>
      </c>
      <c r="DA3922" t="s">
        <v>616</v>
      </c>
      <c r="DD3922">
        <v>16614657</v>
      </c>
      <c r="DE3922" t="s">
        <v>123</v>
      </c>
    </row>
    <row r="3923" spans="1:109" x14ac:dyDescent="0.3">
      <c r="A3923" t="str">
        <f>"19:40:29.867"</f>
        <v>19:40:29.867</v>
      </c>
      <c r="B3923" t="s">
        <v>110</v>
      </c>
      <c r="C3923" t="str">
        <f t="shared" si="183"/>
        <v>ffdfd3c0</v>
      </c>
      <c r="D3923" t="s">
        <v>111</v>
      </c>
      <c r="E3923">
        <v>18</v>
      </c>
      <c r="F3923">
        <v>1018</v>
      </c>
      <c r="G3923" t="s">
        <v>112</v>
      </c>
      <c r="J3923" t="s">
        <v>113</v>
      </c>
      <c r="K3923">
        <v>0</v>
      </c>
      <c r="L3923">
        <v>3</v>
      </c>
      <c r="M3923">
        <v>0</v>
      </c>
      <c r="N3923">
        <v>2</v>
      </c>
      <c r="O3923">
        <v>1</v>
      </c>
      <c r="P3923">
        <v>0</v>
      </c>
      <c r="Q3923">
        <v>0</v>
      </c>
      <c r="R3923" t="s">
        <v>114</v>
      </c>
      <c r="S3923" t="str">
        <f>"19:40:29.609"</f>
        <v>19:40:29.609</v>
      </c>
      <c r="T3923" t="str">
        <f>"19:40:29.609"</f>
        <v>19:40:29.609</v>
      </c>
      <c r="U3923" t="str">
        <f t="shared" si="184"/>
        <v>a1cdbe</v>
      </c>
      <c r="V3923">
        <v>0</v>
      </c>
      <c r="W3923">
        <v>0</v>
      </c>
      <c r="X3923">
        <v>2</v>
      </c>
      <c r="Y3923">
        <v>0</v>
      </c>
      <c r="Z3923">
        <v>0</v>
      </c>
      <c r="AB3923">
        <v>0</v>
      </c>
      <c r="AC3923">
        <v>9</v>
      </c>
      <c r="AD3923">
        <v>3</v>
      </c>
      <c r="AE3923">
        <v>0</v>
      </c>
      <c r="AF3923">
        <v>9</v>
      </c>
      <c r="AG3923" t="s">
        <v>158</v>
      </c>
      <c r="AH3923">
        <v>0</v>
      </c>
      <c r="AI3923">
        <v>3</v>
      </c>
      <c r="AJ3923">
        <v>1</v>
      </c>
      <c r="AK3923">
        <v>0</v>
      </c>
      <c r="AL3923" t="s">
        <v>7399</v>
      </c>
      <c r="AM3923">
        <v>47.061267000000001</v>
      </c>
      <c r="AN3923" t="s">
        <v>7400</v>
      </c>
      <c r="AO3923">
        <v>-124.011269</v>
      </c>
      <c r="AP3923">
        <v>100</v>
      </c>
      <c r="AQ3923">
        <v>2100</v>
      </c>
      <c r="AR3923" t="s">
        <v>118</v>
      </c>
      <c r="AS3923">
        <v>-79</v>
      </c>
      <c r="AT3923">
        <v>23</v>
      </c>
      <c r="AU3923">
        <v>128</v>
      </c>
      <c r="BC3923">
        <v>1200</v>
      </c>
      <c r="BD3923">
        <v>1</v>
      </c>
      <c r="BE3923" t="str">
        <f t="shared" si="185"/>
        <v xml:space="preserve">N215T   </v>
      </c>
      <c r="BF3923">
        <v>1</v>
      </c>
      <c r="BH3923">
        <v>0</v>
      </c>
      <c r="BI3923">
        <v>0</v>
      </c>
      <c r="BJ3923">
        <v>0</v>
      </c>
      <c r="BK3923">
        <v>2500</v>
      </c>
      <c r="BL3923">
        <v>400</v>
      </c>
      <c r="BM3923" t="s">
        <v>119</v>
      </c>
      <c r="BN3923">
        <v>1</v>
      </c>
      <c r="BO3923">
        <v>1</v>
      </c>
      <c r="BP3923">
        <v>1</v>
      </c>
      <c r="BQ3923">
        <v>0</v>
      </c>
      <c r="BT3923">
        <v>0</v>
      </c>
      <c r="BU3923">
        <v>0</v>
      </c>
      <c r="BV3923">
        <v>0</v>
      </c>
      <c r="CC3923" t="str">
        <f>"19:40:29.609"</f>
        <v>19:40:29.609</v>
      </c>
      <c r="CD3923" t="str">
        <f>"609897659"</f>
        <v>609897659</v>
      </c>
      <c r="CQ3923">
        <v>0</v>
      </c>
      <c r="CR3923">
        <v>2</v>
      </c>
      <c r="CS3923">
        <v>0</v>
      </c>
      <c r="CT3923">
        <v>2</v>
      </c>
      <c r="CU3923">
        <v>0</v>
      </c>
      <c r="CV3923">
        <v>2</v>
      </c>
      <c r="CW3923" t="s">
        <v>120</v>
      </c>
      <c r="CX3923">
        <v>257</v>
      </c>
      <c r="CY3923">
        <v>0</v>
      </c>
      <c r="CZ3923" t="s">
        <v>615</v>
      </c>
      <c r="DA3923" t="s">
        <v>616</v>
      </c>
      <c r="DD3923">
        <v>16614987</v>
      </c>
      <c r="DE3923" t="s">
        <v>123</v>
      </c>
    </row>
    <row r="3924" spans="1:109" x14ac:dyDescent="0.3">
      <c r="A3924" t="str">
        <f>"19:40:30.867"</f>
        <v>19:40:30.867</v>
      </c>
      <c r="B3924" t="s">
        <v>110</v>
      </c>
      <c r="C3924" t="str">
        <f>"ffdf93c0"</f>
        <v>ffdf93c0</v>
      </c>
      <c r="D3924" t="s">
        <v>111</v>
      </c>
      <c r="E3924">
        <v>18</v>
      </c>
      <c r="F3924">
        <v>1018</v>
      </c>
      <c r="G3924" t="s">
        <v>112</v>
      </c>
      <c r="J3924" t="s">
        <v>113</v>
      </c>
      <c r="K3924">
        <v>0</v>
      </c>
      <c r="L3924">
        <v>3</v>
      </c>
      <c r="M3924">
        <v>0</v>
      </c>
      <c r="N3924">
        <v>2</v>
      </c>
      <c r="O3924">
        <v>1</v>
      </c>
      <c r="P3924">
        <v>0</v>
      </c>
      <c r="Q3924">
        <v>0</v>
      </c>
      <c r="R3924" t="s">
        <v>114</v>
      </c>
      <c r="S3924" t="str">
        <f>"19:40:30.594"</f>
        <v>19:40:30.594</v>
      </c>
      <c r="T3924" t="str">
        <f>"19:40:30.094"</f>
        <v>19:40:30.094</v>
      </c>
      <c r="U3924" t="str">
        <f t="shared" si="184"/>
        <v>a1cdbe</v>
      </c>
      <c r="V3924">
        <v>0</v>
      </c>
      <c r="W3924">
        <v>0</v>
      </c>
      <c r="X3924">
        <v>2</v>
      </c>
      <c r="Y3924">
        <v>0</v>
      </c>
      <c r="Z3924">
        <v>0</v>
      </c>
      <c r="AB3924">
        <v>0</v>
      </c>
      <c r="AC3924">
        <v>0</v>
      </c>
      <c r="AD3924">
        <v>0</v>
      </c>
      <c r="AE3924">
        <v>0</v>
      </c>
      <c r="AG3924" t="s">
        <v>158</v>
      </c>
      <c r="AH3924">
        <v>0</v>
      </c>
      <c r="AI3924">
        <v>3</v>
      </c>
      <c r="AJ3924">
        <v>1</v>
      </c>
      <c r="AK3924">
        <v>0</v>
      </c>
      <c r="AL3924" t="s">
        <v>7401</v>
      </c>
      <c r="AM3924">
        <v>47.061374000000001</v>
      </c>
      <c r="AN3924" t="s">
        <v>7402</v>
      </c>
      <c r="AO3924">
        <v>-124.011762</v>
      </c>
      <c r="AP3924">
        <v>100</v>
      </c>
      <c r="AQ3924">
        <v>2100</v>
      </c>
      <c r="AR3924" t="s">
        <v>118</v>
      </c>
      <c r="AS3924">
        <v>-79</v>
      </c>
      <c r="AT3924">
        <v>23</v>
      </c>
      <c r="AU3924">
        <v>128</v>
      </c>
      <c r="BC3924">
        <v>1200</v>
      </c>
      <c r="BD3924">
        <v>1</v>
      </c>
      <c r="BE3924" t="str">
        <f t="shared" si="185"/>
        <v xml:space="preserve">N215T   </v>
      </c>
      <c r="BF3924">
        <v>1</v>
      </c>
      <c r="BH3924">
        <v>0</v>
      </c>
      <c r="BI3924">
        <v>0</v>
      </c>
      <c r="BJ3924">
        <v>0</v>
      </c>
      <c r="BK3924">
        <v>2500</v>
      </c>
      <c r="BL3924">
        <v>400</v>
      </c>
      <c r="CC3924" t="str">
        <f>"19:40:30.602"</f>
        <v>19:40:30.602</v>
      </c>
      <c r="CD3924" t="str">
        <f>"599889972"</f>
        <v>599889972</v>
      </c>
      <c r="CQ3924">
        <v>0</v>
      </c>
      <c r="CR3924">
        <v>0</v>
      </c>
      <c r="CS3924">
        <v>0</v>
      </c>
      <c r="CT3924">
        <v>0</v>
      </c>
      <c r="CU3924">
        <v>0</v>
      </c>
      <c r="CV3924">
        <v>1</v>
      </c>
      <c r="CW3924" t="s">
        <v>120</v>
      </c>
      <c r="CX3924">
        <v>253</v>
      </c>
      <c r="CY3924">
        <v>2</v>
      </c>
      <c r="CZ3924" t="s">
        <v>7093</v>
      </c>
      <c r="DA3924" t="s">
        <v>7094</v>
      </c>
      <c r="DD3924">
        <v>13975782</v>
      </c>
      <c r="DE3924" t="s">
        <v>123</v>
      </c>
    </row>
    <row r="3925" spans="1:109" x14ac:dyDescent="0.3">
      <c r="A3925" t="str">
        <f>"19:40:31.727"</f>
        <v>19:40:31.727</v>
      </c>
      <c r="B3925" t="s">
        <v>110</v>
      </c>
      <c r="C3925" t="str">
        <f t="shared" ref="C3925:C3988" si="186">"ffdfd3c0"</f>
        <v>ffdfd3c0</v>
      </c>
      <c r="D3925" t="s">
        <v>111</v>
      </c>
      <c r="E3925">
        <v>18</v>
      </c>
      <c r="F3925">
        <v>1018</v>
      </c>
      <c r="G3925" t="s">
        <v>112</v>
      </c>
      <c r="J3925" t="s">
        <v>113</v>
      </c>
      <c r="K3925">
        <v>0</v>
      </c>
      <c r="L3925">
        <v>3</v>
      </c>
      <c r="M3925">
        <v>0</v>
      </c>
      <c r="N3925">
        <v>2</v>
      </c>
      <c r="O3925">
        <v>1</v>
      </c>
      <c r="P3925">
        <v>0</v>
      </c>
      <c r="Q3925">
        <v>0</v>
      </c>
      <c r="R3925" t="s">
        <v>114</v>
      </c>
      <c r="S3925" t="str">
        <f>"19:40:31.508"</f>
        <v>19:40:31.508</v>
      </c>
      <c r="T3925" t="str">
        <f>"19:40:31.109"</f>
        <v>19:40:31.109</v>
      </c>
      <c r="U3925" t="str">
        <f t="shared" si="184"/>
        <v>a1cdbe</v>
      </c>
      <c r="V3925">
        <v>0</v>
      </c>
      <c r="W3925">
        <v>0</v>
      </c>
      <c r="X3925">
        <v>2</v>
      </c>
      <c r="Y3925">
        <v>0</v>
      </c>
      <c r="Z3925">
        <v>0</v>
      </c>
      <c r="AB3925">
        <v>0</v>
      </c>
      <c r="AC3925">
        <v>9</v>
      </c>
      <c r="AD3925">
        <v>3</v>
      </c>
      <c r="AE3925">
        <v>0</v>
      </c>
      <c r="AF3925">
        <v>9</v>
      </c>
      <c r="AG3925" t="s">
        <v>158</v>
      </c>
      <c r="AH3925">
        <v>0</v>
      </c>
      <c r="AI3925">
        <v>3</v>
      </c>
      <c r="AJ3925">
        <v>1</v>
      </c>
      <c r="AK3925">
        <v>0</v>
      </c>
      <c r="AL3925" t="s">
        <v>7403</v>
      </c>
      <c r="AM3925">
        <v>47.061481000000001</v>
      </c>
      <c r="AN3925" t="s">
        <v>7404</v>
      </c>
      <c r="AO3925">
        <v>-124.01225599999999</v>
      </c>
      <c r="AP3925">
        <v>100</v>
      </c>
      <c r="AQ3925">
        <v>2100</v>
      </c>
      <c r="AR3925" t="s">
        <v>118</v>
      </c>
      <c r="AS3925">
        <v>-79</v>
      </c>
      <c r="AT3925">
        <v>22</v>
      </c>
      <c r="AU3925">
        <v>128</v>
      </c>
      <c r="BC3925">
        <v>1200</v>
      </c>
      <c r="BD3925">
        <v>1</v>
      </c>
      <c r="BE3925" t="str">
        <f t="shared" si="185"/>
        <v xml:space="preserve">N215T   </v>
      </c>
      <c r="BF3925">
        <v>1</v>
      </c>
      <c r="BH3925">
        <v>0</v>
      </c>
      <c r="BI3925">
        <v>0</v>
      </c>
      <c r="BJ3925">
        <v>0</v>
      </c>
      <c r="BK3925">
        <v>2500</v>
      </c>
      <c r="BL3925">
        <v>400</v>
      </c>
      <c r="BM3925" t="s">
        <v>119</v>
      </c>
      <c r="BN3925">
        <v>1</v>
      </c>
      <c r="BO3925">
        <v>1</v>
      </c>
      <c r="BP3925">
        <v>1</v>
      </c>
      <c r="BQ3925">
        <v>0</v>
      </c>
      <c r="BT3925">
        <v>0</v>
      </c>
      <c r="BU3925">
        <v>0</v>
      </c>
      <c r="BV3925">
        <v>0</v>
      </c>
      <c r="CC3925" t="str">
        <f>"19:40:31.516"</f>
        <v>19:40:31.516</v>
      </c>
      <c r="CD3925" t="str">
        <f>"514710041"</f>
        <v>514710041</v>
      </c>
      <c r="CQ3925">
        <v>0</v>
      </c>
      <c r="CR3925">
        <v>2</v>
      </c>
      <c r="CS3925">
        <v>0</v>
      </c>
      <c r="CT3925">
        <v>2</v>
      </c>
      <c r="CU3925">
        <v>0</v>
      </c>
      <c r="CV3925">
        <v>2</v>
      </c>
      <c r="CW3925" t="s">
        <v>120</v>
      </c>
      <c r="CX3925">
        <v>257</v>
      </c>
      <c r="CY3925">
        <v>0</v>
      </c>
      <c r="CZ3925" t="s">
        <v>615</v>
      </c>
      <c r="DA3925" t="s">
        <v>616</v>
      </c>
      <c r="DD3925">
        <v>16615620</v>
      </c>
      <c r="DE3925" t="s">
        <v>123</v>
      </c>
    </row>
    <row r="3926" spans="1:109" x14ac:dyDescent="0.3">
      <c r="A3926" t="str">
        <f>"19:40:32.680"</f>
        <v>19:40:32.680</v>
      </c>
      <c r="B3926" t="s">
        <v>110</v>
      </c>
      <c r="C3926" t="str">
        <f t="shared" si="186"/>
        <v>ffdfd3c0</v>
      </c>
      <c r="D3926" t="s">
        <v>111</v>
      </c>
      <c r="E3926">
        <v>18</v>
      </c>
      <c r="F3926">
        <v>1018</v>
      </c>
      <c r="G3926" t="s">
        <v>112</v>
      </c>
      <c r="J3926" t="s">
        <v>113</v>
      </c>
      <c r="K3926">
        <v>0</v>
      </c>
      <c r="L3926">
        <v>3</v>
      </c>
      <c r="M3926">
        <v>0</v>
      </c>
      <c r="N3926">
        <v>2</v>
      </c>
      <c r="O3926">
        <v>1</v>
      </c>
      <c r="P3926">
        <v>0</v>
      </c>
      <c r="Q3926">
        <v>0</v>
      </c>
      <c r="R3926" t="s">
        <v>114</v>
      </c>
      <c r="S3926" t="str">
        <f>"19:40:32.422"</f>
        <v>19:40:32.422</v>
      </c>
      <c r="T3926" t="str">
        <f>"19:40:31.922"</f>
        <v>19:40:31.922</v>
      </c>
      <c r="U3926" t="str">
        <f t="shared" si="184"/>
        <v>a1cdbe</v>
      </c>
      <c r="V3926">
        <v>0</v>
      </c>
      <c r="W3926">
        <v>0</v>
      </c>
      <c r="X3926">
        <v>2</v>
      </c>
      <c r="Y3926">
        <v>0</v>
      </c>
      <c r="Z3926">
        <v>0</v>
      </c>
      <c r="AB3926">
        <v>0</v>
      </c>
      <c r="AC3926">
        <v>9</v>
      </c>
      <c r="AD3926">
        <v>3</v>
      </c>
      <c r="AE3926">
        <v>0</v>
      </c>
      <c r="AF3926">
        <v>9</v>
      </c>
      <c r="AG3926" t="s">
        <v>158</v>
      </c>
      <c r="AH3926">
        <v>0</v>
      </c>
      <c r="AI3926">
        <v>3</v>
      </c>
      <c r="AJ3926">
        <v>1</v>
      </c>
      <c r="AK3926">
        <v>0</v>
      </c>
      <c r="AL3926" t="s">
        <v>7405</v>
      </c>
      <c r="AM3926">
        <v>47.061588999999998</v>
      </c>
      <c r="AN3926" t="s">
        <v>7406</v>
      </c>
      <c r="AO3926">
        <v>-124.012771</v>
      </c>
      <c r="AP3926">
        <v>100</v>
      </c>
      <c r="AQ3926">
        <v>2100</v>
      </c>
      <c r="AR3926" t="s">
        <v>118</v>
      </c>
      <c r="AS3926">
        <v>-79</v>
      </c>
      <c r="AT3926">
        <v>22</v>
      </c>
      <c r="AU3926">
        <v>64</v>
      </c>
      <c r="BC3926">
        <v>1200</v>
      </c>
      <c r="BD3926">
        <v>1</v>
      </c>
      <c r="BE3926" t="str">
        <f t="shared" si="185"/>
        <v xml:space="preserve">N215T   </v>
      </c>
      <c r="BF3926">
        <v>1</v>
      </c>
      <c r="BH3926">
        <v>0</v>
      </c>
      <c r="BI3926">
        <v>0</v>
      </c>
      <c r="BJ3926">
        <v>0</v>
      </c>
      <c r="BK3926">
        <v>2500</v>
      </c>
      <c r="BL3926">
        <v>400</v>
      </c>
      <c r="BM3926" t="s">
        <v>119</v>
      </c>
      <c r="BN3926">
        <v>1</v>
      </c>
      <c r="BO3926">
        <v>1</v>
      </c>
      <c r="BP3926">
        <v>1</v>
      </c>
      <c r="BQ3926">
        <v>0</v>
      </c>
      <c r="BT3926">
        <v>0</v>
      </c>
      <c r="BU3926">
        <v>0</v>
      </c>
      <c r="BV3926">
        <v>0</v>
      </c>
      <c r="CC3926" t="str">
        <f>"19:40:32.430"</f>
        <v>19:40:32.430</v>
      </c>
      <c r="CD3926" t="str">
        <f>"429619930"</f>
        <v>429619930</v>
      </c>
      <c r="CQ3926">
        <v>0</v>
      </c>
      <c r="CR3926">
        <v>2</v>
      </c>
      <c r="CS3926">
        <v>0</v>
      </c>
      <c r="CT3926">
        <v>2</v>
      </c>
      <c r="CU3926">
        <v>0</v>
      </c>
      <c r="CV3926">
        <v>4</v>
      </c>
      <c r="CW3926" t="s">
        <v>120</v>
      </c>
      <c r="CX3926">
        <v>257</v>
      </c>
      <c r="CY3926">
        <v>0</v>
      </c>
      <c r="CZ3926" t="s">
        <v>615</v>
      </c>
      <c r="DA3926" t="s">
        <v>616</v>
      </c>
      <c r="DD3926">
        <v>16615921</v>
      </c>
      <c r="DE3926" t="s">
        <v>123</v>
      </c>
    </row>
    <row r="3927" spans="1:109" x14ac:dyDescent="0.3">
      <c r="A3927" t="str">
        <f>"19:40:33.836"</f>
        <v>19:40:33.836</v>
      </c>
      <c r="B3927" t="s">
        <v>110</v>
      </c>
      <c r="C3927" t="str">
        <f t="shared" si="186"/>
        <v>ffdfd3c0</v>
      </c>
      <c r="D3927" t="s">
        <v>111</v>
      </c>
      <c r="E3927">
        <v>18</v>
      </c>
      <c r="F3927">
        <v>1018</v>
      </c>
      <c r="G3927" t="s">
        <v>112</v>
      </c>
      <c r="J3927" t="s">
        <v>113</v>
      </c>
      <c r="K3927">
        <v>0</v>
      </c>
      <c r="L3927">
        <v>3</v>
      </c>
      <c r="M3927">
        <v>0</v>
      </c>
      <c r="N3927">
        <v>2</v>
      </c>
      <c r="O3927">
        <v>1</v>
      </c>
      <c r="P3927">
        <v>0</v>
      </c>
      <c r="Q3927">
        <v>0</v>
      </c>
      <c r="R3927" t="s">
        <v>114</v>
      </c>
      <c r="S3927" t="str">
        <f>"19:40:33.547"</f>
        <v>19:40:33.547</v>
      </c>
      <c r="T3927" t="str">
        <f>"19:40:33.547"</f>
        <v>19:40:33.547</v>
      </c>
      <c r="U3927" t="str">
        <f t="shared" si="184"/>
        <v>a1cdbe</v>
      </c>
      <c r="V3927">
        <v>0</v>
      </c>
      <c r="W3927">
        <v>0</v>
      </c>
      <c r="X3927">
        <v>2</v>
      </c>
      <c r="Y3927">
        <v>0</v>
      </c>
      <c r="Z3927">
        <v>0</v>
      </c>
      <c r="AB3927">
        <v>0</v>
      </c>
      <c r="AC3927">
        <v>9</v>
      </c>
      <c r="AD3927">
        <v>3</v>
      </c>
      <c r="AE3927">
        <v>0</v>
      </c>
      <c r="AF3927">
        <v>9</v>
      </c>
      <c r="AG3927" t="s">
        <v>158</v>
      </c>
      <c r="AH3927">
        <v>0</v>
      </c>
      <c r="AI3927">
        <v>3</v>
      </c>
      <c r="AJ3927">
        <v>1</v>
      </c>
      <c r="AK3927">
        <v>0</v>
      </c>
      <c r="AL3927" t="s">
        <v>7407</v>
      </c>
      <c r="AM3927">
        <v>47.061675000000001</v>
      </c>
      <c r="AN3927" t="s">
        <v>7408</v>
      </c>
      <c r="AO3927">
        <v>-124.01339299999999</v>
      </c>
      <c r="AP3927">
        <v>100</v>
      </c>
      <c r="AQ3927">
        <v>2100</v>
      </c>
      <c r="AR3927" t="s">
        <v>118</v>
      </c>
      <c r="AS3927">
        <v>-79</v>
      </c>
      <c r="AT3927">
        <v>21</v>
      </c>
      <c r="AU3927">
        <v>0</v>
      </c>
      <c r="BC3927">
        <v>1200</v>
      </c>
      <c r="BD3927">
        <v>1</v>
      </c>
      <c r="BE3927" t="str">
        <f t="shared" si="185"/>
        <v xml:space="preserve">N215T   </v>
      </c>
      <c r="BF3927">
        <v>1</v>
      </c>
      <c r="BH3927">
        <v>0</v>
      </c>
      <c r="BI3927">
        <v>0</v>
      </c>
      <c r="BJ3927">
        <v>0</v>
      </c>
      <c r="BK3927">
        <v>2500</v>
      </c>
      <c r="BL3927">
        <v>400</v>
      </c>
      <c r="BM3927" t="s">
        <v>119</v>
      </c>
      <c r="BN3927">
        <v>1</v>
      </c>
      <c r="BO3927">
        <v>1</v>
      </c>
      <c r="BP3927">
        <v>1</v>
      </c>
      <c r="BQ3927">
        <v>0</v>
      </c>
      <c r="BT3927">
        <v>0</v>
      </c>
      <c r="BU3927">
        <v>0</v>
      </c>
      <c r="BV3927">
        <v>0</v>
      </c>
      <c r="CC3927" t="str">
        <f>"19:40:33.555"</f>
        <v>19:40:33.555</v>
      </c>
      <c r="CD3927" t="str">
        <f>"554509151"</f>
        <v>554509151</v>
      </c>
      <c r="CQ3927">
        <v>0</v>
      </c>
      <c r="CR3927">
        <v>2</v>
      </c>
      <c r="CS3927">
        <v>0</v>
      </c>
      <c r="CT3927">
        <v>2</v>
      </c>
      <c r="CU3927">
        <v>0</v>
      </c>
      <c r="CV3927">
        <v>5</v>
      </c>
      <c r="CW3927" t="s">
        <v>120</v>
      </c>
      <c r="CX3927">
        <v>257</v>
      </c>
      <c r="CY3927">
        <v>0</v>
      </c>
      <c r="CZ3927" t="s">
        <v>615</v>
      </c>
      <c r="DA3927" t="s">
        <v>616</v>
      </c>
      <c r="DD3927">
        <v>16616304</v>
      </c>
      <c r="DE3927" t="s">
        <v>123</v>
      </c>
    </row>
    <row r="3928" spans="1:109" x14ac:dyDescent="0.3">
      <c r="A3928" t="str">
        <f>"19:40:34.641"</f>
        <v>19:40:34.641</v>
      </c>
      <c r="B3928" t="s">
        <v>110</v>
      </c>
      <c r="C3928" t="str">
        <f t="shared" si="186"/>
        <v>ffdfd3c0</v>
      </c>
      <c r="D3928" t="s">
        <v>111</v>
      </c>
      <c r="E3928">
        <v>18</v>
      </c>
      <c r="F3928">
        <v>1018</v>
      </c>
      <c r="G3928" t="s">
        <v>112</v>
      </c>
      <c r="J3928" t="s">
        <v>113</v>
      </c>
      <c r="K3928">
        <v>0</v>
      </c>
      <c r="L3928">
        <v>3</v>
      </c>
      <c r="M3928">
        <v>0</v>
      </c>
      <c r="N3928">
        <v>2</v>
      </c>
      <c r="O3928">
        <v>1</v>
      </c>
      <c r="P3928">
        <v>0</v>
      </c>
      <c r="Q3928">
        <v>0</v>
      </c>
      <c r="R3928" t="s">
        <v>114</v>
      </c>
      <c r="S3928" t="str">
        <f>"19:40:34.406"</f>
        <v>19:40:34.406</v>
      </c>
      <c r="T3928" t="str">
        <f>"19:40:34.109"</f>
        <v>19:40:34.109</v>
      </c>
      <c r="U3928" t="str">
        <f t="shared" si="184"/>
        <v>a1cdbe</v>
      </c>
      <c r="V3928">
        <v>0</v>
      </c>
      <c r="W3928">
        <v>0</v>
      </c>
      <c r="X3928">
        <v>2</v>
      </c>
      <c r="Y3928">
        <v>0</v>
      </c>
      <c r="Z3928">
        <v>0</v>
      </c>
      <c r="AB3928">
        <v>0</v>
      </c>
      <c r="AC3928">
        <v>9</v>
      </c>
      <c r="AD3928">
        <v>3</v>
      </c>
      <c r="AE3928">
        <v>0</v>
      </c>
      <c r="AF3928">
        <v>9</v>
      </c>
      <c r="AG3928" t="s">
        <v>158</v>
      </c>
      <c r="AH3928">
        <v>0</v>
      </c>
      <c r="AI3928">
        <v>3</v>
      </c>
      <c r="AJ3928">
        <v>1</v>
      </c>
      <c r="AK3928">
        <v>0</v>
      </c>
      <c r="AL3928" t="s">
        <v>7409</v>
      </c>
      <c r="AM3928">
        <v>47.06176</v>
      </c>
      <c r="AN3928" t="s">
        <v>7410</v>
      </c>
      <c r="AO3928">
        <v>-124.013801</v>
      </c>
      <c r="AP3928">
        <v>100</v>
      </c>
      <c r="AQ3928">
        <v>2100</v>
      </c>
      <c r="AR3928" t="s">
        <v>118</v>
      </c>
      <c r="AS3928">
        <v>-79</v>
      </c>
      <c r="AT3928">
        <v>20</v>
      </c>
      <c r="AU3928">
        <v>0</v>
      </c>
      <c r="BC3928">
        <v>1200</v>
      </c>
      <c r="BD3928">
        <v>1</v>
      </c>
      <c r="BE3928" t="str">
        <f t="shared" si="185"/>
        <v xml:space="preserve">N215T   </v>
      </c>
      <c r="BF3928">
        <v>1</v>
      </c>
      <c r="BH3928">
        <v>0</v>
      </c>
      <c r="BI3928">
        <v>0</v>
      </c>
      <c r="BJ3928">
        <v>0</v>
      </c>
      <c r="BK3928">
        <v>2500</v>
      </c>
      <c r="BL3928">
        <v>400</v>
      </c>
      <c r="BM3928" t="s">
        <v>119</v>
      </c>
      <c r="BN3928">
        <v>1</v>
      </c>
      <c r="BO3928">
        <v>1</v>
      </c>
      <c r="BP3928">
        <v>1</v>
      </c>
      <c r="BQ3928">
        <v>0</v>
      </c>
      <c r="BT3928">
        <v>0</v>
      </c>
      <c r="BU3928">
        <v>0</v>
      </c>
      <c r="BV3928">
        <v>0</v>
      </c>
      <c r="CC3928" t="str">
        <f>"19:40:34.406"</f>
        <v>19:40:34.406</v>
      </c>
      <c r="CD3928" t="str">
        <f>"409424956"</f>
        <v>409424956</v>
      </c>
      <c r="CQ3928">
        <v>0</v>
      </c>
      <c r="CR3928">
        <v>2</v>
      </c>
      <c r="CS3928">
        <v>0</v>
      </c>
      <c r="CT3928">
        <v>2</v>
      </c>
      <c r="CU3928">
        <v>0</v>
      </c>
      <c r="CV3928">
        <v>4</v>
      </c>
      <c r="CW3928" t="s">
        <v>120</v>
      </c>
      <c r="CX3928">
        <v>257</v>
      </c>
      <c r="CY3928">
        <v>0</v>
      </c>
      <c r="CZ3928" t="s">
        <v>615</v>
      </c>
      <c r="DA3928" t="s">
        <v>616</v>
      </c>
      <c r="DD3928">
        <v>16616603</v>
      </c>
      <c r="DE3928" t="s">
        <v>123</v>
      </c>
    </row>
    <row r="3929" spans="1:109" x14ac:dyDescent="0.3">
      <c r="A3929" t="str">
        <f>"19:40:35.641"</f>
        <v>19:40:35.641</v>
      </c>
      <c r="B3929" t="s">
        <v>110</v>
      </c>
      <c r="C3929" t="str">
        <f t="shared" si="186"/>
        <v>ffdfd3c0</v>
      </c>
      <c r="D3929" t="s">
        <v>111</v>
      </c>
      <c r="E3929">
        <v>18</v>
      </c>
      <c r="F3929">
        <v>1018</v>
      </c>
      <c r="G3929" t="s">
        <v>112</v>
      </c>
      <c r="J3929" t="s">
        <v>113</v>
      </c>
      <c r="K3929">
        <v>0</v>
      </c>
      <c r="L3929">
        <v>3</v>
      </c>
      <c r="M3929">
        <v>0</v>
      </c>
      <c r="N3929">
        <v>2</v>
      </c>
      <c r="O3929">
        <v>1</v>
      </c>
      <c r="P3929">
        <v>0</v>
      </c>
      <c r="Q3929">
        <v>0</v>
      </c>
      <c r="R3929" t="s">
        <v>114</v>
      </c>
      <c r="S3929" t="str">
        <f>"19:40:35.383"</f>
        <v>19:40:35.383</v>
      </c>
      <c r="T3929" t="str">
        <f>"19:40:35.086"</f>
        <v>19:40:35.086</v>
      </c>
      <c r="U3929" t="str">
        <f t="shared" si="184"/>
        <v>a1cdbe</v>
      </c>
      <c r="V3929">
        <v>0</v>
      </c>
      <c r="W3929">
        <v>0</v>
      </c>
      <c r="X3929">
        <v>2</v>
      </c>
      <c r="Y3929">
        <v>0</v>
      </c>
      <c r="Z3929">
        <v>0</v>
      </c>
      <c r="AB3929">
        <v>0</v>
      </c>
      <c r="AC3929">
        <v>9</v>
      </c>
      <c r="AD3929">
        <v>3</v>
      </c>
      <c r="AE3929">
        <v>0</v>
      </c>
      <c r="AF3929">
        <v>9</v>
      </c>
      <c r="AG3929" t="s">
        <v>158</v>
      </c>
      <c r="AH3929">
        <v>0</v>
      </c>
      <c r="AI3929">
        <v>3</v>
      </c>
      <c r="AJ3929">
        <v>1</v>
      </c>
      <c r="AK3929">
        <v>0</v>
      </c>
      <c r="AL3929" t="s">
        <v>7411</v>
      </c>
      <c r="AM3929">
        <v>47.061846000000003</v>
      </c>
      <c r="AN3929" t="s">
        <v>7412</v>
      </c>
      <c r="AO3929">
        <v>-124.01431599999999</v>
      </c>
      <c r="AP3929">
        <v>100</v>
      </c>
      <c r="AQ3929">
        <v>2100</v>
      </c>
      <c r="AR3929" t="s">
        <v>118</v>
      </c>
      <c r="AS3929">
        <v>-79</v>
      </c>
      <c r="AT3929">
        <v>20</v>
      </c>
      <c r="AU3929">
        <v>-64</v>
      </c>
      <c r="BC3929">
        <v>1200</v>
      </c>
      <c r="BD3929">
        <v>1</v>
      </c>
      <c r="BE3929" t="str">
        <f t="shared" si="185"/>
        <v xml:space="preserve">N215T   </v>
      </c>
      <c r="BF3929">
        <v>1</v>
      </c>
      <c r="BH3929">
        <v>0</v>
      </c>
      <c r="BI3929">
        <v>0</v>
      </c>
      <c r="BJ3929">
        <v>0</v>
      </c>
      <c r="BK3929">
        <v>2500</v>
      </c>
      <c r="BL3929">
        <v>400</v>
      </c>
      <c r="BM3929" t="s">
        <v>119</v>
      </c>
      <c r="BN3929">
        <v>1</v>
      </c>
      <c r="BO3929">
        <v>1</v>
      </c>
      <c r="BP3929">
        <v>1</v>
      </c>
      <c r="BQ3929">
        <v>0</v>
      </c>
      <c r="BT3929">
        <v>0</v>
      </c>
      <c r="BU3929">
        <v>0</v>
      </c>
      <c r="BV3929">
        <v>0</v>
      </c>
      <c r="CC3929" t="str">
        <f>"19:40:35.383"</f>
        <v>19:40:35.383</v>
      </c>
      <c r="CD3929" t="str">
        <f>"384328939"</f>
        <v>384328939</v>
      </c>
      <c r="CQ3929">
        <v>0</v>
      </c>
      <c r="CR3929">
        <v>2</v>
      </c>
      <c r="CS3929">
        <v>0</v>
      </c>
      <c r="CT3929">
        <v>2</v>
      </c>
      <c r="CU3929">
        <v>0</v>
      </c>
      <c r="CV3929">
        <v>4</v>
      </c>
      <c r="CW3929" t="s">
        <v>120</v>
      </c>
      <c r="CX3929">
        <v>257</v>
      </c>
      <c r="CY3929">
        <v>0</v>
      </c>
      <c r="CZ3929" t="s">
        <v>615</v>
      </c>
      <c r="DA3929" t="s">
        <v>616</v>
      </c>
      <c r="DD3929">
        <v>16616921</v>
      </c>
      <c r="DE3929" t="s">
        <v>123</v>
      </c>
    </row>
    <row r="3930" spans="1:109" x14ac:dyDescent="0.3">
      <c r="A3930" t="str">
        <f>"19:40:36.703"</f>
        <v>19:40:36.703</v>
      </c>
      <c r="B3930" t="s">
        <v>110</v>
      </c>
      <c r="C3930" t="str">
        <f t="shared" si="186"/>
        <v>ffdfd3c0</v>
      </c>
      <c r="D3930" t="s">
        <v>111</v>
      </c>
      <c r="E3930">
        <v>18</v>
      </c>
      <c r="F3930">
        <v>1018</v>
      </c>
      <c r="G3930" t="s">
        <v>112</v>
      </c>
      <c r="J3930" t="s">
        <v>113</v>
      </c>
      <c r="K3930">
        <v>0</v>
      </c>
      <c r="L3930">
        <v>3</v>
      </c>
      <c r="M3930">
        <v>0</v>
      </c>
      <c r="N3930">
        <v>2</v>
      </c>
      <c r="O3930">
        <v>1</v>
      </c>
      <c r="P3930">
        <v>0</v>
      </c>
      <c r="Q3930">
        <v>0</v>
      </c>
      <c r="R3930" t="s">
        <v>114</v>
      </c>
      <c r="S3930" t="str">
        <f>"19:40:36.477"</f>
        <v>19:40:36.477</v>
      </c>
      <c r="T3930" t="str">
        <f>"19:40:36.078"</f>
        <v>19:40:36.078</v>
      </c>
      <c r="U3930" t="str">
        <f t="shared" si="184"/>
        <v>a1cdbe</v>
      </c>
      <c r="V3930">
        <v>0</v>
      </c>
      <c r="W3930">
        <v>0</v>
      </c>
      <c r="X3930">
        <v>2</v>
      </c>
      <c r="Y3930">
        <v>0</v>
      </c>
      <c r="Z3930">
        <v>0</v>
      </c>
      <c r="AB3930">
        <v>0</v>
      </c>
      <c r="AC3930">
        <v>9</v>
      </c>
      <c r="AD3930">
        <v>3</v>
      </c>
      <c r="AE3930">
        <v>0</v>
      </c>
      <c r="AF3930">
        <v>9</v>
      </c>
      <c r="AG3930" t="s">
        <v>158</v>
      </c>
      <c r="AH3930">
        <v>0</v>
      </c>
      <c r="AI3930">
        <v>3</v>
      </c>
      <c r="AJ3930">
        <v>1</v>
      </c>
      <c r="AK3930">
        <v>0</v>
      </c>
      <c r="AL3930" t="s">
        <v>7413</v>
      </c>
      <c r="AM3930">
        <v>47.061954</v>
      </c>
      <c r="AN3930" t="s">
        <v>7414</v>
      </c>
      <c r="AO3930">
        <v>-124.014916</v>
      </c>
      <c r="AP3930">
        <v>100</v>
      </c>
      <c r="AQ3930">
        <v>2100</v>
      </c>
      <c r="AR3930" t="s">
        <v>118</v>
      </c>
      <c r="AS3930">
        <v>-80</v>
      </c>
      <c r="AT3930">
        <v>19</v>
      </c>
      <c r="AU3930">
        <v>-64</v>
      </c>
      <c r="BC3930">
        <v>1200</v>
      </c>
      <c r="BD3930">
        <v>1</v>
      </c>
      <c r="BE3930" t="str">
        <f t="shared" si="185"/>
        <v xml:space="preserve">N215T   </v>
      </c>
      <c r="BF3930">
        <v>1</v>
      </c>
      <c r="BH3930">
        <v>0</v>
      </c>
      <c r="BI3930">
        <v>0</v>
      </c>
      <c r="BJ3930">
        <v>0</v>
      </c>
      <c r="BK3930">
        <v>2500</v>
      </c>
      <c r="BL3930">
        <v>400</v>
      </c>
      <c r="BM3930" t="s">
        <v>119</v>
      </c>
      <c r="BN3930">
        <v>1</v>
      </c>
      <c r="BO3930">
        <v>1</v>
      </c>
      <c r="BP3930">
        <v>1</v>
      </c>
      <c r="BQ3930">
        <v>0</v>
      </c>
      <c r="BT3930">
        <v>0</v>
      </c>
      <c r="BU3930">
        <v>0</v>
      </c>
      <c r="BV3930">
        <v>0</v>
      </c>
      <c r="CC3930" t="str">
        <f>"19:40:36.477"</f>
        <v>19:40:36.477</v>
      </c>
      <c r="CD3930" t="str">
        <f>"479221097"</f>
        <v>479221097</v>
      </c>
      <c r="CQ3930">
        <v>0</v>
      </c>
      <c r="CR3930">
        <v>2</v>
      </c>
      <c r="CS3930">
        <v>0</v>
      </c>
      <c r="CT3930">
        <v>2</v>
      </c>
      <c r="CU3930">
        <v>0</v>
      </c>
      <c r="CV3930">
        <v>4</v>
      </c>
      <c r="CW3930" t="s">
        <v>120</v>
      </c>
      <c r="CX3930">
        <v>257</v>
      </c>
      <c r="CY3930">
        <v>0</v>
      </c>
      <c r="CZ3930" t="s">
        <v>615</v>
      </c>
      <c r="DA3930" t="s">
        <v>616</v>
      </c>
      <c r="DD3930">
        <v>16617334</v>
      </c>
      <c r="DE3930" t="s">
        <v>123</v>
      </c>
    </row>
    <row r="3931" spans="1:109" x14ac:dyDescent="0.3">
      <c r="A3931" t="str">
        <f>"19:40:37.859"</f>
        <v>19:40:37.859</v>
      </c>
      <c r="B3931" t="s">
        <v>110</v>
      </c>
      <c r="C3931" t="str">
        <f t="shared" si="186"/>
        <v>ffdfd3c0</v>
      </c>
      <c r="D3931" t="s">
        <v>111</v>
      </c>
      <c r="E3931">
        <v>18</v>
      </c>
      <c r="F3931">
        <v>1018</v>
      </c>
      <c r="G3931" t="s">
        <v>112</v>
      </c>
      <c r="J3931" t="s">
        <v>113</v>
      </c>
      <c r="K3931">
        <v>0</v>
      </c>
      <c r="L3931">
        <v>3</v>
      </c>
      <c r="M3931">
        <v>0</v>
      </c>
      <c r="N3931">
        <v>2</v>
      </c>
      <c r="O3931">
        <v>1</v>
      </c>
      <c r="P3931">
        <v>0</v>
      </c>
      <c r="Q3931">
        <v>0</v>
      </c>
      <c r="R3931" t="s">
        <v>114</v>
      </c>
      <c r="S3931" t="str">
        <f>"19:40:37.633"</f>
        <v>19:40:37.633</v>
      </c>
      <c r="T3931" t="str">
        <f>"19:40:37.133"</f>
        <v>19:40:37.133</v>
      </c>
      <c r="U3931" t="str">
        <f t="shared" si="184"/>
        <v>a1cdbe</v>
      </c>
      <c r="V3931">
        <v>0</v>
      </c>
      <c r="W3931">
        <v>0</v>
      </c>
      <c r="X3931">
        <v>2</v>
      </c>
      <c r="Y3931">
        <v>0</v>
      </c>
      <c r="Z3931">
        <v>0</v>
      </c>
      <c r="AB3931">
        <v>0</v>
      </c>
      <c r="AC3931">
        <v>9</v>
      </c>
      <c r="AD3931">
        <v>3</v>
      </c>
      <c r="AE3931">
        <v>0</v>
      </c>
      <c r="AF3931">
        <v>9</v>
      </c>
      <c r="AG3931" t="s">
        <v>158</v>
      </c>
      <c r="AH3931">
        <v>0</v>
      </c>
      <c r="AI3931">
        <v>3</v>
      </c>
      <c r="AJ3931">
        <v>1</v>
      </c>
      <c r="AK3931">
        <v>0</v>
      </c>
      <c r="AL3931" t="s">
        <v>498</v>
      </c>
      <c r="AM3931">
        <v>47.062038999999999</v>
      </c>
      <c r="AN3931" t="s">
        <v>7415</v>
      </c>
      <c r="AO3931">
        <v>-124.015603</v>
      </c>
      <c r="AP3931">
        <v>100</v>
      </c>
      <c r="AQ3931">
        <v>2100</v>
      </c>
      <c r="AR3931" t="s">
        <v>118</v>
      </c>
      <c r="AS3931">
        <v>-80</v>
      </c>
      <c r="AT3931">
        <v>18</v>
      </c>
      <c r="AU3931">
        <v>-64</v>
      </c>
      <c r="BC3931">
        <v>1200</v>
      </c>
      <c r="BD3931">
        <v>1</v>
      </c>
      <c r="BE3931" t="str">
        <f t="shared" si="185"/>
        <v xml:space="preserve">N215T   </v>
      </c>
      <c r="BF3931">
        <v>1</v>
      </c>
      <c r="BH3931">
        <v>0</v>
      </c>
      <c r="BI3931">
        <v>0</v>
      </c>
      <c r="BJ3931">
        <v>0</v>
      </c>
      <c r="BK3931">
        <v>2500</v>
      </c>
      <c r="BL3931">
        <v>400</v>
      </c>
      <c r="BM3931" t="s">
        <v>119</v>
      </c>
      <c r="BN3931">
        <v>1</v>
      </c>
      <c r="BO3931">
        <v>1</v>
      </c>
      <c r="BP3931">
        <v>1</v>
      </c>
      <c r="BQ3931">
        <v>0</v>
      </c>
      <c r="BT3931">
        <v>0</v>
      </c>
      <c r="BU3931">
        <v>0</v>
      </c>
      <c r="BV3931">
        <v>0</v>
      </c>
      <c r="CC3931" t="str">
        <f>"19:40:37.633"</f>
        <v>19:40:37.633</v>
      </c>
      <c r="CD3931" t="str">
        <f>"634107327"</f>
        <v>634107327</v>
      </c>
      <c r="CQ3931">
        <v>0</v>
      </c>
      <c r="CR3931">
        <v>2</v>
      </c>
      <c r="CS3931">
        <v>0</v>
      </c>
      <c r="CT3931">
        <v>2</v>
      </c>
      <c r="CU3931">
        <v>0</v>
      </c>
      <c r="CV3931">
        <v>4</v>
      </c>
      <c r="CW3931" t="s">
        <v>120</v>
      </c>
      <c r="CX3931">
        <v>257</v>
      </c>
      <c r="CY3931">
        <v>0</v>
      </c>
      <c r="CZ3931" t="s">
        <v>615</v>
      </c>
      <c r="DA3931" t="s">
        <v>616</v>
      </c>
      <c r="DD3931">
        <v>16617739</v>
      </c>
      <c r="DE3931" t="s">
        <v>123</v>
      </c>
    </row>
    <row r="3932" spans="1:109" x14ac:dyDescent="0.3">
      <c r="A3932" t="str">
        <f>"19:40:38.758"</f>
        <v>19:40:38.758</v>
      </c>
      <c r="B3932" t="s">
        <v>110</v>
      </c>
      <c r="C3932" t="str">
        <f t="shared" si="186"/>
        <v>ffdfd3c0</v>
      </c>
      <c r="D3932" t="s">
        <v>111</v>
      </c>
      <c r="E3932">
        <v>18</v>
      </c>
      <c r="F3932">
        <v>1018</v>
      </c>
      <c r="G3932" t="s">
        <v>112</v>
      </c>
      <c r="J3932" t="s">
        <v>113</v>
      </c>
      <c r="K3932">
        <v>0</v>
      </c>
      <c r="L3932">
        <v>3</v>
      </c>
      <c r="M3932">
        <v>0</v>
      </c>
      <c r="N3932">
        <v>2</v>
      </c>
      <c r="O3932">
        <v>1</v>
      </c>
      <c r="P3932">
        <v>0</v>
      </c>
      <c r="Q3932">
        <v>0</v>
      </c>
      <c r="R3932" t="s">
        <v>114</v>
      </c>
      <c r="S3932" t="str">
        <f>"19:40:38.516"</f>
        <v>19:40:38.516</v>
      </c>
      <c r="T3932" t="str">
        <f>"19:40:38.516"</f>
        <v>19:40:38.516</v>
      </c>
      <c r="U3932" t="str">
        <f t="shared" si="184"/>
        <v>a1cdbe</v>
      </c>
      <c r="V3932">
        <v>0</v>
      </c>
      <c r="W3932">
        <v>0</v>
      </c>
      <c r="X3932">
        <v>2</v>
      </c>
      <c r="Y3932">
        <v>0</v>
      </c>
      <c r="Z3932">
        <v>0</v>
      </c>
      <c r="AB3932">
        <v>0</v>
      </c>
      <c r="AC3932">
        <v>9</v>
      </c>
      <c r="AD3932">
        <v>3</v>
      </c>
      <c r="AE3932">
        <v>0</v>
      </c>
      <c r="AF3932">
        <v>9</v>
      </c>
      <c r="AG3932" t="s">
        <v>158</v>
      </c>
      <c r="AH3932">
        <v>0</v>
      </c>
      <c r="AI3932">
        <v>3</v>
      </c>
      <c r="AJ3932">
        <v>1</v>
      </c>
      <c r="AK3932">
        <v>0</v>
      </c>
      <c r="AL3932" t="s">
        <v>7416</v>
      </c>
      <c r="AM3932">
        <v>47.062081999999997</v>
      </c>
      <c r="AN3932" t="s">
        <v>7417</v>
      </c>
      <c r="AO3932">
        <v>-124.016075</v>
      </c>
      <c r="AP3932">
        <v>100</v>
      </c>
      <c r="AQ3932">
        <v>2100</v>
      </c>
      <c r="AR3932" t="s">
        <v>118</v>
      </c>
      <c r="AS3932">
        <v>-80</v>
      </c>
      <c r="AT3932">
        <v>17</v>
      </c>
      <c r="AU3932">
        <v>-64</v>
      </c>
      <c r="BC3932">
        <v>1200</v>
      </c>
      <c r="BD3932">
        <v>1</v>
      </c>
      <c r="BE3932" t="str">
        <f t="shared" si="185"/>
        <v xml:space="preserve">N215T   </v>
      </c>
      <c r="BF3932">
        <v>1</v>
      </c>
      <c r="BH3932">
        <v>0</v>
      </c>
      <c r="BI3932">
        <v>0</v>
      </c>
      <c r="BJ3932">
        <v>0</v>
      </c>
      <c r="BK3932">
        <v>2500</v>
      </c>
      <c r="BL3932">
        <v>400</v>
      </c>
      <c r="BM3932" t="s">
        <v>119</v>
      </c>
      <c r="BN3932">
        <v>1</v>
      </c>
      <c r="BO3932">
        <v>1</v>
      </c>
      <c r="BP3932">
        <v>1</v>
      </c>
      <c r="BQ3932">
        <v>0</v>
      </c>
      <c r="BT3932">
        <v>0</v>
      </c>
      <c r="BU3932">
        <v>0</v>
      </c>
      <c r="BV3932">
        <v>0</v>
      </c>
      <c r="CC3932" t="str">
        <f>"19:40:38.516"</f>
        <v>19:40:38.516</v>
      </c>
      <c r="CD3932" t="str">
        <f>"519020171"</f>
        <v>519020171</v>
      </c>
      <c r="CQ3932">
        <v>0</v>
      </c>
      <c r="CR3932">
        <v>2</v>
      </c>
      <c r="CS3932">
        <v>0</v>
      </c>
      <c r="CT3932">
        <v>2</v>
      </c>
      <c r="CU3932">
        <v>0</v>
      </c>
      <c r="CV3932">
        <v>5</v>
      </c>
      <c r="CW3932" t="s">
        <v>120</v>
      </c>
      <c r="CX3932">
        <v>257</v>
      </c>
      <c r="CY3932">
        <v>0</v>
      </c>
      <c r="CZ3932" t="s">
        <v>615</v>
      </c>
      <c r="DA3932" t="s">
        <v>616</v>
      </c>
      <c r="DD3932">
        <v>16618056</v>
      </c>
      <c r="DE3932" t="s">
        <v>123</v>
      </c>
    </row>
    <row r="3933" spans="1:109" x14ac:dyDescent="0.3">
      <c r="A3933" t="str">
        <f>"19:40:39.617"</f>
        <v>19:40:39.617</v>
      </c>
      <c r="B3933" t="s">
        <v>110</v>
      </c>
      <c r="C3933" t="str">
        <f t="shared" si="186"/>
        <v>ffdfd3c0</v>
      </c>
      <c r="D3933" t="s">
        <v>111</v>
      </c>
      <c r="E3933">
        <v>18</v>
      </c>
      <c r="F3933">
        <v>1018</v>
      </c>
      <c r="G3933" t="s">
        <v>112</v>
      </c>
      <c r="J3933" t="s">
        <v>113</v>
      </c>
      <c r="K3933">
        <v>0</v>
      </c>
      <c r="L3933">
        <v>3</v>
      </c>
      <c r="M3933">
        <v>0</v>
      </c>
      <c r="N3933">
        <v>2</v>
      </c>
      <c r="O3933">
        <v>1</v>
      </c>
      <c r="P3933">
        <v>0</v>
      </c>
      <c r="Q3933">
        <v>0</v>
      </c>
      <c r="R3933" t="s">
        <v>114</v>
      </c>
      <c r="S3933" t="str">
        <f>"19:40:39.367"</f>
        <v>19:40:39.367</v>
      </c>
      <c r="T3933" t="str">
        <f>"19:40:38.969"</f>
        <v>19:40:38.969</v>
      </c>
      <c r="U3933" t="str">
        <f t="shared" si="184"/>
        <v>a1cdbe</v>
      </c>
      <c r="V3933">
        <v>0</v>
      </c>
      <c r="W3933">
        <v>0</v>
      </c>
      <c r="X3933">
        <v>2</v>
      </c>
      <c r="Y3933">
        <v>0</v>
      </c>
      <c r="Z3933">
        <v>0</v>
      </c>
      <c r="AB3933">
        <v>0</v>
      </c>
      <c r="AC3933">
        <v>9</v>
      </c>
      <c r="AD3933">
        <v>3</v>
      </c>
      <c r="AE3933">
        <v>0</v>
      </c>
      <c r="AF3933">
        <v>9</v>
      </c>
      <c r="AG3933" t="s">
        <v>158</v>
      </c>
      <c r="AH3933">
        <v>0</v>
      </c>
      <c r="AI3933">
        <v>3</v>
      </c>
      <c r="AJ3933">
        <v>1</v>
      </c>
      <c r="AK3933">
        <v>0</v>
      </c>
      <c r="AL3933" t="s">
        <v>7418</v>
      </c>
      <c r="AM3933">
        <v>47.062168</v>
      </c>
      <c r="AN3933" t="s">
        <v>7419</v>
      </c>
      <c r="AO3933">
        <v>-124.01648299999999</v>
      </c>
      <c r="AP3933">
        <v>100</v>
      </c>
      <c r="AQ3933">
        <v>2100</v>
      </c>
      <c r="AR3933" t="s">
        <v>118</v>
      </c>
      <c r="AS3933">
        <v>-80</v>
      </c>
      <c r="AT3933">
        <v>17</v>
      </c>
      <c r="AU3933">
        <v>-64</v>
      </c>
      <c r="BC3933">
        <v>1200</v>
      </c>
      <c r="BD3933">
        <v>1</v>
      </c>
      <c r="BE3933" t="str">
        <f t="shared" si="185"/>
        <v xml:space="preserve">N215T   </v>
      </c>
      <c r="BF3933">
        <v>1</v>
      </c>
      <c r="BH3933">
        <v>0</v>
      </c>
      <c r="BI3933">
        <v>0</v>
      </c>
      <c r="BJ3933">
        <v>0</v>
      </c>
      <c r="BK3933">
        <v>2500</v>
      </c>
      <c r="BL3933">
        <v>400</v>
      </c>
      <c r="BM3933" t="s">
        <v>119</v>
      </c>
      <c r="BN3933">
        <v>1</v>
      </c>
      <c r="BO3933">
        <v>1</v>
      </c>
      <c r="BP3933">
        <v>1</v>
      </c>
      <c r="BQ3933">
        <v>0</v>
      </c>
      <c r="BT3933">
        <v>0</v>
      </c>
      <c r="BU3933">
        <v>0</v>
      </c>
      <c r="BV3933">
        <v>0</v>
      </c>
      <c r="CC3933" t="str">
        <f>"19:40:39.375"</f>
        <v>19:40:39.375</v>
      </c>
      <c r="CD3933" t="str">
        <f>"373935969"</f>
        <v>373935969</v>
      </c>
      <c r="CQ3933">
        <v>0</v>
      </c>
      <c r="CR3933">
        <v>2</v>
      </c>
      <c r="CS3933">
        <v>0</v>
      </c>
      <c r="CT3933">
        <v>2</v>
      </c>
      <c r="CU3933">
        <v>0</v>
      </c>
      <c r="CV3933">
        <v>4</v>
      </c>
      <c r="CW3933" t="s">
        <v>120</v>
      </c>
      <c r="CX3933">
        <v>257</v>
      </c>
      <c r="CY3933">
        <v>0</v>
      </c>
      <c r="CZ3933" t="s">
        <v>615</v>
      </c>
      <c r="DA3933" t="s">
        <v>616</v>
      </c>
      <c r="DD3933">
        <v>16618330</v>
      </c>
      <c r="DE3933" t="s">
        <v>123</v>
      </c>
    </row>
    <row r="3934" spans="1:109" x14ac:dyDescent="0.3">
      <c r="A3934" t="str">
        <f>"19:40:40.617"</f>
        <v>19:40:40.617</v>
      </c>
      <c r="B3934" t="s">
        <v>110</v>
      </c>
      <c r="C3934" t="str">
        <f t="shared" si="186"/>
        <v>ffdfd3c0</v>
      </c>
      <c r="D3934" t="s">
        <v>111</v>
      </c>
      <c r="E3934">
        <v>18</v>
      </c>
      <c r="F3934">
        <v>1018</v>
      </c>
      <c r="G3934" t="s">
        <v>112</v>
      </c>
      <c r="J3934" t="s">
        <v>113</v>
      </c>
      <c r="K3934">
        <v>0</v>
      </c>
      <c r="L3934">
        <v>3</v>
      </c>
      <c r="M3934">
        <v>0</v>
      </c>
      <c r="N3934">
        <v>2</v>
      </c>
      <c r="O3934">
        <v>1</v>
      </c>
      <c r="P3934">
        <v>0</v>
      </c>
      <c r="Q3934">
        <v>0</v>
      </c>
      <c r="R3934" t="s">
        <v>114</v>
      </c>
      <c r="S3934" t="str">
        <f>"19:40:40.359"</f>
        <v>19:40:40.359</v>
      </c>
      <c r="T3934" t="str">
        <f>"19:40:40.156"</f>
        <v>19:40:40.156</v>
      </c>
      <c r="U3934" t="str">
        <f t="shared" si="184"/>
        <v>a1cdbe</v>
      </c>
      <c r="V3934">
        <v>0</v>
      </c>
      <c r="W3934">
        <v>0</v>
      </c>
      <c r="X3934">
        <v>2</v>
      </c>
      <c r="Y3934">
        <v>0</v>
      </c>
      <c r="Z3934">
        <v>0</v>
      </c>
      <c r="AB3934">
        <v>0</v>
      </c>
      <c r="AC3934">
        <v>9</v>
      </c>
      <c r="AD3934">
        <v>3</v>
      </c>
      <c r="AE3934">
        <v>0</v>
      </c>
      <c r="AF3934">
        <v>9</v>
      </c>
      <c r="AG3934" t="s">
        <v>158</v>
      </c>
      <c r="AH3934">
        <v>0</v>
      </c>
      <c r="AI3934">
        <v>3</v>
      </c>
      <c r="AJ3934">
        <v>1</v>
      </c>
      <c r="AK3934">
        <v>0</v>
      </c>
      <c r="AL3934" t="s">
        <v>7420</v>
      </c>
      <c r="AM3934">
        <v>47.062275</v>
      </c>
      <c r="AN3934" t="s">
        <v>7421</v>
      </c>
      <c r="AO3934">
        <v>-124.01704100000001</v>
      </c>
      <c r="AP3934">
        <v>100</v>
      </c>
      <c r="AQ3934">
        <v>2100</v>
      </c>
      <c r="AR3934" t="s">
        <v>118</v>
      </c>
      <c r="AS3934">
        <v>-79</v>
      </c>
      <c r="AT3934">
        <v>17</v>
      </c>
      <c r="AU3934">
        <v>-128</v>
      </c>
      <c r="BC3934">
        <v>1200</v>
      </c>
      <c r="BD3934">
        <v>1</v>
      </c>
      <c r="BE3934" t="str">
        <f t="shared" si="185"/>
        <v xml:space="preserve">N215T   </v>
      </c>
      <c r="BF3934">
        <v>1</v>
      </c>
      <c r="BH3934">
        <v>0</v>
      </c>
      <c r="BI3934">
        <v>0</v>
      </c>
      <c r="BJ3934">
        <v>0</v>
      </c>
      <c r="BK3934">
        <v>2500</v>
      </c>
      <c r="BL3934">
        <v>400</v>
      </c>
      <c r="BM3934" t="s">
        <v>119</v>
      </c>
      <c r="BN3934">
        <v>1</v>
      </c>
      <c r="BO3934">
        <v>1</v>
      </c>
      <c r="BP3934">
        <v>1</v>
      </c>
      <c r="BQ3934">
        <v>0</v>
      </c>
      <c r="BT3934">
        <v>0</v>
      </c>
      <c r="BU3934">
        <v>0</v>
      </c>
      <c r="BV3934">
        <v>0</v>
      </c>
      <c r="CC3934" t="str">
        <f>"19:40:40.367"</f>
        <v>19:40:40.367</v>
      </c>
      <c r="CD3934" t="str">
        <f>"363838450"</f>
        <v>363838450</v>
      </c>
      <c r="CQ3934">
        <v>0</v>
      </c>
      <c r="CR3934">
        <v>2</v>
      </c>
      <c r="CS3934">
        <v>0</v>
      </c>
      <c r="CT3934">
        <v>2</v>
      </c>
      <c r="CU3934">
        <v>0</v>
      </c>
      <c r="CV3934">
        <v>2</v>
      </c>
      <c r="CW3934" t="s">
        <v>120</v>
      </c>
      <c r="CX3934">
        <v>257</v>
      </c>
      <c r="CY3934">
        <v>0</v>
      </c>
      <c r="CZ3934" t="s">
        <v>615</v>
      </c>
      <c r="DA3934" t="s">
        <v>616</v>
      </c>
      <c r="DD3934">
        <v>16618637</v>
      </c>
      <c r="DE3934" t="s">
        <v>123</v>
      </c>
    </row>
    <row r="3935" spans="1:109" x14ac:dyDescent="0.3">
      <c r="A3935" t="str">
        <f>"19:40:41.625"</f>
        <v>19:40:41.625</v>
      </c>
      <c r="B3935" t="s">
        <v>110</v>
      </c>
      <c r="C3935" t="str">
        <f t="shared" si="186"/>
        <v>ffdfd3c0</v>
      </c>
      <c r="D3935" t="s">
        <v>111</v>
      </c>
      <c r="E3935">
        <v>18</v>
      </c>
      <c r="F3935">
        <v>1018</v>
      </c>
      <c r="G3935" t="s">
        <v>112</v>
      </c>
      <c r="J3935" t="s">
        <v>113</v>
      </c>
      <c r="K3935">
        <v>0</v>
      </c>
      <c r="L3935">
        <v>3</v>
      </c>
      <c r="M3935">
        <v>0</v>
      </c>
      <c r="N3935">
        <v>2</v>
      </c>
      <c r="O3935">
        <v>1</v>
      </c>
      <c r="P3935">
        <v>0</v>
      </c>
      <c r="Q3935">
        <v>0</v>
      </c>
      <c r="R3935" t="s">
        <v>114</v>
      </c>
      <c r="S3935" t="str">
        <f>"19:40:41.398"</f>
        <v>19:40:41.398</v>
      </c>
      <c r="T3935" t="str">
        <f>"19:40:40.695"</f>
        <v>19:40:40.695</v>
      </c>
      <c r="U3935" t="str">
        <f t="shared" si="184"/>
        <v>a1cdbe</v>
      </c>
      <c r="V3935">
        <v>0</v>
      </c>
      <c r="W3935">
        <v>0</v>
      </c>
      <c r="X3935">
        <v>2</v>
      </c>
      <c r="Y3935">
        <v>0</v>
      </c>
      <c r="Z3935">
        <v>0</v>
      </c>
      <c r="AB3935">
        <v>0</v>
      </c>
      <c r="AC3935">
        <v>9</v>
      </c>
      <c r="AD3935">
        <v>3</v>
      </c>
      <c r="AE3935">
        <v>0</v>
      </c>
      <c r="AF3935">
        <v>9</v>
      </c>
      <c r="AG3935" t="s">
        <v>158</v>
      </c>
      <c r="AH3935">
        <v>0</v>
      </c>
      <c r="AI3935">
        <v>3</v>
      </c>
      <c r="AJ3935">
        <v>1</v>
      </c>
      <c r="AK3935">
        <v>0</v>
      </c>
      <c r="AL3935" t="s">
        <v>7422</v>
      </c>
      <c r="AM3935">
        <v>47.062361000000003</v>
      </c>
      <c r="AN3935" t="s">
        <v>7423</v>
      </c>
      <c r="AO3935">
        <v>-124.017556</v>
      </c>
      <c r="AP3935">
        <v>100</v>
      </c>
      <c r="AQ3935">
        <v>2100</v>
      </c>
      <c r="AR3935" t="s">
        <v>118</v>
      </c>
      <c r="AS3935">
        <v>-78</v>
      </c>
      <c r="AT3935">
        <v>17</v>
      </c>
      <c r="AU3935">
        <v>-192</v>
      </c>
      <c r="BC3935">
        <v>1200</v>
      </c>
      <c r="BD3935">
        <v>1</v>
      </c>
      <c r="BE3935" t="str">
        <f t="shared" si="185"/>
        <v xml:space="preserve">N215T   </v>
      </c>
      <c r="BF3935">
        <v>1</v>
      </c>
      <c r="BH3935">
        <v>0</v>
      </c>
      <c r="BI3935">
        <v>0</v>
      </c>
      <c r="BJ3935">
        <v>0</v>
      </c>
      <c r="BK3935">
        <v>2500</v>
      </c>
      <c r="BL3935">
        <v>400</v>
      </c>
      <c r="BM3935" t="s">
        <v>119</v>
      </c>
      <c r="BN3935">
        <v>1</v>
      </c>
      <c r="BO3935">
        <v>1</v>
      </c>
      <c r="BP3935">
        <v>1</v>
      </c>
      <c r="BQ3935">
        <v>0</v>
      </c>
      <c r="BT3935">
        <v>0</v>
      </c>
      <c r="BU3935">
        <v>0</v>
      </c>
      <c r="BV3935">
        <v>0</v>
      </c>
      <c r="CC3935" t="str">
        <f>"19:40:41.398"</f>
        <v>19:40:41.398</v>
      </c>
      <c r="CD3935" t="str">
        <f>"398736581"</f>
        <v>398736581</v>
      </c>
      <c r="CQ3935">
        <v>0</v>
      </c>
      <c r="CR3935">
        <v>2</v>
      </c>
      <c r="CS3935">
        <v>0</v>
      </c>
      <c r="CT3935">
        <v>2</v>
      </c>
      <c r="CU3935">
        <v>0</v>
      </c>
      <c r="CV3935">
        <v>3</v>
      </c>
      <c r="CW3935" t="s">
        <v>120</v>
      </c>
      <c r="CX3935">
        <v>257</v>
      </c>
      <c r="CY3935">
        <v>0</v>
      </c>
      <c r="CZ3935" t="s">
        <v>615</v>
      </c>
      <c r="DA3935" t="s">
        <v>616</v>
      </c>
      <c r="DD3935">
        <v>16619004</v>
      </c>
      <c r="DE3935" t="s">
        <v>123</v>
      </c>
    </row>
    <row r="3936" spans="1:109" x14ac:dyDescent="0.3">
      <c r="A3936" t="str">
        <f>"19:40:42.734"</f>
        <v>19:40:42.734</v>
      </c>
      <c r="B3936" t="s">
        <v>110</v>
      </c>
      <c r="C3936" t="str">
        <f t="shared" si="186"/>
        <v>ffdfd3c0</v>
      </c>
      <c r="D3936" t="s">
        <v>111</v>
      </c>
      <c r="E3936">
        <v>18</v>
      </c>
      <c r="F3936">
        <v>1018</v>
      </c>
      <c r="G3936" t="s">
        <v>112</v>
      </c>
      <c r="J3936" t="s">
        <v>113</v>
      </c>
      <c r="K3936">
        <v>0</v>
      </c>
      <c r="L3936">
        <v>3</v>
      </c>
      <c r="M3936">
        <v>0</v>
      </c>
      <c r="N3936">
        <v>2</v>
      </c>
      <c r="O3936">
        <v>1</v>
      </c>
      <c r="P3936">
        <v>0</v>
      </c>
      <c r="Q3936">
        <v>0</v>
      </c>
      <c r="R3936" t="s">
        <v>114</v>
      </c>
      <c r="S3936" t="str">
        <f>"19:40:42.492"</f>
        <v>19:40:42.492</v>
      </c>
      <c r="T3936" t="str">
        <f>"19:40:42.289"</f>
        <v>19:40:42.289</v>
      </c>
      <c r="U3936" t="str">
        <f t="shared" si="184"/>
        <v>a1cdbe</v>
      </c>
      <c r="V3936">
        <v>0</v>
      </c>
      <c r="W3936">
        <v>0</v>
      </c>
      <c r="X3936">
        <v>2</v>
      </c>
      <c r="Y3936">
        <v>0</v>
      </c>
      <c r="Z3936">
        <v>0</v>
      </c>
      <c r="AB3936">
        <v>0</v>
      </c>
      <c r="AC3936">
        <v>9</v>
      </c>
      <c r="AD3936">
        <v>3</v>
      </c>
      <c r="AE3936">
        <v>0</v>
      </c>
      <c r="AF3936">
        <v>9</v>
      </c>
      <c r="AG3936" t="s">
        <v>158</v>
      </c>
      <c r="AH3936">
        <v>0</v>
      </c>
      <c r="AI3936">
        <v>3</v>
      </c>
      <c r="AJ3936">
        <v>1</v>
      </c>
      <c r="AK3936">
        <v>0</v>
      </c>
      <c r="AL3936" t="s">
        <v>496</v>
      </c>
      <c r="AM3936">
        <v>47.062404000000001</v>
      </c>
      <c r="AN3936" t="s">
        <v>7424</v>
      </c>
      <c r="AO3936">
        <v>-124.018135</v>
      </c>
      <c r="AP3936">
        <v>100</v>
      </c>
      <c r="AQ3936">
        <v>2100</v>
      </c>
      <c r="AR3936" t="s">
        <v>118</v>
      </c>
      <c r="AS3936">
        <v>-75</v>
      </c>
      <c r="AT3936">
        <v>19</v>
      </c>
      <c r="AU3936">
        <v>-384</v>
      </c>
      <c r="BC3936">
        <v>1200</v>
      </c>
      <c r="BD3936">
        <v>1</v>
      </c>
      <c r="BE3936" t="str">
        <f t="shared" si="185"/>
        <v xml:space="preserve">N215T   </v>
      </c>
      <c r="BF3936">
        <v>1</v>
      </c>
      <c r="BH3936">
        <v>0</v>
      </c>
      <c r="BI3936">
        <v>0</v>
      </c>
      <c r="BJ3936">
        <v>0</v>
      </c>
      <c r="BK3936">
        <v>2475</v>
      </c>
      <c r="BL3936">
        <v>375</v>
      </c>
      <c r="BM3936" t="s">
        <v>119</v>
      </c>
      <c r="BN3936">
        <v>1</v>
      </c>
      <c r="BO3936">
        <v>1</v>
      </c>
      <c r="BP3936">
        <v>1</v>
      </c>
      <c r="BQ3936">
        <v>0</v>
      </c>
      <c r="BT3936">
        <v>0</v>
      </c>
      <c r="BU3936">
        <v>0</v>
      </c>
      <c r="BV3936">
        <v>0</v>
      </c>
      <c r="CC3936" t="str">
        <f>"19:40:42.492"</f>
        <v>19:40:42.492</v>
      </c>
      <c r="CD3936" t="str">
        <f>"493628707"</f>
        <v>493628707</v>
      </c>
      <c r="CQ3936">
        <v>0</v>
      </c>
      <c r="CR3936">
        <v>2</v>
      </c>
      <c r="CS3936">
        <v>0</v>
      </c>
      <c r="CT3936">
        <v>2</v>
      </c>
      <c r="CU3936">
        <v>0</v>
      </c>
      <c r="CV3936">
        <v>5</v>
      </c>
      <c r="CW3936" t="s">
        <v>120</v>
      </c>
      <c r="CX3936">
        <v>257</v>
      </c>
      <c r="CY3936">
        <v>0</v>
      </c>
      <c r="CZ3936" t="s">
        <v>615</v>
      </c>
      <c r="DA3936" t="s">
        <v>616</v>
      </c>
      <c r="DD3936">
        <v>16619360</v>
      </c>
      <c r="DE3936" t="s">
        <v>123</v>
      </c>
    </row>
    <row r="3937" spans="1:109" x14ac:dyDescent="0.3">
      <c r="A3937" t="str">
        <f>"19:40:43.836"</f>
        <v>19:40:43.836</v>
      </c>
      <c r="B3937" t="s">
        <v>110</v>
      </c>
      <c r="C3937" t="str">
        <f t="shared" si="186"/>
        <v>ffdfd3c0</v>
      </c>
      <c r="D3937" t="s">
        <v>111</v>
      </c>
      <c r="E3937">
        <v>18</v>
      </c>
      <c r="F3937">
        <v>1018</v>
      </c>
      <c r="G3937" t="s">
        <v>112</v>
      </c>
      <c r="J3937" t="s">
        <v>113</v>
      </c>
      <c r="K3937">
        <v>0</v>
      </c>
      <c r="L3937">
        <v>3</v>
      </c>
      <c r="M3937">
        <v>0</v>
      </c>
      <c r="N3937">
        <v>2</v>
      </c>
      <c r="O3937">
        <v>1</v>
      </c>
      <c r="P3937">
        <v>0</v>
      </c>
      <c r="Q3937">
        <v>0</v>
      </c>
      <c r="R3937" t="s">
        <v>114</v>
      </c>
      <c r="S3937" t="str">
        <f>"19:40:43.555"</f>
        <v>19:40:43.555</v>
      </c>
      <c r="T3937" t="str">
        <f>"19:40:43.258"</f>
        <v>19:40:43.258</v>
      </c>
      <c r="U3937" t="str">
        <f t="shared" si="184"/>
        <v>a1cdbe</v>
      </c>
      <c r="V3937">
        <v>0</v>
      </c>
      <c r="W3937">
        <v>0</v>
      </c>
      <c r="X3937">
        <v>2</v>
      </c>
      <c r="Y3937">
        <v>0</v>
      </c>
      <c r="Z3937">
        <v>0</v>
      </c>
      <c r="AB3937">
        <v>0</v>
      </c>
      <c r="AC3937">
        <v>9</v>
      </c>
      <c r="AD3937">
        <v>3</v>
      </c>
      <c r="AE3937">
        <v>0</v>
      </c>
      <c r="AF3937">
        <v>9</v>
      </c>
      <c r="AG3937" t="s">
        <v>158</v>
      </c>
      <c r="AH3937">
        <v>0</v>
      </c>
      <c r="AI3937">
        <v>3</v>
      </c>
      <c r="AJ3937">
        <v>1</v>
      </c>
      <c r="AK3937">
        <v>0</v>
      </c>
      <c r="AL3937" t="s">
        <v>7425</v>
      </c>
      <c r="AM3937">
        <v>47.062553999999999</v>
      </c>
      <c r="AN3937" t="s">
        <v>7426</v>
      </c>
      <c r="AO3937">
        <v>-124.018693</v>
      </c>
      <c r="AP3937">
        <v>100</v>
      </c>
      <c r="AQ3937">
        <v>2100</v>
      </c>
      <c r="AR3937" t="s">
        <v>118</v>
      </c>
      <c r="AS3937">
        <v>-73</v>
      </c>
      <c r="AT3937">
        <v>21</v>
      </c>
      <c r="AU3937">
        <v>-576</v>
      </c>
      <c r="BC3937">
        <v>1200</v>
      </c>
      <c r="BD3937">
        <v>1</v>
      </c>
      <c r="BE3937" t="str">
        <f t="shared" si="185"/>
        <v xml:space="preserve">N215T   </v>
      </c>
      <c r="BF3937">
        <v>1</v>
      </c>
      <c r="BH3937">
        <v>0</v>
      </c>
      <c r="BI3937">
        <v>0</v>
      </c>
      <c r="BJ3937">
        <v>0</v>
      </c>
      <c r="BK3937">
        <v>2475</v>
      </c>
      <c r="BL3937">
        <v>375</v>
      </c>
      <c r="BM3937" t="s">
        <v>119</v>
      </c>
      <c r="BN3937">
        <v>1</v>
      </c>
      <c r="BO3937">
        <v>1</v>
      </c>
      <c r="BP3937">
        <v>1</v>
      </c>
      <c r="BQ3937">
        <v>0</v>
      </c>
      <c r="BT3937">
        <v>0</v>
      </c>
      <c r="BU3937">
        <v>0</v>
      </c>
      <c r="BV3937">
        <v>0</v>
      </c>
      <c r="CC3937" t="str">
        <f>"19:40:43.555"</f>
        <v>19:40:43.555</v>
      </c>
      <c r="CD3937" t="str">
        <f>"558523804"</f>
        <v>558523804</v>
      </c>
      <c r="CQ3937">
        <v>0</v>
      </c>
      <c r="CR3937">
        <v>2</v>
      </c>
      <c r="CS3937">
        <v>0</v>
      </c>
      <c r="CT3937">
        <v>2</v>
      </c>
      <c r="CU3937">
        <v>0</v>
      </c>
      <c r="CV3937">
        <v>5</v>
      </c>
      <c r="CW3937" t="s">
        <v>120</v>
      </c>
      <c r="CX3937">
        <v>257</v>
      </c>
      <c r="CY3937">
        <v>0</v>
      </c>
      <c r="CZ3937" t="s">
        <v>615</v>
      </c>
      <c r="DA3937" t="s">
        <v>616</v>
      </c>
      <c r="DD3937">
        <v>16619707</v>
      </c>
      <c r="DE3937" t="s">
        <v>123</v>
      </c>
    </row>
    <row r="3938" spans="1:109" x14ac:dyDescent="0.3">
      <c r="A3938" t="str">
        <f>"19:40:44.891"</f>
        <v>19:40:44.891</v>
      </c>
      <c r="B3938" t="s">
        <v>110</v>
      </c>
      <c r="C3938" t="str">
        <f t="shared" si="186"/>
        <v>ffdfd3c0</v>
      </c>
      <c r="D3938" t="s">
        <v>111</v>
      </c>
      <c r="E3938">
        <v>18</v>
      </c>
      <c r="F3938">
        <v>1018</v>
      </c>
      <c r="G3938" t="s">
        <v>112</v>
      </c>
      <c r="J3938" t="s">
        <v>113</v>
      </c>
      <c r="K3938">
        <v>0</v>
      </c>
      <c r="L3938">
        <v>3</v>
      </c>
      <c r="M3938">
        <v>0</v>
      </c>
      <c r="N3938">
        <v>2</v>
      </c>
      <c r="O3938">
        <v>1</v>
      </c>
      <c r="P3938">
        <v>0</v>
      </c>
      <c r="Q3938">
        <v>0</v>
      </c>
      <c r="R3938" t="s">
        <v>114</v>
      </c>
      <c r="S3938" t="str">
        <f>"19:40:44.664"</f>
        <v>19:40:44.664</v>
      </c>
      <c r="T3938" t="str">
        <f>"19:40:44.164"</f>
        <v>19:40:44.164</v>
      </c>
      <c r="U3938" t="str">
        <f t="shared" si="184"/>
        <v>a1cdbe</v>
      </c>
      <c r="V3938">
        <v>0</v>
      </c>
      <c r="W3938">
        <v>0</v>
      </c>
      <c r="X3938">
        <v>2</v>
      </c>
      <c r="Y3938">
        <v>0</v>
      </c>
      <c r="Z3938">
        <v>0</v>
      </c>
      <c r="AB3938">
        <v>0</v>
      </c>
      <c r="AC3938">
        <v>9</v>
      </c>
      <c r="AD3938">
        <v>3</v>
      </c>
      <c r="AE3938">
        <v>0</v>
      </c>
      <c r="AF3938">
        <v>9</v>
      </c>
      <c r="AG3938" t="s">
        <v>158</v>
      </c>
      <c r="AH3938">
        <v>0</v>
      </c>
      <c r="AI3938">
        <v>3</v>
      </c>
      <c r="AJ3938">
        <v>1</v>
      </c>
      <c r="AK3938">
        <v>0</v>
      </c>
      <c r="AL3938" t="s">
        <v>7427</v>
      </c>
      <c r="AM3938">
        <v>47.062640000000002</v>
      </c>
      <c r="AN3938" t="s">
        <v>7428</v>
      </c>
      <c r="AO3938">
        <v>-124.019165</v>
      </c>
      <c r="AP3938">
        <v>100</v>
      </c>
      <c r="AQ3938">
        <v>2100</v>
      </c>
      <c r="AR3938" t="s">
        <v>118</v>
      </c>
      <c r="AS3938">
        <v>-71</v>
      </c>
      <c r="AT3938">
        <v>24</v>
      </c>
      <c r="AU3938">
        <v>-768</v>
      </c>
      <c r="BC3938">
        <v>1200</v>
      </c>
      <c r="BD3938">
        <v>1</v>
      </c>
      <c r="BE3938" t="str">
        <f t="shared" si="185"/>
        <v xml:space="preserve">N215T   </v>
      </c>
      <c r="BF3938">
        <v>1</v>
      </c>
      <c r="BH3938">
        <v>0</v>
      </c>
      <c r="BI3938">
        <v>0</v>
      </c>
      <c r="BJ3938">
        <v>0</v>
      </c>
      <c r="BK3938">
        <v>2475</v>
      </c>
      <c r="BL3938">
        <v>375</v>
      </c>
      <c r="BM3938" t="s">
        <v>119</v>
      </c>
      <c r="BN3938">
        <v>1</v>
      </c>
      <c r="BO3938">
        <v>1</v>
      </c>
      <c r="BP3938">
        <v>1</v>
      </c>
      <c r="BQ3938">
        <v>0</v>
      </c>
      <c r="BT3938">
        <v>0</v>
      </c>
      <c r="BU3938">
        <v>0</v>
      </c>
      <c r="BV3938">
        <v>0</v>
      </c>
      <c r="CC3938" t="str">
        <f>"19:40:44.672"</f>
        <v>19:40:44.672</v>
      </c>
      <c r="CD3938" t="str">
        <f>"668414519"</f>
        <v>668414519</v>
      </c>
      <c r="CQ3938">
        <v>0</v>
      </c>
      <c r="CR3938">
        <v>2</v>
      </c>
      <c r="CS3938">
        <v>0</v>
      </c>
      <c r="CT3938">
        <v>2</v>
      </c>
      <c r="CU3938">
        <v>0</v>
      </c>
      <c r="CV3938">
        <v>5</v>
      </c>
      <c r="CW3938" t="s">
        <v>120</v>
      </c>
      <c r="CX3938">
        <v>257</v>
      </c>
      <c r="CY3938">
        <v>0</v>
      </c>
      <c r="CZ3938" t="s">
        <v>615</v>
      </c>
      <c r="DA3938" t="s">
        <v>616</v>
      </c>
      <c r="DD3938">
        <v>16620064</v>
      </c>
      <c r="DE3938" t="s">
        <v>123</v>
      </c>
    </row>
    <row r="3939" spans="1:109" x14ac:dyDescent="0.3">
      <c r="A3939" t="str">
        <f>"19:40:45.852"</f>
        <v>19:40:45.852</v>
      </c>
      <c r="B3939" t="s">
        <v>110</v>
      </c>
      <c r="C3939" t="str">
        <f t="shared" si="186"/>
        <v>ffdfd3c0</v>
      </c>
      <c r="D3939" t="s">
        <v>111</v>
      </c>
      <c r="E3939">
        <v>18</v>
      </c>
      <c r="F3939">
        <v>1018</v>
      </c>
      <c r="G3939" t="s">
        <v>112</v>
      </c>
      <c r="J3939" t="s">
        <v>113</v>
      </c>
      <c r="K3939">
        <v>0</v>
      </c>
      <c r="L3939">
        <v>3</v>
      </c>
      <c r="M3939">
        <v>0</v>
      </c>
      <c r="N3939">
        <v>2</v>
      </c>
      <c r="O3939">
        <v>1</v>
      </c>
      <c r="P3939">
        <v>0</v>
      </c>
      <c r="Q3939">
        <v>0</v>
      </c>
      <c r="R3939" t="s">
        <v>114</v>
      </c>
      <c r="S3939" t="str">
        <f>"19:40:45.609"</f>
        <v>19:40:45.609</v>
      </c>
      <c r="T3939" t="str">
        <f>"19:40:45.609"</f>
        <v>19:40:45.609</v>
      </c>
      <c r="U3939" t="str">
        <f t="shared" si="184"/>
        <v>a1cdbe</v>
      </c>
      <c r="V3939">
        <v>0</v>
      </c>
      <c r="W3939">
        <v>0</v>
      </c>
      <c r="X3939">
        <v>2</v>
      </c>
      <c r="Y3939">
        <v>0</v>
      </c>
      <c r="Z3939">
        <v>0</v>
      </c>
      <c r="AB3939">
        <v>0</v>
      </c>
      <c r="AC3939">
        <v>9</v>
      </c>
      <c r="AD3939">
        <v>3</v>
      </c>
      <c r="AE3939">
        <v>0</v>
      </c>
      <c r="AF3939">
        <v>9</v>
      </c>
      <c r="AG3939" t="s">
        <v>158</v>
      </c>
      <c r="AH3939">
        <v>0</v>
      </c>
      <c r="AI3939">
        <v>3</v>
      </c>
      <c r="AJ3939">
        <v>1</v>
      </c>
      <c r="AK3939">
        <v>0</v>
      </c>
      <c r="AL3939" t="s">
        <v>7429</v>
      </c>
      <c r="AM3939">
        <v>47.062769000000003</v>
      </c>
      <c r="AN3939" t="s">
        <v>7430</v>
      </c>
      <c r="AO3939">
        <v>-124.019637</v>
      </c>
      <c r="AP3939">
        <v>100</v>
      </c>
      <c r="AQ3939">
        <v>2100</v>
      </c>
      <c r="AR3939" t="s">
        <v>118</v>
      </c>
      <c r="AS3939">
        <v>-67</v>
      </c>
      <c r="AT3939">
        <v>30</v>
      </c>
      <c r="AU3939">
        <v>-1024</v>
      </c>
      <c r="BC3939">
        <v>1200</v>
      </c>
      <c r="BD3939">
        <v>1</v>
      </c>
      <c r="BE3939" t="str">
        <f t="shared" si="185"/>
        <v xml:space="preserve">N215T   </v>
      </c>
      <c r="BF3939">
        <v>1</v>
      </c>
      <c r="BH3939">
        <v>0</v>
      </c>
      <c r="BI3939">
        <v>0</v>
      </c>
      <c r="BJ3939">
        <v>0</v>
      </c>
      <c r="BK3939">
        <v>2450</v>
      </c>
      <c r="BL3939">
        <v>350</v>
      </c>
      <c r="BM3939" t="s">
        <v>119</v>
      </c>
      <c r="BN3939">
        <v>1</v>
      </c>
      <c r="BO3939">
        <v>1</v>
      </c>
      <c r="BP3939">
        <v>1</v>
      </c>
      <c r="BQ3939">
        <v>0</v>
      </c>
      <c r="BT3939">
        <v>0</v>
      </c>
      <c r="BU3939">
        <v>0</v>
      </c>
      <c r="BV3939">
        <v>0</v>
      </c>
      <c r="CC3939" t="str">
        <f>"19:40:45.617"</f>
        <v>19:40:45.617</v>
      </c>
      <c r="CD3939" t="str">
        <f>"613321440"</f>
        <v>613321440</v>
      </c>
      <c r="CQ3939">
        <v>0</v>
      </c>
      <c r="CR3939">
        <v>2</v>
      </c>
      <c r="CS3939">
        <v>0</v>
      </c>
      <c r="CT3939">
        <v>2</v>
      </c>
      <c r="CU3939">
        <v>0</v>
      </c>
      <c r="CV3939">
        <v>6</v>
      </c>
      <c r="CW3939" t="s">
        <v>120</v>
      </c>
      <c r="CX3939">
        <v>257</v>
      </c>
      <c r="CY3939">
        <v>0</v>
      </c>
      <c r="CZ3939" t="s">
        <v>615</v>
      </c>
      <c r="DA3939" t="s">
        <v>616</v>
      </c>
      <c r="DD3939">
        <v>16620378</v>
      </c>
      <c r="DE3939" t="s">
        <v>123</v>
      </c>
    </row>
    <row r="3940" spans="1:109" x14ac:dyDescent="0.3">
      <c r="A3940" t="str">
        <f>"19:40:46.906"</f>
        <v>19:40:46.906</v>
      </c>
      <c r="B3940" t="s">
        <v>110</v>
      </c>
      <c r="C3940" t="str">
        <f t="shared" si="186"/>
        <v>ffdfd3c0</v>
      </c>
      <c r="D3940" t="s">
        <v>111</v>
      </c>
      <c r="E3940">
        <v>18</v>
      </c>
      <c r="F3940">
        <v>1018</v>
      </c>
      <c r="G3940" t="s">
        <v>112</v>
      </c>
      <c r="J3940" t="s">
        <v>113</v>
      </c>
      <c r="K3940">
        <v>0</v>
      </c>
      <c r="L3940">
        <v>3</v>
      </c>
      <c r="M3940">
        <v>0</v>
      </c>
      <c r="N3940">
        <v>2</v>
      </c>
      <c r="O3940">
        <v>1</v>
      </c>
      <c r="P3940">
        <v>0</v>
      </c>
      <c r="Q3940">
        <v>0</v>
      </c>
      <c r="R3940" t="s">
        <v>114</v>
      </c>
      <c r="S3940" t="str">
        <f>"19:40:46.688"</f>
        <v>19:40:46.688</v>
      </c>
      <c r="T3940" t="str">
        <f>"19:40:46.188"</f>
        <v>19:40:46.188</v>
      </c>
      <c r="U3940" t="str">
        <f t="shared" si="184"/>
        <v>a1cdbe</v>
      </c>
      <c r="V3940">
        <v>0</v>
      </c>
      <c r="W3940">
        <v>0</v>
      </c>
      <c r="X3940">
        <v>2</v>
      </c>
      <c r="Y3940">
        <v>0</v>
      </c>
      <c r="Z3940">
        <v>0</v>
      </c>
      <c r="AB3940">
        <v>0</v>
      </c>
      <c r="AC3940">
        <v>9</v>
      </c>
      <c r="AD3940">
        <v>3</v>
      </c>
      <c r="AE3940">
        <v>0</v>
      </c>
      <c r="AF3940">
        <v>9</v>
      </c>
      <c r="AG3940" t="s">
        <v>158</v>
      </c>
      <c r="AH3940">
        <v>0</v>
      </c>
      <c r="AI3940">
        <v>3</v>
      </c>
      <c r="AJ3940">
        <v>1</v>
      </c>
      <c r="AK3940">
        <v>0</v>
      </c>
      <c r="AL3940" t="s">
        <v>7431</v>
      </c>
      <c r="AM3940">
        <v>47.062961999999999</v>
      </c>
      <c r="AN3940" t="s">
        <v>7432</v>
      </c>
      <c r="AO3940">
        <v>-124.020088</v>
      </c>
      <c r="AP3940">
        <v>100</v>
      </c>
      <c r="AQ3940">
        <v>2000</v>
      </c>
      <c r="AR3940" t="s">
        <v>118</v>
      </c>
      <c r="AS3940">
        <v>-66</v>
      </c>
      <c r="AT3940">
        <v>33</v>
      </c>
      <c r="AU3940">
        <v>-1088</v>
      </c>
      <c r="BC3940">
        <v>1200</v>
      </c>
      <c r="BD3940">
        <v>1</v>
      </c>
      <c r="BE3940" t="str">
        <f t="shared" si="185"/>
        <v xml:space="preserve">N215T   </v>
      </c>
      <c r="BF3940">
        <v>1</v>
      </c>
      <c r="BH3940">
        <v>0</v>
      </c>
      <c r="BI3940">
        <v>0</v>
      </c>
      <c r="BJ3940">
        <v>0</v>
      </c>
      <c r="BK3940">
        <v>2425</v>
      </c>
      <c r="BL3940">
        <v>425</v>
      </c>
      <c r="BM3940" t="s">
        <v>119</v>
      </c>
      <c r="BN3940">
        <v>1</v>
      </c>
      <c r="BO3940">
        <v>1</v>
      </c>
      <c r="BP3940">
        <v>1</v>
      </c>
      <c r="BQ3940">
        <v>0</v>
      </c>
      <c r="BT3940">
        <v>0</v>
      </c>
      <c r="BU3940">
        <v>0</v>
      </c>
      <c r="BV3940">
        <v>0</v>
      </c>
      <c r="CC3940" t="str">
        <f>"19:40:46.695"</f>
        <v>19:40:46.695</v>
      </c>
      <c r="CD3940" t="str">
        <f>"693215095"</f>
        <v>693215095</v>
      </c>
      <c r="CQ3940">
        <v>0</v>
      </c>
      <c r="CR3940">
        <v>2</v>
      </c>
      <c r="CS3940">
        <v>0</v>
      </c>
      <c r="CT3940">
        <v>2</v>
      </c>
      <c r="CU3940">
        <v>0</v>
      </c>
      <c r="CV3940">
        <v>6</v>
      </c>
      <c r="CW3940" t="s">
        <v>120</v>
      </c>
      <c r="CX3940">
        <v>257</v>
      </c>
      <c r="CY3940">
        <v>0</v>
      </c>
      <c r="CZ3940" t="s">
        <v>615</v>
      </c>
      <c r="DA3940" t="s">
        <v>616</v>
      </c>
      <c r="DD3940">
        <v>16620750</v>
      </c>
      <c r="DE3940" t="s">
        <v>123</v>
      </c>
    </row>
    <row r="3941" spans="1:109" x14ac:dyDescent="0.3">
      <c r="A3941" t="str">
        <f>"19:40:47.813"</f>
        <v>19:40:47.813</v>
      </c>
      <c r="B3941" t="s">
        <v>110</v>
      </c>
      <c r="C3941" t="str">
        <f t="shared" si="186"/>
        <v>ffdfd3c0</v>
      </c>
      <c r="D3941" t="s">
        <v>111</v>
      </c>
      <c r="E3941">
        <v>18</v>
      </c>
      <c r="F3941">
        <v>1018</v>
      </c>
      <c r="G3941" t="s">
        <v>112</v>
      </c>
      <c r="J3941" t="s">
        <v>113</v>
      </c>
      <c r="K3941">
        <v>0</v>
      </c>
      <c r="L3941">
        <v>3</v>
      </c>
      <c r="M3941">
        <v>0</v>
      </c>
      <c r="N3941">
        <v>2</v>
      </c>
      <c r="O3941">
        <v>1</v>
      </c>
      <c r="P3941">
        <v>0</v>
      </c>
      <c r="Q3941">
        <v>0</v>
      </c>
      <c r="R3941" t="s">
        <v>114</v>
      </c>
      <c r="S3941" t="str">
        <f>"19:40:47.563"</f>
        <v>19:40:47.563</v>
      </c>
      <c r="T3941" t="str">
        <f>"19:40:47.359"</f>
        <v>19:40:47.359</v>
      </c>
      <c r="U3941" t="str">
        <f t="shared" si="184"/>
        <v>a1cdbe</v>
      </c>
      <c r="V3941">
        <v>0</v>
      </c>
      <c r="W3941">
        <v>0</v>
      </c>
      <c r="X3941">
        <v>2</v>
      </c>
      <c r="Y3941">
        <v>0</v>
      </c>
      <c r="Z3941">
        <v>0</v>
      </c>
      <c r="AB3941">
        <v>0</v>
      </c>
      <c r="AC3941">
        <v>9</v>
      </c>
      <c r="AD3941">
        <v>3</v>
      </c>
      <c r="AE3941">
        <v>0</v>
      </c>
      <c r="AF3941">
        <v>9</v>
      </c>
      <c r="AG3941" t="s">
        <v>158</v>
      </c>
      <c r="AH3941">
        <v>0</v>
      </c>
      <c r="AI3941">
        <v>3</v>
      </c>
      <c r="AJ3941">
        <v>1</v>
      </c>
      <c r="AK3941">
        <v>0</v>
      </c>
      <c r="AL3941" t="s">
        <v>7433</v>
      </c>
      <c r="AM3941">
        <v>47.063091</v>
      </c>
      <c r="AN3941" t="s">
        <v>7434</v>
      </c>
      <c r="AO3941">
        <v>-124.02047399999999</v>
      </c>
      <c r="AP3941">
        <v>100</v>
      </c>
      <c r="AQ3941">
        <v>2000</v>
      </c>
      <c r="AR3941" t="s">
        <v>118</v>
      </c>
      <c r="AS3941">
        <v>-63</v>
      </c>
      <c r="AT3941">
        <v>38</v>
      </c>
      <c r="AU3941">
        <v>-1344</v>
      </c>
      <c r="BC3941">
        <v>1200</v>
      </c>
      <c r="BD3941">
        <v>1</v>
      </c>
      <c r="BE3941" t="str">
        <f t="shared" si="185"/>
        <v xml:space="preserve">N215T   </v>
      </c>
      <c r="BF3941">
        <v>1</v>
      </c>
      <c r="BH3941">
        <v>0</v>
      </c>
      <c r="BI3941">
        <v>0</v>
      </c>
      <c r="BJ3941">
        <v>0</v>
      </c>
      <c r="BK3941">
        <v>2425</v>
      </c>
      <c r="BL3941">
        <v>425</v>
      </c>
      <c r="BM3941" t="s">
        <v>119</v>
      </c>
      <c r="BN3941">
        <v>1</v>
      </c>
      <c r="BO3941">
        <v>1</v>
      </c>
      <c r="BP3941">
        <v>1</v>
      </c>
      <c r="BQ3941">
        <v>0</v>
      </c>
      <c r="BT3941">
        <v>0</v>
      </c>
      <c r="BU3941">
        <v>0</v>
      </c>
      <c r="BV3941">
        <v>0</v>
      </c>
      <c r="CC3941" t="str">
        <f>"19:40:47.563"</f>
        <v>19:40:47.563</v>
      </c>
      <c r="CD3941" t="str">
        <f>"563129435"</f>
        <v>563129435</v>
      </c>
      <c r="CQ3941">
        <v>0</v>
      </c>
      <c r="CR3941">
        <v>2</v>
      </c>
      <c r="CS3941">
        <v>0</v>
      </c>
      <c r="CT3941">
        <v>2</v>
      </c>
      <c r="CU3941">
        <v>0</v>
      </c>
      <c r="CV3941">
        <v>6</v>
      </c>
      <c r="CW3941" t="s">
        <v>120</v>
      </c>
      <c r="CX3941">
        <v>257</v>
      </c>
      <c r="CY3941">
        <v>0</v>
      </c>
      <c r="CZ3941" t="s">
        <v>615</v>
      </c>
      <c r="DA3941" t="s">
        <v>616</v>
      </c>
      <c r="DD3941">
        <v>16621059</v>
      </c>
      <c r="DE3941" t="s">
        <v>123</v>
      </c>
    </row>
    <row r="3942" spans="1:109" x14ac:dyDescent="0.3">
      <c r="A3942" t="str">
        <f>"19:40:48.773"</f>
        <v>19:40:48.773</v>
      </c>
      <c r="B3942" t="s">
        <v>110</v>
      </c>
      <c r="C3942" t="str">
        <f t="shared" si="186"/>
        <v>ffdfd3c0</v>
      </c>
      <c r="D3942" t="s">
        <v>111</v>
      </c>
      <c r="E3942">
        <v>18</v>
      </c>
      <c r="F3942">
        <v>1018</v>
      </c>
      <c r="G3942" t="s">
        <v>112</v>
      </c>
      <c r="J3942" t="s">
        <v>113</v>
      </c>
      <c r="K3942">
        <v>0</v>
      </c>
      <c r="L3942">
        <v>3</v>
      </c>
      <c r="M3942">
        <v>0</v>
      </c>
      <c r="N3942">
        <v>2</v>
      </c>
      <c r="O3942">
        <v>1</v>
      </c>
      <c r="P3942">
        <v>0</v>
      </c>
      <c r="Q3942">
        <v>0</v>
      </c>
      <c r="R3942" t="s">
        <v>114</v>
      </c>
      <c r="S3942" t="str">
        <f>"19:40:48.516"</f>
        <v>19:40:48.516</v>
      </c>
      <c r="T3942" t="str">
        <f>"19:40:48.313"</f>
        <v>19:40:48.313</v>
      </c>
      <c r="U3942" t="str">
        <f t="shared" si="184"/>
        <v>a1cdbe</v>
      </c>
      <c r="V3942">
        <v>0</v>
      </c>
      <c r="W3942">
        <v>0</v>
      </c>
      <c r="X3942">
        <v>2</v>
      </c>
      <c r="Y3942">
        <v>0</v>
      </c>
      <c r="Z3942">
        <v>0</v>
      </c>
      <c r="AB3942">
        <v>0</v>
      </c>
      <c r="AC3942">
        <v>9</v>
      </c>
      <c r="AD3942">
        <v>3</v>
      </c>
      <c r="AE3942">
        <v>0</v>
      </c>
      <c r="AF3942">
        <v>9</v>
      </c>
      <c r="AG3942" t="s">
        <v>158</v>
      </c>
      <c r="AH3942">
        <v>0</v>
      </c>
      <c r="AI3942">
        <v>3</v>
      </c>
      <c r="AJ3942">
        <v>1</v>
      </c>
      <c r="AK3942">
        <v>0</v>
      </c>
      <c r="AL3942" t="s">
        <v>7435</v>
      </c>
      <c r="AM3942">
        <v>47.063327000000001</v>
      </c>
      <c r="AN3942" t="s">
        <v>7436</v>
      </c>
      <c r="AO3942">
        <v>-124.020882</v>
      </c>
      <c r="AP3942">
        <v>100</v>
      </c>
      <c r="AQ3942">
        <v>2000</v>
      </c>
      <c r="AR3942" t="s">
        <v>118</v>
      </c>
      <c r="AS3942">
        <v>-60</v>
      </c>
      <c r="AT3942">
        <v>43</v>
      </c>
      <c r="AU3942">
        <v>-1536</v>
      </c>
      <c r="BC3942">
        <v>1200</v>
      </c>
      <c r="BD3942">
        <v>1</v>
      </c>
      <c r="BE3942" t="str">
        <f t="shared" si="185"/>
        <v xml:space="preserve">N215T   </v>
      </c>
      <c r="BF3942">
        <v>1</v>
      </c>
      <c r="BH3942">
        <v>0</v>
      </c>
      <c r="BI3942">
        <v>0</v>
      </c>
      <c r="BJ3942">
        <v>0</v>
      </c>
      <c r="BK3942">
        <v>2400</v>
      </c>
      <c r="BL3942">
        <v>400</v>
      </c>
      <c r="BM3942" t="s">
        <v>119</v>
      </c>
      <c r="BN3942">
        <v>1</v>
      </c>
      <c r="BO3942">
        <v>1</v>
      </c>
      <c r="BP3942">
        <v>1</v>
      </c>
      <c r="BQ3942">
        <v>0</v>
      </c>
      <c r="BT3942">
        <v>0</v>
      </c>
      <c r="BU3942">
        <v>0</v>
      </c>
      <c r="BV3942">
        <v>0</v>
      </c>
      <c r="CC3942" t="str">
        <f>"19:40:48.523"</f>
        <v>19:40:48.523</v>
      </c>
      <c r="CD3942" t="str">
        <f>"523034922"</f>
        <v>523034922</v>
      </c>
      <c r="CQ3942">
        <v>0</v>
      </c>
      <c r="CR3942">
        <v>2</v>
      </c>
      <c r="CS3942">
        <v>0</v>
      </c>
      <c r="CT3942">
        <v>2</v>
      </c>
      <c r="CU3942">
        <v>0</v>
      </c>
      <c r="CV3942">
        <v>6</v>
      </c>
      <c r="CW3942" t="s">
        <v>120</v>
      </c>
      <c r="CX3942">
        <v>257</v>
      </c>
      <c r="CY3942">
        <v>0</v>
      </c>
      <c r="CZ3942" t="s">
        <v>615</v>
      </c>
      <c r="DA3942" t="s">
        <v>616</v>
      </c>
      <c r="DD3942">
        <v>16621378</v>
      </c>
      <c r="DE3942" t="s">
        <v>123</v>
      </c>
    </row>
    <row r="3943" spans="1:109" x14ac:dyDescent="0.3">
      <c r="A3943" t="str">
        <f>"19:40:49.766"</f>
        <v>19:40:49.766</v>
      </c>
      <c r="B3943" t="s">
        <v>110</v>
      </c>
      <c r="C3943" t="str">
        <f t="shared" si="186"/>
        <v>ffdfd3c0</v>
      </c>
      <c r="D3943" t="s">
        <v>111</v>
      </c>
      <c r="E3943">
        <v>18</v>
      </c>
      <c r="F3943">
        <v>1018</v>
      </c>
      <c r="G3943" t="s">
        <v>112</v>
      </c>
      <c r="J3943" t="s">
        <v>113</v>
      </c>
      <c r="K3943">
        <v>0</v>
      </c>
      <c r="L3943">
        <v>3</v>
      </c>
      <c r="M3943">
        <v>0</v>
      </c>
      <c r="N3943">
        <v>2</v>
      </c>
      <c r="O3943">
        <v>1</v>
      </c>
      <c r="P3943">
        <v>0</v>
      </c>
      <c r="Q3943">
        <v>0</v>
      </c>
      <c r="R3943" t="s">
        <v>114</v>
      </c>
      <c r="S3943" t="str">
        <f>"19:40:49.555"</f>
        <v>19:40:49.555</v>
      </c>
      <c r="T3943" t="str">
        <f>"19:40:49.352"</f>
        <v>19:40:49.352</v>
      </c>
      <c r="U3943" t="str">
        <f t="shared" si="184"/>
        <v>a1cdbe</v>
      </c>
      <c r="V3943">
        <v>0</v>
      </c>
      <c r="W3943">
        <v>0</v>
      </c>
      <c r="X3943">
        <v>2</v>
      </c>
      <c r="Y3943">
        <v>0</v>
      </c>
      <c r="Z3943">
        <v>0</v>
      </c>
      <c r="AB3943">
        <v>0</v>
      </c>
      <c r="AC3943">
        <v>9</v>
      </c>
      <c r="AD3943">
        <v>3</v>
      </c>
      <c r="AE3943">
        <v>0</v>
      </c>
      <c r="AF3943">
        <v>9</v>
      </c>
      <c r="AG3943" t="s">
        <v>158</v>
      </c>
      <c r="AH3943">
        <v>0</v>
      </c>
      <c r="AI3943">
        <v>3</v>
      </c>
      <c r="AJ3943">
        <v>1</v>
      </c>
      <c r="AK3943">
        <v>0</v>
      </c>
      <c r="AL3943" t="s">
        <v>7437</v>
      </c>
      <c r="AM3943">
        <v>47.063563000000002</v>
      </c>
      <c r="AN3943" t="s">
        <v>7438</v>
      </c>
      <c r="AO3943">
        <v>-124.021289</v>
      </c>
      <c r="AP3943">
        <v>100</v>
      </c>
      <c r="AQ3943">
        <v>2000</v>
      </c>
      <c r="AR3943" t="s">
        <v>118</v>
      </c>
      <c r="AS3943">
        <v>-56</v>
      </c>
      <c r="AT3943">
        <v>49</v>
      </c>
      <c r="AU3943">
        <v>-1664</v>
      </c>
      <c r="BC3943">
        <v>1200</v>
      </c>
      <c r="BD3943">
        <v>1</v>
      </c>
      <c r="BE3943" t="str">
        <f t="shared" si="185"/>
        <v xml:space="preserve">N215T   </v>
      </c>
      <c r="BF3943">
        <v>1</v>
      </c>
      <c r="BH3943">
        <v>0</v>
      </c>
      <c r="BI3943">
        <v>0</v>
      </c>
      <c r="BJ3943">
        <v>0</v>
      </c>
      <c r="BK3943">
        <v>2375</v>
      </c>
      <c r="BL3943">
        <v>375</v>
      </c>
      <c r="BM3943" t="s">
        <v>119</v>
      </c>
      <c r="BN3943">
        <v>1</v>
      </c>
      <c r="BO3943">
        <v>1</v>
      </c>
      <c r="BP3943">
        <v>1</v>
      </c>
      <c r="BQ3943">
        <v>0</v>
      </c>
      <c r="BT3943">
        <v>0</v>
      </c>
      <c r="BU3943">
        <v>0</v>
      </c>
      <c r="BV3943">
        <v>0</v>
      </c>
      <c r="CC3943" t="str">
        <f>"19:40:49.555"</f>
        <v>19:40:49.555</v>
      </c>
      <c r="CD3943" t="str">
        <f>"557933034"</f>
        <v>557933034</v>
      </c>
      <c r="CQ3943">
        <v>0</v>
      </c>
      <c r="CR3943">
        <v>2</v>
      </c>
      <c r="CS3943">
        <v>0</v>
      </c>
      <c r="CT3943">
        <v>2</v>
      </c>
      <c r="CU3943">
        <v>0</v>
      </c>
      <c r="CV3943">
        <v>6</v>
      </c>
      <c r="CW3943" t="s">
        <v>120</v>
      </c>
      <c r="CX3943">
        <v>257</v>
      </c>
      <c r="CY3943">
        <v>0</v>
      </c>
      <c r="CZ3943" t="s">
        <v>615</v>
      </c>
      <c r="DA3943" t="s">
        <v>616</v>
      </c>
      <c r="DD3943">
        <v>16621740</v>
      </c>
      <c r="DE3943" t="s">
        <v>123</v>
      </c>
    </row>
    <row r="3944" spans="1:109" x14ac:dyDescent="0.3">
      <c r="A3944" t="str">
        <f>"19:40:50.875"</f>
        <v>19:40:50.875</v>
      </c>
      <c r="B3944" t="s">
        <v>110</v>
      </c>
      <c r="C3944" t="str">
        <f t="shared" si="186"/>
        <v>ffdfd3c0</v>
      </c>
      <c r="D3944" t="s">
        <v>111</v>
      </c>
      <c r="E3944">
        <v>18</v>
      </c>
      <c r="F3944">
        <v>1018</v>
      </c>
      <c r="G3944" t="s">
        <v>112</v>
      </c>
      <c r="J3944" t="s">
        <v>113</v>
      </c>
      <c r="K3944">
        <v>0</v>
      </c>
      <c r="L3944">
        <v>3</v>
      </c>
      <c r="M3944">
        <v>0</v>
      </c>
      <c r="N3944">
        <v>2</v>
      </c>
      <c r="O3944">
        <v>1</v>
      </c>
      <c r="P3944">
        <v>0</v>
      </c>
      <c r="Q3944">
        <v>0</v>
      </c>
      <c r="R3944" t="s">
        <v>114</v>
      </c>
      <c r="S3944" t="str">
        <f>"19:40:50.617"</f>
        <v>19:40:50.617</v>
      </c>
      <c r="T3944" t="str">
        <f>"19:40:50.414"</f>
        <v>19:40:50.414</v>
      </c>
      <c r="U3944" t="str">
        <f t="shared" si="184"/>
        <v>a1cdbe</v>
      </c>
      <c r="V3944">
        <v>0</v>
      </c>
      <c r="W3944">
        <v>0</v>
      </c>
      <c r="X3944">
        <v>2</v>
      </c>
      <c r="Y3944">
        <v>0</v>
      </c>
      <c r="Z3944">
        <v>0</v>
      </c>
      <c r="AB3944">
        <v>0</v>
      </c>
      <c r="AC3944">
        <v>9</v>
      </c>
      <c r="AD3944">
        <v>3</v>
      </c>
      <c r="AE3944">
        <v>0</v>
      </c>
      <c r="AF3944">
        <v>9</v>
      </c>
      <c r="AG3944" t="s">
        <v>158</v>
      </c>
      <c r="AH3944">
        <v>0</v>
      </c>
      <c r="AI3944">
        <v>3</v>
      </c>
      <c r="AJ3944">
        <v>1</v>
      </c>
      <c r="AK3944">
        <v>0</v>
      </c>
      <c r="AL3944" t="s">
        <v>7439</v>
      </c>
      <c r="AM3944">
        <v>47.063799000000003</v>
      </c>
      <c r="AN3944" t="s">
        <v>7440</v>
      </c>
      <c r="AO3944">
        <v>-124.02163299999999</v>
      </c>
      <c r="AP3944">
        <v>100</v>
      </c>
      <c r="AQ3944">
        <v>1900</v>
      </c>
      <c r="AR3944" t="s">
        <v>118</v>
      </c>
      <c r="AS3944">
        <v>-52</v>
      </c>
      <c r="AT3944">
        <v>54</v>
      </c>
      <c r="AU3944">
        <v>-1856</v>
      </c>
      <c r="BC3944">
        <v>1200</v>
      </c>
      <c r="BD3944">
        <v>1</v>
      </c>
      <c r="BE3944" t="str">
        <f t="shared" si="185"/>
        <v xml:space="preserve">N215T   </v>
      </c>
      <c r="BF3944">
        <v>1</v>
      </c>
      <c r="BH3944">
        <v>0</v>
      </c>
      <c r="BI3944">
        <v>0</v>
      </c>
      <c r="BJ3944">
        <v>0</v>
      </c>
      <c r="BK3944">
        <v>2425</v>
      </c>
      <c r="BL3944">
        <v>525</v>
      </c>
      <c r="BM3944" t="s">
        <v>119</v>
      </c>
      <c r="BN3944">
        <v>1</v>
      </c>
      <c r="BO3944">
        <v>1</v>
      </c>
      <c r="BP3944">
        <v>1</v>
      </c>
      <c r="BQ3944">
        <v>0</v>
      </c>
      <c r="BT3944">
        <v>0</v>
      </c>
      <c r="BU3944">
        <v>0</v>
      </c>
      <c r="BV3944">
        <v>0</v>
      </c>
      <c r="CC3944" t="str">
        <f>"19:40:50.625"</f>
        <v>19:40:50.625</v>
      </c>
      <c r="CD3944" t="str">
        <f>"622828201"</f>
        <v>622828201</v>
      </c>
      <c r="CQ3944">
        <v>0</v>
      </c>
      <c r="CR3944">
        <v>2</v>
      </c>
      <c r="CS3944">
        <v>0</v>
      </c>
      <c r="CT3944">
        <v>2</v>
      </c>
      <c r="CU3944">
        <v>0</v>
      </c>
      <c r="CV3944">
        <v>6</v>
      </c>
      <c r="CW3944" t="s">
        <v>120</v>
      </c>
      <c r="CX3944">
        <v>257</v>
      </c>
      <c r="CY3944">
        <v>0</v>
      </c>
      <c r="CZ3944" t="s">
        <v>615</v>
      </c>
      <c r="DA3944" t="s">
        <v>616</v>
      </c>
      <c r="DD3944">
        <v>16622093</v>
      </c>
      <c r="DE3944" t="s">
        <v>123</v>
      </c>
    </row>
    <row r="3945" spans="1:109" x14ac:dyDescent="0.3">
      <c r="A3945" t="str">
        <f>"19:40:51.930"</f>
        <v>19:40:51.930</v>
      </c>
      <c r="B3945" t="s">
        <v>110</v>
      </c>
      <c r="C3945" t="str">
        <f t="shared" si="186"/>
        <v>ffdfd3c0</v>
      </c>
      <c r="D3945" t="s">
        <v>111</v>
      </c>
      <c r="E3945">
        <v>18</v>
      </c>
      <c r="F3945">
        <v>1018</v>
      </c>
      <c r="G3945" t="s">
        <v>112</v>
      </c>
      <c r="J3945" t="s">
        <v>113</v>
      </c>
      <c r="K3945">
        <v>0</v>
      </c>
      <c r="L3945">
        <v>3</v>
      </c>
      <c r="M3945">
        <v>0</v>
      </c>
      <c r="N3945">
        <v>2</v>
      </c>
      <c r="O3945">
        <v>1</v>
      </c>
      <c r="P3945">
        <v>0</v>
      </c>
      <c r="Q3945">
        <v>0</v>
      </c>
      <c r="R3945" t="s">
        <v>114</v>
      </c>
      <c r="S3945" t="str">
        <f>"19:40:51.695"</f>
        <v>19:40:51.695</v>
      </c>
      <c r="T3945" t="str">
        <f>"19:40:51.195"</f>
        <v>19:40:51.195</v>
      </c>
      <c r="U3945" t="str">
        <f t="shared" si="184"/>
        <v>a1cdbe</v>
      </c>
      <c r="V3945">
        <v>0</v>
      </c>
      <c r="W3945">
        <v>0</v>
      </c>
      <c r="X3945">
        <v>2</v>
      </c>
      <c r="Y3945">
        <v>0</v>
      </c>
      <c r="Z3945">
        <v>0</v>
      </c>
      <c r="AB3945">
        <v>0</v>
      </c>
      <c r="AC3945">
        <v>9</v>
      </c>
      <c r="AD3945">
        <v>3</v>
      </c>
      <c r="AE3945">
        <v>0</v>
      </c>
      <c r="AF3945">
        <v>9</v>
      </c>
      <c r="AG3945" t="s">
        <v>158</v>
      </c>
      <c r="AH3945">
        <v>0</v>
      </c>
      <c r="AI3945">
        <v>3</v>
      </c>
      <c r="AJ3945">
        <v>1</v>
      </c>
      <c r="AK3945">
        <v>0</v>
      </c>
      <c r="AL3945" t="s">
        <v>7441</v>
      </c>
      <c r="AM3945">
        <v>47.064098999999999</v>
      </c>
      <c r="AN3945" t="s">
        <v>7442</v>
      </c>
      <c r="AO3945">
        <v>-124.021976</v>
      </c>
      <c r="AP3945">
        <v>100</v>
      </c>
      <c r="AQ3945">
        <v>1900</v>
      </c>
      <c r="AR3945" t="s">
        <v>118</v>
      </c>
      <c r="AS3945">
        <v>-48</v>
      </c>
      <c r="AT3945">
        <v>59</v>
      </c>
      <c r="AU3945">
        <v>-1984</v>
      </c>
      <c r="BC3945">
        <v>1200</v>
      </c>
      <c r="BD3945">
        <v>1</v>
      </c>
      <c r="BE3945" t="str">
        <f t="shared" si="185"/>
        <v xml:space="preserve">N215T   </v>
      </c>
      <c r="BF3945">
        <v>1</v>
      </c>
      <c r="BH3945">
        <v>0</v>
      </c>
      <c r="BI3945">
        <v>0</v>
      </c>
      <c r="BJ3945">
        <v>0</v>
      </c>
      <c r="BK3945">
        <v>2300</v>
      </c>
      <c r="BL3945">
        <v>400</v>
      </c>
      <c r="BM3945" t="s">
        <v>119</v>
      </c>
      <c r="BN3945">
        <v>1</v>
      </c>
      <c r="BO3945">
        <v>1</v>
      </c>
      <c r="BP3945">
        <v>1</v>
      </c>
      <c r="BQ3945">
        <v>0</v>
      </c>
      <c r="BT3945">
        <v>0</v>
      </c>
      <c r="BU3945">
        <v>0</v>
      </c>
      <c r="BV3945">
        <v>0</v>
      </c>
      <c r="CC3945" t="str">
        <f>"19:40:51.703"</f>
        <v>19:40:51.703</v>
      </c>
      <c r="CD3945" t="str">
        <f>"702721900"</f>
        <v>702721900</v>
      </c>
      <c r="CQ3945">
        <v>0</v>
      </c>
      <c r="CR3945">
        <v>2</v>
      </c>
      <c r="CS3945">
        <v>0</v>
      </c>
      <c r="CT3945">
        <v>2</v>
      </c>
      <c r="CU3945">
        <v>0</v>
      </c>
      <c r="CV3945">
        <v>6</v>
      </c>
      <c r="CW3945" t="s">
        <v>120</v>
      </c>
      <c r="CX3945">
        <v>257</v>
      </c>
      <c r="CY3945">
        <v>0</v>
      </c>
      <c r="CZ3945" t="s">
        <v>615</v>
      </c>
      <c r="DA3945" t="s">
        <v>616</v>
      </c>
      <c r="DD3945">
        <v>16622451</v>
      </c>
      <c r="DE3945" t="s">
        <v>123</v>
      </c>
    </row>
    <row r="3946" spans="1:109" x14ac:dyDescent="0.3">
      <c r="A3946" t="str">
        <f>"19:40:53.086"</f>
        <v>19:40:53.086</v>
      </c>
      <c r="B3946" t="s">
        <v>110</v>
      </c>
      <c r="C3946" t="str">
        <f t="shared" si="186"/>
        <v>ffdfd3c0</v>
      </c>
      <c r="D3946" t="s">
        <v>111</v>
      </c>
      <c r="E3946">
        <v>18</v>
      </c>
      <c r="F3946">
        <v>1018</v>
      </c>
      <c r="G3946" t="s">
        <v>112</v>
      </c>
      <c r="J3946" t="s">
        <v>113</v>
      </c>
      <c r="K3946">
        <v>0</v>
      </c>
      <c r="L3946">
        <v>3</v>
      </c>
      <c r="M3946">
        <v>0</v>
      </c>
      <c r="N3946">
        <v>2</v>
      </c>
      <c r="O3946">
        <v>1</v>
      </c>
      <c r="P3946">
        <v>0</v>
      </c>
      <c r="Q3946">
        <v>0</v>
      </c>
      <c r="R3946" t="s">
        <v>114</v>
      </c>
      <c r="S3946" t="str">
        <f>"19:40:52.820"</f>
        <v>19:40:52.820</v>
      </c>
      <c r="T3946" t="str">
        <f>"19:40:52.820"</f>
        <v>19:40:52.820</v>
      </c>
      <c r="U3946" t="str">
        <f t="shared" si="184"/>
        <v>a1cdbe</v>
      </c>
      <c r="V3946">
        <v>0</v>
      </c>
      <c r="W3946">
        <v>0</v>
      </c>
      <c r="X3946">
        <v>2</v>
      </c>
      <c r="Y3946">
        <v>0</v>
      </c>
      <c r="Z3946">
        <v>0</v>
      </c>
      <c r="AB3946">
        <v>0</v>
      </c>
      <c r="AC3946">
        <v>9</v>
      </c>
      <c r="AD3946">
        <v>3</v>
      </c>
      <c r="AE3946">
        <v>0</v>
      </c>
      <c r="AF3946">
        <v>9</v>
      </c>
      <c r="AG3946" t="s">
        <v>158</v>
      </c>
      <c r="AH3946">
        <v>0</v>
      </c>
      <c r="AI3946">
        <v>3</v>
      </c>
      <c r="AJ3946">
        <v>1</v>
      </c>
      <c r="AK3946">
        <v>0</v>
      </c>
      <c r="AL3946" t="s">
        <v>7443</v>
      </c>
      <c r="AM3946">
        <v>47.064464000000001</v>
      </c>
      <c r="AN3946" t="s">
        <v>7444</v>
      </c>
      <c r="AO3946">
        <v>-124.022255</v>
      </c>
      <c r="AP3946">
        <v>100</v>
      </c>
      <c r="AQ3946">
        <v>1900</v>
      </c>
      <c r="AR3946" t="s">
        <v>118</v>
      </c>
      <c r="AS3946">
        <v>-37</v>
      </c>
      <c r="AT3946">
        <v>68</v>
      </c>
      <c r="AU3946">
        <v>-2176</v>
      </c>
      <c r="BC3946">
        <v>1200</v>
      </c>
      <c r="BD3946">
        <v>1</v>
      </c>
      <c r="BE3946" t="str">
        <f t="shared" si="185"/>
        <v xml:space="preserve">N215T   </v>
      </c>
      <c r="BF3946">
        <v>1</v>
      </c>
      <c r="BH3946">
        <v>0</v>
      </c>
      <c r="BI3946">
        <v>0</v>
      </c>
      <c r="BJ3946">
        <v>0</v>
      </c>
      <c r="BK3946">
        <v>2250</v>
      </c>
      <c r="BL3946">
        <v>350</v>
      </c>
      <c r="BM3946" t="s">
        <v>119</v>
      </c>
      <c r="BN3946">
        <v>1</v>
      </c>
      <c r="BO3946">
        <v>1</v>
      </c>
      <c r="BP3946">
        <v>1</v>
      </c>
      <c r="BQ3946">
        <v>0</v>
      </c>
      <c r="BT3946">
        <v>0</v>
      </c>
      <c r="BU3946">
        <v>0</v>
      </c>
      <c r="BV3946">
        <v>0</v>
      </c>
      <c r="CC3946" t="str">
        <f>"19:40:52.828"</f>
        <v>19:40:52.828</v>
      </c>
      <c r="CD3946" t="str">
        <f>"827611168"</f>
        <v>827611168</v>
      </c>
      <c r="CQ3946">
        <v>0</v>
      </c>
      <c r="CR3946">
        <v>2</v>
      </c>
      <c r="CS3946">
        <v>0</v>
      </c>
      <c r="CT3946">
        <v>2</v>
      </c>
      <c r="CU3946">
        <v>0</v>
      </c>
      <c r="CV3946">
        <v>6</v>
      </c>
      <c r="CW3946" t="s">
        <v>120</v>
      </c>
      <c r="CX3946">
        <v>257</v>
      </c>
      <c r="CY3946">
        <v>0</v>
      </c>
      <c r="CZ3946" t="s">
        <v>615</v>
      </c>
      <c r="DA3946" t="s">
        <v>616</v>
      </c>
      <c r="DD3946">
        <v>16622802</v>
      </c>
      <c r="DE3946" t="s">
        <v>123</v>
      </c>
    </row>
    <row r="3947" spans="1:109" x14ac:dyDescent="0.3">
      <c r="A3947" t="str">
        <f>"19:40:54.047"</f>
        <v>19:40:54.047</v>
      </c>
      <c r="B3947" t="s">
        <v>110</v>
      </c>
      <c r="C3947" t="str">
        <f t="shared" si="186"/>
        <v>ffdfd3c0</v>
      </c>
      <c r="D3947" t="s">
        <v>111</v>
      </c>
      <c r="E3947">
        <v>18</v>
      </c>
      <c r="F3947">
        <v>1018</v>
      </c>
      <c r="G3947" t="s">
        <v>112</v>
      </c>
      <c r="J3947" t="s">
        <v>113</v>
      </c>
      <c r="K3947">
        <v>0</v>
      </c>
      <c r="L3947">
        <v>3</v>
      </c>
      <c r="M3947">
        <v>0</v>
      </c>
      <c r="N3947">
        <v>2</v>
      </c>
      <c r="O3947">
        <v>1</v>
      </c>
      <c r="P3947">
        <v>0</v>
      </c>
      <c r="Q3947">
        <v>0</v>
      </c>
      <c r="R3947" t="s">
        <v>114</v>
      </c>
      <c r="S3947" t="str">
        <f>"19:40:53.781"</f>
        <v>19:40:53.781</v>
      </c>
      <c r="T3947" t="str">
        <f>"19:40:53.383"</f>
        <v>19:40:53.383</v>
      </c>
      <c r="U3947" t="str">
        <f t="shared" si="184"/>
        <v>a1cdbe</v>
      </c>
      <c r="V3947">
        <v>0</v>
      </c>
      <c r="W3947">
        <v>0</v>
      </c>
      <c r="X3947">
        <v>2</v>
      </c>
      <c r="Y3947">
        <v>0</v>
      </c>
      <c r="Z3947">
        <v>0</v>
      </c>
      <c r="AB3947">
        <v>0</v>
      </c>
      <c r="AC3947">
        <v>9</v>
      </c>
      <c r="AD3947">
        <v>3</v>
      </c>
      <c r="AE3947">
        <v>0</v>
      </c>
      <c r="AF3947">
        <v>9</v>
      </c>
      <c r="AG3947" t="s">
        <v>158</v>
      </c>
      <c r="AH3947">
        <v>0</v>
      </c>
      <c r="AI3947">
        <v>3</v>
      </c>
      <c r="AJ3947">
        <v>1</v>
      </c>
      <c r="AK3947">
        <v>0</v>
      </c>
      <c r="AL3947" t="s">
        <v>7445</v>
      </c>
      <c r="AM3947">
        <v>47.064785999999998</v>
      </c>
      <c r="AN3947" t="s">
        <v>7446</v>
      </c>
      <c r="AO3947">
        <v>-124.02247</v>
      </c>
      <c r="AP3947">
        <v>100</v>
      </c>
      <c r="AQ3947">
        <v>1800</v>
      </c>
      <c r="AR3947" t="s">
        <v>118</v>
      </c>
      <c r="AS3947">
        <v>-34</v>
      </c>
      <c r="AT3947">
        <v>70</v>
      </c>
      <c r="AU3947">
        <v>-2176</v>
      </c>
      <c r="BC3947">
        <v>1200</v>
      </c>
      <c r="BD3947">
        <v>1</v>
      </c>
      <c r="BE3947" t="str">
        <f t="shared" si="185"/>
        <v xml:space="preserve">N215T   </v>
      </c>
      <c r="BF3947">
        <v>1</v>
      </c>
      <c r="BH3947">
        <v>0</v>
      </c>
      <c r="BI3947">
        <v>0</v>
      </c>
      <c r="BJ3947">
        <v>0</v>
      </c>
      <c r="BK3947">
        <v>2225</v>
      </c>
      <c r="BL3947">
        <v>425</v>
      </c>
      <c r="BM3947" t="s">
        <v>119</v>
      </c>
      <c r="BN3947">
        <v>1</v>
      </c>
      <c r="BO3947">
        <v>1</v>
      </c>
      <c r="BP3947">
        <v>1</v>
      </c>
      <c r="BQ3947">
        <v>0</v>
      </c>
      <c r="BT3947">
        <v>0</v>
      </c>
      <c r="BU3947">
        <v>0</v>
      </c>
      <c r="BV3947">
        <v>0</v>
      </c>
      <c r="CC3947" t="str">
        <f>"19:40:53.789"</f>
        <v>19:40:53.789</v>
      </c>
      <c r="CD3947" t="str">
        <f>"787516695"</f>
        <v>787516695</v>
      </c>
      <c r="CQ3947">
        <v>0</v>
      </c>
      <c r="CR3947">
        <v>2</v>
      </c>
      <c r="CS3947">
        <v>0</v>
      </c>
      <c r="CT3947">
        <v>2</v>
      </c>
      <c r="CU3947">
        <v>0</v>
      </c>
      <c r="CV3947">
        <v>6</v>
      </c>
      <c r="CW3947" t="s">
        <v>120</v>
      </c>
      <c r="CX3947">
        <v>257</v>
      </c>
      <c r="CY3947">
        <v>0</v>
      </c>
      <c r="CZ3947" t="s">
        <v>615</v>
      </c>
      <c r="DA3947" t="s">
        <v>616</v>
      </c>
      <c r="DD3947">
        <v>16623143</v>
      </c>
      <c r="DE3947" t="s">
        <v>123</v>
      </c>
    </row>
    <row r="3948" spans="1:109" x14ac:dyDescent="0.3">
      <c r="A3948" t="str">
        <f>"19:40:55.102"</f>
        <v>19:40:55.102</v>
      </c>
      <c r="B3948" t="s">
        <v>110</v>
      </c>
      <c r="C3948" t="str">
        <f t="shared" si="186"/>
        <v>ffdfd3c0</v>
      </c>
      <c r="D3948" t="s">
        <v>111</v>
      </c>
      <c r="E3948">
        <v>18</v>
      </c>
      <c r="F3948">
        <v>1018</v>
      </c>
      <c r="G3948" t="s">
        <v>112</v>
      </c>
      <c r="J3948" t="s">
        <v>113</v>
      </c>
      <c r="K3948">
        <v>0</v>
      </c>
      <c r="L3948">
        <v>3</v>
      </c>
      <c r="M3948">
        <v>0</v>
      </c>
      <c r="N3948">
        <v>2</v>
      </c>
      <c r="O3948">
        <v>1</v>
      </c>
      <c r="P3948">
        <v>0</v>
      </c>
      <c r="Q3948">
        <v>0</v>
      </c>
      <c r="R3948" t="s">
        <v>114</v>
      </c>
      <c r="S3948" t="str">
        <f>"19:40:54.820"</f>
        <v>19:40:54.820</v>
      </c>
      <c r="T3948" t="str">
        <f>"19:40:54.719"</f>
        <v>19:40:54.719</v>
      </c>
      <c r="U3948" t="str">
        <f t="shared" si="184"/>
        <v>a1cdbe</v>
      </c>
      <c r="V3948">
        <v>0</v>
      </c>
      <c r="W3948">
        <v>0</v>
      </c>
      <c r="X3948">
        <v>2</v>
      </c>
      <c r="Y3948">
        <v>0</v>
      </c>
      <c r="Z3948">
        <v>0</v>
      </c>
      <c r="AB3948">
        <v>0</v>
      </c>
      <c r="AC3948">
        <v>9</v>
      </c>
      <c r="AD3948">
        <v>3</v>
      </c>
      <c r="AE3948">
        <v>0</v>
      </c>
      <c r="AF3948">
        <v>9</v>
      </c>
      <c r="AG3948" t="s">
        <v>158</v>
      </c>
      <c r="AH3948">
        <v>0</v>
      </c>
      <c r="AI3948">
        <v>3</v>
      </c>
      <c r="AJ3948">
        <v>1</v>
      </c>
      <c r="AK3948">
        <v>0</v>
      </c>
      <c r="AL3948" t="s">
        <v>7447</v>
      </c>
      <c r="AM3948">
        <v>47.065151</v>
      </c>
      <c r="AN3948" t="s">
        <v>7448</v>
      </c>
      <c r="AO3948">
        <v>-124.02266299999999</v>
      </c>
      <c r="AP3948">
        <v>100</v>
      </c>
      <c r="AQ3948">
        <v>1800</v>
      </c>
      <c r="AR3948" t="s">
        <v>118</v>
      </c>
      <c r="AS3948">
        <v>-23</v>
      </c>
      <c r="AT3948">
        <v>77</v>
      </c>
      <c r="AU3948">
        <v>-2176</v>
      </c>
      <c r="BC3948">
        <v>1200</v>
      </c>
      <c r="BD3948">
        <v>1</v>
      </c>
      <c r="BE3948" t="str">
        <f t="shared" si="185"/>
        <v xml:space="preserve">N215T   </v>
      </c>
      <c r="BF3948">
        <v>1</v>
      </c>
      <c r="BH3948">
        <v>0</v>
      </c>
      <c r="BI3948">
        <v>0</v>
      </c>
      <c r="BJ3948">
        <v>0</v>
      </c>
      <c r="BK3948">
        <v>2175</v>
      </c>
      <c r="BL3948">
        <v>375</v>
      </c>
      <c r="BM3948" t="s">
        <v>119</v>
      </c>
      <c r="BN3948">
        <v>1</v>
      </c>
      <c r="BO3948">
        <v>1</v>
      </c>
      <c r="BP3948">
        <v>1</v>
      </c>
      <c r="BQ3948">
        <v>0</v>
      </c>
      <c r="BT3948">
        <v>0</v>
      </c>
      <c r="BU3948">
        <v>0</v>
      </c>
      <c r="BV3948">
        <v>0</v>
      </c>
      <c r="CC3948" t="str">
        <f>"19:40:54.820"</f>
        <v>19:40:54.820</v>
      </c>
      <c r="CD3948" t="str">
        <f>"822414845"</f>
        <v>822414845</v>
      </c>
      <c r="CQ3948">
        <v>0</v>
      </c>
      <c r="CR3948">
        <v>2</v>
      </c>
      <c r="CS3948">
        <v>0</v>
      </c>
      <c r="CT3948">
        <v>2</v>
      </c>
      <c r="CU3948">
        <v>0</v>
      </c>
      <c r="CV3948">
        <v>6</v>
      </c>
      <c r="CW3948" t="s">
        <v>120</v>
      </c>
      <c r="CX3948">
        <v>257</v>
      </c>
      <c r="CY3948">
        <v>0</v>
      </c>
      <c r="CZ3948" t="s">
        <v>615</v>
      </c>
      <c r="DA3948" t="s">
        <v>616</v>
      </c>
      <c r="DD3948">
        <v>16623482</v>
      </c>
      <c r="DE3948" t="s">
        <v>123</v>
      </c>
    </row>
    <row r="3949" spans="1:109" x14ac:dyDescent="0.3">
      <c r="A3949" t="str">
        <f>"19:40:56.000"</f>
        <v>19:40:56.000</v>
      </c>
      <c r="B3949" t="s">
        <v>110</v>
      </c>
      <c r="C3949" t="str">
        <f t="shared" si="186"/>
        <v>ffdfd3c0</v>
      </c>
      <c r="D3949" t="s">
        <v>111</v>
      </c>
      <c r="E3949">
        <v>18</v>
      </c>
      <c r="F3949">
        <v>1018</v>
      </c>
      <c r="G3949" t="s">
        <v>112</v>
      </c>
      <c r="J3949" t="s">
        <v>113</v>
      </c>
      <c r="K3949">
        <v>0</v>
      </c>
      <c r="L3949">
        <v>3</v>
      </c>
      <c r="M3949">
        <v>0</v>
      </c>
      <c r="N3949">
        <v>2</v>
      </c>
      <c r="O3949">
        <v>1</v>
      </c>
      <c r="P3949">
        <v>0</v>
      </c>
      <c r="Q3949">
        <v>0</v>
      </c>
      <c r="R3949" t="s">
        <v>114</v>
      </c>
      <c r="S3949" t="str">
        <f>"19:40:55.750"</f>
        <v>19:40:55.750</v>
      </c>
      <c r="T3949" t="str">
        <f>"19:40:55.750"</f>
        <v>19:40:55.750</v>
      </c>
      <c r="U3949" t="str">
        <f t="shared" si="184"/>
        <v>a1cdbe</v>
      </c>
      <c r="V3949">
        <v>0</v>
      </c>
      <c r="W3949">
        <v>0</v>
      </c>
      <c r="X3949">
        <v>2</v>
      </c>
      <c r="Y3949">
        <v>0</v>
      </c>
      <c r="Z3949">
        <v>0</v>
      </c>
      <c r="AB3949">
        <v>0</v>
      </c>
      <c r="AC3949">
        <v>9</v>
      </c>
      <c r="AD3949">
        <v>3</v>
      </c>
      <c r="AE3949">
        <v>0</v>
      </c>
      <c r="AF3949">
        <v>9</v>
      </c>
      <c r="AG3949" t="s">
        <v>158</v>
      </c>
      <c r="AH3949">
        <v>0</v>
      </c>
      <c r="AI3949">
        <v>3</v>
      </c>
      <c r="AJ3949">
        <v>1</v>
      </c>
      <c r="AK3949">
        <v>0</v>
      </c>
      <c r="AL3949" t="s">
        <v>7449</v>
      </c>
      <c r="AM3949">
        <v>47.065516000000002</v>
      </c>
      <c r="AN3949" t="s">
        <v>7450</v>
      </c>
      <c r="AO3949">
        <v>-124.02274800000001</v>
      </c>
      <c r="AP3949">
        <v>100</v>
      </c>
      <c r="AQ3949">
        <v>1800</v>
      </c>
      <c r="AR3949" t="s">
        <v>118</v>
      </c>
      <c r="AS3949">
        <v>-13</v>
      </c>
      <c r="AT3949">
        <v>80</v>
      </c>
      <c r="AU3949">
        <v>-1920</v>
      </c>
      <c r="BC3949">
        <v>1200</v>
      </c>
      <c r="BD3949">
        <v>1</v>
      </c>
      <c r="BE3949" t="str">
        <f t="shared" si="185"/>
        <v xml:space="preserve">N215T   </v>
      </c>
      <c r="BF3949">
        <v>1</v>
      </c>
      <c r="BH3949">
        <v>0</v>
      </c>
      <c r="BI3949">
        <v>0</v>
      </c>
      <c r="BJ3949">
        <v>0</v>
      </c>
      <c r="BK3949">
        <v>2150</v>
      </c>
      <c r="BL3949">
        <v>350</v>
      </c>
      <c r="BM3949" t="s">
        <v>119</v>
      </c>
      <c r="BN3949">
        <v>1</v>
      </c>
      <c r="BO3949">
        <v>1</v>
      </c>
      <c r="BP3949">
        <v>1</v>
      </c>
      <c r="BQ3949">
        <v>0</v>
      </c>
      <c r="BT3949">
        <v>0</v>
      </c>
      <c r="BU3949">
        <v>0</v>
      </c>
      <c r="BV3949">
        <v>0</v>
      </c>
      <c r="CC3949" t="str">
        <f>"19:40:55.750"</f>
        <v>19:40:55.750</v>
      </c>
      <c r="CD3949" t="str">
        <f>"752323303"</f>
        <v>752323303</v>
      </c>
      <c r="CQ3949">
        <v>0</v>
      </c>
      <c r="CR3949">
        <v>2</v>
      </c>
      <c r="CS3949">
        <v>0</v>
      </c>
      <c r="CT3949">
        <v>2</v>
      </c>
      <c r="CU3949">
        <v>0</v>
      </c>
      <c r="CV3949">
        <v>5</v>
      </c>
      <c r="CW3949" t="s">
        <v>120</v>
      </c>
      <c r="CX3949">
        <v>257</v>
      </c>
      <c r="CY3949">
        <v>0</v>
      </c>
      <c r="CZ3949" t="s">
        <v>615</v>
      </c>
      <c r="DA3949" t="s">
        <v>616</v>
      </c>
      <c r="DD3949">
        <v>16623816</v>
      </c>
      <c r="DE3949" t="s">
        <v>123</v>
      </c>
    </row>
    <row r="3950" spans="1:109" x14ac:dyDescent="0.3">
      <c r="A3950" t="str">
        <f>"19:40:57.156"</f>
        <v>19:40:57.156</v>
      </c>
      <c r="B3950" t="s">
        <v>110</v>
      </c>
      <c r="C3950" t="str">
        <f t="shared" si="186"/>
        <v>ffdfd3c0</v>
      </c>
      <c r="D3950" t="s">
        <v>111</v>
      </c>
      <c r="E3950">
        <v>18</v>
      </c>
      <c r="F3950">
        <v>1018</v>
      </c>
      <c r="G3950" t="s">
        <v>112</v>
      </c>
      <c r="J3950" t="s">
        <v>113</v>
      </c>
      <c r="K3950">
        <v>0</v>
      </c>
      <c r="L3950">
        <v>3</v>
      </c>
      <c r="M3950">
        <v>0</v>
      </c>
      <c r="N3950">
        <v>2</v>
      </c>
      <c r="O3950">
        <v>1</v>
      </c>
      <c r="P3950">
        <v>0</v>
      </c>
      <c r="Q3950">
        <v>0</v>
      </c>
      <c r="R3950" t="s">
        <v>114</v>
      </c>
      <c r="S3950" t="str">
        <f>"19:40:56.891"</f>
        <v>19:40:56.891</v>
      </c>
      <c r="T3950" t="str">
        <f>"19:40:56.688"</f>
        <v>19:40:56.688</v>
      </c>
      <c r="U3950" t="str">
        <f t="shared" si="184"/>
        <v>a1cdbe</v>
      </c>
      <c r="V3950">
        <v>0</v>
      </c>
      <c r="W3950">
        <v>0</v>
      </c>
      <c r="X3950">
        <v>2</v>
      </c>
      <c r="Y3950">
        <v>0</v>
      </c>
      <c r="Z3950">
        <v>0</v>
      </c>
      <c r="AB3950">
        <v>0</v>
      </c>
      <c r="AC3950">
        <v>9</v>
      </c>
      <c r="AD3950">
        <v>3</v>
      </c>
      <c r="AE3950">
        <v>0</v>
      </c>
      <c r="AF3950">
        <v>9</v>
      </c>
      <c r="AG3950" t="s">
        <v>158</v>
      </c>
      <c r="AH3950">
        <v>0</v>
      </c>
      <c r="AI3950">
        <v>3</v>
      </c>
      <c r="AJ3950">
        <v>1</v>
      </c>
      <c r="AK3950">
        <v>0</v>
      </c>
      <c r="AL3950" t="s">
        <v>7451</v>
      </c>
      <c r="AM3950">
        <v>47.065922999999998</v>
      </c>
      <c r="AN3950" t="s">
        <v>7452</v>
      </c>
      <c r="AO3950">
        <v>-124.022727</v>
      </c>
      <c r="AP3950">
        <v>100</v>
      </c>
      <c r="AQ3950">
        <v>1700</v>
      </c>
      <c r="AR3950" t="s">
        <v>118</v>
      </c>
      <c r="AS3950">
        <v>-3</v>
      </c>
      <c r="AT3950">
        <v>81</v>
      </c>
      <c r="AU3950">
        <v>-1792</v>
      </c>
      <c r="BC3950">
        <v>1200</v>
      </c>
      <c r="BD3950">
        <v>1</v>
      </c>
      <c r="BE3950" t="str">
        <f t="shared" si="185"/>
        <v xml:space="preserve">N215T   </v>
      </c>
      <c r="BF3950">
        <v>1</v>
      </c>
      <c r="BH3950">
        <v>0</v>
      </c>
      <c r="BI3950">
        <v>0</v>
      </c>
      <c r="BJ3950">
        <v>0</v>
      </c>
      <c r="BK3950">
        <v>2125</v>
      </c>
      <c r="BL3950">
        <v>425</v>
      </c>
      <c r="BM3950" t="s">
        <v>119</v>
      </c>
      <c r="BN3950">
        <v>1</v>
      </c>
      <c r="BO3950">
        <v>1</v>
      </c>
      <c r="BP3950">
        <v>1</v>
      </c>
      <c r="BQ3950">
        <v>0</v>
      </c>
      <c r="BT3950">
        <v>0</v>
      </c>
      <c r="BU3950">
        <v>0</v>
      </c>
      <c r="BV3950">
        <v>0</v>
      </c>
      <c r="CC3950" t="str">
        <f>"19:40:56.891"</f>
        <v>19:40:56.891</v>
      </c>
      <c r="CD3950" t="str">
        <f>"892211119"</f>
        <v>892211119</v>
      </c>
      <c r="CQ3950">
        <v>0</v>
      </c>
      <c r="CR3950">
        <v>2</v>
      </c>
      <c r="CS3950">
        <v>0</v>
      </c>
      <c r="CT3950">
        <v>2</v>
      </c>
      <c r="CU3950">
        <v>0</v>
      </c>
      <c r="CV3950">
        <v>4</v>
      </c>
      <c r="CW3950" t="s">
        <v>120</v>
      </c>
      <c r="CX3950">
        <v>257</v>
      </c>
      <c r="CY3950">
        <v>0</v>
      </c>
      <c r="CZ3950" t="s">
        <v>615</v>
      </c>
      <c r="DA3950" t="s">
        <v>616</v>
      </c>
      <c r="DD3950">
        <v>16624215</v>
      </c>
      <c r="DE3950" t="s">
        <v>123</v>
      </c>
    </row>
    <row r="3951" spans="1:109" x14ac:dyDescent="0.3">
      <c r="A3951" t="str">
        <f>"19:40:58.063"</f>
        <v>19:40:58.063</v>
      </c>
      <c r="B3951" t="s">
        <v>110</v>
      </c>
      <c r="C3951" t="str">
        <f t="shared" si="186"/>
        <v>ffdfd3c0</v>
      </c>
      <c r="D3951" t="s">
        <v>111</v>
      </c>
      <c r="E3951">
        <v>18</v>
      </c>
      <c r="F3951">
        <v>1018</v>
      </c>
      <c r="G3951" t="s">
        <v>112</v>
      </c>
      <c r="J3951" t="s">
        <v>113</v>
      </c>
      <c r="K3951">
        <v>0</v>
      </c>
      <c r="L3951">
        <v>3</v>
      </c>
      <c r="M3951">
        <v>0</v>
      </c>
      <c r="N3951">
        <v>2</v>
      </c>
      <c r="O3951">
        <v>1</v>
      </c>
      <c r="P3951">
        <v>0</v>
      </c>
      <c r="Q3951">
        <v>0</v>
      </c>
      <c r="R3951" t="s">
        <v>114</v>
      </c>
      <c r="S3951" t="str">
        <f>"19:40:57.820"</f>
        <v>19:40:57.820</v>
      </c>
      <c r="T3951" t="str">
        <f>"19:40:57.719"</f>
        <v>19:40:57.719</v>
      </c>
      <c r="U3951" t="str">
        <f t="shared" si="184"/>
        <v>a1cdbe</v>
      </c>
      <c r="V3951">
        <v>0</v>
      </c>
      <c r="W3951">
        <v>0</v>
      </c>
      <c r="X3951">
        <v>2</v>
      </c>
      <c r="Y3951">
        <v>0</v>
      </c>
      <c r="Z3951">
        <v>0</v>
      </c>
      <c r="AB3951">
        <v>0</v>
      </c>
      <c r="AC3951">
        <v>9</v>
      </c>
      <c r="AD3951">
        <v>3</v>
      </c>
      <c r="AE3951">
        <v>0</v>
      </c>
      <c r="AF3951">
        <v>9</v>
      </c>
      <c r="AG3951" t="s">
        <v>158</v>
      </c>
      <c r="AH3951">
        <v>0</v>
      </c>
      <c r="AI3951">
        <v>3</v>
      </c>
      <c r="AJ3951">
        <v>1</v>
      </c>
      <c r="AK3951">
        <v>0</v>
      </c>
      <c r="AL3951" t="s">
        <v>7453</v>
      </c>
      <c r="AM3951">
        <v>47.066267000000003</v>
      </c>
      <c r="AN3951" t="s">
        <v>7450</v>
      </c>
      <c r="AO3951">
        <v>-124.02274800000001</v>
      </c>
      <c r="AP3951">
        <v>100</v>
      </c>
      <c r="AQ3951">
        <v>1700</v>
      </c>
      <c r="AR3951" t="s">
        <v>118</v>
      </c>
      <c r="AS3951">
        <v>7</v>
      </c>
      <c r="AT3951">
        <v>81</v>
      </c>
      <c r="AU3951">
        <v>-1728</v>
      </c>
      <c r="BC3951">
        <v>1200</v>
      </c>
      <c r="BD3951">
        <v>1</v>
      </c>
      <c r="BE3951" t="str">
        <f t="shared" si="185"/>
        <v xml:space="preserve">N215T   </v>
      </c>
      <c r="BF3951">
        <v>1</v>
      </c>
      <c r="BH3951">
        <v>0</v>
      </c>
      <c r="BI3951">
        <v>0</v>
      </c>
      <c r="BJ3951">
        <v>0</v>
      </c>
      <c r="BK3951">
        <v>2075</v>
      </c>
      <c r="BL3951">
        <v>375</v>
      </c>
      <c r="BM3951" t="s">
        <v>119</v>
      </c>
      <c r="BN3951">
        <v>1</v>
      </c>
      <c r="BO3951">
        <v>1</v>
      </c>
      <c r="BP3951">
        <v>1</v>
      </c>
      <c r="BQ3951">
        <v>0</v>
      </c>
      <c r="BT3951">
        <v>0</v>
      </c>
      <c r="BU3951">
        <v>0</v>
      </c>
      <c r="BV3951">
        <v>0</v>
      </c>
      <c r="CC3951" t="str">
        <f>"19:40:57.820"</f>
        <v>19:40:57.820</v>
      </c>
      <c r="CD3951" t="str">
        <f>"822119617"</f>
        <v>822119617</v>
      </c>
      <c r="CQ3951">
        <v>0</v>
      </c>
      <c r="CR3951">
        <v>2</v>
      </c>
      <c r="CS3951">
        <v>0</v>
      </c>
      <c r="CT3951">
        <v>2</v>
      </c>
      <c r="CU3951">
        <v>0</v>
      </c>
      <c r="CV3951">
        <v>4</v>
      </c>
      <c r="CW3951" t="s">
        <v>120</v>
      </c>
      <c r="CX3951">
        <v>257</v>
      </c>
      <c r="CY3951">
        <v>0</v>
      </c>
      <c r="CZ3951" t="s">
        <v>615</v>
      </c>
      <c r="DA3951" t="s">
        <v>616</v>
      </c>
      <c r="DD3951">
        <v>16624525</v>
      </c>
      <c r="DE3951" t="s">
        <v>123</v>
      </c>
    </row>
    <row r="3952" spans="1:109" x14ac:dyDescent="0.3">
      <c r="A3952" t="str">
        <f>"19:40:58.969"</f>
        <v>19:40:58.969</v>
      </c>
      <c r="B3952" t="s">
        <v>110</v>
      </c>
      <c r="C3952" t="str">
        <f t="shared" si="186"/>
        <v>ffdfd3c0</v>
      </c>
      <c r="D3952" t="s">
        <v>111</v>
      </c>
      <c r="E3952">
        <v>18</v>
      </c>
      <c r="F3952">
        <v>1018</v>
      </c>
      <c r="G3952" t="s">
        <v>112</v>
      </c>
      <c r="J3952" t="s">
        <v>113</v>
      </c>
      <c r="K3952">
        <v>0</v>
      </c>
      <c r="L3952">
        <v>3</v>
      </c>
      <c r="M3952">
        <v>0</v>
      </c>
      <c r="N3952">
        <v>2</v>
      </c>
      <c r="O3952">
        <v>1</v>
      </c>
      <c r="P3952">
        <v>0</v>
      </c>
      <c r="Q3952">
        <v>0</v>
      </c>
      <c r="R3952" t="s">
        <v>114</v>
      </c>
      <c r="S3952" t="str">
        <f>"19:40:58.734"</f>
        <v>19:40:58.734</v>
      </c>
      <c r="T3952" t="str">
        <f>"19:40:58.234"</f>
        <v>19:40:58.234</v>
      </c>
      <c r="U3952" t="str">
        <f t="shared" si="184"/>
        <v>a1cdbe</v>
      </c>
      <c r="V3952">
        <v>0</v>
      </c>
      <c r="W3952">
        <v>0</v>
      </c>
      <c r="X3952">
        <v>2</v>
      </c>
      <c r="Y3952">
        <v>0</v>
      </c>
      <c r="Z3952">
        <v>0</v>
      </c>
      <c r="AB3952">
        <v>0</v>
      </c>
      <c r="AC3952">
        <v>9</v>
      </c>
      <c r="AD3952">
        <v>3</v>
      </c>
      <c r="AE3952">
        <v>0</v>
      </c>
      <c r="AF3952">
        <v>9</v>
      </c>
      <c r="AG3952" t="s">
        <v>158</v>
      </c>
      <c r="AH3952">
        <v>0</v>
      </c>
      <c r="AI3952">
        <v>3</v>
      </c>
      <c r="AJ3952">
        <v>1</v>
      </c>
      <c r="AK3952">
        <v>0</v>
      </c>
      <c r="AL3952" t="s">
        <v>7454</v>
      </c>
      <c r="AM3952">
        <v>47.066631000000001</v>
      </c>
      <c r="AN3952" t="s">
        <v>7455</v>
      </c>
      <c r="AO3952">
        <v>-124.02262</v>
      </c>
      <c r="AP3952">
        <v>100</v>
      </c>
      <c r="AQ3952">
        <v>1700</v>
      </c>
      <c r="AR3952" t="s">
        <v>118</v>
      </c>
      <c r="AS3952">
        <v>13</v>
      </c>
      <c r="AT3952">
        <v>80</v>
      </c>
      <c r="AU3952">
        <v>-1728</v>
      </c>
      <c r="BC3952">
        <v>1200</v>
      </c>
      <c r="BD3952">
        <v>1</v>
      </c>
      <c r="BE3952" t="str">
        <f t="shared" si="185"/>
        <v xml:space="preserve">N215T   </v>
      </c>
      <c r="BF3952">
        <v>1</v>
      </c>
      <c r="BH3952">
        <v>0</v>
      </c>
      <c r="BI3952">
        <v>0</v>
      </c>
      <c r="BJ3952">
        <v>0</v>
      </c>
      <c r="BK3952">
        <v>2050</v>
      </c>
      <c r="BL3952">
        <v>350</v>
      </c>
      <c r="BM3952" t="s">
        <v>119</v>
      </c>
      <c r="BN3952">
        <v>1</v>
      </c>
      <c r="BO3952">
        <v>1</v>
      </c>
      <c r="BP3952">
        <v>1</v>
      </c>
      <c r="BQ3952">
        <v>0</v>
      </c>
      <c r="BT3952">
        <v>0</v>
      </c>
      <c r="BU3952">
        <v>0</v>
      </c>
      <c r="BV3952">
        <v>0</v>
      </c>
      <c r="CC3952" t="str">
        <f>"19:40:58.734"</f>
        <v>19:40:58.734</v>
      </c>
      <c r="CD3952" t="str">
        <f>"737029537"</f>
        <v>737029537</v>
      </c>
      <c r="CQ3952">
        <v>0</v>
      </c>
      <c r="CR3952">
        <v>2</v>
      </c>
      <c r="CS3952">
        <v>0</v>
      </c>
      <c r="CT3952">
        <v>2</v>
      </c>
      <c r="CU3952">
        <v>0</v>
      </c>
      <c r="CV3952">
        <v>5</v>
      </c>
      <c r="CW3952" t="s">
        <v>120</v>
      </c>
      <c r="CX3952">
        <v>257</v>
      </c>
      <c r="CY3952">
        <v>0</v>
      </c>
      <c r="CZ3952" t="s">
        <v>615</v>
      </c>
      <c r="DA3952" t="s">
        <v>616</v>
      </c>
      <c r="DD3952">
        <v>16624867</v>
      </c>
      <c r="DE3952" t="s">
        <v>123</v>
      </c>
    </row>
    <row r="3953" spans="1:109" x14ac:dyDescent="0.3">
      <c r="A3953" t="str">
        <f>"19:40:59.922"</f>
        <v>19:40:59.922</v>
      </c>
      <c r="B3953" t="s">
        <v>110</v>
      </c>
      <c r="C3953" t="str">
        <f t="shared" si="186"/>
        <v>ffdfd3c0</v>
      </c>
      <c r="D3953" t="s">
        <v>111</v>
      </c>
      <c r="E3953">
        <v>18</v>
      </c>
      <c r="F3953">
        <v>1018</v>
      </c>
      <c r="G3953" t="s">
        <v>112</v>
      </c>
      <c r="J3953" t="s">
        <v>113</v>
      </c>
      <c r="K3953">
        <v>0</v>
      </c>
      <c r="L3953">
        <v>3</v>
      </c>
      <c r="M3953">
        <v>0</v>
      </c>
      <c r="N3953">
        <v>2</v>
      </c>
      <c r="O3953">
        <v>1</v>
      </c>
      <c r="P3953">
        <v>0</v>
      </c>
      <c r="Q3953">
        <v>0</v>
      </c>
      <c r="R3953" t="s">
        <v>114</v>
      </c>
      <c r="S3953" t="str">
        <f>"19:40:59.664"</f>
        <v>19:40:59.664</v>
      </c>
      <c r="T3953" t="str">
        <f>"19:40:59.367"</f>
        <v>19:40:59.367</v>
      </c>
      <c r="U3953" t="str">
        <f t="shared" si="184"/>
        <v>a1cdbe</v>
      </c>
      <c r="V3953">
        <v>0</v>
      </c>
      <c r="W3953">
        <v>0</v>
      </c>
      <c r="X3953">
        <v>2</v>
      </c>
      <c r="Y3953">
        <v>0</v>
      </c>
      <c r="Z3953">
        <v>0</v>
      </c>
      <c r="AB3953">
        <v>0</v>
      </c>
      <c r="AC3953">
        <v>9</v>
      </c>
      <c r="AD3953">
        <v>3</v>
      </c>
      <c r="AE3953">
        <v>0</v>
      </c>
      <c r="AF3953">
        <v>9</v>
      </c>
      <c r="AG3953" t="s">
        <v>158</v>
      </c>
      <c r="AH3953">
        <v>0</v>
      </c>
      <c r="AI3953">
        <v>3</v>
      </c>
      <c r="AJ3953">
        <v>1</v>
      </c>
      <c r="AK3953">
        <v>0</v>
      </c>
      <c r="AL3953" t="s">
        <v>7456</v>
      </c>
      <c r="AM3953">
        <v>47.066996000000003</v>
      </c>
      <c r="AN3953" t="s">
        <v>7446</v>
      </c>
      <c r="AO3953">
        <v>-124.02247</v>
      </c>
      <c r="AP3953">
        <v>100</v>
      </c>
      <c r="AQ3953">
        <v>1600</v>
      </c>
      <c r="AR3953" t="s">
        <v>118</v>
      </c>
      <c r="AS3953">
        <v>23</v>
      </c>
      <c r="AT3953">
        <v>78</v>
      </c>
      <c r="AU3953">
        <v>-1664</v>
      </c>
      <c r="BC3953">
        <v>1200</v>
      </c>
      <c r="BD3953">
        <v>1</v>
      </c>
      <c r="BE3953" t="str">
        <f t="shared" si="185"/>
        <v xml:space="preserve">N215T   </v>
      </c>
      <c r="BF3953">
        <v>1</v>
      </c>
      <c r="BH3953">
        <v>0</v>
      </c>
      <c r="BI3953">
        <v>0</v>
      </c>
      <c r="BJ3953">
        <v>0</v>
      </c>
      <c r="BK3953">
        <v>2025</v>
      </c>
      <c r="BL3953">
        <v>425</v>
      </c>
      <c r="BM3953" t="s">
        <v>119</v>
      </c>
      <c r="BN3953">
        <v>1</v>
      </c>
      <c r="BO3953">
        <v>1</v>
      </c>
      <c r="BP3953">
        <v>1</v>
      </c>
      <c r="BQ3953">
        <v>0</v>
      </c>
      <c r="BT3953">
        <v>0</v>
      </c>
      <c r="BU3953">
        <v>0</v>
      </c>
      <c r="BV3953">
        <v>0</v>
      </c>
      <c r="CC3953" t="str">
        <f>"19:40:59.664"</f>
        <v>19:40:59.664</v>
      </c>
      <c r="CD3953" t="str">
        <f>"666938010"</f>
        <v>666938010</v>
      </c>
      <c r="CQ3953">
        <v>0</v>
      </c>
      <c r="CR3953">
        <v>2</v>
      </c>
      <c r="CS3953">
        <v>0</v>
      </c>
      <c r="CT3953">
        <v>2</v>
      </c>
      <c r="CU3953">
        <v>0</v>
      </c>
      <c r="CV3953">
        <v>5</v>
      </c>
      <c r="CW3953" t="s">
        <v>120</v>
      </c>
      <c r="CX3953">
        <v>257</v>
      </c>
      <c r="CY3953">
        <v>0</v>
      </c>
      <c r="CZ3953" t="s">
        <v>615</v>
      </c>
      <c r="DA3953" t="s">
        <v>616</v>
      </c>
      <c r="DD3953">
        <v>16625223</v>
      </c>
      <c r="DE3953" t="s">
        <v>123</v>
      </c>
    </row>
    <row r="3954" spans="1:109" x14ac:dyDescent="0.3">
      <c r="A3954" t="str">
        <f>"19:41:00.781"</f>
        <v>19:41:00.781</v>
      </c>
      <c r="B3954" t="s">
        <v>110</v>
      </c>
      <c r="C3954" t="str">
        <f t="shared" si="186"/>
        <v>ffdfd3c0</v>
      </c>
      <c r="D3954" t="s">
        <v>111</v>
      </c>
      <c r="E3954">
        <v>18</v>
      </c>
      <c r="F3954">
        <v>1018</v>
      </c>
      <c r="G3954" t="s">
        <v>112</v>
      </c>
      <c r="J3954" t="s">
        <v>113</v>
      </c>
      <c r="K3954">
        <v>0</v>
      </c>
      <c r="L3954">
        <v>3</v>
      </c>
      <c r="M3954">
        <v>0</v>
      </c>
      <c r="N3954">
        <v>2</v>
      </c>
      <c r="O3954">
        <v>1</v>
      </c>
      <c r="P3954">
        <v>0</v>
      </c>
      <c r="Q3954">
        <v>0</v>
      </c>
      <c r="R3954" t="s">
        <v>114</v>
      </c>
      <c r="S3954" t="str">
        <f>"19:41:00.531"</f>
        <v>19:41:00.531</v>
      </c>
      <c r="T3954" t="str">
        <f>"19:41:00.430"</f>
        <v>19:41:00.430</v>
      </c>
      <c r="U3954" t="str">
        <f t="shared" si="184"/>
        <v>a1cdbe</v>
      </c>
      <c r="V3954">
        <v>0</v>
      </c>
      <c r="W3954">
        <v>0</v>
      </c>
      <c r="X3954">
        <v>2</v>
      </c>
      <c r="Y3954">
        <v>0</v>
      </c>
      <c r="Z3954">
        <v>0</v>
      </c>
      <c r="AB3954">
        <v>0</v>
      </c>
      <c r="AC3954">
        <v>9</v>
      </c>
      <c r="AD3954">
        <v>3</v>
      </c>
      <c r="AE3954">
        <v>0</v>
      </c>
      <c r="AF3954">
        <v>9</v>
      </c>
      <c r="AG3954" t="s">
        <v>158</v>
      </c>
      <c r="AH3954">
        <v>0</v>
      </c>
      <c r="AI3954">
        <v>3</v>
      </c>
      <c r="AJ3954">
        <v>1</v>
      </c>
      <c r="AK3954">
        <v>0</v>
      </c>
      <c r="AL3954" t="s">
        <v>7457</v>
      </c>
      <c r="AM3954">
        <v>47.067253999999998</v>
      </c>
      <c r="AN3954" t="s">
        <v>7444</v>
      </c>
      <c r="AO3954">
        <v>-124.022255</v>
      </c>
      <c r="AP3954">
        <v>100</v>
      </c>
      <c r="AQ3954">
        <v>1600</v>
      </c>
      <c r="AR3954" t="s">
        <v>118</v>
      </c>
      <c r="AS3954">
        <v>35</v>
      </c>
      <c r="AT3954">
        <v>72</v>
      </c>
      <c r="AU3954">
        <v>-1664</v>
      </c>
      <c r="BC3954">
        <v>1200</v>
      </c>
      <c r="BD3954">
        <v>1</v>
      </c>
      <c r="BE3954" t="str">
        <f t="shared" si="185"/>
        <v xml:space="preserve">N215T   </v>
      </c>
      <c r="BF3954">
        <v>1</v>
      </c>
      <c r="BH3954">
        <v>0</v>
      </c>
      <c r="BI3954">
        <v>0</v>
      </c>
      <c r="BJ3954">
        <v>0</v>
      </c>
      <c r="BK3954">
        <v>2000</v>
      </c>
      <c r="BL3954">
        <v>400</v>
      </c>
      <c r="BM3954" t="s">
        <v>119</v>
      </c>
      <c r="BN3954">
        <v>1</v>
      </c>
      <c r="BO3954">
        <v>1</v>
      </c>
      <c r="BP3954">
        <v>1</v>
      </c>
      <c r="BQ3954">
        <v>0</v>
      </c>
      <c r="BT3954">
        <v>0</v>
      </c>
      <c r="BU3954">
        <v>0</v>
      </c>
      <c r="BV3954">
        <v>0</v>
      </c>
      <c r="CC3954" t="str">
        <f>"19:41:00.539"</f>
        <v>19:41:00.539</v>
      </c>
      <c r="CD3954" t="str">
        <f>"536852371"</f>
        <v>536852371</v>
      </c>
      <c r="CQ3954">
        <v>0</v>
      </c>
      <c r="CR3954">
        <v>2</v>
      </c>
      <c r="CS3954">
        <v>0</v>
      </c>
      <c r="CT3954">
        <v>2</v>
      </c>
      <c r="CU3954">
        <v>0</v>
      </c>
      <c r="CV3954">
        <v>5</v>
      </c>
      <c r="CW3954" t="s">
        <v>120</v>
      </c>
      <c r="CX3954">
        <v>257</v>
      </c>
      <c r="CY3954">
        <v>0</v>
      </c>
      <c r="CZ3954" t="s">
        <v>615</v>
      </c>
      <c r="DA3954" t="s">
        <v>616</v>
      </c>
      <c r="DD3954">
        <v>16625575</v>
      </c>
      <c r="DE3954" t="s">
        <v>123</v>
      </c>
    </row>
    <row r="3955" spans="1:109" x14ac:dyDescent="0.3">
      <c r="A3955" t="str">
        <f>"19:41:01.836"</f>
        <v>19:41:01.836</v>
      </c>
      <c r="B3955" t="s">
        <v>110</v>
      </c>
      <c r="C3955" t="str">
        <f t="shared" si="186"/>
        <v>ffdfd3c0</v>
      </c>
      <c r="D3955" t="s">
        <v>111</v>
      </c>
      <c r="E3955">
        <v>18</v>
      </c>
      <c r="F3955">
        <v>1018</v>
      </c>
      <c r="G3955" t="s">
        <v>112</v>
      </c>
      <c r="J3955" t="s">
        <v>113</v>
      </c>
      <c r="K3955">
        <v>0</v>
      </c>
      <c r="L3955">
        <v>3</v>
      </c>
      <c r="M3955">
        <v>0</v>
      </c>
      <c r="N3955">
        <v>2</v>
      </c>
      <c r="O3955">
        <v>1</v>
      </c>
      <c r="P3955">
        <v>0</v>
      </c>
      <c r="Q3955">
        <v>0</v>
      </c>
      <c r="R3955" t="s">
        <v>114</v>
      </c>
      <c r="S3955" t="str">
        <f>"19:41:01.555"</f>
        <v>19:41:01.555</v>
      </c>
      <c r="T3955" t="str">
        <f>"19:41:01.352"</f>
        <v>19:41:01.352</v>
      </c>
      <c r="U3955" t="str">
        <f t="shared" si="184"/>
        <v>a1cdbe</v>
      </c>
      <c r="V3955">
        <v>0</v>
      </c>
      <c r="W3955">
        <v>0</v>
      </c>
      <c r="X3955">
        <v>2</v>
      </c>
      <c r="Y3955">
        <v>0</v>
      </c>
      <c r="Z3955">
        <v>0</v>
      </c>
      <c r="AB3955">
        <v>0</v>
      </c>
      <c r="AC3955">
        <v>9</v>
      </c>
      <c r="AD3955">
        <v>3</v>
      </c>
      <c r="AE3955">
        <v>0</v>
      </c>
      <c r="AF3955">
        <v>9</v>
      </c>
      <c r="AG3955" t="s">
        <v>158</v>
      </c>
      <c r="AH3955">
        <v>0</v>
      </c>
      <c r="AI3955">
        <v>3</v>
      </c>
      <c r="AJ3955">
        <v>1</v>
      </c>
      <c r="AK3955">
        <v>0</v>
      </c>
      <c r="AL3955" t="s">
        <v>7458</v>
      </c>
      <c r="AM3955">
        <v>47.067574999999998</v>
      </c>
      <c r="AN3955" t="s">
        <v>7442</v>
      </c>
      <c r="AO3955">
        <v>-124.021976</v>
      </c>
      <c r="AP3955">
        <v>100</v>
      </c>
      <c r="AQ3955">
        <v>1600</v>
      </c>
      <c r="AR3955" t="s">
        <v>118</v>
      </c>
      <c r="AS3955">
        <v>42</v>
      </c>
      <c r="AT3955">
        <v>68</v>
      </c>
      <c r="AU3955">
        <v>-1664</v>
      </c>
      <c r="BC3955">
        <v>1200</v>
      </c>
      <c r="BD3955">
        <v>1</v>
      </c>
      <c r="BE3955" t="str">
        <f t="shared" si="185"/>
        <v xml:space="preserve">N215T   </v>
      </c>
      <c r="BF3955">
        <v>1</v>
      </c>
      <c r="BH3955">
        <v>0</v>
      </c>
      <c r="BI3955">
        <v>0</v>
      </c>
      <c r="BJ3955">
        <v>0</v>
      </c>
      <c r="BK3955">
        <v>1975</v>
      </c>
      <c r="BL3955">
        <v>375</v>
      </c>
      <c r="BM3955" t="s">
        <v>119</v>
      </c>
      <c r="BN3955">
        <v>1</v>
      </c>
      <c r="BO3955">
        <v>1</v>
      </c>
      <c r="BP3955">
        <v>1</v>
      </c>
      <c r="BQ3955">
        <v>0</v>
      </c>
      <c r="BT3955">
        <v>0</v>
      </c>
      <c r="BU3955">
        <v>0</v>
      </c>
      <c r="BV3955">
        <v>0</v>
      </c>
      <c r="CC3955" t="str">
        <f>"19:41:01.555"</f>
        <v>19:41:01.555</v>
      </c>
      <c r="CD3955" t="str">
        <f>"556751935"</f>
        <v>556751935</v>
      </c>
      <c r="CQ3955">
        <v>0</v>
      </c>
      <c r="CR3955">
        <v>2</v>
      </c>
      <c r="CS3955">
        <v>0</v>
      </c>
      <c r="CT3955">
        <v>2</v>
      </c>
      <c r="CU3955">
        <v>0</v>
      </c>
      <c r="CV3955">
        <v>5</v>
      </c>
      <c r="CW3955" t="s">
        <v>120</v>
      </c>
      <c r="CX3955">
        <v>257</v>
      </c>
      <c r="CY3955">
        <v>0</v>
      </c>
      <c r="CZ3955" t="s">
        <v>615</v>
      </c>
      <c r="DA3955" t="s">
        <v>616</v>
      </c>
      <c r="DD3955">
        <v>16625917</v>
      </c>
      <c r="DE3955" t="s">
        <v>123</v>
      </c>
    </row>
    <row r="3956" spans="1:109" x14ac:dyDescent="0.3">
      <c r="A3956" t="str">
        <f>"19:41:02.938"</f>
        <v>19:41:02.938</v>
      </c>
      <c r="B3956" t="s">
        <v>110</v>
      </c>
      <c r="C3956" t="str">
        <f t="shared" si="186"/>
        <v>ffdfd3c0</v>
      </c>
      <c r="D3956" t="s">
        <v>111</v>
      </c>
      <c r="E3956">
        <v>18</v>
      </c>
      <c r="F3956">
        <v>1018</v>
      </c>
      <c r="G3956" t="s">
        <v>112</v>
      </c>
      <c r="J3956" t="s">
        <v>113</v>
      </c>
      <c r="K3956">
        <v>0</v>
      </c>
      <c r="L3956">
        <v>3</v>
      </c>
      <c r="M3956">
        <v>0</v>
      </c>
      <c r="N3956">
        <v>2</v>
      </c>
      <c r="O3956">
        <v>1</v>
      </c>
      <c r="P3956">
        <v>0</v>
      </c>
      <c r="Q3956">
        <v>0</v>
      </c>
      <c r="R3956" t="s">
        <v>114</v>
      </c>
      <c r="S3956" t="str">
        <f>"19:41:02.727"</f>
        <v>19:41:02.727</v>
      </c>
      <c r="T3956" t="str">
        <f>"19:41:02.328"</f>
        <v>19:41:02.328</v>
      </c>
      <c r="U3956" t="str">
        <f t="shared" si="184"/>
        <v>a1cdbe</v>
      </c>
      <c r="V3956">
        <v>0</v>
      </c>
      <c r="W3956">
        <v>0</v>
      </c>
      <c r="X3956">
        <v>2</v>
      </c>
      <c r="Y3956">
        <v>0</v>
      </c>
      <c r="Z3956">
        <v>0</v>
      </c>
      <c r="AB3956">
        <v>0</v>
      </c>
      <c r="AC3956">
        <v>9</v>
      </c>
      <c r="AD3956">
        <v>3</v>
      </c>
      <c r="AE3956">
        <v>0</v>
      </c>
      <c r="AF3956">
        <v>9</v>
      </c>
      <c r="AG3956" t="s">
        <v>158</v>
      </c>
      <c r="AH3956">
        <v>0</v>
      </c>
      <c r="AI3956">
        <v>3</v>
      </c>
      <c r="AJ3956">
        <v>1</v>
      </c>
      <c r="AK3956">
        <v>0</v>
      </c>
      <c r="AL3956" t="s">
        <v>469</v>
      </c>
      <c r="AM3956">
        <v>47.067897000000002</v>
      </c>
      <c r="AN3956" t="s">
        <v>7459</v>
      </c>
      <c r="AO3956">
        <v>-124.021568</v>
      </c>
      <c r="AP3956">
        <v>100</v>
      </c>
      <c r="AQ3956">
        <v>1600</v>
      </c>
      <c r="AR3956" t="s">
        <v>118</v>
      </c>
      <c r="AS3956">
        <v>51</v>
      </c>
      <c r="AT3956">
        <v>62</v>
      </c>
      <c r="AU3956">
        <v>-1728</v>
      </c>
      <c r="BC3956">
        <v>1200</v>
      </c>
      <c r="BD3956">
        <v>1</v>
      </c>
      <c r="BE3956" t="str">
        <f t="shared" si="185"/>
        <v xml:space="preserve">N215T   </v>
      </c>
      <c r="BF3956">
        <v>1</v>
      </c>
      <c r="BH3956">
        <v>0</v>
      </c>
      <c r="BI3956">
        <v>0</v>
      </c>
      <c r="BJ3956">
        <v>0</v>
      </c>
      <c r="BK3956">
        <v>1950</v>
      </c>
      <c r="BL3956">
        <v>350</v>
      </c>
      <c r="BM3956" t="s">
        <v>119</v>
      </c>
      <c r="BN3956">
        <v>1</v>
      </c>
      <c r="BO3956">
        <v>1</v>
      </c>
      <c r="BP3956">
        <v>1</v>
      </c>
      <c r="BQ3956">
        <v>0</v>
      </c>
      <c r="BT3956">
        <v>0</v>
      </c>
      <c r="BU3956">
        <v>0</v>
      </c>
      <c r="BV3956">
        <v>0</v>
      </c>
      <c r="CC3956" t="str">
        <f>"19:41:02.727"</f>
        <v>19:41:02.727</v>
      </c>
      <c r="CD3956" t="str">
        <f>"726636733"</f>
        <v>726636733</v>
      </c>
      <c r="CQ3956">
        <v>0</v>
      </c>
      <c r="CR3956">
        <v>2</v>
      </c>
      <c r="CS3956">
        <v>0</v>
      </c>
      <c r="CT3956">
        <v>2</v>
      </c>
      <c r="CU3956">
        <v>0</v>
      </c>
      <c r="CV3956">
        <v>4</v>
      </c>
      <c r="CW3956" t="s">
        <v>120</v>
      </c>
      <c r="CX3956">
        <v>257</v>
      </c>
      <c r="CY3956">
        <v>0</v>
      </c>
      <c r="CZ3956" t="s">
        <v>615</v>
      </c>
      <c r="DA3956" t="s">
        <v>616</v>
      </c>
      <c r="DD3956">
        <v>16626306</v>
      </c>
      <c r="DE3956" t="s">
        <v>123</v>
      </c>
    </row>
    <row r="3957" spans="1:109" x14ac:dyDescent="0.3">
      <c r="A3957" t="str">
        <f>"19:41:03.891"</f>
        <v>19:41:03.891</v>
      </c>
      <c r="B3957" t="s">
        <v>110</v>
      </c>
      <c r="C3957" t="str">
        <f t="shared" si="186"/>
        <v>ffdfd3c0</v>
      </c>
      <c r="D3957" t="s">
        <v>111</v>
      </c>
      <c r="E3957">
        <v>18</v>
      </c>
      <c r="F3957">
        <v>1018</v>
      </c>
      <c r="G3957" t="s">
        <v>112</v>
      </c>
      <c r="J3957" t="s">
        <v>113</v>
      </c>
      <c r="K3957">
        <v>0</v>
      </c>
      <c r="L3957">
        <v>3</v>
      </c>
      <c r="M3957">
        <v>0</v>
      </c>
      <c r="N3957">
        <v>2</v>
      </c>
      <c r="O3957">
        <v>1</v>
      </c>
      <c r="P3957">
        <v>0</v>
      </c>
      <c r="Q3957">
        <v>0</v>
      </c>
      <c r="R3957" t="s">
        <v>114</v>
      </c>
      <c r="S3957" t="str">
        <f>"19:41:03.656"</f>
        <v>19:41:03.656</v>
      </c>
      <c r="T3957" t="str">
        <f>"19:41:03.359"</f>
        <v>19:41:03.359</v>
      </c>
      <c r="U3957" t="str">
        <f t="shared" si="184"/>
        <v>a1cdbe</v>
      </c>
      <c r="V3957">
        <v>0</v>
      </c>
      <c r="W3957">
        <v>0</v>
      </c>
      <c r="X3957">
        <v>2</v>
      </c>
      <c r="Y3957">
        <v>0</v>
      </c>
      <c r="Z3957">
        <v>0</v>
      </c>
      <c r="AB3957">
        <v>0</v>
      </c>
      <c r="AC3957">
        <v>9</v>
      </c>
      <c r="AD3957">
        <v>3</v>
      </c>
      <c r="AE3957">
        <v>0</v>
      </c>
      <c r="AF3957">
        <v>9</v>
      </c>
      <c r="AG3957" t="s">
        <v>158</v>
      </c>
      <c r="AH3957">
        <v>0</v>
      </c>
      <c r="AI3957">
        <v>3</v>
      </c>
      <c r="AJ3957">
        <v>1</v>
      </c>
      <c r="AK3957">
        <v>0</v>
      </c>
      <c r="AL3957" t="s">
        <v>7460</v>
      </c>
      <c r="AM3957">
        <v>47.068133000000003</v>
      </c>
      <c r="AN3957" t="s">
        <v>7461</v>
      </c>
      <c r="AO3957">
        <v>-124.02116100000001</v>
      </c>
      <c r="AP3957">
        <v>100</v>
      </c>
      <c r="AQ3957">
        <v>1500</v>
      </c>
      <c r="AR3957" t="s">
        <v>118</v>
      </c>
      <c r="AS3957">
        <v>58</v>
      </c>
      <c r="AT3957">
        <v>54</v>
      </c>
      <c r="AU3957">
        <v>-1792</v>
      </c>
      <c r="BC3957">
        <v>1200</v>
      </c>
      <c r="BD3957">
        <v>1</v>
      </c>
      <c r="BE3957" t="str">
        <f t="shared" si="185"/>
        <v xml:space="preserve">N215T   </v>
      </c>
      <c r="BF3957">
        <v>1</v>
      </c>
      <c r="BH3957">
        <v>0</v>
      </c>
      <c r="BI3957">
        <v>0</v>
      </c>
      <c r="BJ3957">
        <v>0</v>
      </c>
      <c r="BK3957">
        <v>2025</v>
      </c>
      <c r="BL3957">
        <v>525</v>
      </c>
      <c r="BM3957" t="s">
        <v>119</v>
      </c>
      <c r="BN3957">
        <v>1</v>
      </c>
      <c r="BO3957">
        <v>1</v>
      </c>
      <c r="BP3957">
        <v>1</v>
      </c>
      <c r="BQ3957">
        <v>0</v>
      </c>
      <c r="BT3957">
        <v>0</v>
      </c>
      <c r="BU3957">
        <v>0</v>
      </c>
      <c r="BV3957">
        <v>0</v>
      </c>
      <c r="CC3957" t="str">
        <f>"19:41:03.656"</f>
        <v>19:41:03.656</v>
      </c>
      <c r="CD3957" t="str">
        <f>"656545118"</f>
        <v>656545118</v>
      </c>
      <c r="CQ3957">
        <v>0</v>
      </c>
      <c r="CR3957">
        <v>2</v>
      </c>
      <c r="CS3957">
        <v>0</v>
      </c>
      <c r="CT3957">
        <v>2</v>
      </c>
      <c r="CU3957">
        <v>0</v>
      </c>
      <c r="CV3957">
        <v>3</v>
      </c>
      <c r="CW3957" t="s">
        <v>120</v>
      </c>
      <c r="CX3957">
        <v>257</v>
      </c>
      <c r="CY3957">
        <v>0</v>
      </c>
      <c r="CZ3957" t="s">
        <v>615</v>
      </c>
      <c r="DA3957" t="s">
        <v>616</v>
      </c>
      <c r="DD3957">
        <v>16626609</v>
      </c>
      <c r="DE3957" t="s">
        <v>123</v>
      </c>
    </row>
    <row r="3958" spans="1:109" x14ac:dyDescent="0.3">
      <c r="A3958" t="str">
        <f>"19:41:05.000"</f>
        <v>19:41:05.000</v>
      </c>
      <c r="B3958" t="s">
        <v>110</v>
      </c>
      <c r="C3958" t="str">
        <f t="shared" si="186"/>
        <v>ffdfd3c0</v>
      </c>
      <c r="D3958" t="s">
        <v>111</v>
      </c>
      <c r="E3958">
        <v>18</v>
      </c>
      <c r="F3958">
        <v>1018</v>
      </c>
      <c r="G3958" t="s">
        <v>112</v>
      </c>
      <c r="J3958" t="s">
        <v>113</v>
      </c>
      <c r="K3958">
        <v>0</v>
      </c>
      <c r="L3958">
        <v>3</v>
      </c>
      <c r="M3958">
        <v>0</v>
      </c>
      <c r="N3958">
        <v>2</v>
      </c>
      <c r="O3958">
        <v>1</v>
      </c>
      <c r="P3958">
        <v>0</v>
      </c>
      <c r="Q3958">
        <v>0</v>
      </c>
      <c r="R3958" t="s">
        <v>114</v>
      </c>
      <c r="S3958" t="str">
        <f>"19:41:04.734"</f>
        <v>19:41:04.734</v>
      </c>
      <c r="T3958" t="str">
        <f>"19:41:04.734"</f>
        <v>19:41:04.734</v>
      </c>
      <c r="U3958" t="str">
        <f t="shared" si="184"/>
        <v>a1cdbe</v>
      </c>
      <c r="V3958">
        <v>0</v>
      </c>
      <c r="W3958">
        <v>0</v>
      </c>
      <c r="X3958">
        <v>2</v>
      </c>
      <c r="Y3958">
        <v>0</v>
      </c>
      <c r="Z3958">
        <v>0</v>
      </c>
      <c r="AB3958">
        <v>0</v>
      </c>
      <c r="AC3958">
        <v>9</v>
      </c>
      <c r="AD3958">
        <v>3</v>
      </c>
      <c r="AE3958">
        <v>0</v>
      </c>
      <c r="AF3958">
        <v>9</v>
      </c>
      <c r="AG3958" t="s">
        <v>158</v>
      </c>
      <c r="AH3958">
        <v>0</v>
      </c>
      <c r="AI3958">
        <v>3</v>
      </c>
      <c r="AJ3958">
        <v>1</v>
      </c>
      <c r="AK3958">
        <v>0</v>
      </c>
      <c r="AL3958" t="s">
        <v>7462</v>
      </c>
      <c r="AM3958">
        <v>47.068368999999997</v>
      </c>
      <c r="AN3958" t="s">
        <v>7463</v>
      </c>
      <c r="AO3958">
        <v>-124.020646</v>
      </c>
      <c r="AP3958">
        <v>100</v>
      </c>
      <c r="AQ3958">
        <v>1500</v>
      </c>
      <c r="AR3958" t="s">
        <v>118</v>
      </c>
      <c r="AS3958">
        <v>68</v>
      </c>
      <c r="AT3958">
        <v>41</v>
      </c>
      <c r="AU3958">
        <v>-1920</v>
      </c>
      <c r="BC3958">
        <v>1200</v>
      </c>
      <c r="BD3958">
        <v>1</v>
      </c>
      <c r="BE3958" t="str">
        <f t="shared" si="185"/>
        <v xml:space="preserve">N215T   </v>
      </c>
      <c r="BF3958">
        <v>1</v>
      </c>
      <c r="BH3958">
        <v>0</v>
      </c>
      <c r="BI3958">
        <v>0</v>
      </c>
      <c r="BJ3958">
        <v>0</v>
      </c>
      <c r="BK3958">
        <v>1875</v>
      </c>
      <c r="BL3958">
        <v>375</v>
      </c>
      <c r="BM3958" t="s">
        <v>119</v>
      </c>
      <c r="BN3958">
        <v>1</v>
      </c>
      <c r="BO3958">
        <v>1</v>
      </c>
      <c r="BP3958">
        <v>1</v>
      </c>
      <c r="BQ3958">
        <v>0</v>
      </c>
      <c r="BT3958">
        <v>0</v>
      </c>
      <c r="BU3958">
        <v>0</v>
      </c>
      <c r="BV3958">
        <v>0</v>
      </c>
      <c r="CC3958" t="str">
        <f>"19:41:04.734"</f>
        <v>19:41:04.734</v>
      </c>
      <c r="CD3958" t="str">
        <f>"736438790"</f>
        <v>736438790</v>
      </c>
      <c r="CQ3958">
        <v>0</v>
      </c>
      <c r="CR3958">
        <v>2</v>
      </c>
      <c r="CS3958">
        <v>0</v>
      </c>
      <c r="CT3958">
        <v>2</v>
      </c>
      <c r="CU3958">
        <v>0</v>
      </c>
      <c r="CV3958">
        <v>3</v>
      </c>
      <c r="CW3958" t="s">
        <v>120</v>
      </c>
      <c r="CX3958">
        <v>257</v>
      </c>
      <c r="CY3958">
        <v>0</v>
      </c>
      <c r="CZ3958" t="s">
        <v>615</v>
      </c>
      <c r="DA3958" t="s">
        <v>616</v>
      </c>
      <c r="DD3958">
        <v>16626969</v>
      </c>
      <c r="DE3958" t="s">
        <v>123</v>
      </c>
    </row>
    <row r="3959" spans="1:109" x14ac:dyDescent="0.3">
      <c r="A3959" t="str">
        <f>"19:41:06.008"</f>
        <v>19:41:06.008</v>
      </c>
      <c r="B3959" t="s">
        <v>110</v>
      </c>
      <c r="C3959" t="str">
        <f t="shared" si="186"/>
        <v>ffdfd3c0</v>
      </c>
      <c r="D3959" t="s">
        <v>111</v>
      </c>
      <c r="E3959">
        <v>18</v>
      </c>
      <c r="F3959">
        <v>1018</v>
      </c>
      <c r="G3959" t="s">
        <v>112</v>
      </c>
      <c r="J3959" t="s">
        <v>113</v>
      </c>
      <c r="K3959">
        <v>0</v>
      </c>
      <c r="L3959">
        <v>3</v>
      </c>
      <c r="M3959">
        <v>0</v>
      </c>
      <c r="N3959">
        <v>2</v>
      </c>
      <c r="O3959">
        <v>1</v>
      </c>
      <c r="P3959">
        <v>0</v>
      </c>
      <c r="Q3959">
        <v>0</v>
      </c>
      <c r="R3959" t="s">
        <v>114</v>
      </c>
      <c r="S3959" t="str">
        <f>"19:41:05.766"</f>
        <v>19:41:05.766</v>
      </c>
      <c r="T3959" t="str">
        <f>"19:41:05.266"</f>
        <v>19:41:05.266</v>
      </c>
      <c r="U3959" t="str">
        <f t="shared" si="184"/>
        <v>a1cdbe</v>
      </c>
      <c r="V3959">
        <v>0</v>
      </c>
      <c r="W3959">
        <v>0</v>
      </c>
      <c r="X3959">
        <v>2</v>
      </c>
      <c r="Y3959">
        <v>0</v>
      </c>
      <c r="Z3959">
        <v>0</v>
      </c>
      <c r="AB3959">
        <v>0</v>
      </c>
      <c r="AC3959">
        <v>9</v>
      </c>
      <c r="AD3959">
        <v>3</v>
      </c>
      <c r="AE3959">
        <v>0</v>
      </c>
      <c r="AF3959">
        <v>9</v>
      </c>
      <c r="AG3959" t="s">
        <v>158</v>
      </c>
      <c r="AH3959">
        <v>0</v>
      </c>
      <c r="AI3959">
        <v>3</v>
      </c>
      <c r="AJ3959">
        <v>1</v>
      </c>
      <c r="AK3959">
        <v>0</v>
      </c>
      <c r="AL3959" t="s">
        <v>7464</v>
      </c>
      <c r="AM3959">
        <v>47.068497999999998</v>
      </c>
      <c r="AN3959" t="s">
        <v>7465</v>
      </c>
      <c r="AO3959">
        <v>-124.020152</v>
      </c>
      <c r="AP3959">
        <v>100</v>
      </c>
      <c r="AQ3959">
        <v>1500</v>
      </c>
      <c r="AR3959" t="s">
        <v>118</v>
      </c>
      <c r="AS3959">
        <v>71</v>
      </c>
      <c r="AT3959">
        <v>35</v>
      </c>
      <c r="AU3959">
        <v>-1920</v>
      </c>
      <c r="BC3959">
        <v>1200</v>
      </c>
      <c r="BD3959">
        <v>1</v>
      </c>
      <c r="BE3959" t="str">
        <f t="shared" si="185"/>
        <v xml:space="preserve">N215T   </v>
      </c>
      <c r="BF3959">
        <v>1</v>
      </c>
      <c r="BH3959">
        <v>0</v>
      </c>
      <c r="BI3959">
        <v>0</v>
      </c>
      <c r="BJ3959">
        <v>0</v>
      </c>
      <c r="BK3959">
        <v>1850</v>
      </c>
      <c r="BL3959">
        <v>350</v>
      </c>
      <c r="BM3959" t="s">
        <v>119</v>
      </c>
      <c r="BN3959">
        <v>1</v>
      </c>
      <c r="BO3959">
        <v>1</v>
      </c>
      <c r="BP3959">
        <v>1</v>
      </c>
      <c r="BQ3959">
        <v>0</v>
      </c>
      <c r="BT3959">
        <v>0</v>
      </c>
      <c r="BU3959">
        <v>0</v>
      </c>
      <c r="BV3959">
        <v>0</v>
      </c>
      <c r="CC3959" t="str">
        <f>"19:41:05.773"</f>
        <v>19:41:05.773</v>
      </c>
      <c r="CD3959" t="str">
        <f>"771336792"</f>
        <v>771336792</v>
      </c>
      <c r="CQ3959">
        <v>0</v>
      </c>
      <c r="CR3959">
        <v>2</v>
      </c>
      <c r="CS3959">
        <v>0</v>
      </c>
      <c r="CT3959">
        <v>2</v>
      </c>
      <c r="CU3959">
        <v>0</v>
      </c>
      <c r="CV3959">
        <v>5</v>
      </c>
      <c r="CW3959" t="s">
        <v>120</v>
      </c>
      <c r="CX3959">
        <v>257</v>
      </c>
      <c r="CY3959">
        <v>0</v>
      </c>
      <c r="CZ3959" t="s">
        <v>615</v>
      </c>
      <c r="DA3959" t="s">
        <v>616</v>
      </c>
      <c r="DD3959">
        <v>16627323</v>
      </c>
      <c r="DE3959" t="s">
        <v>123</v>
      </c>
    </row>
    <row r="3960" spans="1:109" x14ac:dyDescent="0.3">
      <c r="A3960" t="str">
        <f>"19:41:07.063"</f>
        <v>19:41:07.063</v>
      </c>
      <c r="B3960" t="s">
        <v>110</v>
      </c>
      <c r="C3960" t="str">
        <f t="shared" si="186"/>
        <v>ffdfd3c0</v>
      </c>
      <c r="D3960" t="s">
        <v>111</v>
      </c>
      <c r="E3960">
        <v>18</v>
      </c>
      <c r="F3960">
        <v>1018</v>
      </c>
      <c r="G3960" t="s">
        <v>112</v>
      </c>
      <c r="J3960" t="s">
        <v>113</v>
      </c>
      <c r="K3960">
        <v>0</v>
      </c>
      <c r="L3960">
        <v>3</v>
      </c>
      <c r="M3960">
        <v>0</v>
      </c>
      <c r="N3960">
        <v>2</v>
      </c>
      <c r="O3960">
        <v>1</v>
      </c>
      <c r="P3960">
        <v>0</v>
      </c>
      <c r="Q3960">
        <v>0</v>
      </c>
      <c r="R3960" t="s">
        <v>114</v>
      </c>
      <c r="S3960" t="str">
        <f>"19:41:06.844"</f>
        <v>19:41:06.844</v>
      </c>
      <c r="T3960" t="str">
        <f>"19:41:06.641"</f>
        <v>19:41:06.641</v>
      </c>
      <c r="U3960" t="str">
        <f t="shared" si="184"/>
        <v>a1cdbe</v>
      </c>
      <c r="V3960">
        <v>0</v>
      </c>
      <c r="W3960">
        <v>0</v>
      </c>
      <c r="X3960">
        <v>2</v>
      </c>
      <c r="Y3960">
        <v>0</v>
      </c>
      <c r="Z3960">
        <v>0</v>
      </c>
      <c r="AB3960">
        <v>0</v>
      </c>
      <c r="AC3960">
        <v>9</v>
      </c>
      <c r="AD3960">
        <v>3</v>
      </c>
      <c r="AE3960">
        <v>0</v>
      </c>
      <c r="AF3960">
        <v>9</v>
      </c>
      <c r="AG3960" t="s">
        <v>158</v>
      </c>
      <c r="AH3960">
        <v>0</v>
      </c>
      <c r="AI3960">
        <v>3</v>
      </c>
      <c r="AJ3960">
        <v>1</v>
      </c>
      <c r="AK3960">
        <v>0</v>
      </c>
      <c r="AL3960" t="s">
        <v>7466</v>
      </c>
      <c r="AM3960">
        <v>47.068626999999999</v>
      </c>
      <c r="AN3960" t="s">
        <v>7467</v>
      </c>
      <c r="AO3960">
        <v>-124.01957299999999</v>
      </c>
      <c r="AP3960">
        <v>100</v>
      </c>
      <c r="AQ3960">
        <v>1400</v>
      </c>
      <c r="AR3960" t="s">
        <v>118</v>
      </c>
      <c r="AS3960">
        <v>77</v>
      </c>
      <c r="AT3960">
        <v>21</v>
      </c>
      <c r="AU3960">
        <v>-1984</v>
      </c>
      <c r="BC3960">
        <v>1200</v>
      </c>
      <c r="BD3960">
        <v>1</v>
      </c>
      <c r="BE3960" t="str">
        <f t="shared" si="185"/>
        <v xml:space="preserve">N215T   </v>
      </c>
      <c r="BF3960">
        <v>1</v>
      </c>
      <c r="BH3960">
        <v>0</v>
      </c>
      <c r="BI3960">
        <v>0</v>
      </c>
      <c r="BJ3960">
        <v>0</v>
      </c>
      <c r="BK3960">
        <v>1900</v>
      </c>
      <c r="BL3960">
        <v>500</v>
      </c>
      <c r="BM3960" t="s">
        <v>119</v>
      </c>
      <c r="BN3960">
        <v>1</v>
      </c>
      <c r="BO3960">
        <v>1</v>
      </c>
      <c r="BP3960">
        <v>1</v>
      </c>
      <c r="BQ3960">
        <v>0</v>
      </c>
      <c r="BT3960">
        <v>0</v>
      </c>
      <c r="BU3960">
        <v>0</v>
      </c>
      <c r="BV3960">
        <v>0</v>
      </c>
      <c r="CC3960" t="str">
        <f>"19:41:06.852"</f>
        <v>19:41:06.852</v>
      </c>
      <c r="CD3960" t="str">
        <f>"851230356"</f>
        <v>851230356</v>
      </c>
      <c r="CQ3960">
        <v>0</v>
      </c>
      <c r="CR3960">
        <v>2</v>
      </c>
      <c r="CS3960">
        <v>0</v>
      </c>
      <c r="CT3960">
        <v>2</v>
      </c>
      <c r="CU3960">
        <v>0</v>
      </c>
      <c r="CV3960">
        <v>5</v>
      </c>
      <c r="CW3960" t="s">
        <v>120</v>
      </c>
      <c r="CX3960">
        <v>257</v>
      </c>
      <c r="CY3960">
        <v>0</v>
      </c>
      <c r="CZ3960" t="s">
        <v>615</v>
      </c>
      <c r="DA3960" t="s">
        <v>616</v>
      </c>
      <c r="DD3960">
        <v>16627691</v>
      </c>
      <c r="DE3960" t="s">
        <v>123</v>
      </c>
    </row>
    <row r="3961" spans="1:109" x14ac:dyDescent="0.3">
      <c r="A3961" t="str">
        <f>"19:41:08.117"</f>
        <v>19:41:08.117</v>
      </c>
      <c r="B3961" t="s">
        <v>110</v>
      </c>
      <c r="C3961" t="str">
        <f t="shared" si="186"/>
        <v>ffdfd3c0</v>
      </c>
      <c r="D3961" t="s">
        <v>111</v>
      </c>
      <c r="E3961">
        <v>18</v>
      </c>
      <c r="F3961">
        <v>1018</v>
      </c>
      <c r="G3961" t="s">
        <v>112</v>
      </c>
      <c r="J3961" t="s">
        <v>113</v>
      </c>
      <c r="K3961">
        <v>0</v>
      </c>
      <c r="L3961">
        <v>3</v>
      </c>
      <c r="M3961">
        <v>0</v>
      </c>
      <c r="N3961">
        <v>2</v>
      </c>
      <c r="O3961">
        <v>1</v>
      </c>
      <c r="P3961">
        <v>0</v>
      </c>
      <c r="Q3961">
        <v>0</v>
      </c>
      <c r="R3961" t="s">
        <v>114</v>
      </c>
      <c r="S3961" t="str">
        <f>"19:41:07.852"</f>
        <v>19:41:07.852</v>
      </c>
      <c r="T3961" t="str">
        <f>"19:41:07.852"</f>
        <v>19:41:07.852</v>
      </c>
      <c r="U3961" t="str">
        <f t="shared" si="184"/>
        <v>a1cdbe</v>
      </c>
      <c r="V3961">
        <v>0</v>
      </c>
      <c r="W3961">
        <v>0</v>
      </c>
      <c r="X3961">
        <v>2</v>
      </c>
      <c r="Y3961">
        <v>0</v>
      </c>
      <c r="Z3961">
        <v>0</v>
      </c>
      <c r="AB3961">
        <v>0</v>
      </c>
      <c r="AC3961">
        <v>9</v>
      </c>
      <c r="AD3961">
        <v>3</v>
      </c>
      <c r="AE3961">
        <v>0</v>
      </c>
      <c r="AF3961">
        <v>9</v>
      </c>
      <c r="AG3961" t="s">
        <v>158</v>
      </c>
      <c r="AH3961">
        <v>0</v>
      </c>
      <c r="AI3961">
        <v>3</v>
      </c>
      <c r="AJ3961">
        <v>1</v>
      </c>
      <c r="AK3961">
        <v>0</v>
      </c>
      <c r="AL3961" t="s">
        <v>7468</v>
      </c>
      <c r="AM3961">
        <v>47.068691000000001</v>
      </c>
      <c r="AN3961" t="s">
        <v>7469</v>
      </c>
      <c r="AO3961">
        <v>-124.019015</v>
      </c>
      <c r="AP3961">
        <v>100</v>
      </c>
      <c r="AQ3961">
        <v>1400</v>
      </c>
      <c r="AR3961" t="s">
        <v>118</v>
      </c>
      <c r="AS3961">
        <v>80</v>
      </c>
      <c r="AT3961">
        <v>8</v>
      </c>
      <c r="AU3961">
        <v>-2112</v>
      </c>
      <c r="BC3961">
        <v>1200</v>
      </c>
      <c r="BD3961">
        <v>1</v>
      </c>
      <c r="BE3961" t="str">
        <f t="shared" si="185"/>
        <v xml:space="preserve">N215T   </v>
      </c>
      <c r="BF3961">
        <v>1</v>
      </c>
      <c r="BH3961">
        <v>0</v>
      </c>
      <c r="BI3961">
        <v>0</v>
      </c>
      <c r="BJ3961">
        <v>0</v>
      </c>
      <c r="BK3961">
        <v>1775</v>
      </c>
      <c r="BL3961">
        <v>375</v>
      </c>
      <c r="BM3961" t="s">
        <v>119</v>
      </c>
      <c r="BN3961">
        <v>1</v>
      </c>
      <c r="BO3961">
        <v>1</v>
      </c>
      <c r="BP3961">
        <v>1</v>
      </c>
      <c r="BQ3961">
        <v>0</v>
      </c>
      <c r="BT3961">
        <v>0</v>
      </c>
      <c r="BU3961">
        <v>0</v>
      </c>
      <c r="BV3961">
        <v>0</v>
      </c>
      <c r="CC3961" t="str">
        <f>"19:41:07.859"</f>
        <v>19:41:07.859</v>
      </c>
      <c r="CD3961" t="str">
        <f>"856131304"</f>
        <v>856131304</v>
      </c>
      <c r="CQ3961">
        <v>0</v>
      </c>
      <c r="CR3961">
        <v>2</v>
      </c>
      <c r="CS3961">
        <v>0</v>
      </c>
      <c r="CT3961">
        <v>2</v>
      </c>
      <c r="CU3961">
        <v>0</v>
      </c>
      <c r="CV3961">
        <v>6</v>
      </c>
      <c r="CW3961" t="s">
        <v>120</v>
      </c>
      <c r="CX3961">
        <v>257</v>
      </c>
      <c r="CY3961">
        <v>0</v>
      </c>
      <c r="CZ3961" t="s">
        <v>615</v>
      </c>
      <c r="DA3961" t="s">
        <v>616</v>
      </c>
      <c r="DD3961">
        <v>16628007</v>
      </c>
      <c r="DE3961" t="s">
        <v>123</v>
      </c>
    </row>
    <row r="3962" spans="1:109" x14ac:dyDescent="0.3">
      <c r="A3962" t="str">
        <f>"19:41:09.227"</f>
        <v>19:41:09.227</v>
      </c>
      <c r="B3962" t="s">
        <v>110</v>
      </c>
      <c r="C3962" t="str">
        <f t="shared" si="186"/>
        <v>ffdfd3c0</v>
      </c>
      <c r="D3962" t="s">
        <v>111</v>
      </c>
      <c r="E3962">
        <v>18</v>
      </c>
      <c r="F3962">
        <v>1018</v>
      </c>
      <c r="G3962" t="s">
        <v>112</v>
      </c>
      <c r="J3962" t="s">
        <v>113</v>
      </c>
      <c r="K3962">
        <v>0</v>
      </c>
      <c r="L3962">
        <v>3</v>
      </c>
      <c r="M3962">
        <v>0</v>
      </c>
      <c r="N3962">
        <v>2</v>
      </c>
      <c r="O3962">
        <v>1</v>
      </c>
      <c r="P3962">
        <v>0</v>
      </c>
      <c r="Q3962">
        <v>0</v>
      </c>
      <c r="R3962" t="s">
        <v>114</v>
      </c>
      <c r="S3962" t="str">
        <f>"19:41:08.961"</f>
        <v>19:41:08.961</v>
      </c>
      <c r="T3962" t="str">
        <f>"19:41:08.859"</f>
        <v>19:41:08.859</v>
      </c>
      <c r="U3962" t="str">
        <f t="shared" si="184"/>
        <v>a1cdbe</v>
      </c>
      <c r="V3962">
        <v>0</v>
      </c>
      <c r="W3962">
        <v>0</v>
      </c>
      <c r="X3962">
        <v>2</v>
      </c>
      <c r="Y3962">
        <v>0</v>
      </c>
      <c r="Z3962">
        <v>0</v>
      </c>
      <c r="AB3962">
        <v>0</v>
      </c>
      <c r="AC3962">
        <v>9</v>
      </c>
      <c r="AD3962">
        <v>3</v>
      </c>
      <c r="AE3962">
        <v>0</v>
      </c>
      <c r="AF3962">
        <v>9</v>
      </c>
      <c r="AG3962" t="s">
        <v>158</v>
      </c>
      <c r="AH3962">
        <v>0</v>
      </c>
      <c r="AI3962">
        <v>3</v>
      </c>
      <c r="AJ3962">
        <v>1</v>
      </c>
      <c r="AK3962">
        <v>0</v>
      </c>
      <c r="AL3962" t="s">
        <v>7470</v>
      </c>
      <c r="AM3962">
        <v>47.068648000000003</v>
      </c>
      <c r="AN3962" t="s">
        <v>7471</v>
      </c>
      <c r="AO3962">
        <v>-124.018457</v>
      </c>
      <c r="AP3962">
        <v>100</v>
      </c>
      <c r="AQ3962">
        <v>1400</v>
      </c>
      <c r="AR3962" t="s">
        <v>118</v>
      </c>
      <c r="AS3962">
        <v>81</v>
      </c>
      <c r="AT3962">
        <v>-2</v>
      </c>
      <c r="AU3962">
        <v>-2240</v>
      </c>
      <c r="BC3962">
        <v>1200</v>
      </c>
      <c r="BD3962">
        <v>1</v>
      </c>
      <c r="BE3962" t="str">
        <f t="shared" si="185"/>
        <v xml:space="preserve">N215T   </v>
      </c>
      <c r="BF3962">
        <v>1</v>
      </c>
      <c r="BH3962">
        <v>0</v>
      </c>
      <c r="BI3962">
        <v>0</v>
      </c>
      <c r="BJ3962">
        <v>0</v>
      </c>
      <c r="BK3962">
        <v>1725</v>
      </c>
      <c r="BL3962">
        <v>325</v>
      </c>
      <c r="BM3962" t="s">
        <v>119</v>
      </c>
      <c r="BN3962">
        <v>1</v>
      </c>
      <c r="BO3962">
        <v>1</v>
      </c>
      <c r="BP3962">
        <v>1</v>
      </c>
      <c r="BQ3962">
        <v>0</v>
      </c>
      <c r="BT3962">
        <v>0</v>
      </c>
      <c r="BU3962">
        <v>0</v>
      </c>
      <c r="BV3962">
        <v>0</v>
      </c>
      <c r="CC3962" t="str">
        <f>"19:41:08.969"</f>
        <v>19:41:08.969</v>
      </c>
      <c r="CD3962" t="str">
        <f>"966021884"</f>
        <v>966021884</v>
      </c>
      <c r="CQ3962">
        <v>0</v>
      </c>
      <c r="CR3962">
        <v>2</v>
      </c>
      <c r="CS3962">
        <v>0</v>
      </c>
      <c r="CT3962">
        <v>2</v>
      </c>
      <c r="CU3962">
        <v>0</v>
      </c>
      <c r="CV3962">
        <v>7</v>
      </c>
      <c r="CW3962" t="s">
        <v>120</v>
      </c>
      <c r="CX3962">
        <v>257</v>
      </c>
      <c r="CY3962">
        <v>0</v>
      </c>
      <c r="CZ3962" t="s">
        <v>615</v>
      </c>
      <c r="DA3962" t="s">
        <v>616</v>
      </c>
      <c r="DD3962">
        <v>16628397</v>
      </c>
      <c r="DE3962" t="s">
        <v>123</v>
      </c>
    </row>
    <row r="3963" spans="1:109" x14ac:dyDescent="0.3">
      <c r="A3963" t="str">
        <f>"19:41:10.125"</f>
        <v>19:41:10.125</v>
      </c>
      <c r="B3963" t="s">
        <v>110</v>
      </c>
      <c r="C3963" t="str">
        <f t="shared" si="186"/>
        <v>ffdfd3c0</v>
      </c>
      <c r="D3963" t="s">
        <v>111</v>
      </c>
      <c r="E3963">
        <v>18</v>
      </c>
      <c r="F3963">
        <v>1018</v>
      </c>
      <c r="G3963" t="s">
        <v>112</v>
      </c>
      <c r="J3963" t="s">
        <v>113</v>
      </c>
      <c r="K3963">
        <v>0</v>
      </c>
      <c r="L3963">
        <v>3</v>
      </c>
      <c r="M3963">
        <v>0</v>
      </c>
      <c r="N3963">
        <v>2</v>
      </c>
      <c r="O3963">
        <v>1</v>
      </c>
      <c r="P3963">
        <v>0</v>
      </c>
      <c r="Q3963">
        <v>0</v>
      </c>
      <c r="R3963" t="s">
        <v>114</v>
      </c>
      <c r="S3963" t="str">
        <f>"19:41:09.875"</f>
        <v>19:41:09.875</v>
      </c>
      <c r="T3963" t="str">
        <f>"19:41:09.875"</f>
        <v>19:41:09.875</v>
      </c>
      <c r="U3963" t="str">
        <f t="shared" si="184"/>
        <v>a1cdbe</v>
      </c>
      <c r="V3963">
        <v>0</v>
      </c>
      <c r="W3963">
        <v>0</v>
      </c>
      <c r="X3963">
        <v>2</v>
      </c>
      <c r="Y3963">
        <v>0</v>
      </c>
      <c r="Z3963">
        <v>0</v>
      </c>
      <c r="AB3963">
        <v>0</v>
      </c>
      <c r="AC3963">
        <v>9</v>
      </c>
      <c r="AD3963">
        <v>3</v>
      </c>
      <c r="AE3963">
        <v>0</v>
      </c>
      <c r="AF3963">
        <v>9</v>
      </c>
      <c r="AG3963" t="s">
        <v>158</v>
      </c>
      <c r="AH3963">
        <v>0</v>
      </c>
      <c r="AI3963">
        <v>3</v>
      </c>
      <c r="AJ3963">
        <v>1</v>
      </c>
      <c r="AK3963">
        <v>0</v>
      </c>
      <c r="AL3963" t="s">
        <v>7470</v>
      </c>
      <c r="AM3963">
        <v>47.068648000000003</v>
      </c>
      <c r="AN3963" t="s">
        <v>7472</v>
      </c>
      <c r="AO3963">
        <v>-124.017899</v>
      </c>
      <c r="AP3963">
        <v>100</v>
      </c>
      <c r="AQ3963">
        <v>1300</v>
      </c>
      <c r="AR3963" t="s">
        <v>118</v>
      </c>
      <c r="AS3963">
        <v>81</v>
      </c>
      <c r="AT3963">
        <v>-12</v>
      </c>
      <c r="AU3963">
        <v>-2368</v>
      </c>
      <c r="BC3963">
        <v>1200</v>
      </c>
      <c r="BD3963">
        <v>1</v>
      </c>
      <c r="BE3963" t="str">
        <f t="shared" si="185"/>
        <v xml:space="preserve">N215T   </v>
      </c>
      <c r="BF3963">
        <v>1</v>
      </c>
      <c r="BH3963">
        <v>0</v>
      </c>
      <c r="BI3963">
        <v>0</v>
      </c>
      <c r="BJ3963">
        <v>0</v>
      </c>
      <c r="BK3963">
        <v>1700</v>
      </c>
      <c r="BL3963">
        <v>400</v>
      </c>
      <c r="BM3963" t="s">
        <v>119</v>
      </c>
      <c r="BN3963">
        <v>1</v>
      </c>
      <c r="BO3963">
        <v>1</v>
      </c>
      <c r="BP3963">
        <v>1</v>
      </c>
      <c r="BQ3963">
        <v>0</v>
      </c>
      <c r="BT3963">
        <v>0</v>
      </c>
      <c r="BU3963">
        <v>0</v>
      </c>
      <c r="BV3963">
        <v>0</v>
      </c>
      <c r="CC3963" t="str">
        <f>"19:41:09.883"</f>
        <v>19:41:09.883</v>
      </c>
      <c r="CD3963" t="str">
        <f>"880931662"</f>
        <v>880931662</v>
      </c>
      <c r="CQ3963">
        <v>0</v>
      </c>
      <c r="CR3963">
        <v>2</v>
      </c>
      <c r="CS3963">
        <v>0</v>
      </c>
      <c r="CT3963">
        <v>2</v>
      </c>
      <c r="CU3963">
        <v>0</v>
      </c>
      <c r="CV3963">
        <v>6</v>
      </c>
      <c r="CW3963" t="s">
        <v>120</v>
      </c>
      <c r="CX3963">
        <v>257</v>
      </c>
      <c r="CY3963">
        <v>0</v>
      </c>
      <c r="CZ3963" t="s">
        <v>615</v>
      </c>
      <c r="DA3963" t="s">
        <v>616</v>
      </c>
      <c r="DD3963">
        <v>16628708</v>
      </c>
      <c r="DE3963" t="s">
        <v>123</v>
      </c>
    </row>
    <row r="3964" spans="1:109" x14ac:dyDescent="0.3">
      <c r="A3964" t="str">
        <f>"19:41:11.133"</f>
        <v>19:41:11.133</v>
      </c>
      <c r="B3964" t="s">
        <v>110</v>
      </c>
      <c r="C3964" t="str">
        <f t="shared" si="186"/>
        <v>ffdfd3c0</v>
      </c>
      <c r="D3964" t="s">
        <v>111</v>
      </c>
      <c r="E3964">
        <v>18</v>
      </c>
      <c r="F3964">
        <v>1018</v>
      </c>
      <c r="G3964" t="s">
        <v>112</v>
      </c>
      <c r="J3964" t="s">
        <v>113</v>
      </c>
      <c r="K3964">
        <v>0</v>
      </c>
      <c r="L3964">
        <v>3</v>
      </c>
      <c r="M3964">
        <v>0</v>
      </c>
      <c r="N3964">
        <v>2</v>
      </c>
      <c r="O3964">
        <v>1</v>
      </c>
      <c r="P3964">
        <v>0</v>
      </c>
      <c r="Q3964">
        <v>0</v>
      </c>
      <c r="R3964" t="s">
        <v>114</v>
      </c>
      <c r="S3964" t="str">
        <f>"19:41:10.898"</f>
        <v>19:41:10.898</v>
      </c>
      <c r="T3964" t="str">
        <f>"19:41:10.797"</f>
        <v>19:41:10.797</v>
      </c>
      <c r="U3964" t="str">
        <f t="shared" si="184"/>
        <v>a1cdbe</v>
      </c>
      <c r="V3964">
        <v>0</v>
      </c>
      <c r="W3964">
        <v>0</v>
      </c>
      <c r="X3964">
        <v>2</v>
      </c>
      <c r="Y3964">
        <v>0</v>
      </c>
      <c r="Z3964">
        <v>0</v>
      </c>
      <c r="AB3964">
        <v>0</v>
      </c>
      <c r="AC3964">
        <v>9</v>
      </c>
      <c r="AD3964">
        <v>3</v>
      </c>
      <c r="AE3964">
        <v>0</v>
      </c>
      <c r="AF3964">
        <v>9</v>
      </c>
      <c r="AG3964" t="s">
        <v>158</v>
      </c>
      <c r="AH3964">
        <v>0</v>
      </c>
      <c r="AI3964">
        <v>3</v>
      </c>
      <c r="AJ3964">
        <v>1</v>
      </c>
      <c r="AK3964">
        <v>0</v>
      </c>
      <c r="AL3964" t="s">
        <v>7473</v>
      </c>
      <c r="AM3964">
        <v>47.068541000000003</v>
      </c>
      <c r="AN3964" t="s">
        <v>7474</v>
      </c>
      <c r="AO3964">
        <v>-124.01738400000001</v>
      </c>
      <c r="AP3964">
        <v>100</v>
      </c>
      <c r="AQ3964">
        <v>1300</v>
      </c>
      <c r="AR3964" t="s">
        <v>118</v>
      </c>
      <c r="AS3964">
        <v>80</v>
      </c>
      <c r="AT3964">
        <v>-21</v>
      </c>
      <c r="AU3964">
        <v>-2432</v>
      </c>
      <c r="BC3964">
        <v>1200</v>
      </c>
      <c r="BD3964">
        <v>1</v>
      </c>
      <c r="BE3964" t="str">
        <f t="shared" si="185"/>
        <v xml:space="preserve">N215T   </v>
      </c>
      <c r="BF3964">
        <v>1</v>
      </c>
      <c r="BH3964">
        <v>0</v>
      </c>
      <c r="BI3964">
        <v>0</v>
      </c>
      <c r="BJ3964">
        <v>0</v>
      </c>
      <c r="BK3964">
        <v>1650</v>
      </c>
      <c r="BL3964">
        <v>350</v>
      </c>
      <c r="BM3964" t="s">
        <v>119</v>
      </c>
      <c r="BN3964">
        <v>1</v>
      </c>
      <c r="BO3964">
        <v>1</v>
      </c>
      <c r="BP3964">
        <v>1</v>
      </c>
      <c r="BQ3964">
        <v>0</v>
      </c>
      <c r="BT3964">
        <v>0</v>
      </c>
      <c r="BU3964">
        <v>0</v>
      </c>
      <c r="BV3964">
        <v>0</v>
      </c>
      <c r="CC3964" t="str">
        <f>"19:41:10.898"</f>
        <v>19:41:10.898</v>
      </c>
      <c r="CD3964" t="str">
        <f>"900831074"</f>
        <v>900831074</v>
      </c>
      <c r="CQ3964">
        <v>0</v>
      </c>
      <c r="CR3964">
        <v>2</v>
      </c>
      <c r="CS3964">
        <v>0</v>
      </c>
      <c r="CT3964">
        <v>2</v>
      </c>
      <c r="CU3964">
        <v>0</v>
      </c>
      <c r="CV3964">
        <v>6</v>
      </c>
      <c r="CW3964" t="s">
        <v>120</v>
      </c>
      <c r="CX3964">
        <v>257</v>
      </c>
      <c r="CY3964">
        <v>0</v>
      </c>
      <c r="CZ3964" t="s">
        <v>615</v>
      </c>
      <c r="DA3964" t="s">
        <v>616</v>
      </c>
      <c r="DD3964">
        <v>16629061</v>
      </c>
      <c r="DE3964" t="s">
        <v>123</v>
      </c>
    </row>
    <row r="3965" spans="1:109" x14ac:dyDescent="0.3">
      <c r="A3965" t="str">
        <f>"19:41:12.188"</f>
        <v>19:41:12.188</v>
      </c>
      <c r="B3965" t="s">
        <v>110</v>
      </c>
      <c r="C3965" t="str">
        <f t="shared" si="186"/>
        <v>ffdfd3c0</v>
      </c>
      <c r="D3965" t="s">
        <v>111</v>
      </c>
      <c r="E3965">
        <v>18</v>
      </c>
      <c r="F3965">
        <v>1018</v>
      </c>
      <c r="G3965" t="s">
        <v>112</v>
      </c>
      <c r="J3965" t="s">
        <v>113</v>
      </c>
      <c r="K3965">
        <v>0</v>
      </c>
      <c r="L3965">
        <v>3</v>
      </c>
      <c r="M3965">
        <v>0</v>
      </c>
      <c r="N3965">
        <v>2</v>
      </c>
      <c r="O3965">
        <v>1</v>
      </c>
      <c r="P3965">
        <v>0</v>
      </c>
      <c r="Q3965">
        <v>0</v>
      </c>
      <c r="R3965" t="s">
        <v>114</v>
      </c>
      <c r="S3965" t="str">
        <f>"19:41:11.945"</f>
        <v>19:41:11.945</v>
      </c>
      <c r="T3965" t="str">
        <f>"19:41:11.844"</f>
        <v>19:41:11.844</v>
      </c>
      <c r="U3965" t="str">
        <f t="shared" si="184"/>
        <v>a1cdbe</v>
      </c>
      <c r="V3965">
        <v>0</v>
      </c>
      <c r="W3965">
        <v>0</v>
      </c>
      <c r="X3965">
        <v>2</v>
      </c>
      <c r="Y3965">
        <v>0</v>
      </c>
      <c r="Z3965">
        <v>0</v>
      </c>
      <c r="AB3965">
        <v>0</v>
      </c>
      <c r="AC3965">
        <v>9</v>
      </c>
      <c r="AD3965">
        <v>3</v>
      </c>
      <c r="AE3965">
        <v>0</v>
      </c>
      <c r="AF3965">
        <v>9</v>
      </c>
      <c r="AG3965" t="s">
        <v>158</v>
      </c>
      <c r="AH3965">
        <v>0</v>
      </c>
      <c r="AI3965">
        <v>3</v>
      </c>
      <c r="AJ3965">
        <v>1</v>
      </c>
      <c r="AK3965">
        <v>0</v>
      </c>
      <c r="AL3965" t="s">
        <v>7475</v>
      </c>
      <c r="AM3965">
        <v>47.068412000000002</v>
      </c>
      <c r="AN3965" t="s">
        <v>7476</v>
      </c>
      <c r="AO3965">
        <v>-124.016762</v>
      </c>
      <c r="AP3965">
        <v>100</v>
      </c>
      <c r="AQ3965">
        <v>1200</v>
      </c>
      <c r="AR3965" t="s">
        <v>118</v>
      </c>
      <c r="AS3965">
        <v>78</v>
      </c>
      <c r="AT3965">
        <v>-29</v>
      </c>
      <c r="AU3965">
        <v>-2368</v>
      </c>
      <c r="BC3965">
        <v>1200</v>
      </c>
      <c r="BD3965">
        <v>1</v>
      </c>
      <c r="BE3965" t="str">
        <f t="shared" si="185"/>
        <v xml:space="preserve">N215T   </v>
      </c>
      <c r="BF3965">
        <v>1</v>
      </c>
      <c r="BH3965">
        <v>0</v>
      </c>
      <c r="BI3965">
        <v>0</v>
      </c>
      <c r="BJ3965">
        <v>0</v>
      </c>
      <c r="BK3965">
        <v>1725</v>
      </c>
      <c r="BL3965">
        <v>525</v>
      </c>
      <c r="BM3965" t="s">
        <v>119</v>
      </c>
      <c r="BN3965">
        <v>1</v>
      </c>
      <c r="BO3965">
        <v>1</v>
      </c>
      <c r="BP3965">
        <v>1</v>
      </c>
      <c r="BQ3965">
        <v>0</v>
      </c>
      <c r="BT3965">
        <v>0</v>
      </c>
      <c r="BU3965">
        <v>0</v>
      </c>
      <c r="BV3965">
        <v>0</v>
      </c>
      <c r="CC3965" t="str">
        <f>"19:41:11.953"</f>
        <v>19:41:11.953</v>
      </c>
      <c r="CD3965" t="str">
        <f>"950727516"</f>
        <v>950727516</v>
      </c>
      <c r="CQ3965">
        <v>0</v>
      </c>
      <c r="CR3965">
        <v>2</v>
      </c>
      <c r="CS3965">
        <v>0</v>
      </c>
      <c r="CT3965">
        <v>2</v>
      </c>
      <c r="CU3965">
        <v>0</v>
      </c>
      <c r="CV3965">
        <v>6</v>
      </c>
      <c r="CW3965" t="s">
        <v>120</v>
      </c>
      <c r="CX3965">
        <v>257</v>
      </c>
      <c r="CY3965">
        <v>0</v>
      </c>
      <c r="CZ3965" t="s">
        <v>615</v>
      </c>
      <c r="DA3965" t="s">
        <v>616</v>
      </c>
      <c r="DD3965">
        <v>16629392</v>
      </c>
      <c r="DE3965" t="s">
        <v>123</v>
      </c>
    </row>
    <row r="3966" spans="1:109" x14ac:dyDescent="0.3">
      <c r="A3966" t="str">
        <f>"19:41:13.047"</f>
        <v>19:41:13.047</v>
      </c>
      <c r="B3966" t="s">
        <v>110</v>
      </c>
      <c r="C3966" t="str">
        <f t="shared" si="186"/>
        <v>ffdfd3c0</v>
      </c>
      <c r="D3966" t="s">
        <v>111</v>
      </c>
      <c r="E3966">
        <v>18</v>
      </c>
      <c r="F3966">
        <v>1018</v>
      </c>
      <c r="G3966" t="s">
        <v>112</v>
      </c>
      <c r="J3966" t="s">
        <v>113</v>
      </c>
      <c r="K3966">
        <v>0</v>
      </c>
      <c r="L3966">
        <v>3</v>
      </c>
      <c r="M3966">
        <v>0</v>
      </c>
      <c r="N3966">
        <v>2</v>
      </c>
      <c r="O3966">
        <v>1</v>
      </c>
      <c r="P3966">
        <v>0</v>
      </c>
      <c r="Q3966">
        <v>0</v>
      </c>
      <c r="R3966" t="s">
        <v>114</v>
      </c>
      <c r="S3966" t="str">
        <f>"19:41:12.805"</f>
        <v>19:41:12.805</v>
      </c>
      <c r="T3966" t="str">
        <f>"19:41:12.305"</f>
        <v>19:41:12.305</v>
      </c>
      <c r="U3966" t="str">
        <f t="shared" si="184"/>
        <v>a1cdbe</v>
      </c>
      <c r="V3966">
        <v>0</v>
      </c>
      <c r="W3966">
        <v>0</v>
      </c>
      <c r="X3966">
        <v>2</v>
      </c>
      <c r="Y3966">
        <v>0</v>
      </c>
      <c r="Z3966">
        <v>0</v>
      </c>
      <c r="AB3966">
        <v>0</v>
      </c>
      <c r="AC3966">
        <v>9</v>
      </c>
      <c r="AD3966">
        <v>3</v>
      </c>
      <c r="AE3966">
        <v>0</v>
      </c>
      <c r="AF3966">
        <v>9</v>
      </c>
      <c r="AG3966" t="s">
        <v>158</v>
      </c>
      <c r="AH3966">
        <v>0</v>
      </c>
      <c r="AI3966">
        <v>3</v>
      </c>
      <c r="AJ3966">
        <v>1</v>
      </c>
      <c r="AK3966">
        <v>0</v>
      </c>
      <c r="AL3966" t="s">
        <v>467</v>
      </c>
      <c r="AM3966">
        <v>47.068261999999997</v>
      </c>
      <c r="AN3966" t="s">
        <v>7477</v>
      </c>
      <c r="AO3966">
        <v>-124.01635400000001</v>
      </c>
      <c r="AP3966">
        <v>100</v>
      </c>
      <c r="AQ3966">
        <v>1200</v>
      </c>
      <c r="AR3966" t="s">
        <v>118</v>
      </c>
      <c r="AS3966">
        <v>77</v>
      </c>
      <c r="AT3966">
        <v>-32</v>
      </c>
      <c r="AU3966">
        <v>-2304</v>
      </c>
      <c r="BC3966">
        <v>1200</v>
      </c>
      <c r="BD3966">
        <v>1</v>
      </c>
      <c r="BE3966" t="str">
        <f t="shared" si="185"/>
        <v xml:space="preserve">N215T   </v>
      </c>
      <c r="BF3966">
        <v>1</v>
      </c>
      <c r="BH3966">
        <v>0</v>
      </c>
      <c r="BI3966">
        <v>0</v>
      </c>
      <c r="BJ3966">
        <v>0</v>
      </c>
      <c r="BK3966">
        <v>1600</v>
      </c>
      <c r="BL3966">
        <v>400</v>
      </c>
      <c r="BM3966" t="s">
        <v>119</v>
      </c>
      <c r="BN3966">
        <v>1</v>
      </c>
      <c r="BO3966">
        <v>1</v>
      </c>
      <c r="BP3966">
        <v>1</v>
      </c>
      <c r="BQ3966">
        <v>0</v>
      </c>
      <c r="BT3966">
        <v>0</v>
      </c>
      <c r="BU3966">
        <v>0</v>
      </c>
      <c r="BV3966">
        <v>0</v>
      </c>
      <c r="CC3966" t="str">
        <f>"19:41:12.805"</f>
        <v>19:41:12.805</v>
      </c>
      <c r="CD3966" t="str">
        <f>"805643177"</f>
        <v>805643177</v>
      </c>
      <c r="CQ3966">
        <v>0</v>
      </c>
      <c r="CR3966">
        <v>2</v>
      </c>
      <c r="CS3966">
        <v>0</v>
      </c>
      <c r="CT3966">
        <v>2</v>
      </c>
      <c r="CU3966">
        <v>0</v>
      </c>
      <c r="CV3966">
        <v>6</v>
      </c>
      <c r="CW3966" t="s">
        <v>120</v>
      </c>
      <c r="CX3966">
        <v>257</v>
      </c>
      <c r="CY3966">
        <v>0</v>
      </c>
      <c r="CZ3966" t="s">
        <v>615</v>
      </c>
      <c r="DA3966" t="s">
        <v>616</v>
      </c>
      <c r="DD3966">
        <v>16629683</v>
      </c>
      <c r="DE3966" t="s">
        <v>123</v>
      </c>
    </row>
    <row r="3967" spans="1:109" x14ac:dyDescent="0.3">
      <c r="A3967" t="str">
        <f>"19:41:14.047"</f>
        <v>19:41:14.047</v>
      </c>
      <c r="B3967" t="s">
        <v>110</v>
      </c>
      <c r="C3967" t="str">
        <f t="shared" si="186"/>
        <v>ffdfd3c0</v>
      </c>
      <c r="D3967" t="s">
        <v>111</v>
      </c>
      <c r="E3967">
        <v>18</v>
      </c>
      <c r="F3967">
        <v>1018</v>
      </c>
      <c r="G3967" t="s">
        <v>112</v>
      </c>
      <c r="J3967" t="s">
        <v>113</v>
      </c>
      <c r="K3967">
        <v>0</v>
      </c>
      <c r="L3967">
        <v>3</v>
      </c>
      <c r="M3967">
        <v>0</v>
      </c>
      <c r="N3967">
        <v>2</v>
      </c>
      <c r="O3967">
        <v>1</v>
      </c>
      <c r="P3967">
        <v>0</v>
      </c>
      <c r="Q3967">
        <v>0</v>
      </c>
      <c r="R3967" t="s">
        <v>114</v>
      </c>
      <c r="S3967" t="str">
        <f>"19:41:13.805"</f>
        <v>19:41:13.805</v>
      </c>
      <c r="T3967" t="str">
        <f>"19:41:13.703"</f>
        <v>19:41:13.703</v>
      </c>
      <c r="U3967" t="str">
        <f t="shared" si="184"/>
        <v>a1cdbe</v>
      </c>
      <c r="V3967">
        <v>0</v>
      </c>
      <c r="W3967">
        <v>0</v>
      </c>
      <c r="X3967">
        <v>2</v>
      </c>
      <c r="Y3967">
        <v>0</v>
      </c>
      <c r="Z3967">
        <v>0</v>
      </c>
      <c r="AB3967">
        <v>0</v>
      </c>
      <c r="AC3967">
        <v>9</v>
      </c>
      <c r="AD3967">
        <v>3</v>
      </c>
      <c r="AE3967">
        <v>0</v>
      </c>
      <c r="AF3967">
        <v>9</v>
      </c>
      <c r="AG3967" t="s">
        <v>158</v>
      </c>
      <c r="AH3967">
        <v>0</v>
      </c>
      <c r="AI3967">
        <v>3</v>
      </c>
      <c r="AJ3967">
        <v>1</v>
      </c>
      <c r="AK3967">
        <v>0</v>
      </c>
      <c r="AL3967" t="s">
        <v>7478</v>
      </c>
      <c r="AM3967">
        <v>47.068089999999998</v>
      </c>
      <c r="AN3967" t="s">
        <v>7479</v>
      </c>
      <c r="AO3967">
        <v>-124.015861</v>
      </c>
      <c r="AP3967">
        <v>100</v>
      </c>
      <c r="AQ3967">
        <v>1200</v>
      </c>
      <c r="AR3967" t="s">
        <v>118</v>
      </c>
      <c r="AS3967">
        <v>75</v>
      </c>
      <c r="AT3967">
        <v>-39</v>
      </c>
      <c r="AU3967">
        <v>-1920</v>
      </c>
      <c r="BC3967">
        <v>1200</v>
      </c>
      <c r="BD3967">
        <v>1</v>
      </c>
      <c r="BE3967" t="str">
        <f t="shared" si="185"/>
        <v xml:space="preserve">N215T   </v>
      </c>
      <c r="BF3967">
        <v>1</v>
      </c>
      <c r="BH3967">
        <v>0</v>
      </c>
      <c r="BI3967">
        <v>0</v>
      </c>
      <c r="BJ3967">
        <v>0</v>
      </c>
      <c r="BK3967">
        <v>1550</v>
      </c>
      <c r="BL3967">
        <v>350</v>
      </c>
      <c r="BM3967" t="s">
        <v>119</v>
      </c>
      <c r="BN3967">
        <v>1</v>
      </c>
      <c r="BO3967">
        <v>1</v>
      </c>
      <c r="BP3967">
        <v>1</v>
      </c>
      <c r="BQ3967">
        <v>0</v>
      </c>
      <c r="BT3967">
        <v>0</v>
      </c>
      <c r="BU3967">
        <v>0</v>
      </c>
      <c r="BV3967">
        <v>0</v>
      </c>
      <c r="CC3967" t="str">
        <f>"19:41:13.813"</f>
        <v>19:41:13.813</v>
      </c>
      <c r="CD3967" t="str">
        <f>"810544050"</f>
        <v>810544050</v>
      </c>
      <c r="CQ3967">
        <v>0</v>
      </c>
      <c r="CR3967">
        <v>2</v>
      </c>
      <c r="CS3967">
        <v>0</v>
      </c>
      <c r="CT3967">
        <v>2</v>
      </c>
      <c r="CU3967">
        <v>0</v>
      </c>
      <c r="CV3967">
        <v>6</v>
      </c>
      <c r="CW3967" t="s">
        <v>120</v>
      </c>
      <c r="CX3967">
        <v>257</v>
      </c>
      <c r="CY3967">
        <v>0</v>
      </c>
      <c r="CZ3967" t="s">
        <v>615</v>
      </c>
      <c r="DA3967" t="s">
        <v>616</v>
      </c>
      <c r="DD3967">
        <v>16630028</v>
      </c>
      <c r="DE3967" t="s">
        <v>123</v>
      </c>
    </row>
    <row r="3968" spans="1:109" x14ac:dyDescent="0.3">
      <c r="A3968" t="str">
        <f>"19:41:15.156"</f>
        <v>19:41:15.156</v>
      </c>
      <c r="B3968" t="s">
        <v>110</v>
      </c>
      <c r="C3968" t="str">
        <f t="shared" si="186"/>
        <v>ffdfd3c0</v>
      </c>
      <c r="D3968" t="s">
        <v>111</v>
      </c>
      <c r="E3968">
        <v>18</v>
      </c>
      <c r="F3968">
        <v>1018</v>
      </c>
      <c r="G3968" t="s">
        <v>112</v>
      </c>
      <c r="J3968" t="s">
        <v>113</v>
      </c>
      <c r="K3968">
        <v>0</v>
      </c>
      <c r="L3968">
        <v>3</v>
      </c>
      <c r="M3968">
        <v>0</v>
      </c>
      <c r="N3968">
        <v>2</v>
      </c>
      <c r="O3968">
        <v>1</v>
      </c>
      <c r="P3968">
        <v>0</v>
      </c>
      <c r="Q3968">
        <v>0</v>
      </c>
      <c r="R3968" t="s">
        <v>114</v>
      </c>
      <c r="S3968" t="str">
        <f>"19:41:14.875"</f>
        <v>19:41:14.875</v>
      </c>
      <c r="T3968" t="str">
        <f>"19:41:14.672"</f>
        <v>19:41:14.672</v>
      </c>
      <c r="U3968" t="str">
        <f t="shared" si="184"/>
        <v>a1cdbe</v>
      </c>
      <c r="V3968">
        <v>0</v>
      </c>
      <c r="W3968">
        <v>0</v>
      </c>
      <c r="X3968">
        <v>2</v>
      </c>
      <c r="Y3968">
        <v>0</v>
      </c>
      <c r="Z3968">
        <v>0</v>
      </c>
      <c r="AB3968">
        <v>0</v>
      </c>
      <c r="AC3968">
        <v>9</v>
      </c>
      <c r="AD3968">
        <v>3</v>
      </c>
      <c r="AE3968">
        <v>0</v>
      </c>
      <c r="AF3968">
        <v>9</v>
      </c>
      <c r="AG3968" t="s">
        <v>158</v>
      </c>
      <c r="AH3968">
        <v>0</v>
      </c>
      <c r="AI3968">
        <v>3</v>
      </c>
      <c r="AJ3968">
        <v>1</v>
      </c>
      <c r="AK3968">
        <v>0</v>
      </c>
      <c r="AL3968" t="s">
        <v>7480</v>
      </c>
      <c r="AM3968">
        <v>47.067853999999997</v>
      </c>
      <c r="AN3968" t="s">
        <v>7481</v>
      </c>
      <c r="AO3968">
        <v>-124.01532400000001</v>
      </c>
      <c r="AP3968">
        <v>100</v>
      </c>
      <c r="AQ3968">
        <v>1100</v>
      </c>
      <c r="AR3968" t="s">
        <v>118</v>
      </c>
      <c r="AS3968">
        <v>73</v>
      </c>
      <c r="AT3968">
        <v>-42</v>
      </c>
      <c r="AU3968">
        <v>-1728</v>
      </c>
      <c r="BC3968">
        <v>1200</v>
      </c>
      <c r="BD3968">
        <v>1</v>
      </c>
      <c r="BE3968" t="str">
        <f t="shared" si="185"/>
        <v xml:space="preserve">N215T   </v>
      </c>
      <c r="BF3968">
        <v>1</v>
      </c>
      <c r="BH3968">
        <v>0</v>
      </c>
      <c r="BI3968">
        <v>0</v>
      </c>
      <c r="BJ3968">
        <v>0</v>
      </c>
      <c r="BK3968">
        <v>1525</v>
      </c>
      <c r="BL3968">
        <v>425</v>
      </c>
      <c r="BM3968" t="s">
        <v>119</v>
      </c>
      <c r="BN3968">
        <v>1</v>
      </c>
      <c r="BO3968">
        <v>1</v>
      </c>
      <c r="BP3968">
        <v>1</v>
      </c>
      <c r="BQ3968">
        <v>0</v>
      </c>
      <c r="BT3968">
        <v>0</v>
      </c>
      <c r="BU3968">
        <v>0</v>
      </c>
      <c r="BV3968">
        <v>0</v>
      </c>
      <c r="CC3968" t="str">
        <f>"19:41:14.875"</f>
        <v>19:41:14.875</v>
      </c>
      <c r="CD3968" t="str">
        <f>"875438983"</f>
        <v>875438983</v>
      </c>
      <c r="CQ3968">
        <v>0</v>
      </c>
      <c r="CR3968">
        <v>2</v>
      </c>
      <c r="CS3968">
        <v>0</v>
      </c>
      <c r="CT3968">
        <v>2</v>
      </c>
      <c r="CU3968">
        <v>0</v>
      </c>
      <c r="CV3968">
        <v>6</v>
      </c>
      <c r="CW3968" t="s">
        <v>120</v>
      </c>
      <c r="CX3968">
        <v>257</v>
      </c>
      <c r="CY3968">
        <v>0</v>
      </c>
      <c r="CZ3968" t="s">
        <v>615</v>
      </c>
      <c r="DA3968" t="s">
        <v>616</v>
      </c>
      <c r="DD3968">
        <v>16630366</v>
      </c>
      <c r="DE3968" t="s">
        <v>123</v>
      </c>
    </row>
    <row r="3969" spans="1:109" x14ac:dyDescent="0.3">
      <c r="A3969" t="str">
        <f>"19:41:16.063"</f>
        <v>19:41:16.063</v>
      </c>
      <c r="B3969" t="s">
        <v>110</v>
      </c>
      <c r="C3969" t="str">
        <f t="shared" si="186"/>
        <v>ffdfd3c0</v>
      </c>
      <c r="D3969" t="s">
        <v>111</v>
      </c>
      <c r="E3969">
        <v>18</v>
      </c>
      <c r="F3969">
        <v>1018</v>
      </c>
      <c r="G3969" t="s">
        <v>112</v>
      </c>
      <c r="J3969" t="s">
        <v>113</v>
      </c>
      <c r="K3969">
        <v>0</v>
      </c>
      <c r="L3969">
        <v>3</v>
      </c>
      <c r="M3969">
        <v>0</v>
      </c>
      <c r="N3969">
        <v>2</v>
      </c>
      <c r="O3969">
        <v>1</v>
      </c>
      <c r="P3969">
        <v>0</v>
      </c>
      <c r="Q3969">
        <v>0</v>
      </c>
      <c r="R3969" t="s">
        <v>114</v>
      </c>
      <c r="S3969" t="str">
        <f>"19:41:15.820"</f>
        <v>19:41:15.820</v>
      </c>
      <c r="T3969" t="str">
        <f>"19:41:15.117"</f>
        <v>19:41:15.117</v>
      </c>
      <c r="U3969" t="str">
        <f t="shared" si="184"/>
        <v>a1cdbe</v>
      </c>
      <c r="V3969">
        <v>0</v>
      </c>
      <c r="W3969">
        <v>0</v>
      </c>
      <c r="X3969">
        <v>2</v>
      </c>
      <c r="Y3969">
        <v>0</v>
      </c>
      <c r="Z3969">
        <v>0</v>
      </c>
      <c r="AB3969">
        <v>0</v>
      </c>
      <c r="AC3969">
        <v>9</v>
      </c>
      <c r="AD3969">
        <v>3</v>
      </c>
      <c r="AE3969">
        <v>0</v>
      </c>
      <c r="AF3969">
        <v>9</v>
      </c>
      <c r="AG3969" t="s">
        <v>158</v>
      </c>
      <c r="AH3969">
        <v>0</v>
      </c>
      <c r="AI3969">
        <v>3</v>
      </c>
      <c r="AJ3969">
        <v>1</v>
      </c>
      <c r="AK3969">
        <v>0</v>
      </c>
      <c r="AL3969" t="s">
        <v>7482</v>
      </c>
      <c r="AM3969">
        <v>47.067661000000001</v>
      </c>
      <c r="AN3969" t="s">
        <v>7483</v>
      </c>
      <c r="AO3969">
        <v>-124.01487400000001</v>
      </c>
      <c r="AP3969">
        <v>100</v>
      </c>
      <c r="AQ3969">
        <v>1100</v>
      </c>
      <c r="AR3969" t="s">
        <v>118</v>
      </c>
      <c r="AS3969">
        <v>72</v>
      </c>
      <c r="AT3969">
        <v>-43</v>
      </c>
      <c r="AU3969">
        <v>-1600</v>
      </c>
      <c r="BC3969">
        <v>1200</v>
      </c>
      <c r="BD3969">
        <v>1</v>
      </c>
      <c r="BE3969" t="str">
        <f t="shared" si="185"/>
        <v xml:space="preserve">N215T   </v>
      </c>
      <c r="BF3969">
        <v>1</v>
      </c>
      <c r="BH3969">
        <v>0</v>
      </c>
      <c r="BI3969">
        <v>0</v>
      </c>
      <c r="BJ3969">
        <v>0</v>
      </c>
      <c r="BK3969">
        <v>1500</v>
      </c>
      <c r="BL3969">
        <v>400</v>
      </c>
      <c r="BM3969" t="s">
        <v>119</v>
      </c>
      <c r="BN3969">
        <v>1</v>
      </c>
      <c r="BO3969">
        <v>1</v>
      </c>
      <c r="BP3969">
        <v>1</v>
      </c>
      <c r="BQ3969">
        <v>0</v>
      </c>
      <c r="BT3969">
        <v>0</v>
      </c>
      <c r="BU3969">
        <v>0</v>
      </c>
      <c r="BV3969">
        <v>0</v>
      </c>
      <c r="CC3969" t="str">
        <f>"19:41:15.820"</f>
        <v>19:41:15.820</v>
      </c>
      <c r="CD3969" t="str">
        <f>"820345753"</f>
        <v>820345753</v>
      </c>
      <c r="CQ3969">
        <v>0</v>
      </c>
      <c r="CR3969">
        <v>2</v>
      </c>
      <c r="CS3969">
        <v>0</v>
      </c>
      <c r="CT3969">
        <v>2</v>
      </c>
      <c r="CU3969">
        <v>0</v>
      </c>
      <c r="CV3969">
        <v>6</v>
      </c>
      <c r="CW3969" t="s">
        <v>120</v>
      </c>
      <c r="CX3969">
        <v>257</v>
      </c>
      <c r="CY3969">
        <v>0</v>
      </c>
      <c r="CZ3969" t="s">
        <v>615</v>
      </c>
      <c r="DA3969" t="s">
        <v>616</v>
      </c>
      <c r="DD3969">
        <v>16630655</v>
      </c>
      <c r="DE3969" t="s">
        <v>123</v>
      </c>
    </row>
    <row r="3970" spans="1:109" x14ac:dyDescent="0.3">
      <c r="A3970" t="str">
        <f>"19:41:17.016"</f>
        <v>19:41:17.016</v>
      </c>
      <c r="B3970" t="s">
        <v>110</v>
      </c>
      <c r="C3970" t="str">
        <f t="shared" si="186"/>
        <v>ffdfd3c0</v>
      </c>
      <c r="D3970" t="s">
        <v>111</v>
      </c>
      <c r="E3970">
        <v>18</v>
      </c>
      <c r="F3970">
        <v>1018</v>
      </c>
      <c r="G3970" t="s">
        <v>112</v>
      </c>
      <c r="J3970" t="s">
        <v>113</v>
      </c>
      <c r="K3970">
        <v>0</v>
      </c>
      <c r="L3970">
        <v>3</v>
      </c>
      <c r="M3970">
        <v>0</v>
      </c>
      <c r="N3970">
        <v>2</v>
      </c>
      <c r="O3970">
        <v>1</v>
      </c>
      <c r="P3970">
        <v>0</v>
      </c>
      <c r="Q3970">
        <v>0</v>
      </c>
      <c r="R3970" t="s">
        <v>114</v>
      </c>
      <c r="S3970" t="str">
        <f>"19:41:16.789"</f>
        <v>19:41:16.789</v>
      </c>
      <c r="T3970" t="str">
        <f>"19:41:16.688"</f>
        <v>19:41:16.688</v>
      </c>
      <c r="U3970" t="str">
        <f t="shared" ref="U3970:U4033" si="187">"a1cdbe"</f>
        <v>a1cdbe</v>
      </c>
      <c r="V3970">
        <v>0</v>
      </c>
      <c r="W3970">
        <v>0</v>
      </c>
      <c r="X3970">
        <v>2</v>
      </c>
      <c r="Y3970">
        <v>0</v>
      </c>
      <c r="Z3970">
        <v>0</v>
      </c>
      <c r="AB3970">
        <v>0</v>
      </c>
      <c r="AC3970">
        <v>9</v>
      </c>
      <c r="AD3970">
        <v>3</v>
      </c>
      <c r="AE3970">
        <v>0</v>
      </c>
      <c r="AF3970">
        <v>9</v>
      </c>
      <c r="AG3970" t="s">
        <v>158</v>
      </c>
      <c r="AH3970">
        <v>0</v>
      </c>
      <c r="AI3970">
        <v>3</v>
      </c>
      <c r="AJ3970">
        <v>1</v>
      </c>
      <c r="AK3970">
        <v>0</v>
      </c>
      <c r="AL3970" t="s">
        <v>7484</v>
      </c>
      <c r="AM3970">
        <v>47.067447000000001</v>
      </c>
      <c r="AN3970" t="s">
        <v>7485</v>
      </c>
      <c r="AO3970">
        <v>-124.01442299999999</v>
      </c>
      <c r="AP3970">
        <v>100</v>
      </c>
      <c r="AQ3970">
        <v>1100</v>
      </c>
      <c r="AR3970" t="s">
        <v>118</v>
      </c>
      <c r="AS3970">
        <v>69</v>
      </c>
      <c r="AT3970">
        <v>-46</v>
      </c>
      <c r="AU3970">
        <v>-1344</v>
      </c>
      <c r="BC3970">
        <v>1200</v>
      </c>
      <c r="BD3970">
        <v>1</v>
      </c>
      <c r="BE3970" t="str">
        <f t="shared" ref="BE3970:BE4033" si="188">"N215T   "</f>
        <v xml:space="preserve">N215T   </v>
      </c>
      <c r="BF3970">
        <v>1</v>
      </c>
      <c r="BH3970">
        <v>0</v>
      </c>
      <c r="BI3970">
        <v>0</v>
      </c>
      <c r="BJ3970">
        <v>0</v>
      </c>
      <c r="BK3970">
        <v>1475</v>
      </c>
      <c r="BL3970">
        <v>375</v>
      </c>
      <c r="BM3970" t="s">
        <v>119</v>
      </c>
      <c r="BN3970">
        <v>1</v>
      </c>
      <c r="BO3970">
        <v>1</v>
      </c>
      <c r="BP3970">
        <v>1</v>
      </c>
      <c r="BQ3970">
        <v>0</v>
      </c>
      <c r="BT3970">
        <v>0</v>
      </c>
      <c r="BU3970">
        <v>0</v>
      </c>
      <c r="BV3970">
        <v>0</v>
      </c>
      <c r="CC3970" t="str">
        <f>"19:41:16.797"</f>
        <v>19:41:16.797</v>
      </c>
      <c r="CD3970" t="str">
        <f>"795249573"</f>
        <v>795249573</v>
      </c>
      <c r="CQ3970">
        <v>0</v>
      </c>
      <c r="CR3970">
        <v>2</v>
      </c>
      <c r="CS3970">
        <v>0</v>
      </c>
      <c r="CT3970">
        <v>2</v>
      </c>
      <c r="CU3970">
        <v>0</v>
      </c>
      <c r="CV3970">
        <v>6</v>
      </c>
      <c r="CW3970" t="s">
        <v>120</v>
      </c>
      <c r="CX3970">
        <v>257</v>
      </c>
      <c r="CY3970">
        <v>0</v>
      </c>
      <c r="CZ3970" t="s">
        <v>615</v>
      </c>
      <c r="DA3970" t="s">
        <v>616</v>
      </c>
      <c r="DD3970">
        <v>16630955</v>
      </c>
      <c r="DE3970" t="s">
        <v>123</v>
      </c>
    </row>
    <row r="3971" spans="1:109" x14ac:dyDescent="0.3">
      <c r="A3971" t="str">
        <f>"19:41:18.070"</f>
        <v>19:41:18.070</v>
      </c>
      <c r="B3971" t="s">
        <v>110</v>
      </c>
      <c r="C3971" t="str">
        <f t="shared" si="186"/>
        <v>ffdfd3c0</v>
      </c>
      <c r="D3971" t="s">
        <v>111</v>
      </c>
      <c r="E3971">
        <v>18</v>
      </c>
      <c r="F3971">
        <v>1018</v>
      </c>
      <c r="G3971" t="s">
        <v>112</v>
      </c>
      <c r="J3971" t="s">
        <v>113</v>
      </c>
      <c r="K3971">
        <v>0</v>
      </c>
      <c r="L3971">
        <v>3</v>
      </c>
      <c r="M3971">
        <v>0</v>
      </c>
      <c r="N3971">
        <v>2</v>
      </c>
      <c r="O3971">
        <v>1</v>
      </c>
      <c r="P3971">
        <v>0</v>
      </c>
      <c r="Q3971">
        <v>0</v>
      </c>
      <c r="R3971" t="s">
        <v>114</v>
      </c>
      <c r="S3971" t="str">
        <f>"19:41:17.781"</f>
        <v>19:41:17.781</v>
      </c>
      <c r="T3971" t="str">
        <f>"19:41:17.281"</f>
        <v>19:41:17.281</v>
      </c>
      <c r="U3971" t="str">
        <f t="shared" si="187"/>
        <v>a1cdbe</v>
      </c>
      <c r="V3971">
        <v>0</v>
      </c>
      <c r="W3971">
        <v>0</v>
      </c>
      <c r="X3971">
        <v>2</v>
      </c>
      <c r="Y3971">
        <v>0</v>
      </c>
      <c r="Z3971">
        <v>0</v>
      </c>
      <c r="AB3971">
        <v>0</v>
      </c>
      <c r="AC3971">
        <v>9</v>
      </c>
      <c r="AD3971">
        <v>3</v>
      </c>
      <c r="AE3971">
        <v>0</v>
      </c>
      <c r="AF3971">
        <v>9</v>
      </c>
      <c r="AG3971" t="s">
        <v>1307</v>
      </c>
      <c r="AH3971">
        <v>0</v>
      </c>
      <c r="AI3971">
        <v>3</v>
      </c>
      <c r="AJ3971">
        <v>1</v>
      </c>
      <c r="AK3971">
        <v>0</v>
      </c>
      <c r="AL3971" t="s">
        <v>7486</v>
      </c>
      <c r="AM3971">
        <v>47.067188999999999</v>
      </c>
      <c r="AN3971" t="s">
        <v>7487</v>
      </c>
      <c r="AO3971">
        <v>-124.01395100000001</v>
      </c>
      <c r="AP3971">
        <v>100</v>
      </c>
      <c r="AQ3971">
        <v>1100</v>
      </c>
      <c r="AR3971" t="s">
        <v>118</v>
      </c>
      <c r="AS3971">
        <v>68</v>
      </c>
      <c r="AT3971">
        <v>-46</v>
      </c>
      <c r="AU3971">
        <v>-1280</v>
      </c>
      <c r="BC3971">
        <v>1200</v>
      </c>
      <c r="BD3971">
        <v>1</v>
      </c>
      <c r="BE3971" t="str">
        <f t="shared" si="188"/>
        <v xml:space="preserve">N215T   </v>
      </c>
      <c r="BF3971">
        <v>1</v>
      </c>
      <c r="BH3971">
        <v>0</v>
      </c>
      <c r="BI3971">
        <v>0</v>
      </c>
      <c r="BJ3971">
        <v>0</v>
      </c>
      <c r="BK3971">
        <v>1450</v>
      </c>
      <c r="BL3971">
        <v>350</v>
      </c>
      <c r="BM3971" t="s">
        <v>119</v>
      </c>
      <c r="BN3971">
        <v>1</v>
      </c>
      <c r="BO3971">
        <v>1</v>
      </c>
      <c r="BP3971">
        <v>1</v>
      </c>
      <c r="BQ3971">
        <v>0</v>
      </c>
      <c r="BT3971">
        <v>0</v>
      </c>
      <c r="BU3971">
        <v>0</v>
      </c>
      <c r="BV3971">
        <v>0</v>
      </c>
      <c r="CC3971" t="str">
        <f>"19:41:17.781"</f>
        <v>19:41:17.781</v>
      </c>
      <c r="CD3971" t="str">
        <f>"785151904"</f>
        <v>785151904</v>
      </c>
      <c r="CQ3971">
        <v>0</v>
      </c>
      <c r="CR3971">
        <v>2</v>
      </c>
      <c r="CS3971">
        <v>0</v>
      </c>
      <c r="CT3971">
        <v>2</v>
      </c>
      <c r="CU3971">
        <v>0</v>
      </c>
      <c r="CV3971">
        <v>6</v>
      </c>
      <c r="CW3971" t="s">
        <v>120</v>
      </c>
      <c r="CX3971">
        <v>257</v>
      </c>
      <c r="CY3971">
        <v>0</v>
      </c>
      <c r="CZ3971" t="s">
        <v>615</v>
      </c>
      <c r="DA3971" t="s">
        <v>616</v>
      </c>
      <c r="DD3971">
        <v>16631250</v>
      </c>
      <c r="DE3971" t="s">
        <v>123</v>
      </c>
    </row>
    <row r="3972" spans="1:109" x14ac:dyDescent="0.3">
      <c r="A3972" t="str">
        <f>"19:41:19.023"</f>
        <v>19:41:19.023</v>
      </c>
      <c r="B3972" t="s">
        <v>110</v>
      </c>
      <c r="C3972" t="str">
        <f t="shared" si="186"/>
        <v>ffdfd3c0</v>
      </c>
      <c r="D3972" t="s">
        <v>111</v>
      </c>
      <c r="E3972">
        <v>18</v>
      </c>
      <c r="F3972">
        <v>1018</v>
      </c>
      <c r="G3972" t="s">
        <v>112</v>
      </c>
      <c r="J3972" t="s">
        <v>113</v>
      </c>
      <c r="K3972">
        <v>0</v>
      </c>
      <c r="L3972">
        <v>3</v>
      </c>
      <c r="M3972">
        <v>0</v>
      </c>
      <c r="N3972">
        <v>2</v>
      </c>
      <c r="O3972">
        <v>1</v>
      </c>
      <c r="P3972">
        <v>0</v>
      </c>
      <c r="Q3972">
        <v>0</v>
      </c>
      <c r="R3972" t="s">
        <v>114</v>
      </c>
      <c r="S3972" t="str">
        <f>"19:41:18.742"</f>
        <v>19:41:18.742</v>
      </c>
      <c r="T3972" t="str">
        <f>"19:41:18.242"</f>
        <v>19:41:18.242</v>
      </c>
      <c r="U3972" t="str">
        <f t="shared" si="187"/>
        <v>a1cdbe</v>
      </c>
      <c r="V3972">
        <v>0</v>
      </c>
      <c r="W3972">
        <v>0</v>
      </c>
      <c r="X3972">
        <v>2</v>
      </c>
      <c r="Y3972">
        <v>0</v>
      </c>
      <c r="Z3972">
        <v>0</v>
      </c>
      <c r="AB3972">
        <v>0</v>
      </c>
      <c r="AC3972">
        <v>9</v>
      </c>
      <c r="AD3972">
        <v>3</v>
      </c>
      <c r="AE3972">
        <v>0</v>
      </c>
      <c r="AF3972">
        <v>9</v>
      </c>
      <c r="AG3972" t="s">
        <v>115</v>
      </c>
      <c r="AH3972">
        <v>0</v>
      </c>
      <c r="AI3972">
        <v>0</v>
      </c>
      <c r="AJ3972">
        <v>1</v>
      </c>
      <c r="AK3972">
        <v>0</v>
      </c>
      <c r="AL3972" t="s">
        <v>7488</v>
      </c>
      <c r="AM3972">
        <v>47.067017999999997</v>
      </c>
      <c r="AN3972" t="s">
        <v>7489</v>
      </c>
      <c r="AO3972">
        <v>-124.01352199999999</v>
      </c>
      <c r="AP3972">
        <v>100</v>
      </c>
      <c r="AQ3972">
        <v>1100</v>
      </c>
      <c r="AR3972" t="s">
        <v>118</v>
      </c>
      <c r="AS3972">
        <v>67</v>
      </c>
      <c r="AT3972">
        <v>-47</v>
      </c>
      <c r="AU3972">
        <v>-1152</v>
      </c>
      <c r="BC3972">
        <v>1200</v>
      </c>
      <c r="BD3972">
        <v>1</v>
      </c>
      <c r="BE3972" t="str">
        <f t="shared" si="188"/>
        <v xml:space="preserve">N215T   </v>
      </c>
      <c r="BF3972">
        <v>1</v>
      </c>
      <c r="BH3972">
        <v>0</v>
      </c>
      <c r="BI3972">
        <v>0</v>
      </c>
      <c r="BJ3972">
        <v>0</v>
      </c>
      <c r="BK3972">
        <v>1450</v>
      </c>
      <c r="BL3972">
        <v>350</v>
      </c>
      <c r="BM3972" t="s">
        <v>119</v>
      </c>
      <c r="BN3972">
        <v>1</v>
      </c>
      <c r="BO3972">
        <v>1</v>
      </c>
      <c r="BP3972">
        <v>1</v>
      </c>
      <c r="BQ3972">
        <v>0</v>
      </c>
      <c r="BT3972">
        <v>0</v>
      </c>
      <c r="BU3972">
        <v>0</v>
      </c>
      <c r="BV3972">
        <v>0</v>
      </c>
      <c r="CC3972" t="str">
        <f>"19:41:18.742"</f>
        <v>19:41:18.742</v>
      </c>
      <c r="CD3972" t="str">
        <f>"745057192"</f>
        <v>745057192</v>
      </c>
      <c r="CQ3972">
        <v>0</v>
      </c>
      <c r="CR3972">
        <v>2</v>
      </c>
      <c r="CS3972">
        <v>0</v>
      </c>
      <c r="CT3972">
        <v>2</v>
      </c>
      <c r="CU3972">
        <v>0</v>
      </c>
      <c r="CV3972">
        <v>6</v>
      </c>
      <c r="CW3972" t="s">
        <v>120</v>
      </c>
      <c r="CX3972">
        <v>257</v>
      </c>
      <c r="CY3972">
        <v>0</v>
      </c>
      <c r="CZ3972" t="s">
        <v>615</v>
      </c>
      <c r="DA3972" t="s">
        <v>616</v>
      </c>
      <c r="DD3972">
        <v>16631582</v>
      </c>
      <c r="DE3972" t="s">
        <v>123</v>
      </c>
    </row>
    <row r="3973" spans="1:109" x14ac:dyDescent="0.3">
      <c r="A3973" t="str">
        <f>"19:41:20.078"</f>
        <v>19:41:20.078</v>
      </c>
      <c r="B3973" t="s">
        <v>110</v>
      </c>
      <c r="C3973" t="str">
        <f t="shared" si="186"/>
        <v>ffdfd3c0</v>
      </c>
      <c r="D3973" t="s">
        <v>111</v>
      </c>
      <c r="E3973">
        <v>18</v>
      </c>
      <c r="F3973">
        <v>1018</v>
      </c>
      <c r="G3973" t="s">
        <v>112</v>
      </c>
      <c r="J3973" t="s">
        <v>113</v>
      </c>
      <c r="K3973">
        <v>0</v>
      </c>
      <c r="L3973">
        <v>3</v>
      </c>
      <c r="M3973">
        <v>0</v>
      </c>
      <c r="N3973">
        <v>2</v>
      </c>
      <c r="O3973">
        <v>1</v>
      </c>
      <c r="P3973">
        <v>0</v>
      </c>
      <c r="Q3973">
        <v>0</v>
      </c>
      <c r="R3973" t="s">
        <v>114</v>
      </c>
      <c r="S3973" t="str">
        <f>"19:41:19.836"</f>
        <v>19:41:19.836</v>
      </c>
      <c r="T3973" t="str">
        <f>"19:41:19.336"</f>
        <v>19:41:19.336</v>
      </c>
      <c r="U3973" t="str">
        <f t="shared" si="187"/>
        <v>a1cdbe</v>
      </c>
      <c r="V3973">
        <v>0</v>
      </c>
      <c r="W3973">
        <v>0</v>
      </c>
      <c r="X3973">
        <v>2</v>
      </c>
      <c r="Y3973">
        <v>0</v>
      </c>
      <c r="Z3973">
        <v>0</v>
      </c>
      <c r="AB3973">
        <v>0</v>
      </c>
      <c r="AC3973">
        <v>9</v>
      </c>
      <c r="AD3973">
        <v>3</v>
      </c>
      <c r="AE3973">
        <v>0</v>
      </c>
      <c r="AF3973">
        <v>9</v>
      </c>
      <c r="AG3973" t="s">
        <v>115</v>
      </c>
      <c r="AH3973">
        <v>0</v>
      </c>
      <c r="AI3973">
        <v>0</v>
      </c>
      <c r="AJ3973">
        <v>1</v>
      </c>
      <c r="AK3973">
        <v>0</v>
      </c>
      <c r="AL3973" t="s">
        <v>475</v>
      </c>
      <c r="AM3973">
        <v>47.066738999999998</v>
      </c>
      <c r="AN3973" t="s">
        <v>7490</v>
      </c>
      <c r="AO3973">
        <v>-124.01302800000001</v>
      </c>
      <c r="AP3973">
        <v>100</v>
      </c>
      <c r="AQ3973">
        <v>1000</v>
      </c>
      <c r="AR3973" t="s">
        <v>118</v>
      </c>
      <c r="AS3973">
        <v>66</v>
      </c>
      <c r="AT3973">
        <v>-47</v>
      </c>
      <c r="AU3973">
        <v>-1216</v>
      </c>
      <c r="BC3973">
        <v>1200</v>
      </c>
      <c r="BD3973">
        <v>1</v>
      </c>
      <c r="BE3973" t="str">
        <f t="shared" si="188"/>
        <v xml:space="preserve">N215T   </v>
      </c>
      <c r="BF3973">
        <v>1</v>
      </c>
      <c r="BH3973">
        <v>0</v>
      </c>
      <c r="BI3973">
        <v>0</v>
      </c>
      <c r="BJ3973">
        <v>0</v>
      </c>
      <c r="BK3973">
        <v>1525</v>
      </c>
      <c r="BL3973">
        <v>525</v>
      </c>
      <c r="BM3973" t="s">
        <v>119</v>
      </c>
      <c r="BN3973">
        <v>1</v>
      </c>
      <c r="BO3973">
        <v>1</v>
      </c>
      <c r="BP3973">
        <v>1</v>
      </c>
      <c r="BQ3973">
        <v>0</v>
      </c>
      <c r="BT3973">
        <v>0</v>
      </c>
      <c r="BU3973">
        <v>0</v>
      </c>
      <c r="BV3973">
        <v>0</v>
      </c>
      <c r="CC3973" t="str">
        <f>"19:41:19.844"</f>
        <v>19:41:19.844</v>
      </c>
      <c r="CD3973" t="str">
        <f>"839949165"</f>
        <v>839949165</v>
      </c>
      <c r="CQ3973">
        <v>0</v>
      </c>
      <c r="CR3973">
        <v>2</v>
      </c>
      <c r="CS3973">
        <v>0</v>
      </c>
      <c r="CT3973">
        <v>2</v>
      </c>
      <c r="CU3973">
        <v>0</v>
      </c>
      <c r="CV3973">
        <v>6</v>
      </c>
      <c r="CW3973" t="s">
        <v>120</v>
      </c>
      <c r="CX3973">
        <v>257</v>
      </c>
      <c r="CY3973">
        <v>0</v>
      </c>
      <c r="CZ3973" t="s">
        <v>615</v>
      </c>
      <c r="DA3973" t="s">
        <v>616</v>
      </c>
      <c r="DD3973">
        <v>16631955</v>
      </c>
      <c r="DE3973" t="s">
        <v>123</v>
      </c>
    </row>
    <row r="3974" spans="1:109" x14ac:dyDescent="0.3">
      <c r="A3974" t="str">
        <f>"19:41:21.086"</f>
        <v>19:41:21.086</v>
      </c>
      <c r="B3974" t="s">
        <v>110</v>
      </c>
      <c r="C3974" t="str">
        <f t="shared" si="186"/>
        <v>ffdfd3c0</v>
      </c>
      <c r="D3974" t="s">
        <v>111</v>
      </c>
      <c r="E3974">
        <v>18</v>
      </c>
      <c r="F3974">
        <v>1018</v>
      </c>
      <c r="G3974" t="s">
        <v>112</v>
      </c>
      <c r="J3974" t="s">
        <v>113</v>
      </c>
      <c r="K3974">
        <v>0</v>
      </c>
      <c r="L3974">
        <v>3</v>
      </c>
      <c r="M3974">
        <v>0</v>
      </c>
      <c r="N3974">
        <v>2</v>
      </c>
      <c r="O3974">
        <v>1</v>
      </c>
      <c r="P3974">
        <v>0</v>
      </c>
      <c r="Q3974">
        <v>0</v>
      </c>
      <c r="R3974" t="s">
        <v>114</v>
      </c>
      <c r="S3974" t="str">
        <f>"19:41:20.828"</f>
        <v>19:41:20.828</v>
      </c>
      <c r="T3974" t="str">
        <f>"19:41:20.430"</f>
        <v>19:41:20.430</v>
      </c>
      <c r="U3974" t="str">
        <f t="shared" si="187"/>
        <v>a1cdbe</v>
      </c>
      <c r="V3974">
        <v>0</v>
      </c>
      <c r="W3974">
        <v>0</v>
      </c>
      <c r="X3974">
        <v>2</v>
      </c>
      <c r="Y3974">
        <v>0</v>
      </c>
      <c r="Z3974">
        <v>0</v>
      </c>
      <c r="AB3974">
        <v>0</v>
      </c>
      <c r="AC3974">
        <v>9</v>
      </c>
      <c r="AD3974">
        <v>3</v>
      </c>
      <c r="AE3974">
        <v>0</v>
      </c>
      <c r="AF3974">
        <v>9</v>
      </c>
      <c r="AG3974" t="s">
        <v>115</v>
      </c>
      <c r="AH3974">
        <v>0</v>
      </c>
      <c r="AI3974">
        <v>0</v>
      </c>
      <c r="AJ3974">
        <v>1</v>
      </c>
      <c r="AK3974">
        <v>0</v>
      </c>
      <c r="AL3974" t="s">
        <v>7491</v>
      </c>
      <c r="AM3974">
        <v>47.066524000000001</v>
      </c>
      <c r="AN3974" t="s">
        <v>7492</v>
      </c>
      <c r="AO3974">
        <v>-124.012578</v>
      </c>
      <c r="AP3974">
        <v>100</v>
      </c>
      <c r="AQ3974">
        <v>1000</v>
      </c>
      <c r="AR3974" t="s">
        <v>118</v>
      </c>
      <c r="AS3974">
        <v>65</v>
      </c>
      <c r="AT3974">
        <v>-47</v>
      </c>
      <c r="AU3974">
        <v>-1216</v>
      </c>
      <c r="BC3974">
        <v>1200</v>
      </c>
      <c r="BD3974">
        <v>1</v>
      </c>
      <c r="BE3974" t="str">
        <f t="shared" si="188"/>
        <v xml:space="preserve">N215T   </v>
      </c>
      <c r="BF3974">
        <v>1</v>
      </c>
      <c r="BH3974">
        <v>0</v>
      </c>
      <c r="BI3974">
        <v>0</v>
      </c>
      <c r="BJ3974">
        <v>0</v>
      </c>
      <c r="BK3974">
        <v>1400</v>
      </c>
      <c r="BL3974">
        <v>400</v>
      </c>
      <c r="BM3974" t="s">
        <v>119</v>
      </c>
      <c r="BN3974">
        <v>1</v>
      </c>
      <c r="BO3974">
        <v>1</v>
      </c>
      <c r="BP3974">
        <v>1</v>
      </c>
      <c r="BQ3974">
        <v>0</v>
      </c>
      <c r="BT3974">
        <v>0</v>
      </c>
      <c r="BU3974">
        <v>0</v>
      </c>
      <c r="BV3974">
        <v>0</v>
      </c>
      <c r="CC3974" t="str">
        <f>"19:41:20.828"</f>
        <v>19:41:20.828</v>
      </c>
      <c r="CD3974" t="str">
        <f>"829851505"</f>
        <v>829851505</v>
      </c>
      <c r="CQ3974">
        <v>0</v>
      </c>
      <c r="CR3974">
        <v>2</v>
      </c>
      <c r="CS3974">
        <v>0</v>
      </c>
      <c r="CT3974">
        <v>2</v>
      </c>
      <c r="CU3974">
        <v>0</v>
      </c>
      <c r="CV3974">
        <v>6</v>
      </c>
      <c r="CW3974" t="s">
        <v>120</v>
      </c>
      <c r="CX3974">
        <v>257</v>
      </c>
      <c r="CY3974">
        <v>0</v>
      </c>
      <c r="CZ3974" t="s">
        <v>615</v>
      </c>
      <c r="DA3974" t="s">
        <v>616</v>
      </c>
      <c r="DD3974">
        <v>16632260</v>
      </c>
      <c r="DE3974" t="s">
        <v>123</v>
      </c>
    </row>
    <row r="3975" spans="1:109" x14ac:dyDescent="0.3">
      <c r="A3975" t="str">
        <f>"19:41:22.039"</f>
        <v>19:41:22.039</v>
      </c>
      <c r="B3975" t="s">
        <v>110</v>
      </c>
      <c r="C3975" t="str">
        <f t="shared" si="186"/>
        <v>ffdfd3c0</v>
      </c>
      <c r="D3975" t="s">
        <v>111</v>
      </c>
      <c r="E3975">
        <v>18</v>
      </c>
      <c r="F3975">
        <v>1018</v>
      </c>
      <c r="G3975" t="s">
        <v>112</v>
      </c>
      <c r="J3975" t="s">
        <v>113</v>
      </c>
      <c r="K3975">
        <v>0</v>
      </c>
      <c r="L3975">
        <v>3</v>
      </c>
      <c r="M3975">
        <v>0</v>
      </c>
      <c r="N3975">
        <v>2</v>
      </c>
      <c r="O3975">
        <v>1</v>
      </c>
      <c r="P3975">
        <v>0</v>
      </c>
      <c r="Q3975">
        <v>0</v>
      </c>
      <c r="R3975" t="s">
        <v>114</v>
      </c>
      <c r="S3975" t="str">
        <f>"19:41:21.773"</f>
        <v>19:41:21.773</v>
      </c>
      <c r="T3975" t="str">
        <f>"19:41:21.477"</f>
        <v>19:41:21.477</v>
      </c>
      <c r="U3975" t="str">
        <f t="shared" si="187"/>
        <v>a1cdbe</v>
      </c>
      <c r="V3975">
        <v>0</v>
      </c>
      <c r="W3975">
        <v>0</v>
      </c>
      <c r="X3975">
        <v>2</v>
      </c>
      <c r="Y3975">
        <v>0</v>
      </c>
      <c r="Z3975">
        <v>0</v>
      </c>
      <c r="AB3975">
        <v>0</v>
      </c>
      <c r="AC3975">
        <v>9</v>
      </c>
      <c r="AD3975">
        <v>3</v>
      </c>
      <c r="AE3975">
        <v>0</v>
      </c>
      <c r="AF3975">
        <v>9</v>
      </c>
      <c r="AG3975" t="s">
        <v>115</v>
      </c>
      <c r="AH3975">
        <v>0</v>
      </c>
      <c r="AI3975">
        <v>0</v>
      </c>
      <c r="AJ3975">
        <v>1</v>
      </c>
      <c r="AK3975">
        <v>0</v>
      </c>
      <c r="AL3975" t="s">
        <v>477</v>
      </c>
      <c r="AM3975">
        <v>47.066308999999997</v>
      </c>
      <c r="AN3975" t="s">
        <v>7493</v>
      </c>
      <c r="AO3975">
        <v>-124.012191</v>
      </c>
      <c r="AP3975">
        <v>100</v>
      </c>
      <c r="AQ3975">
        <v>1000</v>
      </c>
      <c r="AR3975" t="s">
        <v>118</v>
      </c>
      <c r="AS3975">
        <v>64</v>
      </c>
      <c r="AT3975">
        <v>-47</v>
      </c>
      <c r="AU3975">
        <v>-1152</v>
      </c>
      <c r="BC3975">
        <v>1200</v>
      </c>
      <c r="BD3975">
        <v>1</v>
      </c>
      <c r="BE3975" t="str">
        <f t="shared" si="188"/>
        <v xml:space="preserve">N215T   </v>
      </c>
      <c r="BF3975">
        <v>1</v>
      </c>
      <c r="BH3975">
        <v>0</v>
      </c>
      <c r="BI3975">
        <v>0</v>
      </c>
      <c r="BJ3975">
        <v>0</v>
      </c>
      <c r="BK3975">
        <v>1375</v>
      </c>
      <c r="BL3975">
        <v>375</v>
      </c>
      <c r="BM3975" t="s">
        <v>119</v>
      </c>
      <c r="BN3975">
        <v>1</v>
      </c>
      <c r="BO3975">
        <v>1</v>
      </c>
      <c r="BP3975">
        <v>1</v>
      </c>
      <c r="BQ3975">
        <v>0</v>
      </c>
      <c r="BT3975">
        <v>0</v>
      </c>
      <c r="BU3975">
        <v>0</v>
      </c>
      <c r="BV3975">
        <v>0</v>
      </c>
      <c r="CC3975" t="str">
        <f>"19:41:21.773"</f>
        <v>19:41:21.773</v>
      </c>
      <c r="CD3975" t="str">
        <f>"774758277"</f>
        <v>774758277</v>
      </c>
      <c r="CQ3975">
        <v>0</v>
      </c>
      <c r="CR3975">
        <v>2</v>
      </c>
      <c r="CS3975">
        <v>0</v>
      </c>
      <c r="CT3975">
        <v>2</v>
      </c>
      <c r="CU3975">
        <v>0</v>
      </c>
      <c r="CV3975">
        <v>6</v>
      </c>
      <c r="CW3975" t="s">
        <v>120</v>
      </c>
      <c r="CX3975">
        <v>257</v>
      </c>
      <c r="CY3975">
        <v>0</v>
      </c>
      <c r="CZ3975" t="s">
        <v>615</v>
      </c>
      <c r="DA3975" t="s">
        <v>616</v>
      </c>
      <c r="DD3975">
        <v>16632560</v>
      </c>
      <c r="DE3975" t="s">
        <v>123</v>
      </c>
    </row>
    <row r="3976" spans="1:109" x14ac:dyDescent="0.3">
      <c r="A3976" t="str">
        <f>"19:41:23.047"</f>
        <v>19:41:23.047</v>
      </c>
      <c r="B3976" t="s">
        <v>110</v>
      </c>
      <c r="C3976" t="str">
        <f t="shared" si="186"/>
        <v>ffdfd3c0</v>
      </c>
      <c r="D3976" t="s">
        <v>111</v>
      </c>
      <c r="E3976">
        <v>18</v>
      </c>
      <c r="F3976">
        <v>1018</v>
      </c>
      <c r="G3976" t="s">
        <v>112</v>
      </c>
      <c r="J3976" t="s">
        <v>113</v>
      </c>
      <c r="K3976">
        <v>0</v>
      </c>
      <c r="L3976">
        <v>3</v>
      </c>
      <c r="M3976">
        <v>0</v>
      </c>
      <c r="N3976">
        <v>2</v>
      </c>
      <c r="O3976">
        <v>1</v>
      </c>
      <c r="P3976">
        <v>0</v>
      </c>
      <c r="Q3976">
        <v>0</v>
      </c>
      <c r="R3976" t="s">
        <v>114</v>
      </c>
      <c r="S3976" t="str">
        <f>"19:41:22.789"</f>
        <v>19:41:22.789</v>
      </c>
      <c r="T3976" t="str">
        <f>"19:41:22.492"</f>
        <v>19:41:22.492</v>
      </c>
      <c r="U3976" t="str">
        <f t="shared" si="187"/>
        <v>a1cdbe</v>
      </c>
      <c r="V3976">
        <v>0</v>
      </c>
      <c r="W3976">
        <v>0</v>
      </c>
      <c r="X3976">
        <v>2</v>
      </c>
      <c r="Y3976">
        <v>0</v>
      </c>
      <c r="Z3976">
        <v>0</v>
      </c>
      <c r="AB3976">
        <v>0</v>
      </c>
      <c r="AC3976">
        <v>9</v>
      </c>
      <c r="AD3976">
        <v>3</v>
      </c>
      <c r="AE3976">
        <v>0</v>
      </c>
      <c r="AF3976">
        <v>9</v>
      </c>
      <c r="AG3976" t="s">
        <v>115</v>
      </c>
      <c r="AH3976">
        <v>0</v>
      </c>
      <c r="AI3976">
        <v>0</v>
      </c>
      <c r="AJ3976">
        <v>1</v>
      </c>
      <c r="AK3976">
        <v>0</v>
      </c>
      <c r="AL3976" t="s">
        <v>7494</v>
      </c>
      <c r="AM3976">
        <v>47.066116000000001</v>
      </c>
      <c r="AN3976" t="s">
        <v>7495</v>
      </c>
      <c r="AO3976">
        <v>-124.011741</v>
      </c>
      <c r="AP3976">
        <v>100</v>
      </c>
      <c r="AQ3976">
        <v>1000</v>
      </c>
      <c r="AR3976" t="s">
        <v>118</v>
      </c>
      <c r="AS3976">
        <v>63</v>
      </c>
      <c r="AT3976">
        <v>-47</v>
      </c>
      <c r="AU3976">
        <v>-1216</v>
      </c>
      <c r="BC3976">
        <v>1200</v>
      </c>
      <c r="BD3976">
        <v>1</v>
      </c>
      <c r="BE3976" t="str">
        <f t="shared" si="188"/>
        <v xml:space="preserve">N215T   </v>
      </c>
      <c r="BF3976">
        <v>1</v>
      </c>
      <c r="BH3976">
        <v>0</v>
      </c>
      <c r="BI3976">
        <v>0</v>
      </c>
      <c r="BJ3976">
        <v>0</v>
      </c>
      <c r="BK3976">
        <v>1350</v>
      </c>
      <c r="BL3976">
        <v>350</v>
      </c>
      <c r="BM3976" t="s">
        <v>119</v>
      </c>
      <c r="BN3976">
        <v>1</v>
      </c>
      <c r="BO3976">
        <v>1</v>
      </c>
      <c r="BP3976">
        <v>1</v>
      </c>
      <c r="BQ3976">
        <v>0</v>
      </c>
      <c r="BT3976">
        <v>0</v>
      </c>
      <c r="BU3976">
        <v>0</v>
      </c>
      <c r="BV3976">
        <v>0</v>
      </c>
      <c r="CC3976" t="str">
        <f>"19:41:22.797"</f>
        <v>19:41:22.797</v>
      </c>
      <c r="CD3976" t="str">
        <f>"794657653"</f>
        <v>794657653</v>
      </c>
      <c r="CQ3976">
        <v>0</v>
      </c>
      <c r="CR3976">
        <v>2</v>
      </c>
      <c r="CS3976">
        <v>0</v>
      </c>
      <c r="CT3976">
        <v>2</v>
      </c>
      <c r="CU3976">
        <v>0</v>
      </c>
      <c r="CV3976">
        <v>6</v>
      </c>
      <c r="CW3976" t="s">
        <v>120</v>
      </c>
      <c r="CX3976">
        <v>257</v>
      </c>
      <c r="CY3976">
        <v>0</v>
      </c>
      <c r="CZ3976" t="s">
        <v>615</v>
      </c>
      <c r="DA3976" t="s">
        <v>616</v>
      </c>
      <c r="DD3976">
        <v>16632904</v>
      </c>
      <c r="DE3976" t="s">
        <v>123</v>
      </c>
    </row>
    <row r="3977" spans="1:109" x14ac:dyDescent="0.3">
      <c r="A3977" t="str">
        <f>"19:41:24.148"</f>
        <v>19:41:24.148</v>
      </c>
      <c r="B3977" t="s">
        <v>110</v>
      </c>
      <c r="C3977" t="str">
        <f t="shared" si="186"/>
        <v>ffdfd3c0</v>
      </c>
      <c r="D3977" t="s">
        <v>111</v>
      </c>
      <c r="E3977">
        <v>18</v>
      </c>
      <c r="F3977">
        <v>1018</v>
      </c>
      <c r="G3977" t="s">
        <v>112</v>
      </c>
      <c r="J3977" t="s">
        <v>113</v>
      </c>
      <c r="K3977">
        <v>0</v>
      </c>
      <c r="L3977">
        <v>3</v>
      </c>
      <c r="M3977">
        <v>0</v>
      </c>
      <c r="N3977">
        <v>2</v>
      </c>
      <c r="O3977">
        <v>1</v>
      </c>
      <c r="P3977">
        <v>0</v>
      </c>
      <c r="Q3977">
        <v>0</v>
      </c>
      <c r="R3977" t="s">
        <v>114</v>
      </c>
      <c r="S3977" t="str">
        <f>"19:41:23.930"</f>
        <v>19:41:23.930</v>
      </c>
      <c r="T3977" t="str">
        <f>"19:41:23.531"</f>
        <v>19:41:23.531</v>
      </c>
      <c r="U3977" t="str">
        <f t="shared" si="187"/>
        <v>a1cdbe</v>
      </c>
      <c r="V3977">
        <v>0</v>
      </c>
      <c r="W3977">
        <v>0</v>
      </c>
      <c r="X3977">
        <v>2</v>
      </c>
      <c r="Y3977">
        <v>0</v>
      </c>
      <c r="Z3977">
        <v>0</v>
      </c>
      <c r="AB3977">
        <v>0</v>
      </c>
      <c r="AC3977">
        <v>9</v>
      </c>
      <c r="AD3977">
        <v>3</v>
      </c>
      <c r="AE3977">
        <v>0</v>
      </c>
      <c r="AF3977">
        <v>9</v>
      </c>
      <c r="AG3977" t="s">
        <v>115</v>
      </c>
      <c r="AH3977">
        <v>0</v>
      </c>
      <c r="AI3977">
        <v>0</v>
      </c>
      <c r="AJ3977">
        <v>1</v>
      </c>
      <c r="AK3977">
        <v>0</v>
      </c>
      <c r="AL3977" t="s">
        <v>7496</v>
      </c>
      <c r="AM3977">
        <v>47.065859000000003</v>
      </c>
      <c r="AN3977" t="s">
        <v>7400</v>
      </c>
      <c r="AO3977">
        <v>-124.011269</v>
      </c>
      <c r="AP3977">
        <v>100</v>
      </c>
      <c r="AQ3977">
        <v>900</v>
      </c>
      <c r="AR3977" t="s">
        <v>118</v>
      </c>
      <c r="AS3977">
        <v>62</v>
      </c>
      <c r="AT3977">
        <v>-47</v>
      </c>
      <c r="AU3977">
        <v>-1344</v>
      </c>
      <c r="BC3977">
        <v>1200</v>
      </c>
      <c r="BD3977">
        <v>1</v>
      </c>
      <c r="BE3977" t="str">
        <f t="shared" si="188"/>
        <v xml:space="preserve">N215T   </v>
      </c>
      <c r="BF3977">
        <v>1</v>
      </c>
      <c r="BH3977">
        <v>0</v>
      </c>
      <c r="BI3977">
        <v>0</v>
      </c>
      <c r="BJ3977">
        <v>0</v>
      </c>
      <c r="BK3977">
        <v>1350</v>
      </c>
      <c r="BL3977">
        <v>450</v>
      </c>
      <c r="BM3977" t="s">
        <v>119</v>
      </c>
      <c r="BN3977">
        <v>1</v>
      </c>
      <c r="BO3977">
        <v>1</v>
      </c>
      <c r="BP3977">
        <v>1</v>
      </c>
      <c r="BQ3977">
        <v>0</v>
      </c>
      <c r="BT3977">
        <v>0</v>
      </c>
      <c r="BU3977">
        <v>0</v>
      </c>
      <c r="BV3977">
        <v>0</v>
      </c>
      <c r="CC3977" t="str">
        <f>"19:41:23.938"</f>
        <v>19:41:23.938</v>
      </c>
      <c r="CD3977" t="str">
        <f>"934545201"</f>
        <v>934545201</v>
      </c>
      <c r="CQ3977">
        <v>0</v>
      </c>
      <c r="CR3977">
        <v>2</v>
      </c>
      <c r="CS3977">
        <v>0</v>
      </c>
      <c r="CT3977">
        <v>2</v>
      </c>
      <c r="CU3977">
        <v>0</v>
      </c>
      <c r="CV3977">
        <v>6</v>
      </c>
      <c r="CW3977" t="s">
        <v>120</v>
      </c>
      <c r="CX3977">
        <v>257</v>
      </c>
      <c r="CY3977">
        <v>0</v>
      </c>
      <c r="CZ3977" t="s">
        <v>615</v>
      </c>
      <c r="DA3977" t="s">
        <v>616</v>
      </c>
      <c r="DD3977">
        <v>16633320</v>
      </c>
      <c r="DE3977" t="s">
        <v>123</v>
      </c>
    </row>
    <row r="3978" spans="1:109" x14ac:dyDescent="0.3">
      <c r="A3978" t="str">
        <f>"19:41:25.211"</f>
        <v>19:41:25.211</v>
      </c>
      <c r="B3978" t="s">
        <v>110</v>
      </c>
      <c r="C3978" t="str">
        <f t="shared" si="186"/>
        <v>ffdfd3c0</v>
      </c>
      <c r="D3978" t="s">
        <v>111</v>
      </c>
      <c r="E3978">
        <v>18</v>
      </c>
      <c r="F3978">
        <v>1018</v>
      </c>
      <c r="G3978" t="s">
        <v>112</v>
      </c>
      <c r="J3978" t="s">
        <v>113</v>
      </c>
      <c r="K3978">
        <v>0</v>
      </c>
      <c r="L3978">
        <v>3</v>
      </c>
      <c r="M3978">
        <v>0</v>
      </c>
      <c r="N3978">
        <v>2</v>
      </c>
      <c r="O3978">
        <v>1</v>
      </c>
      <c r="P3978">
        <v>0</v>
      </c>
      <c r="Q3978">
        <v>0</v>
      </c>
      <c r="R3978" t="s">
        <v>114</v>
      </c>
      <c r="S3978" t="str">
        <f>"19:41:24.969"</f>
        <v>19:41:24.969</v>
      </c>
      <c r="T3978" t="str">
        <f>"19:41:24.969"</f>
        <v>19:41:24.969</v>
      </c>
      <c r="U3978" t="str">
        <f t="shared" si="187"/>
        <v>a1cdbe</v>
      </c>
      <c r="V3978">
        <v>0</v>
      </c>
      <c r="W3978">
        <v>0</v>
      </c>
      <c r="X3978">
        <v>2</v>
      </c>
      <c r="Y3978">
        <v>0</v>
      </c>
      <c r="Z3978">
        <v>0</v>
      </c>
      <c r="AB3978">
        <v>0</v>
      </c>
      <c r="AC3978">
        <v>9</v>
      </c>
      <c r="AD3978">
        <v>3</v>
      </c>
      <c r="AE3978">
        <v>0</v>
      </c>
      <c r="AF3978">
        <v>9</v>
      </c>
      <c r="AG3978" t="s">
        <v>115</v>
      </c>
      <c r="AH3978">
        <v>0</v>
      </c>
      <c r="AI3978">
        <v>0</v>
      </c>
      <c r="AJ3978">
        <v>1</v>
      </c>
      <c r="AK3978">
        <v>0</v>
      </c>
      <c r="AL3978" t="s">
        <v>7497</v>
      </c>
      <c r="AM3978">
        <v>47.065666</v>
      </c>
      <c r="AN3978" t="s">
        <v>7498</v>
      </c>
      <c r="AO3978">
        <v>-124.01086100000001</v>
      </c>
      <c r="AP3978">
        <v>100</v>
      </c>
      <c r="AQ3978">
        <v>900</v>
      </c>
      <c r="AR3978" t="s">
        <v>118</v>
      </c>
      <c r="AS3978">
        <v>62</v>
      </c>
      <c r="AT3978">
        <v>-46</v>
      </c>
      <c r="AU3978">
        <v>-1408</v>
      </c>
      <c r="BC3978">
        <v>1200</v>
      </c>
      <c r="BD3978">
        <v>1</v>
      </c>
      <c r="BE3978" t="str">
        <f t="shared" si="188"/>
        <v xml:space="preserve">N215T   </v>
      </c>
      <c r="BF3978">
        <v>1</v>
      </c>
      <c r="BH3978">
        <v>0</v>
      </c>
      <c r="BI3978">
        <v>0</v>
      </c>
      <c r="BJ3978">
        <v>0</v>
      </c>
      <c r="BK3978">
        <v>1300</v>
      </c>
      <c r="BL3978">
        <v>400</v>
      </c>
      <c r="BM3978" t="s">
        <v>119</v>
      </c>
      <c r="BN3978">
        <v>1</v>
      </c>
      <c r="BO3978">
        <v>1</v>
      </c>
      <c r="BP3978">
        <v>1</v>
      </c>
      <c r="BQ3978">
        <v>0</v>
      </c>
      <c r="BT3978">
        <v>0</v>
      </c>
      <c r="BU3978">
        <v>0</v>
      </c>
      <c r="BV3978">
        <v>0</v>
      </c>
      <c r="CC3978" t="str">
        <f>"19:41:24.969"</f>
        <v>19:41:24.969</v>
      </c>
      <c r="CD3978" t="str">
        <f>"969443099"</f>
        <v>969443099</v>
      </c>
      <c r="CQ3978">
        <v>0</v>
      </c>
      <c r="CR3978">
        <v>2</v>
      </c>
      <c r="CS3978">
        <v>0</v>
      </c>
      <c r="CT3978">
        <v>2</v>
      </c>
      <c r="CU3978">
        <v>0</v>
      </c>
      <c r="CV3978">
        <v>6</v>
      </c>
      <c r="CW3978" t="s">
        <v>120</v>
      </c>
      <c r="CX3978">
        <v>257</v>
      </c>
      <c r="CY3978">
        <v>0</v>
      </c>
      <c r="CZ3978" t="s">
        <v>615</v>
      </c>
      <c r="DA3978" t="s">
        <v>616</v>
      </c>
      <c r="DD3978">
        <v>16633663</v>
      </c>
      <c r="DE3978" t="s">
        <v>123</v>
      </c>
    </row>
    <row r="3979" spans="1:109" x14ac:dyDescent="0.3">
      <c r="A3979" t="str">
        <f>"19:41:26.109"</f>
        <v>19:41:26.109</v>
      </c>
      <c r="B3979" t="s">
        <v>110</v>
      </c>
      <c r="C3979" t="str">
        <f t="shared" si="186"/>
        <v>ffdfd3c0</v>
      </c>
      <c r="D3979" t="s">
        <v>111</v>
      </c>
      <c r="E3979">
        <v>18</v>
      </c>
      <c r="F3979">
        <v>1018</v>
      </c>
      <c r="G3979" t="s">
        <v>112</v>
      </c>
      <c r="J3979" t="s">
        <v>113</v>
      </c>
      <c r="K3979">
        <v>0</v>
      </c>
      <c r="L3979">
        <v>3</v>
      </c>
      <c r="M3979">
        <v>0</v>
      </c>
      <c r="N3979">
        <v>2</v>
      </c>
      <c r="O3979">
        <v>1</v>
      </c>
      <c r="P3979">
        <v>0</v>
      </c>
      <c r="Q3979">
        <v>0</v>
      </c>
      <c r="R3979" t="s">
        <v>114</v>
      </c>
      <c r="S3979" t="str">
        <f>"19:41:25.914"</f>
        <v>19:41:25.914</v>
      </c>
      <c r="T3979" t="str">
        <f>"19:41:25.813"</f>
        <v>19:41:25.813</v>
      </c>
      <c r="U3979" t="str">
        <f t="shared" si="187"/>
        <v>a1cdbe</v>
      </c>
      <c r="V3979">
        <v>0</v>
      </c>
      <c r="W3979">
        <v>0</v>
      </c>
      <c r="X3979">
        <v>2</v>
      </c>
      <c r="Y3979">
        <v>0</v>
      </c>
      <c r="Z3979">
        <v>0</v>
      </c>
      <c r="AB3979">
        <v>0</v>
      </c>
      <c r="AC3979">
        <v>9</v>
      </c>
      <c r="AD3979">
        <v>3</v>
      </c>
      <c r="AE3979">
        <v>0</v>
      </c>
      <c r="AF3979">
        <v>9</v>
      </c>
      <c r="AG3979" t="s">
        <v>115</v>
      </c>
      <c r="AH3979">
        <v>0</v>
      </c>
      <c r="AI3979">
        <v>0</v>
      </c>
      <c r="AJ3979">
        <v>1</v>
      </c>
      <c r="AK3979">
        <v>0</v>
      </c>
      <c r="AL3979" t="s">
        <v>7499</v>
      </c>
      <c r="AM3979">
        <v>47.065429999999999</v>
      </c>
      <c r="AN3979" t="s">
        <v>7500</v>
      </c>
      <c r="AO3979">
        <v>-124.01043199999999</v>
      </c>
      <c r="AP3979">
        <v>100</v>
      </c>
      <c r="AQ3979">
        <v>900</v>
      </c>
      <c r="AR3979" t="s">
        <v>118</v>
      </c>
      <c r="AS3979">
        <v>61</v>
      </c>
      <c r="AT3979">
        <v>-46</v>
      </c>
      <c r="AU3979">
        <v>-1408</v>
      </c>
      <c r="BC3979">
        <v>1200</v>
      </c>
      <c r="BD3979">
        <v>1</v>
      </c>
      <c r="BE3979" t="str">
        <f t="shared" si="188"/>
        <v xml:space="preserve">N215T   </v>
      </c>
      <c r="BF3979">
        <v>1</v>
      </c>
      <c r="BH3979">
        <v>0</v>
      </c>
      <c r="BI3979">
        <v>0</v>
      </c>
      <c r="BJ3979">
        <v>0</v>
      </c>
      <c r="BK3979">
        <v>1275</v>
      </c>
      <c r="BL3979">
        <v>375</v>
      </c>
      <c r="BM3979" t="s">
        <v>119</v>
      </c>
      <c r="BN3979">
        <v>1</v>
      </c>
      <c r="BO3979">
        <v>1</v>
      </c>
      <c r="BP3979">
        <v>1</v>
      </c>
      <c r="BQ3979">
        <v>0</v>
      </c>
      <c r="BT3979">
        <v>0</v>
      </c>
      <c r="BU3979">
        <v>0</v>
      </c>
      <c r="BV3979">
        <v>0</v>
      </c>
      <c r="CC3979" t="str">
        <f>"19:41:25.914"</f>
        <v>19:41:25.914</v>
      </c>
      <c r="CD3979" t="str">
        <f>"914349880"</f>
        <v>914349880</v>
      </c>
      <c r="CQ3979">
        <v>0</v>
      </c>
      <c r="CR3979">
        <v>2</v>
      </c>
      <c r="CS3979">
        <v>0</v>
      </c>
      <c r="CT3979">
        <v>2</v>
      </c>
      <c r="CU3979">
        <v>0</v>
      </c>
      <c r="CV3979">
        <v>6</v>
      </c>
      <c r="CW3979" t="s">
        <v>120</v>
      </c>
      <c r="CX3979">
        <v>257</v>
      </c>
      <c r="CY3979">
        <v>0</v>
      </c>
      <c r="CZ3979" t="s">
        <v>615</v>
      </c>
      <c r="DA3979" t="s">
        <v>616</v>
      </c>
      <c r="DD3979">
        <v>16633979</v>
      </c>
      <c r="DE3979" t="s">
        <v>123</v>
      </c>
    </row>
    <row r="3980" spans="1:109" x14ac:dyDescent="0.3">
      <c r="A3980" t="str">
        <f>"19:41:27.070"</f>
        <v>19:41:27.070</v>
      </c>
      <c r="B3980" t="s">
        <v>110</v>
      </c>
      <c r="C3980" t="str">
        <f t="shared" si="186"/>
        <v>ffdfd3c0</v>
      </c>
      <c r="D3980" t="s">
        <v>111</v>
      </c>
      <c r="E3980">
        <v>18</v>
      </c>
      <c r="F3980">
        <v>1018</v>
      </c>
      <c r="G3980" t="s">
        <v>112</v>
      </c>
      <c r="J3980" t="s">
        <v>113</v>
      </c>
      <c r="K3980">
        <v>0</v>
      </c>
      <c r="L3980">
        <v>3</v>
      </c>
      <c r="M3980">
        <v>0</v>
      </c>
      <c r="N3980">
        <v>2</v>
      </c>
      <c r="O3980">
        <v>1</v>
      </c>
      <c r="P3980">
        <v>0</v>
      </c>
      <c r="Q3980">
        <v>0</v>
      </c>
      <c r="R3980" t="s">
        <v>114</v>
      </c>
      <c r="S3980" t="str">
        <f>"19:41:26.867"</f>
        <v>19:41:26.867</v>
      </c>
      <c r="T3980" t="str">
        <f>"19:41:26.367"</f>
        <v>19:41:26.367</v>
      </c>
      <c r="U3980" t="str">
        <f t="shared" si="187"/>
        <v>a1cdbe</v>
      </c>
      <c r="V3980">
        <v>0</v>
      </c>
      <c r="W3980">
        <v>0</v>
      </c>
      <c r="X3980">
        <v>2</v>
      </c>
      <c r="Y3980">
        <v>0</v>
      </c>
      <c r="Z3980">
        <v>0</v>
      </c>
      <c r="AB3980">
        <v>0</v>
      </c>
      <c r="AC3980">
        <v>9</v>
      </c>
      <c r="AD3980">
        <v>3</v>
      </c>
      <c r="AE3980">
        <v>0</v>
      </c>
      <c r="AF3980">
        <v>9</v>
      </c>
      <c r="AG3980" t="s">
        <v>115</v>
      </c>
      <c r="AH3980">
        <v>0</v>
      </c>
      <c r="AI3980">
        <v>0</v>
      </c>
      <c r="AJ3980">
        <v>1</v>
      </c>
      <c r="AK3980">
        <v>0</v>
      </c>
      <c r="AL3980" t="s">
        <v>7501</v>
      </c>
      <c r="AM3980">
        <v>47.065237000000003</v>
      </c>
      <c r="AN3980" t="s">
        <v>7502</v>
      </c>
      <c r="AO3980">
        <v>-124.01011</v>
      </c>
      <c r="AP3980">
        <v>100</v>
      </c>
      <c r="AQ3980">
        <v>900</v>
      </c>
      <c r="AR3980" t="s">
        <v>118</v>
      </c>
      <c r="AS3980">
        <v>61</v>
      </c>
      <c r="AT3980">
        <v>-46</v>
      </c>
      <c r="AU3980">
        <v>-1408</v>
      </c>
      <c r="BC3980">
        <v>1200</v>
      </c>
      <c r="BD3980">
        <v>1</v>
      </c>
      <c r="BE3980" t="str">
        <f t="shared" si="188"/>
        <v xml:space="preserve">N215T   </v>
      </c>
      <c r="BF3980">
        <v>1</v>
      </c>
      <c r="BH3980">
        <v>0</v>
      </c>
      <c r="BI3980">
        <v>0</v>
      </c>
      <c r="BJ3980">
        <v>0</v>
      </c>
      <c r="BK3980">
        <v>1275</v>
      </c>
      <c r="BL3980">
        <v>375</v>
      </c>
      <c r="BM3980" t="s">
        <v>119</v>
      </c>
      <c r="BN3980">
        <v>1</v>
      </c>
      <c r="BO3980">
        <v>1</v>
      </c>
      <c r="BP3980">
        <v>1</v>
      </c>
      <c r="BQ3980">
        <v>0</v>
      </c>
      <c r="BT3980">
        <v>0</v>
      </c>
      <c r="BU3980">
        <v>0</v>
      </c>
      <c r="BV3980">
        <v>0</v>
      </c>
      <c r="CC3980" t="str">
        <f>"19:41:26.875"</f>
        <v>19:41:26.875</v>
      </c>
      <c r="CD3980" t="str">
        <f>"874255168"</f>
        <v>874255168</v>
      </c>
      <c r="CQ3980">
        <v>0</v>
      </c>
      <c r="CR3980">
        <v>2</v>
      </c>
      <c r="CS3980">
        <v>0</v>
      </c>
      <c r="CT3980">
        <v>2</v>
      </c>
      <c r="CU3980">
        <v>0</v>
      </c>
      <c r="CV3980">
        <v>6</v>
      </c>
      <c r="CW3980" t="s">
        <v>120</v>
      </c>
      <c r="CX3980">
        <v>257</v>
      </c>
      <c r="CY3980">
        <v>0</v>
      </c>
      <c r="CZ3980" t="s">
        <v>615</v>
      </c>
      <c r="DA3980" t="s">
        <v>616</v>
      </c>
      <c r="DD3980">
        <v>16634309</v>
      </c>
      <c r="DE3980" t="s">
        <v>123</v>
      </c>
    </row>
    <row r="3981" spans="1:109" x14ac:dyDescent="0.3">
      <c r="A3981" t="str">
        <f>"19:41:28.070"</f>
        <v>19:41:28.070</v>
      </c>
      <c r="B3981" t="s">
        <v>110</v>
      </c>
      <c r="C3981" t="str">
        <f t="shared" si="186"/>
        <v>ffdfd3c0</v>
      </c>
      <c r="D3981" t="s">
        <v>111</v>
      </c>
      <c r="E3981">
        <v>18</v>
      </c>
      <c r="F3981">
        <v>1018</v>
      </c>
      <c r="G3981" t="s">
        <v>112</v>
      </c>
      <c r="J3981" t="s">
        <v>113</v>
      </c>
      <c r="K3981">
        <v>0</v>
      </c>
      <c r="L3981">
        <v>3</v>
      </c>
      <c r="M3981">
        <v>0</v>
      </c>
      <c r="N3981">
        <v>2</v>
      </c>
      <c r="O3981">
        <v>1</v>
      </c>
      <c r="P3981">
        <v>0</v>
      </c>
      <c r="Q3981">
        <v>0</v>
      </c>
      <c r="R3981" t="s">
        <v>114</v>
      </c>
      <c r="S3981" t="str">
        <f>"19:41:27.844"</f>
        <v>19:41:27.844</v>
      </c>
      <c r="T3981" t="str">
        <f>"19:41:27.445"</f>
        <v>19:41:27.445</v>
      </c>
      <c r="U3981" t="str">
        <f t="shared" si="187"/>
        <v>a1cdbe</v>
      </c>
      <c r="V3981">
        <v>0</v>
      </c>
      <c r="W3981">
        <v>0</v>
      </c>
      <c r="X3981">
        <v>2</v>
      </c>
      <c r="Y3981">
        <v>0</v>
      </c>
      <c r="Z3981">
        <v>0</v>
      </c>
      <c r="AB3981">
        <v>0</v>
      </c>
      <c r="AC3981">
        <v>9</v>
      </c>
      <c r="AD3981">
        <v>3</v>
      </c>
      <c r="AE3981">
        <v>0</v>
      </c>
      <c r="AF3981">
        <v>9</v>
      </c>
      <c r="AG3981" t="s">
        <v>115</v>
      </c>
      <c r="AH3981">
        <v>0</v>
      </c>
      <c r="AI3981">
        <v>0</v>
      </c>
      <c r="AJ3981">
        <v>1</v>
      </c>
      <c r="AK3981">
        <v>0</v>
      </c>
      <c r="AL3981" t="s">
        <v>7503</v>
      </c>
      <c r="AM3981">
        <v>47.065001000000002</v>
      </c>
      <c r="AN3981" t="s">
        <v>7394</v>
      </c>
      <c r="AO3981">
        <v>-124.009659</v>
      </c>
      <c r="AP3981">
        <v>100</v>
      </c>
      <c r="AQ3981">
        <v>900</v>
      </c>
      <c r="AR3981" t="s">
        <v>118</v>
      </c>
      <c r="AS3981">
        <v>60</v>
      </c>
      <c r="AT3981">
        <v>-47</v>
      </c>
      <c r="AU3981">
        <v>-1408</v>
      </c>
      <c r="BC3981">
        <v>1200</v>
      </c>
      <c r="BD3981">
        <v>1</v>
      </c>
      <c r="BE3981" t="str">
        <f t="shared" si="188"/>
        <v xml:space="preserve">N215T   </v>
      </c>
      <c r="BF3981">
        <v>1</v>
      </c>
      <c r="BH3981">
        <v>0</v>
      </c>
      <c r="BI3981">
        <v>0</v>
      </c>
      <c r="BJ3981">
        <v>0</v>
      </c>
      <c r="BK3981">
        <v>1250</v>
      </c>
      <c r="BL3981">
        <v>350</v>
      </c>
      <c r="BM3981" t="s">
        <v>119</v>
      </c>
      <c r="BN3981">
        <v>1</v>
      </c>
      <c r="BO3981">
        <v>1</v>
      </c>
      <c r="BP3981">
        <v>1</v>
      </c>
      <c r="BQ3981">
        <v>0</v>
      </c>
      <c r="BT3981">
        <v>0</v>
      </c>
      <c r="BU3981">
        <v>0</v>
      </c>
      <c r="BV3981">
        <v>0</v>
      </c>
      <c r="CC3981" t="str">
        <f>"19:41:27.852"</f>
        <v>19:41:27.852</v>
      </c>
      <c r="CD3981" t="str">
        <f>"849158991"</f>
        <v>849158991</v>
      </c>
      <c r="CQ3981">
        <v>0</v>
      </c>
      <c r="CR3981">
        <v>2</v>
      </c>
      <c r="CS3981">
        <v>0</v>
      </c>
      <c r="CT3981">
        <v>2</v>
      </c>
      <c r="CU3981">
        <v>0</v>
      </c>
      <c r="CV3981">
        <v>6</v>
      </c>
      <c r="CW3981" t="s">
        <v>120</v>
      </c>
      <c r="CX3981">
        <v>257</v>
      </c>
      <c r="CY3981">
        <v>0</v>
      </c>
      <c r="CZ3981" t="s">
        <v>615</v>
      </c>
      <c r="DA3981" t="s">
        <v>616</v>
      </c>
      <c r="DD3981">
        <v>16634632</v>
      </c>
      <c r="DE3981" t="s">
        <v>123</v>
      </c>
    </row>
    <row r="3982" spans="1:109" x14ac:dyDescent="0.3">
      <c r="A3982" t="str">
        <f>"19:41:28.930"</f>
        <v>19:41:28.930</v>
      </c>
      <c r="B3982" t="s">
        <v>110</v>
      </c>
      <c r="C3982" t="str">
        <f t="shared" si="186"/>
        <v>ffdfd3c0</v>
      </c>
      <c r="D3982" t="s">
        <v>111</v>
      </c>
      <c r="E3982">
        <v>18</v>
      </c>
      <c r="F3982">
        <v>1018</v>
      </c>
      <c r="G3982" t="s">
        <v>112</v>
      </c>
      <c r="J3982" t="s">
        <v>113</v>
      </c>
      <c r="K3982">
        <v>0</v>
      </c>
      <c r="L3982">
        <v>3</v>
      </c>
      <c r="M3982">
        <v>0</v>
      </c>
      <c r="N3982">
        <v>2</v>
      </c>
      <c r="O3982">
        <v>1</v>
      </c>
      <c r="P3982">
        <v>0</v>
      </c>
      <c r="Q3982">
        <v>0</v>
      </c>
      <c r="R3982" t="s">
        <v>114</v>
      </c>
      <c r="S3982" t="str">
        <f>"19:41:28.703"</f>
        <v>19:41:28.703</v>
      </c>
      <c r="T3982" t="str">
        <f>"19:41:28.602"</f>
        <v>19:41:28.602</v>
      </c>
      <c r="U3982" t="str">
        <f t="shared" si="187"/>
        <v>a1cdbe</v>
      </c>
      <c r="V3982">
        <v>0</v>
      </c>
      <c r="W3982">
        <v>0</v>
      </c>
      <c r="X3982">
        <v>2</v>
      </c>
      <c r="Y3982">
        <v>0</v>
      </c>
      <c r="Z3982">
        <v>0</v>
      </c>
      <c r="AB3982">
        <v>0</v>
      </c>
      <c r="AC3982">
        <v>9</v>
      </c>
      <c r="AD3982">
        <v>3</v>
      </c>
      <c r="AE3982">
        <v>0</v>
      </c>
      <c r="AF3982">
        <v>9</v>
      </c>
      <c r="AG3982" t="s">
        <v>115</v>
      </c>
      <c r="AH3982">
        <v>0</v>
      </c>
      <c r="AI3982">
        <v>0</v>
      </c>
      <c r="AJ3982">
        <v>1</v>
      </c>
      <c r="AK3982">
        <v>0</v>
      </c>
      <c r="AL3982" t="s">
        <v>7504</v>
      </c>
      <c r="AM3982">
        <v>47.064829000000003</v>
      </c>
      <c r="AN3982" t="s">
        <v>7505</v>
      </c>
      <c r="AO3982">
        <v>-124.009316</v>
      </c>
      <c r="AP3982">
        <v>100</v>
      </c>
      <c r="AQ3982">
        <v>800</v>
      </c>
      <c r="AR3982" t="s">
        <v>118</v>
      </c>
      <c r="AS3982">
        <v>58</v>
      </c>
      <c r="AT3982">
        <v>-49</v>
      </c>
      <c r="AU3982">
        <v>-1344</v>
      </c>
      <c r="BC3982">
        <v>1200</v>
      </c>
      <c r="BD3982">
        <v>1</v>
      </c>
      <c r="BE3982" t="str">
        <f t="shared" si="188"/>
        <v xml:space="preserve">N215T   </v>
      </c>
      <c r="BF3982">
        <v>1</v>
      </c>
      <c r="BH3982">
        <v>0</v>
      </c>
      <c r="BI3982">
        <v>0</v>
      </c>
      <c r="BJ3982">
        <v>0</v>
      </c>
      <c r="BK3982">
        <v>1200</v>
      </c>
      <c r="BL3982">
        <v>400</v>
      </c>
      <c r="BM3982" t="s">
        <v>119</v>
      </c>
      <c r="BN3982">
        <v>1</v>
      </c>
      <c r="BO3982">
        <v>1</v>
      </c>
      <c r="BP3982">
        <v>1</v>
      </c>
      <c r="BQ3982">
        <v>0</v>
      </c>
      <c r="BT3982">
        <v>0</v>
      </c>
      <c r="BU3982">
        <v>0</v>
      </c>
      <c r="BV3982">
        <v>0</v>
      </c>
      <c r="CC3982" t="str">
        <f>"19:41:28.703"</f>
        <v>19:41:28.703</v>
      </c>
      <c r="CD3982" t="str">
        <f>"704074634"</f>
        <v>704074634</v>
      </c>
      <c r="CQ3982">
        <v>0</v>
      </c>
      <c r="CR3982">
        <v>2</v>
      </c>
      <c r="CS3982">
        <v>0</v>
      </c>
      <c r="CT3982">
        <v>2</v>
      </c>
      <c r="CU3982">
        <v>0</v>
      </c>
      <c r="CV3982">
        <v>6</v>
      </c>
      <c r="CW3982" t="s">
        <v>120</v>
      </c>
      <c r="CX3982">
        <v>257</v>
      </c>
      <c r="CY3982">
        <v>0</v>
      </c>
      <c r="CZ3982" t="s">
        <v>615</v>
      </c>
      <c r="DA3982" t="s">
        <v>616</v>
      </c>
      <c r="DD3982">
        <v>16634924</v>
      </c>
      <c r="DE3982" t="s">
        <v>123</v>
      </c>
    </row>
    <row r="3983" spans="1:109" x14ac:dyDescent="0.3">
      <c r="A3983" t="str">
        <f>"19:41:29.883"</f>
        <v>19:41:29.883</v>
      </c>
      <c r="B3983" t="s">
        <v>110</v>
      </c>
      <c r="C3983" t="str">
        <f t="shared" si="186"/>
        <v>ffdfd3c0</v>
      </c>
      <c r="D3983" t="s">
        <v>111</v>
      </c>
      <c r="E3983">
        <v>18</v>
      </c>
      <c r="F3983">
        <v>1018</v>
      </c>
      <c r="G3983" t="s">
        <v>112</v>
      </c>
      <c r="J3983" t="s">
        <v>113</v>
      </c>
      <c r="K3983">
        <v>0</v>
      </c>
      <c r="L3983">
        <v>3</v>
      </c>
      <c r="M3983">
        <v>0</v>
      </c>
      <c r="N3983">
        <v>2</v>
      </c>
      <c r="O3983">
        <v>1</v>
      </c>
      <c r="P3983">
        <v>0</v>
      </c>
      <c r="Q3983">
        <v>0</v>
      </c>
      <c r="R3983" t="s">
        <v>114</v>
      </c>
      <c r="S3983" t="str">
        <f>"19:41:29.656"</f>
        <v>19:41:29.656</v>
      </c>
      <c r="T3983" t="str">
        <f>"19:41:29.555"</f>
        <v>19:41:29.555</v>
      </c>
      <c r="U3983" t="str">
        <f t="shared" si="187"/>
        <v>a1cdbe</v>
      </c>
      <c r="V3983">
        <v>0</v>
      </c>
      <c r="W3983">
        <v>0</v>
      </c>
      <c r="X3983">
        <v>2</v>
      </c>
      <c r="Y3983">
        <v>0</v>
      </c>
      <c r="Z3983">
        <v>0</v>
      </c>
      <c r="AB3983">
        <v>0</v>
      </c>
      <c r="AC3983">
        <v>9</v>
      </c>
      <c r="AD3983">
        <v>3</v>
      </c>
      <c r="AE3983">
        <v>0</v>
      </c>
      <c r="AF3983">
        <v>9</v>
      </c>
      <c r="AG3983" t="s">
        <v>115</v>
      </c>
      <c r="AH3983">
        <v>0</v>
      </c>
      <c r="AI3983">
        <v>0</v>
      </c>
      <c r="AJ3983">
        <v>1</v>
      </c>
      <c r="AK3983">
        <v>0</v>
      </c>
      <c r="AL3983" t="s">
        <v>7506</v>
      </c>
      <c r="AM3983">
        <v>47.064613999999999</v>
      </c>
      <c r="AN3983" t="s">
        <v>7507</v>
      </c>
      <c r="AO3983">
        <v>-124.008994</v>
      </c>
      <c r="AP3983">
        <v>100</v>
      </c>
      <c r="AQ3983">
        <v>800</v>
      </c>
      <c r="AR3983" t="s">
        <v>118</v>
      </c>
      <c r="AS3983">
        <v>57</v>
      </c>
      <c r="AT3983">
        <v>-51</v>
      </c>
      <c r="AU3983">
        <v>-1472</v>
      </c>
      <c r="BC3983">
        <v>1200</v>
      </c>
      <c r="BD3983">
        <v>1</v>
      </c>
      <c r="BE3983" t="str">
        <f t="shared" si="188"/>
        <v xml:space="preserve">N215T   </v>
      </c>
      <c r="BF3983">
        <v>1</v>
      </c>
      <c r="BH3983">
        <v>0</v>
      </c>
      <c r="BI3983">
        <v>0</v>
      </c>
      <c r="BJ3983">
        <v>0</v>
      </c>
      <c r="BK3983">
        <v>1200</v>
      </c>
      <c r="BL3983">
        <v>400</v>
      </c>
      <c r="BM3983" t="s">
        <v>119</v>
      </c>
      <c r="BN3983">
        <v>1</v>
      </c>
      <c r="BO3983">
        <v>1</v>
      </c>
      <c r="BP3983">
        <v>1</v>
      </c>
      <c r="BQ3983">
        <v>0</v>
      </c>
      <c r="BT3983">
        <v>0</v>
      </c>
      <c r="BU3983">
        <v>0</v>
      </c>
      <c r="BV3983">
        <v>0</v>
      </c>
      <c r="CC3983" t="str">
        <f>"19:41:29.664"</f>
        <v>19:41:29.664</v>
      </c>
      <c r="CD3983" t="str">
        <f>"663979929"</f>
        <v>663979929</v>
      </c>
      <c r="CQ3983">
        <v>0</v>
      </c>
      <c r="CR3983">
        <v>2</v>
      </c>
      <c r="CS3983">
        <v>0</v>
      </c>
      <c r="CT3983">
        <v>2</v>
      </c>
      <c r="CU3983">
        <v>0</v>
      </c>
      <c r="CV3983">
        <v>6</v>
      </c>
      <c r="CW3983" t="s">
        <v>120</v>
      </c>
      <c r="CX3983">
        <v>257</v>
      </c>
      <c r="CY3983">
        <v>0</v>
      </c>
      <c r="CZ3983" t="s">
        <v>615</v>
      </c>
      <c r="DA3983" t="s">
        <v>616</v>
      </c>
      <c r="DD3983">
        <v>16635227</v>
      </c>
      <c r="DE3983" t="s">
        <v>123</v>
      </c>
    </row>
    <row r="3984" spans="1:109" x14ac:dyDescent="0.3">
      <c r="A3984" t="str">
        <f>"19:41:30.938"</f>
        <v>19:41:30.938</v>
      </c>
      <c r="B3984" t="s">
        <v>110</v>
      </c>
      <c r="C3984" t="str">
        <f t="shared" si="186"/>
        <v>ffdfd3c0</v>
      </c>
      <c r="D3984" t="s">
        <v>111</v>
      </c>
      <c r="E3984">
        <v>18</v>
      </c>
      <c r="F3984">
        <v>1018</v>
      </c>
      <c r="G3984" t="s">
        <v>112</v>
      </c>
      <c r="J3984" t="s">
        <v>113</v>
      </c>
      <c r="K3984">
        <v>0</v>
      </c>
      <c r="L3984">
        <v>3</v>
      </c>
      <c r="M3984">
        <v>0</v>
      </c>
      <c r="N3984">
        <v>2</v>
      </c>
      <c r="O3984">
        <v>1</v>
      </c>
      <c r="P3984">
        <v>0</v>
      </c>
      <c r="Q3984">
        <v>0</v>
      </c>
      <c r="R3984" t="s">
        <v>114</v>
      </c>
      <c r="S3984" t="str">
        <f>"19:41:30.695"</f>
        <v>19:41:30.695</v>
      </c>
      <c r="T3984" t="str">
        <f>"19:41:30.492"</f>
        <v>19:41:30.492</v>
      </c>
      <c r="U3984" t="str">
        <f t="shared" si="187"/>
        <v>a1cdbe</v>
      </c>
      <c r="V3984">
        <v>0</v>
      </c>
      <c r="W3984">
        <v>0</v>
      </c>
      <c r="X3984">
        <v>2</v>
      </c>
      <c r="Y3984">
        <v>0</v>
      </c>
      <c r="Z3984">
        <v>0</v>
      </c>
      <c r="AB3984">
        <v>0</v>
      </c>
      <c r="AC3984">
        <v>9</v>
      </c>
      <c r="AD3984">
        <v>3</v>
      </c>
      <c r="AE3984">
        <v>0</v>
      </c>
      <c r="AF3984">
        <v>9</v>
      </c>
      <c r="AG3984" t="s">
        <v>115</v>
      </c>
      <c r="AH3984">
        <v>0</v>
      </c>
      <c r="AI3984">
        <v>0</v>
      </c>
      <c r="AJ3984">
        <v>1</v>
      </c>
      <c r="AK3984">
        <v>0</v>
      </c>
      <c r="AL3984" t="s">
        <v>7508</v>
      </c>
      <c r="AM3984">
        <v>47.064357000000001</v>
      </c>
      <c r="AN3984" t="s">
        <v>7391</v>
      </c>
      <c r="AO3984">
        <v>-124.008608</v>
      </c>
      <c r="AP3984">
        <v>100</v>
      </c>
      <c r="AQ3984">
        <v>800</v>
      </c>
      <c r="AR3984" t="s">
        <v>118</v>
      </c>
      <c r="AS3984">
        <v>56</v>
      </c>
      <c r="AT3984">
        <v>-53</v>
      </c>
      <c r="AU3984">
        <v>-1408</v>
      </c>
      <c r="BC3984">
        <v>1200</v>
      </c>
      <c r="BD3984">
        <v>1</v>
      </c>
      <c r="BE3984" t="str">
        <f t="shared" si="188"/>
        <v xml:space="preserve">N215T   </v>
      </c>
      <c r="BF3984">
        <v>1</v>
      </c>
      <c r="BH3984">
        <v>0</v>
      </c>
      <c r="BI3984">
        <v>0</v>
      </c>
      <c r="BJ3984">
        <v>0</v>
      </c>
      <c r="BK3984">
        <v>1175</v>
      </c>
      <c r="BL3984">
        <v>375</v>
      </c>
      <c r="BM3984" t="s">
        <v>119</v>
      </c>
      <c r="BN3984">
        <v>1</v>
      </c>
      <c r="BO3984">
        <v>1</v>
      </c>
      <c r="BP3984">
        <v>1</v>
      </c>
      <c r="BQ3984">
        <v>0</v>
      </c>
      <c r="BT3984">
        <v>0</v>
      </c>
      <c r="BU3984">
        <v>0</v>
      </c>
      <c r="BV3984">
        <v>0</v>
      </c>
      <c r="CC3984" t="str">
        <f>"19:41:30.695"</f>
        <v>19:41:30.695</v>
      </c>
      <c r="CD3984" t="str">
        <f>"698877818"</f>
        <v>698877818</v>
      </c>
      <c r="CQ3984">
        <v>0</v>
      </c>
      <c r="CR3984">
        <v>2</v>
      </c>
      <c r="CS3984">
        <v>0</v>
      </c>
      <c r="CT3984">
        <v>2</v>
      </c>
      <c r="CU3984">
        <v>0</v>
      </c>
      <c r="CV3984">
        <v>6</v>
      </c>
      <c r="CW3984" t="s">
        <v>120</v>
      </c>
      <c r="CX3984">
        <v>257</v>
      </c>
      <c r="CY3984">
        <v>0</v>
      </c>
      <c r="CZ3984" t="s">
        <v>615</v>
      </c>
      <c r="DA3984" t="s">
        <v>616</v>
      </c>
      <c r="DD3984">
        <v>16635540</v>
      </c>
      <c r="DE3984" t="s">
        <v>123</v>
      </c>
    </row>
    <row r="3985" spans="1:109" x14ac:dyDescent="0.3">
      <c r="A3985" t="str">
        <f>"19:41:32.094"</f>
        <v>19:41:32.094</v>
      </c>
      <c r="B3985" t="s">
        <v>110</v>
      </c>
      <c r="C3985" t="str">
        <f t="shared" si="186"/>
        <v>ffdfd3c0</v>
      </c>
      <c r="D3985" t="s">
        <v>111</v>
      </c>
      <c r="E3985">
        <v>18</v>
      </c>
      <c r="F3985">
        <v>1018</v>
      </c>
      <c r="G3985" t="s">
        <v>112</v>
      </c>
      <c r="J3985" t="s">
        <v>113</v>
      </c>
      <c r="K3985">
        <v>0</v>
      </c>
      <c r="L3985">
        <v>3</v>
      </c>
      <c r="M3985">
        <v>0</v>
      </c>
      <c r="N3985">
        <v>2</v>
      </c>
      <c r="O3985">
        <v>1</v>
      </c>
      <c r="P3985">
        <v>0</v>
      </c>
      <c r="Q3985">
        <v>0</v>
      </c>
      <c r="R3985" t="s">
        <v>114</v>
      </c>
      <c r="S3985" t="str">
        <f>"19:41:31.805"</f>
        <v>19:41:31.805</v>
      </c>
      <c r="T3985" t="str">
        <f>"19:41:31.602"</f>
        <v>19:41:31.602</v>
      </c>
      <c r="U3985" t="str">
        <f t="shared" si="187"/>
        <v>a1cdbe</v>
      </c>
      <c r="V3985">
        <v>0</v>
      </c>
      <c r="W3985">
        <v>0</v>
      </c>
      <c r="X3985">
        <v>2</v>
      </c>
      <c r="Y3985">
        <v>0</v>
      </c>
      <c r="Z3985">
        <v>0</v>
      </c>
      <c r="AB3985">
        <v>0</v>
      </c>
      <c r="AC3985">
        <v>9</v>
      </c>
      <c r="AD3985">
        <v>3</v>
      </c>
      <c r="AE3985">
        <v>0</v>
      </c>
      <c r="AF3985">
        <v>9</v>
      </c>
      <c r="AG3985" t="s">
        <v>115</v>
      </c>
      <c r="AH3985">
        <v>0</v>
      </c>
      <c r="AI3985">
        <v>0</v>
      </c>
      <c r="AJ3985">
        <v>1</v>
      </c>
      <c r="AK3985">
        <v>0</v>
      </c>
      <c r="AL3985" t="s">
        <v>7509</v>
      </c>
      <c r="AM3985">
        <v>47.064078000000002</v>
      </c>
      <c r="AN3985" t="s">
        <v>7510</v>
      </c>
      <c r="AO3985">
        <v>-124.008179</v>
      </c>
      <c r="AP3985">
        <v>100</v>
      </c>
      <c r="AQ3985">
        <v>800</v>
      </c>
      <c r="AR3985" t="s">
        <v>118</v>
      </c>
      <c r="AS3985">
        <v>55</v>
      </c>
      <c r="AT3985">
        <v>-54</v>
      </c>
      <c r="AU3985">
        <v>-1344</v>
      </c>
      <c r="BC3985">
        <v>1200</v>
      </c>
      <c r="BD3985">
        <v>1</v>
      </c>
      <c r="BE3985" t="str">
        <f t="shared" si="188"/>
        <v xml:space="preserve">N215T   </v>
      </c>
      <c r="BF3985">
        <v>1</v>
      </c>
      <c r="BH3985">
        <v>0</v>
      </c>
      <c r="BI3985">
        <v>0</v>
      </c>
      <c r="BJ3985">
        <v>0</v>
      </c>
      <c r="BK3985">
        <v>1150</v>
      </c>
      <c r="BL3985">
        <v>350</v>
      </c>
      <c r="BM3985" t="s">
        <v>119</v>
      </c>
      <c r="BN3985">
        <v>1</v>
      </c>
      <c r="BO3985">
        <v>1</v>
      </c>
      <c r="BP3985">
        <v>1</v>
      </c>
      <c r="BQ3985">
        <v>0</v>
      </c>
      <c r="BT3985">
        <v>0</v>
      </c>
      <c r="BU3985">
        <v>0</v>
      </c>
      <c r="BV3985">
        <v>0</v>
      </c>
      <c r="CC3985" t="str">
        <f>"19:41:31.813"</f>
        <v>19:41:31.813</v>
      </c>
      <c r="CD3985" t="str">
        <f>"808768307"</f>
        <v>808768307</v>
      </c>
      <c r="CQ3985">
        <v>0</v>
      </c>
      <c r="CR3985">
        <v>2</v>
      </c>
      <c r="CS3985">
        <v>0</v>
      </c>
      <c r="CT3985">
        <v>2</v>
      </c>
      <c r="CU3985">
        <v>0</v>
      </c>
      <c r="CV3985">
        <v>6</v>
      </c>
      <c r="CW3985" t="s">
        <v>120</v>
      </c>
      <c r="CX3985">
        <v>257</v>
      </c>
      <c r="CY3985">
        <v>0</v>
      </c>
      <c r="CZ3985" t="s">
        <v>615</v>
      </c>
      <c r="DA3985" t="s">
        <v>616</v>
      </c>
      <c r="DD3985">
        <v>16635928</v>
      </c>
      <c r="DE3985" t="s">
        <v>123</v>
      </c>
    </row>
    <row r="3986" spans="1:109" x14ac:dyDescent="0.3">
      <c r="A3986" t="str">
        <f>"19:41:33.102"</f>
        <v>19:41:33.102</v>
      </c>
      <c r="B3986" t="s">
        <v>110</v>
      </c>
      <c r="C3986" t="str">
        <f t="shared" si="186"/>
        <v>ffdfd3c0</v>
      </c>
      <c r="D3986" t="s">
        <v>111</v>
      </c>
      <c r="E3986">
        <v>18</v>
      </c>
      <c r="F3986">
        <v>1018</v>
      </c>
      <c r="G3986" t="s">
        <v>112</v>
      </c>
      <c r="J3986" t="s">
        <v>113</v>
      </c>
      <c r="K3986">
        <v>0</v>
      </c>
      <c r="L3986">
        <v>3</v>
      </c>
      <c r="M3986">
        <v>0</v>
      </c>
      <c r="N3986">
        <v>2</v>
      </c>
      <c r="O3986">
        <v>1</v>
      </c>
      <c r="P3986">
        <v>0</v>
      </c>
      <c r="Q3986">
        <v>0</v>
      </c>
      <c r="R3986" t="s">
        <v>114</v>
      </c>
      <c r="S3986" t="str">
        <f>"19:41:32.836"</f>
        <v>19:41:32.836</v>
      </c>
      <c r="T3986" t="str">
        <f>"19:41:32.438"</f>
        <v>19:41:32.438</v>
      </c>
      <c r="U3986" t="str">
        <f t="shared" si="187"/>
        <v>a1cdbe</v>
      </c>
      <c r="V3986">
        <v>0</v>
      </c>
      <c r="W3986">
        <v>0</v>
      </c>
      <c r="X3986">
        <v>2</v>
      </c>
      <c r="Y3986">
        <v>0</v>
      </c>
      <c r="Z3986">
        <v>0</v>
      </c>
      <c r="AB3986">
        <v>0</v>
      </c>
      <c r="AC3986">
        <v>9</v>
      </c>
      <c r="AD3986">
        <v>3</v>
      </c>
      <c r="AE3986">
        <v>0</v>
      </c>
      <c r="AF3986">
        <v>9</v>
      </c>
      <c r="AG3986" t="s">
        <v>115</v>
      </c>
      <c r="AH3986">
        <v>0</v>
      </c>
      <c r="AI3986">
        <v>0</v>
      </c>
      <c r="AJ3986">
        <v>1</v>
      </c>
      <c r="AK3986">
        <v>0</v>
      </c>
      <c r="AL3986" t="s">
        <v>7511</v>
      </c>
      <c r="AM3986">
        <v>47.06382</v>
      </c>
      <c r="AN3986" t="s">
        <v>7512</v>
      </c>
      <c r="AO3986">
        <v>-124.00777100000001</v>
      </c>
      <c r="AP3986">
        <v>100</v>
      </c>
      <c r="AQ3986">
        <v>700</v>
      </c>
      <c r="AR3986" t="s">
        <v>118</v>
      </c>
      <c r="AS3986">
        <v>55</v>
      </c>
      <c r="AT3986">
        <v>-54</v>
      </c>
      <c r="AU3986">
        <v>-1472</v>
      </c>
      <c r="BC3986">
        <v>1200</v>
      </c>
      <c r="BD3986">
        <v>1</v>
      </c>
      <c r="BE3986" t="str">
        <f t="shared" si="188"/>
        <v xml:space="preserve">N215T   </v>
      </c>
      <c r="BF3986">
        <v>1</v>
      </c>
      <c r="BH3986">
        <v>0</v>
      </c>
      <c r="BI3986">
        <v>0</v>
      </c>
      <c r="BJ3986">
        <v>0</v>
      </c>
      <c r="BK3986">
        <v>1125</v>
      </c>
      <c r="BL3986">
        <v>425</v>
      </c>
      <c r="BM3986" t="s">
        <v>119</v>
      </c>
      <c r="BN3986">
        <v>1</v>
      </c>
      <c r="BO3986">
        <v>1</v>
      </c>
      <c r="BP3986">
        <v>1</v>
      </c>
      <c r="BQ3986">
        <v>0</v>
      </c>
      <c r="BT3986">
        <v>0</v>
      </c>
      <c r="BU3986">
        <v>0</v>
      </c>
      <c r="BV3986">
        <v>0</v>
      </c>
      <c r="CC3986" t="str">
        <f>"19:41:32.844"</f>
        <v>19:41:32.844</v>
      </c>
      <c r="CD3986" t="str">
        <f>"843666209"</f>
        <v>843666209</v>
      </c>
      <c r="CQ3986">
        <v>0</v>
      </c>
      <c r="CR3986">
        <v>2</v>
      </c>
      <c r="CS3986">
        <v>0</v>
      </c>
      <c r="CT3986">
        <v>2</v>
      </c>
      <c r="CU3986">
        <v>0</v>
      </c>
      <c r="CV3986">
        <v>6</v>
      </c>
      <c r="CW3986" t="s">
        <v>120</v>
      </c>
      <c r="CX3986">
        <v>257</v>
      </c>
      <c r="CY3986">
        <v>0</v>
      </c>
      <c r="CZ3986" t="s">
        <v>615</v>
      </c>
      <c r="DA3986" t="s">
        <v>616</v>
      </c>
      <c r="DD3986">
        <v>16636266</v>
      </c>
      <c r="DE3986" t="s">
        <v>123</v>
      </c>
    </row>
    <row r="3987" spans="1:109" x14ac:dyDescent="0.3">
      <c r="A3987" t="str">
        <f>"19:41:34.156"</f>
        <v>19:41:34.156</v>
      </c>
      <c r="B3987" t="s">
        <v>110</v>
      </c>
      <c r="C3987" t="str">
        <f t="shared" si="186"/>
        <v>ffdfd3c0</v>
      </c>
      <c r="D3987" t="s">
        <v>111</v>
      </c>
      <c r="E3987">
        <v>18</v>
      </c>
      <c r="F3987">
        <v>1018</v>
      </c>
      <c r="G3987" t="s">
        <v>112</v>
      </c>
      <c r="J3987" t="s">
        <v>113</v>
      </c>
      <c r="K3987">
        <v>0</v>
      </c>
      <c r="L3987">
        <v>3</v>
      </c>
      <c r="M3987">
        <v>0</v>
      </c>
      <c r="N3987">
        <v>2</v>
      </c>
      <c r="O3987">
        <v>1</v>
      </c>
      <c r="P3987">
        <v>0</v>
      </c>
      <c r="Q3987">
        <v>0</v>
      </c>
      <c r="R3987" t="s">
        <v>114</v>
      </c>
      <c r="S3987" t="str">
        <f>"19:41:33.906"</f>
        <v>19:41:33.906</v>
      </c>
      <c r="T3987" t="str">
        <f>"19:41:33.508"</f>
        <v>19:41:33.508</v>
      </c>
      <c r="U3987" t="str">
        <f t="shared" si="187"/>
        <v>a1cdbe</v>
      </c>
      <c r="V3987">
        <v>0</v>
      </c>
      <c r="W3987">
        <v>0</v>
      </c>
      <c r="X3987">
        <v>2</v>
      </c>
      <c r="Y3987">
        <v>0</v>
      </c>
      <c r="Z3987">
        <v>0</v>
      </c>
      <c r="AB3987">
        <v>0</v>
      </c>
      <c r="AC3987">
        <v>9</v>
      </c>
      <c r="AD3987">
        <v>3</v>
      </c>
      <c r="AE3987">
        <v>0</v>
      </c>
      <c r="AF3987">
        <v>9</v>
      </c>
      <c r="AG3987" t="s">
        <v>115</v>
      </c>
      <c r="AH3987">
        <v>0</v>
      </c>
      <c r="AI3987">
        <v>0</v>
      </c>
      <c r="AJ3987">
        <v>1</v>
      </c>
      <c r="AK3987">
        <v>0</v>
      </c>
      <c r="AL3987" t="s">
        <v>7437</v>
      </c>
      <c r="AM3987">
        <v>47.063563000000002</v>
      </c>
      <c r="AN3987" t="s">
        <v>7513</v>
      </c>
      <c r="AO3987">
        <v>-124.007406</v>
      </c>
      <c r="AP3987">
        <v>100</v>
      </c>
      <c r="AQ3987">
        <v>700</v>
      </c>
      <c r="AR3987" t="s">
        <v>118</v>
      </c>
      <c r="AS3987">
        <v>55</v>
      </c>
      <c r="AT3987">
        <v>-54</v>
      </c>
      <c r="AU3987">
        <v>-1472</v>
      </c>
      <c r="BC3987">
        <v>1200</v>
      </c>
      <c r="BD3987">
        <v>1</v>
      </c>
      <c r="BE3987" t="str">
        <f t="shared" si="188"/>
        <v xml:space="preserve">N215T   </v>
      </c>
      <c r="BF3987">
        <v>1</v>
      </c>
      <c r="BH3987">
        <v>0</v>
      </c>
      <c r="BI3987">
        <v>0</v>
      </c>
      <c r="BJ3987">
        <v>0</v>
      </c>
      <c r="BK3987">
        <v>1100</v>
      </c>
      <c r="BL3987">
        <v>400</v>
      </c>
      <c r="BM3987" t="s">
        <v>119</v>
      </c>
      <c r="BN3987">
        <v>1</v>
      </c>
      <c r="BO3987">
        <v>1</v>
      </c>
      <c r="BP3987">
        <v>1</v>
      </c>
      <c r="BQ3987">
        <v>0</v>
      </c>
      <c r="BT3987">
        <v>0</v>
      </c>
      <c r="BU3987">
        <v>0</v>
      </c>
      <c r="BV3987">
        <v>0</v>
      </c>
      <c r="CC3987" t="str">
        <f>"19:41:33.906"</f>
        <v>19:41:33.906</v>
      </c>
      <c r="CD3987" t="str">
        <f>"908561122"</f>
        <v>908561122</v>
      </c>
      <c r="CQ3987">
        <v>0</v>
      </c>
      <c r="CR3987">
        <v>2</v>
      </c>
      <c r="CS3987">
        <v>0</v>
      </c>
      <c r="CT3987">
        <v>2</v>
      </c>
      <c r="CU3987">
        <v>0</v>
      </c>
      <c r="CV3987">
        <v>6</v>
      </c>
      <c r="CW3987" t="s">
        <v>120</v>
      </c>
      <c r="CX3987">
        <v>257</v>
      </c>
      <c r="CY3987">
        <v>0</v>
      </c>
      <c r="CZ3987" t="s">
        <v>615</v>
      </c>
      <c r="DA3987" t="s">
        <v>616</v>
      </c>
      <c r="DD3987">
        <v>16636617</v>
      </c>
      <c r="DE3987" t="s">
        <v>123</v>
      </c>
    </row>
    <row r="3988" spans="1:109" x14ac:dyDescent="0.3">
      <c r="A3988" t="str">
        <f>"19:41:35.258"</f>
        <v>19:41:35.258</v>
      </c>
      <c r="B3988" t="s">
        <v>110</v>
      </c>
      <c r="C3988" t="str">
        <f t="shared" si="186"/>
        <v>ffdfd3c0</v>
      </c>
      <c r="D3988" t="s">
        <v>111</v>
      </c>
      <c r="E3988">
        <v>18</v>
      </c>
      <c r="F3988">
        <v>1018</v>
      </c>
      <c r="G3988" t="s">
        <v>112</v>
      </c>
      <c r="J3988" t="s">
        <v>113</v>
      </c>
      <c r="K3988">
        <v>0</v>
      </c>
      <c r="L3988">
        <v>3</v>
      </c>
      <c r="M3988">
        <v>0</v>
      </c>
      <c r="N3988">
        <v>2</v>
      </c>
      <c r="O3988">
        <v>1</v>
      </c>
      <c r="P3988">
        <v>0</v>
      </c>
      <c r="Q3988">
        <v>0</v>
      </c>
      <c r="R3988" t="s">
        <v>114</v>
      </c>
      <c r="S3988" t="str">
        <f>"19:41:35.016"</f>
        <v>19:41:35.016</v>
      </c>
      <c r="T3988" t="str">
        <f>"19:41:34.516"</f>
        <v>19:41:34.516</v>
      </c>
      <c r="U3988" t="str">
        <f t="shared" si="187"/>
        <v>a1cdbe</v>
      </c>
      <c r="V3988">
        <v>0</v>
      </c>
      <c r="W3988">
        <v>0</v>
      </c>
      <c r="X3988">
        <v>2</v>
      </c>
      <c r="Y3988">
        <v>0</v>
      </c>
      <c r="Z3988">
        <v>0</v>
      </c>
      <c r="AB3988">
        <v>0</v>
      </c>
      <c r="AC3988">
        <v>9</v>
      </c>
      <c r="AD3988">
        <v>3</v>
      </c>
      <c r="AE3988">
        <v>0</v>
      </c>
      <c r="AF3988">
        <v>9</v>
      </c>
      <c r="AG3988" t="s">
        <v>115</v>
      </c>
      <c r="AH3988">
        <v>0</v>
      </c>
      <c r="AI3988">
        <v>0</v>
      </c>
      <c r="AJ3988">
        <v>1</v>
      </c>
      <c r="AK3988">
        <v>0</v>
      </c>
      <c r="AL3988" t="s">
        <v>7514</v>
      </c>
      <c r="AM3988">
        <v>47.063284000000003</v>
      </c>
      <c r="AN3988" t="s">
        <v>7515</v>
      </c>
      <c r="AO3988">
        <v>-124.00697700000001</v>
      </c>
      <c r="AP3988">
        <v>100</v>
      </c>
      <c r="AQ3988">
        <v>700</v>
      </c>
      <c r="AR3988" t="s">
        <v>118</v>
      </c>
      <c r="AS3988">
        <v>55</v>
      </c>
      <c r="AT3988">
        <v>-52</v>
      </c>
      <c r="AU3988">
        <v>-1536</v>
      </c>
      <c r="BC3988">
        <v>1200</v>
      </c>
      <c r="BD3988">
        <v>1</v>
      </c>
      <c r="BE3988" t="str">
        <f t="shared" si="188"/>
        <v xml:space="preserve">N215T   </v>
      </c>
      <c r="BF3988">
        <v>1</v>
      </c>
      <c r="BH3988">
        <v>0</v>
      </c>
      <c r="BI3988">
        <v>0</v>
      </c>
      <c r="BJ3988">
        <v>0</v>
      </c>
      <c r="BK3988">
        <v>1075</v>
      </c>
      <c r="BL3988">
        <v>375</v>
      </c>
      <c r="BM3988" t="s">
        <v>119</v>
      </c>
      <c r="BN3988">
        <v>1</v>
      </c>
      <c r="BO3988">
        <v>1</v>
      </c>
      <c r="BP3988">
        <v>1</v>
      </c>
      <c r="BQ3988">
        <v>0</v>
      </c>
      <c r="BT3988">
        <v>0</v>
      </c>
      <c r="BU3988">
        <v>0</v>
      </c>
      <c r="BV3988">
        <v>0</v>
      </c>
      <c r="CC3988" t="str">
        <f>"19:41:35.016"</f>
        <v>19:41:35.016</v>
      </c>
      <c r="CD3988" t="str">
        <f>"018451611"</f>
        <v>018451611</v>
      </c>
      <c r="CQ3988">
        <v>0</v>
      </c>
      <c r="CR3988">
        <v>2</v>
      </c>
      <c r="CS3988">
        <v>0</v>
      </c>
      <c r="CT3988">
        <v>2</v>
      </c>
      <c r="CU3988">
        <v>0</v>
      </c>
      <c r="CV3988">
        <v>5</v>
      </c>
      <c r="CW3988" t="s">
        <v>120</v>
      </c>
      <c r="CX3988">
        <v>257</v>
      </c>
      <c r="CY3988">
        <v>0</v>
      </c>
      <c r="CZ3988" t="s">
        <v>615</v>
      </c>
      <c r="DA3988" t="s">
        <v>616</v>
      </c>
      <c r="DD3988">
        <v>16636986</v>
      </c>
      <c r="DE3988" t="s">
        <v>123</v>
      </c>
    </row>
    <row r="3989" spans="1:109" x14ac:dyDescent="0.3">
      <c r="A3989" t="str">
        <f>"19:41:36.266"</f>
        <v>19:41:36.266</v>
      </c>
      <c r="B3989" t="s">
        <v>110</v>
      </c>
      <c r="C3989" t="str">
        <f t="shared" ref="C3989:C4052" si="189">"ffdfd3c0"</f>
        <v>ffdfd3c0</v>
      </c>
      <c r="D3989" t="s">
        <v>111</v>
      </c>
      <c r="E3989">
        <v>18</v>
      </c>
      <c r="F3989">
        <v>1018</v>
      </c>
      <c r="G3989" t="s">
        <v>112</v>
      </c>
      <c r="J3989" t="s">
        <v>113</v>
      </c>
      <c r="K3989">
        <v>0</v>
      </c>
      <c r="L3989">
        <v>3</v>
      </c>
      <c r="M3989">
        <v>0</v>
      </c>
      <c r="N3989">
        <v>2</v>
      </c>
      <c r="O3989">
        <v>1</v>
      </c>
      <c r="P3989">
        <v>0</v>
      </c>
      <c r="Q3989">
        <v>0</v>
      </c>
      <c r="R3989" t="s">
        <v>114</v>
      </c>
      <c r="S3989" t="str">
        <f>"19:41:36.016"</f>
        <v>19:41:36.016</v>
      </c>
      <c r="T3989" t="str">
        <f>"19:41:35.617"</f>
        <v>19:41:35.617</v>
      </c>
      <c r="U3989" t="str">
        <f t="shared" si="187"/>
        <v>a1cdbe</v>
      </c>
      <c r="V3989">
        <v>0</v>
      </c>
      <c r="W3989">
        <v>0</v>
      </c>
      <c r="X3989">
        <v>2</v>
      </c>
      <c r="Y3989">
        <v>0</v>
      </c>
      <c r="Z3989">
        <v>0</v>
      </c>
      <c r="AB3989">
        <v>0</v>
      </c>
      <c r="AC3989">
        <v>9</v>
      </c>
      <c r="AD3989">
        <v>3</v>
      </c>
      <c r="AE3989">
        <v>0</v>
      </c>
      <c r="AF3989">
        <v>9</v>
      </c>
      <c r="AG3989" t="s">
        <v>115</v>
      </c>
      <c r="AH3989">
        <v>0</v>
      </c>
      <c r="AI3989">
        <v>0</v>
      </c>
      <c r="AJ3989">
        <v>1</v>
      </c>
      <c r="AK3989">
        <v>0</v>
      </c>
      <c r="AL3989" t="s">
        <v>492</v>
      </c>
      <c r="AM3989">
        <v>47.063048000000002</v>
      </c>
      <c r="AN3989" t="s">
        <v>7516</v>
      </c>
      <c r="AO3989">
        <v>-124.006591</v>
      </c>
      <c r="AP3989">
        <v>100</v>
      </c>
      <c r="AQ3989">
        <v>700</v>
      </c>
      <c r="AR3989" t="s">
        <v>118</v>
      </c>
      <c r="AS3989">
        <v>56</v>
      </c>
      <c r="AT3989">
        <v>-50</v>
      </c>
      <c r="AU3989">
        <v>-1344</v>
      </c>
      <c r="BC3989">
        <v>1200</v>
      </c>
      <c r="BD3989">
        <v>1</v>
      </c>
      <c r="BE3989" t="str">
        <f t="shared" si="188"/>
        <v xml:space="preserve">N215T   </v>
      </c>
      <c r="BF3989">
        <v>1</v>
      </c>
      <c r="BH3989">
        <v>0</v>
      </c>
      <c r="BI3989">
        <v>0</v>
      </c>
      <c r="BJ3989">
        <v>0</v>
      </c>
      <c r="BK3989">
        <v>1050</v>
      </c>
      <c r="BL3989">
        <v>350</v>
      </c>
      <c r="BM3989" t="s">
        <v>119</v>
      </c>
      <c r="BN3989">
        <v>1</v>
      </c>
      <c r="BO3989">
        <v>1</v>
      </c>
      <c r="BP3989">
        <v>1</v>
      </c>
      <c r="BQ3989">
        <v>0</v>
      </c>
      <c r="BT3989">
        <v>0</v>
      </c>
      <c r="BU3989">
        <v>0</v>
      </c>
      <c r="BV3989">
        <v>0</v>
      </c>
      <c r="CC3989" t="str">
        <f>"19:41:36.023"</f>
        <v>19:41:36.023</v>
      </c>
      <c r="CD3989" t="str">
        <f>"023352469"</f>
        <v>023352469</v>
      </c>
      <c r="CQ3989">
        <v>0</v>
      </c>
      <c r="CR3989">
        <v>2</v>
      </c>
      <c r="CS3989">
        <v>0</v>
      </c>
      <c r="CT3989">
        <v>2</v>
      </c>
      <c r="CU3989">
        <v>0</v>
      </c>
      <c r="CV3989">
        <v>5</v>
      </c>
      <c r="CW3989" t="s">
        <v>120</v>
      </c>
      <c r="CX3989">
        <v>257</v>
      </c>
      <c r="CY3989">
        <v>0</v>
      </c>
      <c r="CZ3989" t="s">
        <v>615</v>
      </c>
      <c r="DA3989" t="s">
        <v>616</v>
      </c>
      <c r="DD3989">
        <v>16637337</v>
      </c>
      <c r="DE3989" t="s">
        <v>123</v>
      </c>
    </row>
    <row r="3990" spans="1:109" x14ac:dyDescent="0.3">
      <c r="A3990" t="str">
        <f>"19:41:37.219"</f>
        <v>19:41:37.219</v>
      </c>
      <c r="B3990" t="s">
        <v>110</v>
      </c>
      <c r="C3990" t="str">
        <f t="shared" si="189"/>
        <v>ffdfd3c0</v>
      </c>
      <c r="D3990" t="s">
        <v>111</v>
      </c>
      <c r="E3990">
        <v>18</v>
      </c>
      <c r="F3990">
        <v>1018</v>
      </c>
      <c r="G3990" t="s">
        <v>112</v>
      </c>
      <c r="J3990" t="s">
        <v>113</v>
      </c>
      <c r="K3990">
        <v>0</v>
      </c>
      <c r="L3990">
        <v>3</v>
      </c>
      <c r="M3990">
        <v>0</v>
      </c>
      <c r="N3990">
        <v>2</v>
      </c>
      <c r="O3990">
        <v>1</v>
      </c>
      <c r="P3990">
        <v>0</v>
      </c>
      <c r="Q3990">
        <v>0</v>
      </c>
      <c r="R3990" t="s">
        <v>114</v>
      </c>
      <c r="S3990" t="str">
        <f>"19:41:37.023"</f>
        <v>19:41:37.023</v>
      </c>
      <c r="T3990" t="str">
        <f>"19:41:36.922"</f>
        <v>19:41:36.922</v>
      </c>
      <c r="U3990" t="str">
        <f t="shared" si="187"/>
        <v>a1cdbe</v>
      </c>
      <c r="V3990">
        <v>0</v>
      </c>
      <c r="W3990">
        <v>0</v>
      </c>
      <c r="X3990">
        <v>2</v>
      </c>
      <c r="Y3990">
        <v>0</v>
      </c>
      <c r="Z3990">
        <v>0</v>
      </c>
      <c r="AB3990">
        <v>0</v>
      </c>
      <c r="AC3990">
        <v>9</v>
      </c>
      <c r="AD3990">
        <v>3</v>
      </c>
      <c r="AE3990">
        <v>0</v>
      </c>
      <c r="AF3990">
        <v>9</v>
      </c>
      <c r="AG3990" t="s">
        <v>115</v>
      </c>
      <c r="AH3990">
        <v>0</v>
      </c>
      <c r="AI3990">
        <v>0</v>
      </c>
      <c r="AJ3990">
        <v>1</v>
      </c>
      <c r="AK3990">
        <v>0</v>
      </c>
      <c r="AL3990" t="s">
        <v>7517</v>
      </c>
      <c r="AM3990">
        <v>47.062832999999998</v>
      </c>
      <c r="AN3990" t="s">
        <v>7518</v>
      </c>
      <c r="AO3990">
        <v>-124.00620499999999</v>
      </c>
      <c r="AP3990">
        <v>100</v>
      </c>
      <c r="AQ3990">
        <v>600</v>
      </c>
      <c r="AR3990" t="s">
        <v>118</v>
      </c>
      <c r="AS3990">
        <v>58</v>
      </c>
      <c r="AT3990">
        <v>-47</v>
      </c>
      <c r="AU3990">
        <v>-1216</v>
      </c>
      <c r="BC3990">
        <v>1200</v>
      </c>
      <c r="BD3990">
        <v>1</v>
      </c>
      <c r="BE3990" t="str">
        <f t="shared" si="188"/>
        <v xml:space="preserve">N215T   </v>
      </c>
      <c r="BF3990">
        <v>1</v>
      </c>
      <c r="BH3990">
        <v>0</v>
      </c>
      <c r="BI3990">
        <v>0</v>
      </c>
      <c r="BJ3990">
        <v>0</v>
      </c>
      <c r="BK3990">
        <v>1125</v>
      </c>
      <c r="BL3990">
        <v>525</v>
      </c>
      <c r="BM3990" t="s">
        <v>119</v>
      </c>
      <c r="BN3990">
        <v>1</v>
      </c>
      <c r="BO3990">
        <v>1</v>
      </c>
      <c r="BP3990">
        <v>1</v>
      </c>
      <c r="BQ3990">
        <v>0</v>
      </c>
      <c r="BT3990">
        <v>0</v>
      </c>
      <c r="BU3990">
        <v>0</v>
      </c>
      <c r="BV3990">
        <v>0</v>
      </c>
      <c r="CC3990" t="str">
        <f>"19:41:37.031"</f>
        <v>19:41:37.031</v>
      </c>
      <c r="CD3990" t="str">
        <f>"028253329"</f>
        <v>028253329</v>
      </c>
      <c r="CQ3990">
        <v>0</v>
      </c>
      <c r="CR3990">
        <v>2</v>
      </c>
      <c r="CS3990">
        <v>0</v>
      </c>
      <c r="CT3990">
        <v>2</v>
      </c>
      <c r="CU3990">
        <v>0</v>
      </c>
      <c r="CV3990">
        <v>6</v>
      </c>
      <c r="CW3990" t="s">
        <v>120</v>
      </c>
      <c r="CX3990">
        <v>257</v>
      </c>
      <c r="CY3990">
        <v>0</v>
      </c>
      <c r="CZ3990" t="s">
        <v>615</v>
      </c>
      <c r="DA3990" t="s">
        <v>616</v>
      </c>
      <c r="DD3990">
        <v>16637686</v>
      </c>
      <c r="DE3990" t="s">
        <v>123</v>
      </c>
    </row>
    <row r="3991" spans="1:109" x14ac:dyDescent="0.3">
      <c r="A3991" t="str">
        <f>"19:41:38.227"</f>
        <v>19:41:38.227</v>
      </c>
      <c r="B3991" t="s">
        <v>110</v>
      </c>
      <c r="C3991" t="str">
        <f t="shared" si="189"/>
        <v>ffdfd3c0</v>
      </c>
      <c r="D3991" t="s">
        <v>111</v>
      </c>
      <c r="E3991">
        <v>18</v>
      </c>
      <c r="F3991">
        <v>1018</v>
      </c>
      <c r="G3991" t="s">
        <v>112</v>
      </c>
      <c r="J3991" t="s">
        <v>113</v>
      </c>
      <c r="K3991">
        <v>0</v>
      </c>
      <c r="L3991">
        <v>3</v>
      </c>
      <c r="M3991">
        <v>0</v>
      </c>
      <c r="N3991">
        <v>2</v>
      </c>
      <c r="O3991">
        <v>1</v>
      </c>
      <c r="P3991">
        <v>0</v>
      </c>
      <c r="Q3991">
        <v>0</v>
      </c>
      <c r="R3991" t="s">
        <v>114</v>
      </c>
      <c r="S3991" t="str">
        <f>"19:41:38.000"</f>
        <v>19:41:38.000</v>
      </c>
      <c r="T3991" t="str">
        <f>"19:41:37.898"</f>
        <v>19:41:37.898</v>
      </c>
      <c r="U3991" t="str">
        <f t="shared" si="187"/>
        <v>a1cdbe</v>
      </c>
      <c r="V3991">
        <v>0</v>
      </c>
      <c r="W3991">
        <v>0</v>
      </c>
      <c r="X3991">
        <v>2</v>
      </c>
      <c r="Y3991">
        <v>0</v>
      </c>
      <c r="Z3991">
        <v>0</v>
      </c>
      <c r="AB3991">
        <v>0</v>
      </c>
      <c r="AC3991">
        <v>9</v>
      </c>
      <c r="AD3991">
        <v>3</v>
      </c>
      <c r="AE3991">
        <v>0</v>
      </c>
      <c r="AF3991">
        <v>9</v>
      </c>
      <c r="AG3991" t="s">
        <v>115</v>
      </c>
      <c r="AH3991">
        <v>0</v>
      </c>
      <c r="AI3991">
        <v>0</v>
      </c>
      <c r="AJ3991">
        <v>1</v>
      </c>
      <c r="AK3991">
        <v>0</v>
      </c>
      <c r="AL3991" t="s">
        <v>7427</v>
      </c>
      <c r="AM3991">
        <v>47.062640000000002</v>
      </c>
      <c r="AN3991" t="s">
        <v>7519</v>
      </c>
      <c r="AO3991">
        <v>-124.005775</v>
      </c>
      <c r="AP3991">
        <v>100</v>
      </c>
      <c r="AQ3991">
        <v>600</v>
      </c>
      <c r="AR3991" t="s">
        <v>118</v>
      </c>
      <c r="AS3991">
        <v>59</v>
      </c>
      <c r="AT3991">
        <v>-44</v>
      </c>
      <c r="AU3991">
        <v>-1216</v>
      </c>
      <c r="BC3991">
        <v>1200</v>
      </c>
      <c r="BD3991">
        <v>1</v>
      </c>
      <c r="BE3991" t="str">
        <f t="shared" si="188"/>
        <v xml:space="preserve">N215T   </v>
      </c>
      <c r="BF3991">
        <v>1</v>
      </c>
      <c r="BH3991">
        <v>0</v>
      </c>
      <c r="BI3991">
        <v>0</v>
      </c>
      <c r="BJ3991">
        <v>0</v>
      </c>
      <c r="BK3991">
        <v>1000</v>
      </c>
      <c r="BL3991">
        <v>400</v>
      </c>
      <c r="BM3991" t="s">
        <v>119</v>
      </c>
      <c r="BN3991">
        <v>1</v>
      </c>
      <c r="BO3991">
        <v>1</v>
      </c>
      <c r="BP3991">
        <v>1</v>
      </c>
      <c r="BQ3991">
        <v>0</v>
      </c>
      <c r="BT3991">
        <v>0</v>
      </c>
      <c r="BU3991">
        <v>0</v>
      </c>
      <c r="BV3991">
        <v>0</v>
      </c>
      <c r="CC3991" t="str">
        <f>"19:41:38.000"</f>
        <v>19:41:38.000</v>
      </c>
      <c r="CD3991" t="str">
        <f>"003157143"</f>
        <v>003157143</v>
      </c>
      <c r="CQ3991">
        <v>0</v>
      </c>
      <c r="CR3991">
        <v>2</v>
      </c>
      <c r="CS3991">
        <v>0</v>
      </c>
      <c r="CT3991">
        <v>2</v>
      </c>
      <c r="CU3991">
        <v>0</v>
      </c>
      <c r="CV3991">
        <v>6</v>
      </c>
      <c r="CW3991" t="s">
        <v>120</v>
      </c>
      <c r="CX3991">
        <v>257</v>
      </c>
      <c r="CY3991">
        <v>0</v>
      </c>
      <c r="CZ3991" t="s">
        <v>615</v>
      </c>
      <c r="DA3991" t="s">
        <v>616</v>
      </c>
      <c r="DD3991">
        <v>16638005</v>
      </c>
      <c r="DE3991" t="s">
        <v>123</v>
      </c>
    </row>
    <row r="3992" spans="1:109" x14ac:dyDescent="0.3">
      <c r="A3992" t="str">
        <f>"19:41:39.180"</f>
        <v>19:41:39.180</v>
      </c>
      <c r="B3992" t="s">
        <v>110</v>
      </c>
      <c r="C3992" t="str">
        <f t="shared" si="189"/>
        <v>ffdfd3c0</v>
      </c>
      <c r="D3992" t="s">
        <v>111</v>
      </c>
      <c r="E3992">
        <v>18</v>
      </c>
      <c r="F3992">
        <v>1018</v>
      </c>
      <c r="G3992" t="s">
        <v>112</v>
      </c>
      <c r="J3992" t="s">
        <v>113</v>
      </c>
      <c r="K3992">
        <v>0</v>
      </c>
      <c r="L3992">
        <v>3</v>
      </c>
      <c r="M3992">
        <v>0</v>
      </c>
      <c r="N3992">
        <v>2</v>
      </c>
      <c r="O3992">
        <v>1</v>
      </c>
      <c r="P3992">
        <v>0</v>
      </c>
      <c r="Q3992">
        <v>0</v>
      </c>
      <c r="R3992" t="s">
        <v>114</v>
      </c>
      <c r="S3992" t="str">
        <f>"19:41:38.961"</f>
        <v>19:41:38.961</v>
      </c>
      <c r="T3992" t="str">
        <f>"19:41:38.859"</f>
        <v>19:41:38.859</v>
      </c>
      <c r="U3992" t="str">
        <f t="shared" si="187"/>
        <v>a1cdbe</v>
      </c>
      <c r="V3992">
        <v>0</v>
      </c>
      <c r="W3992">
        <v>0</v>
      </c>
      <c r="X3992">
        <v>2</v>
      </c>
      <c r="Y3992">
        <v>0</v>
      </c>
      <c r="Z3992">
        <v>0</v>
      </c>
      <c r="AB3992">
        <v>0</v>
      </c>
      <c r="AC3992">
        <v>9</v>
      </c>
      <c r="AD3992">
        <v>3</v>
      </c>
      <c r="AE3992">
        <v>0</v>
      </c>
      <c r="AF3992">
        <v>9</v>
      </c>
      <c r="AG3992" t="s">
        <v>115</v>
      </c>
      <c r="AH3992">
        <v>0</v>
      </c>
      <c r="AI3992">
        <v>0</v>
      </c>
      <c r="AJ3992">
        <v>1</v>
      </c>
      <c r="AK3992">
        <v>0</v>
      </c>
      <c r="AL3992" t="s">
        <v>7520</v>
      </c>
      <c r="AM3992">
        <v>47.062446999999999</v>
      </c>
      <c r="AN3992" t="s">
        <v>7521</v>
      </c>
      <c r="AO3992">
        <v>-124.005368</v>
      </c>
      <c r="AP3992">
        <v>100</v>
      </c>
      <c r="AQ3992">
        <v>600</v>
      </c>
      <c r="AR3992" t="s">
        <v>118</v>
      </c>
      <c r="AS3992">
        <v>61</v>
      </c>
      <c r="AT3992">
        <v>-41</v>
      </c>
      <c r="AU3992">
        <v>-1280</v>
      </c>
      <c r="BC3992">
        <v>1200</v>
      </c>
      <c r="BD3992">
        <v>1</v>
      </c>
      <c r="BE3992" t="str">
        <f t="shared" si="188"/>
        <v xml:space="preserve">N215T   </v>
      </c>
      <c r="BF3992">
        <v>1</v>
      </c>
      <c r="BH3992">
        <v>0</v>
      </c>
      <c r="BI3992">
        <v>0</v>
      </c>
      <c r="BJ3992">
        <v>0</v>
      </c>
      <c r="BK3992">
        <v>1000</v>
      </c>
      <c r="BL3992">
        <v>400</v>
      </c>
      <c r="BM3992" t="s">
        <v>119</v>
      </c>
      <c r="BN3992">
        <v>1</v>
      </c>
      <c r="BO3992">
        <v>1</v>
      </c>
      <c r="BP3992">
        <v>1</v>
      </c>
      <c r="BQ3992">
        <v>0</v>
      </c>
      <c r="BT3992">
        <v>0</v>
      </c>
      <c r="BU3992">
        <v>0</v>
      </c>
      <c r="BV3992">
        <v>0</v>
      </c>
      <c r="CC3992" t="str">
        <f>"19:41:38.961"</f>
        <v>19:41:38.961</v>
      </c>
      <c r="CD3992" t="str">
        <f>"963062446"</f>
        <v>963062446</v>
      </c>
      <c r="CQ3992">
        <v>0</v>
      </c>
      <c r="CR3992">
        <v>2</v>
      </c>
      <c r="CS3992">
        <v>0</v>
      </c>
      <c r="CT3992">
        <v>2</v>
      </c>
      <c r="CU3992">
        <v>0</v>
      </c>
      <c r="CV3992">
        <v>6</v>
      </c>
      <c r="CW3992" t="s">
        <v>120</v>
      </c>
      <c r="CX3992">
        <v>257</v>
      </c>
      <c r="CY3992">
        <v>0</v>
      </c>
      <c r="CZ3992" t="s">
        <v>615</v>
      </c>
      <c r="DA3992" t="s">
        <v>616</v>
      </c>
      <c r="DD3992">
        <v>16638297</v>
      </c>
      <c r="DE3992" t="s">
        <v>123</v>
      </c>
    </row>
    <row r="3993" spans="1:109" x14ac:dyDescent="0.3">
      <c r="A3993" t="str">
        <f>"19:41:40.234"</f>
        <v>19:41:40.234</v>
      </c>
      <c r="B3993" t="s">
        <v>110</v>
      </c>
      <c r="C3993" t="str">
        <f t="shared" si="189"/>
        <v>ffdfd3c0</v>
      </c>
      <c r="D3993" t="s">
        <v>111</v>
      </c>
      <c r="E3993">
        <v>18</v>
      </c>
      <c r="F3993">
        <v>1018</v>
      </c>
      <c r="G3993" t="s">
        <v>112</v>
      </c>
      <c r="J3993" t="s">
        <v>113</v>
      </c>
      <c r="K3993">
        <v>0</v>
      </c>
      <c r="L3993">
        <v>3</v>
      </c>
      <c r="M3993">
        <v>0</v>
      </c>
      <c r="N3993">
        <v>2</v>
      </c>
      <c r="O3993">
        <v>1</v>
      </c>
      <c r="P3993">
        <v>0</v>
      </c>
      <c r="Q3993">
        <v>0</v>
      </c>
      <c r="R3993" t="s">
        <v>114</v>
      </c>
      <c r="S3993" t="str">
        <f>"19:41:39.977"</f>
        <v>19:41:39.977</v>
      </c>
      <c r="T3993" t="str">
        <f>"19:41:39.875"</f>
        <v>19:41:39.875</v>
      </c>
      <c r="U3993" t="str">
        <f t="shared" si="187"/>
        <v>a1cdbe</v>
      </c>
      <c r="V3993">
        <v>0</v>
      </c>
      <c r="W3993">
        <v>0</v>
      </c>
      <c r="X3993">
        <v>2</v>
      </c>
      <c r="Y3993">
        <v>0</v>
      </c>
      <c r="Z3993">
        <v>0</v>
      </c>
      <c r="AB3993">
        <v>0</v>
      </c>
      <c r="AC3993">
        <v>9</v>
      </c>
      <c r="AD3993">
        <v>3</v>
      </c>
      <c r="AE3993">
        <v>0</v>
      </c>
      <c r="AF3993">
        <v>9</v>
      </c>
      <c r="AG3993" t="s">
        <v>115</v>
      </c>
      <c r="AH3993">
        <v>0</v>
      </c>
      <c r="AI3993">
        <v>0</v>
      </c>
      <c r="AJ3993">
        <v>1</v>
      </c>
      <c r="AK3993">
        <v>0</v>
      </c>
      <c r="AL3993" t="s">
        <v>7420</v>
      </c>
      <c r="AM3993">
        <v>47.062275</v>
      </c>
      <c r="AN3993" t="s">
        <v>7522</v>
      </c>
      <c r="AO3993">
        <v>-124.00496</v>
      </c>
      <c r="AP3993">
        <v>100</v>
      </c>
      <c r="AQ3993">
        <v>600</v>
      </c>
      <c r="AR3993" t="s">
        <v>118</v>
      </c>
      <c r="AS3993">
        <v>63</v>
      </c>
      <c r="AT3993">
        <v>-37</v>
      </c>
      <c r="AU3993">
        <v>-1408</v>
      </c>
      <c r="BC3993">
        <v>1200</v>
      </c>
      <c r="BD3993">
        <v>1</v>
      </c>
      <c r="BE3993" t="str">
        <f t="shared" si="188"/>
        <v xml:space="preserve">N215T   </v>
      </c>
      <c r="BF3993">
        <v>1</v>
      </c>
      <c r="BH3993">
        <v>0</v>
      </c>
      <c r="BI3993">
        <v>0</v>
      </c>
      <c r="BJ3993">
        <v>0</v>
      </c>
      <c r="BK3993">
        <v>975</v>
      </c>
      <c r="BL3993">
        <v>375</v>
      </c>
      <c r="BM3993" t="s">
        <v>119</v>
      </c>
      <c r="BN3993">
        <v>1</v>
      </c>
      <c r="BO3993">
        <v>1</v>
      </c>
      <c r="BP3993">
        <v>1</v>
      </c>
      <c r="BQ3993">
        <v>0</v>
      </c>
      <c r="BT3993">
        <v>0</v>
      </c>
      <c r="BU3993">
        <v>0</v>
      </c>
      <c r="BV3993">
        <v>0</v>
      </c>
      <c r="CC3993" t="str">
        <f>"19:41:39.984"</f>
        <v>19:41:39.984</v>
      </c>
      <c r="CD3993" t="str">
        <f>"982961837"</f>
        <v>982961837</v>
      </c>
      <c r="CQ3993">
        <v>0</v>
      </c>
      <c r="CR3993">
        <v>2</v>
      </c>
      <c r="CS3993">
        <v>0</v>
      </c>
      <c r="CT3993">
        <v>2</v>
      </c>
      <c r="CU3993">
        <v>0</v>
      </c>
      <c r="CV3993">
        <v>7</v>
      </c>
      <c r="CW3993" t="s">
        <v>120</v>
      </c>
      <c r="CX3993">
        <v>257</v>
      </c>
      <c r="CY3993">
        <v>0</v>
      </c>
      <c r="CZ3993" t="s">
        <v>615</v>
      </c>
      <c r="DA3993" t="s">
        <v>616</v>
      </c>
      <c r="DD3993">
        <v>16638635</v>
      </c>
      <c r="DE3993" t="s">
        <v>123</v>
      </c>
    </row>
    <row r="3994" spans="1:109" x14ac:dyDescent="0.3">
      <c r="A3994" t="str">
        <f>"19:41:41.195"</f>
        <v>19:41:41.195</v>
      </c>
      <c r="B3994" t="s">
        <v>110</v>
      </c>
      <c r="C3994" t="str">
        <f t="shared" si="189"/>
        <v>ffdfd3c0</v>
      </c>
      <c r="D3994" t="s">
        <v>111</v>
      </c>
      <c r="E3994">
        <v>18</v>
      </c>
      <c r="F3994">
        <v>1018</v>
      </c>
      <c r="G3994" t="s">
        <v>112</v>
      </c>
      <c r="J3994" t="s">
        <v>113</v>
      </c>
      <c r="K3994">
        <v>0</v>
      </c>
      <c r="L3994">
        <v>3</v>
      </c>
      <c r="M3994">
        <v>0</v>
      </c>
      <c r="N3994">
        <v>2</v>
      </c>
      <c r="O3994">
        <v>1</v>
      </c>
      <c r="P3994">
        <v>0</v>
      </c>
      <c r="Q3994">
        <v>0</v>
      </c>
      <c r="R3994" t="s">
        <v>114</v>
      </c>
      <c r="S3994" t="str">
        <f>"19:41:40.938"</f>
        <v>19:41:40.938</v>
      </c>
      <c r="T3994" t="str">
        <f>"19:41:40.438"</f>
        <v>19:41:40.438</v>
      </c>
      <c r="U3994" t="str">
        <f t="shared" si="187"/>
        <v>a1cdbe</v>
      </c>
      <c r="V3994">
        <v>0</v>
      </c>
      <c r="W3994">
        <v>0</v>
      </c>
      <c r="X3994">
        <v>2</v>
      </c>
      <c r="Y3994">
        <v>0</v>
      </c>
      <c r="Z3994">
        <v>0</v>
      </c>
      <c r="AB3994">
        <v>0</v>
      </c>
      <c r="AC3994">
        <v>9</v>
      </c>
      <c r="AD3994">
        <v>3</v>
      </c>
      <c r="AE3994">
        <v>0</v>
      </c>
      <c r="AF3994">
        <v>9</v>
      </c>
      <c r="AG3994" t="s">
        <v>115</v>
      </c>
      <c r="AH3994">
        <v>0</v>
      </c>
      <c r="AI3994">
        <v>0</v>
      </c>
      <c r="AJ3994">
        <v>1</v>
      </c>
      <c r="AK3994">
        <v>0</v>
      </c>
      <c r="AL3994" t="s">
        <v>7523</v>
      </c>
      <c r="AM3994">
        <v>47.062125000000002</v>
      </c>
      <c r="AN3994" t="s">
        <v>7524</v>
      </c>
      <c r="AO3994">
        <v>-124.004531</v>
      </c>
      <c r="AP3994">
        <v>100</v>
      </c>
      <c r="AQ3994">
        <v>500</v>
      </c>
      <c r="AR3994" t="s">
        <v>118</v>
      </c>
      <c r="AS3994">
        <v>64</v>
      </c>
      <c r="AT3994">
        <v>-35</v>
      </c>
      <c r="AU3994">
        <v>-1408</v>
      </c>
      <c r="BC3994">
        <v>1200</v>
      </c>
      <c r="BD3994">
        <v>1</v>
      </c>
      <c r="BE3994" t="str">
        <f t="shared" si="188"/>
        <v xml:space="preserve">N215T   </v>
      </c>
      <c r="BF3994">
        <v>1</v>
      </c>
      <c r="BH3994">
        <v>0</v>
      </c>
      <c r="BI3994">
        <v>0</v>
      </c>
      <c r="BJ3994">
        <v>0</v>
      </c>
      <c r="BK3994">
        <v>950</v>
      </c>
      <c r="BL3994">
        <v>450</v>
      </c>
      <c r="BM3994" t="s">
        <v>119</v>
      </c>
      <c r="BN3994">
        <v>1</v>
      </c>
      <c r="BO3994">
        <v>1</v>
      </c>
      <c r="BP3994">
        <v>1</v>
      </c>
      <c r="BQ3994">
        <v>0</v>
      </c>
      <c r="BT3994">
        <v>0</v>
      </c>
      <c r="BU3994">
        <v>0</v>
      </c>
      <c r="BV3994">
        <v>0</v>
      </c>
      <c r="CC3994" t="str">
        <f>"19:41:40.945"</f>
        <v>19:41:40.945</v>
      </c>
      <c r="CD3994" t="str">
        <f>"942867159"</f>
        <v>942867159</v>
      </c>
      <c r="CQ3994">
        <v>0</v>
      </c>
      <c r="CR3994">
        <v>2</v>
      </c>
      <c r="CS3994">
        <v>0</v>
      </c>
      <c r="CT3994">
        <v>2</v>
      </c>
      <c r="CU3994">
        <v>0</v>
      </c>
      <c r="CV3994">
        <v>7</v>
      </c>
      <c r="CW3994" t="s">
        <v>120</v>
      </c>
      <c r="CX3994">
        <v>257</v>
      </c>
      <c r="CY3994">
        <v>0</v>
      </c>
      <c r="CZ3994" t="s">
        <v>615</v>
      </c>
      <c r="DA3994" t="s">
        <v>616</v>
      </c>
      <c r="DD3994">
        <v>16638963</v>
      </c>
      <c r="DE3994" t="s">
        <v>123</v>
      </c>
    </row>
    <row r="3995" spans="1:109" x14ac:dyDescent="0.3">
      <c r="A3995" t="str">
        <f>"19:41:42.250"</f>
        <v>19:41:42.250</v>
      </c>
      <c r="B3995" t="s">
        <v>110</v>
      </c>
      <c r="C3995" t="str">
        <f t="shared" si="189"/>
        <v>ffdfd3c0</v>
      </c>
      <c r="D3995" t="s">
        <v>111</v>
      </c>
      <c r="E3995">
        <v>18</v>
      </c>
      <c r="F3995">
        <v>1018</v>
      </c>
      <c r="G3995" t="s">
        <v>112</v>
      </c>
      <c r="J3995" t="s">
        <v>113</v>
      </c>
      <c r="K3995">
        <v>0</v>
      </c>
      <c r="L3995">
        <v>3</v>
      </c>
      <c r="M3995">
        <v>0</v>
      </c>
      <c r="N3995">
        <v>2</v>
      </c>
      <c r="O3995">
        <v>1</v>
      </c>
      <c r="P3995">
        <v>0</v>
      </c>
      <c r="Q3995">
        <v>0</v>
      </c>
      <c r="R3995" t="s">
        <v>114</v>
      </c>
      <c r="S3995" t="str">
        <f>"19:41:42.031"</f>
        <v>19:41:42.031</v>
      </c>
      <c r="T3995" t="str">
        <f>"19:41:41.930"</f>
        <v>19:41:41.930</v>
      </c>
      <c r="U3995" t="str">
        <f t="shared" si="187"/>
        <v>a1cdbe</v>
      </c>
      <c r="V3995">
        <v>0</v>
      </c>
      <c r="W3995">
        <v>0</v>
      </c>
      <c r="X3995">
        <v>2</v>
      </c>
      <c r="Y3995">
        <v>0</v>
      </c>
      <c r="Z3995">
        <v>0</v>
      </c>
      <c r="AB3995">
        <v>0</v>
      </c>
      <c r="AC3995">
        <v>9</v>
      </c>
      <c r="AD3995">
        <v>3</v>
      </c>
      <c r="AE3995">
        <v>0</v>
      </c>
      <c r="AF3995">
        <v>9</v>
      </c>
      <c r="AG3995" t="s">
        <v>115</v>
      </c>
      <c r="AH3995">
        <v>0</v>
      </c>
      <c r="AI3995">
        <v>0</v>
      </c>
      <c r="AJ3995">
        <v>1</v>
      </c>
      <c r="AK3995">
        <v>0</v>
      </c>
      <c r="AL3995" t="s">
        <v>7413</v>
      </c>
      <c r="AM3995">
        <v>47.061954</v>
      </c>
      <c r="AN3995" t="s">
        <v>7525</v>
      </c>
      <c r="AO3995">
        <v>-124.004059</v>
      </c>
      <c r="AP3995">
        <v>100</v>
      </c>
      <c r="AQ3995">
        <v>500</v>
      </c>
      <c r="AR3995" t="s">
        <v>118</v>
      </c>
      <c r="AS3995">
        <v>67</v>
      </c>
      <c r="AT3995">
        <v>-30</v>
      </c>
      <c r="AU3995">
        <v>-1472</v>
      </c>
      <c r="BC3995">
        <v>1200</v>
      </c>
      <c r="BD3995">
        <v>1</v>
      </c>
      <c r="BE3995" t="str">
        <f t="shared" si="188"/>
        <v xml:space="preserve">N215T   </v>
      </c>
      <c r="BF3995">
        <v>1</v>
      </c>
      <c r="BH3995">
        <v>0</v>
      </c>
      <c r="BI3995">
        <v>0</v>
      </c>
      <c r="BJ3995">
        <v>0</v>
      </c>
      <c r="BK3995">
        <v>925</v>
      </c>
      <c r="BL3995">
        <v>425</v>
      </c>
      <c r="BM3995" t="s">
        <v>119</v>
      </c>
      <c r="BN3995">
        <v>1</v>
      </c>
      <c r="BO3995">
        <v>1</v>
      </c>
      <c r="BP3995">
        <v>1</v>
      </c>
      <c r="BQ3995">
        <v>0</v>
      </c>
      <c r="BT3995">
        <v>0</v>
      </c>
      <c r="BU3995">
        <v>0</v>
      </c>
      <c r="BV3995">
        <v>0</v>
      </c>
      <c r="CC3995" t="str">
        <f>"19:41:42.039"</f>
        <v>19:41:42.039</v>
      </c>
      <c r="CD3995" t="str">
        <f>"037759155"</f>
        <v>037759155</v>
      </c>
      <c r="CQ3995">
        <v>0</v>
      </c>
      <c r="CR3995">
        <v>2</v>
      </c>
      <c r="CS3995">
        <v>0</v>
      </c>
      <c r="CT3995">
        <v>2</v>
      </c>
      <c r="CU3995">
        <v>0</v>
      </c>
      <c r="CV3995">
        <v>7</v>
      </c>
      <c r="CW3995" t="s">
        <v>120</v>
      </c>
      <c r="CX3995">
        <v>257</v>
      </c>
      <c r="CY3995">
        <v>0</v>
      </c>
      <c r="CZ3995" t="s">
        <v>615</v>
      </c>
      <c r="DA3995" t="s">
        <v>616</v>
      </c>
      <c r="DD3995">
        <v>16639357</v>
      </c>
      <c r="DE3995" t="s">
        <v>123</v>
      </c>
    </row>
    <row r="3996" spans="1:109" x14ac:dyDescent="0.3">
      <c r="A3996" t="str">
        <f>"19:41:43.258"</f>
        <v>19:41:43.258</v>
      </c>
      <c r="B3996" t="s">
        <v>110</v>
      </c>
      <c r="C3996" t="str">
        <f t="shared" si="189"/>
        <v>ffdfd3c0</v>
      </c>
      <c r="D3996" t="s">
        <v>111</v>
      </c>
      <c r="E3996">
        <v>18</v>
      </c>
      <c r="F3996">
        <v>1018</v>
      </c>
      <c r="G3996" t="s">
        <v>112</v>
      </c>
      <c r="J3996" t="s">
        <v>113</v>
      </c>
      <c r="K3996">
        <v>0</v>
      </c>
      <c r="L3996">
        <v>3</v>
      </c>
      <c r="M3996">
        <v>0</v>
      </c>
      <c r="N3996">
        <v>2</v>
      </c>
      <c r="O3996">
        <v>1</v>
      </c>
      <c r="P3996">
        <v>0</v>
      </c>
      <c r="Q3996">
        <v>0</v>
      </c>
      <c r="R3996" t="s">
        <v>114</v>
      </c>
      <c r="S3996" t="str">
        <f>"19:41:43.039"</f>
        <v>19:41:43.039</v>
      </c>
      <c r="T3996" t="str">
        <f>"19:41:42.938"</f>
        <v>19:41:42.938</v>
      </c>
      <c r="U3996" t="str">
        <f t="shared" si="187"/>
        <v>a1cdbe</v>
      </c>
      <c r="V3996">
        <v>0</v>
      </c>
      <c r="W3996">
        <v>0</v>
      </c>
      <c r="X3996">
        <v>2</v>
      </c>
      <c r="Y3996">
        <v>0</v>
      </c>
      <c r="Z3996">
        <v>0</v>
      </c>
      <c r="AB3996">
        <v>0</v>
      </c>
      <c r="AC3996">
        <v>9</v>
      </c>
      <c r="AD3996">
        <v>3</v>
      </c>
      <c r="AE3996">
        <v>0</v>
      </c>
      <c r="AF3996">
        <v>9</v>
      </c>
      <c r="AG3996" t="s">
        <v>115</v>
      </c>
      <c r="AH3996">
        <v>0</v>
      </c>
      <c r="AI3996">
        <v>0</v>
      </c>
      <c r="AJ3996">
        <v>1</v>
      </c>
      <c r="AK3996">
        <v>0</v>
      </c>
      <c r="AL3996" t="s">
        <v>7411</v>
      </c>
      <c r="AM3996">
        <v>47.061846000000003</v>
      </c>
      <c r="AN3996" t="s">
        <v>7526</v>
      </c>
      <c r="AO3996">
        <v>-124.003608</v>
      </c>
      <c r="AP3996">
        <v>100</v>
      </c>
      <c r="AQ3996">
        <v>500</v>
      </c>
      <c r="AR3996" t="s">
        <v>118</v>
      </c>
      <c r="AS3996">
        <v>69</v>
      </c>
      <c r="AT3996">
        <v>-26</v>
      </c>
      <c r="AU3996">
        <v>-1600</v>
      </c>
      <c r="BC3996">
        <v>1200</v>
      </c>
      <c r="BD3996">
        <v>1</v>
      </c>
      <c r="BE3996" t="str">
        <f t="shared" si="188"/>
        <v xml:space="preserve">N215T   </v>
      </c>
      <c r="BF3996">
        <v>1</v>
      </c>
      <c r="BH3996">
        <v>0</v>
      </c>
      <c r="BI3996">
        <v>0</v>
      </c>
      <c r="BJ3996">
        <v>0</v>
      </c>
      <c r="BK3996">
        <v>900</v>
      </c>
      <c r="BL3996">
        <v>400</v>
      </c>
      <c r="BM3996" t="s">
        <v>119</v>
      </c>
      <c r="BN3996">
        <v>1</v>
      </c>
      <c r="BO3996">
        <v>1</v>
      </c>
      <c r="BP3996">
        <v>1</v>
      </c>
      <c r="BQ3996">
        <v>0</v>
      </c>
      <c r="BT3996">
        <v>0</v>
      </c>
      <c r="BU3996">
        <v>0</v>
      </c>
      <c r="BV3996">
        <v>0</v>
      </c>
      <c r="CC3996" t="str">
        <f>"19:41:43.039"</f>
        <v>19:41:43.039</v>
      </c>
      <c r="CD3996" t="str">
        <f>"042660050"</f>
        <v>042660050</v>
      </c>
      <c r="CQ3996">
        <v>0</v>
      </c>
      <c r="CR3996">
        <v>2</v>
      </c>
      <c r="CS3996">
        <v>0</v>
      </c>
      <c r="CT3996">
        <v>2</v>
      </c>
      <c r="CU3996">
        <v>0</v>
      </c>
      <c r="CV3996">
        <v>6</v>
      </c>
      <c r="CW3996" t="s">
        <v>120</v>
      </c>
      <c r="CX3996">
        <v>257</v>
      </c>
      <c r="CY3996">
        <v>0</v>
      </c>
      <c r="CZ3996" t="s">
        <v>615</v>
      </c>
      <c r="DA3996" t="s">
        <v>616</v>
      </c>
      <c r="DD3996">
        <v>16639660</v>
      </c>
      <c r="DE3996" t="s">
        <v>123</v>
      </c>
    </row>
    <row r="3997" spans="1:109" x14ac:dyDescent="0.3">
      <c r="A3997" t="str">
        <f>"19:41:44.211"</f>
        <v>19:41:44.211</v>
      </c>
      <c r="B3997" t="s">
        <v>110</v>
      </c>
      <c r="C3997" t="str">
        <f t="shared" si="189"/>
        <v>ffdfd3c0</v>
      </c>
      <c r="D3997" t="s">
        <v>111</v>
      </c>
      <c r="E3997">
        <v>18</v>
      </c>
      <c r="F3997">
        <v>1018</v>
      </c>
      <c r="G3997" t="s">
        <v>112</v>
      </c>
      <c r="J3997" t="s">
        <v>113</v>
      </c>
      <c r="K3997">
        <v>0</v>
      </c>
      <c r="L3997">
        <v>3</v>
      </c>
      <c r="M3997">
        <v>0</v>
      </c>
      <c r="N3997">
        <v>2</v>
      </c>
      <c r="O3997">
        <v>1</v>
      </c>
      <c r="P3997">
        <v>0</v>
      </c>
      <c r="Q3997">
        <v>0</v>
      </c>
      <c r="R3997" t="s">
        <v>114</v>
      </c>
      <c r="S3997" t="str">
        <f>"19:41:43.938"</f>
        <v>19:41:43.938</v>
      </c>
      <c r="T3997" t="str">
        <f>"19:41:43.938"</f>
        <v>19:41:43.938</v>
      </c>
      <c r="U3997" t="str">
        <f t="shared" si="187"/>
        <v>a1cdbe</v>
      </c>
      <c r="V3997">
        <v>0</v>
      </c>
      <c r="W3997">
        <v>0</v>
      </c>
      <c r="X3997">
        <v>2</v>
      </c>
      <c r="Y3997">
        <v>0</v>
      </c>
      <c r="Z3997">
        <v>0</v>
      </c>
      <c r="AB3997">
        <v>0</v>
      </c>
      <c r="AC3997">
        <v>9</v>
      </c>
      <c r="AD3997">
        <v>3</v>
      </c>
      <c r="AE3997">
        <v>0</v>
      </c>
      <c r="AF3997">
        <v>9</v>
      </c>
      <c r="AG3997" t="s">
        <v>115</v>
      </c>
      <c r="AH3997">
        <v>0</v>
      </c>
      <c r="AI3997">
        <v>0</v>
      </c>
      <c r="AJ3997">
        <v>1</v>
      </c>
      <c r="AK3997">
        <v>0</v>
      </c>
      <c r="AL3997" t="s">
        <v>7409</v>
      </c>
      <c r="AM3997">
        <v>47.06176</v>
      </c>
      <c r="AN3997" t="s">
        <v>7527</v>
      </c>
      <c r="AO3997">
        <v>-124.003179</v>
      </c>
      <c r="AP3997">
        <v>100</v>
      </c>
      <c r="AQ3997">
        <v>500</v>
      </c>
      <c r="AR3997" t="s">
        <v>118</v>
      </c>
      <c r="AS3997">
        <v>71</v>
      </c>
      <c r="AT3997">
        <v>-23</v>
      </c>
      <c r="AU3997">
        <v>-1728</v>
      </c>
      <c r="BC3997">
        <v>1200</v>
      </c>
      <c r="BD3997">
        <v>1</v>
      </c>
      <c r="BE3997" t="str">
        <f t="shared" si="188"/>
        <v xml:space="preserve">N215T   </v>
      </c>
      <c r="BF3997">
        <v>1</v>
      </c>
      <c r="BH3997">
        <v>0</v>
      </c>
      <c r="BI3997">
        <v>0</v>
      </c>
      <c r="BJ3997">
        <v>0</v>
      </c>
      <c r="BK3997">
        <v>875</v>
      </c>
      <c r="BL3997">
        <v>375</v>
      </c>
      <c r="BM3997" t="s">
        <v>119</v>
      </c>
      <c r="BN3997">
        <v>1</v>
      </c>
      <c r="BO3997">
        <v>1</v>
      </c>
      <c r="BP3997">
        <v>1</v>
      </c>
      <c r="BQ3997">
        <v>0</v>
      </c>
      <c r="BT3997">
        <v>0</v>
      </c>
      <c r="BU3997">
        <v>0</v>
      </c>
      <c r="BV3997">
        <v>0</v>
      </c>
      <c r="CC3997" t="str">
        <f>"19:41:43.945"</f>
        <v>19:41:43.945</v>
      </c>
      <c r="CD3997" t="str">
        <f>"942571294"</f>
        <v>942571294</v>
      </c>
      <c r="CQ3997">
        <v>0</v>
      </c>
      <c r="CR3997">
        <v>2</v>
      </c>
      <c r="CS3997">
        <v>0</v>
      </c>
      <c r="CT3997">
        <v>2</v>
      </c>
      <c r="CU3997">
        <v>0</v>
      </c>
      <c r="CV3997">
        <v>6</v>
      </c>
      <c r="CW3997" t="s">
        <v>120</v>
      </c>
      <c r="CX3997">
        <v>257</v>
      </c>
      <c r="CY3997">
        <v>0</v>
      </c>
      <c r="CZ3997" t="s">
        <v>615</v>
      </c>
      <c r="DA3997" t="s">
        <v>616</v>
      </c>
      <c r="DD3997">
        <v>16639951</v>
      </c>
      <c r="DE3997" t="s">
        <v>123</v>
      </c>
    </row>
    <row r="3998" spans="1:109" x14ac:dyDescent="0.3">
      <c r="A3998" t="str">
        <f>"19:41:45.211"</f>
        <v>19:41:45.211</v>
      </c>
      <c r="B3998" t="s">
        <v>110</v>
      </c>
      <c r="C3998" t="str">
        <f t="shared" si="189"/>
        <v>ffdfd3c0</v>
      </c>
      <c r="D3998" t="s">
        <v>111</v>
      </c>
      <c r="E3998">
        <v>18</v>
      </c>
      <c r="F3998">
        <v>1018</v>
      </c>
      <c r="G3998" t="s">
        <v>112</v>
      </c>
      <c r="J3998" t="s">
        <v>113</v>
      </c>
      <c r="K3998">
        <v>0</v>
      </c>
      <c r="L3998">
        <v>3</v>
      </c>
      <c r="M3998">
        <v>0</v>
      </c>
      <c r="N3998">
        <v>2</v>
      </c>
      <c r="O3998">
        <v>1</v>
      </c>
      <c r="P3998">
        <v>0</v>
      </c>
      <c r="Q3998">
        <v>0</v>
      </c>
      <c r="R3998" t="s">
        <v>114</v>
      </c>
      <c r="S3998" t="str">
        <f>"19:41:44.977"</f>
        <v>19:41:44.977</v>
      </c>
      <c r="T3998" t="str">
        <f>"19:41:44.977"</f>
        <v>19:41:44.977</v>
      </c>
      <c r="U3998" t="str">
        <f t="shared" si="187"/>
        <v>a1cdbe</v>
      </c>
      <c r="V3998">
        <v>0</v>
      </c>
      <c r="W3998">
        <v>0</v>
      </c>
      <c r="X3998">
        <v>2</v>
      </c>
      <c r="Y3998">
        <v>0</v>
      </c>
      <c r="Z3998">
        <v>0</v>
      </c>
      <c r="AB3998">
        <v>0</v>
      </c>
      <c r="AC3998">
        <v>9</v>
      </c>
      <c r="AD3998">
        <v>3</v>
      </c>
      <c r="AE3998">
        <v>0</v>
      </c>
      <c r="AF3998">
        <v>9</v>
      </c>
      <c r="AG3998" t="s">
        <v>115</v>
      </c>
      <c r="AH3998">
        <v>0</v>
      </c>
      <c r="AI3998">
        <v>0</v>
      </c>
      <c r="AJ3998">
        <v>1</v>
      </c>
      <c r="AK3998">
        <v>0</v>
      </c>
      <c r="AL3998" t="s">
        <v>500</v>
      </c>
      <c r="AM3998">
        <v>47.061653</v>
      </c>
      <c r="AN3998" t="s">
        <v>7528</v>
      </c>
      <c r="AO3998">
        <v>-124.002621</v>
      </c>
      <c r="AP3998">
        <v>100</v>
      </c>
      <c r="AQ3998">
        <v>400</v>
      </c>
      <c r="AR3998" t="s">
        <v>118</v>
      </c>
      <c r="AS3998">
        <v>73</v>
      </c>
      <c r="AT3998">
        <v>-20</v>
      </c>
      <c r="AU3998">
        <v>-1664</v>
      </c>
      <c r="BC3998">
        <v>1200</v>
      </c>
      <c r="BD3998">
        <v>1</v>
      </c>
      <c r="BE3998" t="str">
        <f t="shared" si="188"/>
        <v xml:space="preserve">N215T   </v>
      </c>
      <c r="BF3998">
        <v>1</v>
      </c>
      <c r="BH3998">
        <v>0</v>
      </c>
      <c r="BI3998">
        <v>0</v>
      </c>
      <c r="BJ3998">
        <v>0</v>
      </c>
      <c r="BK3998">
        <v>950</v>
      </c>
      <c r="BL3998">
        <v>550</v>
      </c>
      <c r="BM3998" t="s">
        <v>119</v>
      </c>
      <c r="BN3998">
        <v>1</v>
      </c>
      <c r="BO3998">
        <v>1</v>
      </c>
      <c r="BP3998">
        <v>1</v>
      </c>
      <c r="BQ3998">
        <v>0</v>
      </c>
      <c r="BT3998">
        <v>0</v>
      </c>
      <c r="BU3998">
        <v>0</v>
      </c>
      <c r="BV3998">
        <v>0</v>
      </c>
      <c r="CC3998" t="str">
        <f>"19:41:44.977"</f>
        <v>19:41:44.977</v>
      </c>
      <c r="CD3998" t="str">
        <f>"977469236"</f>
        <v>977469236</v>
      </c>
      <c r="CQ3998">
        <v>0</v>
      </c>
      <c r="CR3998">
        <v>2</v>
      </c>
      <c r="CS3998">
        <v>0</v>
      </c>
      <c r="CT3998">
        <v>2</v>
      </c>
      <c r="CU3998">
        <v>0</v>
      </c>
      <c r="CV3998">
        <v>7</v>
      </c>
      <c r="CW3998" t="s">
        <v>120</v>
      </c>
      <c r="CX3998">
        <v>257</v>
      </c>
      <c r="CY3998">
        <v>0</v>
      </c>
      <c r="CZ3998" t="s">
        <v>615</v>
      </c>
      <c r="DA3998" t="s">
        <v>616</v>
      </c>
      <c r="DD3998">
        <v>16640291</v>
      </c>
      <c r="DE3998" t="s">
        <v>123</v>
      </c>
    </row>
    <row r="3999" spans="1:109" x14ac:dyDescent="0.3">
      <c r="A3999" t="str">
        <f>"19:41:46.219"</f>
        <v>19:41:46.219</v>
      </c>
      <c r="B3999" t="s">
        <v>110</v>
      </c>
      <c r="C3999" t="str">
        <f t="shared" si="189"/>
        <v>ffdfd3c0</v>
      </c>
      <c r="D3999" t="s">
        <v>111</v>
      </c>
      <c r="E3999">
        <v>18</v>
      </c>
      <c r="F3999">
        <v>1018</v>
      </c>
      <c r="G3999" t="s">
        <v>112</v>
      </c>
      <c r="J3999" t="s">
        <v>113</v>
      </c>
      <c r="K3999">
        <v>0</v>
      </c>
      <c r="L3999">
        <v>3</v>
      </c>
      <c r="M3999">
        <v>0</v>
      </c>
      <c r="N3999">
        <v>2</v>
      </c>
      <c r="O3999">
        <v>1</v>
      </c>
      <c r="P3999">
        <v>0</v>
      </c>
      <c r="Q3999">
        <v>0</v>
      </c>
      <c r="R3999" t="s">
        <v>114</v>
      </c>
      <c r="S3999" t="str">
        <f>"19:41:45.945"</f>
        <v>19:41:45.945</v>
      </c>
      <c r="T3999" t="str">
        <f>"19:41:45.945"</f>
        <v>19:41:45.945</v>
      </c>
      <c r="U3999" t="str">
        <f t="shared" si="187"/>
        <v>a1cdbe</v>
      </c>
      <c r="V3999">
        <v>0</v>
      </c>
      <c r="W3999">
        <v>0</v>
      </c>
      <c r="X3999">
        <v>2</v>
      </c>
      <c r="Y3999">
        <v>0</v>
      </c>
      <c r="Z3999">
        <v>0</v>
      </c>
      <c r="AB3999">
        <v>0</v>
      </c>
      <c r="AC3999">
        <v>9</v>
      </c>
      <c r="AD3999">
        <v>3</v>
      </c>
      <c r="AE3999">
        <v>0</v>
      </c>
      <c r="AF3999">
        <v>9</v>
      </c>
      <c r="AG3999" t="s">
        <v>115</v>
      </c>
      <c r="AH3999">
        <v>0</v>
      </c>
      <c r="AI3999">
        <v>0</v>
      </c>
      <c r="AJ3999">
        <v>1</v>
      </c>
      <c r="AK3999">
        <v>0</v>
      </c>
      <c r="AL3999" t="s">
        <v>7405</v>
      </c>
      <c r="AM3999">
        <v>47.061588999999998</v>
      </c>
      <c r="AN3999" t="s">
        <v>7529</v>
      </c>
      <c r="AO3999">
        <v>-124.002128</v>
      </c>
      <c r="AP3999">
        <v>100</v>
      </c>
      <c r="AQ3999">
        <v>400</v>
      </c>
      <c r="AR3999" t="s">
        <v>118</v>
      </c>
      <c r="AS3999">
        <v>76</v>
      </c>
      <c r="AT3999">
        <v>-16</v>
      </c>
      <c r="AU3999">
        <v>-1728</v>
      </c>
      <c r="BC3999">
        <v>1200</v>
      </c>
      <c r="BD3999">
        <v>1</v>
      </c>
      <c r="BE3999" t="str">
        <f t="shared" si="188"/>
        <v xml:space="preserve">N215T   </v>
      </c>
      <c r="BF3999">
        <v>1</v>
      </c>
      <c r="BH3999">
        <v>0</v>
      </c>
      <c r="BI3999">
        <v>0</v>
      </c>
      <c r="BJ3999">
        <v>0</v>
      </c>
      <c r="BK3999">
        <v>800</v>
      </c>
      <c r="BL3999">
        <v>400</v>
      </c>
      <c r="BM3999" t="s">
        <v>119</v>
      </c>
      <c r="BN3999">
        <v>1</v>
      </c>
      <c r="BO3999">
        <v>1</v>
      </c>
      <c r="BP3999">
        <v>1</v>
      </c>
      <c r="BQ3999">
        <v>0</v>
      </c>
      <c r="BT3999">
        <v>0</v>
      </c>
      <c r="BU3999">
        <v>0</v>
      </c>
      <c r="BV3999">
        <v>0</v>
      </c>
      <c r="CC3999" t="str">
        <f>"19:41:45.953"</f>
        <v>19:41:45.953</v>
      </c>
      <c r="CD3999" t="str">
        <f>"952373097"</f>
        <v>952373097</v>
      </c>
      <c r="CQ3999">
        <v>0</v>
      </c>
      <c r="CR3999">
        <v>2</v>
      </c>
      <c r="CS3999">
        <v>0</v>
      </c>
      <c r="CT3999">
        <v>2</v>
      </c>
      <c r="CU3999">
        <v>0</v>
      </c>
      <c r="CV3999">
        <v>7</v>
      </c>
      <c r="CW3999" t="s">
        <v>120</v>
      </c>
      <c r="CX3999">
        <v>257</v>
      </c>
      <c r="CY3999">
        <v>0</v>
      </c>
      <c r="CZ3999" t="s">
        <v>615</v>
      </c>
      <c r="DA3999" t="s">
        <v>616</v>
      </c>
      <c r="DD3999">
        <v>16640620</v>
      </c>
      <c r="DE3999" t="s">
        <v>123</v>
      </c>
    </row>
    <row r="4000" spans="1:109" x14ac:dyDescent="0.3">
      <c r="A4000" t="str">
        <f>"19:41:47.234"</f>
        <v>19:41:47.234</v>
      </c>
      <c r="B4000" t="s">
        <v>110</v>
      </c>
      <c r="C4000" t="str">
        <f t="shared" si="189"/>
        <v>ffdfd3c0</v>
      </c>
      <c r="D4000" t="s">
        <v>111</v>
      </c>
      <c r="E4000">
        <v>18</v>
      </c>
      <c r="F4000">
        <v>1018</v>
      </c>
      <c r="G4000" t="s">
        <v>112</v>
      </c>
      <c r="J4000" t="s">
        <v>113</v>
      </c>
      <c r="K4000">
        <v>0</v>
      </c>
      <c r="L4000">
        <v>3</v>
      </c>
      <c r="M4000">
        <v>0</v>
      </c>
      <c r="N4000">
        <v>2</v>
      </c>
      <c r="O4000">
        <v>1</v>
      </c>
      <c r="P4000">
        <v>0</v>
      </c>
      <c r="Q4000">
        <v>0</v>
      </c>
      <c r="R4000" t="s">
        <v>114</v>
      </c>
      <c r="S4000" t="str">
        <f>"19:41:46.984"</f>
        <v>19:41:46.984</v>
      </c>
      <c r="T4000" t="str">
        <f>"19:41:46.883"</f>
        <v>19:41:46.883</v>
      </c>
      <c r="U4000" t="str">
        <f t="shared" si="187"/>
        <v>a1cdbe</v>
      </c>
      <c r="V4000">
        <v>0</v>
      </c>
      <c r="W4000">
        <v>0</v>
      </c>
      <c r="X4000">
        <v>2</v>
      </c>
      <c r="Y4000">
        <v>0</v>
      </c>
      <c r="Z4000">
        <v>0</v>
      </c>
      <c r="AB4000">
        <v>0</v>
      </c>
      <c r="AC4000">
        <v>9</v>
      </c>
      <c r="AD4000">
        <v>3</v>
      </c>
      <c r="AE4000">
        <v>0</v>
      </c>
      <c r="AF4000">
        <v>9</v>
      </c>
      <c r="AG4000" t="s">
        <v>115</v>
      </c>
      <c r="AH4000">
        <v>0</v>
      </c>
      <c r="AI4000">
        <v>0</v>
      </c>
      <c r="AJ4000">
        <v>1</v>
      </c>
      <c r="AK4000">
        <v>0</v>
      </c>
      <c r="AL4000" t="s">
        <v>7530</v>
      </c>
      <c r="AM4000">
        <v>47.061523999999999</v>
      </c>
      <c r="AN4000" t="s">
        <v>7531</v>
      </c>
      <c r="AO4000">
        <v>-124.001634</v>
      </c>
      <c r="AP4000">
        <v>100</v>
      </c>
      <c r="AQ4000">
        <v>400</v>
      </c>
      <c r="AR4000" t="s">
        <v>118</v>
      </c>
      <c r="AS4000">
        <v>77</v>
      </c>
      <c r="AT4000">
        <v>-12</v>
      </c>
      <c r="AU4000">
        <v>-1600</v>
      </c>
      <c r="BC4000">
        <v>1200</v>
      </c>
      <c r="BD4000">
        <v>1</v>
      </c>
      <c r="BE4000" t="str">
        <f t="shared" si="188"/>
        <v xml:space="preserve">N215T   </v>
      </c>
      <c r="BF4000">
        <v>1</v>
      </c>
      <c r="BH4000">
        <v>0</v>
      </c>
      <c r="BI4000">
        <v>0</v>
      </c>
      <c r="BJ4000">
        <v>0</v>
      </c>
      <c r="BK4000">
        <v>775</v>
      </c>
      <c r="BL4000">
        <v>375</v>
      </c>
      <c r="BM4000" t="s">
        <v>119</v>
      </c>
      <c r="BN4000">
        <v>1</v>
      </c>
      <c r="BO4000">
        <v>1</v>
      </c>
      <c r="BP4000">
        <v>1</v>
      </c>
      <c r="BQ4000">
        <v>0</v>
      </c>
      <c r="BT4000">
        <v>0</v>
      </c>
      <c r="BU4000">
        <v>0</v>
      </c>
      <c r="BV4000">
        <v>0</v>
      </c>
      <c r="CC4000" t="str">
        <f>"19:41:46.984"</f>
        <v>19:41:46.984</v>
      </c>
      <c r="CD4000" t="str">
        <f>"987271050"</f>
        <v>987271050</v>
      </c>
      <c r="CQ4000">
        <v>0</v>
      </c>
      <c r="CR4000">
        <v>2</v>
      </c>
      <c r="CS4000">
        <v>0</v>
      </c>
      <c r="CT4000">
        <v>2</v>
      </c>
      <c r="CU4000">
        <v>0</v>
      </c>
      <c r="CV4000">
        <v>7</v>
      </c>
      <c r="CW4000" t="s">
        <v>120</v>
      </c>
      <c r="CX4000">
        <v>257</v>
      </c>
      <c r="CY4000">
        <v>0</v>
      </c>
      <c r="CZ4000" t="s">
        <v>615</v>
      </c>
      <c r="DA4000" t="s">
        <v>616</v>
      </c>
      <c r="DD4000">
        <v>16640995</v>
      </c>
      <c r="DE4000" t="s">
        <v>123</v>
      </c>
    </row>
    <row r="4001" spans="1:109" x14ac:dyDescent="0.3">
      <c r="A4001" t="str">
        <f>"19:41:48.234"</f>
        <v>19:41:48.234</v>
      </c>
      <c r="B4001" t="s">
        <v>110</v>
      </c>
      <c r="C4001" t="str">
        <f t="shared" si="189"/>
        <v>ffdfd3c0</v>
      </c>
      <c r="D4001" t="s">
        <v>111</v>
      </c>
      <c r="E4001">
        <v>18</v>
      </c>
      <c r="F4001">
        <v>1018</v>
      </c>
      <c r="G4001" t="s">
        <v>112</v>
      </c>
      <c r="J4001" t="s">
        <v>113</v>
      </c>
      <c r="K4001">
        <v>0</v>
      </c>
      <c r="L4001">
        <v>3</v>
      </c>
      <c r="M4001">
        <v>0</v>
      </c>
      <c r="N4001">
        <v>2</v>
      </c>
      <c r="O4001">
        <v>1</v>
      </c>
      <c r="P4001">
        <v>0</v>
      </c>
      <c r="Q4001">
        <v>0</v>
      </c>
      <c r="R4001" t="s">
        <v>114</v>
      </c>
      <c r="S4001" t="str">
        <f>"19:41:47.977"</f>
        <v>19:41:47.977</v>
      </c>
      <c r="T4001" t="str">
        <f>"19:41:47.477"</f>
        <v>19:41:47.477</v>
      </c>
      <c r="U4001" t="str">
        <f t="shared" si="187"/>
        <v>a1cdbe</v>
      </c>
      <c r="V4001">
        <v>0</v>
      </c>
      <c r="W4001">
        <v>0</v>
      </c>
      <c r="X4001">
        <v>2</v>
      </c>
      <c r="Y4001">
        <v>0</v>
      </c>
      <c r="Z4001">
        <v>0</v>
      </c>
      <c r="AB4001">
        <v>0</v>
      </c>
      <c r="AC4001">
        <v>9</v>
      </c>
      <c r="AD4001">
        <v>3</v>
      </c>
      <c r="AE4001">
        <v>0</v>
      </c>
      <c r="AF4001">
        <v>9</v>
      </c>
      <c r="AG4001" t="s">
        <v>115</v>
      </c>
      <c r="AH4001">
        <v>0</v>
      </c>
      <c r="AI4001">
        <v>0</v>
      </c>
      <c r="AJ4001">
        <v>1</v>
      </c>
      <c r="AK4001">
        <v>0</v>
      </c>
      <c r="AL4001" t="s">
        <v>7532</v>
      </c>
      <c r="AM4001">
        <v>47.061503000000002</v>
      </c>
      <c r="AN4001" t="s">
        <v>7533</v>
      </c>
      <c r="AO4001">
        <v>-124.00103300000001</v>
      </c>
      <c r="AP4001">
        <v>100</v>
      </c>
      <c r="AQ4001">
        <v>400</v>
      </c>
      <c r="AR4001" t="s">
        <v>118</v>
      </c>
      <c r="AS4001">
        <v>78</v>
      </c>
      <c r="AT4001">
        <v>-10</v>
      </c>
      <c r="AU4001">
        <v>-1664</v>
      </c>
      <c r="BC4001">
        <v>1200</v>
      </c>
      <c r="BD4001">
        <v>1</v>
      </c>
      <c r="BE4001" t="str">
        <f t="shared" si="188"/>
        <v xml:space="preserve">N215T   </v>
      </c>
      <c r="BF4001">
        <v>1</v>
      </c>
      <c r="BH4001">
        <v>0</v>
      </c>
      <c r="BI4001">
        <v>0</v>
      </c>
      <c r="BJ4001">
        <v>0</v>
      </c>
      <c r="BK4001">
        <v>775</v>
      </c>
      <c r="BL4001">
        <v>375</v>
      </c>
      <c r="BM4001" t="s">
        <v>119</v>
      </c>
      <c r="BN4001">
        <v>1</v>
      </c>
      <c r="BO4001">
        <v>1</v>
      </c>
      <c r="BP4001">
        <v>1</v>
      </c>
      <c r="BQ4001">
        <v>0</v>
      </c>
      <c r="BT4001">
        <v>0</v>
      </c>
      <c r="BU4001">
        <v>0</v>
      </c>
      <c r="BV4001">
        <v>0</v>
      </c>
      <c r="CC4001" t="str">
        <f>"19:41:47.977"</f>
        <v>19:41:47.977</v>
      </c>
      <c r="CD4001" t="str">
        <f>"977173435"</f>
        <v>977173435</v>
      </c>
      <c r="CQ4001">
        <v>0</v>
      </c>
      <c r="CR4001">
        <v>2</v>
      </c>
      <c r="CS4001">
        <v>0</v>
      </c>
      <c r="CT4001">
        <v>2</v>
      </c>
      <c r="CU4001">
        <v>0</v>
      </c>
      <c r="CV4001">
        <v>7</v>
      </c>
      <c r="CW4001" t="s">
        <v>120</v>
      </c>
      <c r="CX4001">
        <v>257</v>
      </c>
      <c r="CY4001">
        <v>0</v>
      </c>
      <c r="CZ4001" t="s">
        <v>615</v>
      </c>
      <c r="DA4001" t="s">
        <v>616</v>
      </c>
      <c r="DD4001">
        <v>16641328</v>
      </c>
      <c r="DE4001" t="s">
        <v>123</v>
      </c>
    </row>
    <row r="4002" spans="1:109" x14ac:dyDescent="0.3">
      <c r="A4002" t="str">
        <f>"19:41:49.188"</f>
        <v>19:41:49.188</v>
      </c>
      <c r="B4002" t="s">
        <v>110</v>
      </c>
      <c r="C4002" t="str">
        <f t="shared" si="189"/>
        <v>ffdfd3c0</v>
      </c>
      <c r="D4002" t="s">
        <v>111</v>
      </c>
      <c r="E4002">
        <v>18</v>
      </c>
      <c r="F4002">
        <v>1018</v>
      </c>
      <c r="G4002" t="s">
        <v>112</v>
      </c>
      <c r="J4002" t="s">
        <v>113</v>
      </c>
      <c r="K4002">
        <v>0</v>
      </c>
      <c r="L4002">
        <v>3</v>
      </c>
      <c r="M4002">
        <v>0</v>
      </c>
      <c r="N4002">
        <v>2</v>
      </c>
      <c r="O4002">
        <v>1</v>
      </c>
      <c r="P4002">
        <v>0</v>
      </c>
      <c r="Q4002">
        <v>0</v>
      </c>
      <c r="R4002" t="s">
        <v>114</v>
      </c>
      <c r="S4002" t="str">
        <f>"19:41:48.930"</f>
        <v>19:41:48.930</v>
      </c>
      <c r="T4002" t="str">
        <f>"19:41:48.430"</f>
        <v>19:41:48.430</v>
      </c>
      <c r="U4002" t="str">
        <f t="shared" si="187"/>
        <v>a1cdbe</v>
      </c>
      <c r="V4002">
        <v>0</v>
      </c>
      <c r="W4002">
        <v>0</v>
      </c>
      <c r="X4002">
        <v>2</v>
      </c>
      <c r="Y4002">
        <v>0</v>
      </c>
      <c r="Z4002">
        <v>0</v>
      </c>
      <c r="AB4002">
        <v>0</v>
      </c>
      <c r="AC4002">
        <v>9</v>
      </c>
      <c r="AD4002">
        <v>3</v>
      </c>
      <c r="AE4002">
        <v>0</v>
      </c>
      <c r="AF4002">
        <v>9</v>
      </c>
      <c r="AG4002" t="s">
        <v>115</v>
      </c>
      <c r="AH4002">
        <v>0</v>
      </c>
      <c r="AI4002">
        <v>0</v>
      </c>
      <c r="AJ4002">
        <v>1</v>
      </c>
      <c r="AK4002">
        <v>0</v>
      </c>
      <c r="AL4002" t="s">
        <v>7534</v>
      </c>
      <c r="AM4002">
        <v>47.061439</v>
      </c>
      <c r="AN4002" t="s">
        <v>7535</v>
      </c>
      <c r="AO4002">
        <v>-124.000561</v>
      </c>
      <c r="AP4002">
        <v>100</v>
      </c>
      <c r="AQ4002">
        <v>300</v>
      </c>
      <c r="AR4002" t="s">
        <v>118</v>
      </c>
      <c r="AS4002">
        <v>78</v>
      </c>
      <c r="AT4002">
        <v>-7</v>
      </c>
      <c r="AU4002">
        <v>-1728</v>
      </c>
      <c r="BC4002">
        <v>1200</v>
      </c>
      <c r="BD4002">
        <v>1</v>
      </c>
      <c r="BE4002" t="str">
        <f t="shared" si="188"/>
        <v xml:space="preserve">N215T   </v>
      </c>
      <c r="BF4002">
        <v>1</v>
      </c>
      <c r="BH4002">
        <v>0</v>
      </c>
      <c r="BI4002">
        <v>0</v>
      </c>
      <c r="BJ4002">
        <v>0</v>
      </c>
      <c r="BK4002">
        <v>725</v>
      </c>
      <c r="BL4002">
        <v>425</v>
      </c>
      <c r="BM4002" t="s">
        <v>119</v>
      </c>
      <c r="BN4002">
        <v>1</v>
      </c>
      <c r="BO4002">
        <v>1</v>
      </c>
      <c r="BP4002">
        <v>1</v>
      </c>
      <c r="BQ4002">
        <v>0</v>
      </c>
      <c r="BT4002">
        <v>0</v>
      </c>
      <c r="BU4002">
        <v>0</v>
      </c>
      <c r="BV4002">
        <v>0</v>
      </c>
      <c r="CC4002" t="str">
        <f>"19:41:48.938"</f>
        <v>19:41:48.938</v>
      </c>
      <c r="CD4002" t="str">
        <f>"937078793"</f>
        <v>937078793</v>
      </c>
      <c r="CQ4002">
        <v>0</v>
      </c>
      <c r="CR4002">
        <v>2</v>
      </c>
      <c r="CS4002">
        <v>0</v>
      </c>
      <c r="CT4002">
        <v>2</v>
      </c>
      <c r="CU4002">
        <v>0</v>
      </c>
      <c r="CV4002">
        <v>7</v>
      </c>
      <c r="CW4002" t="s">
        <v>120</v>
      </c>
      <c r="CX4002">
        <v>257</v>
      </c>
      <c r="CY4002">
        <v>0</v>
      </c>
      <c r="CZ4002" t="s">
        <v>615</v>
      </c>
      <c r="DA4002" t="s">
        <v>616</v>
      </c>
      <c r="DD4002">
        <v>16641625</v>
      </c>
      <c r="DE4002" t="s">
        <v>123</v>
      </c>
    </row>
    <row r="4003" spans="1:109" x14ac:dyDescent="0.3">
      <c r="A4003" t="str">
        <f>"19:41:50.242"</f>
        <v>19:41:50.242</v>
      </c>
      <c r="B4003" t="s">
        <v>110</v>
      </c>
      <c r="C4003" t="str">
        <f t="shared" si="189"/>
        <v>ffdfd3c0</v>
      </c>
      <c r="D4003" t="s">
        <v>111</v>
      </c>
      <c r="E4003">
        <v>18</v>
      </c>
      <c r="F4003">
        <v>1018</v>
      </c>
      <c r="G4003" t="s">
        <v>112</v>
      </c>
      <c r="J4003" t="s">
        <v>113</v>
      </c>
      <c r="K4003">
        <v>0</v>
      </c>
      <c r="L4003">
        <v>3</v>
      </c>
      <c r="M4003">
        <v>0</v>
      </c>
      <c r="N4003">
        <v>2</v>
      </c>
      <c r="O4003">
        <v>1</v>
      </c>
      <c r="P4003">
        <v>0</v>
      </c>
      <c r="Q4003">
        <v>0</v>
      </c>
      <c r="R4003" t="s">
        <v>114</v>
      </c>
      <c r="S4003" t="str">
        <f>"19:41:50.047"</f>
        <v>19:41:50.047</v>
      </c>
      <c r="T4003" t="str">
        <f>"19:41:49.844"</f>
        <v>19:41:49.844</v>
      </c>
      <c r="U4003" t="str">
        <f t="shared" si="187"/>
        <v>a1cdbe</v>
      </c>
      <c r="V4003">
        <v>0</v>
      </c>
      <c r="W4003">
        <v>0</v>
      </c>
      <c r="X4003">
        <v>2</v>
      </c>
      <c r="Y4003">
        <v>0</v>
      </c>
      <c r="Z4003">
        <v>0</v>
      </c>
      <c r="AB4003">
        <v>0</v>
      </c>
      <c r="AC4003">
        <v>9</v>
      </c>
      <c r="AD4003">
        <v>3</v>
      </c>
      <c r="AE4003">
        <v>0</v>
      </c>
      <c r="AF4003">
        <v>9</v>
      </c>
      <c r="AG4003" t="s">
        <v>115</v>
      </c>
      <c r="AH4003">
        <v>0</v>
      </c>
      <c r="AI4003">
        <v>0</v>
      </c>
      <c r="AJ4003">
        <v>1</v>
      </c>
      <c r="AK4003">
        <v>0</v>
      </c>
      <c r="AL4003" t="s">
        <v>7534</v>
      </c>
      <c r="AM4003">
        <v>47.061439</v>
      </c>
      <c r="AN4003" t="s">
        <v>7536</v>
      </c>
      <c r="AO4003">
        <v>-123.999939</v>
      </c>
      <c r="AP4003">
        <v>100</v>
      </c>
      <c r="AQ4003">
        <v>300</v>
      </c>
      <c r="AR4003" t="s">
        <v>118</v>
      </c>
      <c r="AS4003">
        <v>79</v>
      </c>
      <c r="AT4003">
        <v>-2</v>
      </c>
      <c r="AU4003">
        <v>-1856</v>
      </c>
      <c r="BC4003">
        <v>1200</v>
      </c>
      <c r="BD4003">
        <v>1</v>
      </c>
      <c r="BE4003" t="str">
        <f t="shared" si="188"/>
        <v xml:space="preserve">N215T   </v>
      </c>
      <c r="BF4003">
        <v>1</v>
      </c>
      <c r="BH4003">
        <v>0</v>
      </c>
      <c r="BI4003">
        <v>0</v>
      </c>
      <c r="BJ4003">
        <v>0</v>
      </c>
      <c r="BK4003">
        <v>700</v>
      </c>
      <c r="BL4003">
        <v>400</v>
      </c>
      <c r="BM4003" t="s">
        <v>119</v>
      </c>
      <c r="BN4003">
        <v>1</v>
      </c>
      <c r="BO4003">
        <v>1</v>
      </c>
      <c r="BP4003">
        <v>1</v>
      </c>
      <c r="BQ4003">
        <v>0</v>
      </c>
      <c r="BT4003">
        <v>0</v>
      </c>
      <c r="BU4003">
        <v>0</v>
      </c>
      <c r="BV4003">
        <v>0</v>
      </c>
      <c r="CC4003" t="str">
        <f>"19:41:50.047"</f>
        <v>19:41:50.047</v>
      </c>
      <c r="CD4003" t="str">
        <f>"046969348"</f>
        <v>046969348</v>
      </c>
      <c r="CQ4003">
        <v>0</v>
      </c>
      <c r="CR4003">
        <v>2</v>
      </c>
      <c r="CS4003">
        <v>0</v>
      </c>
      <c r="CT4003">
        <v>2</v>
      </c>
      <c r="CU4003">
        <v>0</v>
      </c>
      <c r="CV4003">
        <v>7</v>
      </c>
      <c r="CW4003" t="s">
        <v>120</v>
      </c>
      <c r="CX4003">
        <v>257</v>
      </c>
      <c r="CY4003">
        <v>0</v>
      </c>
      <c r="CZ4003" t="s">
        <v>615</v>
      </c>
      <c r="DA4003" t="s">
        <v>616</v>
      </c>
      <c r="DD4003">
        <v>16641969</v>
      </c>
      <c r="DE4003" t="s">
        <v>123</v>
      </c>
    </row>
    <row r="4004" spans="1:109" x14ac:dyDescent="0.3">
      <c r="A4004" t="str">
        <f>"19:41:51.195"</f>
        <v>19:41:51.195</v>
      </c>
      <c r="B4004" t="s">
        <v>110</v>
      </c>
      <c r="C4004" t="str">
        <f t="shared" si="189"/>
        <v>ffdfd3c0</v>
      </c>
      <c r="D4004" t="s">
        <v>111</v>
      </c>
      <c r="E4004">
        <v>18</v>
      </c>
      <c r="F4004">
        <v>1018</v>
      </c>
      <c r="G4004" t="s">
        <v>112</v>
      </c>
      <c r="J4004" t="s">
        <v>113</v>
      </c>
      <c r="K4004">
        <v>0</v>
      </c>
      <c r="L4004">
        <v>3</v>
      </c>
      <c r="M4004">
        <v>0</v>
      </c>
      <c r="N4004">
        <v>2</v>
      </c>
      <c r="O4004">
        <v>1</v>
      </c>
      <c r="P4004">
        <v>0</v>
      </c>
      <c r="Q4004">
        <v>0</v>
      </c>
      <c r="R4004" t="s">
        <v>114</v>
      </c>
      <c r="S4004" t="str">
        <f>"19:41:50.984"</f>
        <v>19:41:50.984</v>
      </c>
      <c r="T4004" t="str">
        <f>"19:41:50.883"</f>
        <v>19:41:50.883</v>
      </c>
      <c r="U4004" t="str">
        <f t="shared" si="187"/>
        <v>a1cdbe</v>
      </c>
      <c r="V4004">
        <v>0</v>
      </c>
      <c r="W4004">
        <v>0</v>
      </c>
      <c r="X4004">
        <v>2</v>
      </c>
      <c r="Y4004">
        <v>0</v>
      </c>
      <c r="Z4004">
        <v>0</v>
      </c>
      <c r="AB4004">
        <v>0</v>
      </c>
      <c r="AC4004">
        <v>9</v>
      </c>
      <c r="AD4004">
        <v>3</v>
      </c>
      <c r="AE4004">
        <v>0</v>
      </c>
      <c r="AF4004">
        <v>9</v>
      </c>
      <c r="AG4004" t="s">
        <v>115</v>
      </c>
      <c r="AH4004">
        <v>0</v>
      </c>
      <c r="AI4004">
        <v>0</v>
      </c>
      <c r="AJ4004">
        <v>1</v>
      </c>
      <c r="AK4004">
        <v>0</v>
      </c>
      <c r="AL4004" t="s">
        <v>7537</v>
      </c>
      <c r="AM4004">
        <v>47.061416999999999</v>
      </c>
      <c r="AN4004" t="s">
        <v>7538</v>
      </c>
      <c r="AO4004">
        <v>-123.99944499999999</v>
      </c>
      <c r="AP4004">
        <v>100</v>
      </c>
      <c r="AQ4004">
        <v>300</v>
      </c>
      <c r="AR4004" t="s">
        <v>118</v>
      </c>
      <c r="AS4004">
        <v>79</v>
      </c>
      <c r="AT4004">
        <v>1</v>
      </c>
      <c r="AU4004">
        <v>-1792</v>
      </c>
      <c r="BC4004">
        <v>1200</v>
      </c>
      <c r="BD4004">
        <v>1</v>
      </c>
      <c r="BE4004" t="str">
        <f t="shared" si="188"/>
        <v xml:space="preserve">N215T   </v>
      </c>
      <c r="BF4004">
        <v>1</v>
      </c>
      <c r="BH4004">
        <v>0</v>
      </c>
      <c r="BI4004">
        <v>0</v>
      </c>
      <c r="BJ4004">
        <v>0</v>
      </c>
      <c r="BK4004">
        <v>675</v>
      </c>
      <c r="BL4004">
        <v>375</v>
      </c>
      <c r="BM4004" t="s">
        <v>119</v>
      </c>
      <c r="BN4004">
        <v>1</v>
      </c>
      <c r="BO4004">
        <v>1</v>
      </c>
      <c r="BP4004">
        <v>1</v>
      </c>
      <c r="BQ4004">
        <v>0</v>
      </c>
      <c r="BT4004">
        <v>0</v>
      </c>
      <c r="BU4004">
        <v>0</v>
      </c>
      <c r="BV4004">
        <v>0</v>
      </c>
      <c r="CC4004" t="str">
        <f>"19:41:50.992"</f>
        <v>19:41:50.992</v>
      </c>
      <c r="CD4004" t="str">
        <f>"991876208"</f>
        <v>991876208</v>
      </c>
      <c r="CQ4004">
        <v>0</v>
      </c>
      <c r="CR4004">
        <v>2</v>
      </c>
      <c r="CS4004">
        <v>0</v>
      </c>
      <c r="CT4004">
        <v>2</v>
      </c>
      <c r="CU4004">
        <v>0</v>
      </c>
      <c r="CV4004">
        <v>6</v>
      </c>
      <c r="CW4004" t="s">
        <v>120</v>
      </c>
      <c r="CX4004">
        <v>257</v>
      </c>
      <c r="CY4004">
        <v>0</v>
      </c>
      <c r="CZ4004" t="s">
        <v>615</v>
      </c>
      <c r="DA4004" t="s">
        <v>616</v>
      </c>
      <c r="DD4004">
        <v>16642297</v>
      </c>
      <c r="DE4004" t="s">
        <v>123</v>
      </c>
    </row>
    <row r="4005" spans="1:109" x14ac:dyDescent="0.3">
      <c r="A4005" t="str">
        <f>"19:41:52.305"</f>
        <v>19:41:52.305</v>
      </c>
      <c r="B4005" t="s">
        <v>110</v>
      </c>
      <c r="C4005" t="str">
        <f t="shared" si="189"/>
        <v>ffdfd3c0</v>
      </c>
      <c r="D4005" t="s">
        <v>111</v>
      </c>
      <c r="E4005">
        <v>18</v>
      </c>
      <c r="F4005">
        <v>1018</v>
      </c>
      <c r="G4005" t="s">
        <v>112</v>
      </c>
      <c r="J4005" t="s">
        <v>113</v>
      </c>
      <c r="K4005">
        <v>0</v>
      </c>
      <c r="L4005">
        <v>3</v>
      </c>
      <c r="M4005">
        <v>0</v>
      </c>
      <c r="N4005">
        <v>2</v>
      </c>
      <c r="O4005">
        <v>1</v>
      </c>
      <c r="P4005">
        <v>0</v>
      </c>
      <c r="Q4005">
        <v>0</v>
      </c>
      <c r="R4005" t="s">
        <v>114</v>
      </c>
      <c r="S4005" t="str">
        <f>"19:41:52.070"</f>
        <v>19:41:52.070</v>
      </c>
      <c r="T4005" t="str">
        <f>"19:41:51.867"</f>
        <v>19:41:51.867</v>
      </c>
      <c r="U4005" t="str">
        <f t="shared" si="187"/>
        <v>a1cdbe</v>
      </c>
      <c r="V4005">
        <v>0</v>
      </c>
      <c r="W4005">
        <v>0</v>
      </c>
      <c r="X4005">
        <v>2</v>
      </c>
      <c r="Y4005">
        <v>0</v>
      </c>
      <c r="Z4005">
        <v>0</v>
      </c>
      <c r="AB4005">
        <v>0</v>
      </c>
      <c r="AC4005">
        <v>9</v>
      </c>
      <c r="AD4005">
        <v>3</v>
      </c>
      <c r="AE4005">
        <v>0</v>
      </c>
      <c r="AF4005">
        <v>9</v>
      </c>
      <c r="AG4005" t="s">
        <v>115</v>
      </c>
      <c r="AH4005">
        <v>0</v>
      </c>
      <c r="AI4005">
        <v>0</v>
      </c>
      <c r="AJ4005">
        <v>1</v>
      </c>
      <c r="AK4005">
        <v>0</v>
      </c>
      <c r="AL4005" t="s">
        <v>7532</v>
      </c>
      <c r="AM4005">
        <v>47.061503000000002</v>
      </c>
      <c r="AN4005" t="s">
        <v>7539</v>
      </c>
      <c r="AO4005">
        <v>-123.998909</v>
      </c>
      <c r="AP4005">
        <v>100</v>
      </c>
      <c r="AQ4005">
        <v>200</v>
      </c>
      <c r="AR4005" t="s">
        <v>118</v>
      </c>
      <c r="AS4005">
        <v>79</v>
      </c>
      <c r="AT4005">
        <v>4</v>
      </c>
      <c r="AU4005">
        <v>-1728</v>
      </c>
      <c r="BC4005">
        <v>1200</v>
      </c>
      <c r="BD4005">
        <v>1</v>
      </c>
      <c r="BE4005" t="str">
        <f t="shared" si="188"/>
        <v xml:space="preserve">N215T   </v>
      </c>
      <c r="BF4005">
        <v>1</v>
      </c>
      <c r="BH4005">
        <v>0</v>
      </c>
      <c r="BI4005">
        <v>0</v>
      </c>
      <c r="BJ4005">
        <v>0</v>
      </c>
      <c r="BK4005">
        <v>725</v>
      </c>
      <c r="BL4005">
        <v>525</v>
      </c>
      <c r="BM4005" t="s">
        <v>119</v>
      </c>
      <c r="BN4005">
        <v>1</v>
      </c>
      <c r="BO4005">
        <v>1</v>
      </c>
      <c r="BP4005">
        <v>1</v>
      </c>
      <c r="BQ4005">
        <v>0</v>
      </c>
      <c r="BT4005">
        <v>0</v>
      </c>
      <c r="BU4005">
        <v>0</v>
      </c>
      <c r="BV4005">
        <v>0</v>
      </c>
      <c r="CC4005" t="str">
        <f>"19:41:52.070"</f>
        <v>19:41:52.070</v>
      </c>
      <c r="CD4005" t="str">
        <f>"071769748"</f>
        <v>071769748</v>
      </c>
      <c r="CQ4005">
        <v>0</v>
      </c>
      <c r="CR4005">
        <v>2</v>
      </c>
      <c r="CS4005">
        <v>0</v>
      </c>
      <c r="CT4005">
        <v>2</v>
      </c>
      <c r="CU4005">
        <v>0</v>
      </c>
      <c r="CV4005">
        <v>6</v>
      </c>
      <c r="CW4005" t="s">
        <v>120</v>
      </c>
      <c r="CX4005">
        <v>257</v>
      </c>
      <c r="CY4005">
        <v>0</v>
      </c>
      <c r="CZ4005" t="s">
        <v>615</v>
      </c>
      <c r="DA4005" t="s">
        <v>616</v>
      </c>
      <c r="DD4005">
        <v>16642644</v>
      </c>
      <c r="DE4005" t="s">
        <v>123</v>
      </c>
    </row>
    <row r="4006" spans="1:109" x14ac:dyDescent="0.3">
      <c r="A4006" t="str">
        <f>"19:41:53.359"</f>
        <v>19:41:53.359</v>
      </c>
      <c r="B4006" t="s">
        <v>110</v>
      </c>
      <c r="C4006" t="str">
        <f t="shared" si="189"/>
        <v>ffdfd3c0</v>
      </c>
      <c r="D4006" t="s">
        <v>111</v>
      </c>
      <c r="E4006">
        <v>18</v>
      </c>
      <c r="F4006">
        <v>1018</v>
      </c>
      <c r="G4006" t="s">
        <v>112</v>
      </c>
      <c r="J4006" t="s">
        <v>113</v>
      </c>
      <c r="K4006">
        <v>0</v>
      </c>
      <c r="L4006">
        <v>3</v>
      </c>
      <c r="M4006">
        <v>0</v>
      </c>
      <c r="N4006">
        <v>2</v>
      </c>
      <c r="O4006">
        <v>1</v>
      </c>
      <c r="P4006">
        <v>0</v>
      </c>
      <c r="Q4006">
        <v>0</v>
      </c>
      <c r="R4006" t="s">
        <v>114</v>
      </c>
      <c r="S4006" t="str">
        <f>"19:41:53.117"</f>
        <v>19:41:53.117</v>
      </c>
      <c r="T4006" t="str">
        <f>"19:41:52.820"</f>
        <v>19:41:52.820</v>
      </c>
      <c r="U4006" t="str">
        <f t="shared" si="187"/>
        <v>a1cdbe</v>
      </c>
      <c r="V4006">
        <v>0</v>
      </c>
      <c r="W4006">
        <v>0</v>
      </c>
      <c r="X4006">
        <v>2</v>
      </c>
      <c r="Y4006">
        <v>0</v>
      </c>
      <c r="Z4006">
        <v>0</v>
      </c>
      <c r="AB4006">
        <v>0</v>
      </c>
      <c r="AC4006">
        <v>9</v>
      </c>
      <c r="AD4006">
        <v>3</v>
      </c>
      <c r="AE4006">
        <v>0</v>
      </c>
      <c r="AF4006">
        <v>9</v>
      </c>
      <c r="AG4006" t="s">
        <v>115</v>
      </c>
      <c r="AH4006">
        <v>0</v>
      </c>
      <c r="AI4006">
        <v>0</v>
      </c>
      <c r="AJ4006">
        <v>1</v>
      </c>
      <c r="AK4006">
        <v>0</v>
      </c>
      <c r="AL4006" t="s">
        <v>7530</v>
      </c>
      <c r="AM4006">
        <v>47.061523999999999</v>
      </c>
      <c r="AN4006" t="s">
        <v>7540</v>
      </c>
      <c r="AO4006">
        <v>-123.99833</v>
      </c>
      <c r="AP4006">
        <v>100</v>
      </c>
      <c r="AQ4006">
        <v>200</v>
      </c>
      <c r="AR4006" t="s">
        <v>118</v>
      </c>
      <c r="AS4006">
        <v>79</v>
      </c>
      <c r="AT4006">
        <v>8</v>
      </c>
      <c r="AU4006">
        <v>-1792</v>
      </c>
      <c r="BC4006">
        <v>1200</v>
      </c>
      <c r="BD4006">
        <v>1</v>
      </c>
      <c r="BE4006" t="str">
        <f t="shared" si="188"/>
        <v xml:space="preserve">N215T   </v>
      </c>
      <c r="BF4006">
        <v>1</v>
      </c>
      <c r="BH4006">
        <v>0</v>
      </c>
      <c r="BI4006">
        <v>0</v>
      </c>
      <c r="BJ4006">
        <v>0</v>
      </c>
      <c r="BK4006">
        <v>600</v>
      </c>
      <c r="BL4006">
        <v>400</v>
      </c>
      <c r="BM4006" t="s">
        <v>119</v>
      </c>
      <c r="BN4006">
        <v>1</v>
      </c>
      <c r="BO4006">
        <v>1</v>
      </c>
      <c r="BP4006">
        <v>1</v>
      </c>
      <c r="BQ4006">
        <v>0</v>
      </c>
      <c r="BT4006">
        <v>0</v>
      </c>
      <c r="BU4006">
        <v>0</v>
      </c>
      <c r="BV4006">
        <v>0</v>
      </c>
      <c r="CC4006" t="str">
        <f>"19:41:53.125"</f>
        <v>19:41:53.125</v>
      </c>
      <c r="CD4006" t="str">
        <f>"121666265"</f>
        <v>121666265</v>
      </c>
      <c r="CQ4006">
        <v>0</v>
      </c>
      <c r="CR4006">
        <v>2</v>
      </c>
      <c r="CS4006">
        <v>0</v>
      </c>
      <c r="CT4006">
        <v>2</v>
      </c>
      <c r="CU4006">
        <v>0</v>
      </c>
      <c r="CV4006">
        <v>6</v>
      </c>
      <c r="CW4006" t="s">
        <v>120</v>
      </c>
      <c r="CX4006">
        <v>257</v>
      </c>
      <c r="CY4006">
        <v>0</v>
      </c>
      <c r="CZ4006" t="s">
        <v>615</v>
      </c>
      <c r="DA4006" t="s">
        <v>616</v>
      </c>
      <c r="DD4006">
        <v>16642963</v>
      </c>
      <c r="DE4006" t="s">
        <v>123</v>
      </c>
    </row>
    <row r="4007" spans="1:109" x14ac:dyDescent="0.3">
      <c r="A4007" t="str">
        <f>"19:41:54.414"</f>
        <v>19:41:54.414</v>
      </c>
      <c r="B4007" t="s">
        <v>110</v>
      </c>
      <c r="C4007" t="str">
        <f t="shared" si="189"/>
        <v>ffdfd3c0</v>
      </c>
      <c r="D4007" t="s">
        <v>111</v>
      </c>
      <c r="E4007">
        <v>18</v>
      </c>
      <c r="F4007">
        <v>1018</v>
      </c>
      <c r="G4007" t="s">
        <v>112</v>
      </c>
      <c r="J4007" t="s">
        <v>113</v>
      </c>
      <c r="K4007">
        <v>0</v>
      </c>
      <c r="L4007">
        <v>3</v>
      </c>
      <c r="M4007">
        <v>0</v>
      </c>
      <c r="N4007">
        <v>2</v>
      </c>
      <c r="O4007">
        <v>1</v>
      </c>
      <c r="P4007">
        <v>0</v>
      </c>
      <c r="Q4007">
        <v>0</v>
      </c>
      <c r="R4007" t="s">
        <v>114</v>
      </c>
      <c r="S4007" t="str">
        <f>"19:41:54.125"</f>
        <v>19:41:54.125</v>
      </c>
      <c r="T4007" t="str">
        <f>"19:41:54.023"</f>
        <v>19:41:54.023</v>
      </c>
      <c r="U4007" t="str">
        <f t="shared" si="187"/>
        <v>a1cdbe</v>
      </c>
      <c r="V4007">
        <v>0</v>
      </c>
      <c r="W4007">
        <v>0</v>
      </c>
      <c r="X4007">
        <v>2</v>
      </c>
      <c r="Y4007">
        <v>0</v>
      </c>
      <c r="Z4007">
        <v>0</v>
      </c>
      <c r="AB4007">
        <v>0</v>
      </c>
      <c r="AC4007">
        <v>9</v>
      </c>
      <c r="AD4007">
        <v>3</v>
      </c>
      <c r="AE4007">
        <v>0</v>
      </c>
      <c r="AF4007">
        <v>9</v>
      </c>
      <c r="AG4007" t="s">
        <v>115</v>
      </c>
      <c r="AH4007">
        <v>0</v>
      </c>
      <c r="AI4007">
        <v>0</v>
      </c>
      <c r="AJ4007">
        <v>1</v>
      </c>
      <c r="AK4007">
        <v>0</v>
      </c>
      <c r="AL4007" t="s">
        <v>7541</v>
      </c>
      <c r="AM4007">
        <v>47.061546</v>
      </c>
      <c r="AN4007" t="s">
        <v>7542</v>
      </c>
      <c r="AO4007">
        <v>-123.99775</v>
      </c>
      <c r="AP4007">
        <v>100</v>
      </c>
      <c r="AQ4007">
        <v>200</v>
      </c>
      <c r="AR4007" t="s">
        <v>118</v>
      </c>
      <c r="AS4007">
        <v>79</v>
      </c>
      <c r="AT4007">
        <v>10</v>
      </c>
      <c r="AU4007">
        <v>-1728</v>
      </c>
      <c r="BC4007">
        <v>1200</v>
      </c>
      <c r="BD4007">
        <v>1</v>
      </c>
      <c r="BE4007" t="str">
        <f t="shared" si="188"/>
        <v xml:space="preserve">N215T   </v>
      </c>
      <c r="BF4007">
        <v>1</v>
      </c>
      <c r="BH4007">
        <v>0</v>
      </c>
      <c r="BI4007">
        <v>0</v>
      </c>
      <c r="BJ4007">
        <v>0</v>
      </c>
      <c r="BK4007">
        <v>575</v>
      </c>
      <c r="BL4007">
        <v>375</v>
      </c>
      <c r="BM4007" t="s">
        <v>119</v>
      </c>
      <c r="BN4007">
        <v>1</v>
      </c>
      <c r="BO4007">
        <v>1</v>
      </c>
      <c r="BP4007">
        <v>1</v>
      </c>
      <c r="BQ4007">
        <v>0</v>
      </c>
      <c r="BT4007">
        <v>0</v>
      </c>
      <c r="BU4007">
        <v>0</v>
      </c>
      <c r="BV4007">
        <v>0</v>
      </c>
      <c r="CC4007" t="str">
        <f>"19:41:54.125"</f>
        <v>19:41:54.125</v>
      </c>
      <c r="CD4007" t="str">
        <f>"126567228"</f>
        <v>126567228</v>
      </c>
      <c r="CQ4007">
        <v>0</v>
      </c>
      <c r="CR4007">
        <v>2</v>
      </c>
      <c r="CS4007">
        <v>0</v>
      </c>
      <c r="CT4007">
        <v>2</v>
      </c>
      <c r="CU4007">
        <v>0</v>
      </c>
      <c r="CV4007">
        <v>4</v>
      </c>
      <c r="CW4007" t="s">
        <v>120</v>
      </c>
      <c r="CX4007">
        <v>257</v>
      </c>
      <c r="CY4007">
        <v>3</v>
      </c>
      <c r="CZ4007" t="s">
        <v>615</v>
      </c>
      <c r="DA4007" t="s">
        <v>616</v>
      </c>
      <c r="DD4007">
        <v>9429912</v>
      </c>
      <c r="DE4007" t="s">
        <v>123</v>
      </c>
    </row>
    <row r="4008" spans="1:109" x14ac:dyDescent="0.3">
      <c r="A4008" t="str">
        <f>"19:41:55.266"</f>
        <v>19:41:55.266</v>
      </c>
      <c r="B4008" t="s">
        <v>110</v>
      </c>
      <c r="C4008" t="str">
        <f t="shared" si="189"/>
        <v>ffdfd3c0</v>
      </c>
      <c r="D4008" t="s">
        <v>111</v>
      </c>
      <c r="E4008">
        <v>18</v>
      </c>
      <c r="F4008">
        <v>1018</v>
      </c>
      <c r="G4008" t="s">
        <v>112</v>
      </c>
      <c r="J4008" t="s">
        <v>113</v>
      </c>
      <c r="K4008">
        <v>0</v>
      </c>
      <c r="L4008">
        <v>3</v>
      </c>
      <c r="M4008">
        <v>0</v>
      </c>
      <c r="N4008">
        <v>2</v>
      </c>
      <c r="O4008">
        <v>1</v>
      </c>
      <c r="P4008">
        <v>0</v>
      </c>
      <c r="Q4008">
        <v>0</v>
      </c>
      <c r="R4008" t="s">
        <v>114</v>
      </c>
      <c r="S4008" t="str">
        <f>"19:41:55.008"</f>
        <v>19:41:55.008</v>
      </c>
      <c r="T4008" t="str">
        <f>"19:41:54.508"</f>
        <v>19:41:54.508</v>
      </c>
      <c r="U4008" t="str">
        <f t="shared" si="187"/>
        <v>a1cdbe</v>
      </c>
      <c r="V4008">
        <v>0</v>
      </c>
      <c r="W4008">
        <v>0</v>
      </c>
      <c r="X4008">
        <v>2</v>
      </c>
      <c r="Y4008">
        <v>0</v>
      </c>
      <c r="Z4008">
        <v>0</v>
      </c>
      <c r="AB4008">
        <v>0</v>
      </c>
      <c r="AC4008">
        <v>9</v>
      </c>
      <c r="AD4008">
        <v>3</v>
      </c>
      <c r="AE4008">
        <v>0</v>
      </c>
      <c r="AF4008">
        <v>9</v>
      </c>
      <c r="AG4008" t="s">
        <v>115</v>
      </c>
      <c r="AH4008">
        <v>0</v>
      </c>
      <c r="AI4008">
        <v>0</v>
      </c>
      <c r="AJ4008">
        <v>1</v>
      </c>
      <c r="AK4008">
        <v>0</v>
      </c>
      <c r="AL4008" t="s">
        <v>7543</v>
      </c>
      <c r="AM4008">
        <v>47.061610000000002</v>
      </c>
      <c r="AN4008" t="s">
        <v>7544</v>
      </c>
      <c r="AO4008">
        <v>-123.997343</v>
      </c>
      <c r="AP4008">
        <v>100</v>
      </c>
      <c r="AQ4008">
        <v>100</v>
      </c>
      <c r="AR4008" t="s">
        <v>118</v>
      </c>
      <c r="AS4008">
        <v>78</v>
      </c>
      <c r="AT4008">
        <v>11</v>
      </c>
      <c r="AU4008">
        <v>-1728</v>
      </c>
      <c r="BC4008">
        <v>1200</v>
      </c>
      <c r="BD4008">
        <v>1</v>
      </c>
      <c r="BE4008" t="str">
        <f t="shared" si="188"/>
        <v xml:space="preserve">N215T   </v>
      </c>
      <c r="BF4008">
        <v>1</v>
      </c>
      <c r="BH4008">
        <v>0</v>
      </c>
      <c r="BI4008">
        <v>0</v>
      </c>
      <c r="BJ4008">
        <v>0</v>
      </c>
      <c r="BK4008">
        <v>550</v>
      </c>
      <c r="BL4008">
        <v>450</v>
      </c>
      <c r="BM4008" t="s">
        <v>119</v>
      </c>
      <c r="BN4008">
        <v>1</v>
      </c>
      <c r="BO4008">
        <v>1</v>
      </c>
      <c r="BP4008">
        <v>1</v>
      </c>
      <c r="BQ4008">
        <v>0</v>
      </c>
      <c r="BT4008">
        <v>0</v>
      </c>
      <c r="BU4008">
        <v>0</v>
      </c>
      <c r="BV4008">
        <v>0</v>
      </c>
      <c r="CC4008" t="str">
        <f>"19:41:55.008"</f>
        <v>19:41:55.008</v>
      </c>
      <c r="CD4008" t="str">
        <f>"011479986"</f>
        <v>011479986</v>
      </c>
      <c r="CQ4008">
        <v>0</v>
      </c>
      <c r="CR4008">
        <v>2</v>
      </c>
      <c r="CS4008">
        <v>0</v>
      </c>
      <c r="CT4008">
        <v>2</v>
      </c>
      <c r="CU4008">
        <v>0</v>
      </c>
      <c r="CV4008">
        <v>5</v>
      </c>
      <c r="CW4008" t="s">
        <v>120</v>
      </c>
      <c r="CX4008">
        <v>257</v>
      </c>
      <c r="CY4008">
        <v>0</v>
      </c>
      <c r="CZ4008" t="s">
        <v>615</v>
      </c>
      <c r="DA4008" t="s">
        <v>616</v>
      </c>
      <c r="DD4008">
        <v>16643521</v>
      </c>
      <c r="DE4008" t="s">
        <v>123</v>
      </c>
    </row>
    <row r="4009" spans="1:109" x14ac:dyDescent="0.3">
      <c r="A4009" t="str">
        <f>"19:41:56.125"</f>
        <v>19:41:56.125</v>
      </c>
      <c r="B4009" t="s">
        <v>110</v>
      </c>
      <c r="C4009" t="str">
        <f t="shared" si="189"/>
        <v>ffdfd3c0</v>
      </c>
      <c r="D4009" t="s">
        <v>111</v>
      </c>
      <c r="E4009">
        <v>18</v>
      </c>
      <c r="F4009">
        <v>1018</v>
      </c>
      <c r="G4009" t="s">
        <v>112</v>
      </c>
      <c r="J4009" t="s">
        <v>113</v>
      </c>
      <c r="K4009">
        <v>0</v>
      </c>
      <c r="L4009">
        <v>3</v>
      </c>
      <c r="M4009">
        <v>0</v>
      </c>
      <c r="N4009">
        <v>2</v>
      </c>
      <c r="O4009">
        <v>1</v>
      </c>
      <c r="P4009">
        <v>0</v>
      </c>
      <c r="Q4009">
        <v>0</v>
      </c>
      <c r="R4009" t="s">
        <v>114</v>
      </c>
      <c r="S4009" t="str">
        <f>"19:41:55.859"</f>
        <v>19:41:55.859</v>
      </c>
      <c r="T4009" t="str">
        <f>"19:41:55.563"</f>
        <v>19:41:55.563</v>
      </c>
      <c r="U4009" t="str">
        <f t="shared" si="187"/>
        <v>a1cdbe</v>
      </c>
      <c r="V4009">
        <v>0</v>
      </c>
      <c r="W4009">
        <v>0</v>
      </c>
      <c r="X4009">
        <v>2</v>
      </c>
      <c r="Y4009">
        <v>0</v>
      </c>
      <c r="Z4009">
        <v>0</v>
      </c>
      <c r="AB4009">
        <v>0</v>
      </c>
      <c r="AC4009">
        <v>9</v>
      </c>
      <c r="AD4009">
        <v>3</v>
      </c>
      <c r="AE4009">
        <v>0</v>
      </c>
      <c r="AF4009">
        <v>9</v>
      </c>
      <c r="AG4009" t="s">
        <v>115</v>
      </c>
      <c r="AH4009">
        <v>0</v>
      </c>
      <c r="AI4009">
        <v>0</v>
      </c>
      <c r="AJ4009">
        <v>1</v>
      </c>
      <c r="AK4009">
        <v>0</v>
      </c>
      <c r="AL4009" t="s">
        <v>500</v>
      </c>
      <c r="AM4009">
        <v>47.061653</v>
      </c>
      <c r="AN4009" t="s">
        <v>7353</v>
      </c>
      <c r="AO4009">
        <v>-123.996849</v>
      </c>
      <c r="AP4009">
        <v>100</v>
      </c>
      <c r="AQ4009">
        <v>100</v>
      </c>
      <c r="AR4009" t="s">
        <v>118</v>
      </c>
      <c r="AS4009">
        <v>78</v>
      </c>
      <c r="AT4009">
        <v>14</v>
      </c>
      <c r="AU4009">
        <v>-1600</v>
      </c>
      <c r="BC4009">
        <v>1200</v>
      </c>
      <c r="BD4009">
        <v>1</v>
      </c>
      <c r="BE4009" t="str">
        <f t="shared" si="188"/>
        <v xml:space="preserve">N215T   </v>
      </c>
      <c r="BF4009">
        <v>1</v>
      </c>
      <c r="BH4009">
        <v>0</v>
      </c>
      <c r="BI4009">
        <v>0</v>
      </c>
      <c r="BJ4009">
        <v>0</v>
      </c>
      <c r="BK4009">
        <v>525</v>
      </c>
      <c r="BL4009">
        <v>425</v>
      </c>
      <c r="BM4009" t="s">
        <v>119</v>
      </c>
      <c r="BN4009">
        <v>1</v>
      </c>
      <c r="BO4009">
        <v>1</v>
      </c>
      <c r="BP4009">
        <v>1</v>
      </c>
      <c r="BQ4009">
        <v>0</v>
      </c>
      <c r="BT4009">
        <v>0</v>
      </c>
      <c r="BU4009">
        <v>0</v>
      </c>
      <c r="BV4009">
        <v>0</v>
      </c>
      <c r="CC4009" t="str">
        <f>"19:41:55.867"</f>
        <v>19:41:55.867</v>
      </c>
      <c r="CD4009" t="str">
        <f>"866465778"</f>
        <v>866465778</v>
      </c>
      <c r="CQ4009">
        <v>0</v>
      </c>
      <c r="CR4009">
        <v>2</v>
      </c>
      <c r="CS4009">
        <v>0</v>
      </c>
      <c r="CT4009">
        <v>2</v>
      </c>
      <c r="CU4009">
        <v>0</v>
      </c>
      <c r="CV4009">
        <v>6</v>
      </c>
      <c r="CW4009" t="s">
        <v>120</v>
      </c>
      <c r="CX4009">
        <v>257</v>
      </c>
      <c r="CY4009">
        <v>0</v>
      </c>
      <c r="CZ4009" t="s">
        <v>615</v>
      </c>
      <c r="DA4009" t="s">
        <v>616</v>
      </c>
      <c r="DD4009">
        <v>16643823</v>
      </c>
      <c r="DE4009" t="s">
        <v>123</v>
      </c>
    </row>
    <row r="4010" spans="1:109" x14ac:dyDescent="0.3">
      <c r="A4010" t="str">
        <f>"19:41:57.023"</f>
        <v>19:41:57.023</v>
      </c>
      <c r="B4010" t="s">
        <v>110</v>
      </c>
      <c r="C4010" t="str">
        <f t="shared" si="189"/>
        <v>ffdfd3c0</v>
      </c>
      <c r="D4010" t="s">
        <v>111</v>
      </c>
      <c r="E4010">
        <v>18</v>
      </c>
      <c r="F4010">
        <v>1018</v>
      </c>
      <c r="G4010" t="s">
        <v>112</v>
      </c>
      <c r="J4010" t="s">
        <v>113</v>
      </c>
      <c r="K4010">
        <v>0</v>
      </c>
      <c r="L4010">
        <v>3</v>
      </c>
      <c r="M4010">
        <v>0</v>
      </c>
      <c r="N4010">
        <v>2</v>
      </c>
      <c r="O4010">
        <v>1</v>
      </c>
      <c r="P4010">
        <v>0</v>
      </c>
      <c r="Q4010">
        <v>0</v>
      </c>
      <c r="R4010" t="s">
        <v>114</v>
      </c>
      <c r="S4010" t="str">
        <f>"19:41:56.766"</f>
        <v>19:41:56.766</v>
      </c>
      <c r="T4010" t="str">
        <f>"19:41:56.563"</f>
        <v>19:41:56.563</v>
      </c>
      <c r="U4010" t="str">
        <f t="shared" si="187"/>
        <v>a1cdbe</v>
      </c>
      <c r="V4010">
        <v>0</v>
      </c>
      <c r="W4010">
        <v>0</v>
      </c>
      <c r="X4010">
        <v>2</v>
      </c>
      <c r="Y4010">
        <v>0</v>
      </c>
      <c r="Z4010">
        <v>0</v>
      </c>
      <c r="AB4010">
        <v>0</v>
      </c>
      <c r="AC4010">
        <v>9</v>
      </c>
      <c r="AD4010">
        <v>3</v>
      </c>
      <c r="AE4010">
        <v>0</v>
      </c>
      <c r="AF4010">
        <v>9</v>
      </c>
      <c r="AG4010" t="s">
        <v>115</v>
      </c>
      <c r="AH4010">
        <v>0</v>
      </c>
      <c r="AI4010">
        <v>0</v>
      </c>
      <c r="AJ4010">
        <v>1</v>
      </c>
      <c r="AK4010">
        <v>0</v>
      </c>
      <c r="AL4010" t="s">
        <v>7545</v>
      </c>
      <c r="AM4010">
        <v>47.061717999999999</v>
      </c>
      <c r="AN4010" t="s">
        <v>7351</v>
      </c>
      <c r="AO4010">
        <v>-123.996377</v>
      </c>
      <c r="AP4010">
        <v>100</v>
      </c>
      <c r="AQ4010">
        <v>100</v>
      </c>
      <c r="AR4010" t="s">
        <v>118</v>
      </c>
      <c r="AS4010">
        <v>78</v>
      </c>
      <c r="AT4010">
        <v>15</v>
      </c>
      <c r="AU4010">
        <v>-1536</v>
      </c>
      <c r="BC4010">
        <v>1200</v>
      </c>
      <c r="BD4010">
        <v>1</v>
      </c>
      <c r="BE4010" t="str">
        <f t="shared" si="188"/>
        <v xml:space="preserve">N215T   </v>
      </c>
      <c r="BF4010">
        <v>1</v>
      </c>
      <c r="BH4010">
        <v>0</v>
      </c>
      <c r="BI4010">
        <v>0</v>
      </c>
      <c r="BJ4010">
        <v>0</v>
      </c>
      <c r="BK4010">
        <v>500</v>
      </c>
      <c r="BL4010">
        <v>400</v>
      </c>
      <c r="BM4010" t="s">
        <v>119</v>
      </c>
      <c r="BN4010">
        <v>1</v>
      </c>
      <c r="BO4010">
        <v>1</v>
      </c>
      <c r="BP4010">
        <v>1</v>
      </c>
      <c r="BQ4010">
        <v>0</v>
      </c>
      <c r="BT4010">
        <v>0</v>
      </c>
      <c r="BU4010">
        <v>0</v>
      </c>
      <c r="BV4010">
        <v>0</v>
      </c>
      <c r="CC4010" t="str">
        <f>"19:41:56.766"</f>
        <v>19:41:56.766</v>
      </c>
      <c r="CD4010" t="str">
        <f>"766377088"</f>
        <v>766377088</v>
      </c>
      <c r="CQ4010">
        <v>0</v>
      </c>
      <c r="CR4010">
        <v>2</v>
      </c>
      <c r="CS4010">
        <v>0</v>
      </c>
      <c r="CT4010">
        <v>2</v>
      </c>
      <c r="CU4010">
        <v>0</v>
      </c>
      <c r="CV4010">
        <v>5</v>
      </c>
      <c r="CW4010" t="s">
        <v>120</v>
      </c>
      <c r="CX4010">
        <v>257</v>
      </c>
      <c r="CY4010">
        <v>0</v>
      </c>
      <c r="CZ4010" t="s">
        <v>615</v>
      </c>
      <c r="DA4010" t="s">
        <v>616</v>
      </c>
      <c r="DD4010">
        <v>16644098</v>
      </c>
      <c r="DE4010" t="s">
        <v>123</v>
      </c>
    </row>
    <row r="4011" spans="1:109" x14ac:dyDescent="0.3">
      <c r="A4011" t="str">
        <f>"19:41:58.133"</f>
        <v>19:41:58.133</v>
      </c>
      <c r="B4011" t="s">
        <v>110</v>
      </c>
      <c r="C4011" t="str">
        <f t="shared" si="189"/>
        <v>ffdfd3c0</v>
      </c>
      <c r="D4011" t="s">
        <v>111</v>
      </c>
      <c r="E4011">
        <v>18</v>
      </c>
      <c r="F4011">
        <v>1018</v>
      </c>
      <c r="G4011" t="s">
        <v>112</v>
      </c>
      <c r="J4011" t="s">
        <v>113</v>
      </c>
      <c r="K4011">
        <v>0</v>
      </c>
      <c r="L4011">
        <v>3</v>
      </c>
      <c r="M4011">
        <v>0</v>
      </c>
      <c r="N4011">
        <v>2</v>
      </c>
      <c r="O4011">
        <v>1</v>
      </c>
      <c r="P4011">
        <v>0</v>
      </c>
      <c r="Q4011">
        <v>0</v>
      </c>
      <c r="R4011" t="s">
        <v>114</v>
      </c>
      <c r="S4011" t="str">
        <f>"19:41:57.891"</f>
        <v>19:41:57.891</v>
      </c>
      <c r="T4011" t="str">
        <f>"19:41:57.594"</f>
        <v>19:41:57.594</v>
      </c>
      <c r="U4011" t="str">
        <f t="shared" si="187"/>
        <v>a1cdbe</v>
      </c>
      <c r="V4011">
        <v>0</v>
      </c>
      <c r="W4011">
        <v>0</v>
      </c>
      <c r="X4011">
        <v>2</v>
      </c>
      <c r="Y4011">
        <v>0</v>
      </c>
      <c r="Z4011">
        <v>0</v>
      </c>
      <c r="AB4011">
        <v>0</v>
      </c>
      <c r="AC4011">
        <v>9</v>
      </c>
      <c r="AD4011">
        <v>3</v>
      </c>
      <c r="AE4011">
        <v>0</v>
      </c>
      <c r="AF4011">
        <v>9</v>
      </c>
      <c r="AG4011" t="s">
        <v>115</v>
      </c>
      <c r="AH4011">
        <v>0</v>
      </c>
      <c r="AI4011">
        <v>0</v>
      </c>
      <c r="AJ4011">
        <v>1</v>
      </c>
      <c r="AK4011">
        <v>0</v>
      </c>
      <c r="AL4011" t="s">
        <v>7546</v>
      </c>
      <c r="AM4011">
        <v>47.061802999999998</v>
      </c>
      <c r="AN4011" t="s">
        <v>7547</v>
      </c>
      <c r="AO4011">
        <v>-123.99577600000001</v>
      </c>
      <c r="AP4011">
        <v>100</v>
      </c>
      <c r="AQ4011">
        <v>100</v>
      </c>
      <c r="AR4011" t="s">
        <v>118</v>
      </c>
      <c r="AS4011">
        <v>78</v>
      </c>
      <c r="AT4011">
        <v>14</v>
      </c>
      <c r="AU4011">
        <v>-1536</v>
      </c>
      <c r="BC4011">
        <v>1200</v>
      </c>
      <c r="BD4011">
        <v>1</v>
      </c>
      <c r="BE4011" t="str">
        <f t="shared" si="188"/>
        <v xml:space="preserve">N215T   </v>
      </c>
      <c r="BF4011">
        <v>1</v>
      </c>
      <c r="BH4011">
        <v>0</v>
      </c>
      <c r="BI4011">
        <v>0</v>
      </c>
      <c r="BJ4011">
        <v>0</v>
      </c>
      <c r="BK4011">
        <v>475</v>
      </c>
      <c r="BL4011">
        <v>375</v>
      </c>
      <c r="BM4011" t="s">
        <v>119</v>
      </c>
      <c r="BN4011">
        <v>1</v>
      </c>
      <c r="BO4011">
        <v>1</v>
      </c>
      <c r="BP4011">
        <v>1</v>
      </c>
      <c r="BQ4011">
        <v>0</v>
      </c>
      <c r="BT4011">
        <v>0</v>
      </c>
      <c r="BU4011">
        <v>0</v>
      </c>
      <c r="BV4011">
        <v>0</v>
      </c>
      <c r="CC4011" t="str">
        <f>"19:41:57.891"</f>
        <v>19:41:57.891</v>
      </c>
      <c r="CD4011" t="str">
        <f>"891266208"</f>
        <v>891266208</v>
      </c>
      <c r="CQ4011">
        <v>0</v>
      </c>
      <c r="CR4011">
        <v>2</v>
      </c>
      <c r="CS4011">
        <v>0</v>
      </c>
      <c r="CT4011">
        <v>2</v>
      </c>
      <c r="CU4011">
        <v>0</v>
      </c>
      <c r="CV4011">
        <v>6</v>
      </c>
      <c r="CW4011" t="s">
        <v>120</v>
      </c>
      <c r="CX4011">
        <v>257</v>
      </c>
      <c r="CY4011">
        <v>0</v>
      </c>
      <c r="CZ4011" t="s">
        <v>615</v>
      </c>
      <c r="DA4011" t="s">
        <v>616</v>
      </c>
      <c r="DD4011">
        <v>16644468</v>
      </c>
      <c r="DE4011" t="s">
        <v>123</v>
      </c>
    </row>
    <row r="4012" spans="1:109" x14ac:dyDescent="0.3">
      <c r="A4012" t="str">
        <f>"19:41:59.641"</f>
        <v>19:41:59.641</v>
      </c>
      <c r="B4012" t="s">
        <v>110</v>
      </c>
      <c r="C4012" t="str">
        <f t="shared" si="189"/>
        <v>ffdfd3c0</v>
      </c>
      <c r="D4012" t="s">
        <v>111</v>
      </c>
      <c r="E4012">
        <v>18</v>
      </c>
      <c r="F4012">
        <v>1018</v>
      </c>
      <c r="G4012" t="s">
        <v>112</v>
      </c>
      <c r="J4012" t="s">
        <v>113</v>
      </c>
      <c r="K4012">
        <v>0</v>
      </c>
      <c r="L4012">
        <v>3</v>
      </c>
      <c r="M4012">
        <v>0</v>
      </c>
      <c r="N4012">
        <v>2</v>
      </c>
      <c r="O4012">
        <v>1</v>
      </c>
      <c r="P4012">
        <v>0</v>
      </c>
      <c r="Q4012">
        <v>0</v>
      </c>
      <c r="R4012" t="s">
        <v>114</v>
      </c>
      <c r="S4012" t="str">
        <f>"19:41:59.391"</f>
        <v>19:41:59.391</v>
      </c>
      <c r="T4012" t="str">
        <f>"19:41:59.094"</f>
        <v>19:41:59.094</v>
      </c>
      <c r="U4012" t="str">
        <f t="shared" si="187"/>
        <v>a1cdbe</v>
      </c>
      <c r="V4012">
        <v>0</v>
      </c>
      <c r="W4012">
        <v>0</v>
      </c>
      <c r="X4012">
        <v>2</v>
      </c>
      <c r="Y4012">
        <v>0</v>
      </c>
      <c r="Z4012">
        <v>0</v>
      </c>
      <c r="AB4012">
        <v>0</v>
      </c>
      <c r="AC4012">
        <v>9</v>
      </c>
      <c r="AD4012">
        <v>3</v>
      </c>
      <c r="AE4012">
        <v>0</v>
      </c>
      <c r="AF4012">
        <v>9</v>
      </c>
      <c r="AG4012" t="s">
        <v>115</v>
      </c>
      <c r="AH4012">
        <v>0</v>
      </c>
      <c r="AI4012">
        <v>0</v>
      </c>
      <c r="AJ4012">
        <v>1</v>
      </c>
      <c r="AK4012">
        <v>0</v>
      </c>
      <c r="AL4012" t="s">
        <v>7548</v>
      </c>
      <c r="AM4012">
        <v>47.061889000000001</v>
      </c>
      <c r="AN4012" t="s">
        <v>7549</v>
      </c>
      <c r="AO4012">
        <v>-123.99500399999999</v>
      </c>
      <c r="AP4012">
        <v>100</v>
      </c>
      <c r="AQ4012">
        <v>0</v>
      </c>
      <c r="AR4012" t="s">
        <v>118</v>
      </c>
      <c r="AS4012">
        <v>78</v>
      </c>
      <c r="AT4012">
        <v>13</v>
      </c>
      <c r="AU4012">
        <v>-1216</v>
      </c>
      <c r="BC4012">
        <v>1200</v>
      </c>
      <c r="BD4012">
        <v>1</v>
      </c>
      <c r="BE4012" t="str">
        <f t="shared" si="188"/>
        <v xml:space="preserve">N215T   </v>
      </c>
      <c r="BF4012">
        <v>1</v>
      </c>
      <c r="BH4012">
        <v>0</v>
      </c>
      <c r="BI4012">
        <v>0</v>
      </c>
      <c r="BJ4012">
        <v>0</v>
      </c>
      <c r="BK4012">
        <v>450</v>
      </c>
      <c r="BL4012">
        <v>450</v>
      </c>
      <c r="BM4012" t="s">
        <v>119</v>
      </c>
      <c r="BN4012">
        <v>1</v>
      </c>
      <c r="BO4012">
        <v>1</v>
      </c>
      <c r="BP4012">
        <v>1</v>
      </c>
      <c r="BQ4012">
        <v>0</v>
      </c>
      <c r="BT4012">
        <v>0</v>
      </c>
      <c r="BU4012">
        <v>0</v>
      </c>
      <c r="BV4012">
        <v>0</v>
      </c>
      <c r="CC4012" t="str">
        <f>"19:41:59.391"</f>
        <v>19:41:59.391</v>
      </c>
      <c r="CD4012" t="str">
        <f>"391118377"</f>
        <v>391118377</v>
      </c>
      <c r="CQ4012">
        <v>0</v>
      </c>
      <c r="CR4012">
        <v>2</v>
      </c>
      <c r="CS4012">
        <v>0</v>
      </c>
      <c r="CT4012">
        <v>2</v>
      </c>
      <c r="CU4012">
        <v>0</v>
      </c>
      <c r="CV4012">
        <v>6</v>
      </c>
      <c r="CW4012" t="s">
        <v>120</v>
      </c>
      <c r="CX4012">
        <v>257</v>
      </c>
      <c r="CY4012">
        <v>0</v>
      </c>
      <c r="CZ4012" t="s">
        <v>615</v>
      </c>
      <c r="DA4012" t="s">
        <v>616</v>
      </c>
      <c r="DD4012">
        <v>16644956</v>
      </c>
      <c r="DE4012" t="s">
        <v>123</v>
      </c>
    </row>
    <row r="4013" spans="1:109" x14ac:dyDescent="0.3">
      <c r="A4013" t="str">
        <f>"19:42:00.648"</f>
        <v>19:42:00.648</v>
      </c>
      <c r="B4013" t="s">
        <v>110</v>
      </c>
      <c r="C4013" t="str">
        <f t="shared" si="189"/>
        <v>ffdfd3c0</v>
      </c>
      <c r="D4013" t="s">
        <v>111</v>
      </c>
      <c r="E4013">
        <v>18</v>
      </c>
      <c r="F4013">
        <v>1018</v>
      </c>
      <c r="G4013" t="s">
        <v>112</v>
      </c>
      <c r="J4013" t="s">
        <v>113</v>
      </c>
      <c r="K4013">
        <v>0</v>
      </c>
      <c r="L4013">
        <v>3</v>
      </c>
      <c r="M4013">
        <v>0</v>
      </c>
      <c r="N4013">
        <v>2</v>
      </c>
      <c r="O4013">
        <v>1</v>
      </c>
      <c r="P4013">
        <v>0</v>
      </c>
      <c r="Q4013">
        <v>0</v>
      </c>
      <c r="R4013" t="s">
        <v>114</v>
      </c>
      <c r="S4013" t="str">
        <f>"19:42:00.406"</f>
        <v>19:42:00.406</v>
      </c>
      <c r="T4013" t="str">
        <f>"19:42:00.109"</f>
        <v>19:42:00.109</v>
      </c>
      <c r="U4013" t="str">
        <f t="shared" si="187"/>
        <v>a1cdbe</v>
      </c>
      <c r="V4013">
        <v>0</v>
      </c>
      <c r="W4013">
        <v>0</v>
      </c>
      <c r="X4013">
        <v>2</v>
      </c>
      <c r="Y4013">
        <v>0</v>
      </c>
      <c r="Z4013">
        <v>0</v>
      </c>
      <c r="AB4013">
        <v>0</v>
      </c>
      <c r="AC4013">
        <v>9</v>
      </c>
      <c r="AD4013">
        <v>3</v>
      </c>
      <c r="AE4013">
        <v>0</v>
      </c>
      <c r="AF4013">
        <v>9</v>
      </c>
      <c r="AG4013" t="s">
        <v>115</v>
      </c>
      <c r="AH4013">
        <v>0</v>
      </c>
      <c r="AI4013">
        <v>0</v>
      </c>
      <c r="AJ4013">
        <v>1</v>
      </c>
      <c r="AK4013">
        <v>0</v>
      </c>
      <c r="AL4013" t="s">
        <v>7413</v>
      </c>
      <c r="AM4013">
        <v>47.061954</v>
      </c>
      <c r="AN4013" t="s">
        <v>7550</v>
      </c>
      <c r="AO4013">
        <v>-123.994446</v>
      </c>
      <c r="AP4013">
        <v>100</v>
      </c>
      <c r="AQ4013">
        <v>0</v>
      </c>
      <c r="AR4013" t="s">
        <v>118</v>
      </c>
      <c r="AS4013">
        <v>78</v>
      </c>
      <c r="AT4013">
        <v>12</v>
      </c>
      <c r="AU4013">
        <v>-1088</v>
      </c>
      <c r="BC4013">
        <v>1200</v>
      </c>
      <c r="BD4013">
        <v>1</v>
      </c>
      <c r="BE4013" t="str">
        <f t="shared" si="188"/>
        <v xml:space="preserve">N215T   </v>
      </c>
      <c r="BF4013">
        <v>1</v>
      </c>
      <c r="BH4013">
        <v>0</v>
      </c>
      <c r="BI4013">
        <v>0</v>
      </c>
      <c r="BJ4013">
        <v>0</v>
      </c>
      <c r="BK4013">
        <v>425</v>
      </c>
      <c r="BL4013">
        <v>425</v>
      </c>
      <c r="BM4013" t="s">
        <v>119</v>
      </c>
      <c r="BN4013">
        <v>1</v>
      </c>
      <c r="BO4013">
        <v>1</v>
      </c>
      <c r="BP4013">
        <v>1</v>
      </c>
      <c r="BQ4013">
        <v>0</v>
      </c>
      <c r="BT4013">
        <v>0</v>
      </c>
      <c r="BU4013">
        <v>0</v>
      </c>
      <c r="BV4013">
        <v>0</v>
      </c>
      <c r="CC4013" t="str">
        <f>"19:42:00.414"</f>
        <v>19:42:00.414</v>
      </c>
      <c r="CD4013" t="str">
        <f>"411017846"</f>
        <v>411017846</v>
      </c>
      <c r="CQ4013">
        <v>0</v>
      </c>
      <c r="CR4013">
        <v>2</v>
      </c>
      <c r="CS4013">
        <v>0</v>
      </c>
      <c r="CT4013">
        <v>2</v>
      </c>
      <c r="CU4013">
        <v>0</v>
      </c>
      <c r="CV4013">
        <v>6</v>
      </c>
      <c r="CW4013" t="s">
        <v>120</v>
      </c>
      <c r="CX4013">
        <v>257</v>
      </c>
      <c r="CY4013">
        <v>0</v>
      </c>
      <c r="CZ4013" t="s">
        <v>615</v>
      </c>
      <c r="DA4013" t="s">
        <v>616</v>
      </c>
      <c r="DD4013">
        <v>16645287</v>
      </c>
      <c r="DE4013" t="s">
        <v>123</v>
      </c>
    </row>
    <row r="4014" spans="1:109" x14ac:dyDescent="0.3">
      <c r="A4014" t="str">
        <f>"19:42:01.703"</f>
        <v>19:42:01.703</v>
      </c>
      <c r="B4014" t="s">
        <v>110</v>
      </c>
      <c r="C4014" t="str">
        <f t="shared" si="189"/>
        <v>ffdfd3c0</v>
      </c>
      <c r="D4014" t="s">
        <v>111</v>
      </c>
      <c r="E4014">
        <v>18</v>
      </c>
      <c r="F4014">
        <v>1018</v>
      </c>
      <c r="G4014" t="s">
        <v>112</v>
      </c>
      <c r="J4014" t="s">
        <v>113</v>
      </c>
      <c r="K4014">
        <v>0</v>
      </c>
      <c r="L4014">
        <v>3</v>
      </c>
      <c r="M4014">
        <v>0</v>
      </c>
      <c r="N4014">
        <v>2</v>
      </c>
      <c r="O4014">
        <v>1</v>
      </c>
      <c r="P4014">
        <v>0</v>
      </c>
      <c r="Q4014">
        <v>0</v>
      </c>
      <c r="R4014" t="s">
        <v>114</v>
      </c>
      <c r="S4014" t="str">
        <f>"19:42:01.453"</f>
        <v>19:42:01.453</v>
      </c>
      <c r="T4014" t="str">
        <f>"19:42:01.156"</f>
        <v>19:42:01.156</v>
      </c>
      <c r="U4014" t="str">
        <f t="shared" si="187"/>
        <v>a1cdbe</v>
      </c>
      <c r="V4014">
        <v>0</v>
      </c>
      <c r="W4014">
        <v>0</v>
      </c>
      <c r="X4014">
        <v>2</v>
      </c>
      <c r="Y4014">
        <v>0</v>
      </c>
      <c r="Z4014">
        <v>0</v>
      </c>
      <c r="AB4014">
        <v>0</v>
      </c>
      <c r="AC4014">
        <v>9</v>
      </c>
      <c r="AD4014">
        <v>3</v>
      </c>
      <c r="AE4014">
        <v>0</v>
      </c>
      <c r="AF4014">
        <v>9</v>
      </c>
      <c r="AG4014" t="s">
        <v>115</v>
      </c>
      <c r="AH4014">
        <v>0</v>
      </c>
      <c r="AI4014">
        <v>0</v>
      </c>
      <c r="AJ4014">
        <v>1</v>
      </c>
      <c r="AK4014">
        <v>0</v>
      </c>
      <c r="AL4014" t="s">
        <v>7551</v>
      </c>
      <c r="AM4014">
        <v>47.061974999999997</v>
      </c>
      <c r="AN4014" t="s">
        <v>7552</v>
      </c>
      <c r="AO4014">
        <v>-123.993888</v>
      </c>
      <c r="AP4014">
        <v>100</v>
      </c>
      <c r="AQ4014">
        <v>0</v>
      </c>
      <c r="AR4014" t="s">
        <v>118</v>
      </c>
      <c r="AS4014">
        <v>78</v>
      </c>
      <c r="AT4014">
        <v>10</v>
      </c>
      <c r="AU4014">
        <v>-704</v>
      </c>
      <c r="BC4014">
        <v>1200</v>
      </c>
      <c r="BD4014">
        <v>1</v>
      </c>
      <c r="BE4014" t="str">
        <f t="shared" si="188"/>
        <v xml:space="preserve">N215T   </v>
      </c>
      <c r="BF4014">
        <v>1</v>
      </c>
      <c r="BH4014">
        <v>0</v>
      </c>
      <c r="BI4014">
        <v>0</v>
      </c>
      <c r="BJ4014">
        <v>0</v>
      </c>
      <c r="BK4014">
        <v>400</v>
      </c>
      <c r="BL4014">
        <v>400</v>
      </c>
      <c r="BM4014" t="s">
        <v>119</v>
      </c>
      <c r="BN4014">
        <v>1</v>
      </c>
      <c r="BO4014">
        <v>1</v>
      </c>
      <c r="BP4014">
        <v>1</v>
      </c>
      <c r="BQ4014">
        <v>0</v>
      </c>
      <c r="BT4014">
        <v>0</v>
      </c>
      <c r="BU4014">
        <v>0</v>
      </c>
      <c r="BV4014">
        <v>0</v>
      </c>
      <c r="CC4014" t="str">
        <f>"19:42:01.461"</f>
        <v>19:42:01.461</v>
      </c>
      <c r="CD4014" t="str">
        <f>"460914354"</f>
        <v>460914354</v>
      </c>
      <c r="CQ4014">
        <v>0</v>
      </c>
      <c r="CR4014">
        <v>2</v>
      </c>
      <c r="CS4014">
        <v>0</v>
      </c>
      <c r="CT4014">
        <v>2</v>
      </c>
      <c r="CU4014">
        <v>0</v>
      </c>
      <c r="CV4014">
        <v>6</v>
      </c>
      <c r="CW4014" t="s">
        <v>120</v>
      </c>
      <c r="CX4014">
        <v>257</v>
      </c>
      <c r="CY4014">
        <v>0</v>
      </c>
      <c r="CZ4014" t="s">
        <v>615</v>
      </c>
      <c r="DA4014" t="s">
        <v>616</v>
      </c>
      <c r="DD4014">
        <v>16645611</v>
      </c>
      <c r="DE4014" t="s">
        <v>123</v>
      </c>
    </row>
    <row r="4015" spans="1:109" x14ac:dyDescent="0.3">
      <c r="A4015" t="str">
        <f>"19:42:02.859"</f>
        <v>19:42:02.859</v>
      </c>
      <c r="B4015" t="s">
        <v>110</v>
      </c>
      <c r="C4015" t="str">
        <f t="shared" si="189"/>
        <v>ffdfd3c0</v>
      </c>
      <c r="D4015" t="s">
        <v>111</v>
      </c>
      <c r="E4015">
        <v>18</v>
      </c>
      <c r="F4015">
        <v>1018</v>
      </c>
      <c r="G4015" t="s">
        <v>112</v>
      </c>
      <c r="J4015" t="s">
        <v>113</v>
      </c>
      <c r="K4015">
        <v>0</v>
      </c>
      <c r="L4015">
        <v>3</v>
      </c>
      <c r="M4015">
        <v>0</v>
      </c>
      <c r="N4015">
        <v>2</v>
      </c>
      <c r="O4015">
        <v>1</v>
      </c>
      <c r="P4015">
        <v>0</v>
      </c>
      <c r="Q4015">
        <v>0</v>
      </c>
      <c r="R4015" t="s">
        <v>114</v>
      </c>
      <c r="S4015" t="str">
        <f>"19:42:02.578"</f>
        <v>19:42:02.578</v>
      </c>
      <c r="T4015" t="str">
        <f>"19:42:02.078"</f>
        <v>19:42:02.078</v>
      </c>
      <c r="U4015" t="str">
        <f t="shared" si="187"/>
        <v>a1cdbe</v>
      </c>
      <c r="V4015">
        <v>0</v>
      </c>
      <c r="W4015">
        <v>0</v>
      </c>
      <c r="X4015">
        <v>2</v>
      </c>
      <c r="Y4015">
        <v>0</v>
      </c>
      <c r="Z4015">
        <v>0</v>
      </c>
      <c r="AB4015">
        <v>0</v>
      </c>
      <c r="AC4015">
        <v>9</v>
      </c>
      <c r="AD4015">
        <v>3</v>
      </c>
      <c r="AE4015">
        <v>0</v>
      </c>
      <c r="AF4015">
        <v>9</v>
      </c>
      <c r="AG4015" t="s">
        <v>115</v>
      </c>
      <c r="AH4015">
        <v>0</v>
      </c>
      <c r="AI4015">
        <v>0</v>
      </c>
      <c r="AJ4015">
        <v>1</v>
      </c>
      <c r="AK4015">
        <v>0</v>
      </c>
      <c r="AL4015" t="s">
        <v>498</v>
      </c>
      <c r="AM4015">
        <v>47.062038999999999</v>
      </c>
      <c r="AN4015" t="s">
        <v>7553</v>
      </c>
      <c r="AO4015">
        <v>-123.993309</v>
      </c>
      <c r="AP4015">
        <v>100</v>
      </c>
      <c r="AQ4015">
        <v>0</v>
      </c>
      <c r="AR4015" t="s">
        <v>118</v>
      </c>
      <c r="AS4015">
        <v>78</v>
      </c>
      <c r="AT4015">
        <v>9</v>
      </c>
      <c r="AU4015">
        <v>-576</v>
      </c>
      <c r="BC4015">
        <v>1200</v>
      </c>
      <c r="BD4015">
        <v>1</v>
      </c>
      <c r="BE4015" t="str">
        <f t="shared" si="188"/>
        <v xml:space="preserve">N215T   </v>
      </c>
      <c r="BF4015">
        <v>1</v>
      </c>
      <c r="BH4015">
        <v>0</v>
      </c>
      <c r="BI4015">
        <v>0</v>
      </c>
      <c r="BJ4015">
        <v>0</v>
      </c>
      <c r="BK4015">
        <v>400</v>
      </c>
      <c r="BL4015">
        <v>400</v>
      </c>
      <c r="BM4015" t="s">
        <v>119</v>
      </c>
      <c r="BN4015">
        <v>1</v>
      </c>
      <c r="BO4015">
        <v>1</v>
      </c>
      <c r="BP4015">
        <v>1</v>
      </c>
      <c r="BQ4015">
        <v>0</v>
      </c>
      <c r="BT4015">
        <v>0</v>
      </c>
      <c r="BU4015">
        <v>0</v>
      </c>
      <c r="BV4015">
        <v>0</v>
      </c>
      <c r="CC4015" t="str">
        <f>"19:42:02.586"</f>
        <v>19:42:02.586</v>
      </c>
      <c r="CD4015" t="str">
        <f>"585803468"</f>
        <v>585803468</v>
      </c>
      <c r="CQ4015">
        <v>0</v>
      </c>
      <c r="CR4015">
        <v>2</v>
      </c>
      <c r="CS4015">
        <v>0</v>
      </c>
      <c r="CT4015">
        <v>2</v>
      </c>
      <c r="CU4015">
        <v>0</v>
      </c>
      <c r="CV4015">
        <v>6</v>
      </c>
      <c r="CW4015" t="s">
        <v>120</v>
      </c>
      <c r="CX4015">
        <v>257</v>
      </c>
      <c r="CY4015">
        <v>0</v>
      </c>
      <c r="CZ4015" t="s">
        <v>615</v>
      </c>
      <c r="DA4015" t="s">
        <v>616</v>
      </c>
      <c r="DD4015">
        <v>16645973</v>
      </c>
      <c r="DE4015" t="s">
        <v>123</v>
      </c>
    </row>
    <row r="4016" spans="1:109" x14ac:dyDescent="0.3">
      <c r="A4016" t="str">
        <f>"19:42:03.766"</f>
        <v>19:42:03.766</v>
      </c>
      <c r="B4016" t="s">
        <v>110</v>
      </c>
      <c r="C4016" t="str">
        <f t="shared" si="189"/>
        <v>ffdfd3c0</v>
      </c>
      <c r="D4016" t="s">
        <v>111</v>
      </c>
      <c r="E4016">
        <v>18</v>
      </c>
      <c r="F4016">
        <v>1018</v>
      </c>
      <c r="G4016" t="s">
        <v>112</v>
      </c>
      <c r="J4016" t="s">
        <v>113</v>
      </c>
      <c r="K4016">
        <v>0</v>
      </c>
      <c r="L4016">
        <v>3</v>
      </c>
      <c r="M4016">
        <v>0</v>
      </c>
      <c r="N4016">
        <v>2</v>
      </c>
      <c r="O4016">
        <v>1</v>
      </c>
      <c r="P4016">
        <v>0</v>
      </c>
      <c r="Q4016">
        <v>0</v>
      </c>
      <c r="R4016" t="s">
        <v>114</v>
      </c>
      <c r="S4016" t="str">
        <f>"19:42:03.500"</f>
        <v>19:42:03.500</v>
      </c>
      <c r="T4016" t="str">
        <f>"19:42:03.203"</f>
        <v>19:42:03.203</v>
      </c>
      <c r="U4016" t="str">
        <f t="shared" si="187"/>
        <v>a1cdbe</v>
      </c>
      <c r="V4016">
        <v>0</v>
      </c>
      <c r="W4016">
        <v>0</v>
      </c>
      <c r="X4016">
        <v>2</v>
      </c>
      <c r="Y4016">
        <v>0</v>
      </c>
      <c r="Z4016">
        <v>0</v>
      </c>
      <c r="AB4016">
        <v>0</v>
      </c>
      <c r="AC4016">
        <v>9</v>
      </c>
      <c r="AD4016">
        <v>3</v>
      </c>
      <c r="AE4016">
        <v>0</v>
      </c>
      <c r="AF4016">
        <v>9</v>
      </c>
      <c r="AG4016" t="s">
        <v>115</v>
      </c>
      <c r="AH4016">
        <v>0</v>
      </c>
      <c r="AI4016">
        <v>0</v>
      </c>
      <c r="AJ4016">
        <v>1</v>
      </c>
      <c r="AK4016">
        <v>0</v>
      </c>
      <c r="AL4016" t="s">
        <v>7416</v>
      </c>
      <c r="AM4016">
        <v>47.062081999999997</v>
      </c>
      <c r="AN4016" t="s">
        <v>7554</v>
      </c>
      <c r="AO4016">
        <v>-123.992836</v>
      </c>
      <c r="AP4016">
        <v>100</v>
      </c>
      <c r="AQ4016">
        <v>0</v>
      </c>
      <c r="AR4016" t="s">
        <v>118</v>
      </c>
      <c r="AS4016">
        <v>77</v>
      </c>
      <c r="AT4016">
        <v>5</v>
      </c>
      <c r="AU4016">
        <v>-512</v>
      </c>
      <c r="BC4016">
        <v>1200</v>
      </c>
      <c r="BD4016">
        <v>1</v>
      </c>
      <c r="BE4016" t="str">
        <f t="shared" si="188"/>
        <v xml:space="preserve">N215T   </v>
      </c>
      <c r="BF4016">
        <v>1</v>
      </c>
      <c r="BH4016">
        <v>0</v>
      </c>
      <c r="BI4016">
        <v>0</v>
      </c>
      <c r="BJ4016">
        <v>0</v>
      </c>
      <c r="BK4016">
        <v>375</v>
      </c>
      <c r="BL4016">
        <v>375</v>
      </c>
      <c r="BM4016" t="s">
        <v>119</v>
      </c>
      <c r="BN4016">
        <v>1</v>
      </c>
      <c r="BO4016">
        <v>1</v>
      </c>
      <c r="BP4016">
        <v>1</v>
      </c>
      <c r="BQ4016">
        <v>0</v>
      </c>
      <c r="BT4016">
        <v>0</v>
      </c>
      <c r="BU4016">
        <v>0</v>
      </c>
      <c r="BV4016">
        <v>0</v>
      </c>
      <c r="CC4016" t="str">
        <f>"19:42:03.500"</f>
        <v>19:42:03.500</v>
      </c>
      <c r="CD4016" t="str">
        <f>"500713285"</f>
        <v>500713285</v>
      </c>
      <c r="CQ4016">
        <v>0</v>
      </c>
      <c r="CR4016">
        <v>2</v>
      </c>
      <c r="CS4016">
        <v>0</v>
      </c>
      <c r="CT4016">
        <v>2</v>
      </c>
      <c r="CU4016">
        <v>0</v>
      </c>
      <c r="CV4016">
        <v>6</v>
      </c>
      <c r="CW4016" t="s">
        <v>120</v>
      </c>
      <c r="CX4016">
        <v>257</v>
      </c>
      <c r="CY4016">
        <v>0</v>
      </c>
      <c r="CZ4016" t="s">
        <v>615</v>
      </c>
      <c r="DA4016" t="s">
        <v>616</v>
      </c>
      <c r="DD4016">
        <v>16646248</v>
      </c>
      <c r="DE4016" t="s">
        <v>123</v>
      </c>
    </row>
    <row r="4017" spans="1:109" x14ac:dyDescent="0.3">
      <c r="A4017" t="str">
        <f>"19:42:04.664"</f>
        <v>19:42:04.664</v>
      </c>
      <c r="B4017" t="s">
        <v>110</v>
      </c>
      <c r="C4017" t="str">
        <f t="shared" si="189"/>
        <v>ffdfd3c0</v>
      </c>
      <c r="D4017" t="s">
        <v>111</v>
      </c>
      <c r="E4017">
        <v>18</v>
      </c>
      <c r="F4017">
        <v>1018</v>
      </c>
      <c r="G4017" t="s">
        <v>112</v>
      </c>
      <c r="J4017" t="s">
        <v>113</v>
      </c>
      <c r="K4017">
        <v>0</v>
      </c>
      <c r="L4017">
        <v>3</v>
      </c>
      <c r="M4017">
        <v>0</v>
      </c>
      <c r="N4017">
        <v>2</v>
      </c>
      <c r="O4017">
        <v>1</v>
      </c>
      <c r="P4017">
        <v>0</v>
      </c>
      <c r="Q4017">
        <v>0</v>
      </c>
      <c r="R4017" t="s">
        <v>114</v>
      </c>
      <c r="S4017" t="str">
        <f>"19:42:04.453"</f>
        <v>19:42:04.453</v>
      </c>
      <c r="T4017" t="str">
        <f>"19:42:04.055"</f>
        <v>19:42:04.055</v>
      </c>
      <c r="U4017" t="str">
        <f t="shared" si="187"/>
        <v>a1cdbe</v>
      </c>
      <c r="V4017">
        <v>0</v>
      </c>
      <c r="W4017">
        <v>0</v>
      </c>
      <c r="X4017">
        <v>2</v>
      </c>
      <c r="Y4017">
        <v>0</v>
      </c>
      <c r="Z4017">
        <v>0</v>
      </c>
      <c r="AB4017">
        <v>0</v>
      </c>
      <c r="AC4017">
        <v>9</v>
      </c>
      <c r="AD4017">
        <v>3</v>
      </c>
      <c r="AE4017">
        <v>0</v>
      </c>
      <c r="AF4017">
        <v>9</v>
      </c>
      <c r="AG4017" t="s">
        <v>115</v>
      </c>
      <c r="AH4017">
        <v>0</v>
      </c>
      <c r="AI4017">
        <v>0</v>
      </c>
      <c r="AJ4017">
        <v>1</v>
      </c>
      <c r="AK4017">
        <v>0</v>
      </c>
      <c r="AL4017" t="s">
        <v>7416</v>
      </c>
      <c r="AM4017">
        <v>47.062081999999997</v>
      </c>
      <c r="AN4017" t="s">
        <v>7555</v>
      </c>
      <c r="AO4017">
        <v>-123.992321</v>
      </c>
      <c r="AP4017">
        <v>100</v>
      </c>
      <c r="AQ4017">
        <v>0</v>
      </c>
      <c r="AR4017" t="s">
        <v>118</v>
      </c>
      <c r="AS4017">
        <v>76</v>
      </c>
      <c r="AT4017">
        <v>3</v>
      </c>
      <c r="AU4017">
        <v>-448</v>
      </c>
      <c r="BC4017">
        <v>1200</v>
      </c>
      <c r="BD4017">
        <v>1</v>
      </c>
      <c r="BE4017" t="str">
        <f t="shared" si="188"/>
        <v xml:space="preserve">N215T   </v>
      </c>
      <c r="BF4017">
        <v>1</v>
      </c>
      <c r="BH4017">
        <v>0</v>
      </c>
      <c r="BI4017">
        <v>0</v>
      </c>
      <c r="BJ4017">
        <v>0</v>
      </c>
      <c r="BK4017">
        <v>375</v>
      </c>
      <c r="BL4017">
        <v>375</v>
      </c>
      <c r="BM4017" t="s">
        <v>119</v>
      </c>
      <c r="BN4017">
        <v>1</v>
      </c>
      <c r="BO4017">
        <v>1</v>
      </c>
      <c r="BP4017">
        <v>1</v>
      </c>
      <c r="BQ4017">
        <v>0</v>
      </c>
      <c r="BT4017">
        <v>0</v>
      </c>
      <c r="BU4017">
        <v>0</v>
      </c>
      <c r="BV4017">
        <v>0</v>
      </c>
      <c r="CC4017" t="str">
        <f>"19:42:04.461"</f>
        <v>19:42:04.461</v>
      </c>
      <c r="CD4017" t="str">
        <f>"460618654"</f>
        <v>460618654</v>
      </c>
      <c r="CQ4017">
        <v>0</v>
      </c>
      <c r="CR4017">
        <v>2</v>
      </c>
      <c r="CS4017">
        <v>0</v>
      </c>
      <c r="CT4017">
        <v>2</v>
      </c>
      <c r="CU4017">
        <v>0</v>
      </c>
      <c r="CV4017">
        <v>6</v>
      </c>
      <c r="CW4017" t="s">
        <v>120</v>
      </c>
      <c r="CX4017">
        <v>257</v>
      </c>
      <c r="CY4017">
        <v>0</v>
      </c>
      <c r="CZ4017" t="s">
        <v>615</v>
      </c>
      <c r="DA4017" t="s">
        <v>616</v>
      </c>
      <c r="DD4017">
        <v>16646521</v>
      </c>
      <c r="DE4017" t="s">
        <v>123</v>
      </c>
    </row>
    <row r="4018" spans="1:109" x14ac:dyDescent="0.3">
      <c r="A4018" t="str">
        <f>"19:42:05.719"</f>
        <v>19:42:05.719</v>
      </c>
      <c r="B4018" t="s">
        <v>110</v>
      </c>
      <c r="C4018" t="str">
        <f t="shared" si="189"/>
        <v>ffdfd3c0</v>
      </c>
      <c r="D4018" t="s">
        <v>111</v>
      </c>
      <c r="E4018">
        <v>18</v>
      </c>
      <c r="F4018">
        <v>1018</v>
      </c>
      <c r="G4018" t="s">
        <v>112</v>
      </c>
      <c r="J4018" t="s">
        <v>113</v>
      </c>
      <c r="K4018">
        <v>0</v>
      </c>
      <c r="L4018">
        <v>3</v>
      </c>
      <c r="M4018">
        <v>0</v>
      </c>
      <c r="N4018">
        <v>2</v>
      </c>
      <c r="O4018">
        <v>1</v>
      </c>
      <c r="P4018">
        <v>0</v>
      </c>
      <c r="Q4018">
        <v>0</v>
      </c>
      <c r="R4018" t="s">
        <v>114</v>
      </c>
      <c r="S4018" t="str">
        <f>"19:42:05.477"</f>
        <v>19:42:05.477</v>
      </c>
      <c r="T4018" t="str">
        <f>"19:42:05.078"</f>
        <v>19:42:05.078</v>
      </c>
      <c r="U4018" t="str">
        <f t="shared" si="187"/>
        <v>a1cdbe</v>
      </c>
      <c r="V4018">
        <v>0</v>
      </c>
      <c r="W4018">
        <v>0</v>
      </c>
      <c r="X4018">
        <v>2</v>
      </c>
      <c r="Y4018">
        <v>0</v>
      </c>
      <c r="Z4018">
        <v>0</v>
      </c>
      <c r="AB4018">
        <v>0</v>
      </c>
      <c r="AC4018">
        <v>9</v>
      </c>
      <c r="AD4018">
        <v>3</v>
      </c>
      <c r="AE4018">
        <v>0</v>
      </c>
      <c r="AF4018">
        <v>9</v>
      </c>
      <c r="AG4018" t="s">
        <v>115</v>
      </c>
      <c r="AH4018">
        <v>0</v>
      </c>
      <c r="AI4018">
        <v>0</v>
      </c>
      <c r="AJ4018">
        <v>1</v>
      </c>
      <c r="AK4018">
        <v>0</v>
      </c>
      <c r="AL4018" t="s">
        <v>7416</v>
      </c>
      <c r="AM4018">
        <v>47.062081999999997</v>
      </c>
      <c r="AN4018" t="s">
        <v>7556</v>
      </c>
      <c r="AO4018">
        <v>-123.991849</v>
      </c>
      <c r="AP4018">
        <v>100</v>
      </c>
      <c r="AQ4018">
        <v>0</v>
      </c>
      <c r="AR4018" t="s">
        <v>118</v>
      </c>
      <c r="AS4018">
        <v>74</v>
      </c>
      <c r="AT4018">
        <v>2</v>
      </c>
      <c r="AU4018">
        <v>-448</v>
      </c>
      <c r="BC4018">
        <v>1200</v>
      </c>
      <c r="BD4018">
        <v>1</v>
      </c>
      <c r="BE4018" t="str">
        <f t="shared" si="188"/>
        <v xml:space="preserve">N215T   </v>
      </c>
      <c r="BF4018">
        <v>1</v>
      </c>
      <c r="BH4018">
        <v>0</v>
      </c>
      <c r="BI4018">
        <v>0</v>
      </c>
      <c r="BJ4018">
        <v>0</v>
      </c>
      <c r="BK4018">
        <v>375</v>
      </c>
      <c r="BL4018">
        <v>375</v>
      </c>
      <c r="BM4018" t="s">
        <v>119</v>
      </c>
      <c r="BN4018">
        <v>1</v>
      </c>
      <c r="BO4018">
        <v>1</v>
      </c>
      <c r="BP4018">
        <v>1</v>
      </c>
      <c r="BQ4018">
        <v>0</v>
      </c>
      <c r="BT4018">
        <v>0</v>
      </c>
      <c r="BU4018">
        <v>0</v>
      </c>
      <c r="BV4018">
        <v>0</v>
      </c>
      <c r="CC4018" t="str">
        <f>"19:42:05.484"</f>
        <v>19:42:05.484</v>
      </c>
      <c r="CD4018" t="str">
        <f>"480518109"</f>
        <v>480518109</v>
      </c>
      <c r="CQ4018">
        <v>0</v>
      </c>
      <c r="CR4018">
        <v>2</v>
      </c>
      <c r="CS4018">
        <v>0</v>
      </c>
      <c r="CT4018">
        <v>2</v>
      </c>
      <c r="CU4018">
        <v>0</v>
      </c>
      <c r="CV4018">
        <v>6</v>
      </c>
      <c r="CW4018" t="s">
        <v>120</v>
      </c>
      <c r="CX4018">
        <v>257</v>
      </c>
      <c r="CY4018">
        <v>0</v>
      </c>
      <c r="CZ4018" t="s">
        <v>615</v>
      </c>
      <c r="DA4018" t="s">
        <v>616</v>
      </c>
      <c r="DD4018">
        <v>16646802</v>
      </c>
      <c r="DE4018" t="s">
        <v>123</v>
      </c>
    </row>
    <row r="4019" spans="1:109" x14ac:dyDescent="0.3">
      <c r="A4019" t="str">
        <f>"19:42:06.781"</f>
        <v>19:42:06.781</v>
      </c>
      <c r="B4019" t="s">
        <v>110</v>
      </c>
      <c r="C4019" t="str">
        <f t="shared" si="189"/>
        <v>ffdfd3c0</v>
      </c>
      <c r="D4019" t="s">
        <v>111</v>
      </c>
      <c r="E4019">
        <v>18</v>
      </c>
      <c r="F4019">
        <v>1018</v>
      </c>
      <c r="G4019" t="s">
        <v>112</v>
      </c>
      <c r="J4019" t="s">
        <v>113</v>
      </c>
      <c r="K4019">
        <v>0</v>
      </c>
      <c r="L4019">
        <v>3</v>
      </c>
      <c r="M4019">
        <v>0</v>
      </c>
      <c r="N4019">
        <v>2</v>
      </c>
      <c r="O4019">
        <v>1</v>
      </c>
      <c r="P4019">
        <v>0</v>
      </c>
      <c r="Q4019">
        <v>0</v>
      </c>
      <c r="R4019" t="s">
        <v>114</v>
      </c>
      <c r="S4019" t="str">
        <f>"19:42:06.570"</f>
        <v>19:42:06.570</v>
      </c>
      <c r="T4019" t="str">
        <f>"19:42:06.070"</f>
        <v>19:42:06.070</v>
      </c>
      <c r="U4019" t="str">
        <f t="shared" si="187"/>
        <v>a1cdbe</v>
      </c>
      <c r="V4019">
        <v>0</v>
      </c>
      <c r="W4019">
        <v>0</v>
      </c>
      <c r="X4019">
        <v>2</v>
      </c>
      <c r="Y4019">
        <v>0</v>
      </c>
      <c r="Z4019">
        <v>0</v>
      </c>
      <c r="AB4019">
        <v>0</v>
      </c>
      <c r="AC4019">
        <v>9</v>
      </c>
      <c r="AD4019">
        <v>3</v>
      </c>
      <c r="AE4019">
        <v>0</v>
      </c>
      <c r="AF4019">
        <v>9</v>
      </c>
      <c r="AG4019" t="s">
        <v>115</v>
      </c>
      <c r="AH4019">
        <v>0</v>
      </c>
      <c r="AI4019">
        <v>0</v>
      </c>
      <c r="AJ4019">
        <v>1</v>
      </c>
      <c r="AK4019">
        <v>0</v>
      </c>
      <c r="AL4019" t="s">
        <v>7416</v>
      </c>
      <c r="AM4019">
        <v>47.062081999999997</v>
      </c>
      <c r="AN4019" t="s">
        <v>7557</v>
      </c>
      <c r="AO4019">
        <v>-123.99127</v>
      </c>
      <c r="AP4019">
        <v>100</v>
      </c>
      <c r="AQ4019">
        <v>0</v>
      </c>
      <c r="AR4019" t="s">
        <v>118</v>
      </c>
      <c r="AS4019">
        <v>73</v>
      </c>
      <c r="AT4019">
        <v>1</v>
      </c>
      <c r="AU4019">
        <v>-384</v>
      </c>
      <c r="BC4019">
        <v>1200</v>
      </c>
      <c r="BD4019">
        <v>1</v>
      </c>
      <c r="BE4019" t="str">
        <f t="shared" si="188"/>
        <v xml:space="preserve">N215T   </v>
      </c>
      <c r="BF4019">
        <v>1</v>
      </c>
      <c r="BH4019">
        <v>0</v>
      </c>
      <c r="BI4019">
        <v>0</v>
      </c>
      <c r="BJ4019">
        <v>0</v>
      </c>
      <c r="BK4019">
        <v>375</v>
      </c>
      <c r="BL4019">
        <v>375</v>
      </c>
      <c r="BM4019" t="s">
        <v>119</v>
      </c>
      <c r="BN4019">
        <v>1</v>
      </c>
      <c r="BO4019">
        <v>1</v>
      </c>
      <c r="BP4019">
        <v>1</v>
      </c>
      <c r="BQ4019">
        <v>0</v>
      </c>
      <c r="BT4019">
        <v>0</v>
      </c>
      <c r="BU4019">
        <v>0</v>
      </c>
      <c r="BV4019">
        <v>0</v>
      </c>
      <c r="CC4019" t="str">
        <f>"19:42:06.578"</f>
        <v>19:42:06.578</v>
      </c>
      <c r="CD4019" t="str">
        <f>"575410168"</f>
        <v>575410168</v>
      </c>
      <c r="CQ4019">
        <v>0</v>
      </c>
      <c r="CR4019">
        <v>2</v>
      </c>
      <c r="CS4019">
        <v>0</v>
      </c>
      <c r="CT4019">
        <v>2</v>
      </c>
      <c r="CU4019">
        <v>0</v>
      </c>
      <c r="CV4019">
        <v>6</v>
      </c>
      <c r="CW4019" t="s">
        <v>120</v>
      </c>
      <c r="CX4019">
        <v>257</v>
      </c>
      <c r="CY4019">
        <v>0</v>
      </c>
      <c r="CZ4019" t="s">
        <v>615</v>
      </c>
      <c r="DA4019" t="s">
        <v>616</v>
      </c>
      <c r="DD4019">
        <v>16647135</v>
      </c>
      <c r="DE4019" t="s">
        <v>123</v>
      </c>
    </row>
    <row r="4020" spans="1:109" x14ac:dyDescent="0.3">
      <c r="A4020" t="str">
        <f>"19:42:07.938"</f>
        <v>19:42:07.938</v>
      </c>
      <c r="B4020" t="s">
        <v>110</v>
      </c>
      <c r="C4020" t="str">
        <f t="shared" si="189"/>
        <v>ffdfd3c0</v>
      </c>
      <c r="D4020" t="s">
        <v>111</v>
      </c>
      <c r="E4020">
        <v>18</v>
      </c>
      <c r="F4020">
        <v>1018</v>
      </c>
      <c r="G4020" t="s">
        <v>112</v>
      </c>
      <c r="J4020" t="s">
        <v>113</v>
      </c>
      <c r="K4020">
        <v>0</v>
      </c>
      <c r="L4020">
        <v>3</v>
      </c>
      <c r="M4020">
        <v>0</v>
      </c>
      <c r="N4020">
        <v>2</v>
      </c>
      <c r="O4020">
        <v>1</v>
      </c>
      <c r="P4020">
        <v>0</v>
      </c>
      <c r="Q4020">
        <v>0</v>
      </c>
      <c r="R4020" t="s">
        <v>114</v>
      </c>
      <c r="S4020" t="str">
        <f>"19:42:07.727"</f>
        <v>19:42:07.727</v>
      </c>
      <c r="T4020" t="str">
        <f>"19:42:07.523"</f>
        <v>19:42:07.523</v>
      </c>
      <c r="U4020" t="str">
        <f t="shared" si="187"/>
        <v>a1cdbe</v>
      </c>
      <c r="V4020">
        <v>0</v>
      </c>
      <c r="W4020">
        <v>0</v>
      </c>
      <c r="X4020">
        <v>2</v>
      </c>
      <c r="Y4020">
        <v>0</v>
      </c>
      <c r="Z4020">
        <v>0</v>
      </c>
      <c r="AB4020">
        <v>0</v>
      </c>
      <c r="AC4020">
        <v>9</v>
      </c>
      <c r="AD4020">
        <v>3</v>
      </c>
      <c r="AE4020">
        <v>0</v>
      </c>
      <c r="AF4020">
        <v>9</v>
      </c>
      <c r="AG4020" t="s">
        <v>115</v>
      </c>
      <c r="AH4020">
        <v>0</v>
      </c>
      <c r="AI4020">
        <v>0</v>
      </c>
      <c r="AJ4020">
        <v>1</v>
      </c>
      <c r="AK4020">
        <v>0</v>
      </c>
      <c r="AL4020" t="s">
        <v>7416</v>
      </c>
      <c r="AM4020">
        <v>47.062081999999997</v>
      </c>
      <c r="AN4020" t="s">
        <v>7558</v>
      </c>
      <c r="AO4020">
        <v>-123.990734</v>
      </c>
      <c r="AP4020">
        <v>100</v>
      </c>
      <c r="AQ4020">
        <v>0</v>
      </c>
      <c r="AR4020" t="s">
        <v>118</v>
      </c>
      <c r="AS4020">
        <v>72</v>
      </c>
      <c r="AT4020">
        <v>-1</v>
      </c>
      <c r="AU4020">
        <v>-512</v>
      </c>
      <c r="BC4020">
        <v>1200</v>
      </c>
      <c r="BD4020">
        <v>1</v>
      </c>
      <c r="BE4020" t="str">
        <f t="shared" si="188"/>
        <v xml:space="preserve">N215T   </v>
      </c>
      <c r="BF4020">
        <v>1</v>
      </c>
      <c r="BH4020">
        <v>0</v>
      </c>
      <c r="BI4020">
        <v>0</v>
      </c>
      <c r="BJ4020">
        <v>0</v>
      </c>
      <c r="BK4020">
        <v>350</v>
      </c>
      <c r="BL4020">
        <v>350</v>
      </c>
      <c r="BM4020" t="s">
        <v>119</v>
      </c>
      <c r="BN4020">
        <v>1</v>
      </c>
      <c r="BO4020">
        <v>1</v>
      </c>
      <c r="BP4020">
        <v>1</v>
      </c>
      <c r="BQ4020">
        <v>0</v>
      </c>
      <c r="BT4020">
        <v>0</v>
      </c>
      <c r="BU4020">
        <v>0</v>
      </c>
      <c r="BV4020">
        <v>0</v>
      </c>
      <c r="CC4020" t="str">
        <f>"19:42:07.727"</f>
        <v>19:42:07.727</v>
      </c>
      <c r="CD4020" t="str">
        <f>"730296310"</f>
        <v>730296310</v>
      </c>
      <c r="CQ4020">
        <v>0</v>
      </c>
      <c r="CR4020">
        <v>2</v>
      </c>
      <c r="CS4020">
        <v>0</v>
      </c>
      <c r="CT4020">
        <v>2</v>
      </c>
      <c r="CU4020">
        <v>0</v>
      </c>
      <c r="CV4020">
        <v>6</v>
      </c>
      <c r="CW4020" t="s">
        <v>120</v>
      </c>
      <c r="CX4020">
        <v>257</v>
      </c>
      <c r="CY4020">
        <v>0</v>
      </c>
      <c r="CZ4020" t="s">
        <v>615</v>
      </c>
      <c r="DA4020" t="s">
        <v>616</v>
      </c>
      <c r="DD4020">
        <v>16647465</v>
      </c>
      <c r="DE4020" t="s">
        <v>123</v>
      </c>
    </row>
    <row r="4021" spans="1:109" x14ac:dyDescent="0.3">
      <c r="A4021" t="str">
        <f>"19:42:08.938"</f>
        <v>19:42:08.938</v>
      </c>
      <c r="B4021" t="s">
        <v>110</v>
      </c>
      <c r="C4021" t="str">
        <f t="shared" si="189"/>
        <v>ffdfd3c0</v>
      </c>
      <c r="D4021" t="s">
        <v>111</v>
      </c>
      <c r="E4021">
        <v>18</v>
      </c>
      <c r="F4021">
        <v>1018</v>
      </c>
      <c r="G4021" t="s">
        <v>112</v>
      </c>
      <c r="J4021" t="s">
        <v>113</v>
      </c>
      <c r="K4021">
        <v>0</v>
      </c>
      <c r="L4021">
        <v>3</v>
      </c>
      <c r="M4021">
        <v>0</v>
      </c>
      <c r="N4021">
        <v>2</v>
      </c>
      <c r="O4021">
        <v>1</v>
      </c>
      <c r="P4021">
        <v>0</v>
      </c>
      <c r="Q4021">
        <v>0</v>
      </c>
      <c r="R4021" t="s">
        <v>114</v>
      </c>
      <c r="S4021" t="str">
        <f>"19:42:08.656"</f>
        <v>19:42:08.656</v>
      </c>
      <c r="T4021" t="str">
        <f>"19:42:08.555"</f>
        <v>19:42:08.555</v>
      </c>
      <c r="U4021" t="str">
        <f t="shared" si="187"/>
        <v>a1cdbe</v>
      </c>
      <c r="V4021">
        <v>0</v>
      </c>
      <c r="W4021">
        <v>0</v>
      </c>
      <c r="X4021">
        <v>2</v>
      </c>
      <c r="Y4021">
        <v>0</v>
      </c>
      <c r="Z4021">
        <v>0</v>
      </c>
      <c r="AB4021">
        <v>0</v>
      </c>
      <c r="AC4021">
        <v>9</v>
      </c>
      <c r="AD4021">
        <v>3</v>
      </c>
      <c r="AE4021">
        <v>0</v>
      </c>
      <c r="AF4021">
        <v>9</v>
      </c>
      <c r="AG4021" t="s">
        <v>115</v>
      </c>
      <c r="AH4021">
        <v>0</v>
      </c>
      <c r="AI4021">
        <v>0</v>
      </c>
      <c r="AJ4021">
        <v>1</v>
      </c>
      <c r="AK4021">
        <v>0</v>
      </c>
      <c r="AL4021" t="s">
        <v>7416</v>
      </c>
      <c r="AM4021">
        <v>47.062081999999997</v>
      </c>
      <c r="AN4021" t="s">
        <v>7559</v>
      </c>
      <c r="AO4021">
        <v>-123.99028300000001</v>
      </c>
      <c r="AP4021">
        <v>100</v>
      </c>
      <c r="AQ4021">
        <v>-100</v>
      </c>
      <c r="AR4021" t="s">
        <v>118</v>
      </c>
      <c r="AS4021">
        <v>71</v>
      </c>
      <c r="AT4021">
        <v>-2</v>
      </c>
      <c r="AU4021">
        <v>-512</v>
      </c>
      <c r="BC4021">
        <v>1200</v>
      </c>
      <c r="BD4021">
        <v>1</v>
      </c>
      <c r="BE4021" t="str">
        <f t="shared" si="188"/>
        <v xml:space="preserve">N215T   </v>
      </c>
      <c r="BF4021">
        <v>1</v>
      </c>
      <c r="BH4021">
        <v>0</v>
      </c>
      <c r="BI4021">
        <v>0</v>
      </c>
      <c r="BJ4021">
        <v>0</v>
      </c>
      <c r="BK4021">
        <v>350</v>
      </c>
      <c r="BL4021">
        <v>450</v>
      </c>
      <c r="BM4021" t="s">
        <v>119</v>
      </c>
      <c r="BN4021">
        <v>1</v>
      </c>
      <c r="BO4021">
        <v>1</v>
      </c>
      <c r="BP4021">
        <v>1</v>
      </c>
      <c r="BQ4021">
        <v>0</v>
      </c>
      <c r="BT4021">
        <v>0</v>
      </c>
      <c r="BU4021">
        <v>0</v>
      </c>
      <c r="BV4021">
        <v>0</v>
      </c>
      <c r="CC4021" t="str">
        <f>"19:42:08.664"</f>
        <v>19:42:08.664</v>
      </c>
      <c r="CD4021" t="str">
        <f>"660204637"</f>
        <v>660204637</v>
      </c>
      <c r="CQ4021">
        <v>0</v>
      </c>
      <c r="CR4021">
        <v>2</v>
      </c>
      <c r="CS4021">
        <v>0</v>
      </c>
      <c r="CT4021">
        <v>2</v>
      </c>
      <c r="CU4021">
        <v>0</v>
      </c>
      <c r="CV4021">
        <v>7</v>
      </c>
      <c r="CW4021" t="s">
        <v>120</v>
      </c>
      <c r="CX4021">
        <v>257</v>
      </c>
      <c r="CY4021">
        <v>0</v>
      </c>
      <c r="CZ4021" t="s">
        <v>615</v>
      </c>
      <c r="DA4021" t="s">
        <v>616</v>
      </c>
      <c r="DD4021">
        <v>16647755</v>
      </c>
      <c r="DE4021" t="s">
        <v>123</v>
      </c>
    </row>
    <row r="4022" spans="1:109" x14ac:dyDescent="0.3">
      <c r="A4022" t="str">
        <f>"19:42:09.742"</f>
        <v>19:42:09.742</v>
      </c>
      <c r="B4022" t="s">
        <v>110</v>
      </c>
      <c r="C4022" t="str">
        <f t="shared" si="189"/>
        <v>ffdfd3c0</v>
      </c>
      <c r="D4022" t="s">
        <v>111</v>
      </c>
      <c r="E4022">
        <v>18</v>
      </c>
      <c r="F4022">
        <v>1018</v>
      </c>
      <c r="G4022" t="s">
        <v>112</v>
      </c>
      <c r="J4022" t="s">
        <v>113</v>
      </c>
      <c r="K4022">
        <v>0</v>
      </c>
      <c r="L4022">
        <v>3</v>
      </c>
      <c r="M4022">
        <v>0</v>
      </c>
      <c r="N4022">
        <v>2</v>
      </c>
      <c r="O4022">
        <v>1</v>
      </c>
      <c r="P4022">
        <v>0</v>
      </c>
      <c r="Q4022">
        <v>0</v>
      </c>
      <c r="R4022" t="s">
        <v>114</v>
      </c>
      <c r="S4022" t="str">
        <f>"19:42:09.500"</f>
        <v>19:42:09.500</v>
      </c>
      <c r="T4022" t="str">
        <f>"19:42:09.102"</f>
        <v>19:42:09.102</v>
      </c>
      <c r="U4022" t="str">
        <f t="shared" si="187"/>
        <v>a1cdbe</v>
      </c>
      <c r="V4022">
        <v>0</v>
      </c>
      <c r="W4022">
        <v>0</v>
      </c>
      <c r="X4022">
        <v>2</v>
      </c>
      <c r="Y4022">
        <v>0</v>
      </c>
      <c r="Z4022">
        <v>0</v>
      </c>
      <c r="AB4022">
        <v>0</v>
      </c>
      <c r="AC4022">
        <v>9</v>
      </c>
      <c r="AD4022">
        <v>3</v>
      </c>
      <c r="AE4022">
        <v>0</v>
      </c>
      <c r="AF4022">
        <v>9</v>
      </c>
      <c r="AG4022" t="s">
        <v>115</v>
      </c>
      <c r="AH4022">
        <v>0</v>
      </c>
      <c r="AI4022">
        <v>0</v>
      </c>
      <c r="AJ4022">
        <v>1</v>
      </c>
      <c r="AK4022">
        <v>0</v>
      </c>
      <c r="AL4022" t="s">
        <v>7416</v>
      </c>
      <c r="AM4022">
        <v>47.062081999999997</v>
      </c>
      <c r="AN4022" t="s">
        <v>7328</v>
      </c>
      <c r="AO4022">
        <v>-123.989875</v>
      </c>
      <c r="AP4022">
        <v>100</v>
      </c>
      <c r="AQ4022">
        <v>-100</v>
      </c>
      <c r="AR4022" t="s">
        <v>118</v>
      </c>
      <c r="AS4022">
        <v>71</v>
      </c>
      <c r="AT4022">
        <v>-3</v>
      </c>
      <c r="AU4022">
        <v>-320</v>
      </c>
      <c r="BC4022">
        <v>1200</v>
      </c>
      <c r="BD4022">
        <v>1</v>
      </c>
      <c r="BE4022" t="str">
        <f t="shared" si="188"/>
        <v xml:space="preserve">N215T   </v>
      </c>
      <c r="BF4022">
        <v>1</v>
      </c>
      <c r="BH4022">
        <v>0</v>
      </c>
      <c r="BI4022">
        <v>0</v>
      </c>
      <c r="BJ4022">
        <v>0</v>
      </c>
      <c r="BK4022">
        <v>350</v>
      </c>
      <c r="BL4022">
        <v>450</v>
      </c>
      <c r="BM4022" t="s">
        <v>119</v>
      </c>
      <c r="BN4022">
        <v>1</v>
      </c>
      <c r="BO4022">
        <v>1</v>
      </c>
      <c r="BP4022">
        <v>1</v>
      </c>
      <c r="BQ4022">
        <v>0</v>
      </c>
      <c r="BT4022">
        <v>0</v>
      </c>
      <c r="BU4022">
        <v>0</v>
      </c>
      <c r="BV4022">
        <v>0</v>
      </c>
      <c r="CC4022" t="str">
        <f>"19:42:09.500"</f>
        <v>19:42:09.500</v>
      </c>
      <c r="CD4022" t="str">
        <f>"500121832"</f>
        <v>500121832</v>
      </c>
      <c r="CQ4022">
        <v>0</v>
      </c>
      <c r="CR4022">
        <v>2</v>
      </c>
      <c r="CS4022">
        <v>0</v>
      </c>
      <c r="CT4022">
        <v>2</v>
      </c>
      <c r="CU4022">
        <v>0</v>
      </c>
      <c r="CV4022">
        <v>7</v>
      </c>
      <c r="CW4022" t="s">
        <v>120</v>
      </c>
      <c r="CX4022">
        <v>257</v>
      </c>
      <c r="CY4022">
        <v>0</v>
      </c>
      <c r="CZ4022" t="s">
        <v>615</v>
      </c>
      <c r="DA4022" t="s">
        <v>616</v>
      </c>
      <c r="DD4022">
        <v>16647996</v>
      </c>
      <c r="DE4022" t="s">
        <v>123</v>
      </c>
    </row>
    <row r="4023" spans="1:109" x14ac:dyDescent="0.3">
      <c r="A4023" t="str">
        <f>"19:42:10.750"</f>
        <v>19:42:10.750</v>
      </c>
      <c r="B4023" t="s">
        <v>110</v>
      </c>
      <c r="C4023" t="str">
        <f t="shared" si="189"/>
        <v>ffdfd3c0</v>
      </c>
      <c r="D4023" t="s">
        <v>111</v>
      </c>
      <c r="E4023">
        <v>18</v>
      </c>
      <c r="F4023">
        <v>1018</v>
      </c>
      <c r="G4023" t="s">
        <v>112</v>
      </c>
      <c r="J4023" t="s">
        <v>113</v>
      </c>
      <c r="K4023">
        <v>0</v>
      </c>
      <c r="L4023">
        <v>3</v>
      </c>
      <c r="M4023">
        <v>0</v>
      </c>
      <c r="N4023">
        <v>2</v>
      </c>
      <c r="O4023">
        <v>1</v>
      </c>
      <c r="P4023">
        <v>0</v>
      </c>
      <c r="Q4023">
        <v>0</v>
      </c>
      <c r="R4023" t="s">
        <v>114</v>
      </c>
      <c r="S4023" t="str">
        <f>"19:42:10.469"</f>
        <v>19:42:10.469</v>
      </c>
      <c r="T4023" t="str">
        <f>"19:42:10.266"</f>
        <v>19:42:10.266</v>
      </c>
      <c r="U4023" t="str">
        <f t="shared" si="187"/>
        <v>a1cdbe</v>
      </c>
      <c r="V4023">
        <v>0</v>
      </c>
      <c r="W4023">
        <v>0</v>
      </c>
      <c r="X4023">
        <v>2</v>
      </c>
      <c r="Y4023">
        <v>0</v>
      </c>
      <c r="Z4023">
        <v>0</v>
      </c>
      <c r="AB4023">
        <v>0</v>
      </c>
      <c r="AC4023">
        <v>9</v>
      </c>
      <c r="AD4023">
        <v>3</v>
      </c>
      <c r="AE4023">
        <v>0</v>
      </c>
      <c r="AF4023">
        <v>9</v>
      </c>
      <c r="AG4023" t="s">
        <v>115</v>
      </c>
      <c r="AH4023">
        <v>0</v>
      </c>
      <c r="AI4023">
        <v>0</v>
      </c>
      <c r="AJ4023">
        <v>1</v>
      </c>
      <c r="AK4023">
        <v>0</v>
      </c>
      <c r="AL4023" t="s">
        <v>498</v>
      </c>
      <c r="AM4023">
        <v>47.062038999999999</v>
      </c>
      <c r="AN4023" t="s">
        <v>7560</v>
      </c>
      <c r="AO4023">
        <v>-123.989425</v>
      </c>
      <c r="AP4023">
        <v>100</v>
      </c>
      <c r="AQ4023">
        <v>-100</v>
      </c>
      <c r="AR4023" t="s">
        <v>118</v>
      </c>
      <c r="AS4023">
        <v>70</v>
      </c>
      <c r="AT4023">
        <v>-4</v>
      </c>
      <c r="AU4023">
        <v>-192</v>
      </c>
      <c r="BC4023">
        <v>1200</v>
      </c>
      <c r="BD4023">
        <v>1</v>
      </c>
      <c r="BE4023" t="str">
        <f t="shared" si="188"/>
        <v xml:space="preserve">N215T   </v>
      </c>
      <c r="BF4023">
        <v>1</v>
      </c>
      <c r="BH4023">
        <v>0</v>
      </c>
      <c r="BI4023">
        <v>0</v>
      </c>
      <c r="BJ4023">
        <v>0</v>
      </c>
      <c r="BK4023">
        <v>350</v>
      </c>
      <c r="BL4023">
        <v>450</v>
      </c>
      <c r="BM4023" t="s">
        <v>119</v>
      </c>
      <c r="BN4023">
        <v>1</v>
      </c>
      <c r="BO4023">
        <v>1</v>
      </c>
      <c r="BP4023">
        <v>1</v>
      </c>
      <c r="BQ4023">
        <v>0</v>
      </c>
      <c r="BT4023">
        <v>0</v>
      </c>
      <c r="BU4023">
        <v>0</v>
      </c>
      <c r="BV4023">
        <v>0</v>
      </c>
      <c r="CC4023" t="str">
        <f>"19:42:10.477"</f>
        <v>19:42:10.477</v>
      </c>
      <c r="CD4023" t="str">
        <f>"475025714"</f>
        <v>475025714</v>
      </c>
      <c r="CQ4023">
        <v>0</v>
      </c>
      <c r="CR4023">
        <v>2</v>
      </c>
      <c r="CS4023">
        <v>0</v>
      </c>
      <c r="CT4023">
        <v>2</v>
      </c>
      <c r="CU4023">
        <v>0</v>
      </c>
      <c r="CV4023">
        <v>7</v>
      </c>
      <c r="CW4023" t="s">
        <v>120</v>
      </c>
      <c r="CX4023">
        <v>257</v>
      </c>
      <c r="CY4023">
        <v>0</v>
      </c>
      <c r="CZ4023" t="s">
        <v>615</v>
      </c>
      <c r="DA4023" t="s">
        <v>616</v>
      </c>
      <c r="DD4023">
        <v>16648267</v>
      </c>
      <c r="DE4023" t="s">
        <v>123</v>
      </c>
    </row>
    <row r="4024" spans="1:109" x14ac:dyDescent="0.3">
      <c r="A4024" t="str">
        <f>"19:42:11.656"</f>
        <v>19:42:11.656</v>
      </c>
      <c r="B4024" t="s">
        <v>110</v>
      </c>
      <c r="C4024" t="str">
        <f t="shared" si="189"/>
        <v>ffdfd3c0</v>
      </c>
      <c r="D4024" t="s">
        <v>111</v>
      </c>
      <c r="E4024">
        <v>18</v>
      </c>
      <c r="F4024">
        <v>1018</v>
      </c>
      <c r="G4024" t="s">
        <v>112</v>
      </c>
      <c r="J4024" t="s">
        <v>113</v>
      </c>
      <c r="K4024">
        <v>0</v>
      </c>
      <c r="L4024">
        <v>3</v>
      </c>
      <c r="M4024">
        <v>0</v>
      </c>
      <c r="N4024">
        <v>2</v>
      </c>
      <c r="O4024">
        <v>1</v>
      </c>
      <c r="P4024">
        <v>0</v>
      </c>
      <c r="Q4024">
        <v>0</v>
      </c>
      <c r="R4024" t="s">
        <v>114</v>
      </c>
      <c r="S4024" t="str">
        <f>"19:42:11.398"</f>
        <v>19:42:11.398</v>
      </c>
      <c r="T4024" t="str">
        <f>"19:42:11.195"</f>
        <v>19:42:11.195</v>
      </c>
      <c r="U4024" t="str">
        <f t="shared" si="187"/>
        <v>a1cdbe</v>
      </c>
      <c r="V4024">
        <v>0</v>
      </c>
      <c r="W4024">
        <v>0</v>
      </c>
      <c r="X4024">
        <v>2</v>
      </c>
      <c r="Y4024">
        <v>0</v>
      </c>
      <c r="Z4024">
        <v>0</v>
      </c>
      <c r="AB4024">
        <v>0</v>
      </c>
      <c r="AC4024">
        <v>9</v>
      </c>
      <c r="AD4024">
        <v>3</v>
      </c>
      <c r="AE4024">
        <v>0</v>
      </c>
      <c r="AF4024">
        <v>9</v>
      </c>
      <c r="AG4024" t="s">
        <v>115</v>
      </c>
      <c r="AH4024">
        <v>0</v>
      </c>
      <c r="AI4024">
        <v>0</v>
      </c>
      <c r="AJ4024">
        <v>1</v>
      </c>
      <c r="AK4024">
        <v>0</v>
      </c>
      <c r="AL4024" t="s">
        <v>498</v>
      </c>
      <c r="AM4024">
        <v>47.062038999999999</v>
      </c>
      <c r="AN4024" t="s">
        <v>7561</v>
      </c>
      <c r="AO4024">
        <v>-123.988953</v>
      </c>
      <c r="AP4024">
        <v>100</v>
      </c>
      <c r="AQ4024">
        <v>-100</v>
      </c>
      <c r="AR4024" t="s">
        <v>118</v>
      </c>
      <c r="AS4024">
        <v>69</v>
      </c>
      <c r="AT4024">
        <v>-4</v>
      </c>
      <c r="AU4024">
        <v>-192</v>
      </c>
      <c r="BC4024">
        <v>1200</v>
      </c>
      <c r="BD4024">
        <v>1</v>
      </c>
      <c r="BE4024" t="str">
        <f t="shared" si="188"/>
        <v xml:space="preserve">N215T   </v>
      </c>
      <c r="BF4024">
        <v>1</v>
      </c>
      <c r="BH4024">
        <v>0</v>
      </c>
      <c r="BI4024">
        <v>0</v>
      </c>
      <c r="BJ4024">
        <v>0</v>
      </c>
      <c r="BK4024">
        <v>325</v>
      </c>
      <c r="BL4024">
        <v>425</v>
      </c>
      <c r="BM4024" t="s">
        <v>119</v>
      </c>
      <c r="BN4024">
        <v>1</v>
      </c>
      <c r="BO4024">
        <v>1</v>
      </c>
      <c r="BP4024">
        <v>1</v>
      </c>
      <c r="BQ4024">
        <v>0</v>
      </c>
      <c r="BT4024">
        <v>0</v>
      </c>
      <c r="BU4024">
        <v>0</v>
      </c>
      <c r="BV4024">
        <v>0</v>
      </c>
      <c r="CC4024" t="str">
        <f>"19:42:11.406"</f>
        <v>19:42:11.406</v>
      </c>
      <c r="CD4024" t="str">
        <f>"404934034"</f>
        <v>404934034</v>
      </c>
      <c r="CQ4024">
        <v>0</v>
      </c>
      <c r="CR4024">
        <v>2</v>
      </c>
      <c r="CS4024">
        <v>0</v>
      </c>
      <c r="CT4024">
        <v>2</v>
      </c>
      <c r="CU4024">
        <v>0</v>
      </c>
      <c r="CV4024">
        <v>7</v>
      </c>
      <c r="CW4024" t="s">
        <v>120</v>
      </c>
      <c r="CX4024">
        <v>257</v>
      </c>
      <c r="CY4024">
        <v>0</v>
      </c>
      <c r="CZ4024" t="s">
        <v>615</v>
      </c>
      <c r="DA4024" t="s">
        <v>616</v>
      </c>
      <c r="DD4024">
        <v>16648564</v>
      </c>
      <c r="DE4024" t="s">
        <v>123</v>
      </c>
    </row>
    <row r="4025" spans="1:109" x14ac:dyDescent="0.3">
      <c r="A4025" t="str">
        <f>"19:42:12.813"</f>
        <v>19:42:12.813</v>
      </c>
      <c r="B4025" t="s">
        <v>110</v>
      </c>
      <c r="C4025" t="str">
        <f t="shared" si="189"/>
        <v>ffdfd3c0</v>
      </c>
      <c r="D4025" t="s">
        <v>111</v>
      </c>
      <c r="E4025">
        <v>18</v>
      </c>
      <c r="F4025">
        <v>1018</v>
      </c>
      <c r="G4025" t="s">
        <v>112</v>
      </c>
      <c r="J4025" t="s">
        <v>113</v>
      </c>
      <c r="K4025">
        <v>0</v>
      </c>
      <c r="L4025">
        <v>3</v>
      </c>
      <c r="M4025">
        <v>0</v>
      </c>
      <c r="N4025">
        <v>2</v>
      </c>
      <c r="O4025">
        <v>1</v>
      </c>
      <c r="P4025">
        <v>0</v>
      </c>
      <c r="Q4025">
        <v>0</v>
      </c>
      <c r="R4025" t="s">
        <v>114</v>
      </c>
      <c r="S4025" t="str">
        <f>"19:42:12.539"</f>
        <v>19:42:12.539</v>
      </c>
      <c r="T4025" t="str">
        <f>"19:42:12.539"</f>
        <v>19:42:12.539</v>
      </c>
      <c r="U4025" t="str">
        <f t="shared" si="187"/>
        <v>a1cdbe</v>
      </c>
      <c r="V4025">
        <v>0</v>
      </c>
      <c r="W4025">
        <v>0</v>
      </c>
      <c r="X4025">
        <v>2</v>
      </c>
      <c r="Y4025">
        <v>0</v>
      </c>
      <c r="Z4025">
        <v>0</v>
      </c>
      <c r="AB4025">
        <v>0</v>
      </c>
      <c r="AC4025">
        <v>9</v>
      </c>
      <c r="AD4025">
        <v>3</v>
      </c>
      <c r="AE4025">
        <v>0</v>
      </c>
      <c r="AF4025">
        <v>9</v>
      </c>
      <c r="AG4025" t="s">
        <v>115</v>
      </c>
      <c r="AH4025">
        <v>0</v>
      </c>
      <c r="AI4025">
        <v>0</v>
      </c>
      <c r="AJ4025">
        <v>1</v>
      </c>
      <c r="AK4025">
        <v>0</v>
      </c>
      <c r="AL4025" t="s">
        <v>7551</v>
      </c>
      <c r="AM4025">
        <v>47.061974999999997</v>
      </c>
      <c r="AN4025" t="s">
        <v>7562</v>
      </c>
      <c r="AO4025">
        <v>-123.98845900000001</v>
      </c>
      <c r="AP4025">
        <v>100</v>
      </c>
      <c r="AQ4025">
        <v>-100</v>
      </c>
      <c r="AR4025" t="s">
        <v>118</v>
      </c>
      <c r="AS4025">
        <v>67</v>
      </c>
      <c r="AT4025">
        <v>-3</v>
      </c>
      <c r="AU4025">
        <v>0</v>
      </c>
      <c r="BC4025">
        <v>1200</v>
      </c>
      <c r="BD4025">
        <v>1</v>
      </c>
      <c r="BE4025" t="str">
        <f t="shared" si="188"/>
        <v xml:space="preserve">N215T   </v>
      </c>
      <c r="BF4025">
        <v>1</v>
      </c>
      <c r="BH4025">
        <v>0</v>
      </c>
      <c r="BI4025">
        <v>0</v>
      </c>
      <c r="BJ4025">
        <v>0</v>
      </c>
      <c r="BK4025">
        <v>325</v>
      </c>
      <c r="BL4025">
        <v>425</v>
      </c>
      <c r="BM4025" t="s">
        <v>119</v>
      </c>
      <c r="BN4025">
        <v>1</v>
      </c>
      <c r="BO4025">
        <v>1</v>
      </c>
      <c r="BP4025">
        <v>1</v>
      </c>
      <c r="BQ4025">
        <v>0</v>
      </c>
      <c r="BT4025">
        <v>0</v>
      </c>
      <c r="BU4025">
        <v>0</v>
      </c>
      <c r="BV4025">
        <v>0</v>
      </c>
      <c r="CC4025" t="str">
        <f>"19:42:12.547"</f>
        <v>19:42:12.547</v>
      </c>
      <c r="CD4025" t="str">
        <f>"544821655"</f>
        <v>544821655</v>
      </c>
      <c r="CQ4025">
        <v>0</v>
      </c>
      <c r="CR4025">
        <v>2</v>
      </c>
      <c r="CS4025">
        <v>0</v>
      </c>
      <c r="CT4025">
        <v>2</v>
      </c>
      <c r="CU4025">
        <v>0</v>
      </c>
      <c r="CV4025">
        <v>7</v>
      </c>
      <c r="CW4025" t="s">
        <v>120</v>
      </c>
      <c r="CX4025">
        <v>257</v>
      </c>
      <c r="CY4025">
        <v>0</v>
      </c>
      <c r="CZ4025" t="s">
        <v>615</v>
      </c>
      <c r="DA4025" t="s">
        <v>616</v>
      </c>
      <c r="DD4025">
        <v>16648913</v>
      </c>
      <c r="DE4025" t="s">
        <v>123</v>
      </c>
    </row>
    <row r="4026" spans="1:109" x14ac:dyDescent="0.3">
      <c r="A4026" t="str">
        <f>"19:42:13.914"</f>
        <v>19:42:13.914</v>
      </c>
      <c r="B4026" t="s">
        <v>110</v>
      </c>
      <c r="C4026" t="str">
        <f t="shared" si="189"/>
        <v>ffdfd3c0</v>
      </c>
      <c r="D4026" t="s">
        <v>111</v>
      </c>
      <c r="E4026">
        <v>18</v>
      </c>
      <c r="F4026">
        <v>1018</v>
      </c>
      <c r="G4026" t="s">
        <v>112</v>
      </c>
      <c r="J4026" t="s">
        <v>113</v>
      </c>
      <c r="K4026">
        <v>0</v>
      </c>
      <c r="L4026">
        <v>3</v>
      </c>
      <c r="M4026">
        <v>0</v>
      </c>
      <c r="N4026">
        <v>2</v>
      </c>
      <c r="O4026">
        <v>1</v>
      </c>
      <c r="P4026">
        <v>0</v>
      </c>
      <c r="Q4026">
        <v>0</v>
      </c>
      <c r="R4026" t="s">
        <v>114</v>
      </c>
      <c r="S4026" t="str">
        <f>"19:42:13.648"</f>
        <v>19:42:13.648</v>
      </c>
      <c r="T4026" t="str">
        <f>"19:42:13.547"</f>
        <v>19:42:13.547</v>
      </c>
      <c r="U4026" t="str">
        <f t="shared" si="187"/>
        <v>a1cdbe</v>
      </c>
      <c r="V4026">
        <v>0</v>
      </c>
      <c r="W4026">
        <v>0</v>
      </c>
      <c r="X4026">
        <v>2</v>
      </c>
      <c r="Y4026">
        <v>0</v>
      </c>
      <c r="Z4026">
        <v>0</v>
      </c>
      <c r="AB4026">
        <v>0</v>
      </c>
      <c r="AC4026">
        <v>9</v>
      </c>
      <c r="AD4026">
        <v>3</v>
      </c>
      <c r="AE4026">
        <v>0</v>
      </c>
      <c r="AF4026">
        <v>9</v>
      </c>
      <c r="AG4026" t="s">
        <v>115</v>
      </c>
      <c r="AH4026">
        <v>0</v>
      </c>
      <c r="AI4026">
        <v>0</v>
      </c>
      <c r="AJ4026">
        <v>1</v>
      </c>
      <c r="AK4026">
        <v>0</v>
      </c>
      <c r="AL4026" t="s">
        <v>7563</v>
      </c>
      <c r="AM4026">
        <v>47.061996000000001</v>
      </c>
      <c r="AN4026" t="s">
        <v>7564</v>
      </c>
      <c r="AO4026">
        <v>-123.987987</v>
      </c>
      <c r="AP4026">
        <v>100</v>
      </c>
      <c r="AQ4026">
        <v>-100</v>
      </c>
      <c r="AR4026" t="s">
        <v>118</v>
      </c>
      <c r="AS4026">
        <v>64</v>
      </c>
      <c r="AT4026">
        <v>-2</v>
      </c>
      <c r="AU4026">
        <v>256</v>
      </c>
      <c r="BC4026">
        <v>1200</v>
      </c>
      <c r="BD4026">
        <v>1</v>
      </c>
      <c r="BE4026" t="str">
        <f t="shared" si="188"/>
        <v xml:space="preserve">N215T   </v>
      </c>
      <c r="BF4026">
        <v>1</v>
      </c>
      <c r="BH4026">
        <v>0</v>
      </c>
      <c r="BI4026">
        <v>0</v>
      </c>
      <c r="BJ4026">
        <v>0</v>
      </c>
      <c r="BK4026">
        <v>325</v>
      </c>
      <c r="BL4026">
        <v>425</v>
      </c>
      <c r="BM4026" t="s">
        <v>119</v>
      </c>
      <c r="BN4026">
        <v>1</v>
      </c>
      <c r="BO4026">
        <v>1</v>
      </c>
      <c r="BP4026">
        <v>1</v>
      </c>
      <c r="BQ4026">
        <v>0</v>
      </c>
      <c r="BT4026">
        <v>0</v>
      </c>
      <c r="BU4026">
        <v>0</v>
      </c>
      <c r="BV4026">
        <v>0</v>
      </c>
      <c r="CC4026" t="str">
        <f>"19:42:13.656"</f>
        <v>19:42:13.656</v>
      </c>
      <c r="CD4026" t="str">
        <f>"654712232"</f>
        <v>654712232</v>
      </c>
      <c r="CQ4026">
        <v>0</v>
      </c>
      <c r="CR4026">
        <v>2</v>
      </c>
      <c r="CS4026">
        <v>0</v>
      </c>
      <c r="CT4026">
        <v>2</v>
      </c>
      <c r="CU4026">
        <v>0</v>
      </c>
      <c r="CV4026">
        <v>7</v>
      </c>
      <c r="CW4026" t="s">
        <v>120</v>
      </c>
      <c r="CX4026">
        <v>257</v>
      </c>
      <c r="CY4026">
        <v>0</v>
      </c>
      <c r="CZ4026" t="s">
        <v>615</v>
      </c>
      <c r="DA4026" t="s">
        <v>616</v>
      </c>
      <c r="DD4026">
        <v>16649245</v>
      </c>
      <c r="DE4026" t="s">
        <v>123</v>
      </c>
    </row>
    <row r="4027" spans="1:109" x14ac:dyDescent="0.3">
      <c r="A4027" t="str">
        <f>"19:42:14.969"</f>
        <v>19:42:14.969</v>
      </c>
      <c r="B4027" t="s">
        <v>110</v>
      </c>
      <c r="C4027" t="str">
        <f t="shared" si="189"/>
        <v>ffdfd3c0</v>
      </c>
      <c r="D4027" t="s">
        <v>111</v>
      </c>
      <c r="E4027">
        <v>18</v>
      </c>
      <c r="F4027">
        <v>1018</v>
      </c>
      <c r="G4027" t="s">
        <v>112</v>
      </c>
      <c r="J4027" t="s">
        <v>113</v>
      </c>
      <c r="K4027">
        <v>0</v>
      </c>
      <c r="L4027">
        <v>3</v>
      </c>
      <c r="M4027">
        <v>0</v>
      </c>
      <c r="N4027">
        <v>2</v>
      </c>
      <c r="O4027">
        <v>1</v>
      </c>
      <c r="P4027">
        <v>0</v>
      </c>
      <c r="Q4027">
        <v>0</v>
      </c>
      <c r="R4027" t="s">
        <v>114</v>
      </c>
      <c r="S4027" t="str">
        <f>"19:42:14.758"</f>
        <v>19:42:14.758</v>
      </c>
      <c r="T4027" t="str">
        <f>"19:42:14.656"</f>
        <v>19:42:14.656</v>
      </c>
      <c r="U4027" t="str">
        <f t="shared" si="187"/>
        <v>a1cdbe</v>
      </c>
      <c r="V4027">
        <v>0</v>
      </c>
      <c r="W4027">
        <v>0</v>
      </c>
      <c r="X4027">
        <v>2</v>
      </c>
      <c r="Y4027">
        <v>0</v>
      </c>
      <c r="Z4027">
        <v>0</v>
      </c>
      <c r="AB4027">
        <v>0</v>
      </c>
      <c r="AC4027">
        <v>9</v>
      </c>
      <c r="AD4027">
        <v>3</v>
      </c>
      <c r="AE4027">
        <v>0</v>
      </c>
      <c r="AF4027">
        <v>9</v>
      </c>
      <c r="AG4027" t="s">
        <v>115</v>
      </c>
      <c r="AH4027">
        <v>0</v>
      </c>
      <c r="AI4027">
        <v>0</v>
      </c>
      <c r="AJ4027">
        <v>1</v>
      </c>
      <c r="AK4027">
        <v>0</v>
      </c>
      <c r="AL4027" t="s">
        <v>7563</v>
      </c>
      <c r="AM4027">
        <v>47.061996000000001</v>
      </c>
      <c r="AN4027" t="s">
        <v>7565</v>
      </c>
      <c r="AO4027">
        <v>-123.987515</v>
      </c>
      <c r="AP4027">
        <v>100</v>
      </c>
      <c r="AQ4027">
        <v>-100</v>
      </c>
      <c r="AR4027" t="s">
        <v>118</v>
      </c>
      <c r="AS4027">
        <v>62</v>
      </c>
      <c r="AT4027">
        <v>-2</v>
      </c>
      <c r="AU4027">
        <v>128</v>
      </c>
      <c r="BC4027">
        <v>1200</v>
      </c>
      <c r="BD4027">
        <v>1</v>
      </c>
      <c r="BE4027" t="str">
        <f t="shared" si="188"/>
        <v xml:space="preserve">N215T   </v>
      </c>
      <c r="BF4027">
        <v>1</v>
      </c>
      <c r="BH4027">
        <v>0</v>
      </c>
      <c r="BI4027">
        <v>0</v>
      </c>
      <c r="BJ4027">
        <v>0</v>
      </c>
      <c r="BK4027">
        <v>350</v>
      </c>
      <c r="BL4027">
        <v>450</v>
      </c>
      <c r="BM4027" t="s">
        <v>119</v>
      </c>
      <c r="BN4027">
        <v>1</v>
      </c>
      <c r="BO4027">
        <v>1</v>
      </c>
      <c r="BP4027">
        <v>1</v>
      </c>
      <c r="BQ4027">
        <v>0</v>
      </c>
      <c r="BT4027">
        <v>0</v>
      </c>
      <c r="BU4027">
        <v>0</v>
      </c>
      <c r="BV4027">
        <v>0</v>
      </c>
      <c r="CC4027" t="str">
        <f>"19:42:14.766"</f>
        <v>19:42:14.766</v>
      </c>
      <c r="CD4027" t="str">
        <f>"764602819"</f>
        <v>764602819</v>
      </c>
      <c r="CQ4027">
        <v>0</v>
      </c>
      <c r="CR4027">
        <v>2</v>
      </c>
      <c r="CS4027">
        <v>0</v>
      </c>
      <c r="CT4027">
        <v>2</v>
      </c>
      <c r="CU4027">
        <v>0</v>
      </c>
      <c r="CV4027">
        <v>7</v>
      </c>
      <c r="CW4027" t="s">
        <v>120</v>
      </c>
      <c r="CX4027">
        <v>257</v>
      </c>
      <c r="CY4027">
        <v>0</v>
      </c>
      <c r="CZ4027" t="s">
        <v>615</v>
      </c>
      <c r="DA4027" t="s">
        <v>616</v>
      </c>
      <c r="DD4027">
        <v>16649574</v>
      </c>
      <c r="DE4027" t="s">
        <v>123</v>
      </c>
    </row>
    <row r="4028" spans="1:109" x14ac:dyDescent="0.3">
      <c r="A4028" t="str">
        <f>"19:42:15.875"</f>
        <v>19:42:15.875</v>
      </c>
      <c r="B4028" t="s">
        <v>110</v>
      </c>
      <c r="C4028" t="str">
        <f t="shared" si="189"/>
        <v>ffdfd3c0</v>
      </c>
      <c r="D4028" t="s">
        <v>111</v>
      </c>
      <c r="E4028">
        <v>18</v>
      </c>
      <c r="F4028">
        <v>1018</v>
      </c>
      <c r="G4028" t="s">
        <v>112</v>
      </c>
      <c r="J4028" t="s">
        <v>113</v>
      </c>
      <c r="K4028">
        <v>0</v>
      </c>
      <c r="L4028">
        <v>3</v>
      </c>
      <c r="M4028">
        <v>0</v>
      </c>
      <c r="N4028">
        <v>2</v>
      </c>
      <c r="O4028">
        <v>1</v>
      </c>
      <c r="P4028">
        <v>0</v>
      </c>
      <c r="Q4028">
        <v>0</v>
      </c>
      <c r="R4028" t="s">
        <v>114</v>
      </c>
      <c r="S4028" t="str">
        <f>"19:42:15.648"</f>
        <v>19:42:15.648</v>
      </c>
      <c r="T4028" t="str">
        <f>"19:42:15.250"</f>
        <v>19:42:15.250</v>
      </c>
      <c r="U4028" t="str">
        <f t="shared" si="187"/>
        <v>a1cdbe</v>
      </c>
      <c r="V4028">
        <v>0</v>
      </c>
      <c r="W4028">
        <v>0</v>
      </c>
      <c r="X4028">
        <v>2</v>
      </c>
      <c r="Y4028">
        <v>0</v>
      </c>
      <c r="Z4028">
        <v>0</v>
      </c>
      <c r="AB4028">
        <v>0</v>
      </c>
      <c r="AC4028">
        <v>9</v>
      </c>
      <c r="AD4028">
        <v>3</v>
      </c>
      <c r="AE4028">
        <v>0</v>
      </c>
      <c r="AF4028">
        <v>9</v>
      </c>
      <c r="AG4028" t="s">
        <v>115</v>
      </c>
      <c r="AH4028">
        <v>0</v>
      </c>
      <c r="AI4028">
        <v>0</v>
      </c>
      <c r="AJ4028">
        <v>1</v>
      </c>
      <c r="AK4028">
        <v>0</v>
      </c>
      <c r="AL4028" t="s">
        <v>7563</v>
      </c>
      <c r="AM4028">
        <v>47.061996000000001</v>
      </c>
      <c r="AN4028" t="s">
        <v>7566</v>
      </c>
      <c r="AO4028">
        <v>-123.987172</v>
      </c>
      <c r="AP4028">
        <v>100</v>
      </c>
      <c r="AQ4028">
        <v>0</v>
      </c>
      <c r="AR4028" t="s">
        <v>118</v>
      </c>
      <c r="AS4028">
        <v>60</v>
      </c>
      <c r="AT4028">
        <v>-2</v>
      </c>
      <c r="AU4028">
        <v>384</v>
      </c>
      <c r="BC4028">
        <v>1200</v>
      </c>
      <c r="BD4028">
        <v>1</v>
      </c>
      <c r="BE4028" t="str">
        <f t="shared" si="188"/>
        <v xml:space="preserve">N215T   </v>
      </c>
      <c r="BF4028">
        <v>1</v>
      </c>
      <c r="BH4028">
        <v>0</v>
      </c>
      <c r="BI4028">
        <v>0</v>
      </c>
      <c r="BJ4028">
        <v>0</v>
      </c>
      <c r="BK4028">
        <v>350</v>
      </c>
      <c r="BL4028">
        <v>350</v>
      </c>
      <c r="BM4028" t="s">
        <v>119</v>
      </c>
      <c r="BN4028">
        <v>1</v>
      </c>
      <c r="BO4028">
        <v>1</v>
      </c>
      <c r="BP4028">
        <v>1</v>
      </c>
      <c r="BQ4028">
        <v>0</v>
      </c>
      <c r="BT4028">
        <v>0</v>
      </c>
      <c r="BU4028">
        <v>0</v>
      </c>
      <c r="BV4028">
        <v>0</v>
      </c>
      <c r="CC4028" t="str">
        <f>"19:42:15.648"</f>
        <v>19:42:15.648</v>
      </c>
      <c r="CD4028" t="str">
        <f>"649515580"</f>
        <v>649515580</v>
      </c>
      <c r="CQ4028">
        <v>0</v>
      </c>
      <c r="CR4028">
        <v>2</v>
      </c>
      <c r="CS4028">
        <v>0</v>
      </c>
      <c r="CT4028">
        <v>2</v>
      </c>
      <c r="CU4028">
        <v>0</v>
      </c>
      <c r="CV4028">
        <v>7</v>
      </c>
      <c r="CW4028" t="s">
        <v>120</v>
      </c>
      <c r="CX4028">
        <v>257</v>
      </c>
      <c r="CY4028">
        <v>0</v>
      </c>
      <c r="CZ4028" t="s">
        <v>615</v>
      </c>
      <c r="DA4028" t="s">
        <v>616</v>
      </c>
      <c r="DD4028">
        <v>16649819</v>
      </c>
      <c r="DE4028" t="s">
        <v>123</v>
      </c>
    </row>
    <row r="4029" spans="1:109" x14ac:dyDescent="0.3">
      <c r="A4029" t="str">
        <f>"19:42:16.828"</f>
        <v>19:42:16.828</v>
      </c>
      <c r="B4029" t="s">
        <v>110</v>
      </c>
      <c r="C4029" t="str">
        <f t="shared" si="189"/>
        <v>ffdfd3c0</v>
      </c>
      <c r="D4029" t="s">
        <v>111</v>
      </c>
      <c r="E4029">
        <v>18</v>
      </c>
      <c r="F4029">
        <v>1018</v>
      </c>
      <c r="G4029" t="s">
        <v>112</v>
      </c>
      <c r="J4029" t="s">
        <v>113</v>
      </c>
      <c r="K4029">
        <v>0</v>
      </c>
      <c r="L4029">
        <v>3</v>
      </c>
      <c r="M4029">
        <v>0</v>
      </c>
      <c r="N4029">
        <v>2</v>
      </c>
      <c r="O4029">
        <v>1</v>
      </c>
      <c r="P4029">
        <v>0</v>
      </c>
      <c r="Q4029">
        <v>0</v>
      </c>
      <c r="R4029" t="s">
        <v>114</v>
      </c>
      <c r="S4029" t="str">
        <f>"19:42:16.563"</f>
        <v>19:42:16.563</v>
      </c>
      <c r="T4029" t="str">
        <f>"19:42:16.164"</f>
        <v>19:42:16.164</v>
      </c>
      <c r="U4029" t="str">
        <f t="shared" si="187"/>
        <v>a1cdbe</v>
      </c>
      <c r="V4029">
        <v>0</v>
      </c>
      <c r="W4029">
        <v>0</v>
      </c>
      <c r="X4029">
        <v>2</v>
      </c>
      <c r="Y4029">
        <v>0</v>
      </c>
      <c r="Z4029">
        <v>0</v>
      </c>
      <c r="AB4029">
        <v>0</v>
      </c>
      <c r="AC4029">
        <v>9</v>
      </c>
      <c r="AD4029">
        <v>3</v>
      </c>
      <c r="AE4029">
        <v>0</v>
      </c>
      <c r="AF4029">
        <v>9</v>
      </c>
      <c r="AG4029" t="s">
        <v>115</v>
      </c>
      <c r="AH4029">
        <v>0</v>
      </c>
      <c r="AI4029">
        <v>0</v>
      </c>
      <c r="AJ4029">
        <v>1</v>
      </c>
      <c r="AK4029">
        <v>0</v>
      </c>
      <c r="AL4029" t="s">
        <v>7551</v>
      </c>
      <c r="AM4029">
        <v>47.061974999999997</v>
      </c>
      <c r="AN4029" t="s">
        <v>7567</v>
      </c>
      <c r="AO4029">
        <v>-123.98685</v>
      </c>
      <c r="AP4029">
        <v>100</v>
      </c>
      <c r="AQ4029">
        <v>0</v>
      </c>
      <c r="AR4029" t="s">
        <v>118</v>
      </c>
      <c r="AS4029">
        <v>58</v>
      </c>
      <c r="AT4029">
        <v>-2</v>
      </c>
      <c r="AU4029">
        <v>192</v>
      </c>
      <c r="BC4029">
        <v>1200</v>
      </c>
      <c r="BD4029">
        <v>1</v>
      </c>
      <c r="BE4029" t="str">
        <f t="shared" si="188"/>
        <v xml:space="preserve">N215T   </v>
      </c>
      <c r="BF4029">
        <v>1</v>
      </c>
      <c r="BH4029">
        <v>0</v>
      </c>
      <c r="BI4029">
        <v>0</v>
      </c>
      <c r="BJ4029">
        <v>0</v>
      </c>
      <c r="BK4029">
        <v>350</v>
      </c>
      <c r="BL4029">
        <v>350</v>
      </c>
      <c r="BM4029" t="s">
        <v>119</v>
      </c>
      <c r="BN4029">
        <v>1</v>
      </c>
      <c r="BO4029">
        <v>1</v>
      </c>
      <c r="BP4029">
        <v>1</v>
      </c>
      <c r="BQ4029">
        <v>0</v>
      </c>
      <c r="BT4029">
        <v>0</v>
      </c>
      <c r="BU4029">
        <v>0</v>
      </c>
      <c r="BV4029">
        <v>0</v>
      </c>
      <c r="CC4029" t="str">
        <f>"19:42:16.563"</f>
        <v>19:42:16.563</v>
      </c>
      <c r="CD4029" t="str">
        <f>"564425385"</f>
        <v>564425385</v>
      </c>
      <c r="CQ4029">
        <v>0</v>
      </c>
      <c r="CR4029">
        <v>2</v>
      </c>
      <c r="CS4029">
        <v>0</v>
      </c>
      <c r="CT4029">
        <v>2</v>
      </c>
      <c r="CU4029">
        <v>0</v>
      </c>
      <c r="CV4029">
        <v>7</v>
      </c>
      <c r="CW4029" t="s">
        <v>120</v>
      </c>
      <c r="CX4029">
        <v>257</v>
      </c>
      <c r="CY4029">
        <v>0</v>
      </c>
      <c r="CZ4029" t="s">
        <v>615</v>
      </c>
      <c r="DA4029" t="s">
        <v>616</v>
      </c>
      <c r="DD4029">
        <v>16650094</v>
      </c>
      <c r="DE4029" t="s">
        <v>123</v>
      </c>
    </row>
    <row r="4030" spans="1:109" x14ac:dyDescent="0.3">
      <c r="A4030" t="str">
        <f>"19:42:17.938"</f>
        <v>19:42:17.938</v>
      </c>
      <c r="B4030" t="s">
        <v>110</v>
      </c>
      <c r="C4030" t="str">
        <f t="shared" si="189"/>
        <v>ffdfd3c0</v>
      </c>
      <c r="D4030" t="s">
        <v>111</v>
      </c>
      <c r="E4030">
        <v>18</v>
      </c>
      <c r="F4030">
        <v>1018</v>
      </c>
      <c r="G4030" t="s">
        <v>112</v>
      </c>
      <c r="J4030" t="s">
        <v>113</v>
      </c>
      <c r="K4030">
        <v>0</v>
      </c>
      <c r="L4030">
        <v>3</v>
      </c>
      <c r="M4030">
        <v>0</v>
      </c>
      <c r="N4030">
        <v>2</v>
      </c>
      <c r="O4030">
        <v>1</v>
      </c>
      <c r="P4030">
        <v>0</v>
      </c>
      <c r="Q4030">
        <v>0</v>
      </c>
      <c r="R4030" t="s">
        <v>114</v>
      </c>
      <c r="S4030" t="str">
        <f>"19:42:17.672"</f>
        <v>19:42:17.672</v>
      </c>
      <c r="T4030" t="str">
        <f>"19:42:17.570"</f>
        <v>19:42:17.570</v>
      </c>
      <c r="U4030" t="str">
        <f t="shared" si="187"/>
        <v>a1cdbe</v>
      </c>
      <c r="V4030">
        <v>0</v>
      </c>
      <c r="W4030">
        <v>0</v>
      </c>
      <c r="X4030">
        <v>2</v>
      </c>
      <c r="Y4030">
        <v>0</v>
      </c>
      <c r="Z4030">
        <v>0</v>
      </c>
      <c r="AB4030">
        <v>0</v>
      </c>
      <c r="AC4030">
        <v>9</v>
      </c>
      <c r="AD4030">
        <v>3</v>
      </c>
      <c r="AE4030">
        <v>0</v>
      </c>
      <c r="AF4030">
        <v>9</v>
      </c>
      <c r="AG4030" t="s">
        <v>115</v>
      </c>
      <c r="AH4030">
        <v>0</v>
      </c>
      <c r="AI4030">
        <v>0</v>
      </c>
      <c r="AJ4030">
        <v>1</v>
      </c>
      <c r="AK4030">
        <v>0</v>
      </c>
      <c r="AL4030" t="s">
        <v>7413</v>
      </c>
      <c r="AM4030">
        <v>47.061954</v>
      </c>
      <c r="AN4030" t="s">
        <v>7568</v>
      </c>
      <c r="AO4030">
        <v>-123.98642100000001</v>
      </c>
      <c r="AP4030">
        <v>100</v>
      </c>
      <c r="AQ4030">
        <v>0</v>
      </c>
      <c r="AR4030" t="s">
        <v>118</v>
      </c>
      <c r="AS4030">
        <v>56</v>
      </c>
      <c r="AT4030">
        <v>-1</v>
      </c>
      <c r="AU4030">
        <v>64</v>
      </c>
      <c r="BC4030">
        <v>1200</v>
      </c>
      <c r="BD4030">
        <v>1</v>
      </c>
      <c r="BE4030" t="str">
        <f t="shared" si="188"/>
        <v xml:space="preserve">N215T   </v>
      </c>
      <c r="BF4030">
        <v>1</v>
      </c>
      <c r="BH4030">
        <v>0</v>
      </c>
      <c r="BI4030">
        <v>0</v>
      </c>
      <c r="BJ4030">
        <v>0</v>
      </c>
      <c r="BK4030">
        <v>350</v>
      </c>
      <c r="BL4030">
        <v>350</v>
      </c>
      <c r="BM4030" t="s">
        <v>119</v>
      </c>
      <c r="BN4030">
        <v>1</v>
      </c>
      <c r="BO4030">
        <v>1</v>
      </c>
      <c r="BP4030">
        <v>1</v>
      </c>
      <c r="BQ4030">
        <v>0</v>
      </c>
      <c r="BT4030">
        <v>0</v>
      </c>
      <c r="BU4030">
        <v>0</v>
      </c>
      <c r="BV4030">
        <v>0</v>
      </c>
      <c r="CC4030" t="str">
        <f>"19:42:17.672"</f>
        <v>19:42:17.672</v>
      </c>
      <c r="CD4030" t="str">
        <f>"674315981"</f>
        <v>674315981</v>
      </c>
      <c r="CQ4030">
        <v>0</v>
      </c>
      <c r="CR4030">
        <v>2</v>
      </c>
      <c r="CS4030">
        <v>0</v>
      </c>
      <c r="CT4030">
        <v>2</v>
      </c>
      <c r="CU4030">
        <v>0</v>
      </c>
      <c r="CV4030">
        <v>7</v>
      </c>
      <c r="CW4030" t="s">
        <v>120</v>
      </c>
      <c r="CX4030">
        <v>257</v>
      </c>
      <c r="CY4030">
        <v>0</v>
      </c>
      <c r="CZ4030" t="s">
        <v>615</v>
      </c>
      <c r="DA4030" t="s">
        <v>616</v>
      </c>
      <c r="DD4030">
        <v>16650419</v>
      </c>
      <c r="DE4030" t="s">
        <v>123</v>
      </c>
    </row>
    <row r="4031" spans="1:109" x14ac:dyDescent="0.3">
      <c r="A4031" t="str">
        <f>"19:42:18.844"</f>
        <v>19:42:18.844</v>
      </c>
      <c r="B4031" t="s">
        <v>110</v>
      </c>
      <c r="C4031" t="str">
        <f t="shared" si="189"/>
        <v>ffdfd3c0</v>
      </c>
      <c r="D4031" t="s">
        <v>111</v>
      </c>
      <c r="E4031">
        <v>18</v>
      </c>
      <c r="F4031">
        <v>1018</v>
      </c>
      <c r="G4031" t="s">
        <v>112</v>
      </c>
      <c r="J4031" t="s">
        <v>113</v>
      </c>
      <c r="K4031">
        <v>0</v>
      </c>
      <c r="L4031">
        <v>3</v>
      </c>
      <c r="M4031">
        <v>0</v>
      </c>
      <c r="N4031">
        <v>2</v>
      </c>
      <c r="O4031">
        <v>1</v>
      </c>
      <c r="P4031">
        <v>0</v>
      </c>
      <c r="Q4031">
        <v>0</v>
      </c>
      <c r="R4031" t="s">
        <v>114</v>
      </c>
      <c r="S4031" t="str">
        <f>"19:42:18.570"</f>
        <v>19:42:18.570</v>
      </c>
      <c r="T4031" t="str">
        <f>"19:42:18.570"</f>
        <v>19:42:18.570</v>
      </c>
      <c r="U4031" t="str">
        <f t="shared" si="187"/>
        <v>a1cdbe</v>
      </c>
      <c r="V4031">
        <v>0</v>
      </c>
      <c r="W4031">
        <v>0</v>
      </c>
      <c r="X4031">
        <v>2</v>
      </c>
      <c r="Y4031">
        <v>0</v>
      </c>
      <c r="Z4031">
        <v>0</v>
      </c>
      <c r="AB4031">
        <v>0</v>
      </c>
      <c r="AC4031">
        <v>9</v>
      </c>
      <c r="AD4031">
        <v>3</v>
      </c>
      <c r="AE4031">
        <v>0</v>
      </c>
      <c r="AF4031">
        <v>9</v>
      </c>
      <c r="AG4031" t="s">
        <v>115</v>
      </c>
      <c r="AH4031">
        <v>0</v>
      </c>
      <c r="AI4031">
        <v>0</v>
      </c>
      <c r="AJ4031">
        <v>1</v>
      </c>
      <c r="AK4031">
        <v>0</v>
      </c>
      <c r="AL4031" t="s">
        <v>7551</v>
      </c>
      <c r="AM4031">
        <v>47.061974999999997</v>
      </c>
      <c r="AN4031" t="s">
        <v>7569</v>
      </c>
      <c r="AO4031">
        <v>-123.986056</v>
      </c>
      <c r="AP4031">
        <v>100</v>
      </c>
      <c r="AQ4031">
        <v>0</v>
      </c>
      <c r="AR4031" t="s">
        <v>118</v>
      </c>
      <c r="AS4031">
        <v>55</v>
      </c>
      <c r="AT4031">
        <v>0</v>
      </c>
      <c r="AU4031">
        <v>0</v>
      </c>
      <c r="BC4031">
        <v>1200</v>
      </c>
      <c r="BD4031">
        <v>1</v>
      </c>
      <c r="BE4031" t="str">
        <f t="shared" si="188"/>
        <v xml:space="preserve">N215T   </v>
      </c>
      <c r="BF4031">
        <v>1</v>
      </c>
      <c r="BH4031">
        <v>0</v>
      </c>
      <c r="BI4031">
        <v>0</v>
      </c>
      <c r="BJ4031">
        <v>0</v>
      </c>
      <c r="BK4031">
        <v>250</v>
      </c>
      <c r="BL4031">
        <v>250</v>
      </c>
      <c r="BM4031" t="s">
        <v>119</v>
      </c>
      <c r="BN4031">
        <v>1</v>
      </c>
      <c r="BO4031">
        <v>1</v>
      </c>
      <c r="BP4031">
        <v>1</v>
      </c>
      <c r="BQ4031">
        <v>0</v>
      </c>
      <c r="BT4031">
        <v>0</v>
      </c>
      <c r="BU4031">
        <v>0</v>
      </c>
      <c r="BV4031">
        <v>0</v>
      </c>
      <c r="CC4031" t="str">
        <f>"19:42:18.578"</f>
        <v>19:42:18.578</v>
      </c>
      <c r="CD4031" t="str">
        <f>"574227277"</f>
        <v>574227277</v>
      </c>
      <c r="CQ4031">
        <v>0</v>
      </c>
      <c r="CR4031">
        <v>2</v>
      </c>
      <c r="CS4031">
        <v>0</v>
      </c>
      <c r="CT4031">
        <v>2</v>
      </c>
      <c r="CU4031">
        <v>0</v>
      </c>
      <c r="CV4031">
        <v>7</v>
      </c>
      <c r="CW4031" t="s">
        <v>120</v>
      </c>
      <c r="CX4031">
        <v>257</v>
      </c>
      <c r="CY4031">
        <v>0</v>
      </c>
      <c r="CZ4031" t="s">
        <v>615</v>
      </c>
      <c r="DA4031" t="s">
        <v>616</v>
      </c>
      <c r="DD4031">
        <v>16650701</v>
      </c>
      <c r="DE4031" t="s">
        <v>123</v>
      </c>
    </row>
    <row r="4032" spans="1:109" x14ac:dyDescent="0.3">
      <c r="A4032" t="str">
        <f>"19:42:19.797"</f>
        <v>19:42:19.797</v>
      </c>
      <c r="B4032" t="s">
        <v>110</v>
      </c>
      <c r="C4032" t="str">
        <f t="shared" si="189"/>
        <v>ffdfd3c0</v>
      </c>
      <c r="D4032" t="s">
        <v>111</v>
      </c>
      <c r="E4032">
        <v>18</v>
      </c>
      <c r="F4032">
        <v>1018</v>
      </c>
      <c r="G4032" t="s">
        <v>112</v>
      </c>
      <c r="J4032" t="s">
        <v>113</v>
      </c>
      <c r="K4032">
        <v>0</v>
      </c>
      <c r="L4032">
        <v>3</v>
      </c>
      <c r="M4032">
        <v>0</v>
      </c>
      <c r="N4032">
        <v>2</v>
      </c>
      <c r="O4032">
        <v>1</v>
      </c>
      <c r="P4032">
        <v>0</v>
      </c>
      <c r="Q4032">
        <v>0</v>
      </c>
      <c r="R4032" t="s">
        <v>114</v>
      </c>
      <c r="S4032" t="str">
        <f>"19:42:19.531"</f>
        <v>19:42:19.531</v>
      </c>
      <c r="T4032" t="str">
        <f>"19:42:19.531"</f>
        <v>19:42:19.531</v>
      </c>
      <c r="U4032" t="str">
        <f t="shared" si="187"/>
        <v>a1cdbe</v>
      </c>
      <c r="V4032">
        <v>0</v>
      </c>
      <c r="W4032">
        <v>0</v>
      </c>
      <c r="X4032">
        <v>2</v>
      </c>
      <c r="Y4032">
        <v>0</v>
      </c>
      <c r="Z4032">
        <v>0</v>
      </c>
      <c r="AB4032">
        <v>0</v>
      </c>
      <c r="AC4032">
        <v>9</v>
      </c>
      <c r="AD4032">
        <v>3</v>
      </c>
      <c r="AE4032">
        <v>0</v>
      </c>
      <c r="AF4032">
        <v>9</v>
      </c>
      <c r="AG4032" t="s">
        <v>115</v>
      </c>
      <c r="AH4032">
        <v>0</v>
      </c>
      <c r="AI4032">
        <v>0</v>
      </c>
      <c r="AJ4032">
        <v>1</v>
      </c>
      <c r="AK4032">
        <v>0</v>
      </c>
      <c r="AL4032" t="s">
        <v>7551</v>
      </c>
      <c r="AM4032">
        <v>47.061974999999997</v>
      </c>
      <c r="AN4032" t="s">
        <v>7570</v>
      </c>
      <c r="AO4032">
        <v>-123.985713</v>
      </c>
      <c r="AP4032">
        <v>100</v>
      </c>
      <c r="AQ4032">
        <v>0</v>
      </c>
      <c r="AR4032" t="s">
        <v>118</v>
      </c>
      <c r="AS4032">
        <v>53</v>
      </c>
      <c r="AT4032">
        <v>1</v>
      </c>
      <c r="AU4032">
        <v>-64</v>
      </c>
      <c r="BC4032">
        <v>1200</v>
      </c>
      <c r="BD4032">
        <v>1</v>
      </c>
      <c r="BE4032" t="str">
        <f t="shared" si="188"/>
        <v xml:space="preserve">N215T   </v>
      </c>
      <c r="BF4032">
        <v>1</v>
      </c>
      <c r="BH4032">
        <v>0</v>
      </c>
      <c r="BI4032">
        <v>0</v>
      </c>
      <c r="BJ4032">
        <v>0</v>
      </c>
      <c r="BK4032">
        <v>250</v>
      </c>
      <c r="BL4032">
        <v>250</v>
      </c>
      <c r="BM4032" t="s">
        <v>119</v>
      </c>
      <c r="BN4032">
        <v>1</v>
      </c>
      <c r="BO4032">
        <v>1</v>
      </c>
      <c r="BP4032">
        <v>1</v>
      </c>
      <c r="BQ4032">
        <v>0</v>
      </c>
      <c r="BT4032">
        <v>0</v>
      </c>
      <c r="BU4032">
        <v>0</v>
      </c>
      <c r="BV4032">
        <v>0</v>
      </c>
      <c r="CC4032" t="str">
        <f>"19:42:19.531"</f>
        <v>19:42:19.531</v>
      </c>
      <c r="CD4032" t="str">
        <f>"534132654"</f>
        <v>534132654</v>
      </c>
      <c r="CQ4032">
        <v>0</v>
      </c>
      <c r="CR4032">
        <v>2</v>
      </c>
      <c r="CS4032">
        <v>0</v>
      </c>
      <c r="CT4032">
        <v>2</v>
      </c>
      <c r="CU4032">
        <v>0</v>
      </c>
      <c r="CV4032">
        <v>7</v>
      </c>
      <c r="CW4032" t="s">
        <v>120</v>
      </c>
      <c r="CX4032">
        <v>257</v>
      </c>
      <c r="CY4032">
        <v>0</v>
      </c>
      <c r="CZ4032" t="s">
        <v>615</v>
      </c>
      <c r="DA4032" t="s">
        <v>616</v>
      </c>
      <c r="DD4032">
        <v>16651007</v>
      </c>
      <c r="DE4032" t="s">
        <v>123</v>
      </c>
    </row>
    <row r="4033" spans="1:109" x14ac:dyDescent="0.3">
      <c r="A4033" t="str">
        <f>"19:42:20.898"</f>
        <v>19:42:20.898</v>
      </c>
      <c r="B4033" t="s">
        <v>110</v>
      </c>
      <c r="C4033" t="str">
        <f t="shared" si="189"/>
        <v>ffdfd3c0</v>
      </c>
      <c r="D4033" t="s">
        <v>111</v>
      </c>
      <c r="E4033">
        <v>18</v>
      </c>
      <c r="F4033">
        <v>1018</v>
      </c>
      <c r="G4033" t="s">
        <v>112</v>
      </c>
      <c r="J4033" t="s">
        <v>113</v>
      </c>
      <c r="K4033">
        <v>0</v>
      </c>
      <c r="L4033">
        <v>3</v>
      </c>
      <c r="M4033">
        <v>0</v>
      </c>
      <c r="N4033">
        <v>2</v>
      </c>
      <c r="O4033">
        <v>1</v>
      </c>
      <c r="P4033">
        <v>0</v>
      </c>
      <c r="Q4033">
        <v>0</v>
      </c>
      <c r="R4033" t="s">
        <v>114</v>
      </c>
      <c r="S4033" t="str">
        <f>"19:42:20.609"</f>
        <v>19:42:20.609</v>
      </c>
      <c r="T4033" t="str">
        <f>"19:42:20.609"</f>
        <v>19:42:20.609</v>
      </c>
      <c r="U4033" t="str">
        <f t="shared" si="187"/>
        <v>a1cdbe</v>
      </c>
      <c r="V4033">
        <v>0</v>
      </c>
      <c r="W4033">
        <v>0</v>
      </c>
      <c r="X4033">
        <v>2</v>
      </c>
      <c r="Y4033">
        <v>0</v>
      </c>
      <c r="Z4033">
        <v>0</v>
      </c>
      <c r="AB4033">
        <v>0</v>
      </c>
      <c r="AC4033">
        <v>9</v>
      </c>
      <c r="AD4033">
        <v>3</v>
      </c>
      <c r="AE4033">
        <v>0</v>
      </c>
      <c r="AF4033">
        <v>9</v>
      </c>
      <c r="AG4033" t="s">
        <v>115</v>
      </c>
      <c r="AH4033">
        <v>0</v>
      </c>
      <c r="AI4033">
        <v>0</v>
      </c>
      <c r="AJ4033">
        <v>1</v>
      </c>
      <c r="AK4033">
        <v>0</v>
      </c>
      <c r="AL4033" t="s">
        <v>7551</v>
      </c>
      <c r="AM4033">
        <v>47.061974999999997</v>
      </c>
      <c r="AN4033" t="s">
        <v>7571</v>
      </c>
      <c r="AO4033">
        <v>-123.985283</v>
      </c>
      <c r="AP4033">
        <v>100</v>
      </c>
      <c r="AQ4033">
        <v>-100</v>
      </c>
      <c r="AR4033" t="s">
        <v>118</v>
      </c>
      <c r="AS4033">
        <v>53</v>
      </c>
      <c r="AT4033">
        <v>1</v>
      </c>
      <c r="AU4033">
        <v>-64</v>
      </c>
      <c r="BC4033">
        <v>1200</v>
      </c>
      <c r="BD4033">
        <v>1</v>
      </c>
      <c r="BE4033" t="str">
        <f t="shared" si="188"/>
        <v xml:space="preserve">N215T   </v>
      </c>
      <c r="BF4033">
        <v>1</v>
      </c>
      <c r="BH4033">
        <v>0</v>
      </c>
      <c r="BI4033">
        <v>0</v>
      </c>
      <c r="BJ4033">
        <v>0</v>
      </c>
      <c r="BK4033">
        <v>350</v>
      </c>
      <c r="BL4033">
        <v>450</v>
      </c>
      <c r="BM4033" t="s">
        <v>119</v>
      </c>
      <c r="BN4033">
        <v>1</v>
      </c>
      <c r="BO4033">
        <v>1</v>
      </c>
      <c r="BP4033">
        <v>1</v>
      </c>
      <c r="BQ4033">
        <v>0</v>
      </c>
      <c r="BT4033">
        <v>0</v>
      </c>
      <c r="BU4033">
        <v>0</v>
      </c>
      <c r="BV4033">
        <v>0</v>
      </c>
      <c r="CC4033" t="str">
        <f>"19:42:20.617"</f>
        <v>19:42:20.617</v>
      </c>
      <c r="CD4033" t="str">
        <f>"614026193"</f>
        <v>614026193</v>
      </c>
      <c r="CQ4033">
        <v>0</v>
      </c>
      <c r="CR4033">
        <v>2</v>
      </c>
      <c r="CS4033">
        <v>0</v>
      </c>
      <c r="CT4033">
        <v>2</v>
      </c>
      <c r="CU4033">
        <v>0</v>
      </c>
      <c r="CV4033">
        <v>6</v>
      </c>
      <c r="CW4033" t="s">
        <v>120</v>
      </c>
      <c r="CX4033">
        <v>257</v>
      </c>
      <c r="CY4033">
        <v>0</v>
      </c>
      <c r="CZ4033" t="s">
        <v>615</v>
      </c>
      <c r="DA4033" t="s">
        <v>616</v>
      </c>
      <c r="DD4033">
        <v>16651308</v>
      </c>
      <c r="DE4033" t="s">
        <v>123</v>
      </c>
    </row>
    <row r="4034" spans="1:109" x14ac:dyDescent="0.3">
      <c r="A4034" t="str">
        <f>"19:42:21.859"</f>
        <v>19:42:21.859</v>
      </c>
      <c r="B4034" t="s">
        <v>110</v>
      </c>
      <c r="C4034" t="str">
        <f t="shared" si="189"/>
        <v>ffdfd3c0</v>
      </c>
      <c r="D4034" t="s">
        <v>111</v>
      </c>
      <c r="E4034">
        <v>18</v>
      </c>
      <c r="F4034">
        <v>1018</v>
      </c>
      <c r="G4034" t="s">
        <v>112</v>
      </c>
      <c r="J4034" t="s">
        <v>113</v>
      </c>
      <c r="K4034">
        <v>0</v>
      </c>
      <c r="L4034">
        <v>3</v>
      </c>
      <c r="M4034">
        <v>0</v>
      </c>
      <c r="N4034">
        <v>2</v>
      </c>
      <c r="O4034">
        <v>1</v>
      </c>
      <c r="P4034">
        <v>0</v>
      </c>
      <c r="Q4034">
        <v>0</v>
      </c>
      <c r="R4034" t="s">
        <v>114</v>
      </c>
      <c r="S4034" t="str">
        <f>"19:42:21.617"</f>
        <v>19:42:21.617</v>
      </c>
      <c r="T4034" t="str">
        <f>"19:42:21.219"</f>
        <v>19:42:21.219</v>
      </c>
      <c r="U4034" t="str">
        <f t="shared" ref="U4034:U4097" si="190">"a1cdbe"</f>
        <v>a1cdbe</v>
      </c>
      <c r="V4034">
        <v>0</v>
      </c>
      <c r="W4034">
        <v>0</v>
      </c>
      <c r="X4034">
        <v>2</v>
      </c>
      <c r="Y4034">
        <v>0</v>
      </c>
      <c r="Z4034">
        <v>0</v>
      </c>
      <c r="AB4034">
        <v>0</v>
      </c>
      <c r="AC4034">
        <v>9</v>
      </c>
      <c r="AD4034">
        <v>3</v>
      </c>
      <c r="AE4034">
        <v>0</v>
      </c>
      <c r="AF4034">
        <v>9</v>
      </c>
      <c r="AG4034" t="s">
        <v>115</v>
      </c>
      <c r="AH4034">
        <v>0</v>
      </c>
      <c r="AI4034">
        <v>0</v>
      </c>
      <c r="AJ4034">
        <v>1</v>
      </c>
      <c r="AK4034">
        <v>0</v>
      </c>
      <c r="AL4034" t="s">
        <v>7563</v>
      </c>
      <c r="AM4034">
        <v>47.061996000000001</v>
      </c>
      <c r="AN4034" t="s">
        <v>7572</v>
      </c>
      <c r="AO4034">
        <v>-123.984962</v>
      </c>
      <c r="AP4034">
        <v>100</v>
      </c>
      <c r="AQ4034">
        <v>-100</v>
      </c>
      <c r="AR4034" t="s">
        <v>118</v>
      </c>
      <c r="AS4034">
        <v>52</v>
      </c>
      <c r="AT4034">
        <v>2</v>
      </c>
      <c r="AU4034">
        <v>64</v>
      </c>
      <c r="BC4034">
        <v>1200</v>
      </c>
      <c r="BD4034">
        <v>1</v>
      </c>
      <c r="BE4034" t="str">
        <f t="shared" ref="BE4034:BE4097" si="191">"N215T   "</f>
        <v xml:space="preserve">N215T   </v>
      </c>
      <c r="BF4034">
        <v>1</v>
      </c>
      <c r="BH4034">
        <v>0</v>
      </c>
      <c r="BI4034">
        <v>0</v>
      </c>
      <c r="BJ4034">
        <v>0</v>
      </c>
      <c r="BK4034">
        <v>350</v>
      </c>
      <c r="BL4034">
        <v>450</v>
      </c>
      <c r="BM4034" t="s">
        <v>119</v>
      </c>
      <c r="BN4034">
        <v>1</v>
      </c>
      <c r="BO4034">
        <v>1</v>
      </c>
      <c r="BP4034">
        <v>1</v>
      </c>
      <c r="BQ4034">
        <v>0</v>
      </c>
      <c r="BT4034">
        <v>0</v>
      </c>
      <c r="BU4034">
        <v>0</v>
      </c>
      <c r="BV4034">
        <v>0</v>
      </c>
      <c r="CC4034" t="str">
        <f>"19:42:21.617"</f>
        <v>19:42:21.617</v>
      </c>
      <c r="CD4034" t="str">
        <f>"618927128"</f>
        <v>618927128</v>
      </c>
      <c r="CQ4034">
        <v>0</v>
      </c>
      <c r="CR4034">
        <v>2</v>
      </c>
      <c r="CS4034">
        <v>0</v>
      </c>
      <c r="CT4034">
        <v>2</v>
      </c>
      <c r="CU4034">
        <v>0</v>
      </c>
      <c r="CV4034">
        <v>5</v>
      </c>
      <c r="CW4034" t="s">
        <v>120</v>
      </c>
      <c r="CX4034">
        <v>257</v>
      </c>
      <c r="CY4034">
        <v>0</v>
      </c>
      <c r="CZ4034" t="s">
        <v>615</v>
      </c>
      <c r="DA4034" t="s">
        <v>616</v>
      </c>
      <c r="DD4034">
        <v>16651643</v>
      </c>
      <c r="DE4034" t="s">
        <v>123</v>
      </c>
    </row>
    <row r="4035" spans="1:109" x14ac:dyDescent="0.3">
      <c r="A4035" t="str">
        <f>"19:42:22.961"</f>
        <v>19:42:22.961</v>
      </c>
      <c r="B4035" t="s">
        <v>110</v>
      </c>
      <c r="C4035" t="str">
        <f t="shared" si="189"/>
        <v>ffdfd3c0</v>
      </c>
      <c r="D4035" t="s">
        <v>111</v>
      </c>
      <c r="E4035">
        <v>18</v>
      </c>
      <c r="F4035">
        <v>1018</v>
      </c>
      <c r="G4035" t="s">
        <v>112</v>
      </c>
      <c r="J4035" t="s">
        <v>113</v>
      </c>
      <c r="K4035">
        <v>0</v>
      </c>
      <c r="L4035">
        <v>3</v>
      </c>
      <c r="M4035">
        <v>0</v>
      </c>
      <c r="N4035">
        <v>2</v>
      </c>
      <c r="O4035">
        <v>1</v>
      </c>
      <c r="P4035">
        <v>0</v>
      </c>
      <c r="Q4035">
        <v>0</v>
      </c>
      <c r="R4035" t="s">
        <v>114</v>
      </c>
      <c r="S4035" t="str">
        <f>"19:42:22.727"</f>
        <v>19:42:22.727</v>
      </c>
      <c r="T4035" t="str">
        <f>"19:42:22.625"</f>
        <v>19:42:22.625</v>
      </c>
      <c r="U4035" t="str">
        <f t="shared" si="190"/>
        <v>a1cdbe</v>
      </c>
      <c r="V4035">
        <v>0</v>
      </c>
      <c r="W4035">
        <v>0</v>
      </c>
      <c r="X4035">
        <v>2</v>
      </c>
      <c r="Y4035">
        <v>0</v>
      </c>
      <c r="Z4035">
        <v>0</v>
      </c>
      <c r="AB4035">
        <v>0</v>
      </c>
      <c r="AC4035">
        <v>9</v>
      </c>
      <c r="AD4035">
        <v>3</v>
      </c>
      <c r="AE4035">
        <v>0</v>
      </c>
      <c r="AF4035">
        <v>9</v>
      </c>
      <c r="AG4035" t="s">
        <v>115</v>
      </c>
      <c r="AH4035">
        <v>0</v>
      </c>
      <c r="AI4035">
        <v>0</v>
      </c>
      <c r="AJ4035">
        <v>1</v>
      </c>
      <c r="AK4035">
        <v>0</v>
      </c>
      <c r="AL4035" t="s">
        <v>498</v>
      </c>
      <c r="AM4035">
        <v>47.062038999999999</v>
      </c>
      <c r="AN4035" t="s">
        <v>7573</v>
      </c>
      <c r="AO4035">
        <v>-123.98459699999999</v>
      </c>
      <c r="AP4035">
        <v>100</v>
      </c>
      <c r="AQ4035">
        <v>0</v>
      </c>
      <c r="AR4035" t="s">
        <v>118</v>
      </c>
      <c r="AS4035">
        <v>51</v>
      </c>
      <c r="AT4035">
        <v>8</v>
      </c>
      <c r="AU4035">
        <v>512</v>
      </c>
      <c r="BC4035">
        <v>1200</v>
      </c>
      <c r="BD4035">
        <v>1</v>
      </c>
      <c r="BE4035" t="str">
        <f t="shared" si="191"/>
        <v xml:space="preserve">N215T   </v>
      </c>
      <c r="BF4035">
        <v>1</v>
      </c>
      <c r="BH4035">
        <v>0</v>
      </c>
      <c r="BI4035">
        <v>0</v>
      </c>
      <c r="BJ4035">
        <v>0</v>
      </c>
      <c r="BK4035">
        <v>350</v>
      </c>
      <c r="BL4035">
        <v>350</v>
      </c>
      <c r="BM4035" t="s">
        <v>119</v>
      </c>
      <c r="BN4035">
        <v>1</v>
      </c>
      <c r="BO4035">
        <v>1</v>
      </c>
      <c r="BP4035">
        <v>1</v>
      </c>
      <c r="BQ4035">
        <v>0</v>
      </c>
      <c r="BT4035">
        <v>0</v>
      </c>
      <c r="BU4035">
        <v>0</v>
      </c>
      <c r="BV4035">
        <v>0</v>
      </c>
      <c r="CC4035" t="str">
        <f>"19:42:22.727"</f>
        <v>19:42:22.727</v>
      </c>
      <c r="CD4035" t="str">
        <f>"728817760"</f>
        <v>728817760</v>
      </c>
      <c r="CQ4035">
        <v>0</v>
      </c>
      <c r="CR4035">
        <v>2</v>
      </c>
      <c r="CS4035">
        <v>0</v>
      </c>
      <c r="CT4035">
        <v>2</v>
      </c>
      <c r="CU4035">
        <v>0</v>
      </c>
      <c r="CV4035">
        <v>5</v>
      </c>
      <c r="CW4035" t="s">
        <v>120</v>
      </c>
      <c r="CX4035">
        <v>257</v>
      </c>
      <c r="CY4035">
        <v>0</v>
      </c>
      <c r="CZ4035" t="s">
        <v>615</v>
      </c>
      <c r="DA4035" t="s">
        <v>616</v>
      </c>
      <c r="DD4035">
        <v>16651989</v>
      </c>
      <c r="DE4035" t="s">
        <v>123</v>
      </c>
    </row>
    <row r="4036" spans="1:109" x14ac:dyDescent="0.3">
      <c r="A4036" t="str">
        <f>"19:42:23.820"</f>
        <v>19:42:23.820</v>
      </c>
      <c r="B4036" t="s">
        <v>110</v>
      </c>
      <c r="C4036" t="str">
        <f t="shared" si="189"/>
        <v>ffdfd3c0</v>
      </c>
      <c r="D4036" t="s">
        <v>111</v>
      </c>
      <c r="E4036">
        <v>18</v>
      </c>
      <c r="F4036">
        <v>1018</v>
      </c>
      <c r="G4036" t="s">
        <v>112</v>
      </c>
      <c r="J4036" t="s">
        <v>113</v>
      </c>
      <c r="K4036">
        <v>0</v>
      </c>
      <c r="L4036">
        <v>3</v>
      </c>
      <c r="M4036">
        <v>0</v>
      </c>
      <c r="N4036">
        <v>2</v>
      </c>
      <c r="O4036">
        <v>1</v>
      </c>
      <c r="P4036">
        <v>0</v>
      </c>
      <c r="Q4036">
        <v>0</v>
      </c>
      <c r="R4036" t="s">
        <v>114</v>
      </c>
      <c r="S4036" t="str">
        <f>"19:42:23.563"</f>
        <v>19:42:23.563</v>
      </c>
      <c r="T4036" t="str">
        <f>"19:42:23.563"</f>
        <v>19:42:23.563</v>
      </c>
      <c r="U4036" t="str">
        <f t="shared" si="190"/>
        <v>a1cdbe</v>
      </c>
      <c r="V4036">
        <v>0</v>
      </c>
      <c r="W4036">
        <v>0</v>
      </c>
      <c r="X4036">
        <v>2</v>
      </c>
      <c r="Y4036">
        <v>0</v>
      </c>
      <c r="Z4036">
        <v>0</v>
      </c>
      <c r="AB4036">
        <v>0</v>
      </c>
      <c r="AC4036">
        <v>9</v>
      </c>
      <c r="AD4036">
        <v>3</v>
      </c>
      <c r="AE4036">
        <v>0</v>
      </c>
      <c r="AF4036">
        <v>9</v>
      </c>
      <c r="AG4036" t="s">
        <v>115</v>
      </c>
      <c r="AH4036">
        <v>0</v>
      </c>
      <c r="AI4036">
        <v>0</v>
      </c>
      <c r="AJ4036">
        <v>1</v>
      </c>
      <c r="AK4036">
        <v>0</v>
      </c>
      <c r="AL4036" t="s">
        <v>7416</v>
      </c>
      <c r="AM4036">
        <v>47.062081999999997</v>
      </c>
      <c r="AN4036" t="s">
        <v>7574</v>
      </c>
      <c r="AO4036">
        <v>-123.984275</v>
      </c>
      <c r="AP4036">
        <v>100</v>
      </c>
      <c r="AQ4036">
        <v>0</v>
      </c>
      <c r="AR4036" t="s">
        <v>118</v>
      </c>
      <c r="AS4036">
        <v>49</v>
      </c>
      <c r="AT4036">
        <v>11</v>
      </c>
      <c r="AU4036">
        <v>448</v>
      </c>
      <c r="BC4036">
        <v>1200</v>
      </c>
      <c r="BD4036">
        <v>1</v>
      </c>
      <c r="BE4036" t="str">
        <f t="shared" si="191"/>
        <v xml:space="preserve">N215T   </v>
      </c>
      <c r="BF4036">
        <v>1</v>
      </c>
      <c r="BH4036">
        <v>0</v>
      </c>
      <c r="BI4036">
        <v>0</v>
      </c>
      <c r="BJ4036">
        <v>0</v>
      </c>
      <c r="BK4036">
        <v>375</v>
      </c>
      <c r="BL4036">
        <v>375</v>
      </c>
      <c r="BM4036" t="s">
        <v>119</v>
      </c>
      <c r="BN4036">
        <v>1</v>
      </c>
      <c r="BO4036">
        <v>1</v>
      </c>
      <c r="BP4036">
        <v>1</v>
      </c>
      <c r="BQ4036">
        <v>0</v>
      </c>
      <c r="BT4036">
        <v>0</v>
      </c>
      <c r="BU4036">
        <v>0</v>
      </c>
      <c r="BV4036">
        <v>0</v>
      </c>
      <c r="CC4036" t="str">
        <f>"19:42:23.570"</f>
        <v>19:42:23.570</v>
      </c>
      <c r="CD4036" t="str">
        <f>"568734973"</f>
        <v>568734973</v>
      </c>
      <c r="CQ4036">
        <v>0</v>
      </c>
      <c r="CR4036">
        <v>2</v>
      </c>
      <c r="CS4036">
        <v>0</v>
      </c>
      <c r="CT4036">
        <v>2</v>
      </c>
      <c r="CU4036">
        <v>0</v>
      </c>
      <c r="CV4036">
        <v>5</v>
      </c>
      <c r="CW4036" t="s">
        <v>120</v>
      </c>
      <c r="CX4036">
        <v>257</v>
      </c>
      <c r="CY4036">
        <v>0</v>
      </c>
      <c r="CZ4036" t="s">
        <v>615</v>
      </c>
      <c r="DA4036" t="s">
        <v>616</v>
      </c>
      <c r="DD4036">
        <v>16652259</v>
      </c>
      <c r="DE4036" t="s">
        <v>123</v>
      </c>
    </row>
    <row r="4037" spans="1:109" x14ac:dyDescent="0.3">
      <c r="A4037" t="str">
        <f>"19:42:24.820"</f>
        <v>19:42:24.820</v>
      </c>
      <c r="B4037" t="s">
        <v>110</v>
      </c>
      <c r="C4037" t="str">
        <f t="shared" si="189"/>
        <v>ffdfd3c0</v>
      </c>
      <c r="D4037" t="s">
        <v>111</v>
      </c>
      <c r="E4037">
        <v>18</v>
      </c>
      <c r="F4037">
        <v>1018</v>
      </c>
      <c r="G4037" t="s">
        <v>112</v>
      </c>
      <c r="J4037" t="s">
        <v>113</v>
      </c>
      <c r="K4037">
        <v>0</v>
      </c>
      <c r="L4037">
        <v>3</v>
      </c>
      <c r="M4037">
        <v>0</v>
      </c>
      <c r="N4037">
        <v>2</v>
      </c>
      <c r="O4037">
        <v>1</v>
      </c>
      <c r="P4037">
        <v>0</v>
      </c>
      <c r="Q4037">
        <v>0</v>
      </c>
      <c r="R4037" t="s">
        <v>114</v>
      </c>
      <c r="S4037" t="str">
        <f>"19:42:24.539"</f>
        <v>19:42:24.539</v>
      </c>
      <c r="T4037" t="str">
        <f>"19:42:24.039"</f>
        <v>19:42:24.039</v>
      </c>
      <c r="U4037" t="str">
        <f t="shared" si="190"/>
        <v>a1cdbe</v>
      </c>
      <c r="V4037">
        <v>0</v>
      </c>
      <c r="W4037">
        <v>0</v>
      </c>
      <c r="X4037">
        <v>2</v>
      </c>
      <c r="Y4037">
        <v>0</v>
      </c>
      <c r="Z4037">
        <v>0</v>
      </c>
      <c r="AB4037">
        <v>0</v>
      </c>
      <c r="AC4037">
        <v>9</v>
      </c>
      <c r="AD4037">
        <v>3</v>
      </c>
      <c r="AE4037">
        <v>0</v>
      </c>
      <c r="AF4037">
        <v>9</v>
      </c>
      <c r="AG4037" t="s">
        <v>115</v>
      </c>
      <c r="AH4037">
        <v>0</v>
      </c>
      <c r="AI4037">
        <v>0</v>
      </c>
      <c r="AJ4037">
        <v>1</v>
      </c>
      <c r="AK4037">
        <v>0</v>
      </c>
      <c r="AL4037" t="s">
        <v>7523</v>
      </c>
      <c r="AM4037">
        <v>47.062125000000002</v>
      </c>
      <c r="AN4037" t="s">
        <v>7575</v>
      </c>
      <c r="AO4037">
        <v>-123.98401699999999</v>
      </c>
      <c r="AP4037">
        <v>100</v>
      </c>
      <c r="AQ4037">
        <v>0</v>
      </c>
      <c r="AR4037" t="s">
        <v>118</v>
      </c>
      <c r="AS4037">
        <v>48</v>
      </c>
      <c r="AT4037">
        <v>13</v>
      </c>
      <c r="AU4037">
        <v>448</v>
      </c>
      <c r="BC4037">
        <v>1200</v>
      </c>
      <c r="BD4037">
        <v>1</v>
      </c>
      <c r="BE4037" t="str">
        <f t="shared" si="191"/>
        <v xml:space="preserve">N215T   </v>
      </c>
      <c r="BF4037">
        <v>1</v>
      </c>
      <c r="BH4037">
        <v>0</v>
      </c>
      <c r="BI4037">
        <v>0</v>
      </c>
      <c r="BJ4037">
        <v>0</v>
      </c>
      <c r="BK4037">
        <v>375</v>
      </c>
      <c r="BL4037">
        <v>375</v>
      </c>
      <c r="BM4037" t="s">
        <v>119</v>
      </c>
      <c r="BN4037">
        <v>1</v>
      </c>
      <c r="BO4037">
        <v>1</v>
      </c>
      <c r="BP4037">
        <v>1</v>
      </c>
      <c r="BQ4037">
        <v>0</v>
      </c>
      <c r="BT4037">
        <v>0</v>
      </c>
      <c r="BU4037">
        <v>0</v>
      </c>
      <c r="BV4037">
        <v>0</v>
      </c>
      <c r="CC4037" t="str">
        <f>"19:42:24.547"</f>
        <v>19:42:24.547</v>
      </c>
      <c r="CD4037" t="str">
        <f>"543638903"</f>
        <v>543638903</v>
      </c>
      <c r="CQ4037">
        <v>0</v>
      </c>
      <c r="CR4037">
        <v>2</v>
      </c>
      <c r="CS4037">
        <v>0</v>
      </c>
      <c r="CT4037">
        <v>2</v>
      </c>
      <c r="CU4037">
        <v>0</v>
      </c>
      <c r="CV4037">
        <v>6</v>
      </c>
      <c r="CW4037" t="s">
        <v>120</v>
      </c>
      <c r="CX4037">
        <v>257</v>
      </c>
      <c r="CY4037">
        <v>0</v>
      </c>
      <c r="CZ4037" t="s">
        <v>615</v>
      </c>
      <c r="DA4037" t="s">
        <v>616</v>
      </c>
      <c r="DD4037">
        <v>16652577</v>
      </c>
      <c r="DE4037" t="s">
        <v>123</v>
      </c>
    </row>
    <row r="4038" spans="1:109" x14ac:dyDescent="0.3">
      <c r="A4038" t="str">
        <f>"19:42:25.781"</f>
        <v>19:42:25.781</v>
      </c>
      <c r="B4038" t="s">
        <v>110</v>
      </c>
      <c r="C4038" t="str">
        <f t="shared" si="189"/>
        <v>ffdfd3c0</v>
      </c>
      <c r="D4038" t="s">
        <v>111</v>
      </c>
      <c r="E4038">
        <v>18</v>
      </c>
      <c r="F4038">
        <v>1018</v>
      </c>
      <c r="G4038" t="s">
        <v>112</v>
      </c>
      <c r="J4038" t="s">
        <v>113</v>
      </c>
      <c r="K4038">
        <v>0</v>
      </c>
      <c r="L4038">
        <v>3</v>
      </c>
      <c r="M4038">
        <v>0</v>
      </c>
      <c r="N4038">
        <v>2</v>
      </c>
      <c r="O4038">
        <v>1</v>
      </c>
      <c r="P4038">
        <v>0</v>
      </c>
      <c r="Q4038">
        <v>0</v>
      </c>
      <c r="R4038" t="s">
        <v>114</v>
      </c>
      <c r="S4038" t="str">
        <f>"19:42:25.547"</f>
        <v>19:42:25.547</v>
      </c>
      <c r="T4038" t="str">
        <f>"19:42:25.148"</f>
        <v>19:42:25.148</v>
      </c>
      <c r="U4038" t="str">
        <f t="shared" si="190"/>
        <v>a1cdbe</v>
      </c>
      <c r="V4038">
        <v>0</v>
      </c>
      <c r="W4038">
        <v>0</v>
      </c>
      <c r="X4038">
        <v>2</v>
      </c>
      <c r="Y4038">
        <v>0</v>
      </c>
      <c r="Z4038">
        <v>0</v>
      </c>
      <c r="AB4038">
        <v>0</v>
      </c>
      <c r="AC4038">
        <v>9</v>
      </c>
      <c r="AD4038">
        <v>3</v>
      </c>
      <c r="AE4038">
        <v>0</v>
      </c>
      <c r="AF4038">
        <v>9</v>
      </c>
      <c r="AG4038" t="s">
        <v>115</v>
      </c>
      <c r="AH4038">
        <v>0</v>
      </c>
      <c r="AI4038">
        <v>0</v>
      </c>
      <c r="AJ4038">
        <v>1</v>
      </c>
      <c r="AK4038">
        <v>0</v>
      </c>
      <c r="AL4038" t="s">
        <v>7576</v>
      </c>
      <c r="AM4038">
        <v>47.062210999999998</v>
      </c>
      <c r="AN4038" t="s">
        <v>7577</v>
      </c>
      <c r="AO4038">
        <v>-123.98367399999999</v>
      </c>
      <c r="AP4038">
        <v>100</v>
      </c>
      <c r="AQ4038">
        <v>0</v>
      </c>
      <c r="AR4038" t="s">
        <v>118</v>
      </c>
      <c r="AS4038">
        <v>44</v>
      </c>
      <c r="AT4038">
        <v>17</v>
      </c>
      <c r="AU4038">
        <v>320</v>
      </c>
      <c r="BC4038">
        <v>1200</v>
      </c>
      <c r="BD4038">
        <v>1</v>
      </c>
      <c r="BE4038" t="str">
        <f t="shared" si="191"/>
        <v xml:space="preserve">N215T   </v>
      </c>
      <c r="BF4038">
        <v>1</v>
      </c>
      <c r="BH4038">
        <v>0</v>
      </c>
      <c r="BI4038">
        <v>0</v>
      </c>
      <c r="BJ4038">
        <v>0</v>
      </c>
      <c r="BK4038">
        <v>375</v>
      </c>
      <c r="BL4038">
        <v>375</v>
      </c>
      <c r="BM4038" t="s">
        <v>119</v>
      </c>
      <c r="BN4038">
        <v>1</v>
      </c>
      <c r="BO4038">
        <v>1</v>
      </c>
      <c r="BP4038">
        <v>1</v>
      </c>
      <c r="BQ4038">
        <v>0</v>
      </c>
      <c r="BT4038">
        <v>0</v>
      </c>
      <c r="BU4038">
        <v>0</v>
      </c>
      <c r="BV4038">
        <v>0</v>
      </c>
      <c r="CC4038" t="str">
        <f>"19:42:25.547"</f>
        <v>19:42:25.547</v>
      </c>
      <c r="CD4038" t="str">
        <f>"548539888"</f>
        <v>548539888</v>
      </c>
      <c r="CQ4038">
        <v>0</v>
      </c>
      <c r="CR4038">
        <v>2</v>
      </c>
      <c r="CS4038">
        <v>0</v>
      </c>
      <c r="CT4038">
        <v>2</v>
      </c>
      <c r="CU4038">
        <v>0</v>
      </c>
      <c r="CV4038">
        <v>6</v>
      </c>
      <c r="CW4038" t="s">
        <v>120</v>
      </c>
      <c r="CX4038">
        <v>257</v>
      </c>
      <c r="CY4038">
        <v>0</v>
      </c>
      <c r="CZ4038" t="s">
        <v>615</v>
      </c>
      <c r="DA4038" t="s">
        <v>616</v>
      </c>
      <c r="DD4038">
        <v>16652886</v>
      </c>
      <c r="DE4038" t="s">
        <v>123</v>
      </c>
    </row>
    <row r="4039" spans="1:109" x14ac:dyDescent="0.3">
      <c r="A4039" t="str">
        <f>"19:42:26.680"</f>
        <v>19:42:26.680</v>
      </c>
      <c r="B4039" t="s">
        <v>110</v>
      </c>
      <c r="C4039" t="str">
        <f t="shared" si="189"/>
        <v>ffdfd3c0</v>
      </c>
      <c r="D4039" t="s">
        <v>111</v>
      </c>
      <c r="E4039">
        <v>18</v>
      </c>
      <c r="F4039">
        <v>1018</v>
      </c>
      <c r="G4039" t="s">
        <v>112</v>
      </c>
      <c r="J4039" t="s">
        <v>113</v>
      </c>
      <c r="K4039">
        <v>0</v>
      </c>
      <c r="L4039">
        <v>3</v>
      </c>
      <c r="M4039">
        <v>0</v>
      </c>
      <c r="N4039">
        <v>2</v>
      </c>
      <c r="O4039">
        <v>1</v>
      </c>
      <c r="P4039">
        <v>0</v>
      </c>
      <c r="Q4039">
        <v>0</v>
      </c>
      <c r="R4039" t="s">
        <v>114</v>
      </c>
      <c r="S4039" t="str">
        <f>"19:42:26.430"</f>
        <v>19:42:26.430</v>
      </c>
      <c r="T4039" t="str">
        <f>"19:42:26.133"</f>
        <v>19:42:26.133</v>
      </c>
      <c r="U4039" t="str">
        <f t="shared" si="190"/>
        <v>a1cdbe</v>
      </c>
      <c r="V4039">
        <v>0</v>
      </c>
      <c r="W4039">
        <v>0</v>
      </c>
      <c r="X4039">
        <v>2</v>
      </c>
      <c r="Y4039">
        <v>0</v>
      </c>
      <c r="Z4039">
        <v>0</v>
      </c>
      <c r="AB4039">
        <v>0</v>
      </c>
      <c r="AC4039">
        <v>9</v>
      </c>
      <c r="AD4039">
        <v>3</v>
      </c>
      <c r="AE4039">
        <v>0</v>
      </c>
      <c r="AF4039">
        <v>9</v>
      </c>
      <c r="AG4039" t="s">
        <v>115</v>
      </c>
      <c r="AH4039">
        <v>0</v>
      </c>
      <c r="AI4039">
        <v>0</v>
      </c>
      <c r="AJ4039">
        <v>1</v>
      </c>
      <c r="AK4039">
        <v>0</v>
      </c>
      <c r="AL4039" t="s">
        <v>7578</v>
      </c>
      <c r="AM4039">
        <v>47.062317999999998</v>
      </c>
      <c r="AN4039" t="s">
        <v>7579</v>
      </c>
      <c r="AO4039">
        <v>-123.983459</v>
      </c>
      <c r="AP4039">
        <v>100</v>
      </c>
      <c r="AQ4039">
        <v>0</v>
      </c>
      <c r="AR4039" t="s">
        <v>118</v>
      </c>
      <c r="AS4039">
        <v>41</v>
      </c>
      <c r="AT4039">
        <v>23</v>
      </c>
      <c r="AU4039">
        <v>192</v>
      </c>
      <c r="BC4039">
        <v>1200</v>
      </c>
      <c r="BD4039">
        <v>1</v>
      </c>
      <c r="BE4039" t="str">
        <f t="shared" si="191"/>
        <v xml:space="preserve">N215T   </v>
      </c>
      <c r="BF4039">
        <v>1</v>
      </c>
      <c r="BH4039">
        <v>0</v>
      </c>
      <c r="BI4039">
        <v>0</v>
      </c>
      <c r="BJ4039">
        <v>0</v>
      </c>
      <c r="BK4039">
        <v>375</v>
      </c>
      <c r="BL4039">
        <v>375</v>
      </c>
      <c r="BM4039" t="s">
        <v>119</v>
      </c>
      <c r="BN4039">
        <v>1</v>
      </c>
      <c r="BO4039">
        <v>1</v>
      </c>
      <c r="BP4039">
        <v>1</v>
      </c>
      <c r="BQ4039">
        <v>0</v>
      </c>
      <c r="BT4039">
        <v>0</v>
      </c>
      <c r="BU4039">
        <v>0</v>
      </c>
      <c r="BV4039">
        <v>0</v>
      </c>
      <c r="CC4039" t="str">
        <f>"19:42:26.430"</f>
        <v>19:42:26.430</v>
      </c>
      <c r="CD4039" t="str">
        <f>"433452695"</f>
        <v>433452695</v>
      </c>
      <c r="CQ4039">
        <v>0</v>
      </c>
      <c r="CR4039">
        <v>2</v>
      </c>
      <c r="CS4039">
        <v>0</v>
      </c>
      <c r="CT4039">
        <v>2</v>
      </c>
      <c r="CU4039">
        <v>0</v>
      </c>
      <c r="CV4039">
        <v>5</v>
      </c>
      <c r="CW4039" t="s">
        <v>120</v>
      </c>
      <c r="CX4039">
        <v>257</v>
      </c>
      <c r="CY4039">
        <v>0</v>
      </c>
      <c r="CZ4039" t="s">
        <v>615</v>
      </c>
      <c r="DA4039" t="s">
        <v>616</v>
      </c>
      <c r="DD4039">
        <v>16653191</v>
      </c>
      <c r="DE4039" t="s">
        <v>123</v>
      </c>
    </row>
    <row r="4040" spans="1:109" x14ac:dyDescent="0.3">
      <c r="A4040" t="str">
        <f>"19:42:27.742"</f>
        <v>19:42:27.742</v>
      </c>
      <c r="B4040" t="s">
        <v>110</v>
      </c>
      <c r="C4040" t="str">
        <f t="shared" si="189"/>
        <v>ffdfd3c0</v>
      </c>
      <c r="D4040" t="s">
        <v>111</v>
      </c>
      <c r="E4040">
        <v>18</v>
      </c>
      <c r="F4040">
        <v>1018</v>
      </c>
      <c r="G4040" t="s">
        <v>112</v>
      </c>
      <c r="J4040" t="s">
        <v>113</v>
      </c>
      <c r="K4040">
        <v>0</v>
      </c>
      <c r="L4040">
        <v>3</v>
      </c>
      <c r="M4040">
        <v>0</v>
      </c>
      <c r="N4040">
        <v>2</v>
      </c>
      <c r="O4040">
        <v>1</v>
      </c>
      <c r="P4040">
        <v>0</v>
      </c>
      <c r="Q4040">
        <v>0</v>
      </c>
      <c r="R4040" t="s">
        <v>114</v>
      </c>
      <c r="S4040" t="str">
        <f>"19:42:27.477"</f>
        <v>19:42:27.477</v>
      </c>
      <c r="T4040" t="str">
        <f>"19:42:27.078"</f>
        <v>19:42:27.078</v>
      </c>
      <c r="U4040" t="str">
        <f t="shared" si="190"/>
        <v>a1cdbe</v>
      </c>
      <c r="V4040">
        <v>0</v>
      </c>
      <c r="W4040">
        <v>0</v>
      </c>
      <c r="X4040">
        <v>2</v>
      </c>
      <c r="Y4040">
        <v>0</v>
      </c>
      <c r="Z4040">
        <v>0</v>
      </c>
      <c r="AB4040">
        <v>0</v>
      </c>
      <c r="AC4040">
        <v>9</v>
      </c>
      <c r="AD4040">
        <v>3</v>
      </c>
      <c r="AE4040">
        <v>0</v>
      </c>
      <c r="AF4040">
        <v>9</v>
      </c>
      <c r="AG4040" t="s">
        <v>115</v>
      </c>
      <c r="AH4040">
        <v>0</v>
      </c>
      <c r="AI4040">
        <v>0</v>
      </c>
      <c r="AJ4040">
        <v>1</v>
      </c>
      <c r="AK4040">
        <v>0</v>
      </c>
      <c r="AL4040" t="s">
        <v>7520</v>
      </c>
      <c r="AM4040">
        <v>47.062446999999999</v>
      </c>
      <c r="AN4040" t="s">
        <v>7580</v>
      </c>
      <c r="AO4040">
        <v>-123.983181</v>
      </c>
      <c r="AP4040">
        <v>100</v>
      </c>
      <c r="AQ4040">
        <v>0</v>
      </c>
      <c r="AR4040" t="s">
        <v>118</v>
      </c>
      <c r="AS4040">
        <v>35</v>
      </c>
      <c r="AT4040">
        <v>30</v>
      </c>
      <c r="AU4040">
        <v>0</v>
      </c>
      <c r="BC4040">
        <v>1200</v>
      </c>
      <c r="BD4040">
        <v>1</v>
      </c>
      <c r="BE4040" t="str">
        <f t="shared" si="191"/>
        <v xml:space="preserve">N215T   </v>
      </c>
      <c r="BF4040">
        <v>1</v>
      </c>
      <c r="BH4040">
        <v>0</v>
      </c>
      <c r="BI4040">
        <v>0</v>
      </c>
      <c r="BJ4040">
        <v>0</v>
      </c>
      <c r="BK4040">
        <v>375</v>
      </c>
      <c r="BL4040">
        <v>375</v>
      </c>
      <c r="BM4040" t="s">
        <v>119</v>
      </c>
      <c r="BN4040">
        <v>1</v>
      </c>
      <c r="BO4040">
        <v>1</v>
      </c>
      <c r="BP4040">
        <v>1</v>
      </c>
      <c r="BQ4040">
        <v>0</v>
      </c>
      <c r="BT4040">
        <v>0</v>
      </c>
      <c r="BU4040">
        <v>0</v>
      </c>
      <c r="BV4040">
        <v>0</v>
      </c>
      <c r="CC4040" t="str">
        <f>"19:42:27.484"</f>
        <v>19:42:27.484</v>
      </c>
      <c r="CD4040" t="str">
        <f>"483349271"</f>
        <v>483349271</v>
      </c>
      <c r="CQ4040">
        <v>0</v>
      </c>
      <c r="CR4040">
        <v>2</v>
      </c>
      <c r="CS4040">
        <v>0</v>
      </c>
      <c r="CT4040">
        <v>2</v>
      </c>
      <c r="CU4040">
        <v>0</v>
      </c>
      <c r="CV4040">
        <v>6</v>
      </c>
      <c r="CW4040" t="s">
        <v>120</v>
      </c>
      <c r="CX4040">
        <v>257</v>
      </c>
      <c r="CY4040">
        <v>0</v>
      </c>
      <c r="CZ4040" t="s">
        <v>615</v>
      </c>
      <c r="DA4040" t="s">
        <v>616</v>
      </c>
      <c r="DD4040">
        <v>16653510</v>
      </c>
      <c r="DE4040" t="s">
        <v>123</v>
      </c>
    </row>
    <row r="4041" spans="1:109" x14ac:dyDescent="0.3">
      <c r="A4041" t="str">
        <f>"19:42:28.797"</f>
        <v>19:42:28.797</v>
      </c>
      <c r="B4041" t="s">
        <v>110</v>
      </c>
      <c r="C4041" t="str">
        <f t="shared" si="189"/>
        <v>ffdfd3c0</v>
      </c>
      <c r="D4041" t="s">
        <v>111</v>
      </c>
      <c r="E4041">
        <v>18</v>
      </c>
      <c r="F4041">
        <v>1018</v>
      </c>
      <c r="G4041" t="s">
        <v>112</v>
      </c>
      <c r="J4041" t="s">
        <v>113</v>
      </c>
      <c r="K4041">
        <v>0</v>
      </c>
      <c r="L4041">
        <v>3</v>
      </c>
      <c r="M4041">
        <v>0</v>
      </c>
      <c r="N4041">
        <v>2</v>
      </c>
      <c r="O4041">
        <v>1</v>
      </c>
      <c r="P4041">
        <v>0</v>
      </c>
      <c r="Q4041">
        <v>0</v>
      </c>
      <c r="R4041" t="s">
        <v>114</v>
      </c>
      <c r="S4041" t="str">
        <f>"19:42:28.578"</f>
        <v>19:42:28.578</v>
      </c>
      <c r="T4041" t="str">
        <f>"19:42:28.477"</f>
        <v>19:42:28.477</v>
      </c>
      <c r="U4041" t="str">
        <f t="shared" si="190"/>
        <v>a1cdbe</v>
      </c>
      <c r="V4041">
        <v>0</v>
      </c>
      <c r="W4041">
        <v>0</v>
      </c>
      <c r="X4041">
        <v>2</v>
      </c>
      <c r="Y4041">
        <v>0</v>
      </c>
      <c r="Z4041">
        <v>0</v>
      </c>
      <c r="AB4041">
        <v>0</v>
      </c>
      <c r="AC4041">
        <v>9</v>
      </c>
      <c r="AD4041">
        <v>3</v>
      </c>
      <c r="AE4041">
        <v>0</v>
      </c>
      <c r="AF4041">
        <v>9</v>
      </c>
      <c r="AG4041" t="s">
        <v>115</v>
      </c>
      <c r="AH4041">
        <v>0</v>
      </c>
      <c r="AI4041">
        <v>0</v>
      </c>
      <c r="AJ4041">
        <v>1</v>
      </c>
      <c r="AK4041">
        <v>0</v>
      </c>
      <c r="AL4041" t="s">
        <v>7581</v>
      </c>
      <c r="AM4041">
        <v>47.062683</v>
      </c>
      <c r="AN4041" t="s">
        <v>7582</v>
      </c>
      <c r="AO4041">
        <v>-123.98303</v>
      </c>
      <c r="AP4041">
        <v>100</v>
      </c>
      <c r="AQ4041">
        <v>0</v>
      </c>
      <c r="AR4041" t="s">
        <v>118</v>
      </c>
      <c r="AS4041">
        <v>22</v>
      </c>
      <c r="AT4041">
        <v>41</v>
      </c>
      <c r="AU4041">
        <v>0</v>
      </c>
      <c r="BC4041">
        <v>1200</v>
      </c>
      <c r="BD4041">
        <v>1</v>
      </c>
      <c r="BE4041" t="str">
        <f t="shared" si="191"/>
        <v xml:space="preserve">N215T   </v>
      </c>
      <c r="BF4041">
        <v>1</v>
      </c>
      <c r="BH4041">
        <v>0</v>
      </c>
      <c r="BI4041">
        <v>0</v>
      </c>
      <c r="BJ4041">
        <v>0</v>
      </c>
      <c r="BK4041">
        <v>375</v>
      </c>
      <c r="BL4041">
        <v>375</v>
      </c>
      <c r="BM4041" t="s">
        <v>119</v>
      </c>
      <c r="BN4041">
        <v>1</v>
      </c>
      <c r="BO4041">
        <v>1</v>
      </c>
      <c r="BP4041">
        <v>1</v>
      </c>
      <c r="BQ4041">
        <v>0</v>
      </c>
      <c r="BT4041">
        <v>0</v>
      </c>
      <c r="BU4041">
        <v>0</v>
      </c>
      <c r="BV4041">
        <v>0</v>
      </c>
      <c r="CC4041" t="str">
        <f>"19:42:28.578"</f>
        <v>19:42:28.578</v>
      </c>
      <c r="CD4041" t="str">
        <f>"578241442"</f>
        <v>578241442</v>
      </c>
      <c r="CQ4041">
        <v>0</v>
      </c>
      <c r="CR4041">
        <v>2</v>
      </c>
      <c r="CS4041">
        <v>0</v>
      </c>
      <c r="CT4041">
        <v>2</v>
      </c>
      <c r="CU4041">
        <v>0</v>
      </c>
      <c r="CV4041">
        <v>5</v>
      </c>
      <c r="CW4041" t="s">
        <v>120</v>
      </c>
      <c r="CX4041">
        <v>257</v>
      </c>
      <c r="CY4041">
        <v>0</v>
      </c>
      <c r="CZ4041" t="s">
        <v>615</v>
      </c>
      <c r="DA4041" t="s">
        <v>616</v>
      </c>
      <c r="DD4041">
        <v>16653854</v>
      </c>
      <c r="DE4041" t="s">
        <v>123</v>
      </c>
    </row>
    <row r="4042" spans="1:109" x14ac:dyDescent="0.3">
      <c r="A4042" t="str">
        <f>"19:42:30.453"</f>
        <v>19:42:30.453</v>
      </c>
      <c r="B4042" t="s">
        <v>110</v>
      </c>
      <c r="C4042" t="str">
        <f t="shared" si="189"/>
        <v>ffdfd3c0</v>
      </c>
      <c r="D4042" t="s">
        <v>111</v>
      </c>
      <c r="E4042">
        <v>18</v>
      </c>
      <c r="F4042">
        <v>1018</v>
      </c>
      <c r="G4042" t="s">
        <v>112</v>
      </c>
      <c r="J4042" t="s">
        <v>113</v>
      </c>
      <c r="K4042">
        <v>0</v>
      </c>
      <c r="L4042">
        <v>3</v>
      </c>
      <c r="M4042">
        <v>0</v>
      </c>
      <c r="N4042">
        <v>2</v>
      </c>
      <c r="O4042">
        <v>1</v>
      </c>
      <c r="P4042">
        <v>0</v>
      </c>
      <c r="Q4042">
        <v>0</v>
      </c>
      <c r="R4042" t="s">
        <v>114</v>
      </c>
      <c r="S4042" t="str">
        <f>"19:42:30.180"</f>
        <v>19:42:30.180</v>
      </c>
      <c r="T4042" t="str">
        <f>"19:42:29.078"</f>
        <v>19:42:29.078</v>
      </c>
      <c r="U4042" t="str">
        <f t="shared" si="190"/>
        <v>a1cdbe</v>
      </c>
      <c r="V4042">
        <v>0</v>
      </c>
      <c r="W4042">
        <v>0</v>
      </c>
      <c r="X4042">
        <v>2</v>
      </c>
      <c r="Y4042">
        <v>0</v>
      </c>
      <c r="Z4042">
        <v>0</v>
      </c>
      <c r="AB4042">
        <v>0</v>
      </c>
      <c r="AC4042">
        <v>9</v>
      </c>
      <c r="AD4042">
        <v>3</v>
      </c>
      <c r="AE4042">
        <v>0</v>
      </c>
      <c r="AF4042">
        <v>9</v>
      </c>
      <c r="AG4042" t="s">
        <v>115</v>
      </c>
      <c r="AH4042">
        <v>0</v>
      </c>
      <c r="AI4042">
        <v>0</v>
      </c>
      <c r="AJ4042">
        <v>1</v>
      </c>
      <c r="AK4042">
        <v>0</v>
      </c>
      <c r="AL4042" t="s">
        <v>7583</v>
      </c>
      <c r="AM4042">
        <v>47.063004999999997</v>
      </c>
      <c r="AN4042" t="s">
        <v>7584</v>
      </c>
      <c r="AO4042">
        <v>-123.982966</v>
      </c>
      <c r="AP4042">
        <v>100</v>
      </c>
      <c r="AQ4042">
        <v>0</v>
      </c>
      <c r="AR4042" t="s">
        <v>118</v>
      </c>
      <c r="AS4042">
        <v>15</v>
      </c>
      <c r="AT4042">
        <v>45</v>
      </c>
      <c r="AU4042">
        <v>0</v>
      </c>
      <c r="BC4042">
        <v>1200</v>
      </c>
      <c r="BD4042">
        <v>1</v>
      </c>
      <c r="BE4042" t="str">
        <f t="shared" si="191"/>
        <v xml:space="preserve">N215T   </v>
      </c>
      <c r="BF4042">
        <v>1</v>
      </c>
      <c r="BH4042">
        <v>0</v>
      </c>
      <c r="BI4042">
        <v>0</v>
      </c>
      <c r="BJ4042">
        <v>0</v>
      </c>
      <c r="BK4042">
        <v>375</v>
      </c>
      <c r="BL4042">
        <v>375</v>
      </c>
      <c r="BM4042" t="s">
        <v>119</v>
      </c>
      <c r="BN4042">
        <v>1</v>
      </c>
      <c r="BO4042">
        <v>1</v>
      </c>
      <c r="BP4042">
        <v>1</v>
      </c>
      <c r="BQ4042">
        <v>0</v>
      </c>
      <c r="BT4042">
        <v>0</v>
      </c>
      <c r="BU4042">
        <v>0</v>
      </c>
      <c r="BV4042">
        <v>0</v>
      </c>
      <c r="CC4042" t="str">
        <f>"19:42:30.180"</f>
        <v>19:42:30.180</v>
      </c>
      <c r="CD4042" t="str">
        <f>"183083412"</f>
        <v>183083412</v>
      </c>
      <c r="CQ4042">
        <v>0</v>
      </c>
      <c r="CR4042">
        <v>2</v>
      </c>
      <c r="CS4042">
        <v>0</v>
      </c>
      <c r="CT4042">
        <v>2</v>
      </c>
      <c r="CU4042">
        <v>0</v>
      </c>
      <c r="CV4042">
        <v>5</v>
      </c>
      <c r="CW4042" t="s">
        <v>120</v>
      </c>
      <c r="CX4042">
        <v>257</v>
      </c>
      <c r="CY4042">
        <v>0</v>
      </c>
      <c r="CZ4042" t="s">
        <v>615</v>
      </c>
      <c r="DA4042" t="s">
        <v>616</v>
      </c>
      <c r="DD4042">
        <v>16654334</v>
      </c>
      <c r="DE4042" t="s">
        <v>123</v>
      </c>
    </row>
    <row r="4043" spans="1:109" x14ac:dyDescent="0.3">
      <c r="A4043" t="str">
        <f>"19:42:31.406"</f>
        <v>19:42:31.406</v>
      </c>
      <c r="B4043" t="s">
        <v>110</v>
      </c>
      <c r="C4043" t="str">
        <f t="shared" si="189"/>
        <v>ffdfd3c0</v>
      </c>
      <c r="D4043" t="s">
        <v>111</v>
      </c>
      <c r="E4043">
        <v>18</v>
      </c>
      <c r="F4043">
        <v>1018</v>
      </c>
      <c r="G4043" t="s">
        <v>112</v>
      </c>
      <c r="J4043" t="s">
        <v>113</v>
      </c>
      <c r="K4043">
        <v>0</v>
      </c>
      <c r="L4043">
        <v>3</v>
      </c>
      <c r="M4043">
        <v>0</v>
      </c>
      <c r="N4043">
        <v>2</v>
      </c>
      <c r="O4043">
        <v>1</v>
      </c>
      <c r="P4043">
        <v>0</v>
      </c>
      <c r="Q4043">
        <v>0</v>
      </c>
      <c r="R4043" t="s">
        <v>114</v>
      </c>
      <c r="S4043" t="str">
        <f>"19:42:31.188"</f>
        <v>19:42:31.188</v>
      </c>
      <c r="T4043" t="str">
        <f>"19:42:30.789"</f>
        <v>19:42:30.789</v>
      </c>
      <c r="U4043" t="str">
        <f t="shared" si="190"/>
        <v>a1cdbe</v>
      </c>
      <c r="V4043">
        <v>0</v>
      </c>
      <c r="W4043">
        <v>0</v>
      </c>
      <c r="X4043">
        <v>2</v>
      </c>
      <c r="Y4043">
        <v>0</v>
      </c>
      <c r="Z4043">
        <v>0</v>
      </c>
      <c r="AB4043">
        <v>0</v>
      </c>
      <c r="AC4043">
        <v>9</v>
      </c>
      <c r="AD4043">
        <v>3</v>
      </c>
      <c r="AE4043">
        <v>0</v>
      </c>
      <c r="AF4043">
        <v>9</v>
      </c>
      <c r="AG4043" t="s">
        <v>115</v>
      </c>
      <c r="AH4043">
        <v>0</v>
      </c>
      <c r="AI4043">
        <v>0</v>
      </c>
      <c r="AJ4043">
        <v>1</v>
      </c>
      <c r="AK4043">
        <v>0</v>
      </c>
      <c r="AL4043" t="s">
        <v>7585</v>
      </c>
      <c r="AM4043">
        <v>47.063240999999998</v>
      </c>
      <c r="AN4043" t="s">
        <v>7586</v>
      </c>
      <c r="AO4043">
        <v>-123.98298699999999</v>
      </c>
      <c r="AP4043">
        <v>100</v>
      </c>
      <c r="AQ4043">
        <v>0</v>
      </c>
      <c r="AR4043" t="s">
        <v>118</v>
      </c>
      <c r="AS4043">
        <v>-4</v>
      </c>
      <c r="AT4043">
        <v>47</v>
      </c>
      <c r="AU4043">
        <v>-64</v>
      </c>
      <c r="BC4043">
        <v>1200</v>
      </c>
      <c r="BD4043">
        <v>1</v>
      </c>
      <c r="BE4043" t="str">
        <f t="shared" si="191"/>
        <v xml:space="preserve">N215T   </v>
      </c>
      <c r="BF4043">
        <v>1</v>
      </c>
      <c r="BH4043">
        <v>0</v>
      </c>
      <c r="BI4043">
        <v>0</v>
      </c>
      <c r="BJ4043">
        <v>0</v>
      </c>
      <c r="BK4043">
        <v>375</v>
      </c>
      <c r="BL4043">
        <v>375</v>
      </c>
      <c r="BM4043" t="s">
        <v>119</v>
      </c>
      <c r="BN4043">
        <v>1</v>
      </c>
      <c r="BO4043">
        <v>1</v>
      </c>
      <c r="BP4043">
        <v>1</v>
      </c>
      <c r="BQ4043">
        <v>0</v>
      </c>
      <c r="BT4043">
        <v>0</v>
      </c>
      <c r="BU4043">
        <v>0</v>
      </c>
      <c r="BV4043">
        <v>0</v>
      </c>
      <c r="CC4043" t="str">
        <f>"19:42:31.188"</f>
        <v>19:42:31.188</v>
      </c>
      <c r="CD4043" t="str">
        <f>"187984432"</f>
        <v>187984432</v>
      </c>
      <c r="CQ4043">
        <v>0</v>
      </c>
      <c r="CR4043">
        <v>2</v>
      </c>
      <c r="CS4043">
        <v>0</v>
      </c>
      <c r="CT4043">
        <v>2</v>
      </c>
      <c r="CU4043">
        <v>0</v>
      </c>
      <c r="CV4043">
        <v>5</v>
      </c>
      <c r="CW4043" t="s">
        <v>120</v>
      </c>
      <c r="CX4043">
        <v>257</v>
      </c>
      <c r="CY4043">
        <v>0</v>
      </c>
      <c r="CZ4043" t="s">
        <v>615</v>
      </c>
      <c r="DA4043" t="s">
        <v>616</v>
      </c>
      <c r="DD4043">
        <v>16654674</v>
      </c>
      <c r="DE4043" t="s">
        <v>123</v>
      </c>
    </row>
    <row r="4044" spans="1:109" x14ac:dyDescent="0.3">
      <c r="A4044" t="str">
        <f>"19:42:32.313"</f>
        <v>19:42:32.313</v>
      </c>
      <c r="B4044" t="s">
        <v>110</v>
      </c>
      <c r="C4044" t="str">
        <f t="shared" si="189"/>
        <v>ffdfd3c0</v>
      </c>
      <c r="D4044" t="s">
        <v>111</v>
      </c>
      <c r="E4044">
        <v>18</v>
      </c>
      <c r="F4044">
        <v>1018</v>
      </c>
      <c r="G4044" t="s">
        <v>112</v>
      </c>
      <c r="J4044" t="s">
        <v>113</v>
      </c>
      <c r="K4044">
        <v>0</v>
      </c>
      <c r="L4044">
        <v>3</v>
      </c>
      <c r="M4044">
        <v>0</v>
      </c>
      <c r="N4044">
        <v>2</v>
      </c>
      <c r="O4044">
        <v>1</v>
      </c>
      <c r="P4044">
        <v>0</v>
      </c>
      <c r="Q4044">
        <v>0</v>
      </c>
      <c r="R4044" t="s">
        <v>114</v>
      </c>
      <c r="S4044" t="str">
        <f>"19:42:32.070"</f>
        <v>19:42:32.070</v>
      </c>
      <c r="T4044" t="str">
        <f>"19:42:31.773"</f>
        <v>19:42:31.773</v>
      </c>
      <c r="U4044" t="str">
        <f t="shared" si="190"/>
        <v>a1cdbe</v>
      </c>
      <c r="V4044">
        <v>0</v>
      </c>
      <c r="W4044">
        <v>0</v>
      </c>
      <c r="X4044">
        <v>2</v>
      </c>
      <c r="Y4044">
        <v>0</v>
      </c>
      <c r="Z4044">
        <v>0</v>
      </c>
      <c r="AB4044">
        <v>0</v>
      </c>
      <c r="AC4044">
        <v>9</v>
      </c>
      <c r="AD4044">
        <v>3</v>
      </c>
      <c r="AE4044">
        <v>0</v>
      </c>
      <c r="AF4044">
        <v>9</v>
      </c>
      <c r="AG4044" t="s">
        <v>115</v>
      </c>
      <c r="AH4044">
        <v>0</v>
      </c>
      <c r="AI4044">
        <v>0</v>
      </c>
      <c r="AJ4044">
        <v>1</v>
      </c>
      <c r="AK4044">
        <v>0</v>
      </c>
      <c r="AL4044" t="s">
        <v>7587</v>
      </c>
      <c r="AM4044">
        <v>47.063412999999997</v>
      </c>
      <c r="AN4044" t="s">
        <v>7588</v>
      </c>
      <c r="AO4044">
        <v>-123.983116</v>
      </c>
      <c r="AP4044">
        <v>100</v>
      </c>
      <c r="AQ4044">
        <v>0</v>
      </c>
      <c r="AR4044" t="s">
        <v>118</v>
      </c>
      <c r="AS4044">
        <v>-15</v>
      </c>
      <c r="AT4044">
        <v>44</v>
      </c>
      <c r="AU4044">
        <v>0</v>
      </c>
      <c r="BC4044">
        <v>1200</v>
      </c>
      <c r="BD4044">
        <v>1</v>
      </c>
      <c r="BE4044" t="str">
        <f t="shared" si="191"/>
        <v xml:space="preserve">N215T   </v>
      </c>
      <c r="BF4044">
        <v>1</v>
      </c>
      <c r="BH4044">
        <v>0</v>
      </c>
      <c r="BI4044">
        <v>0</v>
      </c>
      <c r="BJ4044">
        <v>0</v>
      </c>
      <c r="BK4044">
        <v>375</v>
      </c>
      <c r="BL4044">
        <v>375</v>
      </c>
      <c r="BM4044" t="s">
        <v>119</v>
      </c>
      <c r="BN4044">
        <v>1</v>
      </c>
      <c r="BO4044">
        <v>1</v>
      </c>
      <c r="BP4044">
        <v>1</v>
      </c>
      <c r="BQ4044">
        <v>0</v>
      </c>
      <c r="BT4044">
        <v>0</v>
      </c>
      <c r="BU4044">
        <v>0</v>
      </c>
      <c r="BV4044">
        <v>0</v>
      </c>
      <c r="CC4044" t="str">
        <f>"19:42:32.070"</f>
        <v>19:42:32.070</v>
      </c>
      <c r="CD4044" t="str">
        <f>"072897310"</f>
        <v>072897310</v>
      </c>
      <c r="CQ4044">
        <v>0</v>
      </c>
      <c r="CR4044">
        <v>2</v>
      </c>
      <c r="CS4044">
        <v>0</v>
      </c>
      <c r="CT4044">
        <v>2</v>
      </c>
      <c r="CU4044">
        <v>0</v>
      </c>
      <c r="CV4044">
        <v>3</v>
      </c>
      <c r="CW4044" t="s">
        <v>120</v>
      </c>
      <c r="CX4044">
        <v>257</v>
      </c>
      <c r="CY4044">
        <v>0</v>
      </c>
      <c r="CZ4044" t="s">
        <v>615</v>
      </c>
      <c r="DA4044" t="s">
        <v>616</v>
      </c>
      <c r="DD4044">
        <v>16654950</v>
      </c>
      <c r="DE4044" t="s">
        <v>123</v>
      </c>
    </row>
    <row r="4045" spans="1:109" x14ac:dyDescent="0.3">
      <c r="A4045" t="str">
        <f>"19:42:33.266"</f>
        <v>19:42:33.266</v>
      </c>
      <c r="B4045" t="s">
        <v>110</v>
      </c>
      <c r="C4045" t="str">
        <f t="shared" si="189"/>
        <v>ffdfd3c0</v>
      </c>
      <c r="D4045" t="s">
        <v>111</v>
      </c>
      <c r="E4045">
        <v>18</v>
      </c>
      <c r="F4045">
        <v>1018</v>
      </c>
      <c r="G4045" t="s">
        <v>112</v>
      </c>
      <c r="J4045" t="s">
        <v>113</v>
      </c>
      <c r="K4045">
        <v>0</v>
      </c>
      <c r="L4045">
        <v>3</v>
      </c>
      <c r="M4045">
        <v>0</v>
      </c>
      <c r="N4045">
        <v>2</v>
      </c>
      <c r="O4045">
        <v>1</v>
      </c>
      <c r="P4045">
        <v>0</v>
      </c>
      <c r="Q4045">
        <v>0</v>
      </c>
      <c r="R4045" t="s">
        <v>114</v>
      </c>
      <c r="S4045" t="str">
        <f>"19:42:33.047"</f>
        <v>19:42:33.047</v>
      </c>
      <c r="T4045" t="str">
        <f>"19:42:32.648"</f>
        <v>19:42:32.648</v>
      </c>
      <c r="U4045" t="str">
        <f t="shared" si="190"/>
        <v>a1cdbe</v>
      </c>
      <c r="V4045">
        <v>0</v>
      </c>
      <c r="W4045">
        <v>0</v>
      </c>
      <c r="X4045">
        <v>2</v>
      </c>
      <c r="Y4045">
        <v>0</v>
      </c>
      <c r="Z4045">
        <v>0</v>
      </c>
      <c r="AB4045">
        <v>0</v>
      </c>
      <c r="AC4045">
        <v>9</v>
      </c>
      <c r="AD4045">
        <v>3</v>
      </c>
      <c r="AE4045">
        <v>0</v>
      </c>
      <c r="AF4045">
        <v>9</v>
      </c>
      <c r="AG4045" t="s">
        <v>115</v>
      </c>
      <c r="AH4045">
        <v>0</v>
      </c>
      <c r="AI4045">
        <v>0</v>
      </c>
      <c r="AJ4045">
        <v>1</v>
      </c>
      <c r="AK4045">
        <v>0</v>
      </c>
      <c r="AL4045" t="s">
        <v>7589</v>
      </c>
      <c r="AM4045">
        <v>47.063606</v>
      </c>
      <c r="AN4045" t="s">
        <v>7590</v>
      </c>
      <c r="AO4045">
        <v>-123.98330900000001</v>
      </c>
      <c r="AP4045">
        <v>100</v>
      </c>
      <c r="AQ4045">
        <v>0</v>
      </c>
      <c r="AR4045" t="s">
        <v>118</v>
      </c>
      <c r="AS4045">
        <v>-25</v>
      </c>
      <c r="AT4045">
        <v>39</v>
      </c>
      <c r="AU4045">
        <v>192</v>
      </c>
      <c r="BC4045">
        <v>1200</v>
      </c>
      <c r="BD4045">
        <v>1</v>
      </c>
      <c r="BE4045" t="str">
        <f t="shared" si="191"/>
        <v xml:space="preserve">N215T   </v>
      </c>
      <c r="BF4045">
        <v>1</v>
      </c>
      <c r="BH4045">
        <v>0</v>
      </c>
      <c r="BI4045">
        <v>0</v>
      </c>
      <c r="BJ4045">
        <v>0</v>
      </c>
      <c r="BK4045">
        <v>375</v>
      </c>
      <c r="BL4045">
        <v>375</v>
      </c>
      <c r="BM4045" t="s">
        <v>119</v>
      </c>
      <c r="BN4045">
        <v>1</v>
      </c>
      <c r="BO4045">
        <v>1</v>
      </c>
      <c r="BP4045">
        <v>1</v>
      </c>
      <c r="BQ4045">
        <v>0</v>
      </c>
      <c r="BT4045">
        <v>0</v>
      </c>
      <c r="BU4045">
        <v>0</v>
      </c>
      <c r="BV4045">
        <v>0</v>
      </c>
      <c r="CC4045" t="str">
        <f>"19:42:33.047"</f>
        <v>19:42:33.047</v>
      </c>
      <c r="CD4045" t="str">
        <f>"047801292"</f>
        <v>047801292</v>
      </c>
      <c r="CQ4045">
        <v>0</v>
      </c>
      <c r="CR4045">
        <v>2</v>
      </c>
      <c r="CS4045">
        <v>0</v>
      </c>
      <c r="CT4045">
        <v>2</v>
      </c>
      <c r="CU4045">
        <v>0</v>
      </c>
      <c r="CV4045">
        <v>5</v>
      </c>
      <c r="CW4045" t="s">
        <v>120</v>
      </c>
      <c r="CX4045">
        <v>257</v>
      </c>
      <c r="CY4045">
        <v>0</v>
      </c>
      <c r="CZ4045" t="s">
        <v>615</v>
      </c>
      <c r="DA4045" t="s">
        <v>616</v>
      </c>
      <c r="DD4045">
        <v>16655231</v>
      </c>
      <c r="DE4045" t="s">
        <v>123</v>
      </c>
    </row>
    <row r="4046" spans="1:109" x14ac:dyDescent="0.3">
      <c r="A4046" t="str">
        <f>"19:42:34.320"</f>
        <v>19:42:34.320</v>
      </c>
      <c r="B4046" t="s">
        <v>110</v>
      </c>
      <c r="C4046" t="str">
        <f t="shared" si="189"/>
        <v>ffdfd3c0</v>
      </c>
      <c r="D4046" t="s">
        <v>111</v>
      </c>
      <c r="E4046">
        <v>18</v>
      </c>
      <c r="F4046">
        <v>1018</v>
      </c>
      <c r="G4046" t="s">
        <v>112</v>
      </c>
      <c r="J4046" t="s">
        <v>113</v>
      </c>
      <c r="K4046">
        <v>0</v>
      </c>
      <c r="L4046">
        <v>3</v>
      </c>
      <c r="M4046">
        <v>0</v>
      </c>
      <c r="N4046">
        <v>2</v>
      </c>
      <c r="O4046">
        <v>1</v>
      </c>
      <c r="P4046">
        <v>0</v>
      </c>
      <c r="Q4046">
        <v>0</v>
      </c>
      <c r="R4046" t="s">
        <v>114</v>
      </c>
      <c r="S4046" t="str">
        <f>"19:42:34.078"</f>
        <v>19:42:34.078</v>
      </c>
      <c r="T4046" t="str">
        <f>"19:42:33.680"</f>
        <v>19:42:33.680</v>
      </c>
      <c r="U4046" t="str">
        <f t="shared" si="190"/>
        <v>a1cdbe</v>
      </c>
      <c r="V4046">
        <v>0</v>
      </c>
      <c r="W4046">
        <v>0</v>
      </c>
      <c r="X4046">
        <v>2</v>
      </c>
      <c r="Y4046">
        <v>0</v>
      </c>
      <c r="Z4046">
        <v>0</v>
      </c>
      <c r="AB4046">
        <v>0</v>
      </c>
      <c r="AC4046">
        <v>9</v>
      </c>
      <c r="AD4046">
        <v>3</v>
      </c>
      <c r="AE4046">
        <v>0</v>
      </c>
      <c r="AF4046">
        <v>9</v>
      </c>
      <c r="AG4046" t="s">
        <v>115</v>
      </c>
      <c r="AH4046">
        <v>0</v>
      </c>
      <c r="AI4046">
        <v>0</v>
      </c>
      <c r="AJ4046">
        <v>1</v>
      </c>
      <c r="AK4046">
        <v>0</v>
      </c>
      <c r="AL4046" t="s">
        <v>7591</v>
      </c>
      <c r="AM4046">
        <v>47.063777000000002</v>
      </c>
      <c r="AN4046" t="s">
        <v>7592</v>
      </c>
      <c r="AO4046">
        <v>-123.983524</v>
      </c>
      <c r="AP4046">
        <v>100</v>
      </c>
      <c r="AQ4046">
        <v>0</v>
      </c>
      <c r="AR4046" t="s">
        <v>118</v>
      </c>
      <c r="AS4046">
        <v>-34</v>
      </c>
      <c r="AT4046">
        <v>32</v>
      </c>
      <c r="AU4046">
        <v>384</v>
      </c>
      <c r="BC4046">
        <v>1200</v>
      </c>
      <c r="BD4046">
        <v>1</v>
      </c>
      <c r="BE4046" t="str">
        <f t="shared" si="191"/>
        <v xml:space="preserve">N215T   </v>
      </c>
      <c r="BF4046">
        <v>1</v>
      </c>
      <c r="BH4046">
        <v>0</v>
      </c>
      <c r="BI4046">
        <v>0</v>
      </c>
      <c r="BJ4046">
        <v>0</v>
      </c>
      <c r="BK4046">
        <v>375</v>
      </c>
      <c r="BL4046">
        <v>375</v>
      </c>
      <c r="BM4046" t="s">
        <v>119</v>
      </c>
      <c r="BN4046">
        <v>1</v>
      </c>
      <c r="BO4046">
        <v>1</v>
      </c>
      <c r="BP4046">
        <v>1</v>
      </c>
      <c r="BQ4046">
        <v>0</v>
      </c>
      <c r="BT4046">
        <v>0</v>
      </c>
      <c r="BU4046">
        <v>0</v>
      </c>
      <c r="BV4046">
        <v>0</v>
      </c>
      <c r="CC4046" t="str">
        <f>"19:42:34.086"</f>
        <v>19:42:34.086</v>
      </c>
      <c r="CD4046" t="str">
        <f>"082699376"</f>
        <v>082699376</v>
      </c>
      <c r="CQ4046">
        <v>0</v>
      </c>
      <c r="CR4046">
        <v>2</v>
      </c>
      <c r="CS4046">
        <v>0</v>
      </c>
      <c r="CT4046">
        <v>2</v>
      </c>
      <c r="CU4046">
        <v>0</v>
      </c>
      <c r="CV4046">
        <v>4</v>
      </c>
      <c r="CW4046" t="s">
        <v>120</v>
      </c>
      <c r="CX4046">
        <v>257</v>
      </c>
      <c r="CY4046">
        <v>0</v>
      </c>
      <c r="CZ4046" t="s">
        <v>615</v>
      </c>
      <c r="DA4046" t="s">
        <v>616</v>
      </c>
      <c r="DD4046">
        <v>16655547</v>
      </c>
      <c r="DE4046" t="s">
        <v>123</v>
      </c>
    </row>
    <row r="4047" spans="1:109" x14ac:dyDescent="0.3">
      <c r="A4047" t="str">
        <f>"19:42:35.328"</f>
        <v>19:42:35.328</v>
      </c>
      <c r="B4047" t="s">
        <v>110</v>
      </c>
      <c r="C4047" t="str">
        <f t="shared" si="189"/>
        <v>ffdfd3c0</v>
      </c>
      <c r="D4047" t="s">
        <v>111</v>
      </c>
      <c r="E4047">
        <v>18</v>
      </c>
      <c r="F4047">
        <v>1018</v>
      </c>
      <c r="G4047" t="s">
        <v>112</v>
      </c>
      <c r="J4047" t="s">
        <v>113</v>
      </c>
      <c r="K4047">
        <v>0</v>
      </c>
      <c r="L4047">
        <v>3</v>
      </c>
      <c r="M4047">
        <v>0</v>
      </c>
      <c r="N4047">
        <v>2</v>
      </c>
      <c r="O4047">
        <v>1</v>
      </c>
      <c r="P4047">
        <v>0</v>
      </c>
      <c r="Q4047">
        <v>0</v>
      </c>
      <c r="R4047" t="s">
        <v>114</v>
      </c>
      <c r="S4047" t="str">
        <f>"19:42:35.070"</f>
        <v>19:42:35.070</v>
      </c>
      <c r="T4047" t="str">
        <f>"19:42:34.570"</f>
        <v>19:42:34.570</v>
      </c>
      <c r="U4047" t="str">
        <f t="shared" si="190"/>
        <v>a1cdbe</v>
      </c>
      <c r="V4047">
        <v>0</v>
      </c>
      <c r="W4047">
        <v>0</v>
      </c>
      <c r="X4047">
        <v>2</v>
      </c>
      <c r="Y4047">
        <v>0</v>
      </c>
      <c r="Z4047">
        <v>0</v>
      </c>
      <c r="AB4047">
        <v>0</v>
      </c>
      <c r="AC4047">
        <v>9</v>
      </c>
      <c r="AD4047">
        <v>3</v>
      </c>
      <c r="AE4047">
        <v>0</v>
      </c>
      <c r="AF4047">
        <v>9</v>
      </c>
      <c r="AG4047" t="s">
        <v>115</v>
      </c>
      <c r="AH4047">
        <v>0</v>
      </c>
      <c r="AI4047">
        <v>0</v>
      </c>
      <c r="AJ4047">
        <v>1</v>
      </c>
      <c r="AK4047">
        <v>0</v>
      </c>
      <c r="AL4047" t="s">
        <v>7593</v>
      </c>
      <c r="AM4047">
        <v>47.063884999999999</v>
      </c>
      <c r="AN4047" t="s">
        <v>7594</v>
      </c>
      <c r="AO4047">
        <v>-123.98380299999999</v>
      </c>
      <c r="AP4047">
        <v>100</v>
      </c>
      <c r="AQ4047">
        <v>0</v>
      </c>
      <c r="AR4047" t="s">
        <v>118</v>
      </c>
      <c r="AS4047">
        <v>-39</v>
      </c>
      <c r="AT4047">
        <v>26</v>
      </c>
      <c r="AU4047">
        <v>384</v>
      </c>
      <c r="BC4047">
        <v>1200</v>
      </c>
      <c r="BD4047">
        <v>1</v>
      </c>
      <c r="BE4047" t="str">
        <f t="shared" si="191"/>
        <v xml:space="preserve">N215T   </v>
      </c>
      <c r="BF4047">
        <v>1</v>
      </c>
      <c r="BH4047">
        <v>0</v>
      </c>
      <c r="BI4047">
        <v>0</v>
      </c>
      <c r="BJ4047">
        <v>0</v>
      </c>
      <c r="BK4047">
        <v>400</v>
      </c>
      <c r="BL4047">
        <v>400</v>
      </c>
      <c r="BM4047" t="s">
        <v>119</v>
      </c>
      <c r="BN4047">
        <v>1</v>
      </c>
      <c r="BO4047">
        <v>1</v>
      </c>
      <c r="BP4047">
        <v>1</v>
      </c>
      <c r="BQ4047">
        <v>0</v>
      </c>
      <c r="BT4047">
        <v>0</v>
      </c>
      <c r="BU4047">
        <v>0</v>
      </c>
      <c r="BV4047">
        <v>0</v>
      </c>
      <c r="CC4047" t="str">
        <f>"19:42:35.070"</f>
        <v>19:42:35.070</v>
      </c>
      <c r="CD4047" t="str">
        <f>"072601847"</f>
        <v>072601847</v>
      </c>
      <c r="CQ4047">
        <v>0</v>
      </c>
      <c r="CR4047">
        <v>2</v>
      </c>
      <c r="CS4047">
        <v>0</v>
      </c>
      <c r="CT4047">
        <v>2</v>
      </c>
      <c r="CU4047">
        <v>0</v>
      </c>
      <c r="CV4047">
        <v>2</v>
      </c>
      <c r="CW4047" t="s">
        <v>120</v>
      </c>
      <c r="CX4047">
        <v>257</v>
      </c>
      <c r="CY4047">
        <v>0</v>
      </c>
      <c r="CZ4047" t="s">
        <v>615</v>
      </c>
      <c r="DA4047" t="s">
        <v>616</v>
      </c>
      <c r="DD4047">
        <v>16655845</v>
      </c>
      <c r="DE4047" t="s">
        <v>123</v>
      </c>
    </row>
    <row r="4048" spans="1:109" x14ac:dyDescent="0.3">
      <c r="A4048" t="str">
        <f>"19:42:36.336"</f>
        <v>19:42:36.336</v>
      </c>
      <c r="B4048" t="s">
        <v>110</v>
      </c>
      <c r="C4048" t="str">
        <f t="shared" si="189"/>
        <v>ffdfd3c0</v>
      </c>
      <c r="D4048" t="s">
        <v>111</v>
      </c>
      <c r="E4048">
        <v>18</v>
      </c>
      <c r="F4048">
        <v>1018</v>
      </c>
      <c r="G4048" t="s">
        <v>112</v>
      </c>
      <c r="J4048" t="s">
        <v>113</v>
      </c>
      <c r="K4048">
        <v>0</v>
      </c>
      <c r="L4048">
        <v>3</v>
      </c>
      <c r="M4048">
        <v>0</v>
      </c>
      <c r="N4048">
        <v>2</v>
      </c>
      <c r="O4048">
        <v>1</v>
      </c>
      <c r="P4048">
        <v>0</v>
      </c>
      <c r="Q4048">
        <v>0</v>
      </c>
      <c r="R4048" t="s">
        <v>114</v>
      </c>
      <c r="S4048" t="str">
        <f>"19:42:36.086"</f>
        <v>19:42:36.086</v>
      </c>
      <c r="T4048" t="str">
        <f>"19:42:34.586"</f>
        <v>19:42:34.586</v>
      </c>
      <c r="U4048" t="str">
        <f t="shared" si="190"/>
        <v>a1cdbe</v>
      </c>
      <c r="V4048">
        <v>0</v>
      </c>
      <c r="W4048">
        <v>0</v>
      </c>
      <c r="X4048">
        <v>2</v>
      </c>
      <c r="Y4048">
        <v>0</v>
      </c>
      <c r="Z4048">
        <v>0</v>
      </c>
      <c r="AB4048">
        <v>0</v>
      </c>
      <c r="AC4048">
        <v>9</v>
      </c>
      <c r="AD4048">
        <v>3</v>
      </c>
      <c r="AE4048">
        <v>0</v>
      </c>
      <c r="AF4048">
        <v>9</v>
      </c>
      <c r="AG4048" t="s">
        <v>115</v>
      </c>
      <c r="AH4048">
        <v>0</v>
      </c>
      <c r="AI4048">
        <v>0</v>
      </c>
      <c r="AJ4048">
        <v>1</v>
      </c>
      <c r="AK4048">
        <v>0</v>
      </c>
      <c r="AL4048" t="s">
        <v>7595</v>
      </c>
      <c r="AM4048">
        <v>47.063971000000002</v>
      </c>
      <c r="AN4048" t="s">
        <v>7596</v>
      </c>
      <c r="AO4048">
        <v>-123.984146</v>
      </c>
      <c r="AP4048">
        <v>100</v>
      </c>
      <c r="AQ4048">
        <v>0</v>
      </c>
      <c r="AR4048" t="s">
        <v>118</v>
      </c>
      <c r="AS4048">
        <v>-39</v>
      </c>
      <c r="AT4048">
        <v>26</v>
      </c>
      <c r="AU4048">
        <v>384</v>
      </c>
      <c r="BC4048">
        <v>1200</v>
      </c>
      <c r="BD4048">
        <v>1</v>
      </c>
      <c r="BE4048" t="str">
        <f t="shared" si="191"/>
        <v xml:space="preserve">N215T   </v>
      </c>
      <c r="BF4048">
        <v>1</v>
      </c>
      <c r="BH4048">
        <v>0</v>
      </c>
      <c r="BI4048">
        <v>0</v>
      </c>
      <c r="BJ4048">
        <v>0</v>
      </c>
      <c r="BK4048">
        <v>400</v>
      </c>
      <c r="BL4048">
        <v>400</v>
      </c>
      <c r="BM4048" t="s">
        <v>119</v>
      </c>
      <c r="BN4048">
        <v>1</v>
      </c>
      <c r="BO4048">
        <v>1</v>
      </c>
      <c r="BP4048">
        <v>1</v>
      </c>
      <c r="BQ4048">
        <v>0</v>
      </c>
      <c r="BT4048">
        <v>0</v>
      </c>
      <c r="BU4048">
        <v>0</v>
      </c>
      <c r="BV4048">
        <v>0</v>
      </c>
      <c r="CC4048" t="str">
        <f>"19:42:36.094"</f>
        <v>19:42:36.094</v>
      </c>
      <c r="CD4048" t="str">
        <f>"092501364"</f>
        <v>092501364</v>
      </c>
      <c r="CQ4048">
        <v>0</v>
      </c>
      <c r="CR4048">
        <v>2</v>
      </c>
      <c r="CS4048">
        <v>0</v>
      </c>
      <c r="CT4048">
        <v>2</v>
      </c>
      <c r="CU4048">
        <v>0</v>
      </c>
      <c r="CV4048">
        <v>3</v>
      </c>
      <c r="CW4048" t="s">
        <v>120</v>
      </c>
      <c r="CX4048">
        <v>257</v>
      </c>
      <c r="CY4048">
        <v>0</v>
      </c>
      <c r="CZ4048" t="s">
        <v>615</v>
      </c>
      <c r="DA4048" t="s">
        <v>616</v>
      </c>
      <c r="DD4048">
        <v>16656197</v>
      </c>
      <c r="DE4048" t="s">
        <v>123</v>
      </c>
    </row>
    <row r="4049" spans="1:109" x14ac:dyDescent="0.3">
      <c r="A4049" t="str">
        <f>"19:42:37.492"</f>
        <v>19:42:37.492</v>
      </c>
      <c r="B4049" t="s">
        <v>110</v>
      </c>
      <c r="C4049" t="str">
        <f t="shared" si="189"/>
        <v>ffdfd3c0</v>
      </c>
      <c r="D4049" t="s">
        <v>111</v>
      </c>
      <c r="E4049">
        <v>18</v>
      </c>
      <c r="F4049">
        <v>1018</v>
      </c>
      <c r="G4049" t="s">
        <v>112</v>
      </c>
      <c r="J4049" t="s">
        <v>113</v>
      </c>
      <c r="K4049">
        <v>0</v>
      </c>
      <c r="L4049">
        <v>3</v>
      </c>
      <c r="M4049">
        <v>0</v>
      </c>
      <c r="N4049">
        <v>2</v>
      </c>
      <c r="O4049">
        <v>1</v>
      </c>
      <c r="P4049">
        <v>0</v>
      </c>
      <c r="Q4049">
        <v>0</v>
      </c>
      <c r="R4049" t="s">
        <v>114</v>
      </c>
      <c r="S4049" t="str">
        <f>"19:42:37.211"</f>
        <v>19:42:37.211</v>
      </c>
      <c r="T4049" t="str">
        <f>"19:42:36.711"</f>
        <v>19:42:36.711</v>
      </c>
      <c r="U4049" t="str">
        <f t="shared" si="190"/>
        <v>a1cdbe</v>
      </c>
      <c r="V4049">
        <v>0</v>
      </c>
      <c r="W4049">
        <v>0</v>
      </c>
      <c r="X4049">
        <v>2</v>
      </c>
      <c r="Y4049">
        <v>0</v>
      </c>
      <c r="Z4049">
        <v>0</v>
      </c>
      <c r="AB4049">
        <v>0</v>
      </c>
      <c r="AC4049">
        <v>9</v>
      </c>
      <c r="AD4049">
        <v>3</v>
      </c>
      <c r="AE4049">
        <v>0</v>
      </c>
      <c r="AF4049">
        <v>9</v>
      </c>
      <c r="AG4049" t="s">
        <v>115</v>
      </c>
      <c r="AH4049">
        <v>0</v>
      </c>
      <c r="AI4049">
        <v>0</v>
      </c>
      <c r="AJ4049">
        <v>1</v>
      </c>
      <c r="AK4049">
        <v>0</v>
      </c>
      <c r="AL4049" t="s">
        <v>7597</v>
      </c>
      <c r="AM4049">
        <v>47.064013000000003</v>
      </c>
      <c r="AN4049" t="s">
        <v>7598</v>
      </c>
      <c r="AO4049">
        <v>-123.984489</v>
      </c>
      <c r="AP4049">
        <v>100</v>
      </c>
      <c r="AQ4049">
        <v>0</v>
      </c>
      <c r="AR4049" t="s">
        <v>118</v>
      </c>
      <c r="AS4049">
        <v>-44</v>
      </c>
      <c r="AT4049">
        <v>15</v>
      </c>
      <c r="AU4049">
        <v>128</v>
      </c>
      <c r="BC4049">
        <v>1200</v>
      </c>
      <c r="BD4049">
        <v>1</v>
      </c>
      <c r="BE4049" t="str">
        <f t="shared" si="191"/>
        <v xml:space="preserve">N215T   </v>
      </c>
      <c r="BF4049">
        <v>1</v>
      </c>
      <c r="BH4049">
        <v>0</v>
      </c>
      <c r="BI4049">
        <v>0</v>
      </c>
      <c r="BJ4049">
        <v>0</v>
      </c>
      <c r="BK4049">
        <v>400</v>
      </c>
      <c r="BL4049">
        <v>400</v>
      </c>
      <c r="BM4049" t="s">
        <v>119</v>
      </c>
      <c r="BN4049">
        <v>1</v>
      </c>
      <c r="BO4049">
        <v>1</v>
      </c>
      <c r="BP4049">
        <v>1</v>
      </c>
      <c r="BQ4049">
        <v>0</v>
      </c>
      <c r="BT4049">
        <v>0</v>
      </c>
      <c r="BU4049">
        <v>0</v>
      </c>
      <c r="BV4049">
        <v>0</v>
      </c>
      <c r="CC4049" t="str">
        <f>"19:42:37.219"</f>
        <v>19:42:37.219</v>
      </c>
      <c r="CD4049" t="str">
        <f>"217390537"</f>
        <v>217390537</v>
      </c>
      <c r="CQ4049">
        <v>0</v>
      </c>
      <c r="CR4049">
        <v>2</v>
      </c>
      <c r="CS4049">
        <v>0</v>
      </c>
      <c r="CT4049">
        <v>2</v>
      </c>
      <c r="CU4049">
        <v>0</v>
      </c>
      <c r="CV4049">
        <v>3</v>
      </c>
      <c r="CW4049" t="s">
        <v>120</v>
      </c>
      <c r="CX4049">
        <v>257</v>
      </c>
      <c r="CY4049">
        <v>0</v>
      </c>
      <c r="CZ4049" t="s">
        <v>615</v>
      </c>
      <c r="DA4049" t="s">
        <v>616</v>
      </c>
      <c r="DD4049">
        <v>16656556</v>
      </c>
      <c r="DE4049" t="s">
        <v>123</v>
      </c>
    </row>
    <row r="4050" spans="1:109" x14ac:dyDescent="0.3">
      <c r="A4050" t="str">
        <f>"19:42:38.492"</f>
        <v>19:42:38.492</v>
      </c>
      <c r="B4050" t="s">
        <v>110</v>
      </c>
      <c r="C4050" t="str">
        <f t="shared" si="189"/>
        <v>ffdfd3c0</v>
      </c>
      <c r="D4050" t="s">
        <v>111</v>
      </c>
      <c r="E4050">
        <v>18</v>
      </c>
      <c r="F4050">
        <v>1018</v>
      </c>
      <c r="G4050" t="s">
        <v>112</v>
      </c>
      <c r="J4050" t="s">
        <v>113</v>
      </c>
      <c r="K4050">
        <v>0</v>
      </c>
      <c r="L4050">
        <v>3</v>
      </c>
      <c r="M4050">
        <v>0</v>
      </c>
      <c r="N4050">
        <v>2</v>
      </c>
      <c r="O4050">
        <v>1</v>
      </c>
      <c r="P4050">
        <v>0</v>
      </c>
      <c r="Q4050">
        <v>0</v>
      </c>
      <c r="R4050" t="s">
        <v>114</v>
      </c>
      <c r="S4050" t="str">
        <f>"19:42:38.250"</f>
        <v>19:42:38.250</v>
      </c>
      <c r="T4050" t="str">
        <f>"19:42:37.750"</f>
        <v>19:42:37.750</v>
      </c>
      <c r="U4050" t="str">
        <f t="shared" si="190"/>
        <v>a1cdbe</v>
      </c>
      <c r="V4050">
        <v>0</v>
      </c>
      <c r="W4050">
        <v>0</v>
      </c>
      <c r="X4050">
        <v>2</v>
      </c>
      <c r="Y4050">
        <v>0</v>
      </c>
      <c r="Z4050">
        <v>0</v>
      </c>
      <c r="AB4050">
        <v>0</v>
      </c>
      <c r="AC4050">
        <v>9</v>
      </c>
      <c r="AD4050">
        <v>3</v>
      </c>
      <c r="AE4050">
        <v>0</v>
      </c>
      <c r="AF4050">
        <v>9</v>
      </c>
      <c r="AG4050" t="s">
        <v>115</v>
      </c>
      <c r="AH4050">
        <v>0</v>
      </c>
      <c r="AI4050">
        <v>0</v>
      </c>
      <c r="AJ4050">
        <v>1</v>
      </c>
      <c r="AK4050">
        <v>0</v>
      </c>
      <c r="AL4050" t="s">
        <v>7509</v>
      </c>
      <c r="AM4050">
        <v>47.064078000000002</v>
      </c>
      <c r="AN4050" t="s">
        <v>7599</v>
      </c>
      <c r="AO4050">
        <v>-123.98479</v>
      </c>
      <c r="AP4050">
        <v>100</v>
      </c>
      <c r="AQ4050">
        <v>0</v>
      </c>
      <c r="AR4050" t="s">
        <v>118</v>
      </c>
      <c r="AS4050">
        <v>-45</v>
      </c>
      <c r="AT4050">
        <v>11</v>
      </c>
      <c r="AU4050">
        <v>0</v>
      </c>
      <c r="BC4050">
        <v>1200</v>
      </c>
      <c r="BD4050">
        <v>1</v>
      </c>
      <c r="BE4050" t="str">
        <f t="shared" si="191"/>
        <v xml:space="preserve">N215T   </v>
      </c>
      <c r="BF4050">
        <v>1</v>
      </c>
      <c r="BH4050">
        <v>0</v>
      </c>
      <c r="BI4050">
        <v>0</v>
      </c>
      <c r="BJ4050">
        <v>0</v>
      </c>
      <c r="BK4050">
        <v>400</v>
      </c>
      <c r="BL4050">
        <v>400</v>
      </c>
      <c r="BM4050" t="s">
        <v>119</v>
      </c>
      <c r="BN4050">
        <v>1</v>
      </c>
      <c r="BO4050">
        <v>1</v>
      </c>
      <c r="BP4050">
        <v>1</v>
      </c>
      <c r="BQ4050">
        <v>0</v>
      </c>
      <c r="BT4050">
        <v>0</v>
      </c>
      <c r="BU4050">
        <v>0</v>
      </c>
      <c r="BV4050">
        <v>0</v>
      </c>
      <c r="CC4050" t="str">
        <f>"19:42:38.250"</f>
        <v>19:42:38.250</v>
      </c>
      <c r="CD4050" t="str">
        <f>"252288601"</f>
        <v>252288601</v>
      </c>
      <c r="CQ4050">
        <v>0</v>
      </c>
      <c r="CR4050">
        <v>2</v>
      </c>
      <c r="CS4050">
        <v>0</v>
      </c>
      <c r="CT4050">
        <v>2</v>
      </c>
      <c r="CU4050">
        <v>0</v>
      </c>
      <c r="CV4050">
        <v>3</v>
      </c>
      <c r="CW4050" t="s">
        <v>120</v>
      </c>
      <c r="CX4050">
        <v>257</v>
      </c>
      <c r="CY4050">
        <v>0</v>
      </c>
      <c r="CZ4050" t="s">
        <v>615</v>
      </c>
      <c r="DA4050" t="s">
        <v>616</v>
      </c>
      <c r="DD4050">
        <v>16656920</v>
      </c>
      <c r="DE4050" t="s">
        <v>123</v>
      </c>
    </row>
    <row r="4051" spans="1:109" x14ac:dyDescent="0.3">
      <c r="A4051" t="str">
        <f>"19:42:39.453"</f>
        <v>19:42:39.453</v>
      </c>
      <c r="B4051" t="s">
        <v>110</v>
      </c>
      <c r="C4051" t="str">
        <f t="shared" si="189"/>
        <v>ffdfd3c0</v>
      </c>
      <c r="D4051" t="s">
        <v>111</v>
      </c>
      <c r="E4051">
        <v>18</v>
      </c>
      <c r="F4051">
        <v>1018</v>
      </c>
      <c r="G4051" t="s">
        <v>112</v>
      </c>
      <c r="J4051" t="s">
        <v>113</v>
      </c>
      <c r="K4051">
        <v>0</v>
      </c>
      <c r="L4051">
        <v>3</v>
      </c>
      <c r="M4051">
        <v>0</v>
      </c>
      <c r="N4051">
        <v>2</v>
      </c>
      <c r="O4051">
        <v>1</v>
      </c>
      <c r="P4051">
        <v>0</v>
      </c>
      <c r="Q4051">
        <v>0</v>
      </c>
      <c r="R4051" t="s">
        <v>114</v>
      </c>
      <c r="S4051" t="str">
        <f>"19:42:39.195"</f>
        <v>19:42:39.195</v>
      </c>
      <c r="T4051" t="str">
        <f>"19:42:38.797"</f>
        <v>19:42:38.797</v>
      </c>
      <c r="U4051" t="str">
        <f t="shared" si="190"/>
        <v>a1cdbe</v>
      </c>
      <c r="V4051">
        <v>0</v>
      </c>
      <c r="W4051">
        <v>0</v>
      </c>
      <c r="X4051">
        <v>2</v>
      </c>
      <c r="Y4051">
        <v>0</v>
      </c>
      <c r="Z4051">
        <v>0</v>
      </c>
      <c r="AB4051">
        <v>0</v>
      </c>
      <c r="AC4051">
        <v>9</v>
      </c>
      <c r="AD4051">
        <v>3</v>
      </c>
      <c r="AE4051">
        <v>0</v>
      </c>
      <c r="AF4051">
        <v>9</v>
      </c>
      <c r="AG4051" t="s">
        <v>115</v>
      </c>
      <c r="AH4051">
        <v>0</v>
      </c>
      <c r="AI4051">
        <v>0</v>
      </c>
      <c r="AJ4051">
        <v>1</v>
      </c>
      <c r="AK4051">
        <v>0</v>
      </c>
      <c r="AL4051" t="s">
        <v>7441</v>
      </c>
      <c r="AM4051">
        <v>47.064098999999999</v>
      </c>
      <c r="AN4051" t="s">
        <v>7600</v>
      </c>
      <c r="AO4051">
        <v>-123.985112</v>
      </c>
      <c r="AP4051">
        <v>100</v>
      </c>
      <c r="AQ4051">
        <v>0</v>
      </c>
      <c r="AR4051" t="s">
        <v>118</v>
      </c>
      <c r="AS4051">
        <v>-46</v>
      </c>
      <c r="AT4051">
        <v>6</v>
      </c>
      <c r="AU4051">
        <v>192</v>
      </c>
      <c r="BC4051">
        <v>1200</v>
      </c>
      <c r="BD4051">
        <v>1</v>
      </c>
      <c r="BE4051" t="str">
        <f t="shared" si="191"/>
        <v xml:space="preserve">N215T   </v>
      </c>
      <c r="BF4051">
        <v>1</v>
      </c>
      <c r="BH4051">
        <v>0</v>
      </c>
      <c r="BI4051">
        <v>0</v>
      </c>
      <c r="BJ4051">
        <v>0</v>
      </c>
      <c r="BK4051">
        <v>400</v>
      </c>
      <c r="BL4051">
        <v>400</v>
      </c>
      <c r="BM4051" t="s">
        <v>119</v>
      </c>
      <c r="BN4051">
        <v>1</v>
      </c>
      <c r="BO4051">
        <v>1</v>
      </c>
      <c r="BP4051">
        <v>1</v>
      </c>
      <c r="BQ4051">
        <v>0</v>
      </c>
      <c r="BT4051">
        <v>0</v>
      </c>
      <c r="BU4051">
        <v>0</v>
      </c>
      <c r="BV4051">
        <v>0</v>
      </c>
      <c r="CC4051" t="str">
        <f>"19:42:39.195"</f>
        <v>19:42:39.195</v>
      </c>
      <c r="CD4051" t="str">
        <f>"197195498"</f>
        <v>197195498</v>
      </c>
      <c r="CQ4051">
        <v>0</v>
      </c>
      <c r="CR4051">
        <v>2</v>
      </c>
      <c r="CS4051">
        <v>0</v>
      </c>
      <c r="CT4051">
        <v>2</v>
      </c>
      <c r="CU4051">
        <v>0</v>
      </c>
      <c r="CV4051">
        <v>4</v>
      </c>
      <c r="CW4051" t="s">
        <v>120</v>
      </c>
      <c r="CX4051">
        <v>257</v>
      </c>
      <c r="CY4051">
        <v>0</v>
      </c>
      <c r="CZ4051" t="s">
        <v>615</v>
      </c>
      <c r="DA4051" t="s">
        <v>616</v>
      </c>
      <c r="DD4051">
        <v>16657217</v>
      </c>
      <c r="DE4051" t="s">
        <v>123</v>
      </c>
    </row>
    <row r="4052" spans="1:109" x14ac:dyDescent="0.3">
      <c r="A4052" t="str">
        <f>"19:42:40.359"</f>
        <v>19:42:40.359</v>
      </c>
      <c r="B4052" t="s">
        <v>110</v>
      </c>
      <c r="C4052" t="str">
        <f t="shared" si="189"/>
        <v>ffdfd3c0</v>
      </c>
      <c r="D4052" t="s">
        <v>111</v>
      </c>
      <c r="E4052">
        <v>18</v>
      </c>
      <c r="F4052">
        <v>1018</v>
      </c>
      <c r="G4052" t="s">
        <v>112</v>
      </c>
      <c r="J4052" t="s">
        <v>113</v>
      </c>
      <c r="K4052">
        <v>0</v>
      </c>
      <c r="L4052">
        <v>3</v>
      </c>
      <c r="M4052">
        <v>0</v>
      </c>
      <c r="N4052">
        <v>2</v>
      </c>
      <c r="O4052">
        <v>1</v>
      </c>
      <c r="P4052">
        <v>0</v>
      </c>
      <c r="Q4052">
        <v>0</v>
      </c>
      <c r="R4052" t="s">
        <v>114</v>
      </c>
      <c r="S4052" t="str">
        <f>"19:42:40.094"</f>
        <v>19:42:40.094</v>
      </c>
      <c r="T4052" t="str">
        <f>"19:42:39.797"</f>
        <v>19:42:39.797</v>
      </c>
      <c r="U4052" t="str">
        <f t="shared" si="190"/>
        <v>a1cdbe</v>
      </c>
      <c r="V4052">
        <v>0</v>
      </c>
      <c r="W4052">
        <v>0</v>
      </c>
      <c r="X4052">
        <v>2</v>
      </c>
      <c r="Y4052">
        <v>0</v>
      </c>
      <c r="Z4052">
        <v>0</v>
      </c>
      <c r="AB4052">
        <v>0</v>
      </c>
      <c r="AC4052">
        <v>9</v>
      </c>
      <c r="AD4052">
        <v>3</v>
      </c>
      <c r="AE4052">
        <v>0</v>
      </c>
      <c r="AF4052">
        <v>9</v>
      </c>
      <c r="AG4052" t="s">
        <v>115</v>
      </c>
      <c r="AH4052">
        <v>0</v>
      </c>
      <c r="AI4052">
        <v>0</v>
      </c>
      <c r="AJ4052">
        <v>1</v>
      </c>
      <c r="AK4052">
        <v>0</v>
      </c>
      <c r="AL4052" t="s">
        <v>7441</v>
      </c>
      <c r="AM4052">
        <v>47.064098999999999</v>
      </c>
      <c r="AN4052" t="s">
        <v>7601</v>
      </c>
      <c r="AO4052">
        <v>-123.98539100000001</v>
      </c>
      <c r="AP4052">
        <v>100</v>
      </c>
      <c r="AQ4052">
        <v>0</v>
      </c>
      <c r="AR4052" t="s">
        <v>118</v>
      </c>
      <c r="AS4052">
        <v>-46</v>
      </c>
      <c r="AT4052">
        <v>2</v>
      </c>
      <c r="AU4052">
        <v>320</v>
      </c>
      <c r="BC4052">
        <v>1200</v>
      </c>
      <c r="BD4052">
        <v>1</v>
      </c>
      <c r="BE4052" t="str">
        <f t="shared" si="191"/>
        <v xml:space="preserve">N215T   </v>
      </c>
      <c r="BF4052">
        <v>1</v>
      </c>
      <c r="BH4052">
        <v>0</v>
      </c>
      <c r="BI4052">
        <v>0</v>
      </c>
      <c r="BJ4052">
        <v>0</v>
      </c>
      <c r="BK4052">
        <v>400</v>
      </c>
      <c r="BL4052">
        <v>400</v>
      </c>
      <c r="BM4052" t="s">
        <v>119</v>
      </c>
      <c r="BN4052">
        <v>1</v>
      </c>
      <c r="BO4052">
        <v>1</v>
      </c>
      <c r="BP4052">
        <v>1</v>
      </c>
      <c r="BQ4052">
        <v>0</v>
      </c>
      <c r="BT4052">
        <v>0</v>
      </c>
      <c r="BU4052">
        <v>0</v>
      </c>
      <c r="BV4052">
        <v>0</v>
      </c>
      <c r="CC4052" t="str">
        <f>"19:42:40.094"</f>
        <v>19:42:40.094</v>
      </c>
      <c r="CD4052" t="str">
        <f>"097106789"</f>
        <v>097106789</v>
      </c>
      <c r="CQ4052">
        <v>0</v>
      </c>
      <c r="CR4052">
        <v>2</v>
      </c>
      <c r="CS4052">
        <v>0</v>
      </c>
      <c r="CT4052">
        <v>2</v>
      </c>
      <c r="CU4052">
        <v>0</v>
      </c>
      <c r="CV4052">
        <v>5</v>
      </c>
      <c r="CW4052" t="s">
        <v>120</v>
      </c>
      <c r="CX4052">
        <v>257</v>
      </c>
      <c r="CY4052">
        <v>0</v>
      </c>
      <c r="CZ4052" t="s">
        <v>615</v>
      </c>
      <c r="DA4052" t="s">
        <v>616</v>
      </c>
      <c r="DD4052">
        <v>16657490</v>
      </c>
      <c r="DE4052" t="s">
        <v>123</v>
      </c>
    </row>
    <row r="4053" spans="1:109" x14ac:dyDescent="0.3">
      <c r="A4053" t="str">
        <f>"19:42:41.563"</f>
        <v>19:42:41.563</v>
      </c>
      <c r="B4053" t="s">
        <v>110</v>
      </c>
      <c r="C4053" t="str">
        <f t="shared" ref="C4053:C4116" si="192">"ffdfd3c0"</f>
        <v>ffdfd3c0</v>
      </c>
      <c r="D4053" t="s">
        <v>111</v>
      </c>
      <c r="E4053">
        <v>18</v>
      </c>
      <c r="F4053">
        <v>1018</v>
      </c>
      <c r="G4053" t="s">
        <v>112</v>
      </c>
      <c r="J4053" t="s">
        <v>113</v>
      </c>
      <c r="K4053">
        <v>0</v>
      </c>
      <c r="L4053">
        <v>3</v>
      </c>
      <c r="M4053">
        <v>0</v>
      </c>
      <c r="N4053">
        <v>2</v>
      </c>
      <c r="O4053">
        <v>1</v>
      </c>
      <c r="P4053">
        <v>0</v>
      </c>
      <c r="Q4053">
        <v>0</v>
      </c>
      <c r="R4053" t="s">
        <v>114</v>
      </c>
      <c r="S4053" t="str">
        <f>"19:42:41.281"</f>
        <v>19:42:41.281</v>
      </c>
      <c r="T4053" t="str">
        <f>"19:42:41.078"</f>
        <v>19:42:41.078</v>
      </c>
      <c r="U4053" t="str">
        <f t="shared" si="190"/>
        <v>a1cdbe</v>
      </c>
      <c r="V4053">
        <v>0</v>
      </c>
      <c r="W4053">
        <v>0</v>
      </c>
      <c r="X4053">
        <v>2</v>
      </c>
      <c r="Y4053">
        <v>0</v>
      </c>
      <c r="Z4053">
        <v>0</v>
      </c>
      <c r="AB4053">
        <v>0</v>
      </c>
      <c r="AC4053">
        <v>9</v>
      </c>
      <c r="AD4053">
        <v>3</v>
      </c>
      <c r="AE4053">
        <v>0</v>
      </c>
      <c r="AF4053">
        <v>9</v>
      </c>
      <c r="AG4053" t="s">
        <v>115</v>
      </c>
      <c r="AH4053">
        <v>0</v>
      </c>
      <c r="AI4053">
        <v>0</v>
      </c>
      <c r="AJ4053">
        <v>1</v>
      </c>
      <c r="AK4053">
        <v>0</v>
      </c>
      <c r="AL4053" t="s">
        <v>7441</v>
      </c>
      <c r="AM4053">
        <v>47.064098999999999</v>
      </c>
      <c r="AN4053" t="s">
        <v>7602</v>
      </c>
      <c r="AO4053">
        <v>-123.985798</v>
      </c>
      <c r="AP4053">
        <v>100</v>
      </c>
      <c r="AQ4053">
        <v>0</v>
      </c>
      <c r="AR4053" t="s">
        <v>118</v>
      </c>
      <c r="AS4053">
        <v>-47</v>
      </c>
      <c r="AT4053">
        <v>-2</v>
      </c>
      <c r="AU4053">
        <v>64</v>
      </c>
      <c r="BC4053">
        <v>1200</v>
      </c>
      <c r="BD4053">
        <v>1</v>
      </c>
      <c r="BE4053" t="str">
        <f t="shared" si="191"/>
        <v xml:space="preserve">N215T   </v>
      </c>
      <c r="BF4053">
        <v>1</v>
      </c>
      <c r="BH4053">
        <v>0</v>
      </c>
      <c r="BI4053">
        <v>0</v>
      </c>
      <c r="BJ4053">
        <v>0</v>
      </c>
      <c r="BK4053">
        <v>425</v>
      </c>
      <c r="BL4053">
        <v>425</v>
      </c>
      <c r="BM4053" t="s">
        <v>119</v>
      </c>
      <c r="BN4053">
        <v>1</v>
      </c>
      <c r="BO4053">
        <v>1</v>
      </c>
      <c r="BP4053">
        <v>1</v>
      </c>
      <c r="BQ4053">
        <v>0</v>
      </c>
      <c r="BT4053">
        <v>0</v>
      </c>
      <c r="BU4053">
        <v>0</v>
      </c>
      <c r="BV4053">
        <v>0</v>
      </c>
      <c r="CC4053" t="str">
        <f>"19:42:41.281"</f>
        <v>19:42:41.281</v>
      </c>
      <c r="CD4053" t="str">
        <f>"281990047"</f>
        <v>281990047</v>
      </c>
      <c r="CQ4053">
        <v>0</v>
      </c>
      <c r="CR4053">
        <v>2</v>
      </c>
      <c r="CS4053">
        <v>0</v>
      </c>
      <c r="CT4053">
        <v>2</v>
      </c>
      <c r="CU4053">
        <v>0</v>
      </c>
      <c r="CV4053">
        <v>6</v>
      </c>
      <c r="CW4053" t="s">
        <v>120</v>
      </c>
      <c r="CX4053">
        <v>257</v>
      </c>
      <c r="CY4053">
        <v>0</v>
      </c>
      <c r="CZ4053" t="s">
        <v>615</v>
      </c>
      <c r="DA4053" t="s">
        <v>616</v>
      </c>
      <c r="DD4053">
        <v>16657873</v>
      </c>
      <c r="DE4053" t="s">
        <v>123</v>
      </c>
    </row>
    <row r="4054" spans="1:109" x14ac:dyDescent="0.3">
      <c r="A4054" t="str">
        <f>"19:42:42.922"</f>
        <v>19:42:42.922</v>
      </c>
      <c r="B4054" t="s">
        <v>110</v>
      </c>
      <c r="C4054" t="str">
        <f t="shared" si="192"/>
        <v>ffdfd3c0</v>
      </c>
      <c r="D4054" t="s">
        <v>111</v>
      </c>
      <c r="E4054">
        <v>18</v>
      </c>
      <c r="F4054">
        <v>1018</v>
      </c>
      <c r="G4054" t="s">
        <v>112</v>
      </c>
      <c r="J4054" t="s">
        <v>113</v>
      </c>
      <c r="K4054">
        <v>0</v>
      </c>
      <c r="L4054">
        <v>3</v>
      </c>
      <c r="M4054">
        <v>0</v>
      </c>
      <c r="N4054">
        <v>2</v>
      </c>
      <c r="O4054">
        <v>1</v>
      </c>
      <c r="P4054">
        <v>0</v>
      </c>
      <c r="Q4054">
        <v>0</v>
      </c>
      <c r="R4054" t="s">
        <v>114</v>
      </c>
      <c r="S4054" t="str">
        <f>"19:42:42.656"</f>
        <v>19:42:42.656</v>
      </c>
      <c r="T4054" t="str">
        <f>"19:42:42.156"</f>
        <v>19:42:42.156</v>
      </c>
      <c r="U4054" t="str">
        <f t="shared" si="190"/>
        <v>a1cdbe</v>
      </c>
      <c r="V4054">
        <v>0</v>
      </c>
      <c r="W4054">
        <v>0</v>
      </c>
      <c r="X4054">
        <v>2</v>
      </c>
      <c r="Y4054">
        <v>0</v>
      </c>
      <c r="Z4054">
        <v>0</v>
      </c>
      <c r="AB4054">
        <v>0</v>
      </c>
      <c r="AC4054">
        <v>9</v>
      </c>
      <c r="AD4054">
        <v>3</v>
      </c>
      <c r="AE4054">
        <v>0</v>
      </c>
      <c r="AF4054">
        <v>9</v>
      </c>
      <c r="AG4054" t="s">
        <v>115</v>
      </c>
      <c r="AH4054">
        <v>0</v>
      </c>
      <c r="AI4054">
        <v>0</v>
      </c>
      <c r="AJ4054">
        <v>1</v>
      </c>
      <c r="AK4054">
        <v>0</v>
      </c>
      <c r="AL4054" t="s">
        <v>7509</v>
      </c>
      <c r="AM4054">
        <v>47.064078000000002</v>
      </c>
      <c r="AN4054" t="s">
        <v>7314</v>
      </c>
      <c r="AO4054">
        <v>-123.986206</v>
      </c>
      <c r="AP4054">
        <v>100</v>
      </c>
      <c r="AQ4054">
        <v>0</v>
      </c>
      <c r="AR4054" t="s">
        <v>118</v>
      </c>
      <c r="AS4054">
        <v>-48</v>
      </c>
      <c r="AT4054">
        <v>-3</v>
      </c>
      <c r="AU4054">
        <v>-128</v>
      </c>
      <c r="BC4054">
        <v>1200</v>
      </c>
      <c r="BD4054">
        <v>1</v>
      </c>
      <c r="BE4054" t="str">
        <f t="shared" si="191"/>
        <v xml:space="preserve">N215T   </v>
      </c>
      <c r="BF4054">
        <v>1</v>
      </c>
      <c r="BH4054">
        <v>0</v>
      </c>
      <c r="BI4054">
        <v>0</v>
      </c>
      <c r="BJ4054">
        <v>0</v>
      </c>
      <c r="BK4054">
        <v>425</v>
      </c>
      <c r="BL4054">
        <v>425</v>
      </c>
      <c r="BM4054" t="s">
        <v>119</v>
      </c>
      <c r="BN4054">
        <v>1</v>
      </c>
      <c r="BO4054">
        <v>1</v>
      </c>
      <c r="BP4054">
        <v>1</v>
      </c>
      <c r="BQ4054">
        <v>0</v>
      </c>
      <c r="BT4054">
        <v>0</v>
      </c>
      <c r="BU4054">
        <v>0</v>
      </c>
      <c r="BV4054">
        <v>0</v>
      </c>
      <c r="CC4054" t="str">
        <f>"19:42:42.664"</f>
        <v>19:42:42.664</v>
      </c>
      <c r="CD4054" t="str">
        <f>"661854058"</f>
        <v>661854058</v>
      </c>
      <c r="CQ4054">
        <v>0</v>
      </c>
      <c r="CR4054">
        <v>2</v>
      </c>
      <c r="CS4054">
        <v>0</v>
      </c>
      <c r="CT4054">
        <v>2</v>
      </c>
      <c r="CU4054">
        <v>0</v>
      </c>
      <c r="CV4054">
        <v>5</v>
      </c>
      <c r="CW4054" t="s">
        <v>120</v>
      </c>
      <c r="CX4054">
        <v>257</v>
      </c>
      <c r="CY4054">
        <v>0</v>
      </c>
      <c r="CZ4054" t="s">
        <v>615</v>
      </c>
      <c r="DA4054" t="s">
        <v>616</v>
      </c>
      <c r="DD4054">
        <v>16658341</v>
      </c>
      <c r="DE4054" t="s">
        <v>123</v>
      </c>
    </row>
    <row r="4055" spans="1:109" x14ac:dyDescent="0.3">
      <c r="A4055" t="str">
        <f>"19:42:44.023"</f>
        <v>19:42:44.023</v>
      </c>
      <c r="B4055" t="s">
        <v>110</v>
      </c>
      <c r="C4055" t="str">
        <f t="shared" si="192"/>
        <v>ffdfd3c0</v>
      </c>
      <c r="D4055" t="s">
        <v>111</v>
      </c>
      <c r="E4055">
        <v>18</v>
      </c>
      <c r="F4055">
        <v>1018</v>
      </c>
      <c r="G4055" t="s">
        <v>112</v>
      </c>
      <c r="J4055" t="s">
        <v>113</v>
      </c>
      <c r="K4055">
        <v>0</v>
      </c>
      <c r="L4055">
        <v>3</v>
      </c>
      <c r="M4055">
        <v>0</v>
      </c>
      <c r="N4055">
        <v>2</v>
      </c>
      <c r="O4055">
        <v>1</v>
      </c>
      <c r="P4055">
        <v>0</v>
      </c>
      <c r="Q4055">
        <v>0</v>
      </c>
      <c r="R4055" t="s">
        <v>114</v>
      </c>
      <c r="S4055" t="str">
        <f>"19:42:43.750"</f>
        <v>19:42:43.750</v>
      </c>
      <c r="T4055" t="str">
        <f>"19:42:43.750"</f>
        <v>19:42:43.750</v>
      </c>
      <c r="U4055" t="str">
        <f t="shared" si="190"/>
        <v>a1cdbe</v>
      </c>
      <c r="V4055">
        <v>0</v>
      </c>
      <c r="W4055">
        <v>0</v>
      </c>
      <c r="X4055">
        <v>2</v>
      </c>
      <c r="Y4055">
        <v>0</v>
      </c>
      <c r="Z4055">
        <v>0</v>
      </c>
      <c r="AB4055">
        <v>0</v>
      </c>
      <c r="AC4055">
        <v>9</v>
      </c>
      <c r="AD4055">
        <v>3</v>
      </c>
      <c r="AE4055">
        <v>0</v>
      </c>
      <c r="AF4055">
        <v>9</v>
      </c>
      <c r="AG4055" t="s">
        <v>115</v>
      </c>
      <c r="AH4055">
        <v>0</v>
      </c>
      <c r="AI4055">
        <v>0</v>
      </c>
      <c r="AJ4055">
        <v>1</v>
      </c>
      <c r="AK4055">
        <v>0</v>
      </c>
      <c r="AL4055" t="s">
        <v>7509</v>
      </c>
      <c r="AM4055">
        <v>47.064078000000002</v>
      </c>
      <c r="AN4055" t="s">
        <v>7603</v>
      </c>
      <c r="AO4055">
        <v>-123.98663500000001</v>
      </c>
      <c r="AP4055">
        <v>100</v>
      </c>
      <c r="AQ4055">
        <v>0</v>
      </c>
      <c r="AR4055" t="s">
        <v>118</v>
      </c>
      <c r="AS4055">
        <v>-49</v>
      </c>
      <c r="AT4055">
        <v>-1</v>
      </c>
      <c r="AU4055">
        <v>-64</v>
      </c>
      <c r="BC4055">
        <v>1200</v>
      </c>
      <c r="BD4055">
        <v>1</v>
      </c>
      <c r="BE4055" t="str">
        <f t="shared" si="191"/>
        <v xml:space="preserve">N215T   </v>
      </c>
      <c r="BF4055">
        <v>1</v>
      </c>
      <c r="BH4055">
        <v>0</v>
      </c>
      <c r="BI4055">
        <v>0</v>
      </c>
      <c r="BJ4055">
        <v>0</v>
      </c>
      <c r="BK4055">
        <v>425</v>
      </c>
      <c r="BL4055">
        <v>425</v>
      </c>
      <c r="BM4055" t="s">
        <v>119</v>
      </c>
      <c r="BN4055">
        <v>1</v>
      </c>
      <c r="BO4055">
        <v>1</v>
      </c>
      <c r="BP4055">
        <v>1</v>
      </c>
      <c r="BQ4055">
        <v>0</v>
      </c>
      <c r="BT4055">
        <v>0</v>
      </c>
      <c r="BU4055">
        <v>0</v>
      </c>
      <c r="BV4055">
        <v>0</v>
      </c>
      <c r="CC4055" t="str">
        <f>"19:42:43.758"</f>
        <v>19:42:43.758</v>
      </c>
      <c r="CD4055" t="str">
        <f>"756746177"</f>
        <v>756746177</v>
      </c>
      <c r="CQ4055">
        <v>0</v>
      </c>
      <c r="CR4055">
        <v>2</v>
      </c>
      <c r="CS4055">
        <v>0</v>
      </c>
      <c r="CT4055">
        <v>2</v>
      </c>
      <c r="CU4055">
        <v>0</v>
      </c>
      <c r="CV4055">
        <v>5</v>
      </c>
      <c r="CW4055" t="s">
        <v>120</v>
      </c>
      <c r="CX4055">
        <v>257</v>
      </c>
      <c r="CY4055">
        <v>0</v>
      </c>
      <c r="CZ4055" t="s">
        <v>615</v>
      </c>
      <c r="DA4055" t="s">
        <v>616</v>
      </c>
      <c r="DD4055">
        <v>16658689</v>
      </c>
      <c r="DE4055" t="s">
        <v>123</v>
      </c>
    </row>
    <row r="4056" spans="1:109" x14ac:dyDescent="0.3">
      <c r="A4056" t="str">
        <f>"19:42:44.977"</f>
        <v>19:42:44.977</v>
      </c>
      <c r="B4056" t="s">
        <v>110</v>
      </c>
      <c r="C4056" t="str">
        <f t="shared" si="192"/>
        <v>ffdfd3c0</v>
      </c>
      <c r="D4056" t="s">
        <v>111</v>
      </c>
      <c r="E4056">
        <v>18</v>
      </c>
      <c r="F4056">
        <v>1018</v>
      </c>
      <c r="G4056" t="s">
        <v>112</v>
      </c>
      <c r="J4056" t="s">
        <v>113</v>
      </c>
      <c r="K4056">
        <v>0</v>
      </c>
      <c r="L4056">
        <v>3</v>
      </c>
      <c r="M4056">
        <v>0</v>
      </c>
      <c r="N4056">
        <v>2</v>
      </c>
      <c r="O4056">
        <v>1</v>
      </c>
      <c r="P4056">
        <v>0</v>
      </c>
      <c r="Q4056">
        <v>0</v>
      </c>
      <c r="R4056" t="s">
        <v>114</v>
      </c>
      <c r="S4056" t="str">
        <f>"19:42:44.727"</f>
        <v>19:42:44.727</v>
      </c>
      <c r="T4056" t="str">
        <f>"19:42:44.328"</f>
        <v>19:42:44.328</v>
      </c>
      <c r="U4056" t="str">
        <f t="shared" si="190"/>
        <v>a1cdbe</v>
      </c>
      <c r="V4056">
        <v>0</v>
      </c>
      <c r="W4056">
        <v>0</v>
      </c>
      <c r="X4056">
        <v>2</v>
      </c>
      <c r="Y4056">
        <v>0</v>
      </c>
      <c r="Z4056">
        <v>0</v>
      </c>
      <c r="AB4056">
        <v>0</v>
      </c>
      <c r="AC4056">
        <v>9</v>
      </c>
      <c r="AD4056">
        <v>3</v>
      </c>
      <c r="AE4056">
        <v>0</v>
      </c>
      <c r="AF4056">
        <v>9</v>
      </c>
      <c r="AG4056" t="s">
        <v>115</v>
      </c>
      <c r="AH4056">
        <v>0</v>
      </c>
      <c r="AI4056">
        <v>0</v>
      </c>
      <c r="AJ4056">
        <v>1</v>
      </c>
      <c r="AK4056">
        <v>0</v>
      </c>
      <c r="AL4056" t="s">
        <v>7604</v>
      </c>
      <c r="AM4056">
        <v>47.064034999999997</v>
      </c>
      <c r="AN4056" t="s">
        <v>7605</v>
      </c>
      <c r="AO4056">
        <v>-123.986914</v>
      </c>
      <c r="AP4056">
        <v>100</v>
      </c>
      <c r="AQ4056">
        <v>0</v>
      </c>
      <c r="AR4056" t="s">
        <v>118</v>
      </c>
      <c r="AS4056">
        <v>-50</v>
      </c>
      <c r="AT4056">
        <v>-1</v>
      </c>
      <c r="AU4056">
        <v>-64</v>
      </c>
      <c r="BC4056">
        <v>1200</v>
      </c>
      <c r="BD4056">
        <v>1</v>
      </c>
      <c r="BE4056" t="str">
        <f t="shared" si="191"/>
        <v xml:space="preserve">N215T   </v>
      </c>
      <c r="BF4056">
        <v>1</v>
      </c>
      <c r="BH4056">
        <v>0</v>
      </c>
      <c r="BI4056">
        <v>0</v>
      </c>
      <c r="BJ4056">
        <v>0</v>
      </c>
      <c r="BK4056">
        <v>425</v>
      </c>
      <c r="BL4056">
        <v>425</v>
      </c>
      <c r="BM4056" t="s">
        <v>119</v>
      </c>
      <c r="BN4056">
        <v>1</v>
      </c>
      <c r="BO4056">
        <v>1</v>
      </c>
      <c r="BP4056">
        <v>1</v>
      </c>
      <c r="BQ4056">
        <v>0</v>
      </c>
      <c r="BT4056">
        <v>0</v>
      </c>
      <c r="BU4056">
        <v>0</v>
      </c>
      <c r="BV4056">
        <v>0</v>
      </c>
      <c r="CC4056" t="str">
        <f>"19:42:44.734"</f>
        <v>19:42:44.734</v>
      </c>
      <c r="CD4056" t="str">
        <f>"731650111"</f>
        <v>731650111</v>
      </c>
      <c r="CQ4056">
        <v>0</v>
      </c>
      <c r="CR4056">
        <v>2</v>
      </c>
      <c r="CS4056">
        <v>0</v>
      </c>
      <c r="CT4056">
        <v>2</v>
      </c>
      <c r="CU4056">
        <v>0</v>
      </c>
      <c r="CV4056">
        <v>5</v>
      </c>
      <c r="CW4056" t="s">
        <v>120</v>
      </c>
      <c r="CX4056">
        <v>257</v>
      </c>
      <c r="CY4056">
        <v>0</v>
      </c>
      <c r="CZ4056" t="s">
        <v>615</v>
      </c>
      <c r="DA4056" t="s">
        <v>616</v>
      </c>
      <c r="DD4056">
        <v>16659031</v>
      </c>
      <c r="DE4056" t="s">
        <v>123</v>
      </c>
    </row>
    <row r="4057" spans="1:109" x14ac:dyDescent="0.3">
      <c r="A4057" t="str">
        <f>"19:42:45.984"</f>
        <v>19:42:45.984</v>
      </c>
      <c r="B4057" t="s">
        <v>110</v>
      </c>
      <c r="C4057" t="str">
        <f t="shared" si="192"/>
        <v>ffdfd3c0</v>
      </c>
      <c r="D4057" t="s">
        <v>111</v>
      </c>
      <c r="E4057">
        <v>18</v>
      </c>
      <c r="F4057">
        <v>1018</v>
      </c>
      <c r="G4057" t="s">
        <v>112</v>
      </c>
      <c r="J4057" t="s">
        <v>113</v>
      </c>
      <c r="K4057">
        <v>0</v>
      </c>
      <c r="L4057">
        <v>3</v>
      </c>
      <c r="M4057">
        <v>0</v>
      </c>
      <c r="N4057">
        <v>2</v>
      </c>
      <c r="O4057">
        <v>1</v>
      </c>
      <c r="P4057">
        <v>0</v>
      </c>
      <c r="Q4057">
        <v>0</v>
      </c>
      <c r="R4057" t="s">
        <v>114</v>
      </c>
      <c r="S4057" t="str">
        <f>"19:42:45.750"</f>
        <v>19:42:45.750</v>
      </c>
      <c r="T4057" t="str">
        <f>"19:42:45.453"</f>
        <v>19:42:45.453</v>
      </c>
      <c r="U4057" t="str">
        <f t="shared" si="190"/>
        <v>a1cdbe</v>
      </c>
      <c r="V4057">
        <v>0</v>
      </c>
      <c r="W4057">
        <v>0</v>
      </c>
      <c r="X4057">
        <v>2</v>
      </c>
      <c r="Y4057">
        <v>0</v>
      </c>
      <c r="Z4057">
        <v>0</v>
      </c>
      <c r="AB4057">
        <v>0</v>
      </c>
      <c r="AC4057">
        <v>9</v>
      </c>
      <c r="AD4057">
        <v>3</v>
      </c>
      <c r="AE4057">
        <v>0</v>
      </c>
      <c r="AF4057">
        <v>9</v>
      </c>
      <c r="AG4057" t="s">
        <v>115</v>
      </c>
      <c r="AH4057">
        <v>0</v>
      </c>
      <c r="AI4057">
        <v>0</v>
      </c>
      <c r="AJ4057">
        <v>1</v>
      </c>
      <c r="AK4057">
        <v>0</v>
      </c>
      <c r="AL4057" t="s">
        <v>7604</v>
      </c>
      <c r="AM4057">
        <v>47.064034999999997</v>
      </c>
      <c r="AN4057" t="s">
        <v>7318</v>
      </c>
      <c r="AO4057">
        <v>-123.987257</v>
      </c>
      <c r="AP4057">
        <v>100</v>
      </c>
      <c r="AQ4057">
        <v>0</v>
      </c>
      <c r="AR4057" t="s">
        <v>118</v>
      </c>
      <c r="AS4057">
        <v>-50</v>
      </c>
      <c r="AT4057">
        <v>0</v>
      </c>
      <c r="AU4057">
        <v>-64</v>
      </c>
      <c r="BC4057">
        <v>1200</v>
      </c>
      <c r="BD4057">
        <v>1</v>
      </c>
      <c r="BE4057" t="str">
        <f t="shared" si="191"/>
        <v xml:space="preserve">N215T   </v>
      </c>
      <c r="BF4057">
        <v>1</v>
      </c>
      <c r="BH4057">
        <v>0</v>
      </c>
      <c r="BI4057">
        <v>0</v>
      </c>
      <c r="BJ4057">
        <v>0</v>
      </c>
      <c r="BK4057">
        <v>400</v>
      </c>
      <c r="BL4057">
        <v>400</v>
      </c>
      <c r="BM4057" t="s">
        <v>119</v>
      </c>
      <c r="BN4057">
        <v>1</v>
      </c>
      <c r="BO4057">
        <v>1</v>
      </c>
      <c r="BP4057">
        <v>1</v>
      </c>
      <c r="BQ4057">
        <v>0</v>
      </c>
      <c r="BT4057">
        <v>0</v>
      </c>
      <c r="BU4057">
        <v>0</v>
      </c>
      <c r="BV4057">
        <v>0</v>
      </c>
      <c r="CC4057" t="str">
        <f>"19:42:45.750"</f>
        <v>19:42:45.750</v>
      </c>
      <c r="CD4057" t="str">
        <f>"751549611"</f>
        <v>751549611</v>
      </c>
      <c r="CQ4057">
        <v>0</v>
      </c>
      <c r="CR4057">
        <v>2</v>
      </c>
      <c r="CS4057">
        <v>0</v>
      </c>
      <c r="CT4057">
        <v>2</v>
      </c>
      <c r="CU4057">
        <v>0</v>
      </c>
      <c r="CV4057">
        <v>5</v>
      </c>
      <c r="CW4057" t="s">
        <v>120</v>
      </c>
      <c r="CX4057">
        <v>257</v>
      </c>
      <c r="CY4057">
        <v>0</v>
      </c>
      <c r="CZ4057" t="s">
        <v>615</v>
      </c>
      <c r="DA4057" t="s">
        <v>616</v>
      </c>
      <c r="DD4057">
        <v>16659350</v>
      </c>
      <c r="DE4057" t="s">
        <v>123</v>
      </c>
    </row>
    <row r="4058" spans="1:109" x14ac:dyDescent="0.3">
      <c r="A4058" t="str">
        <f>"19:42:47.047"</f>
        <v>19:42:47.047</v>
      </c>
      <c r="B4058" t="s">
        <v>110</v>
      </c>
      <c r="C4058" t="str">
        <f t="shared" si="192"/>
        <v>ffdfd3c0</v>
      </c>
      <c r="D4058" t="s">
        <v>111</v>
      </c>
      <c r="E4058">
        <v>18</v>
      </c>
      <c r="F4058">
        <v>1018</v>
      </c>
      <c r="G4058" t="s">
        <v>112</v>
      </c>
      <c r="J4058" t="s">
        <v>113</v>
      </c>
      <c r="K4058">
        <v>0</v>
      </c>
      <c r="L4058">
        <v>3</v>
      </c>
      <c r="M4058">
        <v>0</v>
      </c>
      <c r="N4058">
        <v>2</v>
      </c>
      <c r="O4058">
        <v>1</v>
      </c>
      <c r="P4058">
        <v>0</v>
      </c>
      <c r="Q4058">
        <v>0</v>
      </c>
      <c r="R4058" t="s">
        <v>114</v>
      </c>
      <c r="S4058" t="str">
        <f>"19:42:46.813"</f>
        <v>19:42:46.813</v>
      </c>
      <c r="T4058" t="str">
        <f>"19:42:46.414"</f>
        <v>19:42:46.414</v>
      </c>
      <c r="U4058" t="str">
        <f t="shared" si="190"/>
        <v>a1cdbe</v>
      </c>
      <c r="V4058">
        <v>0</v>
      </c>
      <c r="W4058">
        <v>0</v>
      </c>
      <c r="X4058">
        <v>2</v>
      </c>
      <c r="Y4058">
        <v>0</v>
      </c>
      <c r="Z4058">
        <v>0</v>
      </c>
      <c r="AB4058">
        <v>0</v>
      </c>
      <c r="AC4058">
        <v>9</v>
      </c>
      <c r="AD4058">
        <v>3</v>
      </c>
      <c r="AE4058">
        <v>0</v>
      </c>
      <c r="AF4058">
        <v>9</v>
      </c>
      <c r="AG4058" t="s">
        <v>115</v>
      </c>
      <c r="AH4058">
        <v>0</v>
      </c>
      <c r="AI4058">
        <v>0</v>
      </c>
      <c r="AJ4058">
        <v>1</v>
      </c>
      <c r="AK4058">
        <v>0</v>
      </c>
      <c r="AL4058" t="s">
        <v>7606</v>
      </c>
      <c r="AM4058">
        <v>47.064056000000001</v>
      </c>
      <c r="AN4058" t="s">
        <v>7607</v>
      </c>
      <c r="AO4058">
        <v>-123.987644</v>
      </c>
      <c r="AP4058">
        <v>100</v>
      </c>
      <c r="AQ4058">
        <v>0</v>
      </c>
      <c r="AR4058" t="s">
        <v>118</v>
      </c>
      <c r="AS4058">
        <v>-51</v>
      </c>
      <c r="AT4058">
        <v>-2</v>
      </c>
      <c r="AU4058">
        <v>192</v>
      </c>
      <c r="BC4058">
        <v>1200</v>
      </c>
      <c r="BD4058">
        <v>1</v>
      </c>
      <c r="BE4058" t="str">
        <f t="shared" si="191"/>
        <v xml:space="preserve">N215T   </v>
      </c>
      <c r="BF4058">
        <v>1</v>
      </c>
      <c r="BH4058">
        <v>0</v>
      </c>
      <c r="BI4058">
        <v>0</v>
      </c>
      <c r="BJ4058">
        <v>0</v>
      </c>
      <c r="BK4058">
        <v>425</v>
      </c>
      <c r="BL4058">
        <v>425</v>
      </c>
      <c r="BM4058" t="s">
        <v>119</v>
      </c>
      <c r="BN4058">
        <v>1</v>
      </c>
      <c r="BO4058">
        <v>1</v>
      </c>
      <c r="BP4058">
        <v>1</v>
      </c>
      <c r="BQ4058">
        <v>0</v>
      </c>
      <c r="BT4058">
        <v>0</v>
      </c>
      <c r="BU4058">
        <v>0</v>
      </c>
      <c r="BV4058">
        <v>0</v>
      </c>
      <c r="CC4058" t="str">
        <f>"19:42:46.820"</f>
        <v>19:42:46.820</v>
      </c>
      <c r="CD4058" t="str">
        <f>"816444667"</f>
        <v>816444667</v>
      </c>
      <c r="CQ4058">
        <v>0</v>
      </c>
      <c r="CR4058">
        <v>2</v>
      </c>
      <c r="CS4058">
        <v>0</v>
      </c>
      <c r="CT4058">
        <v>2</v>
      </c>
      <c r="CU4058">
        <v>0</v>
      </c>
      <c r="CV4058">
        <v>5</v>
      </c>
      <c r="CW4058" t="s">
        <v>120</v>
      </c>
      <c r="CX4058">
        <v>257</v>
      </c>
      <c r="CY4058">
        <v>0</v>
      </c>
      <c r="CZ4058" t="s">
        <v>615</v>
      </c>
      <c r="DA4058" t="s">
        <v>616</v>
      </c>
      <c r="DD4058">
        <v>16659706</v>
      </c>
      <c r="DE4058" t="s">
        <v>123</v>
      </c>
    </row>
    <row r="4059" spans="1:109" x14ac:dyDescent="0.3">
      <c r="A4059" t="str">
        <f>"19:42:48.047"</f>
        <v>19:42:48.047</v>
      </c>
      <c r="B4059" t="s">
        <v>110</v>
      </c>
      <c r="C4059" t="str">
        <f t="shared" si="192"/>
        <v>ffdfd3c0</v>
      </c>
      <c r="D4059" t="s">
        <v>111</v>
      </c>
      <c r="E4059">
        <v>18</v>
      </c>
      <c r="F4059">
        <v>1018</v>
      </c>
      <c r="G4059" t="s">
        <v>112</v>
      </c>
      <c r="J4059" t="s">
        <v>113</v>
      </c>
      <c r="K4059">
        <v>0</v>
      </c>
      <c r="L4059">
        <v>3</v>
      </c>
      <c r="M4059">
        <v>0</v>
      </c>
      <c r="N4059">
        <v>2</v>
      </c>
      <c r="O4059">
        <v>1</v>
      </c>
      <c r="P4059">
        <v>0</v>
      </c>
      <c r="Q4059">
        <v>0</v>
      </c>
      <c r="R4059" t="s">
        <v>114</v>
      </c>
      <c r="S4059" t="str">
        <f>"19:42:47.773"</f>
        <v>19:42:47.773</v>
      </c>
      <c r="T4059" t="str">
        <f>"19:42:47.477"</f>
        <v>19:42:47.477</v>
      </c>
      <c r="U4059" t="str">
        <f t="shared" si="190"/>
        <v>a1cdbe</v>
      </c>
      <c r="V4059">
        <v>0</v>
      </c>
      <c r="W4059">
        <v>0</v>
      </c>
      <c r="X4059">
        <v>2</v>
      </c>
      <c r="Y4059">
        <v>0</v>
      </c>
      <c r="Z4059">
        <v>0</v>
      </c>
      <c r="AB4059">
        <v>0</v>
      </c>
      <c r="AC4059">
        <v>9</v>
      </c>
      <c r="AD4059">
        <v>3</v>
      </c>
      <c r="AE4059">
        <v>0</v>
      </c>
      <c r="AF4059">
        <v>9</v>
      </c>
      <c r="AG4059" t="s">
        <v>115</v>
      </c>
      <c r="AH4059">
        <v>0</v>
      </c>
      <c r="AI4059">
        <v>0</v>
      </c>
      <c r="AJ4059">
        <v>1</v>
      </c>
      <c r="AK4059">
        <v>0</v>
      </c>
      <c r="AL4059" t="s">
        <v>7604</v>
      </c>
      <c r="AM4059">
        <v>47.064034999999997</v>
      </c>
      <c r="AN4059" t="s">
        <v>7608</v>
      </c>
      <c r="AO4059">
        <v>-123.987966</v>
      </c>
      <c r="AP4059">
        <v>100</v>
      </c>
      <c r="AQ4059">
        <v>0</v>
      </c>
      <c r="AR4059" t="s">
        <v>118</v>
      </c>
      <c r="AS4059">
        <v>-52</v>
      </c>
      <c r="AT4059">
        <v>-3</v>
      </c>
      <c r="AU4059">
        <v>128</v>
      </c>
      <c r="BC4059">
        <v>1200</v>
      </c>
      <c r="BD4059">
        <v>1</v>
      </c>
      <c r="BE4059" t="str">
        <f t="shared" si="191"/>
        <v xml:space="preserve">N215T   </v>
      </c>
      <c r="BF4059">
        <v>1</v>
      </c>
      <c r="BH4059">
        <v>0</v>
      </c>
      <c r="BI4059">
        <v>0</v>
      </c>
      <c r="BJ4059">
        <v>0</v>
      </c>
      <c r="BK4059">
        <v>425</v>
      </c>
      <c r="BL4059">
        <v>425</v>
      </c>
      <c r="BM4059" t="s">
        <v>119</v>
      </c>
      <c r="BN4059">
        <v>1</v>
      </c>
      <c r="BO4059">
        <v>1</v>
      </c>
      <c r="BP4059">
        <v>1</v>
      </c>
      <c r="BQ4059">
        <v>0</v>
      </c>
      <c r="BT4059">
        <v>0</v>
      </c>
      <c r="BU4059">
        <v>0</v>
      </c>
      <c r="BV4059">
        <v>0</v>
      </c>
      <c r="CC4059" t="str">
        <f>"19:42:47.773"</f>
        <v>19:42:47.773</v>
      </c>
      <c r="CD4059" t="str">
        <f>"776350077"</f>
        <v>776350077</v>
      </c>
      <c r="CQ4059">
        <v>0</v>
      </c>
      <c r="CR4059">
        <v>2</v>
      </c>
      <c r="CS4059">
        <v>0</v>
      </c>
      <c r="CT4059">
        <v>2</v>
      </c>
      <c r="CU4059">
        <v>0</v>
      </c>
      <c r="CV4059">
        <v>5</v>
      </c>
      <c r="CW4059" t="s">
        <v>120</v>
      </c>
      <c r="CX4059">
        <v>257</v>
      </c>
      <c r="CY4059">
        <v>0</v>
      </c>
      <c r="CZ4059" t="s">
        <v>615</v>
      </c>
      <c r="DA4059" t="s">
        <v>616</v>
      </c>
      <c r="DD4059">
        <v>16660020</v>
      </c>
      <c r="DE4059" t="s">
        <v>123</v>
      </c>
    </row>
    <row r="4060" spans="1:109" x14ac:dyDescent="0.3">
      <c r="A4060" t="str">
        <f>"19:42:48.852"</f>
        <v>19:42:48.852</v>
      </c>
      <c r="B4060" t="s">
        <v>110</v>
      </c>
      <c r="C4060" t="str">
        <f t="shared" si="192"/>
        <v>ffdfd3c0</v>
      </c>
      <c r="D4060" t="s">
        <v>111</v>
      </c>
      <c r="E4060">
        <v>18</v>
      </c>
      <c r="F4060">
        <v>1018</v>
      </c>
      <c r="G4060" t="s">
        <v>112</v>
      </c>
      <c r="J4060" t="s">
        <v>113</v>
      </c>
      <c r="K4060">
        <v>0</v>
      </c>
      <c r="L4060">
        <v>3</v>
      </c>
      <c r="M4060">
        <v>0</v>
      </c>
      <c r="N4060">
        <v>2</v>
      </c>
      <c r="O4060">
        <v>1</v>
      </c>
      <c r="P4060">
        <v>0</v>
      </c>
      <c r="Q4060">
        <v>0</v>
      </c>
      <c r="R4060" t="s">
        <v>114</v>
      </c>
      <c r="S4060" t="str">
        <f>"19:42:48.656"</f>
        <v>19:42:48.656</v>
      </c>
      <c r="T4060" t="str">
        <f>"19:42:48.359"</f>
        <v>19:42:48.359</v>
      </c>
      <c r="U4060" t="str">
        <f t="shared" si="190"/>
        <v>a1cdbe</v>
      </c>
      <c r="V4060">
        <v>0</v>
      </c>
      <c r="W4060">
        <v>0</v>
      </c>
      <c r="X4060">
        <v>2</v>
      </c>
      <c r="Y4060">
        <v>0</v>
      </c>
      <c r="Z4060">
        <v>0</v>
      </c>
      <c r="AB4060">
        <v>0</v>
      </c>
      <c r="AC4060">
        <v>9</v>
      </c>
      <c r="AD4060">
        <v>3</v>
      </c>
      <c r="AE4060">
        <v>0</v>
      </c>
      <c r="AF4060">
        <v>9</v>
      </c>
      <c r="AG4060" t="s">
        <v>115</v>
      </c>
      <c r="AH4060">
        <v>0</v>
      </c>
      <c r="AI4060">
        <v>0</v>
      </c>
      <c r="AJ4060">
        <v>1</v>
      </c>
      <c r="AK4060">
        <v>0</v>
      </c>
      <c r="AL4060" t="s">
        <v>7604</v>
      </c>
      <c r="AM4060">
        <v>47.064034999999997</v>
      </c>
      <c r="AN4060" t="s">
        <v>7609</v>
      </c>
      <c r="AO4060">
        <v>-123.98824500000001</v>
      </c>
      <c r="AP4060">
        <v>100</v>
      </c>
      <c r="AQ4060">
        <v>0</v>
      </c>
      <c r="AR4060" t="s">
        <v>118</v>
      </c>
      <c r="AS4060">
        <v>-52</v>
      </c>
      <c r="AT4060">
        <v>-4</v>
      </c>
      <c r="AU4060">
        <v>192</v>
      </c>
      <c r="BC4060">
        <v>1200</v>
      </c>
      <c r="BD4060">
        <v>1</v>
      </c>
      <c r="BE4060" t="str">
        <f t="shared" si="191"/>
        <v xml:space="preserve">N215T   </v>
      </c>
      <c r="BF4060">
        <v>1</v>
      </c>
      <c r="BH4060">
        <v>0</v>
      </c>
      <c r="BI4060">
        <v>0</v>
      </c>
      <c r="BJ4060">
        <v>0</v>
      </c>
      <c r="BK4060">
        <v>425</v>
      </c>
      <c r="BL4060">
        <v>425</v>
      </c>
      <c r="BM4060" t="s">
        <v>119</v>
      </c>
      <c r="BN4060">
        <v>1</v>
      </c>
      <c r="BO4060">
        <v>1</v>
      </c>
      <c r="BP4060">
        <v>1</v>
      </c>
      <c r="BQ4060">
        <v>0</v>
      </c>
      <c r="BT4060">
        <v>0</v>
      </c>
      <c r="BU4060">
        <v>0</v>
      </c>
      <c r="BV4060">
        <v>0</v>
      </c>
      <c r="CC4060" t="str">
        <f>"19:42:48.664"</f>
        <v>19:42:48.664</v>
      </c>
      <c r="CD4060" t="str">
        <f>"661262862"</f>
        <v>661262862</v>
      </c>
      <c r="CQ4060">
        <v>0</v>
      </c>
      <c r="CR4060">
        <v>2</v>
      </c>
      <c r="CS4060">
        <v>0</v>
      </c>
      <c r="CT4060">
        <v>2</v>
      </c>
      <c r="CU4060">
        <v>0</v>
      </c>
      <c r="CV4060">
        <v>5</v>
      </c>
      <c r="CW4060" t="s">
        <v>120</v>
      </c>
      <c r="CX4060">
        <v>257</v>
      </c>
      <c r="CY4060">
        <v>0</v>
      </c>
      <c r="CZ4060" t="s">
        <v>615</v>
      </c>
      <c r="DA4060" t="s">
        <v>616</v>
      </c>
      <c r="DD4060">
        <v>16660330</v>
      </c>
      <c r="DE4060" t="s">
        <v>123</v>
      </c>
    </row>
    <row r="4061" spans="1:109" x14ac:dyDescent="0.3">
      <c r="A4061" t="str">
        <f>"19:42:50.008"</f>
        <v>19:42:50.008</v>
      </c>
      <c r="B4061" t="s">
        <v>110</v>
      </c>
      <c r="C4061" t="str">
        <f t="shared" si="192"/>
        <v>ffdfd3c0</v>
      </c>
      <c r="D4061" t="s">
        <v>111</v>
      </c>
      <c r="E4061">
        <v>18</v>
      </c>
      <c r="F4061">
        <v>1018</v>
      </c>
      <c r="G4061" t="s">
        <v>112</v>
      </c>
      <c r="J4061" t="s">
        <v>113</v>
      </c>
      <c r="K4061">
        <v>0</v>
      </c>
      <c r="L4061">
        <v>3</v>
      </c>
      <c r="M4061">
        <v>0</v>
      </c>
      <c r="N4061">
        <v>2</v>
      </c>
      <c r="O4061">
        <v>1</v>
      </c>
      <c r="P4061">
        <v>0</v>
      </c>
      <c r="Q4061">
        <v>0</v>
      </c>
      <c r="R4061" t="s">
        <v>114</v>
      </c>
      <c r="S4061" t="str">
        <f>"19:42:49.750"</f>
        <v>19:42:49.750</v>
      </c>
      <c r="T4061" t="str">
        <f>"19:42:49.250"</f>
        <v>19:42:49.250</v>
      </c>
      <c r="U4061" t="str">
        <f t="shared" si="190"/>
        <v>a1cdbe</v>
      </c>
      <c r="V4061">
        <v>0</v>
      </c>
      <c r="W4061">
        <v>0</v>
      </c>
      <c r="X4061">
        <v>2</v>
      </c>
      <c r="Y4061">
        <v>0</v>
      </c>
      <c r="Z4061">
        <v>0</v>
      </c>
      <c r="AB4061">
        <v>0</v>
      </c>
      <c r="AC4061">
        <v>9</v>
      </c>
      <c r="AD4061">
        <v>3</v>
      </c>
      <c r="AE4061">
        <v>0</v>
      </c>
      <c r="AF4061">
        <v>9</v>
      </c>
      <c r="AG4061" t="s">
        <v>115</v>
      </c>
      <c r="AH4061">
        <v>0</v>
      </c>
      <c r="AI4061">
        <v>0</v>
      </c>
      <c r="AJ4061">
        <v>1</v>
      </c>
      <c r="AK4061">
        <v>0</v>
      </c>
      <c r="AL4061" t="s">
        <v>7610</v>
      </c>
      <c r="AM4061">
        <v>47.063991999999999</v>
      </c>
      <c r="AN4061" t="s">
        <v>7611</v>
      </c>
      <c r="AO4061">
        <v>-123.988674</v>
      </c>
      <c r="AP4061">
        <v>100</v>
      </c>
      <c r="AQ4061">
        <v>0</v>
      </c>
      <c r="AR4061" t="s">
        <v>118</v>
      </c>
      <c r="AS4061">
        <v>-53</v>
      </c>
      <c r="AT4061">
        <v>-4</v>
      </c>
      <c r="AU4061">
        <v>256</v>
      </c>
      <c r="BC4061">
        <v>1200</v>
      </c>
      <c r="BD4061">
        <v>1</v>
      </c>
      <c r="BE4061" t="str">
        <f t="shared" si="191"/>
        <v xml:space="preserve">N215T   </v>
      </c>
      <c r="BF4061">
        <v>1</v>
      </c>
      <c r="BH4061">
        <v>0</v>
      </c>
      <c r="BI4061">
        <v>0</v>
      </c>
      <c r="BJ4061">
        <v>0</v>
      </c>
      <c r="BK4061">
        <v>425</v>
      </c>
      <c r="BL4061">
        <v>425</v>
      </c>
      <c r="BM4061" t="s">
        <v>119</v>
      </c>
      <c r="BN4061">
        <v>1</v>
      </c>
      <c r="BO4061">
        <v>1</v>
      </c>
      <c r="BP4061">
        <v>1</v>
      </c>
      <c r="BQ4061">
        <v>0</v>
      </c>
      <c r="BT4061">
        <v>0</v>
      </c>
      <c r="BU4061">
        <v>0</v>
      </c>
      <c r="BV4061">
        <v>0</v>
      </c>
      <c r="CC4061" t="str">
        <f>"19:42:49.758"</f>
        <v>19:42:49.758</v>
      </c>
      <c r="CD4061" t="str">
        <f>"756154969"</f>
        <v>756154969</v>
      </c>
      <c r="CQ4061">
        <v>0</v>
      </c>
      <c r="CR4061">
        <v>2</v>
      </c>
      <c r="CS4061">
        <v>0</v>
      </c>
      <c r="CT4061">
        <v>2</v>
      </c>
      <c r="CU4061">
        <v>0</v>
      </c>
      <c r="CV4061">
        <v>5</v>
      </c>
      <c r="CW4061" t="s">
        <v>120</v>
      </c>
      <c r="CX4061">
        <v>257</v>
      </c>
      <c r="CY4061">
        <v>0</v>
      </c>
      <c r="CZ4061" t="s">
        <v>615</v>
      </c>
      <c r="DA4061" t="s">
        <v>616</v>
      </c>
      <c r="DD4061">
        <v>16660681</v>
      </c>
      <c r="DE4061" t="s">
        <v>123</v>
      </c>
    </row>
    <row r="4062" spans="1:109" x14ac:dyDescent="0.3">
      <c r="A4062" t="str">
        <f>"19:42:50.961"</f>
        <v>19:42:50.961</v>
      </c>
      <c r="B4062" t="s">
        <v>110</v>
      </c>
      <c r="C4062" t="str">
        <f t="shared" si="192"/>
        <v>ffdfd3c0</v>
      </c>
      <c r="D4062" t="s">
        <v>111</v>
      </c>
      <c r="E4062">
        <v>18</v>
      </c>
      <c r="F4062">
        <v>1018</v>
      </c>
      <c r="G4062" t="s">
        <v>112</v>
      </c>
      <c r="J4062" t="s">
        <v>113</v>
      </c>
      <c r="K4062">
        <v>0</v>
      </c>
      <c r="L4062">
        <v>3</v>
      </c>
      <c r="M4062">
        <v>0</v>
      </c>
      <c r="N4062">
        <v>2</v>
      </c>
      <c r="O4062">
        <v>1</v>
      </c>
      <c r="P4062">
        <v>0</v>
      </c>
      <c r="Q4062">
        <v>0</v>
      </c>
      <c r="R4062" t="s">
        <v>114</v>
      </c>
      <c r="S4062" t="str">
        <f>"19:42:50.695"</f>
        <v>19:42:50.695</v>
      </c>
      <c r="T4062" t="str">
        <f>"19:42:50.398"</f>
        <v>19:42:50.398</v>
      </c>
      <c r="U4062" t="str">
        <f t="shared" si="190"/>
        <v>a1cdbe</v>
      </c>
      <c r="V4062">
        <v>0</v>
      </c>
      <c r="W4062">
        <v>0</v>
      </c>
      <c r="X4062">
        <v>2</v>
      </c>
      <c r="Y4062">
        <v>0</v>
      </c>
      <c r="Z4062">
        <v>0</v>
      </c>
      <c r="AB4062">
        <v>0</v>
      </c>
      <c r="AC4062">
        <v>9</v>
      </c>
      <c r="AD4062">
        <v>3</v>
      </c>
      <c r="AE4062">
        <v>0</v>
      </c>
      <c r="AF4062">
        <v>9</v>
      </c>
      <c r="AG4062" t="s">
        <v>115</v>
      </c>
      <c r="AH4062">
        <v>0</v>
      </c>
      <c r="AI4062">
        <v>0</v>
      </c>
      <c r="AJ4062">
        <v>1</v>
      </c>
      <c r="AK4062">
        <v>0</v>
      </c>
      <c r="AL4062" t="s">
        <v>7610</v>
      </c>
      <c r="AM4062">
        <v>47.063991999999999</v>
      </c>
      <c r="AN4062" t="s">
        <v>7612</v>
      </c>
      <c r="AO4062">
        <v>-123.989017</v>
      </c>
      <c r="AP4062">
        <v>100</v>
      </c>
      <c r="AQ4062">
        <v>0</v>
      </c>
      <c r="AR4062" t="s">
        <v>118</v>
      </c>
      <c r="AS4062">
        <v>-53</v>
      </c>
      <c r="AT4062">
        <v>-2</v>
      </c>
      <c r="AU4062">
        <v>192</v>
      </c>
      <c r="BC4062">
        <v>1200</v>
      </c>
      <c r="BD4062">
        <v>1</v>
      </c>
      <c r="BE4062" t="str">
        <f t="shared" si="191"/>
        <v xml:space="preserve">N215T   </v>
      </c>
      <c r="BF4062">
        <v>1</v>
      </c>
      <c r="BH4062">
        <v>0</v>
      </c>
      <c r="BI4062">
        <v>0</v>
      </c>
      <c r="BJ4062">
        <v>0</v>
      </c>
      <c r="BK4062">
        <v>425</v>
      </c>
      <c r="BL4062">
        <v>425</v>
      </c>
      <c r="BM4062" t="s">
        <v>119</v>
      </c>
      <c r="BN4062">
        <v>1</v>
      </c>
      <c r="BO4062">
        <v>1</v>
      </c>
      <c r="BP4062">
        <v>1</v>
      </c>
      <c r="BQ4062">
        <v>0</v>
      </c>
      <c r="BT4062">
        <v>0</v>
      </c>
      <c r="BU4062">
        <v>0</v>
      </c>
      <c r="BV4062">
        <v>0</v>
      </c>
      <c r="CC4062" t="str">
        <f>"19:42:50.703"</f>
        <v>19:42:50.703</v>
      </c>
      <c r="CD4062" t="str">
        <f>"701061862"</f>
        <v>701061862</v>
      </c>
      <c r="CQ4062">
        <v>0</v>
      </c>
      <c r="CR4062">
        <v>2</v>
      </c>
      <c r="CS4062">
        <v>0</v>
      </c>
      <c r="CT4062">
        <v>2</v>
      </c>
      <c r="CU4062">
        <v>0</v>
      </c>
      <c r="CV4062">
        <v>4</v>
      </c>
      <c r="CW4062" t="s">
        <v>120</v>
      </c>
      <c r="CX4062">
        <v>257</v>
      </c>
      <c r="CY4062">
        <v>0</v>
      </c>
      <c r="CZ4062" t="s">
        <v>615</v>
      </c>
      <c r="DA4062" t="s">
        <v>616</v>
      </c>
      <c r="DD4062">
        <v>16660985</v>
      </c>
      <c r="DE4062" t="s">
        <v>123</v>
      </c>
    </row>
    <row r="4063" spans="1:109" x14ac:dyDescent="0.3">
      <c r="A4063" t="str">
        <f>"19:42:52.625"</f>
        <v>19:42:52.625</v>
      </c>
      <c r="B4063" t="s">
        <v>110</v>
      </c>
      <c r="C4063" t="str">
        <f t="shared" si="192"/>
        <v>ffdfd3c0</v>
      </c>
      <c r="D4063" t="s">
        <v>111</v>
      </c>
      <c r="E4063">
        <v>18</v>
      </c>
      <c r="F4063">
        <v>1018</v>
      </c>
      <c r="G4063" t="s">
        <v>112</v>
      </c>
      <c r="J4063" t="s">
        <v>113</v>
      </c>
      <c r="K4063">
        <v>0</v>
      </c>
      <c r="L4063">
        <v>3</v>
      </c>
      <c r="M4063">
        <v>0</v>
      </c>
      <c r="N4063">
        <v>2</v>
      </c>
      <c r="O4063">
        <v>1</v>
      </c>
      <c r="P4063">
        <v>0</v>
      </c>
      <c r="Q4063">
        <v>0</v>
      </c>
      <c r="R4063" t="s">
        <v>114</v>
      </c>
      <c r="S4063" t="str">
        <f>"19:42:52.359"</f>
        <v>19:42:52.359</v>
      </c>
      <c r="T4063" t="str">
        <f>"19:42:50.758"</f>
        <v>19:42:50.758</v>
      </c>
      <c r="U4063" t="str">
        <f t="shared" si="190"/>
        <v>a1cdbe</v>
      </c>
      <c r="V4063">
        <v>0</v>
      </c>
      <c r="W4063">
        <v>0</v>
      </c>
      <c r="X4063">
        <v>2</v>
      </c>
      <c r="Y4063">
        <v>0</v>
      </c>
      <c r="Z4063">
        <v>0</v>
      </c>
      <c r="AB4063">
        <v>0</v>
      </c>
      <c r="AC4063">
        <v>9</v>
      </c>
      <c r="AD4063">
        <v>3</v>
      </c>
      <c r="AE4063">
        <v>0</v>
      </c>
      <c r="AF4063">
        <v>9</v>
      </c>
      <c r="AG4063" t="s">
        <v>115</v>
      </c>
      <c r="AH4063">
        <v>0</v>
      </c>
      <c r="AI4063">
        <v>0</v>
      </c>
      <c r="AJ4063">
        <v>1</v>
      </c>
      <c r="AK4063">
        <v>0</v>
      </c>
      <c r="AL4063" t="s">
        <v>7595</v>
      </c>
      <c r="AM4063">
        <v>47.063971000000002</v>
      </c>
      <c r="AN4063" t="s">
        <v>7613</v>
      </c>
      <c r="AO4063">
        <v>-123.989639</v>
      </c>
      <c r="AP4063">
        <v>100</v>
      </c>
      <c r="AQ4063">
        <v>0</v>
      </c>
      <c r="AR4063" t="s">
        <v>118</v>
      </c>
      <c r="AS4063">
        <v>-53</v>
      </c>
      <c r="AT4063">
        <v>-2</v>
      </c>
      <c r="AU4063">
        <v>192</v>
      </c>
      <c r="BC4063">
        <v>1200</v>
      </c>
      <c r="BD4063">
        <v>1</v>
      </c>
      <c r="BE4063" t="str">
        <f t="shared" si="191"/>
        <v xml:space="preserve">N215T   </v>
      </c>
      <c r="BF4063">
        <v>1</v>
      </c>
      <c r="BH4063">
        <v>0</v>
      </c>
      <c r="BI4063">
        <v>0</v>
      </c>
      <c r="BJ4063">
        <v>0</v>
      </c>
      <c r="BK4063">
        <v>425</v>
      </c>
      <c r="BL4063">
        <v>425</v>
      </c>
      <c r="BM4063" t="s">
        <v>119</v>
      </c>
      <c r="BN4063">
        <v>1</v>
      </c>
      <c r="BO4063">
        <v>1</v>
      </c>
      <c r="BP4063">
        <v>1</v>
      </c>
      <c r="BQ4063">
        <v>0</v>
      </c>
      <c r="BT4063">
        <v>0</v>
      </c>
      <c r="BU4063">
        <v>0</v>
      </c>
      <c r="BV4063">
        <v>0</v>
      </c>
      <c r="CC4063" t="str">
        <f>"19:42:52.367"</f>
        <v>19:42:52.367</v>
      </c>
      <c r="CD4063" t="str">
        <f>"365897811"</f>
        <v>365897811</v>
      </c>
      <c r="CQ4063">
        <v>0</v>
      </c>
      <c r="CR4063">
        <v>2</v>
      </c>
      <c r="CS4063">
        <v>0</v>
      </c>
      <c r="CT4063">
        <v>2</v>
      </c>
      <c r="CU4063">
        <v>0</v>
      </c>
      <c r="CV4063">
        <v>2</v>
      </c>
      <c r="CW4063" t="s">
        <v>120</v>
      </c>
      <c r="CX4063">
        <v>257</v>
      </c>
      <c r="CY4063">
        <v>0</v>
      </c>
      <c r="CZ4063" t="s">
        <v>615</v>
      </c>
      <c r="DA4063" t="s">
        <v>616</v>
      </c>
      <c r="DD4063">
        <v>16661535</v>
      </c>
      <c r="DE4063" t="s">
        <v>123</v>
      </c>
    </row>
    <row r="4064" spans="1:109" x14ac:dyDescent="0.3">
      <c r="A4064" t="str">
        <f>"19:42:53.930"</f>
        <v>19:42:53.930</v>
      </c>
      <c r="B4064" t="s">
        <v>110</v>
      </c>
      <c r="C4064" t="str">
        <f t="shared" si="192"/>
        <v>ffdfd3c0</v>
      </c>
      <c r="D4064" t="s">
        <v>111</v>
      </c>
      <c r="E4064">
        <v>18</v>
      </c>
      <c r="F4064">
        <v>1018</v>
      </c>
      <c r="G4064" t="s">
        <v>112</v>
      </c>
      <c r="J4064" t="s">
        <v>113</v>
      </c>
      <c r="K4064">
        <v>0</v>
      </c>
      <c r="L4064">
        <v>3</v>
      </c>
      <c r="M4064">
        <v>0</v>
      </c>
      <c r="N4064">
        <v>2</v>
      </c>
      <c r="O4064">
        <v>1</v>
      </c>
      <c r="P4064">
        <v>0</v>
      </c>
      <c r="Q4064">
        <v>0</v>
      </c>
      <c r="R4064" t="s">
        <v>114</v>
      </c>
      <c r="S4064" t="str">
        <f>"19:42:53.695"</f>
        <v>19:42:53.695</v>
      </c>
      <c r="T4064" t="str">
        <f>"19:42:53.398"</f>
        <v>19:42:53.398</v>
      </c>
      <c r="U4064" t="str">
        <f t="shared" si="190"/>
        <v>a1cdbe</v>
      </c>
      <c r="V4064">
        <v>0</v>
      </c>
      <c r="W4064">
        <v>0</v>
      </c>
      <c r="X4064">
        <v>2</v>
      </c>
      <c r="Y4064">
        <v>0</v>
      </c>
      <c r="Z4064">
        <v>0</v>
      </c>
      <c r="AB4064">
        <v>0</v>
      </c>
      <c r="AC4064">
        <v>9</v>
      </c>
      <c r="AD4064">
        <v>3</v>
      </c>
      <c r="AE4064">
        <v>0</v>
      </c>
      <c r="AF4064">
        <v>9</v>
      </c>
      <c r="AG4064" t="s">
        <v>115</v>
      </c>
      <c r="AH4064">
        <v>0</v>
      </c>
      <c r="AI4064">
        <v>0</v>
      </c>
      <c r="AJ4064">
        <v>1</v>
      </c>
      <c r="AK4064">
        <v>0</v>
      </c>
      <c r="AL4064" t="s">
        <v>7597</v>
      </c>
      <c r="AM4064">
        <v>47.064013000000003</v>
      </c>
      <c r="AN4064" t="s">
        <v>7614</v>
      </c>
      <c r="AO4064">
        <v>-123.990047</v>
      </c>
      <c r="AP4064">
        <v>100</v>
      </c>
      <c r="AQ4064">
        <v>0</v>
      </c>
      <c r="AR4064" t="s">
        <v>118</v>
      </c>
      <c r="AS4064">
        <v>-51</v>
      </c>
      <c r="AT4064">
        <v>4</v>
      </c>
      <c r="AU4064">
        <v>-128</v>
      </c>
      <c r="BC4064">
        <v>1200</v>
      </c>
      <c r="BD4064">
        <v>1</v>
      </c>
      <c r="BE4064" t="str">
        <f t="shared" si="191"/>
        <v xml:space="preserve">N215T   </v>
      </c>
      <c r="BF4064">
        <v>1</v>
      </c>
      <c r="BH4064">
        <v>0</v>
      </c>
      <c r="BI4064">
        <v>0</v>
      </c>
      <c r="BJ4064">
        <v>0</v>
      </c>
      <c r="BK4064">
        <v>425</v>
      </c>
      <c r="BL4064">
        <v>425</v>
      </c>
      <c r="BM4064" t="s">
        <v>119</v>
      </c>
      <c r="BN4064">
        <v>1</v>
      </c>
      <c r="BO4064">
        <v>1</v>
      </c>
      <c r="BP4064">
        <v>1</v>
      </c>
      <c r="BQ4064">
        <v>0</v>
      </c>
      <c r="BT4064">
        <v>0</v>
      </c>
      <c r="BU4064">
        <v>0</v>
      </c>
      <c r="BV4064">
        <v>0</v>
      </c>
      <c r="CC4064" t="str">
        <f>"19:42:53.703"</f>
        <v>19:42:53.703</v>
      </c>
      <c r="CD4064" t="str">
        <f>"700766292"</f>
        <v>700766292</v>
      </c>
      <c r="CQ4064">
        <v>0</v>
      </c>
      <c r="CR4064">
        <v>2</v>
      </c>
      <c r="CS4064">
        <v>0</v>
      </c>
      <c r="CT4064">
        <v>2</v>
      </c>
      <c r="CU4064">
        <v>0</v>
      </c>
      <c r="CV4064">
        <v>3</v>
      </c>
      <c r="CW4064" t="s">
        <v>120</v>
      </c>
      <c r="CX4064">
        <v>257</v>
      </c>
      <c r="CY4064">
        <v>0</v>
      </c>
      <c r="CZ4064" t="s">
        <v>615</v>
      </c>
      <c r="DA4064" t="s">
        <v>616</v>
      </c>
      <c r="DD4064">
        <v>16661973</v>
      </c>
      <c r="DE4064" t="s">
        <v>123</v>
      </c>
    </row>
    <row r="4065" spans="1:109" x14ac:dyDescent="0.3">
      <c r="A4065" t="str">
        <f>"19:42:54.930"</f>
        <v>19:42:54.930</v>
      </c>
      <c r="B4065" t="s">
        <v>110</v>
      </c>
      <c r="C4065" t="str">
        <f t="shared" si="192"/>
        <v>ffdfd3c0</v>
      </c>
      <c r="D4065" t="s">
        <v>111</v>
      </c>
      <c r="E4065">
        <v>18</v>
      </c>
      <c r="F4065">
        <v>1018</v>
      </c>
      <c r="G4065" t="s">
        <v>112</v>
      </c>
      <c r="J4065" t="s">
        <v>113</v>
      </c>
      <c r="K4065">
        <v>0</v>
      </c>
      <c r="L4065">
        <v>3</v>
      </c>
      <c r="M4065">
        <v>0</v>
      </c>
      <c r="N4065">
        <v>2</v>
      </c>
      <c r="O4065">
        <v>1</v>
      </c>
      <c r="P4065">
        <v>0</v>
      </c>
      <c r="Q4065">
        <v>0</v>
      </c>
      <c r="R4065" t="s">
        <v>114</v>
      </c>
      <c r="S4065" t="str">
        <f>"19:42:54.703"</f>
        <v>19:42:54.703</v>
      </c>
      <c r="T4065" t="str">
        <f>"19:42:54.305"</f>
        <v>19:42:54.305</v>
      </c>
      <c r="U4065" t="str">
        <f t="shared" si="190"/>
        <v>a1cdbe</v>
      </c>
      <c r="V4065">
        <v>0</v>
      </c>
      <c r="W4065">
        <v>0</v>
      </c>
      <c r="X4065">
        <v>2</v>
      </c>
      <c r="Y4065">
        <v>0</v>
      </c>
      <c r="Z4065">
        <v>0</v>
      </c>
      <c r="AB4065">
        <v>0</v>
      </c>
      <c r="AC4065">
        <v>9</v>
      </c>
      <c r="AD4065">
        <v>3</v>
      </c>
      <c r="AE4065">
        <v>0</v>
      </c>
      <c r="AF4065">
        <v>9</v>
      </c>
      <c r="AG4065" t="s">
        <v>115</v>
      </c>
      <c r="AH4065">
        <v>0</v>
      </c>
      <c r="AI4065">
        <v>0</v>
      </c>
      <c r="AJ4065">
        <v>1</v>
      </c>
      <c r="AK4065">
        <v>0</v>
      </c>
      <c r="AL4065" t="s">
        <v>7604</v>
      </c>
      <c r="AM4065">
        <v>47.064034999999997</v>
      </c>
      <c r="AN4065" t="s">
        <v>7615</v>
      </c>
      <c r="AO4065">
        <v>-123.990433</v>
      </c>
      <c r="AP4065">
        <v>100</v>
      </c>
      <c r="AQ4065">
        <v>0</v>
      </c>
      <c r="AR4065" t="s">
        <v>118</v>
      </c>
      <c r="AS4065">
        <v>-50</v>
      </c>
      <c r="AT4065">
        <v>6</v>
      </c>
      <c r="AU4065">
        <v>-256</v>
      </c>
      <c r="BC4065">
        <v>1200</v>
      </c>
      <c r="BD4065">
        <v>1</v>
      </c>
      <c r="BE4065" t="str">
        <f t="shared" si="191"/>
        <v xml:space="preserve">N215T   </v>
      </c>
      <c r="BF4065">
        <v>1</v>
      </c>
      <c r="BH4065">
        <v>0</v>
      </c>
      <c r="BI4065">
        <v>0</v>
      </c>
      <c r="BJ4065">
        <v>0</v>
      </c>
      <c r="BK4065">
        <v>425</v>
      </c>
      <c r="BL4065">
        <v>425</v>
      </c>
      <c r="BM4065" t="s">
        <v>119</v>
      </c>
      <c r="BN4065">
        <v>1</v>
      </c>
      <c r="BO4065">
        <v>1</v>
      </c>
      <c r="BP4065">
        <v>1</v>
      </c>
      <c r="BQ4065">
        <v>0</v>
      </c>
      <c r="BT4065">
        <v>0</v>
      </c>
      <c r="BU4065">
        <v>0</v>
      </c>
      <c r="BV4065">
        <v>0</v>
      </c>
      <c r="CC4065" t="str">
        <f>"19:42:54.703"</f>
        <v>19:42:54.703</v>
      </c>
      <c r="CD4065" t="str">
        <f>"705667268"</f>
        <v>705667268</v>
      </c>
      <c r="CQ4065">
        <v>0</v>
      </c>
      <c r="CR4065">
        <v>2</v>
      </c>
      <c r="CS4065">
        <v>0</v>
      </c>
      <c r="CT4065">
        <v>2</v>
      </c>
      <c r="CU4065">
        <v>0</v>
      </c>
      <c r="CV4065">
        <v>3</v>
      </c>
      <c r="CW4065" t="s">
        <v>120</v>
      </c>
      <c r="CX4065">
        <v>257</v>
      </c>
      <c r="CY4065">
        <v>0</v>
      </c>
      <c r="CZ4065" t="s">
        <v>615</v>
      </c>
      <c r="DA4065" t="s">
        <v>616</v>
      </c>
      <c r="DD4065">
        <v>16662322</v>
      </c>
      <c r="DE4065" t="s">
        <v>123</v>
      </c>
    </row>
    <row r="4066" spans="1:109" x14ac:dyDescent="0.3">
      <c r="A4066" t="str">
        <f>"19:42:55.836"</f>
        <v>19:42:55.836</v>
      </c>
      <c r="B4066" t="s">
        <v>110</v>
      </c>
      <c r="C4066" t="str">
        <f t="shared" si="192"/>
        <v>ffdfd3c0</v>
      </c>
      <c r="D4066" t="s">
        <v>111</v>
      </c>
      <c r="E4066">
        <v>18</v>
      </c>
      <c r="F4066">
        <v>1018</v>
      </c>
      <c r="G4066" t="s">
        <v>112</v>
      </c>
      <c r="J4066" t="s">
        <v>113</v>
      </c>
      <c r="K4066">
        <v>0</v>
      </c>
      <c r="L4066">
        <v>3</v>
      </c>
      <c r="M4066">
        <v>0</v>
      </c>
      <c r="N4066">
        <v>2</v>
      </c>
      <c r="O4066">
        <v>1</v>
      </c>
      <c r="P4066">
        <v>0</v>
      </c>
      <c r="Q4066">
        <v>0</v>
      </c>
      <c r="R4066" t="s">
        <v>114</v>
      </c>
      <c r="S4066" t="str">
        <f>"19:42:55.586"</f>
        <v>19:42:55.586</v>
      </c>
      <c r="T4066" t="str">
        <f>"19:42:54.289"</f>
        <v>19:42:54.289</v>
      </c>
      <c r="U4066" t="str">
        <f t="shared" si="190"/>
        <v>a1cdbe</v>
      </c>
      <c r="V4066">
        <v>0</v>
      </c>
      <c r="W4066">
        <v>0</v>
      </c>
      <c r="X4066">
        <v>2</v>
      </c>
      <c r="Y4066">
        <v>0</v>
      </c>
      <c r="Z4066">
        <v>0</v>
      </c>
      <c r="AB4066">
        <v>0</v>
      </c>
      <c r="AC4066">
        <v>9</v>
      </c>
      <c r="AD4066">
        <v>3</v>
      </c>
      <c r="AE4066">
        <v>0</v>
      </c>
      <c r="AF4066">
        <v>9</v>
      </c>
      <c r="AG4066" t="s">
        <v>115</v>
      </c>
      <c r="AH4066">
        <v>0</v>
      </c>
      <c r="AI4066">
        <v>0</v>
      </c>
      <c r="AJ4066">
        <v>1</v>
      </c>
      <c r="AK4066">
        <v>0</v>
      </c>
      <c r="AL4066" t="s">
        <v>7441</v>
      </c>
      <c r="AM4066">
        <v>47.064098999999999</v>
      </c>
      <c r="AN4066" t="s">
        <v>7616</v>
      </c>
      <c r="AO4066">
        <v>-123.990669</v>
      </c>
      <c r="AP4066">
        <v>100</v>
      </c>
      <c r="AQ4066">
        <v>0</v>
      </c>
      <c r="AR4066" t="s">
        <v>118</v>
      </c>
      <c r="AS4066">
        <v>-50</v>
      </c>
      <c r="AT4066">
        <v>6</v>
      </c>
      <c r="AU4066">
        <v>-256</v>
      </c>
      <c r="BC4066">
        <v>1200</v>
      </c>
      <c r="BD4066">
        <v>1</v>
      </c>
      <c r="BE4066" t="str">
        <f t="shared" si="191"/>
        <v xml:space="preserve">N215T   </v>
      </c>
      <c r="BF4066">
        <v>1</v>
      </c>
      <c r="BH4066">
        <v>0</v>
      </c>
      <c r="BI4066">
        <v>0</v>
      </c>
      <c r="BJ4066">
        <v>0</v>
      </c>
      <c r="BK4066">
        <v>425</v>
      </c>
      <c r="BL4066">
        <v>425</v>
      </c>
      <c r="BM4066" t="s">
        <v>119</v>
      </c>
      <c r="BN4066">
        <v>1</v>
      </c>
      <c r="BO4066">
        <v>1</v>
      </c>
      <c r="BP4066">
        <v>1</v>
      </c>
      <c r="BQ4066">
        <v>0</v>
      </c>
      <c r="BT4066">
        <v>0</v>
      </c>
      <c r="BU4066">
        <v>0</v>
      </c>
      <c r="BV4066">
        <v>0</v>
      </c>
      <c r="CC4066" t="str">
        <f>"19:42:55.594"</f>
        <v>19:42:55.594</v>
      </c>
      <c r="CD4066" t="str">
        <f>"590580085"</f>
        <v>590580085</v>
      </c>
      <c r="CQ4066">
        <v>0</v>
      </c>
      <c r="CR4066">
        <v>2</v>
      </c>
      <c r="CS4066">
        <v>0</v>
      </c>
      <c r="CT4066">
        <v>2</v>
      </c>
      <c r="CU4066">
        <v>0</v>
      </c>
      <c r="CV4066">
        <v>2</v>
      </c>
      <c r="CW4066" t="s">
        <v>120</v>
      </c>
      <c r="CX4066">
        <v>257</v>
      </c>
      <c r="CY4066">
        <v>3</v>
      </c>
      <c r="CZ4066" t="s">
        <v>615</v>
      </c>
      <c r="DA4066" t="s">
        <v>616</v>
      </c>
      <c r="DD4066">
        <v>9440320</v>
      </c>
      <c r="DE4066" t="s">
        <v>123</v>
      </c>
    </row>
    <row r="4067" spans="1:109" x14ac:dyDescent="0.3">
      <c r="A4067" t="str">
        <f>"19:42:56.992"</f>
        <v>19:42:56.992</v>
      </c>
      <c r="B4067" t="s">
        <v>110</v>
      </c>
      <c r="C4067" t="str">
        <f t="shared" si="192"/>
        <v>ffdfd3c0</v>
      </c>
      <c r="D4067" t="s">
        <v>111</v>
      </c>
      <c r="E4067">
        <v>18</v>
      </c>
      <c r="F4067">
        <v>1018</v>
      </c>
      <c r="G4067" t="s">
        <v>112</v>
      </c>
      <c r="J4067" t="s">
        <v>113</v>
      </c>
      <c r="K4067">
        <v>0</v>
      </c>
      <c r="L4067">
        <v>3</v>
      </c>
      <c r="M4067">
        <v>0</v>
      </c>
      <c r="N4067">
        <v>2</v>
      </c>
      <c r="O4067">
        <v>1</v>
      </c>
      <c r="P4067">
        <v>0</v>
      </c>
      <c r="Q4067">
        <v>0</v>
      </c>
      <c r="R4067" t="s">
        <v>114</v>
      </c>
      <c r="S4067" t="str">
        <f>"19:42:56.727"</f>
        <v>19:42:56.727</v>
      </c>
      <c r="T4067" t="str">
        <f>"19:42:56.727"</f>
        <v>19:42:56.727</v>
      </c>
      <c r="U4067" t="str">
        <f t="shared" si="190"/>
        <v>a1cdbe</v>
      </c>
      <c r="V4067">
        <v>0</v>
      </c>
      <c r="W4067">
        <v>0</v>
      </c>
      <c r="X4067">
        <v>2</v>
      </c>
      <c r="Y4067">
        <v>0</v>
      </c>
      <c r="Z4067">
        <v>0</v>
      </c>
      <c r="AB4067">
        <v>0</v>
      </c>
      <c r="AC4067">
        <v>9</v>
      </c>
      <c r="AD4067">
        <v>3</v>
      </c>
      <c r="AE4067">
        <v>0</v>
      </c>
      <c r="AF4067">
        <v>9</v>
      </c>
      <c r="AG4067" t="s">
        <v>115</v>
      </c>
      <c r="AH4067">
        <v>0</v>
      </c>
      <c r="AI4067">
        <v>0</v>
      </c>
      <c r="AJ4067">
        <v>1</v>
      </c>
      <c r="AK4067">
        <v>0</v>
      </c>
      <c r="AL4067" t="s">
        <v>7617</v>
      </c>
      <c r="AM4067">
        <v>47.064121</v>
      </c>
      <c r="AN4067" t="s">
        <v>7618</v>
      </c>
      <c r="AO4067">
        <v>-123.991055</v>
      </c>
      <c r="AP4067">
        <v>100</v>
      </c>
      <c r="AQ4067">
        <v>0</v>
      </c>
      <c r="AR4067" t="s">
        <v>118</v>
      </c>
      <c r="AS4067">
        <v>-46</v>
      </c>
      <c r="AT4067">
        <v>9</v>
      </c>
      <c r="AU4067">
        <v>-384</v>
      </c>
      <c r="BC4067">
        <v>1200</v>
      </c>
      <c r="BD4067">
        <v>1</v>
      </c>
      <c r="BE4067" t="str">
        <f t="shared" si="191"/>
        <v xml:space="preserve">N215T   </v>
      </c>
      <c r="BF4067">
        <v>1</v>
      </c>
      <c r="BH4067">
        <v>0</v>
      </c>
      <c r="BI4067">
        <v>0</v>
      </c>
      <c r="BJ4067">
        <v>0</v>
      </c>
      <c r="BK4067">
        <v>425</v>
      </c>
      <c r="BL4067">
        <v>425</v>
      </c>
      <c r="BM4067" t="s">
        <v>119</v>
      </c>
      <c r="BN4067">
        <v>1</v>
      </c>
      <c r="BO4067">
        <v>1</v>
      </c>
      <c r="BP4067">
        <v>1</v>
      </c>
      <c r="BQ4067">
        <v>0</v>
      </c>
      <c r="BT4067">
        <v>0</v>
      </c>
      <c r="BU4067">
        <v>0</v>
      </c>
      <c r="BV4067">
        <v>0</v>
      </c>
      <c r="CC4067" t="str">
        <f>"19:42:56.727"</f>
        <v>19:42:56.727</v>
      </c>
      <c r="CD4067" t="str">
        <f>"730467760"</f>
        <v>730467760</v>
      </c>
      <c r="CQ4067">
        <v>0</v>
      </c>
      <c r="CR4067">
        <v>2</v>
      </c>
      <c r="CS4067">
        <v>0</v>
      </c>
      <c r="CT4067">
        <v>2</v>
      </c>
      <c r="CU4067">
        <v>0</v>
      </c>
      <c r="CV4067">
        <v>3</v>
      </c>
      <c r="CW4067" t="s">
        <v>120</v>
      </c>
      <c r="CX4067">
        <v>257</v>
      </c>
      <c r="CY4067">
        <v>0</v>
      </c>
      <c r="CZ4067" t="s">
        <v>615</v>
      </c>
      <c r="DA4067" t="s">
        <v>616</v>
      </c>
      <c r="DD4067">
        <v>16663047</v>
      </c>
      <c r="DE4067" t="s">
        <v>123</v>
      </c>
    </row>
    <row r="4068" spans="1:109" x14ac:dyDescent="0.3">
      <c r="A4068" t="str">
        <f>"19:42:58.000"</f>
        <v>19:42:58.000</v>
      </c>
      <c r="B4068" t="s">
        <v>110</v>
      </c>
      <c r="C4068" t="str">
        <f t="shared" si="192"/>
        <v>ffdfd3c0</v>
      </c>
      <c r="D4068" t="s">
        <v>111</v>
      </c>
      <c r="E4068">
        <v>18</v>
      </c>
      <c r="F4068">
        <v>1018</v>
      </c>
      <c r="G4068" t="s">
        <v>112</v>
      </c>
      <c r="J4068" t="s">
        <v>113</v>
      </c>
      <c r="K4068">
        <v>0</v>
      </c>
      <c r="L4068">
        <v>3</v>
      </c>
      <c r="M4068">
        <v>0</v>
      </c>
      <c r="N4068">
        <v>2</v>
      </c>
      <c r="O4068">
        <v>1</v>
      </c>
      <c r="P4068">
        <v>0</v>
      </c>
      <c r="Q4068">
        <v>0</v>
      </c>
      <c r="R4068" t="s">
        <v>114</v>
      </c>
      <c r="S4068" t="str">
        <f>"19:42:57.758"</f>
        <v>19:42:57.758</v>
      </c>
      <c r="T4068" t="str">
        <f>"19:42:57.359"</f>
        <v>19:42:57.359</v>
      </c>
      <c r="U4068" t="str">
        <f t="shared" si="190"/>
        <v>a1cdbe</v>
      </c>
      <c r="V4068">
        <v>0</v>
      </c>
      <c r="W4068">
        <v>0</v>
      </c>
      <c r="X4068">
        <v>2</v>
      </c>
      <c r="Y4068">
        <v>0</v>
      </c>
      <c r="Z4068">
        <v>0</v>
      </c>
      <c r="AB4068">
        <v>0</v>
      </c>
      <c r="AC4068">
        <v>9</v>
      </c>
      <c r="AD4068">
        <v>3</v>
      </c>
      <c r="AE4068">
        <v>0</v>
      </c>
      <c r="AF4068">
        <v>9</v>
      </c>
      <c r="AG4068" t="s">
        <v>115</v>
      </c>
      <c r="AH4068">
        <v>0</v>
      </c>
      <c r="AI4068">
        <v>0</v>
      </c>
      <c r="AJ4068">
        <v>1</v>
      </c>
      <c r="AK4068">
        <v>0</v>
      </c>
      <c r="AL4068" t="s">
        <v>7619</v>
      </c>
      <c r="AM4068">
        <v>47.064163999999998</v>
      </c>
      <c r="AN4068" t="s">
        <v>7620</v>
      </c>
      <c r="AO4068">
        <v>-123.991356</v>
      </c>
      <c r="AP4068">
        <v>100</v>
      </c>
      <c r="AQ4068">
        <v>0</v>
      </c>
      <c r="AR4068" t="s">
        <v>118</v>
      </c>
      <c r="AS4068">
        <v>-46</v>
      </c>
      <c r="AT4068">
        <v>10</v>
      </c>
      <c r="AU4068">
        <v>-448</v>
      </c>
      <c r="BC4068">
        <v>1200</v>
      </c>
      <c r="BD4068">
        <v>1</v>
      </c>
      <c r="BE4068" t="str">
        <f t="shared" si="191"/>
        <v xml:space="preserve">N215T   </v>
      </c>
      <c r="BF4068">
        <v>1</v>
      </c>
      <c r="BH4068">
        <v>0</v>
      </c>
      <c r="BI4068">
        <v>0</v>
      </c>
      <c r="BJ4068">
        <v>0</v>
      </c>
      <c r="BK4068">
        <v>425</v>
      </c>
      <c r="BL4068">
        <v>425</v>
      </c>
      <c r="BM4068" t="s">
        <v>119</v>
      </c>
      <c r="BN4068">
        <v>1</v>
      </c>
      <c r="BO4068">
        <v>1</v>
      </c>
      <c r="BP4068">
        <v>1</v>
      </c>
      <c r="BQ4068">
        <v>0</v>
      </c>
      <c r="BT4068">
        <v>0</v>
      </c>
      <c r="BU4068">
        <v>0</v>
      </c>
      <c r="BV4068">
        <v>0</v>
      </c>
      <c r="CC4068" t="str">
        <f>"19:42:57.766"</f>
        <v>19:42:57.766</v>
      </c>
      <c r="CD4068" t="str">
        <f>"765365793"</f>
        <v>765365793</v>
      </c>
      <c r="CQ4068">
        <v>0</v>
      </c>
      <c r="CR4068">
        <v>2</v>
      </c>
      <c r="CS4068">
        <v>0</v>
      </c>
      <c r="CT4068">
        <v>2</v>
      </c>
      <c r="CU4068">
        <v>0</v>
      </c>
      <c r="CV4068">
        <v>5</v>
      </c>
      <c r="CW4068" t="s">
        <v>120</v>
      </c>
      <c r="CX4068">
        <v>257</v>
      </c>
      <c r="CY4068">
        <v>0</v>
      </c>
      <c r="CZ4068" t="s">
        <v>615</v>
      </c>
      <c r="DA4068" t="s">
        <v>616</v>
      </c>
      <c r="DD4068">
        <v>16663415</v>
      </c>
      <c r="DE4068" t="s">
        <v>123</v>
      </c>
    </row>
    <row r="4069" spans="1:109" x14ac:dyDescent="0.3">
      <c r="A4069" t="str">
        <f>"19:42:59.156"</f>
        <v>19:42:59.156</v>
      </c>
      <c r="B4069" t="s">
        <v>110</v>
      </c>
      <c r="C4069" t="str">
        <f t="shared" si="192"/>
        <v>ffdfd3c0</v>
      </c>
      <c r="D4069" t="s">
        <v>111</v>
      </c>
      <c r="E4069">
        <v>18</v>
      </c>
      <c r="F4069">
        <v>1018</v>
      </c>
      <c r="G4069" t="s">
        <v>112</v>
      </c>
      <c r="J4069" t="s">
        <v>113</v>
      </c>
      <c r="K4069">
        <v>0</v>
      </c>
      <c r="L4069">
        <v>3</v>
      </c>
      <c r="M4069">
        <v>0</v>
      </c>
      <c r="N4069">
        <v>2</v>
      </c>
      <c r="O4069">
        <v>1</v>
      </c>
      <c r="P4069">
        <v>0</v>
      </c>
      <c r="Q4069">
        <v>0</v>
      </c>
      <c r="R4069" t="s">
        <v>114</v>
      </c>
      <c r="S4069" t="str">
        <f>"19:42:58.898"</f>
        <v>19:42:58.898</v>
      </c>
      <c r="T4069" t="str">
        <f>"19:42:58.898"</f>
        <v>19:42:58.898</v>
      </c>
      <c r="U4069" t="str">
        <f t="shared" si="190"/>
        <v>a1cdbe</v>
      </c>
      <c r="V4069">
        <v>0</v>
      </c>
      <c r="W4069">
        <v>0</v>
      </c>
      <c r="X4069">
        <v>2</v>
      </c>
      <c r="Y4069">
        <v>0</v>
      </c>
      <c r="Z4069">
        <v>0</v>
      </c>
      <c r="AB4069">
        <v>0</v>
      </c>
      <c r="AC4069">
        <v>9</v>
      </c>
      <c r="AD4069">
        <v>3</v>
      </c>
      <c r="AE4069">
        <v>0</v>
      </c>
      <c r="AF4069">
        <v>9</v>
      </c>
      <c r="AG4069" t="s">
        <v>115</v>
      </c>
      <c r="AH4069">
        <v>0</v>
      </c>
      <c r="AI4069">
        <v>0</v>
      </c>
      <c r="AJ4069">
        <v>1</v>
      </c>
      <c r="AK4069">
        <v>0</v>
      </c>
      <c r="AL4069" t="s">
        <v>7621</v>
      </c>
      <c r="AM4069">
        <v>47.064250000000001</v>
      </c>
      <c r="AN4069" t="s">
        <v>7622</v>
      </c>
      <c r="AO4069">
        <v>-123.991699</v>
      </c>
      <c r="AP4069">
        <v>100</v>
      </c>
      <c r="AQ4069">
        <v>0</v>
      </c>
      <c r="AR4069" t="s">
        <v>118</v>
      </c>
      <c r="AS4069">
        <v>-44</v>
      </c>
      <c r="AT4069">
        <v>10</v>
      </c>
      <c r="AU4069">
        <v>-704</v>
      </c>
      <c r="BC4069">
        <v>1200</v>
      </c>
      <c r="BD4069">
        <v>1</v>
      </c>
      <c r="BE4069" t="str">
        <f t="shared" si="191"/>
        <v xml:space="preserve">N215T   </v>
      </c>
      <c r="BF4069">
        <v>1</v>
      </c>
      <c r="BH4069">
        <v>0</v>
      </c>
      <c r="BI4069">
        <v>0</v>
      </c>
      <c r="BJ4069">
        <v>0</v>
      </c>
      <c r="BK4069">
        <v>400</v>
      </c>
      <c r="BL4069">
        <v>400</v>
      </c>
      <c r="BM4069" t="s">
        <v>119</v>
      </c>
      <c r="BN4069">
        <v>1</v>
      </c>
      <c r="BO4069">
        <v>1</v>
      </c>
      <c r="BP4069">
        <v>1</v>
      </c>
      <c r="BQ4069">
        <v>0</v>
      </c>
      <c r="BT4069">
        <v>0</v>
      </c>
      <c r="BU4069">
        <v>0</v>
      </c>
      <c r="BV4069">
        <v>0</v>
      </c>
      <c r="CC4069" t="str">
        <f>"19:42:58.906"</f>
        <v>19:42:58.906</v>
      </c>
      <c r="CD4069" t="str">
        <f>"905253480"</f>
        <v>905253480</v>
      </c>
      <c r="CQ4069">
        <v>0</v>
      </c>
      <c r="CR4069">
        <v>2</v>
      </c>
      <c r="CS4069">
        <v>0</v>
      </c>
      <c r="CT4069">
        <v>2</v>
      </c>
      <c r="CU4069">
        <v>0</v>
      </c>
      <c r="CV4069">
        <v>5</v>
      </c>
      <c r="CW4069" t="s">
        <v>120</v>
      </c>
      <c r="CX4069">
        <v>257</v>
      </c>
      <c r="CY4069">
        <v>0</v>
      </c>
      <c r="CZ4069" t="s">
        <v>615</v>
      </c>
      <c r="DA4069" t="s">
        <v>616</v>
      </c>
      <c r="DD4069">
        <v>16663822</v>
      </c>
      <c r="DE4069" t="s">
        <v>123</v>
      </c>
    </row>
    <row r="4070" spans="1:109" x14ac:dyDescent="0.3">
      <c r="A4070" t="str">
        <f>"19:43:00.063"</f>
        <v>19:43:00.063</v>
      </c>
      <c r="B4070" t="s">
        <v>110</v>
      </c>
      <c r="C4070" t="str">
        <f t="shared" si="192"/>
        <v>ffdfd3c0</v>
      </c>
      <c r="D4070" t="s">
        <v>111</v>
      </c>
      <c r="E4070">
        <v>18</v>
      </c>
      <c r="F4070">
        <v>1018</v>
      </c>
      <c r="G4070" t="s">
        <v>112</v>
      </c>
      <c r="J4070" t="s">
        <v>113</v>
      </c>
      <c r="K4070">
        <v>0</v>
      </c>
      <c r="L4070">
        <v>3</v>
      </c>
      <c r="M4070">
        <v>0</v>
      </c>
      <c r="N4070">
        <v>2</v>
      </c>
      <c r="O4070">
        <v>1</v>
      </c>
      <c r="P4070">
        <v>0</v>
      </c>
      <c r="Q4070">
        <v>0</v>
      </c>
      <c r="R4070" t="s">
        <v>114</v>
      </c>
      <c r="S4070" t="str">
        <f>"19:42:59.813"</f>
        <v>19:42:59.813</v>
      </c>
      <c r="T4070" t="str">
        <f>"19:42:59.313"</f>
        <v>19:42:59.313</v>
      </c>
      <c r="U4070" t="str">
        <f t="shared" si="190"/>
        <v>a1cdbe</v>
      </c>
      <c r="V4070">
        <v>0</v>
      </c>
      <c r="W4070">
        <v>0</v>
      </c>
      <c r="X4070">
        <v>2</v>
      </c>
      <c r="Y4070">
        <v>0</v>
      </c>
      <c r="Z4070">
        <v>0</v>
      </c>
      <c r="AB4070">
        <v>0</v>
      </c>
      <c r="AC4070">
        <v>9</v>
      </c>
      <c r="AD4070">
        <v>3</v>
      </c>
      <c r="AE4070">
        <v>0</v>
      </c>
      <c r="AF4070">
        <v>9</v>
      </c>
      <c r="AG4070" t="s">
        <v>115</v>
      </c>
      <c r="AH4070">
        <v>0</v>
      </c>
      <c r="AI4070">
        <v>0</v>
      </c>
      <c r="AJ4070">
        <v>1</v>
      </c>
      <c r="AK4070">
        <v>0</v>
      </c>
      <c r="AL4070" t="s">
        <v>7623</v>
      </c>
      <c r="AM4070">
        <v>47.064270999999998</v>
      </c>
      <c r="AN4070" t="s">
        <v>7336</v>
      </c>
      <c r="AO4070">
        <v>-123.991978</v>
      </c>
      <c r="AP4070">
        <v>100</v>
      </c>
      <c r="AQ4070">
        <v>0</v>
      </c>
      <c r="AR4070" t="s">
        <v>118</v>
      </c>
      <c r="AS4070">
        <v>-44</v>
      </c>
      <c r="AT4070">
        <v>11</v>
      </c>
      <c r="AU4070">
        <v>-704</v>
      </c>
      <c r="BC4070">
        <v>1200</v>
      </c>
      <c r="BD4070">
        <v>1</v>
      </c>
      <c r="BE4070" t="str">
        <f t="shared" si="191"/>
        <v xml:space="preserve">N215T   </v>
      </c>
      <c r="BF4070">
        <v>1</v>
      </c>
      <c r="BH4070">
        <v>0</v>
      </c>
      <c r="BI4070">
        <v>0</v>
      </c>
      <c r="BJ4070">
        <v>0</v>
      </c>
      <c r="BK4070">
        <v>400</v>
      </c>
      <c r="BL4070">
        <v>400</v>
      </c>
      <c r="BM4070" t="s">
        <v>119</v>
      </c>
      <c r="BN4070">
        <v>1</v>
      </c>
      <c r="BO4070">
        <v>1</v>
      </c>
      <c r="BP4070">
        <v>1</v>
      </c>
      <c r="BQ4070">
        <v>0</v>
      </c>
      <c r="BT4070">
        <v>0</v>
      </c>
      <c r="BU4070">
        <v>0</v>
      </c>
      <c r="BV4070">
        <v>0</v>
      </c>
      <c r="CC4070" t="str">
        <f>"19:42:59.820"</f>
        <v>19:42:59.820</v>
      </c>
      <c r="CD4070" t="str">
        <f>"820163367"</f>
        <v>820163367</v>
      </c>
      <c r="CQ4070">
        <v>0</v>
      </c>
      <c r="CR4070">
        <v>2</v>
      </c>
      <c r="CS4070">
        <v>0</v>
      </c>
      <c r="CT4070">
        <v>2</v>
      </c>
      <c r="CU4070">
        <v>0</v>
      </c>
      <c r="CV4070">
        <v>2</v>
      </c>
      <c r="CW4070" t="s">
        <v>120</v>
      </c>
      <c r="CX4070">
        <v>257</v>
      </c>
      <c r="CY4070">
        <v>0</v>
      </c>
      <c r="CZ4070" t="s">
        <v>615</v>
      </c>
      <c r="DA4070" t="s">
        <v>616</v>
      </c>
      <c r="DD4070">
        <v>16664125</v>
      </c>
      <c r="DE4070" t="s">
        <v>123</v>
      </c>
    </row>
    <row r="4071" spans="1:109" x14ac:dyDescent="0.3">
      <c r="A4071" t="str">
        <f>"19:43:01.016"</f>
        <v>19:43:01.016</v>
      </c>
      <c r="B4071" t="s">
        <v>110</v>
      </c>
      <c r="C4071" t="str">
        <f t="shared" si="192"/>
        <v>ffdfd3c0</v>
      </c>
      <c r="D4071" t="s">
        <v>111</v>
      </c>
      <c r="E4071">
        <v>18</v>
      </c>
      <c r="F4071">
        <v>1018</v>
      </c>
      <c r="G4071" t="s">
        <v>112</v>
      </c>
      <c r="J4071" t="s">
        <v>113</v>
      </c>
      <c r="K4071">
        <v>0</v>
      </c>
      <c r="L4071">
        <v>3</v>
      </c>
      <c r="M4071">
        <v>0</v>
      </c>
      <c r="N4071">
        <v>2</v>
      </c>
      <c r="O4071">
        <v>1</v>
      </c>
      <c r="P4071">
        <v>0</v>
      </c>
      <c r="Q4071">
        <v>0</v>
      </c>
      <c r="R4071" t="s">
        <v>114</v>
      </c>
      <c r="S4071" t="str">
        <f>"19:43:00.750"</f>
        <v>19:43:00.750</v>
      </c>
      <c r="T4071" t="str">
        <f>"19:42:59.352"</f>
        <v>19:42:59.352</v>
      </c>
      <c r="U4071" t="str">
        <f t="shared" si="190"/>
        <v>a1cdbe</v>
      </c>
      <c r="V4071">
        <v>0</v>
      </c>
      <c r="W4071">
        <v>0</v>
      </c>
      <c r="X4071">
        <v>2</v>
      </c>
      <c r="Y4071">
        <v>0</v>
      </c>
      <c r="Z4071">
        <v>0</v>
      </c>
      <c r="AB4071">
        <v>0</v>
      </c>
      <c r="AC4071">
        <v>9</v>
      </c>
      <c r="AD4071">
        <v>3</v>
      </c>
      <c r="AE4071">
        <v>0</v>
      </c>
      <c r="AF4071">
        <v>9</v>
      </c>
      <c r="AG4071" t="s">
        <v>115</v>
      </c>
      <c r="AH4071">
        <v>0</v>
      </c>
      <c r="AI4071">
        <v>0</v>
      </c>
      <c r="AJ4071">
        <v>1</v>
      </c>
      <c r="AK4071">
        <v>0</v>
      </c>
      <c r="AL4071" t="s">
        <v>7624</v>
      </c>
      <c r="AM4071">
        <v>47.064335</v>
      </c>
      <c r="AN4071" t="s">
        <v>7625</v>
      </c>
      <c r="AO4071">
        <v>-123.992257</v>
      </c>
      <c r="AP4071">
        <v>100</v>
      </c>
      <c r="AQ4071">
        <v>0</v>
      </c>
      <c r="AR4071" t="s">
        <v>118</v>
      </c>
      <c r="AS4071">
        <v>-44</v>
      </c>
      <c r="AT4071">
        <v>11</v>
      </c>
      <c r="AU4071">
        <v>-704</v>
      </c>
      <c r="BC4071">
        <v>1200</v>
      </c>
      <c r="BD4071">
        <v>1</v>
      </c>
      <c r="BE4071" t="str">
        <f t="shared" si="191"/>
        <v xml:space="preserve">N215T   </v>
      </c>
      <c r="BF4071">
        <v>1</v>
      </c>
      <c r="BH4071">
        <v>0</v>
      </c>
      <c r="BI4071">
        <v>0</v>
      </c>
      <c r="BJ4071">
        <v>0</v>
      </c>
      <c r="BK4071">
        <v>400</v>
      </c>
      <c r="BL4071">
        <v>400</v>
      </c>
      <c r="BM4071" t="s">
        <v>119</v>
      </c>
      <c r="BN4071">
        <v>1</v>
      </c>
      <c r="BO4071">
        <v>1</v>
      </c>
      <c r="BP4071">
        <v>1</v>
      </c>
      <c r="BQ4071">
        <v>0</v>
      </c>
      <c r="BT4071">
        <v>0</v>
      </c>
      <c r="BU4071">
        <v>0</v>
      </c>
      <c r="BV4071">
        <v>0</v>
      </c>
      <c r="CC4071" t="str">
        <f>"19:43:00.750"</f>
        <v>19:43:00.750</v>
      </c>
      <c r="CD4071" t="str">
        <f>"750071773"</f>
        <v>750071773</v>
      </c>
      <c r="CQ4071">
        <v>0</v>
      </c>
      <c r="CR4071">
        <v>2</v>
      </c>
      <c r="CS4071">
        <v>0</v>
      </c>
      <c r="CT4071">
        <v>2</v>
      </c>
      <c r="CU4071">
        <v>0</v>
      </c>
      <c r="CV4071">
        <v>3</v>
      </c>
      <c r="CW4071" t="s">
        <v>120</v>
      </c>
      <c r="CX4071">
        <v>257</v>
      </c>
      <c r="CY4071">
        <v>0</v>
      </c>
      <c r="CZ4071" t="s">
        <v>615</v>
      </c>
      <c r="DA4071" t="s">
        <v>616</v>
      </c>
      <c r="DD4071">
        <v>16664448</v>
      </c>
      <c r="DE4071" t="s">
        <v>123</v>
      </c>
    </row>
    <row r="4072" spans="1:109" x14ac:dyDescent="0.3">
      <c r="A4072" t="str">
        <f>"19:43:02.070"</f>
        <v>19:43:02.070</v>
      </c>
      <c r="B4072" t="s">
        <v>110</v>
      </c>
      <c r="C4072" t="str">
        <f t="shared" si="192"/>
        <v>ffdfd3c0</v>
      </c>
      <c r="D4072" t="s">
        <v>111</v>
      </c>
      <c r="E4072">
        <v>18</v>
      </c>
      <c r="F4072">
        <v>1018</v>
      </c>
      <c r="G4072" t="s">
        <v>112</v>
      </c>
      <c r="J4072" t="s">
        <v>113</v>
      </c>
      <c r="K4072">
        <v>0</v>
      </c>
      <c r="L4072">
        <v>3</v>
      </c>
      <c r="M4072">
        <v>0</v>
      </c>
      <c r="N4072">
        <v>2</v>
      </c>
      <c r="O4072">
        <v>1</v>
      </c>
      <c r="P4072">
        <v>0</v>
      </c>
      <c r="Q4072">
        <v>0</v>
      </c>
      <c r="R4072" t="s">
        <v>114</v>
      </c>
      <c r="S4072" t="str">
        <f>"19:43:01.844"</f>
        <v>19:43:01.844</v>
      </c>
      <c r="T4072" t="str">
        <f>"19:43:01.844"</f>
        <v>19:43:01.844</v>
      </c>
      <c r="U4072" t="str">
        <f t="shared" si="190"/>
        <v>a1cdbe</v>
      </c>
      <c r="V4072">
        <v>0</v>
      </c>
      <c r="W4072">
        <v>0</v>
      </c>
      <c r="X4072">
        <v>2</v>
      </c>
      <c r="Y4072">
        <v>0</v>
      </c>
      <c r="Z4072">
        <v>0</v>
      </c>
      <c r="AB4072">
        <v>0</v>
      </c>
      <c r="AC4072">
        <v>9</v>
      </c>
      <c r="AD4072">
        <v>3</v>
      </c>
      <c r="AE4072">
        <v>0</v>
      </c>
      <c r="AF4072">
        <v>9</v>
      </c>
      <c r="AG4072" t="s">
        <v>115</v>
      </c>
      <c r="AH4072">
        <v>0</v>
      </c>
      <c r="AI4072">
        <v>0</v>
      </c>
      <c r="AJ4072">
        <v>1</v>
      </c>
      <c r="AK4072">
        <v>0</v>
      </c>
      <c r="AL4072" t="s">
        <v>7626</v>
      </c>
      <c r="AM4072">
        <v>47.064399999999999</v>
      </c>
      <c r="AN4072" t="s">
        <v>7338</v>
      </c>
      <c r="AO4072">
        <v>-123.992536</v>
      </c>
      <c r="AP4072">
        <v>100</v>
      </c>
      <c r="AQ4072">
        <v>0</v>
      </c>
      <c r="AR4072" t="s">
        <v>118</v>
      </c>
      <c r="AS4072">
        <v>-43</v>
      </c>
      <c r="AT4072">
        <v>14</v>
      </c>
      <c r="AU4072">
        <v>-768</v>
      </c>
      <c r="BC4072">
        <v>1200</v>
      </c>
      <c r="BD4072">
        <v>1</v>
      </c>
      <c r="BE4072" t="str">
        <f t="shared" si="191"/>
        <v xml:space="preserve">N215T   </v>
      </c>
      <c r="BF4072">
        <v>1</v>
      </c>
      <c r="BH4072">
        <v>0</v>
      </c>
      <c r="BI4072">
        <v>0</v>
      </c>
      <c r="BJ4072">
        <v>0</v>
      </c>
      <c r="BK4072">
        <v>350</v>
      </c>
      <c r="BL4072">
        <v>350</v>
      </c>
      <c r="BM4072" t="s">
        <v>119</v>
      </c>
      <c r="BN4072">
        <v>1</v>
      </c>
      <c r="BO4072">
        <v>1</v>
      </c>
      <c r="BP4072">
        <v>1</v>
      </c>
      <c r="BQ4072">
        <v>0</v>
      </c>
      <c r="BT4072">
        <v>0</v>
      </c>
      <c r="BU4072">
        <v>0</v>
      </c>
      <c r="BV4072">
        <v>0</v>
      </c>
      <c r="CC4072" t="str">
        <f>"19:43:01.844"</f>
        <v>19:43:01.844</v>
      </c>
      <c r="CD4072" t="str">
        <f>"844963861"</f>
        <v>844963861</v>
      </c>
      <c r="CQ4072">
        <v>0</v>
      </c>
      <c r="CR4072">
        <v>2</v>
      </c>
      <c r="CS4072">
        <v>0</v>
      </c>
      <c r="CT4072">
        <v>2</v>
      </c>
      <c r="CU4072">
        <v>0</v>
      </c>
      <c r="CV4072">
        <v>3</v>
      </c>
      <c r="CW4072" t="s">
        <v>120</v>
      </c>
      <c r="CX4072">
        <v>257</v>
      </c>
      <c r="CY4072">
        <v>0</v>
      </c>
      <c r="CZ4072" t="s">
        <v>615</v>
      </c>
      <c r="DA4072" t="s">
        <v>616</v>
      </c>
      <c r="DD4072">
        <v>16664834</v>
      </c>
      <c r="DE4072" t="s">
        <v>123</v>
      </c>
    </row>
    <row r="4073" spans="1:109" x14ac:dyDescent="0.3">
      <c r="A4073" t="str">
        <f>"19:43:03.078"</f>
        <v>19:43:03.078</v>
      </c>
      <c r="B4073" t="s">
        <v>110</v>
      </c>
      <c r="C4073" t="str">
        <f t="shared" si="192"/>
        <v>ffdfd3c0</v>
      </c>
      <c r="D4073" t="s">
        <v>111</v>
      </c>
      <c r="E4073">
        <v>18</v>
      </c>
      <c r="F4073">
        <v>1018</v>
      </c>
      <c r="G4073" t="s">
        <v>112</v>
      </c>
      <c r="J4073" t="s">
        <v>113</v>
      </c>
      <c r="K4073">
        <v>0</v>
      </c>
      <c r="L4073">
        <v>3</v>
      </c>
      <c r="M4073">
        <v>0</v>
      </c>
      <c r="N4073">
        <v>2</v>
      </c>
      <c r="O4073">
        <v>1</v>
      </c>
      <c r="P4073">
        <v>0</v>
      </c>
      <c r="Q4073">
        <v>0</v>
      </c>
      <c r="R4073" t="s">
        <v>114</v>
      </c>
      <c r="S4073" t="str">
        <f>"19:43:02.789"</f>
        <v>19:43:02.789</v>
      </c>
      <c r="T4073" t="str">
        <f>"19:43:02.789"</f>
        <v>19:43:02.789</v>
      </c>
      <c r="U4073" t="str">
        <f t="shared" si="190"/>
        <v>a1cdbe</v>
      </c>
      <c r="V4073">
        <v>0</v>
      </c>
      <c r="W4073">
        <v>0</v>
      </c>
      <c r="X4073">
        <v>2</v>
      </c>
      <c r="Y4073">
        <v>0</v>
      </c>
      <c r="Z4073">
        <v>0</v>
      </c>
      <c r="AB4073">
        <v>0</v>
      </c>
      <c r="AC4073">
        <v>9</v>
      </c>
      <c r="AD4073">
        <v>3</v>
      </c>
      <c r="AE4073">
        <v>0</v>
      </c>
      <c r="AF4073">
        <v>9</v>
      </c>
      <c r="AG4073" t="s">
        <v>115</v>
      </c>
      <c r="AH4073">
        <v>0</v>
      </c>
      <c r="AI4073">
        <v>0</v>
      </c>
      <c r="AJ4073">
        <v>1</v>
      </c>
      <c r="AK4073">
        <v>0</v>
      </c>
      <c r="AL4073" t="s">
        <v>7443</v>
      </c>
      <c r="AM4073">
        <v>47.064464000000001</v>
      </c>
      <c r="AN4073" t="s">
        <v>7627</v>
      </c>
      <c r="AO4073">
        <v>-123.992794</v>
      </c>
      <c r="AP4073">
        <v>100</v>
      </c>
      <c r="AQ4073">
        <v>-100</v>
      </c>
      <c r="AR4073" t="s">
        <v>118</v>
      </c>
      <c r="AS4073">
        <v>-43</v>
      </c>
      <c r="AT4073">
        <v>11</v>
      </c>
      <c r="AU4073">
        <v>-576</v>
      </c>
      <c r="BC4073">
        <v>1200</v>
      </c>
      <c r="BD4073">
        <v>1</v>
      </c>
      <c r="BE4073" t="str">
        <f t="shared" si="191"/>
        <v xml:space="preserve">N215T   </v>
      </c>
      <c r="BF4073">
        <v>1</v>
      </c>
      <c r="BH4073">
        <v>0</v>
      </c>
      <c r="BI4073">
        <v>0</v>
      </c>
      <c r="BJ4073">
        <v>0</v>
      </c>
      <c r="BK4073">
        <v>350</v>
      </c>
      <c r="BL4073">
        <v>450</v>
      </c>
      <c r="BM4073" t="s">
        <v>119</v>
      </c>
      <c r="BN4073">
        <v>1</v>
      </c>
      <c r="BO4073">
        <v>1</v>
      </c>
      <c r="BP4073">
        <v>1</v>
      </c>
      <c r="BQ4073">
        <v>0</v>
      </c>
      <c r="BT4073">
        <v>0</v>
      </c>
      <c r="BU4073">
        <v>0</v>
      </c>
      <c r="BV4073">
        <v>0</v>
      </c>
      <c r="CC4073" t="str">
        <f>"19:43:02.789"</f>
        <v>19:43:02.789</v>
      </c>
      <c r="CD4073" t="str">
        <f>"789870768"</f>
        <v>789870768</v>
      </c>
      <c r="CQ4073">
        <v>0</v>
      </c>
      <c r="CR4073">
        <v>2</v>
      </c>
      <c r="CS4073">
        <v>0</v>
      </c>
      <c r="CT4073">
        <v>2</v>
      </c>
      <c r="CU4073">
        <v>0</v>
      </c>
      <c r="CV4073">
        <v>4</v>
      </c>
      <c r="CW4073" t="s">
        <v>120</v>
      </c>
      <c r="CX4073">
        <v>257</v>
      </c>
      <c r="CY4073">
        <v>0</v>
      </c>
      <c r="CZ4073" t="s">
        <v>615</v>
      </c>
      <c r="DA4073" t="s">
        <v>616</v>
      </c>
      <c r="DD4073">
        <v>16665154</v>
      </c>
      <c r="DE4073" t="s">
        <v>123</v>
      </c>
    </row>
    <row r="4074" spans="1:109" x14ac:dyDescent="0.3">
      <c r="A4074" t="str">
        <f>"19:43:04.031"</f>
        <v>19:43:04.031</v>
      </c>
      <c r="B4074" t="s">
        <v>110</v>
      </c>
      <c r="C4074" t="str">
        <f t="shared" si="192"/>
        <v>ffdfd3c0</v>
      </c>
      <c r="D4074" t="s">
        <v>111</v>
      </c>
      <c r="E4074">
        <v>18</v>
      </c>
      <c r="F4074">
        <v>1018</v>
      </c>
      <c r="G4074" t="s">
        <v>112</v>
      </c>
      <c r="J4074" t="s">
        <v>113</v>
      </c>
      <c r="K4074">
        <v>0</v>
      </c>
      <c r="L4074">
        <v>3</v>
      </c>
      <c r="M4074">
        <v>0</v>
      </c>
      <c r="N4074">
        <v>2</v>
      </c>
      <c r="O4074">
        <v>1</v>
      </c>
      <c r="P4074">
        <v>0</v>
      </c>
      <c r="Q4074">
        <v>0</v>
      </c>
      <c r="R4074" t="s">
        <v>114</v>
      </c>
      <c r="S4074" t="str">
        <f>"19:43:03.773"</f>
        <v>19:43:03.773</v>
      </c>
      <c r="T4074" t="str">
        <f>"19:43:03.375"</f>
        <v>19:43:03.375</v>
      </c>
      <c r="U4074" t="str">
        <f t="shared" si="190"/>
        <v>a1cdbe</v>
      </c>
      <c r="V4074">
        <v>0</v>
      </c>
      <c r="W4074">
        <v>0</v>
      </c>
      <c r="X4074">
        <v>2</v>
      </c>
      <c r="Y4074">
        <v>0</v>
      </c>
      <c r="Z4074">
        <v>0</v>
      </c>
      <c r="AB4074">
        <v>0</v>
      </c>
      <c r="AC4074">
        <v>9</v>
      </c>
      <c r="AD4074">
        <v>3</v>
      </c>
      <c r="AE4074">
        <v>0</v>
      </c>
      <c r="AF4074">
        <v>9</v>
      </c>
      <c r="AG4074" t="s">
        <v>115</v>
      </c>
      <c r="AH4074">
        <v>0</v>
      </c>
      <c r="AI4074">
        <v>0</v>
      </c>
      <c r="AJ4074">
        <v>1</v>
      </c>
      <c r="AK4074">
        <v>0</v>
      </c>
      <c r="AL4074" t="s">
        <v>484</v>
      </c>
      <c r="AM4074">
        <v>47.064506999999999</v>
      </c>
      <c r="AN4074" t="s">
        <v>7628</v>
      </c>
      <c r="AO4074">
        <v>-123.993115</v>
      </c>
      <c r="AP4074">
        <v>100</v>
      </c>
      <c r="AQ4074">
        <v>-100</v>
      </c>
      <c r="AR4074" t="s">
        <v>118</v>
      </c>
      <c r="AS4074">
        <v>-43</v>
      </c>
      <c r="AT4074">
        <v>9</v>
      </c>
      <c r="AU4074">
        <v>-448</v>
      </c>
      <c r="BC4074">
        <v>1200</v>
      </c>
      <c r="BD4074">
        <v>1</v>
      </c>
      <c r="BE4074" t="str">
        <f t="shared" si="191"/>
        <v xml:space="preserve">N215T   </v>
      </c>
      <c r="BF4074">
        <v>1</v>
      </c>
      <c r="BH4074">
        <v>0</v>
      </c>
      <c r="BI4074">
        <v>0</v>
      </c>
      <c r="BJ4074">
        <v>0</v>
      </c>
      <c r="BK4074">
        <v>350</v>
      </c>
      <c r="BL4074">
        <v>450</v>
      </c>
      <c r="BM4074" t="s">
        <v>119</v>
      </c>
      <c r="BN4074">
        <v>1</v>
      </c>
      <c r="BO4074">
        <v>1</v>
      </c>
      <c r="BP4074">
        <v>1</v>
      </c>
      <c r="BQ4074">
        <v>0</v>
      </c>
      <c r="BT4074">
        <v>0</v>
      </c>
      <c r="BU4074">
        <v>0</v>
      </c>
      <c r="BV4074">
        <v>0</v>
      </c>
      <c r="CC4074" t="str">
        <f>"19:43:03.781"</f>
        <v>19:43:03.781</v>
      </c>
      <c r="CD4074" t="str">
        <f>"779773229"</f>
        <v>779773229</v>
      </c>
      <c r="CQ4074">
        <v>0</v>
      </c>
      <c r="CR4074">
        <v>2</v>
      </c>
      <c r="CS4074">
        <v>0</v>
      </c>
      <c r="CT4074">
        <v>2</v>
      </c>
      <c r="CU4074">
        <v>0</v>
      </c>
      <c r="CV4074">
        <v>4</v>
      </c>
      <c r="CW4074" t="s">
        <v>120</v>
      </c>
      <c r="CX4074">
        <v>257</v>
      </c>
      <c r="CY4074">
        <v>0</v>
      </c>
      <c r="CZ4074" t="s">
        <v>615</v>
      </c>
      <c r="DA4074" t="s">
        <v>616</v>
      </c>
      <c r="DD4074">
        <v>16665490</v>
      </c>
      <c r="DE4074" t="s">
        <v>123</v>
      </c>
    </row>
    <row r="4075" spans="1:109" x14ac:dyDescent="0.3">
      <c r="A4075" t="str">
        <f>"19:43:05.039"</f>
        <v>19:43:05.039</v>
      </c>
      <c r="B4075" t="s">
        <v>110</v>
      </c>
      <c r="C4075" t="str">
        <f t="shared" si="192"/>
        <v>ffdfd3c0</v>
      </c>
      <c r="D4075" t="s">
        <v>111</v>
      </c>
      <c r="E4075">
        <v>18</v>
      </c>
      <c r="F4075">
        <v>1018</v>
      </c>
      <c r="G4075" t="s">
        <v>112</v>
      </c>
      <c r="J4075" t="s">
        <v>113</v>
      </c>
      <c r="K4075">
        <v>0</v>
      </c>
      <c r="L4075">
        <v>3</v>
      </c>
      <c r="M4075">
        <v>0</v>
      </c>
      <c r="N4075">
        <v>2</v>
      </c>
      <c r="O4075">
        <v>1</v>
      </c>
      <c r="P4075">
        <v>0</v>
      </c>
      <c r="Q4075">
        <v>0</v>
      </c>
      <c r="R4075" t="s">
        <v>114</v>
      </c>
      <c r="S4075" t="str">
        <f>"19:43:04.750"</f>
        <v>19:43:04.750</v>
      </c>
      <c r="T4075" t="str">
        <f>"19:43:04.453"</f>
        <v>19:43:04.453</v>
      </c>
      <c r="U4075" t="str">
        <f t="shared" si="190"/>
        <v>a1cdbe</v>
      </c>
      <c r="V4075">
        <v>0</v>
      </c>
      <c r="W4075">
        <v>0</v>
      </c>
      <c r="X4075">
        <v>2</v>
      </c>
      <c r="Y4075">
        <v>0</v>
      </c>
      <c r="Z4075">
        <v>0</v>
      </c>
      <c r="AB4075">
        <v>0</v>
      </c>
      <c r="AC4075">
        <v>9</v>
      </c>
      <c r="AD4075">
        <v>3</v>
      </c>
      <c r="AE4075">
        <v>0</v>
      </c>
      <c r="AF4075">
        <v>9</v>
      </c>
      <c r="AG4075" t="s">
        <v>115</v>
      </c>
      <c r="AH4075">
        <v>0</v>
      </c>
      <c r="AI4075">
        <v>0</v>
      </c>
      <c r="AJ4075">
        <v>1</v>
      </c>
      <c r="AK4075">
        <v>0</v>
      </c>
      <c r="AL4075" t="s">
        <v>484</v>
      </c>
      <c r="AM4075">
        <v>47.064506999999999</v>
      </c>
      <c r="AN4075" t="s">
        <v>7629</v>
      </c>
      <c r="AO4075">
        <v>-123.993416</v>
      </c>
      <c r="AP4075">
        <v>100</v>
      </c>
      <c r="AQ4075">
        <v>-100</v>
      </c>
      <c r="AR4075" t="s">
        <v>118</v>
      </c>
      <c r="AS4075">
        <v>-42</v>
      </c>
      <c r="AT4075">
        <v>-1</v>
      </c>
      <c r="AU4075">
        <v>-448</v>
      </c>
      <c r="BC4075">
        <v>1200</v>
      </c>
      <c r="BD4075">
        <v>1</v>
      </c>
      <c r="BE4075" t="str">
        <f t="shared" si="191"/>
        <v xml:space="preserve">N215T   </v>
      </c>
      <c r="BF4075">
        <v>1</v>
      </c>
      <c r="BH4075">
        <v>0</v>
      </c>
      <c r="BI4075">
        <v>0</v>
      </c>
      <c r="BJ4075">
        <v>0</v>
      </c>
      <c r="BK4075">
        <v>325</v>
      </c>
      <c r="BL4075">
        <v>425</v>
      </c>
      <c r="BM4075" t="s">
        <v>119</v>
      </c>
      <c r="BN4075">
        <v>1</v>
      </c>
      <c r="BO4075">
        <v>1</v>
      </c>
      <c r="BP4075">
        <v>1</v>
      </c>
      <c r="BQ4075">
        <v>0</v>
      </c>
      <c r="BT4075">
        <v>0</v>
      </c>
      <c r="BU4075">
        <v>0</v>
      </c>
      <c r="BV4075">
        <v>0</v>
      </c>
      <c r="CC4075" t="str">
        <f>"19:43:04.758"</f>
        <v>19:43:04.758</v>
      </c>
      <c r="CD4075" t="str">
        <f>"754677144"</f>
        <v>754677144</v>
      </c>
      <c r="CQ4075">
        <v>0</v>
      </c>
      <c r="CR4075">
        <v>2</v>
      </c>
      <c r="CS4075">
        <v>0</v>
      </c>
      <c r="CT4075">
        <v>2</v>
      </c>
      <c r="CU4075">
        <v>0</v>
      </c>
      <c r="CV4075">
        <v>6</v>
      </c>
      <c r="CW4075" t="s">
        <v>120</v>
      </c>
      <c r="CX4075">
        <v>257</v>
      </c>
      <c r="CY4075">
        <v>0</v>
      </c>
      <c r="CZ4075" t="s">
        <v>615</v>
      </c>
      <c r="DA4075" t="s">
        <v>616</v>
      </c>
      <c r="DD4075">
        <v>16665810</v>
      </c>
      <c r="DE4075" t="s">
        <v>123</v>
      </c>
    </row>
    <row r="4076" spans="1:109" x14ac:dyDescent="0.3">
      <c r="A4076" t="str">
        <f>"19:43:06.094"</f>
        <v>19:43:06.094</v>
      </c>
      <c r="B4076" t="s">
        <v>110</v>
      </c>
      <c r="C4076" t="str">
        <f t="shared" si="192"/>
        <v>ffdfd3c0</v>
      </c>
      <c r="D4076" t="s">
        <v>111</v>
      </c>
      <c r="E4076">
        <v>18</v>
      </c>
      <c r="F4076">
        <v>1018</v>
      </c>
      <c r="G4076" t="s">
        <v>112</v>
      </c>
      <c r="J4076" t="s">
        <v>113</v>
      </c>
      <c r="K4076">
        <v>0</v>
      </c>
      <c r="L4076">
        <v>3</v>
      </c>
      <c r="M4076">
        <v>0</v>
      </c>
      <c r="N4076">
        <v>2</v>
      </c>
      <c r="O4076">
        <v>1</v>
      </c>
      <c r="P4076">
        <v>0</v>
      </c>
      <c r="Q4076">
        <v>0</v>
      </c>
      <c r="R4076" t="s">
        <v>114</v>
      </c>
      <c r="S4076" t="str">
        <f>"19:43:05.844"</f>
        <v>19:43:05.844</v>
      </c>
      <c r="T4076" t="str">
        <f>"19:43:05.445"</f>
        <v>19:43:05.445</v>
      </c>
      <c r="U4076" t="str">
        <f t="shared" si="190"/>
        <v>a1cdbe</v>
      </c>
      <c r="V4076">
        <v>0</v>
      </c>
      <c r="W4076">
        <v>0</v>
      </c>
      <c r="X4076">
        <v>2</v>
      </c>
      <c r="Y4076">
        <v>0</v>
      </c>
      <c r="Z4076">
        <v>0</v>
      </c>
      <c r="AB4076">
        <v>0</v>
      </c>
      <c r="AC4076">
        <v>9</v>
      </c>
      <c r="AD4076">
        <v>3</v>
      </c>
      <c r="AE4076">
        <v>0</v>
      </c>
      <c r="AF4076">
        <v>9</v>
      </c>
      <c r="AG4076" t="s">
        <v>115</v>
      </c>
      <c r="AH4076">
        <v>0</v>
      </c>
      <c r="AI4076">
        <v>0</v>
      </c>
      <c r="AJ4076">
        <v>1</v>
      </c>
      <c r="AK4076">
        <v>0</v>
      </c>
      <c r="AL4076" t="s">
        <v>7630</v>
      </c>
      <c r="AM4076">
        <v>47.064442999999997</v>
      </c>
      <c r="AN4076" t="s">
        <v>7631</v>
      </c>
      <c r="AO4076">
        <v>-123.993673</v>
      </c>
      <c r="AP4076">
        <v>100</v>
      </c>
      <c r="AQ4076">
        <v>-100</v>
      </c>
      <c r="AR4076" t="s">
        <v>118</v>
      </c>
      <c r="AS4076">
        <v>-40</v>
      </c>
      <c r="AT4076">
        <v>-8</v>
      </c>
      <c r="AU4076">
        <v>-512</v>
      </c>
      <c r="BC4076">
        <v>1200</v>
      </c>
      <c r="BD4076">
        <v>1</v>
      </c>
      <c r="BE4076" t="str">
        <f t="shared" si="191"/>
        <v xml:space="preserve">N215T   </v>
      </c>
      <c r="BF4076">
        <v>1</v>
      </c>
      <c r="BH4076">
        <v>0</v>
      </c>
      <c r="BI4076">
        <v>0</v>
      </c>
      <c r="BJ4076">
        <v>0</v>
      </c>
      <c r="BK4076">
        <v>325</v>
      </c>
      <c r="BL4076">
        <v>425</v>
      </c>
      <c r="BM4076" t="s">
        <v>119</v>
      </c>
      <c r="BN4076">
        <v>1</v>
      </c>
      <c r="BO4076">
        <v>1</v>
      </c>
      <c r="BP4076">
        <v>1</v>
      </c>
      <c r="BQ4076">
        <v>0</v>
      </c>
      <c r="BT4076">
        <v>0</v>
      </c>
      <c r="BU4076">
        <v>0</v>
      </c>
      <c r="BV4076">
        <v>0</v>
      </c>
      <c r="CC4076" t="str">
        <f>"19:43:05.852"</f>
        <v>19:43:05.852</v>
      </c>
      <c r="CD4076" t="str">
        <f>"849569228"</f>
        <v>849569228</v>
      </c>
      <c r="CQ4076">
        <v>0</v>
      </c>
      <c r="CR4076">
        <v>2</v>
      </c>
      <c r="CS4076">
        <v>0</v>
      </c>
      <c r="CT4076">
        <v>2</v>
      </c>
      <c r="CU4076">
        <v>0</v>
      </c>
      <c r="CV4076">
        <v>6</v>
      </c>
      <c r="CW4076" t="s">
        <v>120</v>
      </c>
      <c r="CX4076">
        <v>257</v>
      </c>
      <c r="CY4076">
        <v>0</v>
      </c>
      <c r="CZ4076" t="s">
        <v>615</v>
      </c>
      <c r="DA4076" t="s">
        <v>616</v>
      </c>
      <c r="DD4076">
        <v>16666206</v>
      </c>
      <c r="DE4076" t="s">
        <v>123</v>
      </c>
    </row>
    <row r="4077" spans="1:109" x14ac:dyDescent="0.3">
      <c r="A4077" t="str">
        <f>"19:43:07.195"</f>
        <v>19:43:07.195</v>
      </c>
      <c r="B4077" t="s">
        <v>110</v>
      </c>
      <c r="C4077" t="str">
        <f t="shared" si="192"/>
        <v>ffdfd3c0</v>
      </c>
      <c r="D4077" t="s">
        <v>111</v>
      </c>
      <c r="E4077">
        <v>18</v>
      </c>
      <c r="F4077">
        <v>1018</v>
      </c>
      <c r="G4077" t="s">
        <v>112</v>
      </c>
      <c r="J4077" t="s">
        <v>113</v>
      </c>
      <c r="K4077">
        <v>0</v>
      </c>
      <c r="L4077">
        <v>3</v>
      </c>
      <c r="M4077">
        <v>0</v>
      </c>
      <c r="N4077">
        <v>2</v>
      </c>
      <c r="O4077">
        <v>1</v>
      </c>
      <c r="P4077">
        <v>0</v>
      </c>
      <c r="Q4077">
        <v>0</v>
      </c>
      <c r="R4077" t="s">
        <v>114</v>
      </c>
      <c r="S4077" t="str">
        <f>"19:43:06.953"</f>
        <v>19:43:06.953</v>
      </c>
      <c r="T4077" t="str">
        <f>"19:43:06.555"</f>
        <v>19:43:06.555</v>
      </c>
      <c r="U4077" t="str">
        <f t="shared" si="190"/>
        <v>a1cdbe</v>
      </c>
      <c r="V4077">
        <v>0</v>
      </c>
      <c r="W4077">
        <v>0</v>
      </c>
      <c r="X4077">
        <v>2</v>
      </c>
      <c r="Y4077">
        <v>0</v>
      </c>
      <c r="Z4077">
        <v>0</v>
      </c>
      <c r="AB4077">
        <v>0</v>
      </c>
      <c r="AC4077">
        <v>9</v>
      </c>
      <c r="AD4077">
        <v>3</v>
      </c>
      <c r="AE4077">
        <v>0</v>
      </c>
      <c r="AF4077">
        <v>9</v>
      </c>
      <c r="AG4077" t="s">
        <v>115</v>
      </c>
      <c r="AH4077">
        <v>0</v>
      </c>
      <c r="AI4077">
        <v>0</v>
      </c>
      <c r="AJ4077">
        <v>1</v>
      </c>
      <c r="AK4077">
        <v>0</v>
      </c>
      <c r="AL4077" t="s">
        <v>7632</v>
      </c>
      <c r="AM4077">
        <v>47.064314000000003</v>
      </c>
      <c r="AN4077" t="s">
        <v>7633</v>
      </c>
      <c r="AO4077">
        <v>-123.99395199999999</v>
      </c>
      <c r="AP4077">
        <v>100</v>
      </c>
      <c r="AQ4077">
        <v>-100</v>
      </c>
      <c r="AR4077" t="s">
        <v>118</v>
      </c>
      <c r="AS4077">
        <v>-35</v>
      </c>
      <c r="AT4077">
        <v>-21</v>
      </c>
      <c r="AU4077">
        <v>-704</v>
      </c>
      <c r="BC4077">
        <v>1200</v>
      </c>
      <c r="BD4077">
        <v>1</v>
      </c>
      <c r="BE4077" t="str">
        <f t="shared" si="191"/>
        <v xml:space="preserve">N215T   </v>
      </c>
      <c r="BF4077">
        <v>1</v>
      </c>
      <c r="BH4077">
        <v>0</v>
      </c>
      <c r="BI4077">
        <v>0</v>
      </c>
      <c r="BJ4077">
        <v>0</v>
      </c>
      <c r="BK4077">
        <v>325</v>
      </c>
      <c r="BL4077">
        <v>425</v>
      </c>
      <c r="BM4077" t="s">
        <v>119</v>
      </c>
      <c r="BN4077">
        <v>1</v>
      </c>
      <c r="BO4077">
        <v>1</v>
      </c>
      <c r="BP4077">
        <v>1</v>
      </c>
      <c r="BQ4077">
        <v>0</v>
      </c>
      <c r="BT4077">
        <v>0</v>
      </c>
      <c r="BU4077">
        <v>0</v>
      </c>
      <c r="BV4077">
        <v>0</v>
      </c>
      <c r="CC4077" t="str">
        <f>"19:43:06.961"</f>
        <v>19:43:06.961</v>
      </c>
      <c r="CD4077" t="str">
        <f>"959459813"</f>
        <v>959459813</v>
      </c>
      <c r="CQ4077">
        <v>0</v>
      </c>
      <c r="CR4077">
        <v>2</v>
      </c>
      <c r="CS4077">
        <v>0</v>
      </c>
      <c r="CT4077">
        <v>2</v>
      </c>
      <c r="CU4077">
        <v>0</v>
      </c>
      <c r="CV4077">
        <v>5</v>
      </c>
      <c r="CW4077" t="s">
        <v>120</v>
      </c>
      <c r="CX4077">
        <v>257</v>
      </c>
      <c r="CY4077">
        <v>0</v>
      </c>
      <c r="CZ4077" t="s">
        <v>615</v>
      </c>
      <c r="DA4077" t="s">
        <v>616</v>
      </c>
      <c r="DD4077">
        <v>16666559</v>
      </c>
      <c r="DE4077" t="s">
        <v>123</v>
      </c>
    </row>
    <row r="4078" spans="1:109" x14ac:dyDescent="0.3">
      <c r="A4078" t="str">
        <f>"19:43:08.258"</f>
        <v>19:43:08.258</v>
      </c>
      <c r="B4078" t="s">
        <v>110</v>
      </c>
      <c r="C4078" t="str">
        <f t="shared" si="192"/>
        <v>ffdfd3c0</v>
      </c>
      <c r="D4078" t="s">
        <v>111</v>
      </c>
      <c r="E4078">
        <v>18</v>
      </c>
      <c r="F4078">
        <v>1018</v>
      </c>
      <c r="G4078" t="s">
        <v>112</v>
      </c>
      <c r="J4078" t="s">
        <v>113</v>
      </c>
      <c r="K4078">
        <v>0</v>
      </c>
      <c r="L4078">
        <v>3</v>
      </c>
      <c r="M4078">
        <v>0</v>
      </c>
      <c r="N4078">
        <v>2</v>
      </c>
      <c r="O4078">
        <v>1</v>
      </c>
      <c r="P4078">
        <v>0</v>
      </c>
      <c r="Q4078">
        <v>0</v>
      </c>
      <c r="R4078" t="s">
        <v>114</v>
      </c>
      <c r="S4078" t="str">
        <f>"19:43:07.992"</f>
        <v>19:43:07.992</v>
      </c>
      <c r="T4078" t="str">
        <f>"19:43:07.492"</f>
        <v>19:43:07.492</v>
      </c>
      <c r="U4078" t="str">
        <f t="shared" si="190"/>
        <v>a1cdbe</v>
      </c>
      <c r="V4078">
        <v>0</v>
      </c>
      <c r="W4078">
        <v>0</v>
      </c>
      <c r="X4078">
        <v>2</v>
      </c>
      <c r="Y4078">
        <v>0</v>
      </c>
      <c r="Z4078">
        <v>0</v>
      </c>
      <c r="AB4078">
        <v>0</v>
      </c>
      <c r="AC4078">
        <v>9</v>
      </c>
      <c r="AD4078">
        <v>3</v>
      </c>
      <c r="AE4078">
        <v>0</v>
      </c>
      <c r="AF4078">
        <v>9</v>
      </c>
      <c r="AG4078" t="s">
        <v>115</v>
      </c>
      <c r="AH4078">
        <v>0</v>
      </c>
      <c r="AI4078">
        <v>0</v>
      </c>
      <c r="AJ4078">
        <v>1</v>
      </c>
      <c r="AK4078">
        <v>0</v>
      </c>
      <c r="AL4078" t="s">
        <v>7634</v>
      </c>
      <c r="AM4078">
        <v>47.064141999999997</v>
      </c>
      <c r="AN4078" t="s">
        <v>7635</v>
      </c>
      <c r="AO4078">
        <v>-123.994167</v>
      </c>
      <c r="AP4078">
        <v>100</v>
      </c>
      <c r="AQ4078">
        <v>-100</v>
      </c>
      <c r="AR4078" t="s">
        <v>118</v>
      </c>
      <c r="AS4078">
        <v>-30</v>
      </c>
      <c r="AT4078">
        <v>-30</v>
      </c>
      <c r="AU4078">
        <v>-960</v>
      </c>
      <c r="BC4078">
        <v>1200</v>
      </c>
      <c r="BD4078">
        <v>1</v>
      </c>
      <c r="BE4078" t="str">
        <f t="shared" si="191"/>
        <v xml:space="preserve">N215T   </v>
      </c>
      <c r="BF4078">
        <v>1</v>
      </c>
      <c r="BH4078">
        <v>0</v>
      </c>
      <c r="BI4078">
        <v>0</v>
      </c>
      <c r="BJ4078">
        <v>0</v>
      </c>
      <c r="BK4078">
        <v>300</v>
      </c>
      <c r="BL4078">
        <v>400</v>
      </c>
      <c r="BM4078" t="s">
        <v>119</v>
      </c>
      <c r="BN4078">
        <v>1</v>
      </c>
      <c r="BO4078">
        <v>1</v>
      </c>
      <c r="BP4078">
        <v>1</v>
      </c>
      <c r="BQ4078">
        <v>0</v>
      </c>
      <c r="BT4078">
        <v>0</v>
      </c>
      <c r="BU4078">
        <v>0</v>
      </c>
      <c r="BV4078">
        <v>0</v>
      </c>
      <c r="CC4078" t="str">
        <f>"19:43:07.992"</f>
        <v>19:43:07.992</v>
      </c>
      <c r="CD4078" t="str">
        <f>"994357738"</f>
        <v>994357738</v>
      </c>
      <c r="CQ4078">
        <v>0</v>
      </c>
      <c r="CR4078">
        <v>2</v>
      </c>
      <c r="CS4078">
        <v>0</v>
      </c>
      <c r="CT4078">
        <v>2</v>
      </c>
      <c r="CU4078">
        <v>0</v>
      </c>
      <c r="CV4078">
        <v>2</v>
      </c>
      <c r="CW4078" t="s">
        <v>120</v>
      </c>
      <c r="CX4078">
        <v>257</v>
      </c>
      <c r="CY4078">
        <v>0</v>
      </c>
      <c r="CZ4078" t="s">
        <v>615</v>
      </c>
      <c r="DA4078" t="s">
        <v>616</v>
      </c>
      <c r="DD4078">
        <v>16666947</v>
      </c>
      <c r="DE4078" t="s">
        <v>123</v>
      </c>
    </row>
    <row r="4079" spans="1:109" x14ac:dyDescent="0.3">
      <c r="A4079" t="str">
        <f>"19:43:09.313"</f>
        <v>19:43:09.313</v>
      </c>
      <c r="B4079" t="s">
        <v>110</v>
      </c>
      <c r="C4079" t="str">
        <f t="shared" si="192"/>
        <v>ffdfd3c0</v>
      </c>
      <c r="D4079" t="s">
        <v>111</v>
      </c>
      <c r="E4079">
        <v>18</v>
      </c>
      <c r="F4079">
        <v>1018</v>
      </c>
      <c r="G4079" t="s">
        <v>112</v>
      </c>
      <c r="J4079" t="s">
        <v>113</v>
      </c>
      <c r="K4079">
        <v>0</v>
      </c>
      <c r="L4079">
        <v>3</v>
      </c>
      <c r="M4079">
        <v>0</v>
      </c>
      <c r="N4079">
        <v>2</v>
      </c>
      <c r="O4079">
        <v>1</v>
      </c>
      <c r="P4079">
        <v>0</v>
      </c>
      <c r="Q4079">
        <v>0</v>
      </c>
      <c r="R4079" t="s">
        <v>114</v>
      </c>
      <c r="S4079" t="str">
        <f>"19:43:09.039"</f>
        <v>19:43:09.039</v>
      </c>
      <c r="T4079" t="str">
        <f>"19:43:08.938"</f>
        <v>19:43:08.938</v>
      </c>
      <c r="U4079" t="str">
        <f t="shared" si="190"/>
        <v>a1cdbe</v>
      </c>
      <c r="V4079">
        <v>0</v>
      </c>
      <c r="W4079">
        <v>0</v>
      </c>
      <c r="X4079">
        <v>2</v>
      </c>
      <c r="Y4079">
        <v>0</v>
      </c>
      <c r="Z4079">
        <v>0</v>
      </c>
      <c r="AB4079">
        <v>0</v>
      </c>
      <c r="AC4079">
        <v>9</v>
      </c>
      <c r="AD4079">
        <v>3</v>
      </c>
      <c r="AE4079">
        <v>0</v>
      </c>
      <c r="AF4079">
        <v>9</v>
      </c>
      <c r="AG4079" t="s">
        <v>115</v>
      </c>
      <c r="AH4079">
        <v>0</v>
      </c>
      <c r="AI4079">
        <v>0</v>
      </c>
      <c r="AJ4079">
        <v>1</v>
      </c>
      <c r="AK4079">
        <v>0</v>
      </c>
      <c r="AL4079" t="s">
        <v>7610</v>
      </c>
      <c r="AM4079">
        <v>47.063991999999999</v>
      </c>
      <c r="AN4079" t="s">
        <v>7636</v>
      </c>
      <c r="AO4079">
        <v>-123.99429600000001</v>
      </c>
      <c r="AP4079">
        <v>100</v>
      </c>
      <c r="AQ4079">
        <v>-100</v>
      </c>
      <c r="AR4079" t="s">
        <v>118</v>
      </c>
      <c r="AS4079">
        <v>-21</v>
      </c>
      <c r="AT4079">
        <v>-40</v>
      </c>
      <c r="AU4079">
        <v>-1280</v>
      </c>
      <c r="BC4079">
        <v>1200</v>
      </c>
      <c r="BD4079">
        <v>1</v>
      </c>
      <c r="BE4079" t="str">
        <f t="shared" si="191"/>
        <v xml:space="preserve">N215T   </v>
      </c>
      <c r="BF4079">
        <v>1</v>
      </c>
      <c r="BH4079">
        <v>0</v>
      </c>
      <c r="BI4079">
        <v>0</v>
      </c>
      <c r="BJ4079">
        <v>0</v>
      </c>
      <c r="BK4079">
        <v>275</v>
      </c>
      <c r="BL4079">
        <v>375</v>
      </c>
      <c r="BM4079" t="s">
        <v>119</v>
      </c>
      <c r="BN4079">
        <v>1</v>
      </c>
      <c r="BO4079">
        <v>1</v>
      </c>
      <c r="BP4079">
        <v>1</v>
      </c>
      <c r="BQ4079">
        <v>0</v>
      </c>
      <c r="BT4079">
        <v>0</v>
      </c>
      <c r="BU4079">
        <v>0</v>
      </c>
      <c r="BV4079">
        <v>0</v>
      </c>
      <c r="CC4079" t="str">
        <f>"19:43:09.047"</f>
        <v>19:43:09.047</v>
      </c>
      <c r="CD4079" t="str">
        <f>"044254226"</f>
        <v>044254226</v>
      </c>
      <c r="CQ4079">
        <v>0</v>
      </c>
      <c r="CR4079">
        <v>2</v>
      </c>
      <c r="CS4079">
        <v>0</v>
      </c>
      <c r="CT4079">
        <v>2</v>
      </c>
      <c r="CU4079">
        <v>0</v>
      </c>
      <c r="CV4079">
        <v>6</v>
      </c>
      <c r="CW4079" t="s">
        <v>120</v>
      </c>
      <c r="CX4079">
        <v>257</v>
      </c>
      <c r="CY4079">
        <v>0</v>
      </c>
      <c r="CZ4079" t="s">
        <v>615</v>
      </c>
      <c r="DA4079" t="s">
        <v>616</v>
      </c>
      <c r="DD4079">
        <v>16667278</v>
      </c>
      <c r="DE4079" t="s">
        <v>123</v>
      </c>
    </row>
    <row r="4080" spans="1:109" x14ac:dyDescent="0.3">
      <c r="A4080" t="str">
        <f>"19:43:10.273"</f>
        <v>19:43:10.273</v>
      </c>
      <c r="B4080" t="s">
        <v>110</v>
      </c>
      <c r="C4080" t="str">
        <f t="shared" si="192"/>
        <v>ffdfd3c0</v>
      </c>
      <c r="D4080" t="s">
        <v>111</v>
      </c>
      <c r="E4080">
        <v>18</v>
      </c>
      <c r="F4080">
        <v>1018</v>
      </c>
      <c r="G4080" t="s">
        <v>112</v>
      </c>
      <c r="J4080" t="s">
        <v>113</v>
      </c>
      <c r="K4080">
        <v>0</v>
      </c>
      <c r="L4080">
        <v>3</v>
      </c>
      <c r="M4080">
        <v>0</v>
      </c>
      <c r="N4080">
        <v>2</v>
      </c>
      <c r="O4080">
        <v>1</v>
      </c>
      <c r="P4080">
        <v>0</v>
      </c>
      <c r="Q4080">
        <v>0</v>
      </c>
      <c r="R4080" t="s">
        <v>114</v>
      </c>
      <c r="S4080" t="str">
        <f>"19:43:10.016"</f>
        <v>19:43:10.016</v>
      </c>
      <c r="T4080" t="str">
        <f>"19:43:09.914"</f>
        <v>19:43:09.914</v>
      </c>
      <c r="U4080" t="str">
        <f t="shared" si="190"/>
        <v>a1cdbe</v>
      </c>
      <c r="V4080">
        <v>0</v>
      </c>
      <c r="W4080">
        <v>0</v>
      </c>
      <c r="X4080">
        <v>2</v>
      </c>
      <c r="Y4080">
        <v>0</v>
      </c>
      <c r="Z4080">
        <v>0</v>
      </c>
      <c r="AB4080">
        <v>0</v>
      </c>
      <c r="AC4080">
        <v>9</v>
      </c>
      <c r="AD4080">
        <v>3</v>
      </c>
      <c r="AE4080">
        <v>0</v>
      </c>
      <c r="AF4080">
        <v>9</v>
      </c>
      <c r="AG4080" t="s">
        <v>115</v>
      </c>
      <c r="AH4080">
        <v>0</v>
      </c>
      <c r="AI4080">
        <v>0</v>
      </c>
      <c r="AJ4080">
        <v>1</v>
      </c>
      <c r="AK4080">
        <v>0</v>
      </c>
      <c r="AL4080" t="s">
        <v>7591</v>
      </c>
      <c r="AM4080">
        <v>47.063777000000002</v>
      </c>
      <c r="AN4080" t="s">
        <v>7550</v>
      </c>
      <c r="AO4080">
        <v>-123.994446</v>
      </c>
      <c r="AP4080">
        <v>100</v>
      </c>
      <c r="AQ4080">
        <v>-100</v>
      </c>
      <c r="AR4080" t="s">
        <v>118</v>
      </c>
      <c r="AS4080">
        <v>-16</v>
      </c>
      <c r="AT4080">
        <v>-45</v>
      </c>
      <c r="AU4080">
        <v>-1216</v>
      </c>
      <c r="BC4080">
        <v>1200</v>
      </c>
      <c r="BD4080">
        <v>1</v>
      </c>
      <c r="BE4080" t="str">
        <f t="shared" si="191"/>
        <v xml:space="preserve">N215T   </v>
      </c>
      <c r="BF4080">
        <v>1</v>
      </c>
      <c r="BH4080">
        <v>0</v>
      </c>
      <c r="BI4080">
        <v>0</v>
      </c>
      <c r="BJ4080">
        <v>0</v>
      </c>
      <c r="BK4080">
        <v>250</v>
      </c>
      <c r="BL4080">
        <v>350</v>
      </c>
      <c r="BM4080" t="s">
        <v>119</v>
      </c>
      <c r="BN4080">
        <v>1</v>
      </c>
      <c r="BO4080">
        <v>1</v>
      </c>
      <c r="BP4080">
        <v>1</v>
      </c>
      <c r="BQ4080">
        <v>0</v>
      </c>
      <c r="BT4080">
        <v>0</v>
      </c>
      <c r="BU4080">
        <v>0</v>
      </c>
      <c r="BV4080">
        <v>0</v>
      </c>
      <c r="CC4080" t="str">
        <f>"19:43:10.016"</f>
        <v>19:43:10.016</v>
      </c>
      <c r="CD4080" t="str">
        <f>"019158061"</f>
        <v>019158061</v>
      </c>
      <c r="CQ4080">
        <v>0</v>
      </c>
      <c r="CR4080">
        <v>2</v>
      </c>
      <c r="CS4080">
        <v>0</v>
      </c>
      <c r="CT4080">
        <v>2</v>
      </c>
      <c r="CU4080">
        <v>0</v>
      </c>
      <c r="CV4080">
        <v>5</v>
      </c>
      <c r="CW4080" t="s">
        <v>120</v>
      </c>
      <c r="CX4080">
        <v>257</v>
      </c>
      <c r="CY4080">
        <v>0</v>
      </c>
      <c r="CZ4080" t="s">
        <v>615</v>
      </c>
      <c r="DA4080" t="s">
        <v>616</v>
      </c>
      <c r="DD4080">
        <v>16667595</v>
      </c>
      <c r="DE4080" t="s">
        <v>123</v>
      </c>
    </row>
    <row r="4081" spans="1:109" x14ac:dyDescent="0.3">
      <c r="A4081" t="str">
        <f>"19:43:11.273"</f>
        <v>19:43:11.273</v>
      </c>
      <c r="B4081" t="s">
        <v>110</v>
      </c>
      <c r="C4081" t="str">
        <f t="shared" si="192"/>
        <v>ffdfd3c0</v>
      </c>
      <c r="D4081" t="s">
        <v>111</v>
      </c>
      <c r="E4081">
        <v>18</v>
      </c>
      <c r="F4081">
        <v>1018</v>
      </c>
      <c r="G4081" t="s">
        <v>112</v>
      </c>
      <c r="J4081" t="s">
        <v>113</v>
      </c>
      <c r="K4081">
        <v>0</v>
      </c>
      <c r="L4081">
        <v>3</v>
      </c>
      <c r="M4081">
        <v>0</v>
      </c>
      <c r="N4081">
        <v>2</v>
      </c>
      <c r="O4081">
        <v>1</v>
      </c>
      <c r="P4081">
        <v>0</v>
      </c>
      <c r="Q4081">
        <v>0</v>
      </c>
      <c r="R4081" t="s">
        <v>114</v>
      </c>
      <c r="S4081" t="str">
        <f>"19:43:10.992"</f>
        <v>19:43:10.992</v>
      </c>
      <c r="T4081" t="str">
        <f>"19:43:10.789"</f>
        <v>19:43:10.789</v>
      </c>
      <c r="U4081" t="str">
        <f t="shared" si="190"/>
        <v>a1cdbe</v>
      </c>
      <c r="V4081">
        <v>0</v>
      </c>
      <c r="W4081">
        <v>0</v>
      </c>
      <c r="X4081">
        <v>2</v>
      </c>
      <c r="Y4081">
        <v>0</v>
      </c>
      <c r="Z4081">
        <v>0</v>
      </c>
      <c r="AB4081">
        <v>0</v>
      </c>
      <c r="AC4081">
        <v>9</v>
      </c>
      <c r="AD4081">
        <v>3</v>
      </c>
      <c r="AE4081">
        <v>0</v>
      </c>
      <c r="AF4081">
        <v>9</v>
      </c>
      <c r="AG4081" t="s">
        <v>115</v>
      </c>
      <c r="AH4081">
        <v>0</v>
      </c>
      <c r="AI4081">
        <v>0</v>
      </c>
      <c r="AJ4081">
        <v>1</v>
      </c>
      <c r="AK4081">
        <v>0</v>
      </c>
      <c r="AL4081" t="s">
        <v>7637</v>
      </c>
      <c r="AM4081">
        <v>47.063519999999997</v>
      </c>
      <c r="AN4081" t="s">
        <v>7638</v>
      </c>
      <c r="AO4081">
        <v>-123.99451000000001</v>
      </c>
      <c r="AP4081">
        <v>100</v>
      </c>
      <c r="AQ4081">
        <v>-200</v>
      </c>
      <c r="AR4081" t="s">
        <v>118</v>
      </c>
      <c r="AS4081">
        <v>-12</v>
      </c>
      <c r="AT4081">
        <v>-49</v>
      </c>
      <c r="AU4081">
        <v>-960</v>
      </c>
      <c r="BC4081">
        <v>1200</v>
      </c>
      <c r="BD4081">
        <v>1</v>
      </c>
      <c r="BE4081" t="str">
        <f t="shared" si="191"/>
        <v xml:space="preserve">N215T   </v>
      </c>
      <c r="BF4081">
        <v>1</v>
      </c>
      <c r="BH4081">
        <v>0</v>
      </c>
      <c r="BI4081">
        <v>0</v>
      </c>
      <c r="BJ4081">
        <v>0</v>
      </c>
      <c r="BK4081">
        <v>250</v>
      </c>
      <c r="BL4081">
        <v>450</v>
      </c>
      <c r="BM4081" t="s">
        <v>119</v>
      </c>
      <c r="BN4081">
        <v>1</v>
      </c>
      <c r="BO4081">
        <v>1</v>
      </c>
      <c r="BP4081">
        <v>1</v>
      </c>
      <c r="BQ4081">
        <v>0</v>
      </c>
      <c r="BT4081">
        <v>0</v>
      </c>
      <c r="BU4081">
        <v>0</v>
      </c>
      <c r="BV4081">
        <v>0</v>
      </c>
      <c r="CC4081" t="str">
        <f>"19:43:10.992"</f>
        <v>19:43:10.992</v>
      </c>
      <c r="CD4081" t="str">
        <f>"994061902"</f>
        <v>994061902</v>
      </c>
      <c r="CQ4081">
        <v>0</v>
      </c>
      <c r="CR4081">
        <v>2</v>
      </c>
      <c r="CS4081">
        <v>0</v>
      </c>
      <c r="CT4081">
        <v>2</v>
      </c>
      <c r="CU4081">
        <v>0</v>
      </c>
      <c r="CV4081">
        <v>5</v>
      </c>
      <c r="CW4081" t="s">
        <v>120</v>
      </c>
      <c r="CX4081">
        <v>257</v>
      </c>
      <c r="CY4081">
        <v>0</v>
      </c>
      <c r="CZ4081" t="s">
        <v>615</v>
      </c>
      <c r="DA4081" t="s">
        <v>616</v>
      </c>
      <c r="DD4081">
        <v>16667936</v>
      </c>
      <c r="DE4081" t="s">
        <v>123</v>
      </c>
    </row>
    <row r="4082" spans="1:109" x14ac:dyDescent="0.3">
      <c r="A4082" t="str">
        <f>"19:43:12.180"</f>
        <v>19:43:12.180</v>
      </c>
      <c r="B4082" t="s">
        <v>110</v>
      </c>
      <c r="C4082" t="str">
        <f t="shared" si="192"/>
        <v>ffdfd3c0</v>
      </c>
      <c r="D4082" t="s">
        <v>111</v>
      </c>
      <c r="E4082">
        <v>18</v>
      </c>
      <c r="F4082">
        <v>1018</v>
      </c>
      <c r="G4082" t="s">
        <v>112</v>
      </c>
      <c r="J4082" t="s">
        <v>113</v>
      </c>
      <c r="K4082">
        <v>0</v>
      </c>
      <c r="L4082">
        <v>3</v>
      </c>
      <c r="M4082">
        <v>0</v>
      </c>
      <c r="N4082">
        <v>2</v>
      </c>
      <c r="O4082">
        <v>1</v>
      </c>
      <c r="P4082">
        <v>0</v>
      </c>
      <c r="Q4082">
        <v>0</v>
      </c>
      <c r="R4082" t="s">
        <v>114</v>
      </c>
      <c r="S4082" t="str">
        <f>"19:43:11.922"</f>
        <v>19:43:11.922</v>
      </c>
      <c r="T4082" t="str">
        <f>"19:43:11.820"</f>
        <v>19:43:11.820</v>
      </c>
      <c r="U4082" t="str">
        <f t="shared" si="190"/>
        <v>a1cdbe</v>
      </c>
      <c r="V4082">
        <v>0</v>
      </c>
      <c r="W4082">
        <v>0</v>
      </c>
      <c r="X4082">
        <v>2</v>
      </c>
      <c r="Y4082">
        <v>0</v>
      </c>
      <c r="Z4082">
        <v>0</v>
      </c>
      <c r="AB4082">
        <v>0</v>
      </c>
      <c r="AC4082">
        <v>9</v>
      </c>
      <c r="AD4082">
        <v>3</v>
      </c>
      <c r="AE4082">
        <v>0</v>
      </c>
      <c r="AF4082">
        <v>9</v>
      </c>
      <c r="AG4082" t="s">
        <v>115</v>
      </c>
      <c r="AH4082">
        <v>0</v>
      </c>
      <c r="AI4082">
        <v>0</v>
      </c>
      <c r="AJ4082">
        <v>1</v>
      </c>
      <c r="AK4082">
        <v>0</v>
      </c>
      <c r="AL4082" t="s">
        <v>7435</v>
      </c>
      <c r="AM4082">
        <v>47.063327000000001</v>
      </c>
      <c r="AN4082" t="s">
        <v>7638</v>
      </c>
      <c r="AO4082">
        <v>-123.99451000000001</v>
      </c>
      <c r="AP4082">
        <v>100</v>
      </c>
      <c r="AQ4082">
        <v>-200</v>
      </c>
      <c r="AR4082" t="s">
        <v>118</v>
      </c>
      <c r="AS4082">
        <v>-8</v>
      </c>
      <c r="AT4082">
        <v>-51</v>
      </c>
      <c r="AU4082">
        <v>-896</v>
      </c>
      <c r="BC4082">
        <v>1200</v>
      </c>
      <c r="BD4082">
        <v>1</v>
      </c>
      <c r="BE4082" t="str">
        <f t="shared" si="191"/>
        <v xml:space="preserve">N215T   </v>
      </c>
      <c r="BF4082">
        <v>1</v>
      </c>
      <c r="BH4082">
        <v>0</v>
      </c>
      <c r="BI4082">
        <v>0</v>
      </c>
      <c r="BJ4082">
        <v>0</v>
      </c>
      <c r="BK4082">
        <v>225</v>
      </c>
      <c r="BL4082">
        <v>425</v>
      </c>
      <c r="BM4082" t="s">
        <v>119</v>
      </c>
      <c r="BN4082">
        <v>1</v>
      </c>
      <c r="BO4082">
        <v>1</v>
      </c>
      <c r="BP4082">
        <v>1</v>
      </c>
      <c r="BQ4082">
        <v>0</v>
      </c>
      <c r="BT4082">
        <v>0</v>
      </c>
      <c r="BU4082">
        <v>0</v>
      </c>
      <c r="BV4082">
        <v>0</v>
      </c>
      <c r="CC4082" t="str">
        <f>"19:43:11.922"</f>
        <v>19:43:11.922</v>
      </c>
      <c r="CD4082" t="str">
        <f>"923970176"</f>
        <v>923970176</v>
      </c>
      <c r="CQ4082">
        <v>0</v>
      </c>
      <c r="CR4082">
        <v>2</v>
      </c>
      <c r="CS4082">
        <v>0</v>
      </c>
      <c r="CT4082">
        <v>2</v>
      </c>
      <c r="CU4082">
        <v>0</v>
      </c>
      <c r="CV4082">
        <v>5</v>
      </c>
      <c r="CW4082" t="s">
        <v>120</v>
      </c>
      <c r="CX4082">
        <v>257</v>
      </c>
      <c r="CY4082">
        <v>0</v>
      </c>
      <c r="CZ4082" t="s">
        <v>615</v>
      </c>
      <c r="DA4082" t="s">
        <v>616</v>
      </c>
      <c r="DD4082">
        <v>16668242</v>
      </c>
      <c r="DE4082" t="s">
        <v>123</v>
      </c>
    </row>
    <row r="4083" spans="1:109" x14ac:dyDescent="0.3">
      <c r="A4083" t="str">
        <f>"19:43:13.031"</f>
        <v>19:43:13.031</v>
      </c>
      <c r="B4083" t="s">
        <v>110</v>
      </c>
      <c r="C4083" t="str">
        <f t="shared" si="192"/>
        <v>ffdfd3c0</v>
      </c>
      <c r="D4083" t="s">
        <v>111</v>
      </c>
      <c r="E4083">
        <v>18</v>
      </c>
      <c r="F4083">
        <v>1018</v>
      </c>
      <c r="G4083" t="s">
        <v>112</v>
      </c>
      <c r="J4083" t="s">
        <v>113</v>
      </c>
      <c r="K4083">
        <v>0</v>
      </c>
      <c r="L4083">
        <v>3</v>
      </c>
      <c r="M4083">
        <v>0</v>
      </c>
      <c r="N4083">
        <v>2</v>
      </c>
      <c r="O4083">
        <v>1</v>
      </c>
      <c r="P4083">
        <v>0</v>
      </c>
      <c r="Q4083">
        <v>0</v>
      </c>
      <c r="R4083" t="s">
        <v>114</v>
      </c>
      <c r="S4083" t="str">
        <f>"19:43:12.805"</f>
        <v>19:43:12.805</v>
      </c>
      <c r="T4083" t="str">
        <f>"19:43:12.406"</f>
        <v>19:43:12.406</v>
      </c>
      <c r="U4083" t="str">
        <f t="shared" si="190"/>
        <v>a1cdbe</v>
      </c>
      <c r="V4083">
        <v>0</v>
      </c>
      <c r="W4083">
        <v>0</v>
      </c>
      <c r="X4083">
        <v>2</v>
      </c>
      <c r="Y4083">
        <v>0</v>
      </c>
      <c r="Z4083">
        <v>0</v>
      </c>
      <c r="AB4083">
        <v>0</v>
      </c>
      <c r="AC4083">
        <v>9</v>
      </c>
      <c r="AD4083">
        <v>3</v>
      </c>
      <c r="AE4083">
        <v>0</v>
      </c>
      <c r="AF4083">
        <v>9</v>
      </c>
      <c r="AG4083" t="s">
        <v>115</v>
      </c>
      <c r="AH4083">
        <v>0</v>
      </c>
      <c r="AI4083">
        <v>0</v>
      </c>
      <c r="AJ4083">
        <v>1</v>
      </c>
      <c r="AK4083">
        <v>0</v>
      </c>
      <c r="AL4083" t="s">
        <v>7433</v>
      </c>
      <c r="AM4083">
        <v>47.063091</v>
      </c>
      <c r="AN4083" t="s">
        <v>7346</v>
      </c>
      <c r="AO4083">
        <v>-123.994575</v>
      </c>
      <c r="AP4083">
        <v>100</v>
      </c>
      <c r="AQ4083">
        <v>-200</v>
      </c>
      <c r="AR4083" t="s">
        <v>118</v>
      </c>
      <c r="AS4083">
        <v>-5</v>
      </c>
      <c r="AT4083">
        <v>-51</v>
      </c>
      <c r="AU4083">
        <v>-960</v>
      </c>
      <c r="BC4083">
        <v>1200</v>
      </c>
      <c r="BD4083">
        <v>1</v>
      </c>
      <c r="BE4083" t="str">
        <f t="shared" si="191"/>
        <v xml:space="preserve">N215T   </v>
      </c>
      <c r="BF4083">
        <v>1</v>
      </c>
      <c r="BH4083">
        <v>0</v>
      </c>
      <c r="BI4083">
        <v>0</v>
      </c>
      <c r="BJ4083">
        <v>0</v>
      </c>
      <c r="BK4083">
        <v>225</v>
      </c>
      <c r="BL4083">
        <v>425</v>
      </c>
      <c r="BM4083" t="s">
        <v>119</v>
      </c>
      <c r="BN4083">
        <v>1</v>
      </c>
      <c r="BO4083">
        <v>1</v>
      </c>
      <c r="BP4083">
        <v>1</v>
      </c>
      <c r="BQ4083">
        <v>0</v>
      </c>
      <c r="BT4083">
        <v>0</v>
      </c>
      <c r="BU4083">
        <v>0</v>
      </c>
      <c r="BV4083">
        <v>0</v>
      </c>
      <c r="CC4083" t="str">
        <f>"19:43:12.813"</f>
        <v>19:43:12.813</v>
      </c>
      <c r="CD4083" t="str">
        <f>"808882863"</f>
        <v>808882863</v>
      </c>
      <c r="CQ4083">
        <v>0</v>
      </c>
      <c r="CR4083">
        <v>2</v>
      </c>
      <c r="CS4083">
        <v>0</v>
      </c>
      <c r="CT4083">
        <v>2</v>
      </c>
      <c r="CU4083">
        <v>0</v>
      </c>
      <c r="CV4083">
        <v>3</v>
      </c>
      <c r="CW4083" t="s">
        <v>120</v>
      </c>
      <c r="CX4083">
        <v>257</v>
      </c>
      <c r="CY4083">
        <v>3</v>
      </c>
      <c r="CZ4083" t="s">
        <v>615</v>
      </c>
      <c r="DA4083" t="s">
        <v>616</v>
      </c>
      <c r="DD4083">
        <v>9443151</v>
      </c>
      <c r="DE4083" t="s">
        <v>123</v>
      </c>
    </row>
    <row r="4084" spans="1:109" x14ac:dyDescent="0.3">
      <c r="A4084" t="str">
        <f>"19:43:14.133"</f>
        <v>19:43:14.133</v>
      </c>
      <c r="B4084" t="s">
        <v>110</v>
      </c>
      <c r="C4084" t="str">
        <f t="shared" si="192"/>
        <v>ffdfd3c0</v>
      </c>
      <c r="D4084" t="s">
        <v>111</v>
      </c>
      <c r="E4084">
        <v>18</v>
      </c>
      <c r="F4084">
        <v>1018</v>
      </c>
      <c r="G4084" t="s">
        <v>112</v>
      </c>
      <c r="J4084" t="s">
        <v>113</v>
      </c>
      <c r="K4084">
        <v>0</v>
      </c>
      <c r="L4084">
        <v>3</v>
      </c>
      <c r="M4084">
        <v>0</v>
      </c>
      <c r="N4084">
        <v>2</v>
      </c>
      <c r="O4084">
        <v>1</v>
      </c>
      <c r="P4084">
        <v>0</v>
      </c>
      <c r="Q4084">
        <v>0</v>
      </c>
      <c r="R4084" t="s">
        <v>114</v>
      </c>
      <c r="S4084" t="str">
        <f>"19:43:13.898"</f>
        <v>19:43:13.898</v>
      </c>
      <c r="T4084" t="str">
        <f>"19:43:13.398"</f>
        <v>19:43:13.398</v>
      </c>
      <c r="U4084" t="str">
        <f t="shared" si="190"/>
        <v>a1cdbe</v>
      </c>
      <c r="V4084">
        <v>0</v>
      </c>
      <c r="W4084">
        <v>0</v>
      </c>
      <c r="X4084">
        <v>2</v>
      </c>
      <c r="Y4084">
        <v>0</v>
      </c>
      <c r="Z4084">
        <v>0</v>
      </c>
      <c r="AB4084">
        <v>0</v>
      </c>
      <c r="AC4084">
        <v>9</v>
      </c>
      <c r="AD4084">
        <v>3</v>
      </c>
      <c r="AE4084">
        <v>0</v>
      </c>
      <c r="AF4084">
        <v>9</v>
      </c>
      <c r="AG4084" t="s">
        <v>115</v>
      </c>
      <c r="AH4084">
        <v>0</v>
      </c>
      <c r="AI4084">
        <v>0</v>
      </c>
      <c r="AJ4084">
        <v>1</v>
      </c>
      <c r="AK4084">
        <v>0</v>
      </c>
      <c r="AL4084" t="s">
        <v>7517</v>
      </c>
      <c r="AM4084">
        <v>47.062832999999998</v>
      </c>
      <c r="AN4084" t="s">
        <v>7639</v>
      </c>
      <c r="AO4084">
        <v>-123.994596</v>
      </c>
      <c r="AP4084">
        <v>100</v>
      </c>
      <c r="AQ4084">
        <v>-200</v>
      </c>
      <c r="AR4084" t="s">
        <v>118</v>
      </c>
      <c r="AS4084">
        <v>-2</v>
      </c>
      <c r="AT4084">
        <v>-52</v>
      </c>
      <c r="AU4084">
        <v>-960</v>
      </c>
      <c r="BC4084">
        <v>1200</v>
      </c>
      <c r="BD4084">
        <v>1</v>
      </c>
      <c r="BE4084" t="str">
        <f t="shared" si="191"/>
        <v xml:space="preserve">N215T   </v>
      </c>
      <c r="BF4084">
        <v>1</v>
      </c>
      <c r="BH4084">
        <v>0</v>
      </c>
      <c r="BI4084">
        <v>0</v>
      </c>
      <c r="BJ4084">
        <v>0</v>
      </c>
      <c r="BK4084">
        <v>200</v>
      </c>
      <c r="BL4084">
        <v>400</v>
      </c>
      <c r="BM4084" t="s">
        <v>119</v>
      </c>
      <c r="BN4084">
        <v>1</v>
      </c>
      <c r="BO4084">
        <v>1</v>
      </c>
      <c r="BP4084">
        <v>1</v>
      </c>
      <c r="BQ4084">
        <v>0</v>
      </c>
      <c r="BT4084">
        <v>0</v>
      </c>
      <c r="BU4084">
        <v>0</v>
      </c>
      <c r="BV4084">
        <v>0</v>
      </c>
      <c r="CC4084" t="str">
        <f>"19:43:13.906"</f>
        <v>19:43:13.906</v>
      </c>
      <c r="CD4084" t="str">
        <f>"903774894"</f>
        <v>903774894</v>
      </c>
      <c r="CQ4084">
        <v>0</v>
      </c>
      <c r="CR4084">
        <v>2</v>
      </c>
      <c r="CS4084">
        <v>0</v>
      </c>
      <c r="CT4084">
        <v>2</v>
      </c>
      <c r="CU4084">
        <v>0</v>
      </c>
      <c r="CV4084">
        <v>4</v>
      </c>
      <c r="CW4084" t="s">
        <v>120</v>
      </c>
      <c r="CX4084">
        <v>257</v>
      </c>
      <c r="CY4084">
        <v>0</v>
      </c>
      <c r="CZ4084" t="s">
        <v>615</v>
      </c>
      <c r="DA4084" t="s">
        <v>616</v>
      </c>
      <c r="DD4084">
        <v>16668897</v>
      </c>
      <c r="DE4084" t="s">
        <v>123</v>
      </c>
    </row>
    <row r="4085" spans="1:109" x14ac:dyDescent="0.3">
      <c r="A4085" t="str">
        <f>"19:43:15.039"</f>
        <v>19:43:15.039</v>
      </c>
      <c r="B4085" t="s">
        <v>110</v>
      </c>
      <c r="C4085" t="str">
        <f t="shared" si="192"/>
        <v>ffdfd3c0</v>
      </c>
      <c r="D4085" t="s">
        <v>111</v>
      </c>
      <c r="E4085">
        <v>18</v>
      </c>
      <c r="F4085">
        <v>1018</v>
      </c>
      <c r="G4085" t="s">
        <v>112</v>
      </c>
      <c r="J4085" t="s">
        <v>113</v>
      </c>
      <c r="K4085">
        <v>0</v>
      </c>
      <c r="L4085">
        <v>3</v>
      </c>
      <c r="M4085">
        <v>0</v>
      </c>
      <c r="N4085">
        <v>2</v>
      </c>
      <c r="O4085">
        <v>1</v>
      </c>
      <c r="P4085">
        <v>0</v>
      </c>
      <c r="Q4085">
        <v>0</v>
      </c>
      <c r="R4085" t="s">
        <v>114</v>
      </c>
      <c r="S4085" t="str">
        <f>"19:43:14.797"</f>
        <v>19:43:14.797</v>
      </c>
      <c r="T4085" t="str">
        <f>"19:43:14.594"</f>
        <v>19:43:14.594</v>
      </c>
      <c r="U4085" t="str">
        <f t="shared" si="190"/>
        <v>a1cdbe</v>
      </c>
      <c r="V4085">
        <v>0</v>
      </c>
      <c r="W4085">
        <v>0</v>
      </c>
      <c r="X4085">
        <v>2</v>
      </c>
      <c r="Y4085">
        <v>0</v>
      </c>
      <c r="Z4085">
        <v>0</v>
      </c>
      <c r="AB4085">
        <v>0</v>
      </c>
      <c r="AC4085">
        <v>9</v>
      </c>
      <c r="AD4085">
        <v>3</v>
      </c>
      <c r="AE4085">
        <v>0</v>
      </c>
      <c r="AF4085">
        <v>9</v>
      </c>
      <c r="AG4085" t="s">
        <v>115</v>
      </c>
      <c r="AH4085">
        <v>0</v>
      </c>
      <c r="AI4085">
        <v>0</v>
      </c>
      <c r="AJ4085">
        <v>1</v>
      </c>
      <c r="AK4085">
        <v>0</v>
      </c>
      <c r="AL4085" t="s">
        <v>7427</v>
      </c>
      <c r="AM4085">
        <v>47.062640000000002</v>
      </c>
      <c r="AN4085" t="s">
        <v>7346</v>
      </c>
      <c r="AO4085">
        <v>-123.994575</v>
      </c>
      <c r="AP4085">
        <v>100</v>
      </c>
      <c r="AQ4085">
        <v>-200</v>
      </c>
      <c r="AR4085" t="s">
        <v>118</v>
      </c>
      <c r="AS4085">
        <v>2</v>
      </c>
      <c r="AT4085">
        <v>-51</v>
      </c>
      <c r="AU4085">
        <v>-896</v>
      </c>
      <c r="BC4085">
        <v>1200</v>
      </c>
      <c r="BD4085">
        <v>1</v>
      </c>
      <c r="BE4085" t="str">
        <f t="shared" si="191"/>
        <v xml:space="preserve">N215T   </v>
      </c>
      <c r="BF4085">
        <v>1</v>
      </c>
      <c r="BH4085">
        <v>0</v>
      </c>
      <c r="BI4085">
        <v>0</v>
      </c>
      <c r="BJ4085">
        <v>0</v>
      </c>
      <c r="BK4085">
        <v>175</v>
      </c>
      <c r="BL4085">
        <v>375</v>
      </c>
      <c r="BM4085" t="s">
        <v>119</v>
      </c>
      <c r="BN4085">
        <v>1</v>
      </c>
      <c r="BO4085">
        <v>1</v>
      </c>
      <c r="BP4085">
        <v>1</v>
      </c>
      <c r="BQ4085">
        <v>0</v>
      </c>
      <c r="BT4085">
        <v>0</v>
      </c>
      <c r="BU4085">
        <v>0</v>
      </c>
      <c r="BV4085">
        <v>0</v>
      </c>
      <c r="CC4085" t="str">
        <f>"19:43:14.805"</f>
        <v>19:43:14.805</v>
      </c>
      <c r="CD4085" t="str">
        <f>"803686120"</f>
        <v>803686120</v>
      </c>
      <c r="CQ4085">
        <v>0</v>
      </c>
      <c r="CR4085">
        <v>2</v>
      </c>
      <c r="CS4085">
        <v>0</v>
      </c>
      <c r="CT4085">
        <v>2</v>
      </c>
      <c r="CU4085">
        <v>0</v>
      </c>
      <c r="CV4085">
        <v>3</v>
      </c>
      <c r="CW4085" t="s">
        <v>120</v>
      </c>
      <c r="CX4085">
        <v>257</v>
      </c>
      <c r="CY4085">
        <v>0</v>
      </c>
      <c r="CZ4085" t="s">
        <v>615</v>
      </c>
      <c r="DA4085" t="s">
        <v>616</v>
      </c>
      <c r="DD4085">
        <v>16669185</v>
      </c>
      <c r="DE4085" t="s">
        <v>123</v>
      </c>
    </row>
    <row r="4086" spans="1:109" x14ac:dyDescent="0.3">
      <c r="A4086" t="str">
        <f>"19:43:16.047"</f>
        <v>19:43:16.047</v>
      </c>
      <c r="B4086" t="s">
        <v>110</v>
      </c>
      <c r="C4086" t="str">
        <f t="shared" si="192"/>
        <v>ffdfd3c0</v>
      </c>
      <c r="D4086" t="s">
        <v>111</v>
      </c>
      <c r="E4086">
        <v>18</v>
      </c>
      <c r="F4086">
        <v>1018</v>
      </c>
      <c r="G4086" t="s">
        <v>112</v>
      </c>
      <c r="J4086" t="s">
        <v>113</v>
      </c>
      <c r="K4086">
        <v>0</v>
      </c>
      <c r="L4086">
        <v>3</v>
      </c>
      <c r="M4086">
        <v>0</v>
      </c>
      <c r="N4086">
        <v>2</v>
      </c>
      <c r="O4086">
        <v>1</v>
      </c>
      <c r="P4086">
        <v>0</v>
      </c>
      <c r="Q4086">
        <v>0</v>
      </c>
      <c r="R4086" t="s">
        <v>114</v>
      </c>
      <c r="S4086" t="str">
        <f>"19:43:15.836"</f>
        <v>19:43:15.836</v>
      </c>
      <c r="T4086" t="str">
        <f>"19:43:15.633"</f>
        <v>19:43:15.633</v>
      </c>
      <c r="U4086" t="str">
        <f t="shared" si="190"/>
        <v>a1cdbe</v>
      </c>
      <c r="V4086">
        <v>0</v>
      </c>
      <c r="W4086">
        <v>0</v>
      </c>
      <c r="X4086">
        <v>2</v>
      </c>
      <c r="Y4086">
        <v>0</v>
      </c>
      <c r="Z4086">
        <v>0</v>
      </c>
      <c r="AB4086">
        <v>0</v>
      </c>
      <c r="AC4086">
        <v>9</v>
      </c>
      <c r="AD4086">
        <v>3</v>
      </c>
      <c r="AE4086">
        <v>0</v>
      </c>
      <c r="AF4086">
        <v>9</v>
      </c>
      <c r="AG4086" t="s">
        <v>115</v>
      </c>
      <c r="AH4086">
        <v>0</v>
      </c>
      <c r="AI4086">
        <v>0</v>
      </c>
      <c r="AJ4086">
        <v>1</v>
      </c>
      <c r="AK4086">
        <v>0</v>
      </c>
      <c r="AL4086" t="s">
        <v>7422</v>
      </c>
      <c r="AM4086">
        <v>47.062361000000003</v>
      </c>
      <c r="AN4086" t="s">
        <v>7638</v>
      </c>
      <c r="AO4086">
        <v>-123.99451000000001</v>
      </c>
      <c r="AP4086">
        <v>100</v>
      </c>
      <c r="AQ4086">
        <v>-200</v>
      </c>
      <c r="AR4086" t="s">
        <v>118</v>
      </c>
      <c r="AS4086">
        <v>3</v>
      </c>
      <c r="AT4086">
        <v>-51</v>
      </c>
      <c r="AU4086">
        <v>-832</v>
      </c>
      <c r="BC4086">
        <v>1200</v>
      </c>
      <c r="BD4086">
        <v>1</v>
      </c>
      <c r="BE4086" t="str">
        <f t="shared" si="191"/>
        <v xml:space="preserve">N215T   </v>
      </c>
      <c r="BF4086">
        <v>1</v>
      </c>
      <c r="BH4086">
        <v>0</v>
      </c>
      <c r="BI4086">
        <v>0</v>
      </c>
      <c r="BJ4086">
        <v>0</v>
      </c>
      <c r="BK4086">
        <v>175</v>
      </c>
      <c r="BL4086">
        <v>375</v>
      </c>
      <c r="BM4086" t="s">
        <v>119</v>
      </c>
      <c r="BN4086">
        <v>1</v>
      </c>
      <c r="BO4086">
        <v>1</v>
      </c>
      <c r="BP4086">
        <v>1</v>
      </c>
      <c r="BQ4086">
        <v>0</v>
      </c>
      <c r="BT4086">
        <v>0</v>
      </c>
      <c r="BU4086">
        <v>0</v>
      </c>
      <c r="BV4086">
        <v>0</v>
      </c>
      <c r="CC4086" t="str">
        <f>"19:43:15.836"</f>
        <v>19:43:15.836</v>
      </c>
      <c r="CD4086" t="str">
        <f>"838584035"</f>
        <v>838584035</v>
      </c>
      <c r="CQ4086">
        <v>0</v>
      </c>
      <c r="CR4086">
        <v>2</v>
      </c>
      <c r="CS4086">
        <v>0</v>
      </c>
      <c r="CT4086">
        <v>2</v>
      </c>
      <c r="CU4086">
        <v>0</v>
      </c>
      <c r="CV4086">
        <v>2</v>
      </c>
      <c r="CW4086" t="s">
        <v>120</v>
      </c>
      <c r="CX4086">
        <v>257</v>
      </c>
      <c r="CY4086">
        <v>0</v>
      </c>
      <c r="CZ4086" t="s">
        <v>615</v>
      </c>
      <c r="DA4086" t="s">
        <v>616</v>
      </c>
      <c r="DD4086">
        <v>16669513</v>
      </c>
      <c r="DE4086" t="s">
        <v>123</v>
      </c>
    </row>
    <row r="4087" spans="1:109" x14ac:dyDescent="0.3">
      <c r="A4087" t="str">
        <f>"19:43:17.758"</f>
        <v>19:43:17.758</v>
      </c>
      <c r="B4087" t="s">
        <v>110</v>
      </c>
      <c r="C4087" t="str">
        <f t="shared" si="192"/>
        <v>ffdfd3c0</v>
      </c>
      <c r="D4087" t="s">
        <v>111</v>
      </c>
      <c r="E4087">
        <v>18</v>
      </c>
      <c r="F4087">
        <v>1018</v>
      </c>
      <c r="G4087" t="s">
        <v>112</v>
      </c>
      <c r="J4087" t="s">
        <v>113</v>
      </c>
      <c r="K4087">
        <v>0</v>
      </c>
      <c r="L4087">
        <v>3</v>
      </c>
      <c r="M4087">
        <v>0</v>
      </c>
      <c r="N4087">
        <v>2</v>
      </c>
      <c r="O4087">
        <v>1</v>
      </c>
      <c r="P4087">
        <v>0</v>
      </c>
      <c r="Q4087">
        <v>0</v>
      </c>
      <c r="R4087" t="s">
        <v>114</v>
      </c>
      <c r="S4087" t="str">
        <f>"19:43:17.531"</f>
        <v>19:43:17.531</v>
      </c>
      <c r="T4087" t="str">
        <f>"19:43:17.234"</f>
        <v>19:43:17.234</v>
      </c>
      <c r="U4087" t="str">
        <f t="shared" si="190"/>
        <v>a1cdbe</v>
      </c>
      <c r="V4087">
        <v>0</v>
      </c>
      <c r="W4087">
        <v>0</v>
      </c>
      <c r="X4087">
        <v>2</v>
      </c>
      <c r="Y4087">
        <v>0</v>
      </c>
      <c r="Z4087">
        <v>0</v>
      </c>
      <c r="AB4087">
        <v>0</v>
      </c>
      <c r="AC4087">
        <v>9</v>
      </c>
      <c r="AD4087">
        <v>3</v>
      </c>
      <c r="AE4087">
        <v>0</v>
      </c>
      <c r="AF4087">
        <v>9</v>
      </c>
      <c r="AG4087" t="s">
        <v>115</v>
      </c>
      <c r="AH4087">
        <v>0</v>
      </c>
      <c r="AI4087">
        <v>0</v>
      </c>
      <c r="AJ4087">
        <v>1</v>
      </c>
      <c r="AK4087">
        <v>0</v>
      </c>
      <c r="AL4087" t="s">
        <v>7551</v>
      </c>
      <c r="AM4087">
        <v>47.061974999999997</v>
      </c>
      <c r="AN4087" t="s">
        <v>7550</v>
      </c>
      <c r="AO4087">
        <v>-123.994446</v>
      </c>
      <c r="AP4087">
        <v>100</v>
      </c>
      <c r="AQ4087">
        <v>-300</v>
      </c>
      <c r="AR4087" t="s">
        <v>118</v>
      </c>
      <c r="AS4087">
        <v>5</v>
      </c>
      <c r="AT4087">
        <v>-51</v>
      </c>
      <c r="AU4087">
        <v>-832</v>
      </c>
      <c r="BC4087">
        <v>1200</v>
      </c>
      <c r="BD4087">
        <v>1</v>
      </c>
      <c r="BE4087" t="str">
        <f t="shared" si="191"/>
        <v xml:space="preserve">N215T   </v>
      </c>
      <c r="BF4087">
        <v>1</v>
      </c>
      <c r="BH4087">
        <v>0</v>
      </c>
      <c r="BI4087">
        <v>0</v>
      </c>
      <c r="BJ4087">
        <v>0</v>
      </c>
      <c r="BK4087">
        <v>250</v>
      </c>
      <c r="BL4087">
        <v>550</v>
      </c>
      <c r="BM4087" t="s">
        <v>119</v>
      </c>
      <c r="BN4087">
        <v>1</v>
      </c>
      <c r="BO4087">
        <v>1</v>
      </c>
      <c r="BP4087">
        <v>1</v>
      </c>
      <c r="BQ4087">
        <v>0</v>
      </c>
      <c r="BT4087">
        <v>0</v>
      </c>
      <c r="BU4087">
        <v>0</v>
      </c>
      <c r="BV4087">
        <v>0</v>
      </c>
      <c r="CC4087" t="str">
        <f>"19:43:17.531"</f>
        <v>19:43:17.531</v>
      </c>
      <c r="CD4087" t="str">
        <f>"533416815"</f>
        <v>533416815</v>
      </c>
      <c r="CQ4087">
        <v>0</v>
      </c>
      <c r="CR4087">
        <v>2</v>
      </c>
      <c r="CS4087">
        <v>0</v>
      </c>
      <c r="CT4087">
        <v>2</v>
      </c>
      <c r="CU4087">
        <v>0</v>
      </c>
      <c r="CV4087">
        <v>2</v>
      </c>
      <c r="CW4087" t="s">
        <v>120</v>
      </c>
      <c r="CX4087">
        <v>257</v>
      </c>
      <c r="CY4087">
        <v>0</v>
      </c>
      <c r="CZ4087" t="s">
        <v>615</v>
      </c>
      <c r="DA4087" t="s">
        <v>616</v>
      </c>
      <c r="DD4087">
        <v>16670048</v>
      </c>
      <c r="DE4087" t="s">
        <v>123</v>
      </c>
    </row>
    <row r="4088" spans="1:109" x14ac:dyDescent="0.3">
      <c r="A4088" t="str">
        <f>"19:43:19.164"</f>
        <v>19:43:19.164</v>
      </c>
      <c r="B4088" t="s">
        <v>110</v>
      </c>
      <c r="C4088" t="str">
        <f t="shared" si="192"/>
        <v>ffdfd3c0</v>
      </c>
      <c r="D4088" t="s">
        <v>111</v>
      </c>
      <c r="E4088">
        <v>18</v>
      </c>
      <c r="F4088">
        <v>1018</v>
      </c>
      <c r="G4088" t="s">
        <v>112</v>
      </c>
      <c r="J4088" t="s">
        <v>113</v>
      </c>
      <c r="K4088">
        <v>0</v>
      </c>
      <c r="L4088">
        <v>3</v>
      </c>
      <c r="M4088">
        <v>0</v>
      </c>
      <c r="N4088">
        <v>2</v>
      </c>
      <c r="O4088">
        <v>1</v>
      </c>
      <c r="P4088">
        <v>0</v>
      </c>
      <c r="Q4088">
        <v>0</v>
      </c>
      <c r="R4088" t="s">
        <v>114</v>
      </c>
      <c r="S4088" t="str">
        <f>"19:43:18.938"</f>
        <v>19:43:18.938</v>
      </c>
      <c r="T4088" t="str">
        <f>"19:43:17.641"</f>
        <v>19:43:17.641</v>
      </c>
      <c r="U4088" t="str">
        <f t="shared" si="190"/>
        <v>a1cdbe</v>
      </c>
      <c r="V4088">
        <v>0</v>
      </c>
      <c r="W4088">
        <v>0</v>
      </c>
      <c r="X4088">
        <v>2</v>
      </c>
      <c r="Y4088">
        <v>0</v>
      </c>
      <c r="Z4088">
        <v>0</v>
      </c>
      <c r="AB4088">
        <v>0</v>
      </c>
      <c r="AC4088">
        <v>9</v>
      </c>
      <c r="AD4088">
        <v>3</v>
      </c>
      <c r="AE4088">
        <v>0</v>
      </c>
      <c r="AF4088">
        <v>9</v>
      </c>
      <c r="AG4088" t="s">
        <v>115</v>
      </c>
      <c r="AH4088">
        <v>0</v>
      </c>
      <c r="AI4088">
        <v>0</v>
      </c>
      <c r="AJ4088">
        <v>1</v>
      </c>
      <c r="AK4088">
        <v>0</v>
      </c>
      <c r="AL4088" t="s">
        <v>7640</v>
      </c>
      <c r="AM4088">
        <v>47.061632000000003</v>
      </c>
      <c r="AN4088" t="s">
        <v>7641</v>
      </c>
      <c r="AO4088">
        <v>-123.994381</v>
      </c>
      <c r="AP4088">
        <v>100</v>
      </c>
      <c r="AQ4088">
        <v>-300</v>
      </c>
      <c r="AR4088" t="s">
        <v>118</v>
      </c>
      <c r="AS4088">
        <v>5</v>
      </c>
      <c r="AT4088">
        <v>-51</v>
      </c>
      <c r="AU4088">
        <v>-832</v>
      </c>
      <c r="BC4088">
        <v>1200</v>
      </c>
      <c r="BD4088">
        <v>1</v>
      </c>
      <c r="BE4088" t="str">
        <f t="shared" si="191"/>
        <v xml:space="preserve">N215T   </v>
      </c>
      <c r="BF4088">
        <v>1</v>
      </c>
      <c r="BH4088">
        <v>0</v>
      </c>
      <c r="BI4088">
        <v>0</v>
      </c>
      <c r="BJ4088">
        <v>0</v>
      </c>
      <c r="BK4088">
        <v>150</v>
      </c>
      <c r="BL4088">
        <v>450</v>
      </c>
      <c r="BM4088" t="s">
        <v>119</v>
      </c>
      <c r="BN4088">
        <v>1</v>
      </c>
      <c r="BO4088">
        <v>1</v>
      </c>
      <c r="BP4088">
        <v>1</v>
      </c>
      <c r="BQ4088">
        <v>0</v>
      </c>
      <c r="BT4088">
        <v>0</v>
      </c>
      <c r="BU4088">
        <v>0</v>
      </c>
      <c r="BV4088">
        <v>0</v>
      </c>
      <c r="CC4088" t="str">
        <f>"19:43:18.945"</f>
        <v>19:43:18.945</v>
      </c>
      <c r="CD4088" t="str">
        <f>"943277712"</f>
        <v>943277712</v>
      </c>
      <c r="CQ4088">
        <v>0</v>
      </c>
      <c r="CR4088">
        <v>2</v>
      </c>
      <c r="CS4088">
        <v>0</v>
      </c>
      <c r="CT4088">
        <v>2</v>
      </c>
      <c r="CU4088">
        <v>0</v>
      </c>
      <c r="CV4088">
        <v>2</v>
      </c>
      <c r="CW4088" t="s">
        <v>120</v>
      </c>
      <c r="CX4088">
        <v>257</v>
      </c>
      <c r="CY4088">
        <v>0</v>
      </c>
      <c r="CZ4088" t="s">
        <v>615</v>
      </c>
      <c r="DA4088" t="s">
        <v>616</v>
      </c>
      <c r="DD4088">
        <v>16670538</v>
      </c>
      <c r="DE4088" t="s">
        <v>123</v>
      </c>
    </row>
    <row r="4089" spans="1:109" x14ac:dyDescent="0.3">
      <c r="A4089" t="str">
        <f>"19:43:20.117"</f>
        <v>19:43:20.117</v>
      </c>
      <c r="B4089" t="s">
        <v>110</v>
      </c>
      <c r="C4089" t="str">
        <f t="shared" si="192"/>
        <v>ffdfd3c0</v>
      </c>
      <c r="D4089" t="s">
        <v>111</v>
      </c>
      <c r="E4089">
        <v>18</v>
      </c>
      <c r="F4089">
        <v>1018</v>
      </c>
      <c r="G4089" t="s">
        <v>112</v>
      </c>
      <c r="J4089" t="s">
        <v>113</v>
      </c>
      <c r="K4089">
        <v>0</v>
      </c>
      <c r="L4089">
        <v>3</v>
      </c>
      <c r="M4089">
        <v>0</v>
      </c>
      <c r="N4089">
        <v>2</v>
      </c>
      <c r="O4089">
        <v>1</v>
      </c>
      <c r="P4089">
        <v>0</v>
      </c>
      <c r="Q4089">
        <v>0</v>
      </c>
      <c r="R4089" t="s">
        <v>114</v>
      </c>
      <c r="S4089" t="str">
        <f>"19:43:19.883"</f>
        <v>19:43:19.883</v>
      </c>
      <c r="T4089" t="str">
        <f>"19:43:17.586"</f>
        <v>19:43:17.586</v>
      </c>
      <c r="U4089" t="str">
        <f t="shared" si="190"/>
        <v>a1cdbe</v>
      </c>
      <c r="V4089">
        <v>0</v>
      </c>
      <c r="W4089">
        <v>0</v>
      </c>
      <c r="X4089">
        <v>2</v>
      </c>
      <c r="Y4089">
        <v>0</v>
      </c>
      <c r="Z4089">
        <v>0</v>
      </c>
      <c r="AB4089">
        <v>0</v>
      </c>
      <c r="AC4089">
        <v>9</v>
      </c>
      <c r="AD4089">
        <v>3</v>
      </c>
      <c r="AE4089">
        <v>0</v>
      </c>
      <c r="AF4089">
        <v>9</v>
      </c>
      <c r="AG4089" t="s">
        <v>115</v>
      </c>
      <c r="AH4089">
        <v>0</v>
      </c>
      <c r="AI4089">
        <v>0</v>
      </c>
      <c r="AJ4089">
        <v>1</v>
      </c>
      <c r="AK4089">
        <v>0</v>
      </c>
      <c r="AL4089" t="s">
        <v>7537</v>
      </c>
      <c r="AM4089">
        <v>47.061416999999999</v>
      </c>
      <c r="AN4089" t="s">
        <v>7636</v>
      </c>
      <c r="AO4089">
        <v>-123.99429600000001</v>
      </c>
      <c r="AP4089">
        <v>100</v>
      </c>
      <c r="AQ4089">
        <v>-300</v>
      </c>
      <c r="AR4089" t="s">
        <v>118</v>
      </c>
      <c r="AS4089">
        <v>5</v>
      </c>
      <c r="AT4089">
        <v>-51</v>
      </c>
      <c r="AU4089">
        <v>-832</v>
      </c>
      <c r="BC4089">
        <v>1200</v>
      </c>
      <c r="BD4089">
        <v>1</v>
      </c>
      <c r="BE4089" t="str">
        <f t="shared" si="191"/>
        <v xml:space="preserve">N215T   </v>
      </c>
      <c r="BF4089">
        <v>1</v>
      </c>
      <c r="BH4089">
        <v>0</v>
      </c>
      <c r="BI4089">
        <v>0</v>
      </c>
      <c r="BJ4089">
        <v>0</v>
      </c>
      <c r="BK4089">
        <v>150</v>
      </c>
      <c r="BL4089">
        <v>450</v>
      </c>
      <c r="BM4089" t="s">
        <v>119</v>
      </c>
      <c r="BN4089">
        <v>1</v>
      </c>
      <c r="BO4089">
        <v>1</v>
      </c>
      <c r="BP4089">
        <v>1</v>
      </c>
      <c r="BQ4089">
        <v>0</v>
      </c>
      <c r="BT4089">
        <v>0</v>
      </c>
      <c r="BU4089">
        <v>0</v>
      </c>
      <c r="BV4089">
        <v>0</v>
      </c>
      <c r="CC4089" t="str">
        <f>"19:43:19.891"</f>
        <v>19:43:19.891</v>
      </c>
      <c r="CD4089" t="str">
        <f>"888184534"</f>
        <v>888184534</v>
      </c>
      <c r="CQ4089">
        <v>0</v>
      </c>
      <c r="CR4089">
        <v>2</v>
      </c>
      <c r="CS4089">
        <v>0</v>
      </c>
      <c r="CT4089">
        <v>2</v>
      </c>
      <c r="CU4089">
        <v>0</v>
      </c>
      <c r="CV4089">
        <v>2</v>
      </c>
      <c r="CW4089" t="s">
        <v>120</v>
      </c>
      <c r="CX4089">
        <v>257</v>
      </c>
      <c r="CY4089">
        <v>0</v>
      </c>
      <c r="CZ4089" t="s">
        <v>615</v>
      </c>
      <c r="DA4089" t="s">
        <v>616</v>
      </c>
      <c r="DD4089">
        <v>16670852</v>
      </c>
      <c r="DE4089" t="s">
        <v>123</v>
      </c>
    </row>
    <row r="4090" spans="1:109" x14ac:dyDescent="0.3">
      <c r="A4090" t="str">
        <f>"19:43:21.070"</f>
        <v>19:43:21.070</v>
      </c>
      <c r="B4090" t="s">
        <v>110</v>
      </c>
      <c r="C4090" t="str">
        <f t="shared" si="192"/>
        <v>ffdfd3c0</v>
      </c>
      <c r="D4090" t="s">
        <v>111</v>
      </c>
      <c r="E4090">
        <v>18</v>
      </c>
      <c r="F4090">
        <v>1018</v>
      </c>
      <c r="G4090" t="s">
        <v>112</v>
      </c>
      <c r="J4090" t="s">
        <v>113</v>
      </c>
      <c r="K4090">
        <v>0</v>
      </c>
      <c r="L4090">
        <v>3</v>
      </c>
      <c r="M4090">
        <v>0</v>
      </c>
      <c r="N4090">
        <v>2</v>
      </c>
      <c r="O4090">
        <v>1</v>
      </c>
      <c r="P4090">
        <v>0</v>
      </c>
      <c r="Q4090">
        <v>0</v>
      </c>
      <c r="R4090" t="s">
        <v>114</v>
      </c>
      <c r="S4090" t="str">
        <f>"19:43:20.813"</f>
        <v>19:43:20.813</v>
      </c>
      <c r="T4090" t="str">
        <f>"19:43:20.516"</f>
        <v>19:43:20.516</v>
      </c>
      <c r="U4090" t="str">
        <f t="shared" si="190"/>
        <v>a1cdbe</v>
      </c>
      <c r="V4090">
        <v>0</v>
      </c>
      <c r="W4090">
        <v>0</v>
      </c>
      <c r="X4090">
        <v>2</v>
      </c>
      <c r="Y4090">
        <v>0</v>
      </c>
      <c r="Z4090">
        <v>0</v>
      </c>
      <c r="AB4090">
        <v>0</v>
      </c>
      <c r="AC4090">
        <v>9</v>
      </c>
      <c r="AD4090">
        <v>3</v>
      </c>
      <c r="AE4090">
        <v>0</v>
      </c>
      <c r="AF4090">
        <v>9</v>
      </c>
      <c r="AG4090" t="s">
        <v>115</v>
      </c>
      <c r="AH4090">
        <v>0</v>
      </c>
      <c r="AI4090">
        <v>0</v>
      </c>
      <c r="AJ4090">
        <v>1</v>
      </c>
      <c r="AK4090">
        <v>0</v>
      </c>
      <c r="AL4090" t="s">
        <v>7397</v>
      </c>
      <c r="AM4090">
        <v>47.061180999999998</v>
      </c>
      <c r="AN4090" t="s">
        <v>7642</v>
      </c>
      <c r="AO4090">
        <v>-123.994231</v>
      </c>
      <c r="AP4090">
        <v>100</v>
      </c>
      <c r="AQ4090">
        <v>-300</v>
      </c>
      <c r="AR4090" t="s">
        <v>118</v>
      </c>
      <c r="AS4090">
        <v>10</v>
      </c>
      <c r="AT4090">
        <v>-51</v>
      </c>
      <c r="AU4090">
        <v>-64</v>
      </c>
      <c r="BC4090">
        <v>1200</v>
      </c>
      <c r="BD4090">
        <v>1</v>
      </c>
      <c r="BE4090" t="str">
        <f t="shared" si="191"/>
        <v xml:space="preserve">N215T   </v>
      </c>
      <c r="BF4090">
        <v>1</v>
      </c>
      <c r="BH4090">
        <v>0</v>
      </c>
      <c r="BI4090">
        <v>0</v>
      </c>
      <c r="BJ4090">
        <v>0</v>
      </c>
      <c r="BK4090">
        <v>125</v>
      </c>
      <c r="BL4090">
        <v>425</v>
      </c>
      <c r="BM4090" t="s">
        <v>119</v>
      </c>
      <c r="BN4090">
        <v>1</v>
      </c>
      <c r="BO4090">
        <v>1</v>
      </c>
      <c r="BP4090">
        <v>1</v>
      </c>
      <c r="BQ4090">
        <v>0</v>
      </c>
      <c r="BT4090">
        <v>0</v>
      </c>
      <c r="BU4090">
        <v>0</v>
      </c>
      <c r="BV4090">
        <v>0</v>
      </c>
      <c r="CC4090" t="str">
        <f>"19:43:20.820"</f>
        <v>19:43:20.820</v>
      </c>
      <c r="CD4090" t="str">
        <f>"818092797"</f>
        <v>818092797</v>
      </c>
      <c r="CQ4090">
        <v>0</v>
      </c>
      <c r="CR4090">
        <v>2</v>
      </c>
      <c r="CS4090">
        <v>0</v>
      </c>
      <c r="CT4090">
        <v>2</v>
      </c>
      <c r="CU4090">
        <v>0</v>
      </c>
      <c r="CV4090">
        <v>2</v>
      </c>
      <c r="CW4090" t="s">
        <v>120</v>
      </c>
      <c r="CX4090">
        <v>257</v>
      </c>
      <c r="CY4090">
        <v>0</v>
      </c>
      <c r="CZ4090" t="s">
        <v>615</v>
      </c>
      <c r="DA4090" t="s">
        <v>616</v>
      </c>
      <c r="DD4090">
        <v>16671146</v>
      </c>
      <c r="DE4090" t="s">
        <v>123</v>
      </c>
    </row>
    <row r="4091" spans="1:109" x14ac:dyDescent="0.3">
      <c r="A4091" t="str">
        <f>"19:43:22.180"</f>
        <v>19:43:22.180</v>
      </c>
      <c r="B4091" t="s">
        <v>110</v>
      </c>
      <c r="C4091" t="str">
        <f t="shared" si="192"/>
        <v>ffdfd3c0</v>
      </c>
      <c r="D4091" t="s">
        <v>111</v>
      </c>
      <c r="E4091">
        <v>18</v>
      </c>
      <c r="F4091">
        <v>1018</v>
      </c>
      <c r="G4091" t="s">
        <v>112</v>
      </c>
      <c r="J4091" t="s">
        <v>113</v>
      </c>
      <c r="K4091">
        <v>0</v>
      </c>
      <c r="L4091">
        <v>3</v>
      </c>
      <c r="M4091">
        <v>0</v>
      </c>
      <c r="N4091">
        <v>2</v>
      </c>
      <c r="O4091">
        <v>1</v>
      </c>
      <c r="P4091">
        <v>0</v>
      </c>
      <c r="Q4091">
        <v>0</v>
      </c>
      <c r="R4091" t="s">
        <v>114</v>
      </c>
      <c r="S4091" t="str">
        <f>"19:43:21.891"</f>
        <v>19:43:21.891</v>
      </c>
      <c r="T4091" t="str">
        <f>"19:43:21.891"</f>
        <v>19:43:21.891</v>
      </c>
      <c r="U4091" t="str">
        <f t="shared" si="190"/>
        <v>a1cdbe</v>
      </c>
      <c r="V4091">
        <v>0</v>
      </c>
      <c r="W4091">
        <v>0</v>
      </c>
      <c r="X4091">
        <v>2</v>
      </c>
      <c r="Y4091">
        <v>0</v>
      </c>
      <c r="Z4091">
        <v>0</v>
      </c>
      <c r="AB4091">
        <v>0</v>
      </c>
      <c r="AC4091">
        <v>9</v>
      </c>
      <c r="AD4091">
        <v>3</v>
      </c>
      <c r="AE4091">
        <v>0</v>
      </c>
      <c r="AF4091">
        <v>9</v>
      </c>
      <c r="AG4091" t="s">
        <v>115</v>
      </c>
      <c r="AH4091">
        <v>0</v>
      </c>
      <c r="AI4091">
        <v>0</v>
      </c>
      <c r="AJ4091">
        <v>1</v>
      </c>
      <c r="AK4091">
        <v>0</v>
      </c>
      <c r="AL4091" t="s">
        <v>504</v>
      </c>
      <c r="AM4091">
        <v>47.060966000000001</v>
      </c>
      <c r="AN4091" t="s">
        <v>7635</v>
      </c>
      <c r="AO4091">
        <v>-123.994167</v>
      </c>
      <c r="AP4091">
        <v>100</v>
      </c>
      <c r="AQ4091">
        <v>-300</v>
      </c>
      <c r="AR4091" t="s">
        <v>118</v>
      </c>
      <c r="AS4091">
        <v>14</v>
      </c>
      <c r="AT4091">
        <v>-51</v>
      </c>
      <c r="AU4091">
        <v>448</v>
      </c>
      <c r="BC4091">
        <v>1200</v>
      </c>
      <c r="BD4091">
        <v>1</v>
      </c>
      <c r="BE4091" t="str">
        <f t="shared" si="191"/>
        <v xml:space="preserve">N215T   </v>
      </c>
      <c r="BF4091">
        <v>1</v>
      </c>
      <c r="BH4091">
        <v>0</v>
      </c>
      <c r="BI4091">
        <v>0</v>
      </c>
      <c r="BJ4091">
        <v>0</v>
      </c>
      <c r="BK4091">
        <v>125</v>
      </c>
      <c r="BL4091">
        <v>425</v>
      </c>
      <c r="BM4091" t="s">
        <v>119</v>
      </c>
      <c r="BN4091">
        <v>1</v>
      </c>
      <c r="BO4091">
        <v>1</v>
      </c>
      <c r="BP4091">
        <v>1</v>
      </c>
      <c r="BQ4091">
        <v>0</v>
      </c>
      <c r="BT4091">
        <v>0</v>
      </c>
      <c r="BU4091">
        <v>0</v>
      </c>
      <c r="BV4091">
        <v>0</v>
      </c>
      <c r="CC4091" t="str">
        <f>"19:43:21.898"</f>
        <v>19:43:21.898</v>
      </c>
      <c r="CD4091" t="str">
        <f>"897986289"</f>
        <v>897986289</v>
      </c>
      <c r="CQ4091">
        <v>0</v>
      </c>
      <c r="CR4091">
        <v>2</v>
      </c>
      <c r="CS4091">
        <v>0</v>
      </c>
      <c r="CT4091">
        <v>2</v>
      </c>
      <c r="CU4091">
        <v>0</v>
      </c>
      <c r="CV4091">
        <v>2</v>
      </c>
      <c r="CW4091" t="s">
        <v>120</v>
      </c>
      <c r="CX4091">
        <v>257</v>
      </c>
      <c r="CY4091">
        <v>0</v>
      </c>
      <c r="CZ4091" t="s">
        <v>615</v>
      </c>
      <c r="DA4091" t="s">
        <v>616</v>
      </c>
      <c r="DD4091">
        <v>16671503</v>
      </c>
      <c r="DE4091" t="s">
        <v>123</v>
      </c>
    </row>
    <row r="4092" spans="1:109" x14ac:dyDescent="0.3">
      <c r="A4092" t="str">
        <f>"19:43:22.930"</f>
        <v>19:43:22.930</v>
      </c>
      <c r="B4092" t="s">
        <v>110</v>
      </c>
      <c r="C4092" t="str">
        <f t="shared" si="192"/>
        <v>ffdfd3c0</v>
      </c>
      <c r="D4092" t="s">
        <v>111</v>
      </c>
      <c r="E4092">
        <v>18</v>
      </c>
      <c r="F4092">
        <v>1018</v>
      </c>
      <c r="G4092" t="s">
        <v>112</v>
      </c>
      <c r="J4092" t="s">
        <v>113</v>
      </c>
      <c r="K4092">
        <v>0</v>
      </c>
      <c r="L4092">
        <v>3</v>
      </c>
      <c r="M4092">
        <v>0</v>
      </c>
      <c r="N4092">
        <v>2</v>
      </c>
      <c r="O4092">
        <v>1</v>
      </c>
      <c r="P4092">
        <v>0</v>
      </c>
      <c r="Q4092">
        <v>0</v>
      </c>
      <c r="R4092" t="s">
        <v>114</v>
      </c>
      <c r="S4092" t="str">
        <f>"19:43:22.719"</f>
        <v>19:43:22.719</v>
      </c>
      <c r="T4092" t="str">
        <f>"19:43:22.422"</f>
        <v>19:43:22.422</v>
      </c>
      <c r="U4092" t="str">
        <f t="shared" si="190"/>
        <v>a1cdbe</v>
      </c>
      <c r="V4092">
        <v>0</v>
      </c>
      <c r="W4092">
        <v>0</v>
      </c>
      <c r="X4092">
        <v>2</v>
      </c>
      <c r="Y4092">
        <v>0</v>
      </c>
      <c r="Z4092">
        <v>0</v>
      </c>
      <c r="AB4092">
        <v>0</v>
      </c>
      <c r="AC4092">
        <v>9</v>
      </c>
      <c r="AD4092">
        <v>3</v>
      </c>
      <c r="AE4092">
        <v>0</v>
      </c>
      <c r="AF4092">
        <v>9</v>
      </c>
      <c r="AG4092" t="s">
        <v>115</v>
      </c>
      <c r="AH4092">
        <v>0</v>
      </c>
      <c r="AI4092">
        <v>0</v>
      </c>
      <c r="AJ4092">
        <v>1</v>
      </c>
      <c r="AK4092">
        <v>0</v>
      </c>
      <c r="AL4092" t="s">
        <v>7390</v>
      </c>
      <c r="AM4092">
        <v>47.06073</v>
      </c>
      <c r="AN4092" t="s">
        <v>7643</v>
      </c>
      <c r="AO4092">
        <v>-123.994102</v>
      </c>
      <c r="AP4092">
        <v>100</v>
      </c>
      <c r="AQ4092">
        <v>-300</v>
      </c>
      <c r="AR4092" t="s">
        <v>118</v>
      </c>
      <c r="AS4092">
        <v>14</v>
      </c>
      <c r="AT4092">
        <v>-51</v>
      </c>
      <c r="AU4092">
        <v>768</v>
      </c>
      <c r="BC4092">
        <v>1200</v>
      </c>
      <c r="BD4092">
        <v>1</v>
      </c>
      <c r="BE4092" t="str">
        <f t="shared" si="191"/>
        <v xml:space="preserve">N215T   </v>
      </c>
      <c r="BF4092">
        <v>1</v>
      </c>
      <c r="BH4092">
        <v>0</v>
      </c>
      <c r="BI4092">
        <v>0</v>
      </c>
      <c r="BJ4092">
        <v>0</v>
      </c>
      <c r="BK4092">
        <v>125</v>
      </c>
      <c r="BL4092">
        <v>425</v>
      </c>
      <c r="BM4092" t="s">
        <v>119</v>
      </c>
      <c r="BN4092">
        <v>1</v>
      </c>
      <c r="BO4092">
        <v>1</v>
      </c>
      <c r="BP4092">
        <v>1</v>
      </c>
      <c r="BQ4092">
        <v>0</v>
      </c>
      <c r="BT4092">
        <v>0</v>
      </c>
      <c r="BU4092">
        <v>0</v>
      </c>
      <c r="BV4092">
        <v>0</v>
      </c>
      <c r="CC4092" t="str">
        <f>"19:43:22.727"</f>
        <v>19:43:22.727</v>
      </c>
      <c r="CD4092" t="str">
        <f>"722904913"</f>
        <v>722904913</v>
      </c>
      <c r="CQ4092">
        <v>0</v>
      </c>
      <c r="CR4092">
        <v>2</v>
      </c>
      <c r="CS4092">
        <v>0</v>
      </c>
      <c r="CT4092">
        <v>2</v>
      </c>
      <c r="CU4092">
        <v>0</v>
      </c>
      <c r="CV4092">
        <v>3</v>
      </c>
      <c r="CW4092" t="s">
        <v>120</v>
      </c>
      <c r="CX4092">
        <v>257</v>
      </c>
      <c r="CY4092">
        <v>0</v>
      </c>
      <c r="CZ4092" t="s">
        <v>615</v>
      </c>
      <c r="DA4092" t="s">
        <v>616</v>
      </c>
      <c r="DD4092">
        <v>16671756</v>
      </c>
      <c r="DE4092" t="s">
        <v>123</v>
      </c>
    </row>
    <row r="4093" spans="1:109" x14ac:dyDescent="0.3">
      <c r="A4093" t="str">
        <f>"19:43:24.086"</f>
        <v>19:43:24.086</v>
      </c>
      <c r="B4093" t="s">
        <v>110</v>
      </c>
      <c r="C4093" t="str">
        <f t="shared" si="192"/>
        <v>ffdfd3c0</v>
      </c>
      <c r="D4093" t="s">
        <v>111</v>
      </c>
      <c r="E4093">
        <v>18</v>
      </c>
      <c r="F4093">
        <v>1018</v>
      </c>
      <c r="G4093" t="s">
        <v>112</v>
      </c>
      <c r="J4093" t="s">
        <v>113</v>
      </c>
      <c r="K4093">
        <v>0</v>
      </c>
      <c r="L4093">
        <v>3</v>
      </c>
      <c r="M4093">
        <v>0</v>
      </c>
      <c r="N4093">
        <v>2</v>
      </c>
      <c r="O4093">
        <v>1</v>
      </c>
      <c r="P4093">
        <v>0</v>
      </c>
      <c r="Q4093">
        <v>0</v>
      </c>
      <c r="R4093" t="s">
        <v>114</v>
      </c>
      <c r="S4093" t="str">
        <f>"19:43:23.844"</f>
        <v>19:43:23.844</v>
      </c>
      <c r="T4093" t="str">
        <f>"19:43:23.547"</f>
        <v>19:43:23.547</v>
      </c>
      <c r="U4093" t="str">
        <f t="shared" si="190"/>
        <v>a1cdbe</v>
      </c>
      <c r="V4093">
        <v>0</v>
      </c>
      <c r="W4093">
        <v>0</v>
      </c>
      <c r="X4093">
        <v>2</v>
      </c>
      <c r="Y4093">
        <v>0</v>
      </c>
      <c r="Z4093">
        <v>0</v>
      </c>
      <c r="AB4093">
        <v>0</v>
      </c>
      <c r="AC4093">
        <v>9</v>
      </c>
      <c r="AD4093">
        <v>3</v>
      </c>
      <c r="AE4093">
        <v>0</v>
      </c>
      <c r="AF4093">
        <v>9</v>
      </c>
      <c r="AG4093" t="s">
        <v>115</v>
      </c>
      <c r="AH4093">
        <v>0</v>
      </c>
      <c r="AI4093">
        <v>0</v>
      </c>
      <c r="AJ4093">
        <v>1</v>
      </c>
      <c r="AK4093">
        <v>0</v>
      </c>
      <c r="AL4093" t="s">
        <v>7644</v>
      </c>
      <c r="AM4093">
        <v>47.060493999999998</v>
      </c>
      <c r="AN4093" t="s">
        <v>7633</v>
      </c>
      <c r="AO4093">
        <v>-123.99395199999999</v>
      </c>
      <c r="AP4093">
        <v>100</v>
      </c>
      <c r="AQ4093">
        <v>-200</v>
      </c>
      <c r="AR4093" t="s">
        <v>118</v>
      </c>
      <c r="AS4093">
        <v>14</v>
      </c>
      <c r="AT4093">
        <v>-51</v>
      </c>
      <c r="AU4093">
        <v>832</v>
      </c>
      <c r="BC4093">
        <v>1200</v>
      </c>
      <c r="BD4093">
        <v>1</v>
      </c>
      <c r="BE4093" t="str">
        <f t="shared" si="191"/>
        <v xml:space="preserve">N215T   </v>
      </c>
      <c r="BF4093">
        <v>1</v>
      </c>
      <c r="BH4093">
        <v>0</v>
      </c>
      <c r="BI4093">
        <v>0</v>
      </c>
      <c r="BJ4093">
        <v>0</v>
      </c>
      <c r="BK4093">
        <v>150</v>
      </c>
      <c r="BL4093">
        <v>350</v>
      </c>
      <c r="BM4093" t="s">
        <v>119</v>
      </c>
      <c r="BN4093">
        <v>1</v>
      </c>
      <c r="BO4093">
        <v>1</v>
      </c>
      <c r="BP4093">
        <v>1</v>
      </c>
      <c r="BQ4093">
        <v>0</v>
      </c>
      <c r="BT4093">
        <v>0</v>
      </c>
      <c r="BU4093">
        <v>0</v>
      </c>
      <c r="BV4093">
        <v>0</v>
      </c>
      <c r="CC4093" t="str">
        <f>"19:43:23.852"</f>
        <v>19:43:23.852</v>
      </c>
      <c r="CD4093" t="str">
        <f>"847793933"</f>
        <v>847793933</v>
      </c>
      <c r="CQ4093">
        <v>0</v>
      </c>
      <c r="CR4093">
        <v>2</v>
      </c>
      <c r="CS4093">
        <v>0</v>
      </c>
      <c r="CT4093">
        <v>2</v>
      </c>
      <c r="CU4093">
        <v>0</v>
      </c>
      <c r="CV4093">
        <v>3</v>
      </c>
      <c r="CW4093" t="s">
        <v>120</v>
      </c>
      <c r="CX4093">
        <v>257</v>
      </c>
      <c r="CY4093">
        <v>0</v>
      </c>
      <c r="CZ4093" t="s">
        <v>615</v>
      </c>
      <c r="DA4093" t="s">
        <v>616</v>
      </c>
      <c r="DD4093">
        <v>16672124</v>
      </c>
      <c r="DE4093" t="s">
        <v>123</v>
      </c>
    </row>
    <row r="4094" spans="1:109" x14ac:dyDescent="0.3">
      <c r="A4094" t="str">
        <f>"19:43:25.094"</f>
        <v>19:43:25.094</v>
      </c>
      <c r="B4094" t="s">
        <v>110</v>
      </c>
      <c r="C4094" t="str">
        <f t="shared" si="192"/>
        <v>ffdfd3c0</v>
      </c>
      <c r="D4094" t="s">
        <v>111</v>
      </c>
      <c r="E4094">
        <v>18</v>
      </c>
      <c r="F4094">
        <v>1018</v>
      </c>
      <c r="G4094" t="s">
        <v>112</v>
      </c>
      <c r="J4094" t="s">
        <v>113</v>
      </c>
      <c r="K4094">
        <v>0</v>
      </c>
      <c r="L4094">
        <v>3</v>
      </c>
      <c r="M4094">
        <v>0</v>
      </c>
      <c r="N4094">
        <v>2</v>
      </c>
      <c r="O4094">
        <v>1</v>
      </c>
      <c r="P4094">
        <v>0</v>
      </c>
      <c r="Q4094">
        <v>0</v>
      </c>
      <c r="R4094" t="s">
        <v>114</v>
      </c>
      <c r="S4094" t="str">
        <f>"19:43:24.891"</f>
        <v>19:43:24.891</v>
      </c>
      <c r="T4094" t="str">
        <f>"19:43:24.688"</f>
        <v>19:43:24.688</v>
      </c>
      <c r="U4094" t="str">
        <f t="shared" si="190"/>
        <v>a1cdbe</v>
      </c>
      <c r="V4094">
        <v>0</v>
      </c>
      <c r="W4094">
        <v>0</v>
      </c>
      <c r="X4094">
        <v>2</v>
      </c>
      <c r="Y4094">
        <v>0</v>
      </c>
      <c r="Z4094">
        <v>0</v>
      </c>
      <c r="AB4094">
        <v>0</v>
      </c>
      <c r="AC4094">
        <v>9</v>
      </c>
      <c r="AD4094">
        <v>3</v>
      </c>
      <c r="AE4094">
        <v>0</v>
      </c>
      <c r="AF4094">
        <v>9</v>
      </c>
      <c r="AG4094" t="s">
        <v>115</v>
      </c>
      <c r="AH4094">
        <v>0</v>
      </c>
      <c r="AI4094">
        <v>0</v>
      </c>
      <c r="AJ4094">
        <v>1</v>
      </c>
      <c r="AK4094">
        <v>0</v>
      </c>
      <c r="AL4094" t="s">
        <v>7645</v>
      </c>
      <c r="AM4094">
        <v>47.060214999999999</v>
      </c>
      <c r="AN4094" t="s">
        <v>7552</v>
      </c>
      <c r="AO4094">
        <v>-123.993888</v>
      </c>
      <c r="AP4094">
        <v>100</v>
      </c>
      <c r="AQ4094">
        <v>-200</v>
      </c>
      <c r="AR4094" t="s">
        <v>118</v>
      </c>
      <c r="AS4094">
        <v>12</v>
      </c>
      <c r="AT4094">
        <v>-50</v>
      </c>
      <c r="AU4094">
        <v>896</v>
      </c>
      <c r="BC4094">
        <v>1200</v>
      </c>
      <c r="BD4094">
        <v>1</v>
      </c>
      <c r="BE4094" t="str">
        <f t="shared" si="191"/>
        <v xml:space="preserve">N215T   </v>
      </c>
      <c r="BF4094">
        <v>1</v>
      </c>
      <c r="BH4094">
        <v>0</v>
      </c>
      <c r="BI4094">
        <v>0</v>
      </c>
      <c r="BJ4094">
        <v>0</v>
      </c>
      <c r="BK4094">
        <v>150</v>
      </c>
      <c r="BL4094">
        <v>350</v>
      </c>
      <c r="BM4094" t="s">
        <v>119</v>
      </c>
      <c r="BN4094">
        <v>1</v>
      </c>
      <c r="BO4094">
        <v>1</v>
      </c>
      <c r="BP4094">
        <v>1</v>
      </c>
      <c r="BQ4094">
        <v>0</v>
      </c>
      <c r="BT4094">
        <v>0</v>
      </c>
      <c r="BU4094">
        <v>0</v>
      </c>
      <c r="BV4094">
        <v>0</v>
      </c>
      <c r="CC4094" t="str">
        <f>"19:43:24.898"</f>
        <v>19:43:24.898</v>
      </c>
      <c r="CD4094" t="str">
        <f>"897690385"</f>
        <v>897690385</v>
      </c>
      <c r="CQ4094">
        <v>0</v>
      </c>
      <c r="CR4094">
        <v>2</v>
      </c>
      <c r="CS4094">
        <v>0</v>
      </c>
      <c r="CT4094">
        <v>2</v>
      </c>
      <c r="CU4094">
        <v>0</v>
      </c>
      <c r="CV4094">
        <v>5</v>
      </c>
      <c r="CW4094" t="s">
        <v>120</v>
      </c>
      <c r="CX4094">
        <v>257</v>
      </c>
      <c r="CY4094">
        <v>0</v>
      </c>
      <c r="CZ4094" t="s">
        <v>615</v>
      </c>
      <c r="DA4094" t="s">
        <v>616</v>
      </c>
      <c r="DD4094">
        <v>16672458</v>
      </c>
      <c r="DE4094" t="s">
        <v>123</v>
      </c>
    </row>
    <row r="4095" spans="1:109" x14ac:dyDescent="0.3">
      <c r="A4095" t="str">
        <f>"19:43:26.203"</f>
        <v>19:43:26.203</v>
      </c>
      <c r="B4095" t="s">
        <v>110</v>
      </c>
      <c r="C4095" t="str">
        <f t="shared" si="192"/>
        <v>ffdfd3c0</v>
      </c>
      <c r="D4095" t="s">
        <v>111</v>
      </c>
      <c r="E4095">
        <v>18</v>
      </c>
      <c r="F4095">
        <v>1018</v>
      </c>
      <c r="G4095" t="s">
        <v>112</v>
      </c>
      <c r="J4095" t="s">
        <v>113</v>
      </c>
      <c r="K4095">
        <v>0</v>
      </c>
      <c r="L4095">
        <v>3</v>
      </c>
      <c r="M4095">
        <v>0</v>
      </c>
      <c r="N4095">
        <v>2</v>
      </c>
      <c r="O4095">
        <v>1</v>
      </c>
      <c r="P4095">
        <v>0</v>
      </c>
      <c r="Q4095">
        <v>0</v>
      </c>
      <c r="R4095" t="s">
        <v>114</v>
      </c>
      <c r="S4095" t="str">
        <f>"19:43:25.945"</f>
        <v>19:43:25.945</v>
      </c>
      <c r="T4095" t="str">
        <f>"19:43:25.547"</f>
        <v>19:43:25.547</v>
      </c>
      <c r="U4095" t="str">
        <f t="shared" si="190"/>
        <v>a1cdbe</v>
      </c>
      <c r="V4095">
        <v>0</v>
      </c>
      <c r="W4095">
        <v>0</v>
      </c>
      <c r="X4095">
        <v>2</v>
      </c>
      <c r="Y4095">
        <v>0</v>
      </c>
      <c r="Z4095">
        <v>0</v>
      </c>
      <c r="AB4095">
        <v>0</v>
      </c>
      <c r="AC4095">
        <v>9</v>
      </c>
      <c r="AD4095">
        <v>3</v>
      </c>
      <c r="AE4095">
        <v>0</v>
      </c>
      <c r="AF4095">
        <v>9</v>
      </c>
      <c r="AG4095" t="s">
        <v>115</v>
      </c>
      <c r="AH4095">
        <v>0</v>
      </c>
      <c r="AI4095">
        <v>0</v>
      </c>
      <c r="AJ4095">
        <v>1</v>
      </c>
      <c r="AK4095">
        <v>0</v>
      </c>
      <c r="AL4095" t="s">
        <v>510</v>
      </c>
      <c r="AM4095">
        <v>47.059978999999998</v>
      </c>
      <c r="AN4095" t="s">
        <v>7646</v>
      </c>
      <c r="AO4095">
        <v>-123.993824</v>
      </c>
      <c r="AP4095">
        <v>100</v>
      </c>
      <c r="AQ4095">
        <v>-200</v>
      </c>
      <c r="AR4095" t="s">
        <v>118</v>
      </c>
      <c r="AS4095">
        <v>9</v>
      </c>
      <c r="AT4095">
        <v>-49</v>
      </c>
      <c r="AU4095">
        <v>896</v>
      </c>
      <c r="BC4095">
        <v>1200</v>
      </c>
      <c r="BD4095">
        <v>1</v>
      </c>
      <c r="BE4095" t="str">
        <f t="shared" si="191"/>
        <v xml:space="preserve">N215T   </v>
      </c>
      <c r="BF4095">
        <v>1</v>
      </c>
      <c r="BH4095">
        <v>0</v>
      </c>
      <c r="BI4095">
        <v>0</v>
      </c>
      <c r="BJ4095">
        <v>0</v>
      </c>
      <c r="BK4095">
        <v>175</v>
      </c>
      <c r="BL4095">
        <v>375</v>
      </c>
      <c r="BM4095" t="s">
        <v>119</v>
      </c>
      <c r="BN4095">
        <v>1</v>
      </c>
      <c r="BO4095">
        <v>1</v>
      </c>
      <c r="BP4095">
        <v>1</v>
      </c>
      <c r="BQ4095">
        <v>0</v>
      </c>
      <c r="BT4095">
        <v>0</v>
      </c>
      <c r="BU4095">
        <v>0</v>
      </c>
      <c r="BV4095">
        <v>0</v>
      </c>
      <c r="CC4095" t="str">
        <f>"19:43:25.945"</f>
        <v>19:43:25.945</v>
      </c>
      <c r="CD4095" t="str">
        <f>"947586815"</f>
        <v>947586815</v>
      </c>
      <c r="CQ4095">
        <v>0</v>
      </c>
      <c r="CR4095">
        <v>2</v>
      </c>
      <c r="CS4095">
        <v>0</v>
      </c>
      <c r="CT4095">
        <v>2</v>
      </c>
      <c r="CU4095">
        <v>0</v>
      </c>
      <c r="CV4095">
        <v>4</v>
      </c>
      <c r="CW4095" t="s">
        <v>120</v>
      </c>
      <c r="CX4095">
        <v>257</v>
      </c>
      <c r="CY4095">
        <v>0</v>
      </c>
      <c r="CZ4095" t="s">
        <v>615</v>
      </c>
      <c r="DA4095" t="s">
        <v>616</v>
      </c>
      <c r="DD4095">
        <v>16672766</v>
      </c>
      <c r="DE4095" t="s">
        <v>123</v>
      </c>
    </row>
    <row r="4096" spans="1:109" x14ac:dyDescent="0.3">
      <c r="A4096" t="str">
        <f>"19:43:27.102"</f>
        <v>19:43:27.102</v>
      </c>
      <c r="B4096" t="s">
        <v>110</v>
      </c>
      <c r="C4096" t="str">
        <f t="shared" si="192"/>
        <v>ffdfd3c0</v>
      </c>
      <c r="D4096" t="s">
        <v>111</v>
      </c>
      <c r="E4096">
        <v>18</v>
      </c>
      <c r="F4096">
        <v>1018</v>
      </c>
      <c r="G4096" t="s">
        <v>112</v>
      </c>
      <c r="J4096" t="s">
        <v>113</v>
      </c>
      <c r="K4096">
        <v>0</v>
      </c>
      <c r="L4096">
        <v>3</v>
      </c>
      <c r="M4096">
        <v>0</v>
      </c>
      <c r="N4096">
        <v>2</v>
      </c>
      <c r="O4096">
        <v>1</v>
      </c>
      <c r="P4096">
        <v>0</v>
      </c>
      <c r="Q4096">
        <v>0</v>
      </c>
      <c r="R4096" t="s">
        <v>114</v>
      </c>
      <c r="S4096" t="str">
        <f>"19:43:26.859"</f>
        <v>19:43:26.859</v>
      </c>
      <c r="T4096" t="str">
        <f>"19:43:26.461"</f>
        <v>19:43:26.461</v>
      </c>
      <c r="U4096" t="str">
        <f t="shared" si="190"/>
        <v>a1cdbe</v>
      </c>
      <c r="V4096">
        <v>0</v>
      </c>
      <c r="W4096">
        <v>0</v>
      </c>
      <c r="X4096">
        <v>2</v>
      </c>
      <c r="Y4096">
        <v>0</v>
      </c>
      <c r="Z4096">
        <v>0</v>
      </c>
      <c r="AB4096">
        <v>0</v>
      </c>
      <c r="AC4096">
        <v>9</v>
      </c>
      <c r="AD4096">
        <v>3</v>
      </c>
      <c r="AE4096">
        <v>0</v>
      </c>
      <c r="AF4096">
        <v>9</v>
      </c>
      <c r="AG4096" t="s">
        <v>115</v>
      </c>
      <c r="AH4096">
        <v>0</v>
      </c>
      <c r="AI4096">
        <v>0</v>
      </c>
      <c r="AJ4096">
        <v>1</v>
      </c>
      <c r="AK4096">
        <v>0</v>
      </c>
      <c r="AL4096" t="s">
        <v>7647</v>
      </c>
      <c r="AM4096">
        <v>47.059807999999997</v>
      </c>
      <c r="AN4096" t="s">
        <v>7646</v>
      </c>
      <c r="AO4096">
        <v>-123.993824</v>
      </c>
      <c r="AP4096">
        <v>100</v>
      </c>
      <c r="AQ4096">
        <v>-200</v>
      </c>
      <c r="AR4096" t="s">
        <v>118</v>
      </c>
      <c r="AS4096">
        <v>5</v>
      </c>
      <c r="AT4096">
        <v>-48</v>
      </c>
      <c r="AU4096">
        <v>768</v>
      </c>
      <c r="BC4096">
        <v>1200</v>
      </c>
      <c r="BD4096">
        <v>1</v>
      </c>
      <c r="BE4096" t="str">
        <f t="shared" si="191"/>
        <v xml:space="preserve">N215T   </v>
      </c>
      <c r="BF4096">
        <v>1</v>
      </c>
      <c r="BH4096">
        <v>0</v>
      </c>
      <c r="BI4096">
        <v>0</v>
      </c>
      <c r="BJ4096">
        <v>0</v>
      </c>
      <c r="BK4096">
        <v>200</v>
      </c>
      <c r="BL4096">
        <v>400</v>
      </c>
      <c r="BM4096" t="s">
        <v>119</v>
      </c>
      <c r="BN4096">
        <v>1</v>
      </c>
      <c r="BO4096">
        <v>1</v>
      </c>
      <c r="BP4096">
        <v>1</v>
      </c>
      <c r="BQ4096">
        <v>0</v>
      </c>
      <c r="BT4096">
        <v>0</v>
      </c>
      <c r="BU4096">
        <v>0</v>
      </c>
      <c r="BV4096">
        <v>0</v>
      </c>
      <c r="CC4096" t="str">
        <f>"19:43:26.859"</f>
        <v>19:43:26.859</v>
      </c>
      <c r="CD4096" t="str">
        <f>"862496573"</f>
        <v>862496573</v>
      </c>
      <c r="CQ4096">
        <v>0</v>
      </c>
      <c r="CR4096">
        <v>2</v>
      </c>
      <c r="CS4096">
        <v>0</v>
      </c>
      <c r="CT4096">
        <v>2</v>
      </c>
      <c r="CU4096">
        <v>0</v>
      </c>
      <c r="CV4096">
        <v>5</v>
      </c>
      <c r="CW4096" t="s">
        <v>120</v>
      </c>
      <c r="CX4096">
        <v>257</v>
      </c>
      <c r="CY4096">
        <v>0</v>
      </c>
      <c r="CZ4096" t="s">
        <v>615</v>
      </c>
      <c r="DA4096" t="s">
        <v>616</v>
      </c>
      <c r="DD4096">
        <v>16673044</v>
      </c>
      <c r="DE4096" t="s">
        <v>123</v>
      </c>
    </row>
    <row r="4097" spans="1:109" x14ac:dyDescent="0.3">
      <c r="A4097" t="str">
        <f>"19:43:28.109"</f>
        <v>19:43:28.109</v>
      </c>
      <c r="B4097" t="s">
        <v>110</v>
      </c>
      <c r="C4097" t="str">
        <f t="shared" si="192"/>
        <v>ffdfd3c0</v>
      </c>
      <c r="D4097" t="s">
        <v>111</v>
      </c>
      <c r="E4097">
        <v>18</v>
      </c>
      <c r="F4097">
        <v>1018</v>
      </c>
      <c r="G4097" t="s">
        <v>112</v>
      </c>
      <c r="J4097" t="s">
        <v>113</v>
      </c>
      <c r="K4097">
        <v>0</v>
      </c>
      <c r="L4097">
        <v>3</v>
      </c>
      <c r="M4097">
        <v>0</v>
      </c>
      <c r="N4097">
        <v>2</v>
      </c>
      <c r="O4097">
        <v>1</v>
      </c>
      <c r="P4097">
        <v>0</v>
      </c>
      <c r="Q4097">
        <v>0</v>
      </c>
      <c r="R4097" t="s">
        <v>114</v>
      </c>
      <c r="S4097" t="str">
        <f>"19:43:27.836"</f>
        <v>19:43:27.836</v>
      </c>
      <c r="T4097" t="str">
        <f>"19:43:27.539"</f>
        <v>19:43:27.539</v>
      </c>
      <c r="U4097" t="str">
        <f t="shared" si="190"/>
        <v>a1cdbe</v>
      </c>
      <c r="V4097">
        <v>0</v>
      </c>
      <c r="W4097">
        <v>0</v>
      </c>
      <c r="X4097">
        <v>2</v>
      </c>
      <c r="Y4097">
        <v>0</v>
      </c>
      <c r="Z4097">
        <v>0</v>
      </c>
      <c r="AB4097">
        <v>0</v>
      </c>
      <c r="AC4097">
        <v>9</v>
      </c>
      <c r="AD4097">
        <v>3</v>
      </c>
      <c r="AE4097">
        <v>0</v>
      </c>
      <c r="AF4097">
        <v>9</v>
      </c>
      <c r="AG4097" t="s">
        <v>115</v>
      </c>
      <c r="AH4097">
        <v>0</v>
      </c>
      <c r="AI4097">
        <v>0</v>
      </c>
      <c r="AJ4097">
        <v>1</v>
      </c>
      <c r="AK4097">
        <v>0</v>
      </c>
      <c r="AL4097" t="s">
        <v>7369</v>
      </c>
      <c r="AM4097">
        <v>47.059572000000003</v>
      </c>
      <c r="AN4097" t="s">
        <v>7648</v>
      </c>
      <c r="AO4097">
        <v>-123.993802</v>
      </c>
      <c r="AP4097">
        <v>100</v>
      </c>
      <c r="AQ4097">
        <v>-200</v>
      </c>
      <c r="AR4097" t="s">
        <v>118</v>
      </c>
      <c r="AS4097">
        <v>0</v>
      </c>
      <c r="AT4097">
        <v>-48</v>
      </c>
      <c r="AU4097">
        <v>704</v>
      </c>
      <c r="BC4097">
        <v>1200</v>
      </c>
      <c r="BD4097">
        <v>1</v>
      </c>
      <c r="BE4097" t="str">
        <f t="shared" si="191"/>
        <v xml:space="preserve">N215T   </v>
      </c>
      <c r="BF4097">
        <v>1</v>
      </c>
      <c r="BH4097">
        <v>0</v>
      </c>
      <c r="BI4097">
        <v>0</v>
      </c>
      <c r="BJ4097">
        <v>0</v>
      </c>
      <c r="BK4097">
        <v>200</v>
      </c>
      <c r="BL4097">
        <v>400</v>
      </c>
      <c r="BM4097" t="s">
        <v>119</v>
      </c>
      <c r="BN4097">
        <v>1</v>
      </c>
      <c r="BO4097">
        <v>1</v>
      </c>
      <c r="BP4097">
        <v>1</v>
      </c>
      <c r="BQ4097">
        <v>0</v>
      </c>
      <c r="BT4097">
        <v>0</v>
      </c>
      <c r="BU4097">
        <v>0</v>
      </c>
      <c r="BV4097">
        <v>0</v>
      </c>
      <c r="CC4097" t="str">
        <f>"19:43:27.836"</f>
        <v>19:43:27.836</v>
      </c>
      <c r="CD4097" t="str">
        <f>"837400392"</f>
        <v>837400392</v>
      </c>
      <c r="CQ4097">
        <v>0</v>
      </c>
      <c r="CR4097">
        <v>2</v>
      </c>
      <c r="CS4097">
        <v>0</v>
      </c>
      <c r="CT4097">
        <v>2</v>
      </c>
      <c r="CU4097">
        <v>0</v>
      </c>
      <c r="CV4097">
        <v>5</v>
      </c>
      <c r="CW4097" t="s">
        <v>120</v>
      </c>
      <c r="CX4097">
        <v>257</v>
      </c>
      <c r="CY4097">
        <v>0</v>
      </c>
      <c r="CZ4097" t="s">
        <v>615</v>
      </c>
      <c r="DA4097" t="s">
        <v>616</v>
      </c>
      <c r="DD4097">
        <v>16673364</v>
      </c>
      <c r="DE4097" t="s">
        <v>123</v>
      </c>
    </row>
    <row r="4098" spans="1:109" x14ac:dyDescent="0.3">
      <c r="A4098" t="str">
        <f>"19:43:29.117"</f>
        <v>19:43:29.117</v>
      </c>
      <c r="B4098" t="s">
        <v>110</v>
      </c>
      <c r="C4098" t="str">
        <f t="shared" si="192"/>
        <v>ffdfd3c0</v>
      </c>
      <c r="D4098" t="s">
        <v>111</v>
      </c>
      <c r="E4098">
        <v>18</v>
      </c>
      <c r="F4098">
        <v>1018</v>
      </c>
      <c r="G4098" t="s">
        <v>112</v>
      </c>
      <c r="J4098" t="s">
        <v>113</v>
      </c>
      <c r="K4098">
        <v>0</v>
      </c>
      <c r="L4098">
        <v>3</v>
      </c>
      <c r="M4098">
        <v>0</v>
      </c>
      <c r="N4098">
        <v>2</v>
      </c>
      <c r="O4098">
        <v>1</v>
      </c>
      <c r="P4098">
        <v>0</v>
      </c>
      <c r="Q4098">
        <v>0</v>
      </c>
      <c r="R4098" t="s">
        <v>114</v>
      </c>
      <c r="S4098" t="str">
        <f>"19:43:28.836"</f>
        <v>19:43:28.836</v>
      </c>
      <c r="T4098" t="str">
        <f>"19:43:28.539"</f>
        <v>19:43:28.539</v>
      </c>
      <c r="U4098" t="str">
        <f t="shared" ref="U4098:U4161" si="193">"a1cdbe"</f>
        <v>a1cdbe</v>
      </c>
      <c r="V4098">
        <v>0</v>
      </c>
      <c r="W4098">
        <v>0</v>
      </c>
      <c r="X4098">
        <v>2</v>
      </c>
      <c r="Y4098">
        <v>0</v>
      </c>
      <c r="Z4098">
        <v>0</v>
      </c>
      <c r="AB4098">
        <v>0</v>
      </c>
      <c r="AC4098">
        <v>9</v>
      </c>
      <c r="AD4098">
        <v>3</v>
      </c>
      <c r="AE4098">
        <v>0</v>
      </c>
      <c r="AF4098">
        <v>9</v>
      </c>
      <c r="AG4098" t="s">
        <v>115</v>
      </c>
      <c r="AH4098">
        <v>0</v>
      </c>
      <c r="AI4098">
        <v>0</v>
      </c>
      <c r="AJ4098">
        <v>1</v>
      </c>
      <c r="AK4098">
        <v>0</v>
      </c>
      <c r="AL4098" t="s">
        <v>7365</v>
      </c>
      <c r="AM4098">
        <v>47.059336000000002</v>
      </c>
      <c r="AN4098" t="s">
        <v>7552</v>
      </c>
      <c r="AO4098">
        <v>-123.993888</v>
      </c>
      <c r="AP4098">
        <v>100</v>
      </c>
      <c r="AQ4098">
        <v>-200</v>
      </c>
      <c r="AR4098" t="s">
        <v>118</v>
      </c>
      <c r="AS4098">
        <v>-5</v>
      </c>
      <c r="AT4098">
        <v>-47</v>
      </c>
      <c r="AU4098">
        <v>640</v>
      </c>
      <c r="BC4098">
        <v>1200</v>
      </c>
      <c r="BD4098">
        <v>1</v>
      </c>
      <c r="BE4098" t="str">
        <f t="shared" ref="BE4098:BE4161" si="194">"N215T   "</f>
        <v xml:space="preserve">N215T   </v>
      </c>
      <c r="BF4098">
        <v>1</v>
      </c>
      <c r="BH4098">
        <v>0</v>
      </c>
      <c r="BI4098">
        <v>0</v>
      </c>
      <c r="BJ4098">
        <v>0</v>
      </c>
      <c r="BK4098">
        <v>225</v>
      </c>
      <c r="BL4098">
        <v>425</v>
      </c>
      <c r="BM4098" t="s">
        <v>119</v>
      </c>
      <c r="BN4098">
        <v>1</v>
      </c>
      <c r="BO4098">
        <v>1</v>
      </c>
      <c r="BP4098">
        <v>1</v>
      </c>
      <c r="BQ4098">
        <v>0</v>
      </c>
      <c r="BT4098">
        <v>0</v>
      </c>
      <c r="BU4098">
        <v>0</v>
      </c>
      <c r="BV4098">
        <v>0</v>
      </c>
      <c r="CC4098" t="str">
        <f>"19:43:28.844"</f>
        <v>19:43:28.844</v>
      </c>
      <c r="CD4098" t="str">
        <f>"842301280"</f>
        <v>842301280</v>
      </c>
      <c r="CQ4098">
        <v>0</v>
      </c>
      <c r="CR4098">
        <v>2</v>
      </c>
      <c r="CS4098">
        <v>0</v>
      </c>
      <c r="CT4098">
        <v>2</v>
      </c>
      <c r="CU4098">
        <v>0</v>
      </c>
      <c r="CV4098">
        <v>6</v>
      </c>
      <c r="CW4098" t="s">
        <v>120</v>
      </c>
      <c r="CX4098">
        <v>257</v>
      </c>
      <c r="CY4098">
        <v>0</v>
      </c>
      <c r="CZ4098" t="s">
        <v>615</v>
      </c>
      <c r="DA4098" t="s">
        <v>616</v>
      </c>
      <c r="DD4098">
        <v>16673673</v>
      </c>
      <c r="DE4098" t="s">
        <v>123</v>
      </c>
    </row>
    <row r="4099" spans="1:109" x14ac:dyDescent="0.3">
      <c r="A4099" t="str">
        <f>"19:43:30.125"</f>
        <v>19:43:30.125</v>
      </c>
      <c r="B4099" t="s">
        <v>110</v>
      </c>
      <c r="C4099" t="str">
        <f t="shared" si="192"/>
        <v>ffdfd3c0</v>
      </c>
      <c r="D4099" t="s">
        <v>111</v>
      </c>
      <c r="E4099">
        <v>18</v>
      </c>
      <c r="F4099">
        <v>1018</v>
      </c>
      <c r="G4099" t="s">
        <v>112</v>
      </c>
      <c r="J4099" t="s">
        <v>113</v>
      </c>
      <c r="K4099">
        <v>0</v>
      </c>
      <c r="L4099">
        <v>3</v>
      </c>
      <c r="M4099">
        <v>0</v>
      </c>
      <c r="N4099">
        <v>2</v>
      </c>
      <c r="O4099">
        <v>1</v>
      </c>
      <c r="P4099">
        <v>0</v>
      </c>
      <c r="Q4099">
        <v>0</v>
      </c>
      <c r="R4099" t="s">
        <v>114</v>
      </c>
      <c r="S4099" t="str">
        <f>"19:43:29.875"</f>
        <v>19:43:29.875</v>
      </c>
      <c r="T4099" t="str">
        <f>"19:43:29.578"</f>
        <v>19:43:29.578</v>
      </c>
      <c r="U4099" t="str">
        <f t="shared" si="193"/>
        <v>a1cdbe</v>
      </c>
      <c r="V4099">
        <v>0</v>
      </c>
      <c r="W4099">
        <v>0</v>
      </c>
      <c r="X4099">
        <v>2</v>
      </c>
      <c r="Y4099">
        <v>0</v>
      </c>
      <c r="Z4099">
        <v>0</v>
      </c>
      <c r="AB4099">
        <v>0</v>
      </c>
      <c r="AC4099">
        <v>9</v>
      </c>
      <c r="AD4099">
        <v>3</v>
      </c>
      <c r="AE4099">
        <v>0</v>
      </c>
      <c r="AF4099">
        <v>9</v>
      </c>
      <c r="AG4099" t="s">
        <v>115</v>
      </c>
      <c r="AH4099">
        <v>0</v>
      </c>
      <c r="AI4099">
        <v>0</v>
      </c>
      <c r="AJ4099">
        <v>1</v>
      </c>
      <c r="AK4099">
        <v>0</v>
      </c>
      <c r="AL4099" t="s">
        <v>7649</v>
      </c>
      <c r="AM4099">
        <v>47.059142999999999</v>
      </c>
      <c r="AN4099" t="s">
        <v>7633</v>
      </c>
      <c r="AO4099">
        <v>-123.99395199999999</v>
      </c>
      <c r="AP4099">
        <v>100</v>
      </c>
      <c r="AQ4099">
        <v>-200</v>
      </c>
      <c r="AR4099" t="s">
        <v>118</v>
      </c>
      <c r="AS4099">
        <v>-10</v>
      </c>
      <c r="AT4099">
        <v>-46</v>
      </c>
      <c r="AU4099">
        <v>512</v>
      </c>
      <c r="BC4099">
        <v>1200</v>
      </c>
      <c r="BD4099">
        <v>1</v>
      </c>
      <c r="BE4099" t="str">
        <f t="shared" si="194"/>
        <v xml:space="preserve">N215T   </v>
      </c>
      <c r="BF4099">
        <v>1</v>
      </c>
      <c r="BH4099">
        <v>0</v>
      </c>
      <c r="BI4099">
        <v>0</v>
      </c>
      <c r="BJ4099">
        <v>0</v>
      </c>
      <c r="BK4099">
        <v>225</v>
      </c>
      <c r="BL4099">
        <v>425</v>
      </c>
      <c r="BM4099" t="s">
        <v>119</v>
      </c>
      <c r="BN4099">
        <v>1</v>
      </c>
      <c r="BO4099">
        <v>1</v>
      </c>
      <c r="BP4099">
        <v>1</v>
      </c>
      <c r="BQ4099">
        <v>0</v>
      </c>
      <c r="BT4099">
        <v>0</v>
      </c>
      <c r="BU4099">
        <v>0</v>
      </c>
      <c r="BV4099">
        <v>0</v>
      </c>
      <c r="CC4099" t="str">
        <f>"19:43:29.875"</f>
        <v>19:43:29.875</v>
      </c>
      <c r="CD4099" t="str">
        <f>"877199219"</f>
        <v>877199219</v>
      </c>
      <c r="CQ4099">
        <v>0</v>
      </c>
      <c r="CR4099">
        <v>2</v>
      </c>
      <c r="CS4099">
        <v>0</v>
      </c>
      <c r="CT4099">
        <v>2</v>
      </c>
      <c r="CU4099">
        <v>0</v>
      </c>
      <c r="CV4099">
        <v>6</v>
      </c>
      <c r="CW4099" t="s">
        <v>120</v>
      </c>
      <c r="CX4099">
        <v>257</v>
      </c>
      <c r="CY4099">
        <v>0</v>
      </c>
      <c r="CZ4099" t="s">
        <v>615</v>
      </c>
      <c r="DA4099" t="s">
        <v>616</v>
      </c>
      <c r="DD4099">
        <v>16673981</v>
      </c>
      <c r="DE4099" t="s">
        <v>123</v>
      </c>
    </row>
    <row r="4100" spans="1:109" x14ac:dyDescent="0.3">
      <c r="A4100" t="str">
        <f>"19:43:31.180"</f>
        <v>19:43:31.180</v>
      </c>
      <c r="B4100" t="s">
        <v>110</v>
      </c>
      <c r="C4100" t="str">
        <f t="shared" si="192"/>
        <v>ffdfd3c0</v>
      </c>
      <c r="D4100" t="s">
        <v>111</v>
      </c>
      <c r="E4100">
        <v>18</v>
      </c>
      <c r="F4100">
        <v>1018</v>
      </c>
      <c r="G4100" t="s">
        <v>112</v>
      </c>
      <c r="J4100" t="s">
        <v>113</v>
      </c>
      <c r="K4100">
        <v>0</v>
      </c>
      <c r="L4100">
        <v>3</v>
      </c>
      <c r="M4100">
        <v>0</v>
      </c>
      <c r="N4100">
        <v>2</v>
      </c>
      <c r="O4100">
        <v>1</v>
      </c>
      <c r="P4100">
        <v>0</v>
      </c>
      <c r="Q4100">
        <v>0</v>
      </c>
      <c r="R4100" t="s">
        <v>114</v>
      </c>
      <c r="S4100" t="str">
        <f>"19:43:30.922"</f>
        <v>19:43:30.922</v>
      </c>
      <c r="T4100" t="str">
        <f>"19:43:30.523"</f>
        <v>19:43:30.523</v>
      </c>
      <c r="U4100" t="str">
        <f t="shared" si="193"/>
        <v>a1cdbe</v>
      </c>
      <c r="V4100">
        <v>0</v>
      </c>
      <c r="W4100">
        <v>0</v>
      </c>
      <c r="X4100">
        <v>2</v>
      </c>
      <c r="Y4100">
        <v>0</v>
      </c>
      <c r="Z4100">
        <v>0</v>
      </c>
      <c r="AB4100">
        <v>0</v>
      </c>
      <c r="AC4100">
        <v>9</v>
      </c>
      <c r="AD4100">
        <v>3</v>
      </c>
      <c r="AE4100">
        <v>0</v>
      </c>
      <c r="AF4100">
        <v>9</v>
      </c>
      <c r="AG4100" t="s">
        <v>115</v>
      </c>
      <c r="AH4100">
        <v>0</v>
      </c>
      <c r="AI4100">
        <v>0</v>
      </c>
      <c r="AJ4100">
        <v>1</v>
      </c>
      <c r="AK4100">
        <v>0</v>
      </c>
      <c r="AL4100" t="s">
        <v>7650</v>
      </c>
      <c r="AM4100">
        <v>47.058928000000002</v>
      </c>
      <c r="AN4100" t="s">
        <v>7651</v>
      </c>
      <c r="AO4100">
        <v>-123.994038</v>
      </c>
      <c r="AP4100">
        <v>100</v>
      </c>
      <c r="AQ4100">
        <v>-200</v>
      </c>
      <c r="AR4100" t="s">
        <v>118</v>
      </c>
      <c r="AS4100">
        <v>-15</v>
      </c>
      <c r="AT4100">
        <v>-43</v>
      </c>
      <c r="AU4100">
        <v>384</v>
      </c>
      <c r="BC4100">
        <v>1200</v>
      </c>
      <c r="BD4100">
        <v>1</v>
      </c>
      <c r="BE4100" t="str">
        <f t="shared" si="194"/>
        <v xml:space="preserve">N215T   </v>
      </c>
      <c r="BF4100">
        <v>1</v>
      </c>
      <c r="BH4100">
        <v>0</v>
      </c>
      <c r="BI4100">
        <v>0</v>
      </c>
      <c r="BJ4100">
        <v>0</v>
      </c>
      <c r="BK4100">
        <v>225</v>
      </c>
      <c r="BL4100">
        <v>425</v>
      </c>
      <c r="BM4100" t="s">
        <v>119</v>
      </c>
      <c r="BN4100">
        <v>1</v>
      </c>
      <c r="BO4100">
        <v>1</v>
      </c>
      <c r="BP4100">
        <v>1</v>
      </c>
      <c r="BQ4100">
        <v>0</v>
      </c>
      <c r="BT4100">
        <v>0</v>
      </c>
      <c r="BU4100">
        <v>0</v>
      </c>
      <c r="BV4100">
        <v>0</v>
      </c>
      <c r="CC4100" t="str">
        <f>"19:43:30.930"</f>
        <v>19:43:30.930</v>
      </c>
      <c r="CD4100" t="str">
        <f>"927095662"</f>
        <v>927095662</v>
      </c>
      <c r="CQ4100">
        <v>0</v>
      </c>
      <c r="CR4100">
        <v>2</v>
      </c>
      <c r="CS4100">
        <v>0</v>
      </c>
      <c r="CT4100">
        <v>2</v>
      </c>
      <c r="CU4100">
        <v>0</v>
      </c>
      <c r="CV4100">
        <v>6</v>
      </c>
      <c r="CW4100" t="s">
        <v>120</v>
      </c>
      <c r="CX4100">
        <v>257</v>
      </c>
      <c r="CY4100">
        <v>0</v>
      </c>
      <c r="CZ4100" t="s">
        <v>615</v>
      </c>
      <c r="DA4100" t="s">
        <v>616</v>
      </c>
      <c r="DD4100">
        <v>16674316</v>
      </c>
      <c r="DE4100" t="s">
        <v>123</v>
      </c>
    </row>
    <row r="4101" spans="1:109" x14ac:dyDescent="0.3">
      <c r="A4101" t="str">
        <f>"19:43:32.133"</f>
        <v>19:43:32.133</v>
      </c>
      <c r="B4101" t="s">
        <v>110</v>
      </c>
      <c r="C4101" t="str">
        <f t="shared" si="192"/>
        <v>ffdfd3c0</v>
      </c>
      <c r="D4101" t="s">
        <v>111</v>
      </c>
      <c r="E4101">
        <v>18</v>
      </c>
      <c r="F4101">
        <v>1018</v>
      </c>
      <c r="G4101" t="s">
        <v>112</v>
      </c>
      <c r="J4101" t="s">
        <v>113</v>
      </c>
      <c r="K4101">
        <v>0</v>
      </c>
      <c r="L4101">
        <v>3</v>
      </c>
      <c r="M4101">
        <v>0</v>
      </c>
      <c r="N4101">
        <v>2</v>
      </c>
      <c r="O4101">
        <v>1</v>
      </c>
      <c r="P4101">
        <v>0</v>
      </c>
      <c r="Q4101">
        <v>0</v>
      </c>
      <c r="R4101" t="s">
        <v>114</v>
      </c>
      <c r="S4101" t="str">
        <f>"19:43:31.883"</f>
        <v>19:43:31.883</v>
      </c>
      <c r="T4101" t="str">
        <f>"19:43:31.484"</f>
        <v>19:43:31.484</v>
      </c>
      <c r="U4101" t="str">
        <f t="shared" si="193"/>
        <v>a1cdbe</v>
      </c>
      <c r="V4101">
        <v>0</v>
      </c>
      <c r="W4101">
        <v>0</v>
      </c>
      <c r="X4101">
        <v>2</v>
      </c>
      <c r="Y4101">
        <v>0</v>
      </c>
      <c r="Z4101">
        <v>0</v>
      </c>
      <c r="AB4101">
        <v>0</v>
      </c>
      <c r="AC4101">
        <v>9</v>
      </c>
      <c r="AD4101">
        <v>3</v>
      </c>
      <c r="AE4101">
        <v>0</v>
      </c>
      <c r="AF4101">
        <v>9</v>
      </c>
      <c r="AG4101" t="s">
        <v>115</v>
      </c>
      <c r="AH4101">
        <v>0</v>
      </c>
      <c r="AI4101">
        <v>0</v>
      </c>
      <c r="AJ4101">
        <v>1</v>
      </c>
      <c r="AK4101">
        <v>0</v>
      </c>
      <c r="AL4101" t="s">
        <v>7652</v>
      </c>
      <c r="AM4101">
        <v>47.058777999999997</v>
      </c>
      <c r="AN4101" t="s">
        <v>7635</v>
      </c>
      <c r="AO4101">
        <v>-123.994167</v>
      </c>
      <c r="AP4101">
        <v>100</v>
      </c>
      <c r="AQ4101">
        <v>-200</v>
      </c>
      <c r="AR4101" t="s">
        <v>118</v>
      </c>
      <c r="AS4101">
        <v>-21</v>
      </c>
      <c r="AT4101">
        <v>-41</v>
      </c>
      <c r="AU4101">
        <v>448</v>
      </c>
      <c r="BC4101">
        <v>1200</v>
      </c>
      <c r="BD4101">
        <v>1</v>
      </c>
      <c r="BE4101" t="str">
        <f t="shared" si="194"/>
        <v xml:space="preserve">N215T   </v>
      </c>
      <c r="BF4101">
        <v>1</v>
      </c>
      <c r="BH4101">
        <v>0</v>
      </c>
      <c r="BI4101">
        <v>0</v>
      </c>
      <c r="BJ4101">
        <v>0</v>
      </c>
      <c r="BK4101">
        <v>225</v>
      </c>
      <c r="BL4101">
        <v>425</v>
      </c>
      <c r="BM4101" t="s">
        <v>119</v>
      </c>
      <c r="BN4101">
        <v>1</v>
      </c>
      <c r="BO4101">
        <v>1</v>
      </c>
      <c r="BP4101">
        <v>1</v>
      </c>
      <c r="BQ4101">
        <v>0</v>
      </c>
      <c r="BT4101">
        <v>0</v>
      </c>
      <c r="BU4101">
        <v>0</v>
      </c>
      <c r="BV4101">
        <v>0</v>
      </c>
      <c r="CC4101" t="str">
        <f>"19:43:31.891"</f>
        <v>19:43:31.891</v>
      </c>
      <c r="CD4101" t="str">
        <f>"887001021"</f>
        <v>887001021</v>
      </c>
      <c r="CQ4101">
        <v>0</v>
      </c>
      <c r="CR4101">
        <v>2</v>
      </c>
      <c r="CS4101">
        <v>0</v>
      </c>
      <c r="CT4101">
        <v>2</v>
      </c>
      <c r="CU4101">
        <v>0</v>
      </c>
      <c r="CV4101">
        <v>7</v>
      </c>
      <c r="CW4101" t="s">
        <v>120</v>
      </c>
      <c r="CX4101">
        <v>257</v>
      </c>
      <c r="CY4101">
        <v>0</v>
      </c>
      <c r="CZ4101" t="s">
        <v>615</v>
      </c>
      <c r="DA4101" t="s">
        <v>616</v>
      </c>
      <c r="DD4101">
        <v>16674591</v>
      </c>
      <c r="DE4101" t="s">
        <v>123</v>
      </c>
    </row>
    <row r="4102" spans="1:109" x14ac:dyDescent="0.3">
      <c r="A4102" t="str">
        <f>"19:43:33.141"</f>
        <v>19:43:33.141</v>
      </c>
      <c r="B4102" t="s">
        <v>110</v>
      </c>
      <c r="C4102" t="str">
        <f t="shared" si="192"/>
        <v>ffdfd3c0</v>
      </c>
      <c r="D4102" t="s">
        <v>111</v>
      </c>
      <c r="E4102">
        <v>18</v>
      </c>
      <c r="F4102">
        <v>1018</v>
      </c>
      <c r="G4102" t="s">
        <v>112</v>
      </c>
      <c r="J4102" t="s">
        <v>113</v>
      </c>
      <c r="K4102">
        <v>0</v>
      </c>
      <c r="L4102">
        <v>3</v>
      </c>
      <c r="M4102">
        <v>0</v>
      </c>
      <c r="N4102">
        <v>2</v>
      </c>
      <c r="O4102">
        <v>1</v>
      </c>
      <c r="P4102">
        <v>0</v>
      </c>
      <c r="Q4102">
        <v>0</v>
      </c>
      <c r="R4102" t="s">
        <v>114</v>
      </c>
      <c r="S4102" t="str">
        <f>"19:43:32.891"</f>
        <v>19:43:32.891</v>
      </c>
      <c r="T4102" t="str">
        <f>"19:43:32.492"</f>
        <v>19:43:32.492</v>
      </c>
      <c r="U4102" t="str">
        <f t="shared" si="193"/>
        <v>a1cdbe</v>
      </c>
      <c r="V4102">
        <v>0</v>
      </c>
      <c r="W4102">
        <v>0</v>
      </c>
      <c r="X4102">
        <v>2</v>
      </c>
      <c r="Y4102">
        <v>0</v>
      </c>
      <c r="Z4102">
        <v>0</v>
      </c>
      <c r="AB4102">
        <v>0</v>
      </c>
      <c r="AC4102">
        <v>9</v>
      </c>
      <c r="AD4102">
        <v>3</v>
      </c>
      <c r="AE4102">
        <v>0</v>
      </c>
      <c r="AF4102">
        <v>9</v>
      </c>
      <c r="AG4102" t="s">
        <v>115</v>
      </c>
      <c r="AH4102">
        <v>0</v>
      </c>
      <c r="AI4102">
        <v>0</v>
      </c>
      <c r="AJ4102">
        <v>1</v>
      </c>
      <c r="AK4102">
        <v>0</v>
      </c>
      <c r="AL4102" t="s">
        <v>7653</v>
      </c>
      <c r="AM4102">
        <v>47.058562999999999</v>
      </c>
      <c r="AN4102" t="s">
        <v>7641</v>
      </c>
      <c r="AO4102">
        <v>-123.994381</v>
      </c>
      <c r="AP4102">
        <v>100</v>
      </c>
      <c r="AQ4102">
        <v>-200</v>
      </c>
      <c r="AR4102" t="s">
        <v>118</v>
      </c>
      <c r="AS4102">
        <v>-26</v>
      </c>
      <c r="AT4102">
        <v>-37</v>
      </c>
      <c r="AU4102">
        <v>384</v>
      </c>
      <c r="BC4102">
        <v>1200</v>
      </c>
      <c r="BD4102">
        <v>1</v>
      </c>
      <c r="BE4102" t="str">
        <f t="shared" si="194"/>
        <v xml:space="preserve">N215T   </v>
      </c>
      <c r="BF4102">
        <v>1</v>
      </c>
      <c r="BH4102">
        <v>0</v>
      </c>
      <c r="BI4102">
        <v>0</v>
      </c>
      <c r="BJ4102">
        <v>0</v>
      </c>
      <c r="BK4102">
        <v>250</v>
      </c>
      <c r="BL4102">
        <v>450</v>
      </c>
      <c r="BM4102" t="s">
        <v>119</v>
      </c>
      <c r="BN4102">
        <v>1</v>
      </c>
      <c r="BO4102">
        <v>1</v>
      </c>
      <c r="BP4102">
        <v>1</v>
      </c>
      <c r="BQ4102">
        <v>0</v>
      </c>
      <c r="BT4102">
        <v>0</v>
      </c>
      <c r="BU4102">
        <v>0</v>
      </c>
      <c r="BV4102">
        <v>0</v>
      </c>
      <c r="CC4102" t="str">
        <f>"19:43:32.891"</f>
        <v>19:43:32.891</v>
      </c>
      <c r="CD4102" t="str">
        <f>"891901931"</f>
        <v>891901931</v>
      </c>
      <c r="CQ4102">
        <v>0</v>
      </c>
      <c r="CR4102">
        <v>2</v>
      </c>
      <c r="CS4102">
        <v>0</v>
      </c>
      <c r="CT4102">
        <v>2</v>
      </c>
      <c r="CU4102">
        <v>0</v>
      </c>
      <c r="CV4102">
        <v>7</v>
      </c>
      <c r="CW4102" t="s">
        <v>120</v>
      </c>
      <c r="CX4102">
        <v>257</v>
      </c>
      <c r="CY4102">
        <v>0</v>
      </c>
      <c r="CZ4102" t="s">
        <v>615</v>
      </c>
      <c r="DA4102" t="s">
        <v>616</v>
      </c>
      <c r="DD4102">
        <v>16674896</v>
      </c>
      <c r="DE4102" t="s">
        <v>123</v>
      </c>
    </row>
    <row r="4103" spans="1:109" x14ac:dyDescent="0.3">
      <c r="A4103" t="str">
        <f>"19:43:34.297"</f>
        <v>19:43:34.297</v>
      </c>
      <c r="B4103" t="s">
        <v>110</v>
      </c>
      <c r="C4103" t="str">
        <f t="shared" si="192"/>
        <v>ffdfd3c0</v>
      </c>
      <c r="D4103" t="s">
        <v>111</v>
      </c>
      <c r="E4103">
        <v>18</v>
      </c>
      <c r="F4103">
        <v>1018</v>
      </c>
      <c r="G4103" t="s">
        <v>112</v>
      </c>
      <c r="J4103" t="s">
        <v>113</v>
      </c>
      <c r="K4103">
        <v>0</v>
      </c>
      <c r="L4103">
        <v>3</v>
      </c>
      <c r="M4103">
        <v>0</v>
      </c>
      <c r="N4103">
        <v>2</v>
      </c>
      <c r="O4103">
        <v>1</v>
      </c>
      <c r="P4103">
        <v>0</v>
      </c>
      <c r="Q4103">
        <v>0</v>
      </c>
      <c r="R4103" t="s">
        <v>114</v>
      </c>
      <c r="S4103" t="str">
        <f>"19:43:34.039"</f>
        <v>19:43:34.039</v>
      </c>
      <c r="T4103" t="str">
        <f>"19:43:33.938"</f>
        <v>19:43:33.938</v>
      </c>
      <c r="U4103" t="str">
        <f t="shared" si="193"/>
        <v>a1cdbe</v>
      </c>
      <c r="V4103">
        <v>0</v>
      </c>
      <c r="W4103">
        <v>0</v>
      </c>
      <c r="X4103">
        <v>2</v>
      </c>
      <c r="Y4103">
        <v>0</v>
      </c>
      <c r="Z4103">
        <v>0</v>
      </c>
      <c r="AB4103">
        <v>0</v>
      </c>
      <c r="AC4103">
        <v>9</v>
      </c>
      <c r="AD4103">
        <v>3</v>
      </c>
      <c r="AE4103">
        <v>0</v>
      </c>
      <c r="AF4103">
        <v>9</v>
      </c>
      <c r="AG4103" t="s">
        <v>115</v>
      </c>
      <c r="AH4103">
        <v>0</v>
      </c>
      <c r="AI4103">
        <v>0</v>
      </c>
      <c r="AJ4103">
        <v>1</v>
      </c>
      <c r="AK4103">
        <v>0</v>
      </c>
      <c r="AL4103" t="s">
        <v>7654</v>
      </c>
      <c r="AM4103">
        <v>47.058433999999998</v>
      </c>
      <c r="AN4103" t="s">
        <v>7655</v>
      </c>
      <c r="AO4103">
        <v>-123.99466</v>
      </c>
      <c r="AP4103">
        <v>100</v>
      </c>
      <c r="AQ4103">
        <v>-200</v>
      </c>
      <c r="AR4103" t="s">
        <v>118</v>
      </c>
      <c r="AS4103">
        <v>-32</v>
      </c>
      <c r="AT4103">
        <v>-32</v>
      </c>
      <c r="AU4103">
        <v>320</v>
      </c>
      <c r="BC4103">
        <v>1200</v>
      </c>
      <c r="BD4103">
        <v>1</v>
      </c>
      <c r="BE4103" t="str">
        <f t="shared" si="194"/>
        <v xml:space="preserve">N215T   </v>
      </c>
      <c r="BF4103">
        <v>1</v>
      </c>
      <c r="BH4103">
        <v>0</v>
      </c>
      <c r="BI4103">
        <v>0</v>
      </c>
      <c r="BJ4103">
        <v>0</v>
      </c>
      <c r="BK4103">
        <v>150</v>
      </c>
      <c r="BL4103">
        <v>350</v>
      </c>
      <c r="BM4103" t="s">
        <v>119</v>
      </c>
      <c r="BN4103">
        <v>1</v>
      </c>
      <c r="BO4103">
        <v>1</v>
      </c>
      <c r="BP4103">
        <v>1</v>
      </c>
      <c r="BQ4103">
        <v>0</v>
      </c>
      <c r="BT4103">
        <v>0</v>
      </c>
      <c r="BU4103">
        <v>0</v>
      </c>
      <c r="BV4103">
        <v>0</v>
      </c>
      <c r="CC4103" t="str">
        <f>"19:43:34.047"</f>
        <v>19:43:34.047</v>
      </c>
      <c r="CD4103" t="str">
        <f>"046788064"</f>
        <v>046788064</v>
      </c>
      <c r="CQ4103">
        <v>0</v>
      </c>
      <c r="CR4103">
        <v>2</v>
      </c>
      <c r="CS4103">
        <v>0</v>
      </c>
      <c r="CT4103">
        <v>2</v>
      </c>
      <c r="CU4103">
        <v>0</v>
      </c>
      <c r="CV4103">
        <v>7</v>
      </c>
      <c r="CW4103" t="s">
        <v>120</v>
      </c>
      <c r="CX4103">
        <v>257</v>
      </c>
      <c r="CY4103">
        <v>0</v>
      </c>
      <c r="CZ4103" t="s">
        <v>615</v>
      </c>
      <c r="DA4103" t="s">
        <v>616</v>
      </c>
      <c r="DD4103">
        <v>16675249</v>
      </c>
      <c r="DE4103" t="s">
        <v>123</v>
      </c>
    </row>
    <row r="4104" spans="1:109" x14ac:dyDescent="0.3">
      <c r="A4104" t="str">
        <f>"19:43:35.453"</f>
        <v>19:43:35.453</v>
      </c>
      <c r="B4104" t="s">
        <v>110</v>
      </c>
      <c r="C4104" t="str">
        <f t="shared" si="192"/>
        <v>ffdfd3c0</v>
      </c>
      <c r="D4104" t="s">
        <v>111</v>
      </c>
      <c r="E4104">
        <v>18</v>
      </c>
      <c r="F4104">
        <v>1018</v>
      </c>
      <c r="G4104" t="s">
        <v>112</v>
      </c>
      <c r="J4104" t="s">
        <v>113</v>
      </c>
      <c r="K4104">
        <v>0</v>
      </c>
      <c r="L4104">
        <v>3</v>
      </c>
      <c r="M4104">
        <v>0</v>
      </c>
      <c r="N4104">
        <v>2</v>
      </c>
      <c r="O4104">
        <v>1</v>
      </c>
      <c r="P4104">
        <v>0</v>
      </c>
      <c r="Q4104">
        <v>0</v>
      </c>
      <c r="R4104" t="s">
        <v>114</v>
      </c>
      <c r="S4104" t="str">
        <f>"19:43:35.227"</f>
        <v>19:43:35.227</v>
      </c>
      <c r="T4104" t="str">
        <f>"19:43:34.930"</f>
        <v>19:43:34.930</v>
      </c>
      <c r="U4104" t="str">
        <f t="shared" si="193"/>
        <v>a1cdbe</v>
      </c>
      <c r="V4104">
        <v>0</v>
      </c>
      <c r="W4104">
        <v>0</v>
      </c>
      <c r="X4104">
        <v>2</v>
      </c>
      <c r="Y4104">
        <v>0</v>
      </c>
      <c r="Z4104">
        <v>0</v>
      </c>
      <c r="AB4104">
        <v>0</v>
      </c>
      <c r="AC4104">
        <v>9</v>
      </c>
      <c r="AD4104">
        <v>3</v>
      </c>
      <c r="AE4104">
        <v>0</v>
      </c>
      <c r="AF4104">
        <v>9</v>
      </c>
      <c r="AG4104" t="s">
        <v>115</v>
      </c>
      <c r="AH4104">
        <v>0</v>
      </c>
      <c r="AI4104">
        <v>0</v>
      </c>
      <c r="AJ4104">
        <v>1</v>
      </c>
      <c r="AK4104">
        <v>0</v>
      </c>
      <c r="AL4104" t="s">
        <v>7656</v>
      </c>
      <c r="AM4104">
        <v>47.058284</v>
      </c>
      <c r="AN4104" t="s">
        <v>7549</v>
      </c>
      <c r="AO4104">
        <v>-123.99500399999999</v>
      </c>
      <c r="AP4104">
        <v>100</v>
      </c>
      <c r="AQ4104">
        <v>-100</v>
      </c>
      <c r="AR4104" t="s">
        <v>118</v>
      </c>
      <c r="AS4104">
        <v>-36</v>
      </c>
      <c r="AT4104">
        <v>-27</v>
      </c>
      <c r="AU4104">
        <v>256</v>
      </c>
      <c r="BC4104">
        <v>1200</v>
      </c>
      <c r="BD4104">
        <v>1</v>
      </c>
      <c r="BE4104" t="str">
        <f t="shared" si="194"/>
        <v xml:space="preserve">N215T   </v>
      </c>
      <c r="BF4104">
        <v>1</v>
      </c>
      <c r="BH4104">
        <v>0</v>
      </c>
      <c r="BI4104">
        <v>0</v>
      </c>
      <c r="BJ4104">
        <v>0</v>
      </c>
      <c r="BK4104">
        <v>275</v>
      </c>
      <c r="BL4104">
        <v>375</v>
      </c>
      <c r="BM4104" t="s">
        <v>119</v>
      </c>
      <c r="BN4104">
        <v>1</v>
      </c>
      <c r="BO4104">
        <v>1</v>
      </c>
      <c r="BP4104">
        <v>1</v>
      </c>
      <c r="BQ4104">
        <v>0</v>
      </c>
      <c r="BT4104">
        <v>0</v>
      </c>
      <c r="BU4104">
        <v>0</v>
      </c>
      <c r="BV4104">
        <v>0</v>
      </c>
      <c r="CC4104" t="str">
        <f>"19:43:35.234"</f>
        <v>19:43:35.234</v>
      </c>
      <c r="CD4104" t="str">
        <f>"231671243"</f>
        <v>231671243</v>
      </c>
      <c r="CQ4104">
        <v>0</v>
      </c>
      <c r="CR4104">
        <v>2</v>
      </c>
      <c r="CS4104">
        <v>0</v>
      </c>
      <c r="CT4104">
        <v>2</v>
      </c>
      <c r="CU4104">
        <v>0</v>
      </c>
      <c r="CV4104">
        <v>7</v>
      </c>
      <c r="CW4104" t="s">
        <v>120</v>
      </c>
      <c r="CX4104">
        <v>257</v>
      </c>
      <c r="CY4104">
        <v>0</v>
      </c>
      <c r="CZ4104" t="s">
        <v>615</v>
      </c>
      <c r="DA4104" t="s">
        <v>616</v>
      </c>
      <c r="DD4104">
        <v>16675596</v>
      </c>
      <c r="DE4104" t="s">
        <v>123</v>
      </c>
    </row>
    <row r="4105" spans="1:109" x14ac:dyDescent="0.3">
      <c r="A4105" t="str">
        <f>"19:43:36.508"</f>
        <v>19:43:36.508</v>
      </c>
      <c r="B4105" t="s">
        <v>110</v>
      </c>
      <c r="C4105" t="str">
        <f t="shared" si="192"/>
        <v>ffdfd3c0</v>
      </c>
      <c r="D4105" t="s">
        <v>111</v>
      </c>
      <c r="E4105">
        <v>18</v>
      </c>
      <c r="F4105">
        <v>1018</v>
      </c>
      <c r="G4105" t="s">
        <v>112</v>
      </c>
      <c r="J4105" t="s">
        <v>113</v>
      </c>
      <c r="K4105">
        <v>0</v>
      </c>
      <c r="L4105">
        <v>3</v>
      </c>
      <c r="M4105">
        <v>0</v>
      </c>
      <c r="N4105">
        <v>2</v>
      </c>
      <c r="O4105">
        <v>1</v>
      </c>
      <c r="P4105">
        <v>0</v>
      </c>
      <c r="Q4105">
        <v>0</v>
      </c>
      <c r="R4105" t="s">
        <v>114</v>
      </c>
      <c r="S4105" t="str">
        <f>"19:43:36.219"</f>
        <v>19:43:36.219</v>
      </c>
      <c r="T4105" t="str">
        <f>"19:43:35.820"</f>
        <v>19:43:35.820</v>
      </c>
      <c r="U4105" t="str">
        <f t="shared" si="193"/>
        <v>a1cdbe</v>
      </c>
      <c r="V4105">
        <v>0</v>
      </c>
      <c r="W4105">
        <v>0</v>
      </c>
      <c r="X4105">
        <v>2</v>
      </c>
      <c r="Y4105">
        <v>0</v>
      </c>
      <c r="Z4105">
        <v>0</v>
      </c>
      <c r="AB4105">
        <v>0</v>
      </c>
      <c r="AC4105">
        <v>9</v>
      </c>
      <c r="AD4105">
        <v>3</v>
      </c>
      <c r="AE4105">
        <v>0</v>
      </c>
      <c r="AF4105">
        <v>9</v>
      </c>
      <c r="AG4105" t="s">
        <v>115</v>
      </c>
      <c r="AH4105">
        <v>0</v>
      </c>
      <c r="AI4105">
        <v>0</v>
      </c>
      <c r="AJ4105">
        <v>1</v>
      </c>
      <c r="AK4105">
        <v>0</v>
      </c>
      <c r="AL4105" t="s">
        <v>7657</v>
      </c>
      <c r="AM4105">
        <v>47.058177000000001</v>
      </c>
      <c r="AN4105" t="s">
        <v>7658</v>
      </c>
      <c r="AO4105">
        <v>-123.99521799999999</v>
      </c>
      <c r="AP4105">
        <v>100</v>
      </c>
      <c r="AQ4105">
        <v>-100</v>
      </c>
      <c r="AR4105" t="s">
        <v>118</v>
      </c>
      <c r="AS4105">
        <v>-39</v>
      </c>
      <c r="AT4105">
        <v>-22</v>
      </c>
      <c r="AU4105">
        <v>192</v>
      </c>
      <c r="BC4105">
        <v>1200</v>
      </c>
      <c r="BD4105">
        <v>1</v>
      </c>
      <c r="BE4105" t="str">
        <f t="shared" si="194"/>
        <v xml:space="preserve">N215T   </v>
      </c>
      <c r="BF4105">
        <v>1</v>
      </c>
      <c r="BH4105">
        <v>0</v>
      </c>
      <c r="BI4105">
        <v>0</v>
      </c>
      <c r="BJ4105">
        <v>0</v>
      </c>
      <c r="BK4105">
        <v>275</v>
      </c>
      <c r="BL4105">
        <v>375</v>
      </c>
      <c r="BM4105" t="s">
        <v>119</v>
      </c>
      <c r="BN4105">
        <v>1</v>
      </c>
      <c r="BO4105">
        <v>1</v>
      </c>
      <c r="BP4105">
        <v>1</v>
      </c>
      <c r="BQ4105">
        <v>0</v>
      </c>
      <c r="BT4105">
        <v>0</v>
      </c>
      <c r="BU4105">
        <v>0</v>
      </c>
      <c r="BV4105">
        <v>0</v>
      </c>
      <c r="CC4105" t="str">
        <f>"19:43:36.219"</f>
        <v>19:43:36.219</v>
      </c>
      <c r="CD4105" t="str">
        <f>"221573675"</f>
        <v>221573675</v>
      </c>
      <c r="CQ4105">
        <v>0</v>
      </c>
      <c r="CR4105">
        <v>2</v>
      </c>
      <c r="CS4105">
        <v>0</v>
      </c>
      <c r="CT4105">
        <v>2</v>
      </c>
      <c r="CU4105">
        <v>0</v>
      </c>
      <c r="CV4105">
        <v>7</v>
      </c>
      <c r="CW4105" t="s">
        <v>120</v>
      </c>
      <c r="CX4105">
        <v>257</v>
      </c>
      <c r="CY4105">
        <v>0</v>
      </c>
      <c r="CZ4105" t="s">
        <v>615</v>
      </c>
      <c r="DA4105" t="s">
        <v>616</v>
      </c>
      <c r="DD4105">
        <v>16675909</v>
      </c>
      <c r="DE4105" t="s">
        <v>123</v>
      </c>
    </row>
    <row r="4106" spans="1:109" x14ac:dyDescent="0.3">
      <c r="A4106" t="str">
        <f>"19:43:37.359"</f>
        <v>19:43:37.359</v>
      </c>
      <c r="B4106" t="s">
        <v>110</v>
      </c>
      <c r="C4106" t="str">
        <f t="shared" si="192"/>
        <v>ffdfd3c0</v>
      </c>
      <c r="D4106" t="s">
        <v>111</v>
      </c>
      <c r="E4106">
        <v>18</v>
      </c>
      <c r="F4106">
        <v>1018</v>
      </c>
      <c r="G4106" t="s">
        <v>112</v>
      </c>
      <c r="J4106" t="s">
        <v>113</v>
      </c>
      <c r="K4106">
        <v>0</v>
      </c>
      <c r="L4106">
        <v>3</v>
      </c>
      <c r="M4106">
        <v>0</v>
      </c>
      <c r="N4106">
        <v>2</v>
      </c>
      <c r="O4106">
        <v>1</v>
      </c>
      <c r="P4106">
        <v>0</v>
      </c>
      <c r="Q4106">
        <v>0</v>
      </c>
      <c r="R4106" t="s">
        <v>114</v>
      </c>
      <c r="S4106" t="str">
        <f>"19:43:37.102"</f>
        <v>19:43:37.102</v>
      </c>
      <c r="T4106" t="str">
        <f>"19:43:36.898"</f>
        <v>19:43:36.898</v>
      </c>
      <c r="U4106" t="str">
        <f t="shared" si="193"/>
        <v>a1cdbe</v>
      </c>
      <c r="V4106">
        <v>0</v>
      </c>
      <c r="W4106">
        <v>0</v>
      </c>
      <c r="X4106">
        <v>2</v>
      </c>
      <c r="Y4106">
        <v>0</v>
      </c>
      <c r="Z4106">
        <v>0</v>
      </c>
      <c r="AB4106">
        <v>0</v>
      </c>
      <c r="AC4106">
        <v>9</v>
      </c>
      <c r="AD4106">
        <v>3</v>
      </c>
      <c r="AE4106">
        <v>0</v>
      </c>
      <c r="AF4106">
        <v>9</v>
      </c>
      <c r="AG4106" t="s">
        <v>115</v>
      </c>
      <c r="AH4106">
        <v>0</v>
      </c>
      <c r="AI4106">
        <v>0</v>
      </c>
      <c r="AJ4106">
        <v>1</v>
      </c>
      <c r="AK4106">
        <v>0</v>
      </c>
      <c r="AL4106" t="s">
        <v>520</v>
      </c>
      <c r="AM4106">
        <v>47.058112999999999</v>
      </c>
      <c r="AN4106" t="s">
        <v>7659</v>
      </c>
      <c r="AO4106">
        <v>-123.995497</v>
      </c>
      <c r="AP4106">
        <v>100</v>
      </c>
      <c r="AQ4106">
        <v>-100</v>
      </c>
      <c r="AR4106" t="s">
        <v>118</v>
      </c>
      <c r="AS4106">
        <v>-43</v>
      </c>
      <c r="AT4106">
        <v>-14</v>
      </c>
      <c r="AU4106">
        <v>192</v>
      </c>
      <c r="BC4106">
        <v>1200</v>
      </c>
      <c r="BD4106">
        <v>1</v>
      </c>
      <c r="BE4106" t="str">
        <f t="shared" si="194"/>
        <v xml:space="preserve">N215T   </v>
      </c>
      <c r="BF4106">
        <v>1</v>
      </c>
      <c r="BH4106">
        <v>0</v>
      </c>
      <c r="BI4106">
        <v>0</v>
      </c>
      <c r="BJ4106">
        <v>0</v>
      </c>
      <c r="BK4106">
        <v>275</v>
      </c>
      <c r="BL4106">
        <v>375</v>
      </c>
      <c r="BM4106" t="s">
        <v>119</v>
      </c>
      <c r="BN4106">
        <v>1</v>
      </c>
      <c r="BO4106">
        <v>1</v>
      </c>
      <c r="BP4106">
        <v>1</v>
      </c>
      <c r="BQ4106">
        <v>0</v>
      </c>
      <c r="BT4106">
        <v>0</v>
      </c>
      <c r="BU4106">
        <v>0</v>
      </c>
      <c r="BV4106">
        <v>0</v>
      </c>
      <c r="CC4106" t="str">
        <f>"19:43:37.109"</f>
        <v>19:43:37.109</v>
      </c>
      <c r="CD4106" t="str">
        <f>"106486465"</f>
        <v>106486465</v>
      </c>
      <c r="CQ4106">
        <v>0</v>
      </c>
      <c r="CR4106">
        <v>2</v>
      </c>
      <c r="CS4106">
        <v>0</v>
      </c>
      <c r="CT4106">
        <v>2</v>
      </c>
      <c r="CU4106">
        <v>0</v>
      </c>
      <c r="CV4106">
        <v>6</v>
      </c>
      <c r="CW4106" t="s">
        <v>120</v>
      </c>
      <c r="CX4106">
        <v>257</v>
      </c>
      <c r="CY4106">
        <v>0</v>
      </c>
      <c r="CZ4106" t="s">
        <v>615</v>
      </c>
      <c r="DA4106" t="s">
        <v>616</v>
      </c>
      <c r="DD4106">
        <v>16676197</v>
      </c>
      <c r="DE4106" t="s">
        <v>123</v>
      </c>
    </row>
    <row r="4107" spans="1:109" x14ac:dyDescent="0.3">
      <c r="A4107" t="str">
        <f>"19:43:38.367"</f>
        <v>19:43:38.367</v>
      </c>
      <c r="B4107" t="s">
        <v>110</v>
      </c>
      <c r="C4107" t="str">
        <f t="shared" si="192"/>
        <v>ffdfd3c0</v>
      </c>
      <c r="D4107" t="s">
        <v>111</v>
      </c>
      <c r="E4107">
        <v>18</v>
      </c>
      <c r="F4107">
        <v>1018</v>
      </c>
      <c r="G4107" t="s">
        <v>112</v>
      </c>
      <c r="J4107" t="s">
        <v>113</v>
      </c>
      <c r="K4107">
        <v>0</v>
      </c>
      <c r="L4107">
        <v>3</v>
      </c>
      <c r="M4107">
        <v>0</v>
      </c>
      <c r="N4107">
        <v>2</v>
      </c>
      <c r="O4107">
        <v>1</v>
      </c>
      <c r="P4107">
        <v>0</v>
      </c>
      <c r="Q4107">
        <v>0</v>
      </c>
      <c r="R4107" t="s">
        <v>114</v>
      </c>
      <c r="S4107" t="str">
        <f>"19:43:38.141"</f>
        <v>19:43:38.141</v>
      </c>
      <c r="T4107" t="str">
        <f>"19:43:38.039"</f>
        <v>19:43:38.039</v>
      </c>
      <c r="U4107" t="str">
        <f t="shared" si="193"/>
        <v>a1cdbe</v>
      </c>
      <c r="V4107">
        <v>0</v>
      </c>
      <c r="W4107">
        <v>0</v>
      </c>
      <c r="X4107">
        <v>2</v>
      </c>
      <c r="Y4107">
        <v>0</v>
      </c>
      <c r="Z4107">
        <v>0</v>
      </c>
      <c r="AB4107">
        <v>0</v>
      </c>
      <c r="AC4107">
        <v>9</v>
      </c>
      <c r="AD4107">
        <v>3</v>
      </c>
      <c r="AE4107">
        <v>0</v>
      </c>
      <c r="AF4107">
        <v>9</v>
      </c>
      <c r="AG4107" t="s">
        <v>115</v>
      </c>
      <c r="AH4107">
        <v>0</v>
      </c>
      <c r="AI4107">
        <v>0</v>
      </c>
      <c r="AJ4107">
        <v>1</v>
      </c>
      <c r="AK4107">
        <v>0</v>
      </c>
      <c r="AL4107" t="s">
        <v>7660</v>
      </c>
      <c r="AM4107">
        <v>47.058070000000001</v>
      </c>
      <c r="AN4107" t="s">
        <v>7661</v>
      </c>
      <c r="AO4107">
        <v>-123.995819</v>
      </c>
      <c r="AP4107">
        <v>100</v>
      </c>
      <c r="AQ4107">
        <v>-100</v>
      </c>
      <c r="AR4107" t="s">
        <v>118</v>
      </c>
      <c r="AS4107">
        <v>-46</v>
      </c>
      <c r="AT4107">
        <v>-5</v>
      </c>
      <c r="AU4107">
        <v>128</v>
      </c>
      <c r="BC4107">
        <v>1200</v>
      </c>
      <c r="BD4107">
        <v>1</v>
      </c>
      <c r="BE4107" t="str">
        <f t="shared" si="194"/>
        <v xml:space="preserve">N215T   </v>
      </c>
      <c r="BF4107">
        <v>1</v>
      </c>
      <c r="BH4107">
        <v>0</v>
      </c>
      <c r="BI4107">
        <v>0</v>
      </c>
      <c r="BJ4107">
        <v>0</v>
      </c>
      <c r="BK4107">
        <v>275</v>
      </c>
      <c r="BL4107">
        <v>375</v>
      </c>
      <c r="BM4107" t="s">
        <v>119</v>
      </c>
      <c r="BN4107">
        <v>1</v>
      </c>
      <c r="BO4107">
        <v>1</v>
      </c>
      <c r="BP4107">
        <v>1</v>
      </c>
      <c r="BQ4107">
        <v>0</v>
      </c>
      <c r="BT4107">
        <v>0</v>
      </c>
      <c r="BU4107">
        <v>0</v>
      </c>
      <c r="BV4107">
        <v>0</v>
      </c>
      <c r="CC4107" t="str">
        <f>"19:43:38.141"</f>
        <v>19:43:38.141</v>
      </c>
      <c r="CD4107" t="str">
        <f>"141384467"</f>
        <v>141384467</v>
      </c>
      <c r="CQ4107">
        <v>0</v>
      </c>
      <c r="CR4107">
        <v>2</v>
      </c>
      <c r="CS4107">
        <v>0</v>
      </c>
      <c r="CT4107">
        <v>2</v>
      </c>
      <c r="CU4107">
        <v>0</v>
      </c>
      <c r="CV4107">
        <v>6</v>
      </c>
      <c r="CW4107" t="s">
        <v>120</v>
      </c>
      <c r="CX4107">
        <v>257</v>
      </c>
      <c r="CY4107">
        <v>0</v>
      </c>
      <c r="CZ4107" t="s">
        <v>615</v>
      </c>
      <c r="DA4107" t="s">
        <v>616</v>
      </c>
      <c r="DD4107">
        <v>16676544</v>
      </c>
      <c r="DE4107" t="s">
        <v>123</v>
      </c>
    </row>
    <row r="4108" spans="1:109" x14ac:dyDescent="0.3">
      <c r="A4108" t="str">
        <f>"19:43:39.320"</f>
        <v>19:43:39.320</v>
      </c>
      <c r="B4108" t="s">
        <v>110</v>
      </c>
      <c r="C4108" t="str">
        <f t="shared" si="192"/>
        <v>ffdfd3c0</v>
      </c>
      <c r="D4108" t="s">
        <v>111</v>
      </c>
      <c r="E4108">
        <v>18</v>
      </c>
      <c r="F4108">
        <v>1018</v>
      </c>
      <c r="G4108" t="s">
        <v>112</v>
      </c>
      <c r="J4108" t="s">
        <v>113</v>
      </c>
      <c r="K4108">
        <v>0</v>
      </c>
      <c r="L4108">
        <v>3</v>
      </c>
      <c r="M4108">
        <v>0</v>
      </c>
      <c r="N4108">
        <v>2</v>
      </c>
      <c r="O4108">
        <v>1</v>
      </c>
      <c r="P4108">
        <v>0</v>
      </c>
      <c r="Q4108">
        <v>0</v>
      </c>
      <c r="R4108" t="s">
        <v>114</v>
      </c>
      <c r="S4108" t="str">
        <f>"19:43:39.086"</f>
        <v>19:43:39.086</v>
      </c>
      <c r="T4108" t="str">
        <f>"19:43:38.883"</f>
        <v>19:43:38.883</v>
      </c>
      <c r="U4108" t="str">
        <f t="shared" si="193"/>
        <v>a1cdbe</v>
      </c>
      <c r="V4108">
        <v>0</v>
      </c>
      <c r="W4108">
        <v>0</v>
      </c>
      <c r="X4108">
        <v>2</v>
      </c>
      <c r="Y4108">
        <v>0</v>
      </c>
      <c r="Z4108">
        <v>0</v>
      </c>
      <c r="AB4108">
        <v>0</v>
      </c>
      <c r="AC4108">
        <v>9</v>
      </c>
      <c r="AD4108">
        <v>3</v>
      </c>
      <c r="AE4108">
        <v>0</v>
      </c>
      <c r="AF4108">
        <v>9</v>
      </c>
      <c r="AG4108" t="s">
        <v>115</v>
      </c>
      <c r="AH4108">
        <v>0</v>
      </c>
      <c r="AI4108">
        <v>0</v>
      </c>
      <c r="AJ4108">
        <v>1</v>
      </c>
      <c r="AK4108">
        <v>0</v>
      </c>
      <c r="AL4108" t="s">
        <v>7660</v>
      </c>
      <c r="AM4108">
        <v>47.058070000000001</v>
      </c>
      <c r="AN4108" t="s">
        <v>7662</v>
      </c>
      <c r="AO4108">
        <v>-123.99614099999999</v>
      </c>
      <c r="AP4108">
        <v>100</v>
      </c>
      <c r="AQ4108">
        <v>-100</v>
      </c>
      <c r="AR4108" t="s">
        <v>118</v>
      </c>
      <c r="AS4108">
        <v>-48</v>
      </c>
      <c r="AT4108">
        <v>1</v>
      </c>
      <c r="AU4108">
        <v>-128</v>
      </c>
      <c r="BC4108">
        <v>1200</v>
      </c>
      <c r="BD4108">
        <v>1</v>
      </c>
      <c r="BE4108" t="str">
        <f t="shared" si="194"/>
        <v xml:space="preserve">N215T   </v>
      </c>
      <c r="BF4108">
        <v>1</v>
      </c>
      <c r="BH4108">
        <v>0</v>
      </c>
      <c r="BI4108">
        <v>0</v>
      </c>
      <c r="BJ4108">
        <v>0</v>
      </c>
      <c r="BK4108">
        <v>275</v>
      </c>
      <c r="BL4108">
        <v>375</v>
      </c>
      <c r="BM4108" t="s">
        <v>119</v>
      </c>
      <c r="BN4108">
        <v>1</v>
      </c>
      <c r="BO4108">
        <v>1</v>
      </c>
      <c r="BP4108">
        <v>1</v>
      </c>
      <c r="BQ4108">
        <v>0</v>
      </c>
      <c r="BT4108">
        <v>0</v>
      </c>
      <c r="BU4108">
        <v>0</v>
      </c>
      <c r="BV4108">
        <v>0</v>
      </c>
      <c r="CC4108" t="str">
        <f>"19:43:39.086"</f>
        <v>19:43:39.086</v>
      </c>
      <c r="CD4108" t="str">
        <f>"086291366"</f>
        <v>086291366</v>
      </c>
      <c r="CQ4108">
        <v>0</v>
      </c>
      <c r="CR4108">
        <v>2</v>
      </c>
      <c r="CS4108">
        <v>0</v>
      </c>
      <c r="CT4108">
        <v>2</v>
      </c>
      <c r="CU4108">
        <v>0</v>
      </c>
      <c r="CV4108">
        <v>5</v>
      </c>
      <c r="CW4108" t="s">
        <v>120</v>
      </c>
      <c r="CX4108">
        <v>257</v>
      </c>
      <c r="CY4108">
        <v>0</v>
      </c>
      <c r="CZ4108" t="s">
        <v>615</v>
      </c>
      <c r="DA4108" t="s">
        <v>616</v>
      </c>
      <c r="DD4108">
        <v>16676837</v>
      </c>
      <c r="DE4108" t="s">
        <v>123</v>
      </c>
    </row>
    <row r="4109" spans="1:109" x14ac:dyDescent="0.3">
      <c r="A4109" t="str">
        <f>"19:43:40.273"</f>
        <v>19:43:40.273</v>
      </c>
      <c r="B4109" t="s">
        <v>110</v>
      </c>
      <c r="C4109" t="str">
        <f t="shared" si="192"/>
        <v>ffdfd3c0</v>
      </c>
      <c r="D4109" t="s">
        <v>111</v>
      </c>
      <c r="E4109">
        <v>18</v>
      </c>
      <c r="F4109">
        <v>1018</v>
      </c>
      <c r="G4109" t="s">
        <v>112</v>
      </c>
      <c r="J4109" t="s">
        <v>113</v>
      </c>
      <c r="K4109">
        <v>0</v>
      </c>
      <c r="L4109">
        <v>3</v>
      </c>
      <c r="M4109">
        <v>0</v>
      </c>
      <c r="N4109">
        <v>2</v>
      </c>
      <c r="O4109">
        <v>1</v>
      </c>
      <c r="P4109">
        <v>0</v>
      </c>
      <c r="Q4109">
        <v>0</v>
      </c>
      <c r="R4109" t="s">
        <v>114</v>
      </c>
      <c r="S4109" t="str">
        <f>"19:43:40.023"</f>
        <v>19:43:40.023</v>
      </c>
      <c r="T4109" t="str">
        <f>"19:43:40.023"</f>
        <v>19:43:40.023</v>
      </c>
      <c r="U4109" t="str">
        <f t="shared" si="193"/>
        <v>a1cdbe</v>
      </c>
      <c r="V4109">
        <v>0</v>
      </c>
      <c r="W4109">
        <v>0</v>
      </c>
      <c r="X4109">
        <v>2</v>
      </c>
      <c r="Y4109">
        <v>0</v>
      </c>
      <c r="Z4109">
        <v>0</v>
      </c>
      <c r="AB4109">
        <v>0</v>
      </c>
      <c r="AC4109">
        <v>9</v>
      </c>
      <c r="AD4109">
        <v>3</v>
      </c>
      <c r="AE4109">
        <v>0</v>
      </c>
      <c r="AF4109">
        <v>9</v>
      </c>
      <c r="AG4109" t="s">
        <v>115</v>
      </c>
      <c r="AH4109">
        <v>0</v>
      </c>
      <c r="AI4109">
        <v>0</v>
      </c>
      <c r="AJ4109">
        <v>1</v>
      </c>
      <c r="AK4109">
        <v>0</v>
      </c>
      <c r="AL4109" t="s">
        <v>520</v>
      </c>
      <c r="AM4109">
        <v>47.058112999999999</v>
      </c>
      <c r="AN4109" t="s">
        <v>7663</v>
      </c>
      <c r="AO4109">
        <v>-123.996441</v>
      </c>
      <c r="AP4109">
        <v>100</v>
      </c>
      <c r="AQ4109">
        <v>-100</v>
      </c>
      <c r="AR4109" t="s">
        <v>118</v>
      </c>
      <c r="AS4109">
        <v>-48</v>
      </c>
      <c r="AT4109">
        <v>11</v>
      </c>
      <c r="AU4109">
        <v>-192</v>
      </c>
      <c r="BC4109">
        <v>1200</v>
      </c>
      <c r="BD4109">
        <v>1</v>
      </c>
      <c r="BE4109" t="str">
        <f t="shared" si="194"/>
        <v xml:space="preserve">N215T   </v>
      </c>
      <c r="BF4109">
        <v>1</v>
      </c>
      <c r="BH4109">
        <v>0</v>
      </c>
      <c r="BI4109">
        <v>0</v>
      </c>
      <c r="BJ4109">
        <v>0</v>
      </c>
      <c r="BK4109">
        <v>250</v>
      </c>
      <c r="BL4109">
        <v>350</v>
      </c>
      <c r="BM4109" t="s">
        <v>119</v>
      </c>
      <c r="BN4109">
        <v>1</v>
      </c>
      <c r="BO4109">
        <v>1</v>
      </c>
      <c r="BP4109">
        <v>1</v>
      </c>
      <c r="BQ4109">
        <v>0</v>
      </c>
      <c r="BT4109">
        <v>0</v>
      </c>
      <c r="BU4109">
        <v>0</v>
      </c>
      <c r="BV4109">
        <v>0</v>
      </c>
      <c r="CC4109" t="str">
        <f>"19:43:40.031"</f>
        <v>19:43:40.031</v>
      </c>
      <c r="CD4109" t="str">
        <f>"031198250"</f>
        <v>031198250</v>
      </c>
      <c r="CQ4109">
        <v>0</v>
      </c>
      <c r="CR4109">
        <v>2</v>
      </c>
      <c r="CS4109">
        <v>0</v>
      </c>
      <c r="CT4109">
        <v>2</v>
      </c>
      <c r="CU4109">
        <v>0</v>
      </c>
      <c r="CV4109">
        <v>3</v>
      </c>
      <c r="CW4109" t="s">
        <v>120</v>
      </c>
      <c r="CX4109">
        <v>257</v>
      </c>
      <c r="CY4109">
        <v>0</v>
      </c>
      <c r="CZ4109" t="s">
        <v>615</v>
      </c>
      <c r="DA4109" t="s">
        <v>616</v>
      </c>
      <c r="DD4109">
        <v>16677127</v>
      </c>
      <c r="DE4109" t="s">
        <v>123</v>
      </c>
    </row>
    <row r="4110" spans="1:109" x14ac:dyDescent="0.3">
      <c r="A4110" t="str">
        <f>"19:43:41.281"</f>
        <v>19:43:41.281</v>
      </c>
      <c r="B4110" t="s">
        <v>110</v>
      </c>
      <c r="C4110" t="str">
        <f t="shared" si="192"/>
        <v>ffdfd3c0</v>
      </c>
      <c r="D4110" t="s">
        <v>111</v>
      </c>
      <c r="E4110">
        <v>18</v>
      </c>
      <c r="F4110">
        <v>1018</v>
      </c>
      <c r="G4110" t="s">
        <v>112</v>
      </c>
      <c r="J4110" t="s">
        <v>113</v>
      </c>
      <c r="K4110">
        <v>0</v>
      </c>
      <c r="L4110">
        <v>3</v>
      </c>
      <c r="M4110">
        <v>0</v>
      </c>
      <c r="N4110">
        <v>2</v>
      </c>
      <c r="O4110">
        <v>1</v>
      </c>
      <c r="P4110">
        <v>0</v>
      </c>
      <c r="Q4110">
        <v>0</v>
      </c>
      <c r="R4110" t="s">
        <v>114</v>
      </c>
      <c r="S4110" t="str">
        <f>"19:43:41.047"</f>
        <v>19:43:41.047</v>
      </c>
      <c r="T4110" t="str">
        <f>"19:43:40.547"</f>
        <v>19:43:40.547</v>
      </c>
      <c r="U4110" t="str">
        <f t="shared" si="193"/>
        <v>a1cdbe</v>
      </c>
      <c r="V4110">
        <v>0</v>
      </c>
      <c r="W4110">
        <v>0</v>
      </c>
      <c r="X4110">
        <v>2</v>
      </c>
      <c r="Y4110">
        <v>0</v>
      </c>
      <c r="Z4110">
        <v>0</v>
      </c>
      <c r="AB4110">
        <v>0</v>
      </c>
      <c r="AC4110">
        <v>9</v>
      </c>
      <c r="AD4110">
        <v>3</v>
      </c>
      <c r="AE4110">
        <v>0</v>
      </c>
      <c r="AF4110">
        <v>9</v>
      </c>
      <c r="AG4110" t="s">
        <v>115</v>
      </c>
      <c r="AH4110">
        <v>0</v>
      </c>
      <c r="AI4110">
        <v>0</v>
      </c>
      <c r="AJ4110">
        <v>1</v>
      </c>
      <c r="AK4110">
        <v>0</v>
      </c>
      <c r="AL4110" t="s">
        <v>7664</v>
      </c>
      <c r="AM4110">
        <v>47.058219999999999</v>
      </c>
      <c r="AN4110" t="s">
        <v>7665</v>
      </c>
      <c r="AO4110">
        <v>-123.996763</v>
      </c>
      <c r="AP4110">
        <v>100</v>
      </c>
      <c r="AQ4110">
        <v>-100</v>
      </c>
      <c r="AR4110" t="s">
        <v>118</v>
      </c>
      <c r="AS4110">
        <v>-48</v>
      </c>
      <c r="AT4110">
        <v>15</v>
      </c>
      <c r="AU4110">
        <v>-64</v>
      </c>
      <c r="BC4110">
        <v>1200</v>
      </c>
      <c r="BD4110">
        <v>1</v>
      </c>
      <c r="BE4110" t="str">
        <f t="shared" si="194"/>
        <v xml:space="preserve">N215T   </v>
      </c>
      <c r="BF4110">
        <v>1</v>
      </c>
      <c r="BH4110">
        <v>0</v>
      </c>
      <c r="BI4110">
        <v>0</v>
      </c>
      <c r="BJ4110">
        <v>0</v>
      </c>
      <c r="BK4110">
        <v>250</v>
      </c>
      <c r="BL4110">
        <v>350</v>
      </c>
      <c r="BM4110" t="s">
        <v>119</v>
      </c>
      <c r="BN4110">
        <v>1</v>
      </c>
      <c r="BO4110">
        <v>1</v>
      </c>
      <c r="BP4110">
        <v>1</v>
      </c>
      <c r="BQ4110">
        <v>0</v>
      </c>
      <c r="BT4110">
        <v>0</v>
      </c>
      <c r="BU4110">
        <v>0</v>
      </c>
      <c r="BV4110">
        <v>0</v>
      </c>
      <c r="CC4110" t="str">
        <f>"19:43:41.055"</f>
        <v>19:43:41.055</v>
      </c>
      <c r="CD4110" t="str">
        <f>"051097816"</f>
        <v>051097816</v>
      </c>
      <c r="CQ4110">
        <v>0</v>
      </c>
      <c r="CR4110">
        <v>2</v>
      </c>
      <c r="CS4110">
        <v>0</v>
      </c>
      <c r="CT4110">
        <v>2</v>
      </c>
      <c r="CU4110">
        <v>0</v>
      </c>
      <c r="CV4110">
        <v>5</v>
      </c>
      <c r="CW4110" t="s">
        <v>120</v>
      </c>
      <c r="CX4110">
        <v>257</v>
      </c>
      <c r="CY4110">
        <v>0</v>
      </c>
      <c r="CZ4110" t="s">
        <v>615</v>
      </c>
      <c r="DA4110" t="s">
        <v>616</v>
      </c>
      <c r="DD4110">
        <v>16677447</v>
      </c>
      <c r="DE4110" t="s">
        <v>123</v>
      </c>
    </row>
    <row r="4111" spans="1:109" x14ac:dyDescent="0.3">
      <c r="A4111" t="str">
        <f>"19:43:42.133"</f>
        <v>19:43:42.133</v>
      </c>
      <c r="B4111" t="s">
        <v>110</v>
      </c>
      <c r="C4111" t="str">
        <f t="shared" si="192"/>
        <v>ffdfd3c0</v>
      </c>
      <c r="D4111" t="s">
        <v>111</v>
      </c>
      <c r="E4111">
        <v>18</v>
      </c>
      <c r="F4111">
        <v>1018</v>
      </c>
      <c r="G4111" t="s">
        <v>112</v>
      </c>
      <c r="J4111" t="s">
        <v>113</v>
      </c>
      <c r="K4111">
        <v>0</v>
      </c>
      <c r="L4111">
        <v>3</v>
      </c>
      <c r="M4111">
        <v>0</v>
      </c>
      <c r="N4111">
        <v>2</v>
      </c>
      <c r="O4111">
        <v>1</v>
      </c>
      <c r="P4111">
        <v>0</v>
      </c>
      <c r="Q4111">
        <v>0</v>
      </c>
      <c r="R4111" t="s">
        <v>114</v>
      </c>
      <c r="S4111" t="str">
        <f>"19:43:41.875"</f>
        <v>19:43:41.875</v>
      </c>
      <c r="T4111" t="str">
        <f>"19:43:41.672"</f>
        <v>19:43:41.672</v>
      </c>
      <c r="U4111" t="str">
        <f t="shared" si="193"/>
        <v>a1cdbe</v>
      </c>
      <c r="V4111">
        <v>0</v>
      </c>
      <c r="W4111">
        <v>0</v>
      </c>
      <c r="X4111">
        <v>2</v>
      </c>
      <c r="Y4111">
        <v>0</v>
      </c>
      <c r="Z4111">
        <v>0</v>
      </c>
      <c r="AB4111">
        <v>0</v>
      </c>
      <c r="AC4111">
        <v>9</v>
      </c>
      <c r="AD4111">
        <v>3</v>
      </c>
      <c r="AE4111">
        <v>0</v>
      </c>
      <c r="AF4111">
        <v>9</v>
      </c>
      <c r="AG4111" t="s">
        <v>115</v>
      </c>
      <c r="AH4111">
        <v>0</v>
      </c>
      <c r="AI4111">
        <v>0</v>
      </c>
      <c r="AJ4111">
        <v>1</v>
      </c>
      <c r="AK4111">
        <v>0</v>
      </c>
      <c r="AL4111" t="s">
        <v>7666</v>
      </c>
      <c r="AM4111">
        <v>47.058306000000002</v>
      </c>
      <c r="AN4111" t="s">
        <v>7667</v>
      </c>
      <c r="AO4111">
        <v>-123.996978</v>
      </c>
      <c r="AP4111">
        <v>100</v>
      </c>
      <c r="AQ4111">
        <v>-100</v>
      </c>
      <c r="AR4111" t="s">
        <v>118</v>
      </c>
      <c r="AS4111">
        <v>-45</v>
      </c>
      <c r="AT4111">
        <v>25</v>
      </c>
      <c r="AU4111">
        <v>384</v>
      </c>
      <c r="BC4111">
        <v>1200</v>
      </c>
      <c r="BD4111">
        <v>1</v>
      </c>
      <c r="BE4111" t="str">
        <f t="shared" si="194"/>
        <v xml:space="preserve">N215T   </v>
      </c>
      <c r="BF4111">
        <v>1</v>
      </c>
      <c r="BH4111">
        <v>0</v>
      </c>
      <c r="BI4111">
        <v>0</v>
      </c>
      <c r="BJ4111">
        <v>0</v>
      </c>
      <c r="BK4111">
        <v>275</v>
      </c>
      <c r="BL4111">
        <v>375</v>
      </c>
      <c r="BM4111" t="s">
        <v>119</v>
      </c>
      <c r="BN4111">
        <v>1</v>
      </c>
      <c r="BO4111">
        <v>1</v>
      </c>
      <c r="BP4111">
        <v>1</v>
      </c>
      <c r="BQ4111">
        <v>0</v>
      </c>
      <c r="BT4111">
        <v>0</v>
      </c>
      <c r="BU4111">
        <v>0</v>
      </c>
      <c r="BV4111">
        <v>0</v>
      </c>
      <c r="CC4111" t="str">
        <f>"19:43:41.875"</f>
        <v>19:43:41.875</v>
      </c>
      <c r="CD4111" t="str">
        <f>"876016555"</f>
        <v>876016555</v>
      </c>
      <c r="CQ4111">
        <v>0</v>
      </c>
      <c r="CR4111">
        <v>2</v>
      </c>
      <c r="CS4111">
        <v>0</v>
      </c>
      <c r="CT4111">
        <v>2</v>
      </c>
      <c r="CU4111">
        <v>0</v>
      </c>
      <c r="CV4111">
        <v>6</v>
      </c>
      <c r="CW4111" t="s">
        <v>120</v>
      </c>
      <c r="CX4111">
        <v>257</v>
      </c>
      <c r="CY4111">
        <v>0</v>
      </c>
      <c r="CZ4111" t="s">
        <v>615</v>
      </c>
      <c r="DA4111" t="s">
        <v>616</v>
      </c>
      <c r="DD4111">
        <v>16677708</v>
      </c>
      <c r="DE4111" t="s">
        <v>123</v>
      </c>
    </row>
    <row r="4112" spans="1:109" x14ac:dyDescent="0.3">
      <c r="A4112" t="str">
        <f>"19:43:43.039"</f>
        <v>19:43:43.039</v>
      </c>
      <c r="B4112" t="s">
        <v>110</v>
      </c>
      <c r="C4112" t="str">
        <f t="shared" si="192"/>
        <v>ffdfd3c0</v>
      </c>
      <c r="D4112" t="s">
        <v>111</v>
      </c>
      <c r="E4112">
        <v>18</v>
      </c>
      <c r="F4112">
        <v>1018</v>
      </c>
      <c r="G4112" t="s">
        <v>112</v>
      </c>
      <c r="J4112" t="s">
        <v>113</v>
      </c>
      <c r="K4112">
        <v>0</v>
      </c>
      <c r="L4112">
        <v>3</v>
      </c>
      <c r="M4112">
        <v>0</v>
      </c>
      <c r="N4112">
        <v>2</v>
      </c>
      <c r="O4112">
        <v>1</v>
      </c>
      <c r="P4112">
        <v>0</v>
      </c>
      <c r="Q4112">
        <v>0</v>
      </c>
      <c r="R4112" t="s">
        <v>114</v>
      </c>
      <c r="S4112" t="str">
        <f>"19:43:42.758"</f>
        <v>19:43:42.758</v>
      </c>
      <c r="T4112" t="str">
        <f>"19:43:42.555"</f>
        <v>19:43:42.555</v>
      </c>
      <c r="U4112" t="str">
        <f t="shared" si="193"/>
        <v>a1cdbe</v>
      </c>
      <c r="V4112">
        <v>0</v>
      </c>
      <c r="W4112">
        <v>0</v>
      </c>
      <c r="X4112">
        <v>2</v>
      </c>
      <c r="Y4112">
        <v>0</v>
      </c>
      <c r="Z4112">
        <v>0</v>
      </c>
      <c r="AB4112">
        <v>0</v>
      </c>
      <c r="AC4112">
        <v>9</v>
      </c>
      <c r="AD4112">
        <v>3</v>
      </c>
      <c r="AE4112">
        <v>0</v>
      </c>
      <c r="AF4112">
        <v>9</v>
      </c>
      <c r="AG4112" t="s">
        <v>115</v>
      </c>
      <c r="AH4112">
        <v>0</v>
      </c>
      <c r="AI4112">
        <v>0</v>
      </c>
      <c r="AJ4112">
        <v>1</v>
      </c>
      <c r="AK4112">
        <v>0</v>
      </c>
      <c r="AL4112" t="s">
        <v>7654</v>
      </c>
      <c r="AM4112">
        <v>47.058433999999998</v>
      </c>
      <c r="AN4112" t="s">
        <v>7668</v>
      </c>
      <c r="AO4112">
        <v>-123.997257</v>
      </c>
      <c r="AP4112">
        <v>100</v>
      </c>
      <c r="AQ4112">
        <v>-100</v>
      </c>
      <c r="AR4112" t="s">
        <v>118</v>
      </c>
      <c r="AS4112">
        <v>-41</v>
      </c>
      <c r="AT4112">
        <v>30</v>
      </c>
      <c r="AU4112">
        <v>512</v>
      </c>
      <c r="BC4112">
        <v>1200</v>
      </c>
      <c r="BD4112">
        <v>1</v>
      </c>
      <c r="BE4112" t="str">
        <f t="shared" si="194"/>
        <v xml:space="preserve">N215T   </v>
      </c>
      <c r="BF4112">
        <v>1</v>
      </c>
      <c r="BH4112">
        <v>0</v>
      </c>
      <c r="BI4112">
        <v>0</v>
      </c>
      <c r="BJ4112">
        <v>0</v>
      </c>
      <c r="BK4112">
        <v>275</v>
      </c>
      <c r="BL4112">
        <v>375</v>
      </c>
      <c r="BM4112" t="s">
        <v>119</v>
      </c>
      <c r="BN4112">
        <v>1</v>
      </c>
      <c r="BO4112">
        <v>1</v>
      </c>
      <c r="BP4112">
        <v>1</v>
      </c>
      <c r="BQ4112">
        <v>0</v>
      </c>
      <c r="BT4112">
        <v>0</v>
      </c>
      <c r="BU4112">
        <v>0</v>
      </c>
      <c r="BV4112">
        <v>0</v>
      </c>
      <c r="CC4112" t="str">
        <f>"19:43:42.758"</f>
        <v>19:43:42.758</v>
      </c>
      <c r="CD4112" t="str">
        <f>"760929400"</f>
        <v>760929400</v>
      </c>
      <c r="CQ4112">
        <v>0</v>
      </c>
      <c r="CR4112">
        <v>2</v>
      </c>
      <c r="CS4112">
        <v>0</v>
      </c>
      <c r="CT4112">
        <v>2</v>
      </c>
      <c r="CU4112">
        <v>0</v>
      </c>
      <c r="CV4112">
        <v>6</v>
      </c>
      <c r="CW4112" t="s">
        <v>120</v>
      </c>
      <c r="CX4112">
        <v>257</v>
      </c>
      <c r="CY4112">
        <v>0</v>
      </c>
      <c r="CZ4112" t="s">
        <v>615</v>
      </c>
      <c r="DA4112" t="s">
        <v>616</v>
      </c>
      <c r="DD4112">
        <v>16677998</v>
      </c>
      <c r="DE4112" t="s">
        <v>123</v>
      </c>
    </row>
    <row r="4113" spans="1:109" x14ac:dyDescent="0.3">
      <c r="A4113" t="str">
        <f>"19:43:44.148"</f>
        <v>19:43:44.148</v>
      </c>
      <c r="B4113" t="s">
        <v>110</v>
      </c>
      <c r="C4113" t="str">
        <f t="shared" si="192"/>
        <v>ffdfd3c0</v>
      </c>
      <c r="D4113" t="s">
        <v>111</v>
      </c>
      <c r="E4113">
        <v>18</v>
      </c>
      <c r="F4113">
        <v>1018</v>
      </c>
      <c r="G4113" t="s">
        <v>112</v>
      </c>
      <c r="J4113" t="s">
        <v>113</v>
      </c>
      <c r="K4113">
        <v>0</v>
      </c>
      <c r="L4113">
        <v>3</v>
      </c>
      <c r="M4113">
        <v>0</v>
      </c>
      <c r="N4113">
        <v>2</v>
      </c>
      <c r="O4113">
        <v>1</v>
      </c>
      <c r="P4113">
        <v>0</v>
      </c>
      <c r="Q4113">
        <v>0</v>
      </c>
      <c r="R4113" t="s">
        <v>114</v>
      </c>
      <c r="S4113" t="str">
        <f>"19:43:43.914"</f>
        <v>19:43:43.914</v>
      </c>
      <c r="T4113" t="str">
        <f>"19:43:43.617"</f>
        <v>19:43:43.617</v>
      </c>
      <c r="U4113" t="str">
        <f t="shared" si="193"/>
        <v>a1cdbe</v>
      </c>
      <c r="V4113">
        <v>0</v>
      </c>
      <c r="W4113">
        <v>0</v>
      </c>
      <c r="X4113">
        <v>2</v>
      </c>
      <c r="Y4113">
        <v>0</v>
      </c>
      <c r="Z4113">
        <v>0</v>
      </c>
      <c r="AB4113">
        <v>0</v>
      </c>
      <c r="AC4113">
        <v>9</v>
      </c>
      <c r="AD4113">
        <v>3</v>
      </c>
      <c r="AE4113">
        <v>0</v>
      </c>
      <c r="AF4113">
        <v>9</v>
      </c>
      <c r="AG4113" t="s">
        <v>115</v>
      </c>
      <c r="AH4113">
        <v>0</v>
      </c>
      <c r="AI4113">
        <v>0</v>
      </c>
      <c r="AJ4113">
        <v>1</v>
      </c>
      <c r="AK4113">
        <v>0</v>
      </c>
      <c r="AL4113" t="s">
        <v>7669</v>
      </c>
      <c r="AM4113">
        <v>47.058627999999999</v>
      </c>
      <c r="AN4113" t="s">
        <v>7670</v>
      </c>
      <c r="AO4113">
        <v>-123.997536</v>
      </c>
      <c r="AP4113">
        <v>100</v>
      </c>
      <c r="AQ4113">
        <v>-100</v>
      </c>
      <c r="AR4113" t="s">
        <v>118</v>
      </c>
      <c r="AS4113">
        <v>-35</v>
      </c>
      <c r="AT4113">
        <v>36</v>
      </c>
      <c r="AU4113">
        <v>448</v>
      </c>
      <c r="BC4113">
        <v>1200</v>
      </c>
      <c r="BD4113">
        <v>1</v>
      </c>
      <c r="BE4113" t="str">
        <f t="shared" si="194"/>
        <v xml:space="preserve">N215T   </v>
      </c>
      <c r="BF4113">
        <v>1</v>
      </c>
      <c r="BH4113">
        <v>0</v>
      </c>
      <c r="BI4113">
        <v>0</v>
      </c>
      <c r="BJ4113">
        <v>0</v>
      </c>
      <c r="BK4113">
        <v>275</v>
      </c>
      <c r="BL4113">
        <v>375</v>
      </c>
      <c r="BM4113" t="s">
        <v>119</v>
      </c>
      <c r="BN4113">
        <v>1</v>
      </c>
      <c r="BO4113">
        <v>1</v>
      </c>
      <c r="BP4113">
        <v>1</v>
      </c>
      <c r="BQ4113">
        <v>0</v>
      </c>
      <c r="BT4113">
        <v>0</v>
      </c>
      <c r="BU4113">
        <v>0</v>
      </c>
      <c r="BV4113">
        <v>0</v>
      </c>
      <c r="CC4113" t="str">
        <f>"19:43:43.914"</f>
        <v>19:43:43.914</v>
      </c>
      <c r="CD4113" t="str">
        <f>"915815681"</f>
        <v>915815681</v>
      </c>
      <c r="CQ4113">
        <v>0</v>
      </c>
      <c r="CR4113">
        <v>2</v>
      </c>
      <c r="CS4113">
        <v>0</v>
      </c>
      <c r="CT4113">
        <v>2</v>
      </c>
      <c r="CU4113">
        <v>0</v>
      </c>
      <c r="CV4113">
        <v>6</v>
      </c>
      <c r="CW4113" t="s">
        <v>120</v>
      </c>
      <c r="CX4113">
        <v>257</v>
      </c>
      <c r="CY4113">
        <v>0</v>
      </c>
      <c r="CZ4113" t="s">
        <v>615</v>
      </c>
      <c r="DA4113" t="s">
        <v>616</v>
      </c>
      <c r="DD4113">
        <v>16678342</v>
      </c>
      <c r="DE4113" t="s">
        <v>123</v>
      </c>
    </row>
    <row r="4114" spans="1:109" x14ac:dyDescent="0.3">
      <c r="A4114" t="str">
        <f>"19:43:45.203"</f>
        <v>19:43:45.203</v>
      </c>
      <c r="B4114" t="s">
        <v>110</v>
      </c>
      <c r="C4114" t="str">
        <f t="shared" si="192"/>
        <v>ffdfd3c0</v>
      </c>
      <c r="D4114" t="s">
        <v>111</v>
      </c>
      <c r="E4114">
        <v>18</v>
      </c>
      <c r="F4114">
        <v>1018</v>
      </c>
      <c r="G4114" t="s">
        <v>112</v>
      </c>
      <c r="J4114" t="s">
        <v>113</v>
      </c>
      <c r="K4114">
        <v>0</v>
      </c>
      <c r="L4114">
        <v>3</v>
      </c>
      <c r="M4114">
        <v>0</v>
      </c>
      <c r="N4114">
        <v>2</v>
      </c>
      <c r="O4114">
        <v>1</v>
      </c>
      <c r="P4114">
        <v>0</v>
      </c>
      <c r="Q4114">
        <v>0</v>
      </c>
      <c r="R4114" t="s">
        <v>114</v>
      </c>
      <c r="S4114" t="str">
        <f>"19:43:44.930"</f>
        <v>19:43:44.930</v>
      </c>
      <c r="T4114" t="str">
        <f>"19:43:44.727"</f>
        <v>19:43:44.727</v>
      </c>
      <c r="U4114" t="str">
        <f t="shared" si="193"/>
        <v>a1cdbe</v>
      </c>
      <c r="V4114">
        <v>0</v>
      </c>
      <c r="W4114">
        <v>0</v>
      </c>
      <c r="X4114">
        <v>2</v>
      </c>
      <c r="Y4114">
        <v>0</v>
      </c>
      <c r="Z4114">
        <v>0</v>
      </c>
      <c r="AB4114">
        <v>0</v>
      </c>
      <c r="AC4114">
        <v>9</v>
      </c>
      <c r="AD4114">
        <v>3</v>
      </c>
      <c r="AE4114">
        <v>0</v>
      </c>
      <c r="AF4114">
        <v>9</v>
      </c>
      <c r="AG4114" t="s">
        <v>115</v>
      </c>
      <c r="AH4114">
        <v>0</v>
      </c>
      <c r="AI4114">
        <v>0</v>
      </c>
      <c r="AJ4114">
        <v>1</v>
      </c>
      <c r="AK4114">
        <v>0</v>
      </c>
      <c r="AL4114" t="s">
        <v>7671</v>
      </c>
      <c r="AM4114">
        <v>47.058841999999999</v>
      </c>
      <c r="AN4114" t="s">
        <v>7542</v>
      </c>
      <c r="AO4114">
        <v>-123.99775</v>
      </c>
      <c r="AP4114">
        <v>100</v>
      </c>
      <c r="AQ4114">
        <v>-100</v>
      </c>
      <c r="AR4114" t="s">
        <v>118</v>
      </c>
      <c r="AS4114">
        <v>-30</v>
      </c>
      <c r="AT4114">
        <v>41</v>
      </c>
      <c r="AU4114">
        <v>320</v>
      </c>
      <c r="BC4114">
        <v>1200</v>
      </c>
      <c r="BD4114">
        <v>1</v>
      </c>
      <c r="BE4114" t="str">
        <f t="shared" si="194"/>
        <v xml:space="preserve">N215T   </v>
      </c>
      <c r="BF4114">
        <v>1</v>
      </c>
      <c r="BH4114">
        <v>0</v>
      </c>
      <c r="BI4114">
        <v>0</v>
      </c>
      <c r="BJ4114">
        <v>0</v>
      </c>
      <c r="BK4114">
        <v>300</v>
      </c>
      <c r="BL4114">
        <v>400</v>
      </c>
      <c r="BM4114" t="s">
        <v>119</v>
      </c>
      <c r="BN4114">
        <v>1</v>
      </c>
      <c r="BO4114">
        <v>1</v>
      </c>
      <c r="BP4114">
        <v>1</v>
      </c>
      <c r="BQ4114">
        <v>0</v>
      </c>
      <c r="BT4114">
        <v>0</v>
      </c>
      <c r="BU4114">
        <v>0</v>
      </c>
      <c r="BV4114">
        <v>0</v>
      </c>
      <c r="CC4114" t="str">
        <f>"19:43:44.938"</f>
        <v>19:43:44.938</v>
      </c>
      <c r="CD4114" t="str">
        <f>"935715233"</f>
        <v>935715233</v>
      </c>
      <c r="CQ4114">
        <v>0</v>
      </c>
      <c r="CR4114">
        <v>2</v>
      </c>
      <c r="CS4114">
        <v>0</v>
      </c>
      <c r="CT4114">
        <v>2</v>
      </c>
      <c r="CU4114">
        <v>0</v>
      </c>
      <c r="CV4114">
        <v>6</v>
      </c>
      <c r="CW4114" t="s">
        <v>120</v>
      </c>
      <c r="CX4114">
        <v>257</v>
      </c>
      <c r="CY4114">
        <v>0</v>
      </c>
      <c r="CZ4114" t="s">
        <v>615</v>
      </c>
      <c r="DA4114" t="s">
        <v>616</v>
      </c>
      <c r="DD4114">
        <v>16678656</v>
      </c>
      <c r="DE4114" t="s">
        <v>123</v>
      </c>
    </row>
    <row r="4115" spans="1:109" x14ac:dyDescent="0.3">
      <c r="A4115" t="str">
        <f>"19:43:46.211"</f>
        <v>19:43:46.211</v>
      </c>
      <c r="B4115" t="s">
        <v>110</v>
      </c>
      <c r="C4115" t="str">
        <f t="shared" si="192"/>
        <v>ffdfd3c0</v>
      </c>
      <c r="D4115" t="s">
        <v>111</v>
      </c>
      <c r="E4115">
        <v>18</v>
      </c>
      <c r="F4115">
        <v>1018</v>
      </c>
      <c r="G4115" t="s">
        <v>112</v>
      </c>
      <c r="J4115" t="s">
        <v>113</v>
      </c>
      <c r="K4115">
        <v>0</v>
      </c>
      <c r="L4115">
        <v>3</v>
      </c>
      <c r="M4115">
        <v>0</v>
      </c>
      <c r="N4115">
        <v>2</v>
      </c>
      <c r="O4115">
        <v>1</v>
      </c>
      <c r="P4115">
        <v>0</v>
      </c>
      <c r="Q4115">
        <v>0</v>
      </c>
      <c r="R4115" t="s">
        <v>114</v>
      </c>
      <c r="S4115" t="str">
        <f>"19:43:45.953"</f>
        <v>19:43:45.953</v>
      </c>
      <c r="T4115" t="str">
        <f>"19:43:45.750"</f>
        <v>19:43:45.750</v>
      </c>
      <c r="U4115" t="str">
        <f t="shared" si="193"/>
        <v>a1cdbe</v>
      </c>
      <c r="V4115">
        <v>0</v>
      </c>
      <c r="W4115">
        <v>0</v>
      </c>
      <c r="X4115">
        <v>2</v>
      </c>
      <c r="Y4115">
        <v>0</v>
      </c>
      <c r="Z4115">
        <v>0</v>
      </c>
      <c r="AB4115">
        <v>0</v>
      </c>
      <c r="AC4115">
        <v>9</v>
      </c>
      <c r="AD4115">
        <v>3</v>
      </c>
      <c r="AE4115">
        <v>0</v>
      </c>
      <c r="AF4115">
        <v>9</v>
      </c>
      <c r="AG4115" t="s">
        <v>115</v>
      </c>
      <c r="AH4115">
        <v>0</v>
      </c>
      <c r="AI4115">
        <v>0</v>
      </c>
      <c r="AJ4115">
        <v>1</v>
      </c>
      <c r="AK4115">
        <v>0</v>
      </c>
      <c r="AL4115" t="s">
        <v>7672</v>
      </c>
      <c r="AM4115">
        <v>47.059057000000003</v>
      </c>
      <c r="AN4115" t="s">
        <v>7673</v>
      </c>
      <c r="AO4115">
        <v>-123.9979</v>
      </c>
      <c r="AP4115">
        <v>100</v>
      </c>
      <c r="AQ4115">
        <v>-100</v>
      </c>
      <c r="AR4115" t="s">
        <v>118</v>
      </c>
      <c r="AS4115">
        <v>-25</v>
      </c>
      <c r="AT4115">
        <v>44</v>
      </c>
      <c r="AU4115">
        <v>320</v>
      </c>
      <c r="BC4115">
        <v>1200</v>
      </c>
      <c r="BD4115">
        <v>1</v>
      </c>
      <c r="BE4115" t="str">
        <f t="shared" si="194"/>
        <v xml:space="preserve">N215T   </v>
      </c>
      <c r="BF4115">
        <v>1</v>
      </c>
      <c r="BH4115">
        <v>0</v>
      </c>
      <c r="BI4115">
        <v>0</v>
      </c>
      <c r="BJ4115">
        <v>0</v>
      </c>
      <c r="BK4115">
        <v>300</v>
      </c>
      <c r="BL4115">
        <v>400</v>
      </c>
      <c r="BM4115" t="s">
        <v>119</v>
      </c>
      <c r="BN4115">
        <v>1</v>
      </c>
      <c r="BO4115">
        <v>1</v>
      </c>
      <c r="BP4115">
        <v>1</v>
      </c>
      <c r="BQ4115">
        <v>0</v>
      </c>
      <c r="BT4115">
        <v>0</v>
      </c>
      <c r="BU4115">
        <v>0</v>
      </c>
      <c r="BV4115">
        <v>0</v>
      </c>
      <c r="CC4115" t="str">
        <f>"19:43:45.953"</f>
        <v>19:43:45.953</v>
      </c>
      <c r="CD4115" t="str">
        <f>"955614804"</f>
        <v>955614804</v>
      </c>
      <c r="CQ4115">
        <v>0</v>
      </c>
      <c r="CR4115">
        <v>2</v>
      </c>
      <c r="CS4115">
        <v>0</v>
      </c>
      <c r="CT4115">
        <v>2</v>
      </c>
      <c r="CU4115">
        <v>0</v>
      </c>
      <c r="CV4115">
        <v>6</v>
      </c>
      <c r="CW4115" t="s">
        <v>120</v>
      </c>
      <c r="CX4115">
        <v>257</v>
      </c>
      <c r="CY4115">
        <v>0</v>
      </c>
      <c r="CZ4115" t="s">
        <v>615</v>
      </c>
      <c r="DA4115" t="s">
        <v>616</v>
      </c>
      <c r="DD4115">
        <v>16678967</v>
      </c>
      <c r="DE4115" t="s">
        <v>123</v>
      </c>
    </row>
    <row r="4116" spans="1:109" x14ac:dyDescent="0.3">
      <c r="A4116" t="str">
        <f>"19:43:47.266"</f>
        <v>19:43:47.266</v>
      </c>
      <c r="B4116" t="s">
        <v>110</v>
      </c>
      <c r="C4116" t="str">
        <f t="shared" si="192"/>
        <v>ffdfd3c0</v>
      </c>
      <c r="D4116" t="s">
        <v>111</v>
      </c>
      <c r="E4116">
        <v>18</v>
      </c>
      <c r="F4116">
        <v>1018</v>
      </c>
      <c r="G4116" t="s">
        <v>112</v>
      </c>
      <c r="J4116" t="s">
        <v>113</v>
      </c>
      <c r="K4116">
        <v>0</v>
      </c>
      <c r="L4116">
        <v>3</v>
      </c>
      <c r="M4116">
        <v>0</v>
      </c>
      <c r="N4116">
        <v>2</v>
      </c>
      <c r="O4116">
        <v>1</v>
      </c>
      <c r="P4116">
        <v>0</v>
      </c>
      <c r="Q4116">
        <v>0</v>
      </c>
      <c r="R4116" t="s">
        <v>114</v>
      </c>
      <c r="S4116" t="str">
        <f>"19:43:47.047"</f>
        <v>19:43:47.047</v>
      </c>
      <c r="T4116" t="str">
        <f>"19:43:46.750"</f>
        <v>19:43:46.750</v>
      </c>
      <c r="U4116" t="str">
        <f t="shared" si="193"/>
        <v>a1cdbe</v>
      </c>
      <c r="V4116">
        <v>0</v>
      </c>
      <c r="W4116">
        <v>0</v>
      </c>
      <c r="X4116">
        <v>2</v>
      </c>
      <c r="Y4116">
        <v>0</v>
      </c>
      <c r="Z4116">
        <v>0</v>
      </c>
      <c r="AB4116">
        <v>0</v>
      </c>
      <c r="AC4116">
        <v>9</v>
      </c>
      <c r="AD4116">
        <v>3</v>
      </c>
      <c r="AE4116">
        <v>0</v>
      </c>
      <c r="AF4116">
        <v>9</v>
      </c>
      <c r="AG4116" t="s">
        <v>115</v>
      </c>
      <c r="AH4116">
        <v>0</v>
      </c>
      <c r="AI4116">
        <v>0</v>
      </c>
      <c r="AJ4116">
        <v>1</v>
      </c>
      <c r="AK4116">
        <v>0</v>
      </c>
      <c r="AL4116" t="s">
        <v>7674</v>
      </c>
      <c r="AM4116">
        <v>47.059292999999997</v>
      </c>
      <c r="AN4116" t="s">
        <v>7357</v>
      </c>
      <c r="AO4116">
        <v>-123.998029</v>
      </c>
      <c r="AP4116">
        <v>100</v>
      </c>
      <c r="AQ4116">
        <v>-100</v>
      </c>
      <c r="AR4116" t="s">
        <v>118</v>
      </c>
      <c r="AS4116">
        <v>-20</v>
      </c>
      <c r="AT4116">
        <v>46</v>
      </c>
      <c r="AU4116">
        <v>512</v>
      </c>
      <c r="BC4116">
        <v>1200</v>
      </c>
      <c r="BD4116">
        <v>1</v>
      </c>
      <c r="BE4116" t="str">
        <f t="shared" si="194"/>
        <v xml:space="preserve">N215T   </v>
      </c>
      <c r="BF4116">
        <v>1</v>
      </c>
      <c r="BH4116">
        <v>0</v>
      </c>
      <c r="BI4116">
        <v>0</v>
      </c>
      <c r="BJ4116">
        <v>0</v>
      </c>
      <c r="BK4116">
        <v>300</v>
      </c>
      <c r="BL4116">
        <v>400</v>
      </c>
      <c r="BM4116" t="s">
        <v>119</v>
      </c>
      <c r="BN4116">
        <v>1</v>
      </c>
      <c r="BO4116">
        <v>1</v>
      </c>
      <c r="BP4116">
        <v>1</v>
      </c>
      <c r="BQ4116">
        <v>0</v>
      </c>
      <c r="BT4116">
        <v>0</v>
      </c>
      <c r="BU4116">
        <v>0</v>
      </c>
      <c r="BV4116">
        <v>0</v>
      </c>
      <c r="CC4116" t="str">
        <f>"19:43:47.047"</f>
        <v>19:43:47.047</v>
      </c>
      <c r="CD4116" t="str">
        <f>"050506986"</f>
        <v>050506986</v>
      </c>
      <c r="CQ4116">
        <v>0</v>
      </c>
      <c r="CR4116">
        <v>2</v>
      </c>
      <c r="CS4116">
        <v>0</v>
      </c>
      <c r="CT4116">
        <v>2</v>
      </c>
      <c r="CU4116">
        <v>0</v>
      </c>
      <c r="CV4116">
        <v>6</v>
      </c>
      <c r="CW4116" t="s">
        <v>120</v>
      </c>
      <c r="CX4116">
        <v>257</v>
      </c>
      <c r="CY4116">
        <v>0</v>
      </c>
      <c r="CZ4116" t="s">
        <v>615</v>
      </c>
      <c r="DA4116" t="s">
        <v>616</v>
      </c>
      <c r="DD4116">
        <v>16679320</v>
      </c>
      <c r="DE4116" t="s">
        <v>123</v>
      </c>
    </row>
    <row r="4117" spans="1:109" x14ac:dyDescent="0.3">
      <c r="A4117" t="str">
        <f>"19:43:48.367"</f>
        <v>19:43:48.367</v>
      </c>
      <c r="B4117" t="s">
        <v>110</v>
      </c>
      <c r="C4117" t="str">
        <f t="shared" ref="C4117:C4180" si="195">"ffdfd3c0"</f>
        <v>ffdfd3c0</v>
      </c>
      <c r="D4117" t="s">
        <v>111</v>
      </c>
      <c r="E4117">
        <v>18</v>
      </c>
      <c r="F4117">
        <v>1018</v>
      </c>
      <c r="G4117" t="s">
        <v>112</v>
      </c>
      <c r="J4117" t="s">
        <v>113</v>
      </c>
      <c r="K4117">
        <v>0</v>
      </c>
      <c r="L4117">
        <v>3</v>
      </c>
      <c r="M4117">
        <v>0</v>
      </c>
      <c r="N4117">
        <v>2</v>
      </c>
      <c r="O4117">
        <v>1</v>
      </c>
      <c r="P4117">
        <v>0</v>
      </c>
      <c r="Q4117">
        <v>0</v>
      </c>
      <c r="R4117" t="s">
        <v>114</v>
      </c>
      <c r="S4117" t="str">
        <f>"19:43:48.156"</f>
        <v>19:43:48.156</v>
      </c>
      <c r="T4117" t="str">
        <f>"19:43:48.055"</f>
        <v>19:43:48.055</v>
      </c>
      <c r="U4117" t="str">
        <f t="shared" si="193"/>
        <v>a1cdbe</v>
      </c>
      <c r="V4117">
        <v>0</v>
      </c>
      <c r="W4117">
        <v>0</v>
      </c>
      <c r="X4117">
        <v>2</v>
      </c>
      <c r="Y4117">
        <v>0</v>
      </c>
      <c r="Z4117">
        <v>0</v>
      </c>
      <c r="AB4117">
        <v>0</v>
      </c>
      <c r="AC4117">
        <v>9</v>
      </c>
      <c r="AD4117">
        <v>3</v>
      </c>
      <c r="AE4117">
        <v>0</v>
      </c>
      <c r="AF4117">
        <v>9</v>
      </c>
      <c r="AG4117" t="s">
        <v>115</v>
      </c>
      <c r="AH4117">
        <v>0</v>
      </c>
      <c r="AI4117">
        <v>0</v>
      </c>
      <c r="AJ4117">
        <v>1</v>
      </c>
      <c r="AK4117">
        <v>0</v>
      </c>
      <c r="AL4117" t="s">
        <v>7675</v>
      </c>
      <c r="AM4117">
        <v>47.059528999999998</v>
      </c>
      <c r="AN4117" t="s">
        <v>7676</v>
      </c>
      <c r="AO4117">
        <v>-123.998158</v>
      </c>
      <c r="AP4117">
        <v>100</v>
      </c>
      <c r="AQ4117">
        <v>-100</v>
      </c>
      <c r="AR4117" t="s">
        <v>118</v>
      </c>
      <c r="AS4117">
        <v>-18</v>
      </c>
      <c r="AT4117">
        <v>46</v>
      </c>
      <c r="AU4117">
        <v>768</v>
      </c>
      <c r="BC4117">
        <v>1200</v>
      </c>
      <c r="BD4117">
        <v>1</v>
      </c>
      <c r="BE4117" t="str">
        <f t="shared" si="194"/>
        <v xml:space="preserve">N215T   </v>
      </c>
      <c r="BF4117">
        <v>1</v>
      </c>
      <c r="BH4117">
        <v>0</v>
      </c>
      <c r="BI4117">
        <v>0</v>
      </c>
      <c r="BJ4117">
        <v>0</v>
      </c>
      <c r="BK4117">
        <v>325</v>
      </c>
      <c r="BL4117">
        <v>425</v>
      </c>
      <c r="BM4117" t="s">
        <v>119</v>
      </c>
      <c r="BN4117">
        <v>1</v>
      </c>
      <c r="BO4117">
        <v>1</v>
      </c>
      <c r="BP4117">
        <v>1</v>
      </c>
      <c r="BQ4117">
        <v>0</v>
      </c>
      <c r="BT4117">
        <v>0</v>
      </c>
      <c r="BU4117">
        <v>0</v>
      </c>
      <c r="BV4117">
        <v>0</v>
      </c>
      <c r="CC4117" t="str">
        <f>"19:43:48.164"</f>
        <v>19:43:48.164</v>
      </c>
      <c r="CD4117" t="str">
        <f>"160397689"</f>
        <v>160397689</v>
      </c>
      <c r="CQ4117">
        <v>0</v>
      </c>
      <c r="CR4117">
        <v>2</v>
      </c>
      <c r="CS4117">
        <v>0</v>
      </c>
      <c r="CT4117">
        <v>2</v>
      </c>
      <c r="CU4117">
        <v>0</v>
      </c>
      <c r="CV4117">
        <v>6</v>
      </c>
      <c r="CW4117" t="s">
        <v>120</v>
      </c>
      <c r="CX4117">
        <v>257</v>
      </c>
      <c r="CY4117">
        <v>0</v>
      </c>
      <c r="CZ4117" t="s">
        <v>615</v>
      </c>
      <c r="DA4117" t="s">
        <v>616</v>
      </c>
      <c r="DD4117">
        <v>16679692</v>
      </c>
      <c r="DE4117" t="s">
        <v>123</v>
      </c>
    </row>
    <row r="4118" spans="1:109" x14ac:dyDescent="0.3">
      <c r="A4118" t="str">
        <f>"19:43:49.320"</f>
        <v>19:43:49.320</v>
      </c>
      <c r="B4118" t="s">
        <v>110</v>
      </c>
      <c r="C4118" t="str">
        <f t="shared" si="195"/>
        <v>ffdfd3c0</v>
      </c>
      <c r="D4118" t="s">
        <v>111</v>
      </c>
      <c r="E4118">
        <v>18</v>
      </c>
      <c r="F4118">
        <v>1018</v>
      </c>
      <c r="G4118" t="s">
        <v>112</v>
      </c>
      <c r="J4118" t="s">
        <v>113</v>
      </c>
      <c r="K4118">
        <v>0</v>
      </c>
      <c r="L4118">
        <v>3</v>
      </c>
      <c r="M4118">
        <v>0</v>
      </c>
      <c r="N4118">
        <v>2</v>
      </c>
      <c r="O4118">
        <v>1</v>
      </c>
      <c r="P4118">
        <v>0</v>
      </c>
      <c r="Q4118">
        <v>0</v>
      </c>
      <c r="R4118" t="s">
        <v>114</v>
      </c>
      <c r="S4118" t="str">
        <f>"19:43:49.086"</f>
        <v>19:43:49.086</v>
      </c>
      <c r="T4118" t="str">
        <f>"19:43:48.984"</f>
        <v>19:43:48.984</v>
      </c>
      <c r="U4118" t="str">
        <f t="shared" si="193"/>
        <v>a1cdbe</v>
      </c>
      <c r="V4118">
        <v>0</v>
      </c>
      <c r="W4118">
        <v>0</v>
      </c>
      <c r="X4118">
        <v>2</v>
      </c>
      <c r="Y4118">
        <v>0</v>
      </c>
      <c r="Z4118">
        <v>0</v>
      </c>
      <c r="AB4118">
        <v>0</v>
      </c>
      <c r="AC4118">
        <v>9</v>
      </c>
      <c r="AD4118">
        <v>3</v>
      </c>
      <c r="AE4118">
        <v>0</v>
      </c>
      <c r="AF4118">
        <v>9</v>
      </c>
      <c r="AG4118" t="s">
        <v>115</v>
      </c>
      <c r="AH4118">
        <v>0</v>
      </c>
      <c r="AI4118">
        <v>0</v>
      </c>
      <c r="AJ4118">
        <v>1</v>
      </c>
      <c r="AK4118">
        <v>0</v>
      </c>
      <c r="AL4118" t="s">
        <v>7677</v>
      </c>
      <c r="AM4118">
        <v>47.059742999999997</v>
      </c>
      <c r="AN4118" t="s">
        <v>7540</v>
      </c>
      <c r="AO4118">
        <v>-123.99833</v>
      </c>
      <c r="AP4118">
        <v>100</v>
      </c>
      <c r="AQ4118">
        <v>-100</v>
      </c>
      <c r="AR4118" t="s">
        <v>118</v>
      </c>
      <c r="AS4118">
        <v>-17</v>
      </c>
      <c r="AT4118">
        <v>46</v>
      </c>
      <c r="AU4118">
        <v>704</v>
      </c>
      <c r="BC4118">
        <v>1200</v>
      </c>
      <c r="BD4118">
        <v>1</v>
      </c>
      <c r="BE4118" t="str">
        <f t="shared" si="194"/>
        <v xml:space="preserve">N215T   </v>
      </c>
      <c r="BF4118">
        <v>1</v>
      </c>
      <c r="BH4118">
        <v>0</v>
      </c>
      <c r="BI4118">
        <v>0</v>
      </c>
      <c r="BJ4118">
        <v>0</v>
      </c>
      <c r="BK4118">
        <v>325</v>
      </c>
      <c r="BL4118">
        <v>425</v>
      </c>
      <c r="BM4118" t="s">
        <v>119</v>
      </c>
      <c r="BN4118">
        <v>1</v>
      </c>
      <c r="BO4118">
        <v>1</v>
      </c>
      <c r="BP4118">
        <v>1</v>
      </c>
      <c r="BQ4118">
        <v>0</v>
      </c>
      <c r="BT4118">
        <v>0</v>
      </c>
      <c r="BU4118">
        <v>0</v>
      </c>
      <c r="BV4118">
        <v>0</v>
      </c>
      <c r="CC4118" t="str">
        <f>"19:43:49.094"</f>
        <v>19:43:49.094</v>
      </c>
      <c r="CD4118" t="str">
        <f>"090306134"</f>
        <v>090306134</v>
      </c>
      <c r="CQ4118">
        <v>0</v>
      </c>
      <c r="CR4118">
        <v>2</v>
      </c>
      <c r="CS4118">
        <v>0</v>
      </c>
      <c r="CT4118">
        <v>2</v>
      </c>
      <c r="CU4118">
        <v>0</v>
      </c>
      <c r="CV4118">
        <v>5</v>
      </c>
      <c r="CW4118" t="s">
        <v>120</v>
      </c>
      <c r="CX4118">
        <v>257</v>
      </c>
      <c r="CY4118">
        <v>0</v>
      </c>
      <c r="CZ4118" t="s">
        <v>615</v>
      </c>
      <c r="DA4118" t="s">
        <v>616</v>
      </c>
      <c r="DD4118">
        <v>16679962</v>
      </c>
      <c r="DE4118" t="s">
        <v>123</v>
      </c>
    </row>
    <row r="4119" spans="1:109" x14ac:dyDescent="0.3">
      <c r="A4119" t="str">
        <f>"19:43:50.328"</f>
        <v>19:43:50.328</v>
      </c>
      <c r="B4119" t="s">
        <v>110</v>
      </c>
      <c r="C4119" t="str">
        <f t="shared" si="195"/>
        <v>ffdfd3c0</v>
      </c>
      <c r="D4119" t="s">
        <v>111</v>
      </c>
      <c r="E4119">
        <v>18</v>
      </c>
      <c r="F4119">
        <v>1018</v>
      </c>
      <c r="G4119" t="s">
        <v>112</v>
      </c>
      <c r="J4119" t="s">
        <v>113</v>
      </c>
      <c r="K4119">
        <v>0</v>
      </c>
      <c r="L4119">
        <v>3</v>
      </c>
      <c r="M4119">
        <v>0</v>
      </c>
      <c r="N4119">
        <v>2</v>
      </c>
      <c r="O4119">
        <v>1</v>
      </c>
      <c r="P4119">
        <v>0</v>
      </c>
      <c r="Q4119">
        <v>0</v>
      </c>
      <c r="R4119" t="s">
        <v>114</v>
      </c>
      <c r="S4119" t="str">
        <f>"19:43:50.063"</f>
        <v>19:43:50.063</v>
      </c>
      <c r="T4119" t="str">
        <f>"19:43:49.961"</f>
        <v>19:43:49.961</v>
      </c>
      <c r="U4119" t="str">
        <f t="shared" si="193"/>
        <v>a1cdbe</v>
      </c>
      <c r="V4119">
        <v>0</v>
      </c>
      <c r="W4119">
        <v>0</v>
      </c>
      <c r="X4119">
        <v>2</v>
      </c>
      <c r="Y4119">
        <v>0</v>
      </c>
      <c r="Z4119">
        <v>0</v>
      </c>
      <c r="AB4119">
        <v>0</v>
      </c>
      <c r="AC4119">
        <v>9</v>
      </c>
      <c r="AD4119">
        <v>3</v>
      </c>
      <c r="AE4119">
        <v>0</v>
      </c>
      <c r="AF4119">
        <v>9</v>
      </c>
      <c r="AG4119" t="s">
        <v>115</v>
      </c>
      <c r="AH4119">
        <v>0</v>
      </c>
      <c r="AI4119">
        <v>0</v>
      </c>
      <c r="AJ4119">
        <v>1</v>
      </c>
      <c r="AK4119">
        <v>0</v>
      </c>
      <c r="AL4119" t="s">
        <v>7678</v>
      </c>
      <c r="AM4119">
        <v>47.059936999999998</v>
      </c>
      <c r="AN4119" t="s">
        <v>7679</v>
      </c>
      <c r="AO4119">
        <v>-123.998437</v>
      </c>
      <c r="AP4119">
        <v>100</v>
      </c>
      <c r="AQ4119">
        <v>-100</v>
      </c>
      <c r="AR4119" t="s">
        <v>118</v>
      </c>
      <c r="AS4119">
        <v>-16</v>
      </c>
      <c r="AT4119">
        <v>46</v>
      </c>
      <c r="AU4119">
        <v>704</v>
      </c>
      <c r="BC4119">
        <v>1200</v>
      </c>
      <c r="BD4119">
        <v>1</v>
      </c>
      <c r="BE4119" t="str">
        <f t="shared" si="194"/>
        <v xml:space="preserve">N215T   </v>
      </c>
      <c r="BF4119">
        <v>1</v>
      </c>
      <c r="BH4119">
        <v>0</v>
      </c>
      <c r="BI4119">
        <v>0</v>
      </c>
      <c r="BJ4119">
        <v>0</v>
      </c>
      <c r="BK4119">
        <v>325</v>
      </c>
      <c r="BL4119">
        <v>425</v>
      </c>
      <c r="BM4119" t="s">
        <v>119</v>
      </c>
      <c r="BN4119">
        <v>1</v>
      </c>
      <c r="BO4119">
        <v>1</v>
      </c>
      <c r="BP4119">
        <v>1</v>
      </c>
      <c r="BQ4119">
        <v>0</v>
      </c>
      <c r="BT4119">
        <v>0</v>
      </c>
      <c r="BU4119">
        <v>0</v>
      </c>
      <c r="BV4119">
        <v>0</v>
      </c>
      <c r="CC4119" t="str">
        <f>"19:43:50.063"</f>
        <v>19:43:50.063</v>
      </c>
      <c r="CD4119" t="str">
        <f>"065210126"</f>
        <v>065210126</v>
      </c>
      <c r="CQ4119">
        <v>0</v>
      </c>
      <c r="CR4119">
        <v>2</v>
      </c>
      <c r="CS4119">
        <v>0</v>
      </c>
      <c r="CT4119">
        <v>2</v>
      </c>
      <c r="CU4119">
        <v>0</v>
      </c>
      <c r="CV4119">
        <v>5</v>
      </c>
      <c r="CW4119" t="s">
        <v>120</v>
      </c>
      <c r="CX4119">
        <v>257</v>
      </c>
      <c r="CY4119">
        <v>0</v>
      </c>
      <c r="CZ4119" t="s">
        <v>615</v>
      </c>
      <c r="DA4119" t="s">
        <v>616</v>
      </c>
      <c r="DD4119">
        <v>16680254</v>
      </c>
      <c r="DE4119" t="s">
        <v>123</v>
      </c>
    </row>
    <row r="4120" spans="1:109" x14ac:dyDescent="0.3">
      <c r="A4120" t="str">
        <f>"19:43:51.281"</f>
        <v>19:43:51.281</v>
      </c>
      <c r="B4120" t="s">
        <v>110</v>
      </c>
      <c r="C4120" t="str">
        <f t="shared" si="195"/>
        <v>ffdfd3c0</v>
      </c>
      <c r="D4120" t="s">
        <v>111</v>
      </c>
      <c r="E4120">
        <v>18</v>
      </c>
      <c r="F4120">
        <v>1018</v>
      </c>
      <c r="G4120" t="s">
        <v>112</v>
      </c>
      <c r="J4120" t="s">
        <v>113</v>
      </c>
      <c r="K4120">
        <v>0</v>
      </c>
      <c r="L4120">
        <v>3</v>
      </c>
      <c r="M4120">
        <v>0</v>
      </c>
      <c r="N4120">
        <v>2</v>
      </c>
      <c r="O4120">
        <v>1</v>
      </c>
      <c r="P4120">
        <v>0</v>
      </c>
      <c r="Q4120">
        <v>0</v>
      </c>
      <c r="R4120" t="s">
        <v>114</v>
      </c>
      <c r="S4120" t="str">
        <f>"19:43:51.039"</f>
        <v>19:43:51.039</v>
      </c>
      <c r="T4120" t="str">
        <f>"19:43:50.539"</f>
        <v>19:43:50.539</v>
      </c>
      <c r="U4120" t="str">
        <f t="shared" si="193"/>
        <v>a1cdbe</v>
      </c>
      <c r="V4120">
        <v>0</v>
      </c>
      <c r="W4120">
        <v>0</v>
      </c>
      <c r="X4120">
        <v>2</v>
      </c>
      <c r="Y4120">
        <v>0</v>
      </c>
      <c r="Z4120">
        <v>0</v>
      </c>
      <c r="AB4120">
        <v>0</v>
      </c>
      <c r="AC4120">
        <v>9</v>
      </c>
      <c r="AD4120">
        <v>3</v>
      </c>
      <c r="AE4120">
        <v>0</v>
      </c>
      <c r="AF4120">
        <v>9</v>
      </c>
      <c r="AG4120" t="s">
        <v>115</v>
      </c>
      <c r="AH4120">
        <v>0</v>
      </c>
      <c r="AI4120">
        <v>0</v>
      </c>
      <c r="AJ4120">
        <v>1</v>
      </c>
      <c r="AK4120">
        <v>0</v>
      </c>
      <c r="AL4120" t="s">
        <v>7380</v>
      </c>
      <c r="AM4120">
        <v>47.060172999999999</v>
      </c>
      <c r="AN4120" t="s">
        <v>7680</v>
      </c>
      <c r="AO4120">
        <v>-123.998458</v>
      </c>
      <c r="AP4120">
        <v>100</v>
      </c>
      <c r="AQ4120">
        <v>0</v>
      </c>
      <c r="AR4120" t="s">
        <v>118</v>
      </c>
      <c r="AS4120">
        <v>-16</v>
      </c>
      <c r="AT4120">
        <v>45</v>
      </c>
      <c r="AU4120">
        <v>704</v>
      </c>
      <c r="BC4120">
        <v>1200</v>
      </c>
      <c r="BD4120">
        <v>1</v>
      </c>
      <c r="BE4120" t="str">
        <f t="shared" si="194"/>
        <v xml:space="preserve">N215T   </v>
      </c>
      <c r="BF4120">
        <v>1</v>
      </c>
      <c r="BH4120">
        <v>0</v>
      </c>
      <c r="BI4120">
        <v>0</v>
      </c>
      <c r="BJ4120">
        <v>0</v>
      </c>
      <c r="BK4120">
        <v>350</v>
      </c>
      <c r="BL4120">
        <v>350</v>
      </c>
      <c r="BM4120" t="s">
        <v>119</v>
      </c>
      <c r="BN4120">
        <v>1</v>
      </c>
      <c r="BO4120">
        <v>1</v>
      </c>
      <c r="BP4120">
        <v>1</v>
      </c>
      <c r="BQ4120">
        <v>0</v>
      </c>
      <c r="BT4120">
        <v>0</v>
      </c>
      <c r="BU4120">
        <v>0</v>
      </c>
      <c r="BV4120">
        <v>0</v>
      </c>
      <c r="CC4120" t="str">
        <f>"19:43:51.039"</f>
        <v>19:43:51.039</v>
      </c>
      <c r="CD4120" t="str">
        <f>"040114145"</f>
        <v>040114145</v>
      </c>
      <c r="CQ4120">
        <v>0</v>
      </c>
      <c r="CR4120">
        <v>2</v>
      </c>
      <c r="CS4120">
        <v>0</v>
      </c>
      <c r="CT4120">
        <v>2</v>
      </c>
      <c r="CU4120">
        <v>0</v>
      </c>
      <c r="CV4120">
        <v>5</v>
      </c>
      <c r="CW4120" t="s">
        <v>120</v>
      </c>
      <c r="CX4120">
        <v>257</v>
      </c>
      <c r="CY4120">
        <v>0</v>
      </c>
      <c r="CZ4120" t="s">
        <v>615</v>
      </c>
      <c r="DA4120" t="s">
        <v>616</v>
      </c>
      <c r="DD4120">
        <v>16680566</v>
      </c>
      <c r="DE4120" t="s">
        <v>123</v>
      </c>
    </row>
    <row r="4121" spans="1:109" x14ac:dyDescent="0.3">
      <c r="A4121" t="str">
        <f>"19:43:52.344"</f>
        <v>19:43:52.344</v>
      </c>
      <c r="B4121" t="s">
        <v>110</v>
      </c>
      <c r="C4121" t="str">
        <f t="shared" si="195"/>
        <v>ffdfd3c0</v>
      </c>
      <c r="D4121" t="s">
        <v>111</v>
      </c>
      <c r="E4121">
        <v>18</v>
      </c>
      <c r="F4121">
        <v>1018</v>
      </c>
      <c r="G4121" t="s">
        <v>112</v>
      </c>
      <c r="J4121" t="s">
        <v>113</v>
      </c>
      <c r="K4121">
        <v>0</v>
      </c>
      <c r="L4121">
        <v>3</v>
      </c>
      <c r="M4121">
        <v>0</v>
      </c>
      <c r="N4121">
        <v>2</v>
      </c>
      <c r="O4121">
        <v>1</v>
      </c>
      <c r="P4121">
        <v>0</v>
      </c>
      <c r="Q4121">
        <v>0</v>
      </c>
      <c r="R4121" t="s">
        <v>114</v>
      </c>
      <c r="S4121" t="str">
        <f>"19:43:52.086"</f>
        <v>19:43:52.086</v>
      </c>
      <c r="T4121" t="str">
        <f>"19:43:52.086"</f>
        <v>19:43:52.086</v>
      </c>
      <c r="U4121" t="str">
        <f t="shared" si="193"/>
        <v>a1cdbe</v>
      </c>
      <c r="V4121">
        <v>0</v>
      </c>
      <c r="W4121">
        <v>0</v>
      </c>
      <c r="X4121">
        <v>2</v>
      </c>
      <c r="Y4121">
        <v>0</v>
      </c>
      <c r="Z4121">
        <v>0</v>
      </c>
      <c r="AB4121">
        <v>0</v>
      </c>
      <c r="AC4121">
        <v>9</v>
      </c>
      <c r="AD4121">
        <v>3</v>
      </c>
      <c r="AE4121">
        <v>0</v>
      </c>
      <c r="AF4121">
        <v>9</v>
      </c>
      <c r="AG4121" t="s">
        <v>115</v>
      </c>
      <c r="AH4121">
        <v>0</v>
      </c>
      <c r="AI4121">
        <v>0</v>
      </c>
      <c r="AJ4121">
        <v>1</v>
      </c>
      <c r="AK4121">
        <v>0</v>
      </c>
      <c r="AL4121" t="s">
        <v>508</v>
      </c>
      <c r="AM4121">
        <v>47.060344000000001</v>
      </c>
      <c r="AN4121" t="s">
        <v>7681</v>
      </c>
      <c r="AO4121">
        <v>-123.998566</v>
      </c>
      <c r="AP4121">
        <v>100</v>
      </c>
      <c r="AQ4121">
        <v>0</v>
      </c>
      <c r="AR4121" t="s">
        <v>118</v>
      </c>
      <c r="AS4121">
        <v>-16</v>
      </c>
      <c r="AT4121">
        <v>43</v>
      </c>
      <c r="AU4121">
        <v>640</v>
      </c>
      <c r="BC4121">
        <v>1200</v>
      </c>
      <c r="BD4121">
        <v>1</v>
      </c>
      <c r="BE4121" t="str">
        <f t="shared" si="194"/>
        <v xml:space="preserve">N215T   </v>
      </c>
      <c r="BF4121">
        <v>1</v>
      </c>
      <c r="BH4121">
        <v>0</v>
      </c>
      <c r="BI4121">
        <v>0</v>
      </c>
      <c r="BJ4121">
        <v>0</v>
      </c>
      <c r="BK4121">
        <v>350</v>
      </c>
      <c r="BL4121">
        <v>350</v>
      </c>
      <c r="BM4121" t="s">
        <v>119</v>
      </c>
      <c r="BN4121">
        <v>1</v>
      </c>
      <c r="BO4121">
        <v>1</v>
      </c>
      <c r="BP4121">
        <v>1</v>
      </c>
      <c r="BQ4121">
        <v>0</v>
      </c>
      <c r="BT4121">
        <v>0</v>
      </c>
      <c r="BU4121">
        <v>0</v>
      </c>
      <c r="BV4121">
        <v>0</v>
      </c>
      <c r="CC4121" t="str">
        <f>"19:43:52.094"</f>
        <v>19:43:52.094</v>
      </c>
      <c r="CD4121" t="str">
        <f>"090010719"</f>
        <v>090010719</v>
      </c>
      <c r="CQ4121">
        <v>0</v>
      </c>
      <c r="CR4121">
        <v>2</v>
      </c>
      <c r="CS4121">
        <v>0</v>
      </c>
      <c r="CT4121">
        <v>2</v>
      </c>
      <c r="CU4121">
        <v>0</v>
      </c>
      <c r="CV4121">
        <v>5</v>
      </c>
      <c r="CW4121" t="s">
        <v>120</v>
      </c>
      <c r="CX4121">
        <v>257</v>
      </c>
      <c r="CY4121">
        <v>0</v>
      </c>
      <c r="CZ4121" t="s">
        <v>615</v>
      </c>
      <c r="DA4121" t="s">
        <v>616</v>
      </c>
      <c r="DD4121">
        <v>16680920</v>
      </c>
      <c r="DE4121" t="s">
        <v>123</v>
      </c>
    </row>
    <row r="4122" spans="1:109" x14ac:dyDescent="0.3">
      <c r="A4122" t="str">
        <f>"19:43:53.242"</f>
        <v>19:43:53.242</v>
      </c>
      <c r="B4122" t="s">
        <v>110</v>
      </c>
      <c r="C4122" t="str">
        <f t="shared" si="195"/>
        <v>ffdfd3c0</v>
      </c>
      <c r="D4122" t="s">
        <v>111</v>
      </c>
      <c r="E4122">
        <v>18</v>
      </c>
      <c r="F4122">
        <v>1018</v>
      </c>
      <c r="G4122" t="s">
        <v>112</v>
      </c>
      <c r="J4122" t="s">
        <v>113</v>
      </c>
      <c r="K4122">
        <v>0</v>
      </c>
      <c r="L4122">
        <v>3</v>
      </c>
      <c r="M4122">
        <v>0</v>
      </c>
      <c r="N4122">
        <v>2</v>
      </c>
      <c r="O4122">
        <v>1</v>
      </c>
      <c r="P4122">
        <v>0</v>
      </c>
      <c r="Q4122">
        <v>0</v>
      </c>
      <c r="R4122" t="s">
        <v>114</v>
      </c>
      <c r="S4122" t="str">
        <f>"19:43:53.000"</f>
        <v>19:43:53.000</v>
      </c>
      <c r="T4122" t="str">
        <f>"19:43:52.500"</f>
        <v>19:43:52.500</v>
      </c>
      <c r="U4122" t="str">
        <f t="shared" si="193"/>
        <v>a1cdbe</v>
      </c>
      <c r="V4122">
        <v>0</v>
      </c>
      <c r="W4122">
        <v>0</v>
      </c>
      <c r="X4122">
        <v>2</v>
      </c>
      <c r="Y4122">
        <v>0</v>
      </c>
      <c r="Z4122">
        <v>0</v>
      </c>
      <c r="AB4122">
        <v>0</v>
      </c>
      <c r="AC4122">
        <v>9</v>
      </c>
      <c r="AD4122">
        <v>3</v>
      </c>
      <c r="AE4122">
        <v>0</v>
      </c>
      <c r="AF4122">
        <v>9</v>
      </c>
      <c r="AG4122" t="s">
        <v>115</v>
      </c>
      <c r="AH4122">
        <v>0</v>
      </c>
      <c r="AI4122">
        <v>0</v>
      </c>
      <c r="AJ4122">
        <v>1</v>
      </c>
      <c r="AK4122">
        <v>0</v>
      </c>
      <c r="AL4122" t="s">
        <v>7386</v>
      </c>
      <c r="AM4122">
        <v>47.060536999999997</v>
      </c>
      <c r="AN4122" t="s">
        <v>7682</v>
      </c>
      <c r="AO4122">
        <v>-123.99873700000001</v>
      </c>
      <c r="AP4122">
        <v>100</v>
      </c>
      <c r="AQ4122">
        <v>0</v>
      </c>
      <c r="AR4122" t="s">
        <v>118</v>
      </c>
      <c r="AS4122">
        <v>-17</v>
      </c>
      <c r="AT4122">
        <v>42</v>
      </c>
      <c r="AU4122">
        <v>512</v>
      </c>
      <c r="BC4122">
        <v>1200</v>
      </c>
      <c r="BD4122">
        <v>1</v>
      </c>
      <c r="BE4122" t="str">
        <f t="shared" si="194"/>
        <v xml:space="preserve">N215T   </v>
      </c>
      <c r="BF4122">
        <v>1</v>
      </c>
      <c r="BH4122">
        <v>0</v>
      </c>
      <c r="BI4122">
        <v>0</v>
      </c>
      <c r="BJ4122">
        <v>0</v>
      </c>
      <c r="BK4122">
        <v>375</v>
      </c>
      <c r="BL4122">
        <v>375</v>
      </c>
      <c r="BM4122" t="s">
        <v>119</v>
      </c>
      <c r="BN4122">
        <v>1</v>
      </c>
      <c r="BO4122">
        <v>1</v>
      </c>
      <c r="BP4122">
        <v>1</v>
      </c>
      <c r="BQ4122">
        <v>0</v>
      </c>
      <c r="BT4122">
        <v>0</v>
      </c>
      <c r="BU4122">
        <v>0</v>
      </c>
      <c r="BV4122">
        <v>0</v>
      </c>
      <c r="CC4122" t="str">
        <f>"19:43:53.008"</f>
        <v>19:43:53.008</v>
      </c>
      <c r="CD4122" t="str">
        <f>"004920627"</f>
        <v>004920627</v>
      </c>
      <c r="CQ4122">
        <v>0</v>
      </c>
      <c r="CR4122">
        <v>2</v>
      </c>
      <c r="CS4122">
        <v>0</v>
      </c>
      <c r="CT4122">
        <v>2</v>
      </c>
      <c r="CU4122">
        <v>0</v>
      </c>
      <c r="CV4122">
        <v>5</v>
      </c>
      <c r="CW4122" t="s">
        <v>120</v>
      </c>
      <c r="CX4122">
        <v>257</v>
      </c>
      <c r="CY4122">
        <v>0</v>
      </c>
      <c r="CZ4122" t="s">
        <v>615</v>
      </c>
      <c r="DA4122" t="s">
        <v>616</v>
      </c>
      <c r="DD4122">
        <v>16681168</v>
      </c>
      <c r="DE4122" t="s">
        <v>123</v>
      </c>
    </row>
    <row r="4123" spans="1:109" x14ac:dyDescent="0.3">
      <c r="A4123" t="str">
        <f>"19:43:54.297"</f>
        <v>19:43:54.297</v>
      </c>
      <c r="B4123" t="s">
        <v>110</v>
      </c>
      <c r="C4123" t="str">
        <f t="shared" si="195"/>
        <v>ffdfd3c0</v>
      </c>
      <c r="D4123" t="s">
        <v>111</v>
      </c>
      <c r="E4123">
        <v>18</v>
      </c>
      <c r="F4123">
        <v>1018</v>
      </c>
      <c r="G4123" t="s">
        <v>112</v>
      </c>
      <c r="J4123" t="s">
        <v>113</v>
      </c>
      <c r="K4123">
        <v>0</v>
      </c>
      <c r="L4123">
        <v>3</v>
      </c>
      <c r="M4123">
        <v>0</v>
      </c>
      <c r="N4123">
        <v>2</v>
      </c>
      <c r="O4123">
        <v>1</v>
      </c>
      <c r="P4123">
        <v>0</v>
      </c>
      <c r="Q4123">
        <v>0</v>
      </c>
      <c r="R4123" t="s">
        <v>114</v>
      </c>
      <c r="S4123" t="str">
        <f>"19:43:54.008"</f>
        <v>19:43:54.008</v>
      </c>
      <c r="T4123" t="str">
        <f>"19:43:53.711"</f>
        <v>19:43:53.711</v>
      </c>
      <c r="U4123" t="str">
        <f t="shared" si="193"/>
        <v>a1cdbe</v>
      </c>
      <c r="V4123">
        <v>0</v>
      </c>
      <c r="W4123">
        <v>0</v>
      </c>
      <c r="X4123">
        <v>2</v>
      </c>
      <c r="Y4123">
        <v>0</v>
      </c>
      <c r="Z4123">
        <v>0</v>
      </c>
      <c r="AB4123">
        <v>0</v>
      </c>
      <c r="AC4123">
        <v>9</v>
      </c>
      <c r="AD4123">
        <v>3</v>
      </c>
      <c r="AE4123">
        <v>0</v>
      </c>
      <c r="AF4123">
        <v>9</v>
      </c>
      <c r="AG4123" t="s">
        <v>115</v>
      </c>
      <c r="AH4123">
        <v>0</v>
      </c>
      <c r="AI4123">
        <v>0</v>
      </c>
      <c r="AJ4123">
        <v>1</v>
      </c>
      <c r="AK4123">
        <v>0</v>
      </c>
      <c r="AL4123" t="s">
        <v>7683</v>
      </c>
      <c r="AM4123">
        <v>47.060709000000003</v>
      </c>
      <c r="AN4123" t="s">
        <v>7684</v>
      </c>
      <c r="AO4123">
        <v>-123.998845</v>
      </c>
      <c r="AP4123">
        <v>100</v>
      </c>
      <c r="AQ4123">
        <v>0</v>
      </c>
      <c r="AR4123" t="s">
        <v>118</v>
      </c>
      <c r="AS4123">
        <v>-19</v>
      </c>
      <c r="AT4123">
        <v>41</v>
      </c>
      <c r="AU4123">
        <v>256</v>
      </c>
      <c r="BC4123">
        <v>1200</v>
      </c>
      <c r="BD4123">
        <v>1</v>
      </c>
      <c r="BE4123" t="str">
        <f t="shared" si="194"/>
        <v xml:space="preserve">N215T   </v>
      </c>
      <c r="BF4123">
        <v>1</v>
      </c>
      <c r="BH4123">
        <v>0</v>
      </c>
      <c r="BI4123">
        <v>0</v>
      </c>
      <c r="BJ4123">
        <v>0</v>
      </c>
      <c r="BK4123">
        <v>375</v>
      </c>
      <c r="BL4123">
        <v>375</v>
      </c>
      <c r="BM4123" t="s">
        <v>119</v>
      </c>
      <c r="BN4123">
        <v>1</v>
      </c>
      <c r="BO4123">
        <v>1</v>
      </c>
      <c r="BP4123">
        <v>1</v>
      </c>
      <c r="BQ4123">
        <v>0</v>
      </c>
      <c r="BT4123">
        <v>0</v>
      </c>
      <c r="BU4123">
        <v>0</v>
      </c>
      <c r="BV4123">
        <v>0</v>
      </c>
      <c r="CC4123" t="str">
        <f>"19:43:54.008"</f>
        <v>19:43:54.008</v>
      </c>
      <c r="CD4123" t="str">
        <f>"009821668"</f>
        <v>009821668</v>
      </c>
      <c r="CQ4123">
        <v>0</v>
      </c>
      <c r="CR4123">
        <v>2</v>
      </c>
      <c r="CS4123">
        <v>0</v>
      </c>
      <c r="CT4123">
        <v>2</v>
      </c>
      <c r="CU4123">
        <v>0</v>
      </c>
      <c r="CV4123">
        <v>6</v>
      </c>
      <c r="CW4123" t="s">
        <v>120</v>
      </c>
      <c r="CX4123">
        <v>257</v>
      </c>
      <c r="CY4123">
        <v>0</v>
      </c>
      <c r="CZ4123" t="s">
        <v>615</v>
      </c>
      <c r="DA4123" t="s">
        <v>616</v>
      </c>
      <c r="DD4123">
        <v>16681463</v>
      </c>
      <c r="DE4123" t="s">
        <v>123</v>
      </c>
    </row>
    <row r="4124" spans="1:109" x14ac:dyDescent="0.3">
      <c r="A4124" t="str">
        <f>"19:43:55.305"</f>
        <v>19:43:55.305</v>
      </c>
      <c r="B4124" t="s">
        <v>110</v>
      </c>
      <c r="C4124" t="str">
        <f t="shared" si="195"/>
        <v>ffdfd3c0</v>
      </c>
      <c r="D4124" t="s">
        <v>111</v>
      </c>
      <c r="E4124">
        <v>18</v>
      </c>
      <c r="F4124">
        <v>1018</v>
      </c>
      <c r="G4124" t="s">
        <v>112</v>
      </c>
      <c r="J4124" t="s">
        <v>113</v>
      </c>
      <c r="K4124">
        <v>0</v>
      </c>
      <c r="L4124">
        <v>3</v>
      </c>
      <c r="M4124">
        <v>0</v>
      </c>
      <c r="N4124">
        <v>2</v>
      </c>
      <c r="O4124">
        <v>1</v>
      </c>
      <c r="P4124">
        <v>0</v>
      </c>
      <c r="Q4124">
        <v>0</v>
      </c>
      <c r="R4124" t="s">
        <v>114</v>
      </c>
      <c r="S4124" t="str">
        <f>"19:43:55.070"</f>
        <v>19:43:55.070</v>
      </c>
      <c r="T4124" t="str">
        <f>"19:43:54.672"</f>
        <v>19:43:54.672</v>
      </c>
      <c r="U4124" t="str">
        <f t="shared" si="193"/>
        <v>a1cdbe</v>
      </c>
      <c r="V4124">
        <v>0</v>
      </c>
      <c r="W4124">
        <v>0</v>
      </c>
      <c r="X4124">
        <v>2</v>
      </c>
      <c r="Y4124">
        <v>0</v>
      </c>
      <c r="Z4124">
        <v>0</v>
      </c>
      <c r="AB4124">
        <v>0</v>
      </c>
      <c r="AC4124">
        <v>9</v>
      </c>
      <c r="AD4124">
        <v>3</v>
      </c>
      <c r="AE4124">
        <v>0</v>
      </c>
      <c r="AF4124">
        <v>9</v>
      </c>
      <c r="AG4124" t="s">
        <v>115</v>
      </c>
      <c r="AH4124">
        <v>0</v>
      </c>
      <c r="AI4124">
        <v>0</v>
      </c>
      <c r="AJ4124">
        <v>1</v>
      </c>
      <c r="AK4124">
        <v>0</v>
      </c>
      <c r="AL4124" t="s">
        <v>7685</v>
      </c>
      <c r="AM4124">
        <v>47.060924</v>
      </c>
      <c r="AN4124" t="s">
        <v>7358</v>
      </c>
      <c r="AO4124">
        <v>-123.998952</v>
      </c>
      <c r="AP4124">
        <v>100</v>
      </c>
      <c r="AQ4124">
        <v>0</v>
      </c>
      <c r="AR4124" t="s">
        <v>118</v>
      </c>
      <c r="AS4124">
        <v>-20</v>
      </c>
      <c r="AT4124">
        <v>41</v>
      </c>
      <c r="AU4124">
        <v>384</v>
      </c>
      <c r="BC4124">
        <v>1200</v>
      </c>
      <c r="BD4124">
        <v>1</v>
      </c>
      <c r="BE4124" t="str">
        <f t="shared" si="194"/>
        <v xml:space="preserve">N215T   </v>
      </c>
      <c r="BF4124">
        <v>1</v>
      </c>
      <c r="BH4124">
        <v>0</v>
      </c>
      <c r="BI4124">
        <v>0</v>
      </c>
      <c r="BJ4124">
        <v>0</v>
      </c>
      <c r="BK4124">
        <v>375</v>
      </c>
      <c r="BL4124">
        <v>375</v>
      </c>
      <c r="BM4124" t="s">
        <v>119</v>
      </c>
      <c r="BN4124">
        <v>1</v>
      </c>
      <c r="BO4124">
        <v>1</v>
      </c>
      <c r="BP4124">
        <v>1</v>
      </c>
      <c r="BQ4124">
        <v>0</v>
      </c>
      <c r="BT4124">
        <v>0</v>
      </c>
      <c r="BU4124">
        <v>0</v>
      </c>
      <c r="BV4124">
        <v>0</v>
      </c>
      <c r="CC4124" t="str">
        <f>"19:43:55.078"</f>
        <v>19:43:55.078</v>
      </c>
      <c r="CD4124" t="str">
        <f>"074716793"</f>
        <v>074716793</v>
      </c>
      <c r="CQ4124">
        <v>0</v>
      </c>
      <c r="CR4124">
        <v>2</v>
      </c>
      <c r="CS4124">
        <v>0</v>
      </c>
      <c r="CT4124">
        <v>2</v>
      </c>
      <c r="CU4124">
        <v>0</v>
      </c>
      <c r="CV4124">
        <v>6</v>
      </c>
      <c r="CW4124" t="s">
        <v>120</v>
      </c>
      <c r="CX4124">
        <v>257</v>
      </c>
      <c r="CY4124">
        <v>0</v>
      </c>
      <c r="CZ4124" t="s">
        <v>615</v>
      </c>
      <c r="DA4124" t="s">
        <v>616</v>
      </c>
      <c r="DD4124">
        <v>16681772</v>
      </c>
      <c r="DE4124" t="s">
        <v>123</v>
      </c>
    </row>
    <row r="4125" spans="1:109" x14ac:dyDescent="0.3">
      <c r="A4125" t="str">
        <f>"19:43:56.164"</f>
        <v>19:43:56.164</v>
      </c>
      <c r="B4125" t="s">
        <v>110</v>
      </c>
      <c r="C4125" t="str">
        <f t="shared" si="195"/>
        <v>ffdfd3c0</v>
      </c>
      <c r="D4125" t="s">
        <v>111</v>
      </c>
      <c r="E4125">
        <v>18</v>
      </c>
      <c r="F4125">
        <v>1018</v>
      </c>
      <c r="G4125" t="s">
        <v>112</v>
      </c>
      <c r="J4125" t="s">
        <v>113</v>
      </c>
      <c r="K4125">
        <v>0</v>
      </c>
      <c r="L4125">
        <v>3</v>
      </c>
      <c r="M4125">
        <v>0</v>
      </c>
      <c r="N4125">
        <v>2</v>
      </c>
      <c r="O4125">
        <v>1</v>
      </c>
      <c r="P4125">
        <v>0</v>
      </c>
      <c r="Q4125">
        <v>0</v>
      </c>
      <c r="R4125" t="s">
        <v>114</v>
      </c>
      <c r="S4125" t="str">
        <f>"19:43:55.898"</f>
        <v>19:43:55.898</v>
      </c>
      <c r="T4125" t="str">
        <f>"19:43:55.602"</f>
        <v>19:43:55.602</v>
      </c>
      <c r="U4125" t="str">
        <f t="shared" si="193"/>
        <v>a1cdbe</v>
      </c>
      <c r="V4125">
        <v>0</v>
      </c>
      <c r="W4125">
        <v>0</v>
      </c>
      <c r="X4125">
        <v>2</v>
      </c>
      <c r="Y4125">
        <v>0</v>
      </c>
      <c r="Z4125">
        <v>0</v>
      </c>
      <c r="AB4125">
        <v>0</v>
      </c>
      <c r="AC4125">
        <v>9</v>
      </c>
      <c r="AD4125">
        <v>3</v>
      </c>
      <c r="AE4125">
        <v>0</v>
      </c>
      <c r="AF4125">
        <v>9</v>
      </c>
      <c r="AG4125" t="s">
        <v>115</v>
      </c>
      <c r="AH4125">
        <v>0</v>
      </c>
      <c r="AI4125">
        <v>0</v>
      </c>
      <c r="AJ4125">
        <v>1</v>
      </c>
      <c r="AK4125">
        <v>0</v>
      </c>
      <c r="AL4125" t="s">
        <v>7686</v>
      </c>
      <c r="AM4125">
        <v>47.061051999999997</v>
      </c>
      <c r="AN4125" t="s">
        <v>7687</v>
      </c>
      <c r="AO4125">
        <v>-123.99910199999999</v>
      </c>
      <c r="AP4125">
        <v>100</v>
      </c>
      <c r="AQ4125">
        <v>0</v>
      </c>
      <c r="AR4125" t="s">
        <v>118</v>
      </c>
      <c r="AS4125">
        <v>-19</v>
      </c>
      <c r="AT4125">
        <v>41</v>
      </c>
      <c r="AU4125">
        <v>320</v>
      </c>
      <c r="BC4125">
        <v>1200</v>
      </c>
      <c r="BD4125">
        <v>1</v>
      </c>
      <c r="BE4125" t="str">
        <f t="shared" si="194"/>
        <v xml:space="preserve">N215T   </v>
      </c>
      <c r="BF4125">
        <v>1</v>
      </c>
      <c r="BH4125">
        <v>0</v>
      </c>
      <c r="BI4125">
        <v>0</v>
      </c>
      <c r="BJ4125">
        <v>0</v>
      </c>
      <c r="BK4125">
        <v>375</v>
      </c>
      <c r="BL4125">
        <v>375</v>
      </c>
      <c r="BM4125" t="s">
        <v>119</v>
      </c>
      <c r="BN4125">
        <v>1</v>
      </c>
      <c r="BO4125">
        <v>1</v>
      </c>
      <c r="BP4125">
        <v>1</v>
      </c>
      <c r="BQ4125">
        <v>0</v>
      </c>
      <c r="BT4125">
        <v>0</v>
      </c>
      <c r="BU4125">
        <v>0</v>
      </c>
      <c r="BV4125">
        <v>0</v>
      </c>
      <c r="CC4125" t="str">
        <f>"19:43:55.898"</f>
        <v>19:43:55.898</v>
      </c>
      <c r="CD4125" t="str">
        <f>"899635555"</f>
        <v>899635555</v>
      </c>
      <c r="CQ4125">
        <v>0</v>
      </c>
      <c r="CR4125">
        <v>2</v>
      </c>
      <c r="CS4125">
        <v>0</v>
      </c>
      <c r="CT4125">
        <v>2</v>
      </c>
      <c r="CU4125">
        <v>0</v>
      </c>
      <c r="CV4125">
        <v>5</v>
      </c>
      <c r="CW4125" t="s">
        <v>120</v>
      </c>
      <c r="CX4125">
        <v>257</v>
      </c>
      <c r="CY4125">
        <v>0</v>
      </c>
      <c r="CZ4125" t="s">
        <v>615</v>
      </c>
      <c r="DA4125" t="s">
        <v>616</v>
      </c>
      <c r="DD4125">
        <v>16682020</v>
      </c>
      <c r="DE4125" t="s">
        <v>123</v>
      </c>
    </row>
    <row r="4126" spans="1:109" x14ac:dyDescent="0.3">
      <c r="A4126" t="str">
        <f>"19:43:57.070"</f>
        <v>19:43:57.070</v>
      </c>
      <c r="B4126" t="s">
        <v>110</v>
      </c>
      <c r="C4126" t="str">
        <f t="shared" si="195"/>
        <v>ffdfd3c0</v>
      </c>
      <c r="D4126" t="s">
        <v>111</v>
      </c>
      <c r="E4126">
        <v>18</v>
      </c>
      <c r="F4126">
        <v>1018</v>
      </c>
      <c r="G4126" t="s">
        <v>112</v>
      </c>
      <c r="J4126" t="s">
        <v>113</v>
      </c>
      <c r="K4126">
        <v>0</v>
      </c>
      <c r="L4126">
        <v>3</v>
      </c>
      <c r="M4126">
        <v>0</v>
      </c>
      <c r="N4126">
        <v>2</v>
      </c>
      <c r="O4126">
        <v>1</v>
      </c>
      <c r="P4126">
        <v>0</v>
      </c>
      <c r="Q4126">
        <v>0</v>
      </c>
      <c r="R4126" t="s">
        <v>114</v>
      </c>
      <c r="S4126" t="str">
        <f>"19:43:56.828"</f>
        <v>19:43:56.828</v>
      </c>
      <c r="T4126" t="str">
        <f>"19:43:56.625"</f>
        <v>19:43:56.625</v>
      </c>
      <c r="U4126" t="str">
        <f t="shared" si="193"/>
        <v>a1cdbe</v>
      </c>
      <c r="V4126">
        <v>0</v>
      </c>
      <c r="W4126">
        <v>0</v>
      </c>
      <c r="X4126">
        <v>2</v>
      </c>
      <c r="Y4126">
        <v>0</v>
      </c>
      <c r="Z4126">
        <v>0</v>
      </c>
      <c r="AB4126">
        <v>0</v>
      </c>
      <c r="AC4126">
        <v>9</v>
      </c>
      <c r="AD4126">
        <v>3</v>
      </c>
      <c r="AE4126">
        <v>0</v>
      </c>
      <c r="AF4126">
        <v>9</v>
      </c>
      <c r="AG4126" t="s">
        <v>115</v>
      </c>
      <c r="AH4126">
        <v>0</v>
      </c>
      <c r="AI4126">
        <v>0</v>
      </c>
      <c r="AJ4126">
        <v>1</v>
      </c>
      <c r="AK4126">
        <v>0</v>
      </c>
      <c r="AL4126" t="s">
        <v>7399</v>
      </c>
      <c r="AM4126">
        <v>47.061267000000001</v>
      </c>
      <c r="AN4126" t="s">
        <v>7688</v>
      </c>
      <c r="AO4126">
        <v>-123.999188</v>
      </c>
      <c r="AP4126">
        <v>100</v>
      </c>
      <c r="AQ4126">
        <v>0</v>
      </c>
      <c r="AR4126" t="s">
        <v>118</v>
      </c>
      <c r="AS4126">
        <v>-17</v>
      </c>
      <c r="AT4126">
        <v>41</v>
      </c>
      <c r="AU4126">
        <v>384</v>
      </c>
      <c r="BC4126">
        <v>1200</v>
      </c>
      <c r="BD4126">
        <v>1</v>
      </c>
      <c r="BE4126" t="str">
        <f t="shared" si="194"/>
        <v xml:space="preserve">N215T   </v>
      </c>
      <c r="BF4126">
        <v>1</v>
      </c>
      <c r="BH4126">
        <v>0</v>
      </c>
      <c r="BI4126">
        <v>0</v>
      </c>
      <c r="BJ4126">
        <v>0</v>
      </c>
      <c r="BK4126">
        <v>375</v>
      </c>
      <c r="BL4126">
        <v>375</v>
      </c>
      <c r="BM4126" t="s">
        <v>119</v>
      </c>
      <c r="BN4126">
        <v>1</v>
      </c>
      <c r="BO4126">
        <v>1</v>
      </c>
      <c r="BP4126">
        <v>1</v>
      </c>
      <c r="BQ4126">
        <v>0</v>
      </c>
      <c r="BT4126">
        <v>0</v>
      </c>
      <c r="BU4126">
        <v>0</v>
      </c>
      <c r="BV4126">
        <v>0</v>
      </c>
      <c r="CC4126" t="str">
        <f>"19:43:56.828"</f>
        <v>19:43:56.828</v>
      </c>
      <c r="CD4126" t="str">
        <f>"829543978"</f>
        <v>829543978</v>
      </c>
      <c r="CQ4126">
        <v>0</v>
      </c>
      <c r="CR4126">
        <v>2</v>
      </c>
      <c r="CS4126">
        <v>0</v>
      </c>
      <c r="CT4126">
        <v>2</v>
      </c>
      <c r="CU4126">
        <v>0</v>
      </c>
      <c r="CV4126">
        <v>6</v>
      </c>
      <c r="CW4126" t="s">
        <v>120</v>
      </c>
      <c r="CX4126">
        <v>257</v>
      </c>
      <c r="CY4126">
        <v>0</v>
      </c>
      <c r="CZ4126" t="s">
        <v>615</v>
      </c>
      <c r="DA4126" t="s">
        <v>616</v>
      </c>
      <c r="DD4126">
        <v>16682293</v>
      </c>
      <c r="DE4126" t="s">
        <v>123</v>
      </c>
    </row>
    <row r="4127" spans="1:109" x14ac:dyDescent="0.3">
      <c r="A4127" t="str">
        <f>"19:43:58.125"</f>
        <v>19:43:58.125</v>
      </c>
      <c r="B4127" t="s">
        <v>110</v>
      </c>
      <c r="C4127" t="str">
        <f t="shared" si="195"/>
        <v>ffdfd3c0</v>
      </c>
      <c r="D4127" t="s">
        <v>111</v>
      </c>
      <c r="E4127">
        <v>18</v>
      </c>
      <c r="F4127">
        <v>1018</v>
      </c>
      <c r="G4127" t="s">
        <v>112</v>
      </c>
      <c r="J4127" t="s">
        <v>113</v>
      </c>
      <c r="K4127">
        <v>0</v>
      </c>
      <c r="L4127">
        <v>3</v>
      </c>
      <c r="M4127">
        <v>0</v>
      </c>
      <c r="N4127">
        <v>2</v>
      </c>
      <c r="O4127">
        <v>1</v>
      </c>
      <c r="P4127">
        <v>0</v>
      </c>
      <c r="Q4127">
        <v>0</v>
      </c>
      <c r="R4127" t="s">
        <v>114</v>
      </c>
      <c r="S4127" t="str">
        <f>"19:43:57.828"</f>
        <v>19:43:57.828</v>
      </c>
      <c r="T4127" t="str">
        <f>"19:43:57.727"</f>
        <v>19:43:57.727</v>
      </c>
      <c r="U4127" t="str">
        <f t="shared" si="193"/>
        <v>a1cdbe</v>
      </c>
      <c r="V4127">
        <v>0</v>
      </c>
      <c r="W4127">
        <v>0</v>
      </c>
      <c r="X4127">
        <v>2</v>
      </c>
      <c r="Y4127">
        <v>0</v>
      </c>
      <c r="Z4127">
        <v>0</v>
      </c>
      <c r="AB4127">
        <v>0</v>
      </c>
      <c r="AC4127">
        <v>9</v>
      </c>
      <c r="AD4127">
        <v>3</v>
      </c>
      <c r="AE4127">
        <v>0</v>
      </c>
      <c r="AF4127">
        <v>9</v>
      </c>
      <c r="AG4127" t="s">
        <v>115</v>
      </c>
      <c r="AH4127">
        <v>0</v>
      </c>
      <c r="AI4127">
        <v>0</v>
      </c>
      <c r="AJ4127">
        <v>1</v>
      </c>
      <c r="AK4127">
        <v>0</v>
      </c>
      <c r="AL4127" t="s">
        <v>7537</v>
      </c>
      <c r="AM4127">
        <v>47.061416999999999</v>
      </c>
      <c r="AN4127" t="s">
        <v>7689</v>
      </c>
      <c r="AO4127">
        <v>-123.999295</v>
      </c>
      <c r="AP4127">
        <v>100</v>
      </c>
      <c r="AQ4127">
        <v>0</v>
      </c>
      <c r="AR4127" t="s">
        <v>118</v>
      </c>
      <c r="AS4127">
        <v>-14</v>
      </c>
      <c r="AT4127">
        <v>41</v>
      </c>
      <c r="AU4127">
        <v>320</v>
      </c>
      <c r="BC4127">
        <v>1200</v>
      </c>
      <c r="BD4127">
        <v>1</v>
      </c>
      <c r="BE4127" t="str">
        <f t="shared" si="194"/>
        <v xml:space="preserve">N215T   </v>
      </c>
      <c r="BF4127">
        <v>1</v>
      </c>
      <c r="BH4127">
        <v>0</v>
      </c>
      <c r="BI4127">
        <v>0</v>
      </c>
      <c r="BJ4127">
        <v>0</v>
      </c>
      <c r="BK4127">
        <v>400</v>
      </c>
      <c r="BL4127">
        <v>400</v>
      </c>
      <c r="BM4127" t="s">
        <v>119</v>
      </c>
      <c r="BN4127">
        <v>1</v>
      </c>
      <c r="BO4127">
        <v>1</v>
      </c>
      <c r="BP4127">
        <v>1</v>
      </c>
      <c r="BQ4127">
        <v>0</v>
      </c>
      <c r="BT4127">
        <v>0</v>
      </c>
      <c r="BU4127">
        <v>0</v>
      </c>
      <c r="BV4127">
        <v>0</v>
      </c>
      <c r="CC4127" t="str">
        <f>"19:43:57.836"</f>
        <v>19:43:57.836</v>
      </c>
      <c r="CD4127" t="str">
        <f>"834445005"</f>
        <v>834445005</v>
      </c>
      <c r="CQ4127">
        <v>0</v>
      </c>
      <c r="CR4127">
        <v>2</v>
      </c>
      <c r="CS4127">
        <v>0</v>
      </c>
      <c r="CT4127">
        <v>2</v>
      </c>
      <c r="CU4127">
        <v>0</v>
      </c>
      <c r="CV4127">
        <v>5</v>
      </c>
      <c r="CW4127" t="s">
        <v>120</v>
      </c>
      <c r="CX4127">
        <v>257</v>
      </c>
      <c r="CY4127">
        <v>0</v>
      </c>
      <c r="CZ4127" t="s">
        <v>615</v>
      </c>
      <c r="DA4127" t="s">
        <v>616</v>
      </c>
      <c r="DD4127">
        <v>16682575</v>
      </c>
      <c r="DE4127" t="s">
        <v>123</v>
      </c>
    </row>
    <row r="4128" spans="1:109" x14ac:dyDescent="0.3">
      <c r="A4128" t="str">
        <f>"19:43:59.180"</f>
        <v>19:43:59.180</v>
      </c>
      <c r="B4128" t="s">
        <v>110</v>
      </c>
      <c r="C4128" t="str">
        <f t="shared" si="195"/>
        <v>ffdfd3c0</v>
      </c>
      <c r="D4128" t="s">
        <v>111</v>
      </c>
      <c r="E4128">
        <v>18</v>
      </c>
      <c r="F4128">
        <v>1018</v>
      </c>
      <c r="G4128" t="s">
        <v>112</v>
      </c>
      <c r="J4128" t="s">
        <v>113</v>
      </c>
      <c r="K4128">
        <v>0</v>
      </c>
      <c r="L4128">
        <v>3</v>
      </c>
      <c r="M4128">
        <v>0</v>
      </c>
      <c r="N4128">
        <v>2</v>
      </c>
      <c r="O4128">
        <v>1</v>
      </c>
      <c r="P4128">
        <v>0</v>
      </c>
      <c r="Q4128">
        <v>0</v>
      </c>
      <c r="R4128" t="s">
        <v>114</v>
      </c>
      <c r="S4128" t="str">
        <f>"19:43:58.898"</f>
        <v>19:43:58.898</v>
      </c>
      <c r="T4128" t="str">
        <f>"19:43:58.797"</f>
        <v>19:43:58.797</v>
      </c>
      <c r="U4128" t="str">
        <f t="shared" si="193"/>
        <v>a1cdbe</v>
      </c>
      <c r="V4128">
        <v>0</v>
      </c>
      <c r="W4128">
        <v>0</v>
      </c>
      <c r="X4128">
        <v>2</v>
      </c>
      <c r="Y4128">
        <v>0</v>
      </c>
      <c r="Z4128">
        <v>0</v>
      </c>
      <c r="AB4128">
        <v>0</v>
      </c>
      <c r="AC4128">
        <v>9</v>
      </c>
      <c r="AD4128">
        <v>3</v>
      </c>
      <c r="AE4128">
        <v>0</v>
      </c>
      <c r="AF4128">
        <v>9</v>
      </c>
      <c r="AG4128" t="s">
        <v>115</v>
      </c>
      <c r="AH4128">
        <v>0</v>
      </c>
      <c r="AI4128">
        <v>0</v>
      </c>
      <c r="AJ4128">
        <v>1</v>
      </c>
      <c r="AK4128">
        <v>0</v>
      </c>
      <c r="AL4128" t="s">
        <v>7640</v>
      </c>
      <c r="AM4128">
        <v>47.061632000000003</v>
      </c>
      <c r="AN4128" t="s">
        <v>7690</v>
      </c>
      <c r="AO4128">
        <v>-123.999381</v>
      </c>
      <c r="AP4128">
        <v>100</v>
      </c>
      <c r="AQ4128">
        <v>0</v>
      </c>
      <c r="AR4128" t="s">
        <v>118</v>
      </c>
      <c r="AS4128">
        <v>-12</v>
      </c>
      <c r="AT4128">
        <v>41</v>
      </c>
      <c r="AU4128">
        <v>256</v>
      </c>
      <c r="BC4128">
        <v>1200</v>
      </c>
      <c r="BD4128">
        <v>1</v>
      </c>
      <c r="BE4128" t="str">
        <f t="shared" si="194"/>
        <v xml:space="preserve">N215T   </v>
      </c>
      <c r="BF4128">
        <v>1</v>
      </c>
      <c r="BH4128">
        <v>0</v>
      </c>
      <c r="BI4128">
        <v>0</v>
      </c>
      <c r="BJ4128">
        <v>0</v>
      </c>
      <c r="BK4128">
        <v>400</v>
      </c>
      <c r="BL4128">
        <v>400</v>
      </c>
      <c r="BM4128" t="s">
        <v>119</v>
      </c>
      <c r="BN4128">
        <v>1</v>
      </c>
      <c r="BO4128">
        <v>1</v>
      </c>
      <c r="BP4128">
        <v>1</v>
      </c>
      <c r="BQ4128">
        <v>0</v>
      </c>
      <c r="BT4128">
        <v>0</v>
      </c>
      <c r="BU4128">
        <v>0</v>
      </c>
      <c r="BV4128">
        <v>0</v>
      </c>
      <c r="CC4128" t="str">
        <f>"19:43:58.898"</f>
        <v>19:43:58.898</v>
      </c>
      <c r="CD4128" t="str">
        <f>"899340134"</f>
        <v>899340134</v>
      </c>
      <c r="CQ4128">
        <v>0</v>
      </c>
      <c r="CR4128">
        <v>2</v>
      </c>
      <c r="CS4128">
        <v>0</v>
      </c>
      <c r="CT4128">
        <v>2</v>
      </c>
      <c r="CU4128">
        <v>0</v>
      </c>
      <c r="CV4128">
        <v>5</v>
      </c>
      <c r="CW4128" t="s">
        <v>120</v>
      </c>
      <c r="CX4128">
        <v>257</v>
      </c>
      <c r="CY4128">
        <v>0</v>
      </c>
      <c r="CZ4128" t="s">
        <v>615</v>
      </c>
      <c r="DA4128" t="s">
        <v>616</v>
      </c>
      <c r="DD4128">
        <v>16682882</v>
      </c>
      <c r="DE4128" t="s">
        <v>123</v>
      </c>
    </row>
    <row r="4129" spans="1:109" x14ac:dyDescent="0.3">
      <c r="A4129" t="str">
        <f>"19:44:00.234"</f>
        <v>19:44:00.234</v>
      </c>
      <c r="B4129" t="s">
        <v>110</v>
      </c>
      <c r="C4129" t="str">
        <f t="shared" si="195"/>
        <v>ffdfd3c0</v>
      </c>
      <c r="D4129" t="s">
        <v>111</v>
      </c>
      <c r="E4129">
        <v>18</v>
      </c>
      <c r="F4129">
        <v>1018</v>
      </c>
      <c r="G4129" t="s">
        <v>112</v>
      </c>
      <c r="J4129" t="s">
        <v>113</v>
      </c>
      <c r="K4129">
        <v>0</v>
      </c>
      <c r="L4129">
        <v>3</v>
      </c>
      <c r="M4129">
        <v>0</v>
      </c>
      <c r="N4129">
        <v>2</v>
      </c>
      <c r="O4129">
        <v>1</v>
      </c>
      <c r="P4129">
        <v>0</v>
      </c>
      <c r="Q4129">
        <v>0</v>
      </c>
      <c r="R4129" t="s">
        <v>114</v>
      </c>
      <c r="S4129" t="str">
        <f>"19:43:59.977"</f>
        <v>19:43:59.977</v>
      </c>
      <c r="T4129" t="str">
        <f>"19:43:59.680"</f>
        <v>19:43:59.680</v>
      </c>
      <c r="U4129" t="str">
        <f t="shared" si="193"/>
        <v>a1cdbe</v>
      </c>
      <c r="V4129">
        <v>0</v>
      </c>
      <c r="W4129">
        <v>0</v>
      </c>
      <c r="X4129">
        <v>2</v>
      </c>
      <c r="Y4129">
        <v>0</v>
      </c>
      <c r="Z4129">
        <v>0</v>
      </c>
      <c r="AB4129">
        <v>0</v>
      </c>
      <c r="AC4129">
        <v>9</v>
      </c>
      <c r="AD4129">
        <v>3</v>
      </c>
      <c r="AE4129">
        <v>0</v>
      </c>
      <c r="AF4129">
        <v>9</v>
      </c>
      <c r="AG4129" t="s">
        <v>115</v>
      </c>
      <c r="AH4129">
        <v>0</v>
      </c>
      <c r="AI4129">
        <v>0</v>
      </c>
      <c r="AJ4129">
        <v>1</v>
      </c>
      <c r="AK4129">
        <v>0</v>
      </c>
      <c r="AL4129" t="s">
        <v>7691</v>
      </c>
      <c r="AM4129">
        <v>47.061867999999997</v>
      </c>
      <c r="AN4129" t="s">
        <v>7360</v>
      </c>
      <c r="AO4129">
        <v>-123.999467</v>
      </c>
      <c r="AP4129">
        <v>100</v>
      </c>
      <c r="AQ4129">
        <v>0</v>
      </c>
      <c r="AR4129" t="s">
        <v>118</v>
      </c>
      <c r="AS4129">
        <v>-11</v>
      </c>
      <c r="AT4129">
        <v>41</v>
      </c>
      <c r="AU4129">
        <v>64</v>
      </c>
      <c r="BC4129">
        <v>1200</v>
      </c>
      <c r="BD4129">
        <v>1</v>
      </c>
      <c r="BE4129" t="str">
        <f t="shared" si="194"/>
        <v xml:space="preserve">N215T   </v>
      </c>
      <c r="BF4129">
        <v>1</v>
      </c>
      <c r="BH4129">
        <v>0</v>
      </c>
      <c r="BI4129">
        <v>0</v>
      </c>
      <c r="BJ4129">
        <v>0</v>
      </c>
      <c r="BK4129">
        <v>400</v>
      </c>
      <c r="BL4129">
        <v>400</v>
      </c>
      <c r="BM4129" t="s">
        <v>119</v>
      </c>
      <c r="BN4129">
        <v>1</v>
      </c>
      <c r="BO4129">
        <v>1</v>
      </c>
      <c r="BP4129">
        <v>1</v>
      </c>
      <c r="BQ4129">
        <v>0</v>
      </c>
      <c r="BT4129">
        <v>0</v>
      </c>
      <c r="BU4129">
        <v>0</v>
      </c>
      <c r="BV4129">
        <v>0</v>
      </c>
      <c r="CC4129" t="str">
        <f>"19:43:59.977"</f>
        <v>19:43:59.977</v>
      </c>
      <c r="CD4129" t="str">
        <f>"979233783"</f>
        <v>979233783</v>
      </c>
      <c r="CQ4129">
        <v>0</v>
      </c>
      <c r="CR4129">
        <v>2</v>
      </c>
      <c r="CS4129">
        <v>0</v>
      </c>
      <c r="CT4129">
        <v>2</v>
      </c>
      <c r="CU4129">
        <v>0</v>
      </c>
      <c r="CV4129">
        <v>5</v>
      </c>
      <c r="CW4129" t="s">
        <v>120</v>
      </c>
      <c r="CX4129">
        <v>257</v>
      </c>
      <c r="CY4129">
        <v>0</v>
      </c>
      <c r="CZ4129" t="s">
        <v>615</v>
      </c>
      <c r="DA4129" t="s">
        <v>616</v>
      </c>
      <c r="DD4129">
        <v>16683224</v>
      </c>
      <c r="DE4129" t="s">
        <v>123</v>
      </c>
    </row>
    <row r="4130" spans="1:109" x14ac:dyDescent="0.3">
      <c r="A4130" t="str">
        <f>"19:44:01.336"</f>
        <v>19:44:01.336</v>
      </c>
      <c r="B4130" t="s">
        <v>110</v>
      </c>
      <c r="C4130" t="str">
        <f t="shared" si="195"/>
        <v>ffdfd3c0</v>
      </c>
      <c r="D4130" t="s">
        <v>111</v>
      </c>
      <c r="E4130">
        <v>18</v>
      </c>
      <c r="F4130">
        <v>1018</v>
      </c>
      <c r="G4130" t="s">
        <v>112</v>
      </c>
      <c r="J4130" t="s">
        <v>113</v>
      </c>
      <c r="K4130">
        <v>0</v>
      </c>
      <c r="L4130">
        <v>3</v>
      </c>
      <c r="M4130">
        <v>0</v>
      </c>
      <c r="N4130">
        <v>2</v>
      </c>
      <c r="O4130">
        <v>1</v>
      </c>
      <c r="P4130">
        <v>0</v>
      </c>
      <c r="Q4130">
        <v>0</v>
      </c>
      <c r="R4130" t="s">
        <v>114</v>
      </c>
      <c r="S4130" t="str">
        <f>"19:44:01.086"</f>
        <v>19:44:01.086</v>
      </c>
      <c r="T4130" t="str">
        <f>"19:44:00.586"</f>
        <v>19:44:00.586</v>
      </c>
      <c r="U4130" t="str">
        <f t="shared" si="193"/>
        <v>a1cdbe</v>
      </c>
      <c r="V4130">
        <v>0</v>
      </c>
      <c r="W4130">
        <v>0</v>
      </c>
      <c r="X4130">
        <v>2</v>
      </c>
      <c r="Y4130">
        <v>0</v>
      </c>
      <c r="Z4130">
        <v>0</v>
      </c>
      <c r="AB4130">
        <v>0</v>
      </c>
      <c r="AC4130">
        <v>9</v>
      </c>
      <c r="AD4130">
        <v>3</v>
      </c>
      <c r="AE4130">
        <v>0</v>
      </c>
      <c r="AF4130">
        <v>9</v>
      </c>
      <c r="AG4130" t="s">
        <v>115</v>
      </c>
      <c r="AH4130">
        <v>0</v>
      </c>
      <c r="AI4130">
        <v>0</v>
      </c>
      <c r="AJ4130">
        <v>1</v>
      </c>
      <c r="AK4130">
        <v>0</v>
      </c>
      <c r="AL4130" t="s">
        <v>7416</v>
      </c>
      <c r="AM4130">
        <v>47.062081999999997</v>
      </c>
      <c r="AN4130" t="s">
        <v>7692</v>
      </c>
      <c r="AO4130">
        <v>-123.99951</v>
      </c>
      <c r="AP4130">
        <v>100</v>
      </c>
      <c r="AQ4130">
        <v>0</v>
      </c>
      <c r="AR4130" t="s">
        <v>118</v>
      </c>
      <c r="AS4130">
        <v>-11</v>
      </c>
      <c r="AT4130">
        <v>42</v>
      </c>
      <c r="AU4130">
        <v>-64</v>
      </c>
      <c r="BC4130">
        <v>1200</v>
      </c>
      <c r="BD4130">
        <v>1</v>
      </c>
      <c r="BE4130" t="str">
        <f t="shared" si="194"/>
        <v xml:space="preserve">N215T   </v>
      </c>
      <c r="BF4130">
        <v>1</v>
      </c>
      <c r="BH4130">
        <v>0</v>
      </c>
      <c r="BI4130">
        <v>0</v>
      </c>
      <c r="BJ4130">
        <v>0</v>
      </c>
      <c r="BK4130">
        <v>400</v>
      </c>
      <c r="BL4130">
        <v>400</v>
      </c>
      <c r="BM4130" t="s">
        <v>119</v>
      </c>
      <c r="BN4130">
        <v>1</v>
      </c>
      <c r="BO4130">
        <v>1</v>
      </c>
      <c r="BP4130">
        <v>1</v>
      </c>
      <c r="BQ4130">
        <v>0</v>
      </c>
      <c r="BT4130">
        <v>0</v>
      </c>
      <c r="BU4130">
        <v>0</v>
      </c>
      <c r="BV4130">
        <v>0</v>
      </c>
      <c r="CC4130" t="str">
        <f>"19:44:01.086"</f>
        <v>19:44:01.086</v>
      </c>
      <c r="CD4130" t="str">
        <f>"089124462"</f>
        <v>089124462</v>
      </c>
      <c r="CQ4130">
        <v>0</v>
      </c>
      <c r="CR4130">
        <v>2</v>
      </c>
      <c r="CS4130">
        <v>0</v>
      </c>
      <c r="CT4130">
        <v>2</v>
      </c>
      <c r="CU4130">
        <v>0</v>
      </c>
      <c r="CV4130">
        <v>5</v>
      </c>
      <c r="CW4130" t="s">
        <v>120</v>
      </c>
      <c r="CX4130">
        <v>257</v>
      </c>
      <c r="CY4130">
        <v>0</v>
      </c>
      <c r="CZ4130" t="s">
        <v>615</v>
      </c>
      <c r="DA4130" t="s">
        <v>616</v>
      </c>
      <c r="DD4130">
        <v>16683553</v>
      </c>
      <c r="DE4130" t="s">
        <v>123</v>
      </c>
    </row>
    <row r="4131" spans="1:109" x14ac:dyDescent="0.3">
      <c r="A4131" t="str">
        <f>"19:44:02.289"</f>
        <v>19:44:02.289</v>
      </c>
      <c r="B4131" t="s">
        <v>110</v>
      </c>
      <c r="C4131" t="str">
        <f t="shared" si="195"/>
        <v>ffdfd3c0</v>
      </c>
      <c r="D4131" t="s">
        <v>111</v>
      </c>
      <c r="E4131">
        <v>18</v>
      </c>
      <c r="F4131">
        <v>1018</v>
      </c>
      <c r="G4131" t="s">
        <v>112</v>
      </c>
      <c r="J4131" t="s">
        <v>113</v>
      </c>
      <c r="K4131">
        <v>0</v>
      </c>
      <c r="L4131">
        <v>3</v>
      </c>
      <c r="M4131">
        <v>0</v>
      </c>
      <c r="N4131">
        <v>2</v>
      </c>
      <c r="O4131">
        <v>1</v>
      </c>
      <c r="P4131">
        <v>0</v>
      </c>
      <c r="Q4131">
        <v>0</v>
      </c>
      <c r="R4131" t="s">
        <v>114</v>
      </c>
      <c r="S4131" t="str">
        <f>"19:44:02.047"</f>
        <v>19:44:02.047</v>
      </c>
      <c r="T4131" t="str">
        <f>"19:44:01.648"</f>
        <v>19:44:01.648</v>
      </c>
      <c r="U4131" t="str">
        <f t="shared" si="193"/>
        <v>a1cdbe</v>
      </c>
      <c r="V4131">
        <v>0</v>
      </c>
      <c r="W4131">
        <v>0</v>
      </c>
      <c r="X4131">
        <v>2</v>
      </c>
      <c r="Y4131">
        <v>0</v>
      </c>
      <c r="Z4131">
        <v>0</v>
      </c>
      <c r="AB4131">
        <v>0</v>
      </c>
      <c r="AC4131">
        <v>9</v>
      </c>
      <c r="AD4131">
        <v>3</v>
      </c>
      <c r="AE4131">
        <v>0</v>
      </c>
      <c r="AF4131">
        <v>9</v>
      </c>
      <c r="AG4131" t="s">
        <v>115</v>
      </c>
      <c r="AH4131">
        <v>0</v>
      </c>
      <c r="AI4131">
        <v>0</v>
      </c>
      <c r="AJ4131">
        <v>1</v>
      </c>
      <c r="AK4131">
        <v>0</v>
      </c>
      <c r="AL4131" t="s">
        <v>7420</v>
      </c>
      <c r="AM4131">
        <v>47.062275</v>
      </c>
      <c r="AN4131" t="s">
        <v>7693</v>
      </c>
      <c r="AO4131">
        <v>-123.999596</v>
      </c>
      <c r="AP4131">
        <v>100</v>
      </c>
      <c r="AQ4131">
        <v>0</v>
      </c>
      <c r="AR4131" t="s">
        <v>118</v>
      </c>
      <c r="AS4131">
        <v>-9</v>
      </c>
      <c r="AT4131">
        <v>43</v>
      </c>
      <c r="AU4131">
        <v>-192</v>
      </c>
      <c r="BC4131">
        <v>1200</v>
      </c>
      <c r="BD4131">
        <v>1</v>
      </c>
      <c r="BE4131" t="str">
        <f t="shared" si="194"/>
        <v xml:space="preserve">N215T   </v>
      </c>
      <c r="BF4131">
        <v>1</v>
      </c>
      <c r="BH4131">
        <v>0</v>
      </c>
      <c r="BI4131">
        <v>0</v>
      </c>
      <c r="BJ4131">
        <v>0</v>
      </c>
      <c r="BK4131">
        <v>400</v>
      </c>
      <c r="BL4131">
        <v>400</v>
      </c>
      <c r="BM4131" t="s">
        <v>119</v>
      </c>
      <c r="BN4131">
        <v>1</v>
      </c>
      <c r="BO4131">
        <v>1</v>
      </c>
      <c r="BP4131">
        <v>1</v>
      </c>
      <c r="BQ4131">
        <v>0</v>
      </c>
      <c r="BT4131">
        <v>0</v>
      </c>
      <c r="BU4131">
        <v>0</v>
      </c>
      <c r="BV4131">
        <v>0</v>
      </c>
      <c r="CC4131" t="str">
        <f>"19:44:02.047"</f>
        <v>19:44:02.047</v>
      </c>
      <c r="CD4131" t="str">
        <f>"049029939"</f>
        <v>049029939</v>
      </c>
      <c r="CQ4131">
        <v>0</v>
      </c>
      <c r="CR4131">
        <v>2</v>
      </c>
      <c r="CS4131">
        <v>0</v>
      </c>
      <c r="CT4131">
        <v>2</v>
      </c>
      <c r="CU4131">
        <v>0</v>
      </c>
      <c r="CV4131">
        <v>6</v>
      </c>
      <c r="CW4131" t="s">
        <v>120</v>
      </c>
      <c r="CX4131">
        <v>257</v>
      </c>
      <c r="CY4131">
        <v>0</v>
      </c>
      <c r="CZ4131" t="s">
        <v>615</v>
      </c>
      <c r="DA4131" t="s">
        <v>616</v>
      </c>
      <c r="DD4131">
        <v>16683851</v>
      </c>
      <c r="DE4131" t="s">
        <v>123</v>
      </c>
    </row>
    <row r="4132" spans="1:109" x14ac:dyDescent="0.3">
      <c r="A4132" t="str">
        <f>"19:44:03.195"</f>
        <v>19:44:03.195</v>
      </c>
      <c r="B4132" t="s">
        <v>110</v>
      </c>
      <c r="C4132" t="str">
        <f t="shared" si="195"/>
        <v>ffdfd3c0</v>
      </c>
      <c r="D4132" t="s">
        <v>111</v>
      </c>
      <c r="E4132">
        <v>18</v>
      </c>
      <c r="F4132">
        <v>1018</v>
      </c>
      <c r="G4132" t="s">
        <v>112</v>
      </c>
      <c r="J4132" t="s">
        <v>113</v>
      </c>
      <c r="K4132">
        <v>0</v>
      </c>
      <c r="L4132">
        <v>3</v>
      </c>
      <c r="M4132">
        <v>0</v>
      </c>
      <c r="N4132">
        <v>2</v>
      </c>
      <c r="O4132">
        <v>1</v>
      </c>
      <c r="P4132">
        <v>0</v>
      </c>
      <c r="Q4132">
        <v>0</v>
      </c>
      <c r="R4132" t="s">
        <v>114</v>
      </c>
      <c r="S4132" t="str">
        <f>"19:44:02.961"</f>
        <v>19:44:02.961</v>
      </c>
      <c r="T4132" t="str">
        <f>"19:44:02.664"</f>
        <v>19:44:02.664</v>
      </c>
      <c r="U4132" t="str">
        <f t="shared" si="193"/>
        <v>a1cdbe</v>
      </c>
      <c r="V4132">
        <v>0</v>
      </c>
      <c r="W4132">
        <v>0</v>
      </c>
      <c r="X4132">
        <v>2</v>
      </c>
      <c r="Y4132">
        <v>0</v>
      </c>
      <c r="Z4132">
        <v>0</v>
      </c>
      <c r="AB4132">
        <v>0</v>
      </c>
      <c r="AC4132">
        <v>9</v>
      </c>
      <c r="AD4132">
        <v>3</v>
      </c>
      <c r="AE4132">
        <v>0</v>
      </c>
      <c r="AF4132">
        <v>9</v>
      </c>
      <c r="AG4132" t="s">
        <v>115</v>
      </c>
      <c r="AH4132">
        <v>0</v>
      </c>
      <c r="AI4132">
        <v>0</v>
      </c>
      <c r="AJ4132">
        <v>1</v>
      </c>
      <c r="AK4132">
        <v>0</v>
      </c>
      <c r="AL4132" t="s">
        <v>7520</v>
      </c>
      <c r="AM4132">
        <v>47.062446999999999</v>
      </c>
      <c r="AN4132" t="s">
        <v>7694</v>
      </c>
      <c r="AO4132">
        <v>-123.99966000000001</v>
      </c>
      <c r="AP4132">
        <v>100</v>
      </c>
      <c r="AQ4132">
        <v>0</v>
      </c>
      <c r="AR4132" t="s">
        <v>118</v>
      </c>
      <c r="AS4132">
        <v>-9</v>
      </c>
      <c r="AT4132">
        <v>44</v>
      </c>
      <c r="AU4132">
        <v>-192</v>
      </c>
      <c r="BC4132">
        <v>1200</v>
      </c>
      <c r="BD4132">
        <v>1</v>
      </c>
      <c r="BE4132" t="str">
        <f t="shared" si="194"/>
        <v xml:space="preserve">N215T   </v>
      </c>
      <c r="BF4132">
        <v>1</v>
      </c>
      <c r="BH4132">
        <v>0</v>
      </c>
      <c r="BI4132">
        <v>0</v>
      </c>
      <c r="BJ4132">
        <v>0</v>
      </c>
      <c r="BK4132">
        <v>400</v>
      </c>
      <c r="BL4132">
        <v>400</v>
      </c>
      <c r="BM4132" t="s">
        <v>119</v>
      </c>
      <c r="BN4132">
        <v>1</v>
      </c>
      <c r="BO4132">
        <v>1</v>
      </c>
      <c r="BP4132">
        <v>1</v>
      </c>
      <c r="BQ4132">
        <v>0</v>
      </c>
      <c r="BT4132">
        <v>0</v>
      </c>
      <c r="BU4132">
        <v>0</v>
      </c>
      <c r="BV4132">
        <v>0</v>
      </c>
      <c r="CC4132" t="str">
        <f>"19:44:02.961"</f>
        <v>19:44:02.961</v>
      </c>
      <c r="CD4132" t="str">
        <f>"963939831"</f>
        <v>963939831</v>
      </c>
      <c r="CQ4132">
        <v>0</v>
      </c>
      <c r="CR4132">
        <v>2</v>
      </c>
      <c r="CS4132">
        <v>0</v>
      </c>
      <c r="CT4132">
        <v>2</v>
      </c>
      <c r="CU4132">
        <v>0</v>
      </c>
      <c r="CV4132">
        <v>6</v>
      </c>
      <c r="CW4132" t="s">
        <v>120</v>
      </c>
      <c r="CX4132">
        <v>257</v>
      </c>
      <c r="CY4132">
        <v>0</v>
      </c>
      <c r="CZ4132" t="s">
        <v>615</v>
      </c>
      <c r="DA4132" t="s">
        <v>616</v>
      </c>
      <c r="DD4132">
        <v>16684123</v>
      </c>
      <c r="DE4132" t="s">
        <v>123</v>
      </c>
    </row>
    <row r="4133" spans="1:109" x14ac:dyDescent="0.3">
      <c r="A4133" t="str">
        <f>"19:44:04.250"</f>
        <v>19:44:04.250</v>
      </c>
      <c r="B4133" t="s">
        <v>110</v>
      </c>
      <c r="C4133" t="str">
        <f t="shared" si="195"/>
        <v>ffdfd3c0</v>
      </c>
      <c r="D4133" t="s">
        <v>111</v>
      </c>
      <c r="E4133">
        <v>18</v>
      </c>
      <c r="F4133">
        <v>1018</v>
      </c>
      <c r="G4133" t="s">
        <v>112</v>
      </c>
      <c r="J4133" t="s">
        <v>113</v>
      </c>
      <c r="K4133">
        <v>0</v>
      </c>
      <c r="L4133">
        <v>3</v>
      </c>
      <c r="M4133">
        <v>0</v>
      </c>
      <c r="N4133">
        <v>2</v>
      </c>
      <c r="O4133">
        <v>1</v>
      </c>
      <c r="P4133">
        <v>0</v>
      </c>
      <c r="Q4133">
        <v>0</v>
      </c>
      <c r="R4133" t="s">
        <v>114</v>
      </c>
      <c r="S4133" t="str">
        <f>"19:44:03.977"</f>
        <v>19:44:03.977</v>
      </c>
      <c r="T4133" t="str">
        <f>"19:44:03.875"</f>
        <v>19:44:03.875</v>
      </c>
      <c r="U4133" t="str">
        <f t="shared" si="193"/>
        <v>a1cdbe</v>
      </c>
      <c r="V4133">
        <v>0</v>
      </c>
      <c r="W4133">
        <v>0</v>
      </c>
      <c r="X4133">
        <v>2</v>
      </c>
      <c r="Y4133">
        <v>0</v>
      </c>
      <c r="Z4133">
        <v>0</v>
      </c>
      <c r="AB4133">
        <v>0</v>
      </c>
      <c r="AC4133">
        <v>9</v>
      </c>
      <c r="AD4133">
        <v>3</v>
      </c>
      <c r="AE4133">
        <v>0</v>
      </c>
      <c r="AF4133">
        <v>9</v>
      </c>
      <c r="AG4133" t="s">
        <v>115</v>
      </c>
      <c r="AH4133">
        <v>0</v>
      </c>
      <c r="AI4133">
        <v>0</v>
      </c>
      <c r="AJ4133">
        <v>1</v>
      </c>
      <c r="AK4133">
        <v>0</v>
      </c>
      <c r="AL4133" t="s">
        <v>7581</v>
      </c>
      <c r="AM4133">
        <v>47.062683</v>
      </c>
      <c r="AN4133" t="s">
        <v>7694</v>
      </c>
      <c r="AO4133">
        <v>-123.99966000000001</v>
      </c>
      <c r="AP4133">
        <v>100</v>
      </c>
      <c r="AQ4133">
        <v>0</v>
      </c>
      <c r="AR4133" t="s">
        <v>118</v>
      </c>
      <c r="AS4133">
        <v>-9</v>
      </c>
      <c r="AT4133">
        <v>46</v>
      </c>
      <c r="AU4133">
        <v>-192</v>
      </c>
      <c r="BC4133">
        <v>1200</v>
      </c>
      <c r="BD4133">
        <v>1</v>
      </c>
      <c r="BE4133" t="str">
        <f t="shared" si="194"/>
        <v xml:space="preserve">N215T   </v>
      </c>
      <c r="BF4133">
        <v>1</v>
      </c>
      <c r="BH4133">
        <v>0</v>
      </c>
      <c r="BI4133">
        <v>0</v>
      </c>
      <c r="BJ4133">
        <v>0</v>
      </c>
      <c r="BK4133">
        <v>375</v>
      </c>
      <c r="BL4133">
        <v>375</v>
      </c>
      <c r="BM4133" t="s">
        <v>119</v>
      </c>
      <c r="BN4133">
        <v>1</v>
      </c>
      <c r="BO4133">
        <v>1</v>
      </c>
      <c r="BP4133">
        <v>1</v>
      </c>
      <c r="BQ4133">
        <v>0</v>
      </c>
      <c r="BT4133">
        <v>0</v>
      </c>
      <c r="BU4133">
        <v>0</v>
      </c>
      <c r="BV4133">
        <v>0</v>
      </c>
      <c r="CC4133" t="str">
        <f>"19:44:03.984"</f>
        <v>19:44:03.984</v>
      </c>
      <c r="CD4133" t="str">
        <f>"983839418"</f>
        <v>983839418</v>
      </c>
      <c r="CQ4133">
        <v>0</v>
      </c>
      <c r="CR4133">
        <v>2</v>
      </c>
      <c r="CS4133">
        <v>0</v>
      </c>
      <c r="CT4133">
        <v>2</v>
      </c>
      <c r="CU4133">
        <v>0</v>
      </c>
      <c r="CV4133">
        <v>5</v>
      </c>
      <c r="CW4133" t="s">
        <v>120</v>
      </c>
      <c r="CX4133">
        <v>257</v>
      </c>
      <c r="CY4133">
        <v>0</v>
      </c>
      <c r="CZ4133" t="s">
        <v>615</v>
      </c>
      <c r="DA4133" t="s">
        <v>616</v>
      </c>
      <c r="DD4133">
        <v>16684395</v>
      </c>
      <c r="DE4133" t="s">
        <v>123</v>
      </c>
    </row>
    <row r="4134" spans="1:109" x14ac:dyDescent="0.3">
      <c r="A4134" t="str">
        <f>"19:44:05.359"</f>
        <v>19:44:05.359</v>
      </c>
      <c r="B4134" t="s">
        <v>110</v>
      </c>
      <c r="C4134" t="str">
        <f t="shared" si="195"/>
        <v>ffdfd3c0</v>
      </c>
      <c r="D4134" t="s">
        <v>111</v>
      </c>
      <c r="E4134">
        <v>18</v>
      </c>
      <c r="F4134">
        <v>1018</v>
      </c>
      <c r="G4134" t="s">
        <v>112</v>
      </c>
      <c r="J4134" t="s">
        <v>113</v>
      </c>
      <c r="K4134">
        <v>0</v>
      </c>
      <c r="L4134">
        <v>3</v>
      </c>
      <c r="M4134">
        <v>0</v>
      </c>
      <c r="N4134">
        <v>2</v>
      </c>
      <c r="O4134">
        <v>1</v>
      </c>
      <c r="P4134">
        <v>0</v>
      </c>
      <c r="Q4134">
        <v>0</v>
      </c>
      <c r="R4134" t="s">
        <v>114</v>
      </c>
      <c r="S4134" t="str">
        <f>"19:44:05.102"</f>
        <v>19:44:05.102</v>
      </c>
      <c r="T4134" t="str">
        <f>"19:44:04.805"</f>
        <v>19:44:04.805</v>
      </c>
      <c r="U4134" t="str">
        <f t="shared" si="193"/>
        <v>a1cdbe</v>
      </c>
      <c r="V4134">
        <v>0</v>
      </c>
      <c r="W4134">
        <v>0</v>
      </c>
      <c r="X4134">
        <v>2</v>
      </c>
      <c r="Y4134">
        <v>0</v>
      </c>
      <c r="Z4134">
        <v>0</v>
      </c>
      <c r="AB4134">
        <v>0</v>
      </c>
      <c r="AC4134">
        <v>9</v>
      </c>
      <c r="AD4134">
        <v>3</v>
      </c>
      <c r="AE4134">
        <v>0</v>
      </c>
      <c r="AF4134">
        <v>9</v>
      </c>
      <c r="AG4134" t="s">
        <v>115</v>
      </c>
      <c r="AH4134">
        <v>0</v>
      </c>
      <c r="AI4134">
        <v>0</v>
      </c>
      <c r="AJ4134">
        <v>1</v>
      </c>
      <c r="AK4134">
        <v>0</v>
      </c>
      <c r="AL4134" t="s">
        <v>7695</v>
      </c>
      <c r="AM4134">
        <v>47.062919000000001</v>
      </c>
      <c r="AN4134" t="s">
        <v>7696</v>
      </c>
      <c r="AO4134">
        <v>-123.999724</v>
      </c>
      <c r="AP4134">
        <v>100</v>
      </c>
      <c r="AQ4134">
        <v>0</v>
      </c>
      <c r="AR4134" t="s">
        <v>118</v>
      </c>
      <c r="AS4134">
        <v>-8</v>
      </c>
      <c r="AT4134">
        <v>47</v>
      </c>
      <c r="AU4134">
        <v>-256</v>
      </c>
      <c r="BC4134">
        <v>1200</v>
      </c>
      <c r="BD4134">
        <v>1</v>
      </c>
      <c r="BE4134" t="str">
        <f t="shared" si="194"/>
        <v xml:space="preserve">N215T   </v>
      </c>
      <c r="BF4134">
        <v>1</v>
      </c>
      <c r="BH4134">
        <v>0</v>
      </c>
      <c r="BI4134">
        <v>0</v>
      </c>
      <c r="BJ4134">
        <v>0</v>
      </c>
      <c r="BK4134">
        <v>375</v>
      </c>
      <c r="BL4134">
        <v>375</v>
      </c>
      <c r="BM4134" t="s">
        <v>119</v>
      </c>
      <c r="BN4134">
        <v>1</v>
      </c>
      <c r="BO4134">
        <v>1</v>
      </c>
      <c r="BP4134">
        <v>1</v>
      </c>
      <c r="BQ4134">
        <v>0</v>
      </c>
      <c r="BT4134">
        <v>0</v>
      </c>
      <c r="BU4134">
        <v>0</v>
      </c>
      <c r="BV4134">
        <v>0</v>
      </c>
      <c r="CC4134" t="str">
        <f>"19:44:05.109"</f>
        <v>19:44:05.109</v>
      </c>
      <c r="CD4134" t="str">
        <f>"108728608"</f>
        <v>108728608</v>
      </c>
      <c r="CQ4134">
        <v>0</v>
      </c>
      <c r="CR4134">
        <v>2</v>
      </c>
      <c r="CS4134">
        <v>0</v>
      </c>
      <c r="CT4134">
        <v>2</v>
      </c>
      <c r="CU4134">
        <v>0</v>
      </c>
      <c r="CV4134">
        <v>4</v>
      </c>
      <c r="CW4134" t="s">
        <v>120</v>
      </c>
      <c r="CX4134">
        <v>257</v>
      </c>
      <c r="CY4134">
        <v>0</v>
      </c>
      <c r="CZ4134" t="s">
        <v>615</v>
      </c>
      <c r="DA4134" t="s">
        <v>616</v>
      </c>
      <c r="DD4134">
        <v>16684721</v>
      </c>
      <c r="DE4134" t="s">
        <v>123</v>
      </c>
    </row>
    <row r="4135" spans="1:109" x14ac:dyDescent="0.3">
      <c r="A4135" t="str">
        <f>"19:44:06.266"</f>
        <v>19:44:06.266</v>
      </c>
      <c r="B4135" t="s">
        <v>110</v>
      </c>
      <c r="C4135" t="str">
        <f t="shared" si="195"/>
        <v>ffdfd3c0</v>
      </c>
      <c r="D4135" t="s">
        <v>111</v>
      </c>
      <c r="E4135">
        <v>18</v>
      </c>
      <c r="F4135">
        <v>1018</v>
      </c>
      <c r="G4135" t="s">
        <v>112</v>
      </c>
      <c r="J4135" t="s">
        <v>113</v>
      </c>
      <c r="K4135">
        <v>0</v>
      </c>
      <c r="L4135">
        <v>3</v>
      </c>
      <c r="M4135">
        <v>0</v>
      </c>
      <c r="N4135">
        <v>2</v>
      </c>
      <c r="O4135">
        <v>1</v>
      </c>
      <c r="P4135">
        <v>0</v>
      </c>
      <c r="Q4135">
        <v>0</v>
      </c>
      <c r="R4135" t="s">
        <v>114</v>
      </c>
      <c r="S4135" t="str">
        <f>"19:44:06.031"</f>
        <v>19:44:06.031</v>
      </c>
      <c r="T4135" t="str">
        <f>"19:44:05.633"</f>
        <v>19:44:05.633</v>
      </c>
      <c r="U4135" t="str">
        <f t="shared" si="193"/>
        <v>a1cdbe</v>
      </c>
      <c r="V4135">
        <v>0</v>
      </c>
      <c r="W4135">
        <v>0</v>
      </c>
      <c r="X4135">
        <v>2</v>
      </c>
      <c r="Y4135">
        <v>0</v>
      </c>
      <c r="Z4135">
        <v>0</v>
      </c>
      <c r="AB4135">
        <v>0</v>
      </c>
      <c r="AC4135">
        <v>9</v>
      </c>
      <c r="AD4135">
        <v>3</v>
      </c>
      <c r="AE4135">
        <v>0</v>
      </c>
      <c r="AF4135">
        <v>9</v>
      </c>
      <c r="AG4135" t="s">
        <v>115</v>
      </c>
      <c r="AH4135">
        <v>0</v>
      </c>
      <c r="AI4135">
        <v>0</v>
      </c>
      <c r="AJ4135">
        <v>1</v>
      </c>
      <c r="AK4135">
        <v>0</v>
      </c>
      <c r="AL4135" t="s">
        <v>7697</v>
      </c>
      <c r="AM4135">
        <v>47.063133999999998</v>
      </c>
      <c r="AN4135" t="s">
        <v>7698</v>
      </c>
      <c r="AO4135">
        <v>-123.99981</v>
      </c>
      <c r="AP4135">
        <v>100</v>
      </c>
      <c r="AQ4135">
        <v>0</v>
      </c>
      <c r="AR4135" t="s">
        <v>118</v>
      </c>
      <c r="AS4135">
        <v>-8</v>
      </c>
      <c r="AT4135">
        <v>48</v>
      </c>
      <c r="AU4135">
        <v>-448</v>
      </c>
      <c r="BC4135">
        <v>1200</v>
      </c>
      <c r="BD4135">
        <v>1</v>
      </c>
      <c r="BE4135" t="str">
        <f t="shared" si="194"/>
        <v xml:space="preserve">N215T   </v>
      </c>
      <c r="BF4135">
        <v>1</v>
      </c>
      <c r="BH4135">
        <v>0</v>
      </c>
      <c r="BI4135">
        <v>0</v>
      </c>
      <c r="BJ4135">
        <v>0</v>
      </c>
      <c r="BK4135">
        <v>375</v>
      </c>
      <c r="BL4135">
        <v>375</v>
      </c>
      <c r="BM4135" t="s">
        <v>119</v>
      </c>
      <c r="BN4135">
        <v>1</v>
      </c>
      <c r="BO4135">
        <v>1</v>
      </c>
      <c r="BP4135">
        <v>1</v>
      </c>
      <c r="BQ4135">
        <v>0</v>
      </c>
      <c r="BT4135">
        <v>0</v>
      </c>
      <c r="BU4135">
        <v>0</v>
      </c>
      <c r="BV4135">
        <v>0</v>
      </c>
      <c r="CC4135" t="str">
        <f>"19:44:06.039"</f>
        <v>19:44:06.039</v>
      </c>
      <c r="CD4135" t="str">
        <f>"038637060"</f>
        <v>038637060</v>
      </c>
      <c r="CQ4135">
        <v>0</v>
      </c>
      <c r="CR4135">
        <v>2</v>
      </c>
      <c r="CS4135">
        <v>0</v>
      </c>
      <c r="CT4135">
        <v>2</v>
      </c>
      <c r="CU4135">
        <v>0</v>
      </c>
      <c r="CV4135">
        <v>4</v>
      </c>
      <c r="CW4135" t="s">
        <v>120</v>
      </c>
      <c r="CX4135">
        <v>257</v>
      </c>
      <c r="CY4135">
        <v>0</v>
      </c>
      <c r="CZ4135" t="s">
        <v>615</v>
      </c>
      <c r="DA4135" t="s">
        <v>616</v>
      </c>
      <c r="DD4135">
        <v>16685000</v>
      </c>
      <c r="DE4135" t="s">
        <v>123</v>
      </c>
    </row>
    <row r="4136" spans="1:109" x14ac:dyDescent="0.3">
      <c r="A4136" t="str">
        <f>"19:44:07.320"</f>
        <v>19:44:07.320</v>
      </c>
      <c r="B4136" t="s">
        <v>110</v>
      </c>
      <c r="C4136" t="str">
        <f t="shared" si="195"/>
        <v>ffdfd3c0</v>
      </c>
      <c r="D4136" t="s">
        <v>111</v>
      </c>
      <c r="E4136">
        <v>18</v>
      </c>
      <c r="F4136">
        <v>1018</v>
      </c>
      <c r="G4136" t="s">
        <v>112</v>
      </c>
      <c r="J4136" t="s">
        <v>113</v>
      </c>
      <c r="K4136">
        <v>0</v>
      </c>
      <c r="L4136">
        <v>3</v>
      </c>
      <c r="M4136">
        <v>0</v>
      </c>
      <c r="N4136">
        <v>2</v>
      </c>
      <c r="O4136">
        <v>1</v>
      </c>
      <c r="P4136">
        <v>0</v>
      </c>
      <c r="Q4136">
        <v>0</v>
      </c>
      <c r="R4136" t="s">
        <v>114</v>
      </c>
      <c r="S4136" t="str">
        <f>"19:44:07.070"</f>
        <v>19:44:07.070</v>
      </c>
      <c r="T4136" t="str">
        <f>"19:44:07.070"</f>
        <v>19:44:07.070</v>
      </c>
      <c r="U4136" t="str">
        <f t="shared" si="193"/>
        <v>a1cdbe</v>
      </c>
      <c r="V4136">
        <v>0</v>
      </c>
      <c r="W4136">
        <v>0</v>
      </c>
      <c r="X4136">
        <v>2</v>
      </c>
      <c r="Y4136">
        <v>0</v>
      </c>
      <c r="Z4136">
        <v>0</v>
      </c>
      <c r="AB4136">
        <v>0</v>
      </c>
      <c r="AC4136">
        <v>9</v>
      </c>
      <c r="AD4136">
        <v>3</v>
      </c>
      <c r="AE4136">
        <v>0</v>
      </c>
      <c r="AF4136">
        <v>9</v>
      </c>
      <c r="AG4136" t="s">
        <v>115</v>
      </c>
      <c r="AH4136">
        <v>0</v>
      </c>
      <c r="AI4136">
        <v>0</v>
      </c>
      <c r="AJ4136">
        <v>1</v>
      </c>
      <c r="AK4136">
        <v>0</v>
      </c>
      <c r="AL4136" t="s">
        <v>7699</v>
      </c>
      <c r="AM4136">
        <v>47.063391000000003</v>
      </c>
      <c r="AN4136" t="s">
        <v>7700</v>
      </c>
      <c r="AO4136">
        <v>-123.999875</v>
      </c>
      <c r="AP4136">
        <v>100</v>
      </c>
      <c r="AQ4136">
        <v>0</v>
      </c>
      <c r="AR4136" t="s">
        <v>118</v>
      </c>
      <c r="AS4136">
        <v>-7</v>
      </c>
      <c r="AT4136">
        <v>49</v>
      </c>
      <c r="AU4136">
        <v>-256</v>
      </c>
      <c r="BC4136">
        <v>1200</v>
      </c>
      <c r="BD4136">
        <v>1</v>
      </c>
      <c r="BE4136" t="str">
        <f t="shared" si="194"/>
        <v xml:space="preserve">N215T   </v>
      </c>
      <c r="BF4136">
        <v>1</v>
      </c>
      <c r="BH4136">
        <v>0</v>
      </c>
      <c r="BI4136">
        <v>0</v>
      </c>
      <c r="BJ4136">
        <v>0</v>
      </c>
      <c r="BK4136">
        <v>375</v>
      </c>
      <c r="BL4136">
        <v>375</v>
      </c>
      <c r="BM4136" t="s">
        <v>119</v>
      </c>
      <c r="BN4136">
        <v>1</v>
      </c>
      <c r="BO4136">
        <v>1</v>
      </c>
      <c r="BP4136">
        <v>1</v>
      </c>
      <c r="BQ4136">
        <v>0</v>
      </c>
      <c r="BT4136">
        <v>0</v>
      </c>
      <c r="BU4136">
        <v>0</v>
      </c>
      <c r="BV4136">
        <v>0</v>
      </c>
      <c r="CC4136" t="str">
        <f>"19:44:07.070"</f>
        <v>19:44:07.070</v>
      </c>
      <c r="CD4136" t="str">
        <f>"073535159"</f>
        <v>073535159</v>
      </c>
      <c r="CQ4136">
        <v>0</v>
      </c>
      <c r="CR4136">
        <v>2</v>
      </c>
      <c r="CS4136">
        <v>0</v>
      </c>
      <c r="CT4136">
        <v>2</v>
      </c>
      <c r="CU4136">
        <v>0</v>
      </c>
      <c r="CV4136">
        <v>4</v>
      </c>
      <c r="CW4136" t="s">
        <v>120</v>
      </c>
      <c r="CX4136">
        <v>257</v>
      </c>
      <c r="CY4136">
        <v>0</v>
      </c>
      <c r="CZ4136" t="s">
        <v>615</v>
      </c>
      <c r="DA4136" t="s">
        <v>616</v>
      </c>
      <c r="DD4136">
        <v>16685290</v>
      </c>
      <c r="DE4136" t="s">
        <v>123</v>
      </c>
    </row>
    <row r="4137" spans="1:109" x14ac:dyDescent="0.3">
      <c r="A4137" t="str">
        <f>"19:44:08.328"</f>
        <v>19:44:08.328</v>
      </c>
      <c r="B4137" t="s">
        <v>110</v>
      </c>
      <c r="C4137" t="str">
        <f t="shared" si="195"/>
        <v>ffdfd3c0</v>
      </c>
      <c r="D4137" t="s">
        <v>111</v>
      </c>
      <c r="E4137">
        <v>18</v>
      </c>
      <c r="F4137">
        <v>1018</v>
      </c>
      <c r="G4137" t="s">
        <v>112</v>
      </c>
      <c r="J4137" t="s">
        <v>113</v>
      </c>
      <c r="K4137">
        <v>0</v>
      </c>
      <c r="L4137">
        <v>3</v>
      </c>
      <c r="M4137">
        <v>0</v>
      </c>
      <c r="N4137">
        <v>2</v>
      </c>
      <c r="O4137">
        <v>1</v>
      </c>
      <c r="P4137">
        <v>0</v>
      </c>
      <c r="Q4137">
        <v>0</v>
      </c>
      <c r="R4137" t="s">
        <v>114</v>
      </c>
      <c r="S4137" t="str">
        <f>"19:44:08.063"</f>
        <v>19:44:08.063</v>
      </c>
      <c r="T4137" t="str">
        <f>"19:44:07.664"</f>
        <v>19:44:07.664</v>
      </c>
      <c r="U4137" t="str">
        <f t="shared" si="193"/>
        <v>a1cdbe</v>
      </c>
      <c r="V4137">
        <v>0</v>
      </c>
      <c r="W4137">
        <v>0</v>
      </c>
      <c r="X4137">
        <v>2</v>
      </c>
      <c r="Y4137">
        <v>0</v>
      </c>
      <c r="Z4137">
        <v>0</v>
      </c>
      <c r="AB4137">
        <v>0</v>
      </c>
      <c r="AC4137">
        <v>9</v>
      </c>
      <c r="AD4137">
        <v>3</v>
      </c>
      <c r="AE4137">
        <v>0</v>
      </c>
      <c r="AF4137">
        <v>9</v>
      </c>
      <c r="AG4137" t="s">
        <v>115</v>
      </c>
      <c r="AH4137">
        <v>0</v>
      </c>
      <c r="AI4137">
        <v>0</v>
      </c>
      <c r="AJ4137">
        <v>1</v>
      </c>
      <c r="AK4137">
        <v>0</v>
      </c>
      <c r="AL4137" t="s">
        <v>7589</v>
      </c>
      <c r="AM4137">
        <v>47.063606</v>
      </c>
      <c r="AN4137" t="s">
        <v>7700</v>
      </c>
      <c r="AO4137">
        <v>-123.999875</v>
      </c>
      <c r="AP4137">
        <v>100</v>
      </c>
      <c r="AQ4137">
        <v>0</v>
      </c>
      <c r="AR4137" t="s">
        <v>118</v>
      </c>
      <c r="AS4137">
        <v>-7</v>
      </c>
      <c r="AT4137">
        <v>50</v>
      </c>
      <c r="AU4137">
        <v>-192</v>
      </c>
      <c r="BC4137">
        <v>1200</v>
      </c>
      <c r="BD4137">
        <v>1</v>
      </c>
      <c r="BE4137" t="str">
        <f t="shared" si="194"/>
        <v xml:space="preserve">N215T   </v>
      </c>
      <c r="BF4137">
        <v>1</v>
      </c>
      <c r="BH4137">
        <v>0</v>
      </c>
      <c r="BI4137">
        <v>0</v>
      </c>
      <c r="BJ4137">
        <v>0</v>
      </c>
      <c r="BK4137">
        <v>375</v>
      </c>
      <c r="BL4137">
        <v>375</v>
      </c>
      <c r="BM4137" t="s">
        <v>119</v>
      </c>
      <c r="BN4137">
        <v>1</v>
      </c>
      <c r="BO4137">
        <v>1</v>
      </c>
      <c r="BP4137">
        <v>1</v>
      </c>
      <c r="BQ4137">
        <v>0</v>
      </c>
      <c r="BT4137">
        <v>0</v>
      </c>
      <c r="BU4137">
        <v>0</v>
      </c>
      <c r="BV4137">
        <v>0</v>
      </c>
      <c r="CC4137" t="str">
        <f>"19:44:08.063"</f>
        <v>19:44:08.063</v>
      </c>
      <c r="CD4137" t="str">
        <f>"063437663"</f>
        <v>063437663</v>
      </c>
      <c r="CQ4137">
        <v>0</v>
      </c>
      <c r="CR4137">
        <v>2</v>
      </c>
      <c r="CS4137">
        <v>0</v>
      </c>
      <c r="CT4137">
        <v>2</v>
      </c>
      <c r="CU4137">
        <v>0</v>
      </c>
      <c r="CV4137">
        <v>4</v>
      </c>
      <c r="CW4137" t="s">
        <v>120</v>
      </c>
      <c r="CX4137">
        <v>257</v>
      </c>
      <c r="CY4137">
        <v>0</v>
      </c>
      <c r="CZ4137" t="s">
        <v>615</v>
      </c>
      <c r="DA4137" t="s">
        <v>616</v>
      </c>
      <c r="DD4137">
        <v>16685594</v>
      </c>
      <c r="DE4137" t="s">
        <v>123</v>
      </c>
    </row>
    <row r="4138" spans="1:109" x14ac:dyDescent="0.3">
      <c r="A4138" t="str">
        <f>"19:44:09.383"</f>
        <v>19:44:09.383</v>
      </c>
      <c r="B4138" t="s">
        <v>110</v>
      </c>
      <c r="C4138" t="str">
        <f t="shared" si="195"/>
        <v>ffdfd3c0</v>
      </c>
      <c r="D4138" t="s">
        <v>111</v>
      </c>
      <c r="E4138">
        <v>18</v>
      </c>
      <c r="F4138">
        <v>1018</v>
      </c>
      <c r="G4138" t="s">
        <v>112</v>
      </c>
      <c r="J4138" t="s">
        <v>113</v>
      </c>
      <c r="K4138">
        <v>0</v>
      </c>
      <c r="L4138">
        <v>3</v>
      </c>
      <c r="M4138">
        <v>0</v>
      </c>
      <c r="N4138">
        <v>2</v>
      </c>
      <c r="O4138">
        <v>1</v>
      </c>
      <c r="P4138">
        <v>0</v>
      </c>
      <c r="Q4138">
        <v>0</v>
      </c>
      <c r="R4138" t="s">
        <v>114</v>
      </c>
      <c r="S4138" t="str">
        <f>"19:44:09.172"</f>
        <v>19:44:09.172</v>
      </c>
      <c r="T4138" t="str">
        <f>"19:44:09.172"</f>
        <v>19:44:09.172</v>
      </c>
      <c r="U4138" t="str">
        <f t="shared" si="193"/>
        <v>a1cdbe</v>
      </c>
      <c r="V4138">
        <v>0</v>
      </c>
      <c r="W4138">
        <v>0</v>
      </c>
      <c r="X4138">
        <v>2</v>
      </c>
      <c r="Y4138">
        <v>0</v>
      </c>
      <c r="Z4138">
        <v>0</v>
      </c>
      <c r="AB4138">
        <v>0</v>
      </c>
      <c r="AC4138">
        <v>9</v>
      </c>
      <c r="AD4138">
        <v>3</v>
      </c>
      <c r="AE4138">
        <v>0</v>
      </c>
      <c r="AF4138">
        <v>9</v>
      </c>
      <c r="AG4138" t="s">
        <v>115</v>
      </c>
      <c r="AH4138">
        <v>0</v>
      </c>
      <c r="AI4138">
        <v>0</v>
      </c>
      <c r="AJ4138">
        <v>1</v>
      </c>
      <c r="AK4138">
        <v>0</v>
      </c>
      <c r="AL4138" t="s">
        <v>7511</v>
      </c>
      <c r="AM4138">
        <v>47.06382</v>
      </c>
      <c r="AN4138" t="s">
        <v>7536</v>
      </c>
      <c r="AO4138">
        <v>-123.999939</v>
      </c>
      <c r="AP4138">
        <v>100</v>
      </c>
      <c r="AQ4138">
        <v>0</v>
      </c>
      <c r="AR4138" t="s">
        <v>118</v>
      </c>
      <c r="AS4138">
        <v>-5</v>
      </c>
      <c r="AT4138">
        <v>51</v>
      </c>
      <c r="AU4138">
        <v>-320</v>
      </c>
      <c r="BC4138">
        <v>1200</v>
      </c>
      <c r="BD4138">
        <v>1</v>
      </c>
      <c r="BE4138" t="str">
        <f t="shared" si="194"/>
        <v xml:space="preserve">N215T   </v>
      </c>
      <c r="BF4138">
        <v>1</v>
      </c>
      <c r="BH4138">
        <v>0</v>
      </c>
      <c r="BI4138">
        <v>0</v>
      </c>
      <c r="BJ4138">
        <v>0</v>
      </c>
      <c r="BK4138">
        <v>375</v>
      </c>
      <c r="BL4138">
        <v>375</v>
      </c>
      <c r="BM4138" t="s">
        <v>119</v>
      </c>
      <c r="BN4138">
        <v>1</v>
      </c>
      <c r="BO4138">
        <v>1</v>
      </c>
      <c r="BP4138">
        <v>1</v>
      </c>
      <c r="BQ4138">
        <v>0</v>
      </c>
      <c r="BT4138">
        <v>0</v>
      </c>
      <c r="BU4138">
        <v>0</v>
      </c>
      <c r="BV4138">
        <v>0</v>
      </c>
      <c r="CC4138" t="str">
        <f>"19:44:09.172"</f>
        <v>19:44:09.172</v>
      </c>
      <c r="CD4138" t="str">
        <f>"173328385"</f>
        <v>173328385</v>
      </c>
      <c r="CQ4138">
        <v>0</v>
      </c>
      <c r="CR4138">
        <v>2</v>
      </c>
      <c r="CS4138">
        <v>0</v>
      </c>
      <c r="CT4138">
        <v>2</v>
      </c>
      <c r="CU4138">
        <v>0</v>
      </c>
      <c r="CV4138">
        <v>4</v>
      </c>
      <c r="CW4138" t="s">
        <v>120</v>
      </c>
      <c r="CX4138">
        <v>257</v>
      </c>
      <c r="CY4138">
        <v>0</v>
      </c>
      <c r="CZ4138" t="s">
        <v>615</v>
      </c>
      <c r="DA4138" t="s">
        <v>616</v>
      </c>
      <c r="DD4138">
        <v>16685903</v>
      </c>
      <c r="DE4138" t="s">
        <v>123</v>
      </c>
    </row>
    <row r="4139" spans="1:109" x14ac:dyDescent="0.3">
      <c r="A4139" t="str">
        <f>"19:44:10.586"</f>
        <v>19:44:10.586</v>
      </c>
      <c r="B4139" t="s">
        <v>110</v>
      </c>
      <c r="C4139" t="str">
        <f t="shared" si="195"/>
        <v>ffdfd3c0</v>
      </c>
      <c r="D4139" t="s">
        <v>111</v>
      </c>
      <c r="E4139">
        <v>18</v>
      </c>
      <c r="F4139">
        <v>1018</v>
      </c>
      <c r="G4139" t="s">
        <v>112</v>
      </c>
      <c r="J4139" t="s">
        <v>113</v>
      </c>
      <c r="K4139">
        <v>0</v>
      </c>
      <c r="L4139">
        <v>3</v>
      </c>
      <c r="M4139">
        <v>0</v>
      </c>
      <c r="N4139">
        <v>2</v>
      </c>
      <c r="O4139">
        <v>1</v>
      </c>
      <c r="P4139">
        <v>0</v>
      </c>
      <c r="Q4139">
        <v>0</v>
      </c>
      <c r="R4139" t="s">
        <v>114</v>
      </c>
      <c r="S4139" t="str">
        <f>"19:44:10.297"</f>
        <v>19:44:10.297</v>
      </c>
      <c r="T4139" t="str">
        <f>"19:44:10.094"</f>
        <v>19:44:10.094</v>
      </c>
      <c r="U4139" t="str">
        <f t="shared" si="193"/>
        <v>a1cdbe</v>
      </c>
      <c r="V4139">
        <v>0</v>
      </c>
      <c r="W4139">
        <v>0</v>
      </c>
      <c r="X4139">
        <v>2</v>
      </c>
      <c r="Y4139">
        <v>0</v>
      </c>
      <c r="Z4139">
        <v>0</v>
      </c>
      <c r="AB4139">
        <v>0</v>
      </c>
      <c r="AC4139">
        <v>9</v>
      </c>
      <c r="AD4139">
        <v>3</v>
      </c>
      <c r="AE4139">
        <v>0</v>
      </c>
      <c r="AF4139">
        <v>9</v>
      </c>
      <c r="AG4139" t="s">
        <v>115</v>
      </c>
      <c r="AH4139">
        <v>0</v>
      </c>
      <c r="AI4139">
        <v>0</v>
      </c>
      <c r="AJ4139">
        <v>1</v>
      </c>
      <c r="AK4139">
        <v>0</v>
      </c>
      <c r="AL4139" t="s">
        <v>7617</v>
      </c>
      <c r="AM4139">
        <v>47.064121</v>
      </c>
      <c r="AN4139" t="s">
        <v>7536</v>
      </c>
      <c r="AO4139">
        <v>-123.999939</v>
      </c>
      <c r="AP4139">
        <v>100</v>
      </c>
      <c r="AQ4139">
        <v>0</v>
      </c>
      <c r="AR4139" t="s">
        <v>118</v>
      </c>
      <c r="AS4139">
        <v>-2</v>
      </c>
      <c r="AT4139">
        <v>52</v>
      </c>
      <c r="AU4139">
        <v>-256</v>
      </c>
      <c r="BC4139">
        <v>1200</v>
      </c>
      <c r="BD4139">
        <v>1</v>
      </c>
      <c r="BE4139" t="str">
        <f t="shared" si="194"/>
        <v xml:space="preserve">N215T   </v>
      </c>
      <c r="BF4139">
        <v>1</v>
      </c>
      <c r="BH4139">
        <v>0</v>
      </c>
      <c r="BI4139">
        <v>0</v>
      </c>
      <c r="BJ4139">
        <v>0</v>
      </c>
      <c r="BK4139">
        <v>350</v>
      </c>
      <c r="BL4139">
        <v>350</v>
      </c>
      <c r="BM4139" t="s">
        <v>119</v>
      </c>
      <c r="BN4139">
        <v>1</v>
      </c>
      <c r="BO4139">
        <v>1</v>
      </c>
      <c r="BP4139">
        <v>1</v>
      </c>
      <c r="BQ4139">
        <v>0</v>
      </c>
      <c r="BT4139">
        <v>0</v>
      </c>
      <c r="BU4139">
        <v>0</v>
      </c>
      <c r="BV4139">
        <v>0</v>
      </c>
      <c r="CC4139" t="str">
        <f>"19:44:10.297"</f>
        <v>19:44:10.297</v>
      </c>
      <c r="CD4139" t="str">
        <f>"298217631"</f>
        <v>298217631</v>
      </c>
      <c r="CQ4139">
        <v>0</v>
      </c>
      <c r="CR4139">
        <v>2</v>
      </c>
      <c r="CS4139">
        <v>0</v>
      </c>
      <c r="CT4139">
        <v>2</v>
      </c>
      <c r="CU4139">
        <v>0</v>
      </c>
      <c r="CV4139">
        <v>3</v>
      </c>
      <c r="CW4139" t="s">
        <v>120</v>
      </c>
      <c r="CX4139">
        <v>257</v>
      </c>
      <c r="CY4139">
        <v>0</v>
      </c>
      <c r="CZ4139" t="s">
        <v>615</v>
      </c>
      <c r="DA4139" t="s">
        <v>616</v>
      </c>
      <c r="DD4139">
        <v>16686242</v>
      </c>
      <c r="DE4139" t="s">
        <v>123</v>
      </c>
    </row>
    <row r="4140" spans="1:109" x14ac:dyDescent="0.3">
      <c r="A4140" t="str">
        <f>"19:44:11.445"</f>
        <v>19:44:11.445</v>
      </c>
      <c r="B4140" t="s">
        <v>110</v>
      </c>
      <c r="C4140" t="str">
        <f t="shared" si="195"/>
        <v>ffdfd3c0</v>
      </c>
      <c r="D4140" t="s">
        <v>111</v>
      </c>
      <c r="E4140">
        <v>18</v>
      </c>
      <c r="F4140">
        <v>1018</v>
      </c>
      <c r="G4140" t="s">
        <v>112</v>
      </c>
      <c r="J4140" t="s">
        <v>113</v>
      </c>
      <c r="K4140">
        <v>0</v>
      </c>
      <c r="L4140">
        <v>3</v>
      </c>
      <c r="M4140">
        <v>0</v>
      </c>
      <c r="N4140">
        <v>2</v>
      </c>
      <c r="O4140">
        <v>1</v>
      </c>
      <c r="P4140">
        <v>0</v>
      </c>
      <c r="Q4140">
        <v>0</v>
      </c>
      <c r="R4140" t="s">
        <v>114</v>
      </c>
      <c r="S4140" t="str">
        <f>"19:44:11.195"</f>
        <v>19:44:11.195</v>
      </c>
      <c r="T4140" t="str">
        <f>"19:44:11.195"</f>
        <v>19:44:11.195</v>
      </c>
      <c r="U4140" t="str">
        <f t="shared" si="193"/>
        <v>a1cdbe</v>
      </c>
      <c r="V4140">
        <v>0</v>
      </c>
      <c r="W4140">
        <v>0</v>
      </c>
      <c r="X4140">
        <v>2</v>
      </c>
      <c r="Y4140">
        <v>0</v>
      </c>
      <c r="Z4140">
        <v>0</v>
      </c>
      <c r="AB4140">
        <v>0</v>
      </c>
      <c r="AC4140">
        <v>9</v>
      </c>
      <c r="AD4140">
        <v>3</v>
      </c>
      <c r="AE4140">
        <v>0</v>
      </c>
      <c r="AF4140">
        <v>9</v>
      </c>
      <c r="AG4140" t="s">
        <v>115</v>
      </c>
      <c r="AH4140">
        <v>0</v>
      </c>
      <c r="AI4140">
        <v>0</v>
      </c>
      <c r="AJ4140">
        <v>1</v>
      </c>
      <c r="AK4140">
        <v>0</v>
      </c>
      <c r="AL4140" t="s">
        <v>7624</v>
      </c>
      <c r="AM4140">
        <v>47.064335</v>
      </c>
      <c r="AN4140" t="s">
        <v>7536</v>
      </c>
      <c r="AO4140">
        <v>-123.999939</v>
      </c>
      <c r="AP4140">
        <v>100</v>
      </c>
      <c r="AQ4140">
        <v>0</v>
      </c>
      <c r="AR4140" t="s">
        <v>118</v>
      </c>
      <c r="AS4140">
        <v>3</v>
      </c>
      <c r="AT4140">
        <v>53</v>
      </c>
      <c r="AU4140">
        <v>0</v>
      </c>
      <c r="BC4140">
        <v>1200</v>
      </c>
      <c r="BD4140">
        <v>1</v>
      </c>
      <c r="BE4140" t="str">
        <f t="shared" si="194"/>
        <v xml:space="preserve">N215T   </v>
      </c>
      <c r="BF4140">
        <v>1</v>
      </c>
      <c r="BH4140">
        <v>0</v>
      </c>
      <c r="BI4140">
        <v>0</v>
      </c>
      <c r="BJ4140">
        <v>0</v>
      </c>
      <c r="BK4140">
        <v>350</v>
      </c>
      <c r="BL4140">
        <v>350</v>
      </c>
      <c r="BM4140" t="s">
        <v>119</v>
      </c>
      <c r="BN4140">
        <v>1</v>
      </c>
      <c r="BO4140">
        <v>1</v>
      </c>
      <c r="BP4140">
        <v>1</v>
      </c>
      <c r="BQ4140">
        <v>0</v>
      </c>
      <c r="BT4140">
        <v>0</v>
      </c>
      <c r="BU4140">
        <v>0</v>
      </c>
      <c r="BV4140">
        <v>0</v>
      </c>
      <c r="CC4140" t="str">
        <f>"19:44:11.195"</f>
        <v>19:44:11.195</v>
      </c>
      <c r="CD4140" t="str">
        <f>"198129020"</f>
        <v>198129020</v>
      </c>
      <c r="CQ4140">
        <v>0</v>
      </c>
      <c r="CR4140">
        <v>2</v>
      </c>
      <c r="CS4140">
        <v>0</v>
      </c>
      <c r="CT4140">
        <v>2</v>
      </c>
      <c r="CU4140">
        <v>0</v>
      </c>
      <c r="CV4140">
        <v>4</v>
      </c>
      <c r="CW4140" t="s">
        <v>120</v>
      </c>
      <c r="CX4140">
        <v>257</v>
      </c>
      <c r="CY4140">
        <v>0</v>
      </c>
      <c r="CZ4140" t="s">
        <v>615</v>
      </c>
      <c r="DA4140" t="s">
        <v>616</v>
      </c>
      <c r="DD4140">
        <v>16686534</v>
      </c>
      <c r="DE4140" t="s">
        <v>123</v>
      </c>
    </row>
    <row r="4141" spans="1:109" x14ac:dyDescent="0.3">
      <c r="A4141" t="str">
        <f>"19:44:12.594"</f>
        <v>19:44:12.594</v>
      </c>
      <c r="B4141" t="s">
        <v>110</v>
      </c>
      <c r="C4141" t="str">
        <f t="shared" si="195"/>
        <v>ffdfd3c0</v>
      </c>
      <c r="D4141" t="s">
        <v>111</v>
      </c>
      <c r="E4141">
        <v>18</v>
      </c>
      <c r="F4141">
        <v>1018</v>
      </c>
      <c r="G4141" t="s">
        <v>112</v>
      </c>
      <c r="J4141" t="s">
        <v>113</v>
      </c>
      <c r="K4141">
        <v>0</v>
      </c>
      <c r="L4141">
        <v>3</v>
      </c>
      <c r="M4141">
        <v>0</v>
      </c>
      <c r="N4141">
        <v>2</v>
      </c>
      <c r="O4141">
        <v>1</v>
      </c>
      <c r="P4141">
        <v>0</v>
      </c>
      <c r="Q4141">
        <v>0</v>
      </c>
      <c r="R4141" t="s">
        <v>114</v>
      </c>
      <c r="S4141" t="str">
        <f>"19:44:12.320"</f>
        <v>19:44:12.320</v>
      </c>
      <c r="T4141" t="str">
        <f>"19:44:12.219"</f>
        <v>19:44:12.219</v>
      </c>
      <c r="U4141" t="str">
        <f t="shared" si="193"/>
        <v>a1cdbe</v>
      </c>
      <c r="V4141">
        <v>0</v>
      </c>
      <c r="W4141">
        <v>0</v>
      </c>
      <c r="X4141">
        <v>2</v>
      </c>
      <c r="Y4141">
        <v>0</v>
      </c>
      <c r="Z4141">
        <v>0</v>
      </c>
      <c r="AB4141">
        <v>0</v>
      </c>
      <c r="AC4141">
        <v>9</v>
      </c>
      <c r="AD4141">
        <v>3</v>
      </c>
      <c r="AE4141">
        <v>0</v>
      </c>
      <c r="AF4141">
        <v>9</v>
      </c>
      <c r="AG4141" t="s">
        <v>115</v>
      </c>
      <c r="AH4141">
        <v>0</v>
      </c>
      <c r="AI4141">
        <v>0</v>
      </c>
      <c r="AJ4141">
        <v>1</v>
      </c>
      <c r="AK4141">
        <v>0</v>
      </c>
      <c r="AL4141" t="s">
        <v>7701</v>
      </c>
      <c r="AM4141">
        <v>47.064593000000002</v>
      </c>
      <c r="AN4141" t="s">
        <v>7700</v>
      </c>
      <c r="AO4141">
        <v>-123.999875</v>
      </c>
      <c r="AP4141">
        <v>100</v>
      </c>
      <c r="AQ4141">
        <v>0</v>
      </c>
      <c r="AR4141" t="s">
        <v>118</v>
      </c>
      <c r="AS4141">
        <v>8</v>
      </c>
      <c r="AT4141">
        <v>52</v>
      </c>
      <c r="AU4141">
        <v>256</v>
      </c>
      <c r="BC4141">
        <v>1200</v>
      </c>
      <c r="BD4141">
        <v>1</v>
      </c>
      <c r="BE4141" t="str">
        <f t="shared" si="194"/>
        <v xml:space="preserve">N215T   </v>
      </c>
      <c r="BF4141">
        <v>1</v>
      </c>
      <c r="BH4141">
        <v>0</v>
      </c>
      <c r="BI4141">
        <v>0</v>
      </c>
      <c r="BJ4141">
        <v>0</v>
      </c>
      <c r="BK4141">
        <v>350</v>
      </c>
      <c r="BL4141">
        <v>350</v>
      </c>
      <c r="BM4141" t="s">
        <v>119</v>
      </c>
      <c r="BN4141">
        <v>1</v>
      </c>
      <c r="BO4141">
        <v>1</v>
      </c>
      <c r="BP4141">
        <v>1</v>
      </c>
      <c r="BQ4141">
        <v>0</v>
      </c>
      <c r="BT4141">
        <v>0</v>
      </c>
      <c r="BU4141">
        <v>0</v>
      </c>
      <c r="BV4141">
        <v>0</v>
      </c>
      <c r="CC4141" t="str">
        <f>"19:44:12.320"</f>
        <v>19:44:12.320</v>
      </c>
      <c r="CD4141" t="str">
        <f>"323018235"</f>
        <v>323018235</v>
      </c>
      <c r="CQ4141">
        <v>0</v>
      </c>
      <c r="CR4141">
        <v>2</v>
      </c>
      <c r="CS4141">
        <v>0</v>
      </c>
      <c r="CT4141">
        <v>2</v>
      </c>
      <c r="CU4141">
        <v>0</v>
      </c>
      <c r="CV4141">
        <v>3</v>
      </c>
      <c r="CW4141" t="s">
        <v>120</v>
      </c>
      <c r="CX4141">
        <v>257</v>
      </c>
      <c r="CY4141">
        <v>0</v>
      </c>
      <c r="CZ4141" t="s">
        <v>615</v>
      </c>
      <c r="DA4141" t="s">
        <v>616</v>
      </c>
      <c r="DD4141">
        <v>16686878</v>
      </c>
      <c r="DE4141" t="s">
        <v>123</v>
      </c>
    </row>
    <row r="4142" spans="1:109" x14ac:dyDescent="0.3">
      <c r="A4142" t="str">
        <f>"19:44:13.500"</f>
        <v>19:44:13.500</v>
      </c>
      <c r="B4142" t="s">
        <v>110</v>
      </c>
      <c r="C4142" t="str">
        <f t="shared" si="195"/>
        <v>ffdfd3c0</v>
      </c>
      <c r="D4142" t="s">
        <v>111</v>
      </c>
      <c r="E4142">
        <v>18</v>
      </c>
      <c r="F4142">
        <v>1018</v>
      </c>
      <c r="G4142" t="s">
        <v>112</v>
      </c>
      <c r="J4142" t="s">
        <v>113</v>
      </c>
      <c r="K4142">
        <v>0</v>
      </c>
      <c r="L4142">
        <v>3</v>
      </c>
      <c r="M4142">
        <v>0</v>
      </c>
      <c r="N4142">
        <v>2</v>
      </c>
      <c r="O4142">
        <v>1</v>
      </c>
      <c r="P4142">
        <v>0</v>
      </c>
      <c r="Q4142">
        <v>0</v>
      </c>
      <c r="R4142" t="s">
        <v>114</v>
      </c>
      <c r="S4142" t="str">
        <f>"19:44:13.266"</f>
        <v>19:44:13.266</v>
      </c>
      <c r="T4142" t="str">
        <f>"19:44:12.766"</f>
        <v>19:44:12.766</v>
      </c>
      <c r="U4142" t="str">
        <f t="shared" si="193"/>
        <v>a1cdbe</v>
      </c>
      <c r="V4142">
        <v>0</v>
      </c>
      <c r="W4142">
        <v>0</v>
      </c>
      <c r="X4142">
        <v>2</v>
      </c>
      <c r="Y4142">
        <v>0</v>
      </c>
      <c r="Z4142">
        <v>0</v>
      </c>
      <c r="AB4142">
        <v>0</v>
      </c>
      <c r="AC4142">
        <v>9</v>
      </c>
      <c r="AD4142">
        <v>3</v>
      </c>
      <c r="AE4142">
        <v>0</v>
      </c>
      <c r="AF4142">
        <v>9</v>
      </c>
      <c r="AG4142" t="s">
        <v>115</v>
      </c>
      <c r="AH4142">
        <v>0</v>
      </c>
      <c r="AI4142">
        <v>0</v>
      </c>
      <c r="AJ4142">
        <v>1</v>
      </c>
      <c r="AK4142">
        <v>0</v>
      </c>
      <c r="AL4142" t="s">
        <v>7504</v>
      </c>
      <c r="AM4142">
        <v>47.064829000000003</v>
      </c>
      <c r="AN4142" t="s">
        <v>7698</v>
      </c>
      <c r="AO4142">
        <v>-123.99981</v>
      </c>
      <c r="AP4142">
        <v>100</v>
      </c>
      <c r="AQ4142">
        <v>0</v>
      </c>
      <c r="AR4142" t="s">
        <v>118</v>
      </c>
      <c r="AS4142">
        <v>11</v>
      </c>
      <c r="AT4142">
        <v>51</v>
      </c>
      <c r="AU4142">
        <v>384</v>
      </c>
      <c r="BC4142">
        <v>1200</v>
      </c>
      <c r="BD4142">
        <v>1</v>
      </c>
      <c r="BE4142" t="str">
        <f t="shared" si="194"/>
        <v xml:space="preserve">N215T   </v>
      </c>
      <c r="BF4142">
        <v>1</v>
      </c>
      <c r="BH4142">
        <v>0</v>
      </c>
      <c r="BI4142">
        <v>0</v>
      </c>
      <c r="BJ4142">
        <v>0</v>
      </c>
      <c r="BK4142">
        <v>375</v>
      </c>
      <c r="BL4142">
        <v>375</v>
      </c>
      <c r="BM4142" t="s">
        <v>119</v>
      </c>
      <c r="BN4142">
        <v>1</v>
      </c>
      <c r="BO4142">
        <v>1</v>
      </c>
      <c r="BP4142">
        <v>1</v>
      </c>
      <c r="BQ4142">
        <v>0</v>
      </c>
      <c r="BT4142">
        <v>0</v>
      </c>
      <c r="BU4142">
        <v>0</v>
      </c>
      <c r="BV4142">
        <v>0</v>
      </c>
      <c r="CC4142" t="str">
        <f>"19:44:13.266"</f>
        <v>19:44:13.266</v>
      </c>
      <c r="CD4142" t="str">
        <f>"267925173"</f>
        <v>267925173</v>
      </c>
      <c r="CQ4142">
        <v>0</v>
      </c>
      <c r="CR4142">
        <v>2</v>
      </c>
      <c r="CS4142">
        <v>0</v>
      </c>
      <c r="CT4142">
        <v>2</v>
      </c>
      <c r="CU4142">
        <v>0</v>
      </c>
      <c r="CV4142">
        <v>5</v>
      </c>
      <c r="CW4142" t="s">
        <v>120</v>
      </c>
      <c r="CX4142">
        <v>257</v>
      </c>
      <c r="CY4142">
        <v>0</v>
      </c>
      <c r="CZ4142" t="s">
        <v>615</v>
      </c>
      <c r="DA4142" t="s">
        <v>616</v>
      </c>
      <c r="DD4142">
        <v>16687188</v>
      </c>
      <c r="DE4142" t="s">
        <v>123</v>
      </c>
    </row>
    <row r="4143" spans="1:109" x14ac:dyDescent="0.3">
      <c r="A4143" t="str">
        <f>"19:44:14.508"</f>
        <v>19:44:14.508</v>
      </c>
      <c r="B4143" t="s">
        <v>110</v>
      </c>
      <c r="C4143" t="str">
        <f t="shared" si="195"/>
        <v>ffdfd3c0</v>
      </c>
      <c r="D4143" t="s">
        <v>111</v>
      </c>
      <c r="E4143">
        <v>18</v>
      </c>
      <c r="F4143">
        <v>1018</v>
      </c>
      <c r="G4143" t="s">
        <v>112</v>
      </c>
      <c r="J4143" t="s">
        <v>113</v>
      </c>
      <c r="K4143">
        <v>0</v>
      </c>
      <c r="L4143">
        <v>3</v>
      </c>
      <c r="M4143">
        <v>0</v>
      </c>
      <c r="N4143">
        <v>2</v>
      </c>
      <c r="O4143">
        <v>1</v>
      </c>
      <c r="P4143">
        <v>0</v>
      </c>
      <c r="Q4143">
        <v>0</v>
      </c>
      <c r="R4143" t="s">
        <v>114</v>
      </c>
      <c r="S4143" t="str">
        <f>"19:44:14.242"</f>
        <v>19:44:14.242</v>
      </c>
      <c r="T4143" t="str">
        <f>"19:44:13.945"</f>
        <v>19:44:13.945</v>
      </c>
      <c r="U4143" t="str">
        <f t="shared" si="193"/>
        <v>a1cdbe</v>
      </c>
      <c r="V4143">
        <v>0</v>
      </c>
      <c r="W4143">
        <v>0</v>
      </c>
      <c r="X4143">
        <v>2</v>
      </c>
      <c r="Y4143">
        <v>0</v>
      </c>
      <c r="Z4143">
        <v>0</v>
      </c>
      <c r="AB4143">
        <v>0</v>
      </c>
      <c r="AC4143">
        <v>9</v>
      </c>
      <c r="AD4143">
        <v>3</v>
      </c>
      <c r="AE4143">
        <v>0</v>
      </c>
      <c r="AF4143">
        <v>9</v>
      </c>
      <c r="AG4143" t="s">
        <v>115</v>
      </c>
      <c r="AH4143">
        <v>0</v>
      </c>
      <c r="AI4143">
        <v>0</v>
      </c>
      <c r="AJ4143">
        <v>1</v>
      </c>
      <c r="AK4143">
        <v>0</v>
      </c>
      <c r="AL4143" t="s">
        <v>7702</v>
      </c>
      <c r="AM4143">
        <v>47.065064999999997</v>
      </c>
      <c r="AN4143" t="s">
        <v>7694</v>
      </c>
      <c r="AO4143">
        <v>-123.99966000000001</v>
      </c>
      <c r="AP4143">
        <v>100</v>
      </c>
      <c r="AQ4143">
        <v>0</v>
      </c>
      <c r="AR4143" t="s">
        <v>118</v>
      </c>
      <c r="AS4143">
        <v>18</v>
      </c>
      <c r="AT4143">
        <v>48</v>
      </c>
      <c r="AU4143">
        <v>576</v>
      </c>
      <c r="BC4143">
        <v>1200</v>
      </c>
      <c r="BD4143">
        <v>1</v>
      </c>
      <c r="BE4143" t="str">
        <f t="shared" si="194"/>
        <v xml:space="preserve">N215T   </v>
      </c>
      <c r="BF4143">
        <v>1</v>
      </c>
      <c r="BH4143">
        <v>0</v>
      </c>
      <c r="BI4143">
        <v>0</v>
      </c>
      <c r="BJ4143">
        <v>0</v>
      </c>
      <c r="BK4143">
        <v>375</v>
      </c>
      <c r="BL4143">
        <v>375</v>
      </c>
      <c r="BM4143" t="s">
        <v>119</v>
      </c>
      <c r="BN4143">
        <v>1</v>
      </c>
      <c r="BO4143">
        <v>1</v>
      </c>
      <c r="BP4143">
        <v>1</v>
      </c>
      <c r="BQ4143">
        <v>0</v>
      </c>
      <c r="BT4143">
        <v>0</v>
      </c>
      <c r="BU4143">
        <v>0</v>
      </c>
      <c r="BV4143">
        <v>0</v>
      </c>
      <c r="CC4143" t="str">
        <f>"19:44:14.242"</f>
        <v>19:44:14.242</v>
      </c>
      <c r="CD4143" t="str">
        <f>"242829163"</f>
        <v>242829163</v>
      </c>
      <c r="CQ4143">
        <v>0</v>
      </c>
      <c r="CR4143">
        <v>2</v>
      </c>
      <c r="CS4143">
        <v>0</v>
      </c>
      <c r="CT4143">
        <v>2</v>
      </c>
      <c r="CU4143">
        <v>0</v>
      </c>
      <c r="CV4143">
        <v>5</v>
      </c>
      <c r="CW4143" t="s">
        <v>120</v>
      </c>
      <c r="CX4143">
        <v>257</v>
      </c>
      <c r="CY4143">
        <v>0</v>
      </c>
      <c r="CZ4143" t="s">
        <v>615</v>
      </c>
      <c r="DA4143" t="s">
        <v>616</v>
      </c>
      <c r="DD4143">
        <v>16687481</v>
      </c>
      <c r="DE4143" t="s">
        <v>123</v>
      </c>
    </row>
    <row r="4144" spans="1:109" x14ac:dyDescent="0.3">
      <c r="A4144" t="str">
        <f>"19:44:15.461"</f>
        <v>19:44:15.461</v>
      </c>
      <c r="B4144" t="s">
        <v>110</v>
      </c>
      <c r="C4144" t="str">
        <f t="shared" si="195"/>
        <v>ffdfd3c0</v>
      </c>
      <c r="D4144" t="s">
        <v>111</v>
      </c>
      <c r="E4144">
        <v>18</v>
      </c>
      <c r="F4144">
        <v>1018</v>
      </c>
      <c r="G4144" t="s">
        <v>112</v>
      </c>
      <c r="J4144" t="s">
        <v>113</v>
      </c>
      <c r="K4144">
        <v>0</v>
      </c>
      <c r="L4144">
        <v>3</v>
      </c>
      <c r="M4144">
        <v>0</v>
      </c>
      <c r="N4144">
        <v>2</v>
      </c>
      <c r="O4144">
        <v>1</v>
      </c>
      <c r="P4144">
        <v>0</v>
      </c>
      <c r="Q4144">
        <v>0</v>
      </c>
      <c r="R4144" t="s">
        <v>114</v>
      </c>
      <c r="S4144" t="str">
        <f>"19:44:15.242"</f>
        <v>19:44:15.242</v>
      </c>
      <c r="T4144" t="str">
        <f>"19:44:15.242"</f>
        <v>19:44:15.242</v>
      </c>
      <c r="U4144" t="str">
        <f t="shared" si="193"/>
        <v>a1cdbe</v>
      </c>
      <c r="V4144">
        <v>0</v>
      </c>
      <c r="W4144">
        <v>0</v>
      </c>
      <c r="X4144">
        <v>2</v>
      </c>
      <c r="Y4144">
        <v>0</v>
      </c>
      <c r="Z4144">
        <v>0</v>
      </c>
      <c r="AB4144">
        <v>0</v>
      </c>
      <c r="AC4144">
        <v>9</v>
      </c>
      <c r="AD4144">
        <v>3</v>
      </c>
      <c r="AE4144">
        <v>0</v>
      </c>
      <c r="AF4144">
        <v>9</v>
      </c>
      <c r="AG4144" t="s">
        <v>115</v>
      </c>
      <c r="AH4144">
        <v>0</v>
      </c>
      <c r="AI4144">
        <v>0</v>
      </c>
      <c r="AJ4144">
        <v>1</v>
      </c>
      <c r="AK4144">
        <v>0</v>
      </c>
      <c r="AL4144" t="s">
        <v>7703</v>
      </c>
      <c r="AM4144">
        <v>47.065300999999998</v>
      </c>
      <c r="AN4144" t="s">
        <v>7704</v>
      </c>
      <c r="AO4144">
        <v>-123.999531</v>
      </c>
      <c r="AP4144">
        <v>100</v>
      </c>
      <c r="AQ4144">
        <v>0</v>
      </c>
      <c r="AR4144" t="s">
        <v>118</v>
      </c>
      <c r="AS4144">
        <v>24</v>
      </c>
      <c r="AT4144">
        <v>44</v>
      </c>
      <c r="AU4144">
        <v>512</v>
      </c>
      <c r="BC4144">
        <v>1200</v>
      </c>
      <c r="BD4144">
        <v>1</v>
      </c>
      <c r="BE4144" t="str">
        <f t="shared" si="194"/>
        <v xml:space="preserve">N215T   </v>
      </c>
      <c r="BF4144">
        <v>1</v>
      </c>
      <c r="BH4144">
        <v>0</v>
      </c>
      <c r="BI4144">
        <v>0</v>
      </c>
      <c r="BJ4144">
        <v>0</v>
      </c>
      <c r="BK4144">
        <v>400</v>
      </c>
      <c r="BL4144">
        <v>400</v>
      </c>
      <c r="BM4144" t="s">
        <v>119</v>
      </c>
      <c r="BN4144">
        <v>1</v>
      </c>
      <c r="BO4144">
        <v>1</v>
      </c>
      <c r="BP4144">
        <v>1</v>
      </c>
      <c r="BQ4144">
        <v>0</v>
      </c>
      <c r="BT4144">
        <v>0</v>
      </c>
      <c r="BU4144">
        <v>0</v>
      </c>
      <c r="BV4144">
        <v>0</v>
      </c>
      <c r="CC4144" t="str">
        <f>"19:44:15.250"</f>
        <v>19:44:15.250</v>
      </c>
      <c r="CD4144" t="str">
        <f>"247730184"</f>
        <v>247730184</v>
      </c>
      <c r="CQ4144">
        <v>0</v>
      </c>
      <c r="CR4144">
        <v>2</v>
      </c>
      <c r="CS4144">
        <v>0</v>
      </c>
      <c r="CT4144">
        <v>2</v>
      </c>
      <c r="CU4144">
        <v>0</v>
      </c>
      <c r="CV4144">
        <v>5</v>
      </c>
      <c r="CW4144" t="s">
        <v>120</v>
      </c>
      <c r="CX4144">
        <v>257</v>
      </c>
      <c r="CY4144">
        <v>0</v>
      </c>
      <c r="CZ4144" t="s">
        <v>615</v>
      </c>
      <c r="DA4144" t="s">
        <v>616</v>
      </c>
      <c r="DD4144">
        <v>16687791</v>
      </c>
      <c r="DE4144" t="s">
        <v>123</v>
      </c>
    </row>
    <row r="4145" spans="1:109" x14ac:dyDescent="0.3">
      <c r="A4145" t="str">
        <f>"19:44:16.469"</f>
        <v>19:44:16.469</v>
      </c>
      <c r="B4145" t="s">
        <v>110</v>
      </c>
      <c r="C4145" t="str">
        <f t="shared" si="195"/>
        <v>ffdfd3c0</v>
      </c>
      <c r="D4145" t="s">
        <v>111</v>
      </c>
      <c r="E4145">
        <v>18</v>
      </c>
      <c r="F4145">
        <v>1018</v>
      </c>
      <c r="G4145" t="s">
        <v>112</v>
      </c>
      <c r="J4145" t="s">
        <v>113</v>
      </c>
      <c r="K4145">
        <v>0</v>
      </c>
      <c r="L4145">
        <v>3</v>
      </c>
      <c r="M4145">
        <v>0</v>
      </c>
      <c r="N4145">
        <v>2</v>
      </c>
      <c r="O4145">
        <v>1</v>
      </c>
      <c r="P4145">
        <v>0</v>
      </c>
      <c r="Q4145">
        <v>0</v>
      </c>
      <c r="R4145" t="s">
        <v>114</v>
      </c>
      <c r="S4145" t="str">
        <f>"19:44:16.219"</f>
        <v>19:44:16.219</v>
      </c>
      <c r="T4145" t="str">
        <f>"19:44:16.219"</f>
        <v>19:44:16.219</v>
      </c>
      <c r="U4145" t="str">
        <f t="shared" si="193"/>
        <v>a1cdbe</v>
      </c>
      <c r="V4145">
        <v>0</v>
      </c>
      <c r="W4145">
        <v>0</v>
      </c>
      <c r="X4145">
        <v>2</v>
      </c>
      <c r="Y4145">
        <v>0</v>
      </c>
      <c r="Z4145">
        <v>0</v>
      </c>
      <c r="AB4145">
        <v>0</v>
      </c>
      <c r="AC4145">
        <v>9</v>
      </c>
      <c r="AD4145">
        <v>3</v>
      </c>
      <c r="AE4145">
        <v>0</v>
      </c>
      <c r="AF4145">
        <v>9</v>
      </c>
      <c r="AG4145" t="s">
        <v>115</v>
      </c>
      <c r="AH4145">
        <v>0</v>
      </c>
      <c r="AI4145">
        <v>0</v>
      </c>
      <c r="AJ4145">
        <v>1</v>
      </c>
      <c r="AK4145">
        <v>0</v>
      </c>
      <c r="AL4145" t="s">
        <v>480</v>
      </c>
      <c r="AM4145">
        <v>47.065472999999997</v>
      </c>
      <c r="AN4145" t="s">
        <v>7689</v>
      </c>
      <c r="AO4145">
        <v>-123.999295</v>
      </c>
      <c r="AP4145">
        <v>100</v>
      </c>
      <c r="AQ4145">
        <v>0</v>
      </c>
      <c r="AR4145" t="s">
        <v>118</v>
      </c>
      <c r="AS4145">
        <v>27</v>
      </c>
      <c r="AT4145">
        <v>41</v>
      </c>
      <c r="AU4145">
        <v>576</v>
      </c>
      <c r="BC4145">
        <v>1200</v>
      </c>
      <c r="BD4145">
        <v>1</v>
      </c>
      <c r="BE4145" t="str">
        <f t="shared" si="194"/>
        <v xml:space="preserve">N215T   </v>
      </c>
      <c r="BF4145">
        <v>1</v>
      </c>
      <c r="BH4145">
        <v>0</v>
      </c>
      <c r="BI4145">
        <v>0</v>
      </c>
      <c r="BJ4145">
        <v>0</v>
      </c>
      <c r="BK4145">
        <v>400</v>
      </c>
      <c r="BL4145">
        <v>400</v>
      </c>
      <c r="BM4145" t="s">
        <v>119</v>
      </c>
      <c r="BN4145">
        <v>1</v>
      </c>
      <c r="BO4145">
        <v>1</v>
      </c>
      <c r="BP4145">
        <v>1</v>
      </c>
      <c r="BQ4145">
        <v>0</v>
      </c>
      <c r="BT4145">
        <v>0</v>
      </c>
      <c r="BU4145">
        <v>0</v>
      </c>
      <c r="BV4145">
        <v>0</v>
      </c>
      <c r="CC4145" t="str">
        <f>"19:44:16.219"</f>
        <v>19:44:16.219</v>
      </c>
      <c r="CD4145" t="str">
        <f>"222634178"</f>
        <v>222634178</v>
      </c>
      <c r="CQ4145">
        <v>0</v>
      </c>
      <c r="CR4145">
        <v>2</v>
      </c>
      <c r="CS4145">
        <v>0</v>
      </c>
      <c r="CT4145">
        <v>2</v>
      </c>
      <c r="CU4145">
        <v>0</v>
      </c>
      <c r="CV4145">
        <v>5</v>
      </c>
      <c r="CW4145" t="s">
        <v>120</v>
      </c>
      <c r="CX4145">
        <v>257</v>
      </c>
      <c r="CY4145">
        <v>0</v>
      </c>
      <c r="CZ4145" t="s">
        <v>615</v>
      </c>
      <c r="DA4145" t="s">
        <v>616</v>
      </c>
      <c r="DD4145">
        <v>16688071</v>
      </c>
      <c r="DE4145" t="s">
        <v>123</v>
      </c>
    </row>
    <row r="4146" spans="1:109" x14ac:dyDescent="0.3">
      <c r="A4146" t="str">
        <f>"19:44:17.320"</f>
        <v>19:44:17.320</v>
      </c>
      <c r="B4146" t="s">
        <v>110</v>
      </c>
      <c r="C4146" t="str">
        <f t="shared" si="195"/>
        <v>ffdfd3c0</v>
      </c>
      <c r="D4146" t="s">
        <v>111</v>
      </c>
      <c r="E4146">
        <v>18</v>
      </c>
      <c r="F4146">
        <v>1018</v>
      </c>
      <c r="G4146" t="s">
        <v>112</v>
      </c>
      <c r="J4146" t="s">
        <v>113</v>
      </c>
      <c r="K4146">
        <v>0</v>
      </c>
      <c r="L4146">
        <v>3</v>
      </c>
      <c r="M4146">
        <v>0</v>
      </c>
      <c r="N4146">
        <v>2</v>
      </c>
      <c r="O4146">
        <v>1</v>
      </c>
      <c r="P4146">
        <v>0</v>
      </c>
      <c r="Q4146">
        <v>0</v>
      </c>
      <c r="R4146" t="s">
        <v>114</v>
      </c>
      <c r="S4146" t="str">
        <f>"19:44:17.070"</f>
        <v>19:44:17.070</v>
      </c>
      <c r="T4146" t="str">
        <f>"19:44:16.672"</f>
        <v>19:44:16.672</v>
      </c>
      <c r="U4146" t="str">
        <f t="shared" si="193"/>
        <v>a1cdbe</v>
      </c>
      <c r="V4146">
        <v>0</v>
      </c>
      <c r="W4146">
        <v>0</v>
      </c>
      <c r="X4146">
        <v>2</v>
      </c>
      <c r="Y4146">
        <v>0</v>
      </c>
      <c r="Z4146">
        <v>0</v>
      </c>
      <c r="AB4146">
        <v>0</v>
      </c>
      <c r="AC4146">
        <v>9</v>
      </c>
      <c r="AD4146">
        <v>3</v>
      </c>
      <c r="AE4146">
        <v>0</v>
      </c>
      <c r="AF4146">
        <v>9</v>
      </c>
      <c r="AG4146" t="s">
        <v>115</v>
      </c>
      <c r="AH4146">
        <v>0</v>
      </c>
      <c r="AI4146">
        <v>0</v>
      </c>
      <c r="AJ4146">
        <v>1</v>
      </c>
      <c r="AK4146">
        <v>0</v>
      </c>
      <c r="AL4146" t="s">
        <v>7705</v>
      </c>
      <c r="AM4146">
        <v>47.065623000000002</v>
      </c>
      <c r="AN4146" t="s">
        <v>7706</v>
      </c>
      <c r="AO4146">
        <v>-123.999166</v>
      </c>
      <c r="AP4146">
        <v>100</v>
      </c>
      <c r="AQ4146">
        <v>0</v>
      </c>
      <c r="AR4146" t="s">
        <v>118</v>
      </c>
      <c r="AS4146">
        <v>28</v>
      </c>
      <c r="AT4146">
        <v>40</v>
      </c>
      <c r="AU4146">
        <v>576</v>
      </c>
      <c r="BC4146">
        <v>1200</v>
      </c>
      <c r="BD4146">
        <v>1</v>
      </c>
      <c r="BE4146" t="str">
        <f t="shared" si="194"/>
        <v xml:space="preserve">N215T   </v>
      </c>
      <c r="BF4146">
        <v>1</v>
      </c>
      <c r="BH4146">
        <v>0</v>
      </c>
      <c r="BI4146">
        <v>0</v>
      </c>
      <c r="BJ4146">
        <v>0</v>
      </c>
      <c r="BK4146">
        <v>400</v>
      </c>
      <c r="BL4146">
        <v>400</v>
      </c>
      <c r="BM4146" t="s">
        <v>119</v>
      </c>
      <c r="BN4146">
        <v>1</v>
      </c>
      <c r="BO4146">
        <v>1</v>
      </c>
      <c r="BP4146">
        <v>1</v>
      </c>
      <c r="BQ4146">
        <v>0</v>
      </c>
      <c r="BT4146">
        <v>0</v>
      </c>
      <c r="BU4146">
        <v>0</v>
      </c>
      <c r="BV4146">
        <v>0</v>
      </c>
      <c r="CC4146" t="str">
        <f>"19:44:17.078"</f>
        <v>19:44:17.078</v>
      </c>
      <c r="CD4146" t="str">
        <f>"077549950"</f>
        <v>077549950</v>
      </c>
      <c r="CQ4146">
        <v>0</v>
      </c>
      <c r="CR4146">
        <v>2</v>
      </c>
      <c r="CS4146">
        <v>0</v>
      </c>
      <c r="CT4146">
        <v>2</v>
      </c>
      <c r="CU4146">
        <v>0</v>
      </c>
      <c r="CV4146">
        <v>5</v>
      </c>
      <c r="CW4146" t="s">
        <v>120</v>
      </c>
      <c r="CX4146">
        <v>257</v>
      </c>
      <c r="CY4146">
        <v>0</v>
      </c>
      <c r="CZ4146" t="s">
        <v>615</v>
      </c>
      <c r="DA4146" t="s">
        <v>616</v>
      </c>
      <c r="DD4146">
        <v>16688343</v>
      </c>
      <c r="DE4146" t="s">
        <v>123</v>
      </c>
    </row>
    <row r="4147" spans="1:109" x14ac:dyDescent="0.3">
      <c r="A4147" t="str">
        <f>"19:44:18.281"</f>
        <v>19:44:18.281</v>
      </c>
      <c r="B4147" t="s">
        <v>110</v>
      </c>
      <c r="C4147" t="str">
        <f t="shared" si="195"/>
        <v>ffdfd3c0</v>
      </c>
      <c r="D4147" t="s">
        <v>111</v>
      </c>
      <c r="E4147">
        <v>18</v>
      </c>
      <c r="F4147">
        <v>1018</v>
      </c>
      <c r="G4147" t="s">
        <v>112</v>
      </c>
      <c r="J4147" t="s">
        <v>113</v>
      </c>
      <c r="K4147">
        <v>0</v>
      </c>
      <c r="L4147">
        <v>3</v>
      </c>
      <c r="M4147">
        <v>0</v>
      </c>
      <c r="N4147">
        <v>2</v>
      </c>
      <c r="O4147">
        <v>1</v>
      </c>
      <c r="P4147">
        <v>0</v>
      </c>
      <c r="Q4147">
        <v>0</v>
      </c>
      <c r="R4147" t="s">
        <v>114</v>
      </c>
      <c r="S4147" t="str">
        <f>"19:44:18.016"</f>
        <v>19:44:18.016</v>
      </c>
      <c r="T4147" t="str">
        <f>"19:44:17.617"</f>
        <v>19:44:17.617</v>
      </c>
      <c r="U4147" t="str">
        <f t="shared" si="193"/>
        <v>a1cdbe</v>
      </c>
      <c r="V4147">
        <v>0</v>
      </c>
      <c r="W4147">
        <v>0</v>
      </c>
      <c r="X4147">
        <v>2</v>
      </c>
      <c r="Y4147">
        <v>0</v>
      </c>
      <c r="Z4147">
        <v>0</v>
      </c>
      <c r="AB4147">
        <v>0</v>
      </c>
      <c r="AC4147">
        <v>9</v>
      </c>
      <c r="AD4147">
        <v>3</v>
      </c>
      <c r="AE4147">
        <v>0</v>
      </c>
      <c r="AF4147">
        <v>9</v>
      </c>
      <c r="AG4147" t="s">
        <v>115</v>
      </c>
      <c r="AH4147">
        <v>0</v>
      </c>
      <c r="AI4147">
        <v>0</v>
      </c>
      <c r="AJ4147">
        <v>1</v>
      </c>
      <c r="AK4147">
        <v>0</v>
      </c>
      <c r="AL4147" t="s">
        <v>7707</v>
      </c>
      <c r="AM4147">
        <v>47.065793999999997</v>
      </c>
      <c r="AN4147" t="s">
        <v>7708</v>
      </c>
      <c r="AO4147">
        <v>-123.99897300000001</v>
      </c>
      <c r="AP4147">
        <v>100</v>
      </c>
      <c r="AQ4147">
        <v>0</v>
      </c>
      <c r="AR4147" t="s">
        <v>118</v>
      </c>
      <c r="AS4147">
        <v>29</v>
      </c>
      <c r="AT4147">
        <v>38</v>
      </c>
      <c r="AU4147">
        <v>256</v>
      </c>
      <c r="BC4147">
        <v>1200</v>
      </c>
      <c r="BD4147">
        <v>1</v>
      </c>
      <c r="BE4147" t="str">
        <f t="shared" si="194"/>
        <v xml:space="preserve">N215T   </v>
      </c>
      <c r="BF4147">
        <v>1</v>
      </c>
      <c r="BH4147">
        <v>0</v>
      </c>
      <c r="BI4147">
        <v>0</v>
      </c>
      <c r="BJ4147">
        <v>0</v>
      </c>
      <c r="BK4147">
        <v>400</v>
      </c>
      <c r="BL4147">
        <v>400</v>
      </c>
      <c r="BM4147" t="s">
        <v>119</v>
      </c>
      <c r="BN4147">
        <v>1</v>
      </c>
      <c r="BO4147">
        <v>1</v>
      </c>
      <c r="BP4147">
        <v>1</v>
      </c>
      <c r="BQ4147">
        <v>0</v>
      </c>
      <c r="BT4147">
        <v>0</v>
      </c>
      <c r="BU4147">
        <v>0</v>
      </c>
      <c r="BV4147">
        <v>0</v>
      </c>
      <c r="CC4147" t="str">
        <f>"19:44:18.023"</f>
        <v>19:44:18.023</v>
      </c>
      <c r="CD4147" t="str">
        <f>"022456895"</f>
        <v>022456895</v>
      </c>
      <c r="CQ4147">
        <v>0</v>
      </c>
      <c r="CR4147">
        <v>2</v>
      </c>
      <c r="CS4147">
        <v>0</v>
      </c>
      <c r="CT4147">
        <v>2</v>
      </c>
      <c r="CU4147">
        <v>0</v>
      </c>
      <c r="CV4147">
        <v>5</v>
      </c>
      <c r="CW4147" t="s">
        <v>120</v>
      </c>
      <c r="CX4147">
        <v>257</v>
      </c>
      <c r="CY4147">
        <v>0</v>
      </c>
      <c r="CZ4147" t="s">
        <v>615</v>
      </c>
      <c r="DA4147" t="s">
        <v>616</v>
      </c>
      <c r="DD4147">
        <v>16688635</v>
      </c>
      <c r="DE4147" t="s">
        <v>123</v>
      </c>
    </row>
    <row r="4148" spans="1:109" x14ac:dyDescent="0.3">
      <c r="A4148" t="str">
        <f>"19:44:19.383"</f>
        <v>19:44:19.383</v>
      </c>
      <c r="B4148" t="s">
        <v>110</v>
      </c>
      <c r="C4148" t="str">
        <f t="shared" si="195"/>
        <v>ffdfd3c0</v>
      </c>
      <c r="D4148" t="s">
        <v>111</v>
      </c>
      <c r="E4148">
        <v>18</v>
      </c>
      <c r="F4148">
        <v>1018</v>
      </c>
      <c r="G4148" t="s">
        <v>112</v>
      </c>
      <c r="J4148" t="s">
        <v>113</v>
      </c>
      <c r="K4148">
        <v>0</v>
      </c>
      <c r="L4148">
        <v>3</v>
      </c>
      <c r="M4148">
        <v>0</v>
      </c>
      <c r="N4148">
        <v>2</v>
      </c>
      <c r="O4148">
        <v>1</v>
      </c>
      <c r="P4148">
        <v>0</v>
      </c>
      <c r="Q4148">
        <v>0</v>
      </c>
      <c r="R4148" t="s">
        <v>114</v>
      </c>
      <c r="S4148" t="str">
        <f>"19:44:19.117"</f>
        <v>19:44:19.117</v>
      </c>
      <c r="T4148" t="str">
        <f>"19:44:19.016"</f>
        <v>19:44:19.016</v>
      </c>
      <c r="U4148" t="str">
        <f t="shared" si="193"/>
        <v>a1cdbe</v>
      </c>
      <c r="V4148">
        <v>0</v>
      </c>
      <c r="W4148">
        <v>0</v>
      </c>
      <c r="X4148">
        <v>2</v>
      </c>
      <c r="Y4148">
        <v>0</v>
      </c>
      <c r="Z4148">
        <v>0</v>
      </c>
      <c r="AB4148">
        <v>0</v>
      </c>
      <c r="AC4148">
        <v>9</v>
      </c>
      <c r="AD4148">
        <v>3</v>
      </c>
      <c r="AE4148">
        <v>0</v>
      </c>
      <c r="AF4148">
        <v>9</v>
      </c>
      <c r="AG4148" t="s">
        <v>115</v>
      </c>
      <c r="AH4148">
        <v>0</v>
      </c>
      <c r="AI4148">
        <v>0</v>
      </c>
      <c r="AJ4148">
        <v>1</v>
      </c>
      <c r="AK4148">
        <v>0</v>
      </c>
      <c r="AL4148" t="s">
        <v>7709</v>
      </c>
      <c r="AM4148">
        <v>47.065944999999999</v>
      </c>
      <c r="AN4148" t="s">
        <v>7682</v>
      </c>
      <c r="AO4148">
        <v>-123.99873700000001</v>
      </c>
      <c r="AP4148">
        <v>100</v>
      </c>
      <c r="AQ4148">
        <v>0</v>
      </c>
      <c r="AR4148" t="s">
        <v>118</v>
      </c>
      <c r="AS4148">
        <v>32</v>
      </c>
      <c r="AT4148">
        <v>35</v>
      </c>
      <c r="AU4148">
        <v>192</v>
      </c>
      <c r="BC4148">
        <v>1200</v>
      </c>
      <c r="BD4148">
        <v>1</v>
      </c>
      <c r="BE4148" t="str">
        <f t="shared" si="194"/>
        <v xml:space="preserve">N215T   </v>
      </c>
      <c r="BF4148">
        <v>1</v>
      </c>
      <c r="BH4148">
        <v>0</v>
      </c>
      <c r="BI4148">
        <v>0</v>
      </c>
      <c r="BJ4148">
        <v>0</v>
      </c>
      <c r="BK4148">
        <v>425</v>
      </c>
      <c r="BL4148">
        <v>425</v>
      </c>
      <c r="BM4148" t="s">
        <v>119</v>
      </c>
      <c r="BN4148">
        <v>1</v>
      </c>
      <c r="BO4148">
        <v>1</v>
      </c>
      <c r="BP4148">
        <v>1</v>
      </c>
      <c r="BQ4148">
        <v>0</v>
      </c>
      <c r="BT4148">
        <v>0</v>
      </c>
      <c r="BU4148">
        <v>0</v>
      </c>
      <c r="BV4148">
        <v>0</v>
      </c>
      <c r="CC4148" t="str">
        <f>"19:44:19.117"</f>
        <v>19:44:19.117</v>
      </c>
      <c r="CD4148" t="str">
        <f>"117349020"</f>
        <v>117349020</v>
      </c>
      <c r="CQ4148">
        <v>0</v>
      </c>
      <c r="CR4148">
        <v>2</v>
      </c>
      <c r="CS4148">
        <v>0</v>
      </c>
      <c r="CT4148">
        <v>2</v>
      </c>
      <c r="CU4148">
        <v>0</v>
      </c>
      <c r="CV4148">
        <v>4</v>
      </c>
      <c r="CW4148" t="s">
        <v>120</v>
      </c>
      <c r="CX4148">
        <v>257</v>
      </c>
      <c r="CY4148">
        <v>0</v>
      </c>
      <c r="CZ4148" t="s">
        <v>615</v>
      </c>
      <c r="DA4148" t="s">
        <v>616</v>
      </c>
      <c r="DD4148">
        <v>16688956</v>
      </c>
      <c r="DE4148" t="s">
        <v>123</v>
      </c>
    </row>
    <row r="4149" spans="1:109" x14ac:dyDescent="0.3">
      <c r="A4149" t="str">
        <f>"19:44:20.492"</f>
        <v>19:44:20.492</v>
      </c>
      <c r="B4149" t="s">
        <v>110</v>
      </c>
      <c r="C4149" t="str">
        <f t="shared" si="195"/>
        <v>ffdfd3c0</v>
      </c>
      <c r="D4149" t="s">
        <v>111</v>
      </c>
      <c r="E4149">
        <v>18</v>
      </c>
      <c r="F4149">
        <v>1018</v>
      </c>
      <c r="G4149" t="s">
        <v>112</v>
      </c>
      <c r="J4149" t="s">
        <v>113</v>
      </c>
      <c r="K4149">
        <v>0</v>
      </c>
      <c r="L4149">
        <v>3</v>
      </c>
      <c r="M4149">
        <v>0</v>
      </c>
      <c r="N4149">
        <v>2</v>
      </c>
      <c r="O4149">
        <v>1</v>
      </c>
      <c r="P4149">
        <v>0</v>
      </c>
      <c r="Q4149">
        <v>0</v>
      </c>
      <c r="R4149" t="s">
        <v>114</v>
      </c>
      <c r="S4149" t="str">
        <f>"19:44:20.266"</f>
        <v>19:44:20.266</v>
      </c>
      <c r="T4149" t="str">
        <f>"19:44:19.969"</f>
        <v>19:44:19.969</v>
      </c>
      <c r="U4149" t="str">
        <f t="shared" si="193"/>
        <v>a1cdbe</v>
      </c>
      <c r="V4149">
        <v>0</v>
      </c>
      <c r="W4149">
        <v>0</v>
      </c>
      <c r="X4149">
        <v>2</v>
      </c>
      <c r="Y4149">
        <v>0</v>
      </c>
      <c r="Z4149">
        <v>0</v>
      </c>
      <c r="AB4149">
        <v>0</v>
      </c>
      <c r="AC4149">
        <v>9</v>
      </c>
      <c r="AD4149">
        <v>3</v>
      </c>
      <c r="AE4149">
        <v>0</v>
      </c>
      <c r="AF4149">
        <v>9</v>
      </c>
      <c r="AG4149" t="s">
        <v>115</v>
      </c>
      <c r="AH4149">
        <v>0</v>
      </c>
      <c r="AI4149">
        <v>0</v>
      </c>
      <c r="AJ4149">
        <v>1</v>
      </c>
      <c r="AK4149">
        <v>0</v>
      </c>
      <c r="AL4149" t="s">
        <v>7710</v>
      </c>
      <c r="AM4149">
        <v>47.066138000000002</v>
      </c>
      <c r="AN4149" t="s">
        <v>7680</v>
      </c>
      <c r="AO4149">
        <v>-123.998458</v>
      </c>
      <c r="AP4149">
        <v>100</v>
      </c>
      <c r="AQ4149">
        <v>0</v>
      </c>
      <c r="AR4149" t="s">
        <v>118</v>
      </c>
      <c r="AS4149">
        <v>34</v>
      </c>
      <c r="AT4149">
        <v>32</v>
      </c>
      <c r="AU4149">
        <v>64</v>
      </c>
      <c r="BC4149">
        <v>1200</v>
      </c>
      <c r="BD4149">
        <v>1</v>
      </c>
      <c r="BE4149" t="str">
        <f t="shared" si="194"/>
        <v xml:space="preserve">N215T   </v>
      </c>
      <c r="BF4149">
        <v>1</v>
      </c>
      <c r="BH4149">
        <v>0</v>
      </c>
      <c r="BI4149">
        <v>0</v>
      </c>
      <c r="BJ4149">
        <v>0</v>
      </c>
      <c r="BK4149">
        <v>425</v>
      </c>
      <c r="BL4149">
        <v>425</v>
      </c>
      <c r="BM4149" t="s">
        <v>119</v>
      </c>
      <c r="BN4149">
        <v>1</v>
      </c>
      <c r="BO4149">
        <v>1</v>
      </c>
      <c r="BP4149">
        <v>1</v>
      </c>
      <c r="BQ4149">
        <v>0</v>
      </c>
      <c r="BT4149">
        <v>0</v>
      </c>
      <c r="BU4149">
        <v>0</v>
      </c>
      <c r="BV4149">
        <v>0</v>
      </c>
      <c r="CC4149" t="str">
        <f>"19:44:20.273"</f>
        <v>19:44:20.273</v>
      </c>
      <c r="CD4149" t="str">
        <f>"272235265"</f>
        <v>272235265</v>
      </c>
      <c r="CQ4149">
        <v>0</v>
      </c>
      <c r="CR4149">
        <v>2</v>
      </c>
      <c r="CS4149">
        <v>0</v>
      </c>
      <c r="CT4149">
        <v>2</v>
      </c>
      <c r="CU4149">
        <v>0</v>
      </c>
      <c r="CV4149">
        <v>3</v>
      </c>
      <c r="CW4149" t="s">
        <v>120</v>
      </c>
      <c r="CX4149">
        <v>257</v>
      </c>
      <c r="CY4149">
        <v>0</v>
      </c>
      <c r="CZ4149" t="s">
        <v>615</v>
      </c>
      <c r="DA4149" t="s">
        <v>616</v>
      </c>
      <c r="DD4149">
        <v>16689340</v>
      </c>
      <c r="DE4149" t="s">
        <v>123</v>
      </c>
    </row>
    <row r="4150" spans="1:109" x14ac:dyDescent="0.3">
      <c r="A4150" t="str">
        <f>"19:44:21.445"</f>
        <v>19:44:21.445</v>
      </c>
      <c r="B4150" t="s">
        <v>110</v>
      </c>
      <c r="C4150" t="str">
        <f t="shared" si="195"/>
        <v>ffdfd3c0</v>
      </c>
      <c r="D4150" t="s">
        <v>111</v>
      </c>
      <c r="E4150">
        <v>18</v>
      </c>
      <c r="F4150">
        <v>1018</v>
      </c>
      <c r="G4150" t="s">
        <v>112</v>
      </c>
      <c r="J4150" t="s">
        <v>113</v>
      </c>
      <c r="K4150">
        <v>0</v>
      </c>
      <c r="L4150">
        <v>3</v>
      </c>
      <c r="M4150">
        <v>0</v>
      </c>
      <c r="N4150">
        <v>2</v>
      </c>
      <c r="O4150">
        <v>1</v>
      </c>
      <c r="P4150">
        <v>0</v>
      </c>
      <c r="Q4150">
        <v>0</v>
      </c>
      <c r="R4150" t="s">
        <v>114</v>
      </c>
      <c r="S4150" t="str">
        <f>"19:44:21.211"</f>
        <v>19:44:21.211</v>
      </c>
      <c r="T4150" t="str">
        <f>"19:44:21.109"</f>
        <v>19:44:21.109</v>
      </c>
      <c r="U4150" t="str">
        <f t="shared" si="193"/>
        <v>a1cdbe</v>
      </c>
      <c r="V4150">
        <v>0</v>
      </c>
      <c r="W4150">
        <v>0</v>
      </c>
      <c r="X4150">
        <v>2</v>
      </c>
      <c r="Y4150">
        <v>0</v>
      </c>
      <c r="Z4150">
        <v>0</v>
      </c>
      <c r="AB4150">
        <v>0</v>
      </c>
      <c r="AC4150">
        <v>9</v>
      </c>
      <c r="AD4150">
        <v>3</v>
      </c>
      <c r="AE4150">
        <v>0</v>
      </c>
      <c r="AF4150">
        <v>9</v>
      </c>
      <c r="AG4150" t="s">
        <v>115</v>
      </c>
      <c r="AH4150">
        <v>0</v>
      </c>
      <c r="AI4150">
        <v>0</v>
      </c>
      <c r="AJ4150">
        <v>1</v>
      </c>
      <c r="AK4150">
        <v>0</v>
      </c>
      <c r="AL4150" t="s">
        <v>7711</v>
      </c>
      <c r="AM4150">
        <v>47.066245000000002</v>
      </c>
      <c r="AN4150" t="s">
        <v>7712</v>
      </c>
      <c r="AO4150">
        <v>-123.998222</v>
      </c>
      <c r="AP4150">
        <v>100</v>
      </c>
      <c r="AQ4150">
        <v>0</v>
      </c>
      <c r="AR4150" t="s">
        <v>118</v>
      </c>
      <c r="AS4150">
        <v>40</v>
      </c>
      <c r="AT4150">
        <v>25</v>
      </c>
      <c r="AU4150">
        <v>-64</v>
      </c>
      <c r="BC4150">
        <v>1200</v>
      </c>
      <c r="BD4150">
        <v>1</v>
      </c>
      <c r="BE4150" t="str">
        <f t="shared" si="194"/>
        <v xml:space="preserve">N215T   </v>
      </c>
      <c r="BF4150">
        <v>1</v>
      </c>
      <c r="BH4150">
        <v>0</v>
      </c>
      <c r="BI4150">
        <v>0</v>
      </c>
      <c r="BJ4150">
        <v>0</v>
      </c>
      <c r="BK4150">
        <v>425</v>
      </c>
      <c r="BL4150">
        <v>425</v>
      </c>
      <c r="BM4150" t="s">
        <v>119</v>
      </c>
      <c r="BN4150">
        <v>1</v>
      </c>
      <c r="BO4150">
        <v>1</v>
      </c>
      <c r="BP4150">
        <v>1</v>
      </c>
      <c r="BQ4150">
        <v>0</v>
      </c>
      <c r="BT4150">
        <v>0</v>
      </c>
      <c r="BU4150">
        <v>0</v>
      </c>
      <c r="BV4150">
        <v>0</v>
      </c>
      <c r="CC4150" t="str">
        <f>"19:44:21.219"</f>
        <v>19:44:21.219</v>
      </c>
      <c r="CD4150" t="str">
        <f>"217142133"</f>
        <v>217142133</v>
      </c>
      <c r="CQ4150">
        <v>0</v>
      </c>
      <c r="CR4150">
        <v>2</v>
      </c>
      <c r="CS4150">
        <v>0</v>
      </c>
      <c r="CT4150">
        <v>2</v>
      </c>
      <c r="CU4150">
        <v>0</v>
      </c>
      <c r="CV4150">
        <v>5</v>
      </c>
      <c r="CW4150" t="s">
        <v>120</v>
      </c>
      <c r="CX4150">
        <v>257</v>
      </c>
      <c r="CY4150">
        <v>0</v>
      </c>
      <c r="CZ4150" t="s">
        <v>615</v>
      </c>
      <c r="DA4150" t="s">
        <v>616</v>
      </c>
      <c r="DD4150">
        <v>16689640</v>
      </c>
      <c r="DE4150" t="s">
        <v>123</v>
      </c>
    </row>
    <row r="4151" spans="1:109" x14ac:dyDescent="0.3">
      <c r="A4151" t="str">
        <f>"19:44:22.602"</f>
        <v>19:44:22.602</v>
      </c>
      <c r="B4151" t="s">
        <v>110</v>
      </c>
      <c r="C4151" t="str">
        <f t="shared" si="195"/>
        <v>ffdfd3c0</v>
      </c>
      <c r="D4151" t="s">
        <v>111</v>
      </c>
      <c r="E4151">
        <v>18</v>
      </c>
      <c r="F4151">
        <v>1018</v>
      </c>
      <c r="G4151" t="s">
        <v>112</v>
      </c>
      <c r="J4151" t="s">
        <v>113</v>
      </c>
      <c r="K4151">
        <v>0</v>
      </c>
      <c r="L4151">
        <v>3</v>
      </c>
      <c r="M4151">
        <v>0</v>
      </c>
      <c r="N4151">
        <v>2</v>
      </c>
      <c r="O4151">
        <v>1</v>
      </c>
      <c r="P4151">
        <v>0</v>
      </c>
      <c r="Q4151">
        <v>0</v>
      </c>
      <c r="R4151" t="s">
        <v>114</v>
      </c>
      <c r="S4151" t="str">
        <f>"19:44:22.305"</f>
        <v>19:44:22.305</v>
      </c>
      <c r="T4151" t="str">
        <f>"19:44:22.203"</f>
        <v>19:44:22.203</v>
      </c>
      <c r="U4151" t="str">
        <f t="shared" si="193"/>
        <v>a1cdbe</v>
      </c>
      <c r="V4151">
        <v>0</v>
      </c>
      <c r="W4151">
        <v>0</v>
      </c>
      <c r="X4151">
        <v>2</v>
      </c>
      <c r="Y4151">
        <v>0</v>
      </c>
      <c r="Z4151">
        <v>0</v>
      </c>
      <c r="AB4151">
        <v>0</v>
      </c>
      <c r="AC4151">
        <v>9</v>
      </c>
      <c r="AD4151">
        <v>3</v>
      </c>
      <c r="AE4151">
        <v>0</v>
      </c>
      <c r="AF4151">
        <v>9</v>
      </c>
      <c r="AG4151" t="s">
        <v>115</v>
      </c>
      <c r="AH4151">
        <v>0</v>
      </c>
      <c r="AI4151">
        <v>0</v>
      </c>
      <c r="AJ4151">
        <v>1</v>
      </c>
      <c r="AK4151">
        <v>0</v>
      </c>
      <c r="AL4151" t="s">
        <v>7713</v>
      </c>
      <c r="AM4151">
        <v>47.066352000000002</v>
      </c>
      <c r="AN4151" t="s">
        <v>7714</v>
      </c>
      <c r="AO4151">
        <v>-123.99783600000001</v>
      </c>
      <c r="AP4151">
        <v>100</v>
      </c>
      <c r="AQ4151">
        <v>0</v>
      </c>
      <c r="AR4151" t="s">
        <v>118</v>
      </c>
      <c r="AS4151">
        <v>46</v>
      </c>
      <c r="AT4151">
        <v>17</v>
      </c>
      <c r="AU4151">
        <v>-256</v>
      </c>
      <c r="BC4151">
        <v>1200</v>
      </c>
      <c r="BD4151">
        <v>1</v>
      </c>
      <c r="BE4151" t="str">
        <f t="shared" si="194"/>
        <v xml:space="preserve">N215T   </v>
      </c>
      <c r="BF4151">
        <v>1</v>
      </c>
      <c r="BH4151">
        <v>0</v>
      </c>
      <c r="BI4151">
        <v>0</v>
      </c>
      <c r="BJ4151">
        <v>0</v>
      </c>
      <c r="BK4151">
        <v>400</v>
      </c>
      <c r="BL4151">
        <v>400</v>
      </c>
      <c r="BM4151" t="s">
        <v>119</v>
      </c>
      <c r="BN4151">
        <v>1</v>
      </c>
      <c r="BO4151">
        <v>1</v>
      </c>
      <c r="BP4151">
        <v>1</v>
      </c>
      <c r="BQ4151">
        <v>0</v>
      </c>
      <c r="BT4151">
        <v>0</v>
      </c>
      <c r="BU4151">
        <v>0</v>
      </c>
      <c r="BV4151">
        <v>0</v>
      </c>
      <c r="CC4151" t="str">
        <f>"19:44:22.313"</f>
        <v>19:44:22.313</v>
      </c>
      <c r="CD4151" t="str">
        <f>"312034240"</f>
        <v>312034240</v>
      </c>
      <c r="CQ4151">
        <v>0</v>
      </c>
      <c r="CR4151">
        <v>2</v>
      </c>
      <c r="CS4151">
        <v>0</v>
      </c>
      <c r="CT4151">
        <v>2</v>
      </c>
      <c r="CU4151">
        <v>0</v>
      </c>
      <c r="CV4151">
        <v>6</v>
      </c>
      <c r="CW4151" t="s">
        <v>120</v>
      </c>
      <c r="CX4151">
        <v>257</v>
      </c>
      <c r="CY4151">
        <v>0</v>
      </c>
      <c r="CZ4151" t="s">
        <v>615</v>
      </c>
      <c r="DA4151" t="s">
        <v>616</v>
      </c>
      <c r="DD4151">
        <v>16689981</v>
      </c>
      <c r="DE4151" t="s">
        <v>123</v>
      </c>
    </row>
    <row r="4152" spans="1:109" x14ac:dyDescent="0.3">
      <c r="A4152" t="str">
        <f>"19:44:23.508"</f>
        <v>19:44:23.508</v>
      </c>
      <c r="B4152" t="s">
        <v>110</v>
      </c>
      <c r="C4152" t="str">
        <f t="shared" si="195"/>
        <v>ffdfd3c0</v>
      </c>
      <c r="D4152" t="s">
        <v>111</v>
      </c>
      <c r="E4152">
        <v>18</v>
      </c>
      <c r="F4152">
        <v>1018</v>
      </c>
      <c r="G4152" t="s">
        <v>112</v>
      </c>
      <c r="J4152" t="s">
        <v>113</v>
      </c>
      <c r="K4152">
        <v>0</v>
      </c>
      <c r="L4152">
        <v>3</v>
      </c>
      <c r="M4152">
        <v>0</v>
      </c>
      <c r="N4152">
        <v>2</v>
      </c>
      <c r="O4152">
        <v>1</v>
      </c>
      <c r="P4152">
        <v>0</v>
      </c>
      <c r="Q4152">
        <v>0</v>
      </c>
      <c r="R4152" t="s">
        <v>114</v>
      </c>
      <c r="S4152" t="str">
        <f>"19:44:23.250"</f>
        <v>19:44:23.250</v>
      </c>
      <c r="T4152" t="str">
        <f>"19:44:23.250"</f>
        <v>19:44:23.250</v>
      </c>
      <c r="U4152" t="str">
        <f t="shared" si="193"/>
        <v>a1cdbe</v>
      </c>
      <c r="V4152">
        <v>0</v>
      </c>
      <c r="W4152">
        <v>0</v>
      </c>
      <c r="X4152">
        <v>2</v>
      </c>
      <c r="Y4152">
        <v>0</v>
      </c>
      <c r="Z4152">
        <v>0</v>
      </c>
      <c r="AB4152">
        <v>0</v>
      </c>
      <c r="AC4152">
        <v>9</v>
      </c>
      <c r="AD4152">
        <v>3</v>
      </c>
      <c r="AE4152">
        <v>0</v>
      </c>
      <c r="AF4152">
        <v>9</v>
      </c>
      <c r="AG4152" t="s">
        <v>115</v>
      </c>
      <c r="AH4152">
        <v>0</v>
      </c>
      <c r="AI4152">
        <v>0</v>
      </c>
      <c r="AJ4152">
        <v>1</v>
      </c>
      <c r="AK4152">
        <v>0</v>
      </c>
      <c r="AL4152" t="s">
        <v>7715</v>
      </c>
      <c r="AM4152">
        <v>47.066395</v>
      </c>
      <c r="AN4152" t="s">
        <v>7670</v>
      </c>
      <c r="AO4152">
        <v>-123.997536</v>
      </c>
      <c r="AP4152">
        <v>100</v>
      </c>
      <c r="AQ4152">
        <v>0</v>
      </c>
      <c r="AR4152" t="s">
        <v>118</v>
      </c>
      <c r="AS4152">
        <v>49</v>
      </c>
      <c r="AT4152">
        <v>10</v>
      </c>
      <c r="AU4152">
        <v>-448</v>
      </c>
      <c r="BC4152">
        <v>1200</v>
      </c>
      <c r="BD4152">
        <v>1</v>
      </c>
      <c r="BE4152" t="str">
        <f t="shared" si="194"/>
        <v xml:space="preserve">N215T   </v>
      </c>
      <c r="BF4152">
        <v>1</v>
      </c>
      <c r="BH4152">
        <v>0</v>
      </c>
      <c r="BI4152">
        <v>0</v>
      </c>
      <c r="BJ4152">
        <v>0</v>
      </c>
      <c r="BK4152">
        <v>400</v>
      </c>
      <c r="BL4152">
        <v>400</v>
      </c>
      <c r="BM4152" t="s">
        <v>119</v>
      </c>
      <c r="BN4152">
        <v>1</v>
      </c>
      <c r="BO4152">
        <v>1</v>
      </c>
      <c r="BP4152">
        <v>1</v>
      </c>
      <c r="BQ4152">
        <v>0</v>
      </c>
      <c r="BT4152">
        <v>0</v>
      </c>
      <c r="BU4152">
        <v>0</v>
      </c>
      <c r="BV4152">
        <v>0</v>
      </c>
      <c r="CC4152" t="str">
        <f>"19:44:23.258"</f>
        <v>19:44:23.258</v>
      </c>
      <c r="CD4152" t="str">
        <f>"256941125"</f>
        <v>256941125</v>
      </c>
      <c r="CQ4152">
        <v>0</v>
      </c>
      <c r="CR4152">
        <v>2</v>
      </c>
      <c r="CS4152">
        <v>0</v>
      </c>
      <c r="CT4152">
        <v>2</v>
      </c>
      <c r="CU4152">
        <v>0</v>
      </c>
      <c r="CV4152">
        <v>6</v>
      </c>
      <c r="CW4152" t="s">
        <v>120</v>
      </c>
      <c r="CX4152">
        <v>257</v>
      </c>
      <c r="CY4152">
        <v>0</v>
      </c>
      <c r="CZ4152" t="s">
        <v>615</v>
      </c>
      <c r="DA4152" t="s">
        <v>616</v>
      </c>
      <c r="DD4152">
        <v>16690296</v>
      </c>
      <c r="DE4152" t="s">
        <v>123</v>
      </c>
    </row>
    <row r="4153" spans="1:109" x14ac:dyDescent="0.3">
      <c r="A4153" t="str">
        <f>"19:44:24.508"</f>
        <v>19:44:24.508</v>
      </c>
      <c r="B4153" t="s">
        <v>110</v>
      </c>
      <c r="C4153" t="str">
        <f t="shared" si="195"/>
        <v>ffdfd3c0</v>
      </c>
      <c r="D4153" t="s">
        <v>111</v>
      </c>
      <c r="E4153">
        <v>18</v>
      </c>
      <c r="F4153">
        <v>1018</v>
      </c>
      <c r="G4153" t="s">
        <v>112</v>
      </c>
      <c r="J4153" t="s">
        <v>113</v>
      </c>
      <c r="K4153">
        <v>0</v>
      </c>
      <c r="L4153">
        <v>3</v>
      </c>
      <c r="M4153">
        <v>0</v>
      </c>
      <c r="N4153">
        <v>2</v>
      </c>
      <c r="O4153">
        <v>1</v>
      </c>
      <c r="P4153">
        <v>0</v>
      </c>
      <c r="Q4153">
        <v>0</v>
      </c>
      <c r="R4153" t="s">
        <v>114</v>
      </c>
      <c r="S4153" t="str">
        <f>"19:44:24.258"</f>
        <v>19:44:24.258</v>
      </c>
      <c r="T4153" t="str">
        <f>"19:44:24.156"</f>
        <v>19:44:24.156</v>
      </c>
      <c r="U4153" t="str">
        <f t="shared" si="193"/>
        <v>a1cdbe</v>
      </c>
      <c r="V4153">
        <v>0</v>
      </c>
      <c r="W4153">
        <v>0</v>
      </c>
      <c r="X4153">
        <v>2</v>
      </c>
      <c r="Y4153">
        <v>0</v>
      </c>
      <c r="Z4153">
        <v>0</v>
      </c>
      <c r="AB4153">
        <v>0</v>
      </c>
      <c r="AC4153">
        <v>9</v>
      </c>
      <c r="AD4153">
        <v>3</v>
      </c>
      <c r="AE4153">
        <v>0</v>
      </c>
      <c r="AF4153">
        <v>9</v>
      </c>
      <c r="AG4153" t="s">
        <v>115</v>
      </c>
      <c r="AH4153">
        <v>0</v>
      </c>
      <c r="AI4153">
        <v>0</v>
      </c>
      <c r="AJ4153">
        <v>1</v>
      </c>
      <c r="AK4153">
        <v>0</v>
      </c>
      <c r="AL4153" t="s">
        <v>7716</v>
      </c>
      <c r="AM4153">
        <v>47.066417000000001</v>
      </c>
      <c r="AN4153" t="s">
        <v>7717</v>
      </c>
      <c r="AO4153">
        <v>-123.997192</v>
      </c>
      <c r="AP4153">
        <v>100</v>
      </c>
      <c r="AQ4153">
        <v>0</v>
      </c>
      <c r="AR4153" t="s">
        <v>118</v>
      </c>
      <c r="AS4153">
        <v>51</v>
      </c>
      <c r="AT4153">
        <v>3</v>
      </c>
      <c r="AU4153">
        <v>-448</v>
      </c>
      <c r="BC4153">
        <v>1200</v>
      </c>
      <c r="BD4153">
        <v>1</v>
      </c>
      <c r="BE4153" t="str">
        <f t="shared" si="194"/>
        <v xml:space="preserve">N215T   </v>
      </c>
      <c r="BF4153">
        <v>1</v>
      </c>
      <c r="BH4153">
        <v>0</v>
      </c>
      <c r="BI4153">
        <v>0</v>
      </c>
      <c r="BJ4153">
        <v>0</v>
      </c>
      <c r="BK4153">
        <v>400</v>
      </c>
      <c r="BL4153">
        <v>400</v>
      </c>
      <c r="BM4153" t="s">
        <v>119</v>
      </c>
      <c r="BN4153">
        <v>1</v>
      </c>
      <c r="BO4153">
        <v>1</v>
      </c>
      <c r="BP4153">
        <v>1</v>
      </c>
      <c r="BQ4153">
        <v>0</v>
      </c>
      <c r="BT4153">
        <v>0</v>
      </c>
      <c r="BU4153">
        <v>0</v>
      </c>
      <c r="BV4153">
        <v>0</v>
      </c>
      <c r="CC4153" t="str">
        <f>"19:44:24.266"</f>
        <v>19:44:24.266</v>
      </c>
      <c r="CD4153" t="str">
        <f>"261842066"</f>
        <v>261842066</v>
      </c>
      <c r="CQ4153">
        <v>0</v>
      </c>
      <c r="CR4153">
        <v>2</v>
      </c>
      <c r="CS4153">
        <v>0</v>
      </c>
      <c r="CT4153">
        <v>2</v>
      </c>
      <c r="CU4153">
        <v>0</v>
      </c>
      <c r="CV4153">
        <v>6</v>
      </c>
      <c r="CW4153" t="s">
        <v>120</v>
      </c>
      <c r="CX4153">
        <v>257</v>
      </c>
      <c r="CY4153">
        <v>0</v>
      </c>
      <c r="CZ4153" t="s">
        <v>615</v>
      </c>
      <c r="DA4153" t="s">
        <v>616</v>
      </c>
      <c r="DD4153">
        <v>16690628</v>
      </c>
      <c r="DE4153" t="s">
        <v>123</v>
      </c>
    </row>
    <row r="4154" spans="1:109" x14ac:dyDescent="0.3">
      <c r="A4154" t="str">
        <f>"19:44:25.469"</f>
        <v>19:44:25.469</v>
      </c>
      <c r="B4154" t="s">
        <v>110</v>
      </c>
      <c r="C4154" t="str">
        <f t="shared" si="195"/>
        <v>ffdfd3c0</v>
      </c>
      <c r="D4154" t="s">
        <v>111</v>
      </c>
      <c r="E4154">
        <v>18</v>
      </c>
      <c r="F4154">
        <v>1018</v>
      </c>
      <c r="G4154" t="s">
        <v>112</v>
      </c>
      <c r="J4154" t="s">
        <v>113</v>
      </c>
      <c r="K4154">
        <v>0</v>
      </c>
      <c r="L4154">
        <v>3</v>
      </c>
      <c r="M4154">
        <v>0</v>
      </c>
      <c r="N4154">
        <v>2</v>
      </c>
      <c r="O4154">
        <v>1</v>
      </c>
      <c r="P4154">
        <v>0</v>
      </c>
      <c r="Q4154">
        <v>0</v>
      </c>
      <c r="R4154" t="s">
        <v>114</v>
      </c>
      <c r="S4154" t="str">
        <f>"19:44:25.266"</f>
        <v>19:44:25.266</v>
      </c>
      <c r="T4154" t="str">
        <f>"19:44:24.969"</f>
        <v>19:44:24.969</v>
      </c>
      <c r="U4154" t="str">
        <f t="shared" si="193"/>
        <v>a1cdbe</v>
      </c>
      <c r="V4154">
        <v>0</v>
      </c>
      <c r="W4154">
        <v>0</v>
      </c>
      <c r="X4154">
        <v>2</v>
      </c>
      <c r="Y4154">
        <v>0</v>
      </c>
      <c r="Z4154">
        <v>0</v>
      </c>
      <c r="AB4154">
        <v>0</v>
      </c>
      <c r="AC4154">
        <v>9</v>
      </c>
      <c r="AD4154">
        <v>3</v>
      </c>
      <c r="AE4154">
        <v>0</v>
      </c>
      <c r="AF4154">
        <v>9</v>
      </c>
      <c r="AG4154" t="s">
        <v>115</v>
      </c>
      <c r="AH4154">
        <v>0</v>
      </c>
      <c r="AI4154">
        <v>0</v>
      </c>
      <c r="AJ4154">
        <v>1</v>
      </c>
      <c r="AK4154">
        <v>0</v>
      </c>
      <c r="AL4154" t="s">
        <v>7715</v>
      </c>
      <c r="AM4154">
        <v>47.066395</v>
      </c>
      <c r="AN4154" t="s">
        <v>7353</v>
      </c>
      <c r="AO4154">
        <v>-123.996849</v>
      </c>
      <c r="AP4154">
        <v>100</v>
      </c>
      <c r="AQ4154">
        <v>0</v>
      </c>
      <c r="AR4154" t="s">
        <v>118</v>
      </c>
      <c r="AS4154">
        <v>50</v>
      </c>
      <c r="AT4154">
        <v>-6</v>
      </c>
      <c r="AU4154">
        <v>-512</v>
      </c>
      <c r="BC4154">
        <v>1200</v>
      </c>
      <c r="BD4154">
        <v>1</v>
      </c>
      <c r="BE4154" t="str">
        <f t="shared" si="194"/>
        <v xml:space="preserve">N215T   </v>
      </c>
      <c r="BF4154">
        <v>1</v>
      </c>
      <c r="BH4154">
        <v>0</v>
      </c>
      <c r="BI4154">
        <v>0</v>
      </c>
      <c r="BJ4154">
        <v>0</v>
      </c>
      <c r="BK4154">
        <v>400</v>
      </c>
      <c r="BL4154">
        <v>400</v>
      </c>
      <c r="BM4154" t="s">
        <v>119</v>
      </c>
      <c r="BN4154">
        <v>1</v>
      </c>
      <c r="BO4154">
        <v>1</v>
      </c>
      <c r="BP4154">
        <v>1</v>
      </c>
      <c r="BQ4154">
        <v>0</v>
      </c>
      <c r="BT4154">
        <v>0</v>
      </c>
      <c r="BU4154">
        <v>0</v>
      </c>
      <c r="BV4154">
        <v>0</v>
      </c>
      <c r="CC4154" t="str">
        <f>"19:44:25.266"</f>
        <v>19:44:25.266</v>
      </c>
      <c r="CD4154" t="str">
        <f>"266743002"</f>
        <v>266743002</v>
      </c>
      <c r="CQ4154">
        <v>0</v>
      </c>
      <c r="CR4154">
        <v>2</v>
      </c>
      <c r="CS4154">
        <v>0</v>
      </c>
      <c r="CT4154">
        <v>2</v>
      </c>
      <c r="CU4154">
        <v>0</v>
      </c>
      <c r="CV4154">
        <v>6</v>
      </c>
      <c r="CW4154" t="s">
        <v>120</v>
      </c>
      <c r="CX4154">
        <v>257</v>
      </c>
      <c r="CY4154">
        <v>0</v>
      </c>
      <c r="CZ4154" t="s">
        <v>615</v>
      </c>
      <c r="DA4154" t="s">
        <v>616</v>
      </c>
      <c r="DD4154">
        <v>16690936</v>
      </c>
      <c r="DE4154" t="s">
        <v>123</v>
      </c>
    </row>
    <row r="4155" spans="1:109" x14ac:dyDescent="0.3">
      <c r="A4155" t="str">
        <f>"19:44:26.469"</f>
        <v>19:44:26.469</v>
      </c>
      <c r="B4155" t="s">
        <v>110</v>
      </c>
      <c r="C4155" t="str">
        <f t="shared" si="195"/>
        <v>ffdfd3c0</v>
      </c>
      <c r="D4155" t="s">
        <v>111</v>
      </c>
      <c r="E4155">
        <v>18</v>
      </c>
      <c r="F4155">
        <v>1018</v>
      </c>
      <c r="G4155" t="s">
        <v>112</v>
      </c>
      <c r="J4155" t="s">
        <v>113</v>
      </c>
      <c r="K4155">
        <v>0</v>
      </c>
      <c r="L4155">
        <v>3</v>
      </c>
      <c r="M4155">
        <v>0</v>
      </c>
      <c r="N4155">
        <v>2</v>
      </c>
      <c r="O4155">
        <v>1</v>
      </c>
      <c r="P4155">
        <v>0</v>
      </c>
      <c r="Q4155">
        <v>0</v>
      </c>
      <c r="R4155" t="s">
        <v>114</v>
      </c>
      <c r="S4155" t="str">
        <f>"19:44:26.211"</f>
        <v>19:44:26.211</v>
      </c>
      <c r="T4155" t="str">
        <f>"19:44:26.109"</f>
        <v>19:44:26.109</v>
      </c>
      <c r="U4155" t="str">
        <f t="shared" si="193"/>
        <v>a1cdbe</v>
      </c>
      <c r="V4155">
        <v>0</v>
      </c>
      <c r="W4155">
        <v>0</v>
      </c>
      <c r="X4155">
        <v>2</v>
      </c>
      <c r="Y4155">
        <v>0</v>
      </c>
      <c r="Z4155">
        <v>0</v>
      </c>
      <c r="AB4155">
        <v>0</v>
      </c>
      <c r="AC4155">
        <v>9</v>
      </c>
      <c r="AD4155">
        <v>3</v>
      </c>
      <c r="AE4155">
        <v>0</v>
      </c>
      <c r="AF4155">
        <v>9</v>
      </c>
      <c r="AG4155" t="s">
        <v>115</v>
      </c>
      <c r="AH4155">
        <v>0</v>
      </c>
      <c r="AI4155">
        <v>0</v>
      </c>
      <c r="AJ4155">
        <v>1</v>
      </c>
      <c r="AK4155">
        <v>0</v>
      </c>
      <c r="AL4155" t="s">
        <v>477</v>
      </c>
      <c r="AM4155">
        <v>47.066308999999997</v>
      </c>
      <c r="AN4155" t="s">
        <v>7718</v>
      </c>
      <c r="AO4155">
        <v>-123.996549</v>
      </c>
      <c r="AP4155">
        <v>100</v>
      </c>
      <c r="AQ4155">
        <v>0</v>
      </c>
      <c r="AR4155" t="s">
        <v>118</v>
      </c>
      <c r="AS4155">
        <v>48</v>
      </c>
      <c r="AT4155">
        <v>-18</v>
      </c>
      <c r="AU4155">
        <v>-576</v>
      </c>
      <c r="BC4155">
        <v>1200</v>
      </c>
      <c r="BD4155">
        <v>1</v>
      </c>
      <c r="BE4155" t="str">
        <f t="shared" si="194"/>
        <v xml:space="preserve">N215T   </v>
      </c>
      <c r="BF4155">
        <v>1</v>
      </c>
      <c r="BH4155">
        <v>0</v>
      </c>
      <c r="BI4155">
        <v>0</v>
      </c>
      <c r="BJ4155">
        <v>0</v>
      </c>
      <c r="BK4155">
        <v>375</v>
      </c>
      <c r="BL4155">
        <v>375</v>
      </c>
      <c r="BM4155" t="s">
        <v>119</v>
      </c>
      <c r="BN4155">
        <v>1</v>
      </c>
      <c r="BO4155">
        <v>1</v>
      </c>
      <c r="BP4155">
        <v>1</v>
      </c>
      <c r="BQ4155">
        <v>0</v>
      </c>
      <c r="BT4155">
        <v>0</v>
      </c>
      <c r="BU4155">
        <v>0</v>
      </c>
      <c r="BV4155">
        <v>0</v>
      </c>
      <c r="CC4155" t="str">
        <f>"19:44:26.211"</f>
        <v>19:44:26.211</v>
      </c>
      <c r="CD4155" t="str">
        <f>"211649832"</f>
        <v>211649832</v>
      </c>
      <c r="CQ4155">
        <v>0</v>
      </c>
      <c r="CR4155">
        <v>2</v>
      </c>
      <c r="CS4155">
        <v>0</v>
      </c>
      <c r="CT4155">
        <v>2</v>
      </c>
      <c r="CU4155">
        <v>0</v>
      </c>
      <c r="CV4155">
        <v>4</v>
      </c>
      <c r="CW4155" t="s">
        <v>120</v>
      </c>
      <c r="CX4155">
        <v>257</v>
      </c>
      <c r="CY4155">
        <v>0</v>
      </c>
      <c r="CZ4155" t="s">
        <v>615</v>
      </c>
      <c r="DA4155" t="s">
        <v>616</v>
      </c>
      <c r="DD4155">
        <v>16691258</v>
      </c>
      <c r="DE4155" t="s">
        <v>123</v>
      </c>
    </row>
    <row r="4156" spans="1:109" x14ac:dyDescent="0.3">
      <c r="A4156" t="str">
        <f>"19:44:27.430"</f>
        <v>19:44:27.430</v>
      </c>
      <c r="B4156" t="s">
        <v>110</v>
      </c>
      <c r="C4156" t="str">
        <f t="shared" si="195"/>
        <v>ffdfd3c0</v>
      </c>
      <c r="D4156" t="s">
        <v>111</v>
      </c>
      <c r="E4156">
        <v>18</v>
      </c>
      <c r="F4156">
        <v>1018</v>
      </c>
      <c r="G4156" t="s">
        <v>112</v>
      </c>
      <c r="J4156" t="s">
        <v>113</v>
      </c>
      <c r="K4156">
        <v>0</v>
      </c>
      <c r="L4156">
        <v>3</v>
      </c>
      <c r="M4156">
        <v>0</v>
      </c>
      <c r="N4156">
        <v>2</v>
      </c>
      <c r="O4156">
        <v>1</v>
      </c>
      <c r="P4156">
        <v>0</v>
      </c>
      <c r="Q4156">
        <v>0</v>
      </c>
      <c r="R4156" t="s">
        <v>114</v>
      </c>
      <c r="S4156" t="str">
        <f>"19:44:27.156"</f>
        <v>19:44:27.156</v>
      </c>
      <c r="T4156" t="str">
        <f>"19:44:26.656"</f>
        <v>19:44:26.656</v>
      </c>
      <c r="U4156" t="str">
        <f t="shared" si="193"/>
        <v>a1cdbe</v>
      </c>
      <c r="V4156">
        <v>0</v>
      </c>
      <c r="W4156">
        <v>0</v>
      </c>
      <c r="X4156">
        <v>2</v>
      </c>
      <c r="Y4156">
        <v>0</v>
      </c>
      <c r="Z4156">
        <v>0</v>
      </c>
      <c r="AB4156">
        <v>0</v>
      </c>
      <c r="AC4156">
        <v>9</v>
      </c>
      <c r="AD4156">
        <v>3</v>
      </c>
      <c r="AE4156">
        <v>0</v>
      </c>
      <c r="AF4156">
        <v>9</v>
      </c>
      <c r="AG4156" t="s">
        <v>115</v>
      </c>
      <c r="AH4156">
        <v>0</v>
      </c>
      <c r="AI4156">
        <v>0</v>
      </c>
      <c r="AJ4156">
        <v>1</v>
      </c>
      <c r="AK4156">
        <v>0</v>
      </c>
      <c r="AL4156" t="s">
        <v>7719</v>
      </c>
      <c r="AM4156">
        <v>47.066158999999999</v>
      </c>
      <c r="AN4156" t="s">
        <v>7720</v>
      </c>
      <c r="AO4156">
        <v>-123.996291</v>
      </c>
      <c r="AP4156">
        <v>100</v>
      </c>
      <c r="AQ4156">
        <v>0</v>
      </c>
      <c r="AR4156" t="s">
        <v>118</v>
      </c>
      <c r="AS4156">
        <v>44</v>
      </c>
      <c r="AT4156">
        <v>-25</v>
      </c>
      <c r="AU4156">
        <v>-640</v>
      </c>
      <c r="BC4156">
        <v>1200</v>
      </c>
      <c r="BD4156">
        <v>1</v>
      </c>
      <c r="BE4156" t="str">
        <f t="shared" si="194"/>
        <v xml:space="preserve">N215T   </v>
      </c>
      <c r="BF4156">
        <v>1</v>
      </c>
      <c r="BH4156">
        <v>0</v>
      </c>
      <c r="BI4156">
        <v>0</v>
      </c>
      <c r="BJ4156">
        <v>0</v>
      </c>
      <c r="BK4156">
        <v>375</v>
      </c>
      <c r="BL4156">
        <v>375</v>
      </c>
      <c r="BM4156" t="s">
        <v>119</v>
      </c>
      <c r="BN4156">
        <v>1</v>
      </c>
      <c r="BO4156">
        <v>1</v>
      </c>
      <c r="BP4156">
        <v>1</v>
      </c>
      <c r="BQ4156">
        <v>0</v>
      </c>
      <c r="BT4156">
        <v>0</v>
      </c>
      <c r="BU4156">
        <v>0</v>
      </c>
      <c r="BV4156">
        <v>0</v>
      </c>
      <c r="CC4156" t="str">
        <f>"19:44:27.156"</f>
        <v>19:44:27.156</v>
      </c>
      <c r="CD4156" t="str">
        <f>"156556616"</f>
        <v>156556616</v>
      </c>
      <c r="CQ4156">
        <v>0</v>
      </c>
      <c r="CR4156">
        <v>2</v>
      </c>
      <c r="CS4156">
        <v>0</v>
      </c>
      <c r="CT4156">
        <v>2</v>
      </c>
      <c r="CU4156">
        <v>0</v>
      </c>
      <c r="CV4156">
        <v>5</v>
      </c>
      <c r="CW4156" t="s">
        <v>120</v>
      </c>
      <c r="CX4156">
        <v>257</v>
      </c>
      <c r="CY4156">
        <v>0</v>
      </c>
      <c r="CZ4156" t="s">
        <v>615</v>
      </c>
      <c r="DA4156" t="s">
        <v>616</v>
      </c>
      <c r="DD4156">
        <v>16691569</v>
      </c>
      <c r="DE4156" t="s">
        <v>123</v>
      </c>
    </row>
    <row r="4157" spans="1:109" x14ac:dyDescent="0.3">
      <c r="A4157" t="str">
        <f>"19:44:28.328"</f>
        <v>19:44:28.328</v>
      </c>
      <c r="B4157" t="s">
        <v>110</v>
      </c>
      <c r="C4157" t="str">
        <f t="shared" si="195"/>
        <v>ffdfd3c0</v>
      </c>
      <c r="D4157" t="s">
        <v>111</v>
      </c>
      <c r="E4157">
        <v>18</v>
      </c>
      <c r="F4157">
        <v>1018</v>
      </c>
      <c r="G4157" t="s">
        <v>112</v>
      </c>
      <c r="J4157" t="s">
        <v>113</v>
      </c>
      <c r="K4157">
        <v>0</v>
      </c>
      <c r="L4157">
        <v>3</v>
      </c>
      <c r="M4157">
        <v>0</v>
      </c>
      <c r="N4157">
        <v>2</v>
      </c>
      <c r="O4157">
        <v>1</v>
      </c>
      <c r="P4157">
        <v>0</v>
      </c>
      <c r="Q4157">
        <v>0</v>
      </c>
      <c r="R4157" t="s">
        <v>114</v>
      </c>
      <c r="S4157" t="str">
        <f>"19:44:28.109"</f>
        <v>19:44:28.109</v>
      </c>
      <c r="T4157" t="str">
        <f>"19:44:27.711"</f>
        <v>19:44:27.711</v>
      </c>
      <c r="U4157" t="str">
        <f t="shared" si="193"/>
        <v>a1cdbe</v>
      </c>
      <c r="V4157">
        <v>0</v>
      </c>
      <c r="W4157">
        <v>0</v>
      </c>
      <c r="X4157">
        <v>2</v>
      </c>
      <c r="Y4157">
        <v>0</v>
      </c>
      <c r="Z4157">
        <v>0</v>
      </c>
      <c r="AB4157">
        <v>0</v>
      </c>
      <c r="AC4157">
        <v>9</v>
      </c>
      <c r="AD4157">
        <v>3</v>
      </c>
      <c r="AE4157">
        <v>0</v>
      </c>
      <c r="AF4157">
        <v>9</v>
      </c>
      <c r="AG4157" t="s">
        <v>115</v>
      </c>
      <c r="AH4157">
        <v>0</v>
      </c>
      <c r="AI4157">
        <v>0</v>
      </c>
      <c r="AJ4157">
        <v>1</v>
      </c>
      <c r="AK4157">
        <v>0</v>
      </c>
      <c r="AL4157" t="s">
        <v>7721</v>
      </c>
      <c r="AM4157">
        <v>47.066031000000002</v>
      </c>
      <c r="AN4157" t="s">
        <v>7722</v>
      </c>
      <c r="AO4157">
        <v>-123.99603399999999</v>
      </c>
      <c r="AP4157">
        <v>100</v>
      </c>
      <c r="AQ4157">
        <v>0</v>
      </c>
      <c r="AR4157" t="s">
        <v>118</v>
      </c>
      <c r="AS4157">
        <v>37</v>
      </c>
      <c r="AT4157">
        <v>-34</v>
      </c>
      <c r="AU4157">
        <v>-768</v>
      </c>
      <c r="BC4157">
        <v>1200</v>
      </c>
      <c r="BD4157">
        <v>1</v>
      </c>
      <c r="BE4157" t="str">
        <f t="shared" si="194"/>
        <v xml:space="preserve">N215T   </v>
      </c>
      <c r="BF4157">
        <v>1</v>
      </c>
      <c r="BH4157">
        <v>0</v>
      </c>
      <c r="BI4157">
        <v>0</v>
      </c>
      <c r="BJ4157">
        <v>0</v>
      </c>
      <c r="BK4157">
        <v>375</v>
      </c>
      <c r="BL4157">
        <v>375</v>
      </c>
      <c r="BM4157" t="s">
        <v>119</v>
      </c>
      <c r="BN4157">
        <v>1</v>
      </c>
      <c r="BO4157">
        <v>1</v>
      </c>
      <c r="BP4157">
        <v>1</v>
      </c>
      <c r="BQ4157">
        <v>0</v>
      </c>
      <c r="BT4157">
        <v>0</v>
      </c>
      <c r="BU4157">
        <v>0</v>
      </c>
      <c r="BV4157">
        <v>0</v>
      </c>
      <c r="CC4157" t="str">
        <f>"19:44:28.117"</f>
        <v>19:44:28.117</v>
      </c>
      <c r="CD4157" t="str">
        <f>"116461952"</f>
        <v>116461952</v>
      </c>
      <c r="CQ4157">
        <v>0</v>
      </c>
      <c r="CR4157">
        <v>2</v>
      </c>
      <c r="CS4157">
        <v>0</v>
      </c>
      <c r="CT4157">
        <v>2</v>
      </c>
      <c r="CU4157">
        <v>0</v>
      </c>
      <c r="CV4157">
        <v>5</v>
      </c>
      <c r="CW4157" t="s">
        <v>120</v>
      </c>
      <c r="CX4157">
        <v>257</v>
      </c>
      <c r="CY4157">
        <v>0</v>
      </c>
      <c r="CZ4157" t="s">
        <v>615</v>
      </c>
      <c r="DA4157" t="s">
        <v>616</v>
      </c>
      <c r="DD4157">
        <v>16691860</v>
      </c>
      <c r="DE4157" t="s">
        <v>123</v>
      </c>
    </row>
    <row r="4158" spans="1:109" x14ac:dyDescent="0.3">
      <c r="A4158" t="str">
        <f>"19:44:29.438"</f>
        <v>19:44:29.438</v>
      </c>
      <c r="B4158" t="s">
        <v>110</v>
      </c>
      <c r="C4158" t="str">
        <f t="shared" si="195"/>
        <v>ffdfd3c0</v>
      </c>
      <c r="D4158" t="s">
        <v>111</v>
      </c>
      <c r="E4158">
        <v>18</v>
      </c>
      <c r="F4158">
        <v>1018</v>
      </c>
      <c r="G4158" t="s">
        <v>112</v>
      </c>
      <c r="J4158" t="s">
        <v>113</v>
      </c>
      <c r="K4158">
        <v>0</v>
      </c>
      <c r="L4158">
        <v>3</v>
      </c>
      <c r="M4158">
        <v>0</v>
      </c>
      <c r="N4158">
        <v>2</v>
      </c>
      <c r="O4158">
        <v>1</v>
      </c>
      <c r="P4158">
        <v>0</v>
      </c>
      <c r="Q4158">
        <v>0</v>
      </c>
      <c r="R4158" t="s">
        <v>114</v>
      </c>
      <c r="S4158" t="str">
        <f>"19:44:29.195"</f>
        <v>19:44:29.195</v>
      </c>
      <c r="T4158" t="str">
        <f>"19:44:28.695"</f>
        <v>19:44:28.695</v>
      </c>
      <c r="U4158" t="str">
        <f t="shared" si="193"/>
        <v>a1cdbe</v>
      </c>
      <c r="V4158">
        <v>0</v>
      </c>
      <c r="W4158">
        <v>0</v>
      </c>
      <c r="X4158">
        <v>2</v>
      </c>
      <c r="Y4158">
        <v>0</v>
      </c>
      <c r="Z4158">
        <v>0</v>
      </c>
      <c r="AB4158">
        <v>0</v>
      </c>
      <c r="AC4158">
        <v>9</v>
      </c>
      <c r="AD4158">
        <v>3</v>
      </c>
      <c r="AE4158">
        <v>0</v>
      </c>
      <c r="AF4158">
        <v>9</v>
      </c>
      <c r="AG4158" t="s">
        <v>115</v>
      </c>
      <c r="AH4158">
        <v>0</v>
      </c>
      <c r="AI4158">
        <v>0</v>
      </c>
      <c r="AJ4158">
        <v>1</v>
      </c>
      <c r="AK4158">
        <v>0</v>
      </c>
      <c r="AL4158" t="s">
        <v>7707</v>
      </c>
      <c r="AM4158">
        <v>47.065793999999997</v>
      </c>
      <c r="AN4158" t="s">
        <v>7661</v>
      </c>
      <c r="AO4158">
        <v>-123.995819</v>
      </c>
      <c r="AP4158">
        <v>100</v>
      </c>
      <c r="AQ4158">
        <v>-100</v>
      </c>
      <c r="AR4158" t="s">
        <v>118</v>
      </c>
      <c r="AS4158">
        <v>28</v>
      </c>
      <c r="AT4158">
        <v>-41</v>
      </c>
      <c r="AU4158">
        <v>-1024</v>
      </c>
      <c r="BC4158">
        <v>1200</v>
      </c>
      <c r="BD4158">
        <v>1</v>
      </c>
      <c r="BE4158" t="str">
        <f t="shared" si="194"/>
        <v xml:space="preserve">N215T   </v>
      </c>
      <c r="BF4158">
        <v>1</v>
      </c>
      <c r="BH4158">
        <v>0</v>
      </c>
      <c r="BI4158">
        <v>0</v>
      </c>
      <c r="BJ4158">
        <v>0</v>
      </c>
      <c r="BK4158">
        <v>350</v>
      </c>
      <c r="BL4158">
        <v>450</v>
      </c>
      <c r="BM4158" t="s">
        <v>119</v>
      </c>
      <c r="BN4158">
        <v>1</v>
      </c>
      <c r="BO4158">
        <v>1</v>
      </c>
      <c r="BP4158">
        <v>1</v>
      </c>
      <c r="BQ4158">
        <v>0</v>
      </c>
      <c r="BT4158">
        <v>0</v>
      </c>
      <c r="BU4158">
        <v>0</v>
      </c>
      <c r="BV4158">
        <v>0</v>
      </c>
      <c r="CC4158" t="str">
        <f>"19:44:29.195"</f>
        <v>19:44:29.195</v>
      </c>
      <c r="CD4158" t="str">
        <f>"196355431"</f>
        <v>196355431</v>
      </c>
      <c r="CQ4158">
        <v>0</v>
      </c>
      <c r="CR4158">
        <v>2</v>
      </c>
      <c r="CS4158">
        <v>0</v>
      </c>
      <c r="CT4158">
        <v>2</v>
      </c>
      <c r="CU4158">
        <v>0</v>
      </c>
      <c r="CV4158">
        <v>6</v>
      </c>
      <c r="CW4158" t="s">
        <v>120</v>
      </c>
      <c r="CX4158">
        <v>257</v>
      </c>
      <c r="CY4158">
        <v>0</v>
      </c>
      <c r="CZ4158" t="s">
        <v>615</v>
      </c>
      <c r="DA4158" t="s">
        <v>616</v>
      </c>
      <c r="DD4158">
        <v>16692209</v>
      </c>
      <c r="DE4158" t="s">
        <v>123</v>
      </c>
    </row>
    <row r="4159" spans="1:109" x14ac:dyDescent="0.3">
      <c r="A4159" t="str">
        <f>"19:44:30.445"</f>
        <v>19:44:30.445</v>
      </c>
      <c r="B4159" t="s">
        <v>110</v>
      </c>
      <c r="C4159" t="str">
        <f t="shared" si="195"/>
        <v>ffdfd3c0</v>
      </c>
      <c r="D4159" t="s">
        <v>111</v>
      </c>
      <c r="E4159">
        <v>18</v>
      </c>
      <c r="F4159">
        <v>1018</v>
      </c>
      <c r="G4159" t="s">
        <v>112</v>
      </c>
      <c r="J4159" t="s">
        <v>113</v>
      </c>
      <c r="K4159">
        <v>0</v>
      </c>
      <c r="L4159">
        <v>3</v>
      </c>
      <c r="M4159">
        <v>0</v>
      </c>
      <c r="N4159">
        <v>2</v>
      </c>
      <c r="O4159">
        <v>1</v>
      </c>
      <c r="P4159">
        <v>0</v>
      </c>
      <c r="Q4159">
        <v>0</v>
      </c>
      <c r="R4159" t="s">
        <v>114</v>
      </c>
      <c r="S4159" t="str">
        <f>"19:44:30.180"</f>
        <v>19:44:30.180</v>
      </c>
      <c r="T4159" t="str">
        <f>"19:44:29.781"</f>
        <v>19:44:29.781</v>
      </c>
      <c r="U4159" t="str">
        <f t="shared" si="193"/>
        <v>a1cdbe</v>
      </c>
      <c r="V4159">
        <v>0</v>
      </c>
      <c r="W4159">
        <v>0</v>
      </c>
      <c r="X4159">
        <v>2</v>
      </c>
      <c r="Y4159">
        <v>0</v>
      </c>
      <c r="Z4159">
        <v>0</v>
      </c>
      <c r="AB4159">
        <v>0</v>
      </c>
      <c r="AC4159">
        <v>9</v>
      </c>
      <c r="AD4159">
        <v>3</v>
      </c>
      <c r="AE4159">
        <v>0</v>
      </c>
      <c r="AF4159">
        <v>9</v>
      </c>
      <c r="AG4159" t="s">
        <v>115</v>
      </c>
      <c r="AH4159">
        <v>0</v>
      </c>
      <c r="AI4159">
        <v>0</v>
      </c>
      <c r="AJ4159">
        <v>1</v>
      </c>
      <c r="AK4159">
        <v>0</v>
      </c>
      <c r="AL4159" t="s">
        <v>7723</v>
      </c>
      <c r="AM4159">
        <v>47.065579999999997</v>
      </c>
      <c r="AN4159" t="s">
        <v>7724</v>
      </c>
      <c r="AO4159">
        <v>-123.995712</v>
      </c>
      <c r="AP4159">
        <v>100</v>
      </c>
      <c r="AQ4159">
        <v>-100</v>
      </c>
      <c r="AR4159" t="s">
        <v>118</v>
      </c>
      <c r="AS4159">
        <v>18</v>
      </c>
      <c r="AT4159">
        <v>-46</v>
      </c>
      <c r="AU4159">
        <v>-1152</v>
      </c>
      <c r="BC4159">
        <v>1200</v>
      </c>
      <c r="BD4159">
        <v>1</v>
      </c>
      <c r="BE4159" t="str">
        <f t="shared" si="194"/>
        <v xml:space="preserve">N215T   </v>
      </c>
      <c r="BF4159">
        <v>1</v>
      </c>
      <c r="BH4159">
        <v>0</v>
      </c>
      <c r="BI4159">
        <v>0</v>
      </c>
      <c r="BJ4159">
        <v>0</v>
      </c>
      <c r="BK4159">
        <v>325</v>
      </c>
      <c r="BL4159">
        <v>425</v>
      </c>
      <c r="BM4159" t="s">
        <v>119</v>
      </c>
      <c r="BN4159">
        <v>1</v>
      </c>
      <c r="BO4159">
        <v>1</v>
      </c>
      <c r="BP4159">
        <v>1</v>
      </c>
      <c r="BQ4159">
        <v>0</v>
      </c>
      <c r="BT4159">
        <v>0</v>
      </c>
      <c r="BU4159">
        <v>0</v>
      </c>
      <c r="BV4159">
        <v>0</v>
      </c>
      <c r="CC4159" t="str">
        <f>"19:44:30.188"</f>
        <v>19:44:30.188</v>
      </c>
      <c r="CD4159" t="str">
        <f>"186257797"</f>
        <v>186257797</v>
      </c>
      <c r="CQ4159">
        <v>0</v>
      </c>
      <c r="CR4159">
        <v>2</v>
      </c>
      <c r="CS4159">
        <v>0</v>
      </c>
      <c r="CT4159">
        <v>2</v>
      </c>
      <c r="CU4159">
        <v>0</v>
      </c>
      <c r="CV4159">
        <v>6</v>
      </c>
      <c r="CW4159" t="s">
        <v>120</v>
      </c>
      <c r="CX4159">
        <v>257</v>
      </c>
      <c r="CY4159">
        <v>0</v>
      </c>
      <c r="CZ4159" t="s">
        <v>615</v>
      </c>
      <c r="DA4159" t="s">
        <v>616</v>
      </c>
      <c r="DD4159">
        <v>16692530</v>
      </c>
      <c r="DE4159" t="s">
        <v>123</v>
      </c>
    </row>
    <row r="4160" spans="1:109" x14ac:dyDescent="0.3">
      <c r="A4160" t="str">
        <f>"19:44:31.344"</f>
        <v>19:44:31.344</v>
      </c>
      <c r="B4160" t="s">
        <v>110</v>
      </c>
      <c r="C4160" t="str">
        <f t="shared" si="195"/>
        <v>ffdfd3c0</v>
      </c>
      <c r="D4160" t="s">
        <v>111</v>
      </c>
      <c r="E4160">
        <v>18</v>
      </c>
      <c r="F4160">
        <v>1018</v>
      </c>
      <c r="G4160" t="s">
        <v>112</v>
      </c>
      <c r="J4160" t="s">
        <v>113</v>
      </c>
      <c r="K4160">
        <v>0</v>
      </c>
      <c r="L4160">
        <v>3</v>
      </c>
      <c r="M4160">
        <v>0</v>
      </c>
      <c r="N4160">
        <v>2</v>
      </c>
      <c r="O4160">
        <v>1</v>
      </c>
      <c r="P4160">
        <v>0</v>
      </c>
      <c r="Q4160">
        <v>0</v>
      </c>
      <c r="R4160" t="s">
        <v>114</v>
      </c>
      <c r="S4160" t="str">
        <f>"19:44:31.109"</f>
        <v>19:44:31.109</v>
      </c>
      <c r="T4160" t="str">
        <f>"19:44:30.711"</f>
        <v>19:44:30.711</v>
      </c>
      <c r="U4160" t="str">
        <f t="shared" si="193"/>
        <v>a1cdbe</v>
      </c>
      <c r="V4160">
        <v>0</v>
      </c>
      <c r="W4160">
        <v>0</v>
      </c>
      <c r="X4160">
        <v>2</v>
      </c>
      <c r="Y4160">
        <v>0</v>
      </c>
      <c r="Z4160">
        <v>0</v>
      </c>
      <c r="AB4160">
        <v>0</v>
      </c>
      <c r="AC4160">
        <v>9</v>
      </c>
      <c r="AD4160">
        <v>3</v>
      </c>
      <c r="AE4160">
        <v>0</v>
      </c>
      <c r="AF4160">
        <v>9</v>
      </c>
      <c r="AG4160" t="s">
        <v>115</v>
      </c>
      <c r="AH4160">
        <v>0</v>
      </c>
      <c r="AI4160">
        <v>0</v>
      </c>
      <c r="AJ4160">
        <v>1</v>
      </c>
      <c r="AK4160">
        <v>0</v>
      </c>
      <c r="AL4160" t="s">
        <v>7725</v>
      </c>
      <c r="AM4160">
        <v>47.065387000000001</v>
      </c>
      <c r="AN4160" t="s">
        <v>7726</v>
      </c>
      <c r="AO4160">
        <v>-123.99564700000001</v>
      </c>
      <c r="AP4160">
        <v>100</v>
      </c>
      <c r="AQ4160">
        <v>-100</v>
      </c>
      <c r="AR4160" t="s">
        <v>118</v>
      </c>
      <c r="AS4160">
        <v>12</v>
      </c>
      <c r="AT4160">
        <v>-48</v>
      </c>
      <c r="AU4160">
        <v>-1088</v>
      </c>
      <c r="BC4160">
        <v>1200</v>
      </c>
      <c r="BD4160">
        <v>1</v>
      </c>
      <c r="BE4160" t="str">
        <f t="shared" si="194"/>
        <v xml:space="preserve">N215T   </v>
      </c>
      <c r="BF4160">
        <v>1</v>
      </c>
      <c r="BH4160">
        <v>0</v>
      </c>
      <c r="BI4160">
        <v>0</v>
      </c>
      <c r="BJ4160">
        <v>0</v>
      </c>
      <c r="BK4160">
        <v>325</v>
      </c>
      <c r="BL4160">
        <v>425</v>
      </c>
      <c r="BM4160" t="s">
        <v>119</v>
      </c>
      <c r="BN4160">
        <v>1</v>
      </c>
      <c r="BO4160">
        <v>1</v>
      </c>
      <c r="BP4160">
        <v>1</v>
      </c>
      <c r="BQ4160">
        <v>0</v>
      </c>
      <c r="BT4160">
        <v>0</v>
      </c>
      <c r="BU4160">
        <v>0</v>
      </c>
      <c r="BV4160">
        <v>0</v>
      </c>
      <c r="CC4160" t="str">
        <f>"19:44:31.117"</f>
        <v>19:44:31.117</v>
      </c>
      <c r="CD4160" t="str">
        <f>"116166050"</f>
        <v>116166050</v>
      </c>
      <c r="CQ4160">
        <v>0</v>
      </c>
      <c r="CR4160">
        <v>2</v>
      </c>
      <c r="CS4160">
        <v>0</v>
      </c>
      <c r="CT4160">
        <v>2</v>
      </c>
      <c r="CU4160">
        <v>0</v>
      </c>
      <c r="CV4160">
        <v>6</v>
      </c>
      <c r="CW4160" t="s">
        <v>120</v>
      </c>
      <c r="CX4160">
        <v>257</v>
      </c>
      <c r="CY4160">
        <v>0</v>
      </c>
      <c r="CZ4160" t="s">
        <v>615</v>
      </c>
      <c r="DA4160" t="s">
        <v>616</v>
      </c>
      <c r="DD4160">
        <v>16692862</v>
      </c>
      <c r="DE4160" t="s">
        <v>123</v>
      </c>
    </row>
    <row r="4161" spans="1:109" x14ac:dyDescent="0.3">
      <c r="A4161" t="str">
        <f>"19:44:32.406"</f>
        <v>19:44:32.406</v>
      </c>
      <c r="B4161" t="s">
        <v>110</v>
      </c>
      <c r="C4161" t="str">
        <f t="shared" si="195"/>
        <v>ffdfd3c0</v>
      </c>
      <c r="D4161" t="s">
        <v>111</v>
      </c>
      <c r="E4161">
        <v>18</v>
      </c>
      <c r="F4161">
        <v>1018</v>
      </c>
      <c r="G4161" t="s">
        <v>112</v>
      </c>
      <c r="J4161" t="s">
        <v>113</v>
      </c>
      <c r="K4161">
        <v>0</v>
      </c>
      <c r="L4161">
        <v>3</v>
      </c>
      <c r="M4161">
        <v>0</v>
      </c>
      <c r="N4161">
        <v>2</v>
      </c>
      <c r="O4161">
        <v>1</v>
      </c>
      <c r="P4161">
        <v>0</v>
      </c>
      <c r="Q4161">
        <v>0</v>
      </c>
      <c r="R4161" t="s">
        <v>114</v>
      </c>
      <c r="S4161" t="str">
        <f>"19:44:32.148"</f>
        <v>19:44:32.148</v>
      </c>
      <c r="T4161" t="str">
        <f>"19:44:31.852"</f>
        <v>19:44:31.852</v>
      </c>
      <c r="U4161" t="str">
        <f t="shared" si="193"/>
        <v>a1cdbe</v>
      </c>
      <c r="V4161">
        <v>0</v>
      </c>
      <c r="W4161">
        <v>0</v>
      </c>
      <c r="X4161">
        <v>2</v>
      </c>
      <c r="Y4161">
        <v>0</v>
      </c>
      <c r="Z4161">
        <v>0</v>
      </c>
      <c r="AB4161">
        <v>0</v>
      </c>
      <c r="AC4161">
        <v>9</v>
      </c>
      <c r="AD4161">
        <v>3</v>
      </c>
      <c r="AE4161">
        <v>0</v>
      </c>
      <c r="AF4161">
        <v>9</v>
      </c>
      <c r="AG4161" t="s">
        <v>115</v>
      </c>
      <c r="AH4161">
        <v>0</v>
      </c>
      <c r="AI4161">
        <v>0</v>
      </c>
      <c r="AJ4161">
        <v>1</v>
      </c>
      <c r="AK4161">
        <v>0</v>
      </c>
      <c r="AL4161" t="s">
        <v>482</v>
      </c>
      <c r="AM4161">
        <v>47.065108000000002</v>
      </c>
      <c r="AN4161" t="s">
        <v>7726</v>
      </c>
      <c r="AO4161">
        <v>-123.99564700000001</v>
      </c>
      <c r="AP4161">
        <v>100</v>
      </c>
      <c r="AQ4161">
        <v>-100</v>
      </c>
      <c r="AR4161" t="s">
        <v>118</v>
      </c>
      <c r="AS4161">
        <v>5</v>
      </c>
      <c r="AT4161">
        <v>-50</v>
      </c>
      <c r="AU4161">
        <v>-896</v>
      </c>
      <c r="BC4161">
        <v>1200</v>
      </c>
      <c r="BD4161">
        <v>1</v>
      </c>
      <c r="BE4161" t="str">
        <f t="shared" si="194"/>
        <v xml:space="preserve">N215T   </v>
      </c>
      <c r="BF4161">
        <v>1</v>
      </c>
      <c r="BH4161">
        <v>0</v>
      </c>
      <c r="BI4161">
        <v>0</v>
      </c>
      <c r="BJ4161">
        <v>0</v>
      </c>
      <c r="BK4161">
        <v>300</v>
      </c>
      <c r="BL4161">
        <v>400</v>
      </c>
      <c r="BM4161" t="s">
        <v>119</v>
      </c>
      <c r="BN4161">
        <v>1</v>
      </c>
      <c r="BO4161">
        <v>1</v>
      </c>
      <c r="BP4161">
        <v>1</v>
      </c>
      <c r="BQ4161">
        <v>0</v>
      </c>
      <c r="BT4161">
        <v>0</v>
      </c>
      <c r="BU4161">
        <v>0</v>
      </c>
      <c r="BV4161">
        <v>0</v>
      </c>
      <c r="CC4161" t="str">
        <f>"19:44:32.148"</f>
        <v>19:44:32.148</v>
      </c>
      <c r="CD4161" t="str">
        <f>"151063964"</f>
        <v>151063964</v>
      </c>
      <c r="CQ4161">
        <v>0</v>
      </c>
      <c r="CR4161">
        <v>2</v>
      </c>
      <c r="CS4161">
        <v>0</v>
      </c>
      <c r="CT4161">
        <v>2</v>
      </c>
      <c r="CU4161">
        <v>0</v>
      </c>
      <c r="CV4161">
        <v>6</v>
      </c>
      <c r="CW4161" t="s">
        <v>120</v>
      </c>
      <c r="CX4161">
        <v>257</v>
      </c>
      <c r="CY4161">
        <v>0</v>
      </c>
      <c r="CZ4161" t="s">
        <v>615</v>
      </c>
      <c r="DA4161" t="s">
        <v>616</v>
      </c>
      <c r="DD4161">
        <v>16693207</v>
      </c>
      <c r="DE4161" t="s">
        <v>123</v>
      </c>
    </row>
    <row r="4162" spans="1:109" x14ac:dyDescent="0.3">
      <c r="A4162" t="str">
        <f>"19:44:33.406"</f>
        <v>19:44:33.406</v>
      </c>
      <c r="B4162" t="s">
        <v>110</v>
      </c>
      <c r="C4162" t="str">
        <f t="shared" si="195"/>
        <v>ffdfd3c0</v>
      </c>
      <c r="D4162" t="s">
        <v>111</v>
      </c>
      <c r="E4162">
        <v>18</v>
      </c>
      <c r="F4162">
        <v>1018</v>
      </c>
      <c r="G4162" t="s">
        <v>112</v>
      </c>
      <c r="J4162" t="s">
        <v>113</v>
      </c>
      <c r="K4162">
        <v>0</v>
      </c>
      <c r="L4162">
        <v>3</v>
      </c>
      <c r="M4162">
        <v>0</v>
      </c>
      <c r="N4162">
        <v>2</v>
      </c>
      <c r="O4162">
        <v>1</v>
      </c>
      <c r="P4162">
        <v>0</v>
      </c>
      <c r="Q4162">
        <v>0</v>
      </c>
      <c r="R4162" t="s">
        <v>114</v>
      </c>
      <c r="S4162" t="str">
        <f>"19:44:33.148"</f>
        <v>19:44:33.148</v>
      </c>
      <c r="T4162" t="str">
        <f>"19:44:32.750"</f>
        <v>19:44:32.750</v>
      </c>
      <c r="U4162" t="str">
        <f t="shared" ref="U4162:U4225" si="196">"a1cdbe"</f>
        <v>a1cdbe</v>
      </c>
      <c r="V4162">
        <v>0</v>
      </c>
      <c r="W4162">
        <v>0</v>
      </c>
      <c r="X4162">
        <v>2</v>
      </c>
      <c r="Y4162">
        <v>0</v>
      </c>
      <c r="Z4162">
        <v>0</v>
      </c>
      <c r="AB4162">
        <v>0</v>
      </c>
      <c r="AC4162">
        <v>9</v>
      </c>
      <c r="AD4162">
        <v>3</v>
      </c>
      <c r="AE4162">
        <v>0</v>
      </c>
      <c r="AF4162">
        <v>9</v>
      </c>
      <c r="AG4162" t="s">
        <v>115</v>
      </c>
      <c r="AH4162">
        <v>0</v>
      </c>
      <c r="AI4162">
        <v>0</v>
      </c>
      <c r="AJ4162">
        <v>1</v>
      </c>
      <c r="AK4162">
        <v>0</v>
      </c>
      <c r="AL4162" t="s">
        <v>7727</v>
      </c>
      <c r="AM4162">
        <v>47.064872000000001</v>
      </c>
      <c r="AN4162" t="s">
        <v>7728</v>
      </c>
      <c r="AO4162">
        <v>-123.995605</v>
      </c>
      <c r="AP4162">
        <v>100</v>
      </c>
      <c r="AQ4162">
        <v>-100</v>
      </c>
      <c r="AR4162" t="s">
        <v>118</v>
      </c>
      <c r="AS4162">
        <v>3</v>
      </c>
      <c r="AT4162">
        <v>-51</v>
      </c>
      <c r="AU4162">
        <v>-896</v>
      </c>
      <c r="BC4162">
        <v>1200</v>
      </c>
      <c r="BD4162">
        <v>1</v>
      </c>
      <c r="BE4162" t="str">
        <f t="shared" ref="BE4162:BE4225" si="197">"N215T   "</f>
        <v xml:space="preserve">N215T   </v>
      </c>
      <c r="BF4162">
        <v>1</v>
      </c>
      <c r="BH4162">
        <v>0</v>
      </c>
      <c r="BI4162">
        <v>0</v>
      </c>
      <c r="BJ4162">
        <v>0</v>
      </c>
      <c r="BK4162">
        <v>275</v>
      </c>
      <c r="BL4162">
        <v>375</v>
      </c>
      <c r="BM4162" t="s">
        <v>119</v>
      </c>
      <c r="BN4162">
        <v>1</v>
      </c>
      <c r="BO4162">
        <v>1</v>
      </c>
      <c r="BP4162">
        <v>1</v>
      </c>
      <c r="BQ4162">
        <v>0</v>
      </c>
      <c r="BT4162">
        <v>0</v>
      </c>
      <c r="BU4162">
        <v>0</v>
      </c>
      <c r="BV4162">
        <v>0</v>
      </c>
      <c r="CC4162" t="str">
        <f>"19:44:33.156"</f>
        <v>19:44:33.156</v>
      </c>
      <c r="CD4162" t="str">
        <f>"155964834"</f>
        <v>155964834</v>
      </c>
      <c r="CQ4162">
        <v>0</v>
      </c>
      <c r="CR4162">
        <v>2</v>
      </c>
      <c r="CS4162">
        <v>0</v>
      </c>
      <c r="CT4162">
        <v>2</v>
      </c>
      <c r="CU4162">
        <v>0</v>
      </c>
      <c r="CV4162">
        <v>6</v>
      </c>
      <c r="CW4162" t="s">
        <v>120</v>
      </c>
      <c r="CX4162">
        <v>257</v>
      </c>
      <c r="CY4162">
        <v>0</v>
      </c>
      <c r="CZ4162" t="s">
        <v>615</v>
      </c>
      <c r="DA4162" t="s">
        <v>616</v>
      </c>
      <c r="DD4162">
        <v>16693552</v>
      </c>
      <c r="DE4162" t="s">
        <v>123</v>
      </c>
    </row>
    <row r="4163" spans="1:109" x14ac:dyDescent="0.3">
      <c r="A4163" t="str">
        <f>"19:44:34.359"</f>
        <v>19:44:34.359</v>
      </c>
      <c r="B4163" t="s">
        <v>110</v>
      </c>
      <c r="C4163" t="str">
        <f t="shared" si="195"/>
        <v>ffdfd3c0</v>
      </c>
      <c r="D4163" t="s">
        <v>111</v>
      </c>
      <c r="E4163">
        <v>18</v>
      </c>
      <c r="F4163">
        <v>1018</v>
      </c>
      <c r="G4163" t="s">
        <v>112</v>
      </c>
      <c r="J4163" t="s">
        <v>113</v>
      </c>
      <c r="K4163">
        <v>0</v>
      </c>
      <c r="L4163">
        <v>3</v>
      </c>
      <c r="M4163">
        <v>0</v>
      </c>
      <c r="N4163">
        <v>2</v>
      </c>
      <c r="O4163">
        <v>1</v>
      </c>
      <c r="P4163">
        <v>0</v>
      </c>
      <c r="Q4163">
        <v>0</v>
      </c>
      <c r="R4163" t="s">
        <v>114</v>
      </c>
      <c r="S4163" t="str">
        <f>"19:44:34.125"</f>
        <v>19:44:34.125</v>
      </c>
      <c r="T4163" t="str">
        <f>"19:44:34.125"</f>
        <v>19:44:34.125</v>
      </c>
      <c r="U4163" t="str">
        <f t="shared" si="196"/>
        <v>a1cdbe</v>
      </c>
      <c r="V4163">
        <v>0</v>
      </c>
      <c r="W4163">
        <v>0</v>
      </c>
      <c r="X4163">
        <v>2</v>
      </c>
      <c r="Y4163">
        <v>0</v>
      </c>
      <c r="Z4163">
        <v>0</v>
      </c>
      <c r="AB4163">
        <v>0</v>
      </c>
      <c r="AC4163">
        <v>9</v>
      </c>
      <c r="AD4163">
        <v>3</v>
      </c>
      <c r="AE4163">
        <v>0</v>
      </c>
      <c r="AF4163">
        <v>9</v>
      </c>
      <c r="AG4163" t="s">
        <v>115</v>
      </c>
      <c r="AH4163">
        <v>0</v>
      </c>
      <c r="AI4163">
        <v>0</v>
      </c>
      <c r="AJ4163">
        <v>1</v>
      </c>
      <c r="AK4163">
        <v>0</v>
      </c>
      <c r="AL4163" t="s">
        <v>7506</v>
      </c>
      <c r="AM4163">
        <v>47.064613999999999</v>
      </c>
      <c r="AN4163" t="s">
        <v>7728</v>
      </c>
      <c r="AO4163">
        <v>-123.995605</v>
      </c>
      <c r="AP4163">
        <v>100</v>
      </c>
      <c r="AQ4163">
        <v>-100</v>
      </c>
      <c r="AR4163" t="s">
        <v>118</v>
      </c>
      <c r="AS4163">
        <v>5</v>
      </c>
      <c r="AT4163">
        <v>-52</v>
      </c>
      <c r="AU4163">
        <v>-832</v>
      </c>
      <c r="BC4163">
        <v>1200</v>
      </c>
      <c r="BD4163">
        <v>1</v>
      </c>
      <c r="BE4163" t="str">
        <f t="shared" si="197"/>
        <v xml:space="preserve">N215T   </v>
      </c>
      <c r="BF4163">
        <v>1</v>
      </c>
      <c r="BH4163">
        <v>0</v>
      </c>
      <c r="BI4163">
        <v>0</v>
      </c>
      <c r="BJ4163">
        <v>0</v>
      </c>
      <c r="BK4163">
        <v>250</v>
      </c>
      <c r="BL4163">
        <v>350</v>
      </c>
      <c r="BM4163" t="s">
        <v>119</v>
      </c>
      <c r="BN4163">
        <v>1</v>
      </c>
      <c r="BO4163">
        <v>1</v>
      </c>
      <c r="BP4163">
        <v>1</v>
      </c>
      <c r="BQ4163">
        <v>0</v>
      </c>
      <c r="BT4163">
        <v>0</v>
      </c>
      <c r="BU4163">
        <v>0</v>
      </c>
      <c r="BV4163">
        <v>0</v>
      </c>
      <c r="CC4163" t="str">
        <f>"19:44:34.133"</f>
        <v>19:44:34.133</v>
      </c>
      <c r="CD4163" t="str">
        <f>"130868674"</f>
        <v>130868674</v>
      </c>
      <c r="CQ4163">
        <v>0</v>
      </c>
      <c r="CR4163">
        <v>2</v>
      </c>
      <c r="CS4163">
        <v>0</v>
      </c>
      <c r="CT4163">
        <v>2</v>
      </c>
      <c r="CU4163">
        <v>0</v>
      </c>
      <c r="CV4163">
        <v>5</v>
      </c>
      <c r="CW4163" t="s">
        <v>120</v>
      </c>
      <c r="CX4163">
        <v>257</v>
      </c>
      <c r="CY4163">
        <v>0</v>
      </c>
      <c r="CZ4163" t="s">
        <v>615</v>
      </c>
      <c r="DA4163" t="s">
        <v>616</v>
      </c>
      <c r="DD4163">
        <v>16693864</v>
      </c>
      <c r="DE4163" t="s">
        <v>123</v>
      </c>
    </row>
    <row r="4164" spans="1:109" x14ac:dyDescent="0.3">
      <c r="A4164" t="str">
        <f>"19:44:35.469"</f>
        <v>19:44:35.469</v>
      </c>
      <c r="B4164" t="s">
        <v>110</v>
      </c>
      <c r="C4164" t="str">
        <f t="shared" si="195"/>
        <v>ffdfd3c0</v>
      </c>
      <c r="D4164" t="s">
        <v>111</v>
      </c>
      <c r="E4164">
        <v>18</v>
      </c>
      <c r="F4164">
        <v>1018</v>
      </c>
      <c r="G4164" t="s">
        <v>112</v>
      </c>
      <c r="J4164" t="s">
        <v>113</v>
      </c>
      <c r="K4164">
        <v>0</v>
      </c>
      <c r="L4164">
        <v>3</v>
      </c>
      <c r="M4164">
        <v>0</v>
      </c>
      <c r="N4164">
        <v>2</v>
      </c>
      <c r="O4164">
        <v>1</v>
      </c>
      <c r="P4164">
        <v>0</v>
      </c>
      <c r="Q4164">
        <v>0</v>
      </c>
      <c r="R4164" t="s">
        <v>114</v>
      </c>
      <c r="S4164" t="str">
        <f>"19:44:35.203"</f>
        <v>19:44:35.203</v>
      </c>
      <c r="T4164" t="str">
        <f>"19:44:35.203"</f>
        <v>19:44:35.203</v>
      </c>
      <c r="U4164" t="str">
        <f t="shared" si="196"/>
        <v>a1cdbe</v>
      </c>
      <c r="V4164">
        <v>0</v>
      </c>
      <c r="W4164">
        <v>0</v>
      </c>
      <c r="X4164">
        <v>2</v>
      </c>
      <c r="Y4164">
        <v>0</v>
      </c>
      <c r="Z4164">
        <v>0</v>
      </c>
      <c r="AB4164">
        <v>0</v>
      </c>
      <c r="AC4164">
        <v>9</v>
      </c>
      <c r="AD4164">
        <v>3</v>
      </c>
      <c r="AE4164">
        <v>0</v>
      </c>
      <c r="AF4164">
        <v>9</v>
      </c>
      <c r="AG4164" t="s">
        <v>115</v>
      </c>
      <c r="AH4164">
        <v>0</v>
      </c>
      <c r="AI4164">
        <v>0</v>
      </c>
      <c r="AJ4164">
        <v>1</v>
      </c>
      <c r="AK4164">
        <v>0</v>
      </c>
      <c r="AL4164" t="s">
        <v>7729</v>
      </c>
      <c r="AM4164">
        <v>47.064377999999998</v>
      </c>
      <c r="AN4164" t="s">
        <v>7730</v>
      </c>
      <c r="AO4164">
        <v>-123.99554000000001</v>
      </c>
      <c r="AP4164">
        <v>100</v>
      </c>
      <c r="AQ4164">
        <v>-200</v>
      </c>
      <c r="AR4164" t="s">
        <v>118</v>
      </c>
      <c r="AS4164">
        <v>10</v>
      </c>
      <c r="AT4164">
        <v>-52</v>
      </c>
      <c r="AU4164">
        <v>-768</v>
      </c>
      <c r="BC4164">
        <v>1200</v>
      </c>
      <c r="BD4164">
        <v>1</v>
      </c>
      <c r="BE4164" t="str">
        <f t="shared" si="197"/>
        <v xml:space="preserve">N215T   </v>
      </c>
      <c r="BF4164">
        <v>1</v>
      </c>
      <c r="BH4164">
        <v>0</v>
      </c>
      <c r="BI4164">
        <v>0</v>
      </c>
      <c r="BJ4164">
        <v>0</v>
      </c>
      <c r="BK4164">
        <v>350</v>
      </c>
      <c r="BL4164">
        <v>550</v>
      </c>
      <c r="BM4164" t="s">
        <v>119</v>
      </c>
      <c r="BN4164">
        <v>1</v>
      </c>
      <c r="BO4164">
        <v>1</v>
      </c>
      <c r="BP4164">
        <v>1</v>
      </c>
      <c r="BQ4164">
        <v>0</v>
      </c>
      <c r="BT4164">
        <v>0</v>
      </c>
      <c r="BU4164">
        <v>0</v>
      </c>
      <c r="BV4164">
        <v>0</v>
      </c>
      <c r="CC4164" t="str">
        <f>"19:44:35.211"</f>
        <v>19:44:35.211</v>
      </c>
      <c r="CD4164" t="str">
        <f>"210762145"</f>
        <v>210762145</v>
      </c>
      <c r="CQ4164">
        <v>0</v>
      </c>
      <c r="CR4164">
        <v>2</v>
      </c>
      <c r="CS4164">
        <v>0</v>
      </c>
      <c r="CT4164">
        <v>2</v>
      </c>
      <c r="CU4164">
        <v>0</v>
      </c>
      <c r="CV4164">
        <v>5</v>
      </c>
      <c r="CW4164" t="s">
        <v>120</v>
      </c>
      <c r="CX4164">
        <v>257</v>
      </c>
      <c r="CY4164">
        <v>0</v>
      </c>
      <c r="CZ4164" t="s">
        <v>615</v>
      </c>
      <c r="DA4164" t="s">
        <v>616</v>
      </c>
      <c r="DD4164">
        <v>16694217</v>
      </c>
      <c r="DE4164" t="s">
        <v>123</v>
      </c>
    </row>
    <row r="4165" spans="1:109" x14ac:dyDescent="0.3">
      <c r="A4165" t="str">
        <f>"19:44:36.477"</f>
        <v>19:44:36.477</v>
      </c>
      <c r="B4165" t="s">
        <v>110</v>
      </c>
      <c r="C4165" t="str">
        <f t="shared" si="195"/>
        <v>ffdfd3c0</v>
      </c>
      <c r="D4165" t="s">
        <v>111</v>
      </c>
      <c r="E4165">
        <v>18</v>
      </c>
      <c r="F4165">
        <v>1018</v>
      </c>
      <c r="G4165" t="s">
        <v>112</v>
      </c>
      <c r="J4165" t="s">
        <v>113</v>
      </c>
      <c r="K4165">
        <v>0</v>
      </c>
      <c r="L4165">
        <v>3</v>
      </c>
      <c r="M4165">
        <v>0</v>
      </c>
      <c r="N4165">
        <v>2</v>
      </c>
      <c r="O4165">
        <v>1</v>
      </c>
      <c r="P4165">
        <v>0</v>
      </c>
      <c r="Q4165">
        <v>0</v>
      </c>
      <c r="R4165" t="s">
        <v>114</v>
      </c>
      <c r="S4165" t="str">
        <f>"19:44:36.211"</f>
        <v>19:44:36.211</v>
      </c>
      <c r="T4165" t="str">
        <f>"19:44:36.211"</f>
        <v>19:44:36.211</v>
      </c>
      <c r="U4165" t="str">
        <f t="shared" si="196"/>
        <v>a1cdbe</v>
      </c>
      <c r="V4165">
        <v>0</v>
      </c>
      <c r="W4165">
        <v>0</v>
      </c>
      <c r="X4165">
        <v>2</v>
      </c>
      <c r="Y4165">
        <v>0</v>
      </c>
      <c r="Z4165">
        <v>0</v>
      </c>
      <c r="AB4165">
        <v>0</v>
      </c>
      <c r="AC4165">
        <v>9</v>
      </c>
      <c r="AD4165">
        <v>3</v>
      </c>
      <c r="AE4165">
        <v>0</v>
      </c>
      <c r="AF4165">
        <v>9</v>
      </c>
      <c r="AG4165" t="s">
        <v>115</v>
      </c>
      <c r="AH4165">
        <v>0</v>
      </c>
      <c r="AI4165">
        <v>0</v>
      </c>
      <c r="AJ4165">
        <v>1</v>
      </c>
      <c r="AK4165">
        <v>0</v>
      </c>
      <c r="AL4165" t="s">
        <v>7617</v>
      </c>
      <c r="AM4165">
        <v>47.064121</v>
      </c>
      <c r="AN4165" t="s">
        <v>7731</v>
      </c>
      <c r="AO4165">
        <v>-123.99543300000001</v>
      </c>
      <c r="AP4165">
        <v>100</v>
      </c>
      <c r="AQ4165">
        <v>-200</v>
      </c>
      <c r="AR4165" t="s">
        <v>118</v>
      </c>
      <c r="AS4165">
        <v>16</v>
      </c>
      <c r="AT4165">
        <v>-50</v>
      </c>
      <c r="AU4165">
        <v>-896</v>
      </c>
      <c r="BC4165">
        <v>1200</v>
      </c>
      <c r="BD4165">
        <v>1</v>
      </c>
      <c r="BE4165" t="str">
        <f t="shared" si="197"/>
        <v xml:space="preserve">N215T   </v>
      </c>
      <c r="BF4165">
        <v>1</v>
      </c>
      <c r="BH4165">
        <v>0</v>
      </c>
      <c r="BI4165">
        <v>0</v>
      </c>
      <c r="BJ4165">
        <v>0</v>
      </c>
      <c r="BK4165">
        <v>225</v>
      </c>
      <c r="BL4165">
        <v>425</v>
      </c>
      <c r="BM4165" t="s">
        <v>119</v>
      </c>
      <c r="BN4165">
        <v>1</v>
      </c>
      <c r="BO4165">
        <v>1</v>
      </c>
      <c r="BP4165">
        <v>1</v>
      </c>
      <c r="BQ4165">
        <v>0</v>
      </c>
      <c r="BT4165">
        <v>0</v>
      </c>
      <c r="BU4165">
        <v>0</v>
      </c>
      <c r="BV4165">
        <v>0</v>
      </c>
      <c r="CC4165" t="str">
        <f>"19:44:36.219"</f>
        <v>19:44:36.219</v>
      </c>
      <c r="CD4165" t="str">
        <f>"215663004"</f>
        <v>215663004</v>
      </c>
      <c r="CQ4165">
        <v>0</v>
      </c>
      <c r="CR4165">
        <v>2</v>
      </c>
      <c r="CS4165">
        <v>0</v>
      </c>
      <c r="CT4165">
        <v>2</v>
      </c>
      <c r="CU4165">
        <v>0</v>
      </c>
      <c r="CV4165">
        <v>5</v>
      </c>
      <c r="CW4165" t="s">
        <v>120</v>
      </c>
      <c r="CX4165">
        <v>257</v>
      </c>
      <c r="CY4165">
        <v>0</v>
      </c>
      <c r="CZ4165" t="s">
        <v>615</v>
      </c>
      <c r="DA4165" t="s">
        <v>616</v>
      </c>
      <c r="DD4165">
        <v>16694549</v>
      </c>
      <c r="DE4165" t="s">
        <v>123</v>
      </c>
    </row>
    <row r="4166" spans="1:109" x14ac:dyDescent="0.3">
      <c r="A4166" t="str">
        <f>"19:44:37.578"</f>
        <v>19:44:37.578</v>
      </c>
      <c r="B4166" t="s">
        <v>110</v>
      </c>
      <c r="C4166" t="str">
        <f t="shared" si="195"/>
        <v>ffdfd3c0</v>
      </c>
      <c r="D4166" t="s">
        <v>111</v>
      </c>
      <c r="E4166">
        <v>18</v>
      </c>
      <c r="F4166">
        <v>1018</v>
      </c>
      <c r="G4166" t="s">
        <v>112</v>
      </c>
      <c r="J4166" t="s">
        <v>113</v>
      </c>
      <c r="K4166">
        <v>0</v>
      </c>
      <c r="L4166">
        <v>3</v>
      </c>
      <c r="M4166">
        <v>0</v>
      </c>
      <c r="N4166">
        <v>2</v>
      </c>
      <c r="O4166">
        <v>1</v>
      </c>
      <c r="P4166">
        <v>0</v>
      </c>
      <c r="Q4166">
        <v>0</v>
      </c>
      <c r="R4166" t="s">
        <v>114</v>
      </c>
      <c r="S4166" t="str">
        <f>"19:44:37.336"</f>
        <v>19:44:37.336</v>
      </c>
      <c r="T4166" t="str">
        <f>"19:44:37.336"</f>
        <v>19:44:37.336</v>
      </c>
      <c r="U4166" t="str">
        <f t="shared" si="196"/>
        <v>a1cdbe</v>
      </c>
      <c r="V4166">
        <v>0</v>
      </c>
      <c r="W4166">
        <v>0</v>
      </c>
      <c r="X4166">
        <v>2</v>
      </c>
      <c r="Y4166">
        <v>0</v>
      </c>
      <c r="Z4166">
        <v>0</v>
      </c>
      <c r="AB4166">
        <v>0</v>
      </c>
      <c r="AC4166">
        <v>9</v>
      </c>
      <c r="AD4166">
        <v>3</v>
      </c>
      <c r="AE4166">
        <v>0</v>
      </c>
      <c r="AF4166">
        <v>9</v>
      </c>
      <c r="AG4166" t="s">
        <v>115</v>
      </c>
      <c r="AH4166">
        <v>0</v>
      </c>
      <c r="AI4166">
        <v>0</v>
      </c>
      <c r="AJ4166">
        <v>1</v>
      </c>
      <c r="AK4166">
        <v>0</v>
      </c>
      <c r="AL4166" t="s">
        <v>488</v>
      </c>
      <c r="AM4166">
        <v>47.063862999999998</v>
      </c>
      <c r="AN4166" t="s">
        <v>7732</v>
      </c>
      <c r="AO4166">
        <v>-123.995347</v>
      </c>
      <c r="AP4166">
        <v>100</v>
      </c>
      <c r="AQ4166">
        <v>-200</v>
      </c>
      <c r="AR4166" t="s">
        <v>118</v>
      </c>
      <c r="AS4166">
        <v>20</v>
      </c>
      <c r="AT4166">
        <v>-50</v>
      </c>
      <c r="AU4166">
        <v>-960</v>
      </c>
      <c r="BC4166">
        <v>1200</v>
      </c>
      <c r="BD4166">
        <v>1</v>
      </c>
      <c r="BE4166" t="str">
        <f t="shared" si="197"/>
        <v xml:space="preserve">N215T   </v>
      </c>
      <c r="BF4166">
        <v>1</v>
      </c>
      <c r="BH4166">
        <v>0</v>
      </c>
      <c r="BI4166">
        <v>0</v>
      </c>
      <c r="BJ4166">
        <v>0</v>
      </c>
      <c r="BK4166">
        <v>225</v>
      </c>
      <c r="BL4166">
        <v>425</v>
      </c>
      <c r="BM4166" t="s">
        <v>119</v>
      </c>
      <c r="BN4166">
        <v>1</v>
      </c>
      <c r="BO4166">
        <v>1</v>
      </c>
      <c r="BP4166">
        <v>1</v>
      </c>
      <c r="BQ4166">
        <v>0</v>
      </c>
      <c r="BT4166">
        <v>0</v>
      </c>
      <c r="BU4166">
        <v>0</v>
      </c>
      <c r="BV4166">
        <v>0</v>
      </c>
      <c r="CC4166" t="str">
        <f>"19:44:37.344"</f>
        <v>19:44:37.344</v>
      </c>
      <c r="CD4166" t="str">
        <f>"340552075"</f>
        <v>340552075</v>
      </c>
      <c r="CQ4166">
        <v>0</v>
      </c>
      <c r="CR4166">
        <v>2</v>
      </c>
      <c r="CS4166">
        <v>0</v>
      </c>
      <c r="CT4166">
        <v>2</v>
      </c>
      <c r="CU4166">
        <v>0</v>
      </c>
      <c r="CV4166">
        <v>4</v>
      </c>
      <c r="CW4166" t="s">
        <v>120</v>
      </c>
      <c r="CX4166">
        <v>257</v>
      </c>
      <c r="CY4166">
        <v>0</v>
      </c>
      <c r="CZ4166" t="s">
        <v>615</v>
      </c>
      <c r="DA4166" t="s">
        <v>616</v>
      </c>
      <c r="DD4166">
        <v>16694895</v>
      </c>
      <c r="DE4166" t="s">
        <v>123</v>
      </c>
    </row>
    <row r="4167" spans="1:109" x14ac:dyDescent="0.3">
      <c r="A4167" t="str">
        <f>"19:44:38.438"</f>
        <v>19:44:38.438</v>
      </c>
      <c r="B4167" t="s">
        <v>110</v>
      </c>
      <c r="C4167" t="str">
        <f t="shared" si="195"/>
        <v>ffdfd3c0</v>
      </c>
      <c r="D4167" t="s">
        <v>111</v>
      </c>
      <c r="E4167">
        <v>18</v>
      </c>
      <c r="F4167">
        <v>1018</v>
      </c>
      <c r="G4167" t="s">
        <v>112</v>
      </c>
      <c r="J4167" t="s">
        <v>113</v>
      </c>
      <c r="K4167">
        <v>0</v>
      </c>
      <c r="L4167">
        <v>3</v>
      </c>
      <c r="M4167">
        <v>0</v>
      </c>
      <c r="N4167">
        <v>2</v>
      </c>
      <c r="O4167">
        <v>1</v>
      </c>
      <c r="P4167">
        <v>0</v>
      </c>
      <c r="Q4167">
        <v>0</v>
      </c>
      <c r="R4167" t="s">
        <v>114</v>
      </c>
      <c r="S4167" t="str">
        <f>"19:44:38.195"</f>
        <v>19:44:38.195</v>
      </c>
      <c r="T4167" t="str">
        <f>"19:44:37.797"</f>
        <v>19:44:37.797</v>
      </c>
      <c r="U4167" t="str">
        <f t="shared" si="196"/>
        <v>a1cdbe</v>
      </c>
      <c r="V4167">
        <v>0</v>
      </c>
      <c r="W4167">
        <v>0</v>
      </c>
      <c r="X4167">
        <v>2</v>
      </c>
      <c r="Y4167">
        <v>0</v>
      </c>
      <c r="Z4167">
        <v>0</v>
      </c>
      <c r="AB4167">
        <v>0</v>
      </c>
      <c r="AC4167">
        <v>9</v>
      </c>
      <c r="AD4167">
        <v>3</v>
      </c>
      <c r="AE4167">
        <v>0</v>
      </c>
      <c r="AF4167">
        <v>9</v>
      </c>
      <c r="AG4167" t="s">
        <v>115</v>
      </c>
      <c r="AH4167">
        <v>0</v>
      </c>
      <c r="AI4167">
        <v>0</v>
      </c>
      <c r="AJ4167">
        <v>1</v>
      </c>
      <c r="AK4167">
        <v>0</v>
      </c>
      <c r="AL4167" t="s">
        <v>7733</v>
      </c>
      <c r="AM4167">
        <v>47.063670000000002</v>
      </c>
      <c r="AN4167" t="s">
        <v>7658</v>
      </c>
      <c r="AO4167">
        <v>-123.99521799999999</v>
      </c>
      <c r="AP4167">
        <v>100</v>
      </c>
      <c r="AQ4167">
        <v>-200</v>
      </c>
      <c r="AR4167" t="s">
        <v>118</v>
      </c>
      <c r="AS4167">
        <v>20</v>
      </c>
      <c r="AT4167">
        <v>-49</v>
      </c>
      <c r="AU4167">
        <v>-1088</v>
      </c>
      <c r="BC4167">
        <v>1200</v>
      </c>
      <c r="BD4167">
        <v>1</v>
      </c>
      <c r="BE4167" t="str">
        <f t="shared" si="197"/>
        <v xml:space="preserve">N215T   </v>
      </c>
      <c r="BF4167">
        <v>1</v>
      </c>
      <c r="BH4167">
        <v>0</v>
      </c>
      <c r="BI4167">
        <v>0</v>
      </c>
      <c r="BJ4167">
        <v>0</v>
      </c>
      <c r="BK4167">
        <v>200</v>
      </c>
      <c r="BL4167">
        <v>400</v>
      </c>
      <c r="BM4167" t="s">
        <v>119</v>
      </c>
      <c r="BN4167">
        <v>1</v>
      </c>
      <c r="BO4167">
        <v>1</v>
      </c>
      <c r="BP4167">
        <v>1</v>
      </c>
      <c r="BQ4167">
        <v>0</v>
      </c>
      <c r="BT4167">
        <v>0</v>
      </c>
      <c r="BU4167">
        <v>0</v>
      </c>
      <c r="BV4167">
        <v>0</v>
      </c>
      <c r="CC4167" t="str">
        <f>"19:44:38.195"</f>
        <v>19:44:38.195</v>
      </c>
      <c r="CD4167" t="str">
        <f>"195467702"</f>
        <v>195467702</v>
      </c>
      <c r="CQ4167">
        <v>0</v>
      </c>
      <c r="CR4167">
        <v>2</v>
      </c>
      <c r="CS4167">
        <v>0</v>
      </c>
      <c r="CT4167">
        <v>2</v>
      </c>
      <c r="CU4167">
        <v>0</v>
      </c>
      <c r="CV4167">
        <v>4</v>
      </c>
      <c r="CW4167" t="s">
        <v>120</v>
      </c>
      <c r="CX4167">
        <v>257</v>
      </c>
      <c r="CY4167">
        <v>0</v>
      </c>
      <c r="CZ4167" t="s">
        <v>615</v>
      </c>
      <c r="DA4167" t="s">
        <v>616</v>
      </c>
      <c r="DD4167">
        <v>16695219</v>
      </c>
      <c r="DE4167" t="s">
        <v>123</v>
      </c>
    </row>
    <row r="4168" spans="1:109" x14ac:dyDescent="0.3">
      <c r="A4168" t="str">
        <f>"19:44:39.438"</f>
        <v>19:44:39.438</v>
      </c>
      <c r="B4168" t="s">
        <v>110</v>
      </c>
      <c r="C4168" t="str">
        <f t="shared" si="195"/>
        <v>ffdfd3c0</v>
      </c>
      <c r="D4168" t="s">
        <v>111</v>
      </c>
      <c r="E4168">
        <v>18</v>
      </c>
      <c r="F4168">
        <v>1018</v>
      </c>
      <c r="G4168" t="s">
        <v>112</v>
      </c>
      <c r="J4168" t="s">
        <v>113</v>
      </c>
      <c r="K4168">
        <v>0</v>
      </c>
      <c r="L4168">
        <v>3</v>
      </c>
      <c r="M4168">
        <v>0</v>
      </c>
      <c r="N4168">
        <v>2</v>
      </c>
      <c r="O4168">
        <v>1</v>
      </c>
      <c r="P4168">
        <v>0</v>
      </c>
      <c r="Q4168">
        <v>0</v>
      </c>
      <c r="R4168" t="s">
        <v>114</v>
      </c>
      <c r="S4168" t="str">
        <f>"19:44:39.242"</f>
        <v>19:44:39.242</v>
      </c>
      <c r="T4168" t="str">
        <f>"19:44:38.945"</f>
        <v>19:44:38.945</v>
      </c>
      <c r="U4168" t="str">
        <f t="shared" si="196"/>
        <v>a1cdbe</v>
      </c>
      <c r="V4168">
        <v>0</v>
      </c>
      <c r="W4168">
        <v>0</v>
      </c>
      <c r="X4168">
        <v>2</v>
      </c>
      <c r="Y4168">
        <v>0</v>
      </c>
      <c r="Z4168">
        <v>0</v>
      </c>
      <c r="AB4168">
        <v>0</v>
      </c>
      <c r="AC4168">
        <v>9</v>
      </c>
      <c r="AD4168">
        <v>3</v>
      </c>
      <c r="AE4168">
        <v>0</v>
      </c>
      <c r="AF4168">
        <v>9</v>
      </c>
      <c r="AG4168" t="s">
        <v>115</v>
      </c>
      <c r="AH4168">
        <v>0</v>
      </c>
      <c r="AI4168">
        <v>0</v>
      </c>
      <c r="AJ4168">
        <v>1</v>
      </c>
      <c r="AK4168">
        <v>0</v>
      </c>
      <c r="AL4168" t="s">
        <v>7587</v>
      </c>
      <c r="AM4168">
        <v>47.063412999999997</v>
      </c>
      <c r="AN4168" t="s">
        <v>7549</v>
      </c>
      <c r="AO4168">
        <v>-123.99500399999999</v>
      </c>
      <c r="AP4168">
        <v>100</v>
      </c>
      <c r="AQ4168">
        <v>-200</v>
      </c>
      <c r="AR4168" t="s">
        <v>118</v>
      </c>
      <c r="AS4168">
        <v>21</v>
      </c>
      <c r="AT4168">
        <v>-50</v>
      </c>
      <c r="AU4168">
        <v>-1152</v>
      </c>
      <c r="BC4168">
        <v>1200</v>
      </c>
      <c r="BD4168">
        <v>1</v>
      </c>
      <c r="BE4168" t="str">
        <f t="shared" si="197"/>
        <v xml:space="preserve">N215T   </v>
      </c>
      <c r="BF4168">
        <v>1</v>
      </c>
      <c r="BH4168">
        <v>0</v>
      </c>
      <c r="BI4168">
        <v>0</v>
      </c>
      <c r="BJ4168">
        <v>0</v>
      </c>
      <c r="BK4168">
        <v>175</v>
      </c>
      <c r="BL4168">
        <v>375</v>
      </c>
      <c r="BM4168" t="s">
        <v>119</v>
      </c>
      <c r="BN4168">
        <v>1</v>
      </c>
      <c r="BO4168">
        <v>1</v>
      </c>
      <c r="BP4168">
        <v>1</v>
      </c>
      <c r="BQ4168">
        <v>0</v>
      </c>
      <c r="BT4168">
        <v>0</v>
      </c>
      <c r="BU4168">
        <v>0</v>
      </c>
      <c r="BV4168">
        <v>0</v>
      </c>
      <c r="CC4168" t="str">
        <f>"19:44:39.242"</f>
        <v>19:44:39.242</v>
      </c>
      <c r="CD4168" t="str">
        <f>"245364132"</f>
        <v>245364132</v>
      </c>
      <c r="CQ4168">
        <v>0</v>
      </c>
      <c r="CR4168">
        <v>2</v>
      </c>
      <c r="CS4168">
        <v>0</v>
      </c>
      <c r="CT4168">
        <v>2</v>
      </c>
      <c r="CU4168">
        <v>0</v>
      </c>
      <c r="CV4168">
        <v>3</v>
      </c>
      <c r="CW4168" t="s">
        <v>120</v>
      </c>
      <c r="CX4168">
        <v>257</v>
      </c>
      <c r="CY4168">
        <v>0</v>
      </c>
      <c r="CZ4168" t="s">
        <v>615</v>
      </c>
      <c r="DA4168" t="s">
        <v>616</v>
      </c>
      <c r="DD4168">
        <v>16695537</v>
      </c>
      <c r="DE4168" t="s">
        <v>123</v>
      </c>
    </row>
    <row r="4169" spans="1:109" x14ac:dyDescent="0.3">
      <c r="A4169" t="str">
        <f>"19:44:40.547"</f>
        <v>19:44:40.547</v>
      </c>
      <c r="B4169" t="s">
        <v>110</v>
      </c>
      <c r="C4169" t="str">
        <f t="shared" si="195"/>
        <v>ffdfd3c0</v>
      </c>
      <c r="D4169" t="s">
        <v>111</v>
      </c>
      <c r="E4169">
        <v>18</v>
      </c>
      <c r="F4169">
        <v>1018</v>
      </c>
      <c r="G4169" t="s">
        <v>112</v>
      </c>
      <c r="J4169" t="s">
        <v>113</v>
      </c>
      <c r="K4169">
        <v>0</v>
      </c>
      <c r="L4169">
        <v>3</v>
      </c>
      <c r="M4169">
        <v>0</v>
      </c>
      <c r="N4169">
        <v>2</v>
      </c>
      <c r="O4169">
        <v>1</v>
      </c>
      <c r="P4169">
        <v>0</v>
      </c>
      <c r="Q4169">
        <v>0</v>
      </c>
      <c r="R4169" t="s">
        <v>114</v>
      </c>
      <c r="S4169" t="str">
        <f>"19:44:40.336"</f>
        <v>19:44:40.336</v>
      </c>
      <c r="T4169" t="str">
        <f>"19:44:40.336"</f>
        <v>19:44:40.336</v>
      </c>
      <c r="U4169" t="str">
        <f t="shared" si="196"/>
        <v>a1cdbe</v>
      </c>
      <c r="V4169">
        <v>0</v>
      </c>
      <c r="W4169">
        <v>0</v>
      </c>
      <c r="X4169">
        <v>2</v>
      </c>
      <c r="Y4169">
        <v>0</v>
      </c>
      <c r="Z4169">
        <v>0</v>
      </c>
      <c r="AB4169">
        <v>0</v>
      </c>
      <c r="AC4169">
        <v>9</v>
      </c>
      <c r="AD4169">
        <v>3</v>
      </c>
      <c r="AE4169">
        <v>0</v>
      </c>
      <c r="AF4169">
        <v>9</v>
      </c>
      <c r="AG4169" t="s">
        <v>115</v>
      </c>
      <c r="AH4169">
        <v>0</v>
      </c>
      <c r="AI4169">
        <v>0</v>
      </c>
      <c r="AJ4169">
        <v>1</v>
      </c>
      <c r="AK4169">
        <v>0</v>
      </c>
      <c r="AL4169" t="s">
        <v>7734</v>
      </c>
      <c r="AM4169">
        <v>47.063155000000002</v>
      </c>
      <c r="AN4169" t="s">
        <v>7735</v>
      </c>
      <c r="AO4169">
        <v>-123.99487499999999</v>
      </c>
      <c r="AP4169">
        <v>100</v>
      </c>
      <c r="AQ4169">
        <v>-200</v>
      </c>
      <c r="AR4169" t="s">
        <v>118</v>
      </c>
      <c r="AS4169">
        <v>19</v>
      </c>
      <c r="AT4169">
        <v>-51</v>
      </c>
      <c r="AU4169">
        <v>-1024</v>
      </c>
      <c r="BC4169">
        <v>1200</v>
      </c>
      <c r="BD4169">
        <v>1</v>
      </c>
      <c r="BE4169" t="str">
        <f t="shared" si="197"/>
        <v xml:space="preserve">N215T   </v>
      </c>
      <c r="BF4169">
        <v>1</v>
      </c>
      <c r="BH4169">
        <v>0</v>
      </c>
      <c r="BI4169">
        <v>0</v>
      </c>
      <c r="BJ4169">
        <v>0</v>
      </c>
      <c r="BK4169">
        <v>150</v>
      </c>
      <c r="BL4169">
        <v>350</v>
      </c>
      <c r="BM4169" t="s">
        <v>119</v>
      </c>
      <c r="BN4169">
        <v>1</v>
      </c>
      <c r="BO4169">
        <v>1</v>
      </c>
      <c r="BP4169">
        <v>1</v>
      </c>
      <c r="BQ4169">
        <v>0</v>
      </c>
      <c r="BT4169">
        <v>0</v>
      </c>
      <c r="BU4169">
        <v>0</v>
      </c>
      <c r="BV4169">
        <v>0</v>
      </c>
      <c r="CC4169" t="str">
        <f>"19:44:40.344"</f>
        <v>19:44:40.344</v>
      </c>
      <c r="CD4169" t="str">
        <f>"340256138"</f>
        <v>340256138</v>
      </c>
      <c r="CQ4169">
        <v>0</v>
      </c>
      <c r="CR4169">
        <v>2</v>
      </c>
      <c r="CS4169">
        <v>0</v>
      </c>
      <c r="CT4169">
        <v>2</v>
      </c>
      <c r="CU4169">
        <v>0</v>
      </c>
      <c r="CV4169">
        <v>3</v>
      </c>
      <c r="CW4169" t="s">
        <v>120</v>
      </c>
      <c r="CX4169">
        <v>257</v>
      </c>
      <c r="CY4169">
        <v>0</v>
      </c>
      <c r="CZ4169" t="s">
        <v>615</v>
      </c>
      <c r="DA4169" t="s">
        <v>616</v>
      </c>
      <c r="DD4169">
        <v>16695904</v>
      </c>
      <c r="DE4169" t="s">
        <v>123</v>
      </c>
    </row>
    <row r="4170" spans="1:109" x14ac:dyDescent="0.3">
      <c r="A4170" t="str">
        <f>"19:44:41.500"</f>
        <v>19:44:41.500</v>
      </c>
      <c r="B4170" t="s">
        <v>110</v>
      </c>
      <c r="C4170" t="str">
        <f t="shared" si="195"/>
        <v>ffdfd3c0</v>
      </c>
      <c r="D4170" t="s">
        <v>111</v>
      </c>
      <c r="E4170">
        <v>18</v>
      </c>
      <c r="F4170">
        <v>1018</v>
      </c>
      <c r="G4170" t="s">
        <v>112</v>
      </c>
      <c r="J4170" t="s">
        <v>113</v>
      </c>
      <c r="K4170">
        <v>0</v>
      </c>
      <c r="L4170">
        <v>3</v>
      </c>
      <c r="M4170">
        <v>0</v>
      </c>
      <c r="N4170">
        <v>2</v>
      </c>
      <c r="O4170">
        <v>1</v>
      </c>
      <c r="P4170">
        <v>0</v>
      </c>
      <c r="Q4170">
        <v>0</v>
      </c>
      <c r="R4170" t="s">
        <v>114</v>
      </c>
      <c r="S4170" t="str">
        <f>"19:44:41.297"</f>
        <v>19:44:41.297</v>
      </c>
      <c r="T4170" t="str">
        <f>"19:44:41.297"</f>
        <v>19:44:41.297</v>
      </c>
      <c r="U4170" t="str">
        <f t="shared" si="196"/>
        <v>a1cdbe</v>
      </c>
      <c r="V4170">
        <v>0</v>
      </c>
      <c r="W4170">
        <v>0</v>
      </c>
      <c r="X4170">
        <v>2</v>
      </c>
      <c r="Y4170">
        <v>0</v>
      </c>
      <c r="Z4170">
        <v>0</v>
      </c>
      <c r="AB4170">
        <v>0</v>
      </c>
      <c r="AC4170">
        <v>9</v>
      </c>
      <c r="AD4170">
        <v>3</v>
      </c>
      <c r="AE4170">
        <v>0</v>
      </c>
      <c r="AF4170">
        <v>9</v>
      </c>
      <c r="AG4170" t="s">
        <v>115</v>
      </c>
      <c r="AH4170">
        <v>0</v>
      </c>
      <c r="AI4170">
        <v>0</v>
      </c>
      <c r="AJ4170">
        <v>1</v>
      </c>
      <c r="AK4170">
        <v>0</v>
      </c>
      <c r="AL4170" t="s">
        <v>7431</v>
      </c>
      <c r="AM4170">
        <v>47.062961999999999</v>
      </c>
      <c r="AN4170" t="s">
        <v>7736</v>
      </c>
      <c r="AO4170">
        <v>-123.994725</v>
      </c>
      <c r="AP4170">
        <v>100</v>
      </c>
      <c r="AQ4170">
        <v>-300</v>
      </c>
      <c r="AR4170" t="s">
        <v>118</v>
      </c>
      <c r="AS4170">
        <v>18</v>
      </c>
      <c r="AT4170">
        <v>-52</v>
      </c>
      <c r="AU4170">
        <v>-896</v>
      </c>
      <c r="BC4170">
        <v>1200</v>
      </c>
      <c r="BD4170">
        <v>1</v>
      </c>
      <c r="BE4170" t="str">
        <f t="shared" si="197"/>
        <v xml:space="preserve">N215T   </v>
      </c>
      <c r="BF4170">
        <v>1</v>
      </c>
      <c r="BH4170">
        <v>0</v>
      </c>
      <c r="BI4170">
        <v>0</v>
      </c>
      <c r="BJ4170">
        <v>0</v>
      </c>
      <c r="BK4170">
        <v>150</v>
      </c>
      <c r="BL4170">
        <v>450</v>
      </c>
      <c r="BM4170" t="s">
        <v>119</v>
      </c>
      <c r="BN4170">
        <v>1</v>
      </c>
      <c r="BO4170">
        <v>1</v>
      </c>
      <c r="BP4170">
        <v>1</v>
      </c>
      <c r="BQ4170">
        <v>0</v>
      </c>
      <c r="BT4170">
        <v>0</v>
      </c>
      <c r="BU4170">
        <v>0</v>
      </c>
      <c r="BV4170">
        <v>0</v>
      </c>
      <c r="CC4170" t="str">
        <f>"19:44:41.297"</f>
        <v>19:44:41.297</v>
      </c>
      <c r="CD4170" t="str">
        <f>"300161458"</f>
        <v>300161458</v>
      </c>
      <c r="CQ4170">
        <v>0</v>
      </c>
      <c r="CR4170">
        <v>2</v>
      </c>
      <c r="CS4170">
        <v>0</v>
      </c>
      <c r="CT4170">
        <v>2</v>
      </c>
      <c r="CU4170">
        <v>0</v>
      </c>
      <c r="CV4170">
        <v>3</v>
      </c>
      <c r="CW4170" t="s">
        <v>120</v>
      </c>
      <c r="CX4170">
        <v>257</v>
      </c>
      <c r="CY4170">
        <v>0</v>
      </c>
      <c r="CZ4170" t="s">
        <v>615</v>
      </c>
      <c r="DA4170" t="s">
        <v>616</v>
      </c>
      <c r="DD4170">
        <v>16696209</v>
      </c>
      <c r="DE4170" t="s">
        <v>123</v>
      </c>
    </row>
    <row r="4171" spans="1:109" x14ac:dyDescent="0.3">
      <c r="A4171" t="str">
        <f>"19:44:42.508"</f>
        <v>19:44:42.508</v>
      </c>
      <c r="B4171" t="s">
        <v>110</v>
      </c>
      <c r="C4171" t="str">
        <f t="shared" si="195"/>
        <v>ffdfd3c0</v>
      </c>
      <c r="D4171" t="s">
        <v>111</v>
      </c>
      <c r="E4171">
        <v>18</v>
      </c>
      <c r="F4171">
        <v>1018</v>
      </c>
      <c r="G4171" t="s">
        <v>112</v>
      </c>
      <c r="J4171" t="s">
        <v>113</v>
      </c>
      <c r="K4171">
        <v>0</v>
      </c>
      <c r="L4171">
        <v>3</v>
      </c>
      <c r="M4171">
        <v>0</v>
      </c>
      <c r="N4171">
        <v>2</v>
      </c>
      <c r="O4171">
        <v>1</v>
      </c>
      <c r="P4171">
        <v>0</v>
      </c>
      <c r="Q4171">
        <v>0</v>
      </c>
      <c r="R4171" t="s">
        <v>114</v>
      </c>
      <c r="S4171" t="str">
        <f>"19:44:42.242"</f>
        <v>19:44:42.242</v>
      </c>
      <c r="T4171" t="str">
        <f>"19:44:41.945"</f>
        <v>19:44:41.945</v>
      </c>
      <c r="U4171" t="str">
        <f t="shared" si="196"/>
        <v>a1cdbe</v>
      </c>
      <c r="V4171">
        <v>0</v>
      </c>
      <c r="W4171">
        <v>0</v>
      </c>
      <c r="X4171">
        <v>2</v>
      </c>
      <c r="Y4171">
        <v>0</v>
      </c>
      <c r="Z4171">
        <v>0</v>
      </c>
      <c r="AB4171">
        <v>0</v>
      </c>
      <c r="AC4171">
        <v>9</v>
      </c>
      <c r="AD4171">
        <v>3</v>
      </c>
      <c r="AE4171">
        <v>0</v>
      </c>
      <c r="AF4171">
        <v>9</v>
      </c>
      <c r="AG4171" t="s">
        <v>115</v>
      </c>
      <c r="AH4171">
        <v>0</v>
      </c>
      <c r="AI4171">
        <v>0</v>
      </c>
      <c r="AJ4171">
        <v>1</v>
      </c>
      <c r="AK4171">
        <v>0</v>
      </c>
      <c r="AL4171" t="s">
        <v>494</v>
      </c>
      <c r="AM4171">
        <v>47.062725999999998</v>
      </c>
      <c r="AN4171" t="s">
        <v>7655</v>
      </c>
      <c r="AO4171">
        <v>-123.99466</v>
      </c>
      <c r="AP4171">
        <v>100</v>
      </c>
      <c r="AQ4171">
        <v>-300</v>
      </c>
      <c r="AR4171" t="s">
        <v>118</v>
      </c>
      <c r="AS4171">
        <v>18</v>
      </c>
      <c r="AT4171">
        <v>-52</v>
      </c>
      <c r="AU4171">
        <v>-896</v>
      </c>
      <c r="BC4171">
        <v>1200</v>
      </c>
      <c r="BD4171">
        <v>1</v>
      </c>
      <c r="BE4171" t="str">
        <f t="shared" si="197"/>
        <v xml:space="preserve">N215T   </v>
      </c>
      <c r="BF4171">
        <v>1</v>
      </c>
      <c r="BH4171">
        <v>0</v>
      </c>
      <c r="BI4171">
        <v>0</v>
      </c>
      <c r="BJ4171">
        <v>0</v>
      </c>
      <c r="BK4171">
        <v>125</v>
      </c>
      <c r="BL4171">
        <v>425</v>
      </c>
      <c r="BM4171" t="s">
        <v>119</v>
      </c>
      <c r="BN4171">
        <v>1</v>
      </c>
      <c r="BO4171">
        <v>1</v>
      </c>
      <c r="BP4171">
        <v>1</v>
      </c>
      <c r="BQ4171">
        <v>0</v>
      </c>
      <c r="BT4171">
        <v>0</v>
      </c>
      <c r="BU4171">
        <v>0</v>
      </c>
      <c r="BV4171">
        <v>0</v>
      </c>
      <c r="CC4171" t="str">
        <f>"19:44:42.242"</f>
        <v>19:44:42.242</v>
      </c>
      <c r="CD4171" t="str">
        <f>"245068204"</f>
        <v>245068204</v>
      </c>
      <c r="CQ4171">
        <v>0</v>
      </c>
      <c r="CR4171">
        <v>2</v>
      </c>
      <c r="CS4171">
        <v>0</v>
      </c>
      <c r="CT4171">
        <v>2</v>
      </c>
      <c r="CU4171">
        <v>0</v>
      </c>
      <c r="CV4171">
        <v>1</v>
      </c>
      <c r="CW4171" t="s">
        <v>120</v>
      </c>
      <c r="CX4171">
        <v>257</v>
      </c>
      <c r="CY4171">
        <v>0</v>
      </c>
      <c r="CZ4171" t="s">
        <v>615</v>
      </c>
      <c r="DA4171" t="s">
        <v>616</v>
      </c>
      <c r="DD4171">
        <v>16696522</v>
      </c>
      <c r="DE4171" t="s">
        <v>123</v>
      </c>
    </row>
    <row r="4172" spans="1:109" x14ac:dyDescent="0.3">
      <c r="A4172" t="str">
        <f>"19:44:53.563"</f>
        <v>19:44:53.563</v>
      </c>
      <c r="B4172" t="s">
        <v>110</v>
      </c>
      <c r="C4172" t="str">
        <f t="shared" si="195"/>
        <v>ffdfd3c0</v>
      </c>
      <c r="D4172" t="s">
        <v>111</v>
      </c>
      <c r="E4172">
        <v>18</v>
      </c>
      <c r="F4172">
        <v>1018</v>
      </c>
      <c r="G4172" t="s">
        <v>112</v>
      </c>
      <c r="J4172" t="s">
        <v>113</v>
      </c>
      <c r="K4172">
        <v>0</v>
      </c>
      <c r="L4172">
        <v>3</v>
      </c>
      <c r="M4172">
        <v>0</v>
      </c>
      <c r="N4172">
        <v>2</v>
      </c>
      <c r="O4172">
        <v>1</v>
      </c>
      <c r="P4172">
        <v>0</v>
      </c>
      <c r="Q4172">
        <v>0</v>
      </c>
      <c r="R4172" t="s">
        <v>114</v>
      </c>
      <c r="S4172" t="str">
        <f>"19:44:53.297"</f>
        <v>19:44:53.297</v>
      </c>
      <c r="T4172" t="str">
        <f>"19:44:42.398"</f>
        <v>19:44:42.398</v>
      </c>
      <c r="U4172" t="str">
        <f t="shared" si="196"/>
        <v>a1cdbe</v>
      </c>
      <c r="V4172">
        <v>0</v>
      </c>
      <c r="W4172">
        <v>0</v>
      </c>
      <c r="X4172">
        <v>2</v>
      </c>
      <c r="Y4172">
        <v>0</v>
      </c>
      <c r="Z4172">
        <v>0</v>
      </c>
      <c r="AB4172">
        <v>0</v>
      </c>
      <c r="AC4172">
        <v>9</v>
      </c>
      <c r="AD4172">
        <v>3</v>
      </c>
      <c r="AE4172">
        <v>0</v>
      </c>
      <c r="AF4172">
        <v>9</v>
      </c>
      <c r="AG4172" t="s">
        <v>115</v>
      </c>
      <c r="AH4172">
        <v>0</v>
      </c>
      <c r="AI4172">
        <v>0</v>
      </c>
      <c r="AJ4172">
        <v>1</v>
      </c>
      <c r="AK4172">
        <v>0</v>
      </c>
      <c r="AL4172" t="s">
        <v>7380</v>
      </c>
      <c r="AM4172">
        <v>47.060172999999999</v>
      </c>
      <c r="AN4172" t="s">
        <v>7629</v>
      </c>
      <c r="AO4172">
        <v>-123.993416</v>
      </c>
      <c r="AP4172">
        <v>100</v>
      </c>
      <c r="AQ4172">
        <v>-300</v>
      </c>
      <c r="AR4172" t="s">
        <v>118</v>
      </c>
      <c r="AS4172">
        <v>17</v>
      </c>
      <c r="AT4172">
        <v>-52</v>
      </c>
      <c r="AU4172">
        <v>-1024</v>
      </c>
      <c r="BC4172">
        <v>1200</v>
      </c>
      <c r="BD4172">
        <v>1</v>
      </c>
      <c r="BE4172" t="str">
        <f t="shared" si="197"/>
        <v xml:space="preserve">N215T   </v>
      </c>
      <c r="BF4172">
        <v>1</v>
      </c>
      <c r="BH4172">
        <v>0</v>
      </c>
      <c r="BI4172">
        <v>0</v>
      </c>
      <c r="BJ4172">
        <v>0</v>
      </c>
      <c r="BK4172">
        <v>125</v>
      </c>
      <c r="BL4172">
        <v>425</v>
      </c>
      <c r="BM4172" t="s">
        <v>119</v>
      </c>
      <c r="BN4172">
        <v>1</v>
      </c>
      <c r="BO4172">
        <v>1</v>
      </c>
      <c r="BP4172">
        <v>1</v>
      </c>
      <c r="BQ4172">
        <v>0</v>
      </c>
      <c r="BT4172">
        <v>0</v>
      </c>
      <c r="BU4172">
        <v>0</v>
      </c>
      <c r="BV4172">
        <v>0</v>
      </c>
      <c r="CC4172" t="str">
        <f>"19:44:53.297"</f>
        <v>19:44:53.297</v>
      </c>
      <c r="CD4172" t="str">
        <f>"298977836"</f>
        <v>298977836</v>
      </c>
      <c r="CQ4172">
        <v>0</v>
      </c>
      <c r="CR4172">
        <v>2</v>
      </c>
      <c r="CS4172">
        <v>0</v>
      </c>
      <c r="CT4172">
        <v>2</v>
      </c>
      <c r="CU4172">
        <v>0</v>
      </c>
      <c r="CV4172">
        <v>1</v>
      </c>
      <c r="CW4172" t="s">
        <v>120</v>
      </c>
      <c r="CX4172">
        <v>257</v>
      </c>
      <c r="CY4172">
        <v>0</v>
      </c>
      <c r="CZ4172" t="s">
        <v>615</v>
      </c>
      <c r="DA4172" t="s">
        <v>616</v>
      </c>
      <c r="DD4172">
        <v>16699960</v>
      </c>
      <c r="DE4172" t="s">
        <v>123</v>
      </c>
    </row>
    <row r="4173" spans="1:109" x14ac:dyDescent="0.3">
      <c r="A4173" t="str">
        <f>"19:44:54.719"</f>
        <v>19:44:54.719</v>
      </c>
      <c r="B4173" t="s">
        <v>110</v>
      </c>
      <c r="C4173" t="str">
        <f t="shared" si="195"/>
        <v>ffdfd3c0</v>
      </c>
      <c r="D4173" t="s">
        <v>111</v>
      </c>
      <c r="E4173">
        <v>18</v>
      </c>
      <c r="F4173">
        <v>1018</v>
      </c>
      <c r="G4173" t="s">
        <v>112</v>
      </c>
      <c r="J4173" t="s">
        <v>113</v>
      </c>
      <c r="K4173">
        <v>0</v>
      </c>
      <c r="L4173">
        <v>3</v>
      </c>
      <c r="M4173">
        <v>0</v>
      </c>
      <c r="N4173">
        <v>2</v>
      </c>
      <c r="O4173">
        <v>1</v>
      </c>
      <c r="P4173">
        <v>0</v>
      </c>
      <c r="Q4173">
        <v>0</v>
      </c>
      <c r="R4173" t="s">
        <v>114</v>
      </c>
      <c r="S4173" t="str">
        <f>"19:44:54.477"</f>
        <v>19:44:54.477</v>
      </c>
      <c r="T4173" t="str">
        <f>"19:44:54.477"</f>
        <v>19:44:54.477</v>
      </c>
      <c r="U4173" t="str">
        <f t="shared" si="196"/>
        <v>a1cdbe</v>
      </c>
      <c r="V4173">
        <v>0</v>
      </c>
      <c r="W4173">
        <v>0</v>
      </c>
      <c r="X4173">
        <v>2</v>
      </c>
      <c r="Y4173">
        <v>0</v>
      </c>
      <c r="Z4173">
        <v>0</v>
      </c>
      <c r="AB4173">
        <v>0</v>
      </c>
      <c r="AC4173">
        <v>9</v>
      </c>
      <c r="AD4173">
        <v>3</v>
      </c>
      <c r="AE4173">
        <v>0</v>
      </c>
      <c r="AF4173">
        <v>9</v>
      </c>
      <c r="AG4173" t="s">
        <v>115</v>
      </c>
      <c r="AH4173">
        <v>0</v>
      </c>
      <c r="AI4173">
        <v>0</v>
      </c>
      <c r="AJ4173">
        <v>1</v>
      </c>
      <c r="AK4173">
        <v>0</v>
      </c>
      <c r="AL4173" t="s">
        <v>7375</v>
      </c>
      <c r="AM4173">
        <v>47.059894</v>
      </c>
      <c r="AN4173" t="s">
        <v>7737</v>
      </c>
      <c r="AO4173">
        <v>-123.993287</v>
      </c>
      <c r="AP4173">
        <v>100</v>
      </c>
      <c r="AQ4173">
        <v>-300</v>
      </c>
      <c r="AR4173" t="s">
        <v>118</v>
      </c>
      <c r="AS4173">
        <v>13</v>
      </c>
      <c r="AT4173">
        <v>-49</v>
      </c>
      <c r="AU4173">
        <v>1088</v>
      </c>
      <c r="BC4173">
        <v>1200</v>
      </c>
      <c r="BD4173">
        <v>1</v>
      </c>
      <c r="BE4173" t="str">
        <f t="shared" si="197"/>
        <v xml:space="preserve">N215T   </v>
      </c>
      <c r="BF4173">
        <v>1</v>
      </c>
      <c r="BH4173">
        <v>0</v>
      </c>
      <c r="BI4173">
        <v>0</v>
      </c>
      <c r="BJ4173">
        <v>0</v>
      </c>
      <c r="BK4173">
        <v>100</v>
      </c>
      <c r="BL4173">
        <v>400</v>
      </c>
      <c r="BM4173" t="s">
        <v>119</v>
      </c>
      <c r="BN4173">
        <v>1</v>
      </c>
      <c r="BO4173">
        <v>1</v>
      </c>
      <c r="BP4173">
        <v>1</v>
      </c>
      <c r="BQ4173">
        <v>0</v>
      </c>
      <c r="BT4173">
        <v>0</v>
      </c>
      <c r="BU4173">
        <v>0</v>
      </c>
      <c r="BV4173">
        <v>0</v>
      </c>
      <c r="CC4173" t="str">
        <f>"19:44:54.484"</f>
        <v>19:44:54.484</v>
      </c>
      <c r="CD4173" t="str">
        <f>"483860925"</f>
        <v>483860925</v>
      </c>
      <c r="CQ4173">
        <v>0</v>
      </c>
      <c r="CR4173">
        <v>2</v>
      </c>
      <c r="CS4173">
        <v>0</v>
      </c>
      <c r="CT4173">
        <v>2</v>
      </c>
      <c r="CU4173">
        <v>0</v>
      </c>
      <c r="CV4173">
        <v>1</v>
      </c>
      <c r="CW4173" t="s">
        <v>120</v>
      </c>
      <c r="CX4173">
        <v>257</v>
      </c>
      <c r="CY4173">
        <v>0</v>
      </c>
      <c r="CZ4173" t="s">
        <v>615</v>
      </c>
      <c r="DA4173" t="s">
        <v>616</v>
      </c>
      <c r="DD4173">
        <v>16700319</v>
      </c>
      <c r="DE4173" t="s">
        <v>123</v>
      </c>
    </row>
    <row r="4174" spans="1:109" x14ac:dyDescent="0.3">
      <c r="A4174" t="str">
        <f>"19:44:55.773"</f>
        <v>19:44:55.773</v>
      </c>
      <c r="B4174" t="s">
        <v>110</v>
      </c>
      <c r="C4174" t="str">
        <f t="shared" si="195"/>
        <v>ffdfd3c0</v>
      </c>
      <c r="D4174" t="s">
        <v>111</v>
      </c>
      <c r="E4174">
        <v>18</v>
      </c>
      <c r="F4174">
        <v>1018</v>
      </c>
      <c r="G4174" t="s">
        <v>112</v>
      </c>
      <c r="J4174" t="s">
        <v>113</v>
      </c>
      <c r="K4174">
        <v>0</v>
      </c>
      <c r="L4174">
        <v>3</v>
      </c>
      <c r="M4174">
        <v>0</v>
      </c>
      <c r="N4174">
        <v>2</v>
      </c>
      <c r="O4174">
        <v>1</v>
      </c>
      <c r="P4174">
        <v>0</v>
      </c>
      <c r="Q4174">
        <v>0</v>
      </c>
      <c r="R4174" t="s">
        <v>114</v>
      </c>
      <c r="S4174" t="str">
        <f>"19:44:55.516"</f>
        <v>19:44:55.516</v>
      </c>
      <c r="T4174" t="str">
        <f>"19:44:55.414"</f>
        <v>19:44:55.414</v>
      </c>
      <c r="U4174" t="str">
        <f t="shared" si="196"/>
        <v>a1cdbe</v>
      </c>
      <c r="V4174">
        <v>0</v>
      </c>
      <c r="W4174">
        <v>0</v>
      </c>
      <c r="X4174">
        <v>2</v>
      </c>
      <c r="Y4174">
        <v>0</v>
      </c>
      <c r="Z4174">
        <v>0</v>
      </c>
      <c r="AB4174">
        <v>0</v>
      </c>
      <c r="AC4174">
        <v>9</v>
      </c>
      <c r="AD4174">
        <v>3</v>
      </c>
      <c r="AE4174">
        <v>0</v>
      </c>
      <c r="AF4174">
        <v>9</v>
      </c>
      <c r="AG4174" t="s">
        <v>115</v>
      </c>
      <c r="AH4174">
        <v>0</v>
      </c>
      <c r="AI4174">
        <v>0</v>
      </c>
      <c r="AJ4174">
        <v>1</v>
      </c>
      <c r="AK4174">
        <v>0</v>
      </c>
      <c r="AL4174" t="s">
        <v>7371</v>
      </c>
      <c r="AM4174">
        <v>47.059657999999999</v>
      </c>
      <c r="AN4174" t="s">
        <v>7738</v>
      </c>
      <c r="AO4174">
        <v>-123.99318</v>
      </c>
      <c r="AP4174">
        <v>100</v>
      </c>
      <c r="AQ4174">
        <v>-300</v>
      </c>
      <c r="AR4174" t="s">
        <v>118</v>
      </c>
      <c r="AS4174">
        <v>11</v>
      </c>
      <c r="AT4174">
        <v>-49</v>
      </c>
      <c r="AU4174">
        <v>896</v>
      </c>
      <c r="BC4174">
        <v>1200</v>
      </c>
      <c r="BD4174">
        <v>1</v>
      </c>
      <c r="BE4174" t="str">
        <f t="shared" si="197"/>
        <v xml:space="preserve">N215T   </v>
      </c>
      <c r="BF4174">
        <v>1</v>
      </c>
      <c r="BH4174">
        <v>0</v>
      </c>
      <c r="BI4174">
        <v>0</v>
      </c>
      <c r="BJ4174">
        <v>0</v>
      </c>
      <c r="BK4174">
        <v>125</v>
      </c>
      <c r="BL4174">
        <v>425</v>
      </c>
      <c r="BM4174" t="s">
        <v>119</v>
      </c>
      <c r="BN4174">
        <v>1</v>
      </c>
      <c r="BO4174">
        <v>1</v>
      </c>
      <c r="BP4174">
        <v>1</v>
      </c>
      <c r="BQ4174">
        <v>0</v>
      </c>
      <c r="BT4174">
        <v>0</v>
      </c>
      <c r="BU4174">
        <v>0</v>
      </c>
      <c r="BV4174">
        <v>0</v>
      </c>
      <c r="CC4174" t="str">
        <f>"19:44:55.516"</f>
        <v>19:44:55.516</v>
      </c>
      <c r="CD4174" t="str">
        <f>"518758761"</f>
        <v>518758761</v>
      </c>
      <c r="CQ4174">
        <v>0</v>
      </c>
      <c r="CR4174">
        <v>2</v>
      </c>
      <c r="CS4174">
        <v>0</v>
      </c>
      <c r="CT4174">
        <v>2</v>
      </c>
      <c r="CU4174">
        <v>0</v>
      </c>
      <c r="CV4174">
        <v>1</v>
      </c>
      <c r="CW4174" t="s">
        <v>120</v>
      </c>
      <c r="CX4174">
        <v>257</v>
      </c>
      <c r="CY4174">
        <v>0</v>
      </c>
      <c r="CZ4174" t="s">
        <v>615</v>
      </c>
      <c r="DA4174" t="s">
        <v>616</v>
      </c>
      <c r="DD4174">
        <v>16700636</v>
      </c>
      <c r="DE4174" t="s">
        <v>123</v>
      </c>
    </row>
    <row r="4175" spans="1:109" x14ac:dyDescent="0.3">
      <c r="A4175" t="str">
        <f>"19:44:56.734"</f>
        <v>19:44:56.734</v>
      </c>
      <c r="B4175" t="s">
        <v>110</v>
      </c>
      <c r="C4175" t="str">
        <f t="shared" si="195"/>
        <v>ffdfd3c0</v>
      </c>
      <c r="D4175" t="s">
        <v>111</v>
      </c>
      <c r="E4175">
        <v>18</v>
      </c>
      <c r="F4175">
        <v>1018</v>
      </c>
      <c r="G4175" t="s">
        <v>112</v>
      </c>
      <c r="J4175" t="s">
        <v>113</v>
      </c>
      <c r="K4175">
        <v>0</v>
      </c>
      <c r="L4175">
        <v>3</v>
      </c>
      <c r="M4175">
        <v>0</v>
      </c>
      <c r="N4175">
        <v>2</v>
      </c>
      <c r="O4175">
        <v>1</v>
      </c>
      <c r="P4175">
        <v>0</v>
      </c>
      <c r="Q4175">
        <v>0</v>
      </c>
      <c r="R4175" t="s">
        <v>114</v>
      </c>
      <c r="S4175" t="str">
        <f>"19:44:56.477"</f>
        <v>19:44:56.477</v>
      </c>
      <c r="T4175" t="str">
        <f>"19:44:55.773"</f>
        <v>19:44:55.773</v>
      </c>
      <c r="U4175" t="str">
        <f t="shared" si="196"/>
        <v>a1cdbe</v>
      </c>
      <c r="V4175">
        <v>0</v>
      </c>
      <c r="W4175">
        <v>0</v>
      </c>
      <c r="X4175">
        <v>2</v>
      </c>
      <c r="Y4175">
        <v>0</v>
      </c>
      <c r="Z4175">
        <v>0</v>
      </c>
      <c r="AB4175">
        <v>0</v>
      </c>
      <c r="AC4175">
        <v>9</v>
      </c>
      <c r="AD4175">
        <v>3</v>
      </c>
      <c r="AE4175">
        <v>0</v>
      </c>
      <c r="AF4175">
        <v>9</v>
      </c>
      <c r="AG4175" t="s">
        <v>115</v>
      </c>
      <c r="AH4175">
        <v>0</v>
      </c>
      <c r="AI4175">
        <v>0</v>
      </c>
      <c r="AJ4175">
        <v>1</v>
      </c>
      <c r="AK4175">
        <v>0</v>
      </c>
      <c r="AL4175" t="s">
        <v>7739</v>
      </c>
      <c r="AM4175">
        <v>47.059443000000002</v>
      </c>
      <c r="AN4175" t="s">
        <v>7740</v>
      </c>
      <c r="AO4175">
        <v>-123.993137</v>
      </c>
      <c r="AP4175">
        <v>100</v>
      </c>
      <c r="AQ4175">
        <v>-300</v>
      </c>
      <c r="AR4175" t="s">
        <v>118</v>
      </c>
      <c r="AS4175">
        <v>10</v>
      </c>
      <c r="AT4175">
        <v>-49</v>
      </c>
      <c r="AU4175">
        <v>832</v>
      </c>
      <c r="BC4175">
        <v>1200</v>
      </c>
      <c r="BD4175">
        <v>1</v>
      </c>
      <c r="BE4175" t="str">
        <f t="shared" si="197"/>
        <v xml:space="preserve">N215T   </v>
      </c>
      <c r="BF4175">
        <v>1</v>
      </c>
      <c r="BH4175">
        <v>0</v>
      </c>
      <c r="BI4175">
        <v>0</v>
      </c>
      <c r="BJ4175">
        <v>0</v>
      </c>
      <c r="BK4175">
        <v>125</v>
      </c>
      <c r="BL4175">
        <v>425</v>
      </c>
      <c r="BM4175" t="s">
        <v>119</v>
      </c>
      <c r="BN4175">
        <v>1</v>
      </c>
      <c r="BO4175">
        <v>1</v>
      </c>
      <c r="BP4175">
        <v>1</v>
      </c>
      <c r="BQ4175">
        <v>0</v>
      </c>
      <c r="BT4175">
        <v>0</v>
      </c>
      <c r="BU4175">
        <v>0</v>
      </c>
      <c r="BV4175">
        <v>0</v>
      </c>
      <c r="CC4175" t="str">
        <f>"19:44:56.477"</f>
        <v>19:44:56.477</v>
      </c>
      <c r="CD4175" t="str">
        <f>"478664190"</f>
        <v>478664190</v>
      </c>
      <c r="CQ4175">
        <v>0</v>
      </c>
      <c r="CR4175">
        <v>2</v>
      </c>
      <c r="CS4175">
        <v>0</v>
      </c>
      <c r="CT4175">
        <v>2</v>
      </c>
      <c r="CU4175">
        <v>0</v>
      </c>
      <c r="CV4175">
        <v>2</v>
      </c>
      <c r="CW4175" t="s">
        <v>120</v>
      </c>
      <c r="CX4175">
        <v>257</v>
      </c>
      <c r="CY4175">
        <v>0</v>
      </c>
      <c r="CZ4175" t="s">
        <v>615</v>
      </c>
      <c r="DA4175" t="s">
        <v>616</v>
      </c>
      <c r="DD4175">
        <v>16700951</v>
      </c>
      <c r="DE4175" t="s">
        <v>123</v>
      </c>
    </row>
    <row r="4176" spans="1:109" x14ac:dyDescent="0.3">
      <c r="A4176" t="str">
        <f>"19:44:58.141"</f>
        <v>19:44:58.141</v>
      </c>
      <c r="B4176" t="s">
        <v>110</v>
      </c>
      <c r="C4176" t="str">
        <f t="shared" si="195"/>
        <v>ffdfd3c0</v>
      </c>
      <c r="D4176" t="s">
        <v>111</v>
      </c>
      <c r="E4176">
        <v>18</v>
      </c>
      <c r="F4176">
        <v>1018</v>
      </c>
      <c r="G4176" t="s">
        <v>112</v>
      </c>
      <c r="J4176" t="s">
        <v>113</v>
      </c>
      <c r="K4176">
        <v>0</v>
      </c>
      <c r="L4176">
        <v>3</v>
      </c>
      <c r="M4176">
        <v>0</v>
      </c>
      <c r="N4176">
        <v>2</v>
      </c>
      <c r="O4176">
        <v>1</v>
      </c>
      <c r="P4176">
        <v>0</v>
      </c>
      <c r="Q4176">
        <v>0</v>
      </c>
      <c r="R4176" t="s">
        <v>114</v>
      </c>
      <c r="S4176" t="str">
        <f>"19:44:57.898"</f>
        <v>19:44:57.898</v>
      </c>
      <c r="T4176" t="str">
        <f>"19:44:57.398"</f>
        <v>19:44:57.398</v>
      </c>
      <c r="U4176" t="str">
        <f t="shared" si="196"/>
        <v>a1cdbe</v>
      </c>
      <c r="V4176">
        <v>0</v>
      </c>
      <c r="W4176">
        <v>0</v>
      </c>
      <c r="X4176">
        <v>2</v>
      </c>
      <c r="Y4176">
        <v>0</v>
      </c>
      <c r="Z4176">
        <v>0</v>
      </c>
      <c r="AB4176">
        <v>0</v>
      </c>
      <c r="AC4176">
        <v>9</v>
      </c>
      <c r="AD4176">
        <v>3</v>
      </c>
      <c r="AE4176">
        <v>0</v>
      </c>
      <c r="AF4176">
        <v>9</v>
      </c>
      <c r="AG4176" t="s">
        <v>115</v>
      </c>
      <c r="AH4176">
        <v>0</v>
      </c>
      <c r="AI4176">
        <v>0</v>
      </c>
      <c r="AJ4176">
        <v>1</v>
      </c>
      <c r="AK4176">
        <v>0</v>
      </c>
      <c r="AL4176" t="s">
        <v>7649</v>
      </c>
      <c r="AM4176">
        <v>47.059142999999999</v>
      </c>
      <c r="AN4176" t="s">
        <v>7340</v>
      </c>
      <c r="AO4176">
        <v>-123.99303</v>
      </c>
      <c r="AP4176">
        <v>100</v>
      </c>
      <c r="AQ4176">
        <v>-200</v>
      </c>
      <c r="AR4176" t="s">
        <v>118</v>
      </c>
      <c r="AS4176">
        <v>8</v>
      </c>
      <c r="AT4176">
        <v>-48</v>
      </c>
      <c r="AU4176">
        <v>704</v>
      </c>
      <c r="BC4176">
        <v>1200</v>
      </c>
      <c r="BD4176">
        <v>1</v>
      </c>
      <c r="BE4176" t="str">
        <f t="shared" si="197"/>
        <v xml:space="preserve">N215T   </v>
      </c>
      <c r="BF4176">
        <v>1</v>
      </c>
      <c r="BH4176">
        <v>0</v>
      </c>
      <c r="BI4176">
        <v>0</v>
      </c>
      <c r="BJ4176">
        <v>0</v>
      </c>
      <c r="BK4176">
        <v>150</v>
      </c>
      <c r="BL4176">
        <v>350</v>
      </c>
      <c r="BM4176" t="s">
        <v>119</v>
      </c>
      <c r="BN4176">
        <v>1</v>
      </c>
      <c r="BO4176">
        <v>1</v>
      </c>
      <c r="BP4176">
        <v>1</v>
      </c>
      <c r="BQ4176">
        <v>0</v>
      </c>
      <c r="BT4176">
        <v>0</v>
      </c>
      <c r="BU4176">
        <v>0</v>
      </c>
      <c r="BV4176">
        <v>0</v>
      </c>
      <c r="CC4176" t="str">
        <f>"19:44:57.906"</f>
        <v>19:44:57.906</v>
      </c>
      <c r="CD4176" t="str">
        <f>"903523624"</f>
        <v>903523624</v>
      </c>
      <c r="CQ4176">
        <v>0</v>
      </c>
      <c r="CR4176">
        <v>2</v>
      </c>
      <c r="CS4176">
        <v>0</v>
      </c>
      <c r="CT4176">
        <v>2</v>
      </c>
      <c r="CU4176">
        <v>0</v>
      </c>
      <c r="CV4176">
        <v>2</v>
      </c>
      <c r="CW4176" t="s">
        <v>120</v>
      </c>
      <c r="CX4176">
        <v>257</v>
      </c>
      <c r="CY4176">
        <v>0</v>
      </c>
      <c r="CZ4176" t="s">
        <v>615</v>
      </c>
      <c r="DA4176" t="s">
        <v>616</v>
      </c>
      <c r="DD4176">
        <v>16701395</v>
      </c>
      <c r="DE4176" t="s">
        <v>123</v>
      </c>
    </row>
    <row r="4177" spans="1:109" x14ac:dyDescent="0.3">
      <c r="A4177" t="str">
        <f>"19:44:59.195"</f>
        <v>19:44:59.195</v>
      </c>
      <c r="B4177" t="s">
        <v>110</v>
      </c>
      <c r="C4177" t="str">
        <f t="shared" si="195"/>
        <v>ffdfd3c0</v>
      </c>
      <c r="D4177" t="s">
        <v>111</v>
      </c>
      <c r="E4177">
        <v>18</v>
      </c>
      <c r="F4177">
        <v>1018</v>
      </c>
      <c r="G4177" t="s">
        <v>112</v>
      </c>
      <c r="J4177" t="s">
        <v>113</v>
      </c>
      <c r="K4177">
        <v>0</v>
      </c>
      <c r="L4177">
        <v>3</v>
      </c>
      <c r="M4177">
        <v>0</v>
      </c>
      <c r="N4177">
        <v>2</v>
      </c>
      <c r="O4177">
        <v>1</v>
      </c>
      <c r="P4177">
        <v>0</v>
      </c>
      <c r="Q4177">
        <v>0</v>
      </c>
      <c r="R4177" t="s">
        <v>114</v>
      </c>
      <c r="S4177" t="str">
        <f>"19:44:58.906"</f>
        <v>19:44:58.906</v>
      </c>
      <c r="T4177" t="str">
        <f>"19:44:58.805"</f>
        <v>19:44:58.805</v>
      </c>
      <c r="U4177" t="str">
        <f t="shared" si="196"/>
        <v>a1cdbe</v>
      </c>
      <c r="V4177">
        <v>0</v>
      </c>
      <c r="W4177">
        <v>0</v>
      </c>
      <c r="X4177">
        <v>2</v>
      </c>
      <c r="Y4177">
        <v>0</v>
      </c>
      <c r="Z4177">
        <v>0</v>
      </c>
      <c r="AB4177">
        <v>0</v>
      </c>
      <c r="AC4177">
        <v>9</v>
      </c>
      <c r="AD4177">
        <v>3</v>
      </c>
      <c r="AE4177">
        <v>0</v>
      </c>
      <c r="AF4177">
        <v>9</v>
      </c>
      <c r="AG4177" t="s">
        <v>115</v>
      </c>
      <c r="AH4177">
        <v>0</v>
      </c>
      <c r="AI4177">
        <v>0</v>
      </c>
      <c r="AJ4177">
        <v>1</v>
      </c>
      <c r="AK4177">
        <v>0</v>
      </c>
      <c r="AL4177" t="s">
        <v>7741</v>
      </c>
      <c r="AM4177">
        <v>47.058884999999997</v>
      </c>
      <c r="AN4177" t="s">
        <v>7742</v>
      </c>
      <c r="AO4177">
        <v>-123.993008</v>
      </c>
      <c r="AP4177">
        <v>100</v>
      </c>
      <c r="AQ4177">
        <v>-200</v>
      </c>
      <c r="AR4177" t="s">
        <v>118</v>
      </c>
      <c r="AS4177">
        <v>8</v>
      </c>
      <c r="AT4177">
        <v>-48</v>
      </c>
      <c r="AU4177">
        <v>640</v>
      </c>
      <c r="BC4177">
        <v>1200</v>
      </c>
      <c r="BD4177">
        <v>1</v>
      </c>
      <c r="BE4177" t="str">
        <f t="shared" si="197"/>
        <v xml:space="preserve">N215T   </v>
      </c>
      <c r="BF4177">
        <v>1</v>
      </c>
      <c r="BH4177">
        <v>0</v>
      </c>
      <c r="BI4177">
        <v>0</v>
      </c>
      <c r="BJ4177">
        <v>0</v>
      </c>
      <c r="BK4177">
        <v>175</v>
      </c>
      <c r="BL4177">
        <v>375</v>
      </c>
      <c r="BM4177" t="s">
        <v>119</v>
      </c>
      <c r="BN4177">
        <v>1</v>
      </c>
      <c r="BO4177">
        <v>1</v>
      </c>
      <c r="BP4177">
        <v>1</v>
      </c>
      <c r="BQ4177">
        <v>0</v>
      </c>
      <c r="BT4177">
        <v>0</v>
      </c>
      <c r="BU4177">
        <v>0</v>
      </c>
      <c r="BV4177">
        <v>0</v>
      </c>
      <c r="CC4177" t="str">
        <f>"19:44:58.906"</f>
        <v>19:44:58.906</v>
      </c>
      <c r="CD4177" t="str">
        <f>"908424435"</f>
        <v>908424435</v>
      </c>
      <c r="CQ4177">
        <v>0</v>
      </c>
      <c r="CR4177">
        <v>2</v>
      </c>
      <c r="CS4177">
        <v>0</v>
      </c>
      <c r="CT4177">
        <v>2</v>
      </c>
      <c r="CU4177">
        <v>0</v>
      </c>
      <c r="CV4177">
        <v>3</v>
      </c>
      <c r="CW4177" t="s">
        <v>120</v>
      </c>
      <c r="CX4177">
        <v>257</v>
      </c>
      <c r="CY4177">
        <v>0</v>
      </c>
      <c r="CZ4177" t="s">
        <v>615</v>
      </c>
      <c r="DA4177" t="s">
        <v>616</v>
      </c>
      <c r="DD4177">
        <v>16701712</v>
      </c>
      <c r="DE4177" t="s">
        <v>123</v>
      </c>
    </row>
    <row r="4178" spans="1:109" x14ac:dyDescent="0.3">
      <c r="A4178" t="str">
        <f>"19:45:00.297"</f>
        <v>19:45:00.297</v>
      </c>
      <c r="B4178" t="s">
        <v>110</v>
      </c>
      <c r="C4178" t="str">
        <f t="shared" si="195"/>
        <v>ffdfd3c0</v>
      </c>
      <c r="D4178" t="s">
        <v>111</v>
      </c>
      <c r="E4178">
        <v>18</v>
      </c>
      <c r="F4178">
        <v>1018</v>
      </c>
      <c r="G4178" t="s">
        <v>112</v>
      </c>
      <c r="J4178" t="s">
        <v>113</v>
      </c>
      <c r="K4178">
        <v>0</v>
      </c>
      <c r="L4178">
        <v>3</v>
      </c>
      <c r="M4178">
        <v>0</v>
      </c>
      <c r="N4178">
        <v>2</v>
      </c>
      <c r="O4178">
        <v>1</v>
      </c>
      <c r="P4178">
        <v>0</v>
      </c>
      <c r="Q4178">
        <v>0</v>
      </c>
      <c r="R4178" t="s">
        <v>114</v>
      </c>
      <c r="S4178" t="str">
        <f>"19:45:00.016"</f>
        <v>19:45:00.016</v>
      </c>
      <c r="T4178" t="str">
        <f>"19:44:59.813"</f>
        <v>19:44:59.813</v>
      </c>
      <c r="U4178" t="str">
        <f t="shared" si="196"/>
        <v>a1cdbe</v>
      </c>
      <c r="V4178">
        <v>0</v>
      </c>
      <c r="W4178">
        <v>0</v>
      </c>
      <c r="X4178">
        <v>2</v>
      </c>
      <c r="Y4178">
        <v>0</v>
      </c>
      <c r="Z4178">
        <v>0</v>
      </c>
      <c r="AB4178">
        <v>0</v>
      </c>
      <c r="AC4178">
        <v>9</v>
      </c>
      <c r="AD4178">
        <v>3</v>
      </c>
      <c r="AE4178">
        <v>0</v>
      </c>
      <c r="AF4178">
        <v>9</v>
      </c>
      <c r="AG4178" t="s">
        <v>115</v>
      </c>
      <c r="AH4178">
        <v>0</v>
      </c>
      <c r="AI4178">
        <v>0</v>
      </c>
      <c r="AJ4178">
        <v>1</v>
      </c>
      <c r="AK4178">
        <v>0</v>
      </c>
      <c r="AL4178" t="s">
        <v>7743</v>
      </c>
      <c r="AM4178">
        <v>47.058649000000003</v>
      </c>
      <c r="AN4178" t="s">
        <v>7744</v>
      </c>
      <c r="AO4178">
        <v>-123.99294399999999</v>
      </c>
      <c r="AP4178">
        <v>100</v>
      </c>
      <c r="AQ4178">
        <v>-200</v>
      </c>
      <c r="AR4178" t="s">
        <v>118</v>
      </c>
      <c r="AS4178">
        <v>9</v>
      </c>
      <c r="AT4178">
        <v>-48</v>
      </c>
      <c r="AU4178">
        <v>576</v>
      </c>
      <c r="BC4178">
        <v>1200</v>
      </c>
      <c r="BD4178">
        <v>1</v>
      </c>
      <c r="BE4178" t="str">
        <f t="shared" si="197"/>
        <v xml:space="preserve">N215T   </v>
      </c>
      <c r="BF4178">
        <v>1</v>
      </c>
      <c r="BH4178">
        <v>0</v>
      </c>
      <c r="BI4178">
        <v>0</v>
      </c>
      <c r="BJ4178">
        <v>0</v>
      </c>
      <c r="BK4178">
        <v>175</v>
      </c>
      <c r="BL4178">
        <v>375</v>
      </c>
      <c r="BM4178" t="s">
        <v>119</v>
      </c>
      <c r="BN4178">
        <v>1</v>
      </c>
      <c r="BO4178">
        <v>1</v>
      </c>
      <c r="BP4178">
        <v>1</v>
      </c>
      <c r="BQ4178">
        <v>0</v>
      </c>
      <c r="BT4178">
        <v>0</v>
      </c>
      <c r="BU4178">
        <v>0</v>
      </c>
      <c r="BV4178">
        <v>0</v>
      </c>
      <c r="CC4178" t="str">
        <f>"19:45:00.016"</f>
        <v>19:45:00.016</v>
      </c>
      <c r="CD4178" t="str">
        <f>"018314966"</f>
        <v>018314966</v>
      </c>
      <c r="CQ4178">
        <v>0</v>
      </c>
      <c r="CR4178">
        <v>2</v>
      </c>
      <c r="CS4178">
        <v>0</v>
      </c>
      <c r="CT4178">
        <v>2</v>
      </c>
      <c r="CU4178">
        <v>0</v>
      </c>
      <c r="CV4178">
        <v>4</v>
      </c>
      <c r="CW4178" t="s">
        <v>120</v>
      </c>
      <c r="CX4178">
        <v>257</v>
      </c>
      <c r="CY4178">
        <v>0</v>
      </c>
      <c r="CZ4178" t="s">
        <v>615</v>
      </c>
      <c r="DA4178" t="s">
        <v>616</v>
      </c>
      <c r="DD4178">
        <v>16702063</v>
      </c>
      <c r="DE4178" t="s">
        <v>123</v>
      </c>
    </row>
    <row r="4179" spans="1:109" x14ac:dyDescent="0.3">
      <c r="A4179" t="str">
        <f>"19:45:01.258"</f>
        <v>19:45:01.258</v>
      </c>
      <c r="B4179" t="s">
        <v>110</v>
      </c>
      <c r="C4179" t="str">
        <f t="shared" si="195"/>
        <v>ffdfd3c0</v>
      </c>
      <c r="D4179" t="s">
        <v>111</v>
      </c>
      <c r="E4179">
        <v>18</v>
      </c>
      <c r="F4179">
        <v>1018</v>
      </c>
      <c r="G4179" t="s">
        <v>112</v>
      </c>
      <c r="J4179" t="s">
        <v>113</v>
      </c>
      <c r="K4179">
        <v>0</v>
      </c>
      <c r="L4179">
        <v>3</v>
      </c>
      <c r="M4179">
        <v>0</v>
      </c>
      <c r="N4179">
        <v>2</v>
      </c>
      <c r="O4179">
        <v>1</v>
      </c>
      <c r="P4179">
        <v>0</v>
      </c>
      <c r="Q4179">
        <v>0</v>
      </c>
      <c r="R4179" t="s">
        <v>114</v>
      </c>
      <c r="S4179" t="str">
        <f>"19:45:01.016"</f>
        <v>19:45:01.016</v>
      </c>
      <c r="T4179" t="str">
        <f>"19:45:00.719"</f>
        <v>19:45:00.719</v>
      </c>
      <c r="U4179" t="str">
        <f t="shared" si="196"/>
        <v>a1cdbe</v>
      </c>
      <c r="V4179">
        <v>0</v>
      </c>
      <c r="W4179">
        <v>0</v>
      </c>
      <c r="X4179">
        <v>2</v>
      </c>
      <c r="Y4179">
        <v>0</v>
      </c>
      <c r="Z4179">
        <v>0</v>
      </c>
      <c r="AB4179">
        <v>0</v>
      </c>
      <c r="AC4179">
        <v>9</v>
      </c>
      <c r="AD4179">
        <v>3</v>
      </c>
      <c r="AE4179">
        <v>0</v>
      </c>
      <c r="AF4179">
        <v>9</v>
      </c>
      <c r="AG4179" t="s">
        <v>115</v>
      </c>
      <c r="AH4179">
        <v>0</v>
      </c>
      <c r="AI4179">
        <v>0</v>
      </c>
      <c r="AJ4179">
        <v>1</v>
      </c>
      <c r="AK4179">
        <v>0</v>
      </c>
      <c r="AL4179" t="s">
        <v>7745</v>
      </c>
      <c r="AM4179">
        <v>47.058456</v>
      </c>
      <c r="AN4179" t="s">
        <v>7746</v>
      </c>
      <c r="AO4179">
        <v>-123.992901</v>
      </c>
      <c r="AP4179">
        <v>100</v>
      </c>
      <c r="AQ4179">
        <v>-200</v>
      </c>
      <c r="AR4179" t="s">
        <v>118</v>
      </c>
      <c r="AS4179">
        <v>9</v>
      </c>
      <c r="AT4179">
        <v>-48</v>
      </c>
      <c r="AU4179">
        <v>576</v>
      </c>
      <c r="BC4179">
        <v>1200</v>
      </c>
      <c r="BD4179">
        <v>1</v>
      </c>
      <c r="BE4179" t="str">
        <f t="shared" si="197"/>
        <v xml:space="preserve">N215T   </v>
      </c>
      <c r="BF4179">
        <v>1</v>
      </c>
      <c r="BH4179">
        <v>0</v>
      </c>
      <c r="BI4179">
        <v>0</v>
      </c>
      <c r="BJ4179">
        <v>0</v>
      </c>
      <c r="BK4179">
        <v>175</v>
      </c>
      <c r="BL4179">
        <v>375</v>
      </c>
      <c r="BM4179" t="s">
        <v>119</v>
      </c>
      <c r="BN4179">
        <v>1</v>
      </c>
      <c r="BO4179">
        <v>1</v>
      </c>
      <c r="BP4179">
        <v>1</v>
      </c>
      <c r="BQ4179">
        <v>0</v>
      </c>
      <c r="BT4179">
        <v>0</v>
      </c>
      <c r="BU4179">
        <v>0</v>
      </c>
      <c r="BV4179">
        <v>0</v>
      </c>
      <c r="CC4179" t="str">
        <f>"19:45:01.023"</f>
        <v>19:45:01.023</v>
      </c>
      <c r="CD4179" t="str">
        <f>"023215854"</f>
        <v>023215854</v>
      </c>
      <c r="CQ4179">
        <v>0</v>
      </c>
      <c r="CR4179">
        <v>2</v>
      </c>
      <c r="CS4179">
        <v>0</v>
      </c>
      <c r="CT4179">
        <v>2</v>
      </c>
      <c r="CU4179">
        <v>0</v>
      </c>
      <c r="CV4179">
        <v>5</v>
      </c>
      <c r="CW4179" t="s">
        <v>120</v>
      </c>
      <c r="CX4179">
        <v>257</v>
      </c>
      <c r="CY4179">
        <v>0</v>
      </c>
      <c r="CZ4179" t="s">
        <v>615</v>
      </c>
      <c r="DA4179" t="s">
        <v>616</v>
      </c>
      <c r="DD4179">
        <v>16702395</v>
      </c>
      <c r="DE4179" t="s">
        <v>123</v>
      </c>
    </row>
    <row r="4180" spans="1:109" x14ac:dyDescent="0.3">
      <c r="A4180" t="str">
        <f>"19:45:02.109"</f>
        <v>19:45:02.109</v>
      </c>
      <c r="B4180" t="s">
        <v>110</v>
      </c>
      <c r="C4180" t="str">
        <f t="shared" si="195"/>
        <v>ffdfd3c0</v>
      </c>
      <c r="D4180" t="s">
        <v>111</v>
      </c>
      <c r="E4180">
        <v>18</v>
      </c>
      <c r="F4180">
        <v>1018</v>
      </c>
      <c r="G4180" t="s">
        <v>112</v>
      </c>
      <c r="J4180" t="s">
        <v>113</v>
      </c>
      <c r="K4180">
        <v>0</v>
      </c>
      <c r="L4180">
        <v>3</v>
      </c>
      <c r="M4180">
        <v>0</v>
      </c>
      <c r="N4180">
        <v>2</v>
      </c>
      <c r="O4180">
        <v>1</v>
      </c>
      <c r="P4180">
        <v>0</v>
      </c>
      <c r="Q4180">
        <v>0</v>
      </c>
      <c r="R4180" t="s">
        <v>114</v>
      </c>
      <c r="S4180" t="str">
        <f>"19:45:01.859"</f>
        <v>19:45:01.859</v>
      </c>
      <c r="T4180" t="str">
        <f>"19:45:01.656"</f>
        <v>19:45:01.656</v>
      </c>
      <c r="U4180" t="str">
        <f t="shared" si="196"/>
        <v>a1cdbe</v>
      </c>
      <c r="V4180">
        <v>0</v>
      </c>
      <c r="W4180">
        <v>0</v>
      </c>
      <c r="X4180">
        <v>2</v>
      </c>
      <c r="Y4180">
        <v>0</v>
      </c>
      <c r="Z4180">
        <v>0</v>
      </c>
      <c r="AB4180">
        <v>0</v>
      </c>
      <c r="AC4180">
        <v>9</v>
      </c>
      <c r="AD4180">
        <v>3</v>
      </c>
      <c r="AE4180">
        <v>0</v>
      </c>
      <c r="AF4180">
        <v>9</v>
      </c>
      <c r="AG4180" t="s">
        <v>115</v>
      </c>
      <c r="AH4180">
        <v>0</v>
      </c>
      <c r="AI4180">
        <v>0</v>
      </c>
      <c r="AJ4180">
        <v>1</v>
      </c>
      <c r="AK4180">
        <v>0</v>
      </c>
      <c r="AL4180" t="s">
        <v>7747</v>
      </c>
      <c r="AM4180">
        <v>47.058262999999997</v>
      </c>
      <c r="AN4180" t="s">
        <v>7554</v>
      </c>
      <c r="AO4180">
        <v>-123.992836</v>
      </c>
      <c r="AP4180">
        <v>100</v>
      </c>
      <c r="AQ4180">
        <v>-200</v>
      </c>
      <c r="AR4180" t="s">
        <v>118</v>
      </c>
      <c r="AS4180">
        <v>9</v>
      </c>
      <c r="AT4180">
        <v>-47</v>
      </c>
      <c r="AU4180">
        <v>768</v>
      </c>
      <c r="BC4180">
        <v>1200</v>
      </c>
      <c r="BD4180">
        <v>1</v>
      </c>
      <c r="BE4180" t="str">
        <f t="shared" si="197"/>
        <v xml:space="preserve">N215T   </v>
      </c>
      <c r="BF4180">
        <v>1</v>
      </c>
      <c r="BH4180">
        <v>0</v>
      </c>
      <c r="BI4180">
        <v>0</v>
      </c>
      <c r="BJ4180">
        <v>0</v>
      </c>
      <c r="BK4180">
        <v>200</v>
      </c>
      <c r="BL4180">
        <v>400</v>
      </c>
      <c r="BM4180" t="s">
        <v>119</v>
      </c>
      <c r="BN4180">
        <v>1</v>
      </c>
      <c r="BO4180">
        <v>1</v>
      </c>
      <c r="BP4180">
        <v>1</v>
      </c>
      <c r="BQ4180">
        <v>0</v>
      </c>
      <c r="BT4180">
        <v>0</v>
      </c>
      <c r="BU4180">
        <v>0</v>
      </c>
      <c r="BV4180">
        <v>0</v>
      </c>
      <c r="CC4180" t="str">
        <f>"19:45:01.859"</f>
        <v>19:45:01.859</v>
      </c>
      <c r="CD4180" t="str">
        <f>"863133025"</f>
        <v>863133025</v>
      </c>
      <c r="CQ4180">
        <v>0</v>
      </c>
      <c r="CR4180">
        <v>2</v>
      </c>
      <c r="CS4180">
        <v>0</v>
      </c>
      <c r="CT4180">
        <v>2</v>
      </c>
      <c r="CU4180">
        <v>0</v>
      </c>
      <c r="CV4180">
        <v>4</v>
      </c>
      <c r="CW4180" t="s">
        <v>120</v>
      </c>
      <c r="CX4180">
        <v>257</v>
      </c>
      <c r="CY4180">
        <v>0</v>
      </c>
      <c r="CZ4180" t="s">
        <v>615</v>
      </c>
      <c r="DA4180" t="s">
        <v>616</v>
      </c>
      <c r="DD4180">
        <v>16702672</v>
      </c>
      <c r="DE4180" t="s">
        <v>123</v>
      </c>
    </row>
    <row r="4181" spans="1:109" x14ac:dyDescent="0.3">
      <c r="A4181" t="str">
        <f>"19:45:03.117"</f>
        <v>19:45:03.117</v>
      </c>
      <c r="B4181" t="s">
        <v>110</v>
      </c>
      <c r="C4181" t="str">
        <f t="shared" ref="C4181:C4244" si="198">"ffdfd3c0"</f>
        <v>ffdfd3c0</v>
      </c>
      <c r="D4181" t="s">
        <v>111</v>
      </c>
      <c r="E4181">
        <v>18</v>
      </c>
      <c r="F4181">
        <v>1018</v>
      </c>
      <c r="G4181" t="s">
        <v>112</v>
      </c>
      <c r="J4181" t="s">
        <v>113</v>
      </c>
      <c r="K4181">
        <v>0</v>
      </c>
      <c r="L4181">
        <v>3</v>
      </c>
      <c r="M4181">
        <v>0</v>
      </c>
      <c r="N4181">
        <v>2</v>
      </c>
      <c r="O4181">
        <v>1</v>
      </c>
      <c r="P4181">
        <v>0</v>
      </c>
      <c r="Q4181">
        <v>0</v>
      </c>
      <c r="R4181" t="s">
        <v>114</v>
      </c>
      <c r="S4181" t="str">
        <f>"19:45:02.883"</f>
        <v>19:45:02.883</v>
      </c>
      <c r="T4181" t="str">
        <f>"19:45:02.781"</f>
        <v>19:45:02.781</v>
      </c>
      <c r="U4181" t="str">
        <f t="shared" si="196"/>
        <v>a1cdbe</v>
      </c>
      <c r="V4181">
        <v>0</v>
      </c>
      <c r="W4181">
        <v>0</v>
      </c>
      <c r="X4181">
        <v>2</v>
      </c>
      <c r="Y4181">
        <v>0</v>
      </c>
      <c r="Z4181">
        <v>0</v>
      </c>
      <c r="AB4181">
        <v>0</v>
      </c>
      <c r="AC4181">
        <v>9</v>
      </c>
      <c r="AD4181">
        <v>3</v>
      </c>
      <c r="AE4181">
        <v>0</v>
      </c>
      <c r="AF4181">
        <v>9</v>
      </c>
      <c r="AG4181" t="s">
        <v>115</v>
      </c>
      <c r="AH4181">
        <v>0</v>
      </c>
      <c r="AI4181">
        <v>0</v>
      </c>
      <c r="AJ4181">
        <v>1</v>
      </c>
      <c r="AK4181">
        <v>0</v>
      </c>
      <c r="AL4181" t="s">
        <v>7345</v>
      </c>
      <c r="AM4181">
        <v>47.058005000000001</v>
      </c>
      <c r="AN4181" t="s">
        <v>7627</v>
      </c>
      <c r="AO4181">
        <v>-123.992794</v>
      </c>
      <c r="AP4181">
        <v>100</v>
      </c>
      <c r="AQ4181">
        <v>-200</v>
      </c>
      <c r="AR4181" t="s">
        <v>118</v>
      </c>
      <c r="AS4181">
        <v>9</v>
      </c>
      <c r="AT4181">
        <v>-46</v>
      </c>
      <c r="AU4181">
        <v>704</v>
      </c>
      <c r="BC4181">
        <v>1200</v>
      </c>
      <c r="BD4181">
        <v>1</v>
      </c>
      <c r="BE4181" t="str">
        <f t="shared" si="197"/>
        <v xml:space="preserve">N215T   </v>
      </c>
      <c r="BF4181">
        <v>1</v>
      </c>
      <c r="BH4181">
        <v>0</v>
      </c>
      <c r="BI4181">
        <v>0</v>
      </c>
      <c r="BJ4181">
        <v>0</v>
      </c>
      <c r="BK4181">
        <v>200</v>
      </c>
      <c r="BL4181">
        <v>400</v>
      </c>
      <c r="BM4181" t="s">
        <v>119</v>
      </c>
      <c r="BN4181">
        <v>1</v>
      </c>
      <c r="BO4181">
        <v>1</v>
      </c>
      <c r="BP4181">
        <v>1</v>
      </c>
      <c r="BQ4181">
        <v>0</v>
      </c>
      <c r="BT4181">
        <v>0</v>
      </c>
      <c r="BU4181">
        <v>0</v>
      </c>
      <c r="BV4181">
        <v>0</v>
      </c>
      <c r="CC4181" t="str">
        <f>"19:45:02.883"</f>
        <v>19:45:02.883</v>
      </c>
      <c r="CD4181" t="str">
        <f>"883032425"</f>
        <v>883032425</v>
      </c>
      <c r="CQ4181">
        <v>0</v>
      </c>
      <c r="CR4181">
        <v>2</v>
      </c>
      <c r="CS4181">
        <v>0</v>
      </c>
      <c r="CT4181">
        <v>2</v>
      </c>
      <c r="CU4181">
        <v>0</v>
      </c>
      <c r="CV4181">
        <v>5</v>
      </c>
      <c r="CW4181" t="s">
        <v>120</v>
      </c>
      <c r="CX4181">
        <v>257</v>
      </c>
      <c r="CY4181">
        <v>0</v>
      </c>
      <c r="CZ4181" t="s">
        <v>615</v>
      </c>
      <c r="DA4181" t="s">
        <v>616</v>
      </c>
      <c r="DD4181">
        <v>16702983</v>
      </c>
      <c r="DE4181" t="s">
        <v>123</v>
      </c>
    </row>
    <row r="4182" spans="1:109" x14ac:dyDescent="0.3">
      <c r="A4182" t="str">
        <f>"19:45:04.227"</f>
        <v>19:45:04.227</v>
      </c>
      <c r="B4182" t="s">
        <v>110</v>
      </c>
      <c r="C4182" t="str">
        <f t="shared" si="198"/>
        <v>ffdfd3c0</v>
      </c>
      <c r="D4182" t="s">
        <v>111</v>
      </c>
      <c r="E4182">
        <v>18</v>
      </c>
      <c r="F4182">
        <v>1018</v>
      </c>
      <c r="G4182" t="s">
        <v>112</v>
      </c>
      <c r="J4182" t="s">
        <v>113</v>
      </c>
      <c r="K4182">
        <v>0</v>
      </c>
      <c r="L4182">
        <v>3</v>
      </c>
      <c r="M4182">
        <v>0</v>
      </c>
      <c r="N4182">
        <v>2</v>
      </c>
      <c r="O4182">
        <v>1</v>
      </c>
      <c r="P4182">
        <v>0</v>
      </c>
      <c r="Q4182">
        <v>0</v>
      </c>
      <c r="R4182" t="s">
        <v>114</v>
      </c>
      <c r="S4182" t="str">
        <f>"19:45:03.945"</f>
        <v>19:45:03.945</v>
      </c>
      <c r="T4182" t="str">
        <f>"19:45:03.844"</f>
        <v>19:45:03.844</v>
      </c>
      <c r="U4182" t="str">
        <f t="shared" si="196"/>
        <v>a1cdbe</v>
      </c>
      <c r="V4182">
        <v>0</v>
      </c>
      <c r="W4182">
        <v>0</v>
      </c>
      <c r="X4182">
        <v>2</v>
      </c>
      <c r="Y4182">
        <v>0</v>
      </c>
      <c r="Z4182">
        <v>0</v>
      </c>
      <c r="AB4182">
        <v>0</v>
      </c>
      <c r="AC4182">
        <v>9</v>
      </c>
      <c r="AD4182">
        <v>3</v>
      </c>
      <c r="AE4182">
        <v>0</v>
      </c>
      <c r="AF4182">
        <v>9</v>
      </c>
      <c r="AG4182" t="s">
        <v>115</v>
      </c>
      <c r="AH4182">
        <v>0</v>
      </c>
      <c r="AI4182">
        <v>0</v>
      </c>
      <c r="AJ4182">
        <v>1</v>
      </c>
      <c r="AK4182">
        <v>0</v>
      </c>
      <c r="AL4182" t="s">
        <v>7341</v>
      </c>
      <c r="AM4182">
        <v>47.057791000000002</v>
      </c>
      <c r="AN4182" t="s">
        <v>7748</v>
      </c>
      <c r="AO4182">
        <v>-123.992729</v>
      </c>
      <c r="AP4182">
        <v>100</v>
      </c>
      <c r="AQ4182">
        <v>-200</v>
      </c>
      <c r="AR4182" t="s">
        <v>118</v>
      </c>
      <c r="AS4182">
        <v>9</v>
      </c>
      <c r="AT4182">
        <v>-46</v>
      </c>
      <c r="AU4182">
        <v>576</v>
      </c>
      <c r="BC4182">
        <v>1200</v>
      </c>
      <c r="BD4182">
        <v>1</v>
      </c>
      <c r="BE4182" t="str">
        <f t="shared" si="197"/>
        <v xml:space="preserve">N215T   </v>
      </c>
      <c r="BF4182">
        <v>1</v>
      </c>
      <c r="BH4182">
        <v>0</v>
      </c>
      <c r="BI4182">
        <v>0</v>
      </c>
      <c r="BJ4182">
        <v>0</v>
      </c>
      <c r="BK4182">
        <v>225</v>
      </c>
      <c r="BL4182">
        <v>425</v>
      </c>
      <c r="BM4182" t="s">
        <v>119</v>
      </c>
      <c r="BN4182">
        <v>1</v>
      </c>
      <c r="BO4182">
        <v>1</v>
      </c>
      <c r="BP4182">
        <v>1</v>
      </c>
      <c r="BQ4182">
        <v>0</v>
      </c>
      <c r="BT4182">
        <v>0</v>
      </c>
      <c r="BU4182">
        <v>0</v>
      </c>
      <c r="BV4182">
        <v>0</v>
      </c>
      <c r="CC4182" t="str">
        <f>"19:45:03.945"</f>
        <v>19:45:03.945</v>
      </c>
      <c r="CD4182" t="str">
        <f>"947927396"</f>
        <v>947927396</v>
      </c>
      <c r="CQ4182">
        <v>0</v>
      </c>
      <c r="CR4182">
        <v>2</v>
      </c>
      <c r="CS4182">
        <v>0</v>
      </c>
      <c r="CT4182">
        <v>2</v>
      </c>
      <c r="CU4182">
        <v>0</v>
      </c>
      <c r="CV4182">
        <v>5</v>
      </c>
      <c r="CW4182" t="s">
        <v>120</v>
      </c>
      <c r="CX4182">
        <v>257</v>
      </c>
      <c r="CY4182">
        <v>0</v>
      </c>
      <c r="CZ4182" t="s">
        <v>615</v>
      </c>
      <c r="DA4182" t="s">
        <v>616</v>
      </c>
      <c r="DD4182">
        <v>16703311</v>
      </c>
      <c r="DE4182" t="s">
        <v>123</v>
      </c>
    </row>
    <row r="4183" spans="1:109" x14ac:dyDescent="0.3">
      <c r="A4183" t="str">
        <f>"19:45:05.180"</f>
        <v>19:45:05.180</v>
      </c>
      <c r="B4183" t="s">
        <v>110</v>
      </c>
      <c r="C4183" t="str">
        <f t="shared" si="198"/>
        <v>ffdfd3c0</v>
      </c>
      <c r="D4183" t="s">
        <v>111</v>
      </c>
      <c r="E4183">
        <v>18</v>
      </c>
      <c r="F4183">
        <v>1018</v>
      </c>
      <c r="G4183" t="s">
        <v>112</v>
      </c>
      <c r="J4183" t="s">
        <v>113</v>
      </c>
      <c r="K4183">
        <v>0</v>
      </c>
      <c r="L4183">
        <v>3</v>
      </c>
      <c r="M4183">
        <v>0</v>
      </c>
      <c r="N4183">
        <v>2</v>
      </c>
      <c r="O4183">
        <v>1</v>
      </c>
      <c r="P4183">
        <v>0</v>
      </c>
      <c r="Q4183">
        <v>0</v>
      </c>
      <c r="R4183" t="s">
        <v>114</v>
      </c>
      <c r="S4183" t="str">
        <f>"19:45:04.938"</f>
        <v>19:45:04.938</v>
      </c>
      <c r="T4183" t="str">
        <f>"19:45:04.438"</f>
        <v>19:45:04.438</v>
      </c>
      <c r="U4183" t="str">
        <f t="shared" si="196"/>
        <v>a1cdbe</v>
      </c>
      <c r="V4183">
        <v>0</v>
      </c>
      <c r="W4183">
        <v>0</v>
      </c>
      <c r="X4183">
        <v>2</v>
      </c>
      <c r="Y4183">
        <v>0</v>
      </c>
      <c r="Z4183">
        <v>0</v>
      </c>
      <c r="AB4183">
        <v>0</v>
      </c>
      <c r="AC4183">
        <v>9</v>
      </c>
      <c r="AD4183">
        <v>3</v>
      </c>
      <c r="AE4183">
        <v>0</v>
      </c>
      <c r="AF4183">
        <v>9</v>
      </c>
      <c r="AG4183" t="s">
        <v>115</v>
      </c>
      <c r="AH4183">
        <v>0</v>
      </c>
      <c r="AI4183">
        <v>0</v>
      </c>
      <c r="AJ4183">
        <v>1</v>
      </c>
      <c r="AK4183">
        <v>0</v>
      </c>
      <c r="AL4183" t="s">
        <v>7749</v>
      </c>
      <c r="AM4183">
        <v>47.057597999999999</v>
      </c>
      <c r="AN4183" t="s">
        <v>7750</v>
      </c>
      <c r="AO4183">
        <v>-123.992665</v>
      </c>
      <c r="AP4183">
        <v>100</v>
      </c>
      <c r="AQ4183">
        <v>-200</v>
      </c>
      <c r="AR4183" t="s">
        <v>118</v>
      </c>
      <c r="AS4183">
        <v>8</v>
      </c>
      <c r="AT4183">
        <v>-46</v>
      </c>
      <c r="AU4183">
        <v>576</v>
      </c>
      <c r="BC4183">
        <v>1200</v>
      </c>
      <c r="BD4183">
        <v>1</v>
      </c>
      <c r="BE4183" t="str">
        <f t="shared" si="197"/>
        <v xml:space="preserve">N215T   </v>
      </c>
      <c r="BF4183">
        <v>1</v>
      </c>
      <c r="BH4183">
        <v>0</v>
      </c>
      <c r="BI4183">
        <v>0</v>
      </c>
      <c r="BJ4183">
        <v>0</v>
      </c>
      <c r="BK4183">
        <v>225</v>
      </c>
      <c r="BL4183">
        <v>425</v>
      </c>
      <c r="BM4183" t="s">
        <v>119</v>
      </c>
      <c r="BN4183">
        <v>1</v>
      </c>
      <c r="BO4183">
        <v>1</v>
      </c>
      <c r="BP4183">
        <v>1</v>
      </c>
      <c r="BQ4183">
        <v>0</v>
      </c>
      <c r="BT4183">
        <v>0</v>
      </c>
      <c r="BU4183">
        <v>0</v>
      </c>
      <c r="BV4183">
        <v>0</v>
      </c>
      <c r="CC4183" t="str">
        <f>"19:45:04.938"</f>
        <v>19:45:04.938</v>
      </c>
      <c r="CD4183" t="str">
        <f>"937829717"</f>
        <v>937829717</v>
      </c>
      <c r="CQ4183">
        <v>0</v>
      </c>
      <c r="CR4183">
        <v>2</v>
      </c>
      <c r="CS4183">
        <v>0</v>
      </c>
      <c r="CT4183">
        <v>2</v>
      </c>
      <c r="CU4183">
        <v>0</v>
      </c>
      <c r="CV4183">
        <v>5</v>
      </c>
      <c r="CW4183" t="s">
        <v>120</v>
      </c>
      <c r="CX4183">
        <v>257</v>
      </c>
      <c r="CY4183">
        <v>0</v>
      </c>
      <c r="CZ4183" t="s">
        <v>615</v>
      </c>
      <c r="DA4183" t="s">
        <v>616</v>
      </c>
      <c r="DD4183">
        <v>16703610</v>
      </c>
      <c r="DE4183" t="s">
        <v>123</v>
      </c>
    </row>
    <row r="4184" spans="1:109" x14ac:dyDescent="0.3">
      <c r="A4184" t="str">
        <f>"19:45:06.133"</f>
        <v>19:45:06.133</v>
      </c>
      <c r="B4184" t="s">
        <v>110</v>
      </c>
      <c r="C4184" t="str">
        <f t="shared" si="198"/>
        <v>ffdfd3c0</v>
      </c>
      <c r="D4184" t="s">
        <v>111</v>
      </c>
      <c r="E4184">
        <v>18</v>
      </c>
      <c r="F4184">
        <v>1018</v>
      </c>
      <c r="G4184" t="s">
        <v>112</v>
      </c>
      <c r="J4184" t="s">
        <v>113</v>
      </c>
      <c r="K4184">
        <v>0</v>
      </c>
      <c r="L4184">
        <v>3</v>
      </c>
      <c r="M4184">
        <v>0</v>
      </c>
      <c r="N4184">
        <v>2</v>
      </c>
      <c r="O4184">
        <v>1</v>
      </c>
      <c r="P4184">
        <v>0</v>
      </c>
      <c r="Q4184">
        <v>0</v>
      </c>
      <c r="R4184" t="s">
        <v>114</v>
      </c>
      <c r="S4184" t="str">
        <f>"19:45:05.906"</f>
        <v>19:45:05.906</v>
      </c>
      <c r="T4184" t="str">
        <f>"19:45:05.906"</f>
        <v>19:45:05.906</v>
      </c>
      <c r="U4184" t="str">
        <f t="shared" si="196"/>
        <v>a1cdbe</v>
      </c>
      <c r="V4184">
        <v>0</v>
      </c>
      <c r="W4184">
        <v>0</v>
      </c>
      <c r="X4184">
        <v>2</v>
      </c>
      <c r="Y4184">
        <v>0</v>
      </c>
      <c r="Z4184">
        <v>0</v>
      </c>
      <c r="AB4184">
        <v>0</v>
      </c>
      <c r="AC4184">
        <v>9</v>
      </c>
      <c r="AD4184">
        <v>3</v>
      </c>
      <c r="AE4184">
        <v>0</v>
      </c>
      <c r="AF4184">
        <v>9</v>
      </c>
      <c r="AG4184" t="s">
        <v>115</v>
      </c>
      <c r="AH4184">
        <v>0</v>
      </c>
      <c r="AI4184">
        <v>0</v>
      </c>
      <c r="AJ4184">
        <v>1</v>
      </c>
      <c r="AK4184">
        <v>0</v>
      </c>
      <c r="AL4184" t="s">
        <v>7751</v>
      </c>
      <c r="AM4184">
        <v>47.057383000000002</v>
      </c>
      <c r="AN4184" t="s">
        <v>7752</v>
      </c>
      <c r="AO4184">
        <v>-123.992622</v>
      </c>
      <c r="AP4184">
        <v>100</v>
      </c>
      <c r="AQ4184">
        <v>-200</v>
      </c>
      <c r="AR4184" t="s">
        <v>118</v>
      </c>
      <c r="AS4184">
        <v>8</v>
      </c>
      <c r="AT4184">
        <v>-46</v>
      </c>
      <c r="AU4184">
        <v>384</v>
      </c>
      <c r="BC4184">
        <v>1200</v>
      </c>
      <c r="BD4184">
        <v>1</v>
      </c>
      <c r="BE4184" t="str">
        <f t="shared" si="197"/>
        <v xml:space="preserve">N215T   </v>
      </c>
      <c r="BF4184">
        <v>1</v>
      </c>
      <c r="BH4184">
        <v>0</v>
      </c>
      <c r="BI4184">
        <v>0</v>
      </c>
      <c r="BJ4184">
        <v>0</v>
      </c>
      <c r="BK4184">
        <v>225</v>
      </c>
      <c r="BL4184">
        <v>425</v>
      </c>
      <c r="BM4184" t="s">
        <v>119</v>
      </c>
      <c r="BN4184">
        <v>1</v>
      </c>
      <c r="BO4184">
        <v>1</v>
      </c>
      <c r="BP4184">
        <v>1</v>
      </c>
      <c r="BQ4184">
        <v>0</v>
      </c>
      <c r="BT4184">
        <v>0</v>
      </c>
      <c r="BU4184">
        <v>0</v>
      </c>
      <c r="BV4184">
        <v>0</v>
      </c>
      <c r="CC4184" t="str">
        <f>"19:45:05.914"</f>
        <v>19:45:05.914</v>
      </c>
      <c r="CD4184" t="str">
        <f>"912733565"</f>
        <v>912733565</v>
      </c>
      <c r="CQ4184">
        <v>0</v>
      </c>
      <c r="CR4184">
        <v>2</v>
      </c>
      <c r="CS4184">
        <v>0</v>
      </c>
      <c r="CT4184">
        <v>2</v>
      </c>
      <c r="CU4184">
        <v>0</v>
      </c>
      <c r="CV4184">
        <v>5</v>
      </c>
      <c r="CW4184" t="s">
        <v>120</v>
      </c>
      <c r="CX4184">
        <v>257</v>
      </c>
      <c r="CY4184">
        <v>0</v>
      </c>
      <c r="CZ4184" t="s">
        <v>615</v>
      </c>
      <c r="DA4184" t="s">
        <v>616</v>
      </c>
      <c r="DD4184">
        <v>16703920</v>
      </c>
      <c r="DE4184" t="s">
        <v>123</v>
      </c>
    </row>
    <row r="4185" spans="1:109" x14ac:dyDescent="0.3">
      <c r="A4185" t="str">
        <f>"19:45:07.086"</f>
        <v>19:45:07.086</v>
      </c>
      <c r="B4185" t="s">
        <v>110</v>
      </c>
      <c r="C4185" t="str">
        <f t="shared" si="198"/>
        <v>ffdfd3c0</v>
      </c>
      <c r="D4185" t="s">
        <v>111</v>
      </c>
      <c r="E4185">
        <v>18</v>
      </c>
      <c r="F4185">
        <v>1018</v>
      </c>
      <c r="G4185" t="s">
        <v>112</v>
      </c>
      <c r="J4185" t="s">
        <v>113</v>
      </c>
      <c r="K4185">
        <v>0</v>
      </c>
      <c r="L4185">
        <v>3</v>
      </c>
      <c r="M4185">
        <v>0</v>
      </c>
      <c r="N4185">
        <v>2</v>
      </c>
      <c r="O4185">
        <v>1</v>
      </c>
      <c r="P4185">
        <v>0</v>
      </c>
      <c r="Q4185">
        <v>0</v>
      </c>
      <c r="R4185" t="s">
        <v>114</v>
      </c>
      <c r="S4185" t="str">
        <f>"19:45:06.852"</f>
        <v>19:45:06.852</v>
      </c>
      <c r="T4185" t="str">
        <f>"19:45:06.750"</f>
        <v>19:45:06.750</v>
      </c>
      <c r="U4185" t="str">
        <f t="shared" si="196"/>
        <v>a1cdbe</v>
      </c>
      <c r="V4185">
        <v>0</v>
      </c>
      <c r="W4185">
        <v>0</v>
      </c>
      <c r="X4185">
        <v>2</v>
      </c>
      <c r="Y4185">
        <v>0</v>
      </c>
      <c r="Z4185">
        <v>0</v>
      </c>
      <c r="AB4185">
        <v>0</v>
      </c>
      <c r="AC4185">
        <v>9</v>
      </c>
      <c r="AD4185">
        <v>3</v>
      </c>
      <c r="AE4185">
        <v>0</v>
      </c>
      <c r="AF4185">
        <v>9</v>
      </c>
      <c r="AG4185" t="s">
        <v>115</v>
      </c>
      <c r="AH4185">
        <v>0</v>
      </c>
      <c r="AI4185">
        <v>0</v>
      </c>
      <c r="AJ4185">
        <v>1</v>
      </c>
      <c r="AK4185">
        <v>0</v>
      </c>
      <c r="AL4185" t="s">
        <v>7753</v>
      </c>
      <c r="AM4185">
        <v>47.057189999999999</v>
      </c>
      <c r="AN4185" t="s">
        <v>7754</v>
      </c>
      <c r="AO4185">
        <v>-123.992515</v>
      </c>
      <c r="AP4185">
        <v>100</v>
      </c>
      <c r="AQ4185">
        <v>-200</v>
      </c>
      <c r="AR4185" t="s">
        <v>118</v>
      </c>
      <c r="AS4185">
        <v>9</v>
      </c>
      <c r="AT4185">
        <v>-46</v>
      </c>
      <c r="AU4185">
        <v>448</v>
      </c>
      <c r="BC4185">
        <v>1200</v>
      </c>
      <c r="BD4185">
        <v>1</v>
      </c>
      <c r="BE4185" t="str">
        <f t="shared" si="197"/>
        <v xml:space="preserve">N215T   </v>
      </c>
      <c r="BF4185">
        <v>1</v>
      </c>
      <c r="BH4185">
        <v>0</v>
      </c>
      <c r="BI4185">
        <v>0</v>
      </c>
      <c r="BJ4185">
        <v>0</v>
      </c>
      <c r="BK4185">
        <v>250</v>
      </c>
      <c r="BL4185">
        <v>450</v>
      </c>
      <c r="BM4185" t="s">
        <v>119</v>
      </c>
      <c r="BN4185">
        <v>1</v>
      </c>
      <c r="BO4185">
        <v>1</v>
      </c>
      <c r="BP4185">
        <v>1</v>
      </c>
      <c r="BQ4185">
        <v>0</v>
      </c>
      <c r="BT4185">
        <v>0</v>
      </c>
      <c r="BU4185">
        <v>0</v>
      </c>
      <c r="BV4185">
        <v>0</v>
      </c>
      <c r="CC4185" t="str">
        <f>"19:45:06.859"</f>
        <v>19:45:06.859</v>
      </c>
      <c r="CD4185" t="str">
        <f>"857640363"</f>
        <v>857640363</v>
      </c>
      <c r="CQ4185">
        <v>0</v>
      </c>
      <c r="CR4185">
        <v>2</v>
      </c>
      <c r="CS4185">
        <v>0</v>
      </c>
      <c r="CT4185">
        <v>2</v>
      </c>
      <c r="CU4185">
        <v>0</v>
      </c>
      <c r="CV4185">
        <v>5</v>
      </c>
      <c r="CW4185" t="s">
        <v>120</v>
      </c>
      <c r="CX4185">
        <v>257</v>
      </c>
      <c r="CY4185">
        <v>0</v>
      </c>
      <c r="CZ4185" t="s">
        <v>615</v>
      </c>
      <c r="DA4185" t="s">
        <v>616</v>
      </c>
      <c r="DD4185">
        <v>16704203</v>
      </c>
      <c r="DE4185" t="s">
        <v>123</v>
      </c>
    </row>
    <row r="4186" spans="1:109" x14ac:dyDescent="0.3">
      <c r="A4186" t="str">
        <f>"19:45:08.141"</f>
        <v>19:45:08.141</v>
      </c>
      <c r="B4186" t="s">
        <v>110</v>
      </c>
      <c r="C4186" t="str">
        <f t="shared" si="198"/>
        <v>ffdfd3c0</v>
      </c>
      <c r="D4186" t="s">
        <v>111</v>
      </c>
      <c r="E4186">
        <v>18</v>
      </c>
      <c r="F4186">
        <v>1018</v>
      </c>
      <c r="G4186" t="s">
        <v>112</v>
      </c>
      <c r="J4186" t="s">
        <v>113</v>
      </c>
      <c r="K4186">
        <v>0</v>
      </c>
      <c r="L4186">
        <v>3</v>
      </c>
      <c r="M4186">
        <v>0</v>
      </c>
      <c r="N4186">
        <v>2</v>
      </c>
      <c r="O4186">
        <v>1</v>
      </c>
      <c r="P4186">
        <v>0</v>
      </c>
      <c r="Q4186">
        <v>0</v>
      </c>
      <c r="R4186" t="s">
        <v>114</v>
      </c>
      <c r="S4186" t="str">
        <f>"19:45:07.891"</f>
        <v>19:45:07.891</v>
      </c>
      <c r="T4186" t="str">
        <f>"19:45:07.688"</f>
        <v>19:45:07.688</v>
      </c>
      <c r="U4186" t="str">
        <f t="shared" si="196"/>
        <v>a1cdbe</v>
      </c>
      <c r="V4186">
        <v>0</v>
      </c>
      <c r="W4186">
        <v>0</v>
      </c>
      <c r="X4186">
        <v>2</v>
      </c>
      <c r="Y4186">
        <v>0</v>
      </c>
      <c r="Z4186">
        <v>0</v>
      </c>
      <c r="AB4186">
        <v>0</v>
      </c>
      <c r="AC4186">
        <v>9</v>
      </c>
      <c r="AD4186">
        <v>3</v>
      </c>
      <c r="AE4186">
        <v>0</v>
      </c>
      <c r="AF4186">
        <v>9</v>
      </c>
      <c r="AG4186" t="s">
        <v>115</v>
      </c>
      <c r="AH4186">
        <v>0</v>
      </c>
      <c r="AI4186">
        <v>0</v>
      </c>
      <c r="AJ4186">
        <v>1</v>
      </c>
      <c r="AK4186">
        <v>0</v>
      </c>
      <c r="AL4186" t="s">
        <v>7755</v>
      </c>
      <c r="AM4186">
        <v>47.056953999999998</v>
      </c>
      <c r="AN4186" t="s">
        <v>7756</v>
      </c>
      <c r="AO4186">
        <v>-123.99247200000001</v>
      </c>
      <c r="AP4186">
        <v>100</v>
      </c>
      <c r="AQ4186">
        <v>-100</v>
      </c>
      <c r="AR4186" t="s">
        <v>118</v>
      </c>
      <c r="AS4186">
        <v>11</v>
      </c>
      <c r="AT4186">
        <v>-46</v>
      </c>
      <c r="AU4186">
        <v>512</v>
      </c>
      <c r="BC4186">
        <v>1200</v>
      </c>
      <c r="BD4186">
        <v>1</v>
      </c>
      <c r="BE4186" t="str">
        <f t="shared" si="197"/>
        <v xml:space="preserve">N215T   </v>
      </c>
      <c r="BF4186">
        <v>1</v>
      </c>
      <c r="BH4186">
        <v>0</v>
      </c>
      <c r="BI4186">
        <v>0</v>
      </c>
      <c r="BJ4186">
        <v>0</v>
      </c>
      <c r="BK4186">
        <v>250</v>
      </c>
      <c r="BL4186">
        <v>350</v>
      </c>
      <c r="BM4186" t="s">
        <v>119</v>
      </c>
      <c r="BN4186">
        <v>1</v>
      </c>
      <c r="BO4186">
        <v>1</v>
      </c>
      <c r="BP4186">
        <v>1</v>
      </c>
      <c r="BQ4186">
        <v>0</v>
      </c>
      <c r="BT4186">
        <v>0</v>
      </c>
      <c r="BU4186">
        <v>0</v>
      </c>
      <c r="BV4186">
        <v>0</v>
      </c>
      <c r="CC4186" t="str">
        <f>"19:45:07.891"</f>
        <v>19:45:07.891</v>
      </c>
      <c r="CD4186" t="str">
        <f>"892538283"</f>
        <v>892538283</v>
      </c>
      <c r="CQ4186">
        <v>0</v>
      </c>
      <c r="CR4186">
        <v>2</v>
      </c>
      <c r="CS4186">
        <v>0</v>
      </c>
      <c r="CT4186">
        <v>2</v>
      </c>
      <c r="CU4186">
        <v>0</v>
      </c>
      <c r="CV4186">
        <v>6</v>
      </c>
      <c r="CW4186" t="s">
        <v>120</v>
      </c>
      <c r="CX4186">
        <v>257</v>
      </c>
      <c r="CY4186">
        <v>0</v>
      </c>
      <c r="CZ4186" t="s">
        <v>615</v>
      </c>
      <c r="DA4186" t="s">
        <v>616</v>
      </c>
      <c r="DD4186">
        <v>16704528</v>
      </c>
      <c r="DE4186" t="s">
        <v>123</v>
      </c>
    </row>
    <row r="4187" spans="1:109" x14ac:dyDescent="0.3">
      <c r="A4187" t="str">
        <f>"19:45:09.148"</f>
        <v>19:45:09.148</v>
      </c>
      <c r="B4187" t="s">
        <v>110</v>
      </c>
      <c r="C4187" t="str">
        <f t="shared" si="198"/>
        <v>ffdfd3c0</v>
      </c>
      <c r="D4187" t="s">
        <v>111</v>
      </c>
      <c r="E4187">
        <v>18</v>
      </c>
      <c r="F4187">
        <v>1018</v>
      </c>
      <c r="G4187" t="s">
        <v>112</v>
      </c>
      <c r="J4187" t="s">
        <v>113</v>
      </c>
      <c r="K4187">
        <v>0</v>
      </c>
      <c r="L4187">
        <v>3</v>
      </c>
      <c r="M4187">
        <v>0</v>
      </c>
      <c r="N4187">
        <v>2</v>
      </c>
      <c r="O4187">
        <v>1</v>
      </c>
      <c r="P4187">
        <v>0</v>
      </c>
      <c r="Q4187">
        <v>0</v>
      </c>
      <c r="R4187" t="s">
        <v>114</v>
      </c>
      <c r="S4187" t="str">
        <f>"19:45:08.906"</f>
        <v>19:45:08.906</v>
      </c>
      <c r="T4187" t="str">
        <f>"19:45:08.805"</f>
        <v>19:45:08.805</v>
      </c>
      <c r="U4187" t="str">
        <f t="shared" si="196"/>
        <v>a1cdbe</v>
      </c>
      <c r="V4187">
        <v>0</v>
      </c>
      <c r="W4187">
        <v>0</v>
      </c>
      <c r="X4187">
        <v>2</v>
      </c>
      <c r="Y4187">
        <v>0</v>
      </c>
      <c r="Z4187">
        <v>0</v>
      </c>
      <c r="AB4187">
        <v>0</v>
      </c>
      <c r="AC4187">
        <v>9</v>
      </c>
      <c r="AD4187">
        <v>3</v>
      </c>
      <c r="AE4187">
        <v>0</v>
      </c>
      <c r="AF4187">
        <v>9</v>
      </c>
      <c r="AG4187" t="s">
        <v>115</v>
      </c>
      <c r="AH4187">
        <v>0</v>
      </c>
      <c r="AI4187">
        <v>0</v>
      </c>
      <c r="AJ4187">
        <v>1</v>
      </c>
      <c r="AK4187">
        <v>0</v>
      </c>
      <c r="AL4187" t="s">
        <v>7757</v>
      </c>
      <c r="AM4187">
        <v>47.056739</v>
      </c>
      <c r="AN4187" t="s">
        <v>7758</v>
      </c>
      <c r="AO4187">
        <v>-123.992386</v>
      </c>
      <c r="AP4187">
        <v>100</v>
      </c>
      <c r="AQ4187">
        <v>-100</v>
      </c>
      <c r="AR4187" t="s">
        <v>118</v>
      </c>
      <c r="AS4187">
        <v>13</v>
      </c>
      <c r="AT4187">
        <v>-46</v>
      </c>
      <c r="AU4187">
        <v>448</v>
      </c>
      <c r="BC4187">
        <v>1200</v>
      </c>
      <c r="BD4187">
        <v>1</v>
      </c>
      <c r="BE4187" t="str">
        <f t="shared" si="197"/>
        <v xml:space="preserve">N215T   </v>
      </c>
      <c r="BF4187">
        <v>1</v>
      </c>
      <c r="BH4187">
        <v>0</v>
      </c>
      <c r="BI4187">
        <v>0</v>
      </c>
      <c r="BJ4187">
        <v>0</v>
      </c>
      <c r="BK4187">
        <v>250</v>
      </c>
      <c r="BL4187">
        <v>350</v>
      </c>
      <c r="BM4187" t="s">
        <v>119</v>
      </c>
      <c r="BN4187">
        <v>1</v>
      </c>
      <c r="BO4187">
        <v>1</v>
      </c>
      <c r="BP4187">
        <v>1</v>
      </c>
      <c r="BQ4187">
        <v>0</v>
      </c>
      <c r="BT4187">
        <v>0</v>
      </c>
      <c r="BU4187">
        <v>0</v>
      </c>
      <c r="BV4187">
        <v>0</v>
      </c>
      <c r="CC4187" t="str">
        <f>"19:45:08.914"</f>
        <v>19:45:08.914</v>
      </c>
      <c r="CD4187" t="str">
        <f>"912437677"</f>
        <v>912437677</v>
      </c>
      <c r="CQ4187">
        <v>0</v>
      </c>
      <c r="CR4187">
        <v>2</v>
      </c>
      <c r="CS4187">
        <v>0</v>
      </c>
      <c r="CT4187">
        <v>2</v>
      </c>
      <c r="CU4187">
        <v>0</v>
      </c>
      <c r="CV4187">
        <v>6</v>
      </c>
      <c r="CW4187" t="s">
        <v>120</v>
      </c>
      <c r="CX4187">
        <v>257</v>
      </c>
      <c r="CY4187">
        <v>0</v>
      </c>
      <c r="CZ4187" t="s">
        <v>615</v>
      </c>
      <c r="DA4187" t="s">
        <v>616</v>
      </c>
      <c r="DD4187">
        <v>16704846</v>
      </c>
      <c r="DE4187" t="s">
        <v>123</v>
      </c>
    </row>
    <row r="4188" spans="1:109" x14ac:dyDescent="0.3">
      <c r="A4188" t="str">
        <f>"19:45:10.055"</f>
        <v>19:45:10.055</v>
      </c>
      <c r="B4188" t="s">
        <v>110</v>
      </c>
      <c r="C4188" t="str">
        <f t="shared" si="198"/>
        <v>ffdfd3c0</v>
      </c>
      <c r="D4188" t="s">
        <v>111</v>
      </c>
      <c r="E4188">
        <v>18</v>
      </c>
      <c r="F4188">
        <v>1018</v>
      </c>
      <c r="G4188" t="s">
        <v>112</v>
      </c>
      <c r="J4188" t="s">
        <v>113</v>
      </c>
      <c r="K4188">
        <v>0</v>
      </c>
      <c r="L4188">
        <v>3</v>
      </c>
      <c r="M4188">
        <v>0</v>
      </c>
      <c r="N4188">
        <v>2</v>
      </c>
      <c r="O4188">
        <v>1</v>
      </c>
      <c r="P4188">
        <v>0</v>
      </c>
      <c r="Q4188">
        <v>0</v>
      </c>
      <c r="R4188" t="s">
        <v>114</v>
      </c>
      <c r="S4188" t="str">
        <f>"19:45:09.820"</f>
        <v>19:45:09.820</v>
      </c>
      <c r="T4188" t="str">
        <f>"19:45:09.820"</f>
        <v>19:45:09.820</v>
      </c>
      <c r="U4188" t="str">
        <f t="shared" si="196"/>
        <v>a1cdbe</v>
      </c>
      <c r="V4188">
        <v>0</v>
      </c>
      <c r="W4188">
        <v>0</v>
      </c>
      <c r="X4188">
        <v>2</v>
      </c>
      <c r="Y4188">
        <v>0</v>
      </c>
      <c r="Z4188">
        <v>0</v>
      </c>
      <c r="AB4188">
        <v>0</v>
      </c>
      <c r="AC4188">
        <v>9</v>
      </c>
      <c r="AD4188">
        <v>3</v>
      </c>
      <c r="AE4188">
        <v>0</v>
      </c>
      <c r="AF4188">
        <v>9</v>
      </c>
      <c r="AG4188" t="s">
        <v>115</v>
      </c>
      <c r="AH4188">
        <v>0</v>
      </c>
      <c r="AI4188">
        <v>0</v>
      </c>
      <c r="AJ4188">
        <v>1</v>
      </c>
      <c r="AK4188">
        <v>0</v>
      </c>
      <c r="AL4188" t="s">
        <v>7759</v>
      </c>
      <c r="AM4188">
        <v>47.056545999999997</v>
      </c>
      <c r="AN4188" t="s">
        <v>7760</v>
      </c>
      <c r="AO4188">
        <v>-123.99234300000001</v>
      </c>
      <c r="AP4188">
        <v>100</v>
      </c>
      <c r="AQ4188">
        <v>-100</v>
      </c>
      <c r="AR4188" t="s">
        <v>118</v>
      </c>
      <c r="AS4188">
        <v>14</v>
      </c>
      <c r="AT4188">
        <v>-47</v>
      </c>
      <c r="AU4188">
        <v>640</v>
      </c>
      <c r="BC4188">
        <v>1200</v>
      </c>
      <c r="BD4188">
        <v>1</v>
      </c>
      <c r="BE4188" t="str">
        <f t="shared" si="197"/>
        <v xml:space="preserve">N215T   </v>
      </c>
      <c r="BF4188">
        <v>1</v>
      </c>
      <c r="BH4188">
        <v>0</v>
      </c>
      <c r="BI4188">
        <v>0</v>
      </c>
      <c r="BJ4188">
        <v>0</v>
      </c>
      <c r="BK4188">
        <v>275</v>
      </c>
      <c r="BL4188">
        <v>375</v>
      </c>
      <c r="BM4188" t="s">
        <v>119</v>
      </c>
      <c r="BN4188">
        <v>1</v>
      </c>
      <c r="BO4188">
        <v>1</v>
      </c>
      <c r="BP4188">
        <v>1</v>
      </c>
      <c r="BQ4188">
        <v>0</v>
      </c>
      <c r="BT4188">
        <v>0</v>
      </c>
      <c r="BU4188">
        <v>0</v>
      </c>
      <c r="BV4188">
        <v>0</v>
      </c>
      <c r="CC4188" t="str">
        <f>"19:45:09.828"</f>
        <v>19:45:09.828</v>
      </c>
      <c r="CD4188" t="str">
        <f>"827347437"</f>
        <v>827347437</v>
      </c>
      <c r="CQ4188">
        <v>0</v>
      </c>
      <c r="CR4188">
        <v>2</v>
      </c>
      <c r="CS4188">
        <v>0</v>
      </c>
      <c r="CT4188">
        <v>2</v>
      </c>
      <c r="CU4188">
        <v>0</v>
      </c>
      <c r="CV4188">
        <v>6</v>
      </c>
      <c r="CW4188" t="s">
        <v>120</v>
      </c>
      <c r="CX4188">
        <v>257</v>
      </c>
      <c r="CY4188">
        <v>0</v>
      </c>
      <c r="CZ4188" t="s">
        <v>615</v>
      </c>
      <c r="DA4188" t="s">
        <v>616</v>
      </c>
      <c r="DD4188">
        <v>16705135</v>
      </c>
      <c r="DE4188" t="s">
        <v>123</v>
      </c>
    </row>
    <row r="4189" spans="1:109" x14ac:dyDescent="0.3">
      <c r="A4189" t="str">
        <f>"19:45:11.063"</f>
        <v>19:45:11.063</v>
      </c>
      <c r="B4189" t="s">
        <v>110</v>
      </c>
      <c r="C4189" t="str">
        <f t="shared" si="198"/>
        <v>ffdfd3c0</v>
      </c>
      <c r="D4189" t="s">
        <v>111</v>
      </c>
      <c r="E4189">
        <v>18</v>
      </c>
      <c r="F4189">
        <v>1018</v>
      </c>
      <c r="G4189" t="s">
        <v>112</v>
      </c>
      <c r="J4189" t="s">
        <v>113</v>
      </c>
      <c r="K4189">
        <v>0</v>
      </c>
      <c r="L4189">
        <v>3</v>
      </c>
      <c r="M4189">
        <v>0</v>
      </c>
      <c r="N4189">
        <v>2</v>
      </c>
      <c r="O4189">
        <v>1</v>
      </c>
      <c r="P4189">
        <v>0</v>
      </c>
      <c r="Q4189">
        <v>0</v>
      </c>
      <c r="R4189" t="s">
        <v>114</v>
      </c>
      <c r="S4189" t="str">
        <f>"19:45:10.828"</f>
        <v>19:45:10.828</v>
      </c>
      <c r="T4189" t="str">
        <f>"19:45:10.430"</f>
        <v>19:45:10.430</v>
      </c>
      <c r="U4189" t="str">
        <f t="shared" si="196"/>
        <v>a1cdbe</v>
      </c>
      <c r="V4189">
        <v>0</v>
      </c>
      <c r="W4189">
        <v>0</v>
      </c>
      <c r="X4189">
        <v>2</v>
      </c>
      <c r="Y4189">
        <v>0</v>
      </c>
      <c r="Z4189">
        <v>0</v>
      </c>
      <c r="AB4189">
        <v>0</v>
      </c>
      <c r="AC4189">
        <v>9</v>
      </c>
      <c r="AD4189">
        <v>3</v>
      </c>
      <c r="AE4189">
        <v>0</v>
      </c>
      <c r="AF4189">
        <v>9</v>
      </c>
      <c r="AG4189" t="s">
        <v>115</v>
      </c>
      <c r="AH4189">
        <v>0</v>
      </c>
      <c r="AI4189">
        <v>0</v>
      </c>
      <c r="AJ4189">
        <v>1</v>
      </c>
      <c r="AK4189">
        <v>0</v>
      </c>
      <c r="AL4189" t="s">
        <v>529</v>
      </c>
      <c r="AM4189">
        <v>47.056310000000003</v>
      </c>
      <c r="AN4189" t="s">
        <v>7625</v>
      </c>
      <c r="AO4189">
        <v>-123.992257</v>
      </c>
      <c r="AP4189">
        <v>100</v>
      </c>
      <c r="AQ4189">
        <v>-100</v>
      </c>
      <c r="AR4189" t="s">
        <v>118</v>
      </c>
      <c r="AS4189">
        <v>13</v>
      </c>
      <c r="AT4189">
        <v>-47</v>
      </c>
      <c r="AU4189">
        <v>512</v>
      </c>
      <c r="BC4189">
        <v>1200</v>
      </c>
      <c r="BD4189">
        <v>1</v>
      </c>
      <c r="BE4189" t="str">
        <f t="shared" si="197"/>
        <v xml:space="preserve">N215T   </v>
      </c>
      <c r="BF4189">
        <v>1</v>
      </c>
      <c r="BH4189">
        <v>0</v>
      </c>
      <c r="BI4189">
        <v>0</v>
      </c>
      <c r="BJ4189">
        <v>0</v>
      </c>
      <c r="BK4189">
        <v>275</v>
      </c>
      <c r="BL4189">
        <v>375</v>
      </c>
      <c r="BM4189" t="s">
        <v>119</v>
      </c>
      <c r="BN4189">
        <v>1</v>
      </c>
      <c r="BO4189">
        <v>1</v>
      </c>
      <c r="BP4189">
        <v>1</v>
      </c>
      <c r="BQ4189">
        <v>0</v>
      </c>
      <c r="BT4189">
        <v>0</v>
      </c>
      <c r="BU4189">
        <v>0</v>
      </c>
      <c r="BV4189">
        <v>0</v>
      </c>
      <c r="CC4189" t="str">
        <f>"19:45:10.836"</f>
        <v>19:45:10.836</v>
      </c>
      <c r="CD4189" t="str">
        <f>"832248314"</f>
        <v>832248314</v>
      </c>
      <c r="CQ4189">
        <v>0</v>
      </c>
      <c r="CR4189">
        <v>2</v>
      </c>
      <c r="CS4189">
        <v>0</v>
      </c>
      <c r="CT4189">
        <v>2</v>
      </c>
      <c r="CU4189">
        <v>0</v>
      </c>
      <c r="CV4189">
        <v>6</v>
      </c>
      <c r="CW4189" t="s">
        <v>120</v>
      </c>
      <c r="CX4189">
        <v>257</v>
      </c>
      <c r="CY4189">
        <v>0</v>
      </c>
      <c r="CZ4189" t="s">
        <v>615</v>
      </c>
      <c r="DA4189" t="s">
        <v>616</v>
      </c>
      <c r="DD4189">
        <v>16705472</v>
      </c>
      <c r="DE4189" t="s">
        <v>123</v>
      </c>
    </row>
    <row r="4190" spans="1:109" x14ac:dyDescent="0.3">
      <c r="A4190" t="str">
        <f>"19:45:12.219"</f>
        <v>19:45:12.219</v>
      </c>
      <c r="B4190" t="s">
        <v>110</v>
      </c>
      <c r="C4190" t="str">
        <f t="shared" si="198"/>
        <v>ffdfd3c0</v>
      </c>
      <c r="D4190" t="s">
        <v>111</v>
      </c>
      <c r="E4190">
        <v>18</v>
      </c>
      <c r="F4190">
        <v>1018</v>
      </c>
      <c r="G4190" t="s">
        <v>112</v>
      </c>
      <c r="J4190" t="s">
        <v>113</v>
      </c>
      <c r="K4190">
        <v>0</v>
      </c>
      <c r="L4190">
        <v>3</v>
      </c>
      <c r="M4190">
        <v>0</v>
      </c>
      <c r="N4190">
        <v>2</v>
      </c>
      <c r="O4190">
        <v>1</v>
      </c>
      <c r="P4190">
        <v>0</v>
      </c>
      <c r="Q4190">
        <v>0</v>
      </c>
      <c r="R4190" t="s">
        <v>114</v>
      </c>
      <c r="S4190" t="str">
        <f>"19:45:11.969"</f>
        <v>19:45:11.969</v>
      </c>
      <c r="T4190" t="str">
        <f>"19:45:11.469"</f>
        <v>19:45:11.469</v>
      </c>
      <c r="U4190" t="str">
        <f t="shared" si="196"/>
        <v>a1cdbe</v>
      </c>
      <c r="V4190">
        <v>0</v>
      </c>
      <c r="W4190">
        <v>0</v>
      </c>
      <c r="X4190">
        <v>2</v>
      </c>
      <c r="Y4190">
        <v>0</v>
      </c>
      <c r="Z4190">
        <v>0</v>
      </c>
      <c r="AB4190">
        <v>0</v>
      </c>
      <c r="AC4190">
        <v>9</v>
      </c>
      <c r="AD4190">
        <v>3</v>
      </c>
      <c r="AE4190">
        <v>0</v>
      </c>
      <c r="AF4190">
        <v>9</v>
      </c>
      <c r="AG4190" t="s">
        <v>115</v>
      </c>
      <c r="AH4190">
        <v>0</v>
      </c>
      <c r="AI4190">
        <v>0</v>
      </c>
      <c r="AJ4190">
        <v>1</v>
      </c>
      <c r="AK4190">
        <v>0</v>
      </c>
      <c r="AL4190" t="s">
        <v>7761</v>
      </c>
      <c r="AM4190">
        <v>47.056095999999997</v>
      </c>
      <c r="AN4190" t="s">
        <v>7762</v>
      </c>
      <c r="AO4190">
        <v>-123.992107</v>
      </c>
      <c r="AP4190">
        <v>100</v>
      </c>
      <c r="AQ4190">
        <v>-100</v>
      </c>
      <c r="AR4190" t="s">
        <v>118</v>
      </c>
      <c r="AS4190">
        <v>13</v>
      </c>
      <c r="AT4190">
        <v>-48</v>
      </c>
      <c r="AU4190">
        <v>320</v>
      </c>
      <c r="BC4190">
        <v>1200</v>
      </c>
      <c r="BD4190">
        <v>1</v>
      </c>
      <c r="BE4190" t="str">
        <f t="shared" si="197"/>
        <v xml:space="preserve">N215T   </v>
      </c>
      <c r="BF4190">
        <v>1</v>
      </c>
      <c r="BH4190">
        <v>0</v>
      </c>
      <c r="BI4190">
        <v>0</v>
      </c>
      <c r="BJ4190">
        <v>0</v>
      </c>
      <c r="BK4190">
        <v>275</v>
      </c>
      <c r="BL4190">
        <v>375</v>
      </c>
      <c r="BM4190" t="s">
        <v>119</v>
      </c>
      <c r="BN4190">
        <v>1</v>
      </c>
      <c r="BO4190">
        <v>1</v>
      </c>
      <c r="BP4190">
        <v>1</v>
      </c>
      <c r="BQ4190">
        <v>0</v>
      </c>
      <c r="BT4190">
        <v>0</v>
      </c>
      <c r="BU4190">
        <v>0</v>
      </c>
      <c r="BV4190">
        <v>0</v>
      </c>
      <c r="CC4190" t="str">
        <f>"19:45:11.969"</f>
        <v>19:45:11.969</v>
      </c>
      <c r="CD4190" t="str">
        <f>"972135871"</f>
        <v>972135871</v>
      </c>
      <c r="CQ4190">
        <v>0</v>
      </c>
      <c r="CR4190">
        <v>2</v>
      </c>
      <c r="CS4190">
        <v>0</v>
      </c>
      <c r="CT4190">
        <v>2</v>
      </c>
      <c r="CU4190">
        <v>0</v>
      </c>
      <c r="CV4190">
        <v>6</v>
      </c>
      <c r="CW4190" t="s">
        <v>120</v>
      </c>
      <c r="CX4190">
        <v>257</v>
      </c>
      <c r="CY4190">
        <v>0</v>
      </c>
      <c r="CZ4190" t="s">
        <v>615</v>
      </c>
      <c r="DA4190" t="s">
        <v>616</v>
      </c>
      <c r="DD4190">
        <v>16705829</v>
      </c>
      <c r="DE4190" t="s">
        <v>123</v>
      </c>
    </row>
    <row r="4191" spans="1:109" x14ac:dyDescent="0.3">
      <c r="A4191" t="str">
        <f>"19:45:13.375"</f>
        <v>19:45:13.375</v>
      </c>
      <c r="B4191" t="s">
        <v>110</v>
      </c>
      <c r="C4191" t="str">
        <f t="shared" si="198"/>
        <v>ffdfd3c0</v>
      </c>
      <c r="D4191" t="s">
        <v>111</v>
      </c>
      <c r="E4191">
        <v>18</v>
      </c>
      <c r="F4191">
        <v>1018</v>
      </c>
      <c r="G4191" t="s">
        <v>112</v>
      </c>
      <c r="J4191" t="s">
        <v>113</v>
      </c>
      <c r="K4191">
        <v>0</v>
      </c>
      <c r="L4191">
        <v>3</v>
      </c>
      <c r="M4191">
        <v>0</v>
      </c>
      <c r="N4191">
        <v>2</v>
      </c>
      <c r="O4191">
        <v>1</v>
      </c>
      <c r="P4191">
        <v>0</v>
      </c>
      <c r="Q4191">
        <v>0</v>
      </c>
      <c r="R4191" t="s">
        <v>114</v>
      </c>
      <c r="S4191" t="str">
        <f>"19:45:13.094"</f>
        <v>19:45:13.094</v>
      </c>
      <c r="T4191" t="str">
        <f>"19:45:12.891"</f>
        <v>19:45:12.891</v>
      </c>
      <c r="U4191" t="str">
        <f t="shared" si="196"/>
        <v>a1cdbe</v>
      </c>
      <c r="V4191">
        <v>0</v>
      </c>
      <c r="W4191">
        <v>0</v>
      </c>
      <c r="X4191">
        <v>2</v>
      </c>
      <c r="Y4191">
        <v>0</v>
      </c>
      <c r="Z4191">
        <v>0</v>
      </c>
      <c r="AB4191">
        <v>0</v>
      </c>
      <c r="AC4191">
        <v>9</v>
      </c>
      <c r="AD4191">
        <v>3</v>
      </c>
      <c r="AE4191">
        <v>0</v>
      </c>
      <c r="AF4191">
        <v>9</v>
      </c>
      <c r="AG4191" t="s">
        <v>115</v>
      </c>
      <c r="AH4191">
        <v>0</v>
      </c>
      <c r="AI4191">
        <v>0</v>
      </c>
      <c r="AJ4191">
        <v>1</v>
      </c>
      <c r="AK4191">
        <v>0</v>
      </c>
      <c r="AL4191" t="s">
        <v>7763</v>
      </c>
      <c r="AM4191">
        <v>47.055838000000001</v>
      </c>
      <c r="AN4191" t="s">
        <v>7336</v>
      </c>
      <c r="AO4191">
        <v>-123.991978</v>
      </c>
      <c r="AP4191">
        <v>100</v>
      </c>
      <c r="AQ4191">
        <v>-100</v>
      </c>
      <c r="AR4191" t="s">
        <v>118</v>
      </c>
      <c r="AS4191">
        <v>12</v>
      </c>
      <c r="AT4191">
        <v>-49</v>
      </c>
      <c r="AU4191">
        <v>320</v>
      </c>
      <c r="BC4191">
        <v>1200</v>
      </c>
      <c r="BD4191">
        <v>1</v>
      </c>
      <c r="BE4191" t="str">
        <f t="shared" si="197"/>
        <v xml:space="preserve">N215T   </v>
      </c>
      <c r="BF4191">
        <v>1</v>
      </c>
      <c r="BH4191">
        <v>0</v>
      </c>
      <c r="BI4191">
        <v>0</v>
      </c>
      <c r="BJ4191">
        <v>0</v>
      </c>
      <c r="BK4191">
        <v>275</v>
      </c>
      <c r="BL4191">
        <v>375</v>
      </c>
      <c r="BM4191" t="s">
        <v>119</v>
      </c>
      <c r="BN4191">
        <v>1</v>
      </c>
      <c r="BO4191">
        <v>1</v>
      </c>
      <c r="BP4191">
        <v>1</v>
      </c>
      <c r="BQ4191">
        <v>0</v>
      </c>
      <c r="BT4191">
        <v>0</v>
      </c>
      <c r="BU4191">
        <v>0</v>
      </c>
      <c r="BV4191">
        <v>0</v>
      </c>
      <c r="CC4191" t="str">
        <f>"19:45:13.094"</f>
        <v>19:45:13.094</v>
      </c>
      <c r="CD4191" t="str">
        <f>"097024918"</f>
        <v>097024918</v>
      </c>
      <c r="CQ4191">
        <v>0</v>
      </c>
      <c r="CR4191">
        <v>2</v>
      </c>
      <c r="CS4191">
        <v>0</v>
      </c>
      <c r="CT4191">
        <v>2</v>
      </c>
      <c r="CU4191">
        <v>0</v>
      </c>
      <c r="CV4191">
        <v>7</v>
      </c>
      <c r="CW4191" t="s">
        <v>120</v>
      </c>
      <c r="CX4191">
        <v>257</v>
      </c>
      <c r="CY4191">
        <v>0</v>
      </c>
      <c r="CZ4191" t="s">
        <v>615</v>
      </c>
      <c r="DA4191" t="s">
        <v>616</v>
      </c>
      <c r="DD4191">
        <v>16706191</v>
      </c>
      <c r="DE4191" t="s">
        <v>123</v>
      </c>
    </row>
    <row r="4192" spans="1:109" x14ac:dyDescent="0.3">
      <c r="A4192" t="str">
        <f>"19:45:14.375"</f>
        <v>19:45:14.375</v>
      </c>
      <c r="B4192" t="s">
        <v>110</v>
      </c>
      <c r="C4192" t="str">
        <f t="shared" si="198"/>
        <v>ffdfd3c0</v>
      </c>
      <c r="D4192" t="s">
        <v>111</v>
      </c>
      <c r="E4192">
        <v>18</v>
      </c>
      <c r="F4192">
        <v>1018</v>
      </c>
      <c r="G4192" t="s">
        <v>112</v>
      </c>
      <c r="J4192" t="s">
        <v>113</v>
      </c>
      <c r="K4192">
        <v>0</v>
      </c>
      <c r="L4192">
        <v>3</v>
      </c>
      <c r="M4192">
        <v>0</v>
      </c>
      <c r="N4192">
        <v>2</v>
      </c>
      <c r="O4192">
        <v>1</v>
      </c>
      <c r="P4192">
        <v>0</v>
      </c>
      <c r="Q4192">
        <v>0</v>
      </c>
      <c r="R4192" t="s">
        <v>114</v>
      </c>
      <c r="S4192" t="str">
        <f>"19:45:14.125"</f>
        <v>19:45:14.125</v>
      </c>
      <c r="T4192" t="str">
        <f>"19:45:13.922"</f>
        <v>19:45:13.922</v>
      </c>
      <c r="U4192" t="str">
        <f t="shared" si="196"/>
        <v>a1cdbe</v>
      </c>
      <c r="V4192">
        <v>0</v>
      </c>
      <c r="W4192">
        <v>0</v>
      </c>
      <c r="X4192">
        <v>2</v>
      </c>
      <c r="Y4192">
        <v>0</v>
      </c>
      <c r="Z4192">
        <v>0</v>
      </c>
      <c r="AB4192">
        <v>0</v>
      </c>
      <c r="AC4192">
        <v>9</v>
      </c>
      <c r="AD4192">
        <v>3</v>
      </c>
      <c r="AE4192">
        <v>0</v>
      </c>
      <c r="AF4192">
        <v>9</v>
      </c>
      <c r="AG4192" t="s">
        <v>115</v>
      </c>
      <c r="AH4192">
        <v>0</v>
      </c>
      <c r="AI4192">
        <v>0</v>
      </c>
      <c r="AJ4192">
        <v>1</v>
      </c>
      <c r="AK4192">
        <v>0</v>
      </c>
      <c r="AL4192" t="s">
        <v>7764</v>
      </c>
      <c r="AM4192">
        <v>47.055580999999997</v>
      </c>
      <c r="AN4192" t="s">
        <v>7336</v>
      </c>
      <c r="AO4192">
        <v>-123.991978</v>
      </c>
      <c r="AP4192">
        <v>100</v>
      </c>
      <c r="AQ4192">
        <v>-100</v>
      </c>
      <c r="AR4192" t="s">
        <v>118</v>
      </c>
      <c r="AS4192">
        <v>13</v>
      </c>
      <c r="AT4192">
        <v>-49</v>
      </c>
      <c r="AU4192">
        <v>512</v>
      </c>
      <c r="BC4192">
        <v>1200</v>
      </c>
      <c r="BD4192">
        <v>1</v>
      </c>
      <c r="BE4192" t="str">
        <f t="shared" si="197"/>
        <v xml:space="preserve">N215T   </v>
      </c>
      <c r="BF4192">
        <v>1</v>
      </c>
      <c r="BH4192">
        <v>0</v>
      </c>
      <c r="BI4192">
        <v>0</v>
      </c>
      <c r="BJ4192">
        <v>0</v>
      </c>
      <c r="BK4192">
        <v>300</v>
      </c>
      <c r="BL4192">
        <v>400</v>
      </c>
      <c r="BM4192" t="s">
        <v>119</v>
      </c>
      <c r="BN4192">
        <v>1</v>
      </c>
      <c r="BO4192">
        <v>1</v>
      </c>
      <c r="BP4192">
        <v>1</v>
      </c>
      <c r="BQ4192">
        <v>0</v>
      </c>
      <c r="BT4192">
        <v>0</v>
      </c>
      <c r="BU4192">
        <v>0</v>
      </c>
      <c r="BV4192">
        <v>0</v>
      </c>
      <c r="CC4192" t="str">
        <f>"19:45:14.133"</f>
        <v>19:45:14.133</v>
      </c>
      <c r="CD4192" t="str">
        <f>"131922826"</f>
        <v>131922826</v>
      </c>
      <c r="CQ4192">
        <v>0</v>
      </c>
      <c r="CR4192">
        <v>2</v>
      </c>
      <c r="CS4192">
        <v>0</v>
      </c>
      <c r="CT4192">
        <v>2</v>
      </c>
      <c r="CU4192">
        <v>0</v>
      </c>
      <c r="CV4192">
        <v>6</v>
      </c>
      <c r="CW4192" t="s">
        <v>120</v>
      </c>
      <c r="CX4192">
        <v>257</v>
      </c>
      <c r="CY4192">
        <v>0</v>
      </c>
      <c r="CZ4192" t="s">
        <v>615</v>
      </c>
      <c r="DA4192" t="s">
        <v>616</v>
      </c>
      <c r="DD4192">
        <v>16706514</v>
      </c>
      <c r="DE4192" t="s">
        <v>123</v>
      </c>
    </row>
    <row r="4193" spans="1:109" x14ac:dyDescent="0.3">
      <c r="A4193" t="str">
        <f>"19:45:15.281"</f>
        <v>19:45:15.281</v>
      </c>
      <c r="B4193" t="s">
        <v>110</v>
      </c>
      <c r="C4193" t="str">
        <f t="shared" si="198"/>
        <v>ffdfd3c0</v>
      </c>
      <c r="D4193" t="s">
        <v>111</v>
      </c>
      <c r="E4193">
        <v>18</v>
      </c>
      <c r="F4193">
        <v>1018</v>
      </c>
      <c r="G4193" t="s">
        <v>112</v>
      </c>
      <c r="J4193" t="s">
        <v>113</v>
      </c>
      <c r="K4193">
        <v>0</v>
      </c>
      <c r="L4193">
        <v>3</v>
      </c>
      <c r="M4193">
        <v>0</v>
      </c>
      <c r="N4193">
        <v>2</v>
      </c>
      <c r="O4193">
        <v>1</v>
      </c>
      <c r="P4193">
        <v>0</v>
      </c>
      <c r="Q4193">
        <v>0</v>
      </c>
      <c r="R4193" t="s">
        <v>114</v>
      </c>
      <c r="S4193" t="str">
        <f>"19:45:15.031"</f>
        <v>19:45:15.031</v>
      </c>
      <c r="T4193" t="str">
        <f>"19:45:14.930"</f>
        <v>19:45:14.930</v>
      </c>
      <c r="U4193" t="str">
        <f t="shared" si="196"/>
        <v>a1cdbe</v>
      </c>
      <c r="V4193">
        <v>0</v>
      </c>
      <c r="W4193">
        <v>0</v>
      </c>
      <c r="X4193">
        <v>2</v>
      </c>
      <c r="Y4193">
        <v>0</v>
      </c>
      <c r="Z4193">
        <v>0</v>
      </c>
      <c r="AB4193">
        <v>0</v>
      </c>
      <c r="AC4193">
        <v>9</v>
      </c>
      <c r="AD4193">
        <v>3</v>
      </c>
      <c r="AE4193">
        <v>0</v>
      </c>
      <c r="AF4193">
        <v>9</v>
      </c>
      <c r="AG4193" t="s">
        <v>115</v>
      </c>
      <c r="AH4193">
        <v>0</v>
      </c>
      <c r="AI4193">
        <v>0</v>
      </c>
      <c r="AJ4193">
        <v>1</v>
      </c>
      <c r="AK4193">
        <v>0</v>
      </c>
      <c r="AL4193" t="s">
        <v>7765</v>
      </c>
      <c r="AM4193">
        <v>47.055365999999999</v>
      </c>
      <c r="AN4193" t="s">
        <v>7556</v>
      </c>
      <c r="AO4193">
        <v>-123.991849</v>
      </c>
      <c r="AP4193">
        <v>100</v>
      </c>
      <c r="AQ4193">
        <v>-100</v>
      </c>
      <c r="AR4193" t="s">
        <v>118</v>
      </c>
      <c r="AS4193">
        <v>16</v>
      </c>
      <c r="AT4193">
        <v>-49</v>
      </c>
      <c r="AU4193">
        <v>512</v>
      </c>
      <c r="BC4193">
        <v>1200</v>
      </c>
      <c r="BD4193">
        <v>1</v>
      </c>
      <c r="BE4193" t="str">
        <f t="shared" si="197"/>
        <v xml:space="preserve">N215T   </v>
      </c>
      <c r="BF4193">
        <v>1</v>
      </c>
      <c r="BH4193">
        <v>0</v>
      </c>
      <c r="BI4193">
        <v>0</v>
      </c>
      <c r="BJ4193">
        <v>0</v>
      </c>
      <c r="BK4193">
        <v>300</v>
      </c>
      <c r="BL4193">
        <v>400</v>
      </c>
      <c r="BM4193" t="s">
        <v>119</v>
      </c>
      <c r="BN4193">
        <v>1</v>
      </c>
      <c r="BO4193">
        <v>1</v>
      </c>
      <c r="BP4193">
        <v>1</v>
      </c>
      <c r="BQ4193">
        <v>0</v>
      </c>
      <c r="BT4193">
        <v>0</v>
      </c>
      <c r="BU4193">
        <v>0</v>
      </c>
      <c r="BV4193">
        <v>0</v>
      </c>
      <c r="CC4193" t="str">
        <f>"19:45:15.031"</f>
        <v>19:45:15.031</v>
      </c>
      <c r="CD4193" t="str">
        <f>"031834063"</f>
        <v>031834063</v>
      </c>
      <c r="CQ4193">
        <v>0</v>
      </c>
      <c r="CR4193">
        <v>2</v>
      </c>
      <c r="CS4193">
        <v>0</v>
      </c>
      <c r="CT4193">
        <v>2</v>
      </c>
      <c r="CU4193">
        <v>0</v>
      </c>
      <c r="CV4193">
        <v>6</v>
      </c>
      <c r="CW4193" t="s">
        <v>120</v>
      </c>
      <c r="CX4193">
        <v>257</v>
      </c>
      <c r="CY4193">
        <v>0</v>
      </c>
      <c r="CZ4193" t="s">
        <v>615</v>
      </c>
      <c r="DA4193" t="s">
        <v>616</v>
      </c>
      <c r="DD4193">
        <v>16706807</v>
      </c>
      <c r="DE4193" t="s">
        <v>123</v>
      </c>
    </row>
    <row r="4194" spans="1:109" x14ac:dyDescent="0.3">
      <c r="A4194" t="str">
        <f>"19:45:16.438"</f>
        <v>19:45:16.438</v>
      </c>
      <c r="B4194" t="s">
        <v>110</v>
      </c>
      <c r="C4194" t="str">
        <f t="shared" si="198"/>
        <v>ffdfd3c0</v>
      </c>
      <c r="D4194" t="s">
        <v>111</v>
      </c>
      <c r="E4194">
        <v>18</v>
      </c>
      <c r="F4194">
        <v>1018</v>
      </c>
      <c r="G4194" t="s">
        <v>112</v>
      </c>
      <c r="J4194" t="s">
        <v>113</v>
      </c>
      <c r="K4194">
        <v>0</v>
      </c>
      <c r="L4194">
        <v>3</v>
      </c>
      <c r="M4194">
        <v>0</v>
      </c>
      <c r="N4194">
        <v>2</v>
      </c>
      <c r="O4194">
        <v>1</v>
      </c>
      <c r="P4194">
        <v>0</v>
      </c>
      <c r="Q4194">
        <v>0</v>
      </c>
      <c r="R4194" t="s">
        <v>114</v>
      </c>
      <c r="S4194" t="str">
        <f>"19:45:16.156"</f>
        <v>19:45:16.156</v>
      </c>
      <c r="T4194" t="str">
        <f>"19:45:15.953"</f>
        <v>19:45:15.953</v>
      </c>
      <c r="U4194" t="str">
        <f t="shared" si="196"/>
        <v>a1cdbe</v>
      </c>
      <c r="V4194">
        <v>0</v>
      </c>
      <c r="W4194">
        <v>0</v>
      </c>
      <c r="X4194">
        <v>2</v>
      </c>
      <c r="Y4194">
        <v>0</v>
      </c>
      <c r="Z4194">
        <v>0</v>
      </c>
      <c r="AB4194">
        <v>0</v>
      </c>
      <c r="AC4194">
        <v>9</v>
      </c>
      <c r="AD4194">
        <v>3</v>
      </c>
      <c r="AE4194">
        <v>0</v>
      </c>
      <c r="AF4194">
        <v>9</v>
      </c>
      <c r="AG4194" t="s">
        <v>115</v>
      </c>
      <c r="AH4194">
        <v>0</v>
      </c>
      <c r="AI4194">
        <v>0</v>
      </c>
      <c r="AJ4194">
        <v>1</v>
      </c>
      <c r="AK4194">
        <v>0</v>
      </c>
      <c r="AL4194" t="s">
        <v>7766</v>
      </c>
      <c r="AM4194">
        <v>47.055151000000002</v>
      </c>
      <c r="AN4194" t="s">
        <v>7622</v>
      </c>
      <c r="AO4194">
        <v>-123.991699</v>
      </c>
      <c r="AP4194">
        <v>100</v>
      </c>
      <c r="AQ4194">
        <v>-100</v>
      </c>
      <c r="AR4194" t="s">
        <v>118</v>
      </c>
      <c r="AS4194">
        <v>18</v>
      </c>
      <c r="AT4194">
        <v>-50</v>
      </c>
      <c r="AU4194">
        <v>576</v>
      </c>
      <c r="BC4194">
        <v>1200</v>
      </c>
      <c r="BD4194">
        <v>1</v>
      </c>
      <c r="BE4194" t="str">
        <f t="shared" si="197"/>
        <v xml:space="preserve">N215T   </v>
      </c>
      <c r="BF4194">
        <v>1</v>
      </c>
      <c r="BH4194">
        <v>0</v>
      </c>
      <c r="BI4194">
        <v>0</v>
      </c>
      <c r="BJ4194">
        <v>0</v>
      </c>
      <c r="BK4194">
        <v>325</v>
      </c>
      <c r="BL4194">
        <v>425</v>
      </c>
      <c r="BM4194" t="s">
        <v>119</v>
      </c>
      <c r="BN4194">
        <v>1</v>
      </c>
      <c r="BO4194">
        <v>1</v>
      </c>
      <c r="BP4194">
        <v>1</v>
      </c>
      <c r="BQ4194">
        <v>0</v>
      </c>
      <c r="BT4194">
        <v>0</v>
      </c>
      <c r="BU4194">
        <v>0</v>
      </c>
      <c r="BV4194">
        <v>0</v>
      </c>
      <c r="CC4194" t="str">
        <f>"19:45:16.156"</f>
        <v>19:45:16.156</v>
      </c>
      <c r="CD4194" t="str">
        <f>"156723089"</f>
        <v>156723089</v>
      </c>
      <c r="CQ4194">
        <v>0</v>
      </c>
      <c r="CR4194">
        <v>2</v>
      </c>
      <c r="CS4194">
        <v>0</v>
      </c>
      <c r="CT4194">
        <v>2</v>
      </c>
      <c r="CU4194">
        <v>0</v>
      </c>
      <c r="CV4194">
        <v>6</v>
      </c>
      <c r="CW4194" t="s">
        <v>120</v>
      </c>
      <c r="CX4194">
        <v>257</v>
      </c>
      <c r="CY4194">
        <v>0</v>
      </c>
      <c r="CZ4194" t="s">
        <v>615</v>
      </c>
      <c r="DA4194" t="s">
        <v>616</v>
      </c>
      <c r="DD4194">
        <v>16707156</v>
      </c>
      <c r="DE4194" t="s">
        <v>123</v>
      </c>
    </row>
    <row r="4195" spans="1:109" x14ac:dyDescent="0.3">
      <c r="A4195" t="str">
        <f>"19:45:17.344"</f>
        <v>19:45:17.344</v>
      </c>
      <c r="B4195" t="s">
        <v>110</v>
      </c>
      <c r="C4195" t="str">
        <f t="shared" si="198"/>
        <v>ffdfd3c0</v>
      </c>
      <c r="D4195" t="s">
        <v>111</v>
      </c>
      <c r="E4195">
        <v>18</v>
      </c>
      <c r="F4195">
        <v>1018</v>
      </c>
      <c r="G4195" t="s">
        <v>112</v>
      </c>
      <c r="J4195" t="s">
        <v>113</v>
      </c>
      <c r="K4195">
        <v>0</v>
      </c>
      <c r="L4195">
        <v>3</v>
      </c>
      <c r="M4195">
        <v>0</v>
      </c>
      <c r="N4195">
        <v>2</v>
      </c>
      <c r="O4195">
        <v>1</v>
      </c>
      <c r="P4195">
        <v>0</v>
      </c>
      <c r="Q4195">
        <v>0</v>
      </c>
      <c r="R4195" t="s">
        <v>114</v>
      </c>
      <c r="S4195" t="str">
        <f>"19:45:17.070"</f>
        <v>19:45:17.070</v>
      </c>
      <c r="T4195" t="str">
        <f>"19:45:16.867"</f>
        <v>19:45:16.867</v>
      </c>
      <c r="U4195" t="str">
        <f t="shared" si="196"/>
        <v>a1cdbe</v>
      </c>
      <c r="V4195">
        <v>0</v>
      </c>
      <c r="W4195">
        <v>0</v>
      </c>
      <c r="X4195">
        <v>2</v>
      </c>
      <c r="Y4195">
        <v>0</v>
      </c>
      <c r="Z4195">
        <v>0</v>
      </c>
      <c r="AB4195">
        <v>0</v>
      </c>
      <c r="AC4195">
        <v>9</v>
      </c>
      <c r="AD4195">
        <v>3</v>
      </c>
      <c r="AE4195">
        <v>0</v>
      </c>
      <c r="AF4195">
        <v>9</v>
      </c>
      <c r="AG4195" t="s">
        <v>115</v>
      </c>
      <c r="AH4195">
        <v>0</v>
      </c>
      <c r="AI4195">
        <v>0</v>
      </c>
      <c r="AJ4195">
        <v>1</v>
      </c>
      <c r="AK4195">
        <v>0</v>
      </c>
      <c r="AL4195" t="s">
        <v>7767</v>
      </c>
      <c r="AM4195">
        <v>47.054915000000001</v>
      </c>
      <c r="AN4195" t="s">
        <v>7768</v>
      </c>
      <c r="AO4195">
        <v>-123.99154900000001</v>
      </c>
      <c r="AP4195">
        <v>100</v>
      </c>
      <c r="AQ4195">
        <v>-100</v>
      </c>
      <c r="AR4195" t="s">
        <v>118</v>
      </c>
      <c r="AS4195">
        <v>17</v>
      </c>
      <c r="AT4195">
        <v>-50</v>
      </c>
      <c r="AU4195">
        <v>704</v>
      </c>
      <c r="BC4195">
        <v>1200</v>
      </c>
      <c r="BD4195">
        <v>1</v>
      </c>
      <c r="BE4195" t="str">
        <f t="shared" si="197"/>
        <v xml:space="preserve">N215T   </v>
      </c>
      <c r="BF4195">
        <v>1</v>
      </c>
      <c r="BH4195">
        <v>0</v>
      </c>
      <c r="BI4195">
        <v>0</v>
      </c>
      <c r="BJ4195">
        <v>0</v>
      </c>
      <c r="BK4195">
        <v>325</v>
      </c>
      <c r="BL4195">
        <v>425</v>
      </c>
      <c r="BM4195" t="s">
        <v>119</v>
      </c>
      <c r="BN4195">
        <v>1</v>
      </c>
      <c r="BO4195">
        <v>1</v>
      </c>
      <c r="BP4195">
        <v>1</v>
      </c>
      <c r="BQ4195">
        <v>0</v>
      </c>
      <c r="BT4195">
        <v>0</v>
      </c>
      <c r="BU4195">
        <v>0</v>
      </c>
      <c r="BV4195">
        <v>0</v>
      </c>
      <c r="CC4195" t="str">
        <f>"19:45:17.070"</f>
        <v>19:45:17.070</v>
      </c>
      <c r="CD4195" t="str">
        <f>"071632846"</f>
        <v>071632846</v>
      </c>
      <c r="CQ4195">
        <v>0</v>
      </c>
      <c r="CR4195">
        <v>2</v>
      </c>
      <c r="CS4195">
        <v>0</v>
      </c>
      <c r="CT4195">
        <v>2</v>
      </c>
      <c r="CU4195">
        <v>0</v>
      </c>
      <c r="CV4195">
        <v>6</v>
      </c>
      <c r="CW4195" t="s">
        <v>120</v>
      </c>
      <c r="CX4195">
        <v>257</v>
      </c>
      <c r="CY4195">
        <v>0</v>
      </c>
      <c r="CZ4195" t="s">
        <v>615</v>
      </c>
      <c r="DA4195" t="s">
        <v>616</v>
      </c>
      <c r="DD4195">
        <v>16707435</v>
      </c>
      <c r="DE4195" t="s">
        <v>123</v>
      </c>
    </row>
    <row r="4196" spans="1:109" x14ac:dyDescent="0.3">
      <c r="A4196" t="str">
        <f>"19:45:18.250"</f>
        <v>19:45:18.250</v>
      </c>
      <c r="B4196" t="s">
        <v>110</v>
      </c>
      <c r="C4196" t="str">
        <f t="shared" si="198"/>
        <v>ffdfd3c0</v>
      </c>
      <c r="D4196" t="s">
        <v>111</v>
      </c>
      <c r="E4196">
        <v>18</v>
      </c>
      <c r="F4196">
        <v>1018</v>
      </c>
      <c r="G4196" t="s">
        <v>112</v>
      </c>
      <c r="J4196" t="s">
        <v>113</v>
      </c>
      <c r="K4196">
        <v>0</v>
      </c>
      <c r="L4196">
        <v>3</v>
      </c>
      <c r="M4196">
        <v>0</v>
      </c>
      <c r="N4196">
        <v>2</v>
      </c>
      <c r="O4196">
        <v>1</v>
      </c>
      <c r="P4196">
        <v>0</v>
      </c>
      <c r="Q4196">
        <v>0</v>
      </c>
      <c r="R4196" t="s">
        <v>114</v>
      </c>
      <c r="S4196" t="str">
        <f>"19:45:18.000"</f>
        <v>19:45:18.000</v>
      </c>
      <c r="T4196" t="str">
        <f>"19:45:18.000"</f>
        <v>19:45:18.000</v>
      </c>
      <c r="U4196" t="str">
        <f t="shared" si="196"/>
        <v>a1cdbe</v>
      </c>
      <c r="V4196">
        <v>0</v>
      </c>
      <c r="W4196">
        <v>0</v>
      </c>
      <c r="X4196">
        <v>2</v>
      </c>
      <c r="Y4196">
        <v>0</v>
      </c>
      <c r="Z4196">
        <v>0</v>
      </c>
      <c r="AB4196">
        <v>0</v>
      </c>
      <c r="AC4196">
        <v>9</v>
      </c>
      <c r="AD4196">
        <v>3</v>
      </c>
      <c r="AE4196">
        <v>0</v>
      </c>
      <c r="AF4196">
        <v>9</v>
      </c>
      <c r="AG4196" t="s">
        <v>115</v>
      </c>
      <c r="AH4196">
        <v>0</v>
      </c>
      <c r="AI4196">
        <v>0</v>
      </c>
      <c r="AJ4196">
        <v>1</v>
      </c>
      <c r="AK4196">
        <v>0</v>
      </c>
      <c r="AL4196" t="s">
        <v>7284</v>
      </c>
      <c r="AM4196">
        <v>47.054679</v>
      </c>
      <c r="AN4196" t="s">
        <v>7769</v>
      </c>
      <c r="AO4196">
        <v>-123.991485</v>
      </c>
      <c r="AP4196">
        <v>100</v>
      </c>
      <c r="AQ4196">
        <v>-100</v>
      </c>
      <c r="AR4196" t="s">
        <v>118</v>
      </c>
      <c r="AS4196">
        <v>14</v>
      </c>
      <c r="AT4196">
        <v>-51</v>
      </c>
      <c r="AU4196">
        <v>768</v>
      </c>
      <c r="BC4196">
        <v>1200</v>
      </c>
      <c r="BD4196">
        <v>1</v>
      </c>
      <c r="BE4196" t="str">
        <f t="shared" si="197"/>
        <v xml:space="preserve">N215T   </v>
      </c>
      <c r="BF4196">
        <v>1</v>
      </c>
      <c r="BH4196">
        <v>0</v>
      </c>
      <c r="BI4196">
        <v>0</v>
      </c>
      <c r="BJ4196">
        <v>0</v>
      </c>
      <c r="BK4196">
        <v>325</v>
      </c>
      <c r="BL4196">
        <v>425</v>
      </c>
      <c r="BM4196" t="s">
        <v>119</v>
      </c>
      <c r="BN4196">
        <v>1</v>
      </c>
      <c r="BO4196">
        <v>1</v>
      </c>
      <c r="BP4196">
        <v>1</v>
      </c>
      <c r="BQ4196">
        <v>0</v>
      </c>
      <c r="BT4196">
        <v>0</v>
      </c>
      <c r="BU4196">
        <v>0</v>
      </c>
      <c r="BV4196">
        <v>0</v>
      </c>
      <c r="CC4196" t="str">
        <f>"19:45:18.000"</f>
        <v>19:45:18.000</v>
      </c>
      <c r="CD4196" t="str">
        <f>"001541109"</f>
        <v>001541109</v>
      </c>
      <c r="CQ4196">
        <v>0</v>
      </c>
      <c r="CR4196">
        <v>2</v>
      </c>
      <c r="CS4196">
        <v>0</v>
      </c>
      <c r="CT4196">
        <v>2</v>
      </c>
      <c r="CU4196">
        <v>0</v>
      </c>
      <c r="CV4196">
        <v>6</v>
      </c>
      <c r="CW4196" t="s">
        <v>120</v>
      </c>
      <c r="CX4196">
        <v>257</v>
      </c>
      <c r="CY4196">
        <v>0</v>
      </c>
      <c r="CZ4196" t="s">
        <v>615</v>
      </c>
      <c r="DA4196" t="s">
        <v>616</v>
      </c>
      <c r="DD4196">
        <v>16707739</v>
      </c>
      <c r="DE4196" t="s">
        <v>123</v>
      </c>
    </row>
    <row r="4197" spans="1:109" x14ac:dyDescent="0.3">
      <c r="A4197" t="str">
        <f>"19:45:19.250"</f>
        <v>19:45:19.250</v>
      </c>
      <c r="B4197" t="s">
        <v>110</v>
      </c>
      <c r="C4197" t="str">
        <f t="shared" si="198"/>
        <v>ffdfd3c0</v>
      </c>
      <c r="D4197" t="s">
        <v>111</v>
      </c>
      <c r="E4197">
        <v>18</v>
      </c>
      <c r="F4197">
        <v>1018</v>
      </c>
      <c r="G4197" t="s">
        <v>112</v>
      </c>
      <c r="J4197" t="s">
        <v>113</v>
      </c>
      <c r="K4197">
        <v>0</v>
      </c>
      <c r="L4197">
        <v>3</v>
      </c>
      <c r="M4197">
        <v>0</v>
      </c>
      <c r="N4197">
        <v>2</v>
      </c>
      <c r="O4197">
        <v>1</v>
      </c>
      <c r="P4197">
        <v>0</v>
      </c>
      <c r="Q4197">
        <v>0</v>
      </c>
      <c r="R4197" t="s">
        <v>114</v>
      </c>
      <c r="S4197" t="str">
        <f>"19:45:19.000"</f>
        <v>19:45:19.000</v>
      </c>
      <c r="T4197" t="str">
        <f>"19:45:18.500"</f>
        <v>19:45:18.500</v>
      </c>
      <c r="U4197" t="str">
        <f t="shared" si="196"/>
        <v>a1cdbe</v>
      </c>
      <c r="V4197">
        <v>0</v>
      </c>
      <c r="W4197">
        <v>0</v>
      </c>
      <c r="X4197">
        <v>2</v>
      </c>
      <c r="Y4197">
        <v>0</v>
      </c>
      <c r="Z4197">
        <v>0</v>
      </c>
      <c r="AB4197">
        <v>0</v>
      </c>
      <c r="AC4197">
        <v>9</v>
      </c>
      <c r="AD4197">
        <v>3</v>
      </c>
      <c r="AE4197">
        <v>0</v>
      </c>
      <c r="AF4197">
        <v>9</v>
      </c>
      <c r="AG4197" t="s">
        <v>115</v>
      </c>
      <c r="AH4197">
        <v>0</v>
      </c>
      <c r="AI4197">
        <v>0</v>
      </c>
      <c r="AJ4197">
        <v>1</v>
      </c>
      <c r="AK4197">
        <v>0</v>
      </c>
      <c r="AL4197" t="s">
        <v>7280</v>
      </c>
      <c r="AM4197">
        <v>47.054442999999999</v>
      </c>
      <c r="AN4197" t="s">
        <v>7334</v>
      </c>
      <c r="AO4197">
        <v>-123.99142000000001</v>
      </c>
      <c r="AP4197">
        <v>100</v>
      </c>
      <c r="AQ4197">
        <v>0</v>
      </c>
      <c r="AR4197" t="s">
        <v>118</v>
      </c>
      <c r="AS4197">
        <v>13</v>
      </c>
      <c r="AT4197">
        <v>-51</v>
      </c>
      <c r="AU4197">
        <v>832</v>
      </c>
      <c r="BC4197">
        <v>1200</v>
      </c>
      <c r="BD4197">
        <v>1</v>
      </c>
      <c r="BE4197" t="str">
        <f t="shared" si="197"/>
        <v xml:space="preserve">N215T   </v>
      </c>
      <c r="BF4197">
        <v>1</v>
      </c>
      <c r="BH4197">
        <v>0</v>
      </c>
      <c r="BI4197">
        <v>0</v>
      </c>
      <c r="BJ4197">
        <v>0</v>
      </c>
      <c r="BK4197">
        <v>350</v>
      </c>
      <c r="BL4197">
        <v>350</v>
      </c>
      <c r="BM4197" t="s">
        <v>119</v>
      </c>
      <c r="BN4197">
        <v>1</v>
      </c>
      <c r="BO4197">
        <v>1</v>
      </c>
      <c r="BP4197">
        <v>1</v>
      </c>
      <c r="BQ4197">
        <v>0</v>
      </c>
      <c r="BT4197">
        <v>0</v>
      </c>
      <c r="BU4197">
        <v>0</v>
      </c>
      <c r="BV4197">
        <v>0</v>
      </c>
      <c r="CC4197" t="str">
        <f>"19:45:19.008"</f>
        <v>19:45:19.008</v>
      </c>
      <c r="CD4197" t="str">
        <f>"006441986"</f>
        <v>006441986</v>
      </c>
      <c r="CQ4197">
        <v>0</v>
      </c>
      <c r="CR4197">
        <v>2</v>
      </c>
      <c r="CS4197">
        <v>0</v>
      </c>
      <c r="CT4197">
        <v>2</v>
      </c>
      <c r="CU4197">
        <v>0</v>
      </c>
      <c r="CV4197">
        <v>6</v>
      </c>
      <c r="CW4197" t="s">
        <v>120</v>
      </c>
      <c r="CX4197">
        <v>257</v>
      </c>
      <c r="CY4197">
        <v>0</v>
      </c>
      <c r="CZ4197" t="s">
        <v>615</v>
      </c>
      <c r="DA4197" t="s">
        <v>616</v>
      </c>
      <c r="DD4197">
        <v>16708040</v>
      </c>
      <c r="DE4197" t="s">
        <v>123</v>
      </c>
    </row>
    <row r="4198" spans="1:109" x14ac:dyDescent="0.3">
      <c r="A4198" t="str">
        <f>"19:45:20.156"</f>
        <v>19:45:20.156</v>
      </c>
      <c r="B4198" t="s">
        <v>110</v>
      </c>
      <c r="C4198" t="str">
        <f t="shared" si="198"/>
        <v>ffdfd3c0</v>
      </c>
      <c r="D4198" t="s">
        <v>111</v>
      </c>
      <c r="E4198">
        <v>18</v>
      </c>
      <c r="F4198">
        <v>1018</v>
      </c>
      <c r="G4198" t="s">
        <v>112</v>
      </c>
      <c r="J4198" t="s">
        <v>113</v>
      </c>
      <c r="K4198">
        <v>0</v>
      </c>
      <c r="L4198">
        <v>3</v>
      </c>
      <c r="M4198">
        <v>0</v>
      </c>
      <c r="N4198">
        <v>2</v>
      </c>
      <c r="O4198">
        <v>1</v>
      </c>
      <c r="P4198">
        <v>0</v>
      </c>
      <c r="Q4198">
        <v>0</v>
      </c>
      <c r="R4198" t="s">
        <v>114</v>
      </c>
      <c r="S4198" t="str">
        <f>"19:45:19.945"</f>
        <v>19:45:19.945</v>
      </c>
      <c r="T4198" t="str">
        <f>"19:45:19.445"</f>
        <v>19:45:19.445</v>
      </c>
      <c r="U4198" t="str">
        <f t="shared" si="196"/>
        <v>a1cdbe</v>
      </c>
      <c r="V4198">
        <v>0</v>
      </c>
      <c r="W4198">
        <v>0</v>
      </c>
      <c r="X4198">
        <v>2</v>
      </c>
      <c r="Y4198">
        <v>0</v>
      </c>
      <c r="Z4198">
        <v>0</v>
      </c>
      <c r="AB4198">
        <v>0</v>
      </c>
      <c r="AC4198">
        <v>9</v>
      </c>
      <c r="AD4198">
        <v>3</v>
      </c>
      <c r="AE4198">
        <v>0</v>
      </c>
      <c r="AF4198">
        <v>9</v>
      </c>
      <c r="AG4198" t="s">
        <v>115</v>
      </c>
      <c r="AH4198">
        <v>0</v>
      </c>
      <c r="AI4198">
        <v>0</v>
      </c>
      <c r="AJ4198">
        <v>1</v>
      </c>
      <c r="AK4198">
        <v>0</v>
      </c>
      <c r="AL4198" t="s">
        <v>7770</v>
      </c>
      <c r="AM4198">
        <v>47.054206999999998</v>
      </c>
      <c r="AN4198" t="s">
        <v>7620</v>
      </c>
      <c r="AO4198">
        <v>-123.991356</v>
      </c>
      <c r="AP4198">
        <v>100</v>
      </c>
      <c r="AQ4198">
        <v>0</v>
      </c>
      <c r="AR4198" t="s">
        <v>118</v>
      </c>
      <c r="AS4198">
        <v>11</v>
      </c>
      <c r="AT4198">
        <v>-51</v>
      </c>
      <c r="AU4198">
        <v>896</v>
      </c>
      <c r="BC4198">
        <v>1200</v>
      </c>
      <c r="BD4198">
        <v>1</v>
      </c>
      <c r="BE4198" t="str">
        <f t="shared" si="197"/>
        <v xml:space="preserve">N215T   </v>
      </c>
      <c r="BF4198">
        <v>1</v>
      </c>
      <c r="BH4198">
        <v>0</v>
      </c>
      <c r="BI4198">
        <v>0</v>
      </c>
      <c r="BJ4198">
        <v>0</v>
      </c>
      <c r="BK4198">
        <v>350</v>
      </c>
      <c r="BL4198">
        <v>350</v>
      </c>
      <c r="BM4198" t="s">
        <v>119</v>
      </c>
      <c r="BN4198">
        <v>1</v>
      </c>
      <c r="BO4198">
        <v>1</v>
      </c>
      <c r="BP4198">
        <v>1</v>
      </c>
      <c r="BQ4198">
        <v>0</v>
      </c>
      <c r="BT4198">
        <v>0</v>
      </c>
      <c r="BU4198">
        <v>0</v>
      </c>
      <c r="BV4198">
        <v>0</v>
      </c>
      <c r="CC4198" t="str">
        <f>"19:45:19.953"</f>
        <v>19:45:19.953</v>
      </c>
      <c r="CD4198" t="str">
        <f>"951348777"</f>
        <v>951348777</v>
      </c>
      <c r="CQ4198">
        <v>0</v>
      </c>
      <c r="CR4198">
        <v>2</v>
      </c>
      <c r="CS4198">
        <v>0</v>
      </c>
      <c r="CT4198">
        <v>2</v>
      </c>
      <c r="CU4198">
        <v>0</v>
      </c>
      <c r="CV4198">
        <v>5</v>
      </c>
      <c r="CW4198" t="s">
        <v>120</v>
      </c>
      <c r="CX4198">
        <v>257</v>
      </c>
      <c r="CY4198">
        <v>0</v>
      </c>
      <c r="CZ4198" t="s">
        <v>615</v>
      </c>
      <c r="DA4198" t="s">
        <v>616</v>
      </c>
      <c r="DD4198">
        <v>16708333</v>
      </c>
      <c r="DE4198" t="s">
        <v>123</v>
      </c>
    </row>
    <row r="4199" spans="1:109" x14ac:dyDescent="0.3">
      <c r="A4199" t="str">
        <f>"19:45:21.016"</f>
        <v>19:45:21.016</v>
      </c>
      <c r="B4199" t="s">
        <v>110</v>
      </c>
      <c r="C4199" t="str">
        <f t="shared" si="198"/>
        <v>ffdfd3c0</v>
      </c>
      <c r="D4199" t="s">
        <v>111</v>
      </c>
      <c r="E4199">
        <v>18</v>
      </c>
      <c r="F4199">
        <v>1018</v>
      </c>
      <c r="G4199" t="s">
        <v>112</v>
      </c>
      <c r="J4199" t="s">
        <v>113</v>
      </c>
      <c r="K4199">
        <v>0</v>
      </c>
      <c r="L4199">
        <v>3</v>
      </c>
      <c r="M4199">
        <v>0</v>
      </c>
      <c r="N4199">
        <v>2</v>
      </c>
      <c r="O4199">
        <v>1</v>
      </c>
      <c r="P4199">
        <v>0</v>
      </c>
      <c r="Q4199">
        <v>0</v>
      </c>
      <c r="R4199" t="s">
        <v>114</v>
      </c>
      <c r="S4199" t="str">
        <f>"19:45:20.773"</f>
        <v>19:45:20.773</v>
      </c>
      <c r="T4199" t="str">
        <f>"19:45:20.477"</f>
        <v>19:45:20.477</v>
      </c>
      <c r="U4199" t="str">
        <f t="shared" si="196"/>
        <v>a1cdbe</v>
      </c>
      <c r="V4199">
        <v>0</v>
      </c>
      <c r="W4199">
        <v>0</v>
      </c>
      <c r="X4199">
        <v>2</v>
      </c>
      <c r="Y4199">
        <v>0</v>
      </c>
      <c r="Z4199">
        <v>0</v>
      </c>
      <c r="AB4199">
        <v>0</v>
      </c>
      <c r="AC4199">
        <v>9</v>
      </c>
      <c r="AD4199">
        <v>3</v>
      </c>
      <c r="AE4199">
        <v>0</v>
      </c>
      <c r="AF4199">
        <v>9</v>
      </c>
      <c r="AG4199" t="s">
        <v>115</v>
      </c>
      <c r="AH4199">
        <v>0</v>
      </c>
      <c r="AI4199">
        <v>0</v>
      </c>
      <c r="AJ4199">
        <v>1</v>
      </c>
      <c r="AK4199">
        <v>0</v>
      </c>
      <c r="AL4199" t="s">
        <v>7771</v>
      </c>
      <c r="AM4199">
        <v>47.054036000000004</v>
      </c>
      <c r="AN4199" t="s">
        <v>7772</v>
      </c>
      <c r="AO4199">
        <v>-123.991292</v>
      </c>
      <c r="AP4199">
        <v>100</v>
      </c>
      <c r="AQ4199">
        <v>0</v>
      </c>
      <c r="AR4199" t="s">
        <v>118</v>
      </c>
      <c r="AS4199">
        <v>11</v>
      </c>
      <c r="AT4199">
        <v>-51</v>
      </c>
      <c r="AU4199">
        <v>896</v>
      </c>
      <c r="BC4199">
        <v>1200</v>
      </c>
      <c r="BD4199">
        <v>1</v>
      </c>
      <c r="BE4199" t="str">
        <f t="shared" si="197"/>
        <v xml:space="preserve">N215T   </v>
      </c>
      <c r="BF4199">
        <v>1</v>
      </c>
      <c r="BH4199">
        <v>0</v>
      </c>
      <c r="BI4199">
        <v>0</v>
      </c>
      <c r="BJ4199">
        <v>0</v>
      </c>
      <c r="BK4199">
        <v>375</v>
      </c>
      <c r="BL4199">
        <v>375</v>
      </c>
      <c r="BM4199" t="s">
        <v>119</v>
      </c>
      <c r="BN4199">
        <v>1</v>
      </c>
      <c r="BO4199">
        <v>1</v>
      </c>
      <c r="BP4199">
        <v>1</v>
      </c>
      <c r="BQ4199">
        <v>0</v>
      </c>
      <c r="BT4199">
        <v>0</v>
      </c>
      <c r="BU4199">
        <v>0</v>
      </c>
      <c r="BV4199">
        <v>0</v>
      </c>
      <c r="CC4199" t="str">
        <f>"19:45:20.773"</f>
        <v>19:45:20.773</v>
      </c>
      <c r="CD4199" t="str">
        <f>"776267391"</f>
        <v>776267391</v>
      </c>
      <c r="CQ4199">
        <v>0</v>
      </c>
      <c r="CR4199">
        <v>2</v>
      </c>
      <c r="CS4199">
        <v>0</v>
      </c>
      <c r="CT4199">
        <v>2</v>
      </c>
      <c r="CU4199">
        <v>0</v>
      </c>
      <c r="CV4199">
        <v>6</v>
      </c>
      <c r="CW4199" t="s">
        <v>120</v>
      </c>
      <c r="CX4199">
        <v>257</v>
      </c>
      <c r="CY4199">
        <v>0</v>
      </c>
      <c r="CZ4199" t="s">
        <v>615</v>
      </c>
      <c r="DA4199" t="s">
        <v>616</v>
      </c>
      <c r="DD4199">
        <v>16708588</v>
      </c>
      <c r="DE4199" t="s">
        <v>123</v>
      </c>
    </row>
    <row r="4200" spans="1:109" x14ac:dyDescent="0.3">
      <c r="A4200" t="str">
        <f>"19:45:21.914"</f>
        <v>19:45:21.914</v>
      </c>
      <c r="B4200" t="s">
        <v>110</v>
      </c>
      <c r="C4200" t="str">
        <f t="shared" si="198"/>
        <v>ffdfd3c0</v>
      </c>
      <c r="D4200" t="s">
        <v>111</v>
      </c>
      <c r="E4200">
        <v>18</v>
      </c>
      <c r="F4200">
        <v>1018</v>
      </c>
      <c r="G4200" t="s">
        <v>112</v>
      </c>
      <c r="J4200" t="s">
        <v>113</v>
      </c>
      <c r="K4200">
        <v>0</v>
      </c>
      <c r="L4200">
        <v>3</v>
      </c>
      <c r="M4200">
        <v>0</v>
      </c>
      <c r="N4200">
        <v>2</v>
      </c>
      <c r="O4200">
        <v>1</v>
      </c>
      <c r="P4200">
        <v>0</v>
      </c>
      <c r="Q4200">
        <v>0</v>
      </c>
      <c r="R4200" t="s">
        <v>114</v>
      </c>
      <c r="S4200" t="str">
        <f>"19:45:21.672"</f>
        <v>19:45:21.672</v>
      </c>
      <c r="T4200" t="str">
        <f>"19:45:21.469"</f>
        <v>19:45:21.469</v>
      </c>
      <c r="U4200" t="str">
        <f t="shared" si="196"/>
        <v>a1cdbe</v>
      </c>
      <c r="V4200">
        <v>0</v>
      </c>
      <c r="W4200">
        <v>0</v>
      </c>
      <c r="X4200">
        <v>2</v>
      </c>
      <c r="Y4200">
        <v>0</v>
      </c>
      <c r="Z4200">
        <v>0</v>
      </c>
      <c r="AB4200">
        <v>0</v>
      </c>
      <c r="AC4200">
        <v>9</v>
      </c>
      <c r="AD4200">
        <v>3</v>
      </c>
      <c r="AE4200">
        <v>0</v>
      </c>
      <c r="AF4200">
        <v>9</v>
      </c>
      <c r="AG4200" t="s">
        <v>115</v>
      </c>
      <c r="AH4200">
        <v>0</v>
      </c>
      <c r="AI4200">
        <v>0</v>
      </c>
      <c r="AJ4200">
        <v>1</v>
      </c>
      <c r="AK4200">
        <v>0</v>
      </c>
      <c r="AL4200" t="s">
        <v>7773</v>
      </c>
      <c r="AM4200">
        <v>47.053843000000001</v>
      </c>
      <c r="AN4200" t="s">
        <v>7774</v>
      </c>
      <c r="AO4200">
        <v>-123.99122699999999</v>
      </c>
      <c r="AP4200">
        <v>100</v>
      </c>
      <c r="AQ4200">
        <v>0</v>
      </c>
      <c r="AR4200" t="s">
        <v>118</v>
      </c>
      <c r="AS4200">
        <v>11</v>
      </c>
      <c r="AT4200">
        <v>-51</v>
      </c>
      <c r="AU4200">
        <v>704</v>
      </c>
      <c r="BC4200">
        <v>1200</v>
      </c>
      <c r="BD4200">
        <v>1</v>
      </c>
      <c r="BE4200" t="str">
        <f t="shared" si="197"/>
        <v xml:space="preserve">N215T   </v>
      </c>
      <c r="BF4200">
        <v>1</v>
      </c>
      <c r="BH4200">
        <v>0</v>
      </c>
      <c r="BI4200">
        <v>0</v>
      </c>
      <c r="BJ4200">
        <v>0</v>
      </c>
      <c r="BK4200">
        <v>375</v>
      </c>
      <c r="BL4200">
        <v>375</v>
      </c>
      <c r="BM4200" t="s">
        <v>119</v>
      </c>
      <c r="BN4200">
        <v>1</v>
      </c>
      <c r="BO4200">
        <v>1</v>
      </c>
      <c r="BP4200">
        <v>1</v>
      </c>
      <c r="BQ4200">
        <v>0</v>
      </c>
      <c r="BT4200">
        <v>0</v>
      </c>
      <c r="BU4200">
        <v>0</v>
      </c>
      <c r="BV4200">
        <v>0</v>
      </c>
      <c r="CC4200" t="str">
        <f>"19:45:21.680"</f>
        <v>19:45:21.680</v>
      </c>
      <c r="CD4200" t="str">
        <f>"676178631"</f>
        <v>676178631</v>
      </c>
      <c r="CQ4200">
        <v>0</v>
      </c>
      <c r="CR4200">
        <v>2</v>
      </c>
      <c r="CS4200">
        <v>0</v>
      </c>
      <c r="CT4200">
        <v>2</v>
      </c>
      <c r="CU4200">
        <v>0</v>
      </c>
      <c r="CV4200">
        <v>6</v>
      </c>
      <c r="CW4200" t="s">
        <v>120</v>
      </c>
      <c r="CX4200">
        <v>257</v>
      </c>
      <c r="CY4200">
        <v>0</v>
      </c>
      <c r="CZ4200" t="s">
        <v>615</v>
      </c>
      <c r="DA4200" t="s">
        <v>616</v>
      </c>
      <c r="DD4200">
        <v>16708883</v>
      </c>
      <c r="DE4200" t="s">
        <v>123</v>
      </c>
    </row>
    <row r="4201" spans="1:109" x14ac:dyDescent="0.3">
      <c r="A4201" t="str">
        <f>"19:45:23.070"</f>
        <v>19:45:23.070</v>
      </c>
      <c r="B4201" t="s">
        <v>110</v>
      </c>
      <c r="C4201" t="str">
        <f t="shared" si="198"/>
        <v>ffdfd3c0</v>
      </c>
      <c r="D4201" t="s">
        <v>111</v>
      </c>
      <c r="E4201">
        <v>18</v>
      </c>
      <c r="F4201">
        <v>1018</v>
      </c>
      <c r="G4201" t="s">
        <v>112</v>
      </c>
      <c r="J4201" t="s">
        <v>113</v>
      </c>
      <c r="K4201">
        <v>0</v>
      </c>
      <c r="L4201">
        <v>3</v>
      </c>
      <c r="M4201">
        <v>0</v>
      </c>
      <c r="N4201">
        <v>2</v>
      </c>
      <c r="O4201">
        <v>1</v>
      </c>
      <c r="P4201">
        <v>0</v>
      </c>
      <c r="Q4201">
        <v>0</v>
      </c>
      <c r="R4201" t="s">
        <v>114</v>
      </c>
      <c r="S4201" t="str">
        <f>"19:45:22.797"</f>
        <v>19:45:22.797</v>
      </c>
      <c r="T4201" t="str">
        <f>"19:45:22.500"</f>
        <v>19:45:22.500</v>
      </c>
      <c r="U4201" t="str">
        <f t="shared" si="196"/>
        <v>a1cdbe</v>
      </c>
      <c r="V4201">
        <v>0</v>
      </c>
      <c r="W4201">
        <v>0</v>
      </c>
      <c r="X4201">
        <v>2</v>
      </c>
      <c r="Y4201">
        <v>0</v>
      </c>
      <c r="Z4201">
        <v>0</v>
      </c>
      <c r="AB4201">
        <v>0</v>
      </c>
      <c r="AC4201">
        <v>9</v>
      </c>
      <c r="AD4201">
        <v>3</v>
      </c>
      <c r="AE4201">
        <v>0</v>
      </c>
      <c r="AF4201">
        <v>9</v>
      </c>
      <c r="AG4201" t="s">
        <v>115</v>
      </c>
      <c r="AH4201">
        <v>0</v>
      </c>
      <c r="AI4201">
        <v>0</v>
      </c>
      <c r="AJ4201">
        <v>1</v>
      </c>
      <c r="AK4201">
        <v>0</v>
      </c>
      <c r="AL4201" t="s">
        <v>7265</v>
      </c>
      <c r="AM4201">
        <v>47.053564000000001</v>
      </c>
      <c r="AN4201" t="s">
        <v>7775</v>
      </c>
      <c r="AO4201">
        <v>-123.991141</v>
      </c>
      <c r="AP4201">
        <v>100</v>
      </c>
      <c r="AQ4201">
        <v>0</v>
      </c>
      <c r="AR4201" t="s">
        <v>118</v>
      </c>
      <c r="AS4201">
        <v>11</v>
      </c>
      <c r="AT4201">
        <v>-51</v>
      </c>
      <c r="AU4201">
        <v>640</v>
      </c>
      <c r="BC4201">
        <v>1200</v>
      </c>
      <c r="BD4201">
        <v>1</v>
      </c>
      <c r="BE4201" t="str">
        <f t="shared" si="197"/>
        <v xml:space="preserve">N215T   </v>
      </c>
      <c r="BF4201">
        <v>1</v>
      </c>
      <c r="BH4201">
        <v>0</v>
      </c>
      <c r="BI4201">
        <v>0</v>
      </c>
      <c r="BJ4201">
        <v>0</v>
      </c>
      <c r="BK4201">
        <v>400</v>
      </c>
      <c r="BL4201">
        <v>400</v>
      </c>
      <c r="BM4201" t="s">
        <v>119</v>
      </c>
      <c r="BN4201">
        <v>1</v>
      </c>
      <c r="BO4201">
        <v>1</v>
      </c>
      <c r="BP4201">
        <v>1</v>
      </c>
      <c r="BQ4201">
        <v>0</v>
      </c>
      <c r="BT4201">
        <v>0</v>
      </c>
      <c r="BU4201">
        <v>0</v>
      </c>
      <c r="BV4201">
        <v>0</v>
      </c>
      <c r="CC4201" t="str">
        <f>"19:45:22.805"</f>
        <v>19:45:22.805</v>
      </c>
      <c r="CD4201" t="str">
        <f>"801067675"</f>
        <v>801067675</v>
      </c>
      <c r="CQ4201">
        <v>0</v>
      </c>
      <c r="CR4201">
        <v>2</v>
      </c>
      <c r="CS4201">
        <v>0</v>
      </c>
      <c r="CT4201">
        <v>2</v>
      </c>
      <c r="CU4201">
        <v>0</v>
      </c>
      <c r="CV4201">
        <v>6</v>
      </c>
      <c r="CW4201" t="s">
        <v>120</v>
      </c>
      <c r="CX4201">
        <v>257</v>
      </c>
      <c r="CY4201">
        <v>0</v>
      </c>
      <c r="CZ4201" t="s">
        <v>615</v>
      </c>
      <c r="DA4201" t="s">
        <v>616</v>
      </c>
      <c r="DD4201">
        <v>16709216</v>
      </c>
      <c r="DE4201" t="s">
        <v>123</v>
      </c>
    </row>
    <row r="4202" spans="1:109" x14ac:dyDescent="0.3">
      <c r="A4202" t="str">
        <f>"19:45:24.180"</f>
        <v>19:45:24.180</v>
      </c>
      <c r="B4202" t="s">
        <v>110</v>
      </c>
      <c r="C4202" t="str">
        <f t="shared" si="198"/>
        <v>ffdfd3c0</v>
      </c>
      <c r="D4202" t="s">
        <v>111</v>
      </c>
      <c r="E4202">
        <v>18</v>
      </c>
      <c r="F4202">
        <v>1018</v>
      </c>
      <c r="G4202" t="s">
        <v>112</v>
      </c>
      <c r="J4202" t="s">
        <v>113</v>
      </c>
      <c r="K4202">
        <v>0</v>
      </c>
      <c r="L4202">
        <v>3</v>
      </c>
      <c r="M4202">
        <v>0</v>
      </c>
      <c r="N4202">
        <v>2</v>
      </c>
      <c r="O4202">
        <v>1</v>
      </c>
      <c r="P4202">
        <v>0</v>
      </c>
      <c r="Q4202">
        <v>0</v>
      </c>
      <c r="R4202" t="s">
        <v>114</v>
      </c>
      <c r="S4202" t="str">
        <f>"19:45:23.922"</f>
        <v>19:45:23.922</v>
      </c>
      <c r="T4202" t="str">
        <f>"19:45:23.922"</f>
        <v>19:45:23.922</v>
      </c>
      <c r="U4202" t="str">
        <f t="shared" si="196"/>
        <v>a1cdbe</v>
      </c>
      <c r="V4202">
        <v>0</v>
      </c>
      <c r="W4202">
        <v>0</v>
      </c>
      <c r="X4202">
        <v>2</v>
      </c>
      <c r="Y4202">
        <v>0</v>
      </c>
      <c r="Z4202">
        <v>0</v>
      </c>
      <c r="AB4202">
        <v>0</v>
      </c>
      <c r="AC4202">
        <v>9</v>
      </c>
      <c r="AD4202">
        <v>3</v>
      </c>
      <c r="AE4202">
        <v>0</v>
      </c>
      <c r="AF4202">
        <v>9</v>
      </c>
      <c r="AG4202" t="s">
        <v>115</v>
      </c>
      <c r="AH4202">
        <v>0</v>
      </c>
      <c r="AI4202">
        <v>0</v>
      </c>
      <c r="AJ4202">
        <v>1</v>
      </c>
      <c r="AK4202">
        <v>0</v>
      </c>
      <c r="AL4202" t="s">
        <v>7776</v>
      </c>
      <c r="AM4202">
        <v>47.053285000000002</v>
      </c>
      <c r="AN4202" t="s">
        <v>7618</v>
      </c>
      <c r="AO4202">
        <v>-123.991055</v>
      </c>
      <c r="AP4202">
        <v>100</v>
      </c>
      <c r="AQ4202">
        <v>0</v>
      </c>
      <c r="AR4202" t="s">
        <v>118</v>
      </c>
      <c r="AS4202">
        <v>13</v>
      </c>
      <c r="AT4202">
        <v>-50</v>
      </c>
      <c r="AU4202">
        <v>576</v>
      </c>
      <c r="BC4202">
        <v>1200</v>
      </c>
      <c r="BD4202">
        <v>1</v>
      </c>
      <c r="BE4202" t="str">
        <f t="shared" si="197"/>
        <v xml:space="preserve">N215T   </v>
      </c>
      <c r="BF4202">
        <v>1</v>
      </c>
      <c r="BH4202">
        <v>0</v>
      </c>
      <c r="BI4202">
        <v>0</v>
      </c>
      <c r="BJ4202">
        <v>0</v>
      </c>
      <c r="BK4202">
        <v>400</v>
      </c>
      <c r="BL4202">
        <v>400</v>
      </c>
      <c r="BM4202" t="s">
        <v>119</v>
      </c>
      <c r="BN4202">
        <v>1</v>
      </c>
      <c r="BO4202">
        <v>1</v>
      </c>
      <c r="BP4202">
        <v>1</v>
      </c>
      <c r="BQ4202">
        <v>0</v>
      </c>
      <c r="BT4202">
        <v>0</v>
      </c>
      <c r="BU4202">
        <v>0</v>
      </c>
      <c r="BV4202">
        <v>0</v>
      </c>
      <c r="CC4202" t="str">
        <f>"19:45:23.930"</f>
        <v>19:45:23.930</v>
      </c>
      <c r="CD4202" t="str">
        <f>"925956706"</f>
        <v>925956706</v>
      </c>
      <c r="CQ4202">
        <v>0</v>
      </c>
      <c r="CR4202">
        <v>2</v>
      </c>
      <c r="CS4202">
        <v>0</v>
      </c>
      <c r="CT4202">
        <v>2</v>
      </c>
      <c r="CU4202">
        <v>0</v>
      </c>
      <c r="CV4202">
        <v>6</v>
      </c>
      <c r="CW4202" t="s">
        <v>120</v>
      </c>
      <c r="CX4202">
        <v>257</v>
      </c>
      <c r="CY4202">
        <v>0</v>
      </c>
      <c r="CZ4202" t="s">
        <v>615</v>
      </c>
      <c r="DA4202" t="s">
        <v>616</v>
      </c>
      <c r="DD4202">
        <v>16709590</v>
      </c>
      <c r="DE4202" t="s">
        <v>123</v>
      </c>
    </row>
    <row r="4203" spans="1:109" x14ac:dyDescent="0.3">
      <c r="A4203" t="str">
        <f>"19:45:25.188"</f>
        <v>19:45:25.188</v>
      </c>
      <c r="B4203" t="s">
        <v>110</v>
      </c>
      <c r="C4203" t="str">
        <f t="shared" si="198"/>
        <v>ffdfd3c0</v>
      </c>
      <c r="D4203" t="s">
        <v>111</v>
      </c>
      <c r="E4203">
        <v>18</v>
      </c>
      <c r="F4203">
        <v>1018</v>
      </c>
      <c r="G4203" t="s">
        <v>112</v>
      </c>
      <c r="J4203" t="s">
        <v>113</v>
      </c>
      <c r="K4203">
        <v>0</v>
      </c>
      <c r="L4203">
        <v>3</v>
      </c>
      <c r="M4203">
        <v>0</v>
      </c>
      <c r="N4203">
        <v>2</v>
      </c>
      <c r="O4203">
        <v>1</v>
      </c>
      <c r="P4203">
        <v>0</v>
      </c>
      <c r="Q4203">
        <v>0</v>
      </c>
      <c r="R4203" t="s">
        <v>114</v>
      </c>
      <c r="S4203" t="str">
        <f>"19:45:24.930"</f>
        <v>19:45:24.930</v>
      </c>
      <c r="T4203" t="str">
        <f>"19:45:24.930"</f>
        <v>19:45:24.930</v>
      </c>
      <c r="U4203" t="str">
        <f t="shared" si="196"/>
        <v>a1cdbe</v>
      </c>
      <c r="V4203">
        <v>0</v>
      </c>
      <c r="W4203">
        <v>0</v>
      </c>
      <c r="X4203">
        <v>2</v>
      </c>
      <c r="Y4203">
        <v>0</v>
      </c>
      <c r="Z4203">
        <v>0</v>
      </c>
      <c r="AB4203">
        <v>0</v>
      </c>
      <c r="AC4203">
        <v>9</v>
      </c>
      <c r="AD4203">
        <v>3</v>
      </c>
      <c r="AE4203">
        <v>0</v>
      </c>
      <c r="AF4203">
        <v>9</v>
      </c>
      <c r="AG4203" t="s">
        <v>115</v>
      </c>
      <c r="AH4203">
        <v>0</v>
      </c>
      <c r="AI4203">
        <v>0</v>
      </c>
      <c r="AJ4203">
        <v>1</v>
      </c>
      <c r="AK4203">
        <v>0</v>
      </c>
      <c r="AL4203" t="s">
        <v>7777</v>
      </c>
      <c r="AM4203">
        <v>47.053069999999998</v>
      </c>
      <c r="AN4203" t="s">
        <v>7778</v>
      </c>
      <c r="AO4203">
        <v>-123.990948</v>
      </c>
      <c r="AP4203">
        <v>100</v>
      </c>
      <c r="AQ4203">
        <v>0</v>
      </c>
      <c r="AR4203" t="s">
        <v>118</v>
      </c>
      <c r="AS4203">
        <v>14</v>
      </c>
      <c r="AT4203">
        <v>-50</v>
      </c>
      <c r="AU4203">
        <v>640</v>
      </c>
      <c r="BC4203">
        <v>1200</v>
      </c>
      <c r="BD4203">
        <v>1</v>
      </c>
      <c r="BE4203" t="str">
        <f t="shared" si="197"/>
        <v xml:space="preserve">N215T   </v>
      </c>
      <c r="BF4203">
        <v>1</v>
      </c>
      <c r="BH4203">
        <v>0</v>
      </c>
      <c r="BI4203">
        <v>0</v>
      </c>
      <c r="BJ4203">
        <v>0</v>
      </c>
      <c r="BK4203">
        <v>425</v>
      </c>
      <c r="BL4203">
        <v>425</v>
      </c>
      <c r="BM4203" t="s">
        <v>119</v>
      </c>
      <c r="BN4203">
        <v>1</v>
      </c>
      <c r="BO4203">
        <v>1</v>
      </c>
      <c r="BP4203">
        <v>1</v>
      </c>
      <c r="BQ4203">
        <v>0</v>
      </c>
      <c r="BT4203">
        <v>0</v>
      </c>
      <c r="BU4203">
        <v>0</v>
      </c>
      <c r="BV4203">
        <v>0</v>
      </c>
      <c r="CC4203" t="str">
        <f>"19:45:24.930"</f>
        <v>19:45:24.930</v>
      </c>
      <c r="CD4203" t="str">
        <f>"930857581"</f>
        <v>930857581</v>
      </c>
      <c r="CQ4203">
        <v>0</v>
      </c>
      <c r="CR4203">
        <v>2</v>
      </c>
      <c r="CS4203">
        <v>0</v>
      </c>
      <c r="CT4203">
        <v>2</v>
      </c>
      <c r="CU4203">
        <v>0</v>
      </c>
      <c r="CV4203">
        <v>6</v>
      </c>
      <c r="CW4203" t="s">
        <v>120</v>
      </c>
      <c r="CX4203">
        <v>257</v>
      </c>
      <c r="CY4203">
        <v>0</v>
      </c>
      <c r="CZ4203" t="s">
        <v>615</v>
      </c>
      <c r="DA4203" t="s">
        <v>616</v>
      </c>
      <c r="DD4203">
        <v>16709894</v>
      </c>
      <c r="DE4203" t="s">
        <v>123</v>
      </c>
    </row>
    <row r="4204" spans="1:109" x14ac:dyDescent="0.3">
      <c r="A4204" t="str">
        <f>"19:45:26.289"</f>
        <v>19:45:26.289</v>
      </c>
      <c r="B4204" t="s">
        <v>110</v>
      </c>
      <c r="C4204" t="str">
        <f t="shared" si="198"/>
        <v>ffdfd3c0</v>
      </c>
      <c r="D4204" t="s">
        <v>111</v>
      </c>
      <c r="E4204">
        <v>18</v>
      </c>
      <c r="F4204">
        <v>1018</v>
      </c>
      <c r="G4204" t="s">
        <v>112</v>
      </c>
      <c r="J4204" t="s">
        <v>113</v>
      </c>
      <c r="K4204">
        <v>0</v>
      </c>
      <c r="L4204">
        <v>3</v>
      </c>
      <c r="M4204">
        <v>0</v>
      </c>
      <c r="N4204">
        <v>2</v>
      </c>
      <c r="O4204">
        <v>1</v>
      </c>
      <c r="P4204">
        <v>0</v>
      </c>
      <c r="Q4204">
        <v>0</v>
      </c>
      <c r="R4204" t="s">
        <v>114</v>
      </c>
      <c r="S4204" t="str">
        <f>"19:45:26.039"</f>
        <v>19:45:26.039</v>
      </c>
      <c r="T4204" t="str">
        <f>"19:45:25.539"</f>
        <v>19:45:25.539</v>
      </c>
      <c r="U4204" t="str">
        <f t="shared" si="196"/>
        <v>a1cdbe</v>
      </c>
      <c r="V4204">
        <v>0</v>
      </c>
      <c r="W4204">
        <v>0</v>
      </c>
      <c r="X4204">
        <v>2</v>
      </c>
      <c r="Y4204">
        <v>0</v>
      </c>
      <c r="Z4204">
        <v>0</v>
      </c>
      <c r="AB4204">
        <v>0</v>
      </c>
      <c r="AC4204">
        <v>9</v>
      </c>
      <c r="AD4204">
        <v>3</v>
      </c>
      <c r="AE4204">
        <v>0</v>
      </c>
      <c r="AF4204">
        <v>9</v>
      </c>
      <c r="AG4204" t="s">
        <v>115</v>
      </c>
      <c r="AH4204">
        <v>0</v>
      </c>
      <c r="AI4204">
        <v>0</v>
      </c>
      <c r="AJ4204">
        <v>1</v>
      </c>
      <c r="AK4204">
        <v>0</v>
      </c>
      <c r="AL4204" t="s">
        <v>7779</v>
      </c>
      <c r="AM4204">
        <v>47.052790999999999</v>
      </c>
      <c r="AN4204" t="s">
        <v>7780</v>
      </c>
      <c r="AO4204">
        <v>-123.99088399999999</v>
      </c>
      <c r="AP4204">
        <v>100</v>
      </c>
      <c r="AQ4204">
        <v>0</v>
      </c>
      <c r="AR4204" t="s">
        <v>118</v>
      </c>
      <c r="AS4204">
        <v>15</v>
      </c>
      <c r="AT4204">
        <v>-49</v>
      </c>
      <c r="AU4204">
        <v>576</v>
      </c>
      <c r="BC4204">
        <v>1200</v>
      </c>
      <c r="BD4204">
        <v>1</v>
      </c>
      <c r="BE4204" t="str">
        <f t="shared" si="197"/>
        <v xml:space="preserve">N215T   </v>
      </c>
      <c r="BF4204">
        <v>1</v>
      </c>
      <c r="BH4204">
        <v>0</v>
      </c>
      <c r="BI4204">
        <v>0</v>
      </c>
      <c r="BJ4204">
        <v>0</v>
      </c>
      <c r="BK4204">
        <v>425</v>
      </c>
      <c r="BL4204">
        <v>425</v>
      </c>
      <c r="BM4204" t="s">
        <v>119</v>
      </c>
      <c r="BN4204">
        <v>1</v>
      </c>
      <c r="BO4204">
        <v>1</v>
      </c>
      <c r="BP4204">
        <v>1</v>
      </c>
      <c r="BQ4204">
        <v>0</v>
      </c>
      <c r="BT4204">
        <v>0</v>
      </c>
      <c r="BU4204">
        <v>0</v>
      </c>
      <c r="BV4204">
        <v>0</v>
      </c>
      <c r="CC4204" t="str">
        <f>"19:45:26.039"</f>
        <v>19:45:26.039</v>
      </c>
      <c r="CD4204" t="str">
        <f>"040748104"</f>
        <v>040748104</v>
      </c>
      <c r="CQ4204">
        <v>0</v>
      </c>
      <c r="CR4204">
        <v>2</v>
      </c>
      <c r="CS4204">
        <v>0</v>
      </c>
      <c r="CT4204">
        <v>2</v>
      </c>
      <c r="CU4204">
        <v>0</v>
      </c>
      <c r="CV4204">
        <v>5</v>
      </c>
      <c r="CW4204" t="s">
        <v>120</v>
      </c>
      <c r="CX4204">
        <v>257</v>
      </c>
      <c r="CY4204">
        <v>0</v>
      </c>
      <c r="CZ4204" t="s">
        <v>615</v>
      </c>
      <c r="DA4204" t="s">
        <v>616</v>
      </c>
      <c r="DD4204">
        <v>16710258</v>
      </c>
      <c r="DE4204" t="s">
        <v>123</v>
      </c>
    </row>
    <row r="4205" spans="1:109" x14ac:dyDescent="0.3">
      <c r="A4205" t="str">
        <f>"19:45:27.344"</f>
        <v>19:45:27.344</v>
      </c>
      <c r="B4205" t="s">
        <v>110</v>
      </c>
      <c r="C4205" t="str">
        <f t="shared" si="198"/>
        <v>ffdfd3c0</v>
      </c>
      <c r="D4205" t="s">
        <v>111</v>
      </c>
      <c r="E4205">
        <v>18</v>
      </c>
      <c r="F4205">
        <v>1018</v>
      </c>
      <c r="G4205" t="s">
        <v>112</v>
      </c>
      <c r="J4205" t="s">
        <v>113</v>
      </c>
      <c r="K4205">
        <v>0</v>
      </c>
      <c r="L4205">
        <v>3</v>
      </c>
      <c r="M4205">
        <v>0</v>
      </c>
      <c r="N4205">
        <v>2</v>
      </c>
      <c r="O4205">
        <v>1</v>
      </c>
      <c r="P4205">
        <v>0</v>
      </c>
      <c r="Q4205">
        <v>0</v>
      </c>
      <c r="R4205" t="s">
        <v>114</v>
      </c>
      <c r="S4205" t="str">
        <f>"19:45:27.055"</f>
        <v>19:45:27.055</v>
      </c>
      <c r="T4205" t="str">
        <f>"19:45:26.953"</f>
        <v>19:45:26.953</v>
      </c>
      <c r="U4205" t="str">
        <f t="shared" si="196"/>
        <v>a1cdbe</v>
      </c>
      <c r="V4205">
        <v>0</v>
      </c>
      <c r="W4205">
        <v>0</v>
      </c>
      <c r="X4205">
        <v>2</v>
      </c>
      <c r="Y4205">
        <v>0</v>
      </c>
      <c r="Z4205">
        <v>0</v>
      </c>
      <c r="AB4205">
        <v>0</v>
      </c>
      <c r="AC4205">
        <v>9</v>
      </c>
      <c r="AD4205">
        <v>3</v>
      </c>
      <c r="AE4205">
        <v>0</v>
      </c>
      <c r="AF4205">
        <v>9</v>
      </c>
      <c r="AG4205" t="s">
        <v>115</v>
      </c>
      <c r="AH4205">
        <v>0</v>
      </c>
      <c r="AI4205">
        <v>0</v>
      </c>
      <c r="AJ4205">
        <v>1</v>
      </c>
      <c r="AK4205">
        <v>0</v>
      </c>
      <c r="AL4205" t="s">
        <v>7781</v>
      </c>
      <c r="AM4205">
        <v>47.052576999999999</v>
      </c>
      <c r="AN4205" t="s">
        <v>7782</v>
      </c>
      <c r="AO4205">
        <v>-123.990712</v>
      </c>
      <c r="AP4205">
        <v>100</v>
      </c>
      <c r="AQ4205">
        <v>100</v>
      </c>
      <c r="AR4205" t="s">
        <v>118</v>
      </c>
      <c r="AS4205">
        <v>17</v>
      </c>
      <c r="AT4205">
        <v>-49</v>
      </c>
      <c r="AU4205">
        <v>704</v>
      </c>
      <c r="BC4205">
        <v>1200</v>
      </c>
      <c r="BD4205">
        <v>1</v>
      </c>
      <c r="BE4205" t="str">
        <f t="shared" si="197"/>
        <v xml:space="preserve">N215T   </v>
      </c>
      <c r="BF4205">
        <v>1</v>
      </c>
      <c r="BH4205">
        <v>0</v>
      </c>
      <c r="BI4205">
        <v>0</v>
      </c>
      <c r="BJ4205">
        <v>0</v>
      </c>
      <c r="BK4205">
        <v>425</v>
      </c>
      <c r="BL4205">
        <v>325</v>
      </c>
      <c r="BM4205" t="s">
        <v>119</v>
      </c>
      <c r="BN4205">
        <v>1</v>
      </c>
      <c r="BO4205">
        <v>1</v>
      </c>
      <c r="BP4205">
        <v>1</v>
      </c>
      <c r="BQ4205">
        <v>0</v>
      </c>
      <c r="BT4205">
        <v>0</v>
      </c>
      <c r="BU4205">
        <v>0</v>
      </c>
      <c r="BV4205">
        <v>0</v>
      </c>
      <c r="CC4205" t="str">
        <f>"19:45:27.063"</f>
        <v>19:45:27.063</v>
      </c>
      <c r="CD4205" t="str">
        <f>"060647498"</f>
        <v>060647498</v>
      </c>
      <c r="CQ4205">
        <v>0</v>
      </c>
      <c r="CR4205">
        <v>2</v>
      </c>
      <c r="CS4205">
        <v>0</v>
      </c>
      <c r="CT4205">
        <v>2</v>
      </c>
      <c r="CU4205">
        <v>0</v>
      </c>
      <c r="CV4205">
        <v>6</v>
      </c>
      <c r="CW4205" t="s">
        <v>120</v>
      </c>
      <c r="CX4205">
        <v>257</v>
      </c>
      <c r="CY4205">
        <v>0</v>
      </c>
      <c r="CZ4205" t="s">
        <v>615</v>
      </c>
      <c r="DA4205" t="s">
        <v>616</v>
      </c>
      <c r="DD4205">
        <v>16710578</v>
      </c>
      <c r="DE4205" t="s">
        <v>123</v>
      </c>
    </row>
    <row r="4206" spans="1:109" x14ac:dyDescent="0.3">
      <c r="A4206" t="str">
        <f>"19:45:28.398"</f>
        <v>19:45:28.398</v>
      </c>
      <c r="B4206" t="s">
        <v>110</v>
      </c>
      <c r="C4206" t="str">
        <f t="shared" si="198"/>
        <v>ffdfd3c0</v>
      </c>
      <c r="D4206" t="s">
        <v>111</v>
      </c>
      <c r="E4206">
        <v>18</v>
      </c>
      <c r="F4206">
        <v>1018</v>
      </c>
      <c r="G4206" t="s">
        <v>112</v>
      </c>
      <c r="J4206" t="s">
        <v>113</v>
      </c>
      <c r="K4206">
        <v>0</v>
      </c>
      <c r="L4206">
        <v>3</v>
      </c>
      <c r="M4206">
        <v>0</v>
      </c>
      <c r="N4206">
        <v>2</v>
      </c>
      <c r="O4206">
        <v>1</v>
      </c>
      <c r="P4206">
        <v>0</v>
      </c>
      <c r="Q4206">
        <v>0</v>
      </c>
      <c r="R4206" t="s">
        <v>114</v>
      </c>
      <c r="S4206" t="str">
        <f>"19:45:28.133"</f>
        <v>19:45:28.133</v>
      </c>
      <c r="T4206" t="str">
        <f>"19:45:28.031"</f>
        <v>19:45:28.031</v>
      </c>
      <c r="U4206" t="str">
        <f t="shared" si="196"/>
        <v>a1cdbe</v>
      </c>
      <c r="V4206">
        <v>0</v>
      </c>
      <c r="W4206">
        <v>0</v>
      </c>
      <c r="X4206">
        <v>2</v>
      </c>
      <c r="Y4206">
        <v>0</v>
      </c>
      <c r="Z4206">
        <v>0</v>
      </c>
      <c r="AB4206">
        <v>0</v>
      </c>
      <c r="AC4206">
        <v>9</v>
      </c>
      <c r="AD4206">
        <v>3</v>
      </c>
      <c r="AE4206">
        <v>0</v>
      </c>
      <c r="AF4206">
        <v>9</v>
      </c>
      <c r="AG4206" t="s">
        <v>115</v>
      </c>
      <c r="AH4206">
        <v>0</v>
      </c>
      <c r="AI4206">
        <v>0</v>
      </c>
      <c r="AJ4206">
        <v>1</v>
      </c>
      <c r="AK4206">
        <v>0</v>
      </c>
      <c r="AL4206" t="s">
        <v>549</v>
      </c>
      <c r="AM4206">
        <v>47.052340999999998</v>
      </c>
      <c r="AN4206" t="s">
        <v>7783</v>
      </c>
      <c r="AO4206">
        <v>-123.990605</v>
      </c>
      <c r="AP4206">
        <v>100</v>
      </c>
      <c r="AQ4206">
        <v>100</v>
      </c>
      <c r="AR4206" t="s">
        <v>118</v>
      </c>
      <c r="AS4206">
        <v>15</v>
      </c>
      <c r="AT4206">
        <v>-48</v>
      </c>
      <c r="AU4206">
        <v>768</v>
      </c>
      <c r="BC4206">
        <v>1200</v>
      </c>
      <c r="BD4206">
        <v>1</v>
      </c>
      <c r="BE4206" t="str">
        <f t="shared" si="197"/>
        <v xml:space="preserve">N215T   </v>
      </c>
      <c r="BF4206">
        <v>1</v>
      </c>
      <c r="BH4206">
        <v>0</v>
      </c>
      <c r="BI4206">
        <v>0</v>
      </c>
      <c r="BJ4206">
        <v>0</v>
      </c>
      <c r="BK4206">
        <v>450</v>
      </c>
      <c r="BL4206">
        <v>350</v>
      </c>
      <c r="BM4206" t="s">
        <v>119</v>
      </c>
      <c r="BN4206">
        <v>1</v>
      </c>
      <c r="BO4206">
        <v>1</v>
      </c>
      <c r="BP4206">
        <v>1</v>
      </c>
      <c r="BQ4206">
        <v>0</v>
      </c>
      <c r="BT4206">
        <v>0</v>
      </c>
      <c r="BU4206">
        <v>0</v>
      </c>
      <c r="BV4206">
        <v>0</v>
      </c>
      <c r="CC4206" t="str">
        <f>"19:45:28.141"</f>
        <v>19:45:28.141</v>
      </c>
      <c r="CD4206" t="str">
        <f>"140540976"</f>
        <v>140540976</v>
      </c>
      <c r="CQ4206">
        <v>0</v>
      </c>
      <c r="CR4206">
        <v>2</v>
      </c>
      <c r="CS4206">
        <v>0</v>
      </c>
      <c r="CT4206">
        <v>2</v>
      </c>
      <c r="CU4206">
        <v>0</v>
      </c>
      <c r="CV4206">
        <v>6</v>
      </c>
      <c r="CW4206" t="s">
        <v>120</v>
      </c>
      <c r="CX4206">
        <v>257</v>
      </c>
      <c r="CY4206">
        <v>0</v>
      </c>
      <c r="CZ4206" t="s">
        <v>615</v>
      </c>
      <c r="DA4206" t="s">
        <v>616</v>
      </c>
      <c r="DD4206">
        <v>16710917</v>
      </c>
      <c r="DE4206" t="s">
        <v>123</v>
      </c>
    </row>
    <row r="4207" spans="1:109" x14ac:dyDescent="0.3">
      <c r="A4207" t="str">
        <f>"19:45:29.305"</f>
        <v>19:45:29.305</v>
      </c>
      <c r="B4207" t="s">
        <v>110</v>
      </c>
      <c r="C4207" t="str">
        <f t="shared" si="198"/>
        <v>ffdfd3c0</v>
      </c>
      <c r="D4207" t="s">
        <v>111</v>
      </c>
      <c r="E4207">
        <v>18</v>
      </c>
      <c r="F4207">
        <v>1018</v>
      </c>
      <c r="G4207" t="s">
        <v>112</v>
      </c>
      <c r="J4207" t="s">
        <v>113</v>
      </c>
      <c r="K4207">
        <v>0</v>
      </c>
      <c r="L4207">
        <v>3</v>
      </c>
      <c r="M4207">
        <v>0</v>
      </c>
      <c r="N4207">
        <v>2</v>
      </c>
      <c r="O4207">
        <v>1</v>
      </c>
      <c r="P4207">
        <v>0</v>
      </c>
      <c r="Q4207">
        <v>0</v>
      </c>
      <c r="R4207" t="s">
        <v>114</v>
      </c>
      <c r="S4207" t="str">
        <f>"19:45:29.094"</f>
        <v>19:45:29.094</v>
      </c>
      <c r="T4207" t="str">
        <f>"19:45:28.594"</f>
        <v>19:45:28.594</v>
      </c>
      <c r="U4207" t="str">
        <f t="shared" si="196"/>
        <v>a1cdbe</v>
      </c>
      <c r="V4207">
        <v>0</v>
      </c>
      <c r="W4207">
        <v>0</v>
      </c>
      <c r="X4207">
        <v>2</v>
      </c>
      <c r="Y4207">
        <v>0</v>
      </c>
      <c r="Z4207">
        <v>0</v>
      </c>
      <c r="AB4207">
        <v>0</v>
      </c>
      <c r="AC4207">
        <v>9</v>
      </c>
      <c r="AD4207">
        <v>3</v>
      </c>
      <c r="AE4207">
        <v>0</v>
      </c>
      <c r="AF4207">
        <v>9</v>
      </c>
      <c r="AG4207" t="s">
        <v>115</v>
      </c>
      <c r="AH4207">
        <v>0</v>
      </c>
      <c r="AI4207">
        <v>0</v>
      </c>
      <c r="AJ4207">
        <v>1</v>
      </c>
      <c r="AK4207">
        <v>0</v>
      </c>
      <c r="AL4207" t="s">
        <v>7784</v>
      </c>
      <c r="AM4207">
        <v>47.052168999999999</v>
      </c>
      <c r="AN4207" t="s">
        <v>7785</v>
      </c>
      <c r="AO4207">
        <v>-123.990498</v>
      </c>
      <c r="AP4207">
        <v>100</v>
      </c>
      <c r="AQ4207">
        <v>100</v>
      </c>
      <c r="AR4207" t="s">
        <v>118</v>
      </c>
      <c r="AS4207">
        <v>14</v>
      </c>
      <c r="AT4207">
        <v>-46</v>
      </c>
      <c r="AU4207">
        <v>1088</v>
      </c>
      <c r="BC4207">
        <v>1200</v>
      </c>
      <c r="BD4207">
        <v>1</v>
      </c>
      <c r="BE4207" t="str">
        <f t="shared" si="197"/>
        <v xml:space="preserve">N215T   </v>
      </c>
      <c r="BF4207">
        <v>1</v>
      </c>
      <c r="BH4207">
        <v>0</v>
      </c>
      <c r="BI4207">
        <v>0</v>
      </c>
      <c r="BJ4207">
        <v>0</v>
      </c>
      <c r="BK4207">
        <v>450</v>
      </c>
      <c r="BL4207">
        <v>350</v>
      </c>
      <c r="BM4207" t="s">
        <v>119</v>
      </c>
      <c r="BN4207">
        <v>1</v>
      </c>
      <c r="BO4207">
        <v>1</v>
      </c>
      <c r="BP4207">
        <v>1</v>
      </c>
      <c r="BQ4207">
        <v>0</v>
      </c>
      <c r="BT4207">
        <v>0</v>
      </c>
      <c r="BU4207">
        <v>0</v>
      </c>
      <c r="BV4207">
        <v>0</v>
      </c>
      <c r="CC4207" t="str">
        <f>"19:45:29.102"</f>
        <v>19:45:29.102</v>
      </c>
      <c r="CD4207" t="str">
        <f>"100446285"</f>
        <v>100446285</v>
      </c>
      <c r="CQ4207">
        <v>0</v>
      </c>
      <c r="CR4207">
        <v>2</v>
      </c>
      <c r="CS4207">
        <v>0</v>
      </c>
      <c r="CT4207">
        <v>2</v>
      </c>
      <c r="CU4207">
        <v>0</v>
      </c>
      <c r="CV4207">
        <v>6</v>
      </c>
      <c r="CW4207" t="s">
        <v>120</v>
      </c>
      <c r="CX4207">
        <v>257</v>
      </c>
      <c r="CY4207">
        <v>0</v>
      </c>
      <c r="CZ4207" t="s">
        <v>615</v>
      </c>
      <c r="DA4207" t="s">
        <v>616</v>
      </c>
      <c r="DD4207">
        <v>16711213</v>
      </c>
      <c r="DE4207" t="s">
        <v>123</v>
      </c>
    </row>
    <row r="4208" spans="1:109" x14ac:dyDescent="0.3">
      <c r="A4208" t="str">
        <f>"19:45:30.313"</f>
        <v>19:45:30.313</v>
      </c>
      <c r="B4208" t="s">
        <v>110</v>
      </c>
      <c r="C4208" t="str">
        <f t="shared" si="198"/>
        <v>ffdfd3c0</v>
      </c>
      <c r="D4208" t="s">
        <v>111</v>
      </c>
      <c r="E4208">
        <v>18</v>
      </c>
      <c r="F4208">
        <v>1018</v>
      </c>
      <c r="G4208" t="s">
        <v>112</v>
      </c>
      <c r="J4208" t="s">
        <v>113</v>
      </c>
      <c r="K4208">
        <v>0</v>
      </c>
      <c r="L4208">
        <v>3</v>
      </c>
      <c r="M4208">
        <v>0</v>
      </c>
      <c r="N4208">
        <v>2</v>
      </c>
      <c r="O4208">
        <v>1</v>
      </c>
      <c r="P4208">
        <v>0</v>
      </c>
      <c r="Q4208">
        <v>0</v>
      </c>
      <c r="R4208" t="s">
        <v>114</v>
      </c>
      <c r="S4208" t="str">
        <f>"19:45:30.055"</f>
        <v>19:45:30.055</v>
      </c>
      <c r="T4208" t="str">
        <f>"19:45:29.656"</f>
        <v>19:45:29.656</v>
      </c>
      <c r="U4208" t="str">
        <f t="shared" si="196"/>
        <v>a1cdbe</v>
      </c>
      <c r="V4208">
        <v>0</v>
      </c>
      <c r="W4208">
        <v>0</v>
      </c>
      <c r="X4208">
        <v>2</v>
      </c>
      <c r="Y4208">
        <v>0</v>
      </c>
      <c r="Z4208">
        <v>0</v>
      </c>
      <c r="AB4208">
        <v>0</v>
      </c>
      <c r="AC4208">
        <v>9</v>
      </c>
      <c r="AD4208">
        <v>3</v>
      </c>
      <c r="AE4208">
        <v>0</v>
      </c>
      <c r="AF4208">
        <v>9</v>
      </c>
      <c r="AG4208" t="s">
        <v>115</v>
      </c>
      <c r="AH4208">
        <v>0</v>
      </c>
      <c r="AI4208">
        <v>0</v>
      </c>
      <c r="AJ4208">
        <v>1</v>
      </c>
      <c r="AK4208">
        <v>0</v>
      </c>
      <c r="AL4208" t="s">
        <v>551</v>
      </c>
      <c r="AM4208">
        <v>47.051932999999998</v>
      </c>
      <c r="AN4208" t="s">
        <v>7786</v>
      </c>
      <c r="AO4208">
        <v>-123.99039</v>
      </c>
      <c r="AP4208">
        <v>100</v>
      </c>
      <c r="AQ4208">
        <v>100</v>
      </c>
      <c r="AR4208" t="s">
        <v>118</v>
      </c>
      <c r="AS4208">
        <v>15</v>
      </c>
      <c r="AT4208">
        <v>-45</v>
      </c>
      <c r="AU4208">
        <v>768</v>
      </c>
      <c r="BC4208">
        <v>1200</v>
      </c>
      <c r="BD4208">
        <v>1</v>
      </c>
      <c r="BE4208" t="str">
        <f t="shared" si="197"/>
        <v xml:space="preserve">N215T   </v>
      </c>
      <c r="BF4208">
        <v>1</v>
      </c>
      <c r="BH4208">
        <v>0</v>
      </c>
      <c r="BI4208">
        <v>0</v>
      </c>
      <c r="BJ4208">
        <v>0</v>
      </c>
      <c r="BK4208">
        <v>475</v>
      </c>
      <c r="BL4208">
        <v>375</v>
      </c>
      <c r="BM4208" t="s">
        <v>119</v>
      </c>
      <c r="BN4208">
        <v>1</v>
      </c>
      <c r="BO4208">
        <v>1</v>
      </c>
      <c r="BP4208">
        <v>1</v>
      </c>
      <c r="BQ4208">
        <v>0</v>
      </c>
      <c r="BT4208">
        <v>0</v>
      </c>
      <c r="BU4208">
        <v>0</v>
      </c>
      <c r="BV4208">
        <v>0</v>
      </c>
      <c r="CC4208" t="str">
        <f>"19:45:30.063"</f>
        <v>19:45:30.063</v>
      </c>
      <c r="CD4208" t="str">
        <f>"060351612"</f>
        <v>060351612</v>
      </c>
      <c r="CQ4208">
        <v>0</v>
      </c>
      <c r="CR4208">
        <v>2</v>
      </c>
      <c r="CS4208">
        <v>0</v>
      </c>
      <c r="CT4208">
        <v>2</v>
      </c>
      <c r="CU4208">
        <v>0</v>
      </c>
      <c r="CV4208">
        <v>6</v>
      </c>
      <c r="CW4208" t="s">
        <v>120</v>
      </c>
      <c r="CX4208">
        <v>257</v>
      </c>
      <c r="CY4208">
        <v>0</v>
      </c>
      <c r="CZ4208" t="s">
        <v>615</v>
      </c>
      <c r="DA4208" t="s">
        <v>616</v>
      </c>
      <c r="DD4208">
        <v>16711512</v>
      </c>
      <c r="DE4208" t="s">
        <v>123</v>
      </c>
    </row>
    <row r="4209" spans="1:109" x14ac:dyDescent="0.3">
      <c r="A4209" t="str">
        <f>"19:45:31.164"</f>
        <v>19:45:31.164</v>
      </c>
      <c r="B4209" t="s">
        <v>110</v>
      </c>
      <c r="C4209" t="str">
        <f t="shared" si="198"/>
        <v>ffdfd3c0</v>
      </c>
      <c r="D4209" t="s">
        <v>111</v>
      </c>
      <c r="E4209">
        <v>18</v>
      </c>
      <c r="F4209">
        <v>1018</v>
      </c>
      <c r="G4209" t="s">
        <v>112</v>
      </c>
      <c r="J4209" t="s">
        <v>113</v>
      </c>
      <c r="K4209">
        <v>0</v>
      </c>
      <c r="L4209">
        <v>3</v>
      </c>
      <c r="M4209">
        <v>0</v>
      </c>
      <c r="N4209">
        <v>2</v>
      </c>
      <c r="O4209">
        <v>1</v>
      </c>
      <c r="P4209">
        <v>0</v>
      </c>
      <c r="Q4209">
        <v>0</v>
      </c>
      <c r="R4209" t="s">
        <v>114</v>
      </c>
      <c r="S4209" t="str">
        <f>"19:45:30.953"</f>
        <v>19:45:30.953</v>
      </c>
      <c r="T4209" t="str">
        <f>"19:45:30.656"</f>
        <v>19:45:30.656</v>
      </c>
      <c r="U4209" t="str">
        <f t="shared" si="196"/>
        <v>a1cdbe</v>
      </c>
      <c r="V4209">
        <v>0</v>
      </c>
      <c r="W4209">
        <v>0</v>
      </c>
      <c r="X4209">
        <v>2</v>
      </c>
      <c r="Y4209">
        <v>0</v>
      </c>
      <c r="Z4209">
        <v>0</v>
      </c>
      <c r="AB4209">
        <v>0</v>
      </c>
      <c r="AC4209">
        <v>9</v>
      </c>
      <c r="AD4209">
        <v>3</v>
      </c>
      <c r="AE4209">
        <v>0</v>
      </c>
      <c r="AF4209">
        <v>9</v>
      </c>
      <c r="AG4209" t="s">
        <v>115</v>
      </c>
      <c r="AH4209">
        <v>0</v>
      </c>
      <c r="AI4209">
        <v>0</v>
      </c>
      <c r="AJ4209">
        <v>1</v>
      </c>
      <c r="AK4209">
        <v>0</v>
      </c>
      <c r="AL4209" t="s">
        <v>7787</v>
      </c>
      <c r="AM4209">
        <v>47.051783</v>
      </c>
      <c r="AN4209" t="s">
        <v>7559</v>
      </c>
      <c r="AO4209">
        <v>-123.99028300000001</v>
      </c>
      <c r="AP4209">
        <v>100</v>
      </c>
      <c r="AQ4209">
        <v>100</v>
      </c>
      <c r="AR4209" t="s">
        <v>118</v>
      </c>
      <c r="AS4209">
        <v>19</v>
      </c>
      <c r="AT4209">
        <v>-41</v>
      </c>
      <c r="AU4209">
        <v>768</v>
      </c>
      <c r="BC4209">
        <v>1200</v>
      </c>
      <c r="BD4209">
        <v>1</v>
      </c>
      <c r="BE4209" t="str">
        <f t="shared" si="197"/>
        <v xml:space="preserve">N215T   </v>
      </c>
      <c r="BF4209">
        <v>1</v>
      </c>
      <c r="BH4209">
        <v>0</v>
      </c>
      <c r="BI4209">
        <v>0</v>
      </c>
      <c r="BJ4209">
        <v>0</v>
      </c>
      <c r="BK4209">
        <v>500</v>
      </c>
      <c r="BL4209">
        <v>400</v>
      </c>
      <c r="BM4209" t="s">
        <v>119</v>
      </c>
      <c r="BN4209">
        <v>1</v>
      </c>
      <c r="BO4209">
        <v>1</v>
      </c>
      <c r="BP4209">
        <v>1</v>
      </c>
      <c r="BQ4209">
        <v>0</v>
      </c>
      <c r="BT4209">
        <v>0</v>
      </c>
      <c r="BU4209">
        <v>0</v>
      </c>
      <c r="BV4209">
        <v>0</v>
      </c>
      <c r="CC4209" t="str">
        <f>"19:45:30.961"</f>
        <v>19:45:30.961</v>
      </c>
      <c r="CD4209" t="str">
        <f>"960262858"</f>
        <v>960262858</v>
      </c>
      <c r="CQ4209">
        <v>0</v>
      </c>
      <c r="CR4209">
        <v>2</v>
      </c>
      <c r="CS4209">
        <v>0</v>
      </c>
      <c r="CT4209">
        <v>2</v>
      </c>
      <c r="CU4209">
        <v>0</v>
      </c>
      <c r="CV4209">
        <v>6</v>
      </c>
      <c r="CW4209" t="s">
        <v>120</v>
      </c>
      <c r="CX4209">
        <v>257</v>
      </c>
      <c r="CY4209">
        <v>0</v>
      </c>
      <c r="CZ4209" t="s">
        <v>615</v>
      </c>
      <c r="DA4209" t="s">
        <v>616</v>
      </c>
      <c r="DD4209">
        <v>16711803</v>
      </c>
      <c r="DE4209" t="s">
        <v>123</v>
      </c>
    </row>
    <row r="4210" spans="1:109" x14ac:dyDescent="0.3">
      <c r="A4210" t="str">
        <f>"19:45:32.273"</f>
        <v>19:45:32.273</v>
      </c>
      <c r="B4210" t="s">
        <v>110</v>
      </c>
      <c r="C4210" t="str">
        <f t="shared" si="198"/>
        <v>ffdfd3c0</v>
      </c>
      <c r="D4210" t="s">
        <v>111</v>
      </c>
      <c r="E4210">
        <v>18</v>
      </c>
      <c r="F4210">
        <v>1018</v>
      </c>
      <c r="G4210" t="s">
        <v>112</v>
      </c>
      <c r="J4210" t="s">
        <v>113</v>
      </c>
      <c r="K4210">
        <v>0</v>
      </c>
      <c r="L4210">
        <v>3</v>
      </c>
      <c r="M4210">
        <v>0</v>
      </c>
      <c r="N4210">
        <v>2</v>
      </c>
      <c r="O4210">
        <v>1</v>
      </c>
      <c r="P4210">
        <v>0</v>
      </c>
      <c r="Q4210">
        <v>0</v>
      </c>
      <c r="R4210" t="s">
        <v>114</v>
      </c>
      <c r="S4210" t="str">
        <f>"19:45:32.039"</f>
        <v>19:45:32.039</v>
      </c>
      <c r="T4210" t="str">
        <f>"19:45:32.039"</f>
        <v>19:45:32.039</v>
      </c>
      <c r="U4210" t="str">
        <f t="shared" si="196"/>
        <v>a1cdbe</v>
      </c>
      <c r="V4210">
        <v>0</v>
      </c>
      <c r="W4210">
        <v>0</v>
      </c>
      <c r="X4210">
        <v>2</v>
      </c>
      <c r="Y4210">
        <v>0</v>
      </c>
      <c r="Z4210">
        <v>0</v>
      </c>
      <c r="AB4210">
        <v>0</v>
      </c>
      <c r="AC4210">
        <v>9</v>
      </c>
      <c r="AD4210">
        <v>3</v>
      </c>
      <c r="AE4210">
        <v>0</v>
      </c>
      <c r="AF4210">
        <v>9</v>
      </c>
      <c r="AG4210" t="s">
        <v>115</v>
      </c>
      <c r="AH4210">
        <v>0</v>
      </c>
      <c r="AI4210">
        <v>0</v>
      </c>
      <c r="AJ4210">
        <v>1</v>
      </c>
      <c r="AK4210">
        <v>0</v>
      </c>
      <c r="AL4210" t="s">
        <v>7239</v>
      </c>
      <c r="AM4210">
        <v>47.051611000000001</v>
      </c>
      <c r="AN4210" t="s">
        <v>7788</v>
      </c>
      <c r="AO4210">
        <v>-123.990111</v>
      </c>
      <c r="AP4210">
        <v>100</v>
      </c>
      <c r="AQ4210">
        <v>100</v>
      </c>
      <c r="AR4210" t="s">
        <v>118</v>
      </c>
      <c r="AS4210">
        <v>26</v>
      </c>
      <c r="AT4210">
        <v>-33</v>
      </c>
      <c r="AU4210">
        <v>832</v>
      </c>
      <c r="BC4210">
        <v>1200</v>
      </c>
      <c r="BD4210">
        <v>1</v>
      </c>
      <c r="BE4210" t="str">
        <f t="shared" si="197"/>
        <v xml:space="preserve">N215T   </v>
      </c>
      <c r="BF4210">
        <v>1</v>
      </c>
      <c r="BH4210">
        <v>0</v>
      </c>
      <c r="BI4210">
        <v>0</v>
      </c>
      <c r="BJ4210">
        <v>0</v>
      </c>
      <c r="BK4210">
        <v>500</v>
      </c>
      <c r="BL4210">
        <v>400</v>
      </c>
      <c r="BM4210" t="s">
        <v>119</v>
      </c>
      <c r="BN4210">
        <v>1</v>
      </c>
      <c r="BO4210">
        <v>1</v>
      </c>
      <c r="BP4210">
        <v>1</v>
      </c>
      <c r="BQ4210">
        <v>0</v>
      </c>
      <c r="BT4210">
        <v>0</v>
      </c>
      <c r="BU4210">
        <v>0</v>
      </c>
      <c r="BV4210">
        <v>0</v>
      </c>
      <c r="CC4210" t="str">
        <f>"19:45:32.039"</f>
        <v>19:45:32.039</v>
      </c>
      <c r="CD4210" t="str">
        <f>"040156351"</f>
        <v>040156351</v>
      </c>
      <c r="CQ4210">
        <v>0</v>
      </c>
      <c r="CR4210">
        <v>2</v>
      </c>
      <c r="CS4210">
        <v>0</v>
      </c>
      <c r="CT4210">
        <v>2</v>
      </c>
      <c r="CU4210">
        <v>0</v>
      </c>
      <c r="CV4210">
        <v>6</v>
      </c>
      <c r="CW4210" t="s">
        <v>120</v>
      </c>
      <c r="CX4210">
        <v>257</v>
      </c>
      <c r="CY4210">
        <v>0</v>
      </c>
      <c r="CZ4210" t="s">
        <v>615</v>
      </c>
      <c r="DA4210" t="s">
        <v>616</v>
      </c>
      <c r="DD4210">
        <v>16712142</v>
      </c>
      <c r="DE4210" t="s">
        <v>123</v>
      </c>
    </row>
    <row r="4211" spans="1:109" x14ac:dyDescent="0.3">
      <c r="A4211" t="str">
        <f>"19:45:33.273"</f>
        <v>19:45:33.273</v>
      </c>
      <c r="B4211" t="s">
        <v>110</v>
      </c>
      <c r="C4211" t="str">
        <f t="shared" si="198"/>
        <v>ffdfd3c0</v>
      </c>
      <c r="D4211" t="s">
        <v>111</v>
      </c>
      <c r="E4211">
        <v>18</v>
      </c>
      <c r="F4211">
        <v>1018</v>
      </c>
      <c r="G4211" t="s">
        <v>112</v>
      </c>
      <c r="J4211" t="s">
        <v>113</v>
      </c>
      <c r="K4211">
        <v>0</v>
      </c>
      <c r="L4211">
        <v>3</v>
      </c>
      <c r="M4211">
        <v>0</v>
      </c>
      <c r="N4211">
        <v>2</v>
      </c>
      <c r="O4211">
        <v>1</v>
      </c>
      <c r="P4211">
        <v>0</v>
      </c>
      <c r="Q4211">
        <v>0</v>
      </c>
      <c r="R4211" t="s">
        <v>114</v>
      </c>
      <c r="S4211" t="str">
        <f>"19:45:33.070"</f>
        <v>19:45:33.070</v>
      </c>
      <c r="T4211" t="str">
        <f>"19:45:32.570"</f>
        <v>19:45:32.570</v>
      </c>
      <c r="U4211" t="str">
        <f t="shared" si="196"/>
        <v>a1cdbe</v>
      </c>
      <c r="V4211">
        <v>0</v>
      </c>
      <c r="W4211">
        <v>0</v>
      </c>
      <c r="X4211">
        <v>2</v>
      </c>
      <c r="Y4211">
        <v>0</v>
      </c>
      <c r="Z4211">
        <v>0</v>
      </c>
      <c r="AB4211">
        <v>0</v>
      </c>
      <c r="AC4211">
        <v>9</v>
      </c>
      <c r="AD4211">
        <v>3</v>
      </c>
      <c r="AE4211">
        <v>0</v>
      </c>
      <c r="AF4211">
        <v>9</v>
      </c>
      <c r="AG4211" t="s">
        <v>115</v>
      </c>
      <c r="AH4211">
        <v>0</v>
      </c>
      <c r="AI4211">
        <v>0</v>
      </c>
      <c r="AJ4211">
        <v>1</v>
      </c>
      <c r="AK4211">
        <v>0</v>
      </c>
      <c r="AL4211" t="s">
        <v>7237</v>
      </c>
      <c r="AM4211">
        <v>47.051461000000003</v>
      </c>
      <c r="AN4211" t="s">
        <v>7328</v>
      </c>
      <c r="AO4211">
        <v>-123.989875</v>
      </c>
      <c r="AP4211">
        <v>100</v>
      </c>
      <c r="AQ4211">
        <v>100</v>
      </c>
      <c r="AR4211" t="s">
        <v>118</v>
      </c>
      <c r="AS4211">
        <v>28</v>
      </c>
      <c r="AT4211">
        <v>-31</v>
      </c>
      <c r="AU4211">
        <v>704</v>
      </c>
      <c r="BC4211">
        <v>1200</v>
      </c>
      <c r="BD4211">
        <v>1</v>
      </c>
      <c r="BE4211" t="str">
        <f t="shared" si="197"/>
        <v xml:space="preserve">N215T   </v>
      </c>
      <c r="BF4211">
        <v>1</v>
      </c>
      <c r="BH4211">
        <v>0</v>
      </c>
      <c r="BI4211">
        <v>0</v>
      </c>
      <c r="BJ4211">
        <v>0</v>
      </c>
      <c r="BK4211">
        <v>500</v>
      </c>
      <c r="BL4211">
        <v>400</v>
      </c>
      <c r="BM4211" t="s">
        <v>119</v>
      </c>
      <c r="BN4211">
        <v>1</v>
      </c>
      <c r="BO4211">
        <v>1</v>
      </c>
      <c r="BP4211">
        <v>1</v>
      </c>
      <c r="BQ4211">
        <v>0</v>
      </c>
      <c r="BT4211">
        <v>0</v>
      </c>
      <c r="BU4211">
        <v>0</v>
      </c>
      <c r="BV4211">
        <v>0</v>
      </c>
      <c r="CC4211" t="str">
        <f>"19:45:33.078"</f>
        <v>19:45:33.078</v>
      </c>
      <c r="CD4211" t="str">
        <f>"075054300"</f>
        <v>075054300</v>
      </c>
      <c r="CQ4211">
        <v>0</v>
      </c>
      <c r="CR4211">
        <v>2</v>
      </c>
      <c r="CS4211">
        <v>0</v>
      </c>
      <c r="CT4211">
        <v>2</v>
      </c>
      <c r="CU4211">
        <v>0</v>
      </c>
      <c r="CV4211">
        <v>6</v>
      </c>
      <c r="CW4211" t="s">
        <v>120</v>
      </c>
      <c r="CX4211">
        <v>257</v>
      </c>
      <c r="CY4211">
        <v>0</v>
      </c>
      <c r="CZ4211" t="s">
        <v>615</v>
      </c>
      <c r="DA4211" t="s">
        <v>616</v>
      </c>
      <c r="DD4211">
        <v>16712472</v>
      </c>
      <c r="DE4211" t="s">
        <v>123</v>
      </c>
    </row>
    <row r="4212" spans="1:109" x14ac:dyDescent="0.3">
      <c r="A4212" t="str">
        <f>"19:45:34.281"</f>
        <v>19:45:34.281</v>
      </c>
      <c r="B4212" t="s">
        <v>110</v>
      </c>
      <c r="C4212" t="str">
        <f t="shared" si="198"/>
        <v>ffdfd3c0</v>
      </c>
      <c r="D4212" t="s">
        <v>111</v>
      </c>
      <c r="E4212">
        <v>18</v>
      </c>
      <c r="F4212">
        <v>1018</v>
      </c>
      <c r="G4212" t="s">
        <v>112</v>
      </c>
      <c r="J4212" t="s">
        <v>113</v>
      </c>
      <c r="K4212">
        <v>0</v>
      </c>
      <c r="L4212">
        <v>3</v>
      </c>
      <c r="M4212">
        <v>0</v>
      </c>
      <c r="N4212">
        <v>2</v>
      </c>
      <c r="O4212">
        <v>1</v>
      </c>
      <c r="P4212">
        <v>0</v>
      </c>
      <c r="Q4212">
        <v>0</v>
      </c>
      <c r="R4212" t="s">
        <v>114</v>
      </c>
      <c r="S4212" t="str">
        <f>"19:45:34.016"</f>
        <v>19:45:34.016</v>
      </c>
      <c r="T4212" t="str">
        <f>"19:45:33.719"</f>
        <v>19:45:33.719</v>
      </c>
      <c r="U4212" t="str">
        <f t="shared" si="196"/>
        <v>a1cdbe</v>
      </c>
      <c r="V4212">
        <v>0</v>
      </c>
      <c r="W4212">
        <v>0</v>
      </c>
      <c r="X4212">
        <v>2</v>
      </c>
      <c r="Y4212">
        <v>0</v>
      </c>
      <c r="Z4212">
        <v>0</v>
      </c>
      <c r="AB4212">
        <v>0</v>
      </c>
      <c r="AC4212">
        <v>9</v>
      </c>
      <c r="AD4212">
        <v>3</v>
      </c>
      <c r="AE4212">
        <v>0</v>
      </c>
      <c r="AF4212">
        <v>9</v>
      </c>
      <c r="AG4212" t="s">
        <v>115</v>
      </c>
      <c r="AH4212">
        <v>0</v>
      </c>
      <c r="AI4212">
        <v>0</v>
      </c>
      <c r="AJ4212">
        <v>1</v>
      </c>
      <c r="AK4212">
        <v>0</v>
      </c>
      <c r="AL4212" t="s">
        <v>7789</v>
      </c>
      <c r="AM4212">
        <v>47.051332000000002</v>
      </c>
      <c r="AN4212" t="s">
        <v>7790</v>
      </c>
      <c r="AO4212">
        <v>-123.989704</v>
      </c>
      <c r="AP4212">
        <v>100</v>
      </c>
      <c r="AQ4212">
        <v>100</v>
      </c>
      <c r="AR4212" t="s">
        <v>118</v>
      </c>
      <c r="AS4212">
        <v>35</v>
      </c>
      <c r="AT4212">
        <v>-24</v>
      </c>
      <c r="AU4212">
        <v>64</v>
      </c>
      <c r="BC4212">
        <v>1200</v>
      </c>
      <c r="BD4212">
        <v>1</v>
      </c>
      <c r="BE4212" t="str">
        <f t="shared" si="197"/>
        <v xml:space="preserve">N215T   </v>
      </c>
      <c r="BF4212">
        <v>1</v>
      </c>
      <c r="BH4212">
        <v>0</v>
      </c>
      <c r="BI4212">
        <v>0</v>
      </c>
      <c r="BJ4212">
        <v>0</v>
      </c>
      <c r="BK4212">
        <v>525</v>
      </c>
      <c r="BL4212">
        <v>425</v>
      </c>
      <c r="BM4212" t="s">
        <v>119</v>
      </c>
      <c r="BN4212">
        <v>1</v>
      </c>
      <c r="BO4212">
        <v>1</v>
      </c>
      <c r="BP4212">
        <v>1</v>
      </c>
      <c r="BQ4212">
        <v>0</v>
      </c>
      <c r="BT4212">
        <v>0</v>
      </c>
      <c r="BU4212">
        <v>0</v>
      </c>
      <c r="BV4212">
        <v>0</v>
      </c>
      <c r="CC4212" t="str">
        <f>"19:45:34.023"</f>
        <v>19:45:34.023</v>
      </c>
      <c r="CD4212" t="str">
        <f>"019961130"</f>
        <v>019961130</v>
      </c>
      <c r="CQ4212">
        <v>0</v>
      </c>
      <c r="CR4212">
        <v>2</v>
      </c>
      <c r="CS4212">
        <v>0</v>
      </c>
      <c r="CT4212">
        <v>2</v>
      </c>
      <c r="CU4212">
        <v>0</v>
      </c>
      <c r="CV4212">
        <v>6</v>
      </c>
      <c r="CW4212" t="s">
        <v>120</v>
      </c>
      <c r="CX4212">
        <v>257</v>
      </c>
      <c r="CY4212">
        <v>0</v>
      </c>
      <c r="CZ4212" t="s">
        <v>615</v>
      </c>
      <c r="DA4212" t="s">
        <v>616</v>
      </c>
      <c r="DD4212">
        <v>16712766</v>
      </c>
      <c r="DE4212" t="s">
        <v>123</v>
      </c>
    </row>
    <row r="4213" spans="1:109" x14ac:dyDescent="0.3">
      <c r="A4213" t="str">
        <f>"19:45:35.289"</f>
        <v>19:45:35.289</v>
      </c>
      <c r="B4213" t="s">
        <v>110</v>
      </c>
      <c r="C4213" t="str">
        <f t="shared" si="198"/>
        <v>ffdfd3c0</v>
      </c>
      <c r="D4213" t="s">
        <v>111</v>
      </c>
      <c r="E4213">
        <v>18</v>
      </c>
      <c r="F4213">
        <v>1018</v>
      </c>
      <c r="G4213" t="s">
        <v>112</v>
      </c>
      <c r="J4213" t="s">
        <v>113</v>
      </c>
      <c r="K4213">
        <v>0</v>
      </c>
      <c r="L4213">
        <v>3</v>
      </c>
      <c r="M4213">
        <v>0</v>
      </c>
      <c r="N4213">
        <v>2</v>
      </c>
      <c r="O4213">
        <v>1</v>
      </c>
      <c r="P4213">
        <v>0</v>
      </c>
      <c r="Q4213">
        <v>0</v>
      </c>
      <c r="R4213" t="s">
        <v>114</v>
      </c>
      <c r="S4213" t="str">
        <f>"19:45:35.023"</f>
        <v>19:45:35.023</v>
      </c>
      <c r="T4213" t="str">
        <f>"19:45:34.625"</f>
        <v>19:45:34.625</v>
      </c>
      <c r="U4213" t="str">
        <f t="shared" si="196"/>
        <v>a1cdbe</v>
      </c>
      <c r="V4213">
        <v>0</v>
      </c>
      <c r="W4213">
        <v>0</v>
      </c>
      <c r="X4213">
        <v>2</v>
      </c>
      <c r="Y4213">
        <v>0</v>
      </c>
      <c r="Z4213">
        <v>0</v>
      </c>
      <c r="AB4213">
        <v>0</v>
      </c>
      <c r="AC4213">
        <v>9</v>
      </c>
      <c r="AD4213">
        <v>3</v>
      </c>
      <c r="AE4213">
        <v>0</v>
      </c>
      <c r="AF4213">
        <v>9</v>
      </c>
      <c r="AG4213" t="s">
        <v>115</v>
      </c>
      <c r="AH4213">
        <v>0</v>
      </c>
      <c r="AI4213">
        <v>0</v>
      </c>
      <c r="AJ4213">
        <v>1</v>
      </c>
      <c r="AK4213">
        <v>0</v>
      </c>
      <c r="AL4213" t="s">
        <v>7235</v>
      </c>
      <c r="AM4213">
        <v>47.051268</v>
      </c>
      <c r="AN4213" t="s">
        <v>7326</v>
      </c>
      <c r="AO4213">
        <v>-123.98938200000001</v>
      </c>
      <c r="AP4213">
        <v>100</v>
      </c>
      <c r="AQ4213">
        <v>100</v>
      </c>
      <c r="AR4213" t="s">
        <v>118</v>
      </c>
      <c r="AS4213">
        <v>42</v>
      </c>
      <c r="AT4213">
        <v>-18</v>
      </c>
      <c r="AU4213">
        <v>-320</v>
      </c>
      <c r="BC4213">
        <v>1200</v>
      </c>
      <c r="BD4213">
        <v>1</v>
      </c>
      <c r="BE4213" t="str">
        <f t="shared" si="197"/>
        <v xml:space="preserve">N215T   </v>
      </c>
      <c r="BF4213">
        <v>1</v>
      </c>
      <c r="BH4213">
        <v>0</v>
      </c>
      <c r="BI4213">
        <v>0</v>
      </c>
      <c r="BJ4213">
        <v>0</v>
      </c>
      <c r="BK4213">
        <v>525</v>
      </c>
      <c r="BL4213">
        <v>425</v>
      </c>
      <c r="BM4213" t="s">
        <v>119</v>
      </c>
      <c r="BN4213">
        <v>1</v>
      </c>
      <c r="BO4213">
        <v>1</v>
      </c>
      <c r="BP4213">
        <v>1</v>
      </c>
      <c r="BQ4213">
        <v>0</v>
      </c>
      <c r="BT4213">
        <v>0</v>
      </c>
      <c r="BU4213">
        <v>0</v>
      </c>
      <c r="BV4213">
        <v>0</v>
      </c>
      <c r="CC4213" t="str">
        <f>"19:45:35.023"</f>
        <v>19:45:35.023</v>
      </c>
      <c r="CD4213" t="str">
        <f>"024862054"</f>
        <v>024862054</v>
      </c>
      <c r="CQ4213">
        <v>0</v>
      </c>
      <c r="CR4213">
        <v>2</v>
      </c>
      <c r="CS4213">
        <v>0</v>
      </c>
      <c r="CT4213">
        <v>2</v>
      </c>
      <c r="CU4213">
        <v>0</v>
      </c>
      <c r="CV4213">
        <v>7</v>
      </c>
      <c r="CW4213" t="s">
        <v>120</v>
      </c>
      <c r="CX4213">
        <v>257</v>
      </c>
      <c r="CY4213">
        <v>0</v>
      </c>
      <c r="CZ4213" t="s">
        <v>615</v>
      </c>
      <c r="DA4213" t="s">
        <v>616</v>
      </c>
      <c r="DD4213">
        <v>16713077</v>
      </c>
      <c r="DE4213" t="s">
        <v>123</v>
      </c>
    </row>
    <row r="4214" spans="1:109" x14ac:dyDescent="0.3">
      <c r="A4214" t="str">
        <f>"19:45:36.195"</f>
        <v>19:45:36.195</v>
      </c>
      <c r="B4214" t="s">
        <v>110</v>
      </c>
      <c r="C4214" t="str">
        <f t="shared" si="198"/>
        <v>ffdfd3c0</v>
      </c>
      <c r="D4214" t="s">
        <v>111</v>
      </c>
      <c r="E4214">
        <v>18</v>
      </c>
      <c r="F4214">
        <v>1018</v>
      </c>
      <c r="G4214" t="s">
        <v>112</v>
      </c>
      <c r="J4214" t="s">
        <v>113</v>
      </c>
      <c r="K4214">
        <v>0</v>
      </c>
      <c r="L4214">
        <v>3</v>
      </c>
      <c r="M4214">
        <v>0</v>
      </c>
      <c r="N4214">
        <v>2</v>
      </c>
      <c r="O4214">
        <v>1</v>
      </c>
      <c r="P4214">
        <v>0</v>
      </c>
      <c r="Q4214">
        <v>0</v>
      </c>
      <c r="R4214" t="s">
        <v>114</v>
      </c>
      <c r="S4214" t="str">
        <f>"19:45:35.969"</f>
        <v>19:45:35.969</v>
      </c>
      <c r="T4214" t="str">
        <f>"19:45:35.672"</f>
        <v>19:45:35.672</v>
      </c>
      <c r="U4214" t="str">
        <f t="shared" si="196"/>
        <v>a1cdbe</v>
      </c>
      <c r="V4214">
        <v>0</v>
      </c>
      <c r="W4214">
        <v>0</v>
      </c>
      <c r="X4214">
        <v>2</v>
      </c>
      <c r="Y4214">
        <v>0</v>
      </c>
      <c r="Z4214">
        <v>0</v>
      </c>
      <c r="AB4214">
        <v>0</v>
      </c>
      <c r="AC4214">
        <v>9</v>
      </c>
      <c r="AD4214">
        <v>3</v>
      </c>
      <c r="AE4214">
        <v>0</v>
      </c>
      <c r="AF4214">
        <v>9</v>
      </c>
      <c r="AG4214" t="s">
        <v>115</v>
      </c>
      <c r="AH4214">
        <v>0</v>
      </c>
      <c r="AI4214">
        <v>0</v>
      </c>
      <c r="AJ4214">
        <v>1</v>
      </c>
      <c r="AK4214">
        <v>0</v>
      </c>
      <c r="AL4214" t="s">
        <v>7791</v>
      </c>
      <c r="AM4214">
        <v>47.051245999999999</v>
      </c>
      <c r="AN4214" t="s">
        <v>7792</v>
      </c>
      <c r="AO4214">
        <v>-123.989081</v>
      </c>
      <c r="AP4214">
        <v>100</v>
      </c>
      <c r="AQ4214">
        <v>100</v>
      </c>
      <c r="AR4214" t="s">
        <v>118</v>
      </c>
      <c r="AS4214">
        <v>48</v>
      </c>
      <c r="AT4214">
        <v>-8</v>
      </c>
      <c r="AU4214">
        <v>-512</v>
      </c>
      <c r="BC4214">
        <v>1200</v>
      </c>
      <c r="BD4214">
        <v>1</v>
      </c>
      <c r="BE4214" t="str">
        <f t="shared" si="197"/>
        <v xml:space="preserve">N215T   </v>
      </c>
      <c r="BF4214">
        <v>1</v>
      </c>
      <c r="BH4214">
        <v>0</v>
      </c>
      <c r="BI4214">
        <v>0</v>
      </c>
      <c r="BJ4214">
        <v>0</v>
      </c>
      <c r="BK4214">
        <v>500</v>
      </c>
      <c r="BL4214">
        <v>400</v>
      </c>
      <c r="BM4214" t="s">
        <v>119</v>
      </c>
      <c r="BN4214">
        <v>1</v>
      </c>
      <c r="BO4214">
        <v>1</v>
      </c>
      <c r="BP4214">
        <v>1</v>
      </c>
      <c r="BQ4214">
        <v>0</v>
      </c>
      <c r="BT4214">
        <v>0</v>
      </c>
      <c r="BU4214">
        <v>0</v>
      </c>
      <c r="BV4214">
        <v>0</v>
      </c>
      <c r="CC4214" t="str">
        <f>"19:45:35.969"</f>
        <v>19:45:35.969</v>
      </c>
      <c r="CD4214" t="str">
        <f>"969768898"</f>
        <v>969768898</v>
      </c>
      <c r="CQ4214">
        <v>0</v>
      </c>
      <c r="CR4214">
        <v>2</v>
      </c>
      <c r="CS4214">
        <v>0</v>
      </c>
      <c r="CT4214">
        <v>2</v>
      </c>
      <c r="CU4214">
        <v>0</v>
      </c>
      <c r="CV4214">
        <v>6</v>
      </c>
      <c r="CW4214" t="s">
        <v>120</v>
      </c>
      <c r="CX4214">
        <v>257</v>
      </c>
      <c r="CY4214">
        <v>0</v>
      </c>
      <c r="CZ4214" t="s">
        <v>615</v>
      </c>
      <c r="DA4214" t="s">
        <v>616</v>
      </c>
      <c r="DD4214">
        <v>16713391</v>
      </c>
      <c r="DE4214" t="s">
        <v>123</v>
      </c>
    </row>
    <row r="4215" spans="1:109" x14ac:dyDescent="0.3">
      <c r="A4215" t="str">
        <f>"19:45:37.398"</f>
        <v>19:45:37.398</v>
      </c>
      <c r="B4215" t="s">
        <v>110</v>
      </c>
      <c r="C4215" t="str">
        <f t="shared" si="198"/>
        <v>ffdfd3c0</v>
      </c>
      <c r="D4215" t="s">
        <v>111</v>
      </c>
      <c r="E4215">
        <v>18</v>
      </c>
      <c r="F4215">
        <v>1018</v>
      </c>
      <c r="G4215" t="s">
        <v>112</v>
      </c>
      <c r="J4215" t="s">
        <v>113</v>
      </c>
      <c r="K4215">
        <v>0</v>
      </c>
      <c r="L4215">
        <v>3</v>
      </c>
      <c r="M4215">
        <v>0</v>
      </c>
      <c r="N4215">
        <v>2</v>
      </c>
      <c r="O4215">
        <v>1</v>
      </c>
      <c r="P4215">
        <v>0</v>
      </c>
      <c r="Q4215">
        <v>0</v>
      </c>
      <c r="R4215" t="s">
        <v>114</v>
      </c>
      <c r="S4215" t="str">
        <f>"19:45:37.117"</f>
        <v>19:45:37.117</v>
      </c>
      <c r="T4215" t="str">
        <f>"19:45:37.117"</f>
        <v>19:45:37.117</v>
      </c>
      <c r="U4215" t="str">
        <f t="shared" si="196"/>
        <v>a1cdbe</v>
      </c>
      <c r="V4215">
        <v>0</v>
      </c>
      <c r="W4215">
        <v>0</v>
      </c>
      <c r="X4215">
        <v>2</v>
      </c>
      <c r="Y4215">
        <v>0</v>
      </c>
      <c r="Z4215">
        <v>0</v>
      </c>
      <c r="AB4215">
        <v>0</v>
      </c>
      <c r="AC4215">
        <v>9</v>
      </c>
      <c r="AD4215">
        <v>3</v>
      </c>
      <c r="AE4215">
        <v>0</v>
      </c>
      <c r="AF4215">
        <v>9</v>
      </c>
      <c r="AG4215" t="s">
        <v>115</v>
      </c>
      <c r="AH4215">
        <v>0</v>
      </c>
      <c r="AI4215">
        <v>0</v>
      </c>
      <c r="AJ4215">
        <v>1</v>
      </c>
      <c r="AK4215">
        <v>0</v>
      </c>
      <c r="AL4215" t="s">
        <v>7793</v>
      </c>
      <c r="AM4215">
        <v>47.051225000000002</v>
      </c>
      <c r="AN4215" t="s">
        <v>7611</v>
      </c>
      <c r="AO4215">
        <v>-123.988674</v>
      </c>
      <c r="AP4215">
        <v>100</v>
      </c>
      <c r="AQ4215">
        <v>100</v>
      </c>
      <c r="AR4215" t="s">
        <v>118</v>
      </c>
      <c r="AS4215">
        <v>53</v>
      </c>
      <c r="AT4215">
        <v>6</v>
      </c>
      <c r="AU4215">
        <v>-640</v>
      </c>
      <c r="BC4215">
        <v>1200</v>
      </c>
      <c r="BD4215">
        <v>1</v>
      </c>
      <c r="BE4215" t="str">
        <f t="shared" si="197"/>
        <v xml:space="preserve">N215T   </v>
      </c>
      <c r="BF4215">
        <v>1</v>
      </c>
      <c r="BH4215">
        <v>0</v>
      </c>
      <c r="BI4215">
        <v>0</v>
      </c>
      <c r="BJ4215">
        <v>0</v>
      </c>
      <c r="BK4215">
        <v>500</v>
      </c>
      <c r="BL4215">
        <v>400</v>
      </c>
      <c r="BM4215" t="s">
        <v>119</v>
      </c>
      <c r="BN4215">
        <v>1</v>
      </c>
      <c r="BO4215">
        <v>1</v>
      </c>
      <c r="BP4215">
        <v>1</v>
      </c>
      <c r="BQ4215">
        <v>0</v>
      </c>
      <c r="BT4215">
        <v>0</v>
      </c>
      <c r="BU4215">
        <v>0</v>
      </c>
      <c r="BV4215">
        <v>0</v>
      </c>
      <c r="CC4215" t="str">
        <f>"19:45:37.125"</f>
        <v>19:45:37.125</v>
      </c>
      <c r="CD4215" t="str">
        <f>"124655071"</f>
        <v>124655071</v>
      </c>
      <c r="CQ4215">
        <v>0</v>
      </c>
      <c r="CR4215">
        <v>2</v>
      </c>
      <c r="CS4215">
        <v>0</v>
      </c>
      <c r="CT4215">
        <v>2</v>
      </c>
      <c r="CU4215">
        <v>0</v>
      </c>
      <c r="CV4215">
        <v>6</v>
      </c>
      <c r="CW4215" t="s">
        <v>120</v>
      </c>
      <c r="CX4215">
        <v>257</v>
      </c>
      <c r="CY4215">
        <v>0</v>
      </c>
      <c r="CZ4215" t="s">
        <v>615</v>
      </c>
      <c r="DA4215" t="s">
        <v>616</v>
      </c>
      <c r="DD4215">
        <v>16713755</v>
      </c>
      <c r="DE4215" t="s">
        <v>123</v>
      </c>
    </row>
    <row r="4216" spans="1:109" x14ac:dyDescent="0.3">
      <c r="A4216" t="str">
        <f>"19:45:38.258"</f>
        <v>19:45:38.258</v>
      </c>
      <c r="B4216" t="s">
        <v>110</v>
      </c>
      <c r="C4216" t="str">
        <f t="shared" si="198"/>
        <v>ffdfd3c0</v>
      </c>
      <c r="D4216" t="s">
        <v>111</v>
      </c>
      <c r="E4216">
        <v>18</v>
      </c>
      <c r="F4216">
        <v>1018</v>
      </c>
      <c r="G4216" t="s">
        <v>112</v>
      </c>
      <c r="J4216" t="s">
        <v>113</v>
      </c>
      <c r="K4216">
        <v>0</v>
      </c>
      <c r="L4216">
        <v>3</v>
      </c>
      <c r="M4216">
        <v>0</v>
      </c>
      <c r="N4216">
        <v>2</v>
      </c>
      <c r="O4216">
        <v>1</v>
      </c>
      <c r="P4216">
        <v>0</v>
      </c>
      <c r="Q4216">
        <v>0</v>
      </c>
      <c r="R4216" t="s">
        <v>114</v>
      </c>
      <c r="S4216" t="str">
        <f>"19:45:37.961"</f>
        <v>19:45:37.961</v>
      </c>
      <c r="T4216" t="str">
        <f>"19:45:37.961"</f>
        <v>19:45:37.961</v>
      </c>
      <c r="U4216" t="str">
        <f t="shared" si="196"/>
        <v>a1cdbe</v>
      </c>
      <c r="V4216">
        <v>0</v>
      </c>
      <c r="W4216">
        <v>0</v>
      </c>
      <c r="X4216">
        <v>2</v>
      </c>
      <c r="Y4216">
        <v>0</v>
      </c>
      <c r="Z4216">
        <v>0</v>
      </c>
      <c r="AB4216">
        <v>0</v>
      </c>
      <c r="AC4216">
        <v>9</v>
      </c>
      <c r="AD4216">
        <v>3</v>
      </c>
      <c r="AE4216">
        <v>0</v>
      </c>
      <c r="AF4216">
        <v>9</v>
      </c>
      <c r="AG4216" t="s">
        <v>115</v>
      </c>
      <c r="AH4216">
        <v>0</v>
      </c>
      <c r="AI4216">
        <v>0</v>
      </c>
      <c r="AJ4216">
        <v>1</v>
      </c>
      <c r="AK4216">
        <v>0</v>
      </c>
      <c r="AL4216" t="s">
        <v>7789</v>
      </c>
      <c r="AM4216">
        <v>47.051332000000002</v>
      </c>
      <c r="AN4216" t="s">
        <v>7794</v>
      </c>
      <c r="AO4216">
        <v>-123.988395</v>
      </c>
      <c r="AP4216">
        <v>100</v>
      </c>
      <c r="AQ4216">
        <v>100</v>
      </c>
      <c r="AR4216" t="s">
        <v>118</v>
      </c>
      <c r="AS4216">
        <v>52</v>
      </c>
      <c r="AT4216">
        <v>17</v>
      </c>
      <c r="AU4216">
        <v>-576</v>
      </c>
      <c r="BC4216">
        <v>1200</v>
      </c>
      <c r="BD4216">
        <v>1</v>
      </c>
      <c r="BE4216" t="str">
        <f t="shared" si="197"/>
        <v xml:space="preserve">N215T   </v>
      </c>
      <c r="BF4216">
        <v>1</v>
      </c>
      <c r="BH4216">
        <v>0</v>
      </c>
      <c r="BI4216">
        <v>0</v>
      </c>
      <c r="BJ4216">
        <v>0</v>
      </c>
      <c r="BK4216">
        <v>500</v>
      </c>
      <c r="BL4216">
        <v>400</v>
      </c>
      <c r="BM4216" t="s">
        <v>119</v>
      </c>
      <c r="BN4216">
        <v>1</v>
      </c>
      <c r="BO4216">
        <v>1</v>
      </c>
      <c r="BP4216">
        <v>1</v>
      </c>
      <c r="BQ4216">
        <v>0</v>
      </c>
      <c r="BT4216">
        <v>0</v>
      </c>
      <c r="BU4216">
        <v>0</v>
      </c>
      <c r="BV4216">
        <v>0</v>
      </c>
      <c r="CC4216" t="str">
        <f>"19:45:37.961"</f>
        <v>19:45:37.961</v>
      </c>
      <c r="CD4216" t="str">
        <f>"964572283"</f>
        <v>964572283</v>
      </c>
      <c r="CQ4216">
        <v>0</v>
      </c>
      <c r="CR4216">
        <v>2</v>
      </c>
      <c r="CS4216">
        <v>0</v>
      </c>
      <c r="CT4216">
        <v>2</v>
      </c>
      <c r="CU4216">
        <v>0</v>
      </c>
      <c r="CV4216">
        <v>3</v>
      </c>
      <c r="CW4216" t="s">
        <v>120</v>
      </c>
      <c r="CX4216">
        <v>257</v>
      </c>
      <c r="CY4216">
        <v>0</v>
      </c>
      <c r="CZ4216" t="s">
        <v>615</v>
      </c>
      <c r="DA4216" t="s">
        <v>616</v>
      </c>
      <c r="DD4216">
        <v>16714032</v>
      </c>
      <c r="DE4216" t="s">
        <v>123</v>
      </c>
    </row>
    <row r="4217" spans="1:109" x14ac:dyDescent="0.3">
      <c r="A4217" t="str">
        <f>"19:45:39.258"</f>
        <v>19:45:39.258</v>
      </c>
      <c r="B4217" t="s">
        <v>110</v>
      </c>
      <c r="C4217" t="str">
        <f t="shared" si="198"/>
        <v>ffdfd3c0</v>
      </c>
      <c r="D4217" t="s">
        <v>111</v>
      </c>
      <c r="E4217">
        <v>18</v>
      </c>
      <c r="F4217">
        <v>1018</v>
      </c>
      <c r="G4217" t="s">
        <v>112</v>
      </c>
      <c r="J4217" t="s">
        <v>113</v>
      </c>
      <c r="K4217">
        <v>0</v>
      </c>
      <c r="L4217">
        <v>3</v>
      </c>
      <c r="M4217">
        <v>0</v>
      </c>
      <c r="N4217">
        <v>2</v>
      </c>
      <c r="O4217">
        <v>1</v>
      </c>
      <c r="P4217">
        <v>0</v>
      </c>
      <c r="Q4217">
        <v>0</v>
      </c>
      <c r="R4217" t="s">
        <v>114</v>
      </c>
      <c r="S4217" t="str">
        <f>"19:45:38.984"</f>
        <v>19:45:38.984</v>
      </c>
      <c r="T4217" t="str">
        <f>"19:45:38.586"</f>
        <v>19:45:38.586</v>
      </c>
      <c r="U4217" t="str">
        <f t="shared" si="196"/>
        <v>a1cdbe</v>
      </c>
      <c r="V4217">
        <v>0</v>
      </c>
      <c r="W4217">
        <v>0</v>
      </c>
      <c r="X4217">
        <v>2</v>
      </c>
      <c r="Y4217">
        <v>0</v>
      </c>
      <c r="Z4217">
        <v>0</v>
      </c>
      <c r="AB4217">
        <v>0</v>
      </c>
      <c r="AC4217">
        <v>9</v>
      </c>
      <c r="AD4217">
        <v>3</v>
      </c>
      <c r="AE4217">
        <v>0</v>
      </c>
      <c r="AF4217">
        <v>9</v>
      </c>
      <c r="AG4217" t="s">
        <v>115</v>
      </c>
      <c r="AH4217">
        <v>0</v>
      </c>
      <c r="AI4217">
        <v>0</v>
      </c>
      <c r="AJ4217">
        <v>1</v>
      </c>
      <c r="AK4217">
        <v>0</v>
      </c>
      <c r="AL4217" t="s">
        <v>7237</v>
      </c>
      <c r="AM4217">
        <v>47.051461000000003</v>
      </c>
      <c r="AN4217" t="s">
        <v>7608</v>
      </c>
      <c r="AO4217">
        <v>-123.987966</v>
      </c>
      <c r="AP4217">
        <v>100</v>
      </c>
      <c r="AQ4217">
        <v>100</v>
      </c>
      <c r="AR4217" t="s">
        <v>118</v>
      </c>
      <c r="AS4217">
        <v>51</v>
      </c>
      <c r="AT4217">
        <v>24</v>
      </c>
      <c r="AU4217">
        <v>-512</v>
      </c>
      <c r="BC4217">
        <v>1200</v>
      </c>
      <c r="BD4217">
        <v>1</v>
      </c>
      <c r="BE4217" t="str">
        <f t="shared" si="197"/>
        <v xml:space="preserve">N215T   </v>
      </c>
      <c r="BF4217">
        <v>1</v>
      </c>
      <c r="BH4217">
        <v>0</v>
      </c>
      <c r="BI4217">
        <v>0</v>
      </c>
      <c r="BJ4217">
        <v>0</v>
      </c>
      <c r="BK4217">
        <v>475</v>
      </c>
      <c r="BL4217">
        <v>375</v>
      </c>
      <c r="BM4217" t="s">
        <v>119</v>
      </c>
      <c r="BN4217">
        <v>1</v>
      </c>
      <c r="BO4217">
        <v>1</v>
      </c>
      <c r="BP4217">
        <v>1</v>
      </c>
      <c r="BQ4217">
        <v>0</v>
      </c>
      <c r="BT4217">
        <v>0</v>
      </c>
      <c r="BU4217">
        <v>0</v>
      </c>
      <c r="BV4217">
        <v>0</v>
      </c>
      <c r="CC4217" t="str">
        <f>"19:45:38.984"</f>
        <v>19:45:38.984</v>
      </c>
      <c r="CD4217" t="str">
        <f>"984471830"</f>
        <v>984471830</v>
      </c>
      <c r="CQ4217">
        <v>0</v>
      </c>
      <c r="CR4217">
        <v>2</v>
      </c>
      <c r="CS4217">
        <v>0</v>
      </c>
      <c r="CT4217">
        <v>2</v>
      </c>
      <c r="CU4217">
        <v>0</v>
      </c>
      <c r="CV4217">
        <v>4</v>
      </c>
      <c r="CW4217" t="s">
        <v>120</v>
      </c>
      <c r="CX4217">
        <v>257</v>
      </c>
      <c r="CY4217">
        <v>0</v>
      </c>
      <c r="CZ4217" t="s">
        <v>615</v>
      </c>
      <c r="DA4217" t="s">
        <v>616</v>
      </c>
      <c r="DD4217">
        <v>16714371</v>
      </c>
      <c r="DE4217" t="s">
        <v>123</v>
      </c>
    </row>
    <row r="4218" spans="1:109" x14ac:dyDescent="0.3">
      <c r="A4218" t="str">
        <f>"19:45:40.313"</f>
        <v>19:45:40.313</v>
      </c>
      <c r="B4218" t="s">
        <v>110</v>
      </c>
      <c r="C4218" t="str">
        <f t="shared" si="198"/>
        <v>ffdfd3c0</v>
      </c>
      <c r="D4218" t="s">
        <v>111</v>
      </c>
      <c r="E4218">
        <v>18</v>
      </c>
      <c r="F4218">
        <v>1018</v>
      </c>
      <c r="G4218" t="s">
        <v>112</v>
      </c>
      <c r="J4218" t="s">
        <v>113</v>
      </c>
      <c r="K4218">
        <v>0</v>
      </c>
      <c r="L4218">
        <v>3</v>
      </c>
      <c r="M4218">
        <v>0</v>
      </c>
      <c r="N4218">
        <v>2</v>
      </c>
      <c r="O4218">
        <v>1</v>
      </c>
      <c r="P4218">
        <v>0</v>
      </c>
      <c r="Q4218">
        <v>0</v>
      </c>
      <c r="R4218" t="s">
        <v>114</v>
      </c>
      <c r="S4218" t="str">
        <f>"19:45:40.102"</f>
        <v>19:45:40.102</v>
      </c>
      <c r="T4218" t="str">
        <f>"19:45:39.602"</f>
        <v>19:45:39.602</v>
      </c>
      <c r="U4218" t="str">
        <f t="shared" si="196"/>
        <v>a1cdbe</v>
      </c>
      <c r="V4218">
        <v>0</v>
      </c>
      <c r="W4218">
        <v>0</v>
      </c>
      <c r="X4218">
        <v>2</v>
      </c>
      <c r="Y4218">
        <v>0</v>
      </c>
      <c r="Z4218">
        <v>0</v>
      </c>
      <c r="AB4218">
        <v>0</v>
      </c>
      <c r="AC4218">
        <v>9</v>
      </c>
      <c r="AD4218">
        <v>3</v>
      </c>
      <c r="AE4218">
        <v>0</v>
      </c>
      <c r="AF4218">
        <v>9</v>
      </c>
      <c r="AG4218" t="s">
        <v>115</v>
      </c>
      <c r="AH4218">
        <v>0</v>
      </c>
      <c r="AI4218">
        <v>0</v>
      </c>
      <c r="AJ4218">
        <v>1</v>
      </c>
      <c r="AK4218">
        <v>0</v>
      </c>
      <c r="AL4218" t="s">
        <v>7795</v>
      </c>
      <c r="AM4218">
        <v>47.051653999999999</v>
      </c>
      <c r="AN4218" t="s">
        <v>7607</v>
      </c>
      <c r="AO4218">
        <v>-123.987644</v>
      </c>
      <c r="AP4218">
        <v>100</v>
      </c>
      <c r="AQ4218">
        <v>100</v>
      </c>
      <c r="AR4218" t="s">
        <v>118</v>
      </c>
      <c r="AS4218">
        <v>45</v>
      </c>
      <c r="AT4218">
        <v>37</v>
      </c>
      <c r="AU4218">
        <v>-640</v>
      </c>
      <c r="BC4218">
        <v>1200</v>
      </c>
      <c r="BD4218">
        <v>1</v>
      </c>
      <c r="BE4218" t="str">
        <f t="shared" si="197"/>
        <v xml:space="preserve">N215T   </v>
      </c>
      <c r="BF4218">
        <v>1</v>
      </c>
      <c r="BH4218">
        <v>0</v>
      </c>
      <c r="BI4218">
        <v>0</v>
      </c>
      <c r="BJ4218">
        <v>0</v>
      </c>
      <c r="BK4218">
        <v>475</v>
      </c>
      <c r="BL4218">
        <v>375</v>
      </c>
      <c r="BM4218" t="s">
        <v>119</v>
      </c>
      <c r="BN4218">
        <v>1</v>
      </c>
      <c r="BO4218">
        <v>1</v>
      </c>
      <c r="BP4218">
        <v>1</v>
      </c>
      <c r="BQ4218">
        <v>0</v>
      </c>
      <c r="BT4218">
        <v>0</v>
      </c>
      <c r="BU4218">
        <v>0</v>
      </c>
      <c r="BV4218">
        <v>0</v>
      </c>
      <c r="CC4218" t="str">
        <f>"19:45:40.109"</f>
        <v>19:45:40.109</v>
      </c>
      <c r="CD4218" t="str">
        <f>"109361016"</f>
        <v>109361016</v>
      </c>
      <c r="CQ4218">
        <v>0</v>
      </c>
      <c r="CR4218">
        <v>2</v>
      </c>
      <c r="CS4218">
        <v>0</v>
      </c>
      <c r="CT4218">
        <v>2</v>
      </c>
      <c r="CU4218">
        <v>0</v>
      </c>
      <c r="CV4218">
        <v>6</v>
      </c>
      <c r="CW4218" t="s">
        <v>120</v>
      </c>
      <c r="CX4218">
        <v>257</v>
      </c>
      <c r="CY4218">
        <v>0</v>
      </c>
      <c r="CZ4218" t="s">
        <v>615</v>
      </c>
      <c r="DA4218" t="s">
        <v>616</v>
      </c>
      <c r="DD4218">
        <v>16714737</v>
      </c>
      <c r="DE4218" t="s">
        <v>123</v>
      </c>
    </row>
    <row r="4219" spans="1:109" x14ac:dyDescent="0.3">
      <c r="A4219" t="str">
        <f>"19:45:41.219"</f>
        <v>19:45:41.219</v>
      </c>
      <c r="B4219" t="s">
        <v>110</v>
      </c>
      <c r="C4219" t="str">
        <f t="shared" si="198"/>
        <v>ffdfd3c0</v>
      </c>
      <c r="D4219" t="s">
        <v>111</v>
      </c>
      <c r="E4219">
        <v>18</v>
      </c>
      <c r="F4219">
        <v>1018</v>
      </c>
      <c r="G4219" t="s">
        <v>112</v>
      </c>
      <c r="J4219" t="s">
        <v>113</v>
      </c>
      <c r="K4219">
        <v>0</v>
      </c>
      <c r="L4219">
        <v>3</v>
      </c>
      <c r="M4219">
        <v>0</v>
      </c>
      <c r="N4219">
        <v>2</v>
      </c>
      <c r="O4219">
        <v>1</v>
      </c>
      <c r="P4219">
        <v>0</v>
      </c>
      <c r="Q4219">
        <v>0</v>
      </c>
      <c r="R4219" t="s">
        <v>114</v>
      </c>
      <c r="S4219" t="str">
        <f>"19:45:40.961"</f>
        <v>19:45:40.961</v>
      </c>
      <c r="T4219" t="str">
        <f>"19:45:40.664"</f>
        <v>19:45:40.664</v>
      </c>
      <c r="U4219" t="str">
        <f t="shared" si="196"/>
        <v>a1cdbe</v>
      </c>
      <c r="V4219">
        <v>0</v>
      </c>
      <c r="W4219">
        <v>0</v>
      </c>
      <c r="X4219">
        <v>2</v>
      </c>
      <c r="Y4219">
        <v>0</v>
      </c>
      <c r="Z4219">
        <v>0</v>
      </c>
      <c r="AB4219">
        <v>0</v>
      </c>
      <c r="AC4219">
        <v>9</v>
      </c>
      <c r="AD4219">
        <v>3</v>
      </c>
      <c r="AE4219">
        <v>0</v>
      </c>
      <c r="AF4219">
        <v>9</v>
      </c>
      <c r="AG4219" t="s">
        <v>115</v>
      </c>
      <c r="AH4219">
        <v>0</v>
      </c>
      <c r="AI4219">
        <v>0</v>
      </c>
      <c r="AJ4219">
        <v>1</v>
      </c>
      <c r="AK4219">
        <v>0</v>
      </c>
      <c r="AL4219" t="s">
        <v>7796</v>
      </c>
      <c r="AM4219">
        <v>47.051847000000002</v>
      </c>
      <c r="AN4219" t="s">
        <v>7797</v>
      </c>
      <c r="AO4219">
        <v>-123.987472</v>
      </c>
      <c r="AP4219">
        <v>100</v>
      </c>
      <c r="AQ4219">
        <v>100</v>
      </c>
      <c r="AR4219" t="s">
        <v>118</v>
      </c>
      <c r="AS4219">
        <v>36</v>
      </c>
      <c r="AT4219">
        <v>46</v>
      </c>
      <c r="AU4219">
        <v>-256</v>
      </c>
      <c r="BC4219">
        <v>1200</v>
      </c>
      <c r="BD4219">
        <v>1</v>
      </c>
      <c r="BE4219" t="str">
        <f t="shared" si="197"/>
        <v xml:space="preserve">N215T   </v>
      </c>
      <c r="BF4219">
        <v>1</v>
      </c>
      <c r="BH4219">
        <v>0</v>
      </c>
      <c r="BI4219">
        <v>0</v>
      </c>
      <c r="BJ4219">
        <v>0</v>
      </c>
      <c r="BK4219">
        <v>450</v>
      </c>
      <c r="BL4219">
        <v>350</v>
      </c>
      <c r="BM4219" t="s">
        <v>119</v>
      </c>
      <c r="BN4219">
        <v>1</v>
      </c>
      <c r="BO4219">
        <v>1</v>
      </c>
      <c r="BP4219">
        <v>1</v>
      </c>
      <c r="BQ4219">
        <v>0</v>
      </c>
      <c r="BT4219">
        <v>0</v>
      </c>
      <c r="BU4219">
        <v>0</v>
      </c>
      <c r="BV4219">
        <v>0</v>
      </c>
      <c r="CC4219" t="str">
        <f>"19:45:40.961"</f>
        <v>19:45:40.961</v>
      </c>
      <c r="CD4219" t="str">
        <f>"964276814"</f>
        <v>964276814</v>
      </c>
      <c r="CQ4219">
        <v>0</v>
      </c>
      <c r="CR4219">
        <v>2</v>
      </c>
      <c r="CS4219">
        <v>0</v>
      </c>
      <c r="CT4219">
        <v>2</v>
      </c>
      <c r="CU4219">
        <v>0</v>
      </c>
      <c r="CV4219">
        <v>6</v>
      </c>
      <c r="CW4219" t="s">
        <v>120</v>
      </c>
      <c r="CX4219">
        <v>257</v>
      </c>
      <c r="CY4219">
        <v>0</v>
      </c>
      <c r="CZ4219" t="s">
        <v>615</v>
      </c>
      <c r="DA4219" t="s">
        <v>616</v>
      </c>
      <c r="DD4219">
        <v>16715023</v>
      </c>
      <c r="DE4219" t="s">
        <v>123</v>
      </c>
    </row>
    <row r="4220" spans="1:109" x14ac:dyDescent="0.3">
      <c r="A4220" t="str">
        <f>"19:45:42.172"</f>
        <v>19:45:42.172</v>
      </c>
      <c r="B4220" t="s">
        <v>110</v>
      </c>
      <c r="C4220" t="str">
        <f t="shared" si="198"/>
        <v>ffdfd3c0</v>
      </c>
      <c r="D4220" t="s">
        <v>111</v>
      </c>
      <c r="E4220">
        <v>18</v>
      </c>
      <c r="F4220">
        <v>1018</v>
      </c>
      <c r="G4220" t="s">
        <v>112</v>
      </c>
      <c r="J4220" t="s">
        <v>113</v>
      </c>
      <c r="K4220">
        <v>0</v>
      </c>
      <c r="L4220">
        <v>3</v>
      </c>
      <c r="M4220">
        <v>0</v>
      </c>
      <c r="N4220">
        <v>2</v>
      </c>
      <c r="O4220">
        <v>1</v>
      </c>
      <c r="P4220">
        <v>0</v>
      </c>
      <c r="Q4220">
        <v>0</v>
      </c>
      <c r="R4220" t="s">
        <v>114</v>
      </c>
      <c r="S4220" t="str">
        <f>"19:45:41.953"</f>
        <v>19:45:41.953</v>
      </c>
      <c r="T4220" t="str">
        <f>"19:45:41.750"</f>
        <v>19:45:41.750</v>
      </c>
      <c r="U4220" t="str">
        <f t="shared" si="196"/>
        <v>a1cdbe</v>
      </c>
      <c r="V4220">
        <v>0</v>
      </c>
      <c r="W4220">
        <v>0</v>
      </c>
      <c r="X4220">
        <v>2</v>
      </c>
      <c r="Y4220">
        <v>0</v>
      </c>
      <c r="Z4220">
        <v>0</v>
      </c>
      <c r="AB4220">
        <v>0</v>
      </c>
      <c r="AC4220">
        <v>9</v>
      </c>
      <c r="AD4220">
        <v>3</v>
      </c>
      <c r="AE4220">
        <v>0</v>
      </c>
      <c r="AF4220">
        <v>9</v>
      </c>
      <c r="AG4220" t="s">
        <v>115</v>
      </c>
      <c r="AH4220">
        <v>0</v>
      </c>
      <c r="AI4220">
        <v>0</v>
      </c>
      <c r="AJ4220">
        <v>1</v>
      </c>
      <c r="AK4220">
        <v>0</v>
      </c>
      <c r="AL4220" t="s">
        <v>7798</v>
      </c>
      <c r="AM4220">
        <v>47.052126000000001</v>
      </c>
      <c r="AN4220" t="s">
        <v>7318</v>
      </c>
      <c r="AO4220">
        <v>-123.987257</v>
      </c>
      <c r="AP4220">
        <v>100</v>
      </c>
      <c r="AQ4220">
        <v>100</v>
      </c>
      <c r="AR4220" t="s">
        <v>118</v>
      </c>
      <c r="AS4220">
        <v>27</v>
      </c>
      <c r="AT4220">
        <v>52</v>
      </c>
      <c r="AU4220">
        <v>-128</v>
      </c>
      <c r="BC4220">
        <v>1200</v>
      </c>
      <c r="BD4220">
        <v>1</v>
      </c>
      <c r="BE4220" t="str">
        <f t="shared" si="197"/>
        <v xml:space="preserve">N215T   </v>
      </c>
      <c r="BF4220">
        <v>1</v>
      </c>
      <c r="BH4220">
        <v>0</v>
      </c>
      <c r="BI4220">
        <v>0</v>
      </c>
      <c r="BJ4220">
        <v>0</v>
      </c>
      <c r="BK4220">
        <v>450</v>
      </c>
      <c r="BL4220">
        <v>350</v>
      </c>
      <c r="BM4220" t="s">
        <v>119</v>
      </c>
      <c r="BN4220">
        <v>1</v>
      </c>
      <c r="BO4220">
        <v>1</v>
      </c>
      <c r="BP4220">
        <v>1</v>
      </c>
      <c r="BQ4220">
        <v>0</v>
      </c>
      <c r="BT4220">
        <v>0</v>
      </c>
      <c r="BU4220">
        <v>0</v>
      </c>
      <c r="BV4220">
        <v>0</v>
      </c>
      <c r="CC4220" t="str">
        <f>"19:45:41.953"</f>
        <v>19:45:41.953</v>
      </c>
      <c r="CD4220" t="str">
        <f>"954179337"</f>
        <v>954179337</v>
      </c>
      <c r="CQ4220">
        <v>0</v>
      </c>
      <c r="CR4220">
        <v>2</v>
      </c>
      <c r="CS4220">
        <v>0</v>
      </c>
      <c r="CT4220">
        <v>2</v>
      </c>
      <c r="CU4220">
        <v>0</v>
      </c>
      <c r="CV4220">
        <v>4</v>
      </c>
      <c r="CW4220" t="s">
        <v>120</v>
      </c>
      <c r="CX4220">
        <v>257</v>
      </c>
      <c r="CY4220">
        <v>0</v>
      </c>
      <c r="CZ4220" t="s">
        <v>615</v>
      </c>
      <c r="DA4220" t="s">
        <v>616</v>
      </c>
      <c r="DD4220">
        <v>16715371</v>
      </c>
      <c r="DE4220" t="s">
        <v>123</v>
      </c>
    </row>
    <row r="4221" spans="1:109" x14ac:dyDescent="0.3">
      <c r="A4221" t="str">
        <f>"19:45:43.133"</f>
        <v>19:45:43.133</v>
      </c>
      <c r="B4221" t="s">
        <v>110</v>
      </c>
      <c r="C4221" t="str">
        <f t="shared" si="198"/>
        <v>ffdfd3c0</v>
      </c>
      <c r="D4221" t="s">
        <v>111</v>
      </c>
      <c r="E4221">
        <v>18</v>
      </c>
      <c r="F4221">
        <v>1018</v>
      </c>
      <c r="G4221" t="s">
        <v>112</v>
      </c>
      <c r="J4221" t="s">
        <v>113</v>
      </c>
      <c r="K4221">
        <v>0</v>
      </c>
      <c r="L4221">
        <v>3</v>
      </c>
      <c r="M4221">
        <v>0</v>
      </c>
      <c r="N4221">
        <v>2</v>
      </c>
      <c r="O4221">
        <v>1</v>
      </c>
      <c r="P4221">
        <v>0</v>
      </c>
      <c r="Q4221">
        <v>0</v>
      </c>
      <c r="R4221" t="s">
        <v>114</v>
      </c>
      <c r="S4221" t="str">
        <f>"19:45:42.883"</f>
        <v>19:45:42.883</v>
      </c>
      <c r="T4221" t="str">
        <f>"19:45:42.781"</f>
        <v>19:45:42.781</v>
      </c>
      <c r="U4221" t="str">
        <f t="shared" si="196"/>
        <v>a1cdbe</v>
      </c>
      <c r="V4221">
        <v>0</v>
      </c>
      <c r="W4221">
        <v>0</v>
      </c>
      <c r="X4221">
        <v>2</v>
      </c>
      <c r="Y4221">
        <v>0</v>
      </c>
      <c r="Z4221">
        <v>0</v>
      </c>
      <c r="AB4221">
        <v>0</v>
      </c>
      <c r="AC4221">
        <v>9</v>
      </c>
      <c r="AD4221">
        <v>3</v>
      </c>
      <c r="AE4221">
        <v>0</v>
      </c>
      <c r="AF4221">
        <v>9</v>
      </c>
      <c r="AG4221" t="s">
        <v>115</v>
      </c>
      <c r="AH4221">
        <v>0</v>
      </c>
      <c r="AI4221">
        <v>0</v>
      </c>
      <c r="AJ4221">
        <v>1</v>
      </c>
      <c r="AK4221">
        <v>0</v>
      </c>
      <c r="AL4221" t="s">
        <v>549</v>
      </c>
      <c r="AM4221">
        <v>47.052340999999998</v>
      </c>
      <c r="AN4221" t="s">
        <v>7566</v>
      </c>
      <c r="AO4221">
        <v>-123.987172</v>
      </c>
      <c r="AP4221">
        <v>100</v>
      </c>
      <c r="AQ4221">
        <v>100</v>
      </c>
      <c r="AR4221" t="s">
        <v>118</v>
      </c>
      <c r="AS4221">
        <v>13</v>
      </c>
      <c r="AT4221">
        <v>56</v>
      </c>
      <c r="AU4221">
        <v>-64</v>
      </c>
      <c r="BC4221">
        <v>1200</v>
      </c>
      <c r="BD4221">
        <v>1</v>
      </c>
      <c r="BE4221" t="str">
        <f t="shared" si="197"/>
        <v xml:space="preserve">N215T   </v>
      </c>
      <c r="BF4221">
        <v>1</v>
      </c>
      <c r="BH4221">
        <v>0</v>
      </c>
      <c r="BI4221">
        <v>0</v>
      </c>
      <c r="BJ4221">
        <v>0</v>
      </c>
      <c r="BK4221">
        <v>450</v>
      </c>
      <c r="BL4221">
        <v>350</v>
      </c>
      <c r="BM4221" t="s">
        <v>119</v>
      </c>
      <c r="BN4221">
        <v>1</v>
      </c>
      <c r="BO4221">
        <v>1</v>
      </c>
      <c r="BP4221">
        <v>1</v>
      </c>
      <c r="BQ4221">
        <v>0</v>
      </c>
      <c r="BT4221">
        <v>0</v>
      </c>
      <c r="BU4221">
        <v>0</v>
      </c>
      <c r="BV4221">
        <v>0</v>
      </c>
      <c r="CC4221" t="str">
        <f>"19:45:42.883"</f>
        <v>19:45:42.883</v>
      </c>
      <c r="CD4221" t="str">
        <f>"884087791"</f>
        <v>884087791</v>
      </c>
      <c r="CQ4221">
        <v>0</v>
      </c>
      <c r="CR4221">
        <v>2</v>
      </c>
      <c r="CS4221">
        <v>0</v>
      </c>
      <c r="CT4221">
        <v>2</v>
      </c>
      <c r="CU4221">
        <v>0</v>
      </c>
      <c r="CV4221">
        <v>4</v>
      </c>
      <c r="CW4221" t="s">
        <v>120</v>
      </c>
      <c r="CX4221">
        <v>257</v>
      </c>
      <c r="CY4221">
        <v>0</v>
      </c>
      <c r="CZ4221" t="s">
        <v>615</v>
      </c>
      <c r="DA4221" t="s">
        <v>616</v>
      </c>
      <c r="DD4221">
        <v>16715666</v>
      </c>
      <c r="DE4221" t="s">
        <v>123</v>
      </c>
    </row>
    <row r="4222" spans="1:109" x14ac:dyDescent="0.3">
      <c r="A4222" t="str">
        <f>"19:45:44.133"</f>
        <v>19:45:44.133</v>
      </c>
      <c r="B4222" t="s">
        <v>110</v>
      </c>
      <c r="C4222" t="str">
        <f t="shared" si="198"/>
        <v>ffdfd3c0</v>
      </c>
      <c r="D4222" t="s">
        <v>111</v>
      </c>
      <c r="E4222">
        <v>18</v>
      </c>
      <c r="F4222">
        <v>1018</v>
      </c>
      <c r="G4222" t="s">
        <v>112</v>
      </c>
      <c r="J4222" t="s">
        <v>113</v>
      </c>
      <c r="K4222">
        <v>0</v>
      </c>
      <c r="L4222">
        <v>3</v>
      </c>
      <c r="M4222">
        <v>0</v>
      </c>
      <c r="N4222">
        <v>2</v>
      </c>
      <c r="O4222">
        <v>1</v>
      </c>
      <c r="P4222">
        <v>0</v>
      </c>
      <c r="Q4222">
        <v>0</v>
      </c>
      <c r="R4222" t="s">
        <v>114</v>
      </c>
      <c r="S4222" t="str">
        <f>"19:45:43.852"</f>
        <v>19:45:43.852</v>
      </c>
      <c r="T4222" t="str">
        <f>"19:45:42.852"</f>
        <v>19:45:42.852</v>
      </c>
      <c r="U4222" t="str">
        <f t="shared" si="196"/>
        <v>a1cdbe</v>
      </c>
      <c r="V4222">
        <v>0</v>
      </c>
      <c r="W4222">
        <v>0</v>
      </c>
      <c r="X4222">
        <v>2</v>
      </c>
      <c r="Y4222">
        <v>0</v>
      </c>
      <c r="Z4222">
        <v>0</v>
      </c>
      <c r="AB4222">
        <v>0</v>
      </c>
      <c r="AC4222">
        <v>9</v>
      </c>
      <c r="AD4222">
        <v>3</v>
      </c>
      <c r="AE4222">
        <v>0</v>
      </c>
      <c r="AF4222">
        <v>9</v>
      </c>
      <c r="AG4222" t="s">
        <v>115</v>
      </c>
      <c r="AH4222">
        <v>0</v>
      </c>
      <c r="AI4222">
        <v>0</v>
      </c>
      <c r="AJ4222">
        <v>1</v>
      </c>
      <c r="AK4222">
        <v>0</v>
      </c>
      <c r="AL4222" t="s">
        <v>7250</v>
      </c>
      <c r="AM4222">
        <v>47.052619</v>
      </c>
      <c r="AN4222" t="s">
        <v>7799</v>
      </c>
      <c r="AO4222">
        <v>-123.987193</v>
      </c>
      <c r="AP4222">
        <v>100</v>
      </c>
      <c r="AQ4222">
        <v>100</v>
      </c>
      <c r="AR4222" t="s">
        <v>118</v>
      </c>
      <c r="AS4222">
        <v>13</v>
      </c>
      <c r="AT4222">
        <v>56</v>
      </c>
      <c r="AU4222">
        <v>-64</v>
      </c>
      <c r="BC4222">
        <v>1200</v>
      </c>
      <c r="BD4222">
        <v>1</v>
      </c>
      <c r="BE4222" t="str">
        <f t="shared" si="197"/>
        <v xml:space="preserve">N215T   </v>
      </c>
      <c r="BF4222">
        <v>1</v>
      </c>
      <c r="BH4222">
        <v>0</v>
      </c>
      <c r="BI4222">
        <v>0</v>
      </c>
      <c r="BJ4222">
        <v>0</v>
      </c>
      <c r="BK4222">
        <v>450</v>
      </c>
      <c r="BL4222">
        <v>350</v>
      </c>
      <c r="BM4222" t="s">
        <v>119</v>
      </c>
      <c r="BN4222">
        <v>1</v>
      </c>
      <c r="BO4222">
        <v>1</v>
      </c>
      <c r="BP4222">
        <v>1</v>
      </c>
      <c r="BQ4222">
        <v>0</v>
      </c>
      <c r="BT4222">
        <v>0</v>
      </c>
      <c r="BU4222">
        <v>0</v>
      </c>
      <c r="BV4222">
        <v>0</v>
      </c>
      <c r="CC4222" t="str">
        <f>"19:45:43.859"</f>
        <v>19:45:43.859</v>
      </c>
      <c r="CD4222" t="str">
        <f>"858991789"</f>
        <v>858991789</v>
      </c>
      <c r="CQ4222">
        <v>0</v>
      </c>
      <c r="CR4222">
        <v>2</v>
      </c>
      <c r="CS4222">
        <v>0</v>
      </c>
      <c r="CT4222">
        <v>2</v>
      </c>
      <c r="CU4222">
        <v>0</v>
      </c>
      <c r="CV4222">
        <v>5</v>
      </c>
      <c r="CW4222" t="s">
        <v>120</v>
      </c>
      <c r="CX4222">
        <v>257</v>
      </c>
      <c r="CY4222">
        <v>0</v>
      </c>
      <c r="CZ4222" t="s">
        <v>615</v>
      </c>
      <c r="DA4222" t="s">
        <v>616</v>
      </c>
      <c r="DD4222">
        <v>16715986</v>
      </c>
      <c r="DE4222" t="s">
        <v>123</v>
      </c>
    </row>
    <row r="4223" spans="1:109" x14ac:dyDescent="0.3">
      <c r="A4223" t="str">
        <f>"19:45:45.188"</f>
        <v>19:45:45.188</v>
      </c>
      <c r="B4223" t="s">
        <v>110</v>
      </c>
      <c r="C4223" t="str">
        <f t="shared" si="198"/>
        <v>ffdfd3c0</v>
      </c>
      <c r="D4223" t="s">
        <v>111</v>
      </c>
      <c r="E4223">
        <v>18</v>
      </c>
      <c r="F4223">
        <v>1018</v>
      </c>
      <c r="G4223" t="s">
        <v>112</v>
      </c>
      <c r="J4223" t="s">
        <v>113</v>
      </c>
      <c r="K4223">
        <v>0</v>
      </c>
      <c r="L4223">
        <v>3</v>
      </c>
      <c r="M4223">
        <v>0</v>
      </c>
      <c r="N4223">
        <v>2</v>
      </c>
      <c r="O4223">
        <v>1</v>
      </c>
      <c r="P4223">
        <v>0</v>
      </c>
      <c r="Q4223">
        <v>0</v>
      </c>
      <c r="R4223" t="s">
        <v>114</v>
      </c>
      <c r="S4223" t="str">
        <f>"19:45:44.938"</f>
        <v>19:45:44.938</v>
      </c>
      <c r="T4223" t="str">
        <f>"19:45:44.938"</f>
        <v>19:45:44.938</v>
      </c>
      <c r="U4223" t="str">
        <f t="shared" si="196"/>
        <v>a1cdbe</v>
      </c>
      <c r="V4223">
        <v>0</v>
      </c>
      <c r="W4223">
        <v>0</v>
      </c>
      <c r="X4223">
        <v>2</v>
      </c>
      <c r="Y4223">
        <v>0</v>
      </c>
      <c r="Z4223">
        <v>0</v>
      </c>
      <c r="AB4223">
        <v>0</v>
      </c>
      <c r="AC4223">
        <v>9</v>
      </c>
      <c r="AD4223">
        <v>3</v>
      </c>
      <c r="AE4223">
        <v>0</v>
      </c>
      <c r="AF4223">
        <v>9</v>
      </c>
      <c r="AG4223" t="s">
        <v>115</v>
      </c>
      <c r="AH4223">
        <v>0</v>
      </c>
      <c r="AI4223">
        <v>0</v>
      </c>
      <c r="AJ4223">
        <v>1</v>
      </c>
      <c r="AK4223">
        <v>0</v>
      </c>
      <c r="AL4223" t="s">
        <v>7800</v>
      </c>
      <c r="AM4223">
        <v>47.052877000000002</v>
      </c>
      <c r="AN4223" t="s">
        <v>7801</v>
      </c>
      <c r="AO4223">
        <v>-123.987236</v>
      </c>
      <c r="AP4223">
        <v>100</v>
      </c>
      <c r="AQ4223">
        <v>100</v>
      </c>
      <c r="AR4223" t="s">
        <v>118</v>
      </c>
      <c r="AS4223">
        <v>-13</v>
      </c>
      <c r="AT4223">
        <v>52</v>
      </c>
      <c r="AU4223">
        <v>-320</v>
      </c>
      <c r="BC4223">
        <v>1200</v>
      </c>
      <c r="BD4223">
        <v>1</v>
      </c>
      <c r="BE4223" t="str">
        <f t="shared" si="197"/>
        <v xml:space="preserve">N215T   </v>
      </c>
      <c r="BF4223">
        <v>1</v>
      </c>
      <c r="BH4223">
        <v>0</v>
      </c>
      <c r="BI4223">
        <v>0</v>
      </c>
      <c r="BJ4223">
        <v>0</v>
      </c>
      <c r="BK4223">
        <v>450</v>
      </c>
      <c r="BL4223">
        <v>350</v>
      </c>
      <c r="BM4223" t="s">
        <v>119</v>
      </c>
      <c r="BN4223">
        <v>1</v>
      </c>
      <c r="BO4223">
        <v>1</v>
      </c>
      <c r="BP4223">
        <v>1</v>
      </c>
      <c r="BQ4223">
        <v>0</v>
      </c>
      <c r="BT4223">
        <v>0</v>
      </c>
      <c r="BU4223">
        <v>0</v>
      </c>
      <c r="BV4223">
        <v>0</v>
      </c>
      <c r="CC4223" t="str">
        <f>"19:45:44.938"</f>
        <v>19:45:44.938</v>
      </c>
      <c r="CD4223" t="str">
        <f>"938885440"</f>
        <v>938885440</v>
      </c>
      <c r="CQ4223">
        <v>0</v>
      </c>
      <c r="CR4223">
        <v>2</v>
      </c>
      <c r="CS4223">
        <v>0</v>
      </c>
      <c r="CT4223">
        <v>2</v>
      </c>
      <c r="CU4223">
        <v>0</v>
      </c>
      <c r="CV4223">
        <v>5</v>
      </c>
      <c r="CW4223" t="s">
        <v>120</v>
      </c>
      <c r="CX4223">
        <v>257</v>
      </c>
      <c r="CY4223">
        <v>0</v>
      </c>
      <c r="CZ4223" t="s">
        <v>615</v>
      </c>
      <c r="DA4223" t="s">
        <v>616</v>
      </c>
      <c r="DD4223">
        <v>16716330</v>
      </c>
      <c r="DE4223" t="s">
        <v>123</v>
      </c>
    </row>
    <row r="4224" spans="1:109" x14ac:dyDescent="0.3">
      <c r="A4224" t="str">
        <f>"19:45:46.195"</f>
        <v>19:45:46.195</v>
      </c>
      <c r="B4224" t="s">
        <v>110</v>
      </c>
      <c r="C4224" t="str">
        <f t="shared" si="198"/>
        <v>ffdfd3c0</v>
      </c>
      <c r="D4224" t="s">
        <v>111</v>
      </c>
      <c r="E4224">
        <v>18</v>
      </c>
      <c r="F4224">
        <v>1018</v>
      </c>
      <c r="G4224" t="s">
        <v>112</v>
      </c>
      <c r="J4224" t="s">
        <v>113</v>
      </c>
      <c r="K4224">
        <v>0</v>
      </c>
      <c r="L4224">
        <v>3</v>
      </c>
      <c r="M4224">
        <v>0</v>
      </c>
      <c r="N4224">
        <v>2</v>
      </c>
      <c r="O4224">
        <v>1</v>
      </c>
      <c r="P4224">
        <v>0</v>
      </c>
      <c r="Q4224">
        <v>0</v>
      </c>
      <c r="R4224" t="s">
        <v>114</v>
      </c>
      <c r="S4224" t="str">
        <f>"19:45:45.953"</f>
        <v>19:45:45.953</v>
      </c>
      <c r="T4224" t="str">
        <f>"19:45:45.852"</f>
        <v>19:45:45.852</v>
      </c>
      <c r="U4224" t="str">
        <f t="shared" si="196"/>
        <v>a1cdbe</v>
      </c>
      <c r="V4224">
        <v>0</v>
      </c>
      <c r="W4224">
        <v>0</v>
      </c>
      <c r="X4224">
        <v>2</v>
      </c>
      <c r="Y4224">
        <v>0</v>
      </c>
      <c r="Z4224">
        <v>0</v>
      </c>
      <c r="AB4224">
        <v>0</v>
      </c>
      <c r="AC4224">
        <v>9</v>
      </c>
      <c r="AD4224">
        <v>3</v>
      </c>
      <c r="AE4224">
        <v>0</v>
      </c>
      <c r="AF4224">
        <v>9</v>
      </c>
      <c r="AG4224" t="s">
        <v>115</v>
      </c>
      <c r="AH4224">
        <v>0</v>
      </c>
      <c r="AI4224">
        <v>0</v>
      </c>
      <c r="AJ4224">
        <v>1</v>
      </c>
      <c r="AK4224">
        <v>0</v>
      </c>
      <c r="AL4224" t="s">
        <v>7258</v>
      </c>
      <c r="AM4224">
        <v>47.053113000000003</v>
      </c>
      <c r="AN4224" t="s">
        <v>7802</v>
      </c>
      <c r="AO4224">
        <v>-123.987365</v>
      </c>
      <c r="AP4224">
        <v>100</v>
      </c>
      <c r="AQ4224">
        <v>100</v>
      </c>
      <c r="AR4224" t="s">
        <v>118</v>
      </c>
      <c r="AS4224">
        <v>-23</v>
      </c>
      <c r="AT4224">
        <v>46</v>
      </c>
      <c r="AU4224">
        <v>-704</v>
      </c>
      <c r="BC4224">
        <v>1200</v>
      </c>
      <c r="BD4224">
        <v>1</v>
      </c>
      <c r="BE4224" t="str">
        <f t="shared" si="197"/>
        <v xml:space="preserve">N215T   </v>
      </c>
      <c r="BF4224">
        <v>1</v>
      </c>
      <c r="BH4224">
        <v>0</v>
      </c>
      <c r="BI4224">
        <v>0</v>
      </c>
      <c r="BJ4224">
        <v>0</v>
      </c>
      <c r="BK4224">
        <v>450</v>
      </c>
      <c r="BL4224">
        <v>350</v>
      </c>
      <c r="BM4224" t="s">
        <v>119</v>
      </c>
      <c r="BN4224">
        <v>1</v>
      </c>
      <c r="BO4224">
        <v>1</v>
      </c>
      <c r="BP4224">
        <v>1</v>
      </c>
      <c r="BQ4224">
        <v>0</v>
      </c>
      <c r="BT4224">
        <v>0</v>
      </c>
      <c r="BU4224">
        <v>0</v>
      </c>
      <c r="BV4224">
        <v>0</v>
      </c>
      <c r="CC4224" t="str">
        <f>"19:45:45.961"</f>
        <v>19:45:45.961</v>
      </c>
      <c r="CD4224" t="str">
        <f>"958785000"</f>
        <v>958785000</v>
      </c>
      <c r="CQ4224">
        <v>0</v>
      </c>
      <c r="CR4224">
        <v>2</v>
      </c>
      <c r="CS4224">
        <v>0</v>
      </c>
      <c r="CT4224">
        <v>2</v>
      </c>
      <c r="CU4224">
        <v>0</v>
      </c>
      <c r="CV4224">
        <v>2</v>
      </c>
      <c r="CW4224" t="s">
        <v>120</v>
      </c>
      <c r="CX4224">
        <v>257</v>
      </c>
      <c r="CY4224">
        <v>0</v>
      </c>
      <c r="CZ4224" t="s">
        <v>615</v>
      </c>
      <c r="DA4224" t="s">
        <v>616</v>
      </c>
      <c r="DD4224">
        <v>16716632</v>
      </c>
      <c r="DE4224" t="s">
        <v>123</v>
      </c>
    </row>
    <row r="4225" spans="1:109" x14ac:dyDescent="0.3">
      <c r="A4225" t="str">
        <f>"19:45:47.352"</f>
        <v>19:45:47.352</v>
      </c>
      <c r="B4225" t="s">
        <v>110</v>
      </c>
      <c r="C4225" t="str">
        <f t="shared" si="198"/>
        <v>ffdfd3c0</v>
      </c>
      <c r="D4225" t="s">
        <v>111</v>
      </c>
      <c r="E4225">
        <v>18</v>
      </c>
      <c r="F4225">
        <v>1018</v>
      </c>
      <c r="G4225" t="s">
        <v>112</v>
      </c>
      <c r="J4225" t="s">
        <v>113</v>
      </c>
      <c r="K4225">
        <v>0</v>
      </c>
      <c r="L4225">
        <v>3</v>
      </c>
      <c r="M4225">
        <v>0</v>
      </c>
      <c r="N4225">
        <v>2</v>
      </c>
      <c r="O4225">
        <v>1</v>
      </c>
      <c r="P4225">
        <v>0</v>
      </c>
      <c r="Q4225">
        <v>0</v>
      </c>
      <c r="R4225" t="s">
        <v>114</v>
      </c>
      <c r="S4225" t="str">
        <f>"19:45:47.141"</f>
        <v>19:45:47.141</v>
      </c>
      <c r="T4225" t="str">
        <f>"19:45:46.742"</f>
        <v>19:45:46.742</v>
      </c>
      <c r="U4225" t="str">
        <f t="shared" si="196"/>
        <v>a1cdbe</v>
      </c>
      <c r="V4225">
        <v>0</v>
      </c>
      <c r="W4225">
        <v>0</v>
      </c>
      <c r="X4225">
        <v>2</v>
      </c>
      <c r="Y4225">
        <v>0</v>
      </c>
      <c r="Z4225">
        <v>0</v>
      </c>
      <c r="AB4225">
        <v>0</v>
      </c>
      <c r="AC4225">
        <v>9</v>
      </c>
      <c r="AD4225">
        <v>3</v>
      </c>
      <c r="AE4225">
        <v>0</v>
      </c>
      <c r="AF4225">
        <v>9</v>
      </c>
      <c r="AG4225" t="s">
        <v>115</v>
      </c>
      <c r="AH4225">
        <v>0</v>
      </c>
      <c r="AI4225">
        <v>0</v>
      </c>
      <c r="AJ4225">
        <v>1</v>
      </c>
      <c r="AK4225">
        <v>0</v>
      </c>
      <c r="AL4225" t="s">
        <v>7803</v>
      </c>
      <c r="AM4225">
        <v>47.053328</v>
      </c>
      <c r="AN4225" t="s">
        <v>7804</v>
      </c>
      <c r="AO4225">
        <v>-123.98768699999999</v>
      </c>
      <c r="AP4225">
        <v>100</v>
      </c>
      <c r="AQ4225">
        <v>0</v>
      </c>
      <c r="AR4225" t="s">
        <v>118</v>
      </c>
      <c r="AS4225">
        <v>-30</v>
      </c>
      <c r="AT4225">
        <v>40</v>
      </c>
      <c r="AU4225">
        <v>-896</v>
      </c>
      <c r="BC4225">
        <v>1200</v>
      </c>
      <c r="BD4225">
        <v>1</v>
      </c>
      <c r="BE4225" t="str">
        <f t="shared" si="197"/>
        <v xml:space="preserve">N215T   </v>
      </c>
      <c r="BF4225">
        <v>1</v>
      </c>
      <c r="BH4225">
        <v>0</v>
      </c>
      <c r="BI4225">
        <v>0</v>
      </c>
      <c r="BJ4225">
        <v>0</v>
      </c>
      <c r="BK4225">
        <v>425</v>
      </c>
      <c r="BL4225">
        <v>425</v>
      </c>
      <c r="BM4225" t="s">
        <v>119</v>
      </c>
      <c r="BN4225">
        <v>1</v>
      </c>
      <c r="BO4225">
        <v>1</v>
      </c>
      <c r="BP4225">
        <v>1</v>
      </c>
      <c r="BQ4225">
        <v>0</v>
      </c>
      <c r="BT4225">
        <v>0</v>
      </c>
      <c r="BU4225">
        <v>0</v>
      </c>
      <c r="BV4225">
        <v>0</v>
      </c>
      <c r="CC4225" t="str">
        <f>"19:45:47.141"</f>
        <v>19:45:47.141</v>
      </c>
      <c r="CD4225" t="str">
        <f>"143668334"</f>
        <v>143668334</v>
      </c>
      <c r="CQ4225">
        <v>0</v>
      </c>
      <c r="CR4225">
        <v>2</v>
      </c>
      <c r="CS4225">
        <v>0</v>
      </c>
      <c r="CT4225">
        <v>2</v>
      </c>
      <c r="CU4225">
        <v>0</v>
      </c>
      <c r="CV4225">
        <v>3</v>
      </c>
      <c r="CW4225" t="s">
        <v>120</v>
      </c>
      <c r="CX4225">
        <v>257</v>
      </c>
      <c r="CY4225">
        <v>0</v>
      </c>
      <c r="CZ4225" t="s">
        <v>615</v>
      </c>
      <c r="DA4225" t="s">
        <v>616</v>
      </c>
      <c r="DD4225">
        <v>16717028</v>
      </c>
      <c r="DE4225" t="s">
        <v>123</v>
      </c>
    </row>
    <row r="4226" spans="1:109" x14ac:dyDescent="0.3">
      <c r="A4226" t="str">
        <f>"19:45:48.406"</f>
        <v>19:45:48.406</v>
      </c>
      <c r="B4226" t="s">
        <v>110</v>
      </c>
      <c r="C4226" t="str">
        <f t="shared" si="198"/>
        <v>ffdfd3c0</v>
      </c>
      <c r="D4226" t="s">
        <v>111</v>
      </c>
      <c r="E4226">
        <v>18</v>
      </c>
      <c r="F4226">
        <v>1018</v>
      </c>
      <c r="G4226" t="s">
        <v>112</v>
      </c>
      <c r="J4226" t="s">
        <v>113</v>
      </c>
      <c r="K4226">
        <v>0</v>
      </c>
      <c r="L4226">
        <v>3</v>
      </c>
      <c r="M4226">
        <v>0</v>
      </c>
      <c r="N4226">
        <v>2</v>
      </c>
      <c r="O4226">
        <v>1</v>
      </c>
      <c r="P4226">
        <v>0</v>
      </c>
      <c r="Q4226">
        <v>0</v>
      </c>
      <c r="R4226" t="s">
        <v>114</v>
      </c>
      <c r="S4226" t="str">
        <f>"19:45:48.188"</f>
        <v>19:45:48.188</v>
      </c>
      <c r="T4226" t="str">
        <f>"19:45:47.789"</f>
        <v>19:45:47.789</v>
      </c>
      <c r="U4226" t="str">
        <f t="shared" ref="U4226:U4289" si="199">"a1cdbe"</f>
        <v>a1cdbe</v>
      </c>
      <c r="V4226">
        <v>0</v>
      </c>
      <c r="W4226">
        <v>0</v>
      </c>
      <c r="X4226">
        <v>2</v>
      </c>
      <c r="Y4226">
        <v>0</v>
      </c>
      <c r="Z4226">
        <v>0</v>
      </c>
      <c r="AB4226">
        <v>0</v>
      </c>
      <c r="AC4226">
        <v>9</v>
      </c>
      <c r="AD4226">
        <v>3</v>
      </c>
      <c r="AE4226">
        <v>0</v>
      </c>
      <c r="AF4226">
        <v>9</v>
      </c>
      <c r="AG4226" t="s">
        <v>115</v>
      </c>
      <c r="AH4226">
        <v>0</v>
      </c>
      <c r="AI4226">
        <v>0</v>
      </c>
      <c r="AJ4226">
        <v>1</v>
      </c>
      <c r="AK4226">
        <v>0</v>
      </c>
      <c r="AL4226" t="s">
        <v>7805</v>
      </c>
      <c r="AM4226">
        <v>47.053521000000003</v>
      </c>
      <c r="AN4226" t="s">
        <v>7608</v>
      </c>
      <c r="AO4226">
        <v>-123.987966</v>
      </c>
      <c r="AP4226">
        <v>100</v>
      </c>
      <c r="AQ4226">
        <v>0</v>
      </c>
      <c r="AR4226" t="s">
        <v>118</v>
      </c>
      <c r="AS4226">
        <v>-37</v>
      </c>
      <c r="AT4226">
        <v>34</v>
      </c>
      <c r="AU4226">
        <v>-1152</v>
      </c>
      <c r="BC4226">
        <v>1200</v>
      </c>
      <c r="BD4226">
        <v>1</v>
      </c>
      <c r="BE4226" t="str">
        <f t="shared" ref="BE4226:BE4289" si="200">"N215T   "</f>
        <v xml:space="preserve">N215T   </v>
      </c>
      <c r="BF4226">
        <v>1</v>
      </c>
      <c r="BH4226">
        <v>0</v>
      </c>
      <c r="BI4226">
        <v>0</v>
      </c>
      <c r="BJ4226">
        <v>0</v>
      </c>
      <c r="BK4226">
        <v>425</v>
      </c>
      <c r="BL4226">
        <v>425</v>
      </c>
      <c r="BM4226" t="s">
        <v>119</v>
      </c>
      <c r="BN4226">
        <v>1</v>
      </c>
      <c r="BO4226">
        <v>1</v>
      </c>
      <c r="BP4226">
        <v>1</v>
      </c>
      <c r="BQ4226">
        <v>0</v>
      </c>
      <c r="BT4226">
        <v>0</v>
      </c>
      <c r="BU4226">
        <v>0</v>
      </c>
      <c r="BV4226">
        <v>0</v>
      </c>
      <c r="CC4226" t="str">
        <f>"19:45:48.195"</f>
        <v>19:45:48.195</v>
      </c>
      <c r="CD4226" t="str">
        <f>"193564928"</f>
        <v>193564928</v>
      </c>
      <c r="CQ4226">
        <v>0</v>
      </c>
      <c r="CR4226">
        <v>2</v>
      </c>
      <c r="CS4226">
        <v>0</v>
      </c>
      <c r="CT4226">
        <v>2</v>
      </c>
      <c r="CU4226">
        <v>0</v>
      </c>
      <c r="CV4226">
        <v>5</v>
      </c>
      <c r="CW4226" t="s">
        <v>120</v>
      </c>
      <c r="CX4226">
        <v>257</v>
      </c>
      <c r="CY4226">
        <v>0</v>
      </c>
      <c r="CZ4226" t="s">
        <v>615</v>
      </c>
      <c r="DA4226" t="s">
        <v>616</v>
      </c>
      <c r="DD4226">
        <v>16717382</v>
      </c>
      <c r="DE4226" t="s">
        <v>123</v>
      </c>
    </row>
    <row r="4227" spans="1:109" x14ac:dyDescent="0.3">
      <c r="A4227" t="str">
        <f>"19:45:49.313"</f>
        <v>19:45:49.313</v>
      </c>
      <c r="B4227" t="s">
        <v>110</v>
      </c>
      <c r="C4227" t="str">
        <f t="shared" si="198"/>
        <v>ffdfd3c0</v>
      </c>
      <c r="D4227" t="s">
        <v>111</v>
      </c>
      <c r="E4227">
        <v>18</v>
      </c>
      <c r="F4227">
        <v>1018</v>
      </c>
      <c r="G4227" t="s">
        <v>112</v>
      </c>
      <c r="J4227" t="s">
        <v>113</v>
      </c>
      <c r="K4227">
        <v>0</v>
      </c>
      <c r="L4227">
        <v>3</v>
      </c>
      <c r="M4227">
        <v>0</v>
      </c>
      <c r="N4227">
        <v>2</v>
      </c>
      <c r="O4227">
        <v>1</v>
      </c>
      <c r="P4227">
        <v>0</v>
      </c>
      <c r="Q4227">
        <v>0</v>
      </c>
      <c r="R4227" t="s">
        <v>114</v>
      </c>
      <c r="S4227" t="str">
        <f>"19:45:49.063"</f>
        <v>19:45:49.063</v>
      </c>
      <c r="T4227" t="str">
        <f>"19:45:48.766"</f>
        <v>19:45:48.766</v>
      </c>
      <c r="U4227" t="str">
        <f t="shared" si="199"/>
        <v>a1cdbe</v>
      </c>
      <c r="V4227">
        <v>0</v>
      </c>
      <c r="W4227">
        <v>0</v>
      </c>
      <c r="X4227">
        <v>2</v>
      </c>
      <c r="Y4227">
        <v>0</v>
      </c>
      <c r="Z4227">
        <v>0</v>
      </c>
      <c r="AB4227">
        <v>0</v>
      </c>
      <c r="AC4227">
        <v>9</v>
      </c>
      <c r="AD4227">
        <v>3</v>
      </c>
      <c r="AE4227">
        <v>0</v>
      </c>
      <c r="AF4227">
        <v>9</v>
      </c>
      <c r="AG4227" t="s">
        <v>115</v>
      </c>
      <c r="AH4227">
        <v>0</v>
      </c>
      <c r="AI4227">
        <v>0</v>
      </c>
      <c r="AJ4227">
        <v>1</v>
      </c>
      <c r="AK4227">
        <v>0</v>
      </c>
      <c r="AL4227" t="s">
        <v>7806</v>
      </c>
      <c r="AM4227">
        <v>47.053607</v>
      </c>
      <c r="AN4227" t="s">
        <v>7807</v>
      </c>
      <c r="AO4227">
        <v>-123.98818</v>
      </c>
      <c r="AP4227">
        <v>100</v>
      </c>
      <c r="AQ4227">
        <v>0</v>
      </c>
      <c r="AR4227" t="s">
        <v>118</v>
      </c>
      <c r="AS4227">
        <v>-40</v>
      </c>
      <c r="AT4227">
        <v>30</v>
      </c>
      <c r="AU4227">
        <v>-1216</v>
      </c>
      <c r="BC4227">
        <v>1200</v>
      </c>
      <c r="BD4227">
        <v>1</v>
      </c>
      <c r="BE4227" t="str">
        <f t="shared" si="200"/>
        <v xml:space="preserve">N215T   </v>
      </c>
      <c r="BF4227">
        <v>1</v>
      </c>
      <c r="BH4227">
        <v>0</v>
      </c>
      <c r="BI4227">
        <v>0</v>
      </c>
      <c r="BJ4227">
        <v>0</v>
      </c>
      <c r="BK4227">
        <v>400</v>
      </c>
      <c r="BL4227">
        <v>400</v>
      </c>
      <c r="BM4227" t="s">
        <v>119</v>
      </c>
      <c r="BN4227">
        <v>1</v>
      </c>
      <c r="BO4227">
        <v>1</v>
      </c>
      <c r="BP4227">
        <v>1</v>
      </c>
      <c r="BQ4227">
        <v>0</v>
      </c>
      <c r="BT4227">
        <v>0</v>
      </c>
      <c r="BU4227">
        <v>0</v>
      </c>
      <c r="BV4227">
        <v>0</v>
      </c>
      <c r="CC4227" t="str">
        <f>"19:45:49.063"</f>
        <v>19:45:49.063</v>
      </c>
      <c r="CD4227" t="str">
        <f>"063479242"</f>
        <v>063479242</v>
      </c>
      <c r="CQ4227">
        <v>0</v>
      </c>
      <c r="CR4227">
        <v>2</v>
      </c>
      <c r="CS4227">
        <v>0</v>
      </c>
      <c r="CT4227">
        <v>2</v>
      </c>
      <c r="CU4227">
        <v>0</v>
      </c>
      <c r="CV4227">
        <v>5</v>
      </c>
      <c r="CW4227" t="s">
        <v>120</v>
      </c>
      <c r="CX4227">
        <v>257</v>
      </c>
      <c r="CY4227">
        <v>0</v>
      </c>
      <c r="CZ4227" t="s">
        <v>615</v>
      </c>
      <c r="DA4227" t="s">
        <v>616</v>
      </c>
      <c r="DD4227">
        <v>16717676</v>
      </c>
      <c r="DE4227" t="s">
        <v>123</v>
      </c>
    </row>
    <row r="4228" spans="1:109" x14ac:dyDescent="0.3">
      <c r="A4228" t="str">
        <f>"19:45:50.367"</f>
        <v>19:45:50.367</v>
      </c>
      <c r="B4228" t="s">
        <v>110</v>
      </c>
      <c r="C4228" t="str">
        <f t="shared" si="198"/>
        <v>ffdfd3c0</v>
      </c>
      <c r="D4228" t="s">
        <v>111</v>
      </c>
      <c r="E4228">
        <v>18</v>
      </c>
      <c r="F4228">
        <v>1018</v>
      </c>
      <c r="G4228" t="s">
        <v>112</v>
      </c>
      <c r="J4228" t="s">
        <v>113</v>
      </c>
      <c r="K4228">
        <v>0</v>
      </c>
      <c r="L4228">
        <v>3</v>
      </c>
      <c r="M4228">
        <v>0</v>
      </c>
      <c r="N4228">
        <v>2</v>
      </c>
      <c r="O4228">
        <v>1</v>
      </c>
      <c r="P4228">
        <v>0</v>
      </c>
      <c r="Q4228">
        <v>0</v>
      </c>
      <c r="R4228" t="s">
        <v>114</v>
      </c>
      <c r="S4228" t="str">
        <f>"19:45:50.125"</f>
        <v>19:45:50.125</v>
      </c>
      <c r="T4228" t="str">
        <f>"19:45:49.727"</f>
        <v>19:45:49.727</v>
      </c>
      <c r="U4228" t="str">
        <f t="shared" si="199"/>
        <v>a1cdbe</v>
      </c>
      <c r="V4228">
        <v>0</v>
      </c>
      <c r="W4228">
        <v>0</v>
      </c>
      <c r="X4228">
        <v>2</v>
      </c>
      <c r="Y4228">
        <v>0</v>
      </c>
      <c r="Z4228">
        <v>0</v>
      </c>
      <c r="AB4228">
        <v>0</v>
      </c>
      <c r="AC4228">
        <v>9</v>
      </c>
      <c r="AD4228">
        <v>3</v>
      </c>
      <c r="AE4228">
        <v>0</v>
      </c>
      <c r="AF4228">
        <v>9</v>
      </c>
      <c r="AG4228" t="s">
        <v>115</v>
      </c>
      <c r="AH4228">
        <v>0</v>
      </c>
      <c r="AI4228">
        <v>0</v>
      </c>
      <c r="AJ4228">
        <v>1</v>
      </c>
      <c r="AK4228">
        <v>0</v>
      </c>
      <c r="AL4228" t="s">
        <v>541</v>
      </c>
      <c r="AM4228">
        <v>47.053756999999997</v>
      </c>
      <c r="AN4228" t="s">
        <v>7808</v>
      </c>
      <c r="AO4228">
        <v>-123.988545</v>
      </c>
      <c r="AP4228">
        <v>100</v>
      </c>
      <c r="AQ4228">
        <v>0</v>
      </c>
      <c r="AR4228" t="s">
        <v>118</v>
      </c>
      <c r="AS4228">
        <v>-42</v>
      </c>
      <c r="AT4228">
        <v>30</v>
      </c>
      <c r="AU4228">
        <v>-1088</v>
      </c>
      <c r="BC4228">
        <v>1200</v>
      </c>
      <c r="BD4228">
        <v>1</v>
      </c>
      <c r="BE4228" t="str">
        <f t="shared" si="200"/>
        <v xml:space="preserve">N215T   </v>
      </c>
      <c r="BF4228">
        <v>1</v>
      </c>
      <c r="BH4228">
        <v>0</v>
      </c>
      <c r="BI4228">
        <v>0</v>
      </c>
      <c r="BJ4228">
        <v>0</v>
      </c>
      <c r="BK4228">
        <v>375</v>
      </c>
      <c r="BL4228">
        <v>375</v>
      </c>
      <c r="BM4228" t="s">
        <v>119</v>
      </c>
      <c r="BN4228">
        <v>1</v>
      </c>
      <c r="BO4228">
        <v>1</v>
      </c>
      <c r="BP4228">
        <v>1</v>
      </c>
      <c r="BQ4228">
        <v>0</v>
      </c>
      <c r="BT4228">
        <v>0</v>
      </c>
      <c r="BU4228">
        <v>0</v>
      </c>
      <c r="BV4228">
        <v>0</v>
      </c>
      <c r="CC4228" t="str">
        <f>"19:45:50.125"</f>
        <v>19:45:50.125</v>
      </c>
      <c r="CD4228" t="str">
        <f>"128374354"</f>
        <v>128374354</v>
      </c>
      <c r="CQ4228">
        <v>0</v>
      </c>
      <c r="CR4228">
        <v>2</v>
      </c>
      <c r="CS4228">
        <v>0</v>
      </c>
      <c r="CT4228">
        <v>2</v>
      </c>
      <c r="CU4228">
        <v>0</v>
      </c>
      <c r="CV4228">
        <v>5</v>
      </c>
      <c r="CW4228" t="s">
        <v>120</v>
      </c>
      <c r="CX4228">
        <v>257</v>
      </c>
      <c r="CY4228">
        <v>0</v>
      </c>
      <c r="CZ4228" t="s">
        <v>615</v>
      </c>
      <c r="DA4228" t="s">
        <v>616</v>
      </c>
      <c r="DD4228">
        <v>16718038</v>
      </c>
      <c r="DE4228" t="s">
        <v>123</v>
      </c>
    </row>
    <row r="4229" spans="1:109" x14ac:dyDescent="0.3">
      <c r="A4229" t="str">
        <f>"19:45:51.477"</f>
        <v>19:45:51.477</v>
      </c>
      <c r="B4229" t="s">
        <v>110</v>
      </c>
      <c r="C4229" t="str">
        <f t="shared" si="198"/>
        <v>ffdfd3c0</v>
      </c>
      <c r="D4229" t="s">
        <v>111</v>
      </c>
      <c r="E4229">
        <v>18</v>
      </c>
      <c r="F4229">
        <v>1018</v>
      </c>
      <c r="G4229" t="s">
        <v>112</v>
      </c>
      <c r="J4229" t="s">
        <v>113</v>
      </c>
      <c r="K4229">
        <v>0</v>
      </c>
      <c r="L4229">
        <v>3</v>
      </c>
      <c r="M4229">
        <v>0</v>
      </c>
      <c r="N4229">
        <v>2</v>
      </c>
      <c r="O4229">
        <v>1</v>
      </c>
      <c r="P4229">
        <v>0</v>
      </c>
      <c r="Q4229">
        <v>0</v>
      </c>
      <c r="R4229" t="s">
        <v>114</v>
      </c>
      <c r="S4229" t="str">
        <f>"19:45:51.219"</f>
        <v>19:45:51.219</v>
      </c>
      <c r="T4229" t="str">
        <f>"19:45:51.219"</f>
        <v>19:45:51.219</v>
      </c>
      <c r="U4229" t="str">
        <f t="shared" si="199"/>
        <v>a1cdbe</v>
      </c>
      <c r="V4229">
        <v>0</v>
      </c>
      <c r="W4229">
        <v>0</v>
      </c>
      <c r="X4229">
        <v>2</v>
      </c>
      <c r="Y4229">
        <v>0</v>
      </c>
      <c r="Z4229">
        <v>0</v>
      </c>
      <c r="AB4229">
        <v>0</v>
      </c>
      <c r="AC4229">
        <v>9</v>
      </c>
      <c r="AD4229">
        <v>3</v>
      </c>
      <c r="AE4229">
        <v>0</v>
      </c>
      <c r="AF4229">
        <v>9</v>
      </c>
      <c r="AG4229" t="s">
        <v>115</v>
      </c>
      <c r="AH4229">
        <v>0</v>
      </c>
      <c r="AI4229">
        <v>0</v>
      </c>
      <c r="AJ4229">
        <v>1</v>
      </c>
      <c r="AK4229">
        <v>0</v>
      </c>
      <c r="AL4229" t="s">
        <v>7271</v>
      </c>
      <c r="AM4229">
        <v>47.053885000000001</v>
      </c>
      <c r="AN4229" t="s">
        <v>7809</v>
      </c>
      <c r="AO4229">
        <v>-123.98882399999999</v>
      </c>
      <c r="AP4229">
        <v>100</v>
      </c>
      <c r="AQ4229">
        <v>0</v>
      </c>
      <c r="AR4229" t="s">
        <v>118</v>
      </c>
      <c r="AS4229">
        <v>-42</v>
      </c>
      <c r="AT4229">
        <v>33</v>
      </c>
      <c r="AU4229">
        <v>-512</v>
      </c>
      <c r="BC4229">
        <v>1200</v>
      </c>
      <c r="BD4229">
        <v>1</v>
      </c>
      <c r="BE4229" t="str">
        <f t="shared" si="200"/>
        <v xml:space="preserve">N215T   </v>
      </c>
      <c r="BF4229">
        <v>1</v>
      </c>
      <c r="BH4229">
        <v>0</v>
      </c>
      <c r="BI4229">
        <v>0</v>
      </c>
      <c r="BJ4229">
        <v>0</v>
      </c>
      <c r="BK4229">
        <v>350</v>
      </c>
      <c r="BL4229">
        <v>350</v>
      </c>
      <c r="BM4229" t="s">
        <v>119</v>
      </c>
      <c r="BN4229">
        <v>1</v>
      </c>
      <c r="BO4229">
        <v>1</v>
      </c>
      <c r="BP4229">
        <v>1</v>
      </c>
      <c r="BQ4229">
        <v>0</v>
      </c>
      <c r="BT4229">
        <v>0</v>
      </c>
      <c r="BU4229">
        <v>0</v>
      </c>
      <c r="BV4229">
        <v>0</v>
      </c>
      <c r="CC4229" t="str">
        <f>"19:45:51.227"</f>
        <v>19:45:51.227</v>
      </c>
      <c r="CD4229" t="str">
        <f>"223266507"</f>
        <v>223266507</v>
      </c>
      <c r="CQ4229">
        <v>0</v>
      </c>
      <c r="CR4229">
        <v>2</v>
      </c>
      <c r="CS4229">
        <v>0</v>
      </c>
      <c r="CT4229">
        <v>2</v>
      </c>
      <c r="CU4229">
        <v>0</v>
      </c>
      <c r="CV4229">
        <v>5</v>
      </c>
      <c r="CW4229" t="s">
        <v>120</v>
      </c>
      <c r="CX4229">
        <v>257</v>
      </c>
      <c r="CY4229">
        <v>0</v>
      </c>
      <c r="CZ4229" t="s">
        <v>615</v>
      </c>
      <c r="DA4229" t="s">
        <v>616</v>
      </c>
      <c r="DD4229">
        <v>16718405</v>
      </c>
      <c r="DE4229" t="s">
        <v>123</v>
      </c>
    </row>
    <row r="4230" spans="1:109" x14ac:dyDescent="0.3">
      <c r="A4230" t="str">
        <f>"19:45:52.430"</f>
        <v>19:45:52.430</v>
      </c>
      <c r="B4230" t="s">
        <v>110</v>
      </c>
      <c r="C4230" t="str">
        <f t="shared" si="198"/>
        <v>ffdfd3c0</v>
      </c>
      <c r="D4230" t="s">
        <v>111</v>
      </c>
      <c r="E4230">
        <v>18</v>
      </c>
      <c r="F4230">
        <v>1018</v>
      </c>
      <c r="G4230" t="s">
        <v>112</v>
      </c>
      <c r="J4230" t="s">
        <v>113</v>
      </c>
      <c r="K4230">
        <v>0</v>
      </c>
      <c r="L4230">
        <v>3</v>
      </c>
      <c r="M4230">
        <v>0</v>
      </c>
      <c r="N4230">
        <v>2</v>
      </c>
      <c r="O4230">
        <v>1</v>
      </c>
      <c r="P4230">
        <v>0</v>
      </c>
      <c r="Q4230">
        <v>0</v>
      </c>
      <c r="R4230" t="s">
        <v>114</v>
      </c>
      <c r="S4230" t="str">
        <f>"19:45:52.180"</f>
        <v>19:45:52.180</v>
      </c>
      <c r="T4230" t="str">
        <f>"19:45:51.781"</f>
        <v>19:45:51.781</v>
      </c>
      <c r="U4230" t="str">
        <f t="shared" si="199"/>
        <v>a1cdbe</v>
      </c>
      <c r="V4230">
        <v>0</v>
      </c>
      <c r="W4230">
        <v>0</v>
      </c>
      <c r="X4230">
        <v>2</v>
      </c>
      <c r="Y4230">
        <v>0</v>
      </c>
      <c r="Z4230">
        <v>0</v>
      </c>
      <c r="AB4230">
        <v>0</v>
      </c>
      <c r="AC4230">
        <v>9</v>
      </c>
      <c r="AD4230">
        <v>3</v>
      </c>
      <c r="AE4230">
        <v>0</v>
      </c>
      <c r="AF4230">
        <v>9</v>
      </c>
      <c r="AG4230" t="s">
        <v>115</v>
      </c>
      <c r="AH4230">
        <v>0</v>
      </c>
      <c r="AI4230">
        <v>0</v>
      </c>
      <c r="AJ4230">
        <v>1</v>
      </c>
      <c r="AK4230">
        <v>0</v>
      </c>
      <c r="AL4230" t="s">
        <v>7810</v>
      </c>
      <c r="AM4230">
        <v>47.054014000000002</v>
      </c>
      <c r="AN4230" t="s">
        <v>7811</v>
      </c>
      <c r="AO4230">
        <v>-123.989103</v>
      </c>
      <c r="AP4230">
        <v>100</v>
      </c>
      <c r="AQ4230">
        <v>0</v>
      </c>
      <c r="AR4230" t="s">
        <v>118</v>
      </c>
      <c r="AS4230">
        <v>-41</v>
      </c>
      <c r="AT4230">
        <v>34</v>
      </c>
      <c r="AU4230">
        <v>-448</v>
      </c>
      <c r="BC4230">
        <v>1200</v>
      </c>
      <c r="BD4230">
        <v>1</v>
      </c>
      <c r="BE4230" t="str">
        <f t="shared" si="200"/>
        <v xml:space="preserve">N215T   </v>
      </c>
      <c r="BF4230">
        <v>1</v>
      </c>
      <c r="BH4230">
        <v>0</v>
      </c>
      <c r="BI4230">
        <v>0</v>
      </c>
      <c r="BJ4230">
        <v>0</v>
      </c>
      <c r="BK4230">
        <v>350</v>
      </c>
      <c r="BL4230">
        <v>350</v>
      </c>
      <c r="BM4230" t="s">
        <v>119</v>
      </c>
      <c r="BN4230">
        <v>1</v>
      </c>
      <c r="BO4230">
        <v>1</v>
      </c>
      <c r="BP4230">
        <v>1</v>
      </c>
      <c r="BQ4230">
        <v>0</v>
      </c>
      <c r="BT4230">
        <v>0</v>
      </c>
      <c r="BU4230">
        <v>0</v>
      </c>
      <c r="BV4230">
        <v>0</v>
      </c>
      <c r="CC4230" t="str">
        <f>"19:45:52.180"</f>
        <v>19:45:52.180</v>
      </c>
      <c r="CD4230" t="str">
        <f>"183171984"</f>
        <v>183171984</v>
      </c>
      <c r="CQ4230">
        <v>0</v>
      </c>
      <c r="CR4230">
        <v>2</v>
      </c>
      <c r="CS4230">
        <v>0</v>
      </c>
      <c r="CT4230">
        <v>2</v>
      </c>
      <c r="CU4230">
        <v>0</v>
      </c>
      <c r="CV4230">
        <v>5</v>
      </c>
      <c r="CW4230" t="s">
        <v>120</v>
      </c>
      <c r="CX4230">
        <v>257</v>
      </c>
      <c r="CY4230">
        <v>0</v>
      </c>
      <c r="CZ4230" t="s">
        <v>615</v>
      </c>
      <c r="DA4230" t="s">
        <v>616</v>
      </c>
      <c r="DD4230">
        <v>16718713</v>
      </c>
      <c r="DE4230" t="s">
        <v>123</v>
      </c>
    </row>
    <row r="4231" spans="1:109" x14ac:dyDescent="0.3">
      <c r="A4231" t="str">
        <f>"19:45:53.383"</f>
        <v>19:45:53.383</v>
      </c>
      <c r="B4231" t="s">
        <v>110</v>
      </c>
      <c r="C4231" t="str">
        <f t="shared" si="198"/>
        <v>ffdfd3c0</v>
      </c>
      <c r="D4231" t="s">
        <v>111</v>
      </c>
      <c r="E4231">
        <v>18</v>
      </c>
      <c r="F4231">
        <v>1018</v>
      </c>
      <c r="G4231" t="s">
        <v>112</v>
      </c>
      <c r="J4231" t="s">
        <v>113</v>
      </c>
      <c r="K4231">
        <v>0</v>
      </c>
      <c r="L4231">
        <v>3</v>
      </c>
      <c r="M4231">
        <v>0</v>
      </c>
      <c r="N4231">
        <v>2</v>
      </c>
      <c r="O4231">
        <v>1</v>
      </c>
      <c r="P4231">
        <v>0</v>
      </c>
      <c r="Q4231">
        <v>0</v>
      </c>
      <c r="R4231" t="s">
        <v>114</v>
      </c>
      <c r="S4231" t="str">
        <f>"19:45:53.172"</f>
        <v>19:45:53.172</v>
      </c>
      <c r="T4231" t="str">
        <f>"19:45:52.773"</f>
        <v>19:45:52.773</v>
      </c>
      <c r="U4231" t="str">
        <f t="shared" si="199"/>
        <v>a1cdbe</v>
      </c>
      <c r="V4231">
        <v>0</v>
      </c>
      <c r="W4231">
        <v>0</v>
      </c>
      <c r="X4231">
        <v>2</v>
      </c>
      <c r="Y4231">
        <v>0</v>
      </c>
      <c r="Z4231">
        <v>0</v>
      </c>
      <c r="AB4231">
        <v>0</v>
      </c>
      <c r="AC4231">
        <v>9</v>
      </c>
      <c r="AD4231">
        <v>3</v>
      </c>
      <c r="AE4231">
        <v>0</v>
      </c>
      <c r="AF4231">
        <v>9</v>
      </c>
      <c r="AG4231" t="s">
        <v>115</v>
      </c>
      <c r="AH4231">
        <v>0</v>
      </c>
      <c r="AI4231">
        <v>0</v>
      </c>
      <c r="AJ4231">
        <v>1</v>
      </c>
      <c r="AK4231">
        <v>0</v>
      </c>
      <c r="AL4231" t="s">
        <v>7770</v>
      </c>
      <c r="AM4231">
        <v>47.054206999999998</v>
      </c>
      <c r="AN4231" t="s">
        <v>7812</v>
      </c>
      <c r="AO4231">
        <v>-123.98936</v>
      </c>
      <c r="AP4231">
        <v>100</v>
      </c>
      <c r="AQ4231">
        <v>0</v>
      </c>
      <c r="AR4231" t="s">
        <v>118</v>
      </c>
      <c r="AS4231">
        <v>-38</v>
      </c>
      <c r="AT4231">
        <v>38</v>
      </c>
      <c r="AU4231">
        <v>-320</v>
      </c>
      <c r="BC4231">
        <v>1200</v>
      </c>
      <c r="BD4231">
        <v>1</v>
      </c>
      <c r="BE4231" t="str">
        <f t="shared" si="200"/>
        <v xml:space="preserve">N215T   </v>
      </c>
      <c r="BF4231">
        <v>1</v>
      </c>
      <c r="BH4231">
        <v>0</v>
      </c>
      <c r="BI4231">
        <v>0</v>
      </c>
      <c r="BJ4231">
        <v>0</v>
      </c>
      <c r="BK4231">
        <v>350</v>
      </c>
      <c r="BL4231">
        <v>350</v>
      </c>
      <c r="BM4231" t="s">
        <v>119</v>
      </c>
      <c r="BN4231">
        <v>1</v>
      </c>
      <c r="BO4231">
        <v>1</v>
      </c>
      <c r="BP4231">
        <v>1</v>
      </c>
      <c r="BQ4231">
        <v>0</v>
      </c>
      <c r="BT4231">
        <v>0</v>
      </c>
      <c r="BU4231">
        <v>0</v>
      </c>
      <c r="BV4231">
        <v>0</v>
      </c>
      <c r="CC4231" t="str">
        <f>"19:45:53.172"</f>
        <v>19:45:53.172</v>
      </c>
      <c r="CD4231" t="str">
        <f>"173074496"</f>
        <v>173074496</v>
      </c>
      <c r="CQ4231">
        <v>0</v>
      </c>
      <c r="CR4231">
        <v>2</v>
      </c>
      <c r="CS4231">
        <v>0</v>
      </c>
      <c r="CT4231">
        <v>2</v>
      </c>
      <c r="CU4231">
        <v>0</v>
      </c>
      <c r="CV4231">
        <v>6</v>
      </c>
      <c r="CW4231" t="s">
        <v>120</v>
      </c>
      <c r="CX4231">
        <v>257</v>
      </c>
      <c r="CY4231">
        <v>0</v>
      </c>
      <c r="CZ4231" t="s">
        <v>615</v>
      </c>
      <c r="DA4231" t="s">
        <v>616</v>
      </c>
      <c r="DD4231">
        <v>16719031</v>
      </c>
      <c r="DE4231" t="s">
        <v>123</v>
      </c>
    </row>
    <row r="4232" spans="1:109" x14ac:dyDescent="0.3">
      <c r="A4232" t="str">
        <f>"19:45:54.438"</f>
        <v>19:45:54.438</v>
      </c>
      <c r="B4232" t="s">
        <v>110</v>
      </c>
      <c r="C4232" t="str">
        <f t="shared" si="198"/>
        <v>ffdfd3c0</v>
      </c>
      <c r="D4232" t="s">
        <v>111</v>
      </c>
      <c r="E4232">
        <v>18</v>
      </c>
      <c r="F4232">
        <v>1018</v>
      </c>
      <c r="G4232" t="s">
        <v>112</v>
      </c>
      <c r="J4232" t="s">
        <v>113</v>
      </c>
      <c r="K4232">
        <v>0</v>
      </c>
      <c r="L4232">
        <v>3</v>
      </c>
      <c r="M4232">
        <v>0</v>
      </c>
      <c r="N4232">
        <v>2</v>
      </c>
      <c r="O4232">
        <v>1</v>
      </c>
      <c r="P4232">
        <v>0</v>
      </c>
      <c r="Q4232">
        <v>0</v>
      </c>
      <c r="R4232" t="s">
        <v>114</v>
      </c>
      <c r="S4232" t="str">
        <f>"19:45:54.172"</f>
        <v>19:45:54.172</v>
      </c>
      <c r="T4232" t="str">
        <f>"19:45:53.773"</f>
        <v>19:45:53.773</v>
      </c>
      <c r="U4232" t="str">
        <f t="shared" si="199"/>
        <v>a1cdbe</v>
      </c>
      <c r="V4232">
        <v>0</v>
      </c>
      <c r="W4232">
        <v>0</v>
      </c>
      <c r="X4232">
        <v>2</v>
      </c>
      <c r="Y4232">
        <v>0</v>
      </c>
      <c r="Z4232">
        <v>0</v>
      </c>
      <c r="AB4232">
        <v>0</v>
      </c>
      <c r="AC4232">
        <v>9</v>
      </c>
      <c r="AD4232">
        <v>3</v>
      </c>
      <c r="AE4232">
        <v>0</v>
      </c>
      <c r="AF4232">
        <v>9</v>
      </c>
      <c r="AG4232" t="s">
        <v>115</v>
      </c>
      <c r="AH4232">
        <v>0</v>
      </c>
      <c r="AI4232">
        <v>0</v>
      </c>
      <c r="AJ4232">
        <v>1</v>
      </c>
      <c r="AK4232">
        <v>0</v>
      </c>
      <c r="AL4232" t="s">
        <v>7280</v>
      </c>
      <c r="AM4232">
        <v>47.054442999999999</v>
      </c>
      <c r="AN4232" t="s">
        <v>7813</v>
      </c>
      <c r="AO4232">
        <v>-123.98959600000001</v>
      </c>
      <c r="AP4232">
        <v>100</v>
      </c>
      <c r="AQ4232">
        <v>-100</v>
      </c>
      <c r="AR4232" t="s">
        <v>118</v>
      </c>
      <c r="AS4232">
        <v>-33</v>
      </c>
      <c r="AT4232">
        <v>41</v>
      </c>
      <c r="AU4232">
        <v>-448</v>
      </c>
      <c r="BC4232">
        <v>1200</v>
      </c>
      <c r="BD4232">
        <v>1</v>
      </c>
      <c r="BE4232" t="str">
        <f t="shared" si="200"/>
        <v xml:space="preserve">N215T   </v>
      </c>
      <c r="BF4232">
        <v>1</v>
      </c>
      <c r="BH4232">
        <v>0</v>
      </c>
      <c r="BI4232">
        <v>0</v>
      </c>
      <c r="BJ4232">
        <v>0</v>
      </c>
      <c r="BK4232">
        <v>350</v>
      </c>
      <c r="BL4232">
        <v>450</v>
      </c>
      <c r="BM4232" t="s">
        <v>119</v>
      </c>
      <c r="BN4232">
        <v>1</v>
      </c>
      <c r="BO4232">
        <v>1</v>
      </c>
      <c r="BP4232">
        <v>1</v>
      </c>
      <c r="BQ4232">
        <v>0</v>
      </c>
      <c r="BT4232">
        <v>0</v>
      </c>
      <c r="BU4232">
        <v>0</v>
      </c>
      <c r="BV4232">
        <v>0</v>
      </c>
      <c r="CC4232" t="str">
        <f>"19:45:54.180"</f>
        <v>19:45:54.180</v>
      </c>
      <c r="CD4232" t="str">
        <f>"177975534"</f>
        <v>177975534</v>
      </c>
      <c r="CQ4232">
        <v>0</v>
      </c>
      <c r="CR4232">
        <v>2</v>
      </c>
      <c r="CS4232">
        <v>0</v>
      </c>
      <c r="CT4232">
        <v>2</v>
      </c>
      <c r="CU4232">
        <v>0</v>
      </c>
      <c r="CV4232">
        <v>5</v>
      </c>
      <c r="CW4232" t="s">
        <v>120</v>
      </c>
      <c r="CX4232">
        <v>257</v>
      </c>
      <c r="CY4232">
        <v>0</v>
      </c>
      <c r="CZ4232" t="s">
        <v>615</v>
      </c>
      <c r="DA4232" t="s">
        <v>616</v>
      </c>
      <c r="DD4232">
        <v>16719394</v>
      </c>
      <c r="DE4232" t="s">
        <v>123</v>
      </c>
    </row>
    <row r="4233" spans="1:109" x14ac:dyDescent="0.3">
      <c r="A4233" t="str">
        <f>"19:45:55.344"</f>
        <v>19:45:55.344</v>
      </c>
      <c r="B4233" t="s">
        <v>110</v>
      </c>
      <c r="C4233" t="str">
        <f t="shared" si="198"/>
        <v>ffdfd3c0</v>
      </c>
      <c r="D4233" t="s">
        <v>111</v>
      </c>
      <c r="E4233">
        <v>18</v>
      </c>
      <c r="F4233">
        <v>1018</v>
      </c>
      <c r="G4233" t="s">
        <v>112</v>
      </c>
      <c r="J4233" t="s">
        <v>113</v>
      </c>
      <c r="K4233">
        <v>0</v>
      </c>
      <c r="L4233">
        <v>3</v>
      </c>
      <c r="M4233">
        <v>0</v>
      </c>
      <c r="N4233">
        <v>2</v>
      </c>
      <c r="O4233">
        <v>1</v>
      </c>
      <c r="P4233">
        <v>0</v>
      </c>
      <c r="Q4233">
        <v>0</v>
      </c>
      <c r="R4233" t="s">
        <v>114</v>
      </c>
      <c r="S4233" t="str">
        <f>"19:45:55.117"</f>
        <v>19:45:55.117</v>
      </c>
      <c r="T4233" t="str">
        <f>"19:45:55.117"</f>
        <v>19:45:55.117</v>
      </c>
      <c r="U4233" t="str">
        <f t="shared" si="199"/>
        <v>a1cdbe</v>
      </c>
      <c r="V4233">
        <v>0</v>
      </c>
      <c r="W4233">
        <v>0</v>
      </c>
      <c r="X4233">
        <v>2</v>
      </c>
      <c r="Y4233">
        <v>0</v>
      </c>
      <c r="Z4233">
        <v>0</v>
      </c>
      <c r="AB4233">
        <v>0</v>
      </c>
      <c r="AC4233">
        <v>9</v>
      </c>
      <c r="AD4233">
        <v>3</v>
      </c>
      <c r="AE4233">
        <v>0</v>
      </c>
      <c r="AF4233">
        <v>9</v>
      </c>
      <c r="AG4233" t="s">
        <v>115</v>
      </c>
      <c r="AH4233">
        <v>0</v>
      </c>
      <c r="AI4233">
        <v>0</v>
      </c>
      <c r="AJ4233">
        <v>1</v>
      </c>
      <c r="AK4233">
        <v>0</v>
      </c>
      <c r="AL4233" t="s">
        <v>7814</v>
      </c>
      <c r="AM4233">
        <v>47.054636000000002</v>
      </c>
      <c r="AN4233" t="s">
        <v>7815</v>
      </c>
      <c r="AO4233">
        <v>-123.989789</v>
      </c>
      <c r="AP4233">
        <v>100</v>
      </c>
      <c r="AQ4233">
        <v>-100</v>
      </c>
      <c r="AR4233" t="s">
        <v>118</v>
      </c>
      <c r="AS4233">
        <v>-29</v>
      </c>
      <c r="AT4233">
        <v>44</v>
      </c>
      <c r="AU4233">
        <v>-448</v>
      </c>
      <c r="BC4233">
        <v>1200</v>
      </c>
      <c r="BD4233">
        <v>1</v>
      </c>
      <c r="BE4233" t="str">
        <f t="shared" si="200"/>
        <v xml:space="preserve">N215T   </v>
      </c>
      <c r="BF4233">
        <v>1</v>
      </c>
      <c r="BH4233">
        <v>0</v>
      </c>
      <c r="BI4233">
        <v>0</v>
      </c>
      <c r="BJ4233">
        <v>0</v>
      </c>
      <c r="BK4233">
        <v>350</v>
      </c>
      <c r="BL4233">
        <v>450</v>
      </c>
      <c r="BM4233" t="s">
        <v>119</v>
      </c>
      <c r="BN4233">
        <v>1</v>
      </c>
      <c r="BO4233">
        <v>1</v>
      </c>
      <c r="BP4233">
        <v>1</v>
      </c>
      <c r="BQ4233">
        <v>0</v>
      </c>
      <c r="BT4233">
        <v>0</v>
      </c>
      <c r="BU4233">
        <v>0</v>
      </c>
      <c r="BV4233">
        <v>0</v>
      </c>
      <c r="CC4233" t="str">
        <f>"19:45:55.125"</f>
        <v>19:45:55.125</v>
      </c>
      <c r="CD4233" t="str">
        <f>"122882480"</f>
        <v>122882480</v>
      </c>
      <c r="CQ4233">
        <v>0</v>
      </c>
      <c r="CR4233">
        <v>2</v>
      </c>
      <c r="CS4233">
        <v>0</v>
      </c>
      <c r="CT4233">
        <v>2</v>
      </c>
      <c r="CU4233">
        <v>0</v>
      </c>
      <c r="CV4233">
        <v>6</v>
      </c>
      <c r="CW4233" t="s">
        <v>120</v>
      </c>
      <c r="CX4233">
        <v>257</v>
      </c>
      <c r="CY4233">
        <v>0</v>
      </c>
      <c r="CZ4233" t="s">
        <v>615</v>
      </c>
      <c r="DA4233" t="s">
        <v>616</v>
      </c>
      <c r="DD4233">
        <v>16719700</v>
      </c>
      <c r="DE4233" t="s">
        <v>123</v>
      </c>
    </row>
    <row r="4234" spans="1:109" x14ac:dyDescent="0.3">
      <c r="A4234" t="str">
        <f>"19:45:56.453"</f>
        <v>19:45:56.453</v>
      </c>
      <c r="B4234" t="s">
        <v>110</v>
      </c>
      <c r="C4234" t="str">
        <f t="shared" si="198"/>
        <v>ffdfd3c0</v>
      </c>
      <c r="D4234" t="s">
        <v>111</v>
      </c>
      <c r="E4234">
        <v>18</v>
      </c>
      <c r="F4234">
        <v>1018</v>
      </c>
      <c r="G4234" t="s">
        <v>112</v>
      </c>
      <c r="J4234" t="s">
        <v>113</v>
      </c>
      <c r="K4234">
        <v>0</v>
      </c>
      <c r="L4234">
        <v>3</v>
      </c>
      <c r="M4234">
        <v>0</v>
      </c>
      <c r="N4234">
        <v>2</v>
      </c>
      <c r="O4234">
        <v>1</v>
      </c>
      <c r="P4234">
        <v>0</v>
      </c>
      <c r="Q4234">
        <v>0</v>
      </c>
      <c r="R4234" t="s">
        <v>114</v>
      </c>
      <c r="S4234" t="str">
        <f>"19:45:56.172"</f>
        <v>19:45:56.172</v>
      </c>
      <c r="T4234" t="str">
        <f>"19:45:56.070"</f>
        <v>19:45:56.070</v>
      </c>
      <c r="U4234" t="str">
        <f t="shared" si="199"/>
        <v>a1cdbe</v>
      </c>
      <c r="V4234">
        <v>0</v>
      </c>
      <c r="W4234">
        <v>0</v>
      </c>
      <c r="X4234">
        <v>2</v>
      </c>
      <c r="Y4234">
        <v>0</v>
      </c>
      <c r="Z4234">
        <v>0</v>
      </c>
      <c r="AB4234">
        <v>0</v>
      </c>
      <c r="AC4234">
        <v>9</v>
      </c>
      <c r="AD4234">
        <v>3</v>
      </c>
      <c r="AE4234">
        <v>0</v>
      </c>
      <c r="AF4234">
        <v>9</v>
      </c>
      <c r="AG4234" t="s">
        <v>115</v>
      </c>
      <c r="AH4234">
        <v>0</v>
      </c>
      <c r="AI4234">
        <v>0</v>
      </c>
      <c r="AJ4234">
        <v>1</v>
      </c>
      <c r="AK4234">
        <v>0</v>
      </c>
      <c r="AL4234" t="s">
        <v>7816</v>
      </c>
      <c r="AM4234">
        <v>47.054808000000001</v>
      </c>
      <c r="AN4234" t="s">
        <v>7817</v>
      </c>
      <c r="AO4234">
        <v>-123.98994</v>
      </c>
      <c r="AP4234">
        <v>100</v>
      </c>
      <c r="AQ4234">
        <v>-100</v>
      </c>
      <c r="AR4234" t="s">
        <v>118</v>
      </c>
      <c r="AS4234">
        <v>-26</v>
      </c>
      <c r="AT4234">
        <v>45</v>
      </c>
      <c r="AU4234">
        <v>-512</v>
      </c>
      <c r="BC4234">
        <v>1200</v>
      </c>
      <c r="BD4234">
        <v>1</v>
      </c>
      <c r="BE4234" t="str">
        <f t="shared" si="200"/>
        <v xml:space="preserve">N215T   </v>
      </c>
      <c r="BF4234">
        <v>1</v>
      </c>
      <c r="BH4234">
        <v>0</v>
      </c>
      <c r="BI4234">
        <v>0</v>
      </c>
      <c r="BJ4234">
        <v>0</v>
      </c>
      <c r="BK4234">
        <v>325</v>
      </c>
      <c r="BL4234">
        <v>425</v>
      </c>
      <c r="BM4234" t="s">
        <v>119</v>
      </c>
      <c r="BN4234">
        <v>1</v>
      </c>
      <c r="BO4234">
        <v>1</v>
      </c>
      <c r="BP4234">
        <v>1</v>
      </c>
      <c r="BQ4234">
        <v>0</v>
      </c>
      <c r="BT4234">
        <v>0</v>
      </c>
      <c r="BU4234">
        <v>0</v>
      </c>
      <c r="BV4234">
        <v>0</v>
      </c>
      <c r="CC4234" t="str">
        <f>"19:45:56.172"</f>
        <v>19:45:56.172</v>
      </c>
      <c r="CD4234" t="str">
        <f>"172779104"</f>
        <v>172779104</v>
      </c>
      <c r="CQ4234">
        <v>0</v>
      </c>
      <c r="CR4234">
        <v>2</v>
      </c>
      <c r="CS4234">
        <v>0</v>
      </c>
      <c r="CT4234">
        <v>2</v>
      </c>
      <c r="CU4234">
        <v>0</v>
      </c>
      <c r="CV4234">
        <v>6</v>
      </c>
      <c r="CW4234" t="s">
        <v>120</v>
      </c>
      <c r="CX4234">
        <v>257</v>
      </c>
      <c r="CY4234">
        <v>0</v>
      </c>
      <c r="CZ4234" t="s">
        <v>615</v>
      </c>
      <c r="DA4234" t="s">
        <v>616</v>
      </c>
      <c r="DD4234">
        <v>16720037</v>
      </c>
      <c r="DE4234" t="s">
        <v>123</v>
      </c>
    </row>
    <row r="4235" spans="1:109" x14ac:dyDescent="0.3">
      <c r="A4235" t="str">
        <f>"19:45:57.508"</f>
        <v>19:45:57.508</v>
      </c>
      <c r="B4235" t="s">
        <v>110</v>
      </c>
      <c r="C4235" t="str">
        <f t="shared" si="198"/>
        <v>ffdfd3c0</v>
      </c>
      <c r="D4235" t="s">
        <v>111</v>
      </c>
      <c r="E4235">
        <v>18</v>
      </c>
      <c r="F4235">
        <v>1018</v>
      </c>
      <c r="G4235" t="s">
        <v>112</v>
      </c>
      <c r="J4235" t="s">
        <v>113</v>
      </c>
      <c r="K4235">
        <v>0</v>
      </c>
      <c r="L4235">
        <v>3</v>
      </c>
      <c r="M4235">
        <v>0</v>
      </c>
      <c r="N4235">
        <v>2</v>
      </c>
      <c r="O4235">
        <v>1</v>
      </c>
      <c r="P4235">
        <v>0</v>
      </c>
      <c r="Q4235">
        <v>0</v>
      </c>
      <c r="R4235" t="s">
        <v>114</v>
      </c>
      <c r="S4235" t="str">
        <f>"19:45:57.266"</f>
        <v>19:45:57.266</v>
      </c>
      <c r="T4235" t="str">
        <f>"19:45:57.063"</f>
        <v>19:45:57.063</v>
      </c>
      <c r="U4235" t="str">
        <f t="shared" si="199"/>
        <v>a1cdbe</v>
      </c>
      <c r="V4235">
        <v>0</v>
      </c>
      <c r="W4235">
        <v>0</v>
      </c>
      <c r="X4235">
        <v>2</v>
      </c>
      <c r="Y4235">
        <v>0</v>
      </c>
      <c r="Z4235">
        <v>0</v>
      </c>
      <c r="AB4235">
        <v>0</v>
      </c>
      <c r="AC4235">
        <v>9</v>
      </c>
      <c r="AD4235">
        <v>3</v>
      </c>
      <c r="AE4235">
        <v>0</v>
      </c>
      <c r="AF4235">
        <v>9</v>
      </c>
      <c r="AG4235" t="s">
        <v>115</v>
      </c>
      <c r="AH4235">
        <v>0</v>
      </c>
      <c r="AI4235">
        <v>0</v>
      </c>
      <c r="AJ4235">
        <v>1</v>
      </c>
      <c r="AK4235">
        <v>0</v>
      </c>
      <c r="AL4235" t="s">
        <v>7818</v>
      </c>
      <c r="AM4235">
        <v>47.055087</v>
      </c>
      <c r="AN4235" t="s">
        <v>7788</v>
      </c>
      <c r="AO4235">
        <v>-123.990111</v>
      </c>
      <c r="AP4235">
        <v>100</v>
      </c>
      <c r="AQ4235">
        <v>-100</v>
      </c>
      <c r="AR4235" t="s">
        <v>118</v>
      </c>
      <c r="AS4235">
        <v>-24</v>
      </c>
      <c r="AT4235">
        <v>45</v>
      </c>
      <c r="AU4235">
        <v>-384</v>
      </c>
      <c r="BC4235">
        <v>1200</v>
      </c>
      <c r="BD4235">
        <v>1</v>
      </c>
      <c r="BE4235" t="str">
        <f t="shared" si="200"/>
        <v xml:space="preserve">N215T   </v>
      </c>
      <c r="BF4235">
        <v>1</v>
      </c>
      <c r="BH4235">
        <v>0</v>
      </c>
      <c r="BI4235">
        <v>0</v>
      </c>
      <c r="BJ4235">
        <v>0</v>
      </c>
      <c r="BK4235">
        <v>325</v>
      </c>
      <c r="BL4235">
        <v>425</v>
      </c>
      <c r="BM4235" t="s">
        <v>119</v>
      </c>
      <c r="BN4235">
        <v>1</v>
      </c>
      <c r="BO4235">
        <v>1</v>
      </c>
      <c r="BP4235">
        <v>1</v>
      </c>
      <c r="BQ4235">
        <v>0</v>
      </c>
      <c r="BT4235">
        <v>0</v>
      </c>
      <c r="BU4235">
        <v>0</v>
      </c>
      <c r="BV4235">
        <v>0</v>
      </c>
      <c r="CC4235" t="str">
        <f>"19:45:57.266"</f>
        <v>19:45:57.266</v>
      </c>
      <c r="CD4235" t="str">
        <f>"267671278"</f>
        <v>267671278</v>
      </c>
      <c r="CQ4235">
        <v>0</v>
      </c>
      <c r="CR4235">
        <v>2</v>
      </c>
      <c r="CS4235">
        <v>0</v>
      </c>
      <c r="CT4235">
        <v>2</v>
      </c>
      <c r="CU4235">
        <v>0</v>
      </c>
      <c r="CV4235">
        <v>6</v>
      </c>
      <c r="CW4235" t="s">
        <v>120</v>
      </c>
      <c r="CX4235">
        <v>257</v>
      </c>
      <c r="CY4235">
        <v>0</v>
      </c>
      <c r="CZ4235" t="s">
        <v>615</v>
      </c>
      <c r="DA4235" t="s">
        <v>616</v>
      </c>
      <c r="DD4235">
        <v>16720365</v>
      </c>
      <c r="DE4235" t="s">
        <v>123</v>
      </c>
    </row>
    <row r="4236" spans="1:109" x14ac:dyDescent="0.3">
      <c r="A4236" t="str">
        <f>"19:45:58.508"</f>
        <v>19:45:58.508</v>
      </c>
      <c r="B4236" t="s">
        <v>110</v>
      </c>
      <c r="C4236" t="str">
        <f t="shared" si="198"/>
        <v>ffdfd3c0</v>
      </c>
      <c r="D4236" t="s">
        <v>111</v>
      </c>
      <c r="E4236">
        <v>18</v>
      </c>
      <c r="F4236">
        <v>1018</v>
      </c>
      <c r="G4236" t="s">
        <v>112</v>
      </c>
      <c r="J4236" t="s">
        <v>113</v>
      </c>
      <c r="K4236">
        <v>0</v>
      </c>
      <c r="L4236">
        <v>3</v>
      </c>
      <c r="M4236">
        <v>0</v>
      </c>
      <c r="N4236">
        <v>2</v>
      </c>
      <c r="O4236">
        <v>1</v>
      </c>
      <c r="P4236">
        <v>0</v>
      </c>
      <c r="Q4236">
        <v>0</v>
      </c>
      <c r="R4236" t="s">
        <v>114</v>
      </c>
      <c r="S4236" t="str">
        <f>"19:45:58.266"</f>
        <v>19:45:58.266</v>
      </c>
      <c r="T4236" t="str">
        <f>"19:45:58.164"</f>
        <v>19:45:58.164</v>
      </c>
      <c r="U4236" t="str">
        <f t="shared" si="199"/>
        <v>a1cdbe</v>
      </c>
      <c r="V4236">
        <v>0</v>
      </c>
      <c r="W4236">
        <v>0</v>
      </c>
      <c r="X4236">
        <v>2</v>
      </c>
      <c r="Y4236">
        <v>0</v>
      </c>
      <c r="Z4236">
        <v>0</v>
      </c>
      <c r="AB4236">
        <v>0</v>
      </c>
      <c r="AC4236">
        <v>9</v>
      </c>
      <c r="AD4236">
        <v>3</v>
      </c>
      <c r="AE4236">
        <v>0</v>
      </c>
      <c r="AF4236">
        <v>9</v>
      </c>
      <c r="AG4236" t="s">
        <v>115</v>
      </c>
      <c r="AH4236">
        <v>0</v>
      </c>
      <c r="AI4236">
        <v>0</v>
      </c>
      <c r="AJ4236">
        <v>1</v>
      </c>
      <c r="AK4236">
        <v>0</v>
      </c>
      <c r="AL4236" t="s">
        <v>7819</v>
      </c>
      <c r="AM4236">
        <v>47.055280000000003</v>
      </c>
      <c r="AN4236" t="s">
        <v>7559</v>
      </c>
      <c r="AO4236">
        <v>-123.99028300000001</v>
      </c>
      <c r="AP4236">
        <v>100</v>
      </c>
      <c r="AQ4236">
        <v>-100</v>
      </c>
      <c r="AR4236" t="s">
        <v>118</v>
      </c>
      <c r="AS4236">
        <v>-27</v>
      </c>
      <c r="AT4236">
        <v>43</v>
      </c>
      <c r="AU4236">
        <v>-576</v>
      </c>
      <c r="BC4236">
        <v>1200</v>
      </c>
      <c r="BD4236">
        <v>1</v>
      </c>
      <c r="BE4236" t="str">
        <f t="shared" si="200"/>
        <v xml:space="preserve">N215T   </v>
      </c>
      <c r="BF4236">
        <v>1</v>
      </c>
      <c r="BH4236">
        <v>0</v>
      </c>
      <c r="BI4236">
        <v>0</v>
      </c>
      <c r="BJ4236">
        <v>0</v>
      </c>
      <c r="BK4236">
        <v>325</v>
      </c>
      <c r="BL4236">
        <v>425</v>
      </c>
      <c r="BM4236" t="s">
        <v>119</v>
      </c>
      <c r="BN4236">
        <v>1</v>
      </c>
      <c r="BO4236">
        <v>1</v>
      </c>
      <c r="BP4236">
        <v>1</v>
      </c>
      <c r="BQ4236">
        <v>0</v>
      </c>
      <c r="BT4236">
        <v>0</v>
      </c>
      <c r="BU4236">
        <v>0</v>
      </c>
      <c r="BV4236">
        <v>0</v>
      </c>
      <c r="CC4236" t="str">
        <f>"19:45:58.273"</f>
        <v>19:45:58.273</v>
      </c>
      <c r="CD4236" t="str">
        <f>"272572331"</f>
        <v>272572331</v>
      </c>
      <c r="CQ4236">
        <v>0</v>
      </c>
      <c r="CR4236">
        <v>2</v>
      </c>
      <c r="CS4236">
        <v>0</v>
      </c>
      <c r="CT4236">
        <v>2</v>
      </c>
      <c r="CU4236">
        <v>0</v>
      </c>
      <c r="CV4236">
        <v>6</v>
      </c>
      <c r="CW4236" t="s">
        <v>120</v>
      </c>
      <c r="CX4236">
        <v>257</v>
      </c>
      <c r="CY4236">
        <v>0</v>
      </c>
      <c r="CZ4236" t="s">
        <v>615</v>
      </c>
      <c r="DA4236" t="s">
        <v>616</v>
      </c>
      <c r="DD4236">
        <v>16720701</v>
      </c>
      <c r="DE4236" t="s">
        <v>123</v>
      </c>
    </row>
    <row r="4237" spans="1:109" x14ac:dyDescent="0.3">
      <c r="A4237" t="str">
        <f>"19:45:59.367"</f>
        <v>19:45:59.367</v>
      </c>
      <c r="B4237" t="s">
        <v>110</v>
      </c>
      <c r="C4237" t="str">
        <f t="shared" si="198"/>
        <v>ffdfd3c0</v>
      </c>
      <c r="D4237" t="s">
        <v>111</v>
      </c>
      <c r="E4237">
        <v>18</v>
      </c>
      <c r="F4237">
        <v>1018</v>
      </c>
      <c r="G4237" t="s">
        <v>112</v>
      </c>
      <c r="J4237" t="s">
        <v>113</v>
      </c>
      <c r="K4237">
        <v>0</v>
      </c>
      <c r="L4237">
        <v>3</v>
      </c>
      <c r="M4237">
        <v>0</v>
      </c>
      <c r="N4237">
        <v>2</v>
      </c>
      <c r="O4237">
        <v>1</v>
      </c>
      <c r="P4237">
        <v>0</v>
      </c>
      <c r="Q4237">
        <v>0</v>
      </c>
      <c r="R4237" t="s">
        <v>114</v>
      </c>
      <c r="S4237" t="str">
        <f>"19:45:59.141"</f>
        <v>19:45:59.141</v>
      </c>
      <c r="T4237" t="str">
        <f>"19:45:58.742"</f>
        <v>19:45:58.742</v>
      </c>
      <c r="U4237" t="str">
        <f t="shared" si="199"/>
        <v>a1cdbe</v>
      </c>
      <c r="V4237">
        <v>0</v>
      </c>
      <c r="W4237">
        <v>0</v>
      </c>
      <c r="X4237">
        <v>2</v>
      </c>
      <c r="Y4237">
        <v>0</v>
      </c>
      <c r="Z4237">
        <v>0</v>
      </c>
      <c r="AB4237">
        <v>0</v>
      </c>
      <c r="AC4237">
        <v>9</v>
      </c>
      <c r="AD4237">
        <v>3</v>
      </c>
      <c r="AE4237">
        <v>0</v>
      </c>
      <c r="AF4237">
        <v>9</v>
      </c>
      <c r="AG4237" t="s">
        <v>115</v>
      </c>
      <c r="AH4237">
        <v>0</v>
      </c>
      <c r="AI4237">
        <v>0</v>
      </c>
      <c r="AJ4237">
        <v>1</v>
      </c>
      <c r="AK4237">
        <v>0</v>
      </c>
      <c r="AL4237" t="s">
        <v>7820</v>
      </c>
      <c r="AM4237">
        <v>47.055430000000001</v>
      </c>
      <c r="AN4237" t="s">
        <v>7785</v>
      </c>
      <c r="AO4237">
        <v>-123.990498</v>
      </c>
      <c r="AP4237">
        <v>100</v>
      </c>
      <c r="AQ4237">
        <v>-100</v>
      </c>
      <c r="AR4237" t="s">
        <v>118</v>
      </c>
      <c r="AS4237">
        <v>-28</v>
      </c>
      <c r="AT4237">
        <v>42</v>
      </c>
      <c r="AU4237">
        <v>-576</v>
      </c>
      <c r="BC4237">
        <v>1200</v>
      </c>
      <c r="BD4237">
        <v>1</v>
      </c>
      <c r="BE4237" t="str">
        <f t="shared" si="200"/>
        <v xml:space="preserve">N215T   </v>
      </c>
      <c r="BF4237">
        <v>1</v>
      </c>
      <c r="BH4237">
        <v>0</v>
      </c>
      <c r="BI4237">
        <v>0</v>
      </c>
      <c r="BJ4237">
        <v>0</v>
      </c>
      <c r="BK4237">
        <v>325</v>
      </c>
      <c r="BL4237">
        <v>425</v>
      </c>
      <c r="BM4237" t="s">
        <v>119</v>
      </c>
      <c r="BN4237">
        <v>1</v>
      </c>
      <c r="BO4237">
        <v>1</v>
      </c>
      <c r="BP4237">
        <v>1</v>
      </c>
      <c r="BQ4237">
        <v>0</v>
      </c>
      <c r="BT4237">
        <v>0</v>
      </c>
      <c r="BU4237">
        <v>0</v>
      </c>
      <c r="BV4237">
        <v>0</v>
      </c>
      <c r="CC4237" t="str">
        <f>"19:45:59.141"</f>
        <v>19:45:59.141</v>
      </c>
      <c r="CD4237" t="str">
        <f>"142486662"</f>
        <v>142486662</v>
      </c>
      <c r="CQ4237">
        <v>0</v>
      </c>
      <c r="CR4237">
        <v>2</v>
      </c>
      <c r="CS4237">
        <v>0</v>
      </c>
      <c r="CT4237">
        <v>2</v>
      </c>
      <c r="CU4237">
        <v>0</v>
      </c>
      <c r="CV4237">
        <v>7</v>
      </c>
      <c r="CW4237" t="s">
        <v>120</v>
      </c>
      <c r="CX4237">
        <v>257</v>
      </c>
      <c r="CY4237">
        <v>0</v>
      </c>
      <c r="CZ4237" t="s">
        <v>615</v>
      </c>
      <c r="DA4237" t="s">
        <v>616</v>
      </c>
      <c r="DD4237">
        <v>16721005</v>
      </c>
      <c r="DE4237" t="s">
        <v>123</v>
      </c>
    </row>
    <row r="4238" spans="1:109" x14ac:dyDescent="0.3">
      <c r="A4238" t="str">
        <f>"19:46:00.422"</f>
        <v>19:46:00.422</v>
      </c>
      <c r="B4238" t="s">
        <v>110</v>
      </c>
      <c r="C4238" t="str">
        <f t="shared" si="198"/>
        <v>ffdfd3c0</v>
      </c>
      <c r="D4238" t="s">
        <v>111</v>
      </c>
      <c r="E4238">
        <v>18</v>
      </c>
      <c r="F4238">
        <v>1018</v>
      </c>
      <c r="G4238" t="s">
        <v>112</v>
      </c>
      <c r="J4238" t="s">
        <v>113</v>
      </c>
      <c r="K4238">
        <v>0</v>
      </c>
      <c r="L4238">
        <v>3</v>
      </c>
      <c r="M4238">
        <v>0</v>
      </c>
      <c r="N4238">
        <v>2</v>
      </c>
      <c r="O4238">
        <v>1</v>
      </c>
      <c r="P4238">
        <v>0</v>
      </c>
      <c r="Q4238">
        <v>0</v>
      </c>
      <c r="R4238" t="s">
        <v>114</v>
      </c>
      <c r="S4238" t="str">
        <f>"19:46:00.141"</f>
        <v>19:46:00.141</v>
      </c>
      <c r="T4238" t="str">
        <f>"19:45:59.844"</f>
        <v>19:45:59.844</v>
      </c>
      <c r="U4238" t="str">
        <f t="shared" si="199"/>
        <v>a1cdbe</v>
      </c>
      <c r="V4238">
        <v>0</v>
      </c>
      <c r="W4238">
        <v>0</v>
      </c>
      <c r="X4238">
        <v>2</v>
      </c>
      <c r="Y4238">
        <v>0</v>
      </c>
      <c r="Z4238">
        <v>0</v>
      </c>
      <c r="AB4238">
        <v>0</v>
      </c>
      <c r="AC4238">
        <v>9</v>
      </c>
      <c r="AD4238">
        <v>3</v>
      </c>
      <c r="AE4238">
        <v>0</v>
      </c>
      <c r="AF4238">
        <v>9</v>
      </c>
      <c r="AG4238" t="s">
        <v>115</v>
      </c>
      <c r="AH4238">
        <v>0</v>
      </c>
      <c r="AI4238">
        <v>0</v>
      </c>
      <c r="AJ4238">
        <v>1</v>
      </c>
      <c r="AK4238">
        <v>0</v>
      </c>
      <c r="AL4238" t="s">
        <v>7821</v>
      </c>
      <c r="AM4238">
        <v>47.055624000000002</v>
      </c>
      <c r="AN4238" t="s">
        <v>7616</v>
      </c>
      <c r="AO4238">
        <v>-123.990669</v>
      </c>
      <c r="AP4238">
        <v>100</v>
      </c>
      <c r="AQ4238">
        <v>-100</v>
      </c>
      <c r="AR4238" t="s">
        <v>118</v>
      </c>
      <c r="AS4238">
        <v>-29</v>
      </c>
      <c r="AT4238">
        <v>41</v>
      </c>
      <c r="AU4238">
        <v>-960</v>
      </c>
      <c r="BC4238">
        <v>1200</v>
      </c>
      <c r="BD4238">
        <v>1</v>
      </c>
      <c r="BE4238" t="str">
        <f t="shared" si="200"/>
        <v xml:space="preserve">N215T   </v>
      </c>
      <c r="BF4238">
        <v>1</v>
      </c>
      <c r="BH4238">
        <v>0</v>
      </c>
      <c r="BI4238">
        <v>0</v>
      </c>
      <c r="BJ4238">
        <v>0</v>
      </c>
      <c r="BK4238">
        <v>300</v>
      </c>
      <c r="BL4238">
        <v>400</v>
      </c>
      <c r="BM4238" t="s">
        <v>119</v>
      </c>
      <c r="BN4238">
        <v>1</v>
      </c>
      <c r="BO4238">
        <v>1</v>
      </c>
      <c r="BP4238">
        <v>1</v>
      </c>
      <c r="BQ4238">
        <v>0</v>
      </c>
      <c r="BT4238">
        <v>0</v>
      </c>
      <c r="BU4238">
        <v>0</v>
      </c>
      <c r="BV4238">
        <v>0</v>
      </c>
      <c r="CC4238" t="str">
        <f>"19:46:00.148"</f>
        <v>19:46:00.148</v>
      </c>
      <c r="CD4238" t="str">
        <f>"147387702"</f>
        <v>147387702</v>
      </c>
      <c r="CQ4238">
        <v>0</v>
      </c>
      <c r="CR4238">
        <v>2</v>
      </c>
      <c r="CS4238">
        <v>0</v>
      </c>
      <c r="CT4238">
        <v>2</v>
      </c>
      <c r="CU4238">
        <v>0</v>
      </c>
      <c r="CV4238">
        <v>6</v>
      </c>
      <c r="CW4238" t="s">
        <v>120</v>
      </c>
      <c r="CX4238">
        <v>257</v>
      </c>
      <c r="CY4238">
        <v>0</v>
      </c>
      <c r="CZ4238" t="s">
        <v>615</v>
      </c>
      <c r="DA4238" t="s">
        <v>616</v>
      </c>
      <c r="DD4238">
        <v>16721341</v>
      </c>
      <c r="DE4238" t="s">
        <v>123</v>
      </c>
    </row>
    <row r="4239" spans="1:109" x14ac:dyDescent="0.3">
      <c r="A4239" t="str">
        <f>"19:46:01.477"</f>
        <v>19:46:01.477</v>
      </c>
      <c r="B4239" t="s">
        <v>110</v>
      </c>
      <c r="C4239" t="str">
        <f t="shared" si="198"/>
        <v>ffdfd3c0</v>
      </c>
      <c r="D4239" t="s">
        <v>111</v>
      </c>
      <c r="E4239">
        <v>18</v>
      </c>
      <c r="F4239">
        <v>1018</v>
      </c>
      <c r="G4239" t="s">
        <v>112</v>
      </c>
      <c r="J4239" t="s">
        <v>113</v>
      </c>
      <c r="K4239">
        <v>0</v>
      </c>
      <c r="L4239">
        <v>3</v>
      </c>
      <c r="M4239">
        <v>0</v>
      </c>
      <c r="N4239">
        <v>2</v>
      </c>
      <c r="O4239">
        <v>1</v>
      </c>
      <c r="P4239">
        <v>0</v>
      </c>
      <c r="Q4239">
        <v>0</v>
      </c>
      <c r="R4239" t="s">
        <v>114</v>
      </c>
      <c r="S4239" t="str">
        <f>"19:46:01.211"</f>
        <v>19:46:01.211</v>
      </c>
      <c r="T4239" t="str">
        <f>"19:46:00.711"</f>
        <v>19:46:00.711</v>
      </c>
      <c r="U4239" t="str">
        <f t="shared" si="199"/>
        <v>a1cdbe</v>
      </c>
      <c r="V4239">
        <v>0</v>
      </c>
      <c r="W4239">
        <v>0</v>
      </c>
      <c r="X4239">
        <v>2</v>
      </c>
      <c r="Y4239">
        <v>0</v>
      </c>
      <c r="Z4239">
        <v>0</v>
      </c>
      <c r="AB4239">
        <v>0</v>
      </c>
      <c r="AC4239">
        <v>9</v>
      </c>
      <c r="AD4239">
        <v>3</v>
      </c>
      <c r="AE4239">
        <v>0</v>
      </c>
      <c r="AF4239">
        <v>9</v>
      </c>
      <c r="AG4239" t="s">
        <v>115</v>
      </c>
      <c r="AH4239">
        <v>0</v>
      </c>
      <c r="AI4239">
        <v>0</v>
      </c>
      <c r="AJ4239">
        <v>1</v>
      </c>
      <c r="AK4239">
        <v>0</v>
      </c>
      <c r="AL4239" t="s">
        <v>7306</v>
      </c>
      <c r="AM4239">
        <v>47.055860000000003</v>
      </c>
      <c r="AN4239" t="s">
        <v>7780</v>
      </c>
      <c r="AO4239">
        <v>-123.99088399999999</v>
      </c>
      <c r="AP4239">
        <v>100</v>
      </c>
      <c r="AQ4239">
        <v>-100</v>
      </c>
      <c r="AR4239" t="s">
        <v>118</v>
      </c>
      <c r="AS4239">
        <v>-29</v>
      </c>
      <c r="AT4239">
        <v>42</v>
      </c>
      <c r="AU4239">
        <v>-1408</v>
      </c>
      <c r="BC4239">
        <v>1200</v>
      </c>
      <c r="BD4239">
        <v>1</v>
      </c>
      <c r="BE4239" t="str">
        <f t="shared" si="200"/>
        <v xml:space="preserve">N215T   </v>
      </c>
      <c r="BF4239">
        <v>1</v>
      </c>
      <c r="BH4239">
        <v>0</v>
      </c>
      <c r="BI4239">
        <v>0</v>
      </c>
      <c r="BJ4239">
        <v>0</v>
      </c>
      <c r="BK4239">
        <v>275</v>
      </c>
      <c r="BL4239">
        <v>375</v>
      </c>
      <c r="BM4239" t="s">
        <v>119</v>
      </c>
      <c r="BN4239">
        <v>1</v>
      </c>
      <c r="BO4239">
        <v>1</v>
      </c>
      <c r="BP4239">
        <v>1</v>
      </c>
      <c r="BQ4239">
        <v>0</v>
      </c>
      <c r="BT4239">
        <v>0</v>
      </c>
      <c r="BU4239">
        <v>0</v>
      </c>
      <c r="BV4239">
        <v>0</v>
      </c>
      <c r="CC4239" t="str">
        <f>"19:46:01.211"</f>
        <v>19:46:01.211</v>
      </c>
      <c r="CD4239" t="str">
        <f>"212282831"</f>
        <v>212282831</v>
      </c>
      <c r="CQ4239">
        <v>0</v>
      </c>
      <c r="CR4239">
        <v>2</v>
      </c>
      <c r="CS4239">
        <v>0</v>
      </c>
      <c r="CT4239">
        <v>2</v>
      </c>
      <c r="CU4239">
        <v>0</v>
      </c>
      <c r="CV4239">
        <v>6</v>
      </c>
      <c r="CW4239" t="s">
        <v>120</v>
      </c>
      <c r="CX4239">
        <v>257</v>
      </c>
      <c r="CY4239">
        <v>0</v>
      </c>
      <c r="CZ4239" t="s">
        <v>615</v>
      </c>
      <c r="DA4239" t="s">
        <v>616</v>
      </c>
      <c r="DD4239">
        <v>16721732</v>
      </c>
      <c r="DE4239" t="s">
        <v>123</v>
      </c>
    </row>
    <row r="4240" spans="1:109" x14ac:dyDescent="0.3">
      <c r="A4240" t="str">
        <f>"19:46:02.633"</f>
        <v>19:46:02.633</v>
      </c>
      <c r="B4240" t="s">
        <v>110</v>
      </c>
      <c r="C4240" t="str">
        <f t="shared" si="198"/>
        <v>ffdfd3c0</v>
      </c>
      <c r="D4240" t="s">
        <v>111</v>
      </c>
      <c r="E4240">
        <v>18</v>
      </c>
      <c r="F4240">
        <v>1018</v>
      </c>
      <c r="G4240" t="s">
        <v>112</v>
      </c>
      <c r="J4240" t="s">
        <v>113</v>
      </c>
      <c r="K4240">
        <v>0</v>
      </c>
      <c r="L4240">
        <v>3</v>
      </c>
      <c r="M4240">
        <v>0</v>
      </c>
      <c r="N4240">
        <v>2</v>
      </c>
      <c r="O4240">
        <v>1</v>
      </c>
      <c r="P4240">
        <v>0</v>
      </c>
      <c r="Q4240">
        <v>0</v>
      </c>
      <c r="R4240" t="s">
        <v>114</v>
      </c>
      <c r="S4240" t="str">
        <f>"19:46:02.352"</f>
        <v>19:46:02.352</v>
      </c>
      <c r="T4240" t="str">
        <f>"19:46:02.352"</f>
        <v>19:46:02.352</v>
      </c>
      <c r="U4240" t="str">
        <f t="shared" si="199"/>
        <v>a1cdbe</v>
      </c>
      <c r="V4240">
        <v>0</v>
      </c>
      <c r="W4240">
        <v>0</v>
      </c>
      <c r="X4240">
        <v>2</v>
      </c>
      <c r="Y4240">
        <v>0</v>
      </c>
      <c r="Z4240">
        <v>0</v>
      </c>
      <c r="AB4240">
        <v>0</v>
      </c>
      <c r="AC4240">
        <v>9</v>
      </c>
      <c r="AD4240">
        <v>3</v>
      </c>
      <c r="AE4240">
        <v>0</v>
      </c>
      <c r="AF4240">
        <v>9</v>
      </c>
      <c r="AG4240" t="s">
        <v>115</v>
      </c>
      <c r="AH4240">
        <v>0</v>
      </c>
      <c r="AI4240">
        <v>0</v>
      </c>
      <c r="AJ4240">
        <v>1</v>
      </c>
      <c r="AK4240">
        <v>0</v>
      </c>
      <c r="AL4240" t="s">
        <v>7822</v>
      </c>
      <c r="AM4240">
        <v>47.056074000000002</v>
      </c>
      <c r="AN4240" t="s">
        <v>7618</v>
      </c>
      <c r="AO4240">
        <v>-123.991055</v>
      </c>
      <c r="AP4240">
        <v>100</v>
      </c>
      <c r="AQ4240">
        <v>-200</v>
      </c>
      <c r="AR4240" t="s">
        <v>118</v>
      </c>
      <c r="AS4240">
        <v>-29</v>
      </c>
      <c r="AT4240">
        <v>44</v>
      </c>
      <c r="AU4240">
        <v>-2176</v>
      </c>
      <c r="BC4240">
        <v>1200</v>
      </c>
      <c r="BD4240">
        <v>1</v>
      </c>
      <c r="BE4240" t="str">
        <f t="shared" si="200"/>
        <v xml:space="preserve">N215T   </v>
      </c>
      <c r="BF4240">
        <v>1</v>
      </c>
      <c r="BH4240">
        <v>0</v>
      </c>
      <c r="BI4240">
        <v>0</v>
      </c>
      <c r="BJ4240">
        <v>0</v>
      </c>
      <c r="BK4240">
        <v>225</v>
      </c>
      <c r="BL4240">
        <v>425</v>
      </c>
      <c r="BM4240" t="s">
        <v>119</v>
      </c>
      <c r="BN4240">
        <v>1</v>
      </c>
      <c r="BO4240">
        <v>1</v>
      </c>
      <c r="BP4240">
        <v>1</v>
      </c>
      <c r="BQ4240">
        <v>0</v>
      </c>
      <c r="BT4240">
        <v>0</v>
      </c>
      <c r="BU4240">
        <v>0</v>
      </c>
      <c r="BV4240">
        <v>0</v>
      </c>
      <c r="CC4240" t="str">
        <f>"19:46:02.352"</f>
        <v>19:46:02.352</v>
      </c>
      <c r="CD4240" t="str">
        <f>"352170597"</f>
        <v>352170597</v>
      </c>
      <c r="CQ4240">
        <v>0</v>
      </c>
      <c r="CR4240">
        <v>2</v>
      </c>
      <c r="CS4240">
        <v>0</v>
      </c>
      <c r="CT4240">
        <v>2</v>
      </c>
      <c r="CU4240">
        <v>0</v>
      </c>
      <c r="CV4240">
        <v>5</v>
      </c>
      <c r="CW4240" t="s">
        <v>120</v>
      </c>
      <c r="CX4240">
        <v>257</v>
      </c>
      <c r="CY4240">
        <v>0</v>
      </c>
      <c r="CZ4240" t="s">
        <v>615</v>
      </c>
      <c r="DA4240" t="s">
        <v>616</v>
      </c>
      <c r="DD4240">
        <v>16722111</v>
      </c>
      <c r="DE4240" t="s">
        <v>123</v>
      </c>
    </row>
    <row r="4241" spans="1:109" x14ac:dyDescent="0.3">
      <c r="A4241" t="str">
        <f>"19:46:03.484"</f>
        <v>19:46:03.484</v>
      </c>
      <c r="B4241" t="s">
        <v>110</v>
      </c>
      <c r="C4241" t="str">
        <f t="shared" si="198"/>
        <v>ffdfd3c0</v>
      </c>
      <c r="D4241" t="s">
        <v>111</v>
      </c>
      <c r="E4241">
        <v>18</v>
      </c>
      <c r="F4241">
        <v>1018</v>
      </c>
      <c r="G4241" t="s">
        <v>112</v>
      </c>
      <c r="J4241" t="s">
        <v>113</v>
      </c>
      <c r="K4241">
        <v>0</v>
      </c>
      <c r="L4241">
        <v>3</v>
      </c>
      <c r="M4241">
        <v>0</v>
      </c>
      <c r="N4241">
        <v>2</v>
      </c>
      <c r="O4241">
        <v>1</v>
      </c>
      <c r="P4241">
        <v>0</v>
      </c>
      <c r="Q4241">
        <v>0</v>
      </c>
      <c r="R4241" t="s">
        <v>114</v>
      </c>
      <c r="S4241" t="str">
        <f>"19:46:03.234"</f>
        <v>19:46:03.234</v>
      </c>
      <c r="T4241" t="str">
        <f>"19:46:02.938"</f>
        <v>19:46:02.938</v>
      </c>
      <c r="U4241" t="str">
        <f t="shared" si="199"/>
        <v>a1cdbe</v>
      </c>
      <c r="V4241">
        <v>0</v>
      </c>
      <c r="W4241">
        <v>0</v>
      </c>
      <c r="X4241">
        <v>2</v>
      </c>
      <c r="Y4241">
        <v>0</v>
      </c>
      <c r="Z4241">
        <v>0</v>
      </c>
      <c r="AB4241">
        <v>0</v>
      </c>
      <c r="AC4241">
        <v>9</v>
      </c>
      <c r="AD4241">
        <v>3</v>
      </c>
      <c r="AE4241">
        <v>0</v>
      </c>
      <c r="AF4241">
        <v>9</v>
      </c>
      <c r="AG4241" t="s">
        <v>115</v>
      </c>
      <c r="AH4241">
        <v>0</v>
      </c>
      <c r="AI4241">
        <v>0</v>
      </c>
      <c r="AJ4241">
        <v>1</v>
      </c>
      <c r="AK4241">
        <v>0</v>
      </c>
      <c r="AL4241" t="s">
        <v>7313</v>
      </c>
      <c r="AM4241">
        <v>47.056266999999998</v>
      </c>
      <c r="AN4241" t="s">
        <v>7772</v>
      </c>
      <c r="AO4241">
        <v>-123.991292</v>
      </c>
      <c r="AP4241">
        <v>100</v>
      </c>
      <c r="AQ4241">
        <v>-200</v>
      </c>
      <c r="AR4241" t="s">
        <v>118</v>
      </c>
      <c r="AS4241">
        <v>-30</v>
      </c>
      <c r="AT4241">
        <v>46</v>
      </c>
      <c r="AU4241">
        <v>-1984</v>
      </c>
      <c r="BC4241">
        <v>1200</v>
      </c>
      <c r="BD4241">
        <v>1</v>
      </c>
      <c r="BE4241" t="str">
        <f t="shared" si="200"/>
        <v xml:space="preserve">N215T   </v>
      </c>
      <c r="BF4241">
        <v>1</v>
      </c>
      <c r="BH4241">
        <v>0</v>
      </c>
      <c r="BI4241">
        <v>0</v>
      </c>
      <c r="BJ4241">
        <v>0</v>
      </c>
      <c r="BK4241">
        <v>200</v>
      </c>
      <c r="BL4241">
        <v>400</v>
      </c>
      <c r="BM4241" t="s">
        <v>119</v>
      </c>
      <c r="BN4241">
        <v>1</v>
      </c>
      <c r="BO4241">
        <v>1</v>
      </c>
      <c r="BP4241">
        <v>1</v>
      </c>
      <c r="BQ4241">
        <v>0</v>
      </c>
      <c r="BT4241">
        <v>0</v>
      </c>
      <c r="BU4241">
        <v>0</v>
      </c>
      <c r="BV4241">
        <v>0</v>
      </c>
      <c r="CC4241" t="str">
        <f>"19:46:03.234"</f>
        <v>19:46:03.234</v>
      </c>
      <c r="CD4241" t="str">
        <f>"237083452"</f>
        <v>237083452</v>
      </c>
      <c r="CQ4241">
        <v>0</v>
      </c>
      <c r="CR4241">
        <v>2</v>
      </c>
      <c r="CS4241">
        <v>0</v>
      </c>
      <c r="CT4241">
        <v>2</v>
      </c>
      <c r="CU4241">
        <v>0</v>
      </c>
      <c r="CV4241">
        <v>4</v>
      </c>
      <c r="CW4241" t="s">
        <v>120</v>
      </c>
      <c r="CX4241">
        <v>257</v>
      </c>
      <c r="CY4241">
        <v>0</v>
      </c>
      <c r="CZ4241" t="s">
        <v>615</v>
      </c>
      <c r="DA4241" t="s">
        <v>616</v>
      </c>
      <c r="DD4241">
        <v>16722420</v>
      </c>
      <c r="DE4241" t="s">
        <v>123</v>
      </c>
    </row>
    <row r="4242" spans="1:109" x14ac:dyDescent="0.3">
      <c r="A4242" t="str">
        <f>"19:46:04.445"</f>
        <v>19:46:04.445</v>
      </c>
      <c r="B4242" t="s">
        <v>110</v>
      </c>
      <c r="C4242" t="str">
        <f t="shared" si="198"/>
        <v>ffdfd3c0</v>
      </c>
      <c r="D4242" t="s">
        <v>111</v>
      </c>
      <c r="E4242">
        <v>18</v>
      </c>
      <c r="F4242">
        <v>1018</v>
      </c>
      <c r="G4242" t="s">
        <v>112</v>
      </c>
      <c r="J4242" t="s">
        <v>113</v>
      </c>
      <c r="K4242">
        <v>0</v>
      </c>
      <c r="L4242">
        <v>3</v>
      </c>
      <c r="M4242">
        <v>0</v>
      </c>
      <c r="N4242">
        <v>2</v>
      </c>
      <c r="O4242">
        <v>1</v>
      </c>
      <c r="P4242">
        <v>0</v>
      </c>
      <c r="Q4242">
        <v>0</v>
      </c>
      <c r="R4242" t="s">
        <v>114</v>
      </c>
      <c r="S4242" t="str">
        <f>"19:46:04.227"</f>
        <v>19:46:04.227</v>
      </c>
      <c r="T4242" t="str">
        <f>"19:46:03.828"</f>
        <v>19:46:03.828</v>
      </c>
      <c r="U4242" t="str">
        <f t="shared" si="199"/>
        <v>a1cdbe</v>
      </c>
      <c r="V4242">
        <v>0</v>
      </c>
      <c r="W4242">
        <v>0</v>
      </c>
      <c r="X4242">
        <v>2</v>
      </c>
      <c r="Y4242">
        <v>0</v>
      </c>
      <c r="Z4242">
        <v>0</v>
      </c>
      <c r="AB4242">
        <v>0</v>
      </c>
      <c r="AC4242">
        <v>9</v>
      </c>
      <c r="AD4242">
        <v>3</v>
      </c>
      <c r="AE4242">
        <v>0</v>
      </c>
      <c r="AF4242">
        <v>9</v>
      </c>
      <c r="AG4242" t="s">
        <v>115</v>
      </c>
      <c r="AH4242">
        <v>0</v>
      </c>
      <c r="AI4242">
        <v>0</v>
      </c>
      <c r="AJ4242">
        <v>1</v>
      </c>
      <c r="AK4242">
        <v>0</v>
      </c>
      <c r="AL4242" t="s">
        <v>7317</v>
      </c>
      <c r="AM4242">
        <v>47.056482000000003</v>
      </c>
      <c r="AN4242" t="s">
        <v>7769</v>
      </c>
      <c r="AO4242">
        <v>-123.991485</v>
      </c>
      <c r="AP4242">
        <v>100</v>
      </c>
      <c r="AQ4242">
        <v>-200</v>
      </c>
      <c r="AR4242" t="s">
        <v>118</v>
      </c>
      <c r="AS4242">
        <v>-29</v>
      </c>
      <c r="AT4242">
        <v>50</v>
      </c>
      <c r="AU4242">
        <v>-1344</v>
      </c>
      <c r="BC4242">
        <v>1200</v>
      </c>
      <c r="BD4242">
        <v>1</v>
      </c>
      <c r="BE4242" t="str">
        <f t="shared" si="200"/>
        <v xml:space="preserve">N215T   </v>
      </c>
      <c r="BF4242">
        <v>1</v>
      </c>
      <c r="BH4242">
        <v>0</v>
      </c>
      <c r="BI4242">
        <v>0</v>
      </c>
      <c r="BJ4242">
        <v>0</v>
      </c>
      <c r="BK4242">
        <v>175</v>
      </c>
      <c r="BL4242">
        <v>375</v>
      </c>
      <c r="BM4242" t="s">
        <v>119</v>
      </c>
      <c r="BN4242">
        <v>1</v>
      </c>
      <c r="BO4242">
        <v>1</v>
      </c>
      <c r="BP4242">
        <v>1</v>
      </c>
      <c r="BQ4242">
        <v>0</v>
      </c>
      <c r="BT4242">
        <v>0</v>
      </c>
      <c r="BU4242">
        <v>0</v>
      </c>
      <c r="BV4242">
        <v>0</v>
      </c>
      <c r="CC4242" t="str">
        <f>"19:46:04.227"</f>
        <v>19:46:04.227</v>
      </c>
      <c r="CD4242" t="str">
        <f>"226986011"</f>
        <v>226986011</v>
      </c>
      <c r="CQ4242">
        <v>0</v>
      </c>
      <c r="CR4242">
        <v>2</v>
      </c>
      <c r="CS4242">
        <v>0</v>
      </c>
      <c r="CT4242">
        <v>2</v>
      </c>
      <c r="CU4242">
        <v>0</v>
      </c>
      <c r="CV4242">
        <v>3</v>
      </c>
      <c r="CW4242" t="s">
        <v>120</v>
      </c>
      <c r="CX4242">
        <v>257</v>
      </c>
      <c r="CY4242">
        <v>0</v>
      </c>
      <c r="CZ4242" t="s">
        <v>615</v>
      </c>
      <c r="DA4242" t="s">
        <v>616</v>
      </c>
      <c r="DD4242">
        <v>16722746</v>
      </c>
      <c r="DE4242" t="s">
        <v>123</v>
      </c>
    </row>
    <row r="4243" spans="1:109" x14ac:dyDescent="0.3">
      <c r="A4243" t="str">
        <f>"19:46:05.445"</f>
        <v>19:46:05.445</v>
      </c>
      <c r="B4243" t="s">
        <v>110</v>
      </c>
      <c r="C4243" t="str">
        <f t="shared" si="198"/>
        <v>ffdfd3c0</v>
      </c>
      <c r="D4243" t="s">
        <v>111</v>
      </c>
      <c r="E4243">
        <v>18</v>
      </c>
      <c r="F4243">
        <v>1018</v>
      </c>
      <c r="G4243" t="s">
        <v>112</v>
      </c>
      <c r="J4243" t="s">
        <v>113</v>
      </c>
      <c r="K4243">
        <v>0</v>
      </c>
      <c r="L4243">
        <v>3</v>
      </c>
      <c r="M4243">
        <v>0</v>
      </c>
      <c r="N4243">
        <v>2</v>
      </c>
      <c r="O4243">
        <v>1</v>
      </c>
      <c r="P4243">
        <v>0</v>
      </c>
      <c r="Q4243">
        <v>0</v>
      </c>
      <c r="R4243" t="s">
        <v>114</v>
      </c>
      <c r="S4243" t="str">
        <f>"19:46:05.195"</f>
        <v>19:46:05.195</v>
      </c>
      <c r="T4243" t="str">
        <f>"19:46:04.797"</f>
        <v>19:46:04.797</v>
      </c>
      <c r="U4243" t="str">
        <f t="shared" si="199"/>
        <v>a1cdbe</v>
      </c>
      <c r="V4243">
        <v>0</v>
      </c>
      <c r="W4243">
        <v>0</v>
      </c>
      <c r="X4243">
        <v>2</v>
      </c>
      <c r="Y4243">
        <v>0</v>
      </c>
      <c r="Z4243">
        <v>0</v>
      </c>
      <c r="AB4243">
        <v>0</v>
      </c>
      <c r="AC4243">
        <v>9</v>
      </c>
      <c r="AD4243">
        <v>3</v>
      </c>
      <c r="AE4243">
        <v>0</v>
      </c>
      <c r="AF4243">
        <v>9</v>
      </c>
      <c r="AG4243" t="s">
        <v>115</v>
      </c>
      <c r="AH4243">
        <v>0</v>
      </c>
      <c r="AI4243">
        <v>0</v>
      </c>
      <c r="AJ4243">
        <v>1</v>
      </c>
      <c r="AK4243">
        <v>0</v>
      </c>
      <c r="AL4243" t="s">
        <v>7757</v>
      </c>
      <c r="AM4243">
        <v>47.056739</v>
      </c>
      <c r="AN4243" t="s">
        <v>7823</v>
      </c>
      <c r="AO4243">
        <v>-123.991635</v>
      </c>
      <c r="AP4243">
        <v>100</v>
      </c>
      <c r="AQ4243">
        <v>-200</v>
      </c>
      <c r="AR4243" t="s">
        <v>118</v>
      </c>
      <c r="AS4243">
        <v>-26</v>
      </c>
      <c r="AT4243">
        <v>52</v>
      </c>
      <c r="AU4243">
        <v>-640</v>
      </c>
      <c r="BC4243">
        <v>1200</v>
      </c>
      <c r="BD4243">
        <v>1</v>
      </c>
      <c r="BE4243" t="str">
        <f t="shared" si="200"/>
        <v xml:space="preserve">N215T   </v>
      </c>
      <c r="BF4243">
        <v>1</v>
      </c>
      <c r="BH4243">
        <v>0</v>
      </c>
      <c r="BI4243">
        <v>0</v>
      </c>
      <c r="BJ4243">
        <v>0</v>
      </c>
      <c r="BK4243">
        <v>150</v>
      </c>
      <c r="BL4243">
        <v>350</v>
      </c>
      <c r="BM4243" t="s">
        <v>119</v>
      </c>
      <c r="BN4243">
        <v>1</v>
      </c>
      <c r="BO4243">
        <v>1</v>
      </c>
      <c r="BP4243">
        <v>1</v>
      </c>
      <c r="BQ4243">
        <v>0</v>
      </c>
      <c r="BT4243">
        <v>0</v>
      </c>
      <c r="BU4243">
        <v>0</v>
      </c>
      <c r="BV4243">
        <v>0</v>
      </c>
      <c r="CC4243" t="str">
        <f>"19:46:05.203"</f>
        <v>19:46:05.203</v>
      </c>
      <c r="CD4243" t="str">
        <f>"201889981"</f>
        <v>201889981</v>
      </c>
      <c r="CQ4243">
        <v>0</v>
      </c>
      <c r="CR4243">
        <v>2</v>
      </c>
      <c r="CS4243">
        <v>0</v>
      </c>
      <c r="CT4243">
        <v>2</v>
      </c>
      <c r="CU4243">
        <v>0</v>
      </c>
      <c r="CV4243">
        <v>2</v>
      </c>
      <c r="CW4243" t="s">
        <v>120</v>
      </c>
      <c r="CX4243">
        <v>257</v>
      </c>
      <c r="CY4243">
        <v>0</v>
      </c>
      <c r="CZ4243" t="s">
        <v>615</v>
      </c>
      <c r="DA4243" t="s">
        <v>616</v>
      </c>
      <c r="DD4243">
        <v>16723074</v>
      </c>
      <c r="DE4243" t="s">
        <v>123</v>
      </c>
    </row>
    <row r="4244" spans="1:109" x14ac:dyDescent="0.3">
      <c r="A4244" t="str">
        <f>"19:46:06.406"</f>
        <v>19:46:06.406</v>
      </c>
      <c r="B4244" t="s">
        <v>110</v>
      </c>
      <c r="C4244" t="str">
        <f t="shared" si="198"/>
        <v>ffdfd3c0</v>
      </c>
      <c r="D4244" t="s">
        <v>111</v>
      </c>
      <c r="E4244">
        <v>18</v>
      </c>
      <c r="F4244">
        <v>1018</v>
      </c>
      <c r="G4244" t="s">
        <v>112</v>
      </c>
      <c r="J4244" t="s">
        <v>113</v>
      </c>
      <c r="K4244">
        <v>0</v>
      </c>
      <c r="L4244">
        <v>3</v>
      </c>
      <c r="M4244">
        <v>0</v>
      </c>
      <c r="N4244">
        <v>2</v>
      </c>
      <c r="O4244">
        <v>1</v>
      </c>
      <c r="P4244">
        <v>0</v>
      </c>
      <c r="Q4244">
        <v>0</v>
      </c>
      <c r="R4244" t="s">
        <v>114</v>
      </c>
      <c r="S4244" t="str">
        <f>"19:46:06.141"</f>
        <v>19:46:06.141</v>
      </c>
      <c r="T4244" t="str">
        <f>"19:46:05.844"</f>
        <v>19:46:05.844</v>
      </c>
      <c r="U4244" t="str">
        <f t="shared" si="199"/>
        <v>a1cdbe</v>
      </c>
      <c r="V4244">
        <v>0</v>
      </c>
      <c r="W4244">
        <v>0</v>
      </c>
      <c r="X4244">
        <v>2</v>
      </c>
      <c r="Y4244">
        <v>0</v>
      </c>
      <c r="Z4244">
        <v>0</v>
      </c>
      <c r="AB4244">
        <v>0</v>
      </c>
      <c r="AC4244">
        <v>9</v>
      </c>
      <c r="AD4244">
        <v>3</v>
      </c>
      <c r="AE4244">
        <v>0</v>
      </c>
      <c r="AF4244">
        <v>9</v>
      </c>
      <c r="AG4244" t="s">
        <v>115</v>
      </c>
      <c r="AH4244">
        <v>0</v>
      </c>
      <c r="AI4244">
        <v>0</v>
      </c>
      <c r="AJ4244">
        <v>1</v>
      </c>
      <c r="AK4244">
        <v>0</v>
      </c>
      <c r="AL4244" t="s">
        <v>7755</v>
      </c>
      <c r="AM4244">
        <v>47.056953999999998</v>
      </c>
      <c r="AN4244" t="s">
        <v>7824</v>
      </c>
      <c r="AO4244">
        <v>-123.991764</v>
      </c>
      <c r="AP4244">
        <v>100</v>
      </c>
      <c r="AQ4244">
        <v>-200</v>
      </c>
      <c r="AR4244" t="s">
        <v>118</v>
      </c>
      <c r="AS4244">
        <v>-21</v>
      </c>
      <c r="AT4244">
        <v>52</v>
      </c>
      <c r="AU4244">
        <v>-256</v>
      </c>
      <c r="BC4244">
        <v>1200</v>
      </c>
      <c r="BD4244">
        <v>1</v>
      </c>
      <c r="BE4244" t="str">
        <f t="shared" si="200"/>
        <v xml:space="preserve">N215T   </v>
      </c>
      <c r="BF4244">
        <v>1</v>
      </c>
      <c r="BH4244">
        <v>0</v>
      </c>
      <c r="BI4244">
        <v>0</v>
      </c>
      <c r="BJ4244">
        <v>0</v>
      </c>
      <c r="BK4244">
        <v>150</v>
      </c>
      <c r="BL4244">
        <v>350</v>
      </c>
      <c r="BM4244" t="s">
        <v>119</v>
      </c>
      <c r="BN4244">
        <v>1</v>
      </c>
      <c r="BO4244">
        <v>1</v>
      </c>
      <c r="BP4244">
        <v>1</v>
      </c>
      <c r="BQ4244">
        <v>0</v>
      </c>
      <c r="BT4244">
        <v>0</v>
      </c>
      <c r="BU4244">
        <v>0</v>
      </c>
      <c r="BV4244">
        <v>0</v>
      </c>
      <c r="CC4244" t="str">
        <f>"19:46:06.148"</f>
        <v>19:46:06.148</v>
      </c>
      <c r="CD4244" t="str">
        <f>"146796951"</f>
        <v>146796951</v>
      </c>
      <c r="CQ4244">
        <v>0</v>
      </c>
      <c r="CR4244">
        <v>2</v>
      </c>
      <c r="CS4244">
        <v>0</v>
      </c>
      <c r="CT4244">
        <v>2</v>
      </c>
      <c r="CU4244">
        <v>0</v>
      </c>
      <c r="CV4244">
        <v>3</v>
      </c>
      <c r="CW4244" t="s">
        <v>120</v>
      </c>
      <c r="CX4244">
        <v>257</v>
      </c>
      <c r="CY4244">
        <v>0</v>
      </c>
      <c r="CZ4244" t="s">
        <v>615</v>
      </c>
      <c r="DA4244" t="s">
        <v>616</v>
      </c>
      <c r="DD4244">
        <v>16723405</v>
      </c>
      <c r="DE4244" t="s">
        <v>123</v>
      </c>
    </row>
    <row r="4245" spans="1:109" x14ac:dyDescent="0.3">
      <c r="A4245" t="str">
        <f>"19:46:07.406"</f>
        <v>19:46:07.406</v>
      </c>
      <c r="B4245" t="s">
        <v>110</v>
      </c>
      <c r="C4245" t="str">
        <f t="shared" ref="C4245:C4308" si="201">"ffdfd3c0"</f>
        <v>ffdfd3c0</v>
      </c>
      <c r="D4245" t="s">
        <v>111</v>
      </c>
      <c r="E4245">
        <v>18</v>
      </c>
      <c r="F4245">
        <v>1018</v>
      </c>
      <c r="G4245" t="s">
        <v>112</v>
      </c>
      <c r="J4245" t="s">
        <v>113</v>
      </c>
      <c r="K4245">
        <v>0</v>
      </c>
      <c r="L4245">
        <v>3</v>
      </c>
      <c r="M4245">
        <v>0</v>
      </c>
      <c r="N4245">
        <v>2</v>
      </c>
      <c r="O4245">
        <v>1</v>
      </c>
      <c r="P4245">
        <v>0</v>
      </c>
      <c r="Q4245">
        <v>0</v>
      </c>
      <c r="R4245" t="s">
        <v>114</v>
      </c>
      <c r="S4245" t="str">
        <f>"19:46:07.164"</f>
        <v>19:46:07.164</v>
      </c>
      <c r="T4245" t="str">
        <f>"19:46:06.961"</f>
        <v>19:46:06.961</v>
      </c>
      <c r="U4245" t="str">
        <f t="shared" si="199"/>
        <v>a1cdbe</v>
      </c>
      <c r="V4245">
        <v>0</v>
      </c>
      <c r="W4245">
        <v>0</v>
      </c>
      <c r="X4245">
        <v>2</v>
      </c>
      <c r="Y4245">
        <v>0</v>
      </c>
      <c r="Z4245">
        <v>0</v>
      </c>
      <c r="AB4245">
        <v>0</v>
      </c>
      <c r="AC4245">
        <v>9</v>
      </c>
      <c r="AD4245">
        <v>3</v>
      </c>
      <c r="AE4245">
        <v>0</v>
      </c>
      <c r="AF4245">
        <v>9</v>
      </c>
      <c r="AG4245" t="s">
        <v>115</v>
      </c>
      <c r="AH4245">
        <v>0</v>
      </c>
      <c r="AI4245">
        <v>0</v>
      </c>
      <c r="AJ4245">
        <v>1</v>
      </c>
      <c r="AK4245">
        <v>0</v>
      </c>
      <c r="AL4245" t="s">
        <v>7753</v>
      </c>
      <c r="AM4245">
        <v>47.057189999999999</v>
      </c>
      <c r="AN4245" t="s">
        <v>7825</v>
      </c>
      <c r="AO4245">
        <v>-123.99191399999999</v>
      </c>
      <c r="AP4245">
        <v>100</v>
      </c>
      <c r="AQ4245">
        <v>-200</v>
      </c>
      <c r="AR4245" t="s">
        <v>118</v>
      </c>
      <c r="AS4245">
        <v>-17</v>
      </c>
      <c r="AT4245">
        <v>52</v>
      </c>
      <c r="AU4245">
        <v>0</v>
      </c>
      <c r="BC4245">
        <v>1200</v>
      </c>
      <c r="BD4245">
        <v>1</v>
      </c>
      <c r="BE4245" t="str">
        <f t="shared" si="200"/>
        <v xml:space="preserve">N215T   </v>
      </c>
      <c r="BF4245">
        <v>1</v>
      </c>
      <c r="BH4245">
        <v>0</v>
      </c>
      <c r="BI4245">
        <v>0</v>
      </c>
      <c r="BJ4245">
        <v>0</v>
      </c>
      <c r="BK4245">
        <v>150</v>
      </c>
      <c r="BL4245">
        <v>350</v>
      </c>
      <c r="BM4245" t="s">
        <v>119</v>
      </c>
      <c r="BN4245">
        <v>1</v>
      </c>
      <c r="BO4245">
        <v>1</v>
      </c>
      <c r="BP4245">
        <v>1</v>
      </c>
      <c r="BQ4245">
        <v>0</v>
      </c>
      <c r="BT4245">
        <v>0</v>
      </c>
      <c r="BU4245">
        <v>0</v>
      </c>
      <c r="BV4245">
        <v>0</v>
      </c>
      <c r="CC4245" t="str">
        <f>"19:46:07.164"</f>
        <v>19:46:07.164</v>
      </c>
      <c r="CD4245" t="str">
        <f>"166696546"</f>
        <v>166696546</v>
      </c>
      <c r="CQ4245">
        <v>0</v>
      </c>
      <c r="CR4245">
        <v>2</v>
      </c>
      <c r="CS4245">
        <v>0</v>
      </c>
      <c r="CT4245">
        <v>2</v>
      </c>
      <c r="CU4245">
        <v>0</v>
      </c>
      <c r="CV4245">
        <v>3</v>
      </c>
      <c r="CW4245" t="s">
        <v>120</v>
      </c>
      <c r="CX4245">
        <v>257</v>
      </c>
      <c r="CY4245">
        <v>0</v>
      </c>
      <c r="CZ4245" t="s">
        <v>615</v>
      </c>
      <c r="DA4245" t="s">
        <v>616</v>
      </c>
      <c r="DD4245">
        <v>16723730</v>
      </c>
      <c r="DE4245" t="s">
        <v>123</v>
      </c>
    </row>
    <row r="4246" spans="1:109" x14ac:dyDescent="0.3">
      <c r="A4246" t="str">
        <f>"19:46:08.461"</f>
        <v>19:46:08.461</v>
      </c>
      <c r="B4246" t="s">
        <v>110</v>
      </c>
      <c r="C4246" t="str">
        <f t="shared" si="201"/>
        <v>ffdfd3c0</v>
      </c>
      <c r="D4246" t="s">
        <v>111</v>
      </c>
      <c r="E4246">
        <v>18</v>
      </c>
      <c r="F4246">
        <v>1018</v>
      </c>
      <c r="G4246" t="s">
        <v>112</v>
      </c>
      <c r="J4246" t="s">
        <v>113</v>
      </c>
      <c r="K4246">
        <v>0</v>
      </c>
      <c r="L4246">
        <v>3</v>
      </c>
      <c r="M4246">
        <v>0</v>
      </c>
      <c r="N4246">
        <v>2</v>
      </c>
      <c r="O4246">
        <v>1</v>
      </c>
      <c r="P4246">
        <v>0</v>
      </c>
      <c r="Q4246">
        <v>0</v>
      </c>
      <c r="R4246" t="s">
        <v>114</v>
      </c>
      <c r="S4246" t="str">
        <f>"19:46:08.242"</f>
        <v>19:46:08.242</v>
      </c>
      <c r="T4246" t="str">
        <f>"19:46:07.742"</f>
        <v>19:46:07.742</v>
      </c>
      <c r="U4246" t="str">
        <f t="shared" si="199"/>
        <v>a1cdbe</v>
      </c>
      <c r="V4246">
        <v>0</v>
      </c>
      <c r="W4246">
        <v>0</v>
      </c>
      <c r="X4246">
        <v>2</v>
      </c>
      <c r="Y4246">
        <v>0</v>
      </c>
      <c r="Z4246">
        <v>0</v>
      </c>
      <c r="AB4246">
        <v>0</v>
      </c>
      <c r="AC4246">
        <v>9</v>
      </c>
      <c r="AD4246">
        <v>3</v>
      </c>
      <c r="AE4246">
        <v>0</v>
      </c>
      <c r="AF4246">
        <v>9</v>
      </c>
      <c r="AG4246" t="s">
        <v>115</v>
      </c>
      <c r="AH4246">
        <v>0</v>
      </c>
      <c r="AI4246">
        <v>0</v>
      </c>
      <c r="AJ4246">
        <v>1</v>
      </c>
      <c r="AK4246">
        <v>0</v>
      </c>
      <c r="AL4246" t="s">
        <v>7335</v>
      </c>
      <c r="AM4246">
        <v>47.057468999999998</v>
      </c>
      <c r="AN4246" t="s">
        <v>7336</v>
      </c>
      <c r="AO4246">
        <v>-123.991978</v>
      </c>
      <c r="AP4246">
        <v>100</v>
      </c>
      <c r="AQ4246">
        <v>-200</v>
      </c>
      <c r="AR4246" t="s">
        <v>118</v>
      </c>
      <c r="AS4246">
        <v>-13</v>
      </c>
      <c r="AT4246">
        <v>51</v>
      </c>
      <c r="AU4246">
        <v>0</v>
      </c>
      <c r="BC4246">
        <v>1200</v>
      </c>
      <c r="BD4246">
        <v>1</v>
      </c>
      <c r="BE4246" t="str">
        <f t="shared" si="200"/>
        <v xml:space="preserve">N215T   </v>
      </c>
      <c r="BF4246">
        <v>1</v>
      </c>
      <c r="BH4246">
        <v>0</v>
      </c>
      <c r="BI4246">
        <v>0</v>
      </c>
      <c r="BJ4246">
        <v>0</v>
      </c>
      <c r="BK4246">
        <v>150</v>
      </c>
      <c r="BL4246">
        <v>350</v>
      </c>
      <c r="BM4246" t="s">
        <v>119</v>
      </c>
      <c r="BN4246">
        <v>1</v>
      </c>
      <c r="BO4246">
        <v>1</v>
      </c>
      <c r="BP4246">
        <v>1</v>
      </c>
      <c r="BQ4246">
        <v>0</v>
      </c>
      <c r="BT4246">
        <v>0</v>
      </c>
      <c r="BU4246">
        <v>0</v>
      </c>
      <c r="BV4246">
        <v>0</v>
      </c>
      <c r="CC4246" t="str">
        <f>"19:46:08.250"</f>
        <v>19:46:08.250</v>
      </c>
      <c r="CD4246" t="str">
        <f>"246590189"</f>
        <v>246590189</v>
      </c>
      <c r="CQ4246">
        <v>0</v>
      </c>
      <c r="CR4246">
        <v>2</v>
      </c>
      <c r="CS4246">
        <v>0</v>
      </c>
      <c r="CT4246">
        <v>2</v>
      </c>
      <c r="CU4246">
        <v>0</v>
      </c>
      <c r="CV4246">
        <v>2</v>
      </c>
      <c r="CW4246" t="s">
        <v>120</v>
      </c>
      <c r="CX4246">
        <v>257</v>
      </c>
      <c r="CY4246">
        <v>0</v>
      </c>
      <c r="CZ4246" t="s">
        <v>615</v>
      </c>
      <c r="DA4246" t="s">
        <v>616</v>
      </c>
      <c r="DD4246">
        <v>16724086</v>
      </c>
      <c r="DE4246" t="s">
        <v>123</v>
      </c>
    </row>
    <row r="4247" spans="1:109" x14ac:dyDescent="0.3">
      <c r="A4247" t="str">
        <f>"19:46:09.523"</f>
        <v>19:46:09.523</v>
      </c>
      <c r="B4247" t="s">
        <v>110</v>
      </c>
      <c r="C4247" t="str">
        <f t="shared" si="201"/>
        <v>ffdfd3c0</v>
      </c>
      <c r="D4247" t="s">
        <v>111</v>
      </c>
      <c r="E4247">
        <v>18</v>
      </c>
      <c r="F4247">
        <v>1018</v>
      </c>
      <c r="G4247" t="s">
        <v>112</v>
      </c>
      <c r="J4247" t="s">
        <v>113</v>
      </c>
      <c r="K4247">
        <v>0</v>
      </c>
      <c r="L4247">
        <v>3</v>
      </c>
      <c r="M4247">
        <v>0</v>
      </c>
      <c r="N4247">
        <v>2</v>
      </c>
      <c r="O4247">
        <v>1</v>
      </c>
      <c r="P4247">
        <v>0</v>
      </c>
      <c r="Q4247">
        <v>0</v>
      </c>
      <c r="R4247" t="s">
        <v>114</v>
      </c>
      <c r="S4247" t="str">
        <f>"19:46:09.281"</f>
        <v>19:46:09.281</v>
      </c>
      <c r="T4247" t="str">
        <f>"19:46:09.180"</f>
        <v>19:46:09.180</v>
      </c>
      <c r="U4247" t="str">
        <f t="shared" si="199"/>
        <v>a1cdbe</v>
      </c>
      <c r="V4247">
        <v>0</v>
      </c>
      <c r="W4247">
        <v>0</v>
      </c>
      <c r="X4247">
        <v>2</v>
      </c>
      <c r="Y4247">
        <v>0</v>
      </c>
      <c r="Z4247">
        <v>0</v>
      </c>
      <c r="AB4247">
        <v>0</v>
      </c>
      <c r="AC4247">
        <v>9</v>
      </c>
      <c r="AD4247">
        <v>3</v>
      </c>
      <c r="AE4247">
        <v>0</v>
      </c>
      <c r="AF4247">
        <v>9</v>
      </c>
      <c r="AG4247" t="s">
        <v>115</v>
      </c>
      <c r="AH4247">
        <v>0</v>
      </c>
      <c r="AI4247">
        <v>0</v>
      </c>
      <c r="AJ4247">
        <v>1</v>
      </c>
      <c r="AK4247">
        <v>0</v>
      </c>
      <c r="AL4247" t="s">
        <v>7826</v>
      </c>
      <c r="AM4247">
        <v>47.057682999999997</v>
      </c>
      <c r="AN4247" t="s">
        <v>7827</v>
      </c>
      <c r="AO4247">
        <v>-123.992043</v>
      </c>
      <c r="AP4247">
        <v>100</v>
      </c>
      <c r="AQ4247">
        <v>-200</v>
      </c>
      <c r="AR4247" t="s">
        <v>118</v>
      </c>
      <c r="AS4247">
        <v>-13</v>
      </c>
      <c r="AT4247">
        <v>47</v>
      </c>
      <c r="AU4247">
        <v>-128</v>
      </c>
      <c r="BC4247">
        <v>1200</v>
      </c>
      <c r="BD4247">
        <v>1</v>
      </c>
      <c r="BE4247" t="str">
        <f t="shared" si="200"/>
        <v xml:space="preserve">N215T   </v>
      </c>
      <c r="BF4247">
        <v>1</v>
      </c>
      <c r="BH4247">
        <v>0</v>
      </c>
      <c r="BI4247">
        <v>0</v>
      </c>
      <c r="BJ4247">
        <v>0</v>
      </c>
      <c r="BK4247">
        <v>150</v>
      </c>
      <c r="BL4247">
        <v>350</v>
      </c>
      <c r="BM4247" t="s">
        <v>119</v>
      </c>
      <c r="BN4247">
        <v>1</v>
      </c>
      <c r="BO4247">
        <v>1</v>
      </c>
      <c r="BP4247">
        <v>1</v>
      </c>
      <c r="BQ4247">
        <v>0</v>
      </c>
      <c r="BT4247">
        <v>0</v>
      </c>
      <c r="BU4247">
        <v>0</v>
      </c>
      <c r="BV4247">
        <v>0</v>
      </c>
      <c r="CC4247" t="str">
        <f>"19:46:09.281"</f>
        <v>19:46:09.281</v>
      </c>
      <c r="CD4247" t="str">
        <f>"281488288"</f>
        <v>281488288</v>
      </c>
      <c r="CQ4247">
        <v>0</v>
      </c>
      <c r="CR4247">
        <v>2</v>
      </c>
      <c r="CS4247">
        <v>0</v>
      </c>
      <c r="CT4247">
        <v>2</v>
      </c>
      <c r="CU4247">
        <v>0</v>
      </c>
      <c r="CV4247">
        <v>2</v>
      </c>
      <c r="CW4247" t="s">
        <v>120</v>
      </c>
      <c r="CX4247">
        <v>257</v>
      </c>
      <c r="CY4247">
        <v>0</v>
      </c>
      <c r="CZ4247" t="s">
        <v>615</v>
      </c>
      <c r="DA4247" t="s">
        <v>616</v>
      </c>
      <c r="DD4247">
        <v>16724423</v>
      </c>
      <c r="DE4247" t="s">
        <v>123</v>
      </c>
    </row>
    <row r="4248" spans="1:109" x14ac:dyDescent="0.3">
      <c r="A4248" t="str">
        <f>"19:46:11.930"</f>
        <v>19:46:11.930</v>
      </c>
      <c r="B4248" t="s">
        <v>110</v>
      </c>
      <c r="C4248" t="str">
        <f t="shared" si="201"/>
        <v>ffdfd3c0</v>
      </c>
      <c r="D4248" t="s">
        <v>111</v>
      </c>
      <c r="E4248">
        <v>18</v>
      </c>
      <c r="F4248">
        <v>1018</v>
      </c>
      <c r="G4248" t="s">
        <v>112</v>
      </c>
      <c r="J4248" t="s">
        <v>113</v>
      </c>
      <c r="K4248">
        <v>0</v>
      </c>
      <c r="L4248">
        <v>3</v>
      </c>
      <c r="M4248">
        <v>0</v>
      </c>
      <c r="N4248">
        <v>2</v>
      </c>
      <c r="O4248">
        <v>1</v>
      </c>
      <c r="P4248">
        <v>0</v>
      </c>
      <c r="Q4248">
        <v>0</v>
      </c>
      <c r="R4248" t="s">
        <v>114</v>
      </c>
      <c r="S4248" t="str">
        <f>"19:46:11.719"</f>
        <v>19:46:11.719</v>
      </c>
      <c r="T4248" t="str">
        <f>"19:46:11.719"</f>
        <v>19:46:11.719</v>
      </c>
      <c r="U4248" t="str">
        <f t="shared" si="199"/>
        <v>a1cdbe</v>
      </c>
      <c r="V4248">
        <v>0</v>
      </c>
      <c r="W4248">
        <v>0</v>
      </c>
      <c r="X4248">
        <v>2</v>
      </c>
      <c r="Y4248">
        <v>0</v>
      </c>
      <c r="Z4248">
        <v>0</v>
      </c>
      <c r="AB4248">
        <v>0</v>
      </c>
      <c r="AC4248">
        <v>9</v>
      </c>
      <c r="AD4248">
        <v>3</v>
      </c>
      <c r="AE4248">
        <v>0</v>
      </c>
      <c r="AF4248">
        <v>9</v>
      </c>
      <c r="AG4248" t="s">
        <v>115</v>
      </c>
      <c r="AH4248">
        <v>0</v>
      </c>
      <c r="AI4248">
        <v>0</v>
      </c>
      <c r="AJ4248">
        <v>1</v>
      </c>
      <c r="AK4248">
        <v>0</v>
      </c>
      <c r="AL4248" t="s">
        <v>7828</v>
      </c>
      <c r="AM4248">
        <v>47.058197999999997</v>
      </c>
      <c r="AN4248" t="s">
        <v>7625</v>
      </c>
      <c r="AO4248">
        <v>-123.992257</v>
      </c>
      <c r="AP4248">
        <v>100</v>
      </c>
      <c r="AQ4248">
        <v>-300</v>
      </c>
      <c r="AR4248" t="s">
        <v>118</v>
      </c>
      <c r="AS4248">
        <v>-15</v>
      </c>
      <c r="AT4248">
        <v>42</v>
      </c>
      <c r="AU4248">
        <v>-640</v>
      </c>
      <c r="BC4248">
        <v>1200</v>
      </c>
      <c r="BD4248">
        <v>1</v>
      </c>
      <c r="BE4248" t="str">
        <f t="shared" si="200"/>
        <v xml:space="preserve">N215T   </v>
      </c>
      <c r="BF4248">
        <v>1</v>
      </c>
      <c r="BH4248">
        <v>0</v>
      </c>
      <c r="BI4248">
        <v>0</v>
      </c>
      <c r="BJ4248">
        <v>0</v>
      </c>
      <c r="BK4248">
        <v>150</v>
      </c>
      <c r="BL4248">
        <v>450</v>
      </c>
      <c r="BM4248" t="s">
        <v>119</v>
      </c>
      <c r="BN4248">
        <v>1</v>
      </c>
      <c r="BO4248">
        <v>1</v>
      </c>
      <c r="BP4248">
        <v>1</v>
      </c>
      <c r="BQ4248">
        <v>0</v>
      </c>
      <c r="BT4248">
        <v>0</v>
      </c>
      <c r="BU4248">
        <v>0</v>
      </c>
      <c r="BV4248">
        <v>0</v>
      </c>
      <c r="CC4248" t="str">
        <f>"19:46:11.727"</f>
        <v>19:46:11.727</v>
      </c>
      <c r="CD4248" t="str">
        <f>"726247535"</f>
        <v>726247535</v>
      </c>
      <c r="CQ4248">
        <v>0</v>
      </c>
      <c r="CR4248">
        <v>2</v>
      </c>
      <c r="CS4248">
        <v>0</v>
      </c>
      <c r="CT4248">
        <v>2</v>
      </c>
      <c r="CU4248">
        <v>0</v>
      </c>
      <c r="CV4248">
        <v>1</v>
      </c>
      <c r="CW4248" t="s">
        <v>120</v>
      </c>
      <c r="CX4248">
        <v>257</v>
      </c>
      <c r="CY4248">
        <v>0</v>
      </c>
      <c r="CZ4248" t="s">
        <v>615</v>
      </c>
      <c r="DA4248" t="s">
        <v>616</v>
      </c>
      <c r="DD4248">
        <v>16725239</v>
      </c>
      <c r="DE4248" t="s">
        <v>123</v>
      </c>
    </row>
    <row r="4249" spans="1:109" x14ac:dyDescent="0.3">
      <c r="A4249" t="str">
        <f>"19:46:49.680"</f>
        <v>19:46:49.680</v>
      </c>
      <c r="B4249" t="s">
        <v>110</v>
      </c>
      <c r="C4249" t="str">
        <f t="shared" si="201"/>
        <v>ffdfd3c0</v>
      </c>
      <c r="D4249" t="s">
        <v>111</v>
      </c>
      <c r="E4249">
        <v>18</v>
      </c>
      <c r="F4249">
        <v>1018</v>
      </c>
      <c r="G4249" t="s">
        <v>112</v>
      </c>
      <c r="J4249" t="s">
        <v>113</v>
      </c>
      <c r="K4249">
        <v>0</v>
      </c>
      <c r="L4249">
        <v>3</v>
      </c>
      <c r="M4249">
        <v>0</v>
      </c>
      <c r="N4249">
        <v>2</v>
      </c>
      <c r="O4249">
        <v>1</v>
      </c>
      <c r="P4249">
        <v>0</v>
      </c>
      <c r="Q4249">
        <v>0</v>
      </c>
      <c r="R4249" t="s">
        <v>114</v>
      </c>
      <c r="S4249" t="str">
        <f>"19:46:49.461"</f>
        <v>19:46:49.461</v>
      </c>
      <c r="T4249" t="str">
        <f>"19:46:49.359"</f>
        <v>19:46:49.359</v>
      </c>
      <c r="U4249" t="str">
        <f t="shared" si="199"/>
        <v>a1cdbe</v>
      </c>
      <c r="V4249">
        <v>0</v>
      </c>
      <c r="W4249">
        <v>0</v>
      </c>
      <c r="X4249">
        <v>2</v>
      </c>
      <c r="Y4249">
        <v>0</v>
      </c>
      <c r="Z4249">
        <v>0</v>
      </c>
      <c r="AB4249">
        <v>0</v>
      </c>
      <c r="AC4249">
        <v>9</v>
      </c>
      <c r="AD4249">
        <v>3</v>
      </c>
      <c r="AE4249">
        <v>0</v>
      </c>
      <c r="AF4249">
        <v>9</v>
      </c>
      <c r="AG4249" t="s">
        <v>115</v>
      </c>
      <c r="AH4249">
        <v>0</v>
      </c>
      <c r="AI4249">
        <v>0</v>
      </c>
      <c r="AJ4249">
        <v>1</v>
      </c>
      <c r="AK4249">
        <v>0</v>
      </c>
      <c r="AL4249" t="s">
        <v>7401</v>
      </c>
      <c r="AM4249">
        <v>47.061374000000001</v>
      </c>
      <c r="AN4249" t="s">
        <v>7829</v>
      </c>
      <c r="AO4249">
        <v>-123.997407</v>
      </c>
      <c r="AP4249">
        <v>100</v>
      </c>
      <c r="AQ4249">
        <v>-300</v>
      </c>
      <c r="AR4249" t="s">
        <v>118</v>
      </c>
      <c r="AS4249">
        <v>-19</v>
      </c>
      <c r="AT4249">
        <v>-41</v>
      </c>
      <c r="AU4249">
        <v>576</v>
      </c>
      <c r="BC4249">
        <v>1200</v>
      </c>
      <c r="BD4249">
        <v>1</v>
      </c>
      <c r="BE4249" t="str">
        <f t="shared" si="200"/>
        <v xml:space="preserve">N215T   </v>
      </c>
      <c r="BF4249">
        <v>1</v>
      </c>
      <c r="BH4249">
        <v>0</v>
      </c>
      <c r="BI4249">
        <v>0</v>
      </c>
      <c r="BJ4249">
        <v>0</v>
      </c>
      <c r="BK4249">
        <v>100</v>
      </c>
      <c r="BL4249">
        <v>400</v>
      </c>
      <c r="BM4249" t="s">
        <v>119</v>
      </c>
      <c r="BN4249">
        <v>1</v>
      </c>
      <c r="BO4249">
        <v>1</v>
      </c>
      <c r="BP4249">
        <v>1</v>
      </c>
      <c r="BQ4249">
        <v>0</v>
      </c>
      <c r="BT4249">
        <v>0</v>
      </c>
      <c r="BU4249">
        <v>0</v>
      </c>
      <c r="BV4249">
        <v>0</v>
      </c>
      <c r="CC4249" t="str">
        <f>"19:46:49.461"</f>
        <v>19:46:49.461</v>
      </c>
      <c r="CD4249" t="str">
        <f>"462529777"</f>
        <v>462529777</v>
      </c>
      <c r="CQ4249">
        <v>0</v>
      </c>
      <c r="CR4249">
        <v>2</v>
      </c>
      <c r="CS4249">
        <v>0</v>
      </c>
      <c r="CT4249">
        <v>2</v>
      </c>
      <c r="CU4249">
        <v>0</v>
      </c>
      <c r="CV4249">
        <v>2</v>
      </c>
      <c r="CW4249" t="s">
        <v>120</v>
      </c>
      <c r="CX4249">
        <v>257</v>
      </c>
      <c r="CY4249">
        <v>0</v>
      </c>
      <c r="CZ4249" t="s">
        <v>615</v>
      </c>
      <c r="DA4249" t="s">
        <v>616</v>
      </c>
      <c r="DD4249">
        <v>16737099</v>
      </c>
      <c r="DE4249" t="s">
        <v>123</v>
      </c>
    </row>
    <row r="4250" spans="1:109" x14ac:dyDescent="0.3">
      <c r="A4250" t="str">
        <f>"19:46:50.688"</f>
        <v>19:46:50.688</v>
      </c>
      <c r="B4250" t="s">
        <v>110</v>
      </c>
      <c r="C4250" t="str">
        <f t="shared" si="201"/>
        <v>ffdfd3c0</v>
      </c>
      <c r="D4250" t="s">
        <v>111</v>
      </c>
      <c r="E4250">
        <v>18</v>
      </c>
      <c r="F4250">
        <v>1018</v>
      </c>
      <c r="G4250" t="s">
        <v>112</v>
      </c>
      <c r="J4250" t="s">
        <v>113</v>
      </c>
      <c r="K4250">
        <v>0</v>
      </c>
      <c r="L4250">
        <v>3</v>
      </c>
      <c r="M4250">
        <v>0</v>
      </c>
      <c r="N4250">
        <v>2</v>
      </c>
      <c r="O4250">
        <v>1</v>
      </c>
      <c r="P4250">
        <v>0</v>
      </c>
      <c r="Q4250">
        <v>0</v>
      </c>
      <c r="R4250" t="s">
        <v>114</v>
      </c>
      <c r="S4250" t="str">
        <f>"19:46:50.445"</f>
        <v>19:46:50.445</v>
      </c>
      <c r="T4250" t="str">
        <f>"19:46:49.945"</f>
        <v>19:46:49.945</v>
      </c>
      <c r="U4250" t="str">
        <f t="shared" si="199"/>
        <v>a1cdbe</v>
      </c>
      <c r="V4250">
        <v>0</v>
      </c>
      <c r="W4250">
        <v>0</v>
      </c>
      <c r="X4250">
        <v>2</v>
      </c>
      <c r="Y4250">
        <v>0</v>
      </c>
      <c r="Z4250">
        <v>0</v>
      </c>
      <c r="AB4250">
        <v>0</v>
      </c>
      <c r="AC4250">
        <v>9</v>
      </c>
      <c r="AD4250">
        <v>3</v>
      </c>
      <c r="AE4250">
        <v>0</v>
      </c>
      <c r="AF4250">
        <v>9</v>
      </c>
      <c r="AG4250" t="s">
        <v>115</v>
      </c>
      <c r="AH4250">
        <v>0</v>
      </c>
      <c r="AI4250">
        <v>0</v>
      </c>
      <c r="AJ4250">
        <v>1</v>
      </c>
      <c r="AK4250">
        <v>0</v>
      </c>
      <c r="AL4250" t="s">
        <v>7397</v>
      </c>
      <c r="AM4250">
        <v>47.061180999999998</v>
      </c>
      <c r="AN4250" t="s">
        <v>7355</v>
      </c>
      <c r="AO4250">
        <v>-123.997471</v>
      </c>
      <c r="AP4250">
        <v>100</v>
      </c>
      <c r="AQ4250">
        <v>-300</v>
      </c>
      <c r="AR4250" t="s">
        <v>118</v>
      </c>
      <c r="AS4250">
        <v>-16</v>
      </c>
      <c r="AT4250">
        <v>-42</v>
      </c>
      <c r="AU4250">
        <v>576</v>
      </c>
      <c r="BC4250">
        <v>1200</v>
      </c>
      <c r="BD4250">
        <v>1</v>
      </c>
      <c r="BE4250" t="str">
        <f t="shared" si="200"/>
        <v xml:space="preserve">N215T   </v>
      </c>
      <c r="BF4250">
        <v>1</v>
      </c>
      <c r="BH4250">
        <v>0</v>
      </c>
      <c r="BI4250">
        <v>0</v>
      </c>
      <c r="BJ4250">
        <v>0</v>
      </c>
      <c r="BK4250">
        <v>100</v>
      </c>
      <c r="BL4250">
        <v>400</v>
      </c>
      <c r="BM4250" t="s">
        <v>119</v>
      </c>
      <c r="BN4250">
        <v>1</v>
      </c>
      <c r="BO4250">
        <v>1</v>
      </c>
      <c r="BP4250">
        <v>1</v>
      </c>
      <c r="BQ4250">
        <v>0</v>
      </c>
      <c r="BT4250">
        <v>0</v>
      </c>
      <c r="BU4250">
        <v>0</v>
      </c>
      <c r="BV4250">
        <v>0</v>
      </c>
      <c r="CC4250" t="str">
        <f>"19:46:50.453"</f>
        <v>19:46:50.453</v>
      </c>
      <c r="CD4250" t="str">
        <f>"452432189"</f>
        <v>452432189</v>
      </c>
      <c r="CQ4250">
        <v>0</v>
      </c>
      <c r="CR4250">
        <v>2</v>
      </c>
      <c r="CS4250">
        <v>0</v>
      </c>
      <c r="CT4250">
        <v>2</v>
      </c>
      <c r="CU4250">
        <v>0</v>
      </c>
      <c r="CV4250">
        <v>4</v>
      </c>
      <c r="CW4250" t="s">
        <v>120</v>
      </c>
      <c r="CX4250">
        <v>257</v>
      </c>
      <c r="CY4250">
        <v>0</v>
      </c>
      <c r="CZ4250" t="s">
        <v>615</v>
      </c>
      <c r="DA4250" t="s">
        <v>616</v>
      </c>
      <c r="DD4250">
        <v>16737407</v>
      </c>
      <c r="DE4250" t="s">
        <v>123</v>
      </c>
    </row>
    <row r="4251" spans="1:109" x14ac:dyDescent="0.3">
      <c r="A4251" t="str">
        <f>"19:46:51.539"</f>
        <v>19:46:51.539</v>
      </c>
      <c r="B4251" t="s">
        <v>110</v>
      </c>
      <c r="C4251" t="str">
        <f t="shared" si="201"/>
        <v>ffdfd3c0</v>
      </c>
      <c r="D4251" t="s">
        <v>111</v>
      </c>
      <c r="E4251">
        <v>18</v>
      </c>
      <c r="F4251">
        <v>1018</v>
      </c>
      <c r="G4251" t="s">
        <v>112</v>
      </c>
      <c r="J4251" t="s">
        <v>113</v>
      </c>
      <c r="K4251">
        <v>0</v>
      </c>
      <c r="L4251">
        <v>3</v>
      </c>
      <c r="M4251">
        <v>0</v>
      </c>
      <c r="N4251">
        <v>2</v>
      </c>
      <c r="O4251">
        <v>1</v>
      </c>
      <c r="P4251">
        <v>0</v>
      </c>
      <c r="Q4251">
        <v>0</v>
      </c>
      <c r="R4251" t="s">
        <v>114</v>
      </c>
      <c r="S4251" t="str">
        <f>"19:46:51.305"</f>
        <v>19:46:51.305</v>
      </c>
      <c r="T4251" t="str">
        <f>"19:46:51.102"</f>
        <v>19:46:51.102</v>
      </c>
      <c r="U4251" t="str">
        <f t="shared" si="199"/>
        <v>a1cdbe</v>
      </c>
      <c r="V4251">
        <v>0</v>
      </c>
      <c r="W4251">
        <v>0</v>
      </c>
      <c r="X4251">
        <v>2</v>
      </c>
      <c r="Y4251">
        <v>0</v>
      </c>
      <c r="Z4251">
        <v>0</v>
      </c>
      <c r="AB4251">
        <v>0</v>
      </c>
      <c r="AC4251">
        <v>9</v>
      </c>
      <c r="AD4251">
        <v>3</v>
      </c>
      <c r="AE4251">
        <v>0</v>
      </c>
      <c r="AF4251">
        <v>9</v>
      </c>
      <c r="AG4251" t="s">
        <v>115</v>
      </c>
      <c r="AH4251">
        <v>0</v>
      </c>
      <c r="AI4251">
        <v>0</v>
      </c>
      <c r="AJ4251">
        <v>1</v>
      </c>
      <c r="AK4251">
        <v>0</v>
      </c>
      <c r="AL4251" t="s">
        <v>7395</v>
      </c>
      <c r="AM4251">
        <v>47.061031</v>
      </c>
      <c r="AN4251" t="s">
        <v>7830</v>
      </c>
      <c r="AO4251">
        <v>-123.99760000000001</v>
      </c>
      <c r="AP4251">
        <v>100</v>
      </c>
      <c r="AQ4251">
        <v>-300</v>
      </c>
      <c r="AR4251" t="s">
        <v>118</v>
      </c>
      <c r="AS4251">
        <v>-12</v>
      </c>
      <c r="AT4251">
        <v>-44</v>
      </c>
      <c r="AU4251">
        <v>448</v>
      </c>
      <c r="BC4251">
        <v>1200</v>
      </c>
      <c r="BD4251">
        <v>1</v>
      </c>
      <c r="BE4251" t="str">
        <f t="shared" si="200"/>
        <v xml:space="preserve">N215T   </v>
      </c>
      <c r="BF4251">
        <v>1</v>
      </c>
      <c r="BH4251">
        <v>0</v>
      </c>
      <c r="BI4251">
        <v>0</v>
      </c>
      <c r="BJ4251">
        <v>0</v>
      </c>
      <c r="BK4251">
        <v>125</v>
      </c>
      <c r="BL4251">
        <v>425</v>
      </c>
      <c r="BM4251" t="s">
        <v>119</v>
      </c>
      <c r="BN4251">
        <v>1</v>
      </c>
      <c r="BO4251">
        <v>1</v>
      </c>
      <c r="BP4251">
        <v>1</v>
      </c>
      <c r="BQ4251">
        <v>0</v>
      </c>
      <c r="BT4251">
        <v>0</v>
      </c>
      <c r="BU4251">
        <v>0</v>
      </c>
      <c r="BV4251">
        <v>0</v>
      </c>
      <c r="CC4251" t="str">
        <f>"19:46:51.305"</f>
        <v>19:46:51.305</v>
      </c>
      <c r="CD4251" t="str">
        <f>"307347859"</f>
        <v>307347859</v>
      </c>
      <c r="CQ4251">
        <v>0</v>
      </c>
      <c r="CR4251">
        <v>2</v>
      </c>
      <c r="CS4251">
        <v>0</v>
      </c>
      <c r="CT4251">
        <v>2</v>
      </c>
      <c r="CU4251">
        <v>0</v>
      </c>
      <c r="CV4251">
        <v>3</v>
      </c>
      <c r="CW4251" t="s">
        <v>120</v>
      </c>
      <c r="CX4251">
        <v>257</v>
      </c>
      <c r="CY4251">
        <v>0</v>
      </c>
      <c r="CZ4251" t="s">
        <v>615</v>
      </c>
      <c r="DA4251" t="s">
        <v>616</v>
      </c>
      <c r="DD4251">
        <v>16737689</v>
      </c>
      <c r="DE4251" t="s">
        <v>123</v>
      </c>
    </row>
    <row r="4252" spans="1:109" x14ac:dyDescent="0.3">
      <c r="A4252" t="str">
        <f>"19:46:52.695"</f>
        <v>19:46:52.695</v>
      </c>
      <c r="B4252" t="s">
        <v>110</v>
      </c>
      <c r="C4252" t="str">
        <f t="shared" si="201"/>
        <v>ffdfd3c0</v>
      </c>
      <c r="D4252" t="s">
        <v>111</v>
      </c>
      <c r="E4252">
        <v>18</v>
      </c>
      <c r="F4252">
        <v>1018</v>
      </c>
      <c r="G4252" t="s">
        <v>112</v>
      </c>
      <c r="J4252" t="s">
        <v>113</v>
      </c>
      <c r="K4252">
        <v>0</v>
      </c>
      <c r="L4252">
        <v>3</v>
      </c>
      <c r="M4252">
        <v>0</v>
      </c>
      <c r="N4252">
        <v>2</v>
      </c>
      <c r="O4252">
        <v>1</v>
      </c>
      <c r="P4252">
        <v>0</v>
      </c>
      <c r="Q4252">
        <v>0</v>
      </c>
      <c r="R4252" t="s">
        <v>114</v>
      </c>
      <c r="S4252" t="str">
        <f>"19:46:52.430"</f>
        <v>19:46:52.430</v>
      </c>
      <c r="T4252" t="str">
        <f>"19:46:52.430"</f>
        <v>19:46:52.430</v>
      </c>
      <c r="U4252" t="str">
        <f t="shared" si="199"/>
        <v>a1cdbe</v>
      </c>
      <c r="V4252">
        <v>0</v>
      </c>
      <c r="W4252">
        <v>0</v>
      </c>
      <c r="X4252">
        <v>2</v>
      </c>
      <c r="Y4252">
        <v>0</v>
      </c>
      <c r="Z4252">
        <v>0</v>
      </c>
      <c r="AB4252">
        <v>0</v>
      </c>
      <c r="AC4252">
        <v>9</v>
      </c>
      <c r="AD4252">
        <v>3</v>
      </c>
      <c r="AE4252">
        <v>0</v>
      </c>
      <c r="AF4252">
        <v>9</v>
      </c>
      <c r="AG4252" t="s">
        <v>115</v>
      </c>
      <c r="AH4252">
        <v>0</v>
      </c>
      <c r="AI4252">
        <v>0</v>
      </c>
      <c r="AJ4252">
        <v>1</v>
      </c>
      <c r="AK4252">
        <v>0</v>
      </c>
      <c r="AL4252" t="s">
        <v>7831</v>
      </c>
      <c r="AM4252">
        <v>47.060752000000001</v>
      </c>
      <c r="AN4252" t="s">
        <v>7830</v>
      </c>
      <c r="AO4252">
        <v>-123.99760000000001</v>
      </c>
      <c r="AP4252">
        <v>100</v>
      </c>
      <c r="AQ4252">
        <v>-300</v>
      </c>
      <c r="AR4252" t="s">
        <v>118</v>
      </c>
      <c r="AS4252">
        <v>-5</v>
      </c>
      <c r="AT4252">
        <v>-46</v>
      </c>
      <c r="AU4252">
        <v>512</v>
      </c>
      <c r="BC4252">
        <v>1200</v>
      </c>
      <c r="BD4252">
        <v>1</v>
      </c>
      <c r="BE4252" t="str">
        <f t="shared" si="200"/>
        <v xml:space="preserve">N215T   </v>
      </c>
      <c r="BF4252">
        <v>1</v>
      </c>
      <c r="BH4252">
        <v>0</v>
      </c>
      <c r="BI4252">
        <v>0</v>
      </c>
      <c r="BJ4252">
        <v>0</v>
      </c>
      <c r="BK4252">
        <v>125</v>
      </c>
      <c r="BL4252">
        <v>425</v>
      </c>
      <c r="BM4252" t="s">
        <v>119</v>
      </c>
      <c r="BN4252">
        <v>1</v>
      </c>
      <c r="BO4252">
        <v>1</v>
      </c>
      <c r="BP4252">
        <v>1</v>
      </c>
      <c r="BQ4252">
        <v>0</v>
      </c>
      <c r="BT4252">
        <v>0</v>
      </c>
      <c r="BU4252">
        <v>0</v>
      </c>
      <c r="BV4252">
        <v>0</v>
      </c>
      <c r="CC4252" t="str">
        <f>"19:46:52.430"</f>
        <v>19:46:52.430</v>
      </c>
      <c r="CD4252" t="str">
        <f>"432236918"</f>
        <v>432236918</v>
      </c>
      <c r="CQ4252">
        <v>0</v>
      </c>
      <c r="CR4252">
        <v>2</v>
      </c>
      <c r="CS4252">
        <v>0</v>
      </c>
      <c r="CT4252">
        <v>2</v>
      </c>
      <c r="CU4252">
        <v>0</v>
      </c>
      <c r="CV4252">
        <v>5</v>
      </c>
      <c r="CW4252" t="s">
        <v>120</v>
      </c>
      <c r="CX4252">
        <v>257</v>
      </c>
      <c r="CY4252">
        <v>0</v>
      </c>
      <c r="CZ4252" t="s">
        <v>615</v>
      </c>
      <c r="DA4252" t="s">
        <v>616</v>
      </c>
      <c r="DD4252">
        <v>16738022</v>
      </c>
      <c r="DE4252" t="s">
        <v>123</v>
      </c>
    </row>
    <row r="4253" spans="1:109" x14ac:dyDescent="0.3">
      <c r="A4253" t="str">
        <f>"19:46:53.648"</f>
        <v>19:46:53.648</v>
      </c>
      <c r="B4253" t="s">
        <v>110</v>
      </c>
      <c r="C4253" t="str">
        <f t="shared" si="201"/>
        <v>ffdfd3c0</v>
      </c>
      <c r="D4253" t="s">
        <v>111</v>
      </c>
      <c r="E4253">
        <v>18</v>
      </c>
      <c r="F4253">
        <v>1018</v>
      </c>
      <c r="G4253" t="s">
        <v>112</v>
      </c>
      <c r="J4253" t="s">
        <v>113</v>
      </c>
      <c r="K4253">
        <v>0</v>
      </c>
      <c r="L4253">
        <v>3</v>
      </c>
      <c r="M4253">
        <v>0</v>
      </c>
      <c r="N4253">
        <v>2</v>
      </c>
      <c r="O4253">
        <v>1</v>
      </c>
      <c r="P4253">
        <v>0</v>
      </c>
      <c r="Q4253">
        <v>0</v>
      </c>
      <c r="R4253" t="s">
        <v>114</v>
      </c>
      <c r="S4253" t="str">
        <f>"19:46:53.406"</f>
        <v>19:46:53.406</v>
      </c>
      <c r="T4253" t="str">
        <f>"19:46:53.008"</f>
        <v>19:46:53.008</v>
      </c>
      <c r="U4253" t="str">
        <f t="shared" si="199"/>
        <v>a1cdbe</v>
      </c>
      <c r="V4253">
        <v>0</v>
      </c>
      <c r="W4253">
        <v>0</v>
      </c>
      <c r="X4253">
        <v>2</v>
      </c>
      <c r="Y4253">
        <v>0</v>
      </c>
      <c r="Z4253">
        <v>0</v>
      </c>
      <c r="AB4253">
        <v>0</v>
      </c>
      <c r="AC4253">
        <v>9</v>
      </c>
      <c r="AD4253">
        <v>3</v>
      </c>
      <c r="AE4253">
        <v>0</v>
      </c>
      <c r="AF4253">
        <v>9</v>
      </c>
      <c r="AG4253" t="s">
        <v>115</v>
      </c>
      <c r="AH4253">
        <v>0</v>
      </c>
      <c r="AI4253">
        <v>0</v>
      </c>
      <c r="AJ4253">
        <v>1</v>
      </c>
      <c r="AK4253">
        <v>0</v>
      </c>
      <c r="AL4253" t="s">
        <v>7386</v>
      </c>
      <c r="AM4253">
        <v>47.060536999999997</v>
      </c>
      <c r="AN4253" t="s">
        <v>7832</v>
      </c>
      <c r="AO4253">
        <v>-123.99762200000001</v>
      </c>
      <c r="AP4253">
        <v>100</v>
      </c>
      <c r="AQ4253">
        <v>-300</v>
      </c>
      <c r="AR4253" t="s">
        <v>118</v>
      </c>
      <c r="AS4253">
        <v>-2</v>
      </c>
      <c r="AT4253">
        <v>-47</v>
      </c>
      <c r="AU4253">
        <v>512</v>
      </c>
      <c r="BC4253">
        <v>1200</v>
      </c>
      <c r="BD4253">
        <v>1</v>
      </c>
      <c r="BE4253" t="str">
        <f t="shared" si="200"/>
        <v xml:space="preserve">N215T   </v>
      </c>
      <c r="BF4253">
        <v>1</v>
      </c>
      <c r="BH4253">
        <v>0</v>
      </c>
      <c r="BI4253">
        <v>0</v>
      </c>
      <c r="BJ4253">
        <v>0</v>
      </c>
      <c r="BK4253">
        <v>125</v>
      </c>
      <c r="BL4253">
        <v>425</v>
      </c>
      <c r="BM4253" t="s">
        <v>119</v>
      </c>
      <c r="BN4253">
        <v>1</v>
      </c>
      <c r="BO4253">
        <v>1</v>
      </c>
      <c r="BP4253">
        <v>1</v>
      </c>
      <c r="BQ4253">
        <v>0</v>
      </c>
      <c r="BT4253">
        <v>0</v>
      </c>
      <c r="BU4253">
        <v>0</v>
      </c>
      <c r="BV4253">
        <v>0</v>
      </c>
      <c r="CC4253" t="str">
        <f>"19:46:53.406"</f>
        <v>19:46:53.406</v>
      </c>
      <c r="CD4253" t="str">
        <f>"407140756"</f>
        <v>407140756</v>
      </c>
      <c r="CQ4253">
        <v>0</v>
      </c>
      <c r="CR4253">
        <v>2</v>
      </c>
      <c r="CS4253">
        <v>0</v>
      </c>
      <c r="CT4253">
        <v>2</v>
      </c>
      <c r="CU4253">
        <v>0</v>
      </c>
      <c r="CV4253">
        <v>3</v>
      </c>
      <c r="CW4253" t="s">
        <v>120</v>
      </c>
      <c r="CX4253">
        <v>257</v>
      </c>
      <c r="CY4253">
        <v>0</v>
      </c>
      <c r="CZ4253" t="s">
        <v>615</v>
      </c>
      <c r="DA4253" t="s">
        <v>616</v>
      </c>
      <c r="DD4253">
        <v>16738306</v>
      </c>
      <c r="DE4253" t="s">
        <v>123</v>
      </c>
    </row>
    <row r="4254" spans="1:109" x14ac:dyDescent="0.3">
      <c r="A4254" t="str">
        <f>"19:46:54.508"</f>
        <v>19:46:54.508</v>
      </c>
      <c r="B4254" t="s">
        <v>110</v>
      </c>
      <c r="C4254" t="str">
        <f t="shared" si="201"/>
        <v>ffdfd3c0</v>
      </c>
      <c r="D4254" t="s">
        <v>111</v>
      </c>
      <c r="E4254">
        <v>18</v>
      </c>
      <c r="F4254">
        <v>1018</v>
      </c>
      <c r="G4254" t="s">
        <v>112</v>
      </c>
      <c r="J4254" t="s">
        <v>113</v>
      </c>
      <c r="K4254">
        <v>0</v>
      </c>
      <c r="L4254">
        <v>3</v>
      </c>
      <c r="M4254">
        <v>0</v>
      </c>
      <c r="N4254">
        <v>2</v>
      </c>
      <c r="O4254">
        <v>1</v>
      </c>
      <c r="P4254">
        <v>0</v>
      </c>
      <c r="Q4254">
        <v>0</v>
      </c>
      <c r="R4254" t="s">
        <v>114</v>
      </c>
      <c r="S4254" t="str">
        <f>"19:46:54.305"</f>
        <v>19:46:54.305</v>
      </c>
      <c r="T4254" t="str">
        <f>"19:46:54.102"</f>
        <v>19:46:54.102</v>
      </c>
      <c r="U4254" t="str">
        <f t="shared" si="199"/>
        <v>a1cdbe</v>
      </c>
      <c r="V4254">
        <v>0</v>
      </c>
      <c r="W4254">
        <v>0</v>
      </c>
      <c r="X4254">
        <v>2</v>
      </c>
      <c r="Y4254">
        <v>0</v>
      </c>
      <c r="Z4254">
        <v>0</v>
      </c>
      <c r="AB4254">
        <v>0</v>
      </c>
      <c r="AC4254">
        <v>9</v>
      </c>
      <c r="AD4254">
        <v>3</v>
      </c>
      <c r="AE4254">
        <v>0</v>
      </c>
      <c r="AF4254">
        <v>9</v>
      </c>
      <c r="AG4254" t="s">
        <v>115</v>
      </c>
      <c r="AH4254">
        <v>0</v>
      </c>
      <c r="AI4254">
        <v>0</v>
      </c>
      <c r="AJ4254">
        <v>1</v>
      </c>
      <c r="AK4254">
        <v>0</v>
      </c>
      <c r="AL4254" t="s">
        <v>7833</v>
      </c>
      <c r="AM4254">
        <v>47.060366000000002</v>
      </c>
      <c r="AN4254" t="s">
        <v>7832</v>
      </c>
      <c r="AO4254">
        <v>-123.99762200000001</v>
      </c>
      <c r="AP4254">
        <v>100</v>
      </c>
      <c r="AQ4254">
        <v>-200</v>
      </c>
      <c r="AR4254" t="s">
        <v>118</v>
      </c>
      <c r="AS4254">
        <v>6</v>
      </c>
      <c r="AT4254">
        <v>-48</v>
      </c>
      <c r="AU4254">
        <v>640</v>
      </c>
      <c r="BC4254">
        <v>1200</v>
      </c>
      <c r="BD4254">
        <v>1</v>
      </c>
      <c r="BE4254" t="str">
        <f t="shared" si="200"/>
        <v xml:space="preserve">N215T   </v>
      </c>
      <c r="BF4254">
        <v>1</v>
      </c>
      <c r="BH4254">
        <v>0</v>
      </c>
      <c r="BI4254">
        <v>0</v>
      </c>
      <c r="BJ4254">
        <v>0</v>
      </c>
      <c r="BK4254">
        <v>125</v>
      </c>
      <c r="BL4254">
        <v>325</v>
      </c>
      <c r="BM4254" t="s">
        <v>119</v>
      </c>
      <c r="BN4254">
        <v>1</v>
      </c>
      <c r="BO4254">
        <v>1</v>
      </c>
      <c r="BP4254">
        <v>1</v>
      </c>
      <c r="BQ4254">
        <v>0</v>
      </c>
      <c r="BT4254">
        <v>0</v>
      </c>
      <c r="BU4254">
        <v>0</v>
      </c>
      <c r="BV4254">
        <v>0</v>
      </c>
      <c r="CC4254" t="str">
        <f>"19:46:54.305"</f>
        <v>19:46:54.305</v>
      </c>
      <c r="CD4254" t="str">
        <f>"307051987"</f>
        <v>307051987</v>
      </c>
      <c r="CQ4254">
        <v>0</v>
      </c>
      <c r="CR4254">
        <v>2</v>
      </c>
      <c r="CS4254">
        <v>0</v>
      </c>
      <c r="CT4254">
        <v>2</v>
      </c>
      <c r="CU4254">
        <v>0</v>
      </c>
      <c r="CV4254">
        <v>2</v>
      </c>
      <c r="CW4254" t="s">
        <v>120</v>
      </c>
      <c r="CX4254">
        <v>257</v>
      </c>
      <c r="CY4254">
        <v>0</v>
      </c>
      <c r="CZ4254" t="s">
        <v>615</v>
      </c>
      <c r="DA4254" t="s">
        <v>616</v>
      </c>
      <c r="DD4254">
        <v>16738607</v>
      </c>
      <c r="DE4254" t="s">
        <v>123</v>
      </c>
    </row>
    <row r="4255" spans="1:109" x14ac:dyDescent="0.3">
      <c r="A4255" t="str">
        <f>"19:46:55.711"</f>
        <v>19:46:55.711</v>
      </c>
      <c r="B4255" t="s">
        <v>110</v>
      </c>
      <c r="C4255" t="str">
        <f t="shared" si="201"/>
        <v>ffdfd3c0</v>
      </c>
      <c r="D4255" t="s">
        <v>111</v>
      </c>
      <c r="E4255">
        <v>18</v>
      </c>
      <c r="F4255">
        <v>1018</v>
      </c>
      <c r="G4255" t="s">
        <v>112</v>
      </c>
      <c r="J4255" t="s">
        <v>113</v>
      </c>
      <c r="K4255">
        <v>0</v>
      </c>
      <c r="L4255">
        <v>3</v>
      </c>
      <c r="M4255">
        <v>0</v>
      </c>
      <c r="N4255">
        <v>2</v>
      </c>
      <c r="O4255">
        <v>1</v>
      </c>
      <c r="P4255">
        <v>0</v>
      </c>
      <c r="Q4255">
        <v>0</v>
      </c>
      <c r="R4255" t="s">
        <v>114</v>
      </c>
      <c r="S4255" t="str">
        <f>"19:46:55.445"</f>
        <v>19:46:55.445</v>
      </c>
      <c r="T4255" t="str">
        <f>"19:46:54.945"</f>
        <v>19:46:54.945</v>
      </c>
      <c r="U4255" t="str">
        <f t="shared" si="199"/>
        <v>a1cdbe</v>
      </c>
      <c r="V4255">
        <v>0</v>
      </c>
      <c r="W4255">
        <v>0</v>
      </c>
      <c r="X4255">
        <v>2</v>
      </c>
      <c r="Y4255">
        <v>0</v>
      </c>
      <c r="Z4255">
        <v>0</v>
      </c>
      <c r="AB4255">
        <v>0</v>
      </c>
      <c r="AC4255">
        <v>9</v>
      </c>
      <c r="AD4255">
        <v>3</v>
      </c>
      <c r="AE4255">
        <v>0</v>
      </c>
      <c r="AF4255">
        <v>9</v>
      </c>
      <c r="AG4255" t="s">
        <v>115</v>
      </c>
      <c r="AH4255">
        <v>0</v>
      </c>
      <c r="AI4255">
        <v>0</v>
      </c>
      <c r="AJ4255">
        <v>1</v>
      </c>
      <c r="AK4255">
        <v>0</v>
      </c>
      <c r="AL4255" t="s">
        <v>7834</v>
      </c>
      <c r="AM4255">
        <v>47.060130000000001</v>
      </c>
      <c r="AN4255" t="s">
        <v>7355</v>
      </c>
      <c r="AO4255">
        <v>-123.997471</v>
      </c>
      <c r="AP4255">
        <v>100</v>
      </c>
      <c r="AQ4255">
        <v>-200</v>
      </c>
      <c r="AR4255" t="s">
        <v>118</v>
      </c>
      <c r="AS4255">
        <v>12</v>
      </c>
      <c r="AT4255">
        <v>-47</v>
      </c>
      <c r="AU4255">
        <v>640</v>
      </c>
      <c r="BC4255">
        <v>1200</v>
      </c>
      <c r="BD4255">
        <v>1</v>
      </c>
      <c r="BE4255" t="str">
        <f t="shared" si="200"/>
        <v xml:space="preserve">N215T   </v>
      </c>
      <c r="BF4255">
        <v>1</v>
      </c>
      <c r="BH4255">
        <v>0</v>
      </c>
      <c r="BI4255">
        <v>0</v>
      </c>
      <c r="BJ4255">
        <v>0</v>
      </c>
      <c r="BK4255">
        <v>150</v>
      </c>
      <c r="BL4255">
        <v>350</v>
      </c>
      <c r="BM4255" t="s">
        <v>119</v>
      </c>
      <c r="BN4255">
        <v>1</v>
      </c>
      <c r="BO4255">
        <v>1</v>
      </c>
      <c r="BP4255">
        <v>1</v>
      </c>
      <c r="BQ4255">
        <v>0</v>
      </c>
      <c r="BT4255">
        <v>0</v>
      </c>
      <c r="BU4255">
        <v>0</v>
      </c>
      <c r="BV4255">
        <v>0</v>
      </c>
      <c r="CC4255" t="str">
        <f>"19:46:55.445"</f>
        <v>19:46:55.445</v>
      </c>
      <c r="CD4255" t="str">
        <f>"446939545"</f>
        <v>446939545</v>
      </c>
      <c r="CQ4255">
        <v>0</v>
      </c>
      <c r="CR4255">
        <v>2</v>
      </c>
      <c r="CS4255">
        <v>0</v>
      </c>
      <c r="CT4255">
        <v>2</v>
      </c>
      <c r="CU4255">
        <v>0</v>
      </c>
      <c r="CV4255">
        <v>4</v>
      </c>
      <c r="CW4255" t="s">
        <v>120</v>
      </c>
      <c r="CX4255">
        <v>257</v>
      </c>
      <c r="CY4255">
        <v>0</v>
      </c>
      <c r="CZ4255" t="s">
        <v>615</v>
      </c>
      <c r="DA4255" t="s">
        <v>616</v>
      </c>
      <c r="DD4255">
        <v>16738972</v>
      </c>
      <c r="DE4255" t="s">
        <v>123</v>
      </c>
    </row>
    <row r="4256" spans="1:109" x14ac:dyDescent="0.3">
      <c r="A4256" t="str">
        <f>"19:46:56.820"</f>
        <v>19:46:56.820</v>
      </c>
      <c r="B4256" t="s">
        <v>110</v>
      </c>
      <c r="C4256" t="str">
        <f t="shared" si="201"/>
        <v>ffdfd3c0</v>
      </c>
      <c r="D4256" t="s">
        <v>111</v>
      </c>
      <c r="E4256">
        <v>18</v>
      </c>
      <c r="F4256">
        <v>1018</v>
      </c>
      <c r="G4256" t="s">
        <v>112</v>
      </c>
      <c r="J4256" t="s">
        <v>113</v>
      </c>
      <c r="K4256">
        <v>0</v>
      </c>
      <c r="L4256">
        <v>3</v>
      </c>
      <c r="M4256">
        <v>0</v>
      </c>
      <c r="N4256">
        <v>2</v>
      </c>
      <c r="O4256">
        <v>1</v>
      </c>
      <c r="P4256">
        <v>0</v>
      </c>
      <c r="Q4256">
        <v>0</v>
      </c>
      <c r="R4256" t="s">
        <v>114</v>
      </c>
      <c r="S4256" t="str">
        <f>"19:46:56.555"</f>
        <v>19:46:56.555</v>
      </c>
      <c r="T4256" t="str">
        <f>"19:46:56.156"</f>
        <v>19:46:56.156</v>
      </c>
      <c r="U4256" t="str">
        <f t="shared" si="199"/>
        <v>a1cdbe</v>
      </c>
      <c r="V4256">
        <v>0</v>
      </c>
      <c r="W4256">
        <v>0</v>
      </c>
      <c r="X4256">
        <v>2</v>
      </c>
      <c r="Y4256">
        <v>0</v>
      </c>
      <c r="Z4256">
        <v>0</v>
      </c>
      <c r="AB4256">
        <v>0</v>
      </c>
      <c r="AC4256">
        <v>9</v>
      </c>
      <c r="AD4256">
        <v>3</v>
      </c>
      <c r="AE4256">
        <v>0</v>
      </c>
      <c r="AF4256">
        <v>9</v>
      </c>
      <c r="AG4256" t="s">
        <v>115</v>
      </c>
      <c r="AH4256">
        <v>0</v>
      </c>
      <c r="AI4256">
        <v>0</v>
      </c>
      <c r="AJ4256">
        <v>1</v>
      </c>
      <c r="AK4256">
        <v>0</v>
      </c>
      <c r="AL4256" t="s">
        <v>7375</v>
      </c>
      <c r="AM4256">
        <v>47.059894</v>
      </c>
      <c r="AN4256" t="s">
        <v>7835</v>
      </c>
      <c r="AO4256">
        <v>-123.997321</v>
      </c>
      <c r="AP4256">
        <v>100</v>
      </c>
      <c r="AQ4256">
        <v>-200</v>
      </c>
      <c r="AR4256" t="s">
        <v>118</v>
      </c>
      <c r="AS4256">
        <v>19</v>
      </c>
      <c r="AT4256">
        <v>-45</v>
      </c>
      <c r="AU4256">
        <v>576</v>
      </c>
      <c r="BC4256">
        <v>1200</v>
      </c>
      <c r="BD4256">
        <v>1</v>
      </c>
      <c r="BE4256" t="str">
        <f t="shared" si="200"/>
        <v xml:space="preserve">N215T   </v>
      </c>
      <c r="BF4256">
        <v>1</v>
      </c>
      <c r="BH4256">
        <v>0</v>
      </c>
      <c r="BI4256">
        <v>0</v>
      </c>
      <c r="BJ4256">
        <v>0</v>
      </c>
      <c r="BK4256">
        <v>150</v>
      </c>
      <c r="BL4256">
        <v>350</v>
      </c>
      <c r="BM4256" t="s">
        <v>119</v>
      </c>
      <c r="BN4256">
        <v>1</v>
      </c>
      <c r="BO4256">
        <v>1</v>
      </c>
      <c r="BP4256">
        <v>1</v>
      </c>
      <c r="BQ4256">
        <v>0</v>
      </c>
      <c r="BT4256">
        <v>0</v>
      </c>
      <c r="BU4256">
        <v>0</v>
      </c>
      <c r="BV4256">
        <v>0</v>
      </c>
      <c r="CC4256" t="str">
        <f>"19:46:56.555"</f>
        <v>19:46:56.555</v>
      </c>
      <c r="CD4256" t="str">
        <f>"556830059"</f>
        <v>556830059</v>
      </c>
      <c r="CQ4256">
        <v>0</v>
      </c>
      <c r="CR4256">
        <v>2</v>
      </c>
      <c r="CS4256">
        <v>0</v>
      </c>
      <c r="CT4256">
        <v>2</v>
      </c>
      <c r="CU4256">
        <v>0</v>
      </c>
      <c r="CV4256">
        <v>5</v>
      </c>
      <c r="CW4256" t="s">
        <v>120</v>
      </c>
      <c r="CX4256">
        <v>257</v>
      </c>
      <c r="CY4256">
        <v>0</v>
      </c>
      <c r="CZ4256" t="s">
        <v>615</v>
      </c>
      <c r="DA4256" t="s">
        <v>616</v>
      </c>
      <c r="DD4256">
        <v>16739341</v>
      </c>
      <c r="DE4256" t="s">
        <v>123</v>
      </c>
    </row>
    <row r="4257" spans="1:109" x14ac:dyDescent="0.3">
      <c r="A4257" t="str">
        <f>"19:46:57.727"</f>
        <v>19:46:57.727</v>
      </c>
      <c r="B4257" t="s">
        <v>110</v>
      </c>
      <c r="C4257" t="str">
        <f t="shared" si="201"/>
        <v>ffdfd3c0</v>
      </c>
      <c r="D4257" t="s">
        <v>111</v>
      </c>
      <c r="E4257">
        <v>18</v>
      </c>
      <c r="F4257">
        <v>1018</v>
      </c>
      <c r="G4257" t="s">
        <v>112</v>
      </c>
      <c r="J4257" t="s">
        <v>113</v>
      </c>
      <c r="K4257">
        <v>0</v>
      </c>
      <c r="L4257">
        <v>3</v>
      </c>
      <c r="M4257">
        <v>0</v>
      </c>
      <c r="N4257">
        <v>2</v>
      </c>
      <c r="O4257">
        <v>1</v>
      </c>
      <c r="P4257">
        <v>0</v>
      </c>
      <c r="Q4257">
        <v>0</v>
      </c>
      <c r="R4257" t="s">
        <v>114</v>
      </c>
      <c r="S4257" t="str">
        <f>"19:46:57.484"</f>
        <v>19:46:57.484</v>
      </c>
      <c r="T4257" t="str">
        <f>"19:46:57.086"</f>
        <v>19:46:57.086</v>
      </c>
      <c r="U4257" t="str">
        <f t="shared" si="199"/>
        <v>a1cdbe</v>
      </c>
      <c r="V4257">
        <v>0</v>
      </c>
      <c r="W4257">
        <v>0</v>
      </c>
      <c r="X4257">
        <v>2</v>
      </c>
      <c r="Y4257">
        <v>0</v>
      </c>
      <c r="Z4257">
        <v>0</v>
      </c>
      <c r="AB4257">
        <v>0</v>
      </c>
      <c r="AC4257">
        <v>9</v>
      </c>
      <c r="AD4257">
        <v>3</v>
      </c>
      <c r="AE4257">
        <v>0</v>
      </c>
      <c r="AF4257">
        <v>9</v>
      </c>
      <c r="AG4257" t="s">
        <v>115</v>
      </c>
      <c r="AH4257">
        <v>0</v>
      </c>
      <c r="AI4257">
        <v>0</v>
      </c>
      <c r="AJ4257">
        <v>1</v>
      </c>
      <c r="AK4257">
        <v>0</v>
      </c>
      <c r="AL4257" t="s">
        <v>7836</v>
      </c>
      <c r="AM4257">
        <v>47.059699999999999</v>
      </c>
      <c r="AN4257" t="s">
        <v>7837</v>
      </c>
      <c r="AO4257">
        <v>-123.997128</v>
      </c>
      <c r="AP4257">
        <v>100</v>
      </c>
      <c r="AQ4257">
        <v>-200</v>
      </c>
      <c r="AR4257" t="s">
        <v>118</v>
      </c>
      <c r="AS4257">
        <v>25</v>
      </c>
      <c r="AT4257">
        <v>-41</v>
      </c>
      <c r="AU4257">
        <v>512</v>
      </c>
      <c r="BC4257">
        <v>1200</v>
      </c>
      <c r="BD4257">
        <v>1</v>
      </c>
      <c r="BE4257" t="str">
        <f t="shared" si="200"/>
        <v xml:space="preserve">N215T   </v>
      </c>
      <c r="BF4257">
        <v>1</v>
      </c>
      <c r="BH4257">
        <v>0</v>
      </c>
      <c r="BI4257">
        <v>0</v>
      </c>
      <c r="BJ4257">
        <v>0</v>
      </c>
      <c r="BK4257">
        <v>175</v>
      </c>
      <c r="BL4257">
        <v>375</v>
      </c>
      <c r="BM4257" t="s">
        <v>119</v>
      </c>
      <c r="BN4257">
        <v>1</v>
      </c>
      <c r="BO4257">
        <v>1</v>
      </c>
      <c r="BP4257">
        <v>1</v>
      </c>
      <c r="BQ4257">
        <v>0</v>
      </c>
      <c r="BT4257">
        <v>0</v>
      </c>
      <c r="BU4257">
        <v>0</v>
      </c>
      <c r="BV4257">
        <v>0</v>
      </c>
      <c r="CC4257" t="str">
        <f>"19:46:57.484"</f>
        <v>19:46:57.484</v>
      </c>
      <c r="CD4257" t="str">
        <f>"486738365"</f>
        <v>486738365</v>
      </c>
      <c r="CQ4257">
        <v>0</v>
      </c>
      <c r="CR4257">
        <v>2</v>
      </c>
      <c r="CS4257">
        <v>0</v>
      </c>
      <c r="CT4257">
        <v>2</v>
      </c>
      <c r="CU4257">
        <v>0</v>
      </c>
      <c r="CV4257">
        <v>4</v>
      </c>
      <c r="CW4257" t="s">
        <v>120</v>
      </c>
      <c r="CX4257">
        <v>257</v>
      </c>
      <c r="CY4257">
        <v>0</v>
      </c>
      <c r="CZ4257" t="s">
        <v>615</v>
      </c>
      <c r="DA4257" t="s">
        <v>616</v>
      </c>
      <c r="DD4257">
        <v>16739626</v>
      </c>
      <c r="DE4257" t="s">
        <v>123</v>
      </c>
    </row>
    <row r="4258" spans="1:109" x14ac:dyDescent="0.3">
      <c r="A4258" t="str">
        <f>"19:46:58.625"</f>
        <v>19:46:58.625</v>
      </c>
      <c r="B4258" t="s">
        <v>110</v>
      </c>
      <c r="C4258" t="str">
        <f t="shared" si="201"/>
        <v>ffdfd3c0</v>
      </c>
      <c r="D4258" t="s">
        <v>111</v>
      </c>
      <c r="E4258">
        <v>18</v>
      </c>
      <c r="F4258">
        <v>1018</v>
      </c>
      <c r="G4258" t="s">
        <v>112</v>
      </c>
      <c r="J4258" t="s">
        <v>113</v>
      </c>
      <c r="K4258">
        <v>0</v>
      </c>
      <c r="L4258">
        <v>3</v>
      </c>
      <c r="M4258">
        <v>0</v>
      </c>
      <c r="N4258">
        <v>2</v>
      </c>
      <c r="O4258">
        <v>1</v>
      </c>
      <c r="P4258">
        <v>0</v>
      </c>
      <c r="Q4258">
        <v>0</v>
      </c>
      <c r="R4258" t="s">
        <v>114</v>
      </c>
      <c r="S4258" t="str">
        <f>"19:46:58.367"</f>
        <v>19:46:58.367</v>
      </c>
      <c r="T4258" t="str">
        <f>"19:46:57.969"</f>
        <v>19:46:57.969</v>
      </c>
      <c r="U4258" t="str">
        <f t="shared" si="199"/>
        <v>a1cdbe</v>
      </c>
      <c r="V4258">
        <v>0</v>
      </c>
      <c r="W4258">
        <v>0</v>
      </c>
      <c r="X4258">
        <v>2</v>
      </c>
      <c r="Y4258">
        <v>0</v>
      </c>
      <c r="Z4258">
        <v>0</v>
      </c>
      <c r="AB4258">
        <v>0</v>
      </c>
      <c r="AC4258">
        <v>9</v>
      </c>
      <c r="AD4258">
        <v>3</v>
      </c>
      <c r="AE4258">
        <v>0</v>
      </c>
      <c r="AF4258">
        <v>9</v>
      </c>
      <c r="AG4258" t="s">
        <v>115</v>
      </c>
      <c r="AH4258">
        <v>0</v>
      </c>
      <c r="AI4258">
        <v>0</v>
      </c>
      <c r="AJ4258">
        <v>1</v>
      </c>
      <c r="AK4258">
        <v>0</v>
      </c>
      <c r="AL4258" t="s">
        <v>7675</v>
      </c>
      <c r="AM4258">
        <v>47.059528999999998</v>
      </c>
      <c r="AN4258" t="s">
        <v>7838</v>
      </c>
      <c r="AO4258">
        <v>-123.99691300000001</v>
      </c>
      <c r="AP4258">
        <v>100</v>
      </c>
      <c r="AQ4258">
        <v>-200</v>
      </c>
      <c r="AR4258" t="s">
        <v>118</v>
      </c>
      <c r="AS4258">
        <v>30</v>
      </c>
      <c r="AT4258">
        <v>-38</v>
      </c>
      <c r="AU4258">
        <v>512</v>
      </c>
      <c r="BC4258">
        <v>1200</v>
      </c>
      <c r="BD4258">
        <v>1</v>
      </c>
      <c r="BE4258" t="str">
        <f t="shared" si="200"/>
        <v xml:space="preserve">N215T   </v>
      </c>
      <c r="BF4258">
        <v>1</v>
      </c>
      <c r="BH4258">
        <v>0</v>
      </c>
      <c r="BI4258">
        <v>0</v>
      </c>
      <c r="BJ4258">
        <v>0</v>
      </c>
      <c r="BK4258">
        <v>175</v>
      </c>
      <c r="BL4258">
        <v>375</v>
      </c>
      <c r="BM4258" t="s">
        <v>119</v>
      </c>
      <c r="BN4258">
        <v>1</v>
      </c>
      <c r="BO4258">
        <v>1</v>
      </c>
      <c r="BP4258">
        <v>1</v>
      </c>
      <c r="BQ4258">
        <v>0</v>
      </c>
      <c r="BT4258">
        <v>0</v>
      </c>
      <c r="BU4258">
        <v>0</v>
      </c>
      <c r="BV4258">
        <v>0</v>
      </c>
      <c r="CC4258" t="str">
        <f>"19:46:58.375"</f>
        <v>19:46:58.375</v>
      </c>
      <c r="CD4258" t="str">
        <f>"371651084"</f>
        <v>371651084</v>
      </c>
      <c r="CQ4258">
        <v>0</v>
      </c>
      <c r="CR4258">
        <v>2</v>
      </c>
      <c r="CS4258">
        <v>0</v>
      </c>
      <c r="CT4258">
        <v>2</v>
      </c>
      <c r="CU4258">
        <v>0</v>
      </c>
      <c r="CV4258">
        <v>5</v>
      </c>
      <c r="CW4258" t="s">
        <v>120</v>
      </c>
      <c r="CX4258">
        <v>257</v>
      </c>
      <c r="CY4258">
        <v>0</v>
      </c>
      <c r="CZ4258" t="s">
        <v>615</v>
      </c>
      <c r="DA4258" t="s">
        <v>616</v>
      </c>
      <c r="DD4258">
        <v>16739918</v>
      </c>
      <c r="DE4258" t="s">
        <v>123</v>
      </c>
    </row>
    <row r="4259" spans="1:109" x14ac:dyDescent="0.3">
      <c r="A4259" t="str">
        <f>"19:46:59.586"</f>
        <v>19:46:59.586</v>
      </c>
      <c r="B4259" t="s">
        <v>110</v>
      </c>
      <c r="C4259" t="str">
        <f t="shared" si="201"/>
        <v>ffdfd3c0</v>
      </c>
      <c r="D4259" t="s">
        <v>111</v>
      </c>
      <c r="E4259">
        <v>18</v>
      </c>
      <c r="F4259">
        <v>1018</v>
      </c>
      <c r="G4259" t="s">
        <v>112</v>
      </c>
      <c r="J4259" t="s">
        <v>113</v>
      </c>
      <c r="K4259">
        <v>0</v>
      </c>
      <c r="L4259">
        <v>3</v>
      </c>
      <c r="M4259">
        <v>0</v>
      </c>
      <c r="N4259">
        <v>2</v>
      </c>
      <c r="O4259">
        <v>1</v>
      </c>
      <c r="P4259">
        <v>0</v>
      </c>
      <c r="Q4259">
        <v>0</v>
      </c>
      <c r="R4259" t="s">
        <v>114</v>
      </c>
      <c r="S4259" t="str">
        <f>"19:46:59.297"</f>
        <v>19:46:59.297</v>
      </c>
      <c r="T4259" t="str">
        <f>"19:46:58.898"</f>
        <v>19:46:58.898</v>
      </c>
      <c r="U4259" t="str">
        <f t="shared" si="199"/>
        <v>a1cdbe</v>
      </c>
      <c r="V4259">
        <v>0</v>
      </c>
      <c r="W4259">
        <v>0</v>
      </c>
      <c r="X4259">
        <v>2</v>
      </c>
      <c r="Y4259">
        <v>0</v>
      </c>
      <c r="Z4259">
        <v>0</v>
      </c>
      <c r="AB4259">
        <v>0</v>
      </c>
      <c r="AC4259">
        <v>9</v>
      </c>
      <c r="AD4259">
        <v>3</v>
      </c>
      <c r="AE4259">
        <v>0</v>
      </c>
      <c r="AF4259">
        <v>9</v>
      </c>
      <c r="AG4259" t="s">
        <v>115</v>
      </c>
      <c r="AH4259">
        <v>0</v>
      </c>
      <c r="AI4259">
        <v>0</v>
      </c>
      <c r="AJ4259">
        <v>1</v>
      </c>
      <c r="AK4259">
        <v>0</v>
      </c>
      <c r="AL4259" t="s">
        <v>7839</v>
      </c>
      <c r="AM4259">
        <v>47.059379</v>
      </c>
      <c r="AN4259" t="s">
        <v>7840</v>
      </c>
      <c r="AO4259">
        <v>-123.99672</v>
      </c>
      <c r="AP4259">
        <v>100</v>
      </c>
      <c r="AQ4259">
        <v>-200</v>
      </c>
      <c r="AR4259" t="s">
        <v>118</v>
      </c>
      <c r="AS4259">
        <v>35</v>
      </c>
      <c r="AT4259">
        <v>-37</v>
      </c>
      <c r="AU4259">
        <v>448</v>
      </c>
      <c r="BC4259">
        <v>1200</v>
      </c>
      <c r="BD4259">
        <v>1</v>
      </c>
      <c r="BE4259" t="str">
        <f t="shared" si="200"/>
        <v xml:space="preserve">N215T   </v>
      </c>
      <c r="BF4259">
        <v>1</v>
      </c>
      <c r="BH4259">
        <v>0</v>
      </c>
      <c r="BI4259">
        <v>0</v>
      </c>
      <c r="BJ4259">
        <v>0</v>
      </c>
      <c r="BK4259">
        <v>175</v>
      </c>
      <c r="BL4259">
        <v>375</v>
      </c>
      <c r="BM4259" t="s">
        <v>119</v>
      </c>
      <c r="BN4259">
        <v>1</v>
      </c>
      <c r="BO4259">
        <v>1</v>
      </c>
      <c r="BP4259">
        <v>1</v>
      </c>
      <c r="BQ4259">
        <v>0</v>
      </c>
      <c r="BT4259">
        <v>0</v>
      </c>
      <c r="BU4259">
        <v>0</v>
      </c>
      <c r="BV4259">
        <v>0</v>
      </c>
      <c r="CC4259" t="str">
        <f>"19:46:59.305"</f>
        <v>19:46:59.305</v>
      </c>
      <c r="CD4259" t="str">
        <f>"301559380"</f>
        <v>301559380</v>
      </c>
      <c r="CQ4259">
        <v>0</v>
      </c>
      <c r="CR4259">
        <v>2</v>
      </c>
      <c r="CS4259">
        <v>0</v>
      </c>
      <c r="CT4259">
        <v>2</v>
      </c>
      <c r="CU4259">
        <v>0</v>
      </c>
      <c r="CV4259">
        <v>4</v>
      </c>
      <c r="CW4259" t="s">
        <v>120</v>
      </c>
      <c r="CX4259">
        <v>257</v>
      </c>
      <c r="CY4259">
        <v>0</v>
      </c>
      <c r="CZ4259" t="s">
        <v>615</v>
      </c>
      <c r="DA4259" t="s">
        <v>616</v>
      </c>
      <c r="DD4259">
        <v>16740231</v>
      </c>
      <c r="DE4259" t="s">
        <v>123</v>
      </c>
    </row>
    <row r="4260" spans="1:109" x14ac:dyDescent="0.3">
      <c r="A4260" t="str">
        <f>"19:47:00.586"</f>
        <v>19:47:00.586</v>
      </c>
      <c r="B4260" t="s">
        <v>110</v>
      </c>
      <c r="C4260" t="str">
        <f t="shared" si="201"/>
        <v>ffdfd3c0</v>
      </c>
      <c r="D4260" t="s">
        <v>111</v>
      </c>
      <c r="E4260">
        <v>18</v>
      </c>
      <c r="F4260">
        <v>1018</v>
      </c>
      <c r="G4260" t="s">
        <v>112</v>
      </c>
      <c r="J4260" t="s">
        <v>113</v>
      </c>
      <c r="K4260">
        <v>0</v>
      </c>
      <c r="L4260">
        <v>3</v>
      </c>
      <c r="M4260">
        <v>0</v>
      </c>
      <c r="N4260">
        <v>2</v>
      </c>
      <c r="O4260">
        <v>1</v>
      </c>
      <c r="P4260">
        <v>0</v>
      </c>
      <c r="Q4260">
        <v>0</v>
      </c>
      <c r="R4260" t="s">
        <v>114</v>
      </c>
      <c r="S4260" t="str">
        <f>"19:47:00.375"</f>
        <v>19:47:00.375</v>
      </c>
      <c r="T4260" t="str">
        <f>"19:47:00.375"</f>
        <v>19:47:00.375</v>
      </c>
      <c r="U4260" t="str">
        <f t="shared" si="199"/>
        <v>a1cdbe</v>
      </c>
      <c r="V4260">
        <v>0</v>
      </c>
      <c r="W4260">
        <v>0</v>
      </c>
      <c r="X4260">
        <v>2</v>
      </c>
      <c r="Y4260">
        <v>0</v>
      </c>
      <c r="Z4260">
        <v>0</v>
      </c>
      <c r="AB4260">
        <v>0</v>
      </c>
      <c r="AC4260">
        <v>9</v>
      </c>
      <c r="AD4260">
        <v>3</v>
      </c>
      <c r="AE4260">
        <v>0</v>
      </c>
      <c r="AF4260">
        <v>9</v>
      </c>
      <c r="AG4260" t="s">
        <v>115</v>
      </c>
      <c r="AH4260">
        <v>0</v>
      </c>
      <c r="AI4260">
        <v>0</v>
      </c>
      <c r="AJ4260">
        <v>1</v>
      </c>
      <c r="AK4260">
        <v>0</v>
      </c>
      <c r="AL4260" t="s">
        <v>514</v>
      </c>
      <c r="AM4260">
        <v>47.059207000000001</v>
      </c>
      <c r="AN4260" t="s">
        <v>7663</v>
      </c>
      <c r="AO4260">
        <v>-123.996441</v>
      </c>
      <c r="AP4260">
        <v>100</v>
      </c>
      <c r="AQ4260">
        <v>-200</v>
      </c>
      <c r="AR4260" t="s">
        <v>118</v>
      </c>
      <c r="AS4260">
        <v>39</v>
      </c>
      <c r="AT4260">
        <v>-36</v>
      </c>
      <c r="AU4260">
        <v>384</v>
      </c>
      <c r="BC4260">
        <v>1200</v>
      </c>
      <c r="BD4260">
        <v>1</v>
      </c>
      <c r="BE4260" t="str">
        <f t="shared" si="200"/>
        <v xml:space="preserve">N215T   </v>
      </c>
      <c r="BF4260">
        <v>1</v>
      </c>
      <c r="BH4260">
        <v>0</v>
      </c>
      <c r="BI4260">
        <v>0</v>
      </c>
      <c r="BJ4260">
        <v>0</v>
      </c>
      <c r="BK4260">
        <v>200</v>
      </c>
      <c r="BL4260">
        <v>400</v>
      </c>
      <c r="BM4260" t="s">
        <v>119</v>
      </c>
      <c r="BN4260">
        <v>1</v>
      </c>
      <c r="BO4260">
        <v>1</v>
      </c>
      <c r="BP4260">
        <v>1</v>
      </c>
      <c r="BQ4260">
        <v>0</v>
      </c>
      <c r="BT4260">
        <v>0</v>
      </c>
      <c r="BU4260">
        <v>0</v>
      </c>
      <c r="BV4260">
        <v>0</v>
      </c>
      <c r="CC4260" t="str">
        <f>"19:47:00.383"</f>
        <v>19:47:00.383</v>
      </c>
      <c r="CD4260" t="str">
        <f>"381452864"</f>
        <v>381452864</v>
      </c>
      <c r="CQ4260">
        <v>0</v>
      </c>
      <c r="CR4260">
        <v>2</v>
      </c>
      <c r="CS4260">
        <v>0</v>
      </c>
      <c r="CT4260">
        <v>2</v>
      </c>
      <c r="CU4260">
        <v>0</v>
      </c>
      <c r="CV4260">
        <v>4</v>
      </c>
      <c r="CW4260" t="s">
        <v>120</v>
      </c>
      <c r="CX4260">
        <v>257</v>
      </c>
      <c r="CY4260">
        <v>0</v>
      </c>
      <c r="CZ4260" t="s">
        <v>615</v>
      </c>
      <c r="DA4260" t="s">
        <v>616</v>
      </c>
      <c r="DD4260">
        <v>16740598</v>
      </c>
      <c r="DE4260" t="s">
        <v>123</v>
      </c>
    </row>
    <row r="4261" spans="1:109" x14ac:dyDescent="0.3">
      <c r="A4261" t="str">
        <f>"19:47:01.594"</f>
        <v>19:47:01.594</v>
      </c>
      <c r="B4261" t="s">
        <v>110</v>
      </c>
      <c r="C4261" t="str">
        <f t="shared" si="201"/>
        <v>ffdfd3c0</v>
      </c>
      <c r="D4261" t="s">
        <v>111</v>
      </c>
      <c r="E4261">
        <v>18</v>
      </c>
      <c r="F4261">
        <v>1018</v>
      </c>
      <c r="G4261" t="s">
        <v>112</v>
      </c>
      <c r="J4261" t="s">
        <v>113</v>
      </c>
      <c r="K4261">
        <v>0</v>
      </c>
      <c r="L4261">
        <v>3</v>
      </c>
      <c r="M4261">
        <v>0</v>
      </c>
      <c r="N4261">
        <v>2</v>
      </c>
      <c r="O4261">
        <v>1</v>
      </c>
      <c r="P4261">
        <v>0</v>
      </c>
      <c r="Q4261">
        <v>0</v>
      </c>
      <c r="R4261" t="s">
        <v>114</v>
      </c>
      <c r="S4261" t="str">
        <f>"19:47:01.352"</f>
        <v>19:47:01.352</v>
      </c>
      <c r="T4261" t="str">
        <f>"19:47:01.352"</f>
        <v>19:47:01.352</v>
      </c>
      <c r="U4261" t="str">
        <f t="shared" si="199"/>
        <v>a1cdbe</v>
      </c>
      <c r="V4261">
        <v>0</v>
      </c>
      <c r="W4261">
        <v>0</v>
      </c>
      <c r="X4261">
        <v>2</v>
      </c>
      <c r="Y4261">
        <v>0</v>
      </c>
      <c r="Z4261">
        <v>0</v>
      </c>
      <c r="AB4261">
        <v>0</v>
      </c>
      <c r="AC4261">
        <v>9</v>
      </c>
      <c r="AD4261">
        <v>3</v>
      </c>
      <c r="AE4261">
        <v>0</v>
      </c>
      <c r="AF4261">
        <v>9</v>
      </c>
      <c r="AG4261" t="s">
        <v>115</v>
      </c>
      <c r="AH4261">
        <v>0</v>
      </c>
      <c r="AI4261">
        <v>0</v>
      </c>
      <c r="AJ4261">
        <v>1</v>
      </c>
      <c r="AK4261">
        <v>0</v>
      </c>
      <c r="AL4261" t="s">
        <v>7672</v>
      </c>
      <c r="AM4261">
        <v>47.059057000000003</v>
      </c>
      <c r="AN4261" t="s">
        <v>7662</v>
      </c>
      <c r="AO4261">
        <v>-123.99614099999999</v>
      </c>
      <c r="AP4261">
        <v>100</v>
      </c>
      <c r="AQ4261">
        <v>-200</v>
      </c>
      <c r="AR4261" t="s">
        <v>118</v>
      </c>
      <c r="AS4261">
        <v>39</v>
      </c>
      <c r="AT4261">
        <v>-38</v>
      </c>
      <c r="AU4261">
        <v>384</v>
      </c>
      <c r="BC4261">
        <v>1200</v>
      </c>
      <c r="BD4261">
        <v>1</v>
      </c>
      <c r="BE4261" t="str">
        <f t="shared" si="200"/>
        <v xml:space="preserve">N215T   </v>
      </c>
      <c r="BF4261">
        <v>1</v>
      </c>
      <c r="BH4261">
        <v>0</v>
      </c>
      <c r="BI4261">
        <v>0</v>
      </c>
      <c r="BJ4261">
        <v>0</v>
      </c>
      <c r="BK4261">
        <v>200</v>
      </c>
      <c r="BL4261">
        <v>400</v>
      </c>
      <c r="BM4261" t="s">
        <v>119</v>
      </c>
      <c r="BN4261">
        <v>1</v>
      </c>
      <c r="BO4261">
        <v>1</v>
      </c>
      <c r="BP4261">
        <v>1</v>
      </c>
      <c r="BQ4261">
        <v>0</v>
      </c>
      <c r="BT4261">
        <v>0</v>
      </c>
      <c r="BU4261">
        <v>0</v>
      </c>
      <c r="BV4261">
        <v>0</v>
      </c>
      <c r="CC4261" t="str">
        <f>"19:47:01.359"</f>
        <v>19:47:01.359</v>
      </c>
      <c r="CD4261" t="str">
        <f>"356356708"</f>
        <v>356356708</v>
      </c>
      <c r="CQ4261">
        <v>0</v>
      </c>
      <c r="CR4261">
        <v>2</v>
      </c>
      <c r="CS4261">
        <v>0</v>
      </c>
      <c r="CT4261">
        <v>2</v>
      </c>
      <c r="CU4261">
        <v>0</v>
      </c>
      <c r="CV4261">
        <v>5</v>
      </c>
      <c r="CW4261" t="s">
        <v>120</v>
      </c>
      <c r="CX4261">
        <v>257</v>
      </c>
      <c r="CY4261">
        <v>0</v>
      </c>
      <c r="CZ4261" t="s">
        <v>615</v>
      </c>
      <c r="DA4261" t="s">
        <v>616</v>
      </c>
      <c r="DD4261">
        <v>16740935</v>
      </c>
      <c r="DE4261" t="s">
        <v>123</v>
      </c>
    </row>
    <row r="4262" spans="1:109" x14ac:dyDescent="0.3">
      <c r="A4262" t="str">
        <f>"19:47:02.547"</f>
        <v>19:47:02.547</v>
      </c>
      <c r="B4262" t="s">
        <v>110</v>
      </c>
      <c r="C4262" t="str">
        <f t="shared" si="201"/>
        <v>ffdfd3c0</v>
      </c>
      <c r="D4262" t="s">
        <v>111</v>
      </c>
      <c r="E4262">
        <v>18</v>
      </c>
      <c r="F4262">
        <v>1018</v>
      </c>
      <c r="G4262" t="s">
        <v>112</v>
      </c>
      <c r="J4262" t="s">
        <v>113</v>
      </c>
      <c r="K4262">
        <v>0</v>
      </c>
      <c r="L4262">
        <v>3</v>
      </c>
      <c r="M4262">
        <v>0</v>
      </c>
      <c r="N4262">
        <v>2</v>
      </c>
      <c r="O4262">
        <v>1</v>
      </c>
      <c r="P4262">
        <v>0</v>
      </c>
      <c r="Q4262">
        <v>0</v>
      </c>
      <c r="R4262" t="s">
        <v>114</v>
      </c>
      <c r="S4262" t="str">
        <f>"19:47:02.313"</f>
        <v>19:47:02.313</v>
      </c>
      <c r="T4262" t="str">
        <f>"19:47:01.914"</f>
        <v>19:47:01.914</v>
      </c>
      <c r="U4262" t="str">
        <f t="shared" si="199"/>
        <v>a1cdbe</v>
      </c>
      <c r="V4262">
        <v>0</v>
      </c>
      <c r="W4262">
        <v>0</v>
      </c>
      <c r="X4262">
        <v>2</v>
      </c>
      <c r="Y4262">
        <v>0</v>
      </c>
      <c r="Z4262">
        <v>0</v>
      </c>
      <c r="AB4262">
        <v>0</v>
      </c>
      <c r="AC4262">
        <v>9</v>
      </c>
      <c r="AD4262">
        <v>3</v>
      </c>
      <c r="AE4262">
        <v>0</v>
      </c>
      <c r="AF4262">
        <v>9</v>
      </c>
      <c r="AG4262" t="s">
        <v>115</v>
      </c>
      <c r="AH4262">
        <v>0</v>
      </c>
      <c r="AI4262">
        <v>0</v>
      </c>
      <c r="AJ4262">
        <v>1</v>
      </c>
      <c r="AK4262">
        <v>0</v>
      </c>
      <c r="AL4262" t="s">
        <v>516</v>
      </c>
      <c r="AM4262">
        <v>47.058864</v>
      </c>
      <c r="AN4262" t="s">
        <v>7841</v>
      </c>
      <c r="AO4262">
        <v>-123.995926</v>
      </c>
      <c r="AP4262">
        <v>100</v>
      </c>
      <c r="AQ4262">
        <v>-200</v>
      </c>
      <c r="AR4262" t="s">
        <v>118</v>
      </c>
      <c r="AS4262">
        <v>39</v>
      </c>
      <c r="AT4262">
        <v>-39</v>
      </c>
      <c r="AU4262">
        <v>448</v>
      </c>
      <c r="BC4262">
        <v>1200</v>
      </c>
      <c r="BD4262">
        <v>1</v>
      </c>
      <c r="BE4262" t="str">
        <f t="shared" si="200"/>
        <v xml:space="preserve">N215T   </v>
      </c>
      <c r="BF4262">
        <v>1</v>
      </c>
      <c r="BH4262">
        <v>0</v>
      </c>
      <c r="BI4262">
        <v>0</v>
      </c>
      <c r="BJ4262">
        <v>0</v>
      </c>
      <c r="BK4262">
        <v>200</v>
      </c>
      <c r="BL4262">
        <v>400</v>
      </c>
      <c r="BM4262" t="s">
        <v>119</v>
      </c>
      <c r="BN4262">
        <v>1</v>
      </c>
      <c r="BO4262">
        <v>1</v>
      </c>
      <c r="BP4262">
        <v>1</v>
      </c>
      <c r="BQ4262">
        <v>0</v>
      </c>
      <c r="BT4262">
        <v>0</v>
      </c>
      <c r="BU4262">
        <v>0</v>
      </c>
      <c r="BV4262">
        <v>0</v>
      </c>
      <c r="CC4262" t="str">
        <f>"19:47:02.313"</f>
        <v>19:47:02.313</v>
      </c>
      <c r="CD4262" t="str">
        <f>"316262008"</f>
        <v>316262008</v>
      </c>
      <c r="CQ4262">
        <v>0</v>
      </c>
      <c r="CR4262">
        <v>2</v>
      </c>
      <c r="CS4262">
        <v>0</v>
      </c>
      <c r="CT4262">
        <v>2</v>
      </c>
      <c r="CU4262">
        <v>0</v>
      </c>
      <c r="CV4262">
        <v>5</v>
      </c>
      <c r="CW4262" t="s">
        <v>120</v>
      </c>
      <c r="CX4262">
        <v>257</v>
      </c>
      <c r="CY4262">
        <v>0</v>
      </c>
      <c r="CZ4262" t="s">
        <v>615</v>
      </c>
      <c r="DA4262" t="s">
        <v>616</v>
      </c>
      <c r="DD4262">
        <v>16741224</v>
      </c>
      <c r="DE4262" t="s">
        <v>123</v>
      </c>
    </row>
    <row r="4263" spans="1:109" x14ac:dyDescent="0.3">
      <c r="A4263" t="str">
        <f>"19:47:03.656"</f>
        <v>19:47:03.656</v>
      </c>
      <c r="B4263" t="s">
        <v>110</v>
      </c>
      <c r="C4263" t="str">
        <f t="shared" si="201"/>
        <v>ffdfd3c0</v>
      </c>
      <c r="D4263" t="s">
        <v>111</v>
      </c>
      <c r="E4263">
        <v>18</v>
      </c>
      <c r="F4263">
        <v>1018</v>
      </c>
      <c r="G4263" t="s">
        <v>112</v>
      </c>
      <c r="J4263" t="s">
        <v>113</v>
      </c>
      <c r="K4263">
        <v>0</v>
      </c>
      <c r="L4263">
        <v>3</v>
      </c>
      <c r="M4263">
        <v>0</v>
      </c>
      <c r="N4263">
        <v>2</v>
      </c>
      <c r="O4263">
        <v>1</v>
      </c>
      <c r="P4263">
        <v>0</v>
      </c>
      <c r="Q4263">
        <v>0</v>
      </c>
      <c r="R4263" t="s">
        <v>114</v>
      </c>
      <c r="S4263" t="str">
        <f>"19:47:03.406"</f>
        <v>19:47:03.406</v>
      </c>
      <c r="T4263" t="str">
        <f>"19:47:02.906"</f>
        <v>19:47:02.906</v>
      </c>
      <c r="U4263" t="str">
        <f t="shared" si="199"/>
        <v>a1cdbe</v>
      </c>
      <c r="V4263">
        <v>0</v>
      </c>
      <c r="W4263">
        <v>0</v>
      </c>
      <c r="X4263">
        <v>2</v>
      </c>
      <c r="Y4263">
        <v>0</v>
      </c>
      <c r="Z4263">
        <v>0</v>
      </c>
      <c r="AB4263">
        <v>0</v>
      </c>
      <c r="AC4263">
        <v>9</v>
      </c>
      <c r="AD4263">
        <v>3</v>
      </c>
      <c r="AE4263">
        <v>0</v>
      </c>
      <c r="AF4263">
        <v>9</v>
      </c>
      <c r="AG4263" t="s">
        <v>115</v>
      </c>
      <c r="AH4263">
        <v>0</v>
      </c>
      <c r="AI4263">
        <v>0</v>
      </c>
      <c r="AJ4263">
        <v>1</v>
      </c>
      <c r="AK4263">
        <v>0</v>
      </c>
      <c r="AL4263" t="s">
        <v>7842</v>
      </c>
      <c r="AM4263">
        <v>47.058670999999997</v>
      </c>
      <c r="AN4263" t="s">
        <v>7843</v>
      </c>
      <c r="AO4263">
        <v>-123.995583</v>
      </c>
      <c r="AP4263">
        <v>100</v>
      </c>
      <c r="AQ4263">
        <v>-200</v>
      </c>
      <c r="AR4263" t="s">
        <v>118</v>
      </c>
      <c r="AS4263">
        <v>39</v>
      </c>
      <c r="AT4263">
        <v>-39</v>
      </c>
      <c r="AU4263">
        <v>640</v>
      </c>
      <c r="BC4263">
        <v>1200</v>
      </c>
      <c r="BD4263">
        <v>1</v>
      </c>
      <c r="BE4263" t="str">
        <f t="shared" si="200"/>
        <v xml:space="preserve">N215T   </v>
      </c>
      <c r="BF4263">
        <v>1</v>
      </c>
      <c r="BH4263">
        <v>0</v>
      </c>
      <c r="BI4263">
        <v>0</v>
      </c>
      <c r="BJ4263">
        <v>0</v>
      </c>
      <c r="BK4263">
        <v>225</v>
      </c>
      <c r="BL4263">
        <v>425</v>
      </c>
      <c r="BM4263" t="s">
        <v>119</v>
      </c>
      <c r="BN4263">
        <v>1</v>
      </c>
      <c r="BO4263">
        <v>1</v>
      </c>
      <c r="BP4263">
        <v>1</v>
      </c>
      <c r="BQ4263">
        <v>0</v>
      </c>
      <c r="BT4263">
        <v>0</v>
      </c>
      <c r="BU4263">
        <v>0</v>
      </c>
      <c r="BV4263">
        <v>0</v>
      </c>
      <c r="CC4263" t="str">
        <f>"19:47:03.414"</f>
        <v>19:47:03.414</v>
      </c>
      <c r="CD4263" t="str">
        <f>"411154008"</f>
        <v>411154008</v>
      </c>
      <c r="CQ4263">
        <v>0</v>
      </c>
      <c r="CR4263">
        <v>2</v>
      </c>
      <c r="CS4263">
        <v>0</v>
      </c>
      <c r="CT4263">
        <v>2</v>
      </c>
      <c r="CU4263">
        <v>0</v>
      </c>
      <c r="CV4263">
        <v>5</v>
      </c>
      <c r="CW4263" t="s">
        <v>120</v>
      </c>
      <c r="CX4263">
        <v>257</v>
      </c>
      <c r="CY4263">
        <v>0</v>
      </c>
      <c r="CZ4263" t="s">
        <v>615</v>
      </c>
      <c r="DA4263" t="s">
        <v>616</v>
      </c>
      <c r="DD4263">
        <v>16741570</v>
      </c>
      <c r="DE4263" t="s">
        <v>123</v>
      </c>
    </row>
    <row r="4264" spans="1:109" x14ac:dyDescent="0.3">
      <c r="A4264" t="str">
        <f>"19:47:04.758"</f>
        <v>19:47:04.758</v>
      </c>
      <c r="B4264" t="s">
        <v>110</v>
      </c>
      <c r="C4264" t="str">
        <f t="shared" si="201"/>
        <v>ffdfd3c0</v>
      </c>
      <c r="D4264" t="s">
        <v>111</v>
      </c>
      <c r="E4264">
        <v>18</v>
      </c>
      <c r="F4264">
        <v>1018</v>
      </c>
      <c r="G4264" t="s">
        <v>112</v>
      </c>
      <c r="J4264" t="s">
        <v>113</v>
      </c>
      <c r="K4264">
        <v>0</v>
      </c>
      <c r="L4264">
        <v>3</v>
      </c>
      <c r="M4264">
        <v>0</v>
      </c>
      <c r="N4264">
        <v>2</v>
      </c>
      <c r="O4264">
        <v>1</v>
      </c>
      <c r="P4264">
        <v>0</v>
      </c>
      <c r="Q4264">
        <v>0</v>
      </c>
      <c r="R4264" t="s">
        <v>114</v>
      </c>
      <c r="S4264" t="str">
        <f>"19:47:04.516"</f>
        <v>19:47:04.516</v>
      </c>
      <c r="T4264" t="str">
        <f>"19:47:04.117"</f>
        <v>19:47:04.117</v>
      </c>
      <c r="U4264" t="str">
        <f t="shared" si="199"/>
        <v>a1cdbe</v>
      </c>
      <c r="V4264">
        <v>0</v>
      </c>
      <c r="W4264">
        <v>0</v>
      </c>
      <c r="X4264">
        <v>2</v>
      </c>
      <c r="Y4264">
        <v>0</v>
      </c>
      <c r="Z4264">
        <v>0</v>
      </c>
      <c r="AB4264">
        <v>0</v>
      </c>
      <c r="AC4264">
        <v>9</v>
      </c>
      <c r="AD4264">
        <v>3</v>
      </c>
      <c r="AE4264">
        <v>0</v>
      </c>
      <c r="AF4264">
        <v>9</v>
      </c>
      <c r="AG4264" t="s">
        <v>115</v>
      </c>
      <c r="AH4264">
        <v>0</v>
      </c>
      <c r="AI4264">
        <v>0</v>
      </c>
      <c r="AJ4264">
        <v>1</v>
      </c>
      <c r="AK4264">
        <v>0</v>
      </c>
      <c r="AL4264" t="s">
        <v>7844</v>
      </c>
      <c r="AM4264">
        <v>47.058477000000003</v>
      </c>
      <c r="AN4264" t="s">
        <v>7845</v>
      </c>
      <c r="AO4264">
        <v>-123.995261</v>
      </c>
      <c r="AP4264">
        <v>100</v>
      </c>
      <c r="AQ4264">
        <v>-200</v>
      </c>
      <c r="AR4264" t="s">
        <v>118</v>
      </c>
      <c r="AS4264">
        <v>39</v>
      </c>
      <c r="AT4264">
        <v>-40</v>
      </c>
      <c r="AU4264">
        <v>640</v>
      </c>
      <c r="BC4264">
        <v>1200</v>
      </c>
      <c r="BD4264">
        <v>1</v>
      </c>
      <c r="BE4264" t="str">
        <f t="shared" si="200"/>
        <v xml:space="preserve">N215T   </v>
      </c>
      <c r="BF4264">
        <v>1</v>
      </c>
      <c r="BH4264">
        <v>0</v>
      </c>
      <c r="BI4264">
        <v>0</v>
      </c>
      <c r="BJ4264">
        <v>0</v>
      </c>
      <c r="BK4264">
        <v>225</v>
      </c>
      <c r="BL4264">
        <v>425</v>
      </c>
      <c r="BM4264" t="s">
        <v>119</v>
      </c>
      <c r="BN4264">
        <v>1</v>
      </c>
      <c r="BO4264">
        <v>1</v>
      </c>
      <c r="BP4264">
        <v>1</v>
      </c>
      <c r="BQ4264">
        <v>0</v>
      </c>
      <c r="BT4264">
        <v>0</v>
      </c>
      <c r="BU4264">
        <v>0</v>
      </c>
      <c r="BV4264">
        <v>0</v>
      </c>
      <c r="CC4264" t="str">
        <f>"19:47:04.523"</f>
        <v>19:47:04.523</v>
      </c>
      <c r="CD4264" t="str">
        <f>"521044533"</f>
        <v>521044533</v>
      </c>
      <c r="CQ4264">
        <v>0</v>
      </c>
      <c r="CR4264">
        <v>2</v>
      </c>
      <c r="CS4264">
        <v>0</v>
      </c>
      <c r="CT4264">
        <v>2</v>
      </c>
      <c r="CU4264">
        <v>0</v>
      </c>
      <c r="CV4264">
        <v>5</v>
      </c>
      <c r="CW4264" t="s">
        <v>120</v>
      </c>
      <c r="CX4264">
        <v>257</v>
      </c>
      <c r="CY4264">
        <v>0</v>
      </c>
      <c r="CZ4264" t="s">
        <v>615</v>
      </c>
      <c r="DA4264" t="s">
        <v>616</v>
      </c>
      <c r="DD4264">
        <v>16741928</v>
      </c>
      <c r="DE4264" t="s">
        <v>123</v>
      </c>
    </row>
    <row r="4265" spans="1:109" x14ac:dyDescent="0.3">
      <c r="A4265" t="str">
        <f>"19:47:05.719"</f>
        <v>19:47:05.719</v>
      </c>
      <c r="B4265" t="s">
        <v>110</v>
      </c>
      <c r="C4265" t="str">
        <f t="shared" si="201"/>
        <v>ffdfd3c0</v>
      </c>
      <c r="D4265" t="s">
        <v>111</v>
      </c>
      <c r="E4265">
        <v>18</v>
      </c>
      <c r="F4265">
        <v>1018</v>
      </c>
      <c r="G4265" t="s">
        <v>112</v>
      </c>
      <c r="J4265" t="s">
        <v>113</v>
      </c>
      <c r="K4265">
        <v>0</v>
      </c>
      <c r="L4265">
        <v>3</v>
      </c>
      <c r="M4265">
        <v>0</v>
      </c>
      <c r="N4265">
        <v>2</v>
      </c>
      <c r="O4265">
        <v>1</v>
      </c>
      <c r="P4265">
        <v>0</v>
      </c>
      <c r="Q4265">
        <v>0</v>
      </c>
      <c r="R4265" t="s">
        <v>114</v>
      </c>
      <c r="S4265" t="str">
        <f>"19:47:05.492"</f>
        <v>19:47:05.492</v>
      </c>
      <c r="T4265" t="str">
        <f>"19:47:05.094"</f>
        <v>19:47:05.094</v>
      </c>
      <c r="U4265" t="str">
        <f t="shared" si="199"/>
        <v>a1cdbe</v>
      </c>
      <c r="V4265">
        <v>0</v>
      </c>
      <c r="W4265">
        <v>0</v>
      </c>
      <c r="X4265">
        <v>2</v>
      </c>
      <c r="Y4265">
        <v>0</v>
      </c>
      <c r="Z4265">
        <v>0</v>
      </c>
      <c r="AB4265">
        <v>0</v>
      </c>
      <c r="AC4265">
        <v>9</v>
      </c>
      <c r="AD4265">
        <v>3</v>
      </c>
      <c r="AE4265">
        <v>0</v>
      </c>
      <c r="AF4265">
        <v>9</v>
      </c>
      <c r="AG4265" t="s">
        <v>115</v>
      </c>
      <c r="AH4265">
        <v>0</v>
      </c>
      <c r="AI4265">
        <v>0</v>
      </c>
      <c r="AJ4265">
        <v>1</v>
      </c>
      <c r="AK4265">
        <v>0</v>
      </c>
      <c r="AL4265" t="s">
        <v>7666</v>
      </c>
      <c r="AM4265">
        <v>47.058306000000002</v>
      </c>
      <c r="AN4265" t="s">
        <v>7846</v>
      </c>
      <c r="AO4265">
        <v>-123.99509</v>
      </c>
      <c r="AP4265">
        <v>100</v>
      </c>
      <c r="AQ4265">
        <v>-100</v>
      </c>
      <c r="AR4265" t="s">
        <v>118</v>
      </c>
      <c r="AS4265">
        <v>39</v>
      </c>
      <c r="AT4265">
        <v>-41</v>
      </c>
      <c r="AU4265">
        <v>640</v>
      </c>
      <c r="BC4265">
        <v>1200</v>
      </c>
      <c r="BD4265">
        <v>1</v>
      </c>
      <c r="BE4265" t="str">
        <f t="shared" si="200"/>
        <v xml:space="preserve">N215T   </v>
      </c>
      <c r="BF4265">
        <v>1</v>
      </c>
      <c r="BH4265">
        <v>0</v>
      </c>
      <c r="BI4265">
        <v>0</v>
      </c>
      <c r="BJ4265">
        <v>0</v>
      </c>
      <c r="BK4265">
        <v>225</v>
      </c>
      <c r="BL4265">
        <v>325</v>
      </c>
      <c r="BM4265" t="s">
        <v>119</v>
      </c>
      <c r="BN4265">
        <v>1</v>
      </c>
      <c r="BO4265">
        <v>1</v>
      </c>
      <c r="BP4265">
        <v>1</v>
      </c>
      <c r="BQ4265">
        <v>0</v>
      </c>
      <c r="BT4265">
        <v>0</v>
      </c>
      <c r="BU4265">
        <v>0</v>
      </c>
      <c r="BV4265">
        <v>0</v>
      </c>
      <c r="CC4265" t="str">
        <f>"19:47:05.492"</f>
        <v>19:47:05.492</v>
      </c>
      <c r="CD4265" t="str">
        <f>"495948379"</f>
        <v>495948379</v>
      </c>
      <c r="CQ4265">
        <v>0</v>
      </c>
      <c r="CR4265">
        <v>2</v>
      </c>
      <c r="CS4265">
        <v>0</v>
      </c>
      <c r="CT4265">
        <v>2</v>
      </c>
      <c r="CU4265">
        <v>0</v>
      </c>
      <c r="CV4265">
        <v>6</v>
      </c>
      <c r="CW4265" t="s">
        <v>120</v>
      </c>
      <c r="CX4265">
        <v>257</v>
      </c>
      <c r="CY4265">
        <v>0</v>
      </c>
      <c r="CZ4265" t="s">
        <v>615</v>
      </c>
      <c r="DA4265" t="s">
        <v>616</v>
      </c>
      <c r="DD4265">
        <v>16742234</v>
      </c>
      <c r="DE4265" t="s">
        <v>123</v>
      </c>
    </row>
    <row r="4266" spans="1:109" x14ac:dyDescent="0.3">
      <c r="A4266" t="str">
        <f>"19:47:06.617"</f>
        <v>19:47:06.617</v>
      </c>
      <c r="B4266" t="s">
        <v>110</v>
      </c>
      <c r="C4266" t="str">
        <f t="shared" si="201"/>
        <v>ffdfd3c0</v>
      </c>
      <c r="D4266" t="s">
        <v>111</v>
      </c>
      <c r="E4266">
        <v>18</v>
      </c>
      <c r="F4266">
        <v>1018</v>
      </c>
      <c r="G4266" t="s">
        <v>112</v>
      </c>
      <c r="J4266" t="s">
        <v>113</v>
      </c>
      <c r="K4266">
        <v>0</v>
      </c>
      <c r="L4266">
        <v>3</v>
      </c>
      <c r="M4266">
        <v>0</v>
      </c>
      <c r="N4266">
        <v>2</v>
      </c>
      <c r="O4266">
        <v>1</v>
      </c>
      <c r="P4266">
        <v>0</v>
      </c>
      <c r="Q4266">
        <v>0</v>
      </c>
      <c r="R4266" t="s">
        <v>114</v>
      </c>
      <c r="S4266" t="str">
        <f>"19:47:06.375"</f>
        <v>19:47:06.375</v>
      </c>
      <c r="T4266" t="str">
        <f>"19:47:06.172"</f>
        <v>19:47:06.172</v>
      </c>
      <c r="U4266" t="str">
        <f t="shared" si="199"/>
        <v>a1cdbe</v>
      </c>
      <c r="V4266">
        <v>0</v>
      </c>
      <c r="W4266">
        <v>0</v>
      </c>
      <c r="X4266">
        <v>2</v>
      </c>
      <c r="Y4266">
        <v>0</v>
      </c>
      <c r="Z4266">
        <v>0</v>
      </c>
      <c r="AB4266">
        <v>0</v>
      </c>
      <c r="AC4266">
        <v>9</v>
      </c>
      <c r="AD4266">
        <v>3</v>
      </c>
      <c r="AE4266">
        <v>0</v>
      </c>
      <c r="AF4266">
        <v>9</v>
      </c>
      <c r="AG4266" t="s">
        <v>115</v>
      </c>
      <c r="AH4266">
        <v>0</v>
      </c>
      <c r="AI4266">
        <v>0</v>
      </c>
      <c r="AJ4266">
        <v>1</v>
      </c>
      <c r="AK4266">
        <v>0</v>
      </c>
      <c r="AL4266" t="s">
        <v>520</v>
      </c>
      <c r="AM4266">
        <v>47.058112999999999</v>
      </c>
      <c r="AN4266" t="s">
        <v>7847</v>
      </c>
      <c r="AO4266">
        <v>-123.99485300000001</v>
      </c>
      <c r="AP4266">
        <v>100</v>
      </c>
      <c r="AQ4266">
        <v>-100</v>
      </c>
      <c r="AR4266" t="s">
        <v>118</v>
      </c>
      <c r="AS4266">
        <v>38</v>
      </c>
      <c r="AT4266">
        <v>-41</v>
      </c>
      <c r="AU4266">
        <v>512</v>
      </c>
      <c r="BC4266">
        <v>1200</v>
      </c>
      <c r="BD4266">
        <v>1</v>
      </c>
      <c r="BE4266" t="str">
        <f t="shared" si="200"/>
        <v xml:space="preserve">N215T   </v>
      </c>
      <c r="BF4266">
        <v>1</v>
      </c>
      <c r="BH4266">
        <v>0</v>
      </c>
      <c r="BI4266">
        <v>0</v>
      </c>
      <c r="BJ4266">
        <v>0</v>
      </c>
      <c r="BK4266">
        <v>250</v>
      </c>
      <c r="BL4266">
        <v>350</v>
      </c>
      <c r="BM4266" t="s">
        <v>119</v>
      </c>
      <c r="BN4266">
        <v>1</v>
      </c>
      <c r="BO4266">
        <v>1</v>
      </c>
      <c r="BP4266">
        <v>1</v>
      </c>
      <c r="BQ4266">
        <v>0</v>
      </c>
      <c r="BT4266">
        <v>0</v>
      </c>
      <c r="BU4266">
        <v>0</v>
      </c>
      <c r="BV4266">
        <v>0</v>
      </c>
      <c r="CC4266" t="str">
        <f>"19:47:06.383"</f>
        <v>19:47:06.383</v>
      </c>
      <c r="CD4266" t="str">
        <f>"380861081"</f>
        <v>380861081</v>
      </c>
      <c r="CQ4266">
        <v>0</v>
      </c>
      <c r="CR4266">
        <v>2</v>
      </c>
      <c r="CS4266">
        <v>0</v>
      </c>
      <c r="CT4266">
        <v>2</v>
      </c>
      <c r="CU4266">
        <v>0</v>
      </c>
      <c r="CV4266">
        <v>5</v>
      </c>
      <c r="CW4266" t="s">
        <v>120</v>
      </c>
      <c r="CX4266">
        <v>257</v>
      </c>
      <c r="CY4266">
        <v>0</v>
      </c>
      <c r="CZ4266" t="s">
        <v>615</v>
      </c>
      <c r="DA4266" t="s">
        <v>616</v>
      </c>
      <c r="DD4266">
        <v>16742525</v>
      </c>
      <c r="DE4266" t="s">
        <v>123</v>
      </c>
    </row>
    <row r="4267" spans="1:109" x14ac:dyDescent="0.3">
      <c r="A4267" t="str">
        <f>"19:47:07.727"</f>
        <v>19:47:07.727</v>
      </c>
      <c r="B4267" t="s">
        <v>110</v>
      </c>
      <c r="C4267" t="str">
        <f t="shared" si="201"/>
        <v>ffdfd3c0</v>
      </c>
      <c r="D4267" t="s">
        <v>111</v>
      </c>
      <c r="E4267">
        <v>18</v>
      </c>
      <c r="F4267">
        <v>1018</v>
      </c>
      <c r="G4267" t="s">
        <v>112</v>
      </c>
      <c r="J4267" t="s">
        <v>113</v>
      </c>
      <c r="K4267">
        <v>0</v>
      </c>
      <c r="L4267">
        <v>3</v>
      </c>
      <c r="M4267">
        <v>0</v>
      </c>
      <c r="N4267">
        <v>2</v>
      </c>
      <c r="O4267">
        <v>1</v>
      </c>
      <c r="P4267">
        <v>0</v>
      </c>
      <c r="Q4267">
        <v>0</v>
      </c>
      <c r="R4267" t="s">
        <v>114</v>
      </c>
      <c r="S4267" t="str">
        <f>"19:47:07.469"</f>
        <v>19:47:07.469</v>
      </c>
      <c r="T4267" t="str">
        <f>"19:47:07.070"</f>
        <v>19:47:07.070</v>
      </c>
      <c r="U4267" t="str">
        <f t="shared" si="199"/>
        <v>a1cdbe</v>
      </c>
      <c r="V4267">
        <v>0</v>
      </c>
      <c r="W4267">
        <v>0</v>
      </c>
      <c r="X4267">
        <v>2</v>
      </c>
      <c r="Y4267">
        <v>0</v>
      </c>
      <c r="Z4267">
        <v>0</v>
      </c>
      <c r="AB4267">
        <v>0</v>
      </c>
      <c r="AC4267">
        <v>9</v>
      </c>
      <c r="AD4267">
        <v>3</v>
      </c>
      <c r="AE4267">
        <v>0</v>
      </c>
      <c r="AF4267">
        <v>9</v>
      </c>
      <c r="AG4267" t="s">
        <v>115</v>
      </c>
      <c r="AH4267">
        <v>0</v>
      </c>
      <c r="AI4267">
        <v>0</v>
      </c>
      <c r="AJ4267">
        <v>1</v>
      </c>
      <c r="AK4267">
        <v>0</v>
      </c>
      <c r="AL4267" t="s">
        <v>7343</v>
      </c>
      <c r="AM4267">
        <v>47.057898000000002</v>
      </c>
      <c r="AN4267" t="s">
        <v>7639</v>
      </c>
      <c r="AO4267">
        <v>-123.994596</v>
      </c>
      <c r="AP4267">
        <v>100</v>
      </c>
      <c r="AQ4267">
        <v>-100</v>
      </c>
      <c r="AR4267" t="s">
        <v>118</v>
      </c>
      <c r="AS4267">
        <v>36</v>
      </c>
      <c r="AT4267">
        <v>-43</v>
      </c>
      <c r="AU4267">
        <v>704</v>
      </c>
      <c r="BC4267">
        <v>1200</v>
      </c>
      <c r="BD4267">
        <v>1</v>
      </c>
      <c r="BE4267" t="str">
        <f t="shared" si="200"/>
        <v xml:space="preserve">N215T   </v>
      </c>
      <c r="BF4267">
        <v>1</v>
      </c>
      <c r="BH4267">
        <v>0</v>
      </c>
      <c r="BI4267">
        <v>0</v>
      </c>
      <c r="BJ4267">
        <v>0</v>
      </c>
      <c r="BK4267">
        <v>250</v>
      </c>
      <c r="BL4267">
        <v>350</v>
      </c>
      <c r="BM4267" t="s">
        <v>119</v>
      </c>
      <c r="BN4267">
        <v>1</v>
      </c>
      <c r="BO4267">
        <v>1</v>
      </c>
      <c r="BP4267">
        <v>1</v>
      </c>
      <c r="BQ4267">
        <v>0</v>
      </c>
      <c r="BT4267">
        <v>0</v>
      </c>
      <c r="BU4267">
        <v>0</v>
      </c>
      <c r="BV4267">
        <v>0</v>
      </c>
      <c r="CC4267" t="str">
        <f>"19:47:07.477"</f>
        <v>19:47:07.477</v>
      </c>
      <c r="CD4267" t="str">
        <f>"475753087"</f>
        <v>475753087</v>
      </c>
      <c r="CQ4267">
        <v>0</v>
      </c>
      <c r="CR4267">
        <v>2</v>
      </c>
      <c r="CS4267">
        <v>0</v>
      </c>
      <c r="CT4267">
        <v>2</v>
      </c>
      <c r="CU4267">
        <v>0</v>
      </c>
      <c r="CV4267">
        <v>6</v>
      </c>
      <c r="CW4267" t="s">
        <v>120</v>
      </c>
      <c r="CX4267">
        <v>257</v>
      </c>
      <c r="CY4267">
        <v>0</v>
      </c>
      <c r="CZ4267" t="s">
        <v>615</v>
      </c>
      <c r="DA4267" t="s">
        <v>616</v>
      </c>
      <c r="DD4267">
        <v>16742857</v>
      </c>
      <c r="DE4267" t="s">
        <v>123</v>
      </c>
    </row>
    <row r="4268" spans="1:109" x14ac:dyDescent="0.3">
      <c r="A4268" t="str">
        <f>"19:47:08.828"</f>
        <v>19:47:08.828</v>
      </c>
      <c r="B4268" t="s">
        <v>110</v>
      </c>
      <c r="C4268" t="str">
        <f t="shared" si="201"/>
        <v>ffdfd3c0</v>
      </c>
      <c r="D4268" t="s">
        <v>111</v>
      </c>
      <c r="E4268">
        <v>18</v>
      </c>
      <c r="F4268">
        <v>1018</v>
      </c>
      <c r="G4268" t="s">
        <v>112</v>
      </c>
      <c r="J4268" t="s">
        <v>113</v>
      </c>
      <c r="K4268">
        <v>0</v>
      </c>
      <c r="L4268">
        <v>3</v>
      </c>
      <c r="M4268">
        <v>0</v>
      </c>
      <c r="N4268">
        <v>2</v>
      </c>
      <c r="O4268">
        <v>1</v>
      </c>
      <c r="P4268">
        <v>0</v>
      </c>
      <c r="Q4268">
        <v>0</v>
      </c>
      <c r="R4268" t="s">
        <v>114</v>
      </c>
      <c r="S4268" t="str">
        <f>"19:47:08.578"</f>
        <v>19:47:08.578</v>
      </c>
      <c r="T4268" t="str">
        <f>"19:47:08.578"</f>
        <v>19:47:08.578</v>
      </c>
      <c r="U4268" t="str">
        <f t="shared" si="199"/>
        <v>a1cdbe</v>
      </c>
      <c r="V4268">
        <v>0</v>
      </c>
      <c r="W4268">
        <v>0</v>
      </c>
      <c r="X4268">
        <v>2</v>
      </c>
      <c r="Y4268">
        <v>0</v>
      </c>
      <c r="Z4268">
        <v>0</v>
      </c>
      <c r="AB4268">
        <v>0</v>
      </c>
      <c r="AC4268">
        <v>9</v>
      </c>
      <c r="AD4268">
        <v>3</v>
      </c>
      <c r="AE4268">
        <v>0</v>
      </c>
      <c r="AF4268">
        <v>9</v>
      </c>
      <c r="AG4268" t="s">
        <v>115</v>
      </c>
      <c r="AH4268">
        <v>0</v>
      </c>
      <c r="AI4268">
        <v>0</v>
      </c>
      <c r="AJ4268">
        <v>1</v>
      </c>
      <c r="AK4268">
        <v>0</v>
      </c>
      <c r="AL4268" t="s">
        <v>7848</v>
      </c>
      <c r="AM4268">
        <v>47.057662000000001</v>
      </c>
      <c r="AN4268" t="s">
        <v>7636</v>
      </c>
      <c r="AO4268">
        <v>-123.99429600000001</v>
      </c>
      <c r="AP4268">
        <v>100</v>
      </c>
      <c r="AQ4268">
        <v>-100</v>
      </c>
      <c r="AR4268" t="s">
        <v>118</v>
      </c>
      <c r="AS4268">
        <v>31</v>
      </c>
      <c r="AT4268">
        <v>-46</v>
      </c>
      <c r="AU4268">
        <v>768</v>
      </c>
      <c r="BC4268">
        <v>1200</v>
      </c>
      <c r="BD4268">
        <v>1</v>
      </c>
      <c r="BE4268" t="str">
        <f t="shared" si="200"/>
        <v xml:space="preserve">N215T   </v>
      </c>
      <c r="BF4268">
        <v>1</v>
      </c>
      <c r="BH4268">
        <v>0</v>
      </c>
      <c r="BI4268">
        <v>0</v>
      </c>
      <c r="BJ4268">
        <v>0</v>
      </c>
      <c r="BK4268">
        <v>275</v>
      </c>
      <c r="BL4268">
        <v>375</v>
      </c>
      <c r="BM4268" t="s">
        <v>119</v>
      </c>
      <c r="BN4268">
        <v>1</v>
      </c>
      <c r="BO4268">
        <v>1</v>
      </c>
      <c r="BP4268">
        <v>1</v>
      </c>
      <c r="BQ4268">
        <v>0</v>
      </c>
      <c r="BT4268">
        <v>0</v>
      </c>
      <c r="BU4268">
        <v>0</v>
      </c>
      <c r="BV4268">
        <v>0</v>
      </c>
      <c r="CC4268" t="str">
        <f>"19:47:08.586"</f>
        <v>19:47:08.586</v>
      </c>
      <c r="CD4268" t="str">
        <f>"585643598"</f>
        <v>585643598</v>
      </c>
      <c r="CQ4268">
        <v>0</v>
      </c>
      <c r="CR4268">
        <v>2</v>
      </c>
      <c r="CS4268">
        <v>0</v>
      </c>
      <c r="CT4268">
        <v>2</v>
      </c>
      <c r="CU4268">
        <v>0</v>
      </c>
      <c r="CV4268">
        <v>6</v>
      </c>
      <c r="CW4268" t="s">
        <v>120</v>
      </c>
      <c r="CX4268">
        <v>257</v>
      </c>
      <c r="CY4268">
        <v>0</v>
      </c>
      <c r="CZ4268" t="s">
        <v>615</v>
      </c>
      <c r="DA4268" t="s">
        <v>616</v>
      </c>
      <c r="DD4268">
        <v>16743205</v>
      </c>
      <c r="DE4268" t="s">
        <v>123</v>
      </c>
    </row>
    <row r="4269" spans="1:109" x14ac:dyDescent="0.3">
      <c r="A4269" t="str">
        <f>"19:47:09.938"</f>
        <v>19:47:09.938</v>
      </c>
      <c r="B4269" t="s">
        <v>110</v>
      </c>
      <c r="C4269" t="str">
        <f t="shared" si="201"/>
        <v>ffdfd3c0</v>
      </c>
      <c r="D4269" t="s">
        <v>111</v>
      </c>
      <c r="E4269">
        <v>18</v>
      </c>
      <c r="F4269">
        <v>1018</v>
      </c>
      <c r="G4269" t="s">
        <v>112</v>
      </c>
      <c r="J4269" t="s">
        <v>113</v>
      </c>
      <c r="K4269">
        <v>0</v>
      </c>
      <c r="L4269">
        <v>3</v>
      </c>
      <c r="M4269">
        <v>0</v>
      </c>
      <c r="N4269">
        <v>2</v>
      </c>
      <c r="O4269">
        <v>1</v>
      </c>
      <c r="P4269">
        <v>0</v>
      </c>
      <c r="Q4269">
        <v>0</v>
      </c>
      <c r="R4269" t="s">
        <v>114</v>
      </c>
      <c r="S4269" t="str">
        <f>"19:47:09.680"</f>
        <v>19:47:09.680</v>
      </c>
      <c r="T4269" t="str">
        <f>"19:47:09.578"</f>
        <v>19:47:09.578</v>
      </c>
      <c r="U4269" t="str">
        <f t="shared" si="199"/>
        <v>a1cdbe</v>
      </c>
      <c r="V4269">
        <v>0</v>
      </c>
      <c r="W4269">
        <v>0</v>
      </c>
      <c r="X4269">
        <v>2</v>
      </c>
      <c r="Y4269">
        <v>0</v>
      </c>
      <c r="Z4269">
        <v>0</v>
      </c>
      <c r="AB4269">
        <v>0</v>
      </c>
      <c r="AC4269">
        <v>9</v>
      </c>
      <c r="AD4269">
        <v>3</v>
      </c>
      <c r="AE4269">
        <v>0</v>
      </c>
      <c r="AF4269">
        <v>9</v>
      </c>
      <c r="AG4269" t="s">
        <v>115</v>
      </c>
      <c r="AH4269">
        <v>0</v>
      </c>
      <c r="AI4269">
        <v>0</v>
      </c>
      <c r="AJ4269">
        <v>1</v>
      </c>
      <c r="AK4269">
        <v>0</v>
      </c>
      <c r="AL4269" t="s">
        <v>523</v>
      </c>
      <c r="AM4269">
        <v>47.057426</v>
      </c>
      <c r="AN4269" t="s">
        <v>7643</v>
      </c>
      <c r="AO4269">
        <v>-123.994102</v>
      </c>
      <c r="AP4269">
        <v>100</v>
      </c>
      <c r="AQ4269">
        <v>-100</v>
      </c>
      <c r="AR4269" t="s">
        <v>118</v>
      </c>
      <c r="AS4269">
        <v>27</v>
      </c>
      <c r="AT4269">
        <v>-48</v>
      </c>
      <c r="AU4269">
        <v>704</v>
      </c>
      <c r="BC4269">
        <v>1200</v>
      </c>
      <c r="BD4269">
        <v>1</v>
      </c>
      <c r="BE4269" t="str">
        <f t="shared" si="200"/>
        <v xml:space="preserve">N215T   </v>
      </c>
      <c r="BF4269">
        <v>1</v>
      </c>
      <c r="BH4269">
        <v>0</v>
      </c>
      <c r="BI4269">
        <v>0</v>
      </c>
      <c r="BJ4269">
        <v>0</v>
      </c>
      <c r="BK4269">
        <v>300</v>
      </c>
      <c r="BL4269">
        <v>400</v>
      </c>
      <c r="BM4269" t="s">
        <v>119</v>
      </c>
      <c r="BN4269">
        <v>1</v>
      </c>
      <c r="BO4269">
        <v>1</v>
      </c>
      <c r="BP4269">
        <v>1</v>
      </c>
      <c r="BQ4269">
        <v>0</v>
      </c>
      <c r="BT4269">
        <v>0</v>
      </c>
      <c r="BU4269">
        <v>0</v>
      </c>
      <c r="BV4269">
        <v>0</v>
      </c>
      <c r="CC4269" t="str">
        <f>"19:47:09.680"</f>
        <v>19:47:09.680</v>
      </c>
      <c r="CD4269" t="str">
        <f>"680535591"</f>
        <v>680535591</v>
      </c>
      <c r="CQ4269">
        <v>0</v>
      </c>
      <c r="CR4269">
        <v>2</v>
      </c>
      <c r="CS4269">
        <v>0</v>
      </c>
      <c r="CT4269">
        <v>2</v>
      </c>
      <c r="CU4269">
        <v>0</v>
      </c>
      <c r="CV4269">
        <v>7</v>
      </c>
      <c r="CW4269" t="s">
        <v>120</v>
      </c>
      <c r="CX4269">
        <v>257</v>
      </c>
      <c r="CY4269">
        <v>0</v>
      </c>
      <c r="CZ4269" t="s">
        <v>615</v>
      </c>
      <c r="DA4269" t="s">
        <v>616</v>
      </c>
      <c r="DD4269">
        <v>16743551</v>
      </c>
      <c r="DE4269" t="s">
        <v>123</v>
      </c>
    </row>
    <row r="4270" spans="1:109" x14ac:dyDescent="0.3">
      <c r="A4270" t="str">
        <f>"19:47:10.742"</f>
        <v>19:47:10.742</v>
      </c>
      <c r="B4270" t="s">
        <v>110</v>
      </c>
      <c r="C4270" t="str">
        <f t="shared" si="201"/>
        <v>ffdfd3c0</v>
      </c>
      <c r="D4270" t="s">
        <v>111</v>
      </c>
      <c r="E4270">
        <v>18</v>
      </c>
      <c r="F4270">
        <v>1018</v>
      </c>
      <c r="G4270" t="s">
        <v>112</v>
      </c>
      <c r="J4270" t="s">
        <v>113</v>
      </c>
      <c r="K4270">
        <v>0</v>
      </c>
      <c r="L4270">
        <v>3</v>
      </c>
      <c r="M4270">
        <v>0</v>
      </c>
      <c r="N4270">
        <v>2</v>
      </c>
      <c r="O4270">
        <v>1</v>
      </c>
      <c r="P4270">
        <v>0</v>
      </c>
      <c r="Q4270">
        <v>0</v>
      </c>
      <c r="R4270" t="s">
        <v>114</v>
      </c>
      <c r="S4270" t="str">
        <f>"19:47:10.531"</f>
        <v>19:47:10.531</v>
      </c>
      <c r="T4270" t="str">
        <f>"19:47:10.031"</f>
        <v>19:47:10.031</v>
      </c>
      <c r="U4270" t="str">
        <f t="shared" si="199"/>
        <v>a1cdbe</v>
      </c>
      <c r="V4270">
        <v>0</v>
      </c>
      <c r="W4270">
        <v>0</v>
      </c>
      <c r="X4270">
        <v>2</v>
      </c>
      <c r="Y4270">
        <v>0</v>
      </c>
      <c r="Z4270">
        <v>0</v>
      </c>
      <c r="AB4270">
        <v>0</v>
      </c>
      <c r="AC4270">
        <v>9</v>
      </c>
      <c r="AD4270">
        <v>3</v>
      </c>
      <c r="AE4270">
        <v>0</v>
      </c>
      <c r="AF4270">
        <v>9</v>
      </c>
      <c r="AG4270" t="s">
        <v>115</v>
      </c>
      <c r="AH4270">
        <v>0</v>
      </c>
      <c r="AI4270">
        <v>0</v>
      </c>
      <c r="AJ4270">
        <v>1</v>
      </c>
      <c r="AK4270">
        <v>0</v>
      </c>
      <c r="AL4270" t="s">
        <v>7331</v>
      </c>
      <c r="AM4270">
        <v>47.057232999999997</v>
      </c>
      <c r="AN4270" t="s">
        <v>7849</v>
      </c>
      <c r="AO4270">
        <v>-123.99397399999999</v>
      </c>
      <c r="AP4270">
        <v>100</v>
      </c>
      <c r="AQ4270">
        <v>-100</v>
      </c>
      <c r="AR4270" t="s">
        <v>118</v>
      </c>
      <c r="AS4270">
        <v>26</v>
      </c>
      <c r="AT4270">
        <v>-49</v>
      </c>
      <c r="AU4270">
        <v>640</v>
      </c>
      <c r="BC4270">
        <v>1200</v>
      </c>
      <c r="BD4270">
        <v>1</v>
      </c>
      <c r="BE4270" t="str">
        <f t="shared" si="200"/>
        <v xml:space="preserve">N215T   </v>
      </c>
      <c r="BF4270">
        <v>1</v>
      </c>
      <c r="BH4270">
        <v>0</v>
      </c>
      <c r="BI4270">
        <v>0</v>
      </c>
      <c r="BJ4270">
        <v>0</v>
      </c>
      <c r="BK4270">
        <v>300</v>
      </c>
      <c r="BL4270">
        <v>400</v>
      </c>
      <c r="BM4270" t="s">
        <v>119</v>
      </c>
      <c r="BN4270">
        <v>1</v>
      </c>
      <c r="BO4270">
        <v>1</v>
      </c>
      <c r="BP4270">
        <v>1</v>
      </c>
      <c r="BQ4270">
        <v>0</v>
      </c>
      <c r="BT4270">
        <v>0</v>
      </c>
      <c r="BU4270">
        <v>0</v>
      </c>
      <c r="BV4270">
        <v>0</v>
      </c>
      <c r="CC4270" t="str">
        <f>"19:47:10.539"</f>
        <v>19:47:10.539</v>
      </c>
      <c r="CD4270" t="str">
        <f>"535451248"</f>
        <v>535451248</v>
      </c>
      <c r="CQ4270">
        <v>0</v>
      </c>
      <c r="CR4270">
        <v>2</v>
      </c>
      <c r="CS4270">
        <v>0</v>
      </c>
      <c r="CT4270">
        <v>2</v>
      </c>
      <c r="CU4270">
        <v>0</v>
      </c>
      <c r="CV4270">
        <v>6</v>
      </c>
      <c r="CW4270" t="s">
        <v>120</v>
      </c>
      <c r="CX4270">
        <v>257</v>
      </c>
      <c r="CY4270">
        <v>0</v>
      </c>
      <c r="CZ4270" t="s">
        <v>615</v>
      </c>
      <c r="DA4270" t="s">
        <v>616</v>
      </c>
      <c r="DD4270">
        <v>16743822</v>
      </c>
      <c r="DE4270" t="s">
        <v>123</v>
      </c>
    </row>
    <row r="4271" spans="1:109" x14ac:dyDescent="0.3">
      <c r="A4271" t="str">
        <f>"19:47:11.797"</f>
        <v>19:47:11.797</v>
      </c>
      <c r="B4271" t="s">
        <v>110</v>
      </c>
      <c r="C4271" t="str">
        <f t="shared" si="201"/>
        <v>ffdfd3c0</v>
      </c>
      <c r="D4271" t="s">
        <v>111</v>
      </c>
      <c r="E4271">
        <v>18</v>
      </c>
      <c r="F4271">
        <v>1018</v>
      </c>
      <c r="G4271" t="s">
        <v>112</v>
      </c>
      <c r="J4271" t="s">
        <v>113</v>
      </c>
      <c r="K4271">
        <v>0</v>
      </c>
      <c r="L4271">
        <v>3</v>
      </c>
      <c r="M4271">
        <v>0</v>
      </c>
      <c r="N4271">
        <v>2</v>
      </c>
      <c r="O4271">
        <v>1</v>
      </c>
      <c r="P4271">
        <v>0</v>
      </c>
      <c r="Q4271">
        <v>0</v>
      </c>
      <c r="R4271" t="s">
        <v>114</v>
      </c>
      <c r="S4271" t="str">
        <f>"19:47:11.555"</f>
        <v>19:47:11.555</v>
      </c>
      <c r="T4271" t="str">
        <f>"19:47:10.656"</f>
        <v>19:47:10.656</v>
      </c>
      <c r="U4271" t="str">
        <f t="shared" si="199"/>
        <v>a1cdbe</v>
      </c>
      <c r="V4271">
        <v>0</v>
      </c>
      <c r="W4271">
        <v>0</v>
      </c>
      <c r="X4271">
        <v>2</v>
      </c>
      <c r="Y4271">
        <v>0</v>
      </c>
      <c r="Z4271">
        <v>0</v>
      </c>
      <c r="AB4271">
        <v>0</v>
      </c>
      <c r="AC4271">
        <v>9</v>
      </c>
      <c r="AD4271">
        <v>3</v>
      </c>
      <c r="AE4271">
        <v>0</v>
      </c>
      <c r="AF4271">
        <v>9</v>
      </c>
      <c r="AG4271" t="s">
        <v>115</v>
      </c>
      <c r="AH4271">
        <v>0</v>
      </c>
      <c r="AI4271">
        <v>0</v>
      </c>
      <c r="AJ4271">
        <v>1</v>
      </c>
      <c r="AK4271">
        <v>0</v>
      </c>
      <c r="AL4271" t="s">
        <v>7327</v>
      </c>
      <c r="AM4271">
        <v>47.056997000000003</v>
      </c>
      <c r="AN4271" t="s">
        <v>7648</v>
      </c>
      <c r="AO4271">
        <v>-123.993802</v>
      </c>
      <c r="AP4271">
        <v>100</v>
      </c>
      <c r="AQ4271">
        <v>-100</v>
      </c>
      <c r="AR4271" t="s">
        <v>118</v>
      </c>
      <c r="AS4271">
        <v>24</v>
      </c>
      <c r="AT4271">
        <v>-50</v>
      </c>
      <c r="AU4271">
        <v>512</v>
      </c>
      <c r="BC4271">
        <v>1200</v>
      </c>
      <c r="BD4271">
        <v>1</v>
      </c>
      <c r="BE4271" t="str">
        <f t="shared" si="200"/>
        <v xml:space="preserve">N215T   </v>
      </c>
      <c r="BF4271">
        <v>1</v>
      </c>
      <c r="BH4271">
        <v>0</v>
      </c>
      <c r="BI4271">
        <v>0</v>
      </c>
      <c r="BJ4271">
        <v>0</v>
      </c>
      <c r="BK4271">
        <v>300</v>
      </c>
      <c r="BL4271">
        <v>400</v>
      </c>
      <c r="BM4271" t="s">
        <v>119</v>
      </c>
      <c r="BN4271">
        <v>1</v>
      </c>
      <c r="BO4271">
        <v>1</v>
      </c>
      <c r="BP4271">
        <v>1</v>
      </c>
      <c r="BQ4271">
        <v>0</v>
      </c>
      <c r="BT4271">
        <v>0</v>
      </c>
      <c r="BU4271">
        <v>0</v>
      </c>
      <c r="BV4271">
        <v>0</v>
      </c>
      <c r="CC4271" t="str">
        <f>"19:47:11.555"</f>
        <v>19:47:11.555</v>
      </c>
      <c r="CD4271" t="str">
        <f>"555350646"</f>
        <v>555350646</v>
      </c>
      <c r="CQ4271">
        <v>0</v>
      </c>
      <c r="CR4271">
        <v>2</v>
      </c>
      <c r="CS4271">
        <v>0</v>
      </c>
      <c r="CT4271">
        <v>2</v>
      </c>
      <c r="CU4271">
        <v>0</v>
      </c>
      <c r="CV4271">
        <v>6</v>
      </c>
      <c r="CW4271" t="s">
        <v>120</v>
      </c>
      <c r="CX4271">
        <v>257</v>
      </c>
      <c r="CY4271">
        <v>0</v>
      </c>
      <c r="CZ4271" t="s">
        <v>615</v>
      </c>
      <c r="DA4271" t="s">
        <v>616</v>
      </c>
      <c r="DD4271">
        <v>16744176</v>
      </c>
      <c r="DE4271" t="s">
        <v>123</v>
      </c>
    </row>
    <row r="4272" spans="1:109" x14ac:dyDescent="0.3">
      <c r="A4272" t="str">
        <f>"19:47:12.805"</f>
        <v>19:47:12.805</v>
      </c>
      <c r="B4272" t="s">
        <v>110</v>
      </c>
      <c r="C4272" t="str">
        <f t="shared" si="201"/>
        <v>ffdfd3c0</v>
      </c>
      <c r="D4272" t="s">
        <v>111</v>
      </c>
      <c r="E4272">
        <v>18</v>
      </c>
      <c r="F4272">
        <v>1018</v>
      </c>
      <c r="G4272" t="s">
        <v>112</v>
      </c>
      <c r="J4272" t="s">
        <v>113</v>
      </c>
      <c r="K4272">
        <v>0</v>
      </c>
      <c r="L4272">
        <v>3</v>
      </c>
      <c r="M4272">
        <v>0</v>
      </c>
      <c r="N4272">
        <v>2</v>
      </c>
      <c r="O4272">
        <v>1</v>
      </c>
      <c r="P4272">
        <v>0</v>
      </c>
      <c r="Q4272">
        <v>0</v>
      </c>
      <c r="R4272" t="s">
        <v>114</v>
      </c>
      <c r="S4272" t="str">
        <f>"19:47:12.539"</f>
        <v>19:47:12.539</v>
      </c>
      <c r="T4272" t="str">
        <f>"19:47:12.539"</f>
        <v>19:47:12.539</v>
      </c>
      <c r="U4272" t="str">
        <f t="shared" si="199"/>
        <v>a1cdbe</v>
      </c>
      <c r="V4272">
        <v>0</v>
      </c>
      <c r="W4272">
        <v>0</v>
      </c>
      <c r="X4272">
        <v>2</v>
      </c>
      <c r="Y4272">
        <v>0</v>
      </c>
      <c r="Z4272">
        <v>0</v>
      </c>
      <c r="AB4272">
        <v>0</v>
      </c>
      <c r="AC4272">
        <v>9</v>
      </c>
      <c r="AD4272">
        <v>3</v>
      </c>
      <c r="AE4272">
        <v>0</v>
      </c>
      <c r="AF4272">
        <v>9</v>
      </c>
      <c r="AG4272" t="s">
        <v>115</v>
      </c>
      <c r="AH4272">
        <v>0</v>
      </c>
      <c r="AI4272">
        <v>0</v>
      </c>
      <c r="AJ4272">
        <v>1</v>
      </c>
      <c r="AK4272">
        <v>0</v>
      </c>
      <c r="AL4272" t="s">
        <v>7757</v>
      </c>
      <c r="AM4272">
        <v>47.056739</v>
      </c>
      <c r="AN4272" t="s">
        <v>7850</v>
      </c>
      <c r="AO4272">
        <v>-123.993695</v>
      </c>
      <c r="AP4272">
        <v>100</v>
      </c>
      <c r="AQ4272">
        <v>-100</v>
      </c>
      <c r="AR4272" t="s">
        <v>118</v>
      </c>
      <c r="AS4272">
        <v>23</v>
      </c>
      <c r="AT4272">
        <v>-51</v>
      </c>
      <c r="AU4272">
        <v>128</v>
      </c>
      <c r="BC4272">
        <v>1200</v>
      </c>
      <c r="BD4272">
        <v>1</v>
      </c>
      <c r="BE4272" t="str">
        <f t="shared" si="200"/>
        <v xml:space="preserve">N215T   </v>
      </c>
      <c r="BF4272">
        <v>1</v>
      </c>
      <c r="BH4272">
        <v>0</v>
      </c>
      <c r="BI4272">
        <v>0</v>
      </c>
      <c r="BJ4272">
        <v>0</v>
      </c>
      <c r="BK4272">
        <v>300</v>
      </c>
      <c r="BL4272">
        <v>400</v>
      </c>
      <c r="BM4272" t="s">
        <v>119</v>
      </c>
      <c r="BN4272">
        <v>1</v>
      </c>
      <c r="BO4272">
        <v>1</v>
      </c>
      <c r="BP4272">
        <v>1</v>
      </c>
      <c r="BQ4272">
        <v>0</v>
      </c>
      <c r="BT4272">
        <v>0</v>
      </c>
      <c r="BU4272">
        <v>0</v>
      </c>
      <c r="BV4272">
        <v>0</v>
      </c>
      <c r="CC4272" t="str">
        <f>"19:47:12.547"</f>
        <v>19:47:12.547</v>
      </c>
      <c r="CD4272" t="str">
        <f>"545252997"</f>
        <v>545252997</v>
      </c>
      <c r="CQ4272">
        <v>0</v>
      </c>
      <c r="CR4272">
        <v>2</v>
      </c>
      <c r="CS4272">
        <v>0</v>
      </c>
      <c r="CT4272">
        <v>2</v>
      </c>
      <c r="CU4272">
        <v>0</v>
      </c>
      <c r="CV4272">
        <v>6</v>
      </c>
      <c r="CW4272" t="s">
        <v>120</v>
      </c>
      <c r="CX4272">
        <v>257</v>
      </c>
      <c r="CY4272">
        <v>0</v>
      </c>
      <c r="CZ4272" t="s">
        <v>615</v>
      </c>
      <c r="DA4272" t="s">
        <v>616</v>
      </c>
      <c r="DD4272">
        <v>16744495</v>
      </c>
      <c r="DE4272" t="s">
        <v>123</v>
      </c>
    </row>
    <row r="4273" spans="1:109" x14ac:dyDescent="0.3">
      <c r="A4273" t="str">
        <f>"19:47:13.703"</f>
        <v>19:47:13.703</v>
      </c>
      <c r="B4273" t="s">
        <v>110</v>
      </c>
      <c r="C4273" t="str">
        <f t="shared" si="201"/>
        <v>ffdfd3c0</v>
      </c>
      <c r="D4273" t="s">
        <v>111</v>
      </c>
      <c r="E4273">
        <v>18</v>
      </c>
      <c r="F4273">
        <v>1018</v>
      </c>
      <c r="G4273" t="s">
        <v>112</v>
      </c>
      <c r="J4273" t="s">
        <v>113</v>
      </c>
      <c r="K4273">
        <v>0</v>
      </c>
      <c r="L4273">
        <v>3</v>
      </c>
      <c r="M4273">
        <v>0</v>
      </c>
      <c r="N4273">
        <v>2</v>
      </c>
      <c r="O4273">
        <v>1</v>
      </c>
      <c r="P4273">
        <v>0</v>
      </c>
      <c r="Q4273">
        <v>0</v>
      </c>
      <c r="R4273" t="s">
        <v>114</v>
      </c>
      <c r="S4273" t="str">
        <f>"19:47:13.438"</f>
        <v>19:47:13.438</v>
      </c>
      <c r="T4273" t="str">
        <f>"19:47:13.438"</f>
        <v>19:47:13.438</v>
      </c>
      <c r="U4273" t="str">
        <f t="shared" si="199"/>
        <v>a1cdbe</v>
      </c>
      <c r="V4273">
        <v>0</v>
      </c>
      <c r="W4273">
        <v>0</v>
      </c>
      <c r="X4273">
        <v>2</v>
      </c>
      <c r="Y4273">
        <v>0</v>
      </c>
      <c r="Z4273">
        <v>0</v>
      </c>
      <c r="AB4273">
        <v>0</v>
      </c>
      <c r="AC4273">
        <v>9</v>
      </c>
      <c r="AD4273">
        <v>3</v>
      </c>
      <c r="AE4273">
        <v>0</v>
      </c>
      <c r="AF4273">
        <v>9</v>
      </c>
      <c r="AG4273" t="s">
        <v>115</v>
      </c>
      <c r="AH4273">
        <v>0</v>
      </c>
      <c r="AI4273">
        <v>0</v>
      </c>
      <c r="AJ4273">
        <v>1</v>
      </c>
      <c r="AK4273">
        <v>0</v>
      </c>
      <c r="AL4273" t="s">
        <v>7759</v>
      </c>
      <c r="AM4273">
        <v>47.056545999999997</v>
      </c>
      <c r="AN4273" t="s">
        <v>7851</v>
      </c>
      <c r="AO4273">
        <v>-123.993523</v>
      </c>
      <c r="AP4273">
        <v>100</v>
      </c>
      <c r="AQ4273">
        <v>-100</v>
      </c>
      <c r="AR4273" t="s">
        <v>118</v>
      </c>
      <c r="AS4273">
        <v>22</v>
      </c>
      <c r="AT4273">
        <v>-52</v>
      </c>
      <c r="AU4273">
        <v>64</v>
      </c>
      <c r="BC4273">
        <v>1200</v>
      </c>
      <c r="BD4273">
        <v>1</v>
      </c>
      <c r="BE4273" t="str">
        <f t="shared" si="200"/>
        <v xml:space="preserve">N215T   </v>
      </c>
      <c r="BF4273">
        <v>1</v>
      </c>
      <c r="BH4273">
        <v>0</v>
      </c>
      <c r="BI4273">
        <v>0</v>
      </c>
      <c r="BJ4273">
        <v>0</v>
      </c>
      <c r="BK4273">
        <v>300</v>
      </c>
      <c r="BL4273">
        <v>400</v>
      </c>
      <c r="BM4273" t="s">
        <v>119</v>
      </c>
      <c r="BN4273">
        <v>1</v>
      </c>
      <c r="BO4273">
        <v>1</v>
      </c>
      <c r="BP4273">
        <v>1</v>
      </c>
      <c r="BQ4273">
        <v>0</v>
      </c>
      <c r="BT4273">
        <v>0</v>
      </c>
      <c r="BU4273">
        <v>0</v>
      </c>
      <c r="BV4273">
        <v>0</v>
      </c>
      <c r="CC4273" t="str">
        <f>"19:47:13.445"</f>
        <v>19:47:13.445</v>
      </c>
      <c r="CD4273" t="str">
        <f>"445164219"</f>
        <v>445164219</v>
      </c>
      <c r="CQ4273">
        <v>0</v>
      </c>
      <c r="CR4273">
        <v>2</v>
      </c>
      <c r="CS4273">
        <v>0</v>
      </c>
      <c r="CT4273">
        <v>2</v>
      </c>
      <c r="CU4273">
        <v>0</v>
      </c>
      <c r="CV4273">
        <v>6</v>
      </c>
      <c r="CW4273" t="s">
        <v>120</v>
      </c>
      <c r="CX4273">
        <v>257</v>
      </c>
      <c r="CY4273">
        <v>0</v>
      </c>
      <c r="CZ4273" t="s">
        <v>615</v>
      </c>
      <c r="DA4273" t="s">
        <v>616</v>
      </c>
      <c r="DD4273">
        <v>16744785</v>
      </c>
      <c r="DE4273" t="s">
        <v>123</v>
      </c>
    </row>
    <row r="4274" spans="1:109" x14ac:dyDescent="0.3">
      <c r="A4274" t="str">
        <f>"19:47:14.609"</f>
        <v>19:47:14.609</v>
      </c>
      <c r="B4274" t="s">
        <v>110</v>
      </c>
      <c r="C4274" t="str">
        <f t="shared" si="201"/>
        <v>ffdfd3c0</v>
      </c>
      <c r="D4274" t="s">
        <v>111</v>
      </c>
      <c r="E4274">
        <v>18</v>
      </c>
      <c r="F4274">
        <v>1018</v>
      </c>
      <c r="G4274" t="s">
        <v>112</v>
      </c>
      <c r="J4274" t="s">
        <v>113</v>
      </c>
      <c r="K4274">
        <v>0</v>
      </c>
      <c r="L4274">
        <v>3</v>
      </c>
      <c r="M4274">
        <v>0</v>
      </c>
      <c r="N4274">
        <v>2</v>
      </c>
      <c r="O4274">
        <v>1</v>
      </c>
      <c r="P4274">
        <v>0</v>
      </c>
      <c r="Q4274">
        <v>0</v>
      </c>
      <c r="R4274" t="s">
        <v>114</v>
      </c>
      <c r="S4274" t="str">
        <f>"19:47:14.398"</f>
        <v>19:47:14.398</v>
      </c>
      <c r="T4274" t="str">
        <f>"19:47:14.398"</f>
        <v>19:47:14.398</v>
      </c>
      <c r="U4274" t="str">
        <f t="shared" si="199"/>
        <v>a1cdbe</v>
      </c>
      <c r="V4274">
        <v>0</v>
      </c>
      <c r="W4274">
        <v>0</v>
      </c>
      <c r="X4274">
        <v>2</v>
      </c>
      <c r="Y4274">
        <v>0</v>
      </c>
      <c r="Z4274">
        <v>0</v>
      </c>
      <c r="AB4274">
        <v>0</v>
      </c>
      <c r="AC4274">
        <v>9</v>
      </c>
      <c r="AD4274">
        <v>3</v>
      </c>
      <c r="AE4274">
        <v>0</v>
      </c>
      <c r="AF4274">
        <v>9</v>
      </c>
      <c r="AG4274" t="s">
        <v>115</v>
      </c>
      <c r="AH4274">
        <v>0</v>
      </c>
      <c r="AI4274">
        <v>0</v>
      </c>
      <c r="AJ4274">
        <v>1</v>
      </c>
      <c r="AK4274">
        <v>0</v>
      </c>
      <c r="AL4274" t="s">
        <v>7313</v>
      </c>
      <c r="AM4274">
        <v>47.056266999999998</v>
      </c>
      <c r="AN4274" t="s">
        <v>7629</v>
      </c>
      <c r="AO4274">
        <v>-123.993416</v>
      </c>
      <c r="AP4274">
        <v>100</v>
      </c>
      <c r="AQ4274">
        <v>-100</v>
      </c>
      <c r="AR4274" t="s">
        <v>118</v>
      </c>
      <c r="AS4274">
        <v>21</v>
      </c>
      <c r="AT4274">
        <v>-52</v>
      </c>
      <c r="AU4274">
        <v>128</v>
      </c>
      <c r="BC4274">
        <v>1200</v>
      </c>
      <c r="BD4274">
        <v>1</v>
      </c>
      <c r="BE4274" t="str">
        <f t="shared" si="200"/>
        <v xml:space="preserve">N215T   </v>
      </c>
      <c r="BF4274">
        <v>1</v>
      </c>
      <c r="BH4274">
        <v>0</v>
      </c>
      <c r="BI4274">
        <v>0</v>
      </c>
      <c r="BJ4274">
        <v>0</v>
      </c>
      <c r="BK4274">
        <v>300</v>
      </c>
      <c r="BL4274">
        <v>400</v>
      </c>
      <c r="BM4274" t="s">
        <v>119</v>
      </c>
      <c r="BN4274">
        <v>1</v>
      </c>
      <c r="BO4274">
        <v>1</v>
      </c>
      <c r="BP4274">
        <v>1</v>
      </c>
      <c r="BQ4274">
        <v>0</v>
      </c>
      <c r="BT4274">
        <v>0</v>
      </c>
      <c r="BU4274">
        <v>0</v>
      </c>
      <c r="BV4274">
        <v>0</v>
      </c>
      <c r="CC4274" t="str">
        <f>"19:47:14.406"</f>
        <v>19:47:14.406</v>
      </c>
      <c r="CD4274" t="str">
        <f>"405069532"</f>
        <v>405069532</v>
      </c>
      <c r="CQ4274">
        <v>0</v>
      </c>
      <c r="CR4274">
        <v>2</v>
      </c>
      <c r="CS4274">
        <v>0</v>
      </c>
      <c r="CT4274">
        <v>2</v>
      </c>
      <c r="CU4274">
        <v>0</v>
      </c>
      <c r="CV4274">
        <v>6</v>
      </c>
      <c r="CW4274" t="s">
        <v>120</v>
      </c>
      <c r="CX4274">
        <v>257</v>
      </c>
      <c r="CY4274">
        <v>0</v>
      </c>
      <c r="CZ4274" t="s">
        <v>615</v>
      </c>
      <c r="DA4274" t="s">
        <v>616</v>
      </c>
      <c r="DD4274">
        <v>16745105</v>
      </c>
      <c r="DE4274" t="s">
        <v>123</v>
      </c>
    </row>
    <row r="4275" spans="1:109" x14ac:dyDescent="0.3">
      <c r="A4275" t="str">
        <f>"19:47:15.719"</f>
        <v>19:47:15.719</v>
      </c>
      <c r="B4275" t="s">
        <v>110</v>
      </c>
      <c r="C4275" t="str">
        <f t="shared" si="201"/>
        <v>ffdfd3c0</v>
      </c>
      <c r="D4275" t="s">
        <v>111</v>
      </c>
      <c r="E4275">
        <v>18</v>
      </c>
      <c r="F4275">
        <v>1018</v>
      </c>
      <c r="G4275" t="s">
        <v>112</v>
      </c>
      <c r="J4275" t="s">
        <v>113</v>
      </c>
      <c r="K4275">
        <v>0</v>
      </c>
      <c r="L4275">
        <v>3</v>
      </c>
      <c r="M4275">
        <v>0</v>
      </c>
      <c r="N4275">
        <v>2</v>
      </c>
      <c r="O4275">
        <v>1</v>
      </c>
      <c r="P4275">
        <v>0</v>
      </c>
      <c r="Q4275">
        <v>0</v>
      </c>
      <c r="R4275" t="s">
        <v>114</v>
      </c>
      <c r="S4275" t="str">
        <f>"19:47:15.484"</f>
        <v>19:47:15.484</v>
      </c>
      <c r="T4275" t="str">
        <f>"19:47:15.484"</f>
        <v>19:47:15.484</v>
      </c>
      <c r="U4275" t="str">
        <f t="shared" si="199"/>
        <v>a1cdbe</v>
      </c>
      <c r="V4275">
        <v>0</v>
      </c>
      <c r="W4275">
        <v>0</v>
      </c>
      <c r="X4275">
        <v>2</v>
      </c>
      <c r="Y4275">
        <v>0</v>
      </c>
      <c r="Z4275">
        <v>0</v>
      </c>
      <c r="AB4275">
        <v>0</v>
      </c>
      <c r="AC4275">
        <v>9</v>
      </c>
      <c r="AD4275">
        <v>3</v>
      </c>
      <c r="AE4275">
        <v>0</v>
      </c>
      <c r="AF4275">
        <v>9</v>
      </c>
      <c r="AG4275" t="s">
        <v>115</v>
      </c>
      <c r="AH4275">
        <v>0</v>
      </c>
      <c r="AI4275">
        <v>0</v>
      </c>
      <c r="AJ4275">
        <v>1</v>
      </c>
      <c r="AK4275">
        <v>0</v>
      </c>
      <c r="AL4275" t="s">
        <v>7852</v>
      </c>
      <c r="AM4275">
        <v>47.056030999999997</v>
      </c>
      <c r="AN4275" t="s">
        <v>7853</v>
      </c>
      <c r="AO4275">
        <v>-123.993244</v>
      </c>
      <c r="AP4275">
        <v>100</v>
      </c>
      <c r="AQ4275">
        <v>-100</v>
      </c>
      <c r="AR4275" t="s">
        <v>118</v>
      </c>
      <c r="AS4275">
        <v>22</v>
      </c>
      <c r="AT4275">
        <v>-53</v>
      </c>
      <c r="AU4275">
        <v>128</v>
      </c>
      <c r="BC4275">
        <v>1200</v>
      </c>
      <c r="BD4275">
        <v>1</v>
      </c>
      <c r="BE4275" t="str">
        <f t="shared" si="200"/>
        <v xml:space="preserve">N215T   </v>
      </c>
      <c r="BF4275">
        <v>1</v>
      </c>
      <c r="BH4275">
        <v>0</v>
      </c>
      <c r="BI4275">
        <v>0</v>
      </c>
      <c r="BJ4275">
        <v>0</v>
      </c>
      <c r="BK4275">
        <v>300</v>
      </c>
      <c r="BL4275">
        <v>400</v>
      </c>
      <c r="BM4275" t="s">
        <v>119</v>
      </c>
      <c r="BN4275">
        <v>1</v>
      </c>
      <c r="BO4275">
        <v>1</v>
      </c>
      <c r="BP4275">
        <v>1</v>
      </c>
      <c r="BQ4275">
        <v>0</v>
      </c>
      <c r="BT4275">
        <v>0</v>
      </c>
      <c r="BU4275">
        <v>0</v>
      </c>
      <c r="BV4275">
        <v>0</v>
      </c>
      <c r="CC4275" t="str">
        <f>"19:47:15.484"</f>
        <v>19:47:15.484</v>
      </c>
      <c r="CD4275" t="str">
        <f>"484962995"</f>
        <v>484962995</v>
      </c>
      <c r="CQ4275">
        <v>0</v>
      </c>
      <c r="CR4275">
        <v>2</v>
      </c>
      <c r="CS4275">
        <v>0</v>
      </c>
      <c r="CT4275">
        <v>2</v>
      </c>
      <c r="CU4275">
        <v>0</v>
      </c>
      <c r="CV4275">
        <v>6</v>
      </c>
      <c r="CW4275" t="s">
        <v>120</v>
      </c>
      <c r="CX4275">
        <v>257</v>
      </c>
      <c r="CY4275">
        <v>0</v>
      </c>
      <c r="CZ4275" t="s">
        <v>615</v>
      </c>
      <c r="DA4275" t="s">
        <v>616</v>
      </c>
      <c r="DD4275">
        <v>16745449</v>
      </c>
      <c r="DE4275" t="s">
        <v>123</v>
      </c>
    </row>
    <row r="4276" spans="1:109" x14ac:dyDescent="0.3">
      <c r="A4276" t="str">
        <f>"19:47:16.672"</f>
        <v>19:47:16.672</v>
      </c>
      <c r="B4276" t="s">
        <v>110</v>
      </c>
      <c r="C4276" t="str">
        <f t="shared" si="201"/>
        <v>ffdfd3c0</v>
      </c>
      <c r="D4276" t="s">
        <v>111</v>
      </c>
      <c r="E4276">
        <v>18</v>
      </c>
      <c r="F4276">
        <v>1018</v>
      </c>
      <c r="G4276" t="s">
        <v>112</v>
      </c>
      <c r="J4276" t="s">
        <v>113</v>
      </c>
      <c r="K4276">
        <v>0</v>
      </c>
      <c r="L4276">
        <v>3</v>
      </c>
      <c r="M4276">
        <v>0</v>
      </c>
      <c r="N4276">
        <v>2</v>
      </c>
      <c r="O4276">
        <v>1</v>
      </c>
      <c r="P4276">
        <v>0</v>
      </c>
      <c r="Q4276">
        <v>0</v>
      </c>
      <c r="R4276" t="s">
        <v>114</v>
      </c>
      <c r="S4276" t="str">
        <f>"19:47:16.383"</f>
        <v>19:47:16.383</v>
      </c>
      <c r="T4276" t="str">
        <f>"19:47:15.984"</f>
        <v>19:47:15.984</v>
      </c>
      <c r="U4276" t="str">
        <f t="shared" si="199"/>
        <v>a1cdbe</v>
      </c>
      <c r="V4276">
        <v>0</v>
      </c>
      <c r="W4276">
        <v>0</v>
      </c>
      <c r="X4276">
        <v>2</v>
      </c>
      <c r="Y4276">
        <v>0</v>
      </c>
      <c r="Z4276">
        <v>0</v>
      </c>
      <c r="AB4276">
        <v>0</v>
      </c>
      <c r="AC4276">
        <v>9</v>
      </c>
      <c r="AD4276">
        <v>3</v>
      </c>
      <c r="AE4276">
        <v>0</v>
      </c>
      <c r="AF4276">
        <v>9</v>
      </c>
      <c r="AG4276" t="s">
        <v>115</v>
      </c>
      <c r="AH4276">
        <v>0</v>
      </c>
      <c r="AI4276">
        <v>0</v>
      </c>
      <c r="AJ4276">
        <v>1</v>
      </c>
      <c r="AK4276">
        <v>0</v>
      </c>
      <c r="AL4276" t="s">
        <v>7854</v>
      </c>
      <c r="AM4276">
        <v>47.055816999999998</v>
      </c>
      <c r="AN4276" t="s">
        <v>7740</v>
      </c>
      <c r="AO4276">
        <v>-123.993137</v>
      </c>
      <c r="AP4276">
        <v>100</v>
      </c>
      <c r="AQ4276">
        <v>-100</v>
      </c>
      <c r="AR4276" t="s">
        <v>118</v>
      </c>
      <c r="AS4276">
        <v>22</v>
      </c>
      <c r="AT4276">
        <v>-53</v>
      </c>
      <c r="AU4276">
        <v>192</v>
      </c>
      <c r="BC4276">
        <v>1200</v>
      </c>
      <c r="BD4276">
        <v>1</v>
      </c>
      <c r="BE4276" t="str">
        <f t="shared" si="200"/>
        <v xml:space="preserve">N215T   </v>
      </c>
      <c r="BF4276">
        <v>1</v>
      </c>
      <c r="BH4276">
        <v>0</v>
      </c>
      <c r="BI4276">
        <v>0</v>
      </c>
      <c r="BJ4276">
        <v>0</v>
      </c>
      <c r="BK4276">
        <v>300</v>
      </c>
      <c r="BL4276">
        <v>400</v>
      </c>
      <c r="BM4276" t="s">
        <v>119</v>
      </c>
      <c r="BN4276">
        <v>1</v>
      </c>
      <c r="BO4276">
        <v>1</v>
      </c>
      <c r="BP4276">
        <v>1</v>
      </c>
      <c r="BQ4276">
        <v>0</v>
      </c>
      <c r="BT4276">
        <v>0</v>
      </c>
      <c r="BU4276">
        <v>0</v>
      </c>
      <c r="BV4276">
        <v>0</v>
      </c>
      <c r="CC4276" t="str">
        <f>"19:47:16.383"</f>
        <v>19:47:16.383</v>
      </c>
      <c r="CD4276" t="str">
        <f>"384874217"</f>
        <v>384874217</v>
      </c>
      <c r="CQ4276">
        <v>0</v>
      </c>
      <c r="CR4276">
        <v>2</v>
      </c>
      <c r="CS4276">
        <v>0</v>
      </c>
      <c r="CT4276">
        <v>2</v>
      </c>
      <c r="CU4276">
        <v>0</v>
      </c>
      <c r="CV4276">
        <v>6</v>
      </c>
      <c r="CW4276" t="s">
        <v>120</v>
      </c>
      <c r="CX4276">
        <v>257</v>
      </c>
      <c r="CY4276">
        <v>0</v>
      </c>
      <c r="CZ4276" t="s">
        <v>615</v>
      </c>
      <c r="DA4276" t="s">
        <v>616</v>
      </c>
      <c r="DD4276">
        <v>16745740</v>
      </c>
      <c r="DE4276" t="s">
        <v>123</v>
      </c>
    </row>
    <row r="4277" spans="1:109" x14ac:dyDescent="0.3">
      <c r="A4277" t="str">
        <f>"19:47:17.781"</f>
        <v>19:47:17.781</v>
      </c>
      <c r="B4277" t="s">
        <v>110</v>
      </c>
      <c r="C4277" t="str">
        <f t="shared" si="201"/>
        <v>ffdfd3c0</v>
      </c>
      <c r="D4277" t="s">
        <v>111</v>
      </c>
      <c r="E4277">
        <v>18</v>
      </c>
      <c r="F4277">
        <v>1018</v>
      </c>
      <c r="G4277" t="s">
        <v>112</v>
      </c>
      <c r="J4277" t="s">
        <v>113</v>
      </c>
      <c r="K4277">
        <v>0</v>
      </c>
      <c r="L4277">
        <v>3</v>
      </c>
      <c r="M4277">
        <v>0</v>
      </c>
      <c r="N4277">
        <v>2</v>
      </c>
      <c r="O4277">
        <v>1</v>
      </c>
      <c r="P4277">
        <v>0</v>
      </c>
      <c r="Q4277">
        <v>0</v>
      </c>
      <c r="R4277" t="s">
        <v>114</v>
      </c>
      <c r="S4277" t="str">
        <f>"19:47:17.523"</f>
        <v>19:47:17.523</v>
      </c>
      <c r="T4277" t="str">
        <f>"19:47:17.523"</f>
        <v>19:47:17.523</v>
      </c>
      <c r="U4277" t="str">
        <f t="shared" si="199"/>
        <v>a1cdbe</v>
      </c>
      <c r="V4277">
        <v>0</v>
      </c>
      <c r="W4277">
        <v>0</v>
      </c>
      <c r="X4277">
        <v>2</v>
      </c>
      <c r="Y4277">
        <v>0</v>
      </c>
      <c r="Z4277">
        <v>0</v>
      </c>
      <c r="AB4277">
        <v>0</v>
      </c>
      <c r="AC4277">
        <v>9</v>
      </c>
      <c r="AD4277">
        <v>3</v>
      </c>
      <c r="AE4277">
        <v>0</v>
      </c>
      <c r="AF4277">
        <v>9</v>
      </c>
      <c r="AG4277" t="s">
        <v>115</v>
      </c>
      <c r="AH4277">
        <v>0</v>
      </c>
      <c r="AI4277">
        <v>0</v>
      </c>
      <c r="AJ4277">
        <v>1</v>
      </c>
      <c r="AK4277">
        <v>0</v>
      </c>
      <c r="AL4277" t="s">
        <v>7855</v>
      </c>
      <c r="AM4277">
        <v>47.055515999999997</v>
      </c>
      <c r="AN4277" t="s">
        <v>7856</v>
      </c>
      <c r="AO4277">
        <v>-123.992965</v>
      </c>
      <c r="AP4277">
        <v>100</v>
      </c>
      <c r="AQ4277">
        <v>-100</v>
      </c>
      <c r="AR4277" t="s">
        <v>118</v>
      </c>
      <c r="AS4277">
        <v>22</v>
      </c>
      <c r="AT4277">
        <v>-54</v>
      </c>
      <c r="AU4277">
        <v>448</v>
      </c>
      <c r="BC4277">
        <v>1200</v>
      </c>
      <c r="BD4277">
        <v>1</v>
      </c>
      <c r="BE4277" t="str">
        <f t="shared" si="200"/>
        <v xml:space="preserve">N215T   </v>
      </c>
      <c r="BF4277">
        <v>1</v>
      </c>
      <c r="BH4277">
        <v>0</v>
      </c>
      <c r="BI4277">
        <v>0</v>
      </c>
      <c r="BJ4277">
        <v>0</v>
      </c>
      <c r="BK4277">
        <v>325</v>
      </c>
      <c r="BL4277">
        <v>425</v>
      </c>
      <c r="BM4277" t="s">
        <v>119</v>
      </c>
      <c r="BN4277">
        <v>1</v>
      </c>
      <c r="BO4277">
        <v>1</v>
      </c>
      <c r="BP4277">
        <v>1</v>
      </c>
      <c r="BQ4277">
        <v>0</v>
      </c>
      <c r="BT4277">
        <v>0</v>
      </c>
      <c r="BU4277">
        <v>0</v>
      </c>
      <c r="BV4277">
        <v>0</v>
      </c>
      <c r="CC4277" t="str">
        <f>"19:47:17.523"</f>
        <v>19:47:17.523</v>
      </c>
      <c r="CD4277" t="str">
        <f>"524761762"</f>
        <v>524761762</v>
      </c>
      <c r="CQ4277">
        <v>0</v>
      </c>
      <c r="CR4277">
        <v>2</v>
      </c>
      <c r="CS4277">
        <v>0</v>
      </c>
      <c r="CT4277">
        <v>2</v>
      </c>
      <c r="CU4277">
        <v>0</v>
      </c>
      <c r="CV4277">
        <v>6</v>
      </c>
      <c r="CW4277" t="s">
        <v>120</v>
      </c>
      <c r="CX4277">
        <v>257</v>
      </c>
      <c r="CY4277">
        <v>0</v>
      </c>
      <c r="CZ4277" t="s">
        <v>615</v>
      </c>
      <c r="DA4277" t="s">
        <v>616</v>
      </c>
      <c r="DD4277">
        <v>16746119</v>
      </c>
      <c r="DE4277" t="s">
        <v>123</v>
      </c>
    </row>
    <row r="4278" spans="1:109" x14ac:dyDescent="0.3">
      <c r="A4278" t="str">
        <f>"19:47:18.836"</f>
        <v>19:47:18.836</v>
      </c>
      <c r="B4278" t="s">
        <v>110</v>
      </c>
      <c r="C4278" t="str">
        <f t="shared" si="201"/>
        <v>ffdfd3c0</v>
      </c>
      <c r="D4278" t="s">
        <v>111</v>
      </c>
      <c r="E4278">
        <v>18</v>
      </c>
      <c r="F4278">
        <v>1018</v>
      </c>
      <c r="G4278" t="s">
        <v>112</v>
      </c>
      <c r="J4278" t="s">
        <v>113</v>
      </c>
      <c r="K4278">
        <v>0</v>
      </c>
      <c r="L4278">
        <v>3</v>
      </c>
      <c r="M4278">
        <v>0</v>
      </c>
      <c r="N4278">
        <v>2</v>
      </c>
      <c r="O4278">
        <v>1</v>
      </c>
      <c r="P4278">
        <v>0</v>
      </c>
      <c r="Q4278">
        <v>0</v>
      </c>
      <c r="R4278" t="s">
        <v>114</v>
      </c>
      <c r="S4278" t="str">
        <f>"19:47:18.586"</f>
        <v>19:47:18.586</v>
      </c>
      <c r="T4278" t="str">
        <f>"19:47:18.086"</f>
        <v>19:47:18.086</v>
      </c>
      <c r="U4278" t="str">
        <f t="shared" si="199"/>
        <v>a1cdbe</v>
      </c>
      <c r="V4278">
        <v>0</v>
      </c>
      <c r="W4278">
        <v>0</v>
      </c>
      <c r="X4278">
        <v>2</v>
      </c>
      <c r="Y4278">
        <v>0</v>
      </c>
      <c r="Z4278">
        <v>0</v>
      </c>
      <c r="AB4278">
        <v>0</v>
      </c>
      <c r="AC4278">
        <v>9</v>
      </c>
      <c r="AD4278">
        <v>3</v>
      </c>
      <c r="AE4278">
        <v>0</v>
      </c>
      <c r="AF4278">
        <v>9</v>
      </c>
      <c r="AG4278" t="s">
        <v>115</v>
      </c>
      <c r="AH4278">
        <v>0</v>
      </c>
      <c r="AI4278">
        <v>0</v>
      </c>
      <c r="AJ4278">
        <v>1</v>
      </c>
      <c r="AK4278">
        <v>0</v>
      </c>
      <c r="AL4278" t="s">
        <v>7294</v>
      </c>
      <c r="AM4278">
        <v>47.055236999999998</v>
      </c>
      <c r="AN4278" t="s">
        <v>7554</v>
      </c>
      <c r="AO4278">
        <v>-123.992836</v>
      </c>
      <c r="AP4278">
        <v>100</v>
      </c>
      <c r="AQ4278">
        <v>-100</v>
      </c>
      <c r="AR4278" t="s">
        <v>118</v>
      </c>
      <c r="AS4278">
        <v>21</v>
      </c>
      <c r="AT4278">
        <v>-55</v>
      </c>
      <c r="AU4278">
        <v>704</v>
      </c>
      <c r="BC4278">
        <v>1200</v>
      </c>
      <c r="BD4278">
        <v>1</v>
      </c>
      <c r="BE4278" t="str">
        <f t="shared" si="200"/>
        <v xml:space="preserve">N215T   </v>
      </c>
      <c r="BF4278">
        <v>1</v>
      </c>
      <c r="BH4278">
        <v>0</v>
      </c>
      <c r="BI4278">
        <v>0</v>
      </c>
      <c r="BJ4278">
        <v>0</v>
      </c>
      <c r="BK4278">
        <v>325</v>
      </c>
      <c r="BL4278">
        <v>425</v>
      </c>
      <c r="BM4278" t="s">
        <v>119</v>
      </c>
      <c r="BN4278">
        <v>1</v>
      </c>
      <c r="BO4278">
        <v>1</v>
      </c>
      <c r="BP4278">
        <v>1</v>
      </c>
      <c r="BQ4278">
        <v>0</v>
      </c>
      <c r="BT4278">
        <v>0</v>
      </c>
      <c r="BU4278">
        <v>0</v>
      </c>
      <c r="BV4278">
        <v>0</v>
      </c>
      <c r="CC4278" t="str">
        <f>"19:47:18.586"</f>
        <v>19:47:18.586</v>
      </c>
      <c r="CD4278" t="str">
        <f>"589656702"</f>
        <v>589656702</v>
      </c>
      <c r="CQ4278">
        <v>0</v>
      </c>
      <c r="CR4278">
        <v>2</v>
      </c>
      <c r="CS4278">
        <v>0</v>
      </c>
      <c r="CT4278">
        <v>2</v>
      </c>
      <c r="CU4278">
        <v>0</v>
      </c>
      <c r="CV4278">
        <v>6</v>
      </c>
      <c r="CW4278" t="s">
        <v>120</v>
      </c>
      <c r="CX4278">
        <v>257</v>
      </c>
      <c r="CY4278">
        <v>0</v>
      </c>
      <c r="CZ4278" t="s">
        <v>615</v>
      </c>
      <c r="DA4278" t="s">
        <v>616</v>
      </c>
      <c r="DD4278">
        <v>16746443</v>
      </c>
      <c r="DE4278" t="s">
        <v>123</v>
      </c>
    </row>
    <row r="4279" spans="1:109" x14ac:dyDescent="0.3">
      <c r="A4279" t="str">
        <f>"19:47:19.938"</f>
        <v>19:47:19.938</v>
      </c>
      <c r="B4279" t="s">
        <v>110</v>
      </c>
      <c r="C4279" t="str">
        <f t="shared" si="201"/>
        <v>ffdfd3c0</v>
      </c>
      <c r="D4279" t="s">
        <v>111</v>
      </c>
      <c r="E4279">
        <v>18</v>
      </c>
      <c r="F4279">
        <v>1018</v>
      </c>
      <c r="G4279" t="s">
        <v>112</v>
      </c>
      <c r="J4279" t="s">
        <v>113</v>
      </c>
      <c r="K4279">
        <v>0</v>
      </c>
      <c r="L4279">
        <v>3</v>
      </c>
      <c r="M4279">
        <v>0</v>
      </c>
      <c r="N4279">
        <v>2</v>
      </c>
      <c r="O4279">
        <v>1</v>
      </c>
      <c r="P4279">
        <v>0</v>
      </c>
      <c r="Q4279">
        <v>0</v>
      </c>
      <c r="R4279" t="s">
        <v>114</v>
      </c>
      <c r="S4279" t="str">
        <f>"19:47:19.680"</f>
        <v>19:47:19.680</v>
      </c>
      <c r="T4279" t="str">
        <f>"19:47:19.578"</f>
        <v>19:47:19.578</v>
      </c>
      <c r="U4279" t="str">
        <f t="shared" si="199"/>
        <v>a1cdbe</v>
      </c>
      <c r="V4279">
        <v>0</v>
      </c>
      <c r="W4279">
        <v>0</v>
      </c>
      <c r="X4279">
        <v>2</v>
      </c>
      <c r="Y4279">
        <v>0</v>
      </c>
      <c r="Z4279">
        <v>0</v>
      </c>
      <c r="AB4279">
        <v>0</v>
      </c>
      <c r="AC4279">
        <v>9</v>
      </c>
      <c r="AD4279">
        <v>3</v>
      </c>
      <c r="AE4279">
        <v>0</v>
      </c>
      <c r="AF4279">
        <v>9</v>
      </c>
      <c r="AG4279" t="s">
        <v>115</v>
      </c>
      <c r="AH4279">
        <v>0</v>
      </c>
      <c r="AI4279">
        <v>0</v>
      </c>
      <c r="AJ4279">
        <v>1</v>
      </c>
      <c r="AK4279">
        <v>0</v>
      </c>
      <c r="AL4279" t="s">
        <v>7290</v>
      </c>
      <c r="AM4279">
        <v>47.055000999999997</v>
      </c>
      <c r="AN4279" t="s">
        <v>7750</v>
      </c>
      <c r="AO4279">
        <v>-123.992665</v>
      </c>
      <c r="AP4279">
        <v>100</v>
      </c>
      <c r="AQ4279">
        <v>0</v>
      </c>
      <c r="AR4279" t="s">
        <v>118</v>
      </c>
      <c r="AS4279">
        <v>19</v>
      </c>
      <c r="AT4279">
        <v>-55</v>
      </c>
      <c r="AU4279">
        <v>832</v>
      </c>
      <c r="BC4279">
        <v>1200</v>
      </c>
      <c r="BD4279">
        <v>1</v>
      </c>
      <c r="BE4279" t="str">
        <f t="shared" si="200"/>
        <v xml:space="preserve">N215T   </v>
      </c>
      <c r="BF4279">
        <v>1</v>
      </c>
      <c r="BH4279">
        <v>0</v>
      </c>
      <c r="BI4279">
        <v>0</v>
      </c>
      <c r="BJ4279">
        <v>0</v>
      </c>
      <c r="BK4279">
        <v>350</v>
      </c>
      <c r="BL4279">
        <v>350</v>
      </c>
      <c r="BM4279" t="s">
        <v>119</v>
      </c>
      <c r="BN4279">
        <v>1</v>
      </c>
      <c r="BO4279">
        <v>1</v>
      </c>
      <c r="BP4279">
        <v>1</v>
      </c>
      <c r="BQ4279">
        <v>0</v>
      </c>
      <c r="BT4279">
        <v>0</v>
      </c>
      <c r="BU4279">
        <v>0</v>
      </c>
      <c r="BV4279">
        <v>0</v>
      </c>
      <c r="CC4279" t="str">
        <f>"19:47:19.688"</f>
        <v>19:47:19.688</v>
      </c>
      <c r="CD4279" t="str">
        <f>"684548689"</f>
        <v>684548689</v>
      </c>
      <c r="CQ4279">
        <v>0</v>
      </c>
      <c r="CR4279">
        <v>2</v>
      </c>
      <c r="CS4279">
        <v>0</v>
      </c>
      <c r="CT4279">
        <v>2</v>
      </c>
      <c r="CU4279">
        <v>0</v>
      </c>
      <c r="CV4279">
        <v>5</v>
      </c>
      <c r="CW4279" t="s">
        <v>120</v>
      </c>
      <c r="CX4279">
        <v>257</v>
      </c>
      <c r="CY4279">
        <v>0</v>
      </c>
      <c r="CZ4279" t="s">
        <v>615</v>
      </c>
      <c r="DA4279" t="s">
        <v>616</v>
      </c>
      <c r="DD4279">
        <v>16746793</v>
      </c>
      <c r="DE4279" t="s">
        <v>123</v>
      </c>
    </row>
    <row r="4280" spans="1:109" x14ac:dyDescent="0.3">
      <c r="A4280" t="str">
        <f>"19:47:20.797"</f>
        <v>19:47:20.797</v>
      </c>
      <c r="B4280" t="s">
        <v>110</v>
      </c>
      <c r="C4280" t="str">
        <f t="shared" si="201"/>
        <v>ffdfd3c0</v>
      </c>
      <c r="D4280" t="s">
        <v>111</v>
      </c>
      <c r="E4280">
        <v>18</v>
      </c>
      <c r="F4280">
        <v>1018</v>
      </c>
      <c r="G4280" t="s">
        <v>112</v>
      </c>
      <c r="J4280" t="s">
        <v>113</v>
      </c>
      <c r="K4280">
        <v>0</v>
      </c>
      <c r="L4280">
        <v>3</v>
      </c>
      <c r="M4280">
        <v>0</v>
      </c>
      <c r="N4280">
        <v>2</v>
      </c>
      <c r="O4280">
        <v>1</v>
      </c>
      <c r="P4280">
        <v>0</v>
      </c>
      <c r="Q4280">
        <v>0</v>
      </c>
      <c r="R4280" t="s">
        <v>114</v>
      </c>
      <c r="S4280" t="str">
        <f>"19:47:20.539"</f>
        <v>19:47:20.539</v>
      </c>
      <c r="T4280" t="str">
        <f>"19:47:20.039"</f>
        <v>19:47:20.039</v>
      </c>
      <c r="U4280" t="str">
        <f t="shared" si="199"/>
        <v>a1cdbe</v>
      </c>
      <c r="V4280">
        <v>0</v>
      </c>
      <c r="W4280">
        <v>0</v>
      </c>
      <c r="X4280">
        <v>2</v>
      </c>
      <c r="Y4280">
        <v>0</v>
      </c>
      <c r="Z4280">
        <v>0</v>
      </c>
      <c r="AB4280">
        <v>0</v>
      </c>
      <c r="AC4280">
        <v>9</v>
      </c>
      <c r="AD4280">
        <v>3</v>
      </c>
      <c r="AE4280">
        <v>0</v>
      </c>
      <c r="AF4280">
        <v>9</v>
      </c>
      <c r="AG4280" t="s">
        <v>115</v>
      </c>
      <c r="AH4280">
        <v>0</v>
      </c>
      <c r="AI4280">
        <v>0</v>
      </c>
      <c r="AJ4280">
        <v>1</v>
      </c>
      <c r="AK4280">
        <v>0</v>
      </c>
      <c r="AL4280" t="s">
        <v>7286</v>
      </c>
      <c r="AM4280">
        <v>47.054765000000003</v>
      </c>
      <c r="AN4280" t="s">
        <v>7754</v>
      </c>
      <c r="AO4280">
        <v>-123.992515</v>
      </c>
      <c r="AP4280">
        <v>100</v>
      </c>
      <c r="AQ4280">
        <v>0</v>
      </c>
      <c r="AR4280" t="s">
        <v>118</v>
      </c>
      <c r="AS4280">
        <v>18</v>
      </c>
      <c r="AT4280">
        <v>-56</v>
      </c>
      <c r="AU4280">
        <v>768</v>
      </c>
      <c r="BC4280">
        <v>1200</v>
      </c>
      <c r="BD4280">
        <v>1</v>
      </c>
      <c r="BE4280" t="str">
        <f t="shared" si="200"/>
        <v xml:space="preserve">N215T   </v>
      </c>
      <c r="BF4280">
        <v>1</v>
      </c>
      <c r="BH4280">
        <v>0</v>
      </c>
      <c r="BI4280">
        <v>0</v>
      </c>
      <c r="BJ4280">
        <v>0</v>
      </c>
      <c r="BK4280">
        <v>350</v>
      </c>
      <c r="BL4280">
        <v>350</v>
      </c>
      <c r="BM4280" t="s">
        <v>119</v>
      </c>
      <c r="BN4280">
        <v>1</v>
      </c>
      <c r="BO4280">
        <v>1</v>
      </c>
      <c r="BP4280">
        <v>1</v>
      </c>
      <c r="BQ4280">
        <v>0</v>
      </c>
      <c r="BT4280">
        <v>0</v>
      </c>
      <c r="BU4280">
        <v>0</v>
      </c>
      <c r="BV4280">
        <v>0</v>
      </c>
      <c r="CC4280" t="str">
        <f>"19:47:20.539"</f>
        <v>19:47:20.539</v>
      </c>
      <c r="CD4280" t="str">
        <f>"539464345"</f>
        <v>539464345</v>
      </c>
      <c r="CQ4280">
        <v>0</v>
      </c>
      <c r="CR4280">
        <v>2</v>
      </c>
      <c r="CS4280">
        <v>0</v>
      </c>
      <c r="CT4280">
        <v>2</v>
      </c>
      <c r="CU4280">
        <v>0</v>
      </c>
      <c r="CV4280">
        <v>5</v>
      </c>
      <c r="CW4280" t="s">
        <v>120</v>
      </c>
      <c r="CX4280">
        <v>257</v>
      </c>
      <c r="CY4280">
        <v>0</v>
      </c>
      <c r="CZ4280" t="s">
        <v>615</v>
      </c>
      <c r="DA4280" t="s">
        <v>616</v>
      </c>
      <c r="DD4280">
        <v>16747053</v>
      </c>
      <c r="DE4280" t="s">
        <v>123</v>
      </c>
    </row>
    <row r="4281" spans="1:109" x14ac:dyDescent="0.3">
      <c r="A4281" t="str">
        <f>"19:47:21.898"</f>
        <v>19:47:21.898</v>
      </c>
      <c r="B4281" t="s">
        <v>110</v>
      </c>
      <c r="C4281" t="str">
        <f t="shared" si="201"/>
        <v>ffdfd3c0</v>
      </c>
      <c r="D4281" t="s">
        <v>111</v>
      </c>
      <c r="E4281">
        <v>18</v>
      </c>
      <c r="F4281">
        <v>1018</v>
      </c>
      <c r="G4281" t="s">
        <v>112</v>
      </c>
      <c r="J4281" t="s">
        <v>113</v>
      </c>
      <c r="K4281">
        <v>0</v>
      </c>
      <c r="L4281">
        <v>3</v>
      </c>
      <c r="M4281">
        <v>0</v>
      </c>
      <c r="N4281">
        <v>2</v>
      </c>
      <c r="O4281">
        <v>1</v>
      </c>
      <c r="P4281">
        <v>0</v>
      </c>
      <c r="Q4281">
        <v>0</v>
      </c>
      <c r="R4281" t="s">
        <v>114</v>
      </c>
      <c r="S4281" t="str">
        <f>"19:47:21.633"</f>
        <v>19:47:21.633</v>
      </c>
      <c r="T4281" t="str">
        <f>"19:47:21.531"</f>
        <v>19:47:21.531</v>
      </c>
      <c r="U4281" t="str">
        <f t="shared" si="199"/>
        <v>a1cdbe</v>
      </c>
      <c r="V4281">
        <v>0</v>
      </c>
      <c r="W4281">
        <v>0</v>
      </c>
      <c r="X4281">
        <v>2</v>
      </c>
      <c r="Y4281">
        <v>0</v>
      </c>
      <c r="Z4281">
        <v>0</v>
      </c>
      <c r="AB4281">
        <v>0</v>
      </c>
      <c r="AC4281">
        <v>9</v>
      </c>
      <c r="AD4281">
        <v>3</v>
      </c>
      <c r="AE4281">
        <v>0</v>
      </c>
      <c r="AF4281">
        <v>9</v>
      </c>
      <c r="AG4281" t="s">
        <v>115</v>
      </c>
      <c r="AH4281">
        <v>0</v>
      </c>
      <c r="AI4281">
        <v>0</v>
      </c>
      <c r="AJ4281">
        <v>1</v>
      </c>
      <c r="AK4281">
        <v>0</v>
      </c>
      <c r="AL4281" t="s">
        <v>537</v>
      </c>
      <c r="AM4281">
        <v>47.054485999999997</v>
      </c>
      <c r="AN4281" t="s">
        <v>7758</v>
      </c>
      <c r="AO4281">
        <v>-123.992386</v>
      </c>
      <c r="AP4281">
        <v>100</v>
      </c>
      <c r="AQ4281">
        <v>0</v>
      </c>
      <c r="AR4281" t="s">
        <v>118</v>
      </c>
      <c r="AS4281">
        <v>18</v>
      </c>
      <c r="AT4281">
        <v>-55</v>
      </c>
      <c r="AU4281">
        <v>512</v>
      </c>
      <c r="BC4281">
        <v>1200</v>
      </c>
      <c r="BD4281">
        <v>1</v>
      </c>
      <c r="BE4281" t="str">
        <f t="shared" si="200"/>
        <v xml:space="preserve">N215T   </v>
      </c>
      <c r="BF4281">
        <v>1</v>
      </c>
      <c r="BH4281">
        <v>0</v>
      </c>
      <c r="BI4281">
        <v>0</v>
      </c>
      <c r="BJ4281">
        <v>0</v>
      </c>
      <c r="BK4281">
        <v>375</v>
      </c>
      <c r="BL4281">
        <v>375</v>
      </c>
      <c r="BM4281" t="s">
        <v>119</v>
      </c>
      <c r="BN4281">
        <v>1</v>
      </c>
      <c r="BO4281">
        <v>1</v>
      </c>
      <c r="BP4281">
        <v>1</v>
      </c>
      <c r="BQ4281">
        <v>0</v>
      </c>
      <c r="BT4281">
        <v>0</v>
      </c>
      <c r="BU4281">
        <v>0</v>
      </c>
      <c r="BV4281">
        <v>0</v>
      </c>
      <c r="CC4281" t="str">
        <f>"19:47:21.633"</f>
        <v>19:47:21.633</v>
      </c>
      <c r="CD4281" t="str">
        <f>"634356338"</f>
        <v>634356338</v>
      </c>
      <c r="CQ4281">
        <v>0</v>
      </c>
      <c r="CR4281">
        <v>2</v>
      </c>
      <c r="CS4281">
        <v>0</v>
      </c>
      <c r="CT4281">
        <v>2</v>
      </c>
      <c r="CU4281">
        <v>0</v>
      </c>
      <c r="CV4281">
        <v>5</v>
      </c>
      <c r="CW4281" t="s">
        <v>120</v>
      </c>
      <c r="CX4281">
        <v>257</v>
      </c>
      <c r="CY4281">
        <v>0</v>
      </c>
      <c r="CZ4281" t="s">
        <v>615</v>
      </c>
      <c r="DA4281" t="s">
        <v>616</v>
      </c>
      <c r="DD4281">
        <v>16747421</v>
      </c>
      <c r="DE4281" t="s">
        <v>123</v>
      </c>
    </row>
    <row r="4282" spans="1:109" x14ac:dyDescent="0.3">
      <c r="A4282" t="str">
        <f>"19:47:22.852"</f>
        <v>19:47:22.852</v>
      </c>
      <c r="B4282" t="s">
        <v>110</v>
      </c>
      <c r="C4282" t="str">
        <f t="shared" si="201"/>
        <v>ffdfd3c0</v>
      </c>
      <c r="D4282" t="s">
        <v>111</v>
      </c>
      <c r="E4282">
        <v>18</v>
      </c>
      <c r="F4282">
        <v>1018</v>
      </c>
      <c r="G4282" t="s">
        <v>112</v>
      </c>
      <c r="J4282" t="s">
        <v>113</v>
      </c>
      <c r="K4282">
        <v>0</v>
      </c>
      <c r="L4282">
        <v>3</v>
      </c>
      <c r="M4282">
        <v>0</v>
      </c>
      <c r="N4282">
        <v>2</v>
      </c>
      <c r="O4282">
        <v>1</v>
      </c>
      <c r="P4282">
        <v>0</v>
      </c>
      <c r="Q4282">
        <v>0</v>
      </c>
      <c r="R4282" t="s">
        <v>114</v>
      </c>
      <c r="S4282" t="str">
        <f>"19:47:22.602"</f>
        <v>19:47:22.602</v>
      </c>
      <c r="T4282" t="str">
        <f>"19:47:22.602"</f>
        <v>19:47:22.602</v>
      </c>
      <c r="U4282" t="str">
        <f t="shared" si="199"/>
        <v>a1cdbe</v>
      </c>
      <c r="V4282">
        <v>0</v>
      </c>
      <c r="W4282">
        <v>0</v>
      </c>
      <c r="X4282">
        <v>2</v>
      </c>
      <c r="Y4282">
        <v>0</v>
      </c>
      <c r="Z4282">
        <v>0</v>
      </c>
      <c r="AB4282">
        <v>0</v>
      </c>
      <c r="AC4282">
        <v>9</v>
      </c>
      <c r="AD4282">
        <v>3</v>
      </c>
      <c r="AE4282">
        <v>0</v>
      </c>
      <c r="AF4282">
        <v>9</v>
      </c>
      <c r="AG4282" t="s">
        <v>115</v>
      </c>
      <c r="AH4282">
        <v>0</v>
      </c>
      <c r="AI4282">
        <v>0</v>
      </c>
      <c r="AJ4282">
        <v>1</v>
      </c>
      <c r="AK4282">
        <v>0</v>
      </c>
      <c r="AL4282" t="s">
        <v>7770</v>
      </c>
      <c r="AM4282">
        <v>47.054206999999998</v>
      </c>
      <c r="AN4282" t="s">
        <v>7625</v>
      </c>
      <c r="AO4282">
        <v>-123.992257</v>
      </c>
      <c r="AP4282">
        <v>100</v>
      </c>
      <c r="AQ4282">
        <v>0</v>
      </c>
      <c r="AR4282" t="s">
        <v>118</v>
      </c>
      <c r="AS4282">
        <v>19</v>
      </c>
      <c r="AT4282">
        <v>-54</v>
      </c>
      <c r="AU4282">
        <v>512</v>
      </c>
      <c r="BC4282">
        <v>1200</v>
      </c>
      <c r="BD4282">
        <v>1</v>
      </c>
      <c r="BE4282" t="str">
        <f t="shared" si="200"/>
        <v xml:space="preserve">N215T   </v>
      </c>
      <c r="BF4282">
        <v>1</v>
      </c>
      <c r="BH4282">
        <v>0</v>
      </c>
      <c r="BI4282">
        <v>0</v>
      </c>
      <c r="BJ4282">
        <v>0</v>
      </c>
      <c r="BK4282">
        <v>375</v>
      </c>
      <c r="BL4282">
        <v>375</v>
      </c>
      <c r="BM4282" t="s">
        <v>119</v>
      </c>
      <c r="BN4282">
        <v>1</v>
      </c>
      <c r="BO4282">
        <v>1</v>
      </c>
      <c r="BP4282">
        <v>1</v>
      </c>
      <c r="BQ4282">
        <v>0</v>
      </c>
      <c r="BT4282">
        <v>0</v>
      </c>
      <c r="BU4282">
        <v>0</v>
      </c>
      <c r="BV4282">
        <v>0</v>
      </c>
      <c r="CC4282" t="str">
        <f>"19:47:22.609"</f>
        <v>19:47:22.609</v>
      </c>
      <c r="CD4282" t="str">
        <f>"609260158"</f>
        <v>609260158</v>
      </c>
      <c r="CQ4282">
        <v>0</v>
      </c>
      <c r="CR4282">
        <v>2</v>
      </c>
      <c r="CS4282">
        <v>0</v>
      </c>
      <c r="CT4282">
        <v>2</v>
      </c>
      <c r="CU4282">
        <v>0</v>
      </c>
      <c r="CV4282">
        <v>5</v>
      </c>
      <c r="CW4282" t="s">
        <v>120</v>
      </c>
      <c r="CX4282">
        <v>257</v>
      </c>
      <c r="CY4282">
        <v>0</v>
      </c>
      <c r="CZ4282" t="s">
        <v>615</v>
      </c>
      <c r="DA4282" t="s">
        <v>616</v>
      </c>
      <c r="DD4282">
        <v>16747736</v>
      </c>
      <c r="DE4282" t="s">
        <v>123</v>
      </c>
    </row>
    <row r="4283" spans="1:109" x14ac:dyDescent="0.3">
      <c r="A4283" t="str">
        <f>"19:47:23.859"</f>
        <v>19:47:23.859</v>
      </c>
      <c r="B4283" t="s">
        <v>110</v>
      </c>
      <c r="C4283" t="str">
        <f t="shared" si="201"/>
        <v>ffdfd3c0</v>
      </c>
      <c r="D4283" t="s">
        <v>111</v>
      </c>
      <c r="E4283">
        <v>18</v>
      </c>
      <c r="F4283">
        <v>1018</v>
      </c>
      <c r="G4283" t="s">
        <v>112</v>
      </c>
      <c r="J4283" t="s">
        <v>113</v>
      </c>
      <c r="K4283">
        <v>0</v>
      </c>
      <c r="L4283">
        <v>3</v>
      </c>
      <c r="M4283">
        <v>0</v>
      </c>
      <c r="N4283">
        <v>2</v>
      </c>
      <c r="O4283">
        <v>1</v>
      </c>
      <c r="P4283">
        <v>0</v>
      </c>
      <c r="Q4283">
        <v>0</v>
      </c>
      <c r="R4283" t="s">
        <v>114</v>
      </c>
      <c r="S4283" t="str">
        <f>"19:47:23.578"</f>
        <v>19:47:23.578</v>
      </c>
      <c r="T4283" t="str">
        <f>"19:47:23.180"</f>
        <v>19:47:23.180</v>
      </c>
      <c r="U4283" t="str">
        <f t="shared" si="199"/>
        <v>a1cdbe</v>
      </c>
      <c r="V4283">
        <v>0</v>
      </c>
      <c r="W4283">
        <v>0</v>
      </c>
      <c r="X4283">
        <v>2</v>
      </c>
      <c r="Y4283">
        <v>0</v>
      </c>
      <c r="Z4283">
        <v>0</v>
      </c>
      <c r="AB4283">
        <v>0</v>
      </c>
      <c r="AC4283">
        <v>9</v>
      </c>
      <c r="AD4283">
        <v>3</v>
      </c>
      <c r="AE4283">
        <v>0</v>
      </c>
      <c r="AF4283">
        <v>9</v>
      </c>
      <c r="AG4283" t="s">
        <v>115</v>
      </c>
      <c r="AH4283">
        <v>0</v>
      </c>
      <c r="AI4283">
        <v>0</v>
      </c>
      <c r="AJ4283">
        <v>1</v>
      </c>
      <c r="AK4283">
        <v>0</v>
      </c>
      <c r="AL4283" t="s">
        <v>7273</v>
      </c>
      <c r="AM4283">
        <v>47.053992999999998</v>
      </c>
      <c r="AN4283" t="s">
        <v>7857</v>
      </c>
      <c r="AO4283">
        <v>-123.992171</v>
      </c>
      <c r="AP4283">
        <v>100</v>
      </c>
      <c r="AQ4283">
        <v>0</v>
      </c>
      <c r="AR4283" t="s">
        <v>118</v>
      </c>
      <c r="AS4283">
        <v>18</v>
      </c>
      <c r="AT4283">
        <v>-54</v>
      </c>
      <c r="AU4283">
        <v>384</v>
      </c>
      <c r="BC4283">
        <v>1200</v>
      </c>
      <c r="BD4283">
        <v>1</v>
      </c>
      <c r="BE4283" t="str">
        <f t="shared" si="200"/>
        <v xml:space="preserve">N215T   </v>
      </c>
      <c r="BF4283">
        <v>1</v>
      </c>
      <c r="BH4283">
        <v>0</v>
      </c>
      <c r="BI4283">
        <v>0</v>
      </c>
      <c r="BJ4283">
        <v>0</v>
      </c>
      <c r="BK4283">
        <v>375</v>
      </c>
      <c r="BL4283">
        <v>375</v>
      </c>
      <c r="BM4283" t="s">
        <v>119</v>
      </c>
      <c r="BN4283">
        <v>1</v>
      </c>
      <c r="BO4283">
        <v>1</v>
      </c>
      <c r="BP4283">
        <v>1</v>
      </c>
      <c r="BQ4283">
        <v>0</v>
      </c>
      <c r="BT4283">
        <v>0</v>
      </c>
      <c r="BU4283">
        <v>0</v>
      </c>
      <c r="BV4283">
        <v>0</v>
      </c>
      <c r="CC4283" t="str">
        <f>"19:47:23.586"</f>
        <v>19:47:23.586</v>
      </c>
      <c r="CD4283" t="str">
        <f>"584163979"</f>
        <v>584163979</v>
      </c>
      <c r="CQ4283">
        <v>0</v>
      </c>
      <c r="CR4283">
        <v>2</v>
      </c>
      <c r="CS4283">
        <v>0</v>
      </c>
      <c r="CT4283">
        <v>2</v>
      </c>
      <c r="CU4283">
        <v>0</v>
      </c>
      <c r="CV4283">
        <v>6</v>
      </c>
      <c r="CW4283" t="s">
        <v>120</v>
      </c>
      <c r="CX4283">
        <v>257</v>
      </c>
      <c r="CY4283">
        <v>0</v>
      </c>
      <c r="CZ4283" t="s">
        <v>615</v>
      </c>
      <c r="DA4283" t="s">
        <v>616</v>
      </c>
      <c r="DD4283">
        <v>16748053</v>
      </c>
      <c r="DE4283" t="s">
        <v>123</v>
      </c>
    </row>
    <row r="4284" spans="1:109" x14ac:dyDescent="0.3">
      <c r="A4284" t="str">
        <f>"19:47:24.914"</f>
        <v>19:47:24.914</v>
      </c>
      <c r="B4284" t="s">
        <v>110</v>
      </c>
      <c r="C4284" t="str">
        <f t="shared" si="201"/>
        <v>ffdfd3c0</v>
      </c>
      <c r="D4284" t="s">
        <v>111</v>
      </c>
      <c r="E4284">
        <v>18</v>
      </c>
      <c r="F4284">
        <v>1018</v>
      </c>
      <c r="G4284" t="s">
        <v>112</v>
      </c>
      <c r="J4284" t="s">
        <v>113</v>
      </c>
      <c r="K4284">
        <v>0</v>
      </c>
      <c r="L4284">
        <v>3</v>
      </c>
      <c r="M4284">
        <v>0</v>
      </c>
      <c r="N4284">
        <v>2</v>
      </c>
      <c r="O4284">
        <v>1</v>
      </c>
      <c r="P4284">
        <v>0</v>
      </c>
      <c r="Q4284">
        <v>0</v>
      </c>
      <c r="R4284" t="s">
        <v>114</v>
      </c>
      <c r="S4284" t="str">
        <f>"19:47:24.617"</f>
        <v>19:47:24.617</v>
      </c>
      <c r="T4284" t="str">
        <f>"19:47:24.617"</f>
        <v>19:47:24.617</v>
      </c>
      <c r="U4284" t="str">
        <f t="shared" si="199"/>
        <v>a1cdbe</v>
      </c>
      <c r="V4284">
        <v>0</v>
      </c>
      <c r="W4284">
        <v>0</v>
      </c>
      <c r="X4284">
        <v>2</v>
      </c>
      <c r="Y4284">
        <v>0</v>
      </c>
      <c r="Z4284">
        <v>0</v>
      </c>
      <c r="AB4284">
        <v>0</v>
      </c>
      <c r="AC4284">
        <v>9</v>
      </c>
      <c r="AD4284">
        <v>3</v>
      </c>
      <c r="AE4284">
        <v>0</v>
      </c>
      <c r="AF4284">
        <v>9</v>
      </c>
      <c r="AG4284" t="s">
        <v>115</v>
      </c>
      <c r="AH4284">
        <v>0</v>
      </c>
      <c r="AI4284">
        <v>0</v>
      </c>
      <c r="AJ4284">
        <v>1</v>
      </c>
      <c r="AK4284">
        <v>0</v>
      </c>
      <c r="AL4284" t="s">
        <v>7858</v>
      </c>
      <c r="AM4284">
        <v>47.053735000000003</v>
      </c>
      <c r="AN4284" t="s">
        <v>7827</v>
      </c>
      <c r="AO4284">
        <v>-123.992043</v>
      </c>
      <c r="AP4284">
        <v>100</v>
      </c>
      <c r="AQ4284">
        <v>0</v>
      </c>
      <c r="AR4284" t="s">
        <v>118</v>
      </c>
      <c r="AS4284">
        <v>18</v>
      </c>
      <c r="AT4284">
        <v>-54</v>
      </c>
      <c r="AU4284">
        <v>448</v>
      </c>
      <c r="BC4284">
        <v>1200</v>
      </c>
      <c r="BD4284">
        <v>1</v>
      </c>
      <c r="BE4284" t="str">
        <f t="shared" si="200"/>
        <v xml:space="preserve">N215T   </v>
      </c>
      <c r="BF4284">
        <v>1</v>
      </c>
      <c r="BH4284">
        <v>0</v>
      </c>
      <c r="BI4284">
        <v>0</v>
      </c>
      <c r="BJ4284">
        <v>0</v>
      </c>
      <c r="BK4284">
        <v>400</v>
      </c>
      <c r="BL4284">
        <v>400</v>
      </c>
      <c r="BM4284" t="s">
        <v>119</v>
      </c>
      <c r="BN4284">
        <v>1</v>
      </c>
      <c r="BO4284">
        <v>1</v>
      </c>
      <c r="BP4284">
        <v>1</v>
      </c>
      <c r="BQ4284">
        <v>0</v>
      </c>
      <c r="BT4284">
        <v>0</v>
      </c>
      <c r="BU4284">
        <v>0</v>
      </c>
      <c r="BV4284">
        <v>0</v>
      </c>
      <c r="CC4284" t="str">
        <f>"19:47:24.617"</f>
        <v>19:47:24.617</v>
      </c>
      <c r="CD4284" t="str">
        <f>"619061892"</f>
        <v>619061892</v>
      </c>
      <c r="CQ4284">
        <v>0</v>
      </c>
      <c r="CR4284">
        <v>2</v>
      </c>
      <c r="CS4284">
        <v>0</v>
      </c>
      <c r="CT4284">
        <v>2</v>
      </c>
      <c r="CU4284">
        <v>0</v>
      </c>
      <c r="CV4284">
        <v>6</v>
      </c>
      <c r="CW4284" t="s">
        <v>120</v>
      </c>
      <c r="CX4284">
        <v>257</v>
      </c>
      <c r="CY4284">
        <v>0</v>
      </c>
      <c r="CZ4284" t="s">
        <v>615</v>
      </c>
      <c r="DA4284" t="s">
        <v>616</v>
      </c>
      <c r="DD4284">
        <v>16748385</v>
      </c>
      <c r="DE4284" t="s">
        <v>123</v>
      </c>
    </row>
    <row r="4285" spans="1:109" x14ac:dyDescent="0.3">
      <c r="A4285" t="str">
        <f>"19:47:25.875"</f>
        <v>19:47:25.875</v>
      </c>
      <c r="B4285" t="s">
        <v>110</v>
      </c>
      <c r="C4285" t="str">
        <f t="shared" si="201"/>
        <v>ffdfd3c0</v>
      </c>
      <c r="D4285" t="s">
        <v>111</v>
      </c>
      <c r="E4285">
        <v>18</v>
      </c>
      <c r="F4285">
        <v>1018</v>
      </c>
      <c r="G4285" t="s">
        <v>112</v>
      </c>
      <c r="J4285" t="s">
        <v>113</v>
      </c>
      <c r="K4285">
        <v>0</v>
      </c>
      <c r="L4285">
        <v>3</v>
      </c>
      <c r="M4285">
        <v>0</v>
      </c>
      <c r="N4285">
        <v>2</v>
      </c>
      <c r="O4285">
        <v>1</v>
      </c>
      <c r="P4285">
        <v>0</v>
      </c>
      <c r="Q4285">
        <v>0</v>
      </c>
      <c r="R4285" t="s">
        <v>114</v>
      </c>
      <c r="S4285" t="str">
        <f>"19:47:25.617"</f>
        <v>19:47:25.617</v>
      </c>
      <c r="T4285" t="str">
        <f>"19:47:25.117"</f>
        <v>19:47:25.117</v>
      </c>
      <c r="U4285" t="str">
        <f t="shared" si="199"/>
        <v>a1cdbe</v>
      </c>
      <c r="V4285">
        <v>0</v>
      </c>
      <c r="W4285">
        <v>0</v>
      </c>
      <c r="X4285">
        <v>2</v>
      </c>
      <c r="Y4285">
        <v>0</v>
      </c>
      <c r="Z4285">
        <v>0</v>
      </c>
      <c r="AB4285">
        <v>0</v>
      </c>
      <c r="AC4285">
        <v>9</v>
      </c>
      <c r="AD4285">
        <v>3</v>
      </c>
      <c r="AE4285">
        <v>0</v>
      </c>
      <c r="AF4285">
        <v>9</v>
      </c>
      <c r="AG4285" t="s">
        <v>115</v>
      </c>
      <c r="AH4285">
        <v>0</v>
      </c>
      <c r="AI4285">
        <v>0</v>
      </c>
      <c r="AJ4285">
        <v>1</v>
      </c>
      <c r="AK4285">
        <v>0</v>
      </c>
      <c r="AL4285" t="s">
        <v>7859</v>
      </c>
      <c r="AM4285">
        <v>47.053477999999998</v>
      </c>
      <c r="AN4285" t="s">
        <v>7825</v>
      </c>
      <c r="AO4285">
        <v>-123.99191399999999</v>
      </c>
      <c r="AP4285">
        <v>100</v>
      </c>
      <c r="AQ4285">
        <v>0</v>
      </c>
      <c r="AR4285" t="s">
        <v>118</v>
      </c>
      <c r="AS4285">
        <v>18</v>
      </c>
      <c r="AT4285">
        <v>-54</v>
      </c>
      <c r="AU4285">
        <v>384</v>
      </c>
      <c r="BC4285">
        <v>1200</v>
      </c>
      <c r="BD4285">
        <v>1</v>
      </c>
      <c r="BE4285" t="str">
        <f t="shared" si="200"/>
        <v xml:space="preserve">N215T   </v>
      </c>
      <c r="BF4285">
        <v>1</v>
      </c>
      <c r="BH4285">
        <v>0</v>
      </c>
      <c r="BI4285">
        <v>0</v>
      </c>
      <c r="BJ4285">
        <v>0</v>
      </c>
      <c r="BK4285">
        <v>400</v>
      </c>
      <c r="BL4285">
        <v>400</v>
      </c>
      <c r="BM4285" t="s">
        <v>119</v>
      </c>
      <c r="BN4285">
        <v>1</v>
      </c>
      <c r="BO4285">
        <v>1</v>
      </c>
      <c r="BP4285">
        <v>1</v>
      </c>
      <c r="BQ4285">
        <v>0</v>
      </c>
      <c r="BT4285">
        <v>0</v>
      </c>
      <c r="BU4285">
        <v>0</v>
      </c>
      <c r="BV4285">
        <v>0</v>
      </c>
      <c r="CC4285" t="str">
        <f>"19:47:25.625"</f>
        <v>19:47:25.625</v>
      </c>
      <c r="CD4285" t="str">
        <f>"623962763"</f>
        <v>623962763</v>
      </c>
      <c r="CQ4285">
        <v>0</v>
      </c>
      <c r="CR4285">
        <v>2</v>
      </c>
      <c r="CS4285">
        <v>0</v>
      </c>
      <c r="CT4285">
        <v>2</v>
      </c>
      <c r="CU4285">
        <v>0</v>
      </c>
      <c r="CV4285">
        <v>6</v>
      </c>
      <c r="CW4285" t="s">
        <v>120</v>
      </c>
      <c r="CX4285">
        <v>257</v>
      </c>
      <c r="CY4285">
        <v>0</v>
      </c>
      <c r="CZ4285" t="s">
        <v>615</v>
      </c>
      <c r="DA4285" t="s">
        <v>616</v>
      </c>
      <c r="DD4285">
        <v>16748700</v>
      </c>
      <c r="DE4285" t="s">
        <v>123</v>
      </c>
    </row>
    <row r="4286" spans="1:109" x14ac:dyDescent="0.3">
      <c r="A4286" t="str">
        <f>"19:47:26.773"</f>
        <v>19:47:26.773</v>
      </c>
      <c r="B4286" t="s">
        <v>110</v>
      </c>
      <c r="C4286" t="str">
        <f t="shared" si="201"/>
        <v>ffdfd3c0</v>
      </c>
      <c r="D4286" t="s">
        <v>111</v>
      </c>
      <c r="E4286">
        <v>18</v>
      </c>
      <c r="F4286">
        <v>1018</v>
      </c>
      <c r="G4286" t="s">
        <v>112</v>
      </c>
      <c r="J4286" t="s">
        <v>113</v>
      </c>
      <c r="K4286">
        <v>0</v>
      </c>
      <c r="L4286">
        <v>3</v>
      </c>
      <c r="M4286">
        <v>0</v>
      </c>
      <c r="N4286">
        <v>2</v>
      </c>
      <c r="O4286">
        <v>1</v>
      </c>
      <c r="P4286">
        <v>0</v>
      </c>
      <c r="Q4286">
        <v>0</v>
      </c>
      <c r="R4286" t="s">
        <v>114</v>
      </c>
      <c r="S4286" t="str">
        <f>"19:47:26.531"</f>
        <v>19:47:26.531</v>
      </c>
      <c r="T4286" t="str">
        <f>"19:47:26.234"</f>
        <v>19:47:26.234</v>
      </c>
      <c r="U4286" t="str">
        <f t="shared" si="199"/>
        <v>a1cdbe</v>
      </c>
      <c r="V4286">
        <v>0</v>
      </c>
      <c r="W4286">
        <v>0</v>
      </c>
      <c r="X4286">
        <v>2</v>
      </c>
      <c r="Y4286">
        <v>0</v>
      </c>
      <c r="Z4286">
        <v>0</v>
      </c>
      <c r="AB4286">
        <v>0</v>
      </c>
      <c r="AC4286">
        <v>9</v>
      </c>
      <c r="AD4286">
        <v>3</v>
      </c>
      <c r="AE4286">
        <v>0</v>
      </c>
      <c r="AF4286">
        <v>9</v>
      </c>
      <c r="AG4286" t="s">
        <v>115</v>
      </c>
      <c r="AH4286">
        <v>0</v>
      </c>
      <c r="AI4286">
        <v>0</v>
      </c>
      <c r="AJ4286">
        <v>1</v>
      </c>
      <c r="AK4286">
        <v>0</v>
      </c>
      <c r="AL4286" t="s">
        <v>7860</v>
      </c>
      <c r="AM4286">
        <v>47.053263000000001</v>
      </c>
      <c r="AN4286" t="s">
        <v>7824</v>
      </c>
      <c r="AO4286">
        <v>-123.991764</v>
      </c>
      <c r="AP4286">
        <v>100</v>
      </c>
      <c r="AQ4286">
        <v>0</v>
      </c>
      <c r="AR4286" t="s">
        <v>118</v>
      </c>
      <c r="AS4286">
        <v>18</v>
      </c>
      <c r="AT4286">
        <v>-53</v>
      </c>
      <c r="AU4286">
        <v>320</v>
      </c>
      <c r="BC4286">
        <v>1200</v>
      </c>
      <c r="BD4286">
        <v>1</v>
      </c>
      <c r="BE4286" t="str">
        <f t="shared" si="200"/>
        <v xml:space="preserve">N215T   </v>
      </c>
      <c r="BF4286">
        <v>1</v>
      </c>
      <c r="BH4286">
        <v>0</v>
      </c>
      <c r="BI4286">
        <v>0</v>
      </c>
      <c r="BJ4286">
        <v>0</v>
      </c>
      <c r="BK4286">
        <v>400</v>
      </c>
      <c r="BL4286">
        <v>400</v>
      </c>
      <c r="BM4286" t="s">
        <v>119</v>
      </c>
      <c r="BN4286">
        <v>1</v>
      </c>
      <c r="BO4286">
        <v>1</v>
      </c>
      <c r="BP4286">
        <v>1</v>
      </c>
      <c r="BQ4286">
        <v>0</v>
      </c>
      <c r="BT4286">
        <v>0</v>
      </c>
      <c r="BU4286">
        <v>0</v>
      </c>
      <c r="BV4286">
        <v>0</v>
      </c>
      <c r="CC4286" t="str">
        <f>"19:47:26.539"</f>
        <v>19:47:26.539</v>
      </c>
      <c r="CD4286" t="str">
        <f>"538872502"</f>
        <v>538872502</v>
      </c>
      <c r="CQ4286">
        <v>0</v>
      </c>
      <c r="CR4286">
        <v>2</v>
      </c>
      <c r="CS4286">
        <v>0</v>
      </c>
      <c r="CT4286">
        <v>2</v>
      </c>
      <c r="CU4286">
        <v>0</v>
      </c>
      <c r="CV4286">
        <v>6</v>
      </c>
      <c r="CW4286" t="s">
        <v>120</v>
      </c>
      <c r="CX4286">
        <v>257</v>
      </c>
      <c r="CY4286">
        <v>0</v>
      </c>
      <c r="CZ4286" t="s">
        <v>615</v>
      </c>
      <c r="DA4286" t="s">
        <v>616</v>
      </c>
      <c r="DD4286">
        <v>16749014</v>
      </c>
      <c r="DE4286" t="s">
        <v>123</v>
      </c>
    </row>
    <row r="4287" spans="1:109" x14ac:dyDescent="0.3">
      <c r="A4287" t="str">
        <f>"19:47:27.680"</f>
        <v>19:47:27.680</v>
      </c>
      <c r="B4287" t="s">
        <v>110</v>
      </c>
      <c r="C4287" t="str">
        <f t="shared" si="201"/>
        <v>ffdfd3c0</v>
      </c>
      <c r="D4287" t="s">
        <v>111</v>
      </c>
      <c r="E4287">
        <v>18</v>
      </c>
      <c r="F4287">
        <v>1018</v>
      </c>
      <c r="G4287" t="s">
        <v>112</v>
      </c>
      <c r="J4287" t="s">
        <v>113</v>
      </c>
      <c r="K4287">
        <v>0</v>
      </c>
      <c r="L4287">
        <v>3</v>
      </c>
      <c r="M4287">
        <v>0</v>
      </c>
      <c r="N4287">
        <v>2</v>
      </c>
      <c r="O4287">
        <v>1</v>
      </c>
      <c r="P4287">
        <v>0</v>
      </c>
      <c r="Q4287">
        <v>0</v>
      </c>
      <c r="R4287" t="s">
        <v>114</v>
      </c>
      <c r="S4287" t="str">
        <f>"19:47:27.453"</f>
        <v>19:47:27.453</v>
      </c>
      <c r="T4287" t="str">
        <f>"19:47:27.156"</f>
        <v>19:47:27.156</v>
      </c>
      <c r="U4287" t="str">
        <f t="shared" si="199"/>
        <v>a1cdbe</v>
      </c>
      <c r="V4287">
        <v>0</v>
      </c>
      <c r="W4287">
        <v>0</v>
      </c>
      <c r="X4287">
        <v>2</v>
      </c>
      <c r="Y4287">
        <v>0</v>
      </c>
      <c r="Z4287">
        <v>0</v>
      </c>
      <c r="AB4287">
        <v>0</v>
      </c>
      <c r="AC4287">
        <v>9</v>
      </c>
      <c r="AD4287">
        <v>3</v>
      </c>
      <c r="AE4287">
        <v>0</v>
      </c>
      <c r="AF4287">
        <v>9</v>
      </c>
      <c r="AG4287" t="s">
        <v>115</v>
      </c>
      <c r="AH4287">
        <v>0</v>
      </c>
      <c r="AI4287">
        <v>0</v>
      </c>
      <c r="AJ4287">
        <v>1</v>
      </c>
      <c r="AK4287">
        <v>0</v>
      </c>
      <c r="AL4287" t="s">
        <v>7861</v>
      </c>
      <c r="AM4287">
        <v>47.053049000000001</v>
      </c>
      <c r="AN4287" t="s">
        <v>7622</v>
      </c>
      <c r="AO4287">
        <v>-123.991699</v>
      </c>
      <c r="AP4287">
        <v>100</v>
      </c>
      <c r="AQ4287">
        <v>0</v>
      </c>
      <c r="AR4287" t="s">
        <v>118</v>
      </c>
      <c r="AS4287">
        <v>19</v>
      </c>
      <c r="AT4287">
        <v>-53</v>
      </c>
      <c r="AU4287">
        <v>256</v>
      </c>
      <c r="BC4287">
        <v>1200</v>
      </c>
      <c r="BD4287">
        <v>1</v>
      </c>
      <c r="BE4287" t="str">
        <f t="shared" si="200"/>
        <v xml:space="preserve">N215T   </v>
      </c>
      <c r="BF4287">
        <v>1</v>
      </c>
      <c r="BH4287">
        <v>0</v>
      </c>
      <c r="BI4287">
        <v>0</v>
      </c>
      <c r="BJ4287">
        <v>0</v>
      </c>
      <c r="BK4287">
        <v>400</v>
      </c>
      <c r="BL4287">
        <v>400</v>
      </c>
      <c r="BM4287" t="s">
        <v>119</v>
      </c>
      <c r="BN4287">
        <v>1</v>
      </c>
      <c r="BO4287">
        <v>1</v>
      </c>
      <c r="BP4287">
        <v>1</v>
      </c>
      <c r="BQ4287">
        <v>0</v>
      </c>
      <c r="BT4287">
        <v>0</v>
      </c>
      <c r="BU4287">
        <v>0</v>
      </c>
      <c r="BV4287">
        <v>0</v>
      </c>
      <c r="CC4287" t="str">
        <f>"19:47:27.453"</f>
        <v>19:47:27.453</v>
      </c>
      <c r="CD4287" t="str">
        <f>"453782243"</f>
        <v>453782243</v>
      </c>
      <c r="CQ4287">
        <v>0</v>
      </c>
      <c r="CR4287">
        <v>2</v>
      </c>
      <c r="CS4287">
        <v>0</v>
      </c>
      <c r="CT4287">
        <v>2</v>
      </c>
      <c r="CU4287">
        <v>0</v>
      </c>
      <c r="CV4287">
        <v>6</v>
      </c>
      <c r="CW4287" t="s">
        <v>120</v>
      </c>
      <c r="CX4287">
        <v>257</v>
      </c>
      <c r="CY4287">
        <v>0</v>
      </c>
      <c r="CZ4287" t="s">
        <v>615</v>
      </c>
      <c r="DA4287" t="s">
        <v>616</v>
      </c>
      <c r="DD4287">
        <v>16749300</v>
      </c>
      <c r="DE4287" t="s">
        <v>123</v>
      </c>
    </row>
    <row r="4288" spans="1:109" x14ac:dyDescent="0.3">
      <c r="A4288" t="str">
        <f>"19:47:28.789"</f>
        <v>19:47:28.789</v>
      </c>
      <c r="B4288" t="s">
        <v>110</v>
      </c>
      <c r="C4288" t="str">
        <f t="shared" si="201"/>
        <v>ffdfd3c0</v>
      </c>
      <c r="D4288" t="s">
        <v>111</v>
      </c>
      <c r="E4288">
        <v>18</v>
      </c>
      <c r="F4288">
        <v>1018</v>
      </c>
      <c r="G4288" t="s">
        <v>112</v>
      </c>
      <c r="J4288" t="s">
        <v>113</v>
      </c>
      <c r="K4288">
        <v>0</v>
      </c>
      <c r="L4288">
        <v>3</v>
      </c>
      <c r="M4288">
        <v>0</v>
      </c>
      <c r="N4288">
        <v>2</v>
      </c>
      <c r="O4288">
        <v>1</v>
      </c>
      <c r="P4288">
        <v>0</v>
      </c>
      <c r="Q4288">
        <v>0</v>
      </c>
      <c r="R4288" t="s">
        <v>114</v>
      </c>
      <c r="S4288" t="str">
        <f>"19:47:28.563"</f>
        <v>19:47:28.563</v>
      </c>
      <c r="T4288" t="str">
        <f>"19:47:28.164"</f>
        <v>19:47:28.164</v>
      </c>
      <c r="U4288" t="str">
        <f t="shared" si="199"/>
        <v>a1cdbe</v>
      </c>
      <c r="V4288">
        <v>0</v>
      </c>
      <c r="W4288">
        <v>0</v>
      </c>
      <c r="X4288">
        <v>2</v>
      </c>
      <c r="Y4288">
        <v>0</v>
      </c>
      <c r="Z4288">
        <v>0</v>
      </c>
      <c r="AB4288">
        <v>0</v>
      </c>
      <c r="AC4288">
        <v>9</v>
      </c>
      <c r="AD4288">
        <v>3</v>
      </c>
      <c r="AE4288">
        <v>0</v>
      </c>
      <c r="AF4288">
        <v>9</v>
      </c>
      <c r="AG4288" t="s">
        <v>115</v>
      </c>
      <c r="AH4288">
        <v>0</v>
      </c>
      <c r="AI4288">
        <v>0</v>
      </c>
      <c r="AJ4288">
        <v>1</v>
      </c>
      <c r="AK4288">
        <v>0</v>
      </c>
      <c r="AL4288" t="s">
        <v>7862</v>
      </c>
      <c r="AM4288">
        <v>47.052770000000002</v>
      </c>
      <c r="AN4288" t="s">
        <v>7768</v>
      </c>
      <c r="AO4288">
        <v>-123.99154900000001</v>
      </c>
      <c r="AP4288">
        <v>100</v>
      </c>
      <c r="AQ4288">
        <v>0</v>
      </c>
      <c r="AR4288" t="s">
        <v>118</v>
      </c>
      <c r="AS4288">
        <v>20</v>
      </c>
      <c r="AT4288">
        <v>-52</v>
      </c>
      <c r="AU4288">
        <v>192</v>
      </c>
      <c r="BC4288">
        <v>1200</v>
      </c>
      <c r="BD4288">
        <v>1</v>
      </c>
      <c r="BE4288" t="str">
        <f t="shared" si="200"/>
        <v xml:space="preserve">N215T   </v>
      </c>
      <c r="BF4288">
        <v>1</v>
      </c>
      <c r="BH4288">
        <v>0</v>
      </c>
      <c r="BI4288">
        <v>0</v>
      </c>
      <c r="BJ4288">
        <v>0</v>
      </c>
      <c r="BK4288">
        <v>400</v>
      </c>
      <c r="BL4288">
        <v>400</v>
      </c>
      <c r="BM4288" t="s">
        <v>119</v>
      </c>
      <c r="BN4288">
        <v>1</v>
      </c>
      <c r="BO4288">
        <v>1</v>
      </c>
      <c r="BP4288">
        <v>1</v>
      </c>
      <c r="BQ4288">
        <v>0</v>
      </c>
      <c r="BT4288">
        <v>0</v>
      </c>
      <c r="BU4288">
        <v>0</v>
      </c>
      <c r="BV4288">
        <v>0</v>
      </c>
      <c r="CC4288" t="str">
        <f>"19:47:28.563"</f>
        <v>19:47:28.563</v>
      </c>
      <c r="CD4288" t="str">
        <f>"563672756"</f>
        <v>563672756</v>
      </c>
      <c r="CQ4288">
        <v>0</v>
      </c>
      <c r="CR4288">
        <v>2</v>
      </c>
      <c r="CS4288">
        <v>0</v>
      </c>
      <c r="CT4288">
        <v>2</v>
      </c>
      <c r="CU4288">
        <v>0</v>
      </c>
      <c r="CV4288">
        <v>6</v>
      </c>
      <c r="CW4288" t="s">
        <v>120</v>
      </c>
      <c r="CX4288">
        <v>257</v>
      </c>
      <c r="CY4288">
        <v>0</v>
      </c>
      <c r="CZ4288" t="s">
        <v>615</v>
      </c>
      <c r="DA4288" t="s">
        <v>616</v>
      </c>
      <c r="DD4288">
        <v>16749633</v>
      </c>
      <c r="DE4288" t="s">
        <v>123</v>
      </c>
    </row>
    <row r="4289" spans="1:109" x14ac:dyDescent="0.3">
      <c r="A4289" t="str">
        <f>"19:47:29.688"</f>
        <v>19:47:29.688</v>
      </c>
      <c r="B4289" t="s">
        <v>110</v>
      </c>
      <c r="C4289" t="str">
        <f t="shared" si="201"/>
        <v>ffdfd3c0</v>
      </c>
      <c r="D4289" t="s">
        <v>111</v>
      </c>
      <c r="E4289">
        <v>18</v>
      </c>
      <c r="F4289">
        <v>1018</v>
      </c>
      <c r="G4289" t="s">
        <v>112</v>
      </c>
      <c r="J4289" t="s">
        <v>113</v>
      </c>
      <c r="K4289">
        <v>0</v>
      </c>
      <c r="L4289">
        <v>3</v>
      </c>
      <c r="M4289">
        <v>0</v>
      </c>
      <c r="N4289">
        <v>2</v>
      </c>
      <c r="O4289">
        <v>1</v>
      </c>
      <c r="P4289">
        <v>0</v>
      </c>
      <c r="Q4289">
        <v>0</v>
      </c>
      <c r="R4289" t="s">
        <v>114</v>
      </c>
      <c r="S4289" t="str">
        <f>"19:47:29.398"</f>
        <v>19:47:29.398</v>
      </c>
      <c r="T4289" t="str">
        <f>"19:47:29.102"</f>
        <v>19:47:29.102</v>
      </c>
      <c r="U4289" t="str">
        <f t="shared" si="199"/>
        <v>a1cdbe</v>
      </c>
      <c r="V4289">
        <v>0</v>
      </c>
      <c r="W4289">
        <v>0</v>
      </c>
      <c r="X4289">
        <v>2</v>
      </c>
      <c r="Y4289">
        <v>0</v>
      </c>
      <c r="Z4289">
        <v>0</v>
      </c>
      <c r="AB4289">
        <v>0</v>
      </c>
      <c r="AC4289">
        <v>9</v>
      </c>
      <c r="AD4289">
        <v>3</v>
      </c>
      <c r="AE4289">
        <v>0</v>
      </c>
      <c r="AF4289">
        <v>9</v>
      </c>
      <c r="AG4289" t="s">
        <v>115</v>
      </c>
      <c r="AH4289">
        <v>0</v>
      </c>
      <c r="AI4289">
        <v>0</v>
      </c>
      <c r="AJ4289">
        <v>1</v>
      </c>
      <c r="AK4289">
        <v>0</v>
      </c>
      <c r="AL4289" t="s">
        <v>7863</v>
      </c>
      <c r="AM4289">
        <v>47.052534000000001</v>
      </c>
      <c r="AN4289" t="s">
        <v>7334</v>
      </c>
      <c r="AO4289">
        <v>-123.99142000000001</v>
      </c>
      <c r="AP4289">
        <v>100</v>
      </c>
      <c r="AQ4289">
        <v>0</v>
      </c>
      <c r="AR4289" t="s">
        <v>118</v>
      </c>
      <c r="AS4289">
        <v>19</v>
      </c>
      <c r="AT4289">
        <v>-52</v>
      </c>
      <c r="AU4289">
        <v>256</v>
      </c>
      <c r="BC4289">
        <v>1200</v>
      </c>
      <c r="BD4289">
        <v>1</v>
      </c>
      <c r="BE4289" t="str">
        <f t="shared" si="200"/>
        <v xml:space="preserve">N215T   </v>
      </c>
      <c r="BF4289">
        <v>1</v>
      </c>
      <c r="BH4289">
        <v>0</v>
      </c>
      <c r="BI4289">
        <v>0</v>
      </c>
      <c r="BJ4289">
        <v>0</v>
      </c>
      <c r="BK4289">
        <v>400</v>
      </c>
      <c r="BL4289">
        <v>400</v>
      </c>
      <c r="BM4289" t="s">
        <v>119</v>
      </c>
      <c r="BN4289">
        <v>1</v>
      </c>
      <c r="BO4289">
        <v>1</v>
      </c>
      <c r="BP4289">
        <v>1</v>
      </c>
      <c r="BQ4289">
        <v>0</v>
      </c>
      <c r="BT4289">
        <v>0</v>
      </c>
      <c r="BU4289">
        <v>0</v>
      </c>
      <c r="BV4289">
        <v>0</v>
      </c>
      <c r="CC4289" t="str">
        <f>"19:47:29.406"</f>
        <v>19:47:29.406</v>
      </c>
      <c r="CD4289" t="str">
        <f>"403589891"</f>
        <v>403589891</v>
      </c>
      <c r="CQ4289">
        <v>0</v>
      </c>
      <c r="CR4289">
        <v>2</v>
      </c>
      <c r="CS4289">
        <v>0</v>
      </c>
      <c r="CT4289">
        <v>2</v>
      </c>
      <c r="CU4289">
        <v>0</v>
      </c>
      <c r="CV4289">
        <v>5</v>
      </c>
      <c r="CW4289" t="s">
        <v>120</v>
      </c>
      <c r="CX4289">
        <v>257</v>
      </c>
      <c r="CY4289">
        <v>0</v>
      </c>
      <c r="CZ4289" t="s">
        <v>615</v>
      </c>
      <c r="DA4289" t="s">
        <v>616</v>
      </c>
      <c r="DD4289">
        <v>16749894</v>
      </c>
      <c r="DE4289" t="s">
        <v>123</v>
      </c>
    </row>
    <row r="4290" spans="1:109" x14ac:dyDescent="0.3">
      <c r="A4290" t="str">
        <f>"19:47:30.695"</f>
        <v>19:47:30.695</v>
      </c>
      <c r="B4290" t="s">
        <v>110</v>
      </c>
      <c r="C4290" t="str">
        <f t="shared" si="201"/>
        <v>ffdfd3c0</v>
      </c>
      <c r="D4290" t="s">
        <v>111</v>
      </c>
      <c r="E4290">
        <v>18</v>
      </c>
      <c r="F4290">
        <v>1018</v>
      </c>
      <c r="G4290" t="s">
        <v>112</v>
      </c>
      <c r="J4290" t="s">
        <v>113</v>
      </c>
      <c r="K4290">
        <v>0</v>
      </c>
      <c r="L4290">
        <v>3</v>
      </c>
      <c r="M4290">
        <v>0</v>
      </c>
      <c r="N4290">
        <v>2</v>
      </c>
      <c r="O4290">
        <v>1</v>
      </c>
      <c r="P4290">
        <v>0</v>
      </c>
      <c r="Q4290">
        <v>0</v>
      </c>
      <c r="R4290" t="s">
        <v>114</v>
      </c>
      <c r="S4290" t="str">
        <f>"19:47:30.461"</f>
        <v>19:47:30.461</v>
      </c>
      <c r="T4290" t="str">
        <f>"19:47:30.164"</f>
        <v>19:47:30.164</v>
      </c>
      <c r="U4290" t="str">
        <f t="shared" ref="U4290:U4353" si="202">"a1cdbe"</f>
        <v>a1cdbe</v>
      </c>
      <c r="V4290">
        <v>0</v>
      </c>
      <c r="W4290">
        <v>0</v>
      </c>
      <c r="X4290">
        <v>2</v>
      </c>
      <c r="Y4290">
        <v>0</v>
      </c>
      <c r="Z4290">
        <v>0</v>
      </c>
      <c r="AB4290">
        <v>0</v>
      </c>
      <c r="AC4290">
        <v>9</v>
      </c>
      <c r="AD4290">
        <v>3</v>
      </c>
      <c r="AE4290">
        <v>0</v>
      </c>
      <c r="AF4290">
        <v>9</v>
      </c>
      <c r="AG4290" t="s">
        <v>115</v>
      </c>
      <c r="AH4290">
        <v>0</v>
      </c>
      <c r="AI4290">
        <v>0</v>
      </c>
      <c r="AJ4290">
        <v>1</v>
      </c>
      <c r="AK4290">
        <v>0</v>
      </c>
      <c r="AL4290" t="s">
        <v>7864</v>
      </c>
      <c r="AM4290">
        <v>47.052298</v>
      </c>
      <c r="AN4290" t="s">
        <v>7772</v>
      </c>
      <c r="AO4290">
        <v>-123.991292</v>
      </c>
      <c r="AP4290">
        <v>100</v>
      </c>
      <c r="AQ4290">
        <v>0</v>
      </c>
      <c r="AR4290" t="s">
        <v>118</v>
      </c>
      <c r="AS4290">
        <v>19</v>
      </c>
      <c r="AT4290">
        <v>-53</v>
      </c>
      <c r="AU4290">
        <v>192</v>
      </c>
      <c r="BC4290">
        <v>1200</v>
      </c>
      <c r="BD4290">
        <v>1</v>
      </c>
      <c r="BE4290" t="str">
        <f t="shared" ref="BE4290:BE4353" si="203">"N215T   "</f>
        <v xml:space="preserve">N215T   </v>
      </c>
      <c r="BF4290">
        <v>1</v>
      </c>
      <c r="BH4290">
        <v>0</v>
      </c>
      <c r="BI4290">
        <v>0</v>
      </c>
      <c r="BJ4290">
        <v>0</v>
      </c>
      <c r="BK4290">
        <v>425</v>
      </c>
      <c r="BL4290">
        <v>425</v>
      </c>
      <c r="BM4290" t="s">
        <v>119</v>
      </c>
      <c r="BN4290">
        <v>1</v>
      </c>
      <c r="BO4290">
        <v>1</v>
      </c>
      <c r="BP4290">
        <v>1</v>
      </c>
      <c r="BQ4290">
        <v>0</v>
      </c>
      <c r="BT4290">
        <v>0</v>
      </c>
      <c r="BU4290">
        <v>0</v>
      </c>
      <c r="BV4290">
        <v>0</v>
      </c>
      <c r="CC4290" t="str">
        <f>"19:47:30.469"</f>
        <v>19:47:30.469</v>
      </c>
      <c r="CD4290" t="str">
        <f>"468484845"</f>
        <v>468484845</v>
      </c>
      <c r="CQ4290">
        <v>0</v>
      </c>
      <c r="CR4290">
        <v>2</v>
      </c>
      <c r="CS4290">
        <v>0</v>
      </c>
      <c r="CT4290">
        <v>2</v>
      </c>
      <c r="CU4290">
        <v>0</v>
      </c>
      <c r="CV4290">
        <v>6</v>
      </c>
      <c r="CW4290" t="s">
        <v>120</v>
      </c>
      <c r="CX4290">
        <v>257</v>
      </c>
      <c r="CY4290">
        <v>0</v>
      </c>
      <c r="CZ4290" t="s">
        <v>615</v>
      </c>
      <c r="DA4290" t="s">
        <v>616</v>
      </c>
      <c r="DD4290">
        <v>16750217</v>
      </c>
      <c r="DE4290" t="s">
        <v>123</v>
      </c>
    </row>
    <row r="4291" spans="1:109" x14ac:dyDescent="0.3">
      <c r="A4291" t="str">
        <f>"19:47:31.906"</f>
        <v>19:47:31.906</v>
      </c>
      <c r="B4291" t="s">
        <v>110</v>
      </c>
      <c r="C4291" t="str">
        <f t="shared" si="201"/>
        <v>ffdfd3c0</v>
      </c>
      <c r="D4291" t="s">
        <v>111</v>
      </c>
      <c r="E4291">
        <v>18</v>
      </c>
      <c r="F4291">
        <v>1018</v>
      </c>
      <c r="G4291" t="s">
        <v>112</v>
      </c>
      <c r="J4291" t="s">
        <v>113</v>
      </c>
      <c r="K4291">
        <v>0</v>
      </c>
      <c r="L4291">
        <v>3</v>
      </c>
      <c r="M4291">
        <v>0</v>
      </c>
      <c r="N4291">
        <v>2</v>
      </c>
      <c r="O4291">
        <v>1</v>
      </c>
      <c r="P4291">
        <v>0</v>
      </c>
      <c r="Q4291">
        <v>0</v>
      </c>
      <c r="R4291" t="s">
        <v>114</v>
      </c>
      <c r="S4291" t="str">
        <f>"19:47:31.648"</f>
        <v>19:47:31.648</v>
      </c>
      <c r="T4291" t="str">
        <f>"19:47:31.648"</f>
        <v>19:47:31.648</v>
      </c>
      <c r="U4291" t="str">
        <f t="shared" si="202"/>
        <v>a1cdbe</v>
      </c>
      <c r="V4291">
        <v>0</v>
      </c>
      <c r="W4291">
        <v>0</v>
      </c>
      <c r="X4291">
        <v>2</v>
      </c>
      <c r="Y4291">
        <v>0</v>
      </c>
      <c r="Z4291">
        <v>0</v>
      </c>
      <c r="AB4291">
        <v>0</v>
      </c>
      <c r="AC4291">
        <v>9</v>
      </c>
      <c r="AD4291">
        <v>3</v>
      </c>
      <c r="AE4291">
        <v>0</v>
      </c>
      <c r="AF4291">
        <v>9</v>
      </c>
      <c r="AG4291" t="s">
        <v>115</v>
      </c>
      <c r="AH4291">
        <v>0</v>
      </c>
      <c r="AI4291">
        <v>0</v>
      </c>
      <c r="AJ4291">
        <v>1</v>
      </c>
      <c r="AK4291">
        <v>0</v>
      </c>
      <c r="AL4291" t="s">
        <v>7865</v>
      </c>
      <c r="AM4291">
        <v>47.052019000000001</v>
      </c>
      <c r="AN4291" t="s">
        <v>7775</v>
      </c>
      <c r="AO4291">
        <v>-123.991141</v>
      </c>
      <c r="AP4291">
        <v>100</v>
      </c>
      <c r="AQ4291">
        <v>0</v>
      </c>
      <c r="AR4291" t="s">
        <v>118</v>
      </c>
      <c r="AS4291">
        <v>21</v>
      </c>
      <c r="AT4291">
        <v>-52</v>
      </c>
      <c r="AU4291">
        <v>512</v>
      </c>
      <c r="BC4291">
        <v>1200</v>
      </c>
      <c r="BD4291">
        <v>1</v>
      </c>
      <c r="BE4291" t="str">
        <f t="shared" si="203"/>
        <v xml:space="preserve">N215T   </v>
      </c>
      <c r="BF4291">
        <v>1</v>
      </c>
      <c r="BH4291">
        <v>0</v>
      </c>
      <c r="BI4291">
        <v>0</v>
      </c>
      <c r="BJ4291">
        <v>0</v>
      </c>
      <c r="BK4291">
        <v>425</v>
      </c>
      <c r="BL4291">
        <v>425</v>
      </c>
      <c r="BM4291" t="s">
        <v>119</v>
      </c>
      <c r="BN4291">
        <v>1</v>
      </c>
      <c r="BO4291">
        <v>1</v>
      </c>
      <c r="BP4291">
        <v>1</v>
      </c>
      <c r="BQ4291">
        <v>0</v>
      </c>
      <c r="BT4291">
        <v>0</v>
      </c>
      <c r="BU4291">
        <v>0</v>
      </c>
      <c r="BV4291">
        <v>0</v>
      </c>
      <c r="CC4291" t="str">
        <f>"19:47:31.656"</f>
        <v>19:47:31.656</v>
      </c>
      <c r="CD4291" t="str">
        <f>"653367947"</f>
        <v>653367947</v>
      </c>
      <c r="CQ4291">
        <v>0</v>
      </c>
      <c r="CR4291">
        <v>2</v>
      </c>
      <c r="CS4291">
        <v>0</v>
      </c>
      <c r="CT4291">
        <v>2</v>
      </c>
      <c r="CU4291">
        <v>0</v>
      </c>
      <c r="CV4291">
        <v>6</v>
      </c>
      <c r="CW4291" t="s">
        <v>120</v>
      </c>
      <c r="CX4291">
        <v>257</v>
      </c>
      <c r="CY4291">
        <v>0</v>
      </c>
      <c r="CZ4291" t="s">
        <v>615</v>
      </c>
      <c r="DA4291" t="s">
        <v>616</v>
      </c>
      <c r="DD4291">
        <v>16750609</v>
      </c>
      <c r="DE4291" t="s">
        <v>123</v>
      </c>
    </row>
    <row r="4292" spans="1:109" x14ac:dyDescent="0.3">
      <c r="A4292" t="str">
        <f>"19:47:32.906"</f>
        <v>19:47:32.906</v>
      </c>
      <c r="B4292" t="s">
        <v>110</v>
      </c>
      <c r="C4292" t="str">
        <f t="shared" si="201"/>
        <v>ffdfd3c0</v>
      </c>
      <c r="D4292" t="s">
        <v>111</v>
      </c>
      <c r="E4292">
        <v>18</v>
      </c>
      <c r="F4292">
        <v>1018</v>
      </c>
      <c r="G4292" t="s">
        <v>112</v>
      </c>
      <c r="J4292" t="s">
        <v>113</v>
      </c>
      <c r="K4292">
        <v>0</v>
      </c>
      <c r="L4292">
        <v>3</v>
      </c>
      <c r="M4292">
        <v>0</v>
      </c>
      <c r="N4292">
        <v>2</v>
      </c>
      <c r="O4292">
        <v>1</v>
      </c>
      <c r="P4292">
        <v>0</v>
      </c>
      <c r="Q4292">
        <v>0</v>
      </c>
      <c r="R4292" t="s">
        <v>114</v>
      </c>
      <c r="S4292" t="str">
        <f>"19:47:32.656"</f>
        <v>19:47:32.656</v>
      </c>
      <c r="T4292" t="str">
        <f>"19:47:32.156"</f>
        <v>19:47:32.156</v>
      </c>
      <c r="U4292" t="str">
        <f t="shared" si="202"/>
        <v>a1cdbe</v>
      </c>
      <c r="V4292">
        <v>0</v>
      </c>
      <c r="W4292">
        <v>0</v>
      </c>
      <c r="X4292">
        <v>2</v>
      </c>
      <c r="Y4292">
        <v>0</v>
      </c>
      <c r="Z4292">
        <v>0</v>
      </c>
      <c r="AB4292">
        <v>0</v>
      </c>
      <c r="AC4292">
        <v>9</v>
      </c>
      <c r="AD4292">
        <v>3</v>
      </c>
      <c r="AE4292">
        <v>0</v>
      </c>
      <c r="AF4292">
        <v>9</v>
      </c>
      <c r="AG4292" t="s">
        <v>115</v>
      </c>
      <c r="AH4292">
        <v>0</v>
      </c>
      <c r="AI4292">
        <v>0</v>
      </c>
      <c r="AJ4292">
        <v>1</v>
      </c>
      <c r="AK4292">
        <v>0</v>
      </c>
      <c r="AL4292" t="s">
        <v>7241</v>
      </c>
      <c r="AM4292">
        <v>47.051740000000002</v>
      </c>
      <c r="AN4292" t="s">
        <v>7866</v>
      </c>
      <c r="AO4292">
        <v>-123.99099099999999</v>
      </c>
      <c r="AP4292">
        <v>100</v>
      </c>
      <c r="AQ4292">
        <v>0</v>
      </c>
      <c r="AR4292" t="s">
        <v>118</v>
      </c>
      <c r="AS4292">
        <v>22</v>
      </c>
      <c r="AT4292">
        <v>-53</v>
      </c>
      <c r="AU4292">
        <v>640</v>
      </c>
      <c r="BC4292">
        <v>1200</v>
      </c>
      <c r="BD4292">
        <v>1</v>
      </c>
      <c r="BE4292" t="str">
        <f t="shared" si="203"/>
        <v xml:space="preserve">N215T   </v>
      </c>
      <c r="BF4292">
        <v>1</v>
      </c>
      <c r="BH4292">
        <v>0</v>
      </c>
      <c r="BI4292">
        <v>0</v>
      </c>
      <c r="BJ4292">
        <v>0</v>
      </c>
      <c r="BK4292">
        <v>425</v>
      </c>
      <c r="BL4292">
        <v>425</v>
      </c>
      <c r="BM4292" t="s">
        <v>119</v>
      </c>
      <c r="BN4292">
        <v>1</v>
      </c>
      <c r="BO4292">
        <v>1</v>
      </c>
      <c r="BP4292">
        <v>1</v>
      </c>
      <c r="BQ4292">
        <v>0</v>
      </c>
      <c r="BT4292">
        <v>0</v>
      </c>
      <c r="BU4292">
        <v>0</v>
      </c>
      <c r="BV4292">
        <v>0</v>
      </c>
      <c r="CC4292" t="str">
        <f>"19:47:32.656"</f>
        <v>19:47:32.656</v>
      </c>
      <c r="CD4292" t="str">
        <f>"658268824"</f>
        <v>658268824</v>
      </c>
      <c r="CQ4292">
        <v>0</v>
      </c>
      <c r="CR4292">
        <v>2</v>
      </c>
      <c r="CS4292">
        <v>0</v>
      </c>
      <c r="CT4292">
        <v>2</v>
      </c>
      <c r="CU4292">
        <v>0</v>
      </c>
      <c r="CV4292">
        <v>6</v>
      </c>
      <c r="CW4292" t="s">
        <v>120</v>
      </c>
      <c r="CX4292">
        <v>257</v>
      </c>
      <c r="CY4292">
        <v>0</v>
      </c>
      <c r="CZ4292" t="s">
        <v>615</v>
      </c>
      <c r="DA4292" t="s">
        <v>616</v>
      </c>
      <c r="DD4292">
        <v>16750932</v>
      </c>
      <c r="DE4292" t="s">
        <v>123</v>
      </c>
    </row>
    <row r="4293" spans="1:109" x14ac:dyDescent="0.3">
      <c r="A4293" t="str">
        <f>"19:47:33.813"</f>
        <v>19:47:33.813</v>
      </c>
      <c r="B4293" t="s">
        <v>110</v>
      </c>
      <c r="C4293" t="str">
        <f t="shared" si="201"/>
        <v>ffdfd3c0</v>
      </c>
      <c r="D4293" t="s">
        <v>111</v>
      </c>
      <c r="E4293">
        <v>18</v>
      </c>
      <c r="F4293">
        <v>1018</v>
      </c>
      <c r="G4293" t="s">
        <v>112</v>
      </c>
      <c r="J4293" t="s">
        <v>113</v>
      </c>
      <c r="K4293">
        <v>0</v>
      </c>
      <c r="L4293">
        <v>3</v>
      </c>
      <c r="M4293">
        <v>0</v>
      </c>
      <c r="N4293">
        <v>2</v>
      </c>
      <c r="O4293">
        <v>1</v>
      </c>
      <c r="P4293">
        <v>0</v>
      </c>
      <c r="Q4293">
        <v>0</v>
      </c>
      <c r="R4293" t="s">
        <v>114</v>
      </c>
      <c r="S4293" t="str">
        <f>"19:47:33.586"</f>
        <v>19:47:33.586</v>
      </c>
      <c r="T4293" t="str">
        <f>"19:47:33.289"</f>
        <v>19:47:33.289</v>
      </c>
      <c r="U4293" t="str">
        <f t="shared" si="202"/>
        <v>a1cdbe</v>
      </c>
      <c r="V4293">
        <v>0</v>
      </c>
      <c r="W4293">
        <v>0</v>
      </c>
      <c r="X4293">
        <v>2</v>
      </c>
      <c r="Y4293">
        <v>0</v>
      </c>
      <c r="Z4293">
        <v>0</v>
      </c>
      <c r="AB4293">
        <v>0</v>
      </c>
      <c r="AC4293">
        <v>9</v>
      </c>
      <c r="AD4293">
        <v>3</v>
      </c>
      <c r="AE4293">
        <v>0</v>
      </c>
      <c r="AF4293">
        <v>9</v>
      </c>
      <c r="AG4293" t="s">
        <v>115</v>
      </c>
      <c r="AH4293">
        <v>0</v>
      </c>
      <c r="AI4293">
        <v>0</v>
      </c>
      <c r="AJ4293">
        <v>1</v>
      </c>
      <c r="AK4293">
        <v>0</v>
      </c>
      <c r="AL4293" t="s">
        <v>7867</v>
      </c>
      <c r="AM4293">
        <v>47.051568000000003</v>
      </c>
      <c r="AN4293" t="s">
        <v>7868</v>
      </c>
      <c r="AO4293">
        <v>-123.990798</v>
      </c>
      <c r="AP4293">
        <v>100</v>
      </c>
      <c r="AQ4293">
        <v>100</v>
      </c>
      <c r="AR4293" t="s">
        <v>118</v>
      </c>
      <c r="AS4293">
        <v>27</v>
      </c>
      <c r="AT4293">
        <v>-50</v>
      </c>
      <c r="AU4293">
        <v>832</v>
      </c>
      <c r="BC4293">
        <v>1200</v>
      </c>
      <c r="BD4293">
        <v>1</v>
      </c>
      <c r="BE4293" t="str">
        <f t="shared" si="203"/>
        <v xml:space="preserve">N215T   </v>
      </c>
      <c r="BF4293">
        <v>1</v>
      </c>
      <c r="BH4293">
        <v>0</v>
      </c>
      <c r="BI4293">
        <v>0</v>
      </c>
      <c r="BJ4293">
        <v>0</v>
      </c>
      <c r="BK4293">
        <v>450</v>
      </c>
      <c r="BL4293">
        <v>350</v>
      </c>
      <c r="BM4293" t="s">
        <v>119</v>
      </c>
      <c r="BN4293">
        <v>1</v>
      </c>
      <c r="BO4293">
        <v>1</v>
      </c>
      <c r="BP4293">
        <v>1</v>
      </c>
      <c r="BQ4293">
        <v>0</v>
      </c>
      <c r="BT4293">
        <v>0</v>
      </c>
      <c r="BU4293">
        <v>0</v>
      </c>
      <c r="BV4293">
        <v>0</v>
      </c>
      <c r="CC4293" t="str">
        <f>"19:47:33.586"</f>
        <v>19:47:33.586</v>
      </c>
      <c r="CD4293" t="str">
        <f>"588177082"</f>
        <v>588177082</v>
      </c>
      <c r="CQ4293">
        <v>0</v>
      </c>
      <c r="CR4293">
        <v>2</v>
      </c>
      <c r="CS4293">
        <v>0</v>
      </c>
      <c r="CT4293">
        <v>2</v>
      </c>
      <c r="CU4293">
        <v>0</v>
      </c>
      <c r="CV4293">
        <v>6</v>
      </c>
      <c r="CW4293" t="s">
        <v>120</v>
      </c>
      <c r="CX4293">
        <v>257</v>
      </c>
      <c r="CY4293">
        <v>0</v>
      </c>
      <c r="CZ4293" t="s">
        <v>615</v>
      </c>
      <c r="DA4293" t="s">
        <v>616</v>
      </c>
      <c r="DD4293">
        <v>16751214</v>
      </c>
      <c r="DE4293" t="s">
        <v>123</v>
      </c>
    </row>
    <row r="4294" spans="1:109" x14ac:dyDescent="0.3">
      <c r="A4294" t="str">
        <f>"19:47:34.969"</f>
        <v>19:47:34.969</v>
      </c>
      <c r="B4294" t="s">
        <v>110</v>
      </c>
      <c r="C4294" t="str">
        <f t="shared" si="201"/>
        <v>ffdfd3c0</v>
      </c>
      <c r="D4294" t="s">
        <v>111</v>
      </c>
      <c r="E4294">
        <v>18</v>
      </c>
      <c r="F4294">
        <v>1018</v>
      </c>
      <c r="G4294" t="s">
        <v>112</v>
      </c>
      <c r="J4294" t="s">
        <v>113</v>
      </c>
      <c r="K4294">
        <v>0</v>
      </c>
      <c r="L4294">
        <v>3</v>
      </c>
      <c r="M4294">
        <v>0</v>
      </c>
      <c r="N4294">
        <v>2</v>
      </c>
      <c r="O4294">
        <v>1</v>
      </c>
      <c r="P4294">
        <v>0</v>
      </c>
      <c r="Q4294">
        <v>0</v>
      </c>
      <c r="R4294" t="s">
        <v>114</v>
      </c>
      <c r="S4294" t="str">
        <f>"19:47:34.758"</f>
        <v>19:47:34.758</v>
      </c>
      <c r="T4294" t="str">
        <f>"19:47:34.758"</f>
        <v>19:47:34.758</v>
      </c>
      <c r="U4294" t="str">
        <f t="shared" si="202"/>
        <v>a1cdbe</v>
      </c>
      <c r="V4294">
        <v>0</v>
      </c>
      <c r="W4294">
        <v>0</v>
      </c>
      <c r="X4294">
        <v>2</v>
      </c>
      <c r="Y4294">
        <v>0</v>
      </c>
      <c r="Z4294">
        <v>0</v>
      </c>
      <c r="AB4294">
        <v>0</v>
      </c>
      <c r="AC4294">
        <v>9</v>
      </c>
      <c r="AD4294">
        <v>3</v>
      </c>
      <c r="AE4294">
        <v>0</v>
      </c>
      <c r="AF4294">
        <v>9</v>
      </c>
      <c r="AG4294" t="s">
        <v>115</v>
      </c>
      <c r="AH4294">
        <v>0</v>
      </c>
      <c r="AI4294">
        <v>0</v>
      </c>
      <c r="AJ4294">
        <v>1</v>
      </c>
      <c r="AK4294">
        <v>0</v>
      </c>
      <c r="AL4294" t="s">
        <v>7789</v>
      </c>
      <c r="AM4294">
        <v>47.051332000000002</v>
      </c>
      <c r="AN4294" t="s">
        <v>7869</v>
      </c>
      <c r="AO4294">
        <v>-123.99054099999999</v>
      </c>
      <c r="AP4294">
        <v>100</v>
      </c>
      <c r="AQ4294">
        <v>100</v>
      </c>
      <c r="AR4294" t="s">
        <v>118</v>
      </c>
      <c r="AS4294">
        <v>35</v>
      </c>
      <c r="AT4294">
        <v>-42</v>
      </c>
      <c r="AU4294">
        <v>896</v>
      </c>
      <c r="BC4294">
        <v>1200</v>
      </c>
      <c r="BD4294">
        <v>1</v>
      </c>
      <c r="BE4294" t="str">
        <f t="shared" si="203"/>
        <v xml:space="preserve">N215T   </v>
      </c>
      <c r="BF4294">
        <v>1</v>
      </c>
      <c r="BH4294">
        <v>0</v>
      </c>
      <c r="BI4294">
        <v>0</v>
      </c>
      <c r="BJ4294">
        <v>0</v>
      </c>
      <c r="BK4294">
        <v>475</v>
      </c>
      <c r="BL4294">
        <v>375</v>
      </c>
      <c r="BM4294" t="s">
        <v>119</v>
      </c>
      <c r="BN4294">
        <v>1</v>
      </c>
      <c r="BO4294">
        <v>1</v>
      </c>
      <c r="BP4294">
        <v>1</v>
      </c>
      <c r="BQ4294">
        <v>0</v>
      </c>
      <c r="BT4294">
        <v>0</v>
      </c>
      <c r="BU4294">
        <v>0</v>
      </c>
      <c r="BV4294">
        <v>0</v>
      </c>
      <c r="CC4294" t="str">
        <f>"19:47:34.758"</f>
        <v>19:47:34.758</v>
      </c>
      <c r="CD4294" t="str">
        <f>"758061689"</f>
        <v>758061689</v>
      </c>
      <c r="CQ4294">
        <v>0</v>
      </c>
      <c r="CR4294">
        <v>2</v>
      </c>
      <c r="CS4294">
        <v>0</v>
      </c>
      <c r="CT4294">
        <v>2</v>
      </c>
      <c r="CU4294">
        <v>0</v>
      </c>
      <c r="CV4294">
        <v>6</v>
      </c>
      <c r="CW4294" t="s">
        <v>120</v>
      </c>
      <c r="CX4294">
        <v>257</v>
      </c>
      <c r="CY4294">
        <v>0</v>
      </c>
      <c r="CZ4294" t="s">
        <v>615</v>
      </c>
      <c r="DA4294" t="s">
        <v>616</v>
      </c>
      <c r="DD4294">
        <v>16751570</v>
      </c>
      <c r="DE4294" t="s">
        <v>123</v>
      </c>
    </row>
    <row r="4295" spans="1:109" x14ac:dyDescent="0.3">
      <c r="A4295" t="str">
        <f>"19:47:35.977"</f>
        <v>19:47:35.977</v>
      </c>
      <c r="B4295" t="s">
        <v>110</v>
      </c>
      <c r="C4295" t="str">
        <f t="shared" si="201"/>
        <v>ffdfd3c0</v>
      </c>
      <c r="D4295" t="s">
        <v>111</v>
      </c>
      <c r="E4295">
        <v>18</v>
      </c>
      <c r="F4295">
        <v>1018</v>
      </c>
      <c r="G4295" t="s">
        <v>112</v>
      </c>
      <c r="J4295" t="s">
        <v>113</v>
      </c>
      <c r="K4295">
        <v>0</v>
      </c>
      <c r="L4295">
        <v>3</v>
      </c>
      <c r="M4295">
        <v>0</v>
      </c>
      <c r="N4295">
        <v>2</v>
      </c>
      <c r="O4295">
        <v>1</v>
      </c>
      <c r="P4295">
        <v>0</v>
      </c>
      <c r="Q4295">
        <v>0</v>
      </c>
      <c r="R4295" t="s">
        <v>114</v>
      </c>
      <c r="S4295" t="str">
        <f>"19:47:35.711"</f>
        <v>19:47:35.711</v>
      </c>
      <c r="T4295" t="str">
        <f>"19:47:35.711"</f>
        <v>19:47:35.711</v>
      </c>
      <c r="U4295" t="str">
        <f t="shared" si="202"/>
        <v>a1cdbe</v>
      </c>
      <c r="V4295">
        <v>0</v>
      </c>
      <c r="W4295">
        <v>0</v>
      </c>
      <c r="X4295">
        <v>2</v>
      </c>
      <c r="Y4295">
        <v>0</v>
      </c>
      <c r="Z4295">
        <v>0</v>
      </c>
      <c r="AB4295">
        <v>0</v>
      </c>
      <c r="AC4295">
        <v>9</v>
      </c>
      <c r="AD4295">
        <v>3</v>
      </c>
      <c r="AE4295">
        <v>0</v>
      </c>
      <c r="AF4295">
        <v>9</v>
      </c>
      <c r="AG4295" t="s">
        <v>115</v>
      </c>
      <c r="AH4295">
        <v>0</v>
      </c>
      <c r="AI4295">
        <v>0</v>
      </c>
      <c r="AJ4295">
        <v>1</v>
      </c>
      <c r="AK4295">
        <v>0</v>
      </c>
      <c r="AL4295" t="s">
        <v>555</v>
      </c>
      <c r="AM4295">
        <v>47.051138999999999</v>
      </c>
      <c r="AN4295" t="s">
        <v>7870</v>
      </c>
      <c r="AO4295">
        <v>-123.990262</v>
      </c>
      <c r="AP4295">
        <v>100</v>
      </c>
      <c r="AQ4295">
        <v>100</v>
      </c>
      <c r="AR4295" t="s">
        <v>118</v>
      </c>
      <c r="AS4295">
        <v>41</v>
      </c>
      <c r="AT4295">
        <v>-34</v>
      </c>
      <c r="AU4295">
        <v>960</v>
      </c>
      <c r="BC4295">
        <v>1200</v>
      </c>
      <c r="BD4295">
        <v>1</v>
      </c>
      <c r="BE4295" t="str">
        <f t="shared" si="203"/>
        <v xml:space="preserve">N215T   </v>
      </c>
      <c r="BF4295">
        <v>1</v>
      </c>
      <c r="BH4295">
        <v>0</v>
      </c>
      <c r="BI4295">
        <v>0</v>
      </c>
      <c r="BJ4295">
        <v>0</v>
      </c>
      <c r="BK4295">
        <v>475</v>
      </c>
      <c r="BL4295">
        <v>375</v>
      </c>
      <c r="BM4295" t="s">
        <v>119</v>
      </c>
      <c r="BN4295">
        <v>1</v>
      </c>
      <c r="BO4295">
        <v>1</v>
      </c>
      <c r="BP4295">
        <v>1</v>
      </c>
      <c r="BQ4295">
        <v>0</v>
      </c>
      <c r="BT4295">
        <v>0</v>
      </c>
      <c r="BU4295">
        <v>0</v>
      </c>
      <c r="BV4295">
        <v>0</v>
      </c>
      <c r="CC4295" t="str">
        <f>"19:47:35.719"</f>
        <v>19:47:35.719</v>
      </c>
      <c r="CD4295" t="str">
        <f>"717967017"</f>
        <v>717967017</v>
      </c>
      <c r="CQ4295">
        <v>0</v>
      </c>
      <c r="CR4295">
        <v>2</v>
      </c>
      <c r="CS4295">
        <v>0</v>
      </c>
      <c r="CT4295">
        <v>2</v>
      </c>
      <c r="CU4295">
        <v>0</v>
      </c>
      <c r="CV4295">
        <v>6</v>
      </c>
      <c r="CW4295" t="s">
        <v>120</v>
      </c>
      <c r="CX4295">
        <v>257</v>
      </c>
      <c r="CY4295">
        <v>0</v>
      </c>
      <c r="CZ4295" t="s">
        <v>615</v>
      </c>
      <c r="DA4295" t="s">
        <v>616</v>
      </c>
      <c r="DD4295">
        <v>16751883</v>
      </c>
      <c r="DE4295" t="s">
        <v>123</v>
      </c>
    </row>
    <row r="4296" spans="1:109" x14ac:dyDescent="0.3">
      <c r="A4296" t="str">
        <f>"19:47:36.930"</f>
        <v>19:47:36.930</v>
      </c>
      <c r="B4296" t="s">
        <v>110</v>
      </c>
      <c r="C4296" t="str">
        <f t="shared" si="201"/>
        <v>ffdfd3c0</v>
      </c>
      <c r="D4296" t="s">
        <v>111</v>
      </c>
      <c r="E4296">
        <v>18</v>
      </c>
      <c r="F4296">
        <v>1018</v>
      </c>
      <c r="G4296" t="s">
        <v>112</v>
      </c>
      <c r="J4296" t="s">
        <v>113</v>
      </c>
      <c r="K4296">
        <v>0</v>
      </c>
      <c r="L4296">
        <v>3</v>
      </c>
      <c r="M4296">
        <v>0</v>
      </c>
      <c r="N4296">
        <v>2</v>
      </c>
      <c r="O4296">
        <v>1</v>
      </c>
      <c r="P4296">
        <v>0</v>
      </c>
      <c r="Q4296">
        <v>0</v>
      </c>
      <c r="R4296" t="s">
        <v>114</v>
      </c>
      <c r="S4296" t="str">
        <f>"19:47:36.703"</f>
        <v>19:47:36.703</v>
      </c>
      <c r="T4296" t="str">
        <f>"19:47:36.602"</f>
        <v>19:47:36.602</v>
      </c>
      <c r="U4296" t="str">
        <f t="shared" si="202"/>
        <v>a1cdbe</v>
      </c>
      <c r="V4296">
        <v>0</v>
      </c>
      <c r="W4296">
        <v>0</v>
      </c>
      <c r="X4296">
        <v>2</v>
      </c>
      <c r="Y4296">
        <v>0</v>
      </c>
      <c r="Z4296">
        <v>0</v>
      </c>
      <c r="AB4296">
        <v>0</v>
      </c>
      <c r="AC4296">
        <v>9</v>
      </c>
      <c r="AD4296">
        <v>3</v>
      </c>
      <c r="AE4296">
        <v>0</v>
      </c>
      <c r="AF4296">
        <v>9</v>
      </c>
      <c r="AG4296" t="s">
        <v>115</v>
      </c>
      <c r="AH4296">
        <v>0</v>
      </c>
      <c r="AI4296">
        <v>0</v>
      </c>
      <c r="AJ4296">
        <v>1</v>
      </c>
      <c r="AK4296">
        <v>0</v>
      </c>
      <c r="AL4296" t="s">
        <v>7871</v>
      </c>
      <c r="AM4296">
        <v>47.050989000000001</v>
      </c>
      <c r="AN4296" t="s">
        <v>7817</v>
      </c>
      <c r="AO4296">
        <v>-123.98994</v>
      </c>
      <c r="AP4296">
        <v>100</v>
      </c>
      <c r="AQ4296">
        <v>100</v>
      </c>
      <c r="AR4296" t="s">
        <v>118</v>
      </c>
      <c r="AS4296">
        <v>46</v>
      </c>
      <c r="AT4296">
        <v>-25</v>
      </c>
      <c r="AU4296">
        <v>896</v>
      </c>
      <c r="BC4296">
        <v>1200</v>
      </c>
      <c r="BD4296">
        <v>1</v>
      </c>
      <c r="BE4296" t="str">
        <f t="shared" si="203"/>
        <v xml:space="preserve">N215T   </v>
      </c>
      <c r="BF4296">
        <v>1</v>
      </c>
      <c r="BH4296">
        <v>0</v>
      </c>
      <c r="BI4296">
        <v>0</v>
      </c>
      <c r="BJ4296">
        <v>0</v>
      </c>
      <c r="BK4296">
        <v>500</v>
      </c>
      <c r="BL4296">
        <v>400</v>
      </c>
      <c r="BM4296" t="s">
        <v>119</v>
      </c>
      <c r="BN4296">
        <v>1</v>
      </c>
      <c r="BO4296">
        <v>1</v>
      </c>
      <c r="BP4296">
        <v>1</v>
      </c>
      <c r="BQ4296">
        <v>0</v>
      </c>
      <c r="BT4296">
        <v>0</v>
      </c>
      <c r="BU4296">
        <v>0</v>
      </c>
      <c r="BV4296">
        <v>0</v>
      </c>
      <c r="CC4296" t="str">
        <f>"19:47:36.711"</f>
        <v>19:47:36.711</v>
      </c>
      <c r="CD4296" t="str">
        <f>"707869402"</f>
        <v>707869402</v>
      </c>
      <c r="CQ4296">
        <v>0</v>
      </c>
      <c r="CR4296">
        <v>2</v>
      </c>
      <c r="CS4296">
        <v>0</v>
      </c>
      <c r="CT4296">
        <v>2</v>
      </c>
      <c r="CU4296">
        <v>0</v>
      </c>
      <c r="CV4296">
        <v>7</v>
      </c>
      <c r="CW4296" t="s">
        <v>120</v>
      </c>
      <c r="CX4296">
        <v>257</v>
      </c>
      <c r="CY4296">
        <v>0</v>
      </c>
      <c r="CZ4296" t="s">
        <v>615</v>
      </c>
      <c r="DA4296" t="s">
        <v>616</v>
      </c>
      <c r="DD4296">
        <v>16752211</v>
      </c>
      <c r="DE4296" t="s">
        <v>123</v>
      </c>
    </row>
    <row r="4297" spans="1:109" x14ac:dyDescent="0.3">
      <c r="A4297" t="str">
        <f>"19:47:37.883"</f>
        <v>19:47:37.883</v>
      </c>
      <c r="B4297" t="s">
        <v>110</v>
      </c>
      <c r="C4297" t="str">
        <f t="shared" si="201"/>
        <v>ffdfd3c0</v>
      </c>
      <c r="D4297" t="s">
        <v>111</v>
      </c>
      <c r="E4297">
        <v>18</v>
      </c>
      <c r="F4297">
        <v>1018</v>
      </c>
      <c r="G4297" t="s">
        <v>112</v>
      </c>
      <c r="J4297" t="s">
        <v>113</v>
      </c>
      <c r="K4297">
        <v>0</v>
      </c>
      <c r="L4297">
        <v>3</v>
      </c>
      <c r="M4297">
        <v>0</v>
      </c>
      <c r="N4297">
        <v>2</v>
      </c>
      <c r="O4297">
        <v>1</v>
      </c>
      <c r="P4297">
        <v>0</v>
      </c>
      <c r="Q4297">
        <v>0</v>
      </c>
      <c r="R4297" t="s">
        <v>114</v>
      </c>
      <c r="S4297" t="str">
        <f>"19:47:37.586"</f>
        <v>19:47:37.586</v>
      </c>
      <c r="T4297" t="str">
        <f>"19:47:37.086"</f>
        <v>19:47:37.086</v>
      </c>
      <c r="U4297" t="str">
        <f t="shared" si="202"/>
        <v>a1cdbe</v>
      </c>
      <c r="V4297">
        <v>0</v>
      </c>
      <c r="W4297">
        <v>0</v>
      </c>
      <c r="X4297">
        <v>2</v>
      </c>
      <c r="Y4297">
        <v>0</v>
      </c>
      <c r="Z4297">
        <v>0</v>
      </c>
      <c r="AB4297">
        <v>0</v>
      </c>
      <c r="AC4297">
        <v>9</v>
      </c>
      <c r="AD4297">
        <v>3</v>
      </c>
      <c r="AE4297">
        <v>0</v>
      </c>
      <c r="AF4297">
        <v>9</v>
      </c>
      <c r="AG4297" t="s">
        <v>115</v>
      </c>
      <c r="AH4297">
        <v>0</v>
      </c>
      <c r="AI4297">
        <v>0</v>
      </c>
      <c r="AJ4297">
        <v>1</v>
      </c>
      <c r="AK4297">
        <v>0</v>
      </c>
      <c r="AL4297" t="s">
        <v>7872</v>
      </c>
      <c r="AM4297">
        <v>47.050967</v>
      </c>
      <c r="AN4297" t="s">
        <v>7790</v>
      </c>
      <c r="AO4297">
        <v>-123.989704</v>
      </c>
      <c r="AP4297">
        <v>100</v>
      </c>
      <c r="AQ4297">
        <v>100</v>
      </c>
      <c r="AR4297" t="s">
        <v>118</v>
      </c>
      <c r="AS4297">
        <v>47</v>
      </c>
      <c r="AT4297">
        <v>-22</v>
      </c>
      <c r="AU4297">
        <v>832</v>
      </c>
      <c r="BC4297">
        <v>1200</v>
      </c>
      <c r="BD4297">
        <v>1</v>
      </c>
      <c r="BE4297" t="str">
        <f t="shared" si="203"/>
        <v xml:space="preserve">N215T   </v>
      </c>
      <c r="BF4297">
        <v>1</v>
      </c>
      <c r="BH4297">
        <v>0</v>
      </c>
      <c r="BI4297">
        <v>0</v>
      </c>
      <c r="BJ4297">
        <v>0</v>
      </c>
      <c r="BK4297">
        <v>500</v>
      </c>
      <c r="BL4297">
        <v>400</v>
      </c>
      <c r="BM4297" t="s">
        <v>119</v>
      </c>
      <c r="BN4297">
        <v>1</v>
      </c>
      <c r="BO4297">
        <v>1</v>
      </c>
      <c r="BP4297">
        <v>1</v>
      </c>
      <c r="BQ4297">
        <v>0</v>
      </c>
      <c r="BT4297">
        <v>0</v>
      </c>
      <c r="BU4297">
        <v>0</v>
      </c>
      <c r="BV4297">
        <v>0</v>
      </c>
      <c r="CC4297" t="str">
        <f>"19:47:37.594"</f>
        <v>19:47:37.594</v>
      </c>
      <c r="CD4297" t="str">
        <f>"592782155"</f>
        <v>592782155</v>
      </c>
      <c r="CQ4297">
        <v>0</v>
      </c>
      <c r="CR4297">
        <v>2</v>
      </c>
      <c r="CS4297">
        <v>0</v>
      </c>
      <c r="CT4297">
        <v>2</v>
      </c>
      <c r="CU4297">
        <v>0</v>
      </c>
      <c r="CV4297">
        <v>7</v>
      </c>
      <c r="CW4297" t="s">
        <v>120</v>
      </c>
      <c r="CX4297">
        <v>257</v>
      </c>
      <c r="CY4297">
        <v>0</v>
      </c>
      <c r="CZ4297" t="s">
        <v>615</v>
      </c>
      <c r="DA4297" t="s">
        <v>616</v>
      </c>
      <c r="DD4297">
        <v>16752494</v>
      </c>
      <c r="DE4297" t="s">
        <v>123</v>
      </c>
    </row>
    <row r="4298" spans="1:109" x14ac:dyDescent="0.3">
      <c r="A4298" t="str">
        <f>"19:47:38.891"</f>
        <v>19:47:38.891</v>
      </c>
      <c r="B4298" t="s">
        <v>110</v>
      </c>
      <c r="C4298" t="str">
        <f t="shared" si="201"/>
        <v>ffdfd3c0</v>
      </c>
      <c r="D4298" t="s">
        <v>111</v>
      </c>
      <c r="E4298">
        <v>18</v>
      </c>
      <c r="F4298">
        <v>1018</v>
      </c>
      <c r="G4298" t="s">
        <v>112</v>
      </c>
      <c r="J4298" t="s">
        <v>113</v>
      </c>
      <c r="K4298">
        <v>0</v>
      </c>
      <c r="L4298">
        <v>3</v>
      </c>
      <c r="M4298">
        <v>0</v>
      </c>
      <c r="N4298">
        <v>2</v>
      </c>
      <c r="O4298">
        <v>1</v>
      </c>
      <c r="P4298">
        <v>0</v>
      </c>
      <c r="Q4298">
        <v>0</v>
      </c>
      <c r="R4298" t="s">
        <v>114</v>
      </c>
      <c r="S4298" t="str">
        <f>"19:47:38.656"</f>
        <v>19:47:38.656</v>
      </c>
      <c r="T4298" t="str">
        <f>"19:47:38.258"</f>
        <v>19:47:38.258</v>
      </c>
      <c r="U4298" t="str">
        <f t="shared" si="202"/>
        <v>a1cdbe</v>
      </c>
      <c r="V4298">
        <v>0</v>
      </c>
      <c r="W4298">
        <v>0</v>
      </c>
      <c r="X4298">
        <v>2</v>
      </c>
      <c r="Y4298">
        <v>0</v>
      </c>
      <c r="Z4298">
        <v>0</v>
      </c>
      <c r="AB4298">
        <v>0</v>
      </c>
      <c r="AC4298">
        <v>9</v>
      </c>
      <c r="AD4298">
        <v>3</v>
      </c>
      <c r="AE4298">
        <v>0</v>
      </c>
      <c r="AF4298">
        <v>9</v>
      </c>
      <c r="AG4298" t="s">
        <v>115</v>
      </c>
      <c r="AH4298">
        <v>0</v>
      </c>
      <c r="AI4298">
        <v>0</v>
      </c>
      <c r="AJ4298">
        <v>1</v>
      </c>
      <c r="AK4298">
        <v>0</v>
      </c>
      <c r="AL4298" t="s">
        <v>7873</v>
      </c>
      <c r="AM4298">
        <v>47.050902999999998</v>
      </c>
      <c r="AN4298" t="s">
        <v>7874</v>
      </c>
      <c r="AO4298">
        <v>-123.989296</v>
      </c>
      <c r="AP4298">
        <v>100</v>
      </c>
      <c r="AQ4298">
        <v>100</v>
      </c>
      <c r="AR4298" t="s">
        <v>118</v>
      </c>
      <c r="AS4298">
        <v>50</v>
      </c>
      <c r="AT4298">
        <v>-13</v>
      </c>
      <c r="AU4298">
        <v>448</v>
      </c>
      <c r="BC4298">
        <v>1200</v>
      </c>
      <c r="BD4298">
        <v>1</v>
      </c>
      <c r="BE4298" t="str">
        <f t="shared" si="203"/>
        <v xml:space="preserve">N215T   </v>
      </c>
      <c r="BF4298">
        <v>1</v>
      </c>
      <c r="BH4298">
        <v>0</v>
      </c>
      <c r="BI4298">
        <v>0</v>
      </c>
      <c r="BJ4298">
        <v>0</v>
      </c>
      <c r="BK4298">
        <v>525</v>
      </c>
      <c r="BL4298">
        <v>425</v>
      </c>
      <c r="BM4298" t="s">
        <v>119</v>
      </c>
      <c r="BN4298">
        <v>1</v>
      </c>
      <c r="BO4298">
        <v>1</v>
      </c>
      <c r="BP4298">
        <v>1</v>
      </c>
      <c r="BQ4298">
        <v>0</v>
      </c>
      <c r="BT4298">
        <v>0</v>
      </c>
      <c r="BU4298">
        <v>0</v>
      </c>
      <c r="BV4298">
        <v>0</v>
      </c>
      <c r="CC4298" t="str">
        <f>"19:47:38.656"</f>
        <v>19:47:38.656</v>
      </c>
      <c r="CD4298" t="str">
        <f>"657677165"</f>
        <v>657677165</v>
      </c>
      <c r="CQ4298">
        <v>0</v>
      </c>
      <c r="CR4298">
        <v>2</v>
      </c>
      <c r="CS4298">
        <v>0</v>
      </c>
      <c r="CT4298">
        <v>2</v>
      </c>
      <c r="CU4298">
        <v>0</v>
      </c>
      <c r="CV4298">
        <v>6</v>
      </c>
      <c r="CW4298" t="s">
        <v>120</v>
      </c>
      <c r="CX4298">
        <v>257</v>
      </c>
      <c r="CY4298">
        <v>0</v>
      </c>
      <c r="CZ4298" t="s">
        <v>615</v>
      </c>
      <c r="DA4298" t="s">
        <v>616</v>
      </c>
      <c r="DD4298">
        <v>16752849</v>
      </c>
      <c r="DE4298" t="s">
        <v>123</v>
      </c>
    </row>
    <row r="4299" spans="1:109" x14ac:dyDescent="0.3">
      <c r="A4299" t="str">
        <f>"19:47:39.945"</f>
        <v>19:47:39.945</v>
      </c>
      <c r="B4299" t="s">
        <v>110</v>
      </c>
      <c r="C4299" t="str">
        <f t="shared" si="201"/>
        <v>ffdfd3c0</v>
      </c>
      <c r="D4299" t="s">
        <v>111</v>
      </c>
      <c r="E4299">
        <v>18</v>
      </c>
      <c r="F4299">
        <v>1018</v>
      </c>
      <c r="G4299" t="s">
        <v>112</v>
      </c>
      <c r="J4299" t="s">
        <v>113</v>
      </c>
      <c r="K4299">
        <v>0</v>
      </c>
      <c r="L4299">
        <v>3</v>
      </c>
      <c r="M4299">
        <v>0</v>
      </c>
      <c r="N4299">
        <v>2</v>
      </c>
      <c r="O4299">
        <v>1</v>
      </c>
      <c r="P4299">
        <v>0</v>
      </c>
      <c r="Q4299">
        <v>0</v>
      </c>
      <c r="R4299" t="s">
        <v>114</v>
      </c>
      <c r="S4299" t="str">
        <f>"19:47:39.688"</f>
        <v>19:47:39.688</v>
      </c>
      <c r="T4299" t="str">
        <f>"19:47:39.188"</f>
        <v>19:47:39.188</v>
      </c>
      <c r="U4299" t="str">
        <f t="shared" si="202"/>
        <v>a1cdbe</v>
      </c>
      <c r="V4299">
        <v>0</v>
      </c>
      <c r="W4299">
        <v>0</v>
      </c>
      <c r="X4299">
        <v>2</v>
      </c>
      <c r="Y4299">
        <v>0</v>
      </c>
      <c r="Z4299">
        <v>0</v>
      </c>
      <c r="AB4299">
        <v>0</v>
      </c>
      <c r="AC4299">
        <v>9</v>
      </c>
      <c r="AD4299">
        <v>3</v>
      </c>
      <c r="AE4299">
        <v>0</v>
      </c>
      <c r="AF4299">
        <v>9</v>
      </c>
      <c r="AG4299" t="s">
        <v>115</v>
      </c>
      <c r="AH4299">
        <v>0</v>
      </c>
      <c r="AI4299">
        <v>0</v>
      </c>
      <c r="AJ4299">
        <v>1</v>
      </c>
      <c r="AK4299">
        <v>0</v>
      </c>
      <c r="AL4299" t="s">
        <v>7875</v>
      </c>
      <c r="AM4299">
        <v>47.050880999999997</v>
      </c>
      <c r="AN4299" t="s">
        <v>7561</v>
      </c>
      <c r="AO4299">
        <v>-123.988953</v>
      </c>
      <c r="AP4299">
        <v>100</v>
      </c>
      <c r="AQ4299">
        <v>100</v>
      </c>
      <c r="AR4299" t="s">
        <v>118</v>
      </c>
      <c r="AS4299">
        <v>51</v>
      </c>
      <c r="AT4299">
        <v>-6</v>
      </c>
      <c r="AU4299">
        <v>192</v>
      </c>
      <c r="BC4299">
        <v>1200</v>
      </c>
      <c r="BD4299">
        <v>1</v>
      </c>
      <c r="BE4299" t="str">
        <f t="shared" si="203"/>
        <v xml:space="preserve">N215T   </v>
      </c>
      <c r="BF4299">
        <v>1</v>
      </c>
      <c r="BH4299">
        <v>0</v>
      </c>
      <c r="BI4299">
        <v>0</v>
      </c>
      <c r="BJ4299">
        <v>0</v>
      </c>
      <c r="BK4299">
        <v>525</v>
      </c>
      <c r="BL4299">
        <v>425</v>
      </c>
      <c r="BM4299" t="s">
        <v>119</v>
      </c>
      <c r="BN4299">
        <v>1</v>
      </c>
      <c r="BO4299">
        <v>1</v>
      </c>
      <c r="BP4299">
        <v>1</v>
      </c>
      <c r="BQ4299">
        <v>0</v>
      </c>
      <c r="BT4299">
        <v>0</v>
      </c>
      <c r="BU4299">
        <v>0</v>
      </c>
      <c r="BV4299">
        <v>0</v>
      </c>
      <c r="CC4299" t="str">
        <f>"19:47:39.695"</f>
        <v>19:47:39.695</v>
      </c>
      <c r="CD4299" t="str">
        <f>"692575160"</f>
        <v>692575160</v>
      </c>
      <c r="CQ4299">
        <v>0</v>
      </c>
      <c r="CR4299">
        <v>2</v>
      </c>
      <c r="CS4299">
        <v>0</v>
      </c>
      <c r="CT4299">
        <v>2</v>
      </c>
      <c r="CU4299">
        <v>0</v>
      </c>
      <c r="CV4299">
        <v>6</v>
      </c>
      <c r="CW4299" t="s">
        <v>120</v>
      </c>
      <c r="CX4299">
        <v>257</v>
      </c>
      <c r="CY4299">
        <v>0</v>
      </c>
      <c r="CZ4299" t="s">
        <v>615</v>
      </c>
      <c r="DA4299" t="s">
        <v>616</v>
      </c>
      <c r="DD4299">
        <v>16753154</v>
      </c>
      <c r="DE4299" t="s">
        <v>123</v>
      </c>
    </row>
    <row r="4300" spans="1:109" x14ac:dyDescent="0.3">
      <c r="A4300" t="str">
        <f>"19:47:40.953"</f>
        <v>19:47:40.953</v>
      </c>
      <c r="B4300" t="s">
        <v>110</v>
      </c>
      <c r="C4300" t="str">
        <f t="shared" si="201"/>
        <v>ffdfd3c0</v>
      </c>
      <c r="D4300" t="s">
        <v>111</v>
      </c>
      <c r="E4300">
        <v>18</v>
      </c>
      <c r="F4300">
        <v>1018</v>
      </c>
      <c r="G4300" t="s">
        <v>112</v>
      </c>
      <c r="J4300" t="s">
        <v>113</v>
      </c>
      <c r="K4300">
        <v>0</v>
      </c>
      <c r="L4300">
        <v>3</v>
      </c>
      <c r="M4300">
        <v>0</v>
      </c>
      <c r="N4300">
        <v>2</v>
      </c>
      <c r="O4300">
        <v>1</v>
      </c>
      <c r="P4300">
        <v>0</v>
      </c>
      <c r="Q4300">
        <v>0</v>
      </c>
      <c r="R4300" t="s">
        <v>114</v>
      </c>
      <c r="S4300" t="str">
        <f>"19:47:40.711"</f>
        <v>19:47:40.711</v>
      </c>
      <c r="T4300" t="str">
        <f>"19:47:40.711"</f>
        <v>19:47:40.711</v>
      </c>
      <c r="U4300" t="str">
        <f t="shared" si="202"/>
        <v>a1cdbe</v>
      </c>
      <c r="V4300">
        <v>0</v>
      </c>
      <c r="W4300">
        <v>0</v>
      </c>
      <c r="X4300">
        <v>2</v>
      </c>
      <c r="Y4300">
        <v>0</v>
      </c>
      <c r="Z4300">
        <v>0</v>
      </c>
      <c r="AB4300">
        <v>0</v>
      </c>
      <c r="AC4300">
        <v>9</v>
      </c>
      <c r="AD4300">
        <v>3</v>
      </c>
      <c r="AE4300">
        <v>0</v>
      </c>
      <c r="AF4300">
        <v>9</v>
      </c>
      <c r="AG4300" t="s">
        <v>115</v>
      </c>
      <c r="AH4300">
        <v>0</v>
      </c>
      <c r="AI4300">
        <v>0</v>
      </c>
      <c r="AJ4300">
        <v>1</v>
      </c>
      <c r="AK4300">
        <v>0</v>
      </c>
      <c r="AL4300" t="s">
        <v>7873</v>
      </c>
      <c r="AM4300">
        <v>47.050902999999998</v>
      </c>
      <c r="AN4300" t="s">
        <v>7876</v>
      </c>
      <c r="AO4300">
        <v>-123.988609</v>
      </c>
      <c r="AP4300">
        <v>100</v>
      </c>
      <c r="AQ4300">
        <v>100</v>
      </c>
      <c r="AR4300" t="s">
        <v>118</v>
      </c>
      <c r="AS4300">
        <v>51</v>
      </c>
      <c r="AT4300">
        <v>8</v>
      </c>
      <c r="AU4300">
        <v>-64</v>
      </c>
      <c r="BC4300">
        <v>1200</v>
      </c>
      <c r="BD4300">
        <v>1</v>
      </c>
      <c r="BE4300" t="str">
        <f t="shared" si="203"/>
        <v xml:space="preserve">N215T   </v>
      </c>
      <c r="BF4300">
        <v>1</v>
      </c>
      <c r="BH4300">
        <v>0</v>
      </c>
      <c r="BI4300">
        <v>0</v>
      </c>
      <c r="BJ4300">
        <v>0</v>
      </c>
      <c r="BK4300">
        <v>525</v>
      </c>
      <c r="BL4300">
        <v>425</v>
      </c>
      <c r="BM4300" t="s">
        <v>119</v>
      </c>
      <c r="BN4300">
        <v>1</v>
      </c>
      <c r="BO4300">
        <v>1</v>
      </c>
      <c r="BP4300">
        <v>1</v>
      </c>
      <c r="BQ4300">
        <v>0</v>
      </c>
      <c r="BT4300">
        <v>0</v>
      </c>
      <c r="BU4300">
        <v>0</v>
      </c>
      <c r="BV4300">
        <v>0</v>
      </c>
      <c r="CC4300" t="str">
        <f>"19:47:40.711"</f>
        <v>19:47:40.711</v>
      </c>
      <c r="CD4300" t="str">
        <f>"712474637"</f>
        <v>712474637</v>
      </c>
      <c r="CQ4300">
        <v>0</v>
      </c>
      <c r="CR4300">
        <v>2</v>
      </c>
      <c r="CS4300">
        <v>0</v>
      </c>
      <c r="CT4300">
        <v>2</v>
      </c>
      <c r="CU4300">
        <v>0</v>
      </c>
      <c r="CV4300">
        <v>6</v>
      </c>
      <c r="CW4300" t="s">
        <v>120</v>
      </c>
      <c r="CX4300">
        <v>257</v>
      </c>
      <c r="CY4300">
        <v>0</v>
      </c>
      <c r="CZ4300" t="s">
        <v>615</v>
      </c>
      <c r="DA4300" t="s">
        <v>616</v>
      </c>
      <c r="DD4300">
        <v>16753456</v>
      </c>
      <c r="DE4300" t="s">
        <v>123</v>
      </c>
    </row>
    <row r="4301" spans="1:109" x14ac:dyDescent="0.3">
      <c r="A4301" t="str">
        <f>"19:47:41.859"</f>
        <v>19:47:41.859</v>
      </c>
      <c r="B4301" t="s">
        <v>110</v>
      </c>
      <c r="C4301" t="str">
        <f t="shared" si="201"/>
        <v>ffdfd3c0</v>
      </c>
      <c r="D4301" t="s">
        <v>111</v>
      </c>
      <c r="E4301">
        <v>18</v>
      </c>
      <c r="F4301">
        <v>1018</v>
      </c>
      <c r="G4301" t="s">
        <v>112</v>
      </c>
      <c r="J4301" t="s">
        <v>113</v>
      </c>
      <c r="K4301">
        <v>0</v>
      </c>
      <c r="L4301">
        <v>3</v>
      </c>
      <c r="M4301">
        <v>0</v>
      </c>
      <c r="N4301">
        <v>2</v>
      </c>
      <c r="O4301">
        <v>1</v>
      </c>
      <c r="P4301">
        <v>0</v>
      </c>
      <c r="Q4301">
        <v>0</v>
      </c>
      <c r="R4301" t="s">
        <v>114</v>
      </c>
      <c r="S4301" t="str">
        <f>"19:47:41.578"</f>
        <v>19:47:41.578</v>
      </c>
      <c r="T4301" t="str">
        <f>"19:47:41.578"</f>
        <v>19:47:41.578</v>
      </c>
      <c r="U4301" t="str">
        <f t="shared" si="202"/>
        <v>a1cdbe</v>
      </c>
      <c r="V4301">
        <v>0</v>
      </c>
      <c r="W4301">
        <v>0</v>
      </c>
      <c r="X4301">
        <v>2</v>
      </c>
      <c r="Y4301">
        <v>0</v>
      </c>
      <c r="Z4301">
        <v>0</v>
      </c>
      <c r="AB4301">
        <v>0</v>
      </c>
      <c r="AC4301">
        <v>9</v>
      </c>
      <c r="AD4301">
        <v>3</v>
      </c>
      <c r="AE4301">
        <v>0</v>
      </c>
      <c r="AF4301">
        <v>9</v>
      </c>
      <c r="AG4301" t="s">
        <v>115</v>
      </c>
      <c r="AH4301">
        <v>0</v>
      </c>
      <c r="AI4301">
        <v>0</v>
      </c>
      <c r="AJ4301">
        <v>1</v>
      </c>
      <c r="AK4301">
        <v>0</v>
      </c>
      <c r="AL4301" t="s">
        <v>7872</v>
      </c>
      <c r="AM4301">
        <v>47.050967</v>
      </c>
      <c r="AN4301" t="s">
        <v>7877</v>
      </c>
      <c r="AO4301">
        <v>-123.988266</v>
      </c>
      <c r="AP4301">
        <v>100</v>
      </c>
      <c r="AQ4301">
        <v>100</v>
      </c>
      <c r="AR4301" t="s">
        <v>118</v>
      </c>
      <c r="AS4301">
        <v>49</v>
      </c>
      <c r="AT4301">
        <v>15</v>
      </c>
      <c r="AU4301">
        <v>-128</v>
      </c>
      <c r="BC4301">
        <v>1200</v>
      </c>
      <c r="BD4301">
        <v>1</v>
      </c>
      <c r="BE4301" t="str">
        <f t="shared" si="203"/>
        <v xml:space="preserve">N215T   </v>
      </c>
      <c r="BF4301">
        <v>1</v>
      </c>
      <c r="BH4301">
        <v>0</v>
      </c>
      <c r="BI4301">
        <v>0</v>
      </c>
      <c r="BJ4301">
        <v>0</v>
      </c>
      <c r="BK4301">
        <v>525</v>
      </c>
      <c r="BL4301">
        <v>425</v>
      </c>
      <c r="BM4301" t="s">
        <v>119</v>
      </c>
      <c r="BN4301">
        <v>1</v>
      </c>
      <c r="BO4301">
        <v>1</v>
      </c>
      <c r="BP4301">
        <v>1</v>
      </c>
      <c r="BQ4301">
        <v>0</v>
      </c>
      <c r="BT4301">
        <v>0</v>
      </c>
      <c r="BU4301">
        <v>0</v>
      </c>
      <c r="BV4301">
        <v>0</v>
      </c>
      <c r="CC4301" t="str">
        <f>"19:47:41.586"</f>
        <v>19:47:41.586</v>
      </c>
      <c r="CD4301" t="str">
        <f>"582388912"</f>
        <v>582388912</v>
      </c>
      <c r="CQ4301">
        <v>0</v>
      </c>
      <c r="CR4301">
        <v>2</v>
      </c>
      <c r="CS4301">
        <v>0</v>
      </c>
      <c r="CT4301">
        <v>2</v>
      </c>
      <c r="CU4301">
        <v>0</v>
      </c>
      <c r="CV4301">
        <v>5</v>
      </c>
      <c r="CW4301" t="s">
        <v>120</v>
      </c>
      <c r="CX4301">
        <v>257</v>
      </c>
      <c r="CY4301">
        <v>0</v>
      </c>
      <c r="CZ4301" t="s">
        <v>615</v>
      </c>
      <c r="DA4301" t="s">
        <v>616</v>
      </c>
      <c r="DD4301">
        <v>16753726</v>
      </c>
      <c r="DE4301" t="s">
        <v>123</v>
      </c>
    </row>
    <row r="4302" spans="1:109" x14ac:dyDescent="0.3">
      <c r="A4302" t="str">
        <f>"19:47:42.859"</f>
        <v>19:47:42.859</v>
      </c>
      <c r="B4302" t="s">
        <v>110</v>
      </c>
      <c r="C4302" t="str">
        <f t="shared" si="201"/>
        <v>ffdfd3c0</v>
      </c>
      <c r="D4302" t="s">
        <v>111</v>
      </c>
      <c r="E4302">
        <v>18</v>
      </c>
      <c r="F4302">
        <v>1018</v>
      </c>
      <c r="G4302" t="s">
        <v>112</v>
      </c>
      <c r="J4302" t="s">
        <v>113</v>
      </c>
      <c r="K4302">
        <v>0</v>
      </c>
      <c r="L4302">
        <v>3</v>
      </c>
      <c r="M4302">
        <v>0</v>
      </c>
      <c r="N4302">
        <v>2</v>
      </c>
      <c r="O4302">
        <v>1</v>
      </c>
      <c r="P4302">
        <v>0</v>
      </c>
      <c r="Q4302">
        <v>0</v>
      </c>
      <c r="R4302" t="s">
        <v>114</v>
      </c>
      <c r="S4302" t="str">
        <f>"19:47:42.641"</f>
        <v>19:47:42.641</v>
      </c>
      <c r="T4302" t="str">
        <f>"19:47:42.539"</f>
        <v>19:47:42.539</v>
      </c>
      <c r="U4302" t="str">
        <f t="shared" si="202"/>
        <v>a1cdbe</v>
      </c>
      <c r="V4302">
        <v>0</v>
      </c>
      <c r="W4302">
        <v>0</v>
      </c>
      <c r="X4302">
        <v>2</v>
      </c>
      <c r="Y4302">
        <v>0</v>
      </c>
      <c r="Z4302">
        <v>0</v>
      </c>
      <c r="AB4302">
        <v>0</v>
      </c>
      <c r="AC4302">
        <v>9</v>
      </c>
      <c r="AD4302">
        <v>3</v>
      </c>
      <c r="AE4302">
        <v>0</v>
      </c>
      <c r="AF4302">
        <v>9</v>
      </c>
      <c r="AG4302" t="s">
        <v>115</v>
      </c>
      <c r="AH4302">
        <v>0</v>
      </c>
      <c r="AI4302">
        <v>0</v>
      </c>
      <c r="AJ4302">
        <v>1</v>
      </c>
      <c r="AK4302">
        <v>0</v>
      </c>
      <c r="AL4302" t="s">
        <v>7233</v>
      </c>
      <c r="AM4302">
        <v>47.051096000000001</v>
      </c>
      <c r="AN4302" t="s">
        <v>7608</v>
      </c>
      <c r="AO4302">
        <v>-123.987966</v>
      </c>
      <c r="AP4302">
        <v>100</v>
      </c>
      <c r="AQ4302">
        <v>100</v>
      </c>
      <c r="AR4302" t="s">
        <v>118</v>
      </c>
      <c r="AS4302">
        <v>45</v>
      </c>
      <c r="AT4302">
        <v>23</v>
      </c>
      <c r="AU4302">
        <v>-320</v>
      </c>
      <c r="BC4302">
        <v>1200</v>
      </c>
      <c r="BD4302">
        <v>1</v>
      </c>
      <c r="BE4302" t="str">
        <f t="shared" si="203"/>
        <v xml:space="preserve">N215T   </v>
      </c>
      <c r="BF4302">
        <v>1</v>
      </c>
      <c r="BH4302">
        <v>0</v>
      </c>
      <c r="BI4302">
        <v>0</v>
      </c>
      <c r="BJ4302">
        <v>0</v>
      </c>
      <c r="BK4302">
        <v>525</v>
      </c>
      <c r="BL4302">
        <v>425</v>
      </c>
      <c r="BM4302" t="s">
        <v>119</v>
      </c>
      <c r="BN4302">
        <v>1</v>
      </c>
      <c r="BO4302">
        <v>1</v>
      </c>
      <c r="BP4302">
        <v>1</v>
      </c>
      <c r="BQ4302">
        <v>0</v>
      </c>
      <c r="BT4302">
        <v>0</v>
      </c>
      <c r="BU4302">
        <v>0</v>
      </c>
      <c r="BV4302">
        <v>0</v>
      </c>
      <c r="CC4302" t="str">
        <f>"19:47:42.648"</f>
        <v>19:47:42.648</v>
      </c>
      <c r="CD4302" t="str">
        <f>"647284003"</f>
        <v>647284003</v>
      </c>
      <c r="CQ4302">
        <v>0</v>
      </c>
      <c r="CR4302">
        <v>2</v>
      </c>
      <c r="CS4302">
        <v>0</v>
      </c>
      <c r="CT4302">
        <v>2</v>
      </c>
      <c r="CU4302">
        <v>0</v>
      </c>
      <c r="CV4302">
        <v>5</v>
      </c>
      <c r="CW4302" t="s">
        <v>120</v>
      </c>
      <c r="CX4302">
        <v>257</v>
      </c>
      <c r="CY4302">
        <v>0</v>
      </c>
      <c r="CZ4302" t="s">
        <v>615</v>
      </c>
      <c r="DA4302" t="s">
        <v>616</v>
      </c>
      <c r="DD4302">
        <v>16754072</v>
      </c>
      <c r="DE4302" t="s">
        <v>123</v>
      </c>
    </row>
    <row r="4303" spans="1:109" x14ac:dyDescent="0.3">
      <c r="A4303" t="str">
        <f>"19:47:43.914"</f>
        <v>19:47:43.914</v>
      </c>
      <c r="B4303" t="s">
        <v>110</v>
      </c>
      <c r="C4303" t="str">
        <f t="shared" si="201"/>
        <v>ffdfd3c0</v>
      </c>
      <c r="D4303" t="s">
        <v>111</v>
      </c>
      <c r="E4303">
        <v>18</v>
      </c>
      <c r="F4303">
        <v>1018</v>
      </c>
      <c r="G4303" t="s">
        <v>112</v>
      </c>
      <c r="J4303" t="s">
        <v>113</v>
      </c>
      <c r="K4303">
        <v>0</v>
      </c>
      <c r="L4303">
        <v>3</v>
      </c>
      <c r="M4303">
        <v>0</v>
      </c>
      <c r="N4303">
        <v>2</v>
      </c>
      <c r="O4303">
        <v>1</v>
      </c>
      <c r="P4303">
        <v>0</v>
      </c>
      <c r="Q4303">
        <v>0</v>
      </c>
      <c r="R4303" t="s">
        <v>114</v>
      </c>
      <c r="S4303" t="str">
        <f>"19:47:43.711"</f>
        <v>19:47:43.711</v>
      </c>
      <c r="T4303" t="str">
        <f>"19:47:43.609"</f>
        <v>19:47:43.609</v>
      </c>
      <c r="U4303" t="str">
        <f t="shared" si="202"/>
        <v>a1cdbe</v>
      </c>
      <c r="V4303">
        <v>0</v>
      </c>
      <c r="W4303">
        <v>0</v>
      </c>
      <c r="X4303">
        <v>2</v>
      </c>
      <c r="Y4303">
        <v>0</v>
      </c>
      <c r="Z4303">
        <v>0</v>
      </c>
      <c r="AB4303">
        <v>0</v>
      </c>
      <c r="AC4303">
        <v>9</v>
      </c>
      <c r="AD4303">
        <v>3</v>
      </c>
      <c r="AE4303">
        <v>0</v>
      </c>
      <c r="AF4303">
        <v>9</v>
      </c>
      <c r="AG4303" t="s">
        <v>115</v>
      </c>
      <c r="AH4303">
        <v>0</v>
      </c>
      <c r="AI4303">
        <v>0</v>
      </c>
      <c r="AJ4303">
        <v>1</v>
      </c>
      <c r="AK4303">
        <v>0</v>
      </c>
      <c r="AL4303" t="s">
        <v>7791</v>
      </c>
      <c r="AM4303">
        <v>47.051245999999999</v>
      </c>
      <c r="AN4303" t="s">
        <v>7607</v>
      </c>
      <c r="AO4303">
        <v>-123.987644</v>
      </c>
      <c r="AP4303">
        <v>100</v>
      </c>
      <c r="AQ4303">
        <v>100</v>
      </c>
      <c r="AR4303" t="s">
        <v>118</v>
      </c>
      <c r="AS4303">
        <v>39</v>
      </c>
      <c r="AT4303">
        <v>31</v>
      </c>
      <c r="AU4303">
        <v>-512</v>
      </c>
      <c r="BC4303">
        <v>1200</v>
      </c>
      <c r="BD4303">
        <v>1</v>
      </c>
      <c r="BE4303" t="str">
        <f t="shared" si="203"/>
        <v xml:space="preserve">N215T   </v>
      </c>
      <c r="BF4303">
        <v>1</v>
      </c>
      <c r="BH4303">
        <v>0</v>
      </c>
      <c r="BI4303">
        <v>0</v>
      </c>
      <c r="BJ4303">
        <v>0</v>
      </c>
      <c r="BK4303">
        <v>500</v>
      </c>
      <c r="BL4303">
        <v>400</v>
      </c>
      <c r="BM4303" t="s">
        <v>119</v>
      </c>
      <c r="BN4303">
        <v>1</v>
      </c>
      <c r="BO4303">
        <v>1</v>
      </c>
      <c r="BP4303">
        <v>1</v>
      </c>
      <c r="BQ4303">
        <v>0</v>
      </c>
      <c r="BT4303">
        <v>0</v>
      </c>
      <c r="BU4303">
        <v>0</v>
      </c>
      <c r="BV4303">
        <v>0</v>
      </c>
      <c r="CC4303" t="str">
        <f>"19:47:43.711"</f>
        <v>19:47:43.711</v>
      </c>
      <c r="CD4303" t="str">
        <f>"712179075"</f>
        <v>712179075</v>
      </c>
      <c r="CQ4303">
        <v>0</v>
      </c>
      <c r="CR4303">
        <v>2</v>
      </c>
      <c r="CS4303">
        <v>0</v>
      </c>
      <c r="CT4303">
        <v>2</v>
      </c>
      <c r="CU4303">
        <v>0</v>
      </c>
      <c r="CV4303">
        <v>5</v>
      </c>
      <c r="CW4303" t="s">
        <v>120</v>
      </c>
      <c r="CX4303">
        <v>257</v>
      </c>
      <c r="CY4303">
        <v>0</v>
      </c>
      <c r="CZ4303" t="s">
        <v>615</v>
      </c>
      <c r="DA4303" t="s">
        <v>616</v>
      </c>
      <c r="DD4303">
        <v>16754395</v>
      </c>
      <c r="DE4303" t="s">
        <v>123</v>
      </c>
    </row>
    <row r="4304" spans="1:109" x14ac:dyDescent="0.3">
      <c r="A4304" t="str">
        <f>"19:47:45.023"</f>
        <v>19:47:45.023</v>
      </c>
      <c r="B4304" t="s">
        <v>110</v>
      </c>
      <c r="C4304" t="str">
        <f t="shared" si="201"/>
        <v>ffdfd3c0</v>
      </c>
      <c r="D4304" t="s">
        <v>111</v>
      </c>
      <c r="E4304">
        <v>18</v>
      </c>
      <c r="F4304">
        <v>1018</v>
      </c>
      <c r="G4304" t="s">
        <v>112</v>
      </c>
      <c r="J4304" t="s">
        <v>113</v>
      </c>
      <c r="K4304">
        <v>0</v>
      </c>
      <c r="L4304">
        <v>3</v>
      </c>
      <c r="M4304">
        <v>0</v>
      </c>
      <c r="N4304">
        <v>2</v>
      </c>
      <c r="O4304">
        <v>1</v>
      </c>
      <c r="P4304">
        <v>0</v>
      </c>
      <c r="Q4304">
        <v>0</v>
      </c>
      <c r="R4304" t="s">
        <v>114</v>
      </c>
      <c r="S4304" t="str">
        <f>"19:47:44.742"</f>
        <v>19:47:44.742</v>
      </c>
      <c r="T4304" t="str">
        <f>"19:47:44.641"</f>
        <v>19:47:44.641</v>
      </c>
      <c r="U4304" t="str">
        <f t="shared" si="202"/>
        <v>a1cdbe</v>
      </c>
      <c r="V4304">
        <v>0</v>
      </c>
      <c r="W4304">
        <v>0</v>
      </c>
      <c r="X4304">
        <v>2</v>
      </c>
      <c r="Y4304">
        <v>0</v>
      </c>
      <c r="Z4304">
        <v>0</v>
      </c>
      <c r="AB4304">
        <v>0</v>
      </c>
      <c r="AC4304">
        <v>9</v>
      </c>
      <c r="AD4304">
        <v>3</v>
      </c>
      <c r="AE4304">
        <v>0</v>
      </c>
      <c r="AF4304">
        <v>9</v>
      </c>
      <c r="AG4304" t="s">
        <v>115</v>
      </c>
      <c r="AH4304">
        <v>0</v>
      </c>
      <c r="AI4304">
        <v>0</v>
      </c>
      <c r="AJ4304">
        <v>1</v>
      </c>
      <c r="AK4304">
        <v>0</v>
      </c>
      <c r="AL4304" t="s">
        <v>7878</v>
      </c>
      <c r="AM4304">
        <v>47.051417999999998</v>
      </c>
      <c r="AN4304" t="s">
        <v>7797</v>
      </c>
      <c r="AO4304">
        <v>-123.987472</v>
      </c>
      <c r="AP4304">
        <v>100</v>
      </c>
      <c r="AQ4304">
        <v>100</v>
      </c>
      <c r="AR4304" t="s">
        <v>118</v>
      </c>
      <c r="AS4304">
        <v>31</v>
      </c>
      <c r="AT4304">
        <v>39</v>
      </c>
      <c r="AU4304">
        <v>-832</v>
      </c>
      <c r="BC4304">
        <v>1200</v>
      </c>
      <c r="BD4304">
        <v>1</v>
      </c>
      <c r="BE4304" t="str">
        <f t="shared" si="203"/>
        <v xml:space="preserve">N215T   </v>
      </c>
      <c r="BF4304">
        <v>1</v>
      </c>
      <c r="BH4304">
        <v>0</v>
      </c>
      <c r="BI4304">
        <v>0</v>
      </c>
      <c r="BJ4304">
        <v>0</v>
      </c>
      <c r="BK4304">
        <v>500</v>
      </c>
      <c r="BL4304">
        <v>400</v>
      </c>
      <c r="BM4304" t="s">
        <v>119</v>
      </c>
      <c r="BN4304">
        <v>1</v>
      </c>
      <c r="BO4304">
        <v>1</v>
      </c>
      <c r="BP4304">
        <v>1</v>
      </c>
      <c r="BQ4304">
        <v>0</v>
      </c>
      <c r="BT4304">
        <v>0</v>
      </c>
      <c r="BU4304">
        <v>0</v>
      </c>
      <c r="BV4304">
        <v>0</v>
      </c>
      <c r="CC4304" t="str">
        <f>"19:47:44.750"</f>
        <v>19:47:44.750</v>
      </c>
      <c r="CD4304" t="str">
        <f>"747077152"</f>
        <v>747077152</v>
      </c>
      <c r="CQ4304">
        <v>0</v>
      </c>
      <c r="CR4304">
        <v>2</v>
      </c>
      <c r="CS4304">
        <v>0</v>
      </c>
      <c r="CT4304">
        <v>2</v>
      </c>
      <c r="CU4304">
        <v>0</v>
      </c>
      <c r="CV4304">
        <v>6</v>
      </c>
      <c r="CW4304" t="s">
        <v>120</v>
      </c>
      <c r="CX4304">
        <v>257</v>
      </c>
      <c r="CY4304">
        <v>0</v>
      </c>
      <c r="CZ4304" t="s">
        <v>615</v>
      </c>
      <c r="DA4304" t="s">
        <v>616</v>
      </c>
      <c r="DD4304">
        <v>16754727</v>
      </c>
      <c r="DE4304" t="s">
        <v>123</v>
      </c>
    </row>
    <row r="4305" spans="1:109" x14ac:dyDescent="0.3">
      <c r="A4305" t="str">
        <f>"19:47:45.977"</f>
        <v>19:47:45.977</v>
      </c>
      <c r="B4305" t="s">
        <v>110</v>
      </c>
      <c r="C4305" t="str">
        <f t="shared" si="201"/>
        <v>ffdfd3c0</v>
      </c>
      <c r="D4305" t="s">
        <v>111</v>
      </c>
      <c r="E4305">
        <v>18</v>
      </c>
      <c r="F4305">
        <v>1018</v>
      </c>
      <c r="G4305" t="s">
        <v>112</v>
      </c>
      <c r="J4305" t="s">
        <v>113</v>
      </c>
      <c r="K4305">
        <v>0</v>
      </c>
      <c r="L4305">
        <v>3</v>
      </c>
      <c r="M4305">
        <v>0</v>
      </c>
      <c r="N4305">
        <v>2</v>
      </c>
      <c r="O4305">
        <v>1</v>
      </c>
      <c r="P4305">
        <v>0</v>
      </c>
      <c r="Q4305">
        <v>0</v>
      </c>
      <c r="R4305" t="s">
        <v>114</v>
      </c>
      <c r="S4305" t="str">
        <f>"19:47:45.750"</f>
        <v>19:47:45.750</v>
      </c>
      <c r="T4305" t="str">
        <f>"19:47:45.648"</f>
        <v>19:47:45.648</v>
      </c>
      <c r="U4305" t="str">
        <f t="shared" si="202"/>
        <v>a1cdbe</v>
      </c>
      <c r="V4305">
        <v>0</v>
      </c>
      <c r="W4305">
        <v>0</v>
      </c>
      <c r="X4305">
        <v>2</v>
      </c>
      <c r="Y4305">
        <v>0</v>
      </c>
      <c r="Z4305">
        <v>0</v>
      </c>
      <c r="AB4305">
        <v>0</v>
      </c>
      <c r="AC4305">
        <v>9</v>
      </c>
      <c r="AD4305">
        <v>3</v>
      </c>
      <c r="AE4305">
        <v>0</v>
      </c>
      <c r="AF4305">
        <v>9</v>
      </c>
      <c r="AG4305" t="s">
        <v>115</v>
      </c>
      <c r="AH4305">
        <v>0</v>
      </c>
      <c r="AI4305">
        <v>0</v>
      </c>
      <c r="AJ4305">
        <v>1</v>
      </c>
      <c r="AK4305">
        <v>0</v>
      </c>
      <c r="AL4305" t="s">
        <v>7795</v>
      </c>
      <c r="AM4305">
        <v>47.051653999999999</v>
      </c>
      <c r="AN4305" t="s">
        <v>7879</v>
      </c>
      <c r="AO4305">
        <v>-123.9873</v>
      </c>
      <c r="AP4305">
        <v>100</v>
      </c>
      <c r="AQ4305">
        <v>100</v>
      </c>
      <c r="AR4305" t="s">
        <v>118</v>
      </c>
      <c r="AS4305">
        <v>23</v>
      </c>
      <c r="AT4305">
        <v>44</v>
      </c>
      <c r="AU4305">
        <v>-896</v>
      </c>
      <c r="BC4305">
        <v>1200</v>
      </c>
      <c r="BD4305">
        <v>1</v>
      </c>
      <c r="BE4305" t="str">
        <f t="shared" si="203"/>
        <v xml:space="preserve">N215T   </v>
      </c>
      <c r="BF4305">
        <v>1</v>
      </c>
      <c r="BH4305">
        <v>0</v>
      </c>
      <c r="BI4305">
        <v>0</v>
      </c>
      <c r="BJ4305">
        <v>0</v>
      </c>
      <c r="BK4305">
        <v>475</v>
      </c>
      <c r="BL4305">
        <v>375</v>
      </c>
      <c r="BM4305" t="s">
        <v>119</v>
      </c>
      <c r="BN4305">
        <v>1</v>
      </c>
      <c r="BO4305">
        <v>1</v>
      </c>
      <c r="BP4305">
        <v>1</v>
      </c>
      <c r="BQ4305">
        <v>0</v>
      </c>
      <c r="BT4305">
        <v>0</v>
      </c>
      <c r="BU4305">
        <v>0</v>
      </c>
      <c r="BV4305">
        <v>0</v>
      </c>
      <c r="CC4305" t="str">
        <f>"19:47:45.750"</f>
        <v>19:47:45.750</v>
      </c>
      <c r="CD4305" t="str">
        <f>"751978192"</f>
        <v>751978192</v>
      </c>
      <c r="CQ4305">
        <v>0</v>
      </c>
      <c r="CR4305">
        <v>2</v>
      </c>
      <c r="CS4305">
        <v>0</v>
      </c>
      <c r="CT4305">
        <v>2</v>
      </c>
      <c r="CU4305">
        <v>0</v>
      </c>
      <c r="CV4305">
        <v>4</v>
      </c>
      <c r="CW4305" t="s">
        <v>120</v>
      </c>
      <c r="CX4305">
        <v>257</v>
      </c>
      <c r="CY4305">
        <v>0</v>
      </c>
      <c r="CZ4305" t="s">
        <v>615</v>
      </c>
      <c r="DA4305" t="s">
        <v>616</v>
      </c>
      <c r="DD4305">
        <v>16755034</v>
      </c>
      <c r="DE4305" t="s">
        <v>123</v>
      </c>
    </row>
    <row r="4306" spans="1:109" x14ac:dyDescent="0.3">
      <c r="A4306" t="str">
        <f>"19:47:46.930"</f>
        <v>19:47:46.930</v>
      </c>
      <c r="B4306" t="s">
        <v>110</v>
      </c>
      <c r="C4306" t="str">
        <f t="shared" si="201"/>
        <v>ffdfd3c0</v>
      </c>
      <c r="D4306" t="s">
        <v>111</v>
      </c>
      <c r="E4306">
        <v>18</v>
      </c>
      <c r="F4306">
        <v>1018</v>
      </c>
      <c r="G4306" t="s">
        <v>112</v>
      </c>
      <c r="J4306" t="s">
        <v>113</v>
      </c>
      <c r="K4306">
        <v>0</v>
      </c>
      <c r="L4306">
        <v>3</v>
      </c>
      <c r="M4306">
        <v>0</v>
      </c>
      <c r="N4306">
        <v>2</v>
      </c>
      <c r="O4306">
        <v>1</v>
      </c>
      <c r="P4306">
        <v>0</v>
      </c>
      <c r="Q4306">
        <v>0</v>
      </c>
      <c r="R4306" t="s">
        <v>114</v>
      </c>
      <c r="S4306" t="str">
        <f>"19:47:46.727"</f>
        <v>19:47:46.727</v>
      </c>
      <c r="T4306" t="str">
        <f>"19:47:46.227"</f>
        <v>19:47:46.227</v>
      </c>
      <c r="U4306" t="str">
        <f t="shared" si="202"/>
        <v>a1cdbe</v>
      </c>
      <c r="V4306">
        <v>0</v>
      </c>
      <c r="W4306">
        <v>0</v>
      </c>
      <c r="X4306">
        <v>2</v>
      </c>
      <c r="Y4306">
        <v>0</v>
      </c>
      <c r="Z4306">
        <v>0</v>
      </c>
      <c r="AB4306">
        <v>0</v>
      </c>
      <c r="AC4306">
        <v>9</v>
      </c>
      <c r="AD4306">
        <v>3</v>
      </c>
      <c r="AE4306">
        <v>0</v>
      </c>
      <c r="AF4306">
        <v>9</v>
      </c>
      <c r="AG4306" t="s">
        <v>115</v>
      </c>
      <c r="AH4306">
        <v>0</v>
      </c>
      <c r="AI4306">
        <v>0</v>
      </c>
      <c r="AJ4306">
        <v>1</v>
      </c>
      <c r="AK4306">
        <v>0</v>
      </c>
      <c r="AL4306" t="s">
        <v>7796</v>
      </c>
      <c r="AM4306">
        <v>47.051847000000002</v>
      </c>
      <c r="AN4306" t="s">
        <v>7799</v>
      </c>
      <c r="AO4306">
        <v>-123.987193</v>
      </c>
      <c r="AP4306">
        <v>100</v>
      </c>
      <c r="AQ4306">
        <v>100</v>
      </c>
      <c r="AR4306" t="s">
        <v>118</v>
      </c>
      <c r="AS4306">
        <v>18</v>
      </c>
      <c r="AT4306">
        <v>47</v>
      </c>
      <c r="AU4306">
        <v>-1024</v>
      </c>
      <c r="BC4306">
        <v>1200</v>
      </c>
      <c r="BD4306">
        <v>1</v>
      </c>
      <c r="BE4306" t="str">
        <f t="shared" si="203"/>
        <v xml:space="preserve">N215T   </v>
      </c>
      <c r="BF4306">
        <v>1</v>
      </c>
      <c r="BH4306">
        <v>0</v>
      </c>
      <c r="BI4306">
        <v>0</v>
      </c>
      <c r="BJ4306">
        <v>0</v>
      </c>
      <c r="BK4306">
        <v>475</v>
      </c>
      <c r="BL4306">
        <v>375</v>
      </c>
      <c r="BM4306" t="s">
        <v>119</v>
      </c>
      <c r="BN4306">
        <v>1</v>
      </c>
      <c r="BO4306">
        <v>1</v>
      </c>
      <c r="BP4306">
        <v>1</v>
      </c>
      <c r="BQ4306">
        <v>0</v>
      </c>
      <c r="BT4306">
        <v>0</v>
      </c>
      <c r="BU4306">
        <v>0</v>
      </c>
      <c r="BV4306">
        <v>0</v>
      </c>
      <c r="CC4306" t="str">
        <f>"19:47:46.727"</f>
        <v>19:47:46.727</v>
      </c>
      <c r="CD4306" t="str">
        <f>"726882174"</f>
        <v>726882174</v>
      </c>
      <c r="CQ4306">
        <v>0</v>
      </c>
      <c r="CR4306">
        <v>2</v>
      </c>
      <c r="CS4306">
        <v>0</v>
      </c>
      <c r="CT4306">
        <v>2</v>
      </c>
      <c r="CU4306">
        <v>0</v>
      </c>
      <c r="CV4306">
        <v>5</v>
      </c>
      <c r="CW4306" t="s">
        <v>120</v>
      </c>
      <c r="CX4306">
        <v>257</v>
      </c>
      <c r="CY4306">
        <v>0</v>
      </c>
      <c r="CZ4306" t="s">
        <v>615</v>
      </c>
      <c r="DA4306" t="s">
        <v>616</v>
      </c>
      <c r="DD4306">
        <v>16755329</v>
      </c>
      <c r="DE4306" t="s">
        <v>123</v>
      </c>
    </row>
    <row r="4307" spans="1:109" x14ac:dyDescent="0.3">
      <c r="A4307" t="str">
        <f>"19:47:48.195"</f>
        <v>19:47:48.195</v>
      </c>
      <c r="B4307" t="s">
        <v>110</v>
      </c>
      <c r="C4307" t="str">
        <f t="shared" si="201"/>
        <v>ffdfd3c0</v>
      </c>
      <c r="D4307" t="s">
        <v>111</v>
      </c>
      <c r="E4307">
        <v>18</v>
      </c>
      <c r="F4307">
        <v>1018</v>
      </c>
      <c r="G4307" t="s">
        <v>112</v>
      </c>
      <c r="J4307" t="s">
        <v>113</v>
      </c>
      <c r="K4307">
        <v>0</v>
      </c>
      <c r="L4307">
        <v>3</v>
      </c>
      <c r="M4307">
        <v>0</v>
      </c>
      <c r="N4307">
        <v>2</v>
      </c>
      <c r="O4307">
        <v>1</v>
      </c>
      <c r="P4307">
        <v>0</v>
      </c>
      <c r="Q4307">
        <v>0</v>
      </c>
      <c r="R4307" t="s">
        <v>114</v>
      </c>
      <c r="S4307" t="str">
        <f>"19:47:47.906"</f>
        <v>19:47:47.906</v>
      </c>
      <c r="T4307" t="str">
        <f>"19:47:47.609"</f>
        <v>19:47:47.609</v>
      </c>
      <c r="U4307" t="str">
        <f t="shared" si="202"/>
        <v>a1cdbe</v>
      </c>
      <c r="V4307">
        <v>0</v>
      </c>
      <c r="W4307">
        <v>0</v>
      </c>
      <c r="X4307">
        <v>2</v>
      </c>
      <c r="Y4307">
        <v>0</v>
      </c>
      <c r="Z4307">
        <v>0</v>
      </c>
      <c r="AB4307">
        <v>0</v>
      </c>
      <c r="AC4307">
        <v>9</v>
      </c>
      <c r="AD4307">
        <v>3</v>
      </c>
      <c r="AE4307">
        <v>0</v>
      </c>
      <c r="AF4307">
        <v>9</v>
      </c>
      <c r="AG4307" t="s">
        <v>115</v>
      </c>
      <c r="AH4307">
        <v>0</v>
      </c>
      <c r="AI4307">
        <v>0</v>
      </c>
      <c r="AJ4307">
        <v>1</v>
      </c>
      <c r="AK4307">
        <v>0</v>
      </c>
      <c r="AL4307" t="s">
        <v>7798</v>
      </c>
      <c r="AM4307">
        <v>47.052126000000001</v>
      </c>
      <c r="AN4307" t="s">
        <v>7880</v>
      </c>
      <c r="AO4307">
        <v>-123.987129</v>
      </c>
      <c r="AP4307">
        <v>100</v>
      </c>
      <c r="AQ4307">
        <v>0</v>
      </c>
      <c r="AR4307" t="s">
        <v>118</v>
      </c>
      <c r="AS4307">
        <v>4</v>
      </c>
      <c r="AT4307">
        <v>51</v>
      </c>
      <c r="AU4307">
        <v>-1088</v>
      </c>
      <c r="BC4307">
        <v>1200</v>
      </c>
      <c r="BD4307">
        <v>1</v>
      </c>
      <c r="BE4307" t="str">
        <f t="shared" si="203"/>
        <v xml:space="preserve">N215T   </v>
      </c>
      <c r="BF4307">
        <v>1</v>
      </c>
      <c r="BH4307">
        <v>0</v>
      </c>
      <c r="BI4307">
        <v>0</v>
      </c>
      <c r="BJ4307">
        <v>0</v>
      </c>
      <c r="BK4307">
        <v>550</v>
      </c>
      <c r="BL4307">
        <v>550</v>
      </c>
      <c r="BM4307" t="s">
        <v>119</v>
      </c>
      <c r="BN4307">
        <v>1</v>
      </c>
      <c r="BO4307">
        <v>1</v>
      </c>
      <c r="BP4307">
        <v>1</v>
      </c>
      <c r="BQ4307">
        <v>0</v>
      </c>
      <c r="BT4307">
        <v>0</v>
      </c>
      <c r="BU4307">
        <v>0</v>
      </c>
      <c r="BV4307">
        <v>0</v>
      </c>
      <c r="CC4307" t="str">
        <f>"19:47:47.914"</f>
        <v>19:47:47.914</v>
      </c>
      <c r="CD4307" t="str">
        <f>"911765496"</f>
        <v>911765496</v>
      </c>
      <c r="CQ4307">
        <v>0</v>
      </c>
      <c r="CR4307">
        <v>2</v>
      </c>
      <c r="CS4307">
        <v>0</v>
      </c>
      <c r="CT4307">
        <v>2</v>
      </c>
      <c r="CU4307">
        <v>0</v>
      </c>
      <c r="CV4307">
        <v>5</v>
      </c>
      <c r="CW4307" t="s">
        <v>120</v>
      </c>
      <c r="CX4307">
        <v>257</v>
      </c>
      <c r="CY4307">
        <v>0</v>
      </c>
      <c r="CZ4307" t="s">
        <v>615</v>
      </c>
      <c r="DA4307" t="s">
        <v>616</v>
      </c>
      <c r="DD4307">
        <v>16755727</v>
      </c>
      <c r="DE4307" t="s">
        <v>123</v>
      </c>
    </row>
    <row r="4308" spans="1:109" x14ac:dyDescent="0.3">
      <c r="A4308" t="str">
        <f>"19:47:49.094"</f>
        <v>19:47:49.094</v>
      </c>
      <c r="B4308" t="s">
        <v>110</v>
      </c>
      <c r="C4308" t="str">
        <f t="shared" si="201"/>
        <v>ffdfd3c0</v>
      </c>
      <c r="D4308" t="s">
        <v>111</v>
      </c>
      <c r="E4308">
        <v>18</v>
      </c>
      <c r="F4308">
        <v>1018</v>
      </c>
      <c r="G4308" t="s">
        <v>112</v>
      </c>
      <c r="J4308" t="s">
        <v>113</v>
      </c>
      <c r="K4308">
        <v>0</v>
      </c>
      <c r="L4308">
        <v>3</v>
      </c>
      <c r="M4308">
        <v>0</v>
      </c>
      <c r="N4308">
        <v>2</v>
      </c>
      <c r="O4308">
        <v>1</v>
      </c>
      <c r="P4308">
        <v>0</v>
      </c>
      <c r="Q4308">
        <v>0</v>
      </c>
      <c r="R4308" t="s">
        <v>114</v>
      </c>
      <c r="S4308" t="str">
        <f>"19:47:48.836"</f>
        <v>19:47:48.836</v>
      </c>
      <c r="T4308" t="str">
        <f>"19:47:48.734"</f>
        <v>19:47:48.734</v>
      </c>
      <c r="U4308" t="str">
        <f t="shared" si="202"/>
        <v>a1cdbe</v>
      </c>
      <c r="V4308">
        <v>0</v>
      </c>
      <c r="W4308">
        <v>0</v>
      </c>
      <c r="X4308">
        <v>2</v>
      </c>
      <c r="Y4308">
        <v>0</v>
      </c>
      <c r="Z4308">
        <v>0</v>
      </c>
      <c r="AB4308">
        <v>0</v>
      </c>
      <c r="AC4308">
        <v>9</v>
      </c>
      <c r="AD4308">
        <v>3</v>
      </c>
      <c r="AE4308">
        <v>0</v>
      </c>
      <c r="AF4308">
        <v>9</v>
      </c>
      <c r="AG4308" t="s">
        <v>115</v>
      </c>
      <c r="AH4308">
        <v>0</v>
      </c>
      <c r="AI4308">
        <v>0</v>
      </c>
      <c r="AJ4308">
        <v>1</v>
      </c>
      <c r="AK4308">
        <v>0</v>
      </c>
      <c r="AL4308" t="s">
        <v>549</v>
      </c>
      <c r="AM4308">
        <v>47.052340999999998</v>
      </c>
      <c r="AN4308" t="s">
        <v>7566</v>
      </c>
      <c r="AO4308">
        <v>-123.987172</v>
      </c>
      <c r="AP4308">
        <v>100</v>
      </c>
      <c r="AQ4308">
        <v>0</v>
      </c>
      <c r="AR4308" t="s">
        <v>118</v>
      </c>
      <c r="AS4308">
        <v>-8</v>
      </c>
      <c r="AT4308">
        <v>51</v>
      </c>
      <c r="AU4308">
        <v>-1280</v>
      </c>
      <c r="BC4308">
        <v>1200</v>
      </c>
      <c r="BD4308">
        <v>1</v>
      </c>
      <c r="BE4308" t="str">
        <f t="shared" si="203"/>
        <v xml:space="preserve">N215T   </v>
      </c>
      <c r="BF4308">
        <v>1</v>
      </c>
      <c r="BH4308">
        <v>0</v>
      </c>
      <c r="BI4308">
        <v>0</v>
      </c>
      <c r="BJ4308">
        <v>0</v>
      </c>
      <c r="BK4308">
        <v>425</v>
      </c>
      <c r="BL4308">
        <v>425</v>
      </c>
      <c r="BM4308" t="s">
        <v>119</v>
      </c>
      <c r="BN4308">
        <v>1</v>
      </c>
      <c r="BO4308">
        <v>1</v>
      </c>
      <c r="BP4308">
        <v>1</v>
      </c>
      <c r="BQ4308">
        <v>0</v>
      </c>
      <c r="BT4308">
        <v>0</v>
      </c>
      <c r="BU4308">
        <v>0</v>
      </c>
      <c r="BV4308">
        <v>0</v>
      </c>
      <c r="CC4308" t="str">
        <f>"19:47:48.844"</f>
        <v>19:47:48.844</v>
      </c>
      <c r="CD4308" t="str">
        <f>"841673938"</f>
        <v>841673938</v>
      </c>
      <c r="CQ4308">
        <v>0</v>
      </c>
      <c r="CR4308">
        <v>2</v>
      </c>
      <c r="CS4308">
        <v>0</v>
      </c>
      <c r="CT4308">
        <v>2</v>
      </c>
      <c r="CU4308">
        <v>0</v>
      </c>
      <c r="CV4308">
        <v>5</v>
      </c>
      <c r="CW4308" t="s">
        <v>120</v>
      </c>
      <c r="CX4308">
        <v>257</v>
      </c>
      <c r="CY4308">
        <v>0</v>
      </c>
      <c r="CZ4308" t="s">
        <v>615</v>
      </c>
      <c r="DA4308" t="s">
        <v>616</v>
      </c>
      <c r="DD4308">
        <v>16756026</v>
      </c>
      <c r="DE4308" t="s">
        <v>123</v>
      </c>
    </row>
    <row r="4309" spans="1:109" x14ac:dyDescent="0.3">
      <c r="A4309" t="str">
        <f>"19:47:50.148"</f>
        <v>19:47:50.148</v>
      </c>
      <c r="B4309" t="s">
        <v>110</v>
      </c>
      <c r="C4309" t="str">
        <f t="shared" ref="C4309:C4339" si="204">"ffdfd3c0"</f>
        <v>ffdfd3c0</v>
      </c>
      <c r="D4309" t="s">
        <v>111</v>
      </c>
      <c r="E4309">
        <v>18</v>
      </c>
      <c r="F4309">
        <v>1018</v>
      </c>
      <c r="G4309" t="s">
        <v>112</v>
      </c>
      <c r="J4309" t="s">
        <v>113</v>
      </c>
      <c r="K4309">
        <v>0</v>
      </c>
      <c r="L4309">
        <v>3</v>
      </c>
      <c r="M4309">
        <v>0</v>
      </c>
      <c r="N4309">
        <v>2</v>
      </c>
      <c r="O4309">
        <v>1</v>
      </c>
      <c r="P4309">
        <v>0</v>
      </c>
      <c r="Q4309">
        <v>0</v>
      </c>
      <c r="R4309" t="s">
        <v>114</v>
      </c>
      <c r="S4309" t="str">
        <f>"19:47:49.906"</f>
        <v>19:47:49.906</v>
      </c>
      <c r="T4309" t="str">
        <f>"19:47:49.805"</f>
        <v>19:47:49.805</v>
      </c>
      <c r="U4309" t="str">
        <f t="shared" si="202"/>
        <v>a1cdbe</v>
      </c>
      <c r="V4309">
        <v>0</v>
      </c>
      <c r="W4309">
        <v>0</v>
      </c>
      <c r="X4309">
        <v>2</v>
      </c>
      <c r="Y4309">
        <v>0</v>
      </c>
      <c r="Z4309">
        <v>0</v>
      </c>
      <c r="AB4309">
        <v>0</v>
      </c>
      <c r="AC4309">
        <v>9</v>
      </c>
      <c r="AD4309">
        <v>3</v>
      </c>
      <c r="AE4309">
        <v>0</v>
      </c>
      <c r="AF4309">
        <v>9</v>
      </c>
      <c r="AG4309" t="s">
        <v>115</v>
      </c>
      <c r="AH4309">
        <v>0</v>
      </c>
      <c r="AI4309">
        <v>0</v>
      </c>
      <c r="AJ4309">
        <v>1</v>
      </c>
      <c r="AK4309">
        <v>0</v>
      </c>
      <c r="AL4309" t="s">
        <v>7250</v>
      </c>
      <c r="AM4309">
        <v>47.052619</v>
      </c>
      <c r="AN4309" t="s">
        <v>7881</v>
      </c>
      <c r="AO4309">
        <v>-123.987343</v>
      </c>
      <c r="AP4309">
        <v>100</v>
      </c>
      <c r="AQ4309">
        <v>0</v>
      </c>
      <c r="AR4309" t="s">
        <v>118</v>
      </c>
      <c r="AS4309">
        <v>-20</v>
      </c>
      <c r="AT4309">
        <v>46</v>
      </c>
      <c r="AU4309">
        <v>-1344</v>
      </c>
      <c r="BC4309">
        <v>1200</v>
      </c>
      <c r="BD4309">
        <v>1</v>
      </c>
      <c r="BE4309" t="str">
        <f t="shared" si="203"/>
        <v xml:space="preserve">N215T   </v>
      </c>
      <c r="BF4309">
        <v>1</v>
      </c>
      <c r="BH4309">
        <v>0</v>
      </c>
      <c r="BI4309">
        <v>0</v>
      </c>
      <c r="BJ4309">
        <v>0</v>
      </c>
      <c r="BK4309">
        <v>400</v>
      </c>
      <c r="BL4309">
        <v>400</v>
      </c>
      <c r="BM4309" t="s">
        <v>119</v>
      </c>
      <c r="BN4309">
        <v>1</v>
      </c>
      <c r="BO4309">
        <v>1</v>
      </c>
      <c r="BP4309">
        <v>1</v>
      </c>
      <c r="BQ4309">
        <v>0</v>
      </c>
      <c r="BT4309">
        <v>0</v>
      </c>
      <c r="BU4309">
        <v>0</v>
      </c>
      <c r="BV4309">
        <v>0</v>
      </c>
      <c r="CC4309" t="str">
        <f>"19:47:49.906"</f>
        <v>19:47:49.906</v>
      </c>
      <c r="CD4309" t="str">
        <f>"906569052"</f>
        <v>906569052</v>
      </c>
      <c r="CQ4309">
        <v>0</v>
      </c>
      <c r="CR4309">
        <v>2</v>
      </c>
      <c r="CS4309">
        <v>0</v>
      </c>
      <c r="CT4309">
        <v>2</v>
      </c>
      <c r="CU4309">
        <v>0</v>
      </c>
      <c r="CV4309">
        <v>4</v>
      </c>
      <c r="CW4309" t="s">
        <v>120</v>
      </c>
      <c r="CX4309">
        <v>257</v>
      </c>
      <c r="CY4309">
        <v>0</v>
      </c>
      <c r="CZ4309" t="s">
        <v>615</v>
      </c>
      <c r="DA4309" t="s">
        <v>616</v>
      </c>
      <c r="DD4309">
        <v>16756334</v>
      </c>
      <c r="DE4309" t="s">
        <v>123</v>
      </c>
    </row>
    <row r="4310" spans="1:109" x14ac:dyDescent="0.3">
      <c r="A4310" t="str">
        <f>"19:47:51.203"</f>
        <v>19:47:51.203</v>
      </c>
      <c r="B4310" t="s">
        <v>110</v>
      </c>
      <c r="C4310" t="str">
        <f t="shared" si="204"/>
        <v>ffdfd3c0</v>
      </c>
      <c r="D4310" t="s">
        <v>111</v>
      </c>
      <c r="E4310">
        <v>18</v>
      </c>
      <c r="F4310">
        <v>1018</v>
      </c>
      <c r="G4310" t="s">
        <v>112</v>
      </c>
      <c r="J4310" t="s">
        <v>113</v>
      </c>
      <c r="K4310">
        <v>0</v>
      </c>
      <c r="L4310">
        <v>3</v>
      </c>
      <c r="M4310">
        <v>0</v>
      </c>
      <c r="N4310">
        <v>2</v>
      </c>
      <c r="O4310">
        <v>1</v>
      </c>
      <c r="P4310">
        <v>0</v>
      </c>
      <c r="Q4310">
        <v>0</v>
      </c>
      <c r="R4310" t="s">
        <v>114</v>
      </c>
      <c r="S4310" t="str">
        <f>"19:47:50.953"</f>
        <v>19:47:50.953</v>
      </c>
      <c r="T4310" t="str">
        <f>"19:47:50.750"</f>
        <v>19:47:50.750</v>
      </c>
      <c r="U4310" t="str">
        <f t="shared" si="202"/>
        <v>a1cdbe</v>
      </c>
      <c r="V4310">
        <v>0</v>
      </c>
      <c r="W4310">
        <v>0</v>
      </c>
      <c r="X4310">
        <v>2</v>
      </c>
      <c r="Y4310">
        <v>0</v>
      </c>
      <c r="Z4310">
        <v>0</v>
      </c>
      <c r="AB4310">
        <v>0</v>
      </c>
      <c r="AC4310">
        <v>9</v>
      </c>
      <c r="AD4310">
        <v>3</v>
      </c>
      <c r="AE4310">
        <v>0</v>
      </c>
      <c r="AF4310">
        <v>9</v>
      </c>
      <c r="AG4310" t="s">
        <v>115</v>
      </c>
      <c r="AH4310">
        <v>0</v>
      </c>
      <c r="AI4310">
        <v>0</v>
      </c>
      <c r="AJ4310">
        <v>1</v>
      </c>
      <c r="AK4310">
        <v>0</v>
      </c>
      <c r="AL4310" t="s">
        <v>7779</v>
      </c>
      <c r="AM4310">
        <v>47.052790999999999</v>
      </c>
      <c r="AN4310" t="s">
        <v>7565</v>
      </c>
      <c r="AO4310">
        <v>-123.987515</v>
      </c>
      <c r="AP4310">
        <v>100</v>
      </c>
      <c r="AQ4310">
        <v>0</v>
      </c>
      <c r="AR4310" t="s">
        <v>118</v>
      </c>
      <c r="AS4310">
        <v>-27</v>
      </c>
      <c r="AT4310">
        <v>43</v>
      </c>
      <c r="AU4310">
        <v>-1216</v>
      </c>
      <c r="BC4310">
        <v>1200</v>
      </c>
      <c r="BD4310">
        <v>1</v>
      </c>
      <c r="BE4310" t="str">
        <f t="shared" si="203"/>
        <v xml:space="preserve">N215T   </v>
      </c>
      <c r="BF4310">
        <v>1</v>
      </c>
      <c r="BH4310">
        <v>0</v>
      </c>
      <c r="BI4310">
        <v>0</v>
      </c>
      <c r="BJ4310">
        <v>0</v>
      </c>
      <c r="BK4310">
        <v>375</v>
      </c>
      <c r="BL4310">
        <v>375</v>
      </c>
      <c r="BM4310" t="s">
        <v>119</v>
      </c>
      <c r="BN4310">
        <v>1</v>
      </c>
      <c r="BO4310">
        <v>1</v>
      </c>
      <c r="BP4310">
        <v>1</v>
      </c>
      <c r="BQ4310">
        <v>0</v>
      </c>
      <c r="BT4310">
        <v>0</v>
      </c>
      <c r="BU4310">
        <v>0</v>
      </c>
      <c r="BV4310">
        <v>0</v>
      </c>
      <c r="CC4310" t="str">
        <f>"19:47:50.953"</f>
        <v>19:47:50.953</v>
      </c>
      <c r="CD4310" t="str">
        <f>"956465707"</f>
        <v>956465707</v>
      </c>
      <c r="CQ4310">
        <v>0</v>
      </c>
      <c r="CR4310">
        <v>2</v>
      </c>
      <c r="CS4310">
        <v>0</v>
      </c>
      <c r="CT4310">
        <v>2</v>
      </c>
      <c r="CU4310">
        <v>0</v>
      </c>
      <c r="CV4310">
        <v>4</v>
      </c>
      <c r="CW4310" t="s">
        <v>120</v>
      </c>
      <c r="CX4310">
        <v>257</v>
      </c>
      <c r="CY4310">
        <v>0</v>
      </c>
      <c r="CZ4310" t="s">
        <v>615</v>
      </c>
      <c r="DA4310" t="s">
        <v>616</v>
      </c>
      <c r="DD4310">
        <v>16756643</v>
      </c>
      <c r="DE4310" t="s">
        <v>123</v>
      </c>
    </row>
    <row r="4311" spans="1:109" x14ac:dyDescent="0.3">
      <c r="A4311" t="str">
        <f>"19:47:52.109"</f>
        <v>19:47:52.109</v>
      </c>
      <c r="B4311" t="s">
        <v>110</v>
      </c>
      <c r="C4311" t="str">
        <f t="shared" si="204"/>
        <v>ffdfd3c0</v>
      </c>
      <c r="D4311" t="s">
        <v>111</v>
      </c>
      <c r="E4311">
        <v>18</v>
      </c>
      <c r="F4311">
        <v>1018</v>
      </c>
      <c r="G4311" t="s">
        <v>112</v>
      </c>
      <c r="J4311" t="s">
        <v>113</v>
      </c>
      <c r="K4311">
        <v>0</v>
      </c>
      <c r="L4311">
        <v>3</v>
      </c>
      <c r="M4311">
        <v>0</v>
      </c>
      <c r="N4311">
        <v>2</v>
      </c>
      <c r="O4311">
        <v>1</v>
      </c>
      <c r="P4311">
        <v>0</v>
      </c>
      <c r="Q4311">
        <v>0</v>
      </c>
      <c r="R4311" t="s">
        <v>114</v>
      </c>
      <c r="S4311" t="str">
        <f>"19:47:51.836"</f>
        <v>19:47:51.836</v>
      </c>
      <c r="T4311" t="str">
        <f>"19:47:51.836"</f>
        <v>19:47:51.836</v>
      </c>
      <c r="U4311" t="str">
        <f t="shared" si="202"/>
        <v>a1cdbe</v>
      </c>
      <c r="V4311">
        <v>0</v>
      </c>
      <c r="W4311">
        <v>0</v>
      </c>
      <c r="X4311">
        <v>2</v>
      </c>
      <c r="Y4311">
        <v>0</v>
      </c>
      <c r="Z4311">
        <v>0</v>
      </c>
      <c r="AB4311">
        <v>0</v>
      </c>
      <c r="AC4311">
        <v>9</v>
      </c>
      <c r="AD4311">
        <v>3</v>
      </c>
      <c r="AE4311">
        <v>0</v>
      </c>
      <c r="AF4311">
        <v>9</v>
      </c>
      <c r="AG4311" t="s">
        <v>115</v>
      </c>
      <c r="AH4311">
        <v>0</v>
      </c>
      <c r="AI4311">
        <v>0</v>
      </c>
      <c r="AJ4311">
        <v>1</v>
      </c>
      <c r="AK4311">
        <v>0</v>
      </c>
      <c r="AL4311" t="s">
        <v>7256</v>
      </c>
      <c r="AM4311">
        <v>47.053006000000003</v>
      </c>
      <c r="AN4311" t="s">
        <v>7320</v>
      </c>
      <c r="AO4311">
        <v>-123.987751</v>
      </c>
      <c r="AP4311">
        <v>100</v>
      </c>
      <c r="AQ4311">
        <v>0</v>
      </c>
      <c r="AR4311" t="s">
        <v>118</v>
      </c>
      <c r="AS4311">
        <v>-34</v>
      </c>
      <c r="AT4311">
        <v>37</v>
      </c>
      <c r="AU4311">
        <v>-1088</v>
      </c>
      <c r="BC4311">
        <v>1200</v>
      </c>
      <c r="BD4311">
        <v>1</v>
      </c>
      <c r="BE4311" t="str">
        <f t="shared" si="203"/>
        <v xml:space="preserve">N215T   </v>
      </c>
      <c r="BF4311">
        <v>1</v>
      </c>
      <c r="BH4311">
        <v>0</v>
      </c>
      <c r="BI4311">
        <v>0</v>
      </c>
      <c r="BJ4311">
        <v>0</v>
      </c>
      <c r="BK4311">
        <v>375</v>
      </c>
      <c r="BL4311">
        <v>375</v>
      </c>
      <c r="BM4311" t="s">
        <v>119</v>
      </c>
      <c r="BN4311">
        <v>1</v>
      </c>
      <c r="BO4311">
        <v>1</v>
      </c>
      <c r="BP4311">
        <v>1</v>
      </c>
      <c r="BQ4311">
        <v>0</v>
      </c>
      <c r="BT4311">
        <v>0</v>
      </c>
      <c r="BU4311">
        <v>0</v>
      </c>
      <c r="BV4311">
        <v>0</v>
      </c>
      <c r="CC4311" t="str">
        <f>"19:47:51.844"</f>
        <v>19:47:51.844</v>
      </c>
      <c r="CD4311" t="str">
        <f>"841378548"</f>
        <v>841378548</v>
      </c>
      <c r="CQ4311">
        <v>0</v>
      </c>
      <c r="CR4311">
        <v>2</v>
      </c>
      <c r="CS4311">
        <v>0</v>
      </c>
      <c r="CT4311">
        <v>2</v>
      </c>
      <c r="CU4311">
        <v>0</v>
      </c>
      <c r="CV4311">
        <v>5</v>
      </c>
      <c r="CW4311" t="s">
        <v>120</v>
      </c>
      <c r="CX4311">
        <v>257</v>
      </c>
      <c r="CY4311">
        <v>0</v>
      </c>
      <c r="CZ4311" t="s">
        <v>615</v>
      </c>
      <c r="DA4311" t="s">
        <v>616</v>
      </c>
      <c r="DD4311">
        <v>16756921</v>
      </c>
      <c r="DE4311" t="s">
        <v>123</v>
      </c>
    </row>
    <row r="4312" spans="1:109" x14ac:dyDescent="0.3">
      <c r="A4312" t="str">
        <f>"19:47:52.969"</f>
        <v>19:47:52.969</v>
      </c>
      <c r="B4312" t="s">
        <v>110</v>
      </c>
      <c r="C4312" t="str">
        <f t="shared" si="204"/>
        <v>ffdfd3c0</v>
      </c>
      <c r="D4312" t="s">
        <v>111</v>
      </c>
      <c r="E4312">
        <v>18</v>
      </c>
      <c r="F4312">
        <v>1018</v>
      </c>
      <c r="G4312" t="s">
        <v>112</v>
      </c>
      <c r="J4312" t="s">
        <v>113</v>
      </c>
      <c r="K4312">
        <v>0</v>
      </c>
      <c r="L4312">
        <v>3</v>
      </c>
      <c r="M4312">
        <v>0</v>
      </c>
      <c r="N4312">
        <v>2</v>
      </c>
      <c r="O4312">
        <v>1</v>
      </c>
      <c r="P4312">
        <v>0</v>
      </c>
      <c r="Q4312">
        <v>0</v>
      </c>
      <c r="R4312" t="s">
        <v>114</v>
      </c>
      <c r="S4312" t="str">
        <f>"19:47:52.734"</f>
        <v>19:47:52.734</v>
      </c>
      <c r="T4312" t="str">
        <f>"19:47:52.336"</f>
        <v>19:47:52.336</v>
      </c>
      <c r="U4312" t="str">
        <f t="shared" si="202"/>
        <v>a1cdbe</v>
      </c>
      <c r="V4312">
        <v>0</v>
      </c>
      <c r="W4312">
        <v>0</v>
      </c>
      <c r="X4312">
        <v>2</v>
      </c>
      <c r="Y4312">
        <v>0</v>
      </c>
      <c r="Z4312">
        <v>0</v>
      </c>
      <c r="AB4312">
        <v>0</v>
      </c>
      <c r="AC4312">
        <v>9</v>
      </c>
      <c r="AD4312">
        <v>3</v>
      </c>
      <c r="AE4312">
        <v>0</v>
      </c>
      <c r="AF4312">
        <v>9</v>
      </c>
      <c r="AG4312" t="s">
        <v>115</v>
      </c>
      <c r="AH4312">
        <v>0</v>
      </c>
      <c r="AI4312">
        <v>0</v>
      </c>
      <c r="AJ4312">
        <v>1</v>
      </c>
      <c r="AK4312">
        <v>0</v>
      </c>
      <c r="AL4312" t="s">
        <v>7882</v>
      </c>
      <c r="AM4312">
        <v>47.053134</v>
      </c>
      <c r="AN4312" t="s">
        <v>7608</v>
      </c>
      <c r="AO4312">
        <v>-123.987966</v>
      </c>
      <c r="AP4312">
        <v>100</v>
      </c>
      <c r="AQ4312">
        <v>-100</v>
      </c>
      <c r="AR4312" t="s">
        <v>118</v>
      </c>
      <c r="AS4312">
        <v>-35</v>
      </c>
      <c r="AT4312">
        <v>35</v>
      </c>
      <c r="AU4312">
        <v>-960</v>
      </c>
      <c r="BC4312">
        <v>1200</v>
      </c>
      <c r="BD4312">
        <v>1</v>
      </c>
      <c r="BE4312" t="str">
        <f t="shared" si="203"/>
        <v xml:space="preserve">N215T   </v>
      </c>
      <c r="BF4312">
        <v>1</v>
      </c>
      <c r="BH4312">
        <v>0</v>
      </c>
      <c r="BI4312">
        <v>0</v>
      </c>
      <c r="BJ4312">
        <v>0</v>
      </c>
      <c r="BK4312">
        <v>350</v>
      </c>
      <c r="BL4312">
        <v>450</v>
      </c>
      <c r="BM4312" t="s">
        <v>119</v>
      </c>
      <c r="BN4312">
        <v>1</v>
      </c>
      <c r="BO4312">
        <v>1</v>
      </c>
      <c r="BP4312">
        <v>1</v>
      </c>
      <c r="BQ4312">
        <v>0</v>
      </c>
      <c r="BT4312">
        <v>0</v>
      </c>
      <c r="BU4312">
        <v>0</v>
      </c>
      <c r="BV4312">
        <v>0</v>
      </c>
      <c r="CC4312" t="str">
        <f>"19:47:52.742"</f>
        <v>19:47:52.742</v>
      </c>
      <c r="CD4312" t="str">
        <f>"741289917"</f>
        <v>741289917</v>
      </c>
      <c r="CQ4312">
        <v>0</v>
      </c>
      <c r="CR4312">
        <v>2</v>
      </c>
      <c r="CS4312">
        <v>0</v>
      </c>
      <c r="CT4312">
        <v>2</v>
      </c>
      <c r="CU4312">
        <v>0</v>
      </c>
      <c r="CV4312">
        <v>5</v>
      </c>
      <c r="CW4312" t="s">
        <v>120</v>
      </c>
      <c r="CX4312">
        <v>257</v>
      </c>
      <c r="CY4312">
        <v>0</v>
      </c>
      <c r="CZ4312" t="s">
        <v>615</v>
      </c>
      <c r="DA4312" t="s">
        <v>616</v>
      </c>
      <c r="DD4312">
        <v>16757181</v>
      </c>
      <c r="DE4312" t="s">
        <v>123</v>
      </c>
    </row>
    <row r="4313" spans="1:109" x14ac:dyDescent="0.3">
      <c r="A4313" t="str">
        <f>"19:47:53.969"</f>
        <v>19:47:53.969</v>
      </c>
      <c r="B4313" t="s">
        <v>110</v>
      </c>
      <c r="C4313" t="str">
        <f t="shared" si="204"/>
        <v>ffdfd3c0</v>
      </c>
      <c r="D4313" t="s">
        <v>111</v>
      </c>
      <c r="E4313">
        <v>18</v>
      </c>
      <c r="F4313">
        <v>1018</v>
      </c>
      <c r="G4313" t="s">
        <v>112</v>
      </c>
      <c r="J4313" t="s">
        <v>113</v>
      </c>
      <c r="K4313">
        <v>0</v>
      </c>
      <c r="L4313">
        <v>3</v>
      </c>
      <c r="M4313">
        <v>0</v>
      </c>
      <c r="N4313">
        <v>2</v>
      </c>
      <c r="O4313">
        <v>1</v>
      </c>
      <c r="P4313">
        <v>0</v>
      </c>
      <c r="Q4313">
        <v>0</v>
      </c>
      <c r="R4313" t="s">
        <v>114</v>
      </c>
      <c r="S4313" t="str">
        <f>"19:47:53.758"</f>
        <v>19:47:53.758</v>
      </c>
      <c r="T4313" t="str">
        <f>"19:47:53.359"</f>
        <v>19:47:53.359</v>
      </c>
      <c r="U4313" t="str">
        <f t="shared" si="202"/>
        <v>a1cdbe</v>
      </c>
      <c r="V4313">
        <v>0</v>
      </c>
      <c r="W4313">
        <v>0</v>
      </c>
      <c r="X4313">
        <v>2</v>
      </c>
      <c r="Y4313">
        <v>0</v>
      </c>
      <c r="Z4313">
        <v>0</v>
      </c>
      <c r="AB4313">
        <v>0</v>
      </c>
      <c r="AC4313">
        <v>9</v>
      </c>
      <c r="AD4313">
        <v>3</v>
      </c>
      <c r="AE4313">
        <v>0</v>
      </c>
      <c r="AF4313">
        <v>9</v>
      </c>
      <c r="AG4313" t="s">
        <v>115</v>
      </c>
      <c r="AH4313">
        <v>0</v>
      </c>
      <c r="AI4313">
        <v>0</v>
      </c>
      <c r="AJ4313">
        <v>1</v>
      </c>
      <c r="AK4313">
        <v>0</v>
      </c>
      <c r="AL4313" t="s">
        <v>7776</v>
      </c>
      <c r="AM4313">
        <v>47.053285000000002</v>
      </c>
      <c r="AN4313" t="s">
        <v>7609</v>
      </c>
      <c r="AO4313">
        <v>-123.98824500000001</v>
      </c>
      <c r="AP4313">
        <v>100</v>
      </c>
      <c r="AQ4313">
        <v>-100</v>
      </c>
      <c r="AR4313" t="s">
        <v>118</v>
      </c>
      <c r="AS4313">
        <v>-38</v>
      </c>
      <c r="AT4313">
        <v>31</v>
      </c>
      <c r="AU4313">
        <v>-768</v>
      </c>
      <c r="BC4313">
        <v>1200</v>
      </c>
      <c r="BD4313">
        <v>1</v>
      </c>
      <c r="BE4313" t="str">
        <f t="shared" si="203"/>
        <v xml:space="preserve">N215T   </v>
      </c>
      <c r="BF4313">
        <v>1</v>
      </c>
      <c r="BH4313">
        <v>0</v>
      </c>
      <c r="BI4313">
        <v>0</v>
      </c>
      <c r="BJ4313">
        <v>0</v>
      </c>
      <c r="BK4313">
        <v>325</v>
      </c>
      <c r="BL4313">
        <v>425</v>
      </c>
      <c r="BM4313" t="s">
        <v>119</v>
      </c>
      <c r="BN4313">
        <v>1</v>
      </c>
      <c r="BO4313">
        <v>1</v>
      </c>
      <c r="BP4313">
        <v>1</v>
      </c>
      <c r="BQ4313">
        <v>0</v>
      </c>
      <c r="BT4313">
        <v>0</v>
      </c>
      <c r="BU4313">
        <v>0</v>
      </c>
      <c r="BV4313">
        <v>0</v>
      </c>
      <c r="CC4313" t="str">
        <f>"19:47:53.758"</f>
        <v>19:47:53.758</v>
      </c>
      <c r="CD4313" t="str">
        <f>"761189466"</f>
        <v>761189466</v>
      </c>
      <c r="CQ4313">
        <v>0</v>
      </c>
      <c r="CR4313">
        <v>2</v>
      </c>
      <c r="CS4313">
        <v>0</v>
      </c>
      <c r="CT4313">
        <v>2</v>
      </c>
      <c r="CU4313">
        <v>0</v>
      </c>
      <c r="CV4313">
        <v>6</v>
      </c>
      <c r="CW4313" t="s">
        <v>120</v>
      </c>
      <c r="CX4313">
        <v>257</v>
      </c>
      <c r="CY4313">
        <v>0</v>
      </c>
      <c r="CZ4313" t="s">
        <v>615</v>
      </c>
      <c r="DA4313" t="s">
        <v>616</v>
      </c>
      <c r="DD4313">
        <v>16757516</v>
      </c>
      <c r="DE4313" t="s">
        <v>123</v>
      </c>
    </row>
    <row r="4314" spans="1:109" x14ac:dyDescent="0.3">
      <c r="A4314" t="str">
        <f>"19:47:55.078"</f>
        <v>19:47:55.078</v>
      </c>
      <c r="B4314" t="s">
        <v>110</v>
      </c>
      <c r="C4314" t="str">
        <f t="shared" si="204"/>
        <v>ffdfd3c0</v>
      </c>
      <c r="D4314" t="s">
        <v>111</v>
      </c>
      <c r="E4314">
        <v>18</v>
      </c>
      <c r="F4314">
        <v>1018</v>
      </c>
      <c r="G4314" t="s">
        <v>112</v>
      </c>
      <c r="J4314" t="s">
        <v>113</v>
      </c>
      <c r="K4314">
        <v>0</v>
      </c>
      <c r="L4314">
        <v>3</v>
      </c>
      <c r="M4314">
        <v>0</v>
      </c>
      <c r="N4314">
        <v>2</v>
      </c>
      <c r="O4314">
        <v>1</v>
      </c>
      <c r="P4314">
        <v>0</v>
      </c>
      <c r="Q4314">
        <v>0</v>
      </c>
      <c r="R4314" t="s">
        <v>114</v>
      </c>
      <c r="S4314" t="str">
        <f>"19:47:54.836"</f>
        <v>19:47:54.836</v>
      </c>
      <c r="T4314" t="str">
        <f>"19:47:54.734"</f>
        <v>19:47:54.734</v>
      </c>
      <c r="U4314" t="str">
        <f t="shared" si="202"/>
        <v>a1cdbe</v>
      </c>
      <c r="V4314">
        <v>0</v>
      </c>
      <c r="W4314">
        <v>0</v>
      </c>
      <c r="X4314">
        <v>2</v>
      </c>
      <c r="Y4314">
        <v>0</v>
      </c>
      <c r="Z4314">
        <v>0</v>
      </c>
      <c r="AB4314">
        <v>0</v>
      </c>
      <c r="AC4314">
        <v>9</v>
      </c>
      <c r="AD4314">
        <v>3</v>
      </c>
      <c r="AE4314">
        <v>0</v>
      </c>
      <c r="AF4314">
        <v>9</v>
      </c>
      <c r="AG4314" t="s">
        <v>115</v>
      </c>
      <c r="AH4314">
        <v>0</v>
      </c>
      <c r="AI4314">
        <v>0</v>
      </c>
      <c r="AJ4314">
        <v>1</v>
      </c>
      <c r="AK4314">
        <v>0</v>
      </c>
      <c r="AL4314" t="s">
        <v>7883</v>
      </c>
      <c r="AM4314">
        <v>47.053392000000002</v>
      </c>
      <c r="AN4314" t="s">
        <v>7808</v>
      </c>
      <c r="AO4314">
        <v>-123.988545</v>
      </c>
      <c r="AP4314">
        <v>100</v>
      </c>
      <c r="AQ4314">
        <v>-100</v>
      </c>
      <c r="AR4314" t="s">
        <v>118</v>
      </c>
      <c r="AS4314">
        <v>-38</v>
      </c>
      <c r="AT4314">
        <v>31</v>
      </c>
      <c r="AU4314">
        <v>-576</v>
      </c>
      <c r="BC4314">
        <v>1200</v>
      </c>
      <c r="BD4314">
        <v>1</v>
      </c>
      <c r="BE4314" t="str">
        <f t="shared" si="203"/>
        <v xml:space="preserve">N215T   </v>
      </c>
      <c r="BF4314">
        <v>1</v>
      </c>
      <c r="BH4314">
        <v>0</v>
      </c>
      <c r="BI4314">
        <v>0</v>
      </c>
      <c r="BJ4314">
        <v>0</v>
      </c>
      <c r="BK4314">
        <v>325</v>
      </c>
      <c r="BL4314">
        <v>425</v>
      </c>
      <c r="BM4314" t="s">
        <v>119</v>
      </c>
      <c r="BN4314">
        <v>1</v>
      </c>
      <c r="BO4314">
        <v>1</v>
      </c>
      <c r="BP4314">
        <v>1</v>
      </c>
      <c r="BQ4314">
        <v>0</v>
      </c>
      <c r="BT4314">
        <v>0</v>
      </c>
      <c r="BU4314">
        <v>0</v>
      </c>
      <c r="BV4314">
        <v>0</v>
      </c>
      <c r="CC4314" t="str">
        <f>"19:47:54.844"</f>
        <v>19:47:54.844</v>
      </c>
      <c r="CD4314" t="str">
        <f>"841083096"</f>
        <v>841083096</v>
      </c>
      <c r="CQ4314">
        <v>0</v>
      </c>
      <c r="CR4314">
        <v>2</v>
      </c>
      <c r="CS4314">
        <v>0</v>
      </c>
      <c r="CT4314">
        <v>2</v>
      </c>
      <c r="CU4314">
        <v>0</v>
      </c>
      <c r="CV4314">
        <v>6</v>
      </c>
      <c r="CW4314" t="s">
        <v>120</v>
      </c>
      <c r="CX4314">
        <v>257</v>
      </c>
      <c r="CY4314">
        <v>0</v>
      </c>
      <c r="CZ4314" t="s">
        <v>615</v>
      </c>
      <c r="DA4314" t="s">
        <v>616</v>
      </c>
      <c r="DD4314">
        <v>16757812</v>
      </c>
      <c r="DE4314" t="s">
        <v>123</v>
      </c>
    </row>
    <row r="4315" spans="1:109" x14ac:dyDescent="0.3">
      <c r="A4315" t="str">
        <f>"19:47:56.086"</f>
        <v>19:47:56.086</v>
      </c>
      <c r="B4315" t="s">
        <v>110</v>
      </c>
      <c r="C4315" t="str">
        <f t="shared" si="204"/>
        <v>ffdfd3c0</v>
      </c>
      <c r="D4315" t="s">
        <v>111</v>
      </c>
      <c r="E4315">
        <v>18</v>
      </c>
      <c r="F4315">
        <v>1018</v>
      </c>
      <c r="G4315" t="s">
        <v>112</v>
      </c>
      <c r="J4315" t="s">
        <v>113</v>
      </c>
      <c r="K4315">
        <v>0</v>
      </c>
      <c r="L4315">
        <v>3</v>
      </c>
      <c r="M4315">
        <v>0</v>
      </c>
      <c r="N4315">
        <v>2</v>
      </c>
      <c r="O4315">
        <v>1</v>
      </c>
      <c r="P4315">
        <v>0</v>
      </c>
      <c r="Q4315">
        <v>0</v>
      </c>
      <c r="R4315" t="s">
        <v>114</v>
      </c>
      <c r="S4315" t="str">
        <f>"19:47:55.813"</f>
        <v>19:47:55.813</v>
      </c>
      <c r="T4315" t="str">
        <f>"19:47:55.813"</f>
        <v>19:47:55.813</v>
      </c>
      <c r="U4315" t="str">
        <f t="shared" si="202"/>
        <v>a1cdbe</v>
      </c>
      <c r="V4315">
        <v>0</v>
      </c>
      <c r="W4315">
        <v>0</v>
      </c>
      <c r="X4315">
        <v>2</v>
      </c>
      <c r="Y4315">
        <v>0</v>
      </c>
      <c r="Z4315">
        <v>0</v>
      </c>
      <c r="AB4315">
        <v>0</v>
      </c>
      <c r="AC4315">
        <v>9</v>
      </c>
      <c r="AD4315">
        <v>3</v>
      </c>
      <c r="AE4315">
        <v>0</v>
      </c>
      <c r="AF4315">
        <v>9</v>
      </c>
      <c r="AG4315" t="s">
        <v>115</v>
      </c>
      <c r="AH4315">
        <v>0</v>
      </c>
      <c r="AI4315">
        <v>0</v>
      </c>
      <c r="AJ4315">
        <v>1</v>
      </c>
      <c r="AK4315">
        <v>0</v>
      </c>
      <c r="AL4315" t="s">
        <v>7265</v>
      </c>
      <c r="AM4315">
        <v>47.053564000000001</v>
      </c>
      <c r="AN4315" t="s">
        <v>7884</v>
      </c>
      <c r="AO4315">
        <v>-123.988738</v>
      </c>
      <c r="AP4315">
        <v>100</v>
      </c>
      <c r="AQ4315">
        <v>-100</v>
      </c>
      <c r="AR4315" t="s">
        <v>118</v>
      </c>
      <c r="AS4315">
        <v>-37</v>
      </c>
      <c r="AT4315">
        <v>33</v>
      </c>
      <c r="AU4315">
        <v>-768</v>
      </c>
      <c r="BC4315">
        <v>1200</v>
      </c>
      <c r="BD4315">
        <v>1</v>
      </c>
      <c r="BE4315" t="str">
        <f t="shared" si="203"/>
        <v xml:space="preserve">N215T   </v>
      </c>
      <c r="BF4315">
        <v>1</v>
      </c>
      <c r="BH4315">
        <v>0</v>
      </c>
      <c r="BI4315">
        <v>0</v>
      </c>
      <c r="BJ4315">
        <v>0</v>
      </c>
      <c r="BK4315">
        <v>300</v>
      </c>
      <c r="BL4315">
        <v>400</v>
      </c>
      <c r="BM4315" t="s">
        <v>119</v>
      </c>
      <c r="BN4315">
        <v>1</v>
      </c>
      <c r="BO4315">
        <v>1</v>
      </c>
      <c r="BP4315">
        <v>1</v>
      </c>
      <c r="BQ4315">
        <v>0</v>
      </c>
      <c r="BT4315">
        <v>0</v>
      </c>
      <c r="BU4315">
        <v>0</v>
      </c>
      <c r="BV4315">
        <v>0</v>
      </c>
      <c r="CC4315" t="str">
        <f>"19:47:55.813"</f>
        <v>19:47:55.813</v>
      </c>
      <c r="CD4315" t="str">
        <f>"815987086"</f>
        <v>815987086</v>
      </c>
      <c r="CQ4315">
        <v>0</v>
      </c>
      <c r="CR4315">
        <v>2</v>
      </c>
      <c r="CS4315">
        <v>0</v>
      </c>
      <c r="CT4315">
        <v>2</v>
      </c>
      <c r="CU4315">
        <v>0</v>
      </c>
      <c r="CV4315">
        <v>6</v>
      </c>
      <c r="CW4315" t="s">
        <v>120</v>
      </c>
      <c r="CX4315">
        <v>257</v>
      </c>
      <c r="CY4315">
        <v>0</v>
      </c>
      <c r="CZ4315" t="s">
        <v>615</v>
      </c>
      <c r="DA4315" t="s">
        <v>616</v>
      </c>
      <c r="DD4315">
        <v>16758121</v>
      </c>
      <c r="DE4315" t="s">
        <v>123</v>
      </c>
    </row>
    <row r="4316" spans="1:109" x14ac:dyDescent="0.3">
      <c r="A4316" t="str">
        <f>"19:47:56.984"</f>
        <v>19:47:56.984</v>
      </c>
      <c r="B4316" t="s">
        <v>110</v>
      </c>
      <c r="C4316" t="str">
        <f t="shared" si="204"/>
        <v>ffdfd3c0</v>
      </c>
      <c r="D4316" t="s">
        <v>111</v>
      </c>
      <c r="E4316">
        <v>18</v>
      </c>
      <c r="F4316">
        <v>1018</v>
      </c>
      <c r="G4316" t="s">
        <v>112</v>
      </c>
      <c r="J4316" t="s">
        <v>113</v>
      </c>
      <c r="K4316">
        <v>0</v>
      </c>
      <c r="L4316">
        <v>3</v>
      </c>
      <c r="M4316">
        <v>0</v>
      </c>
      <c r="N4316">
        <v>2</v>
      </c>
      <c r="O4316">
        <v>1</v>
      </c>
      <c r="P4316">
        <v>0</v>
      </c>
      <c r="Q4316">
        <v>0</v>
      </c>
      <c r="R4316" t="s">
        <v>114</v>
      </c>
      <c r="S4316" t="str">
        <f>"19:47:56.742"</f>
        <v>19:47:56.742</v>
      </c>
      <c r="T4316" t="str">
        <f>"19:47:56.641"</f>
        <v>19:47:56.641</v>
      </c>
      <c r="U4316" t="str">
        <f t="shared" si="202"/>
        <v>a1cdbe</v>
      </c>
      <c r="V4316">
        <v>0</v>
      </c>
      <c r="W4316">
        <v>0</v>
      </c>
      <c r="X4316">
        <v>2</v>
      </c>
      <c r="Y4316">
        <v>0</v>
      </c>
      <c r="Z4316">
        <v>0</v>
      </c>
      <c r="AB4316">
        <v>0</v>
      </c>
      <c r="AC4316">
        <v>9</v>
      </c>
      <c r="AD4316">
        <v>3</v>
      </c>
      <c r="AE4316">
        <v>0</v>
      </c>
      <c r="AF4316">
        <v>9</v>
      </c>
      <c r="AG4316" t="s">
        <v>115</v>
      </c>
      <c r="AH4316">
        <v>0</v>
      </c>
      <c r="AI4316">
        <v>0</v>
      </c>
      <c r="AJ4316">
        <v>1</v>
      </c>
      <c r="AK4316">
        <v>0</v>
      </c>
      <c r="AL4316" t="s">
        <v>7885</v>
      </c>
      <c r="AM4316">
        <v>47.053713999999999</v>
      </c>
      <c r="AN4316" t="s">
        <v>7612</v>
      </c>
      <c r="AO4316">
        <v>-123.989017</v>
      </c>
      <c r="AP4316">
        <v>100</v>
      </c>
      <c r="AQ4316">
        <v>-100</v>
      </c>
      <c r="AR4316" t="s">
        <v>118</v>
      </c>
      <c r="AS4316">
        <v>-36</v>
      </c>
      <c r="AT4316">
        <v>34</v>
      </c>
      <c r="AU4316">
        <v>-832</v>
      </c>
      <c r="BC4316">
        <v>1200</v>
      </c>
      <c r="BD4316">
        <v>1</v>
      </c>
      <c r="BE4316" t="str">
        <f t="shared" si="203"/>
        <v xml:space="preserve">N215T   </v>
      </c>
      <c r="BF4316">
        <v>1</v>
      </c>
      <c r="BH4316">
        <v>0</v>
      </c>
      <c r="BI4316">
        <v>0</v>
      </c>
      <c r="BJ4316">
        <v>0</v>
      </c>
      <c r="BK4316">
        <v>300</v>
      </c>
      <c r="BL4316">
        <v>400</v>
      </c>
      <c r="BM4316" t="s">
        <v>119</v>
      </c>
      <c r="BN4316">
        <v>1</v>
      </c>
      <c r="BO4316">
        <v>1</v>
      </c>
      <c r="BP4316">
        <v>1</v>
      </c>
      <c r="BQ4316">
        <v>0</v>
      </c>
      <c r="BT4316">
        <v>0</v>
      </c>
      <c r="BU4316">
        <v>0</v>
      </c>
      <c r="BV4316">
        <v>0</v>
      </c>
      <c r="CC4316" t="str">
        <f>"19:47:56.742"</f>
        <v>19:47:56.742</v>
      </c>
      <c r="CD4316" t="str">
        <f>"745895497"</f>
        <v>745895497</v>
      </c>
      <c r="CQ4316">
        <v>0</v>
      </c>
      <c r="CR4316">
        <v>2</v>
      </c>
      <c r="CS4316">
        <v>0</v>
      </c>
      <c r="CT4316">
        <v>2</v>
      </c>
      <c r="CU4316">
        <v>0</v>
      </c>
      <c r="CV4316">
        <v>5</v>
      </c>
      <c r="CW4316" t="s">
        <v>120</v>
      </c>
      <c r="CX4316">
        <v>257</v>
      </c>
      <c r="CY4316">
        <v>0</v>
      </c>
      <c r="CZ4316" t="s">
        <v>615</v>
      </c>
      <c r="DA4316" t="s">
        <v>616</v>
      </c>
      <c r="DD4316">
        <v>16758423</v>
      </c>
      <c r="DE4316" t="s">
        <v>123</v>
      </c>
    </row>
    <row r="4317" spans="1:109" x14ac:dyDescent="0.3">
      <c r="A4317" t="str">
        <f>"19:47:57.844"</f>
        <v>19:47:57.844</v>
      </c>
      <c r="B4317" t="s">
        <v>110</v>
      </c>
      <c r="C4317" t="str">
        <f t="shared" si="204"/>
        <v>ffdfd3c0</v>
      </c>
      <c r="D4317" t="s">
        <v>111</v>
      </c>
      <c r="E4317">
        <v>18</v>
      </c>
      <c r="F4317">
        <v>1018</v>
      </c>
      <c r="G4317" t="s">
        <v>112</v>
      </c>
      <c r="J4317" t="s">
        <v>113</v>
      </c>
      <c r="K4317">
        <v>0</v>
      </c>
      <c r="L4317">
        <v>3</v>
      </c>
      <c r="M4317">
        <v>0</v>
      </c>
      <c r="N4317">
        <v>2</v>
      </c>
      <c r="O4317">
        <v>1</v>
      </c>
      <c r="P4317">
        <v>0</v>
      </c>
      <c r="Q4317">
        <v>0</v>
      </c>
      <c r="R4317" t="s">
        <v>114</v>
      </c>
      <c r="S4317" t="str">
        <f>"19:47:57.609"</f>
        <v>19:47:57.609</v>
      </c>
      <c r="T4317" t="str">
        <f>"19:47:57.211"</f>
        <v>19:47:57.211</v>
      </c>
      <c r="U4317" t="str">
        <f t="shared" si="202"/>
        <v>a1cdbe</v>
      </c>
      <c r="V4317">
        <v>0</v>
      </c>
      <c r="W4317">
        <v>0</v>
      </c>
      <c r="X4317">
        <v>2</v>
      </c>
      <c r="Y4317">
        <v>0</v>
      </c>
      <c r="Z4317">
        <v>0</v>
      </c>
      <c r="AB4317">
        <v>0</v>
      </c>
      <c r="AC4317">
        <v>9</v>
      </c>
      <c r="AD4317">
        <v>3</v>
      </c>
      <c r="AE4317">
        <v>0</v>
      </c>
      <c r="AF4317">
        <v>9</v>
      </c>
      <c r="AG4317" t="s">
        <v>115</v>
      </c>
      <c r="AH4317">
        <v>0</v>
      </c>
      <c r="AI4317">
        <v>0</v>
      </c>
      <c r="AJ4317">
        <v>1</v>
      </c>
      <c r="AK4317">
        <v>0</v>
      </c>
      <c r="AL4317" t="s">
        <v>7773</v>
      </c>
      <c r="AM4317">
        <v>47.053843000000001</v>
      </c>
      <c r="AN4317" t="s">
        <v>7886</v>
      </c>
      <c r="AO4317">
        <v>-123.989232</v>
      </c>
      <c r="AP4317">
        <v>100</v>
      </c>
      <c r="AQ4317">
        <v>-100</v>
      </c>
      <c r="AR4317" t="s">
        <v>118</v>
      </c>
      <c r="AS4317">
        <v>-36</v>
      </c>
      <c r="AT4317">
        <v>34</v>
      </c>
      <c r="AU4317">
        <v>-832</v>
      </c>
      <c r="BC4317">
        <v>1200</v>
      </c>
      <c r="BD4317">
        <v>1</v>
      </c>
      <c r="BE4317" t="str">
        <f t="shared" si="203"/>
        <v xml:space="preserve">N215T   </v>
      </c>
      <c r="BF4317">
        <v>1</v>
      </c>
      <c r="BH4317">
        <v>0</v>
      </c>
      <c r="BI4317">
        <v>0</v>
      </c>
      <c r="BJ4317">
        <v>0</v>
      </c>
      <c r="BK4317">
        <v>300</v>
      </c>
      <c r="BL4317">
        <v>400</v>
      </c>
      <c r="BM4317" t="s">
        <v>119</v>
      </c>
      <c r="BN4317">
        <v>1</v>
      </c>
      <c r="BO4317">
        <v>1</v>
      </c>
      <c r="BP4317">
        <v>1</v>
      </c>
      <c r="BQ4317">
        <v>0</v>
      </c>
      <c r="BT4317">
        <v>0</v>
      </c>
      <c r="BU4317">
        <v>0</v>
      </c>
      <c r="BV4317">
        <v>0</v>
      </c>
      <c r="CC4317" t="str">
        <f>"19:47:57.617"</f>
        <v>19:47:57.617</v>
      </c>
      <c r="CD4317" t="str">
        <f>"615809819"</f>
        <v>615809819</v>
      </c>
      <c r="CQ4317">
        <v>0</v>
      </c>
      <c r="CR4317">
        <v>2</v>
      </c>
      <c r="CS4317">
        <v>0</v>
      </c>
      <c r="CT4317">
        <v>2</v>
      </c>
      <c r="CU4317">
        <v>0</v>
      </c>
      <c r="CV4317">
        <v>5</v>
      </c>
      <c r="CW4317" t="s">
        <v>120</v>
      </c>
      <c r="CX4317">
        <v>257</v>
      </c>
      <c r="CY4317">
        <v>0</v>
      </c>
      <c r="CZ4317" t="s">
        <v>615</v>
      </c>
      <c r="DA4317" t="s">
        <v>616</v>
      </c>
      <c r="DD4317">
        <v>16758663</v>
      </c>
      <c r="DE4317" t="s">
        <v>123</v>
      </c>
    </row>
    <row r="4318" spans="1:109" x14ac:dyDescent="0.3">
      <c r="A4318" t="str">
        <f>"19:47:58.945"</f>
        <v>19:47:58.945</v>
      </c>
      <c r="B4318" t="s">
        <v>110</v>
      </c>
      <c r="C4318" t="str">
        <f t="shared" si="204"/>
        <v>ffdfd3c0</v>
      </c>
      <c r="D4318" t="s">
        <v>111</v>
      </c>
      <c r="E4318">
        <v>18</v>
      </c>
      <c r="F4318">
        <v>1018</v>
      </c>
      <c r="G4318" t="s">
        <v>112</v>
      </c>
      <c r="J4318" t="s">
        <v>113</v>
      </c>
      <c r="K4318">
        <v>0</v>
      </c>
      <c r="L4318">
        <v>3</v>
      </c>
      <c r="M4318">
        <v>0</v>
      </c>
      <c r="N4318">
        <v>2</v>
      </c>
      <c r="O4318">
        <v>1</v>
      </c>
      <c r="P4318">
        <v>0</v>
      </c>
      <c r="Q4318">
        <v>0</v>
      </c>
      <c r="R4318" t="s">
        <v>114</v>
      </c>
      <c r="S4318" t="str">
        <f>"19:47:58.695"</f>
        <v>19:47:58.695</v>
      </c>
      <c r="T4318" t="str">
        <f>"19:47:58.695"</f>
        <v>19:47:58.695</v>
      </c>
      <c r="U4318" t="str">
        <f t="shared" si="202"/>
        <v>a1cdbe</v>
      </c>
      <c r="V4318">
        <v>0</v>
      </c>
      <c r="W4318">
        <v>0</v>
      </c>
      <c r="X4318">
        <v>2</v>
      </c>
      <c r="Y4318">
        <v>0</v>
      </c>
      <c r="Z4318">
        <v>0</v>
      </c>
      <c r="AB4318">
        <v>0</v>
      </c>
      <c r="AC4318">
        <v>9</v>
      </c>
      <c r="AD4318">
        <v>3</v>
      </c>
      <c r="AE4318">
        <v>0</v>
      </c>
      <c r="AF4318">
        <v>9</v>
      </c>
      <c r="AG4318" t="s">
        <v>115</v>
      </c>
      <c r="AH4318">
        <v>0</v>
      </c>
      <c r="AI4318">
        <v>0</v>
      </c>
      <c r="AJ4318">
        <v>1</v>
      </c>
      <c r="AK4318">
        <v>0</v>
      </c>
      <c r="AL4318" t="s">
        <v>7810</v>
      </c>
      <c r="AM4318">
        <v>47.054014000000002</v>
      </c>
      <c r="AN4318" t="s">
        <v>7887</v>
      </c>
      <c r="AO4318">
        <v>-123.989446</v>
      </c>
      <c r="AP4318">
        <v>100</v>
      </c>
      <c r="AQ4318">
        <v>-100</v>
      </c>
      <c r="AR4318" t="s">
        <v>118</v>
      </c>
      <c r="AS4318">
        <v>-36</v>
      </c>
      <c r="AT4318">
        <v>35</v>
      </c>
      <c r="AU4318">
        <v>-768</v>
      </c>
      <c r="BC4318">
        <v>1200</v>
      </c>
      <c r="BD4318">
        <v>1</v>
      </c>
      <c r="BE4318" t="str">
        <f t="shared" si="203"/>
        <v xml:space="preserve">N215T   </v>
      </c>
      <c r="BF4318">
        <v>1</v>
      </c>
      <c r="BH4318">
        <v>0</v>
      </c>
      <c r="BI4318">
        <v>0</v>
      </c>
      <c r="BJ4318">
        <v>0</v>
      </c>
      <c r="BK4318">
        <v>275</v>
      </c>
      <c r="BL4318">
        <v>375</v>
      </c>
      <c r="BM4318" t="s">
        <v>119</v>
      </c>
      <c r="BN4318">
        <v>1</v>
      </c>
      <c r="BO4318">
        <v>1</v>
      </c>
      <c r="BP4318">
        <v>1</v>
      </c>
      <c r="BQ4318">
        <v>0</v>
      </c>
      <c r="BT4318">
        <v>0</v>
      </c>
      <c r="BU4318">
        <v>0</v>
      </c>
      <c r="BV4318">
        <v>0</v>
      </c>
      <c r="CC4318" t="str">
        <f>"19:47:58.695"</f>
        <v>19:47:58.695</v>
      </c>
      <c r="CD4318" t="str">
        <f>"695703486"</f>
        <v>695703486</v>
      </c>
      <c r="CQ4318">
        <v>0</v>
      </c>
      <c r="CR4318">
        <v>2</v>
      </c>
      <c r="CS4318">
        <v>0</v>
      </c>
      <c r="CT4318">
        <v>2</v>
      </c>
      <c r="CU4318">
        <v>0</v>
      </c>
      <c r="CV4318">
        <v>5</v>
      </c>
      <c r="CW4318" t="s">
        <v>120</v>
      </c>
      <c r="CX4318">
        <v>257</v>
      </c>
      <c r="CY4318">
        <v>0</v>
      </c>
      <c r="CZ4318" t="s">
        <v>615</v>
      </c>
      <c r="DA4318" t="s">
        <v>616</v>
      </c>
      <c r="DD4318">
        <v>16759013</v>
      </c>
      <c r="DE4318" t="s">
        <v>123</v>
      </c>
    </row>
    <row r="4319" spans="1:109" x14ac:dyDescent="0.3">
      <c r="A4319" t="str">
        <f>"19:48:00.000"</f>
        <v>19:48:00.000</v>
      </c>
      <c r="B4319" t="s">
        <v>110</v>
      </c>
      <c r="C4319" t="str">
        <f t="shared" si="204"/>
        <v>ffdfd3c0</v>
      </c>
      <c r="D4319" t="s">
        <v>111</v>
      </c>
      <c r="E4319">
        <v>18</v>
      </c>
      <c r="F4319">
        <v>1018</v>
      </c>
      <c r="G4319" t="s">
        <v>112</v>
      </c>
      <c r="J4319" t="s">
        <v>113</v>
      </c>
      <c r="K4319">
        <v>0</v>
      </c>
      <c r="L4319">
        <v>3</v>
      </c>
      <c r="M4319">
        <v>0</v>
      </c>
      <c r="N4319">
        <v>2</v>
      </c>
      <c r="O4319">
        <v>1</v>
      </c>
      <c r="P4319">
        <v>0</v>
      </c>
      <c r="Q4319">
        <v>0</v>
      </c>
      <c r="R4319" t="s">
        <v>114</v>
      </c>
      <c r="S4319" t="str">
        <f>"19:47:59.742"</f>
        <v>19:47:59.742</v>
      </c>
      <c r="T4319" t="str">
        <f>"19:47:59.742"</f>
        <v>19:47:59.742</v>
      </c>
      <c r="U4319" t="str">
        <f t="shared" si="202"/>
        <v>a1cdbe</v>
      </c>
      <c r="V4319">
        <v>0</v>
      </c>
      <c r="W4319">
        <v>0</v>
      </c>
      <c r="X4319">
        <v>2</v>
      </c>
      <c r="Y4319">
        <v>0</v>
      </c>
      <c r="Z4319">
        <v>0</v>
      </c>
      <c r="AB4319">
        <v>0</v>
      </c>
      <c r="AC4319">
        <v>9</v>
      </c>
      <c r="AD4319">
        <v>3</v>
      </c>
      <c r="AE4319">
        <v>0</v>
      </c>
      <c r="AF4319">
        <v>9</v>
      </c>
      <c r="AG4319" t="s">
        <v>115</v>
      </c>
      <c r="AH4319">
        <v>0</v>
      </c>
      <c r="AI4319">
        <v>0</v>
      </c>
      <c r="AJ4319">
        <v>1</v>
      </c>
      <c r="AK4319">
        <v>0</v>
      </c>
      <c r="AL4319" t="s">
        <v>539</v>
      </c>
      <c r="AM4319">
        <v>47.054164</v>
      </c>
      <c r="AN4319" t="s">
        <v>7888</v>
      </c>
      <c r="AO4319">
        <v>-123.98972500000001</v>
      </c>
      <c r="AP4319">
        <v>100</v>
      </c>
      <c r="AQ4319">
        <v>-100</v>
      </c>
      <c r="AR4319" t="s">
        <v>118</v>
      </c>
      <c r="AS4319">
        <v>-35</v>
      </c>
      <c r="AT4319">
        <v>36</v>
      </c>
      <c r="AU4319">
        <v>-768</v>
      </c>
      <c r="BC4319">
        <v>1200</v>
      </c>
      <c r="BD4319">
        <v>1</v>
      </c>
      <c r="BE4319" t="str">
        <f t="shared" si="203"/>
        <v xml:space="preserve">N215T   </v>
      </c>
      <c r="BF4319">
        <v>1</v>
      </c>
      <c r="BH4319">
        <v>0</v>
      </c>
      <c r="BI4319">
        <v>0</v>
      </c>
      <c r="BJ4319">
        <v>0</v>
      </c>
      <c r="BK4319">
        <v>250</v>
      </c>
      <c r="BL4319">
        <v>350</v>
      </c>
      <c r="BM4319" t="s">
        <v>119</v>
      </c>
      <c r="BN4319">
        <v>1</v>
      </c>
      <c r="BO4319">
        <v>1</v>
      </c>
      <c r="BP4319">
        <v>1</v>
      </c>
      <c r="BQ4319">
        <v>0</v>
      </c>
      <c r="BT4319">
        <v>0</v>
      </c>
      <c r="BU4319">
        <v>0</v>
      </c>
      <c r="BV4319">
        <v>0</v>
      </c>
      <c r="CC4319" t="str">
        <f>"19:47:59.742"</f>
        <v>19:47:59.742</v>
      </c>
      <c r="CD4319" t="str">
        <f>"745600071"</f>
        <v>745600071</v>
      </c>
      <c r="CQ4319">
        <v>0</v>
      </c>
      <c r="CR4319">
        <v>2</v>
      </c>
      <c r="CS4319">
        <v>0</v>
      </c>
      <c r="CT4319">
        <v>2</v>
      </c>
      <c r="CU4319">
        <v>0</v>
      </c>
      <c r="CV4319">
        <v>6</v>
      </c>
      <c r="CW4319" t="s">
        <v>120</v>
      </c>
      <c r="CX4319">
        <v>257</v>
      </c>
      <c r="CY4319">
        <v>0</v>
      </c>
      <c r="CZ4319" t="s">
        <v>615</v>
      </c>
      <c r="DA4319" t="s">
        <v>616</v>
      </c>
      <c r="DD4319">
        <v>16759337</v>
      </c>
      <c r="DE4319" t="s">
        <v>123</v>
      </c>
    </row>
    <row r="4320" spans="1:109" x14ac:dyDescent="0.3">
      <c r="A4320" t="str">
        <f>"19:48:01.008"</f>
        <v>19:48:01.008</v>
      </c>
      <c r="B4320" t="s">
        <v>110</v>
      </c>
      <c r="C4320" t="str">
        <f t="shared" si="204"/>
        <v>ffdfd3c0</v>
      </c>
      <c r="D4320" t="s">
        <v>111</v>
      </c>
      <c r="E4320">
        <v>18</v>
      </c>
      <c r="F4320">
        <v>1018</v>
      </c>
      <c r="G4320" t="s">
        <v>112</v>
      </c>
      <c r="J4320" t="s">
        <v>113</v>
      </c>
      <c r="K4320">
        <v>0</v>
      </c>
      <c r="L4320">
        <v>3</v>
      </c>
      <c r="M4320">
        <v>0</v>
      </c>
      <c r="N4320">
        <v>2</v>
      </c>
      <c r="O4320">
        <v>1</v>
      </c>
      <c r="P4320">
        <v>0</v>
      </c>
      <c r="Q4320">
        <v>0</v>
      </c>
      <c r="R4320" t="s">
        <v>114</v>
      </c>
      <c r="S4320" t="str">
        <f>"19:48:00.789"</f>
        <v>19:48:00.789</v>
      </c>
      <c r="T4320" t="str">
        <f>"19:48:00.289"</f>
        <v>19:48:00.289</v>
      </c>
      <c r="U4320" t="str">
        <f t="shared" si="202"/>
        <v>a1cdbe</v>
      </c>
      <c r="V4320">
        <v>0</v>
      </c>
      <c r="W4320">
        <v>0</v>
      </c>
      <c r="X4320">
        <v>2</v>
      </c>
      <c r="Y4320">
        <v>0</v>
      </c>
      <c r="Z4320">
        <v>0</v>
      </c>
      <c r="AB4320">
        <v>0</v>
      </c>
      <c r="AC4320">
        <v>9</v>
      </c>
      <c r="AD4320">
        <v>3</v>
      </c>
      <c r="AE4320">
        <v>0</v>
      </c>
      <c r="AF4320">
        <v>9</v>
      </c>
      <c r="AG4320" t="s">
        <v>115</v>
      </c>
      <c r="AH4320">
        <v>0</v>
      </c>
      <c r="AI4320">
        <v>0</v>
      </c>
      <c r="AJ4320">
        <v>1</v>
      </c>
      <c r="AK4320">
        <v>0</v>
      </c>
      <c r="AL4320" t="s">
        <v>7278</v>
      </c>
      <c r="AM4320">
        <v>47.054358000000001</v>
      </c>
      <c r="AN4320" t="s">
        <v>7889</v>
      </c>
      <c r="AO4320">
        <v>-123.989983</v>
      </c>
      <c r="AP4320">
        <v>100</v>
      </c>
      <c r="AQ4320">
        <v>-200</v>
      </c>
      <c r="AR4320" t="s">
        <v>118</v>
      </c>
      <c r="AS4320">
        <v>-34</v>
      </c>
      <c r="AT4320">
        <v>37</v>
      </c>
      <c r="AU4320">
        <v>-832</v>
      </c>
      <c r="BC4320">
        <v>1200</v>
      </c>
      <c r="BD4320">
        <v>1</v>
      </c>
      <c r="BE4320" t="str">
        <f t="shared" si="203"/>
        <v xml:space="preserve">N215T   </v>
      </c>
      <c r="BF4320">
        <v>1</v>
      </c>
      <c r="BH4320">
        <v>0</v>
      </c>
      <c r="BI4320">
        <v>0</v>
      </c>
      <c r="BJ4320">
        <v>0</v>
      </c>
      <c r="BK4320">
        <v>250</v>
      </c>
      <c r="BL4320">
        <v>450</v>
      </c>
      <c r="BM4320" t="s">
        <v>119</v>
      </c>
      <c r="BN4320">
        <v>1</v>
      </c>
      <c r="BO4320">
        <v>1</v>
      </c>
      <c r="BP4320">
        <v>1</v>
      </c>
      <c r="BQ4320">
        <v>0</v>
      </c>
      <c r="BT4320">
        <v>0</v>
      </c>
      <c r="BU4320">
        <v>0</v>
      </c>
      <c r="BV4320">
        <v>0</v>
      </c>
      <c r="CC4320" t="str">
        <f>"19:48:00.797"</f>
        <v>19:48:00.797</v>
      </c>
      <c r="CD4320" t="str">
        <f>"795496675"</f>
        <v>795496675</v>
      </c>
      <c r="CQ4320">
        <v>0</v>
      </c>
      <c r="CR4320">
        <v>2</v>
      </c>
      <c r="CS4320">
        <v>0</v>
      </c>
      <c r="CT4320">
        <v>2</v>
      </c>
      <c r="CU4320">
        <v>0</v>
      </c>
      <c r="CV4320">
        <v>5</v>
      </c>
      <c r="CW4320" t="s">
        <v>120</v>
      </c>
      <c r="CX4320">
        <v>257</v>
      </c>
      <c r="CY4320">
        <v>0</v>
      </c>
      <c r="CZ4320" t="s">
        <v>615</v>
      </c>
      <c r="DA4320" t="s">
        <v>616</v>
      </c>
      <c r="DD4320">
        <v>16759652</v>
      </c>
      <c r="DE4320" t="s">
        <v>123</v>
      </c>
    </row>
    <row r="4321" spans="1:109" x14ac:dyDescent="0.3">
      <c r="A4321" t="str">
        <f>"19:48:02.063"</f>
        <v>19:48:02.063</v>
      </c>
      <c r="B4321" t="s">
        <v>110</v>
      </c>
      <c r="C4321" t="str">
        <f t="shared" si="204"/>
        <v>ffdfd3c0</v>
      </c>
      <c r="D4321" t="s">
        <v>111</v>
      </c>
      <c r="E4321">
        <v>18</v>
      </c>
      <c r="F4321">
        <v>1018</v>
      </c>
      <c r="G4321" t="s">
        <v>112</v>
      </c>
      <c r="J4321" t="s">
        <v>113</v>
      </c>
      <c r="K4321">
        <v>0</v>
      </c>
      <c r="L4321">
        <v>3</v>
      </c>
      <c r="M4321">
        <v>0</v>
      </c>
      <c r="N4321">
        <v>2</v>
      </c>
      <c r="O4321">
        <v>1</v>
      </c>
      <c r="P4321">
        <v>0</v>
      </c>
      <c r="Q4321">
        <v>0</v>
      </c>
      <c r="R4321" t="s">
        <v>114</v>
      </c>
      <c r="S4321" t="str">
        <f>"19:48:01.781"</f>
        <v>19:48:01.781</v>
      </c>
      <c r="T4321" t="str">
        <f>"19:48:01.484"</f>
        <v>19:48:01.484</v>
      </c>
      <c r="U4321" t="str">
        <f t="shared" si="202"/>
        <v>a1cdbe</v>
      </c>
      <c r="V4321">
        <v>0</v>
      </c>
      <c r="W4321">
        <v>0</v>
      </c>
      <c r="X4321">
        <v>2</v>
      </c>
      <c r="Y4321">
        <v>0</v>
      </c>
      <c r="Z4321">
        <v>0</v>
      </c>
      <c r="AB4321">
        <v>0</v>
      </c>
      <c r="AC4321">
        <v>9</v>
      </c>
      <c r="AD4321">
        <v>3</v>
      </c>
      <c r="AE4321">
        <v>0</v>
      </c>
      <c r="AF4321">
        <v>9</v>
      </c>
      <c r="AG4321" t="s">
        <v>115</v>
      </c>
      <c r="AH4321">
        <v>0</v>
      </c>
      <c r="AI4321">
        <v>0</v>
      </c>
      <c r="AJ4321">
        <v>1</v>
      </c>
      <c r="AK4321">
        <v>0</v>
      </c>
      <c r="AL4321" t="s">
        <v>7890</v>
      </c>
      <c r="AM4321">
        <v>47.054529000000002</v>
      </c>
      <c r="AN4321" t="s">
        <v>7891</v>
      </c>
      <c r="AO4321">
        <v>-123.990154</v>
      </c>
      <c r="AP4321">
        <v>100</v>
      </c>
      <c r="AQ4321">
        <v>-200</v>
      </c>
      <c r="AR4321" t="s">
        <v>118</v>
      </c>
      <c r="AS4321">
        <v>-31</v>
      </c>
      <c r="AT4321">
        <v>39</v>
      </c>
      <c r="AU4321">
        <v>-896</v>
      </c>
      <c r="BC4321">
        <v>1200</v>
      </c>
      <c r="BD4321">
        <v>1</v>
      </c>
      <c r="BE4321" t="str">
        <f t="shared" si="203"/>
        <v xml:space="preserve">N215T   </v>
      </c>
      <c r="BF4321">
        <v>1</v>
      </c>
      <c r="BH4321">
        <v>0</v>
      </c>
      <c r="BI4321">
        <v>0</v>
      </c>
      <c r="BJ4321">
        <v>0</v>
      </c>
      <c r="BK4321">
        <v>225</v>
      </c>
      <c r="BL4321">
        <v>425</v>
      </c>
      <c r="BM4321" t="s">
        <v>119</v>
      </c>
      <c r="BN4321">
        <v>1</v>
      </c>
      <c r="BO4321">
        <v>1</v>
      </c>
      <c r="BP4321">
        <v>1</v>
      </c>
      <c r="BQ4321">
        <v>0</v>
      </c>
      <c r="BT4321">
        <v>0</v>
      </c>
      <c r="BU4321">
        <v>0</v>
      </c>
      <c r="BV4321">
        <v>0</v>
      </c>
      <c r="CC4321" t="str">
        <f>"19:48:01.789"</f>
        <v>19:48:01.789</v>
      </c>
      <c r="CD4321" t="str">
        <f>"785399197"</f>
        <v>785399197</v>
      </c>
      <c r="CQ4321">
        <v>0</v>
      </c>
      <c r="CR4321">
        <v>2</v>
      </c>
      <c r="CS4321">
        <v>0</v>
      </c>
      <c r="CT4321">
        <v>2</v>
      </c>
      <c r="CU4321">
        <v>0</v>
      </c>
      <c r="CV4321">
        <v>5</v>
      </c>
      <c r="CW4321" t="s">
        <v>120</v>
      </c>
      <c r="CX4321">
        <v>257</v>
      </c>
      <c r="CY4321">
        <v>0</v>
      </c>
      <c r="CZ4321" t="s">
        <v>615</v>
      </c>
      <c r="DA4321" t="s">
        <v>616</v>
      </c>
      <c r="DD4321">
        <v>16759975</v>
      </c>
      <c r="DE4321" t="s">
        <v>123</v>
      </c>
    </row>
    <row r="4322" spans="1:109" x14ac:dyDescent="0.3">
      <c r="A4322" t="str">
        <f>"19:48:02.922"</f>
        <v>19:48:02.922</v>
      </c>
      <c r="B4322" t="s">
        <v>110</v>
      </c>
      <c r="C4322" t="str">
        <f t="shared" si="204"/>
        <v>ffdfd3c0</v>
      </c>
      <c r="D4322" t="s">
        <v>111</v>
      </c>
      <c r="E4322">
        <v>18</v>
      </c>
      <c r="F4322">
        <v>1018</v>
      </c>
      <c r="G4322" t="s">
        <v>112</v>
      </c>
      <c r="J4322" t="s">
        <v>113</v>
      </c>
      <c r="K4322">
        <v>0</v>
      </c>
      <c r="L4322">
        <v>3</v>
      </c>
      <c r="M4322">
        <v>0</v>
      </c>
      <c r="N4322">
        <v>2</v>
      </c>
      <c r="O4322">
        <v>1</v>
      </c>
      <c r="P4322">
        <v>0</v>
      </c>
      <c r="Q4322">
        <v>0</v>
      </c>
      <c r="R4322" t="s">
        <v>114</v>
      </c>
      <c r="S4322" t="str">
        <f>"19:48:02.664"</f>
        <v>19:48:02.664</v>
      </c>
      <c r="T4322" t="str">
        <f>"19:48:02.367"</f>
        <v>19:48:02.367</v>
      </c>
      <c r="U4322" t="str">
        <f t="shared" si="202"/>
        <v>a1cdbe</v>
      </c>
      <c r="V4322">
        <v>0</v>
      </c>
      <c r="W4322">
        <v>0</v>
      </c>
      <c r="X4322">
        <v>2</v>
      </c>
      <c r="Y4322">
        <v>0</v>
      </c>
      <c r="Z4322">
        <v>0</v>
      </c>
      <c r="AB4322">
        <v>0</v>
      </c>
      <c r="AC4322">
        <v>9</v>
      </c>
      <c r="AD4322">
        <v>3</v>
      </c>
      <c r="AE4322">
        <v>0</v>
      </c>
      <c r="AF4322">
        <v>9</v>
      </c>
      <c r="AG4322" t="s">
        <v>115</v>
      </c>
      <c r="AH4322">
        <v>0</v>
      </c>
      <c r="AI4322">
        <v>0</v>
      </c>
      <c r="AJ4322">
        <v>1</v>
      </c>
      <c r="AK4322">
        <v>0</v>
      </c>
      <c r="AL4322" t="s">
        <v>7892</v>
      </c>
      <c r="AM4322">
        <v>47.054721999999998</v>
      </c>
      <c r="AN4322" t="s">
        <v>7893</v>
      </c>
      <c r="AO4322">
        <v>-123.990369</v>
      </c>
      <c r="AP4322">
        <v>100</v>
      </c>
      <c r="AQ4322">
        <v>-200</v>
      </c>
      <c r="AR4322" t="s">
        <v>118</v>
      </c>
      <c r="AS4322">
        <v>-29</v>
      </c>
      <c r="AT4322">
        <v>40</v>
      </c>
      <c r="AU4322">
        <v>-896</v>
      </c>
      <c r="BC4322">
        <v>1200</v>
      </c>
      <c r="BD4322">
        <v>1</v>
      </c>
      <c r="BE4322" t="str">
        <f t="shared" si="203"/>
        <v xml:space="preserve">N215T   </v>
      </c>
      <c r="BF4322">
        <v>1</v>
      </c>
      <c r="BH4322">
        <v>0</v>
      </c>
      <c r="BI4322">
        <v>0</v>
      </c>
      <c r="BJ4322">
        <v>0</v>
      </c>
      <c r="BK4322">
        <v>225</v>
      </c>
      <c r="BL4322">
        <v>425</v>
      </c>
      <c r="BM4322" t="s">
        <v>119</v>
      </c>
      <c r="BN4322">
        <v>1</v>
      </c>
      <c r="BO4322">
        <v>1</v>
      </c>
      <c r="BP4322">
        <v>1</v>
      </c>
      <c r="BQ4322">
        <v>0</v>
      </c>
      <c r="BT4322">
        <v>0</v>
      </c>
      <c r="BU4322">
        <v>0</v>
      </c>
      <c r="BV4322">
        <v>0</v>
      </c>
      <c r="CC4322" t="str">
        <f>"19:48:02.672"</f>
        <v>19:48:02.672</v>
      </c>
      <c r="CD4322" t="str">
        <f>"670312047"</f>
        <v>670312047</v>
      </c>
      <c r="CQ4322">
        <v>0</v>
      </c>
      <c r="CR4322">
        <v>2</v>
      </c>
      <c r="CS4322">
        <v>0</v>
      </c>
      <c r="CT4322">
        <v>2</v>
      </c>
      <c r="CU4322">
        <v>0</v>
      </c>
      <c r="CV4322">
        <v>5</v>
      </c>
      <c r="CW4322" t="s">
        <v>120</v>
      </c>
      <c r="CX4322">
        <v>257</v>
      </c>
      <c r="CY4322">
        <v>0</v>
      </c>
      <c r="CZ4322" t="s">
        <v>615</v>
      </c>
      <c r="DA4322" t="s">
        <v>616</v>
      </c>
      <c r="DD4322">
        <v>16760242</v>
      </c>
      <c r="DE4322" t="s">
        <v>123</v>
      </c>
    </row>
    <row r="4323" spans="1:109" x14ac:dyDescent="0.3">
      <c r="A4323" t="str">
        <f>"19:48:03.820"</f>
        <v>19:48:03.820</v>
      </c>
      <c r="B4323" t="s">
        <v>110</v>
      </c>
      <c r="C4323" t="str">
        <f t="shared" si="204"/>
        <v>ffdfd3c0</v>
      </c>
      <c r="D4323" t="s">
        <v>111</v>
      </c>
      <c r="E4323">
        <v>18</v>
      </c>
      <c r="F4323">
        <v>1018</v>
      </c>
      <c r="G4323" t="s">
        <v>112</v>
      </c>
      <c r="J4323" t="s">
        <v>113</v>
      </c>
      <c r="K4323">
        <v>0</v>
      </c>
      <c r="L4323">
        <v>3</v>
      </c>
      <c r="M4323">
        <v>0</v>
      </c>
      <c r="N4323">
        <v>2</v>
      </c>
      <c r="O4323">
        <v>1</v>
      </c>
      <c r="P4323">
        <v>0</v>
      </c>
      <c r="Q4323">
        <v>0</v>
      </c>
      <c r="R4323" t="s">
        <v>114</v>
      </c>
      <c r="S4323" t="str">
        <f>"19:48:03.578"</f>
        <v>19:48:03.578</v>
      </c>
      <c r="T4323" t="str">
        <f>"19:48:03.281"</f>
        <v>19:48:03.281</v>
      </c>
      <c r="U4323" t="str">
        <f t="shared" si="202"/>
        <v>a1cdbe</v>
      </c>
      <c r="V4323">
        <v>0</v>
      </c>
      <c r="W4323">
        <v>0</v>
      </c>
      <c r="X4323">
        <v>2</v>
      </c>
      <c r="Y4323">
        <v>0</v>
      </c>
      <c r="Z4323">
        <v>0</v>
      </c>
      <c r="AB4323">
        <v>0</v>
      </c>
      <c r="AC4323">
        <v>9</v>
      </c>
      <c r="AD4323">
        <v>3</v>
      </c>
      <c r="AE4323">
        <v>0</v>
      </c>
      <c r="AF4323">
        <v>9</v>
      </c>
      <c r="AG4323" t="s">
        <v>115</v>
      </c>
      <c r="AH4323">
        <v>0</v>
      </c>
      <c r="AI4323">
        <v>0</v>
      </c>
      <c r="AJ4323">
        <v>1</v>
      </c>
      <c r="AK4323">
        <v>0</v>
      </c>
      <c r="AL4323" t="s">
        <v>7288</v>
      </c>
      <c r="AM4323">
        <v>47.054893999999997</v>
      </c>
      <c r="AN4323" t="s">
        <v>7869</v>
      </c>
      <c r="AO4323">
        <v>-123.99054099999999</v>
      </c>
      <c r="AP4323">
        <v>100</v>
      </c>
      <c r="AQ4323">
        <v>-200</v>
      </c>
      <c r="AR4323" t="s">
        <v>118</v>
      </c>
      <c r="AS4323">
        <v>-25</v>
      </c>
      <c r="AT4323">
        <v>43</v>
      </c>
      <c r="AU4323">
        <v>-704</v>
      </c>
      <c r="BC4323">
        <v>1200</v>
      </c>
      <c r="BD4323">
        <v>1</v>
      </c>
      <c r="BE4323" t="str">
        <f t="shared" si="203"/>
        <v xml:space="preserve">N215T   </v>
      </c>
      <c r="BF4323">
        <v>1</v>
      </c>
      <c r="BH4323">
        <v>0</v>
      </c>
      <c r="BI4323">
        <v>0</v>
      </c>
      <c r="BJ4323">
        <v>0</v>
      </c>
      <c r="BK4323">
        <v>200</v>
      </c>
      <c r="BL4323">
        <v>400</v>
      </c>
      <c r="BM4323" t="s">
        <v>119</v>
      </c>
      <c r="BN4323">
        <v>1</v>
      </c>
      <c r="BO4323">
        <v>1</v>
      </c>
      <c r="BP4323">
        <v>1</v>
      </c>
      <c r="BQ4323">
        <v>0</v>
      </c>
      <c r="BT4323">
        <v>0</v>
      </c>
      <c r="BU4323">
        <v>0</v>
      </c>
      <c r="BV4323">
        <v>0</v>
      </c>
      <c r="CC4323" t="str">
        <f>"19:48:03.586"</f>
        <v>19:48:03.586</v>
      </c>
      <c r="CD4323" t="str">
        <f>"585221952"</f>
        <v>585221952</v>
      </c>
      <c r="CQ4323">
        <v>0</v>
      </c>
      <c r="CR4323">
        <v>2</v>
      </c>
      <c r="CS4323">
        <v>0</v>
      </c>
      <c r="CT4323">
        <v>2</v>
      </c>
      <c r="CU4323">
        <v>0</v>
      </c>
      <c r="CV4323">
        <v>5</v>
      </c>
      <c r="CW4323" t="s">
        <v>120</v>
      </c>
      <c r="CX4323">
        <v>257</v>
      </c>
      <c r="CY4323">
        <v>0</v>
      </c>
      <c r="CZ4323" t="s">
        <v>615</v>
      </c>
      <c r="DA4323" t="s">
        <v>616</v>
      </c>
      <c r="DD4323">
        <v>16760548</v>
      </c>
      <c r="DE4323" t="s">
        <v>123</v>
      </c>
    </row>
    <row r="4324" spans="1:109" x14ac:dyDescent="0.3">
      <c r="A4324" t="str">
        <f>"19:48:04.930"</f>
        <v>19:48:04.930</v>
      </c>
      <c r="B4324" t="s">
        <v>110</v>
      </c>
      <c r="C4324" t="str">
        <f t="shared" si="204"/>
        <v>ffdfd3c0</v>
      </c>
      <c r="D4324" t="s">
        <v>111</v>
      </c>
      <c r="E4324">
        <v>18</v>
      </c>
      <c r="F4324">
        <v>1018</v>
      </c>
      <c r="G4324" t="s">
        <v>112</v>
      </c>
      <c r="J4324" t="s">
        <v>113</v>
      </c>
      <c r="K4324">
        <v>0</v>
      </c>
      <c r="L4324">
        <v>3</v>
      </c>
      <c r="M4324">
        <v>0</v>
      </c>
      <c r="N4324">
        <v>2</v>
      </c>
      <c r="O4324">
        <v>1</v>
      </c>
      <c r="P4324">
        <v>0</v>
      </c>
      <c r="Q4324">
        <v>0</v>
      </c>
      <c r="R4324" t="s">
        <v>114</v>
      </c>
      <c r="S4324" t="str">
        <f>"19:48:04.703"</f>
        <v>19:48:04.703</v>
      </c>
      <c r="T4324" t="str">
        <f>"19:48:04.703"</f>
        <v>19:48:04.703</v>
      </c>
      <c r="U4324" t="str">
        <f t="shared" si="202"/>
        <v>a1cdbe</v>
      </c>
      <c r="V4324">
        <v>0</v>
      </c>
      <c r="W4324">
        <v>0</v>
      </c>
      <c r="X4324">
        <v>2</v>
      </c>
      <c r="Y4324">
        <v>0</v>
      </c>
      <c r="Z4324">
        <v>0</v>
      </c>
      <c r="AB4324">
        <v>0</v>
      </c>
      <c r="AC4324">
        <v>9</v>
      </c>
      <c r="AD4324">
        <v>3</v>
      </c>
      <c r="AE4324">
        <v>0</v>
      </c>
      <c r="AF4324">
        <v>9</v>
      </c>
      <c r="AG4324" t="s">
        <v>115</v>
      </c>
      <c r="AH4324">
        <v>0</v>
      </c>
      <c r="AI4324">
        <v>0</v>
      </c>
      <c r="AJ4324">
        <v>1</v>
      </c>
      <c r="AK4324">
        <v>0</v>
      </c>
      <c r="AL4324" t="s">
        <v>7766</v>
      </c>
      <c r="AM4324">
        <v>47.055151000000002</v>
      </c>
      <c r="AN4324" t="s">
        <v>7894</v>
      </c>
      <c r="AO4324">
        <v>-123.99064799999999</v>
      </c>
      <c r="AP4324">
        <v>100</v>
      </c>
      <c r="AQ4324">
        <v>-200</v>
      </c>
      <c r="AR4324" t="s">
        <v>118</v>
      </c>
      <c r="AS4324">
        <v>-20</v>
      </c>
      <c r="AT4324">
        <v>47</v>
      </c>
      <c r="AU4324">
        <v>-192</v>
      </c>
      <c r="BC4324">
        <v>1200</v>
      </c>
      <c r="BD4324">
        <v>1</v>
      </c>
      <c r="BE4324" t="str">
        <f t="shared" si="203"/>
        <v xml:space="preserve">N215T   </v>
      </c>
      <c r="BF4324">
        <v>1</v>
      </c>
      <c r="BH4324">
        <v>0</v>
      </c>
      <c r="BI4324">
        <v>0</v>
      </c>
      <c r="BJ4324">
        <v>0</v>
      </c>
      <c r="BK4324">
        <v>200</v>
      </c>
      <c r="BL4324">
        <v>400</v>
      </c>
      <c r="BM4324" t="s">
        <v>119</v>
      </c>
      <c r="BN4324">
        <v>1</v>
      </c>
      <c r="BO4324">
        <v>1</v>
      </c>
      <c r="BP4324">
        <v>1</v>
      </c>
      <c r="BQ4324">
        <v>0</v>
      </c>
      <c r="BT4324">
        <v>0</v>
      </c>
      <c r="BU4324">
        <v>0</v>
      </c>
      <c r="BV4324">
        <v>0</v>
      </c>
      <c r="CC4324" t="str">
        <f>"19:48:04.711"</f>
        <v>19:48:04.711</v>
      </c>
      <c r="CD4324" t="str">
        <f>"710111175"</f>
        <v>710111175</v>
      </c>
      <c r="CQ4324">
        <v>0</v>
      </c>
      <c r="CR4324">
        <v>2</v>
      </c>
      <c r="CS4324">
        <v>0</v>
      </c>
      <c r="CT4324">
        <v>2</v>
      </c>
      <c r="CU4324">
        <v>0</v>
      </c>
      <c r="CV4324">
        <v>3</v>
      </c>
      <c r="CW4324" t="s">
        <v>120</v>
      </c>
      <c r="CX4324">
        <v>257</v>
      </c>
      <c r="CY4324">
        <v>3</v>
      </c>
      <c r="CZ4324" t="s">
        <v>615</v>
      </c>
      <c r="DA4324" t="s">
        <v>616</v>
      </c>
      <c r="DD4324">
        <v>9489254</v>
      </c>
      <c r="DE4324" t="s">
        <v>123</v>
      </c>
    </row>
    <row r="4325" spans="1:109" x14ac:dyDescent="0.3">
      <c r="A4325" t="str">
        <f>"19:48:05.938"</f>
        <v>19:48:05.938</v>
      </c>
      <c r="B4325" t="s">
        <v>110</v>
      </c>
      <c r="C4325" t="str">
        <f t="shared" si="204"/>
        <v>ffdfd3c0</v>
      </c>
      <c r="D4325" t="s">
        <v>111</v>
      </c>
      <c r="E4325">
        <v>18</v>
      </c>
      <c r="F4325">
        <v>1018</v>
      </c>
      <c r="G4325" t="s">
        <v>112</v>
      </c>
      <c r="J4325" t="s">
        <v>113</v>
      </c>
      <c r="K4325">
        <v>0</v>
      </c>
      <c r="L4325">
        <v>3</v>
      </c>
      <c r="M4325">
        <v>0</v>
      </c>
      <c r="N4325">
        <v>2</v>
      </c>
      <c r="O4325">
        <v>1</v>
      </c>
      <c r="P4325">
        <v>0</v>
      </c>
      <c r="Q4325">
        <v>0</v>
      </c>
      <c r="R4325" t="s">
        <v>114</v>
      </c>
      <c r="S4325" t="str">
        <f>"19:48:05.680"</f>
        <v>19:48:05.680</v>
      </c>
      <c r="T4325" t="str">
        <f>"19:48:05.680"</f>
        <v>19:48:05.680</v>
      </c>
      <c r="U4325" t="str">
        <f t="shared" si="202"/>
        <v>a1cdbe</v>
      </c>
      <c r="V4325">
        <v>0</v>
      </c>
      <c r="W4325">
        <v>0</v>
      </c>
      <c r="X4325">
        <v>2</v>
      </c>
      <c r="Y4325">
        <v>0</v>
      </c>
      <c r="Z4325">
        <v>0</v>
      </c>
      <c r="AB4325">
        <v>0</v>
      </c>
      <c r="AC4325">
        <v>9</v>
      </c>
      <c r="AD4325">
        <v>3</v>
      </c>
      <c r="AE4325">
        <v>0</v>
      </c>
      <c r="AF4325">
        <v>9</v>
      </c>
      <c r="AG4325" t="s">
        <v>115</v>
      </c>
      <c r="AH4325">
        <v>0</v>
      </c>
      <c r="AI4325">
        <v>0</v>
      </c>
      <c r="AJ4325">
        <v>1</v>
      </c>
      <c r="AK4325">
        <v>0</v>
      </c>
      <c r="AL4325" t="s">
        <v>7765</v>
      </c>
      <c r="AM4325">
        <v>47.055365999999999</v>
      </c>
      <c r="AN4325" t="s">
        <v>7868</v>
      </c>
      <c r="AO4325">
        <v>-123.990798</v>
      </c>
      <c r="AP4325">
        <v>100</v>
      </c>
      <c r="AQ4325">
        <v>-200</v>
      </c>
      <c r="AR4325" t="s">
        <v>118</v>
      </c>
      <c r="AS4325">
        <v>-17</v>
      </c>
      <c r="AT4325">
        <v>48</v>
      </c>
      <c r="AU4325">
        <v>0</v>
      </c>
      <c r="BC4325">
        <v>1200</v>
      </c>
      <c r="BD4325">
        <v>1</v>
      </c>
      <c r="BE4325" t="str">
        <f t="shared" si="203"/>
        <v xml:space="preserve">N215T   </v>
      </c>
      <c r="BF4325">
        <v>1</v>
      </c>
      <c r="BH4325">
        <v>0</v>
      </c>
      <c r="BI4325">
        <v>0</v>
      </c>
      <c r="BJ4325">
        <v>0</v>
      </c>
      <c r="BK4325">
        <v>200</v>
      </c>
      <c r="BL4325">
        <v>400</v>
      </c>
      <c r="BM4325" t="s">
        <v>119</v>
      </c>
      <c r="BN4325">
        <v>1</v>
      </c>
      <c r="BO4325">
        <v>1</v>
      </c>
      <c r="BP4325">
        <v>1</v>
      </c>
      <c r="BQ4325">
        <v>0</v>
      </c>
      <c r="BT4325">
        <v>0</v>
      </c>
      <c r="BU4325">
        <v>0</v>
      </c>
      <c r="BV4325">
        <v>0</v>
      </c>
      <c r="CC4325" t="str">
        <f>"19:48:05.688"</f>
        <v>19:48:05.688</v>
      </c>
      <c r="CD4325" t="str">
        <f>"685015197"</f>
        <v>685015197</v>
      </c>
      <c r="CQ4325">
        <v>0</v>
      </c>
      <c r="CR4325">
        <v>2</v>
      </c>
      <c r="CS4325">
        <v>0</v>
      </c>
      <c r="CT4325">
        <v>2</v>
      </c>
      <c r="CU4325">
        <v>0</v>
      </c>
      <c r="CV4325">
        <v>4</v>
      </c>
      <c r="CW4325" t="s">
        <v>120</v>
      </c>
      <c r="CX4325">
        <v>257</v>
      </c>
      <c r="CY4325">
        <v>0</v>
      </c>
      <c r="CZ4325" t="s">
        <v>615</v>
      </c>
      <c r="DA4325" t="s">
        <v>616</v>
      </c>
      <c r="DD4325">
        <v>16761200</v>
      </c>
      <c r="DE4325" t="s">
        <v>123</v>
      </c>
    </row>
    <row r="4326" spans="1:109" x14ac:dyDescent="0.3">
      <c r="A4326" t="str">
        <f>"19:48:07.094"</f>
        <v>19:48:07.094</v>
      </c>
      <c r="B4326" t="s">
        <v>110</v>
      </c>
      <c r="C4326" t="str">
        <f t="shared" si="204"/>
        <v>ffdfd3c0</v>
      </c>
      <c r="D4326" t="s">
        <v>111</v>
      </c>
      <c r="E4326">
        <v>18</v>
      </c>
      <c r="F4326">
        <v>1018</v>
      </c>
      <c r="G4326" t="s">
        <v>112</v>
      </c>
      <c r="J4326" t="s">
        <v>113</v>
      </c>
      <c r="K4326">
        <v>0</v>
      </c>
      <c r="L4326">
        <v>3</v>
      </c>
      <c r="M4326">
        <v>0</v>
      </c>
      <c r="N4326">
        <v>2</v>
      </c>
      <c r="O4326">
        <v>1</v>
      </c>
      <c r="P4326">
        <v>0</v>
      </c>
      <c r="Q4326">
        <v>0</v>
      </c>
      <c r="R4326" t="s">
        <v>114</v>
      </c>
      <c r="S4326" t="str">
        <f>"19:48:06.836"</f>
        <v>19:48:06.836</v>
      </c>
      <c r="T4326" t="str">
        <f>"19:48:06.734"</f>
        <v>19:48:06.734</v>
      </c>
      <c r="U4326" t="str">
        <f t="shared" si="202"/>
        <v>a1cdbe</v>
      </c>
      <c r="V4326">
        <v>0</v>
      </c>
      <c r="W4326">
        <v>0</v>
      </c>
      <c r="X4326">
        <v>2</v>
      </c>
      <c r="Y4326">
        <v>0</v>
      </c>
      <c r="Z4326">
        <v>0</v>
      </c>
      <c r="AB4326">
        <v>0</v>
      </c>
      <c r="AC4326">
        <v>9</v>
      </c>
      <c r="AD4326">
        <v>3</v>
      </c>
      <c r="AE4326">
        <v>0</v>
      </c>
      <c r="AF4326">
        <v>9</v>
      </c>
      <c r="AG4326" t="s">
        <v>115</v>
      </c>
      <c r="AH4326">
        <v>0</v>
      </c>
      <c r="AI4326">
        <v>0</v>
      </c>
      <c r="AJ4326">
        <v>1</v>
      </c>
      <c r="AK4326">
        <v>0</v>
      </c>
      <c r="AL4326" t="s">
        <v>7764</v>
      </c>
      <c r="AM4326">
        <v>47.055580999999997</v>
      </c>
      <c r="AN4326" t="s">
        <v>7780</v>
      </c>
      <c r="AO4326">
        <v>-123.99088399999999</v>
      </c>
      <c r="AP4326">
        <v>100</v>
      </c>
      <c r="AQ4326">
        <v>-200</v>
      </c>
      <c r="AR4326" t="s">
        <v>118</v>
      </c>
      <c r="AS4326">
        <v>-15</v>
      </c>
      <c r="AT4326">
        <v>46</v>
      </c>
      <c r="AU4326">
        <v>128</v>
      </c>
      <c r="BC4326">
        <v>1200</v>
      </c>
      <c r="BD4326">
        <v>1</v>
      </c>
      <c r="BE4326" t="str">
        <f t="shared" si="203"/>
        <v xml:space="preserve">N215T   </v>
      </c>
      <c r="BF4326">
        <v>1</v>
      </c>
      <c r="BH4326">
        <v>0</v>
      </c>
      <c r="BI4326">
        <v>0</v>
      </c>
      <c r="BJ4326">
        <v>0</v>
      </c>
      <c r="BK4326">
        <v>200</v>
      </c>
      <c r="BL4326">
        <v>400</v>
      </c>
      <c r="BM4326" t="s">
        <v>119</v>
      </c>
      <c r="BN4326">
        <v>1</v>
      </c>
      <c r="BO4326">
        <v>1</v>
      </c>
      <c r="BP4326">
        <v>1</v>
      </c>
      <c r="BQ4326">
        <v>0</v>
      </c>
      <c r="BT4326">
        <v>0</v>
      </c>
      <c r="BU4326">
        <v>0</v>
      </c>
      <c r="BV4326">
        <v>0</v>
      </c>
      <c r="CC4326" t="str">
        <f>"19:48:06.844"</f>
        <v>19:48:06.844</v>
      </c>
      <c r="CD4326" t="str">
        <f>"839901486"</f>
        <v>839901486</v>
      </c>
      <c r="CQ4326">
        <v>0</v>
      </c>
      <c r="CR4326">
        <v>2</v>
      </c>
      <c r="CS4326">
        <v>0</v>
      </c>
      <c r="CT4326">
        <v>2</v>
      </c>
      <c r="CU4326">
        <v>0</v>
      </c>
      <c r="CV4326">
        <v>4</v>
      </c>
      <c r="CW4326" t="s">
        <v>120</v>
      </c>
      <c r="CX4326">
        <v>257</v>
      </c>
      <c r="CY4326">
        <v>0</v>
      </c>
      <c r="CZ4326" t="s">
        <v>615</v>
      </c>
      <c r="DA4326" t="s">
        <v>616</v>
      </c>
      <c r="DD4326">
        <v>16761539</v>
      </c>
      <c r="DE4326" t="s">
        <v>123</v>
      </c>
    </row>
    <row r="4327" spans="1:109" x14ac:dyDescent="0.3">
      <c r="A4327" t="str">
        <f>"19:48:08.047"</f>
        <v>19:48:08.047</v>
      </c>
      <c r="B4327" t="s">
        <v>110</v>
      </c>
      <c r="C4327" t="str">
        <f t="shared" si="204"/>
        <v>ffdfd3c0</v>
      </c>
      <c r="D4327" t="s">
        <v>111</v>
      </c>
      <c r="E4327">
        <v>18</v>
      </c>
      <c r="F4327">
        <v>1018</v>
      </c>
      <c r="G4327" t="s">
        <v>112</v>
      </c>
      <c r="J4327" t="s">
        <v>113</v>
      </c>
      <c r="K4327">
        <v>0</v>
      </c>
      <c r="L4327">
        <v>3</v>
      </c>
      <c r="M4327">
        <v>0</v>
      </c>
      <c r="N4327">
        <v>2</v>
      </c>
      <c r="O4327">
        <v>1</v>
      </c>
      <c r="P4327">
        <v>0</v>
      </c>
      <c r="Q4327">
        <v>0</v>
      </c>
      <c r="R4327" t="s">
        <v>114</v>
      </c>
      <c r="S4327" t="str">
        <f>"19:48:07.828"</f>
        <v>19:48:07.828</v>
      </c>
      <c r="T4327" t="str">
        <f>"19:48:07.328"</f>
        <v>19:48:07.328</v>
      </c>
      <c r="U4327" t="str">
        <f t="shared" si="202"/>
        <v>a1cdbe</v>
      </c>
      <c r="V4327">
        <v>0</v>
      </c>
      <c r="W4327">
        <v>0</v>
      </c>
      <c r="X4327">
        <v>2</v>
      </c>
      <c r="Y4327">
        <v>0</v>
      </c>
      <c r="Z4327">
        <v>0</v>
      </c>
      <c r="AB4327">
        <v>0</v>
      </c>
      <c r="AC4327">
        <v>9</v>
      </c>
      <c r="AD4327">
        <v>3</v>
      </c>
      <c r="AE4327">
        <v>0</v>
      </c>
      <c r="AF4327">
        <v>9</v>
      </c>
      <c r="AG4327" t="s">
        <v>115</v>
      </c>
      <c r="AH4327">
        <v>0</v>
      </c>
      <c r="AI4327">
        <v>0</v>
      </c>
      <c r="AJ4327">
        <v>1</v>
      </c>
      <c r="AK4327">
        <v>0</v>
      </c>
      <c r="AL4327" t="s">
        <v>7895</v>
      </c>
      <c r="AM4327">
        <v>47.055795000000003</v>
      </c>
      <c r="AN4327" t="s">
        <v>7866</v>
      </c>
      <c r="AO4327">
        <v>-123.99099099999999</v>
      </c>
      <c r="AP4327">
        <v>100</v>
      </c>
      <c r="AQ4327">
        <v>-200</v>
      </c>
      <c r="AR4327" t="s">
        <v>118</v>
      </c>
      <c r="AS4327">
        <v>-14</v>
      </c>
      <c r="AT4327">
        <v>44</v>
      </c>
      <c r="AU4327">
        <v>256</v>
      </c>
      <c r="BC4327">
        <v>1200</v>
      </c>
      <c r="BD4327">
        <v>1</v>
      </c>
      <c r="BE4327" t="str">
        <f t="shared" si="203"/>
        <v xml:space="preserve">N215T   </v>
      </c>
      <c r="BF4327">
        <v>1</v>
      </c>
      <c r="BH4327">
        <v>0</v>
      </c>
      <c r="BI4327">
        <v>0</v>
      </c>
      <c r="BJ4327">
        <v>0</v>
      </c>
      <c r="BK4327">
        <v>200</v>
      </c>
      <c r="BL4327">
        <v>400</v>
      </c>
      <c r="BM4327" t="s">
        <v>119</v>
      </c>
      <c r="BN4327">
        <v>1</v>
      </c>
      <c r="BO4327">
        <v>1</v>
      </c>
      <c r="BP4327">
        <v>1</v>
      </c>
      <c r="BQ4327">
        <v>0</v>
      </c>
      <c r="BT4327">
        <v>0</v>
      </c>
      <c r="BU4327">
        <v>0</v>
      </c>
      <c r="BV4327">
        <v>0</v>
      </c>
      <c r="CC4327" t="str">
        <f>"19:48:07.828"</f>
        <v>19:48:07.828</v>
      </c>
      <c r="CD4327" t="str">
        <f>"829803978"</f>
        <v>829803978</v>
      </c>
      <c r="CQ4327">
        <v>0</v>
      </c>
      <c r="CR4327">
        <v>2</v>
      </c>
      <c r="CS4327">
        <v>0</v>
      </c>
      <c r="CT4327">
        <v>2</v>
      </c>
      <c r="CU4327">
        <v>0</v>
      </c>
      <c r="CV4327">
        <v>5</v>
      </c>
      <c r="CW4327" t="s">
        <v>120</v>
      </c>
      <c r="CX4327">
        <v>257</v>
      </c>
      <c r="CY4327">
        <v>0</v>
      </c>
      <c r="CZ4327" t="s">
        <v>615</v>
      </c>
      <c r="DA4327" t="s">
        <v>616</v>
      </c>
      <c r="DD4327">
        <v>16761884</v>
      </c>
      <c r="DE4327" t="s">
        <v>123</v>
      </c>
    </row>
    <row r="4328" spans="1:109" x14ac:dyDescent="0.3">
      <c r="A4328" t="str">
        <f>"19:48:09.156"</f>
        <v>19:48:09.156</v>
      </c>
      <c r="B4328" t="s">
        <v>110</v>
      </c>
      <c r="C4328" t="str">
        <f t="shared" si="204"/>
        <v>ffdfd3c0</v>
      </c>
      <c r="D4328" t="s">
        <v>111</v>
      </c>
      <c r="E4328">
        <v>18</v>
      </c>
      <c r="F4328">
        <v>1018</v>
      </c>
      <c r="G4328" t="s">
        <v>112</v>
      </c>
      <c r="J4328" t="s">
        <v>113</v>
      </c>
      <c r="K4328">
        <v>0</v>
      </c>
      <c r="L4328">
        <v>3</v>
      </c>
      <c r="M4328">
        <v>0</v>
      </c>
      <c r="N4328">
        <v>2</v>
      </c>
      <c r="O4328">
        <v>1</v>
      </c>
      <c r="P4328">
        <v>0</v>
      </c>
      <c r="Q4328">
        <v>0</v>
      </c>
      <c r="R4328" t="s">
        <v>114</v>
      </c>
      <c r="S4328" t="str">
        <f>"19:48:08.875"</f>
        <v>19:48:08.875</v>
      </c>
      <c r="T4328" t="str">
        <f>"19:48:08.477"</f>
        <v>19:48:08.477</v>
      </c>
      <c r="U4328" t="str">
        <f t="shared" si="202"/>
        <v>a1cdbe</v>
      </c>
      <c r="V4328">
        <v>0</v>
      </c>
      <c r="W4328">
        <v>0</v>
      </c>
      <c r="X4328">
        <v>2</v>
      </c>
      <c r="Y4328">
        <v>0</v>
      </c>
      <c r="Z4328">
        <v>0</v>
      </c>
      <c r="AB4328">
        <v>0</v>
      </c>
      <c r="AC4328">
        <v>9</v>
      </c>
      <c r="AD4328">
        <v>3</v>
      </c>
      <c r="AE4328">
        <v>0</v>
      </c>
      <c r="AF4328">
        <v>9</v>
      </c>
      <c r="AG4328" t="s">
        <v>115</v>
      </c>
      <c r="AH4328">
        <v>0</v>
      </c>
      <c r="AI4328">
        <v>0</v>
      </c>
      <c r="AJ4328">
        <v>1</v>
      </c>
      <c r="AK4328">
        <v>0</v>
      </c>
      <c r="AL4328" t="s">
        <v>7896</v>
      </c>
      <c r="AM4328">
        <v>47.056010000000001</v>
      </c>
      <c r="AN4328" t="s">
        <v>7897</v>
      </c>
      <c r="AO4328">
        <v>-123.991077</v>
      </c>
      <c r="AP4328">
        <v>100</v>
      </c>
      <c r="AQ4328">
        <v>-200</v>
      </c>
      <c r="AR4328" t="s">
        <v>118</v>
      </c>
      <c r="AS4328">
        <v>-13</v>
      </c>
      <c r="AT4328">
        <v>42</v>
      </c>
      <c r="AU4328">
        <v>192</v>
      </c>
      <c r="BC4328">
        <v>1200</v>
      </c>
      <c r="BD4328">
        <v>1</v>
      </c>
      <c r="BE4328" t="str">
        <f t="shared" si="203"/>
        <v xml:space="preserve">N215T   </v>
      </c>
      <c r="BF4328">
        <v>1</v>
      </c>
      <c r="BH4328">
        <v>0</v>
      </c>
      <c r="BI4328">
        <v>0</v>
      </c>
      <c r="BJ4328">
        <v>0</v>
      </c>
      <c r="BK4328">
        <v>200</v>
      </c>
      <c r="BL4328">
        <v>400</v>
      </c>
      <c r="BM4328" t="s">
        <v>119</v>
      </c>
      <c r="BN4328">
        <v>1</v>
      </c>
      <c r="BO4328">
        <v>1</v>
      </c>
      <c r="BP4328">
        <v>1</v>
      </c>
      <c r="BQ4328">
        <v>0</v>
      </c>
      <c r="BT4328">
        <v>0</v>
      </c>
      <c r="BU4328">
        <v>0</v>
      </c>
      <c r="BV4328">
        <v>0</v>
      </c>
      <c r="CC4328" t="str">
        <f>"19:48:08.883"</f>
        <v>19:48:08.883</v>
      </c>
      <c r="CD4328" t="str">
        <f>"879700593"</f>
        <v>879700593</v>
      </c>
      <c r="CQ4328">
        <v>0</v>
      </c>
      <c r="CR4328">
        <v>2</v>
      </c>
      <c r="CS4328">
        <v>0</v>
      </c>
      <c r="CT4328">
        <v>2</v>
      </c>
      <c r="CU4328">
        <v>0</v>
      </c>
      <c r="CV4328">
        <v>5</v>
      </c>
      <c r="CW4328" t="s">
        <v>120</v>
      </c>
      <c r="CX4328">
        <v>257</v>
      </c>
      <c r="CY4328">
        <v>0</v>
      </c>
      <c r="CZ4328" t="s">
        <v>615</v>
      </c>
      <c r="DA4328" t="s">
        <v>616</v>
      </c>
      <c r="DD4328">
        <v>16762217</v>
      </c>
      <c r="DE4328" t="s">
        <v>123</v>
      </c>
    </row>
    <row r="4329" spans="1:109" x14ac:dyDescent="0.3">
      <c r="A4329" t="str">
        <f>"19:48:10.055"</f>
        <v>19:48:10.055</v>
      </c>
      <c r="B4329" t="s">
        <v>110</v>
      </c>
      <c r="C4329" t="str">
        <f t="shared" si="204"/>
        <v>ffdfd3c0</v>
      </c>
      <c r="D4329" t="s">
        <v>111</v>
      </c>
      <c r="E4329">
        <v>18</v>
      </c>
      <c r="F4329">
        <v>1018</v>
      </c>
      <c r="G4329" t="s">
        <v>112</v>
      </c>
      <c r="J4329" t="s">
        <v>113</v>
      </c>
      <c r="K4329">
        <v>0</v>
      </c>
      <c r="L4329">
        <v>3</v>
      </c>
      <c r="M4329">
        <v>0</v>
      </c>
      <c r="N4329">
        <v>2</v>
      </c>
      <c r="O4329">
        <v>1</v>
      </c>
      <c r="P4329">
        <v>0</v>
      </c>
      <c r="Q4329">
        <v>0</v>
      </c>
      <c r="R4329" t="s">
        <v>114</v>
      </c>
      <c r="S4329" t="str">
        <f>"19:48:09.789"</f>
        <v>19:48:09.789</v>
      </c>
      <c r="T4329" t="str">
        <f>"19:48:09.492"</f>
        <v>19:48:09.492</v>
      </c>
      <c r="U4329" t="str">
        <f t="shared" si="202"/>
        <v>a1cdbe</v>
      </c>
      <c r="V4329">
        <v>0</v>
      </c>
      <c r="W4329">
        <v>0</v>
      </c>
      <c r="X4329">
        <v>2</v>
      </c>
      <c r="Y4329">
        <v>0</v>
      </c>
      <c r="Z4329">
        <v>0</v>
      </c>
      <c r="AB4329">
        <v>0</v>
      </c>
      <c r="AC4329">
        <v>9</v>
      </c>
      <c r="AD4329">
        <v>3</v>
      </c>
      <c r="AE4329">
        <v>0</v>
      </c>
      <c r="AF4329">
        <v>9</v>
      </c>
      <c r="AG4329" t="s">
        <v>115</v>
      </c>
      <c r="AH4329">
        <v>0</v>
      </c>
      <c r="AI4329">
        <v>0</v>
      </c>
      <c r="AJ4329">
        <v>1</v>
      </c>
      <c r="AK4329">
        <v>0</v>
      </c>
      <c r="AL4329" t="s">
        <v>7898</v>
      </c>
      <c r="AM4329">
        <v>47.056159999999998</v>
      </c>
      <c r="AN4329" t="s">
        <v>7775</v>
      </c>
      <c r="AO4329">
        <v>-123.991141</v>
      </c>
      <c r="AP4329">
        <v>100</v>
      </c>
      <c r="AQ4329">
        <v>-200</v>
      </c>
      <c r="AR4329" t="s">
        <v>118</v>
      </c>
      <c r="AS4329">
        <v>-12</v>
      </c>
      <c r="AT4329">
        <v>40</v>
      </c>
      <c r="AU4329">
        <v>-128</v>
      </c>
      <c r="BC4329">
        <v>1200</v>
      </c>
      <c r="BD4329">
        <v>1</v>
      </c>
      <c r="BE4329" t="str">
        <f t="shared" si="203"/>
        <v xml:space="preserve">N215T   </v>
      </c>
      <c r="BF4329">
        <v>1</v>
      </c>
      <c r="BH4329">
        <v>0</v>
      </c>
      <c r="BI4329">
        <v>0</v>
      </c>
      <c r="BJ4329">
        <v>0</v>
      </c>
      <c r="BK4329">
        <v>200</v>
      </c>
      <c r="BL4329">
        <v>400</v>
      </c>
      <c r="BM4329" t="s">
        <v>119</v>
      </c>
      <c r="BN4329">
        <v>1</v>
      </c>
      <c r="BO4329">
        <v>1</v>
      </c>
      <c r="BP4329">
        <v>1</v>
      </c>
      <c r="BQ4329">
        <v>0</v>
      </c>
      <c r="BT4329">
        <v>0</v>
      </c>
      <c r="BU4329">
        <v>0</v>
      </c>
      <c r="BV4329">
        <v>0</v>
      </c>
      <c r="CC4329" t="str">
        <f>"19:48:09.797"</f>
        <v>19:48:09.797</v>
      </c>
      <c r="CD4329" t="str">
        <f>"794610478"</f>
        <v>794610478</v>
      </c>
      <c r="CQ4329">
        <v>0</v>
      </c>
      <c r="CR4329">
        <v>2</v>
      </c>
      <c r="CS4329">
        <v>0</v>
      </c>
      <c r="CT4329">
        <v>2</v>
      </c>
      <c r="CU4329">
        <v>0</v>
      </c>
      <c r="CV4329">
        <v>5</v>
      </c>
      <c r="CW4329" t="s">
        <v>120</v>
      </c>
      <c r="CX4329">
        <v>257</v>
      </c>
      <c r="CY4329">
        <v>0</v>
      </c>
      <c r="CZ4329" t="s">
        <v>615</v>
      </c>
      <c r="DA4329" t="s">
        <v>616</v>
      </c>
      <c r="DD4329">
        <v>16762519</v>
      </c>
      <c r="DE4329" t="s">
        <v>123</v>
      </c>
    </row>
    <row r="4330" spans="1:109" x14ac:dyDescent="0.3">
      <c r="A4330" t="str">
        <f>"19:48:11.117"</f>
        <v>19:48:11.117</v>
      </c>
      <c r="B4330" t="s">
        <v>110</v>
      </c>
      <c r="C4330" t="str">
        <f t="shared" si="204"/>
        <v>ffdfd3c0</v>
      </c>
      <c r="D4330" t="s">
        <v>111</v>
      </c>
      <c r="E4330">
        <v>18</v>
      </c>
      <c r="F4330">
        <v>1018</v>
      </c>
      <c r="G4330" t="s">
        <v>112</v>
      </c>
      <c r="J4330" t="s">
        <v>113</v>
      </c>
      <c r="K4330">
        <v>0</v>
      </c>
      <c r="L4330">
        <v>3</v>
      </c>
      <c r="M4330">
        <v>0</v>
      </c>
      <c r="N4330">
        <v>2</v>
      </c>
      <c r="O4330">
        <v>1</v>
      </c>
      <c r="P4330">
        <v>0</v>
      </c>
      <c r="Q4330">
        <v>0</v>
      </c>
      <c r="R4330" t="s">
        <v>114</v>
      </c>
      <c r="S4330" t="str">
        <f>"19:48:10.867"</f>
        <v>19:48:10.867</v>
      </c>
      <c r="T4330" t="str">
        <f>"19:48:10.867"</f>
        <v>19:48:10.867</v>
      </c>
      <c r="U4330" t="str">
        <f t="shared" si="202"/>
        <v>a1cdbe</v>
      </c>
      <c r="V4330">
        <v>0</v>
      </c>
      <c r="W4330">
        <v>0</v>
      </c>
      <c r="X4330">
        <v>2</v>
      </c>
      <c r="Y4330">
        <v>0</v>
      </c>
      <c r="Z4330">
        <v>0</v>
      </c>
      <c r="AB4330">
        <v>0</v>
      </c>
      <c r="AC4330">
        <v>9</v>
      </c>
      <c r="AD4330">
        <v>3</v>
      </c>
      <c r="AE4330">
        <v>0</v>
      </c>
      <c r="AF4330">
        <v>9</v>
      </c>
      <c r="AG4330" t="s">
        <v>115</v>
      </c>
      <c r="AH4330">
        <v>0</v>
      </c>
      <c r="AI4330">
        <v>0</v>
      </c>
      <c r="AJ4330">
        <v>1</v>
      </c>
      <c r="AK4330">
        <v>0</v>
      </c>
      <c r="AL4330" t="s">
        <v>7899</v>
      </c>
      <c r="AM4330">
        <v>47.056375000000003</v>
      </c>
      <c r="AN4330" t="s">
        <v>7774</v>
      </c>
      <c r="AO4330">
        <v>-123.99122699999999</v>
      </c>
      <c r="AP4330">
        <v>100</v>
      </c>
      <c r="AQ4330">
        <v>-200</v>
      </c>
      <c r="AR4330" t="s">
        <v>118</v>
      </c>
      <c r="AS4330">
        <v>-12</v>
      </c>
      <c r="AT4330">
        <v>38</v>
      </c>
      <c r="AU4330">
        <v>-448</v>
      </c>
      <c r="BC4330">
        <v>1200</v>
      </c>
      <c r="BD4330">
        <v>1</v>
      </c>
      <c r="BE4330" t="str">
        <f t="shared" si="203"/>
        <v xml:space="preserve">N215T   </v>
      </c>
      <c r="BF4330">
        <v>1</v>
      </c>
      <c r="BH4330">
        <v>0</v>
      </c>
      <c r="BI4330">
        <v>0</v>
      </c>
      <c r="BJ4330">
        <v>0</v>
      </c>
      <c r="BK4330">
        <v>200</v>
      </c>
      <c r="BL4330">
        <v>400</v>
      </c>
      <c r="BM4330" t="s">
        <v>119</v>
      </c>
      <c r="BN4330">
        <v>1</v>
      </c>
      <c r="BO4330">
        <v>1</v>
      </c>
      <c r="BP4330">
        <v>1</v>
      </c>
      <c r="BQ4330">
        <v>0</v>
      </c>
      <c r="BT4330">
        <v>0</v>
      </c>
      <c r="BU4330">
        <v>0</v>
      </c>
      <c r="BV4330">
        <v>0</v>
      </c>
      <c r="CC4330" t="str">
        <f>"19:48:10.875"</f>
        <v>19:48:10.875</v>
      </c>
      <c r="CD4330" t="str">
        <f>"874504117"</f>
        <v>874504117</v>
      </c>
      <c r="CQ4330">
        <v>0</v>
      </c>
      <c r="CR4330">
        <v>2</v>
      </c>
      <c r="CS4330">
        <v>0</v>
      </c>
      <c r="CT4330">
        <v>2</v>
      </c>
      <c r="CU4330">
        <v>0</v>
      </c>
      <c r="CV4330">
        <v>4</v>
      </c>
      <c r="CW4330" t="s">
        <v>120</v>
      </c>
      <c r="CX4330">
        <v>257</v>
      </c>
      <c r="CY4330">
        <v>0</v>
      </c>
      <c r="CZ4330" t="s">
        <v>615</v>
      </c>
      <c r="DA4330" t="s">
        <v>616</v>
      </c>
      <c r="DD4330">
        <v>16762874</v>
      </c>
      <c r="DE4330" t="s">
        <v>123</v>
      </c>
    </row>
    <row r="4331" spans="1:109" x14ac:dyDescent="0.3">
      <c r="A4331" t="str">
        <f>"19:48:12.070"</f>
        <v>19:48:12.070</v>
      </c>
      <c r="B4331" t="s">
        <v>110</v>
      </c>
      <c r="C4331" t="str">
        <f t="shared" si="204"/>
        <v>ffdfd3c0</v>
      </c>
      <c r="D4331" t="s">
        <v>111</v>
      </c>
      <c r="E4331">
        <v>18</v>
      </c>
      <c r="F4331">
        <v>1018</v>
      </c>
      <c r="G4331" t="s">
        <v>112</v>
      </c>
      <c r="J4331" t="s">
        <v>113</v>
      </c>
      <c r="K4331">
        <v>0</v>
      </c>
      <c r="L4331">
        <v>3</v>
      </c>
      <c r="M4331">
        <v>0</v>
      </c>
      <c r="N4331">
        <v>2</v>
      </c>
      <c r="O4331">
        <v>1</v>
      </c>
      <c r="P4331">
        <v>0</v>
      </c>
      <c r="Q4331">
        <v>0</v>
      </c>
      <c r="R4331" t="s">
        <v>114</v>
      </c>
      <c r="S4331" t="str">
        <f>"19:48:11.828"</f>
        <v>19:48:11.828</v>
      </c>
      <c r="T4331" t="str">
        <f>"19:48:11.328"</f>
        <v>19:48:11.328</v>
      </c>
      <c r="U4331" t="str">
        <f t="shared" si="202"/>
        <v>a1cdbe</v>
      </c>
      <c r="V4331">
        <v>0</v>
      </c>
      <c r="W4331">
        <v>0</v>
      </c>
      <c r="X4331">
        <v>2</v>
      </c>
      <c r="Y4331">
        <v>0</v>
      </c>
      <c r="Z4331">
        <v>0</v>
      </c>
      <c r="AB4331">
        <v>0</v>
      </c>
      <c r="AC4331">
        <v>9</v>
      </c>
      <c r="AD4331">
        <v>3</v>
      </c>
      <c r="AE4331">
        <v>0</v>
      </c>
      <c r="AF4331">
        <v>9</v>
      </c>
      <c r="AG4331" t="s">
        <v>115</v>
      </c>
      <c r="AH4331">
        <v>0</v>
      </c>
      <c r="AI4331">
        <v>0</v>
      </c>
      <c r="AJ4331">
        <v>1</v>
      </c>
      <c r="AK4331">
        <v>0</v>
      </c>
      <c r="AL4331" t="s">
        <v>7759</v>
      </c>
      <c r="AM4331">
        <v>47.056545999999997</v>
      </c>
      <c r="AN4331" t="s">
        <v>7620</v>
      </c>
      <c r="AO4331">
        <v>-123.991356</v>
      </c>
      <c r="AP4331">
        <v>100</v>
      </c>
      <c r="AQ4331">
        <v>-200</v>
      </c>
      <c r="AR4331" t="s">
        <v>118</v>
      </c>
      <c r="AS4331">
        <v>-13</v>
      </c>
      <c r="AT4331">
        <v>38</v>
      </c>
      <c r="AU4331">
        <v>-512</v>
      </c>
      <c r="BC4331">
        <v>1200</v>
      </c>
      <c r="BD4331">
        <v>1</v>
      </c>
      <c r="BE4331" t="str">
        <f t="shared" si="203"/>
        <v xml:space="preserve">N215T   </v>
      </c>
      <c r="BF4331">
        <v>1</v>
      </c>
      <c r="BH4331">
        <v>0</v>
      </c>
      <c r="BI4331">
        <v>0</v>
      </c>
      <c r="BJ4331">
        <v>0</v>
      </c>
      <c r="BK4331">
        <v>200</v>
      </c>
      <c r="BL4331">
        <v>400</v>
      </c>
      <c r="BM4331" t="s">
        <v>119</v>
      </c>
      <c r="BN4331">
        <v>1</v>
      </c>
      <c r="BO4331">
        <v>1</v>
      </c>
      <c r="BP4331">
        <v>1</v>
      </c>
      <c r="BQ4331">
        <v>0</v>
      </c>
      <c r="BT4331">
        <v>0</v>
      </c>
      <c r="BU4331">
        <v>0</v>
      </c>
      <c r="BV4331">
        <v>0</v>
      </c>
      <c r="CC4331" t="str">
        <f>"19:48:11.836"</f>
        <v>19:48:11.836</v>
      </c>
      <c r="CD4331" t="str">
        <f>"834409569"</f>
        <v>834409569</v>
      </c>
      <c r="CQ4331">
        <v>0</v>
      </c>
      <c r="CR4331">
        <v>2</v>
      </c>
      <c r="CS4331">
        <v>0</v>
      </c>
      <c r="CT4331">
        <v>2</v>
      </c>
      <c r="CU4331">
        <v>0</v>
      </c>
      <c r="CV4331">
        <v>4</v>
      </c>
      <c r="CW4331" t="s">
        <v>120</v>
      </c>
      <c r="CX4331">
        <v>257</v>
      </c>
      <c r="CY4331">
        <v>0</v>
      </c>
      <c r="CZ4331" t="s">
        <v>615</v>
      </c>
      <c r="DA4331" t="s">
        <v>616</v>
      </c>
      <c r="DD4331">
        <v>16763195</v>
      </c>
      <c r="DE4331" t="s">
        <v>123</v>
      </c>
    </row>
    <row r="4332" spans="1:109" x14ac:dyDescent="0.3">
      <c r="A4332" t="str">
        <f>"19:48:13.023"</f>
        <v>19:48:13.023</v>
      </c>
      <c r="B4332" t="s">
        <v>110</v>
      </c>
      <c r="C4332" t="str">
        <f t="shared" si="204"/>
        <v>ffdfd3c0</v>
      </c>
      <c r="D4332" t="s">
        <v>111</v>
      </c>
      <c r="E4332">
        <v>18</v>
      </c>
      <c r="F4332">
        <v>1018</v>
      </c>
      <c r="G4332" t="s">
        <v>112</v>
      </c>
      <c r="J4332" t="s">
        <v>113</v>
      </c>
      <c r="K4332">
        <v>0</v>
      </c>
      <c r="L4332">
        <v>3</v>
      </c>
      <c r="M4332">
        <v>0</v>
      </c>
      <c r="N4332">
        <v>2</v>
      </c>
      <c r="O4332">
        <v>1</v>
      </c>
      <c r="P4332">
        <v>0</v>
      </c>
      <c r="Q4332">
        <v>0</v>
      </c>
      <c r="R4332" t="s">
        <v>114</v>
      </c>
      <c r="S4332" t="str">
        <f>"19:48:12.789"</f>
        <v>19:48:12.789</v>
      </c>
      <c r="T4332" t="str">
        <f>"19:48:11.289"</f>
        <v>19:48:11.289</v>
      </c>
      <c r="U4332" t="str">
        <f t="shared" si="202"/>
        <v>a1cdbe</v>
      </c>
      <c r="V4332">
        <v>0</v>
      </c>
      <c r="W4332">
        <v>0</v>
      </c>
      <c r="X4332">
        <v>2</v>
      </c>
      <c r="Y4332">
        <v>0</v>
      </c>
      <c r="Z4332">
        <v>0</v>
      </c>
      <c r="AB4332">
        <v>0</v>
      </c>
      <c r="AC4332">
        <v>9</v>
      </c>
      <c r="AD4332">
        <v>3</v>
      </c>
      <c r="AE4332">
        <v>0</v>
      </c>
      <c r="AF4332">
        <v>9</v>
      </c>
      <c r="AG4332" t="s">
        <v>115</v>
      </c>
      <c r="AH4332">
        <v>0</v>
      </c>
      <c r="AI4332">
        <v>0</v>
      </c>
      <c r="AJ4332">
        <v>1</v>
      </c>
      <c r="AK4332">
        <v>0</v>
      </c>
      <c r="AL4332" t="s">
        <v>527</v>
      </c>
      <c r="AM4332">
        <v>47.056696000000002</v>
      </c>
      <c r="AN4332" t="s">
        <v>7334</v>
      </c>
      <c r="AO4332">
        <v>-123.99142000000001</v>
      </c>
      <c r="AP4332">
        <v>100</v>
      </c>
      <c r="AQ4332">
        <v>-200</v>
      </c>
      <c r="AR4332" t="s">
        <v>118</v>
      </c>
      <c r="AS4332">
        <v>-13</v>
      </c>
      <c r="AT4332">
        <v>38</v>
      </c>
      <c r="AU4332">
        <v>-512</v>
      </c>
      <c r="BC4332">
        <v>1200</v>
      </c>
      <c r="BD4332">
        <v>1</v>
      </c>
      <c r="BE4332" t="str">
        <f t="shared" si="203"/>
        <v xml:space="preserve">N215T   </v>
      </c>
      <c r="BF4332">
        <v>1</v>
      </c>
      <c r="BH4332">
        <v>0</v>
      </c>
      <c r="BI4332">
        <v>0</v>
      </c>
      <c r="BJ4332">
        <v>0</v>
      </c>
      <c r="BK4332">
        <v>200</v>
      </c>
      <c r="BL4332">
        <v>400</v>
      </c>
      <c r="BM4332" t="s">
        <v>119</v>
      </c>
      <c r="BN4332">
        <v>1</v>
      </c>
      <c r="BO4332">
        <v>1</v>
      </c>
      <c r="BP4332">
        <v>1</v>
      </c>
      <c r="BQ4332">
        <v>0</v>
      </c>
      <c r="BT4332">
        <v>0</v>
      </c>
      <c r="BU4332">
        <v>0</v>
      </c>
      <c r="BV4332">
        <v>0</v>
      </c>
      <c r="CC4332" t="str">
        <f>"19:48:12.797"</f>
        <v>19:48:12.797</v>
      </c>
      <c r="CD4332" t="str">
        <f>"794315037"</f>
        <v>794315037</v>
      </c>
      <c r="CQ4332">
        <v>0</v>
      </c>
      <c r="CR4332">
        <v>2</v>
      </c>
      <c r="CS4332">
        <v>0</v>
      </c>
      <c r="CT4332">
        <v>2</v>
      </c>
      <c r="CU4332">
        <v>0</v>
      </c>
      <c r="CV4332">
        <v>3</v>
      </c>
      <c r="CW4332" t="s">
        <v>120</v>
      </c>
      <c r="CX4332">
        <v>257</v>
      </c>
      <c r="CY4332">
        <v>0</v>
      </c>
      <c r="CZ4332" t="s">
        <v>615</v>
      </c>
      <c r="DA4332" t="s">
        <v>616</v>
      </c>
      <c r="DD4332">
        <v>16763520</v>
      </c>
      <c r="DE4332" t="s">
        <v>123</v>
      </c>
    </row>
    <row r="4333" spans="1:109" x14ac:dyDescent="0.3">
      <c r="A4333" t="str">
        <f>"19:48:14.031"</f>
        <v>19:48:14.031</v>
      </c>
      <c r="B4333" t="s">
        <v>110</v>
      </c>
      <c r="C4333" t="str">
        <f t="shared" si="204"/>
        <v>ffdfd3c0</v>
      </c>
      <c r="D4333" t="s">
        <v>111</v>
      </c>
      <c r="E4333">
        <v>18</v>
      </c>
      <c r="F4333">
        <v>1018</v>
      </c>
      <c r="G4333" t="s">
        <v>112</v>
      </c>
      <c r="J4333" t="s">
        <v>113</v>
      </c>
      <c r="K4333">
        <v>0</v>
      </c>
      <c r="L4333">
        <v>3</v>
      </c>
      <c r="M4333">
        <v>0</v>
      </c>
      <c r="N4333">
        <v>2</v>
      </c>
      <c r="O4333">
        <v>1</v>
      </c>
      <c r="P4333">
        <v>0</v>
      </c>
      <c r="Q4333">
        <v>0</v>
      </c>
      <c r="R4333" t="s">
        <v>114</v>
      </c>
      <c r="S4333" t="str">
        <f>"19:48:13.766"</f>
        <v>19:48:13.766</v>
      </c>
      <c r="T4333" t="str">
        <f>"19:48:13.367"</f>
        <v>19:48:13.367</v>
      </c>
      <c r="U4333" t="str">
        <f t="shared" si="202"/>
        <v>a1cdbe</v>
      </c>
      <c r="V4333">
        <v>0</v>
      </c>
      <c r="W4333">
        <v>0</v>
      </c>
      <c r="X4333">
        <v>2</v>
      </c>
      <c r="Y4333">
        <v>0</v>
      </c>
      <c r="Z4333">
        <v>0</v>
      </c>
      <c r="AB4333">
        <v>0</v>
      </c>
      <c r="AC4333">
        <v>9</v>
      </c>
      <c r="AD4333">
        <v>3</v>
      </c>
      <c r="AE4333">
        <v>0</v>
      </c>
      <c r="AF4333">
        <v>9</v>
      </c>
      <c r="AG4333" t="s">
        <v>115</v>
      </c>
      <c r="AH4333">
        <v>0</v>
      </c>
      <c r="AI4333">
        <v>0</v>
      </c>
      <c r="AJ4333">
        <v>1</v>
      </c>
      <c r="AK4333">
        <v>0</v>
      </c>
      <c r="AL4333" t="s">
        <v>7900</v>
      </c>
      <c r="AM4333">
        <v>47.056868000000001</v>
      </c>
      <c r="AN4333" t="s">
        <v>7769</v>
      </c>
      <c r="AO4333">
        <v>-123.991485</v>
      </c>
      <c r="AP4333">
        <v>100</v>
      </c>
      <c r="AQ4333">
        <v>-200</v>
      </c>
      <c r="AR4333" t="s">
        <v>118</v>
      </c>
      <c r="AS4333">
        <v>-14</v>
      </c>
      <c r="AT4333">
        <v>37</v>
      </c>
      <c r="AU4333">
        <v>-640</v>
      </c>
      <c r="BC4333">
        <v>1200</v>
      </c>
      <c r="BD4333">
        <v>1</v>
      </c>
      <c r="BE4333" t="str">
        <f t="shared" si="203"/>
        <v xml:space="preserve">N215T   </v>
      </c>
      <c r="BF4333">
        <v>1</v>
      </c>
      <c r="BH4333">
        <v>0</v>
      </c>
      <c r="BI4333">
        <v>0</v>
      </c>
      <c r="BJ4333">
        <v>0</v>
      </c>
      <c r="BK4333">
        <v>175</v>
      </c>
      <c r="BL4333">
        <v>375</v>
      </c>
      <c r="BM4333" t="s">
        <v>119</v>
      </c>
      <c r="BN4333">
        <v>1</v>
      </c>
      <c r="BO4333">
        <v>1</v>
      </c>
      <c r="BP4333">
        <v>1</v>
      </c>
      <c r="BQ4333">
        <v>0</v>
      </c>
      <c r="BT4333">
        <v>0</v>
      </c>
      <c r="BU4333">
        <v>0</v>
      </c>
      <c r="BV4333">
        <v>0</v>
      </c>
      <c r="CC4333" t="str">
        <f>"19:48:13.766"</f>
        <v>19:48:13.766</v>
      </c>
      <c r="CD4333" t="str">
        <f>"769219029"</f>
        <v>769219029</v>
      </c>
      <c r="CQ4333">
        <v>0</v>
      </c>
      <c r="CR4333">
        <v>2</v>
      </c>
      <c r="CS4333">
        <v>0</v>
      </c>
      <c r="CT4333">
        <v>2</v>
      </c>
      <c r="CU4333">
        <v>0</v>
      </c>
      <c r="CV4333">
        <v>3</v>
      </c>
      <c r="CW4333" t="s">
        <v>120</v>
      </c>
      <c r="CX4333">
        <v>257</v>
      </c>
      <c r="CY4333">
        <v>0</v>
      </c>
      <c r="CZ4333" t="s">
        <v>615</v>
      </c>
      <c r="DA4333" t="s">
        <v>616</v>
      </c>
      <c r="DD4333">
        <v>16763838</v>
      </c>
      <c r="DE4333" t="s">
        <v>123</v>
      </c>
    </row>
    <row r="4334" spans="1:109" x14ac:dyDescent="0.3">
      <c r="A4334" t="str">
        <f>"19:48:15.133"</f>
        <v>19:48:15.133</v>
      </c>
      <c r="B4334" t="s">
        <v>110</v>
      </c>
      <c r="C4334" t="str">
        <f t="shared" si="204"/>
        <v>ffdfd3c0</v>
      </c>
      <c r="D4334" t="s">
        <v>111</v>
      </c>
      <c r="E4334">
        <v>18</v>
      </c>
      <c r="F4334">
        <v>1018</v>
      </c>
      <c r="G4334" t="s">
        <v>112</v>
      </c>
      <c r="J4334" t="s">
        <v>113</v>
      </c>
      <c r="K4334">
        <v>0</v>
      </c>
      <c r="L4334">
        <v>3</v>
      </c>
      <c r="M4334">
        <v>0</v>
      </c>
      <c r="N4334">
        <v>2</v>
      </c>
      <c r="O4334">
        <v>1</v>
      </c>
      <c r="P4334">
        <v>0</v>
      </c>
      <c r="Q4334">
        <v>0</v>
      </c>
      <c r="R4334" t="s">
        <v>114</v>
      </c>
      <c r="S4334" t="str">
        <f>"19:48:14.859"</f>
        <v>19:48:14.859</v>
      </c>
      <c r="T4334" t="str">
        <f>"19:48:14.359"</f>
        <v>19:48:14.359</v>
      </c>
      <c r="U4334" t="str">
        <f t="shared" si="202"/>
        <v>a1cdbe</v>
      </c>
      <c r="V4334">
        <v>0</v>
      </c>
      <c r="W4334">
        <v>0</v>
      </c>
      <c r="X4334">
        <v>2</v>
      </c>
      <c r="Y4334">
        <v>0</v>
      </c>
      <c r="Z4334">
        <v>0</v>
      </c>
      <c r="AB4334">
        <v>0</v>
      </c>
      <c r="AC4334">
        <v>9</v>
      </c>
      <c r="AD4334">
        <v>3</v>
      </c>
      <c r="AE4334">
        <v>0</v>
      </c>
      <c r="AF4334">
        <v>9</v>
      </c>
      <c r="AG4334" t="s">
        <v>115</v>
      </c>
      <c r="AH4334">
        <v>0</v>
      </c>
      <c r="AI4334">
        <v>0</v>
      </c>
      <c r="AJ4334">
        <v>1</v>
      </c>
      <c r="AK4334">
        <v>0</v>
      </c>
      <c r="AL4334" t="s">
        <v>525</v>
      </c>
      <c r="AM4334">
        <v>47.057060999999997</v>
      </c>
      <c r="AN4334" t="s">
        <v>7901</v>
      </c>
      <c r="AO4334">
        <v>-123.99157</v>
      </c>
      <c r="AP4334">
        <v>100</v>
      </c>
      <c r="AQ4334">
        <v>-200</v>
      </c>
      <c r="AR4334" t="s">
        <v>118</v>
      </c>
      <c r="AS4334">
        <v>-14</v>
      </c>
      <c r="AT4334">
        <v>38</v>
      </c>
      <c r="AU4334">
        <v>-512</v>
      </c>
      <c r="BC4334">
        <v>1200</v>
      </c>
      <c r="BD4334">
        <v>1</v>
      </c>
      <c r="BE4334" t="str">
        <f t="shared" si="203"/>
        <v xml:space="preserve">N215T   </v>
      </c>
      <c r="BF4334">
        <v>1</v>
      </c>
      <c r="BH4334">
        <v>0</v>
      </c>
      <c r="BI4334">
        <v>0</v>
      </c>
      <c r="BJ4334">
        <v>0</v>
      </c>
      <c r="BK4334">
        <v>150</v>
      </c>
      <c r="BL4334">
        <v>350</v>
      </c>
      <c r="BM4334" t="s">
        <v>119</v>
      </c>
      <c r="BN4334">
        <v>1</v>
      </c>
      <c r="BO4334">
        <v>1</v>
      </c>
      <c r="BP4334">
        <v>1</v>
      </c>
      <c r="BQ4334">
        <v>0</v>
      </c>
      <c r="BT4334">
        <v>0</v>
      </c>
      <c r="BU4334">
        <v>0</v>
      </c>
      <c r="BV4334">
        <v>0</v>
      </c>
      <c r="CC4334" t="str">
        <f>"19:48:14.867"</f>
        <v>19:48:14.867</v>
      </c>
      <c r="CD4334" t="str">
        <f>"864111191"</f>
        <v>864111191</v>
      </c>
      <c r="CQ4334">
        <v>0</v>
      </c>
      <c r="CR4334">
        <v>2</v>
      </c>
      <c r="CS4334">
        <v>0</v>
      </c>
      <c r="CT4334">
        <v>2</v>
      </c>
      <c r="CU4334">
        <v>0</v>
      </c>
      <c r="CV4334">
        <v>2</v>
      </c>
      <c r="CW4334" t="s">
        <v>120</v>
      </c>
      <c r="CX4334">
        <v>257</v>
      </c>
      <c r="CY4334">
        <v>0</v>
      </c>
      <c r="CZ4334" t="s">
        <v>615</v>
      </c>
      <c r="DA4334" t="s">
        <v>616</v>
      </c>
      <c r="DD4334">
        <v>16764194</v>
      </c>
      <c r="DE4334" t="s">
        <v>123</v>
      </c>
    </row>
    <row r="4335" spans="1:109" x14ac:dyDescent="0.3">
      <c r="A4335" t="str">
        <f>"19:48:18.500"</f>
        <v>19:48:18.500</v>
      </c>
      <c r="B4335" t="s">
        <v>110</v>
      </c>
      <c r="C4335" t="str">
        <f t="shared" si="204"/>
        <v>ffdfd3c0</v>
      </c>
      <c r="D4335" t="s">
        <v>111</v>
      </c>
      <c r="E4335">
        <v>18</v>
      </c>
      <c r="F4335">
        <v>1018</v>
      </c>
      <c r="G4335" t="s">
        <v>112</v>
      </c>
      <c r="J4335" t="s">
        <v>113</v>
      </c>
      <c r="K4335">
        <v>0</v>
      </c>
      <c r="L4335">
        <v>3</v>
      </c>
      <c r="M4335">
        <v>0</v>
      </c>
      <c r="N4335">
        <v>2</v>
      </c>
      <c r="O4335">
        <v>1</v>
      </c>
      <c r="P4335">
        <v>0</v>
      </c>
      <c r="Q4335">
        <v>0</v>
      </c>
      <c r="R4335" t="s">
        <v>114</v>
      </c>
      <c r="S4335" t="str">
        <f>"19:48:18.266"</f>
        <v>19:48:18.266</v>
      </c>
      <c r="T4335" t="str">
        <f>"19:48:17.367"</f>
        <v>19:48:17.367</v>
      </c>
      <c r="U4335" t="str">
        <f t="shared" si="202"/>
        <v>a1cdbe</v>
      </c>
      <c r="V4335">
        <v>0</v>
      </c>
      <c r="W4335">
        <v>0</v>
      </c>
      <c r="X4335">
        <v>2</v>
      </c>
      <c r="Y4335">
        <v>0</v>
      </c>
      <c r="Z4335">
        <v>0</v>
      </c>
      <c r="AB4335">
        <v>0</v>
      </c>
      <c r="AC4335">
        <v>9</v>
      </c>
      <c r="AD4335">
        <v>3</v>
      </c>
      <c r="AE4335">
        <v>0</v>
      </c>
      <c r="AF4335">
        <v>9</v>
      </c>
      <c r="AG4335" t="s">
        <v>115</v>
      </c>
      <c r="AH4335">
        <v>0</v>
      </c>
      <c r="AI4335">
        <v>0</v>
      </c>
      <c r="AJ4335">
        <v>1</v>
      </c>
      <c r="AK4335">
        <v>0</v>
      </c>
      <c r="AL4335" t="s">
        <v>7848</v>
      </c>
      <c r="AM4335">
        <v>47.057662000000001</v>
      </c>
      <c r="AN4335" t="s">
        <v>7825</v>
      </c>
      <c r="AO4335">
        <v>-123.99191399999999</v>
      </c>
      <c r="AP4335">
        <v>100</v>
      </c>
      <c r="AQ4335">
        <v>-300</v>
      </c>
      <c r="AR4335" t="s">
        <v>118</v>
      </c>
      <c r="AS4335">
        <v>-14</v>
      </c>
      <c r="AT4335">
        <v>39</v>
      </c>
      <c r="AU4335">
        <v>-256</v>
      </c>
      <c r="BC4335">
        <v>1200</v>
      </c>
      <c r="BD4335">
        <v>1</v>
      </c>
      <c r="BE4335" t="str">
        <f t="shared" si="203"/>
        <v xml:space="preserve">N215T   </v>
      </c>
      <c r="BF4335">
        <v>1</v>
      </c>
      <c r="BH4335">
        <v>0</v>
      </c>
      <c r="BI4335">
        <v>0</v>
      </c>
      <c r="BJ4335">
        <v>0</v>
      </c>
      <c r="BK4335">
        <v>250</v>
      </c>
      <c r="BL4335">
        <v>550</v>
      </c>
      <c r="BM4335" t="s">
        <v>119</v>
      </c>
      <c r="BN4335">
        <v>1</v>
      </c>
      <c r="BO4335">
        <v>1</v>
      </c>
      <c r="BP4335">
        <v>1</v>
      </c>
      <c r="BQ4335">
        <v>0</v>
      </c>
      <c r="BT4335">
        <v>0</v>
      </c>
      <c r="BU4335">
        <v>0</v>
      </c>
      <c r="BV4335">
        <v>0</v>
      </c>
      <c r="CC4335" t="str">
        <f>"19:48:18.266"</f>
        <v>19:48:18.266</v>
      </c>
      <c r="CD4335" t="str">
        <f>"268775871"</f>
        <v>268775871</v>
      </c>
      <c r="CQ4335">
        <v>0</v>
      </c>
      <c r="CR4335">
        <v>2</v>
      </c>
      <c r="CS4335">
        <v>0</v>
      </c>
      <c r="CT4335">
        <v>2</v>
      </c>
      <c r="CU4335">
        <v>0</v>
      </c>
      <c r="CV4335">
        <v>1</v>
      </c>
      <c r="CW4335" t="s">
        <v>120</v>
      </c>
      <c r="CX4335">
        <v>257</v>
      </c>
      <c r="CY4335">
        <v>0</v>
      </c>
      <c r="CZ4335" t="s">
        <v>615</v>
      </c>
      <c r="DA4335" t="s">
        <v>616</v>
      </c>
      <c r="DD4335">
        <v>16765268</v>
      </c>
      <c r="DE4335" t="s">
        <v>123</v>
      </c>
    </row>
    <row r="4336" spans="1:109" x14ac:dyDescent="0.3">
      <c r="A4336" t="str">
        <f>"19:48:19.406"</f>
        <v>19:48:19.406</v>
      </c>
      <c r="B4336" t="s">
        <v>110</v>
      </c>
      <c r="C4336" t="str">
        <f t="shared" si="204"/>
        <v>ffdfd3c0</v>
      </c>
      <c r="D4336" t="s">
        <v>111</v>
      </c>
      <c r="E4336">
        <v>18</v>
      </c>
      <c r="F4336">
        <v>1018</v>
      </c>
      <c r="G4336" t="s">
        <v>112</v>
      </c>
      <c r="J4336" t="s">
        <v>113</v>
      </c>
      <c r="K4336">
        <v>0</v>
      </c>
      <c r="L4336">
        <v>3</v>
      </c>
      <c r="M4336">
        <v>0</v>
      </c>
      <c r="N4336">
        <v>2</v>
      </c>
      <c r="O4336">
        <v>1</v>
      </c>
      <c r="P4336">
        <v>0</v>
      </c>
      <c r="Q4336">
        <v>0</v>
      </c>
      <c r="R4336" t="s">
        <v>114</v>
      </c>
      <c r="S4336" t="str">
        <f>"19:48:19.180"</f>
        <v>19:48:19.180</v>
      </c>
      <c r="T4336" t="str">
        <f>"19:48:18.883"</f>
        <v>19:48:18.883</v>
      </c>
      <c r="U4336" t="str">
        <f t="shared" si="202"/>
        <v>a1cdbe</v>
      </c>
      <c r="V4336">
        <v>0</v>
      </c>
      <c r="W4336">
        <v>0</v>
      </c>
      <c r="X4336">
        <v>2</v>
      </c>
      <c r="Y4336">
        <v>0</v>
      </c>
      <c r="Z4336">
        <v>0</v>
      </c>
      <c r="AB4336">
        <v>0</v>
      </c>
      <c r="AC4336">
        <v>9</v>
      </c>
      <c r="AD4336">
        <v>3</v>
      </c>
      <c r="AE4336">
        <v>0</v>
      </c>
      <c r="AF4336">
        <v>9</v>
      </c>
      <c r="AG4336" t="s">
        <v>115</v>
      </c>
      <c r="AH4336">
        <v>0</v>
      </c>
      <c r="AI4336">
        <v>0</v>
      </c>
      <c r="AJ4336">
        <v>1</v>
      </c>
      <c r="AK4336">
        <v>0</v>
      </c>
      <c r="AL4336" t="s">
        <v>7902</v>
      </c>
      <c r="AM4336">
        <v>47.057834</v>
      </c>
      <c r="AN4336" t="s">
        <v>7827</v>
      </c>
      <c r="AO4336">
        <v>-123.992043</v>
      </c>
      <c r="AP4336">
        <v>100</v>
      </c>
      <c r="AQ4336">
        <v>-300</v>
      </c>
      <c r="AR4336" t="s">
        <v>118</v>
      </c>
      <c r="AS4336">
        <v>-15</v>
      </c>
      <c r="AT4336">
        <v>39</v>
      </c>
      <c r="AU4336">
        <v>-320</v>
      </c>
      <c r="BC4336">
        <v>1200</v>
      </c>
      <c r="BD4336">
        <v>1</v>
      </c>
      <c r="BE4336" t="str">
        <f t="shared" si="203"/>
        <v xml:space="preserve">N215T   </v>
      </c>
      <c r="BF4336">
        <v>1</v>
      </c>
      <c r="BH4336">
        <v>0</v>
      </c>
      <c r="BI4336">
        <v>0</v>
      </c>
      <c r="BJ4336">
        <v>0</v>
      </c>
      <c r="BK4336">
        <v>150</v>
      </c>
      <c r="BL4336">
        <v>450</v>
      </c>
      <c r="BM4336" t="s">
        <v>119</v>
      </c>
      <c r="BN4336">
        <v>1</v>
      </c>
      <c r="BO4336">
        <v>1</v>
      </c>
      <c r="BP4336">
        <v>1</v>
      </c>
      <c r="BQ4336">
        <v>0</v>
      </c>
      <c r="BT4336">
        <v>0</v>
      </c>
      <c r="BU4336">
        <v>0</v>
      </c>
      <c r="BV4336">
        <v>0</v>
      </c>
      <c r="CC4336" t="str">
        <f>"19:48:19.188"</f>
        <v>19:48:19.188</v>
      </c>
      <c r="CD4336" t="str">
        <f>"183685813"</f>
        <v>183685813</v>
      </c>
      <c r="CQ4336">
        <v>0</v>
      </c>
      <c r="CR4336">
        <v>2</v>
      </c>
      <c r="CS4336">
        <v>0</v>
      </c>
      <c r="CT4336">
        <v>2</v>
      </c>
      <c r="CU4336">
        <v>0</v>
      </c>
      <c r="CV4336">
        <v>1</v>
      </c>
      <c r="CW4336" t="s">
        <v>120</v>
      </c>
      <c r="CX4336">
        <v>257</v>
      </c>
      <c r="CY4336">
        <v>0</v>
      </c>
      <c r="CZ4336" t="s">
        <v>615</v>
      </c>
      <c r="DA4336" t="s">
        <v>616</v>
      </c>
      <c r="DD4336">
        <v>16765560</v>
      </c>
      <c r="DE4336" t="s">
        <v>123</v>
      </c>
    </row>
    <row r="4337" spans="1:109" x14ac:dyDescent="0.3">
      <c r="A4337" t="str">
        <f>"19:48:20.414"</f>
        <v>19:48:20.414</v>
      </c>
      <c r="B4337" t="s">
        <v>110</v>
      </c>
      <c r="C4337" t="str">
        <f t="shared" si="204"/>
        <v>ffdfd3c0</v>
      </c>
      <c r="D4337" t="s">
        <v>111</v>
      </c>
      <c r="E4337">
        <v>18</v>
      </c>
      <c r="F4337">
        <v>1018</v>
      </c>
      <c r="G4337" t="s">
        <v>112</v>
      </c>
      <c r="J4337" t="s">
        <v>113</v>
      </c>
      <c r="K4337">
        <v>0</v>
      </c>
      <c r="L4337">
        <v>3</v>
      </c>
      <c r="M4337">
        <v>0</v>
      </c>
      <c r="N4337">
        <v>2</v>
      </c>
      <c r="O4337">
        <v>1</v>
      </c>
      <c r="P4337">
        <v>0</v>
      </c>
      <c r="Q4337">
        <v>0</v>
      </c>
      <c r="R4337" t="s">
        <v>114</v>
      </c>
      <c r="S4337" t="str">
        <f>"19:48:20.156"</f>
        <v>19:48:20.156</v>
      </c>
      <c r="T4337" t="str">
        <f>"19:48:19.758"</f>
        <v>19:48:19.758</v>
      </c>
      <c r="U4337" t="str">
        <f t="shared" si="202"/>
        <v>a1cdbe</v>
      </c>
      <c r="V4337">
        <v>0</v>
      </c>
      <c r="W4337">
        <v>0</v>
      </c>
      <c r="X4337">
        <v>2</v>
      </c>
      <c r="Y4337">
        <v>0</v>
      </c>
      <c r="Z4337">
        <v>0</v>
      </c>
      <c r="AB4337">
        <v>0</v>
      </c>
      <c r="AC4337">
        <v>9</v>
      </c>
      <c r="AD4337">
        <v>3</v>
      </c>
      <c r="AE4337">
        <v>0</v>
      </c>
      <c r="AF4337">
        <v>9</v>
      </c>
      <c r="AG4337" t="s">
        <v>115</v>
      </c>
      <c r="AH4337">
        <v>0</v>
      </c>
      <c r="AI4337">
        <v>0</v>
      </c>
      <c r="AJ4337">
        <v>1</v>
      </c>
      <c r="AK4337">
        <v>0</v>
      </c>
      <c r="AL4337" t="s">
        <v>7903</v>
      </c>
      <c r="AM4337">
        <v>47.058027000000003</v>
      </c>
      <c r="AN4337" t="s">
        <v>7904</v>
      </c>
      <c r="AO4337">
        <v>-123.99212799999999</v>
      </c>
      <c r="AP4337">
        <v>100</v>
      </c>
      <c r="AQ4337">
        <v>-300</v>
      </c>
      <c r="AR4337" t="s">
        <v>118</v>
      </c>
      <c r="AS4337">
        <v>-15</v>
      </c>
      <c r="AT4337">
        <v>39</v>
      </c>
      <c r="AU4337">
        <v>-320</v>
      </c>
      <c r="BC4337">
        <v>1200</v>
      </c>
      <c r="BD4337">
        <v>1</v>
      </c>
      <c r="BE4337" t="str">
        <f t="shared" si="203"/>
        <v xml:space="preserve">N215T   </v>
      </c>
      <c r="BF4337">
        <v>1</v>
      </c>
      <c r="BH4337">
        <v>0</v>
      </c>
      <c r="BI4337">
        <v>0</v>
      </c>
      <c r="BJ4337">
        <v>0</v>
      </c>
      <c r="BK4337">
        <v>125</v>
      </c>
      <c r="BL4337">
        <v>425</v>
      </c>
      <c r="BM4337" t="s">
        <v>119</v>
      </c>
      <c r="BN4337">
        <v>1</v>
      </c>
      <c r="BO4337">
        <v>1</v>
      </c>
      <c r="BP4337">
        <v>1</v>
      </c>
      <c r="BQ4337">
        <v>0</v>
      </c>
      <c r="BT4337">
        <v>0</v>
      </c>
      <c r="BU4337">
        <v>0</v>
      </c>
      <c r="BV4337">
        <v>0</v>
      </c>
      <c r="CC4337" t="str">
        <f>"19:48:20.156"</f>
        <v>19:48:20.156</v>
      </c>
      <c r="CD4337" t="str">
        <f>"158589721"</f>
        <v>158589721</v>
      </c>
      <c r="CQ4337">
        <v>0</v>
      </c>
      <c r="CR4337">
        <v>2</v>
      </c>
      <c r="CS4337">
        <v>0</v>
      </c>
      <c r="CT4337">
        <v>2</v>
      </c>
      <c r="CU4337">
        <v>0</v>
      </c>
      <c r="CV4337">
        <v>1</v>
      </c>
      <c r="CW4337" t="s">
        <v>120</v>
      </c>
      <c r="CX4337">
        <v>257</v>
      </c>
      <c r="CY4337">
        <v>0</v>
      </c>
      <c r="CZ4337" t="s">
        <v>615</v>
      </c>
      <c r="DA4337" t="s">
        <v>616</v>
      </c>
      <c r="DD4337">
        <v>16765871</v>
      </c>
      <c r="DE4337" t="s">
        <v>123</v>
      </c>
    </row>
    <row r="4338" spans="1:109" x14ac:dyDescent="0.3">
      <c r="A4338" t="str">
        <f>"19:48:22.977"</f>
        <v>19:48:22.977</v>
      </c>
      <c r="B4338" t="s">
        <v>110</v>
      </c>
      <c r="C4338" t="str">
        <f t="shared" si="204"/>
        <v>ffdfd3c0</v>
      </c>
      <c r="D4338" t="s">
        <v>111</v>
      </c>
      <c r="E4338">
        <v>18</v>
      </c>
      <c r="F4338">
        <v>1018</v>
      </c>
      <c r="G4338" t="s">
        <v>112</v>
      </c>
      <c r="J4338" t="s">
        <v>113</v>
      </c>
      <c r="K4338">
        <v>0</v>
      </c>
      <c r="L4338">
        <v>3</v>
      </c>
      <c r="M4338">
        <v>0</v>
      </c>
      <c r="N4338">
        <v>2</v>
      </c>
      <c r="O4338">
        <v>1</v>
      </c>
      <c r="P4338">
        <v>0</v>
      </c>
      <c r="Q4338">
        <v>0</v>
      </c>
      <c r="R4338" t="s">
        <v>114</v>
      </c>
      <c r="S4338" t="str">
        <f>"19:48:22.766"</f>
        <v>19:48:22.766</v>
      </c>
      <c r="T4338" t="str">
        <f>"19:48:19.766"</f>
        <v>19:48:19.766</v>
      </c>
      <c r="U4338" t="str">
        <f t="shared" si="202"/>
        <v>a1cdbe</v>
      </c>
      <c r="V4338">
        <v>0</v>
      </c>
      <c r="W4338">
        <v>0</v>
      </c>
      <c r="X4338">
        <v>2</v>
      </c>
      <c r="Y4338">
        <v>0</v>
      </c>
      <c r="Z4338">
        <v>0</v>
      </c>
      <c r="AB4338">
        <v>0</v>
      </c>
      <c r="AC4338">
        <v>9</v>
      </c>
      <c r="AD4338">
        <v>3</v>
      </c>
      <c r="AE4338">
        <v>0</v>
      </c>
      <c r="AF4338">
        <v>9</v>
      </c>
      <c r="AG4338" t="s">
        <v>115</v>
      </c>
      <c r="AH4338">
        <v>0</v>
      </c>
      <c r="AI4338">
        <v>0</v>
      </c>
      <c r="AJ4338">
        <v>1</v>
      </c>
      <c r="AK4338">
        <v>0</v>
      </c>
      <c r="AL4338" t="s">
        <v>7844</v>
      </c>
      <c r="AM4338">
        <v>47.058477000000003</v>
      </c>
      <c r="AN4338" t="s">
        <v>7758</v>
      </c>
      <c r="AO4338">
        <v>-123.992386</v>
      </c>
      <c r="AP4338">
        <v>100</v>
      </c>
      <c r="AQ4338">
        <v>-300</v>
      </c>
      <c r="AR4338" t="s">
        <v>118</v>
      </c>
      <c r="AS4338">
        <v>-15</v>
      </c>
      <c r="AT4338">
        <v>39</v>
      </c>
      <c r="AU4338">
        <v>-320</v>
      </c>
      <c r="BC4338">
        <v>1200</v>
      </c>
      <c r="BD4338">
        <v>1</v>
      </c>
      <c r="BE4338" t="str">
        <f t="shared" si="203"/>
        <v xml:space="preserve">N215T   </v>
      </c>
      <c r="BF4338">
        <v>1</v>
      </c>
      <c r="BH4338">
        <v>0</v>
      </c>
      <c r="BI4338">
        <v>0</v>
      </c>
      <c r="BJ4338">
        <v>0</v>
      </c>
      <c r="BK4338">
        <v>125</v>
      </c>
      <c r="BL4338">
        <v>425</v>
      </c>
      <c r="BM4338" t="s">
        <v>119</v>
      </c>
      <c r="BN4338">
        <v>1</v>
      </c>
      <c r="BO4338">
        <v>1</v>
      </c>
      <c r="BP4338">
        <v>1</v>
      </c>
      <c r="BQ4338">
        <v>0</v>
      </c>
      <c r="BT4338">
        <v>0</v>
      </c>
      <c r="BU4338">
        <v>0</v>
      </c>
      <c r="BV4338">
        <v>0</v>
      </c>
      <c r="CC4338" t="str">
        <f>"19:48:22.766"</f>
        <v>19:48:22.766</v>
      </c>
      <c r="CD4338" t="str">
        <f>"768332749"</f>
        <v>768332749</v>
      </c>
      <c r="CQ4338">
        <v>0</v>
      </c>
      <c r="CR4338">
        <v>2</v>
      </c>
      <c r="CS4338">
        <v>0</v>
      </c>
      <c r="CT4338">
        <v>2</v>
      </c>
      <c r="CU4338">
        <v>0</v>
      </c>
      <c r="CV4338">
        <v>1</v>
      </c>
      <c r="CW4338" t="s">
        <v>120</v>
      </c>
      <c r="CX4338">
        <v>257</v>
      </c>
      <c r="CY4338">
        <v>0</v>
      </c>
      <c r="CZ4338" t="s">
        <v>615</v>
      </c>
      <c r="DA4338" t="s">
        <v>616</v>
      </c>
      <c r="DD4338">
        <v>16766688</v>
      </c>
      <c r="DE4338" t="s">
        <v>123</v>
      </c>
    </row>
    <row r="4339" spans="1:109" x14ac:dyDescent="0.3">
      <c r="A4339" t="str">
        <f>"19:48:26.492"</f>
        <v>19:48:26.492</v>
      </c>
      <c r="B4339" t="s">
        <v>110</v>
      </c>
      <c r="C4339" t="str">
        <f t="shared" si="204"/>
        <v>ffdfd3c0</v>
      </c>
      <c r="D4339" t="s">
        <v>111</v>
      </c>
      <c r="E4339">
        <v>18</v>
      </c>
      <c r="F4339">
        <v>1018</v>
      </c>
      <c r="G4339" t="s">
        <v>112</v>
      </c>
      <c r="J4339" t="s">
        <v>113</v>
      </c>
      <c r="K4339">
        <v>0</v>
      </c>
      <c r="L4339">
        <v>3</v>
      </c>
      <c r="M4339">
        <v>0</v>
      </c>
      <c r="N4339">
        <v>2</v>
      </c>
      <c r="O4339">
        <v>1</v>
      </c>
      <c r="P4339">
        <v>0</v>
      </c>
      <c r="Q4339">
        <v>0</v>
      </c>
      <c r="R4339" t="s">
        <v>114</v>
      </c>
      <c r="S4339" t="str">
        <f>"19:48:26.258"</f>
        <v>19:48:26.258</v>
      </c>
      <c r="T4339" t="str">
        <f>"19:48:19.758"</f>
        <v>19:48:19.758</v>
      </c>
      <c r="U4339" t="str">
        <f t="shared" si="202"/>
        <v>a1cdbe</v>
      </c>
      <c r="V4339">
        <v>0</v>
      </c>
      <c r="W4339">
        <v>0</v>
      </c>
      <c r="X4339">
        <v>2</v>
      </c>
      <c r="Y4339">
        <v>0</v>
      </c>
      <c r="Z4339">
        <v>0</v>
      </c>
      <c r="AB4339">
        <v>0</v>
      </c>
      <c r="AC4339">
        <v>9</v>
      </c>
      <c r="AD4339">
        <v>3</v>
      </c>
      <c r="AE4339">
        <v>0</v>
      </c>
      <c r="AF4339">
        <v>9</v>
      </c>
      <c r="AG4339" t="s">
        <v>115</v>
      </c>
      <c r="AH4339">
        <v>0</v>
      </c>
      <c r="AI4339">
        <v>0</v>
      </c>
      <c r="AJ4339">
        <v>1</v>
      </c>
      <c r="AK4339">
        <v>0</v>
      </c>
      <c r="AL4339" t="s">
        <v>7361</v>
      </c>
      <c r="AM4339">
        <v>47.059100000000001</v>
      </c>
      <c r="AN4339" t="s">
        <v>7905</v>
      </c>
      <c r="AO4339">
        <v>-123.99268600000001</v>
      </c>
      <c r="AP4339">
        <v>100</v>
      </c>
      <c r="AQ4339">
        <v>-300</v>
      </c>
      <c r="AR4339" t="s">
        <v>118</v>
      </c>
      <c r="AS4339">
        <v>-15</v>
      </c>
      <c r="AT4339">
        <v>39</v>
      </c>
      <c r="AU4339">
        <v>-320</v>
      </c>
      <c r="BC4339">
        <v>1200</v>
      </c>
      <c r="BD4339">
        <v>1</v>
      </c>
      <c r="BE4339" t="str">
        <f t="shared" si="203"/>
        <v xml:space="preserve">N215T   </v>
      </c>
      <c r="BF4339">
        <v>1</v>
      </c>
      <c r="BH4339">
        <v>0</v>
      </c>
      <c r="BI4339">
        <v>0</v>
      </c>
      <c r="BJ4339">
        <v>0</v>
      </c>
      <c r="BK4339">
        <v>125</v>
      </c>
      <c r="BL4339">
        <v>425</v>
      </c>
      <c r="BM4339" t="s">
        <v>119</v>
      </c>
      <c r="BN4339">
        <v>1</v>
      </c>
      <c r="BO4339">
        <v>1</v>
      </c>
      <c r="BP4339">
        <v>1</v>
      </c>
      <c r="BQ4339">
        <v>0</v>
      </c>
      <c r="BT4339">
        <v>0</v>
      </c>
      <c r="BU4339">
        <v>0</v>
      </c>
      <c r="BV4339">
        <v>0</v>
      </c>
      <c r="CC4339" t="str">
        <f>"19:48:26.266"</f>
        <v>19:48:26.266</v>
      </c>
      <c r="CD4339" t="str">
        <f>"262988594"</f>
        <v>262988594</v>
      </c>
      <c r="CQ4339">
        <v>0</v>
      </c>
      <c r="CR4339">
        <v>2</v>
      </c>
      <c r="CS4339">
        <v>0</v>
      </c>
      <c r="CT4339">
        <v>2</v>
      </c>
      <c r="CU4339">
        <v>0</v>
      </c>
      <c r="CV4339">
        <v>1</v>
      </c>
      <c r="CW4339" t="s">
        <v>120</v>
      </c>
      <c r="CX4339">
        <v>257</v>
      </c>
      <c r="CY4339">
        <v>0</v>
      </c>
      <c r="CZ4339" t="s">
        <v>615</v>
      </c>
      <c r="DA4339" t="s">
        <v>616</v>
      </c>
      <c r="DD4339">
        <v>16767801</v>
      </c>
      <c r="DE4339" t="s">
        <v>123</v>
      </c>
    </row>
    <row r="4340" spans="1:109" x14ac:dyDescent="0.3">
      <c r="A4340" t="str">
        <f>"19:49:00.930"</f>
        <v>19:49:00.930</v>
      </c>
      <c r="B4340" t="s">
        <v>110</v>
      </c>
      <c r="C4340" t="str">
        <f>"ffdf93c0"</f>
        <v>ffdf93c0</v>
      </c>
      <c r="D4340" t="s">
        <v>111</v>
      </c>
      <c r="E4340">
        <v>18</v>
      </c>
      <c r="F4340">
        <v>1018</v>
      </c>
      <c r="G4340" t="s">
        <v>112</v>
      </c>
      <c r="J4340" t="s">
        <v>113</v>
      </c>
      <c r="K4340">
        <v>0</v>
      </c>
      <c r="L4340">
        <v>3</v>
      </c>
      <c r="M4340">
        <v>0</v>
      </c>
      <c r="N4340">
        <v>2</v>
      </c>
      <c r="O4340">
        <v>1</v>
      </c>
      <c r="P4340">
        <v>0</v>
      </c>
      <c r="Q4340">
        <v>0</v>
      </c>
      <c r="R4340" t="s">
        <v>114</v>
      </c>
      <c r="S4340" t="str">
        <f>"19:49:00.680"</f>
        <v>19:49:00.680</v>
      </c>
      <c r="T4340" t="str">
        <f>"19:49:00.578"</f>
        <v>19:49:00.578</v>
      </c>
      <c r="U4340" t="str">
        <f t="shared" si="202"/>
        <v>a1cdbe</v>
      </c>
      <c r="V4340">
        <v>0</v>
      </c>
      <c r="W4340">
        <v>0</v>
      </c>
      <c r="X4340">
        <v>2</v>
      </c>
      <c r="Y4340">
        <v>0</v>
      </c>
      <c r="Z4340">
        <v>0</v>
      </c>
      <c r="AB4340">
        <v>0</v>
      </c>
      <c r="AC4340">
        <v>0</v>
      </c>
      <c r="AD4340">
        <v>0</v>
      </c>
      <c r="AE4340">
        <v>0</v>
      </c>
      <c r="AG4340" t="s">
        <v>115</v>
      </c>
      <c r="AH4340">
        <v>0</v>
      </c>
      <c r="AI4340">
        <v>0</v>
      </c>
      <c r="AJ4340">
        <v>1</v>
      </c>
      <c r="AK4340">
        <v>0</v>
      </c>
      <c r="AL4340" t="s">
        <v>7583</v>
      </c>
      <c r="AM4340">
        <v>47.063004999999997</v>
      </c>
      <c r="AN4340" t="s">
        <v>7906</v>
      </c>
      <c r="AO4340">
        <v>-123.99888799999999</v>
      </c>
      <c r="AP4340">
        <v>100</v>
      </c>
      <c r="AQ4340">
        <v>-200</v>
      </c>
      <c r="AR4340" t="s">
        <v>118</v>
      </c>
      <c r="AS4340">
        <v>-55</v>
      </c>
      <c r="AT4340">
        <v>2</v>
      </c>
      <c r="AU4340">
        <v>384</v>
      </c>
      <c r="BC4340">
        <v>1200</v>
      </c>
      <c r="BD4340">
        <v>1</v>
      </c>
      <c r="BE4340" t="str">
        <f t="shared" si="203"/>
        <v xml:space="preserve">N215T   </v>
      </c>
      <c r="BF4340">
        <v>1</v>
      </c>
      <c r="BH4340">
        <v>0</v>
      </c>
      <c r="BI4340">
        <v>0</v>
      </c>
      <c r="BJ4340">
        <v>0</v>
      </c>
      <c r="BK4340">
        <v>200</v>
      </c>
      <c r="BL4340">
        <v>400</v>
      </c>
      <c r="CC4340" t="str">
        <f>"19:49:00.688"</f>
        <v>19:49:00.688</v>
      </c>
      <c r="CD4340" t="str">
        <f>"684597898"</f>
        <v>684597898</v>
      </c>
      <c r="CQ4340">
        <v>0</v>
      </c>
      <c r="CR4340">
        <v>0</v>
      </c>
      <c r="CS4340">
        <v>0</v>
      </c>
      <c r="CT4340">
        <v>0</v>
      </c>
      <c r="CU4340">
        <v>0</v>
      </c>
      <c r="CV4340">
        <v>3</v>
      </c>
      <c r="CW4340" t="s">
        <v>120</v>
      </c>
      <c r="CX4340">
        <v>257</v>
      </c>
      <c r="CY4340">
        <v>0</v>
      </c>
      <c r="CZ4340" t="s">
        <v>615</v>
      </c>
      <c r="DA4340" t="s">
        <v>616</v>
      </c>
      <c r="DD4340">
        <v>1189</v>
      </c>
      <c r="DE4340" t="s">
        <v>123</v>
      </c>
    </row>
    <row r="4341" spans="1:109" x14ac:dyDescent="0.3">
      <c r="A4341" t="str">
        <f>"19:49:01.883"</f>
        <v>19:49:01.883</v>
      </c>
      <c r="B4341" t="s">
        <v>110</v>
      </c>
      <c r="C4341" t="str">
        <f t="shared" ref="C4341:C4372" si="205">"ffdfd3c0"</f>
        <v>ffdfd3c0</v>
      </c>
      <c r="D4341" t="s">
        <v>111</v>
      </c>
      <c r="E4341">
        <v>18</v>
      </c>
      <c r="F4341">
        <v>1018</v>
      </c>
      <c r="G4341" t="s">
        <v>112</v>
      </c>
      <c r="J4341" t="s">
        <v>113</v>
      </c>
      <c r="K4341">
        <v>0</v>
      </c>
      <c r="L4341">
        <v>3</v>
      </c>
      <c r="M4341">
        <v>0</v>
      </c>
      <c r="N4341">
        <v>2</v>
      </c>
      <c r="O4341">
        <v>1</v>
      </c>
      <c r="P4341">
        <v>0</v>
      </c>
      <c r="Q4341">
        <v>0</v>
      </c>
      <c r="R4341" t="s">
        <v>114</v>
      </c>
      <c r="S4341" t="str">
        <f>"19:49:01.641"</f>
        <v>19:49:01.641</v>
      </c>
      <c r="T4341" t="str">
        <f>"19:49:01.141"</f>
        <v>19:49:01.141</v>
      </c>
      <c r="U4341" t="str">
        <f t="shared" si="202"/>
        <v>a1cdbe</v>
      </c>
      <c r="V4341">
        <v>0</v>
      </c>
      <c r="W4341">
        <v>0</v>
      </c>
      <c r="X4341">
        <v>2</v>
      </c>
      <c r="Y4341">
        <v>0</v>
      </c>
      <c r="Z4341">
        <v>0</v>
      </c>
      <c r="AB4341">
        <v>0</v>
      </c>
      <c r="AC4341">
        <v>9</v>
      </c>
      <c r="AD4341">
        <v>3</v>
      </c>
      <c r="AE4341">
        <v>0</v>
      </c>
      <c r="AF4341">
        <v>9</v>
      </c>
      <c r="AG4341" t="s">
        <v>115</v>
      </c>
      <c r="AH4341">
        <v>0</v>
      </c>
      <c r="AI4341">
        <v>0</v>
      </c>
      <c r="AJ4341">
        <v>1</v>
      </c>
      <c r="AK4341">
        <v>0</v>
      </c>
      <c r="AL4341" t="s">
        <v>7583</v>
      </c>
      <c r="AM4341">
        <v>47.063004999999997</v>
      </c>
      <c r="AN4341" t="s">
        <v>7907</v>
      </c>
      <c r="AO4341">
        <v>-123.999252</v>
      </c>
      <c r="AP4341">
        <v>100</v>
      </c>
      <c r="AQ4341">
        <v>-200</v>
      </c>
      <c r="AR4341" t="s">
        <v>118</v>
      </c>
      <c r="AS4341">
        <v>-56</v>
      </c>
      <c r="AT4341">
        <v>1</v>
      </c>
      <c r="AU4341">
        <v>576</v>
      </c>
      <c r="BC4341">
        <v>1200</v>
      </c>
      <c r="BD4341">
        <v>1</v>
      </c>
      <c r="BE4341" t="str">
        <f t="shared" si="203"/>
        <v xml:space="preserve">N215T   </v>
      </c>
      <c r="BF4341">
        <v>1</v>
      </c>
      <c r="BH4341">
        <v>0</v>
      </c>
      <c r="BI4341">
        <v>0</v>
      </c>
      <c r="BJ4341">
        <v>0</v>
      </c>
      <c r="BK4341">
        <v>200</v>
      </c>
      <c r="BL4341">
        <v>400</v>
      </c>
      <c r="BM4341" t="s">
        <v>119</v>
      </c>
      <c r="BN4341">
        <v>1</v>
      </c>
      <c r="BO4341">
        <v>1</v>
      </c>
      <c r="BP4341">
        <v>1</v>
      </c>
      <c r="BQ4341">
        <v>0</v>
      </c>
      <c r="BT4341">
        <v>0</v>
      </c>
      <c r="BU4341">
        <v>0</v>
      </c>
      <c r="BV4341">
        <v>0</v>
      </c>
      <c r="CC4341" t="str">
        <f>"19:49:01.641"</f>
        <v>19:49:01.641</v>
      </c>
      <c r="CD4341" t="str">
        <f>"644503332"</f>
        <v>644503332</v>
      </c>
      <c r="CQ4341">
        <v>0</v>
      </c>
      <c r="CR4341">
        <v>2</v>
      </c>
      <c r="CS4341">
        <v>0</v>
      </c>
      <c r="CT4341">
        <v>2</v>
      </c>
      <c r="CU4341">
        <v>0</v>
      </c>
      <c r="CV4341">
        <v>4</v>
      </c>
      <c r="CW4341" t="s">
        <v>120</v>
      </c>
      <c r="CX4341">
        <v>257</v>
      </c>
      <c r="CY4341">
        <v>0</v>
      </c>
      <c r="CZ4341" t="s">
        <v>615</v>
      </c>
      <c r="DA4341" t="s">
        <v>616</v>
      </c>
      <c r="DD4341">
        <v>1513</v>
      </c>
      <c r="DE4341" t="s">
        <v>123</v>
      </c>
    </row>
    <row r="4342" spans="1:109" x14ac:dyDescent="0.3">
      <c r="A4342" t="str">
        <f>"19:49:02.938"</f>
        <v>19:49:02.938</v>
      </c>
      <c r="B4342" t="s">
        <v>110</v>
      </c>
      <c r="C4342" t="str">
        <f t="shared" si="205"/>
        <v>ffdfd3c0</v>
      </c>
      <c r="D4342" t="s">
        <v>111</v>
      </c>
      <c r="E4342">
        <v>18</v>
      </c>
      <c r="F4342">
        <v>1018</v>
      </c>
      <c r="G4342" t="s">
        <v>112</v>
      </c>
      <c r="J4342" t="s">
        <v>113</v>
      </c>
      <c r="K4342">
        <v>0</v>
      </c>
      <c r="L4342">
        <v>3</v>
      </c>
      <c r="M4342">
        <v>0</v>
      </c>
      <c r="N4342">
        <v>2</v>
      </c>
      <c r="O4342">
        <v>1</v>
      </c>
      <c r="P4342">
        <v>0</v>
      </c>
      <c r="Q4342">
        <v>0</v>
      </c>
      <c r="R4342" t="s">
        <v>114</v>
      </c>
      <c r="S4342" t="str">
        <f>"19:49:02.672"</f>
        <v>19:49:02.672</v>
      </c>
      <c r="T4342" t="str">
        <f>"19:49:02.672"</f>
        <v>19:49:02.672</v>
      </c>
      <c r="U4342" t="str">
        <f t="shared" si="202"/>
        <v>a1cdbe</v>
      </c>
      <c r="V4342">
        <v>0</v>
      </c>
      <c r="W4342">
        <v>0</v>
      </c>
      <c r="X4342">
        <v>2</v>
      </c>
      <c r="Y4342">
        <v>0</v>
      </c>
      <c r="Z4342">
        <v>0</v>
      </c>
      <c r="AB4342">
        <v>0</v>
      </c>
      <c r="AC4342">
        <v>9</v>
      </c>
      <c r="AD4342">
        <v>3</v>
      </c>
      <c r="AE4342">
        <v>0</v>
      </c>
      <c r="AF4342">
        <v>9</v>
      </c>
      <c r="AG4342" t="s">
        <v>115</v>
      </c>
      <c r="AH4342">
        <v>0</v>
      </c>
      <c r="AI4342">
        <v>0</v>
      </c>
      <c r="AJ4342">
        <v>1</v>
      </c>
      <c r="AK4342">
        <v>0</v>
      </c>
      <c r="AL4342" t="s">
        <v>7583</v>
      </c>
      <c r="AM4342">
        <v>47.063004999999997</v>
      </c>
      <c r="AN4342" t="s">
        <v>7694</v>
      </c>
      <c r="AO4342">
        <v>-123.99966000000001</v>
      </c>
      <c r="AP4342">
        <v>100</v>
      </c>
      <c r="AQ4342">
        <v>-200</v>
      </c>
      <c r="AR4342" t="s">
        <v>118</v>
      </c>
      <c r="AS4342">
        <v>-58</v>
      </c>
      <c r="AT4342">
        <v>-2</v>
      </c>
      <c r="AU4342">
        <v>320</v>
      </c>
      <c r="BC4342">
        <v>1200</v>
      </c>
      <c r="BD4342">
        <v>1</v>
      </c>
      <c r="BE4342" t="str">
        <f t="shared" si="203"/>
        <v xml:space="preserve">N215T   </v>
      </c>
      <c r="BF4342">
        <v>1</v>
      </c>
      <c r="BH4342">
        <v>0</v>
      </c>
      <c r="BI4342">
        <v>0</v>
      </c>
      <c r="BJ4342">
        <v>0</v>
      </c>
      <c r="BK4342">
        <v>200</v>
      </c>
      <c r="BL4342">
        <v>400</v>
      </c>
      <c r="BM4342" t="s">
        <v>119</v>
      </c>
      <c r="BN4342">
        <v>1</v>
      </c>
      <c r="BO4342">
        <v>1</v>
      </c>
      <c r="BP4342">
        <v>1</v>
      </c>
      <c r="BQ4342">
        <v>0</v>
      </c>
      <c r="BT4342">
        <v>0</v>
      </c>
      <c r="BU4342">
        <v>0</v>
      </c>
      <c r="BV4342">
        <v>0</v>
      </c>
      <c r="CC4342" t="str">
        <f>"19:49:02.680"</f>
        <v>19:49:02.680</v>
      </c>
      <c r="CD4342" t="str">
        <f>"679401379"</f>
        <v>679401379</v>
      </c>
      <c r="CQ4342">
        <v>0</v>
      </c>
      <c r="CR4342">
        <v>2</v>
      </c>
      <c r="CS4342">
        <v>0</v>
      </c>
      <c r="CT4342">
        <v>2</v>
      </c>
      <c r="CU4342">
        <v>0</v>
      </c>
      <c r="CV4342">
        <v>4</v>
      </c>
      <c r="CW4342" t="s">
        <v>120</v>
      </c>
      <c r="CX4342">
        <v>257</v>
      </c>
      <c r="CY4342">
        <v>0</v>
      </c>
      <c r="CZ4342" t="s">
        <v>615</v>
      </c>
      <c r="DA4342" t="s">
        <v>616</v>
      </c>
      <c r="DD4342">
        <v>1818</v>
      </c>
      <c r="DE4342" t="s">
        <v>123</v>
      </c>
    </row>
    <row r="4343" spans="1:109" x14ac:dyDescent="0.3">
      <c r="A4343" t="str">
        <f>"19:49:03.891"</f>
        <v>19:49:03.891</v>
      </c>
      <c r="B4343" t="s">
        <v>110</v>
      </c>
      <c r="C4343" t="str">
        <f t="shared" si="205"/>
        <v>ffdfd3c0</v>
      </c>
      <c r="D4343" t="s">
        <v>111</v>
      </c>
      <c r="E4343">
        <v>18</v>
      </c>
      <c r="F4343">
        <v>1018</v>
      </c>
      <c r="G4343" t="s">
        <v>112</v>
      </c>
      <c r="J4343" t="s">
        <v>113</v>
      </c>
      <c r="K4343">
        <v>0</v>
      </c>
      <c r="L4343">
        <v>3</v>
      </c>
      <c r="M4343">
        <v>0</v>
      </c>
      <c r="N4343">
        <v>2</v>
      </c>
      <c r="O4343">
        <v>1</v>
      </c>
      <c r="P4343">
        <v>0</v>
      </c>
      <c r="Q4343">
        <v>0</v>
      </c>
      <c r="R4343" t="s">
        <v>114</v>
      </c>
      <c r="S4343" t="str">
        <f>"19:49:03.664"</f>
        <v>19:49:03.664</v>
      </c>
      <c r="T4343" t="str">
        <f>"19:49:03.664"</f>
        <v>19:49:03.664</v>
      </c>
      <c r="U4343" t="str">
        <f t="shared" si="202"/>
        <v>a1cdbe</v>
      </c>
      <c r="V4343">
        <v>0</v>
      </c>
      <c r="W4343">
        <v>0</v>
      </c>
      <c r="X4343">
        <v>2</v>
      </c>
      <c r="Y4343">
        <v>0</v>
      </c>
      <c r="Z4343">
        <v>0</v>
      </c>
      <c r="AB4343">
        <v>0</v>
      </c>
      <c r="AC4343">
        <v>9</v>
      </c>
      <c r="AD4343">
        <v>3</v>
      </c>
      <c r="AE4343">
        <v>0</v>
      </c>
      <c r="AF4343">
        <v>9</v>
      </c>
      <c r="AG4343" t="s">
        <v>115</v>
      </c>
      <c r="AH4343">
        <v>0</v>
      </c>
      <c r="AI4343">
        <v>0</v>
      </c>
      <c r="AJ4343">
        <v>1</v>
      </c>
      <c r="AK4343">
        <v>0</v>
      </c>
      <c r="AL4343" t="s">
        <v>7431</v>
      </c>
      <c r="AM4343">
        <v>47.062961999999999</v>
      </c>
      <c r="AN4343" t="s">
        <v>7362</v>
      </c>
      <c r="AO4343">
        <v>-124.00000300000001</v>
      </c>
      <c r="AP4343">
        <v>100</v>
      </c>
      <c r="AQ4343">
        <v>-200</v>
      </c>
      <c r="AR4343" t="s">
        <v>118</v>
      </c>
      <c r="AS4343">
        <v>-59</v>
      </c>
      <c r="AT4343">
        <v>-3</v>
      </c>
      <c r="AU4343">
        <v>320</v>
      </c>
      <c r="BC4343">
        <v>1200</v>
      </c>
      <c r="BD4343">
        <v>1</v>
      </c>
      <c r="BE4343" t="str">
        <f t="shared" si="203"/>
        <v xml:space="preserve">N215T   </v>
      </c>
      <c r="BF4343">
        <v>1</v>
      </c>
      <c r="BH4343">
        <v>0</v>
      </c>
      <c r="BI4343">
        <v>0</v>
      </c>
      <c r="BJ4343">
        <v>0</v>
      </c>
      <c r="BK4343">
        <v>200</v>
      </c>
      <c r="BL4343">
        <v>400</v>
      </c>
      <c r="BM4343" t="s">
        <v>119</v>
      </c>
      <c r="BN4343">
        <v>1</v>
      </c>
      <c r="BO4343">
        <v>1</v>
      </c>
      <c r="BP4343">
        <v>1</v>
      </c>
      <c r="BQ4343">
        <v>0</v>
      </c>
      <c r="BT4343">
        <v>0</v>
      </c>
      <c r="BU4343">
        <v>0</v>
      </c>
      <c r="BV4343">
        <v>0</v>
      </c>
      <c r="CC4343" t="str">
        <f>"19:49:03.672"</f>
        <v>19:49:03.672</v>
      </c>
      <c r="CD4343" t="str">
        <f>"669303823"</f>
        <v>669303823</v>
      </c>
      <c r="CQ4343">
        <v>0</v>
      </c>
      <c r="CR4343">
        <v>2</v>
      </c>
      <c r="CS4343">
        <v>0</v>
      </c>
      <c r="CT4343">
        <v>2</v>
      </c>
      <c r="CU4343">
        <v>0</v>
      </c>
      <c r="CV4343">
        <v>4</v>
      </c>
      <c r="CW4343" t="s">
        <v>120</v>
      </c>
      <c r="CX4343">
        <v>257</v>
      </c>
      <c r="CY4343">
        <v>0</v>
      </c>
      <c r="CZ4343" t="s">
        <v>615</v>
      </c>
      <c r="DA4343" t="s">
        <v>616</v>
      </c>
      <c r="DD4343">
        <v>2133</v>
      </c>
      <c r="DE4343" t="s">
        <v>123</v>
      </c>
    </row>
    <row r="4344" spans="1:109" x14ac:dyDescent="0.3">
      <c r="A4344" t="str">
        <f>"19:49:04.750"</f>
        <v>19:49:04.750</v>
      </c>
      <c r="B4344" t="s">
        <v>110</v>
      </c>
      <c r="C4344" t="str">
        <f t="shared" si="205"/>
        <v>ffdfd3c0</v>
      </c>
      <c r="D4344" t="s">
        <v>111</v>
      </c>
      <c r="E4344">
        <v>18</v>
      </c>
      <c r="F4344">
        <v>1018</v>
      </c>
      <c r="G4344" t="s">
        <v>112</v>
      </c>
      <c r="J4344" t="s">
        <v>113</v>
      </c>
      <c r="K4344">
        <v>0</v>
      </c>
      <c r="L4344">
        <v>3</v>
      </c>
      <c r="M4344">
        <v>0</v>
      </c>
      <c r="N4344">
        <v>2</v>
      </c>
      <c r="O4344">
        <v>1</v>
      </c>
      <c r="P4344">
        <v>0</v>
      </c>
      <c r="Q4344">
        <v>0</v>
      </c>
      <c r="R4344" t="s">
        <v>114</v>
      </c>
      <c r="S4344" t="str">
        <f>"19:49:04.523"</f>
        <v>19:49:04.523</v>
      </c>
      <c r="T4344" t="str">
        <f>"19:49:04.125"</f>
        <v>19:49:04.125</v>
      </c>
      <c r="U4344" t="str">
        <f t="shared" si="202"/>
        <v>a1cdbe</v>
      </c>
      <c r="V4344">
        <v>0</v>
      </c>
      <c r="W4344">
        <v>0</v>
      </c>
      <c r="X4344">
        <v>2</v>
      </c>
      <c r="Y4344">
        <v>0</v>
      </c>
      <c r="Z4344">
        <v>0</v>
      </c>
      <c r="AB4344">
        <v>0</v>
      </c>
      <c r="AC4344">
        <v>9</v>
      </c>
      <c r="AD4344">
        <v>3</v>
      </c>
      <c r="AE4344">
        <v>0</v>
      </c>
      <c r="AF4344">
        <v>9</v>
      </c>
      <c r="AG4344" t="s">
        <v>115</v>
      </c>
      <c r="AH4344">
        <v>0</v>
      </c>
      <c r="AI4344">
        <v>0</v>
      </c>
      <c r="AJ4344">
        <v>1</v>
      </c>
      <c r="AK4344">
        <v>0</v>
      </c>
      <c r="AL4344" t="s">
        <v>7431</v>
      </c>
      <c r="AM4344">
        <v>47.062961999999999</v>
      </c>
      <c r="AN4344" t="s">
        <v>7908</v>
      </c>
      <c r="AO4344">
        <v>-124.000347</v>
      </c>
      <c r="AP4344">
        <v>100</v>
      </c>
      <c r="AQ4344">
        <v>-200</v>
      </c>
      <c r="AR4344" t="s">
        <v>118</v>
      </c>
      <c r="AS4344">
        <v>-59</v>
      </c>
      <c r="AT4344">
        <v>-3</v>
      </c>
      <c r="AU4344">
        <v>256</v>
      </c>
      <c r="BC4344">
        <v>1200</v>
      </c>
      <c r="BD4344">
        <v>1</v>
      </c>
      <c r="BE4344" t="str">
        <f t="shared" si="203"/>
        <v xml:space="preserve">N215T   </v>
      </c>
      <c r="BF4344">
        <v>1</v>
      </c>
      <c r="BH4344">
        <v>0</v>
      </c>
      <c r="BI4344">
        <v>0</v>
      </c>
      <c r="BJ4344">
        <v>0</v>
      </c>
      <c r="BK4344">
        <v>225</v>
      </c>
      <c r="BL4344">
        <v>425</v>
      </c>
      <c r="BM4344" t="s">
        <v>119</v>
      </c>
      <c r="BN4344">
        <v>1</v>
      </c>
      <c r="BO4344">
        <v>1</v>
      </c>
      <c r="BP4344">
        <v>1</v>
      </c>
      <c r="BQ4344">
        <v>0</v>
      </c>
      <c r="BT4344">
        <v>0</v>
      </c>
      <c r="BU4344">
        <v>0</v>
      </c>
      <c r="BV4344">
        <v>0</v>
      </c>
      <c r="CC4344" t="str">
        <f>"19:49:04.523"</f>
        <v>19:49:04.523</v>
      </c>
      <c r="CD4344" t="str">
        <f>"524219579"</f>
        <v>524219579</v>
      </c>
      <c r="CQ4344">
        <v>0</v>
      </c>
      <c r="CR4344">
        <v>2</v>
      </c>
      <c r="CS4344">
        <v>0</v>
      </c>
      <c r="CT4344">
        <v>2</v>
      </c>
      <c r="CU4344">
        <v>0</v>
      </c>
      <c r="CV4344">
        <v>5</v>
      </c>
      <c r="CW4344" t="s">
        <v>120</v>
      </c>
      <c r="CX4344">
        <v>257</v>
      </c>
      <c r="CY4344">
        <v>0</v>
      </c>
      <c r="CZ4344" t="s">
        <v>615</v>
      </c>
      <c r="DA4344" t="s">
        <v>616</v>
      </c>
      <c r="DD4344">
        <v>2379</v>
      </c>
      <c r="DE4344" t="s">
        <v>123</v>
      </c>
    </row>
    <row r="4345" spans="1:109" x14ac:dyDescent="0.3">
      <c r="A4345" t="str">
        <f>"19:49:05.703"</f>
        <v>19:49:05.703</v>
      </c>
      <c r="B4345" t="s">
        <v>110</v>
      </c>
      <c r="C4345" t="str">
        <f t="shared" si="205"/>
        <v>ffdfd3c0</v>
      </c>
      <c r="D4345" t="s">
        <v>111</v>
      </c>
      <c r="E4345">
        <v>18</v>
      </c>
      <c r="F4345">
        <v>1018</v>
      </c>
      <c r="G4345" t="s">
        <v>112</v>
      </c>
      <c r="J4345" t="s">
        <v>113</v>
      </c>
      <c r="K4345">
        <v>0</v>
      </c>
      <c r="L4345">
        <v>3</v>
      </c>
      <c r="M4345">
        <v>0</v>
      </c>
      <c r="N4345">
        <v>2</v>
      </c>
      <c r="O4345">
        <v>1</v>
      </c>
      <c r="P4345">
        <v>0</v>
      </c>
      <c r="Q4345">
        <v>0</v>
      </c>
      <c r="R4345" t="s">
        <v>114</v>
      </c>
      <c r="S4345" t="str">
        <f>"19:49:05.477"</f>
        <v>19:49:05.477</v>
      </c>
      <c r="T4345" t="str">
        <f>"19:49:05.477"</f>
        <v>19:49:05.477</v>
      </c>
      <c r="U4345" t="str">
        <f t="shared" si="202"/>
        <v>a1cdbe</v>
      </c>
      <c r="V4345">
        <v>0</v>
      </c>
      <c r="W4345">
        <v>0</v>
      </c>
      <c r="X4345">
        <v>2</v>
      </c>
      <c r="Y4345">
        <v>0</v>
      </c>
      <c r="Z4345">
        <v>0</v>
      </c>
      <c r="AB4345">
        <v>0</v>
      </c>
      <c r="AC4345">
        <v>9</v>
      </c>
      <c r="AD4345">
        <v>3</v>
      </c>
      <c r="AE4345">
        <v>0</v>
      </c>
      <c r="AF4345">
        <v>9</v>
      </c>
      <c r="AG4345" t="s">
        <v>115</v>
      </c>
      <c r="AH4345">
        <v>0</v>
      </c>
      <c r="AI4345">
        <v>0</v>
      </c>
      <c r="AJ4345">
        <v>1</v>
      </c>
      <c r="AK4345">
        <v>0</v>
      </c>
      <c r="AL4345" t="s">
        <v>7695</v>
      </c>
      <c r="AM4345">
        <v>47.062919000000001</v>
      </c>
      <c r="AN4345" t="s">
        <v>7909</v>
      </c>
      <c r="AO4345">
        <v>-124.000776</v>
      </c>
      <c r="AP4345">
        <v>100</v>
      </c>
      <c r="AQ4345">
        <v>-200</v>
      </c>
      <c r="AR4345" t="s">
        <v>118</v>
      </c>
      <c r="AS4345">
        <v>-60</v>
      </c>
      <c r="AT4345">
        <v>-5</v>
      </c>
      <c r="AU4345">
        <v>256</v>
      </c>
      <c r="BC4345">
        <v>1200</v>
      </c>
      <c r="BD4345">
        <v>1</v>
      </c>
      <c r="BE4345" t="str">
        <f t="shared" si="203"/>
        <v xml:space="preserve">N215T   </v>
      </c>
      <c r="BF4345">
        <v>1</v>
      </c>
      <c r="BH4345">
        <v>0</v>
      </c>
      <c r="BI4345">
        <v>0</v>
      </c>
      <c r="BJ4345">
        <v>0</v>
      </c>
      <c r="BK4345">
        <v>225</v>
      </c>
      <c r="BL4345">
        <v>425</v>
      </c>
      <c r="BM4345" t="s">
        <v>119</v>
      </c>
      <c r="BN4345">
        <v>1</v>
      </c>
      <c r="BO4345">
        <v>1</v>
      </c>
      <c r="BP4345">
        <v>1</v>
      </c>
      <c r="BQ4345">
        <v>0</v>
      </c>
      <c r="BT4345">
        <v>0</v>
      </c>
      <c r="BU4345">
        <v>0</v>
      </c>
      <c r="BV4345">
        <v>0</v>
      </c>
      <c r="CC4345" t="str">
        <f>"19:49:05.484"</f>
        <v>19:49:05.484</v>
      </c>
      <c r="CD4345" t="str">
        <f>"484124985"</f>
        <v>484124985</v>
      </c>
      <c r="CQ4345">
        <v>0</v>
      </c>
      <c r="CR4345">
        <v>2</v>
      </c>
      <c r="CS4345">
        <v>0</v>
      </c>
      <c r="CT4345">
        <v>2</v>
      </c>
      <c r="CU4345">
        <v>0</v>
      </c>
      <c r="CV4345">
        <v>4</v>
      </c>
      <c r="CW4345" t="s">
        <v>120</v>
      </c>
      <c r="CX4345">
        <v>257</v>
      </c>
      <c r="CY4345">
        <v>0</v>
      </c>
      <c r="CZ4345" t="s">
        <v>615</v>
      </c>
      <c r="DA4345" t="s">
        <v>616</v>
      </c>
      <c r="DD4345">
        <v>2678</v>
      </c>
      <c r="DE4345" t="s">
        <v>123</v>
      </c>
    </row>
    <row r="4346" spans="1:109" x14ac:dyDescent="0.3">
      <c r="A4346" t="str">
        <f>"19:49:06.555"</f>
        <v>19:49:06.555</v>
      </c>
      <c r="B4346" t="s">
        <v>110</v>
      </c>
      <c r="C4346" t="str">
        <f t="shared" si="205"/>
        <v>ffdfd3c0</v>
      </c>
      <c r="D4346" t="s">
        <v>111</v>
      </c>
      <c r="E4346">
        <v>18</v>
      </c>
      <c r="F4346">
        <v>1018</v>
      </c>
      <c r="G4346" t="s">
        <v>112</v>
      </c>
      <c r="J4346" t="s">
        <v>113</v>
      </c>
      <c r="K4346">
        <v>0</v>
      </c>
      <c r="L4346">
        <v>3</v>
      </c>
      <c r="M4346">
        <v>0</v>
      </c>
      <c r="N4346">
        <v>2</v>
      </c>
      <c r="O4346">
        <v>1</v>
      </c>
      <c r="P4346">
        <v>0</v>
      </c>
      <c r="Q4346">
        <v>0</v>
      </c>
      <c r="R4346" t="s">
        <v>114</v>
      </c>
      <c r="S4346" t="str">
        <f>"19:49:06.320"</f>
        <v>19:49:06.320</v>
      </c>
      <c r="T4346" t="str">
        <f>"19:49:05.922"</f>
        <v>19:49:05.922</v>
      </c>
      <c r="U4346" t="str">
        <f t="shared" si="202"/>
        <v>a1cdbe</v>
      </c>
      <c r="V4346">
        <v>0</v>
      </c>
      <c r="W4346">
        <v>0</v>
      </c>
      <c r="X4346">
        <v>2</v>
      </c>
      <c r="Y4346">
        <v>0</v>
      </c>
      <c r="Z4346">
        <v>0</v>
      </c>
      <c r="AB4346">
        <v>0</v>
      </c>
      <c r="AC4346">
        <v>9</v>
      </c>
      <c r="AD4346">
        <v>3</v>
      </c>
      <c r="AE4346">
        <v>0</v>
      </c>
      <c r="AF4346">
        <v>9</v>
      </c>
      <c r="AG4346" t="s">
        <v>115</v>
      </c>
      <c r="AH4346">
        <v>0</v>
      </c>
      <c r="AI4346">
        <v>0</v>
      </c>
      <c r="AJ4346">
        <v>1</v>
      </c>
      <c r="AK4346">
        <v>0</v>
      </c>
      <c r="AL4346" t="s">
        <v>7695</v>
      </c>
      <c r="AM4346">
        <v>47.062919000000001</v>
      </c>
      <c r="AN4346" t="s">
        <v>7910</v>
      </c>
      <c r="AO4346">
        <v>-124.001076</v>
      </c>
      <c r="AP4346">
        <v>100</v>
      </c>
      <c r="AQ4346">
        <v>-200</v>
      </c>
      <c r="AR4346" t="s">
        <v>118</v>
      </c>
      <c r="AS4346">
        <v>-61</v>
      </c>
      <c r="AT4346">
        <v>-6</v>
      </c>
      <c r="AU4346">
        <v>128</v>
      </c>
      <c r="BC4346">
        <v>1200</v>
      </c>
      <c r="BD4346">
        <v>1</v>
      </c>
      <c r="BE4346" t="str">
        <f t="shared" si="203"/>
        <v xml:space="preserve">N215T   </v>
      </c>
      <c r="BF4346">
        <v>1</v>
      </c>
      <c r="BH4346">
        <v>0</v>
      </c>
      <c r="BI4346">
        <v>0</v>
      </c>
      <c r="BJ4346">
        <v>0</v>
      </c>
      <c r="BK4346">
        <v>225</v>
      </c>
      <c r="BL4346">
        <v>425</v>
      </c>
      <c r="BM4346" t="s">
        <v>119</v>
      </c>
      <c r="BN4346">
        <v>1</v>
      </c>
      <c r="BO4346">
        <v>1</v>
      </c>
      <c r="BP4346">
        <v>1</v>
      </c>
      <c r="BQ4346">
        <v>0</v>
      </c>
      <c r="BT4346">
        <v>0</v>
      </c>
      <c r="BU4346">
        <v>0</v>
      </c>
      <c r="BV4346">
        <v>0</v>
      </c>
      <c r="CC4346" t="str">
        <f>"19:49:06.320"</f>
        <v>19:49:06.320</v>
      </c>
      <c r="CD4346" t="str">
        <f>"324042222"</f>
        <v>324042222</v>
      </c>
      <c r="CQ4346">
        <v>0</v>
      </c>
      <c r="CR4346">
        <v>2</v>
      </c>
      <c r="CS4346">
        <v>0</v>
      </c>
      <c r="CT4346">
        <v>2</v>
      </c>
      <c r="CU4346">
        <v>0</v>
      </c>
      <c r="CV4346">
        <v>5</v>
      </c>
      <c r="CW4346" t="s">
        <v>120</v>
      </c>
      <c r="CX4346">
        <v>257</v>
      </c>
      <c r="CY4346">
        <v>0</v>
      </c>
      <c r="CZ4346" t="s">
        <v>615</v>
      </c>
      <c r="DA4346" t="s">
        <v>616</v>
      </c>
      <c r="DD4346">
        <v>2951</v>
      </c>
      <c r="DE4346" t="s">
        <v>123</v>
      </c>
    </row>
    <row r="4347" spans="1:109" x14ac:dyDescent="0.3">
      <c r="A4347" t="str">
        <f>"19:49:07.711"</f>
        <v>19:49:07.711</v>
      </c>
      <c r="B4347" t="s">
        <v>110</v>
      </c>
      <c r="C4347" t="str">
        <f t="shared" si="205"/>
        <v>ffdfd3c0</v>
      </c>
      <c r="D4347" t="s">
        <v>111</v>
      </c>
      <c r="E4347">
        <v>18</v>
      </c>
      <c r="F4347">
        <v>1018</v>
      </c>
      <c r="G4347" t="s">
        <v>112</v>
      </c>
      <c r="J4347" t="s">
        <v>113</v>
      </c>
      <c r="K4347">
        <v>0</v>
      </c>
      <c r="L4347">
        <v>3</v>
      </c>
      <c r="M4347">
        <v>0</v>
      </c>
      <c r="N4347">
        <v>2</v>
      </c>
      <c r="O4347">
        <v>1</v>
      </c>
      <c r="P4347">
        <v>0</v>
      </c>
      <c r="Q4347">
        <v>0</v>
      </c>
      <c r="R4347" t="s">
        <v>114</v>
      </c>
      <c r="S4347" t="str">
        <f>"19:49:07.430"</f>
        <v>19:49:07.430</v>
      </c>
      <c r="T4347" t="str">
        <f>"19:49:06.930"</f>
        <v>19:49:06.930</v>
      </c>
      <c r="U4347" t="str">
        <f t="shared" si="202"/>
        <v>a1cdbe</v>
      </c>
      <c r="V4347">
        <v>0</v>
      </c>
      <c r="W4347">
        <v>0</v>
      </c>
      <c r="X4347">
        <v>2</v>
      </c>
      <c r="Y4347">
        <v>0</v>
      </c>
      <c r="Z4347">
        <v>0</v>
      </c>
      <c r="AB4347">
        <v>0</v>
      </c>
      <c r="AC4347">
        <v>9</v>
      </c>
      <c r="AD4347">
        <v>3</v>
      </c>
      <c r="AE4347">
        <v>0</v>
      </c>
      <c r="AF4347">
        <v>9</v>
      </c>
      <c r="AG4347" t="s">
        <v>115</v>
      </c>
      <c r="AH4347">
        <v>0</v>
      </c>
      <c r="AI4347">
        <v>0</v>
      </c>
      <c r="AJ4347">
        <v>1</v>
      </c>
      <c r="AK4347">
        <v>0</v>
      </c>
      <c r="AL4347" t="s">
        <v>7911</v>
      </c>
      <c r="AM4347">
        <v>47.062876000000003</v>
      </c>
      <c r="AN4347" t="s">
        <v>7912</v>
      </c>
      <c r="AO4347">
        <v>-124.001548</v>
      </c>
      <c r="AP4347">
        <v>100</v>
      </c>
      <c r="AQ4347">
        <v>-200</v>
      </c>
      <c r="AR4347" t="s">
        <v>118</v>
      </c>
      <c r="AS4347">
        <v>-62</v>
      </c>
      <c r="AT4347">
        <v>-8</v>
      </c>
      <c r="AU4347">
        <v>192</v>
      </c>
      <c r="BC4347">
        <v>1200</v>
      </c>
      <c r="BD4347">
        <v>1</v>
      </c>
      <c r="BE4347" t="str">
        <f t="shared" si="203"/>
        <v xml:space="preserve">N215T   </v>
      </c>
      <c r="BF4347">
        <v>1</v>
      </c>
      <c r="BH4347">
        <v>0</v>
      </c>
      <c r="BI4347">
        <v>0</v>
      </c>
      <c r="BJ4347">
        <v>0</v>
      </c>
      <c r="BK4347">
        <v>225</v>
      </c>
      <c r="BL4347">
        <v>425</v>
      </c>
      <c r="BM4347" t="s">
        <v>119</v>
      </c>
      <c r="BN4347">
        <v>1</v>
      </c>
      <c r="BO4347">
        <v>1</v>
      </c>
      <c r="BP4347">
        <v>1</v>
      </c>
      <c r="BQ4347">
        <v>0</v>
      </c>
      <c r="BT4347">
        <v>0</v>
      </c>
      <c r="BU4347">
        <v>0</v>
      </c>
      <c r="BV4347">
        <v>0</v>
      </c>
      <c r="CC4347" t="str">
        <f>"19:49:07.438"</f>
        <v>19:49:07.438</v>
      </c>
      <c r="CD4347" t="str">
        <f>"433932861"</f>
        <v>433932861</v>
      </c>
      <c r="CQ4347">
        <v>0</v>
      </c>
      <c r="CR4347">
        <v>2</v>
      </c>
      <c r="CS4347">
        <v>0</v>
      </c>
      <c r="CT4347">
        <v>2</v>
      </c>
      <c r="CU4347">
        <v>0</v>
      </c>
      <c r="CV4347">
        <v>6</v>
      </c>
      <c r="CW4347" t="s">
        <v>120</v>
      </c>
      <c r="CX4347">
        <v>257</v>
      </c>
      <c r="CY4347">
        <v>0</v>
      </c>
      <c r="CZ4347" t="s">
        <v>615</v>
      </c>
      <c r="DA4347" t="s">
        <v>616</v>
      </c>
      <c r="DD4347">
        <v>3284</v>
      </c>
      <c r="DE4347" t="s">
        <v>123</v>
      </c>
    </row>
    <row r="4348" spans="1:109" x14ac:dyDescent="0.3">
      <c r="A4348" t="str">
        <f>"19:49:08.664"</f>
        <v>19:49:08.664</v>
      </c>
      <c r="B4348" t="s">
        <v>110</v>
      </c>
      <c r="C4348" t="str">
        <f t="shared" si="205"/>
        <v>ffdfd3c0</v>
      </c>
      <c r="D4348" t="s">
        <v>111</v>
      </c>
      <c r="E4348">
        <v>18</v>
      </c>
      <c r="F4348">
        <v>1018</v>
      </c>
      <c r="G4348" t="s">
        <v>112</v>
      </c>
      <c r="J4348" t="s">
        <v>113</v>
      </c>
      <c r="K4348">
        <v>0</v>
      </c>
      <c r="L4348">
        <v>3</v>
      </c>
      <c r="M4348">
        <v>0</v>
      </c>
      <c r="N4348">
        <v>2</v>
      </c>
      <c r="O4348">
        <v>1</v>
      </c>
      <c r="P4348">
        <v>0</v>
      </c>
      <c r="Q4348">
        <v>0</v>
      </c>
      <c r="R4348" t="s">
        <v>114</v>
      </c>
      <c r="S4348" t="str">
        <f>"19:49:08.469"</f>
        <v>19:49:08.469</v>
      </c>
      <c r="T4348" t="str">
        <f>"19:49:08.469"</f>
        <v>19:49:08.469</v>
      </c>
      <c r="U4348" t="str">
        <f t="shared" si="202"/>
        <v>a1cdbe</v>
      </c>
      <c r="V4348">
        <v>0</v>
      </c>
      <c r="W4348">
        <v>0</v>
      </c>
      <c r="X4348">
        <v>2</v>
      </c>
      <c r="Y4348">
        <v>0</v>
      </c>
      <c r="Z4348">
        <v>0</v>
      </c>
      <c r="AB4348">
        <v>0</v>
      </c>
      <c r="AC4348">
        <v>9</v>
      </c>
      <c r="AD4348">
        <v>3</v>
      </c>
      <c r="AE4348">
        <v>0</v>
      </c>
      <c r="AF4348">
        <v>9</v>
      </c>
      <c r="AG4348" t="s">
        <v>115</v>
      </c>
      <c r="AH4348">
        <v>0</v>
      </c>
      <c r="AI4348">
        <v>0</v>
      </c>
      <c r="AJ4348">
        <v>1</v>
      </c>
      <c r="AK4348">
        <v>0</v>
      </c>
      <c r="AL4348" t="s">
        <v>7913</v>
      </c>
      <c r="AM4348">
        <v>47.062812000000001</v>
      </c>
      <c r="AN4348" t="s">
        <v>7914</v>
      </c>
      <c r="AO4348">
        <v>-124.001999</v>
      </c>
      <c r="AP4348">
        <v>100</v>
      </c>
      <c r="AQ4348">
        <v>-200</v>
      </c>
      <c r="AR4348" t="s">
        <v>118</v>
      </c>
      <c r="AS4348">
        <v>-63</v>
      </c>
      <c r="AT4348">
        <v>-10</v>
      </c>
      <c r="AU4348">
        <v>192</v>
      </c>
      <c r="BC4348">
        <v>1200</v>
      </c>
      <c r="BD4348">
        <v>1</v>
      </c>
      <c r="BE4348" t="str">
        <f t="shared" si="203"/>
        <v xml:space="preserve">N215T   </v>
      </c>
      <c r="BF4348">
        <v>1</v>
      </c>
      <c r="BH4348">
        <v>0</v>
      </c>
      <c r="BI4348">
        <v>0</v>
      </c>
      <c r="BJ4348">
        <v>0</v>
      </c>
      <c r="BK4348">
        <v>225</v>
      </c>
      <c r="BL4348">
        <v>425</v>
      </c>
      <c r="BM4348" t="s">
        <v>119</v>
      </c>
      <c r="BN4348">
        <v>1</v>
      </c>
      <c r="BO4348">
        <v>1</v>
      </c>
      <c r="BP4348">
        <v>1</v>
      </c>
      <c r="BQ4348">
        <v>0</v>
      </c>
      <c r="BT4348">
        <v>0</v>
      </c>
      <c r="BU4348">
        <v>0</v>
      </c>
      <c r="BV4348">
        <v>0</v>
      </c>
      <c r="CC4348" t="str">
        <f>"19:49:08.469"</f>
        <v>19:49:08.469</v>
      </c>
      <c r="CD4348" t="str">
        <f>"468830862"</f>
        <v>468830862</v>
      </c>
      <c r="CQ4348">
        <v>0</v>
      </c>
      <c r="CR4348">
        <v>2</v>
      </c>
      <c r="CS4348">
        <v>0</v>
      </c>
      <c r="CT4348">
        <v>2</v>
      </c>
      <c r="CU4348">
        <v>0</v>
      </c>
      <c r="CV4348">
        <v>6</v>
      </c>
      <c r="CW4348" t="s">
        <v>120</v>
      </c>
      <c r="CX4348">
        <v>257</v>
      </c>
      <c r="CY4348">
        <v>0</v>
      </c>
      <c r="CZ4348" t="s">
        <v>615</v>
      </c>
      <c r="DA4348" t="s">
        <v>616</v>
      </c>
      <c r="DD4348">
        <v>3608</v>
      </c>
      <c r="DE4348" t="s">
        <v>123</v>
      </c>
    </row>
    <row r="4349" spans="1:109" x14ac:dyDescent="0.3">
      <c r="A4349" t="str">
        <f>"19:49:09.773"</f>
        <v>19:49:09.773</v>
      </c>
      <c r="B4349" t="s">
        <v>110</v>
      </c>
      <c r="C4349" t="str">
        <f t="shared" si="205"/>
        <v>ffdfd3c0</v>
      </c>
      <c r="D4349" t="s">
        <v>111</v>
      </c>
      <c r="E4349">
        <v>18</v>
      </c>
      <c r="F4349">
        <v>1018</v>
      </c>
      <c r="G4349" t="s">
        <v>112</v>
      </c>
      <c r="J4349" t="s">
        <v>113</v>
      </c>
      <c r="K4349">
        <v>0</v>
      </c>
      <c r="L4349">
        <v>3</v>
      </c>
      <c r="M4349">
        <v>0</v>
      </c>
      <c r="N4349">
        <v>2</v>
      </c>
      <c r="O4349">
        <v>1</v>
      </c>
      <c r="P4349">
        <v>0</v>
      </c>
      <c r="Q4349">
        <v>0</v>
      </c>
      <c r="R4349" t="s">
        <v>114</v>
      </c>
      <c r="S4349" t="str">
        <f>"19:49:09.500"</f>
        <v>19:49:09.500</v>
      </c>
      <c r="T4349" t="str">
        <f>"19:49:09.500"</f>
        <v>19:49:09.500</v>
      </c>
      <c r="U4349" t="str">
        <f t="shared" si="202"/>
        <v>a1cdbe</v>
      </c>
      <c r="V4349">
        <v>0</v>
      </c>
      <c r="W4349">
        <v>0</v>
      </c>
      <c r="X4349">
        <v>2</v>
      </c>
      <c r="Y4349">
        <v>0</v>
      </c>
      <c r="Z4349">
        <v>0</v>
      </c>
      <c r="AB4349">
        <v>0</v>
      </c>
      <c r="AC4349">
        <v>9</v>
      </c>
      <c r="AD4349">
        <v>3</v>
      </c>
      <c r="AE4349">
        <v>0</v>
      </c>
      <c r="AF4349">
        <v>9</v>
      </c>
      <c r="AG4349" t="s">
        <v>115</v>
      </c>
      <c r="AH4349">
        <v>0</v>
      </c>
      <c r="AI4349">
        <v>0</v>
      </c>
      <c r="AJ4349">
        <v>1</v>
      </c>
      <c r="AK4349">
        <v>0</v>
      </c>
      <c r="AL4349" t="s">
        <v>7429</v>
      </c>
      <c r="AM4349">
        <v>47.062769000000003</v>
      </c>
      <c r="AN4349" t="s">
        <v>7915</v>
      </c>
      <c r="AO4349">
        <v>-124.002471</v>
      </c>
      <c r="AP4349">
        <v>100</v>
      </c>
      <c r="AQ4349">
        <v>-200</v>
      </c>
      <c r="AR4349" t="s">
        <v>118</v>
      </c>
      <c r="AS4349">
        <v>-64</v>
      </c>
      <c r="AT4349">
        <v>-11</v>
      </c>
      <c r="AU4349">
        <v>448</v>
      </c>
      <c r="BC4349">
        <v>1200</v>
      </c>
      <c r="BD4349">
        <v>1</v>
      </c>
      <c r="BE4349" t="str">
        <f t="shared" si="203"/>
        <v xml:space="preserve">N215T   </v>
      </c>
      <c r="BF4349">
        <v>1</v>
      </c>
      <c r="BH4349">
        <v>0</v>
      </c>
      <c r="BI4349">
        <v>0</v>
      </c>
      <c r="BJ4349">
        <v>0</v>
      </c>
      <c r="BK4349">
        <v>225</v>
      </c>
      <c r="BL4349">
        <v>425</v>
      </c>
      <c r="BM4349" t="s">
        <v>119</v>
      </c>
      <c r="BN4349">
        <v>1</v>
      </c>
      <c r="BO4349">
        <v>1</v>
      </c>
      <c r="BP4349">
        <v>1</v>
      </c>
      <c r="BQ4349">
        <v>0</v>
      </c>
      <c r="BT4349">
        <v>0</v>
      </c>
      <c r="BU4349">
        <v>0</v>
      </c>
      <c r="BV4349">
        <v>0</v>
      </c>
      <c r="CC4349" t="str">
        <f>"19:49:09.500"</f>
        <v>19:49:09.500</v>
      </c>
      <c r="CD4349" t="str">
        <f>"503728875"</f>
        <v>503728875</v>
      </c>
      <c r="CQ4349">
        <v>0</v>
      </c>
      <c r="CR4349">
        <v>2</v>
      </c>
      <c r="CS4349">
        <v>0</v>
      </c>
      <c r="CT4349">
        <v>2</v>
      </c>
      <c r="CU4349">
        <v>0</v>
      </c>
      <c r="CV4349">
        <v>6</v>
      </c>
      <c r="CW4349" t="s">
        <v>120</v>
      </c>
      <c r="CX4349">
        <v>257</v>
      </c>
      <c r="CY4349">
        <v>0</v>
      </c>
      <c r="CZ4349" t="s">
        <v>615</v>
      </c>
      <c r="DA4349" t="s">
        <v>616</v>
      </c>
      <c r="DD4349">
        <v>3902</v>
      </c>
      <c r="DE4349" t="s">
        <v>123</v>
      </c>
    </row>
    <row r="4350" spans="1:109" x14ac:dyDescent="0.3">
      <c r="A4350" t="str">
        <f>"19:49:10.781"</f>
        <v>19:49:10.781</v>
      </c>
      <c r="B4350" t="s">
        <v>110</v>
      </c>
      <c r="C4350" t="str">
        <f t="shared" si="205"/>
        <v>ffdfd3c0</v>
      </c>
      <c r="D4350" t="s">
        <v>111</v>
      </c>
      <c r="E4350">
        <v>18</v>
      </c>
      <c r="F4350">
        <v>1018</v>
      </c>
      <c r="G4350" t="s">
        <v>112</v>
      </c>
      <c r="J4350" t="s">
        <v>113</v>
      </c>
      <c r="K4350">
        <v>0</v>
      </c>
      <c r="L4350">
        <v>3</v>
      </c>
      <c r="M4350">
        <v>0</v>
      </c>
      <c r="N4350">
        <v>2</v>
      </c>
      <c r="O4350">
        <v>1</v>
      </c>
      <c r="P4350">
        <v>0</v>
      </c>
      <c r="Q4350">
        <v>0</v>
      </c>
      <c r="R4350" t="s">
        <v>114</v>
      </c>
      <c r="S4350" t="str">
        <f>"19:49:10.531"</f>
        <v>19:49:10.531</v>
      </c>
      <c r="T4350" t="str">
        <f>"19:49:10.031"</f>
        <v>19:49:10.031</v>
      </c>
      <c r="U4350" t="str">
        <f t="shared" si="202"/>
        <v>a1cdbe</v>
      </c>
      <c r="V4350">
        <v>0</v>
      </c>
      <c r="W4350">
        <v>0</v>
      </c>
      <c r="X4350">
        <v>2</v>
      </c>
      <c r="Y4350">
        <v>0</v>
      </c>
      <c r="Z4350">
        <v>0</v>
      </c>
      <c r="AB4350">
        <v>0</v>
      </c>
      <c r="AC4350">
        <v>9</v>
      </c>
      <c r="AD4350">
        <v>3</v>
      </c>
      <c r="AE4350">
        <v>0</v>
      </c>
      <c r="AF4350">
        <v>9</v>
      </c>
      <c r="AG4350" t="s">
        <v>115</v>
      </c>
      <c r="AH4350">
        <v>0</v>
      </c>
      <c r="AI4350">
        <v>0</v>
      </c>
      <c r="AJ4350">
        <v>1</v>
      </c>
      <c r="AK4350">
        <v>0</v>
      </c>
      <c r="AL4350" t="s">
        <v>7581</v>
      </c>
      <c r="AM4350">
        <v>47.062683</v>
      </c>
      <c r="AN4350" t="s">
        <v>7916</v>
      </c>
      <c r="AO4350">
        <v>-124.0029</v>
      </c>
      <c r="AP4350">
        <v>100</v>
      </c>
      <c r="AQ4350">
        <v>-100</v>
      </c>
      <c r="AR4350" t="s">
        <v>118</v>
      </c>
      <c r="AS4350">
        <v>-64</v>
      </c>
      <c r="AT4350">
        <v>-12</v>
      </c>
      <c r="AU4350">
        <v>320</v>
      </c>
      <c r="BC4350">
        <v>1200</v>
      </c>
      <c r="BD4350">
        <v>1</v>
      </c>
      <c r="BE4350" t="str">
        <f t="shared" si="203"/>
        <v xml:space="preserve">N215T   </v>
      </c>
      <c r="BF4350">
        <v>1</v>
      </c>
      <c r="BH4350">
        <v>0</v>
      </c>
      <c r="BI4350">
        <v>0</v>
      </c>
      <c r="BJ4350">
        <v>0</v>
      </c>
      <c r="BK4350">
        <v>125</v>
      </c>
      <c r="BL4350">
        <v>225</v>
      </c>
      <c r="BM4350" t="s">
        <v>119</v>
      </c>
      <c r="BN4350">
        <v>1</v>
      </c>
      <c r="BO4350">
        <v>1</v>
      </c>
      <c r="BP4350">
        <v>1</v>
      </c>
      <c r="BQ4350">
        <v>0</v>
      </c>
      <c r="BT4350">
        <v>0</v>
      </c>
      <c r="BU4350">
        <v>0</v>
      </c>
      <c r="BV4350">
        <v>0</v>
      </c>
      <c r="CC4350" t="str">
        <f>"19:49:10.539"</f>
        <v>19:49:10.539</v>
      </c>
      <c r="CD4350" t="str">
        <f>"538626891"</f>
        <v>538626891</v>
      </c>
      <c r="CQ4350">
        <v>0</v>
      </c>
      <c r="CR4350">
        <v>2</v>
      </c>
      <c r="CS4350">
        <v>0</v>
      </c>
      <c r="CT4350">
        <v>2</v>
      </c>
      <c r="CU4350">
        <v>0</v>
      </c>
      <c r="CV4350">
        <v>6</v>
      </c>
      <c r="CW4350" t="s">
        <v>120</v>
      </c>
      <c r="CX4350">
        <v>257</v>
      </c>
      <c r="CY4350">
        <v>0</v>
      </c>
      <c r="CZ4350" t="s">
        <v>615</v>
      </c>
      <c r="DA4350" t="s">
        <v>616</v>
      </c>
      <c r="DD4350">
        <v>4218</v>
      </c>
      <c r="DE4350" t="s">
        <v>123</v>
      </c>
    </row>
    <row r="4351" spans="1:109" x14ac:dyDescent="0.3">
      <c r="A4351" t="str">
        <f>"19:49:11.938"</f>
        <v>19:49:11.938</v>
      </c>
      <c r="B4351" t="s">
        <v>110</v>
      </c>
      <c r="C4351" t="str">
        <f t="shared" si="205"/>
        <v>ffdfd3c0</v>
      </c>
      <c r="D4351" t="s">
        <v>111</v>
      </c>
      <c r="E4351">
        <v>18</v>
      </c>
      <c r="F4351">
        <v>1018</v>
      </c>
      <c r="G4351" t="s">
        <v>112</v>
      </c>
      <c r="J4351" t="s">
        <v>113</v>
      </c>
      <c r="K4351">
        <v>0</v>
      </c>
      <c r="L4351">
        <v>3</v>
      </c>
      <c r="M4351">
        <v>0</v>
      </c>
      <c r="N4351">
        <v>2</v>
      </c>
      <c r="O4351">
        <v>1</v>
      </c>
      <c r="P4351">
        <v>0</v>
      </c>
      <c r="Q4351">
        <v>0</v>
      </c>
      <c r="R4351" t="s">
        <v>114</v>
      </c>
      <c r="S4351" t="str">
        <f>"19:49:11.703"</f>
        <v>19:49:11.703</v>
      </c>
      <c r="T4351" t="str">
        <f>"19:49:11.602"</f>
        <v>19:49:11.602</v>
      </c>
      <c r="U4351" t="str">
        <f t="shared" si="202"/>
        <v>a1cdbe</v>
      </c>
      <c r="V4351">
        <v>0</v>
      </c>
      <c r="W4351">
        <v>0</v>
      </c>
      <c r="X4351">
        <v>2</v>
      </c>
      <c r="Y4351">
        <v>0</v>
      </c>
      <c r="Z4351">
        <v>0</v>
      </c>
      <c r="AB4351">
        <v>0</v>
      </c>
      <c r="AC4351">
        <v>9</v>
      </c>
      <c r="AD4351">
        <v>3</v>
      </c>
      <c r="AE4351">
        <v>0</v>
      </c>
      <c r="AF4351">
        <v>9</v>
      </c>
      <c r="AG4351" t="s">
        <v>115</v>
      </c>
      <c r="AH4351">
        <v>0</v>
      </c>
      <c r="AI4351">
        <v>0</v>
      </c>
      <c r="AJ4351">
        <v>1</v>
      </c>
      <c r="AK4351">
        <v>0</v>
      </c>
      <c r="AL4351" t="s">
        <v>7427</v>
      </c>
      <c r="AM4351">
        <v>47.062640000000002</v>
      </c>
      <c r="AN4351" t="s">
        <v>7917</v>
      </c>
      <c r="AO4351">
        <v>-124.00343700000001</v>
      </c>
      <c r="AP4351">
        <v>100</v>
      </c>
      <c r="AQ4351">
        <v>-100</v>
      </c>
      <c r="AR4351" t="s">
        <v>118</v>
      </c>
      <c r="AS4351">
        <v>-65</v>
      </c>
      <c r="AT4351">
        <v>-14</v>
      </c>
      <c r="AU4351">
        <v>448</v>
      </c>
      <c r="BC4351">
        <v>1200</v>
      </c>
      <c r="BD4351">
        <v>1</v>
      </c>
      <c r="BE4351" t="str">
        <f t="shared" si="203"/>
        <v xml:space="preserve">N215T   </v>
      </c>
      <c r="BF4351">
        <v>1</v>
      </c>
      <c r="BH4351">
        <v>0</v>
      </c>
      <c r="BI4351">
        <v>0</v>
      </c>
      <c r="BJ4351">
        <v>0</v>
      </c>
      <c r="BK4351">
        <v>250</v>
      </c>
      <c r="BL4351">
        <v>350</v>
      </c>
      <c r="BM4351" t="s">
        <v>119</v>
      </c>
      <c r="BN4351">
        <v>1</v>
      </c>
      <c r="BO4351">
        <v>1</v>
      </c>
      <c r="BP4351">
        <v>1</v>
      </c>
      <c r="BQ4351">
        <v>0</v>
      </c>
      <c r="BT4351">
        <v>0</v>
      </c>
      <c r="BU4351">
        <v>0</v>
      </c>
      <c r="BV4351">
        <v>0</v>
      </c>
      <c r="CC4351" t="str">
        <f>"19:49:11.711"</f>
        <v>19:49:11.711</v>
      </c>
      <c r="CD4351" t="str">
        <f>"708511594"</f>
        <v>708511594</v>
      </c>
      <c r="CQ4351">
        <v>0</v>
      </c>
      <c r="CR4351">
        <v>2</v>
      </c>
      <c r="CS4351">
        <v>0</v>
      </c>
      <c r="CT4351">
        <v>2</v>
      </c>
      <c r="CU4351">
        <v>0</v>
      </c>
      <c r="CV4351">
        <v>6</v>
      </c>
      <c r="CW4351" t="s">
        <v>120</v>
      </c>
      <c r="CX4351">
        <v>257</v>
      </c>
      <c r="CY4351">
        <v>0</v>
      </c>
      <c r="CZ4351" t="s">
        <v>615</v>
      </c>
      <c r="DA4351" t="s">
        <v>616</v>
      </c>
      <c r="DD4351">
        <v>4582</v>
      </c>
      <c r="DE4351" t="s">
        <v>123</v>
      </c>
    </row>
    <row r="4352" spans="1:109" x14ac:dyDescent="0.3">
      <c r="A4352" t="str">
        <f>"19:49:12.836"</f>
        <v>19:49:12.836</v>
      </c>
      <c r="B4352" t="s">
        <v>110</v>
      </c>
      <c r="C4352" t="str">
        <f t="shared" si="205"/>
        <v>ffdfd3c0</v>
      </c>
      <c r="D4352" t="s">
        <v>111</v>
      </c>
      <c r="E4352">
        <v>18</v>
      </c>
      <c r="F4352">
        <v>1018</v>
      </c>
      <c r="G4352" t="s">
        <v>112</v>
      </c>
      <c r="J4352" t="s">
        <v>113</v>
      </c>
      <c r="K4352">
        <v>0</v>
      </c>
      <c r="L4352">
        <v>3</v>
      </c>
      <c r="M4352">
        <v>0</v>
      </c>
      <c r="N4352">
        <v>2</v>
      </c>
      <c r="O4352">
        <v>1</v>
      </c>
      <c r="P4352">
        <v>0</v>
      </c>
      <c r="Q4352">
        <v>0</v>
      </c>
      <c r="R4352" t="s">
        <v>114</v>
      </c>
      <c r="S4352" t="str">
        <f>"19:49:12.602"</f>
        <v>19:49:12.602</v>
      </c>
      <c r="T4352" t="str">
        <f>"19:49:12.102"</f>
        <v>19:49:12.102</v>
      </c>
      <c r="U4352" t="str">
        <f t="shared" si="202"/>
        <v>a1cdbe</v>
      </c>
      <c r="V4352">
        <v>0</v>
      </c>
      <c r="W4352">
        <v>0</v>
      </c>
      <c r="X4352">
        <v>2</v>
      </c>
      <c r="Y4352">
        <v>0</v>
      </c>
      <c r="Z4352">
        <v>0</v>
      </c>
      <c r="AB4352">
        <v>0</v>
      </c>
      <c r="AC4352">
        <v>9</v>
      </c>
      <c r="AD4352">
        <v>3</v>
      </c>
      <c r="AE4352">
        <v>0</v>
      </c>
      <c r="AF4352">
        <v>9</v>
      </c>
      <c r="AG4352" t="s">
        <v>115</v>
      </c>
      <c r="AH4352">
        <v>0</v>
      </c>
      <c r="AI4352">
        <v>0</v>
      </c>
      <c r="AJ4352">
        <v>1</v>
      </c>
      <c r="AK4352">
        <v>0</v>
      </c>
      <c r="AL4352" t="s">
        <v>7918</v>
      </c>
      <c r="AM4352">
        <v>47.062533000000002</v>
      </c>
      <c r="AN4352" t="s">
        <v>7919</v>
      </c>
      <c r="AO4352">
        <v>-124.003823</v>
      </c>
      <c r="AP4352">
        <v>100</v>
      </c>
      <c r="AQ4352">
        <v>-100</v>
      </c>
      <c r="AR4352" t="s">
        <v>118</v>
      </c>
      <c r="AS4352">
        <v>-65</v>
      </c>
      <c r="AT4352">
        <v>-14</v>
      </c>
      <c r="AU4352">
        <v>448</v>
      </c>
      <c r="BC4352">
        <v>1200</v>
      </c>
      <c r="BD4352">
        <v>1</v>
      </c>
      <c r="BE4352" t="str">
        <f t="shared" si="203"/>
        <v xml:space="preserve">N215T   </v>
      </c>
      <c r="BF4352">
        <v>1</v>
      </c>
      <c r="BH4352">
        <v>0</v>
      </c>
      <c r="BI4352">
        <v>0</v>
      </c>
      <c r="BJ4352">
        <v>0</v>
      </c>
      <c r="BK4352">
        <v>250</v>
      </c>
      <c r="BL4352">
        <v>350</v>
      </c>
      <c r="BM4352" t="s">
        <v>119</v>
      </c>
      <c r="BN4352">
        <v>1</v>
      </c>
      <c r="BO4352">
        <v>1</v>
      </c>
      <c r="BP4352">
        <v>1</v>
      </c>
      <c r="BQ4352">
        <v>0</v>
      </c>
      <c r="BT4352">
        <v>0</v>
      </c>
      <c r="BU4352">
        <v>0</v>
      </c>
      <c r="BV4352">
        <v>0</v>
      </c>
      <c r="CC4352" t="str">
        <f>"19:49:12.609"</f>
        <v>19:49:12.609</v>
      </c>
      <c r="CD4352" t="str">
        <f>"608422914"</f>
        <v>608422914</v>
      </c>
      <c r="CQ4352">
        <v>0</v>
      </c>
      <c r="CR4352">
        <v>2</v>
      </c>
      <c r="CS4352">
        <v>0</v>
      </c>
      <c r="CT4352">
        <v>2</v>
      </c>
      <c r="CU4352">
        <v>0</v>
      </c>
      <c r="CV4352">
        <v>6</v>
      </c>
      <c r="CW4352" t="s">
        <v>120</v>
      </c>
      <c r="CX4352">
        <v>257</v>
      </c>
      <c r="CY4352">
        <v>0</v>
      </c>
      <c r="CZ4352" t="s">
        <v>615</v>
      </c>
      <c r="DA4352" t="s">
        <v>616</v>
      </c>
      <c r="DD4352">
        <v>4873</v>
      </c>
      <c r="DE4352" t="s">
        <v>123</v>
      </c>
    </row>
    <row r="4353" spans="1:109" x14ac:dyDescent="0.3">
      <c r="A4353" t="str">
        <f>"19:49:13.797"</f>
        <v>19:49:13.797</v>
      </c>
      <c r="B4353" t="s">
        <v>110</v>
      </c>
      <c r="C4353" t="str">
        <f t="shared" si="205"/>
        <v>ffdfd3c0</v>
      </c>
      <c r="D4353" t="s">
        <v>111</v>
      </c>
      <c r="E4353">
        <v>18</v>
      </c>
      <c r="F4353">
        <v>1018</v>
      </c>
      <c r="G4353" t="s">
        <v>112</v>
      </c>
      <c r="J4353" t="s">
        <v>113</v>
      </c>
      <c r="K4353">
        <v>0</v>
      </c>
      <c r="L4353">
        <v>3</v>
      </c>
      <c r="M4353">
        <v>0</v>
      </c>
      <c r="N4353">
        <v>2</v>
      </c>
      <c r="O4353">
        <v>1</v>
      </c>
      <c r="P4353">
        <v>0</v>
      </c>
      <c r="Q4353">
        <v>0</v>
      </c>
      <c r="R4353" t="s">
        <v>114</v>
      </c>
      <c r="S4353" t="str">
        <f>"19:49:13.547"</f>
        <v>19:49:13.547</v>
      </c>
      <c r="T4353" t="str">
        <f>"19:49:13.148"</f>
        <v>19:49:13.148</v>
      </c>
      <c r="U4353" t="str">
        <f t="shared" si="202"/>
        <v>a1cdbe</v>
      </c>
      <c r="V4353">
        <v>0</v>
      </c>
      <c r="W4353">
        <v>0</v>
      </c>
      <c r="X4353">
        <v>2</v>
      </c>
      <c r="Y4353">
        <v>0</v>
      </c>
      <c r="Z4353">
        <v>0</v>
      </c>
      <c r="AB4353">
        <v>0</v>
      </c>
      <c r="AC4353">
        <v>9</v>
      </c>
      <c r="AD4353">
        <v>3</v>
      </c>
      <c r="AE4353">
        <v>0</v>
      </c>
      <c r="AF4353">
        <v>9</v>
      </c>
      <c r="AG4353" t="s">
        <v>115</v>
      </c>
      <c r="AH4353">
        <v>0</v>
      </c>
      <c r="AI4353">
        <v>0</v>
      </c>
      <c r="AJ4353">
        <v>1</v>
      </c>
      <c r="AK4353">
        <v>0</v>
      </c>
      <c r="AL4353" t="s">
        <v>7920</v>
      </c>
      <c r="AM4353">
        <v>47.062489999999997</v>
      </c>
      <c r="AN4353" t="s">
        <v>7921</v>
      </c>
      <c r="AO4353">
        <v>-124.004188</v>
      </c>
      <c r="AP4353">
        <v>100</v>
      </c>
      <c r="AQ4353">
        <v>-100</v>
      </c>
      <c r="AR4353" t="s">
        <v>118</v>
      </c>
      <c r="AS4353">
        <v>-65</v>
      </c>
      <c r="AT4353">
        <v>-15</v>
      </c>
      <c r="AU4353">
        <v>448</v>
      </c>
      <c r="BC4353">
        <v>1200</v>
      </c>
      <c r="BD4353">
        <v>1</v>
      </c>
      <c r="BE4353" t="str">
        <f t="shared" si="203"/>
        <v xml:space="preserve">N215T   </v>
      </c>
      <c r="BF4353">
        <v>1</v>
      </c>
      <c r="BH4353">
        <v>0</v>
      </c>
      <c r="BI4353">
        <v>0</v>
      </c>
      <c r="BJ4353">
        <v>0</v>
      </c>
      <c r="BK4353">
        <v>250</v>
      </c>
      <c r="BL4353">
        <v>350</v>
      </c>
      <c r="BM4353" t="s">
        <v>119</v>
      </c>
      <c r="BN4353">
        <v>1</v>
      </c>
      <c r="BO4353">
        <v>1</v>
      </c>
      <c r="BP4353">
        <v>1</v>
      </c>
      <c r="BQ4353">
        <v>0</v>
      </c>
      <c r="BT4353">
        <v>0</v>
      </c>
      <c r="BU4353">
        <v>0</v>
      </c>
      <c r="BV4353">
        <v>0</v>
      </c>
      <c r="CC4353" t="str">
        <f>"19:49:13.555"</f>
        <v>19:49:13.555</v>
      </c>
      <c r="CD4353" t="str">
        <f>"553329809"</f>
        <v>553329809</v>
      </c>
      <c r="CQ4353">
        <v>0</v>
      </c>
      <c r="CR4353">
        <v>2</v>
      </c>
      <c r="CS4353">
        <v>0</v>
      </c>
      <c r="CT4353">
        <v>2</v>
      </c>
      <c r="CU4353">
        <v>0</v>
      </c>
      <c r="CV4353">
        <v>6</v>
      </c>
      <c r="CW4353" t="s">
        <v>120</v>
      </c>
      <c r="CX4353">
        <v>257</v>
      </c>
      <c r="CY4353">
        <v>0</v>
      </c>
      <c r="CZ4353" t="s">
        <v>615</v>
      </c>
      <c r="DA4353" t="s">
        <v>616</v>
      </c>
      <c r="DD4353">
        <v>5188</v>
      </c>
      <c r="DE4353" t="s">
        <v>123</v>
      </c>
    </row>
    <row r="4354" spans="1:109" x14ac:dyDescent="0.3">
      <c r="A4354" t="str">
        <f>"19:49:14.898"</f>
        <v>19:49:14.898</v>
      </c>
      <c r="B4354" t="s">
        <v>110</v>
      </c>
      <c r="C4354" t="str">
        <f t="shared" si="205"/>
        <v>ffdfd3c0</v>
      </c>
      <c r="D4354" t="s">
        <v>111</v>
      </c>
      <c r="E4354">
        <v>18</v>
      </c>
      <c r="F4354">
        <v>1018</v>
      </c>
      <c r="G4354" t="s">
        <v>112</v>
      </c>
      <c r="J4354" t="s">
        <v>113</v>
      </c>
      <c r="K4354">
        <v>0</v>
      </c>
      <c r="L4354">
        <v>3</v>
      </c>
      <c r="M4354">
        <v>0</v>
      </c>
      <c r="N4354">
        <v>2</v>
      </c>
      <c r="O4354">
        <v>1</v>
      </c>
      <c r="P4354">
        <v>0</v>
      </c>
      <c r="Q4354">
        <v>0</v>
      </c>
      <c r="R4354" t="s">
        <v>114</v>
      </c>
      <c r="S4354" t="str">
        <f>"19:49:14.617"</f>
        <v>19:49:14.617</v>
      </c>
      <c r="T4354" t="str">
        <f>"19:49:14.219"</f>
        <v>19:49:14.219</v>
      </c>
      <c r="U4354" t="str">
        <f t="shared" ref="U4354:U4417" si="206">"a1cdbe"</f>
        <v>a1cdbe</v>
      </c>
      <c r="V4354">
        <v>0</v>
      </c>
      <c r="W4354">
        <v>0</v>
      </c>
      <c r="X4354">
        <v>2</v>
      </c>
      <c r="Y4354">
        <v>0</v>
      </c>
      <c r="Z4354">
        <v>0</v>
      </c>
      <c r="AB4354">
        <v>0</v>
      </c>
      <c r="AC4354">
        <v>9</v>
      </c>
      <c r="AD4354">
        <v>3</v>
      </c>
      <c r="AE4354">
        <v>0</v>
      </c>
      <c r="AF4354">
        <v>9</v>
      </c>
      <c r="AG4354" t="s">
        <v>115</v>
      </c>
      <c r="AH4354">
        <v>0</v>
      </c>
      <c r="AI4354">
        <v>0</v>
      </c>
      <c r="AJ4354">
        <v>1</v>
      </c>
      <c r="AK4354">
        <v>0</v>
      </c>
      <c r="AL4354" t="s">
        <v>496</v>
      </c>
      <c r="AM4354">
        <v>47.062404000000001</v>
      </c>
      <c r="AN4354" t="s">
        <v>7377</v>
      </c>
      <c r="AO4354">
        <v>-124.004724</v>
      </c>
      <c r="AP4354">
        <v>100</v>
      </c>
      <c r="AQ4354">
        <v>-100</v>
      </c>
      <c r="AR4354" t="s">
        <v>118</v>
      </c>
      <c r="AS4354">
        <v>-65</v>
      </c>
      <c r="AT4354">
        <v>-15</v>
      </c>
      <c r="AU4354">
        <v>448</v>
      </c>
      <c r="BC4354">
        <v>1200</v>
      </c>
      <c r="BD4354">
        <v>1</v>
      </c>
      <c r="BE4354" t="str">
        <f t="shared" ref="BE4354:BE4417" si="207">"N215T   "</f>
        <v xml:space="preserve">N215T   </v>
      </c>
      <c r="BF4354">
        <v>1</v>
      </c>
      <c r="BH4354">
        <v>0</v>
      </c>
      <c r="BI4354">
        <v>0</v>
      </c>
      <c r="BJ4354">
        <v>0</v>
      </c>
      <c r="BK4354">
        <v>250</v>
      </c>
      <c r="BL4354">
        <v>350</v>
      </c>
      <c r="BM4354" t="s">
        <v>119</v>
      </c>
      <c r="BN4354">
        <v>1</v>
      </c>
      <c r="BO4354">
        <v>1</v>
      </c>
      <c r="BP4354">
        <v>1</v>
      </c>
      <c r="BQ4354">
        <v>0</v>
      </c>
      <c r="BT4354">
        <v>0</v>
      </c>
      <c r="BU4354">
        <v>0</v>
      </c>
      <c r="BV4354">
        <v>0</v>
      </c>
      <c r="CC4354" t="str">
        <f>"19:49:14.617"</f>
        <v>19:49:14.617</v>
      </c>
      <c r="CD4354" t="str">
        <f>"618224837"</f>
        <v>618224837</v>
      </c>
      <c r="CQ4354">
        <v>0</v>
      </c>
      <c r="CR4354">
        <v>2</v>
      </c>
      <c r="CS4354">
        <v>0</v>
      </c>
      <c r="CT4354">
        <v>2</v>
      </c>
      <c r="CU4354">
        <v>0</v>
      </c>
      <c r="CV4354">
        <v>6</v>
      </c>
      <c r="CW4354" t="s">
        <v>120</v>
      </c>
      <c r="CX4354">
        <v>257</v>
      </c>
      <c r="CY4354">
        <v>0</v>
      </c>
      <c r="CZ4354" t="s">
        <v>615</v>
      </c>
      <c r="DA4354" t="s">
        <v>616</v>
      </c>
      <c r="DD4354">
        <v>5500</v>
      </c>
      <c r="DE4354" t="s">
        <v>123</v>
      </c>
    </row>
    <row r="4355" spans="1:109" x14ac:dyDescent="0.3">
      <c r="A4355" t="str">
        <f>"19:49:15.805"</f>
        <v>19:49:15.805</v>
      </c>
      <c r="B4355" t="s">
        <v>110</v>
      </c>
      <c r="C4355" t="str">
        <f t="shared" si="205"/>
        <v>ffdfd3c0</v>
      </c>
      <c r="D4355" t="s">
        <v>111</v>
      </c>
      <c r="E4355">
        <v>18</v>
      </c>
      <c r="F4355">
        <v>1018</v>
      </c>
      <c r="G4355" t="s">
        <v>112</v>
      </c>
      <c r="J4355" t="s">
        <v>113</v>
      </c>
      <c r="K4355">
        <v>0</v>
      </c>
      <c r="L4355">
        <v>3</v>
      </c>
      <c r="M4355">
        <v>0</v>
      </c>
      <c r="N4355">
        <v>2</v>
      </c>
      <c r="O4355">
        <v>1</v>
      </c>
      <c r="P4355">
        <v>0</v>
      </c>
      <c r="Q4355">
        <v>0</v>
      </c>
      <c r="R4355" t="s">
        <v>114</v>
      </c>
      <c r="S4355" t="str">
        <f>"19:49:15.547"</f>
        <v>19:49:15.547</v>
      </c>
      <c r="T4355" t="str">
        <f>"19:49:15.344"</f>
        <v>19:49:15.344</v>
      </c>
      <c r="U4355" t="str">
        <f t="shared" si="206"/>
        <v>a1cdbe</v>
      </c>
      <c r="V4355">
        <v>0</v>
      </c>
      <c r="W4355">
        <v>0</v>
      </c>
      <c r="X4355">
        <v>2</v>
      </c>
      <c r="Y4355">
        <v>0</v>
      </c>
      <c r="Z4355">
        <v>0</v>
      </c>
      <c r="AB4355">
        <v>0</v>
      </c>
      <c r="AC4355">
        <v>9</v>
      </c>
      <c r="AD4355">
        <v>3</v>
      </c>
      <c r="AE4355">
        <v>0</v>
      </c>
      <c r="AF4355">
        <v>9</v>
      </c>
      <c r="AG4355" t="s">
        <v>115</v>
      </c>
      <c r="AH4355">
        <v>0</v>
      </c>
      <c r="AI4355">
        <v>0</v>
      </c>
      <c r="AJ4355">
        <v>1</v>
      </c>
      <c r="AK4355">
        <v>0</v>
      </c>
      <c r="AL4355" t="s">
        <v>7422</v>
      </c>
      <c r="AM4355">
        <v>47.062361000000003</v>
      </c>
      <c r="AN4355" t="s">
        <v>7379</v>
      </c>
      <c r="AO4355">
        <v>-124.00515300000001</v>
      </c>
      <c r="AP4355">
        <v>100</v>
      </c>
      <c r="AQ4355">
        <v>-100</v>
      </c>
      <c r="AR4355" t="s">
        <v>118</v>
      </c>
      <c r="AS4355">
        <v>-66</v>
      </c>
      <c r="AT4355">
        <v>-15</v>
      </c>
      <c r="AU4355">
        <v>512</v>
      </c>
      <c r="BC4355">
        <v>1200</v>
      </c>
      <c r="BD4355">
        <v>1</v>
      </c>
      <c r="BE4355" t="str">
        <f t="shared" si="207"/>
        <v xml:space="preserve">N215T   </v>
      </c>
      <c r="BF4355">
        <v>1</v>
      </c>
      <c r="BH4355">
        <v>0</v>
      </c>
      <c r="BI4355">
        <v>0</v>
      </c>
      <c r="BJ4355">
        <v>0</v>
      </c>
      <c r="BK4355">
        <v>275</v>
      </c>
      <c r="BL4355">
        <v>375</v>
      </c>
      <c r="BM4355" t="s">
        <v>119</v>
      </c>
      <c r="BN4355">
        <v>1</v>
      </c>
      <c r="BO4355">
        <v>1</v>
      </c>
      <c r="BP4355">
        <v>1</v>
      </c>
      <c r="BQ4355">
        <v>0</v>
      </c>
      <c r="BT4355">
        <v>0</v>
      </c>
      <c r="BU4355">
        <v>0</v>
      </c>
      <c r="BV4355">
        <v>0</v>
      </c>
      <c r="CC4355" t="str">
        <f>"19:49:15.547"</f>
        <v>19:49:15.547</v>
      </c>
      <c r="CD4355" t="str">
        <f>"548133187"</f>
        <v>548133187</v>
      </c>
      <c r="CQ4355">
        <v>0</v>
      </c>
      <c r="CR4355">
        <v>2</v>
      </c>
      <c r="CS4355">
        <v>0</v>
      </c>
      <c r="CT4355">
        <v>2</v>
      </c>
      <c r="CU4355">
        <v>0</v>
      </c>
      <c r="CV4355">
        <v>6</v>
      </c>
      <c r="CW4355" t="s">
        <v>120</v>
      </c>
      <c r="CX4355">
        <v>257</v>
      </c>
      <c r="CY4355">
        <v>0</v>
      </c>
      <c r="CZ4355" t="s">
        <v>615</v>
      </c>
      <c r="DA4355" t="s">
        <v>616</v>
      </c>
      <c r="DD4355">
        <v>5781</v>
      </c>
      <c r="DE4355" t="s">
        <v>123</v>
      </c>
    </row>
    <row r="4356" spans="1:109" x14ac:dyDescent="0.3">
      <c r="A4356" t="str">
        <f>"19:49:16.914"</f>
        <v>19:49:16.914</v>
      </c>
      <c r="B4356" t="s">
        <v>110</v>
      </c>
      <c r="C4356" t="str">
        <f t="shared" si="205"/>
        <v>ffdfd3c0</v>
      </c>
      <c r="D4356" t="s">
        <v>111</v>
      </c>
      <c r="E4356">
        <v>18</v>
      </c>
      <c r="F4356">
        <v>1018</v>
      </c>
      <c r="G4356" t="s">
        <v>112</v>
      </c>
      <c r="J4356" t="s">
        <v>113</v>
      </c>
      <c r="K4356">
        <v>0</v>
      </c>
      <c r="L4356">
        <v>3</v>
      </c>
      <c r="M4356">
        <v>0</v>
      </c>
      <c r="N4356">
        <v>2</v>
      </c>
      <c r="O4356">
        <v>1</v>
      </c>
      <c r="P4356">
        <v>0</v>
      </c>
      <c r="Q4356">
        <v>0</v>
      </c>
      <c r="R4356" t="s">
        <v>114</v>
      </c>
      <c r="S4356" t="str">
        <f>"19:49:16.688"</f>
        <v>19:49:16.688</v>
      </c>
      <c r="T4356" t="str">
        <f>"19:49:16.188"</f>
        <v>19:49:16.188</v>
      </c>
      <c r="U4356" t="str">
        <f t="shared" si="206"/>
        <v>a1cdbe</v>
      </c>
      <c r="V4356">
        <v>0</v>
      </c>
      <c r="W4356">
        <v>0</v>
      </c>
      <c r="X4356">
        <v>2</v>
      </c>
      <c r="Y4356">
        <v>0</v>
      </c>
      <c r="Z4356">
        <v>0</v>
      </c>
      <c r="AB4356">
        <v>0</v>
      </c>
      <c r="AC4356">
        <v>9</v>
      </c>
      <c r="AD4356">
        <v>3</v>
      </c>
      <c r="AE4356">
        <v>0</v>
      </c>
      <c r="AF4356">
        <v>9</v>
      </c>
      <c r="AG4356" t="s">
        <v>115</v>
      </c>
      <c r="AH4356">
        <v>0</v>
      </c>
      <c r="AI4356">
        <v>0</v>
      </c>
      <c r="AJ4356">
        <v>1</v>
      </c>
      <c r="AK4356">
        <v>0</v>
      </c>
      <c r="AL4356" t="s">
        <v>7922</v>
      </c>
      <c r="AM4356">
        <v>47.062254000000003</v>
      </c>
      <c r="AN4356" t="s">
        <v>7923</v>
      </c>
      <c r="AO4356">
        <v>-124.005647</v>
      </c>
      <c r="AP4356">
        <v>100</v>
      </c>
      <c r="AQ4356">
        <v>-100</v>
      </c>
      <c r="AR4356" t="s">
        <v>118</v>
      </c>
      <c r="AS4356">
        <v>-66</v>
      </c>
      <c r="AT4356">
        <v>-16</v>
      </c>
      <c r="AU4356">
        <v>448</v>
      </c>
      <c r="BC4356">
        <v>1200</v>
      </c>
      <c r="BD4356">
        <v>1</v>
      </c>
      <c r="BE4356" t="str">
        <f t="shared" si="207"/>
        <v xml:space="preserve">N215T   </v>
      </c>
      <c r="BF4356">
        <v>1</v>
      </c>
      <c r="BH4356">
        <v>0</v>
      </c>
      <c r="BI4356">
        <v>0</v>
      </c>
      <c r="BJ4356">
        <v>0</v>
      </c>
      <c r="BK4356">
        <v>275</v>
      </c>
      <c r="BL4356">
        <v>375</v>
      </c>
      <c r="BM4356" t="s">
        <v>119</v>
      </c>
      <c r="BN4356">
        <v>1</v>
      </c>
      <c r="BO4356">
        <v>1</v>
      </c>
      <c r="BP4356">
        <v>1</v>
      </c>
      <c r="BQ4356">
        <v>0</v>
      </c>
      <c r="BT4356">
        <v>0</v>
      </c>
      <c r="BU4356">
        <v>0</v>
      </c>
      <c r="BV4356">
        <v>0</v>
      </c>
      <c r="CC4356" t="str">
        <f>"19:49:16.688"</f>
        <v>19:49:16.688</v>
      </c>
      <c r="CD4356" t="str">
        <f>"688020844"</f>
        <v>688020844</v>
      </c>
      <c r="CQ4356">
        <v>0</v>
      </c>
      <c r="CR4356">
        <v>2</v>
      </c>
      <c r="CS4356">
        <v>0</v>
      </c>
      <c r="CT4356">
        <v>2</v>
      </c>
      <c r="CU4356">
        <v>0</v>
      </c>
      <c r="CV4356">
        <v>6</v>
      </c>
      <c r="CW4356" t="s">
        <v>120</v>
      </c>
      <c r="CX4356">
        <v>257</v>
      </c>
      <c r="CY4356">
        <v>0</v>
      </c>
      <c r="CZ4356" t="s">
        <v>615</v>
      </c>
      <c r="DA4356" t="s">
        <v>616</v>
      </c>
      <c r="DD4356">
        <v>6151</v>
      </c>
      <c r="DE4356" t="s">
        <v>123</v>
      </c>
    </row>
    <row r="4357" spans="1:109" x14ac:dyDescent="0.3">
      <c r="A4357" t="str">
        <f>"19:49:17.867"</f>
        <v>19:49:17.867</v>
      </c>
      <c r="B4357" t="s">
        <v>110</v>
      </c>
      <c r="C4357" t="str">
        <f t="shared" si="205"/>
        <v>ffdfd3c0</v>
      </c>
      <c r="D4357" t="s">
        <v>111</v>
      </c>
      <c r="E4357">
        <v>18</v>
      </c>
      <c r="F4357">
        <v>1018</v>
      </c>
      <c r="G4357" t="s">
        <v>112</v>
      </c>
      <c r="J4357" t="s">
        <v>113</v>
      </c>
      <c r="K4357">
        <v>0</v>
      </c>
      <c r="L4357">
        <v>3</v>
      </c>
      <c r="M4357">
        <v>0</v>
      </c>
      <c r="N4357">
        <v>2</v>
      </c>
      <c r="O4357">
        <v>1</v>
      </c>
      <c r="P4357">
        <v>0</v>
      </c>
      <c r="Q4357">
        <v>0</v>
      </c>
      <c r="R4357" t="s">
        <v>114</v>
      </c>
      <c r="S4357" t="str">
        <f>"19:49:17.641"</f>
        <v>19:49:17.641</v>
      </c>
      <c r="T4357" t="str">
        <f>"19:49:17.242"</f>
        <v>19:49:17.242</v>
      </c>
      <c r="U4357" t="str">
        <f t="shared" si="206"/>
        <v>a1cdbe</v>
      </c>
      <c r="V4357">
        <v>0</v>
      </c>
      <c r="W4357">
        <v>0</v>
      </c>
      <c r="X4357">
        <v>2</v>
      </c>
      <c r="Y4357">
        <v>0</v>
      </c>
      <c r="Z4357">
        <v>0</v>
      </c>
      <c r="AB4357">
        <v>0</v>
      </c>
      <c r="AC4357">
        <v>9</v>
      </c>
      <c r="AD4357">
        <v>3</v>
      </c>
      <c r="AE4357">
        <v>0</v>
      </c>
      <c r="AF4357">
        <v>9</v>
      </c>
      <c r="AG4357" t="s">
        <v>115</v>
      </c>
      <c r="AH4357">
        <v>0</v>
      </c>
      <c r="AI4357">
        <v>0</v>
      </c>
      <c r="AJ4357">
        <v>1</v>
      </c>
      <c r="AK4357">
        <v>0</v>
      </c>
      <c r="AL4357" t="s">
        <v>7924</v>
      </c>
      <c r="AM4357">
        <v>47.062190000000001</v>
      </c>
      <c r="AN4357" t="s">
        <v>7925</v>
      </c>
      <c r="AO4357">
        <v>-124.00605400000001</v>
      </c>
      <c r="AP4357">
        <v>100</v>
      </c>
      <c r="AQ4357">
        <v>-100</v>
      </c>
      <c r="AR4357" t="s">
        <v>118</v>
      </c>
      <c r="AS4357">
        <v>-66</v>
      </c>
      <c r="AT4357">
        <v>-17</v>
      </c>
      <c r="AU4357">
        <v>576</v>
      </c>
      <c r="BC4357">
        <v>1200</v>
      </c>
      <c r="BD4357">
        <v>1</v>
      </c>
      <c r="BE4357" t="str">
        <f t="shared" si="207"/>
        <v xml:space="preserve">N215T   </v>
      </c>
      <c r="BF4357">
        <v>1</v>
      </c>
      <c r="BH4357">
        <v>0</v>
      </c>
      <c r="BI4357">
        <v>0</v>
      </c>
      <c r="BJ4357">
        <v>0</v>
      </c>
      <c r="BK4357">
        <v>275</v>
      </c>
      <c r="BL4357">
        <v>375</v>
      </c>
      <c r="BM4357" t="s">
        <v>119</v>
      </c>
      <c r="BN4357">
        <v>1</v>
      </c>
      <c r="BO4357">
        <v>1</v>
      </c>
      <c r="BP4357">
        <v>1</v>
      </c>
      <c r="BQ4357">
        <v>0</v>
      </c>
      <c r="BT4357">
        <v>0</v>
      </c>
      <c r="BU4357">
        <v>0</v>
      </c>
      <c r="BV4357">
        <v>0</v>
      </c>
      <c r="CC4357" t="str">
        <f>"19:49:17.648"</f>
        <v>19:49:17.648</v>
      </c>
      <c r="CD4357" t="str">
        <f>"647926246"</f>
        <v>647926246</v>
      </c>
      <c r="CQ4357">
        <v>0</v>
      </c>
      <c r="CR4357">
        <v>2</v>
      </c>
      <c r="CS4357">
        <v>0</v>
      </c>
      <c r="CT4357">
        <v>2</v>
      </c>
      <c r="CU4357">
        <v>0</v>
      </c>
      <c r="CV4357">
        <v>6</v>
      </c>
      <c r="CW4357" t="s">
        <v>120</v>
      </c>
      <c r="CX4357">
        <v>257</v>
      </c>
      <c r="CY4357">
        <v>0</v>
      </c>
      <c r="CZ4357" t="s">
        <v>615</v>
      </c>
      <c r="DA4357" t="s">
        <v>616</v>
      </c>
      <c r="DD4357">
        <v>6442</v>
      </c>
      <c r="DE4357" t="s">
        <v>123</v>
      </c>
    </row>
    <row r="4358" spans="1:109" x14ac:dyDescent="0.3">
      <c r="A4358" t="str">
        <f>"19:49:18.977"</f>
        <v>19:49:18.977</v>
      </c>
      <c r="B4358" t="s">
        <v>110</v>
      </c>
      <c r="C4358" t="str">
        <f t="shared" si="205"/>
        <v>ffdfd3c0</v>
      </c>
      <c r="D4358" t="s">
        <v>111</v>
      </c>
      <c r="E4358">
        <v>18</v>
      </c>
      <c r="F4358">
        <v>1018</v>
      </c>
      <c r="G4358" t="s">
        <v>112</v>
      </c>
      <c r="J4358" t="s">
        <v>113</v>
      </c>
      <c r="K4358">
        <v>0</v>
      </c>
      <c r="L4358">
        <v>3</v>
      </c>
      <c r="M4358">
        <v>0</v>
      </c>
      <c r="N4358">
        <v>2</v>
      </c>
      <c r="O4358">
        <v>1</v>
      </c>
      <c r="P4358">
        <v>0</v>
      </c>
      <c r="Q4358">
        <v>0</v>
      </c>
      <c r="R4358" t="s">
        <v>114</v>
      </c>
      <c r="S4358" t="str">
        <f>"19:49:18.711"</f>
        <v>19:49:18.711</v>
      </c>
      <c r="T4358" t="str">
        <f>"19:49:18.609"</f>
        <v>19:49:18.609</v>
      </c>
      <c r="U4358" t="str">
        <f t="shared" si="206"/>
        <v>a1cdbe</v>
      </c>
      <c r="V4358">
        <v>0</v>
      </c>
      <c r="W4358">
        <v>0</v>
      </c>
      <c r="X4358">
        <v>2</v>
      </c>
      <c r="Y4358">
        <v>0</v>
      </c>
      <c r="Z4358">
        <v>0</v>
      </c>
      <c r="AB4358">
        <v>0</v>
      </c>
      <c r="AC4358">
        <v>9</v>
      </c>
      <c r="AD4358">
        <v>3</v>
      </c>
      <c r="AE4358">
        <v>0</v>
      </c>
      <c r="AF4358">
        <v>9</v>
      </c>
      <c r="AG4358" t="s">
        <v>115</v>
      </c>
      <c r="AH4358">
        <v>0</v>
      </c>
      <c r="AI4358">
        <v>0</v>
      </c>
      <c r="AJ4358">
        <v>1</v>
      </c>
      <c r="AK4358">
        <v>0</v>
      </c>
      <c r="AL4358" t="s">
        <v>7523</v>
      </c>
      <c r="AM4358">
        <v>47.062125000000002</v>
      </c>
      <c r="AN4358" t="s">
        <v>7926</v>
      </c>
      <c r="AO4358">
        <v>-124.006569</v>
      </c>
      <c r="AP4358">
        <v>100</v>
      </c>
      <c r="AQ4358">
        <v>-100</v>
      </c>
      <c r="AR4358" t="s">
        <v>118</v>
      </c>
      <c r="AS4358">
        <v>-66</v>
      </c>
      <c r="AT4358">
        <v>-18</v>
      </c>
      <c r="AU4358">
        <v>768</v>
      </c>
      <c r="BC4358">
        <v>1200</v>
      </c>
      <c r="BD4358">
        <v>1</v>
      </c>
      <c r="BE4358" t="str">
        <f t="shared" si="207"/>
        <v xml:space="preserve">N215T   </v>
      </c>
      <c r="BF4358">
        <v>1</v>
      </c>
      <c r="BH4358">
        <v>0</v>
      </c>
      <c r="BI4358">
        <v>0</v>
      </c>
      <c r="BJ4358">
        <v>0</v>
      </c>
      <c r="BK4358">
        <v>300</v>
      </c>
      <c r="BL4358">
        <v>400</v>
      </c>
      <c r="BM4358" t="s">
        <v>119</v>
      </c>
      <c r="BN4358">
        <v>1</v>
      </c>
      <c r="BO4358">
        <v>1</v>
      </c>
      <c r="BP4358">
        <v>1</v>
      </c>
      <c r="BQ4358">
        <v>0</v>
      </c>
      <c r="BT4358">
        <v>0</v>
      </c>
      <c r="BU4358">
        <v>0</v>
      </c>
      <c r="BV4358">
        <v>0</v>
      </c>
      <c r="CC4358" t="str">
        <f>"19:49:18.711"</f>
        <v>19:49:18.711</v>
      </c>
      <c r="CD4358" t="str">
        <f>"712821274"</f>
        <v>712821274</v>
      </c>
      <c r="CQ4358">
        <v>0</v>
      </c>
      <c r="CR4358">
        <v>2</v>
      </c>
      <c r="CS4358">
        <v>0</v>
      </c>
      <c r="CT4358">
        <v>2</v>
      </c>
      <c r="CU4358">
        <v>0</v>
      </c>
      <c r="CV4358">
        <v>5</v>
      </c>
      <c r="CW4358" t="s">
        <v>120</v>
      </c>
      <c r="CX4358">
        <v>257</v>
      </c>
      <c r="CY4358">
        <v>0</v>
      </c>
      <c r="CZ4358" t="s">
        <v>615</v>
      </c>
      <c r="DA4358" t="s">
        <v>616</v>
      </c>
      <c r="DD4358">
        <v>6762</v>
      </c>
      <c r="DE4358" t="s">
        <v>123</v>
      </c>
    </row>
    <row r="4359" spans="1:109" x14ac:dyDescent="0.3">
      <c r="A4359" t="str">
        <f>"19:49:19.930"</f>
        <v>19:49:19.930</v>
      </c>
      <c r="B4359" t="s">
        <v>110</v>
      </c>
      <c r="C4359" t="str">
        <f t="shared" si="205"/>
        <v>ffdfd3c0</v>
      </c>
      <c r="D4359" t="s">
        <v>111</v>
      </c>
      <c r="E4359">
        <v>18</v>
      </c>
      <c r="F4359">
        <v>1018</v>
      </c>
      <c r="G4359" t="s">
        <v>112</v>
      </c>
      <c r="J4359" t="s">
        <v>113</v>
      </c>
      <c r="K4359">
        <v>0</v>
      </c>
      <c r="L4359">
        <v>3</v>
      </c>
      <c r="M4359">
        <v>0</v>
      </c>
      <c r="N4359">
        <v>2</v>
      </c>
      <c r="O4359">
        <v>1</v>
      </c>
      <c r="P4359">
        <v>0</v>
      </c>
      <c r="Q4359">
        <v>0</v>
      </c>
      <c r="R4359" t="s">
        <v>114</v>
      </c>
      <c r="S4359" t="str">
        <f>"19:49:19.656"</f>
        <v>19:49:19.656</v>
      </c>
      <c r="T4359" t="str">
        <f>"19:49:19.156"</f>
        <v>19:49:19.156</v>
      </c>
      <c r="U4359" t="str">
        <f t="shared" si="206"/>
        <v>a1cdbe</v>
      </c>
      <c r="V4359">
        <v>0</v>
      </c>
      <c r="W4359">
        <v>0</v>
      </c>
      <c r="X4359">
        <v>2</v>
      </c>
      <c r="Y4359">
        <v>0</v>
      </c>
      <c r="Z4359">
        <v>0</v>
      </c>
      <c r="AB4359">
        <v>0</v>
      </c>
      <c r="AC4359">
        <v>9</v>
      </c>
      <c r="AD4359">
        <v>3</v>
      </c>
      <c r="AE4359">
        <v>0</v>
      </c>
      <c r="AF4359">
        <v>9</v>
      </c>
      <c r="AG4359" t="s">
        <v>115</v>
      </c>
      <c r="AH4359">
        <v>0</v>
      </c>
      <c r="AI4359">
        <v>0</v>
      </c>
      <c r="AJ4359">
        <v>1</v>
      </c>
      <c r="AK4359">
        <v>0</v>
      </c>
      <c r="AL4359" t="s">
        <v>498</v>
      </c>
      <c r="AM4359">
        <v>47.062038999999999</v>
      </c>
      <c r="AN4359" t="s">
        <v>7927</v>
      </c>
      <c r="AO4359">
        <v>-124.006934</v>
      </c>
      <c r="AP4359">
        <v>100</v>
      </c>
      <c r="AQ4359">
        <v>-100</v>
      </c>
      <c r="AR4359" t="s">
        <v>118</v>
      </c>
      <c r="AS4359">
        <v>-67</v>
      </c>
      <c r="AT4359">
        <v>-18</v>
      </c>
      <c r="AU4359">
        <v>640</v>
      </c>
      <c r="BC4359">
        <v>1200</v>
      </c>
      <c r="BD4359">
        <v>1</v>
      </c>
      <c r="BE4359" t="str">
        <f t="shared" si="207"/>
        <v xml:space="preserve">N215T   </v>
      </c>
      <c r="BF4359">
        <v>1</v>
      </c>
      <c r="BH4359">
        <v>0</v>
      </c>
      <c r="BI4359">
        <v>0</v>
      </c>
      <c r="BJ4359">
        <v>0</v>
      </c>
      <c r="BK4359">
        <v>300</v>
      </c>
      <c r="BL4359">
        <v>400</v>
      </c>
      <c r="BM4359" t="s">
        <v>119</v>
      </c>
      <c r="BN4359">
        <v>1</v>
      </c>
      <c r="BO4359">
        <v>1</v>
      </c>
      <c r="BP4359">
        <v>1</v>
      </c>
      <c r="BQ4359">
        <v>0</v>
      </c>
      <c r="BT4359">
        <v>0</v>
      </c>
      <c r="BU4359">
        <v>0</v>
      </c>
      <c r="BV4359">
        <v>0</v>
      </c>
      <c r="CC4359" t="str">
        <f>"19:49:19.656"</f>
        <v>19:49:19.656</v>
      </c>
      <c r="CD4359" t="str">
        <f>"657728148"</f>
        <v>657728148</v>
      </c>
      <c r="CQ4359">
        <v>0</v>
      </c>
      <c r="CR4359">
        <v>2</v>
      </c>
      <c r="CS4359">
        <v>0</v>
      </c>
      <c r="CT4359">
        <v>2</v>
      </c>
      <c r="CU4359">
        <v>0</v>
      </c>
      <c r="CV4359">
        <v>6</v>
      </c>
      <c r="CW4359" t="s">
        <v>120</v>
      </c>
      <c r="CX4359">
        <v>257</v>
      </c>
      <c r="CY4359">
        <v>0</v>
      </c>
      <c r="CZ4359" t="s">
        <v>615</v>
      </c>
      <c r="DA4359" t="s">
        <v>616</v>
      </c>
      <c r="DD4359">
        <v>7061</v>
      </c>
      <c r="DE4359" t="s">
        <v>123</v>
      </c>
    </row>
    <row r="4360" spans="1:109" x14ac:dyDescent="0.3">
      <c r="A4360" t="str">
        <f>"19:49:20.781"</f>
        <v>19:49:20.781</v>
      </c>
      <c r="B4360" t="s">
        <v>110</v>
      </c>
      <c r="C4360" t="str">
        <f t="shared" si="205"/>
        <v>ffdfd3c0</v>
      </c>
      <c r="D4360" t="s">
        <v>111</v>
      </c>
      <c r="E4360">
        <v>18</v>
      </c>
      <c r="F4360">
        <v>1018</v>
      </c>
      <c r="G4360" t="s">
        <v>112</v>
      </c>
      <c r="J4360" t="s">
        <v>113</v>
      </c>
      <c r="K4360">
        <v>0</v>
      </c>
      <c r="L4360">
        <v>3</v>
      </c>
      <c r="M4360">
        <v>0</v>
      </c>
      <c r="N4360">
        <v>2</v>
      </c>
      <c r="O4360">
        <v>1</v>
      </c>
      <c r="P4360">
        <v>0</v>
      </c>
      <c r="Q4360">
        <v>0</v>
      </c>
      <c r="R4360" t="s">
        <v>114</v>
      </c>
      <c r="S4360" t="str">
        <f>"19:49:20.539"</f>
        <v>19:49:20.539</v>
      </c>
      <c r="T4360" t="str">
        <f>"19:49:20.141"</f>
        <v>19:49:20.141</v>
      </c>
      <c r="U4360" t="str">
        <f t="shared" si="206"/>
        <v>a1cdbe</v>
      </c>
      <c r="V4360">
        <v>0</v>
      </c>
      <c r="W4360">
        <v>0</v>
      </c>
      <c r="X4360">
        <v>2</v>
      </c>
      <c r="Y4360">
        <v>0</v>
      </c>
      <c r="Z4360">
        <v>0</v>
      </c>
      <c r="AB4360">
        <v>0</v>
      </c>
      <c r="AC4360">
        <v>9</v>
      </c>
      <c r="AD4360">
        <v>3</v>
      </c>
      <c r="AE4360">
        <v>0</v>
      </c>
      <c r="AF4360">
        <v>9</v>
      </c>
      <c r="AG4360" t="s">
        <v>115</v>
      </c>
      <c r="AH4360">
        <v>0</v>
      </c>
      <c r="AI4360">
        <v>0</v>
      </c>
      <c r="AJ4360">
        <v>1</v>
      </c>
      <c r="AK4360">
        <v>0</v>
      </c>
      <c r="AL4360" t="s">
        <v>7413</v>
      </c>
      <c r="AM4360">
        <v>47.061954</v>
      </c>
      <c r="AN4360" t="s">
        <v>7928</v>
      </c>
      <c r="AO4360">
        <v>-124.007363</v>
      </c>
      <c r="AP4360">
        <v>100</v>
      </c>
      <c r="AQ4360">
        <v>-100</v>
      </c>
      <c r="AR4360" t="s">
        <v>118</v>
      </c>
      <c r="AS4360">
        <v>-67</v>
      </c>
      <c r="AT4360">
        <v>-17</v>
      </c>
      <c r="AU4360">
        <v>576</v>
      </c>
      <c r="BC4360">
        <v>1200</v>
      </c>
      <c r="BD4360">
        <v>1</v>
      </c>
      <c r="BE4360" t="str">
        <f t="shared" si="207"/>
        <v xml:space="preserve">N215T   </v>
      </c>
      <c r="BF4360">
        <v>1</v>
      </c>
      <c r="BH4360">
        <v>0</v>
      </c>
      <c r="BI4360">
        <v>0</v>
      </c>
      <c r="BJ4360">
        <v>0</v>
      </c>
      <c r="BK4360">
        <v>300</v>
      </c>
      <c r="BL4360">
        <v>400</v>
      </c>
      <c r="BM4360" t="s">
        <v>119</v>
      </c>
      <c r="BN4360">
        <v>1</v>
      </c>
      <c r="BO4360">
        <v>1</v>
      </c>
      <c r="BP4360">
        <v>1</v>
      </c>
      <c r="BQ4360">
        <v>0</v>
      </c>
      <c r="BT4360">
        <v>0</v>
      </c>
      <c r="BU4360">
        <v>0</v>
      </c>
      <c r="BV4360">
        <v>0</v>
      </c>
      <c r="CC4360" t="str">
        <f>"19:49:20.539"</f>
        <v>19:49:20.539</v>
      </c>
      <c r="CD4360" t="str">
        <f>"542640928"</f>
        <v>542640928</v>
      </c>
      <c r="CQ4360">
        <v>0</v>
      </c>
      <c r="CR4360">
        <v>2</v>
      </c>
      <c r="CS4360">
        <v>0</v>
      </c>
      <c r="CT4360">
        <v>2</v>
      </c>
      <c r="CU4360">
        <v>0</v>
      </c>
      <c r="CV4360">
        <v>6</v>
      </c>
      <c r="CW4360" t="s">
        <v>120</v>
      </c>
      <c r="CX4360">
        <v>257</v>
      </c>
      <c r="CY4360">
        <v>0</v>
      </c>
      <c r="CZ4360" t="s">
        <v>615</v>
      </c>
      <c r="DA4360" t="s">
        <v>616</v>
      </c>
      <c r="DD4360">
        <v>7320</v>
      </c>
      <c r="DE4360" t="s">
        <v>123</v>
      </c>
    </row>
    <row r="4361" spans="1:109" x14ac:dyDescent="0.3">
      <c r="A4361" t="str">
        <f>"19:49:21.688"</f>
        <v>19:49:21.688</v>
      </c>
      <c r="B4361" t="s">
        <v>110</v>
      </c>
      <c r="C4361" t="str">
        <f t="shared" si="205"/>
        <v>ffdfd3c0</v>
      </c>
      <c r="D4361" t="s">
        <v>111</v>
      </c>
      <c r="E4361">
        <v>18</v>
      </c>
      <c r="F4361">
        <v>1018</v>
      </c>
      <c r="G4361" t="s">
        <v>112</v>
      </c>
      <c r="J4361" t="s">
        <v>113</v>
      </c>
      <c r="K4361">
        <v>0</v>
      </c>
      <c r="L4361">
        <v>3</v>
      </c>
      <c r="M4361">
        <v>0</v>
      </c>
      <c r="N4361">
        <v>2</v>
      </c>
      <c r="O4361">
        <v>1</v>
      </c>
      <c r="P4361">
        <v>0</v>
      </c>
      <c r="Q4361">
        <v>0</v>
      </c>
      <c r="R4361" t="s">
        <v>114</v>
      </c>
      <c r="S4361" t="str">
        <f>"19:49:21.422"</f>
        <v>19:49:21.422</v>
      </c>
      <c r="T4361" t="str">
        <f>"19:49:21.219"</f>
        <v>19:49:21.219</v>
      </c>
      <c r="U4361" t="str">
        <f t="shared" si="206"/>
        <v>a1cdbe</v>
      </c>
      <c r="V4361">
        <v>0</v>
      </c>
      <c r="W4361">
        <v>0</v>
      </c>
      <c r="X4361">
        <v>2</v>
      </c>
      <c r="Y4361">
        <v>0</v>
      </c>
      <c r="Z4361">
        <v>0</v>
      </c>
      <c r="AB4361">
        <v>0</v>
      </c>
      <c r="AC4361">
        <v>9</v>
      </c>
      <c r="AD4361">
        <v>3</v>
      </c>
      <c r="AE4361">
        <v>0</v>
      </c>
      <c r="AF4361">
        <v>9</v>
      </c>
      <c r="AG4361" t="s">
        <v>115</v>
      </c>
      <c r="AH4361">
        <v>0</v>
      </c>
      <c r="AI4361">
        <v>0</v>
      </c>
      <c r="AJ4361">
        <v>1</v>
      </c>
      <c r="AK4361">
        <v>0</v>
      </c>
      <c r="AL4361" t="s">
        <v>7548</v>
      </c>
      <c r="AM4361">
        <v>47.061889000000001</v>
      </c>
      <c r="AN4361" t="s">
        <v>7929</v>
      </c>
      <c r="AO4361">
        <v>-124.00775</v>
      </c>
      <c r="AP4361">
        <v>100</v>
      </c>
      <c r="AQ4361">
        <v>-100</v>
      </c>
      <c r="AR4361" t="s">
        <v>118</v>
      </c>
      <c r="AS4361">
        <v>-67</v>
      </c>
      <c r="AT4361">
        <v>-18</v>
      </c>
      <c r="AU4361">
        <v>512</v>
      </c>
      <c r="BC4361">
        <v>1200</v>
      </c>
      <c r="BD4361">
        <v>1</v>
      </c>
      <c r="BE4361" t="str">
        <f t="shared" si="207"/>
        <v xml:space="preserve">N215T   </v>
      </c>
      <c r="BF4361">
        <v>1</v>
      </c>
      <c r="BH4361">
        <v>0</v>
      </c>
      <c r="BI4361">
        <v>0</v>
      </c>
      <c r="BJ4361">
        <v>0</v>
      </c>
      <c r="BK4361">
        <v>325</v>
      </c>
      <c r="BL4361">
        <v>425</v>
      </c>
      <c r="BM4361" t="s">
        <v>119</v>
      </c>
      <c r="BN4361">
        <v>1</v>
      </c>
      <c r="BO4361">
        <v>1</v>
      </c>
      <c r="BP4361">
        <v>1</v>
      </c>
      <c r="BQ4361">
        <v>0</v>
      </c>
      <c r="BT4361">
        <v>0</v>
      </c>
      <c r="BU4361">
        <v>0</v>
      </c>
      <c r="BV4361">
        <v>0</v>
      </c>
      <c r="CC4361" t="str">
        <f>"19:49:21.430"</f>
        <v>19:49:21.430</v>
      </c>
      <c r="CD4361" t="str">
        <f>"427553729"</f>
        <v>427553729</v>
      </c>
      <c r="CQ4361">
        <v>0</v>
      </c>
      <c r="CR4361">
        <v>2</v>
      </c>
      <c r="CS4361">
        <v>0</v>
      </c>
      <c r="CT4361">
        <v>2</v>
      </c>
      <c r="CU4361">
        <v>0</v>
      </c>
      <c r="CV4361">
        <v>6</v>
      </c>
      <c r="CW4361" t="s">
        <v>120</v>
      </c>
      <c r="CX4361">
        <v>257</v>
      </c>
      <c r="CY4361">
        <v>0</v>
      </c>
      <c r="CZ4361" t="s">
        <v>615</v>
      </c>
      <c r="DA4361" t="s">
        <v>616</v>
      </c>
      <c r="DD4361">
        <v>7622</v>
      </c>
      <c r="DE4361" t="s">
        <v>123</v>
      </c>
    </row>
    <row r="4362" spans="1:109" x14ac:dyDescent="0.3">
      <c r="A4362" t="str">
        <f>"19:49:22.742"</f>
        <v>19:49:22.742</v>
      </c>
      <c r="B4362" t="s">
        <v>110</v>
      </c>
      <c r="C4362" t="str">
        <f t="shared" si="205"/>
        <v>ffdfd3c0</v>
      </c>
      <c r="D4362" t="s">
        <v>111</v>
      </c>
      <c r="E4362">
        <v>18</v>
      </c>
      <c r="F4362">
        <v>1018</v>
      </c>
      <c r="G4362" t="s">
        <v>112</v>
      </c>
      <c r="J4362" t="s">
        <v>113</v>
      </c>
      <c r="K4362">
        <v>0</v>
      </c>
      <c r="L4362">
        <v>3</v>
      </c>
      <c r="M4362">
        <v>0</v>
      </c>
      <c r="N4362">
        <v>2</v>
      </c>
      <c r="O4362">
        <v>1</v>
      </c>
      <c r="P4362">
        <v>0</v>
      </c>
      <c r="Q4362">
        <v>0</v>
      </c>
      <c r="R4362" t="s">
        <v>114</v>
      </c>
      <c r="S4362" t="str">
        <f>"19:49:22.500"</f>
        <v>19:49:22.500</v>
      </c>
      <c r="T4362" t="str">
        <f>"19:49:22.297"</f>
        <v>19:49:22.297</v>
      </c>
      <c r="U4362" t="str">
        <f t="shared" si="206"/>
        <v>a1cdbe</v>
      </c>
      <c r="V4362">
        <v>0</v>
      </c>
      <c r="W4362">
        <v>0</v>
      </c>
      <c r="X4362">
        <v>2</v>
      </c>
      <c r="Y4362">
        <v>0</v>
      </c>
      <c r="Z4362">
        <v>0</v>
      </c>
      <c r="AB4362">
        <v>0</v>
      </c>
      <c r="AC4362">
        <v>9</v>
      </c>
      <c r="AD4362">
        <v>3</v>
      </c>
      <c r="AE4362">
        <v>0</v>
      </c>
      <c r="AF4362">
        <v>9</v>
      </c>
      <c r="AG4362" t="s">
        <v>115</v>
      </c>
      <c r="AH4362">
        <v>0</v>
      </c>
      <c r="AI4362">
        <v>0</v>
      </c>
      <c r="AJ4362">
        <v>1</v>
      </c>
      <c r="AK4362">
        <v>0</v>
      </c>
      <c r="AL4362" t="s">
        <v>7546</v>
      </c>
      <c r="AM4362">
        <v>47.061802999999998</v>
      </c>
      <c r="AN4362" t="s">
        <v>7930</v>
      </c>
      <c r="AO4362">
        <v>-124.00824299999999</v>
      </c>
      <c r="AP4362">
        <v>100</v>
      </c>
      <c r="AQ4362">
        <v>0</v>
      </c>
      <c r="AR4362" t="s">
        <v>118</v>
      </c>
      <c r="AS4362">
        <v>-67</v>
      </c>
      <c r="AT4362">
        <v>-18</v>
      </c>
      <c r="AU4362">
        <v>512</v>
      </c>
      <c r="BC4362">
        <v>1200</v>
      </c>
      <c r="BD4362">
        <v>1</v>
      </c>
      <c r="BE4362" t="str">
        <f t="shared" si="207"/>
        <v xml:space="preserve">N215T   </v>
      </c>
      <c r="BF4362">
        <v>1</v>
      </c>
      <c r="BH4362">
        <v>0</v>
      </c>
      <c r="BI4362">
        <v>0</v>
      </c>
      <c r="BJ4362">
        <v>0</v>
      </c>
      <c r="BK4362">
        <v>325</v>
      </c>
      <c r="BL4362">
        <v>325</v>
      </c>
      <c r="BM4362" t="s">
        <v>119</v>
      </c>
      <c r="BN4362">
        <v>1</v>
      </c>
      <c r="BO4362">
        <v>1</v>
      </c>
      <c r="BP4362">
        <v>1</v>
      </c>
      <c r="BQ4362">
        <v>0</v>
      </c>
      <c r="BT4362">
        <v>0</v>
      </c>
      <c r="BU4362">
        <v>0</v>
      </c>
      <c r="BV4362">
        <v>0</v>
      </c>
      <c r="CC4362" t="str">
        <f>"19:49:22.508"</f>
        <v>19:49:22.508</v>
      </c>
      <c r="CD4362" t="str">
        <f>"507447297"</f>
        <v>507447297</v>
      </c>
      <c r="CQ4362">
        <v>0</v>
      </c>
      <c r="CR4362">
        <v>2</v>
      </c>
      <c r="CS4362">
        <v>0</v>
      </c>
      <c r="CT4362">
        <v>2</v>
      </c>
      <c r="CU4362">
        <v>0</v>
      </c>
      <c r="CV4362">
        <v>6</v>
      </c>
      <c r="CW4362" t="s">
        <v>120</v>
      </c>
      <c r="CX4362">
        <v>257</v>
      </c>
      <c r="CY4362">
        <v>0</v>
      </c>
      <c r="CZ4362" t="s">
        <v>615</v>
      </c>
      <c r="DA4362" t="s">
        <v>616</v>
      </c>
      <c r="DD4362">
        <v>7950</v>
      </c>
      <c r="DE4362" t="s">
        <v>123</v>
      </c>
    </row>
    <row r="4363" spans="1:109" x14ac:dyDescent="0.3">
      <c r="A4363" t="str">
        <f>"19:49:23.898"</f>
        <v>19:49:23.898</v>
      </c>
      <c r="B4363" t="s">
        <v>110</v>
      </c>
      <c r="C4363" t="str">
        <f t="shared" si="205"/>
        <v>ffdfd3c0</v>
      </c>
      <c r="D4363" t="s">
        <v>111</v>
      </c>
      <c r="E4363">
        <v>18</v>
      </c>
      <c r="F4363">
        <v>1018</v>
      </c>
      <c r="G4363" t="s">
        <v>112</v>
      </c>
      <c r="J4363" t="s">
        <v>113</v>
      </c>
      <c r="K4363">
        <v>0</v>
      </c>
      <c r="L4363">
        <v>3</v>
      </c>
      <c r="M4363">
        <v>0</v>
      </c>
      <c r="N4363">
        <v>2</v>
      </c>
      <c r="O4363">
        <v>1</v>
      </c>
      <c r="P4363">
        <v>0</v>
      </c>
      <c r="Q4363">
        <v>0</v>
      </c>
      <c r="R4363" t="s">
        <v>114</v>
      </c>
      <c r="S4363" t="str">
        <f>"19:49:23.641"</f>
        <v>19:49:23.641</v>
      </c>
      <c r="T4363" t="str">
        <f>"19:49:23.344"</f>
        <v>19:49:23.344</v>
      </c>
      <c r="U4363" t="str">
        <f t="shared" si="206"/>
        <v>a1cdbe</v>
      </c>
      <c r="V4363">
        <v>0</v>
      </c>
      <c r="W4363">
        <v>0</v>
      </c>
      <c r="X4363">
        <v>2</v>
      </c>
      <c r="Y4363">
        <v>0</v>
      </c>
      <c r="Z4363">
        <v>0</v>
      </c>
      <c r="AB4363">
        <v>0</v>
      </c>
      <c r="AC4363">
        <v>9</v>
      </c>
      <c r="AD4363">
        <v>3</v>
      </c>
      <c r="AE4363">
        <v>0</v>
      </c>
      <c r="AF4363">
        <v>9</v>
      </c>
      <c r="AG4363" t="s">
        <v>115</v>
      </c>
      <c r="AH4363">
        <v>0</v>
      </c>
      <c r="AI4363">
        <v>0</v>
      </c>
      <c r="AJ4363">
        <v>1</v>
      </c>
      <c r="AK4363">
        <v>0</v>
      </c>
      <c r="AL4363" t="s">
        <v>7545</v>
      </c>
      <c r="AM4363">
        <v>47.061717999999999</v>
      </c>
      <c r="AN4363" t="s">
        <v>7931</v>
      </c>
      <c r="AO4363">
        <v>-124.00880100000001</v>
      </c>
      <c r="AP4363">
        <v>100</v>
      </c>
      <c r="AQ4363">
        <v>0</v>
      </c>
      <c r="AR4363" t="s">
        <v>118</v>
      </c>
      <c r="AS4363">
        <v>-67</v>
      </c>
      <c r="AT4363">
        <v>-18</v>
      </c>
      <c r="AU4363">
        <v>384</v>
      </c>
      <c r="BC4363">
        <v>1200</v>
      </c>
      <c r="BD4363">
        <v>1</v>
      </c>
      <c r="BE4363" t="str">
        <f t="shared" si="207"/>
        <v xml:space="preserve">N215T   </v>
      </c>
      <c r="BF4363">
        <v>1</v>
      </c>
      <c r="BH4363">
        <v>0</v>
      </c>
      <c r="BI4363">
        <v>0</v>
      </c>
      <c r="BJ4363">
        <v>0</v>
      </c>
      <c r="BK4363">
        <v>350</v>
      </c>
      <c r="BL4363">
        <v>350</v>
      </c>
      <c r="BM4363" t="s">
        <v>119</v>
      </c>
      <c r="BN4363">
        <v>1</v>
      </c>
      <c r="BO4363">
        <v>1</v>
      </c>
      <c r="BP4363">
        <v>1</v>
      </c>
      <c r="BQ4363">
        <v>0</v>
      </c>
      <c r="BT4363">
        <v>0</v>
      </c>
      <c r="BU4363">
        <v>0</v>
      </c>
      <c r="BV4363">
        <v>0</v>
      </c>
      <c r="CC4363" t="str">
        <f>"19:49:23.648"</f>
        <v>19:49:23.648</v>
      </c>
      <c r="CD4363" t="str">
        <f>"647334945"</f>
        <v>647334945</v>
      </c>
      <c r="CQ4363">
        <v>0</v>
      </c>
      <c r="CR4363">
        <v>2</v>
      </c>
      <c r="CS4363">
        <v>0</v>
      </c>
      <c r="CT4363">
        <v>2</v>
      </c>
      <c r="CU4363">
        <v>0</v>
      </c>
      <c r="CV4363">
        <v>6</v>
      </c>
      <c r="CW4363" t="s">
        <v>120</v>
      </c>
      <c r="CX4363">
        <v>257</v>
      </c>
      <c r="CY4363">
        <v>0</v>
      </c>
      <c r="CZ4363" t="s">
        <v>615</v>
      </c>
      <c r="DA4363" t="s">
        <v>616</v>
      </c>
      <c r="DD4363">
        <v>8313</v>
      </c>
      <c r="DE4363" t="s">
        <v>123</v>
      </c>
    </row>
    <row r="4364" spans="1:109" x14ac:dyDescent="0.3">
      <c r="A4364" t="str">
        <f>"19:49:24.852"</f>
        <v>19:49:24.852</v>
      </c>
      <c r="B4364" t="s">
        <v>110</v>
      </c>
      <c r="C4364" t="str">
        <f t="shared" si="205"/>
        <v>ffdfd3c0</v>
      </c>
      <c r="D4364" t="s">
        <v>111</v>
      </c>
      <c r="E4364">
        <v>18</v>
      </c>
      <c r="F4364">
        <v>1018</v>
      </c>
      <c r="G4364" t="s">
        <v>112</v>
      </c>
      <c r="J4364" t="s">
        <v>113</v>
      </c>
      <c r="K4364">
        <v>0</v>
      </c>
      <c r="L4364">
        <v>3</v>
      </c>
      <c r="M4364">
        <v>0</v>
      </c>
      <c r="N4364">
        <v>2</v>
      </c>
      <c r="O4364">
        <v>1</v>
      </c>
      <c r="P4364">
        <v>0</v>
      </c>
      <c r="Q4364">
        <v>0</v>
      </c>
      <c r="R4364" t="s">
        <v>114</v>
      </c>
      <c r="S4364" t="str">
        <f>"19:49:24.602"</f>
        <v>19:49:24.602</v>
      </c>
      <c r="T4364" t="str">
        <f>"19:49:24.305"</f>
        <v>19:49:24.305</v>
      </c>
      <c r="U4364" t="str">
        <f t="shared" si="206"/>
        <v>a1cdbe</v>
      </c>
      <c r="V4364">
        <v>0</v>
      </c>
      <c r="W4364">
        <v>0</v>
      </c>
      <c r="X4364">
        <v>2</v>
      </c>
      <c r="Y4364">
        <v>0</v>
      </c>
      <c r="Z4364">
        <v>0</v>
      </c>
      <c r="AB4364">
        <v>0</v>
      </c>
      <c r="AC4364">
        <v>9</v>
      </c>
      <c r="AD4364">
        <v>3</v>
      </c>
      <c r="AE4364">
        <v>0</v>
      </c>
      <c r="AF4364">
        <v>9</v>
      </c>
      <c r="AG4364" t="s">
        <v>115</v>
      </c>
      <c r="AH4364">
        <v>0</v>
      </c>
      <c r="AI4364">
        <v>0</v>
      </c>
      <c r="AJ4364">
        <v>1</v>
      </c>
      <c r="AK4364">
        <v>0</v>
      </c>
      <c r="AL4364" t="s">
        <v>7543</v>
      </c>
      <c r="AM4364">
        <v>47.061610000000002</v>
      </c>
      <c r="AN4364" t="s">
        <v>7932</v>
      </c>
      <c r="AO4364">
        <v>-124.00923</v>
      </c>
      <c r="AP4364">
        <v>100</v>
      </c>
      <c r="AQ4364">
        <v>0</v>
      </c>
      <c r="AR4364" t="s">
        <v>118</v>
      </c>
      <c r="AS4364">
        <v>-68</v>
      </c>
      <c r="AT4364">
        <v>-18</v>
      </c>
      <c r="AU4364">
        <v>384</v>
      </c>
      <c r="BC4364">
        <v>1200</v>
      </c>
      <c r="BD4364">
        <v>1</v>
      </c>
      <c r="BE4364" t="str">
        <f t="shared" si="207"/>
        <v xml:space="preserve">N215T   </v>
      </c>
      <c r="BF4364">
        <v>1</v>
      </c>
      <c r="BH4364">
        <v>0</v>
      </c>
      <c r="BI4364">
        <v>0</v>
      </c>
      <c r="BJ4364">
        <v>0</v>
      </c>
      <c r="BK4364">
        <v>350</v>
      </c>
      <c r="BL4364">
        <v>350</v>
      </c>
      <c r="BM4364" t="s">
        <v>119</v>
      </c>
      <c r="BN4364">
        <v>1</v>
      </c>
      <c r="BO4364">
        <v>1</v>
      </c>
      <c r="BP4364">
        <v>1</v>
      </c>
      <c r="BQ4364">
        <v>0</v>
      </c>
      <c r="BT4364">
        <v>0</v>
      </c>
      <c r="BU4364">
        <v>0</v>
      </c>
      <c r="BV4364">
        <v>0</v>
      </c>
      <c r="CC4364" t="str">
        <f>"19:49:24.609"</f>
        <v>19:49:24.609</v>
      </c>
      <c r="CD4364" t="str">
        <f>"607240385"</f>
        <v>607240385</v>
      </c>
      <c r="CQ4364">
        <v>0</v>
      </c>
      <c r="CR4364">
        <v>2</v>
      </c>
      <c r="CS4364">
        <v>0</v>
      </c>
      <c r="CT4364">
        <v>2</v>
      </c>
      <c r="CU4364">
        <v>0</v>
      </c>
      <c r="CV4364">
        <v>3</v>
      </c>
      <c r="CW4364" t="s">
        <v>120</v>
      </c>
      <c r="CX4364">
        <v>257</v>
      </c>
      <c r="CY4364">
        <v>1</v>
      </c>
      <c r="CZ4364" t="s">
        <v>615</v>
      </c>
      <c r="DA4364" t="s">
        <v>616</v>
      </c>
      <c r="DD4364">
        <v>13440313</v>
      </c>
      <c r="DE4364" t="s">
        <v>123</v>
      </c>
    </row>
    <row r="4365" spans="1:109" x14ac:dyDescent="0.3">
      <c r="A4365" t="str">
        <f>"19:49:25.961"</f>
        <v>19:49:25.961</v>
      </c>
      <c r="B4365" t="s">
        <v>110</v>
      </c>
      <c r="C4365" t="str">
        <f t="shared" si="205"/>
        <v>ffdfd3c0</v>
      </c>
      <c r="D4365" t="s">
        <v>111</v>
      </c>
      <c r="E4365">
        <v>18</v>
      </c>
      <c r="F4365">
        <v>1018</v>
      </c>
      <c r="G4365" t="s">
        <v>112</v>
      </c>
      <c r="J4365" t="s">
        <v>113</v>
      </c>
      <c r="K4365">
        <v>0</v>
      </c>
      <c r="L4365">
        <v>3</v>
      </c>
      <c r="M4365">
        <v>0</v>
      </c>
      <c r="N4365">
        <v>2</v>
      </c>
      <c r="O4365">
        <v>1</v>
      </c>
      <c r="P4365">
        <v>0</v>
      </c>
      <c r="Q4365">
        <v>0</v>
      </c>
      <c r="R4365" t="s">
        <v>114</v>
      </c>
      <c r="S4365" t="str">
        <f>"19:49:25.758"</f>
        <v>19:49:25.758</v>
      </c>
      <c r="T4365" t="str">
        <f>"19:49:25.758"</f>
        <v>19:49:25.758</v>
      </c>
      <c r="U4365" t="str">
        <f t="shared" si="206"/>
        <v>a1cdbe</v>
      </c>
      <c r="V4365">
        <v>0</v>
      </c>
      <c r="W4365">
        <v>0</v>
      </c>
      <c r="X4365">
        <v>2</v>
      </c>
      <c r="Y4365">
        <v>0</v>
      </c>
      <c r="Z4365">
        <v>0</v>
      </c>
      <c r="AB4365">
        <v>0</v>
      </c>
      <c r="AC4365">
        <v>9</v>
      </c>
      <c r="AD4365">
        <v>3</v>
      </c>
      <c r="AE4365">
        <v>0</v>
      </c>
      <c r="AF4365">
        <v>9</v>
      </c>
      <c r="AG4365" t="s">
        <v>115</v>
      </c>
      <c r="AH4365">
        <v>0</v>
      </c>
      <c r="AI4365">
        <v>0</v>
      </c>
      <c r="AJ4365">
        <v>1</v>
      </c>
      <c r="AK4365">
        <v>0</v>
      </c>
      <c r="AL4365" t="s">
        <v>7530</v>
      </c>
      <c r="AM4365">
        <v>47.061523999999999</v>
      </c>
      <c r="AN4365" t="s">
        <v>7933</v>
      </c>
      <c r="AO4365">
        <v>-124.00972400000001</v>
      </c>
      <c r="AP4365">
        <v>100</v>
      </c>
      <c r="AQ4365">
        <v>0</v>
      </c>
      <c r="AR4365" t="s">
        <v>118</v>
      </c>
      <c r="AS4365">
        <v>-68</v>
      </c>
      <c r="AT4365">
        <v>-17</v>
      </c>
      <c r="AU4365">
        <v>448</v>
      </c>
      <c r="BC4365">
        <v>1200</v>
      </c>
      <c r="BD4365">
        <v>1</v>
      </c>
      <c r="BE4365" t="str">
        <f t="shared" si="207"/>
        <v xml:space="preserve">N215T   </v>
      </c>
      <c r="BF4365">
        <v>1</v>
      </c>
      <c r="BH4365">
        <v>0</v>
      </c>
      <c r="BI4365">
        <v>0</v>
      </c>
      <c r="BJ4365">
        <v>0</v>
      </c>
      <c r="BK4365">
        <v>350</v>
      </c>
      <c r="BL4365">
        <v>350</v>
      </c>
      <c r="BM4365" t="s">
        <v>119</v>
      </c>
      <c r="BN4365">
        <v>1</v>
      </c>
      <c r="BO4365">
        <v>1</v>
      </c>
      <c r="BP4365">
        <v>1</v>
      </c>
      <c r="BQ4365">
        <v>0</v>
      </c>
      <c r="BT4365">
        <v>0</v>
      </c>
      <c r="BU4365">
        <v>0</v>
      </c>
      <c r="BV4365">
        <v>0</v>
      </c>
      <c r="CC4365" t="str">
        <f>"19:49:25.766"</f>
        <v>19:49:25.766</v>
      </c>
      <c r="CD4365" t="str">
        <f>"762126516"</f>
        <v>762126516</v>
      </c>
      <c r="CQ4365">
        <v>0</v>
      </c>
      <c r="CR4365">
        <v>2</v>
      </c>
      <c r="CS4365">
        <v>0</v>
      </c>
      <c r="CT4365">
        <v>2</v>
      </c>
      <c r="CU4365">
        <v>0</v>
      </c>
      <c r="CV4365">
        <v>5</v>
      </c>
      <c r="CW4365" t="s">
        <v>120</v>
      </c>
      <c r="CX4365">
        <v>257</v>
      </c>
      <c r="CY4365">
        <v>0</v>
      </c>
      <c r="CZ4365" t="s">
        <v>615</v>
      </c>
      <c r="DA4365" t="s">
        <v>616</v>
      </c>
      <c r="DD4365">
        <v>8973</v>
      </c>
      <c r="DE4365" t="s">
        <v>123</v>
      </c>
    </row>
    <row r="4366" spans="1:109" x14ac:dyDescent="0.3">
      <c r="A4366" t="str">
        <f>"19:49:27.016"</f>
        <v>19:49:27.016</v>
      </c>
      <c r="B4366" t="s">
        <v>110</v>
      </c>
      <c r="C4366" t="str">
        <f t="shared" si="205"/>
        <v>ffdfd3c0</v>
      </c>
      <c r="D4366" t="s">
        <v>111</v>
      </c>
      <c r="E4366">
        <v>18</v>
      </c>
      <c r="F4366">
        <v>1018</v>
      </c>
      <c r="G4366" t="s">
        <v>112</v>
      </c>
      <c r="J4366" t="s">
        <v>113</v>
      </c>
      <c r="K4366">
        <v>0</v>
      </c>
      <c r="L4366">
        <v>3</v>
      </c>
      <c r="M4366">
        <v>0</v>
      </c>
      <c r="N4366">
        <v>2</v>
      </c>
      <c r="O4366">
        <v>1</v>
      </c>
      <c r="P4366">
        <v>0</v>
      </c>
      <c r="Q4366">
        <v>0</v>
      </c>
      <c r="R4366" t="s">
        <v>114</v>
      </c>
      <c r="S4366" t="str">
        <f>"19:49:26.781"</f>
        <v>19:49:26.781</v>
      </c>
      <c r="T4366" t="str">
        <f>"19:49:26.781"</f>
        <v>19:49:26.781</v>
      </c>
      <c r="U4366" t="str">
        <f t="shared" si="206"/>
        <v>a1cdbe</v>
      </c>
      <c r="V4366">
        <v>0</v>
      </c>
      <c r="W4366">
        <v>0</v>
      </c>
      <c r="X4366">
        <v>2</v>
      </c>
      <c r="Y4366">
        <v>0</v>
      </c>
      <c r="Z4366">
        <v>0</v>
      </c>
      <c r="AB4366">
        <v>0</v>
      </c>
      <c r="AC4366">
        <v>9</v>
      </c>
      <c r="AD4366">
        <v>3</v>
      </c>
      <c r="AE4366">
        <v>0</v>
      </c>
      <c r="AF4366">
        <v>9</v>
      </c>
      <c r="AG4366" t="s">
        <v>115</v>
      </c>
      <c r="AH4366">
        <v>0</v>
      </c>
      <c r="AI4366">
        <v>0</v>
      </c>
      <c r="AJ4366">
        <v>1</v>
      </c>
      <c r="AK4366">
        <v>0</v>
      </c>
      <c r="AL4366" t="s">
        <v>7534</v>
      </c>
      <c r="AM4366">
        <v>47.061439</v>
      </c>
      <c r="AN4366" t="s">
        <v>7934</v>
      </c>
      <c r="AO4366">
        <v>-124.010239</v>
      </c>
      <c r="AP4366">
        <v>100</v>
      </c>
      <c r="AQ4366">
        <v>0</v>
      </c>
      <c r="AR4366" t="s">
        <v>118</v>
      </c>
      <c r="AS4366">
        <v>-69</v>
      </c>
      <c r="AT4366">
        <v>-17</v>
      </c>
      <c r="AU4366">
        <v>384</v>
      </c>
      <c r="BC4366">
        <v>1200</v>
      </c>
      <c r="BD4366">
        <v>1</v>
      </c>
      <c r="BE4366" t="str">
        <f t="shared" si="207"/>
        <v xml:space="preserve">N215T   </v>
      </c>
      <c r="BF4366">
        <v>1</v>
      </c>
      <c r="BH4366">
        <v>0</v>
      </c>
      <c r="BI4366">
        <v>0</v>
      </c>
      <c r="BJ4366">
        <v>0</v>
      </c>
      <c r="BK4366">
        <v>375</v>
      </c>
      <c r="BL4366">
        <v>375</v>
      </c>
      <c r="BM4366" t="s">
        <v>119</v>
      </c>
      <c r="BN4366">
        <v>1</v>
      </c>
      <c r="BO4366">
        <v>1</v>
      </c>
      <c r="BP4366">
        <v>1</v>
      </c>
      <c r="BQ4366">
        <v>0</v>
      </c>
      <c r="BT4366">
        <v>0</v>
      </c>
      <c r="BU4366">
        <v>0</v>
      </c>
      <c r="BV4366">
        <v>0</v>
      </c>
      <c r="CC4366" t="str">
        <f>"19:49:26.781"</f>
        <v>19:49:26.781</v>
      </c>
      <c r="CD4366" t="str">
        <f>"782026000"</f>
        <v>782026000</v>
      </c>
      <c r="CQ4366">
        <v>0</v>
      </c>
      <c r="CR4366">
        <v>2</v>
      </c>
      <c r="CS4366">
        <v>0</v>
      </c>
      <c r="CT4366">
        <v>2</v>
      </c>
      <c r="CU4366">
        <v>0</v>
      </c>
      <c r="CV4366">
        <v>6</v>
      </c>
      <c r="CW4366" t="s">
        <v>120</v>
      </c>
      <c r="CX4366">
        <v>257</v>
      </c>
      <c r="CY4366">
        <v>0</v>
      </c>
      <c r="CZ4366" t="s">
        <v>615</v>
      </c>
      <c r="DA4366" t="s">
        <v>616</v>
      </c>
      <c r="DD4366">
        <v>9288</v>
      </c>
      <c r="DE4366" t="s">
        <v>123</v>
      </c>
    </row>
    <row r="4367" spans="1:109" x14ac:dyDescent="0.3">
      <c r="A4367" t="str">
        <f>"19:49:27.969"</f>
        <v>19:49:27.969</v>
      </c>
      <c r="B4367" t="s">
        <v>110</v>
      </c>
      <c r="C4367" t="str">
        <f t="shared" si="205"/>
        <v>ffdfd3c0</v>
      </c>
      <c r="D4367" t="s">
        <v>111</v>
      </c>
      <c r="E4367">
        <v>18</v>
      </c>
      <c r="F4367">
        <v>1018</v>
      </c>
      <c r="G4367" t="s">
        <v>112</v>
      </c>
      <c r="J4367" t="s">
        <v>113</v>
      </c>
      <c r="K4367">
        <v>0</v>
      </c>
      <c r="L4367">
        <v>3</v>
      </c>
      <c r="M4367">
        <v>0</v>
      </c>
      <c r="N4367">
        <v>2</v>
      </c>
      <c r="O4367">
        <v>1</v>
      </c>
      <c r="P4367">
        <v>0</v>
      </c>
      <c r="Q4367">
        <v>0</v>
      </c>
      <c r="R4367" t="s">
        <v>114</v>
      </c>
      <c r="S4367" t="str">
        <f>"19:49:27.711"</f>
        <v>19:49:27.711</v>
      </c>
      <c r="T4367" t="str">
        <f>"19:49:27.313"</f>
        <v>19:49:27.313</v>
      </c>
      <c r="U4367" t="str">
        <f t="shared" si="206"/>
        <v>a1cdbe</v>
      </c>
      <c r="V4367">
        <v>0</v>
      </c>
      <c r="W4367">
        <v>0</v>
      </c>
      <c r="X4367">
        <v>2</v>
      </c>
      <c r="Y4367">
        <v>0</v>
      </c>
      <c r="Z4367">
        <v>0</v>
      </c>
      <c r="AB4367">
        <v>0</v>
      </c>
      <c r="AC4367">
        <v>9</v>
      </c>
      <c r="AD4367">
        <v>3</v>
      </c>
      <c r="AE4367">
        <v>0</v>
      </c>
      <c r="AF4367">
        <v>9</v>
      </c>
      <c r="AG4367" t="s">
        <v>115</v>
      </c>
      <c r="AH4367">
        <v>0</v>
      </c>
      <c r="AI4367">
        <v>0</v>
      </c>
      <c r="AJ4367">
        <v>1</v>
      </c>
      <c r="AK4367">
        <v>0</v>
      </c>
      <c r="AL4367" t="s">
        <v>7935</v>
      </c>
      <c r="AM4367">
        <v>47.061396000000002</v>
      </c>
      <c r="AN4367" t="s">
        <v>7398</v>
      </c>
      <c r="AO4367">
        <v>-124.01064599999999</v>
      </c>
      <c r="AP4367">
        <v>100</v>
      </c>
      <c r="AQ4367">
        <v>0</v>
      </c>
      <c r="AR4367" t="s">
        <v>118</v>
      </c>
      <c r="AS4367">
        <v>-68</v>
      </c>
      <c r="AT4367">
        <v>-17</v>
      </c>
      <c r="AU4367">
        <v>384</v>
      </c>
      <c r="BC4367">
        <v>1200</v>
      </c>
      <c r="BD4367">
        <v>1</v>
      </c>
      <c r="BE4367" t="str">
        <f t="shared" si="207"/>
        <v xml:space="preserve">N215T   </v>
      </c>
      <c r="BF4367">
        <v>1</v>
      </c>
      <c r="BH4367">
        <v>0</v>
      </c>
      <c r="BI4367">
        <v>0</v>
      </c>
      <c r="BJ4367">
        <v>0</v>
      </c>
      <c r="BK4367">
        <v>375</v>
      </c>
      <c r="BL4367">
        <v>375</v>
      </c>
      <c r="BM4367" t="s">
        <v>119</v>
      </c>
      <c r="BN4367">
        <v>1</v>
      </c>
      <c r="BO4367">
        <v>1</v>
      </c>
      <c r="BP4367">
        <v>1</v>
      </c>
      <c r="BQ4367">
        <v>0</v>
      </c>
      <c r="BT4367">
        <v>0</v>
      </c>
      <c r="BU4367">
        <v>0</v>
      </c>
      <c r="BV4367">
        <v>0</v>
      </c>
      <c r="CC4367" t="str">
        <f>"19:49:27.711"</f>
        <v>19:49:27.711</v>
      </c>
      <c r="CD4367" t="str">
        <f>"711934354"</f>
        <v>711934354</v>
      </c>
      <c r="CQ4367">
        <v>0</v>
      </c>
      <c r="CR4367">
        <v>2</v>
      </c>
      <c r="CS4367">
        <v>0</v>
      </c>
      <c r="CT4367">
        <v>2</v>
      </c>
      <c r="CU4367">
        <v>0</v>
      </c>
      <c r="CV4367">
        <v>6</v>
      </c>
      <c r="CW4367" t="s">
        <v>120</v>
      </c>
      <c r="CX4367">
        <v>257</v>
      </c>
      <c r="CY4367">
        <v>0</v>
      </c>
      <c r="CZ4367" t="s">
        <v>615</v>
      </c>
      <c r="DA4367" t="s">
        <v>616</v>
      </c>
      <c r="DD4367">
        <v>9595</v>
      </c>
      <c r="DE4367" t="s">
        <v>123</v>
      </c>
    </row>
    <row r="4368" spans="1:109" x14ac:dyDescent="0.3">
      <c r="A4368" t="str">
        <f>"19:49:29.125"</f>
        <v>19:49:29.125</v>
      </c>
      <c r="B4368" t="s">
        <v>110</v>
      </c>
      <c r="C4368" t="str">
        <f t="shared" si="205"/>
        <v>ffdfd3c0</v>
      </c>
      <c r="D4368" t="s">
        <v>111</v>
      </c>
      <c r="E4368">
        <v>18</v>
      </c>
      <c r="F4368">
        <v>1018</v>
      </c>
      <c r="G4368" t="s">
        <v>112</v>
      </c>
      <c r="J4368" t="s">
        <v>113</v>
      </c>
      <c r="K4368">
        <v>0</v>
      </c>
      <c r="L4368">
        <v>3</v>
      </c>
      <c r="M4368">
        <v>0</v>
      </c>
      <c r="N4368">
        <v>2</v>
      </c>
      <c r="O4368">
        <v>1</v>
      </c>
      <c r="P4368">
        <v>0</v>
      </c>
      <c r="Q4368">
        <v>0</v>
      </c>
      <c r="R4368" t="s">
        <v>114</v>
      </c>
      <c r="S4368" t="str">
        <f>"19:49:28.836"</f>
        <v>19:49:28.836</v>
      </c>
      <c r="T4368" t="str">
        <f>"19:49:28.734"</f>
        <v>19:49:28.734</v>
      </c>
      <c r="U4368" t="str">
        <f t="shared" si="206"/>
        <v>a1cdbe</v>
      </c>
      <c r="V4368">
        <v>0</v>
      </c>
      <c r="W4368">
        <v>0</v>
      </c>
      <c r="X4368">
        <v>2</v>
      </c>
      <c r="Y4368">
        <v>0</v>
      </c>
      <c r="Z4368">
        <v>0</v>
      </c>
      <c r="AB4368">
        <v>0</v>
      </c>
      <c r="AC4368">
        <v>9</v>
      </c>
      <c r="AD4368">
        <v>3</v>
      </c>
      <c r="AE4368">
        <v>0</v>
      </c>
      <c r="AF4368">
        <v>9</v>
      </c>
      <c r="AG4368" t="s">
        <v>115</v>
      </c>
      <c r="AH4368">
        <v>0</v>
      </c>
      <c r="AI4368">
        <v>0</v>
      </c>
      <c r="AJ4368">
        <v>1</v>
      </c>
      <c r="AK4368">
        <v>0</v>
      </c>
      <c r="AL4368" t="s">
        <v>502</v>
      </c>
      <c r="AM4368">
        <v>47.061309999999999</v>
      </c>
      <c r="AN4368" t="s">
        <v>7936</v>
      </c>
      <c r="AO4368">
        <v>-124.01120400000001</v>
      </c>
      <c r="AP4368">
        <v>100</v>
      </c>
      <c r="AQ4368">
        <v>0</v>
      </c>
      <c r="AR4368" t="s">
        <v>118</v>
      </c>
      <c r="AS4368">
        <v>-69</v>
      </c>
      <c r="AT4368">
        <v>-16</v>
      </c>
      <c r="AU4368">
        <v>576</v>
      </c>
      <c r="BC4368">
        <v>1200</v>
      </c>
      <c r="BD4368">
        <v>1</v>
      </c>
      <c r="BE4368" t="str">
        <f t="shared" si="207"/>
        <v xml:space="preserve">N215T   </v>
      </c>
      <c r="BF4368">
        <v>1</v>
      </c>
      <c r="BH4368">
        <v>0</v>
      </c>
      <c r="BI4368">
        <v>0</v>
      </c>
      <c r="BJ4368">
        <v>0</v>
      </c>
      <c r="BK4368">
        <v>375</v>
      </c>
      <c r="BL4368">
        <v>375</v>
      </c>
      <c r="BM4368" t="s">
        <v>119</v>
      </c>
      <c r="BN4368">
        <v>1</v>
      </c>
      <c r="BO4368">
        <v>1</v>
      </c>
      <c r="BP4368">
        <v>1</v>
      </c>
      <c r="BQ4368">
        <v>0</v>
      </c>
      <c r="BT4368">
        <v>0</v>
      </c>
      <c r="BU4368">
        <v>0</v>
      </c>
      <c r="BV4368">
        <v>0</v>
      </c>
      <c r="CC4368" t="str">
        <f>"19:49:28.836"</f>
        <v>19:49:28.836</v>
      </c>
      <c r="CD4368" t="str">
        <f>"836823497"</f>
        <v>836823497</v>
      </c>
      <c r="CQ4368">
        <v>0</v>
      </c>
      <c r="CR4368">
        <v>2</v>
      </c>
      <c r="CS4368">
        <v>0</v>
      </c>
      <c r="CT4368">
        <v>2</v>
      </c>
      <c r="CU4368">
        <v>0</v>
      </c>
      <c r="CV4368">
        <v>5</v>
      </c>
      <c r="CW4368" t="s">
        <v>120</v>
      </c>
      <c r="CX4368">
        <v>257</v>
      </c>
      <c r="CY4368">
        <v>0</v>
      </c>
      <c r="CZ4368" t="s">
        <v>615</v>
      </c>
      <c r="DA4368" t="s">
        <v>616</v>
      </c>
      <c r="DD4368">
        <v>9944</v>
      </c>
      <c r="DE4368" t="s">
        <v>123</v>
      </c>
    </row>
    <row r="4369" spans="1:109" x14ac:dyDescent="0.3">
      <c r="A4369" t="str">
        <f>"19:49:29.984"</f>
        <v>19:49:29.984</v>
      </c>
      <c r="B4369" t="s">
        <v>110</v>
      </c>
      <c r="C4369" t="str">
        <f t="shared" si="205"/>
        <v>ffdfd3c0</v>
      </c>
      <c r="D4369" t="s">
        <v>111</v>
      </c>
      <c r="E4369">
        <v>18</v>
      </c>
      <c r="F4369">
        <v>1018</v>
      </c>
      <c r="G4369" t="s">
        <v>112</v>
      </c>
      <c r="J4369" t="s">
        <v>113</v>
      </c>
      <c r="K4369">
        <v>0</v>
      </c>
      <c r="L4369">
        <v>3</v>
      </c>
      <c r="M4369">
        <v>0</v>
      </c>
      <c r="N4369">
        <v>2</v>
      </c>
      <c r="O4369">
        <v>1</v>
      </c>
      <c r="P4369">
        <v>0</v>
      </c>
      <c r="Q4369">
        <v>0</v>
      </c>
      <c r="R4369" t="s">
        <v>114</v>
      </c>
      <c r="S4369" t="str">
        <f>"19:49:29.766"</f>
        <v>19:49:29.766</v>
      </c>
      <c r="T4369" t="str">
        <f>"19:49:29.766"</f>
        <v>19:49:29.766</v>
      </c>
      <c r="U4369" t="str">
        <f t="shared" si="206"/>
        <v>a1cdbe</v>
      </c>
      <c r="V4369">
        <v>0</v>
      </c>
      <c r="W4369">
        <v>0</v>
      </c>
      <c r="X4369">
        <v>2</v>
      </c>
      <c r="Y4369">
        <v>0</v>
      </c>
      <c r="Z4369">
        <v>0</v>
      </c>
      <c r="AB4369">
        <v>0</v>
      </c>
      <c r="AC4369">
        <v>9</v>
      </c>
      <c r="AD4369">
        <v>3</v>
      </c>
      <c r="AE4369">
        <v>0</v>
      </c>
      <c r="AF4369">
        <v>9</v>
      </c>
      <c r="AG4369" t="s">
        <v>115</v>
      </c>
      <c r="AH4369">
        <v>0</v>
      </c>
      <c r="AI4369">
        <v>0</v>
      </c>
      <c r="AJ4369">
        <v>1</v>
      </c>
      <c r="AK4369">
        <v>0</v>
      </c>
      <c r="AL4369" t="s">
        <v>7937</v>
      </c>
      <c r="AM4369">
        <v>47.061245</v>
      </c>
      <c r="AN4369" t="s">
        <v>7938</v>
      </c>
      <c r="AO4369">
        <v>-124.01156899999999</v>
      </c>
      <c r="AP4369">
        <v>100</v>
      </c>
      <c r="AQ4369">
        <v>0</v>
      </c>
      <c r="AR4369" t="s">
        <v>118</v>
      </c>
      <c r="AS4369">
        <v>-69</v>
      </c>
      <c r="AT4369">
        <v>-15</v>
      </c>
      <c r="AU4369">
        <v>576</v>
      </c>
      <c r="BC4369">
        <v>1200</v>
      </c>
      <c r="BD4369">
        <v>1</v>
      </c>
      <c r="BE4369" t="str">
        <f t="shared" si="207"/>
        <v xml:space="preserve">N215T   </v>
      </c>
      <c r="BF4369">
        <v>1</v>
      </c>
      <c r="BH4369">
        <v>0</v>
      </c>
      <c r="BI4369">
        <v>0</v>
      </c>
      <c r="BJ4369">
        <v>0</v>
      </c>
      <c r="BK4369">
        <v>400</v>
      </c>
      <c r="BL4369">
        <v>400</v>
      </c>
      <c r="BM4369" t="s">
        <v>119</v>
      </c>
      <c r="BN4369">
        <v>1</v>
      </c>
      <c r="BO4369">
        <v>1</v>
      </c>
      <c r="BP4369">
        <v>1</v>
      </c>
      <c r="BQ4369">
        <v>0</v>
      </c>
      <c r="BT4369">
        <v>0</v>
      </c>
      <c r="BU4369">
        <v>0</v>
      </c>
      <c r="BV4369">
        <v>0</v>
      </c>
      <c r="CC4369" t="str">
        <f>"19:49:29.766"</f>
        <v>19:49:29.766</v>
      </c>
      <c r="CD4369" t="str">
        <f>"766731846"</f>
        <v>766731846</v>
      </c>
      <c r="CQ4369">
        <v>0</v>
      </c>
      <c r="CR4369">
        <v>2</v>
      </c>
      <c r="CS4369">
        <v>0</v>
      </c>
      <c r="CT4369">
        <v>2</v>
      </c>
      <c r="CU4369">
        <v>0</v>
      </c>
      <c r="CV4369">
        <v>5</v>
      </c>
      <c r="CW4369" t="s">
        <v>120</v>
      </c>
      <c r="CX4369">
        <v>257</v>
      </c>
      <c r="CY4369">
        <v>0</v>
      </c>
      <c r="CZ4369" t="s">
        <v>615</v>
      </c>
      <c r="DA4369" t="s">
        <v>616</v>
      </c>
      <c r="DD4369">
        <v>10190</v>
      </c>
      <c r="DE4369" t="s">
        <v>123</v>
      </c>
    </row>
    <row r="4370" spans="1:109" x14ac:dyDescent="0.3">
      <c r="A4370" t="str">
        <f>"19:49:30.883"</f>
        <v>19:49:30.883</v>
      </c>
      <c r="B4370" t="s">
        <v>110</v>
      </c>
      <c r="C4370" t="str">
        <f t="shared" si="205"/>
        <v>ffdfd3c0</v>
      </c>
      <c r="D4370" t="s">
        <v>111</v>
      </c>
      <c r="E4370">
        <v>18</v>
      </c>
      <c r="F4370">
        <v>1018</v>
      </c>
      <c r="G4370" t="s">
        <v>112</v>
      </c>
      <c r="J4370" t="s">
        <v>113</v>
      </c>
      <c r="K4370">
        <v>0</v>
      </c>
      <c r="L4370">
        <v>3</v>
      </c>
      <c r="M4370">
        <v>0</v>
      </c>
      <c r="N4370">
        <v>2</v>
      </c>
      <c r="O4370">
        <v>1</v>
      </c>
      <c r="P4370">
        <v>0</v>
      </c>
      <c r="Q4370">
        <v>0</v>
      </c>
      <c r="R4370" t="s">
        <v>114</v>
      </c>
      <c r="S4370" t="str">
        <f>"19:49:30.633"</f>
        <v>19:49:30.633</v>
      </c>
      <c r="T4370" t="str">
        <f>"19:49:29.734"</f>
        <v>19:49:29.734</v>
      </c>
      <c r="U4370" t="str">
        <f t="shared" si="206"/>
        <v>a1cdbe</v>
      </c>
      <c r="V4370">
        <v>0</v>
      </c>
      <c r="W4370">
        <v>0</v>
      </c>
      <c r="X4370">
        <v>2</v>
      </c>
      <c r="Y4370">
        <v>0</v>
      </c>
      <c r="Z4370">
        <v>0</v>
      </c>
      <c r="AB4370">
        <v>0</v>
      </c>
      <c r="AC4370">
        <v>9</v>
      </c>
      <c r="AD4370">
        <v>3</v>
      </c>
      <c r="AE4370">
        <v>0</v>
      </c>
      <c r="AF4370">
        <v>9</v>
      </c>
      <c r="AG4370" t="s">
        <v>115</v>
      </c>
      <c r="AH4370">
        <v>0</v>
      </c>
      <c r="AI4370">
        <v>0</v>
      </c>
      <c r="AJ4370">
        <v>1</v>
      </c>
      <c r="AK4370">
        <v>0</v>
      </c>
      <c r="AL4370" t="s">
        <v>7939</v>
      </c>
      <c r="AM4370">
        <v>47.061202999999999</v>
      </c>
      <c r="AN4370" t="s">
        <v>7940</v>
      </c>
      <c r="AO4370">
        <v>-124.012063</v>
      </c>
      <c r="AP4370">
        <v>100</v>
      </c>
      <c r="AQ4370">
        <v>0</v>
      </c>
      <c r="AR4370" t="s">
        <v>118</v>
      </c>
      <c r="AS4370">
        <v>-69</v>
      </c>
      <c r="AT4370">
        <v>-15</v>
      </c>
      <c r="AU4370">
        <v>576</v>
      </c>
      <c r="BC4370">
        <v>1200</v>
      </c>
      <c r="BD4370">
        <v>1</v>
      </c>
      <c r="BE4370" t="str">
        <f t="shared" si="207"/>
        <v xml:space="preserve">N215T   </v>
      </c>
      <c r="BF4370">
        <v>1</v>
      </c>
      <c r="BH4370">
        <v>0</v>
      </c>
      <c r="BI4370">
        <v>0</v>
      </c>
      <c r="BJ4370">
        <v>0</v>
      </c>
      <c r="BK4370">
        <v>400</v>
      </c>
      <c r="BL4370">
        <v>400</v>
      </c>
      <c r="BM4370" t="s">
        <v>119</v>
      </c>
      <c r="BN4370">
        <v>1</v>
      </c>
      <c r="BO4370">
        <v>1</v>
      </c>
      <c r="BP4370">
        <v>1</v>
      </c>
      <c r="BQ4370">
        <v>0</v>
      </c>
      <c r="BT4370">
        <v>0</v>
      </c>
      <c r="BU4370">
        <v>0</v>
      </c>
      <c r="BV4370">
        <v>0</v>
      </c>
      <c r="CC4370" t="str">
        <f>"19:49:30.633"</f>
        <v>19:49:30.633</v>
      </c>
      <c r="CD4370" t="str">
        <f>"636646114"</f>
        <v>636646114</v>
      </c>
      <c r="CQ4370">
        <v>0</v>
      </c>
      <c r="CR4370">
        <v>2</v>
      </c>
      <c r="CS4370">
        <v>0</v>
      </c>
      <c r="CT4370">
        <v>2</v>
      </c>
      <c r="CU4370">
        <v>0</v>
      </c>
      <c r="CV4370">
        <v>5</v>
      </c>
      <c r="CW4370" t="s">
        <v>120</v>
      </c>
      <c r="CX4370">
        <v>257</v>
      </c>
      <c r="CY4370">
        <v>0</v>
      </c>
      <c r="CZ4370" t="s">
        <v>615</v>
      </c>
      <c r="DA4370" t="s">
        <v>616</v>
      </c>
      <c r="DD4370">
        <v>10418</v>
      </c>
      <c r="DE4370" t="s">
        <v>123</v>
      </c>
    </row>
    <row r="4371" spans="1:109" x14ac:dyDescent="0.3">
      <c r="A4371" t="str">
        <f>"19:49:31.992"</f>
        <v>19:49:31.992</v>
      </c>
      <c r="B4371" t="s">
        <v>110</v>
      </c>
      <c r="C4371" t="str">
        <f t="shared" si="205"/>
        <v>ffdfd3c0</v>
      </c>
      <c r="D4371" t="s">
        <v>111</v>
      </c>
      <c r="E4371">
        <v>18</v>
      </c>
      <c r="F4371">
        <v>1018</v>
      </c>
      <c r="G4371" t="s">
        <v>112</v>
      </c>
      <c r="J4371" t="s">
        <v>113</v>
      </c>
      <c r="K4371">
        <v>0</v>
      </c>
      <c r="L4371">
        <v>3</v>
      </c>
      <c r="M4371">
        <v>0</v>
      </c>
      <c r="N4371">
        <v>2</v>
      </c>
      <c r="O4371">
        <v>1</v>
      </c>
      <c r="P4371">
        <v>0</v>
      </c>
      <c r="Q4371">
        <v>0</v>
      </c>
      <c r="R4371" t="s">
        <v>114</v>
      </c>
      <c r="S4371" t="str">
        <f>"19:49:31.742"</f>
        <v>19:49:31.742</v>
      </c>
      <c r="T4371" t="str">
        <f>"19:49:31.141"</f>
        <v>19:49:31.141</v>
      </c>
      <c r="U4371" t="str">
        <f t="shared" si="206"/>
        <v>a1cdbe</v>
      </c>
      <c r="V4371">
        <v>0</v>
      </c>
      <c r="W4371">
        <v>0</v>
      </c>
      <c r="X4371">
        <v>2</v>
      </c>
      <c r="Y4371">
        <v>0</v>
      </c>
      <c r="Z4371">
        <v>0</v>
      </c>
      <c r="AB4371">
        <v>0</v>
      </c>
      <c r="AC4371">
        <v>9</v>
      </c>
      <c r="AD4371">
        <v>3</v>
      </c>
      <c r="AE4371">
        <v>0</v>
      </c>
      <c r="AF4371">
        <v>9</v>
      </c>
      <c r="AG4371" t="s">
        <v>115</v>
      </c>
      <c r="AH4371">
        <v>0</v>
      </c>
      <c r="AI4371">
        <v>0</v>
      </c>
      <c r="AJ4371">
        <v>1</v>
      </c>
      <c r="AK4371">
        <v>0</v>
      </c>
      <c r="AL4371" t="s">
        <v>7941</v>
      </c>
      <c r="AM4371">
        <v>47.061073999999998</v>
      </c>
      <c r="AN4371" t="s">
        <v>7492</v>
      </c>
      <c r="AO4371">
        <v>-124.012578</v>
      </c>
      <c r="AP4371">
        <v>100</v>
      </c>
      <c r="AQ4371">
        <v>0</v>
      </c>
      <c r="AR4371" t="s">
        <v>118</v>
      </c>
      <c r="AS4371">
        <v>-70</v>
      </c>
      <c r="AT4371">
        <v>-14</v>
      </c>
      <c r="AU4371">
        <v>512</v>
      </c>
      <c r="BC4371">
        <v>1200</v>
      </c>
      <c r="BD4371">
        <v>1</v>
      </c>
      <c r="BE4371" t="str">
        <f t="shared" si="207"/>
        <v xml:space="preserve">N215T   </v>
      </c>
      <c r="BF4371">
        <v>1</v>
      </c>
      <c r="BH4371">
        <v>0</v>
      </c>
      <c r="BI4371">
        <v>0</v>
      </c>
      <c r="BJ4371">
        <v>0</v>
      </c>
      <c r="BK4371">
        <v>400</v>
      </c>
      <c r="BL4371">
        <v>400</v>
      </c>
      <c r="BM4371" t="s">
        <v>119</v>
      </c>
      <c r="BN4371">
        <v>1</v>
      </c>
      <c r="BO4371">
        <v>1</v>
      </c>
      <c r="BP4371">
        <v>1</v>
      </c>
      <c r="BQ4371">
        <v>0</v>
      </c>
      <c r="BT4371">
        <v>0</v>
      </c>
      <c r="BU4371">
        <v>0</v>
      </c>
      <c r="BV4371">
        <v>0</v>
      </c>
      <c r="CC4371" t="str">
        <f>"19:49:31.750"</f>
        <v>19:49:31.750</v>
      </c>
      <c r="CD4371" t="str">
        <f>"746536739"</f>
        <v>746536739</v>
      </c>
      <c r="CQ4371">
        <v>0</v>
      </c>
      <c r="CR4371">
        <v>2</v>
      </c>
      <c r="CS4371">
        <v>0</v>
      </c>
      <c r="CT4371">
        <v>2</v>
      </c>
      <c r="CU4371">
        <v>0</v>
      </c>
      <c r="CV4371">
        <v>6</v>
      </c>
      <c r="CW4371" t="s">
        <v>120</v>
      </c>
      <c r="CX4371">
        <v>257</v>
      </c>
      <c r="CY4371">
        <v>0</v>
      </c>
      <c r="CZ4371" t="s">
        <v>615</v>
      </c>
      <c r="DA4371" t="s">
        <v>616</v>
      </c>
      <c r="DD4371">
        <v>10775</v>
      </c>
      <c r="DE4371" t="s">
        <v>123</v>
      </c>
    </row>
    <row r="4372" spans="1:109" x14ac:dyDescent="0.3">
      <c r="A4372" t="str">
        <f>"19:49:32.945"</f>
        <v>19:49:32.945</v>
      </c>
      <c r="B4372" t="s">
        <v>110</v>
      </c>
      <c r="C4372" t="str">
        <f t="shared" si="205"/>
        <v>ffdfd3c0</v>
      </c>
      <c r="D4372" t="s">
        <v>111</v>
      </c>
      <c r="E4372">
        <v>18</v>
      </c>
      <c r="F4372">
        <v>1018</v>
      </c>
      <c r="G4372" t="s">
        <v>112</v>
      </c>
      <c r="J4372" t="s">
        <v>113</v>
      </c>
      <c r="K4372">
        <v>0</v>
      </c>
      <c r="L4372">
        <v>3</v>
      </c>
      <c r="M4372">
        <v>0</v>
      </c>
      <c r="N4372">
        <v>2</v>
      </c>
      <c r="O4372">
        <v>1</v>
      </c>
      <c r="P4372">
        <v>0</v>
      </c>
      <c r="Q4372">
        <v>0</v>
      </c>
      <c r="R4372" t="s">
        <v>114</v>
      </c>
      <c r="S4372" t="str">
        <f>"19:49:32.719"</f>
        <v>19:49:32.719</v>
      </c>
      <c r="T4372" t="str">
        <f>"19:49:32.719"</f>
        <v>19:49:32.719</v>
      </c>
      <c r="U4372" t="str">
        <f t="shared" si="206"/>
        <v>a1cdbe</v>
      </c>
      <c r="V4372">
        <v>0</v>
      </c>
      <c r="W4372">
        <v>0</v>
      </c>
      <c r="X4372">
        <v>2</v>
      </c>
      <c r="Y4372">
        <v>0</v>
      </c>
      <c r="Z4372">
        <v>0</v>
      </c>
      <c r="AB4372">
        <v>0</v>
      </c>
      <c r="AC4372">
        <v>9</v>
      </c>
      <c r="AD4372">
        <v>3</v>
      </c>
      <c r="AE4372">
        <v>0</v>
      </c>
      <c r="AF4372">
        <v>9</v>
      </c>
      <c r="AG4372" t="s">
        <v>115</v>
      </c>
      <c r="AH4372">
        <v>0</v>
      </c>
      <c r="AI4372">
        <v>0</v>
      </c>
      <c r="AJ4372">
        <v>1</v>
      </c>
      <c r="AK4372">
        <v>0</v>
      </c>
      <c r="AL4372" t="s">
        <v>7686</v>
      </c>
      <c r="AM4372">
        <v>47.061051999999997</v>
      </c>
      <c r="AN4372" t="s">
        <v>7942</v>
      </c>
      <c r="AO4372">
        <v>-124.012964</v>
      </c>
      <c r="AP4372">
        <v>100</v>
      </c>
      <c r="AQ4372">
        <v>0</v>
      </c>
      <c r="AR4372" t="s">
        <v>118</v>
      </c>
      <c r="AS4372">
        <v>-70</v>
      </c>
      <c r="AT4372">
        <v>-16</v>
      </c>
      <c r="AU4372">
        <v>512</v>
      </c>
      <c r="BC4372">
        <v>1200</v>
      </c>
      <c r="BD4372">
        <v>1</v>
      </c>
      <c r="BE4372" t="str">
        <f t="shared" si="207"/>
        <v xml:space="preserve">N215T   </v>
      </c>
      <c r="BF4372">
        <v>1</v>
      </c>
      <c r="BH4372">
        <v>0</v>
      </c>
      <c r="BI4372">
        <v>0</v>
      </c>
      <c r="BJ4372">
        <v>0</v>
      </c>
      <c r="BK4372">
        <v>425</v>
      </c>
      <c r="BL4372">
        <v>425</v>
      </c>
      <c r="BM4372" t="s">
        <v>119</v>
      </c>
      <c r="BN4372">
        <v>1</v>
      </c>
      <c r="BO4372">
        <v>1</v>
      </c>
      <c r="BP4372">
        <v>1</v>
      </c>
      <c r="BQ4372">
        <v>0</v>
      </c>
      <c r="BT4372">
        <v>0</v>
      </c>
      <c r="BU4372">
        <v>0</v>
      </c>
      <c r="BV4372">
        <v>0</v>
      </c>
      <c r="CC4372" t="str">
        <f>"19:49:32.719"</f>
        <v>19:49:32.719</v>
      </c>
      <c r="CD4372" t="str">
        <f>"721440648"</f>
        <v>721440648</v>
      </c>
      <c r="CQ4372">
        <v>0</v>
      </c>
      <c r="CR4372">
        <v>2</v>
      </c>
      <c r="CS4372">
        <v>0</v>
      </c>
      <c r="CT4372">
        <v>2</v>
      </c>
      <c r="CU4372">
        <v>0</v>
      </c>
      <c r="CV4372">
        <v>5</v>
      </c>
      <c r="CW4372" t="s">
        <v>120</v>
      </c>
      <c r="CX4372">
        <v>257</v>
      </c>
      <c r="CY4372">
        <v>0</v>
      </c>
      <c r="CZ4372" t="s">
        <v>615</v>
      </c>
      <c r="DA4372" t="s">
        <v>616</v>
      </c>
      <c r="DD4372">
        <v>11064</v>
      </c>
      <c r="DE4372" t="s">
        <v>123</v>
      </c>
    </row>
    <row r="4373" spans="1:109" x14ac:dyDescent="0.3">
      <c r="A4373" t="str">
        <f>"19:49:34.055"</f>
        <v>19:49:34.055</v>
      </c>
      <c r="B4373" t="s">
        <v>110</v>
      </c>
      <c r="C4373" t="str">
        <f t="shared" ref="C4373:C4404" si="208">"ffdfd3c0"</f>
        <v>ffdfd3c0</v>
      </c>
      <c r="D4373" t="s">
        <v>111</v>
      </c>
      <c r="E4373">
        <v>18</v>
      </c>
      <c r="F4373">
        <v>1018</v>
      </c>
      <c r="G4373" t="s">
        <v>112</v>
      </c>
      <c r="J4373" t="s">
        <v>113</v>
      </c>
      <c r="K4373">
        <v>0</v>
      </c>
      <c r="L4373">
        <v>3</v>
      </c>
      <c r="M4373">
        <v>0</v>
      </c>
      <c r="N4373">
        <v>2</v>
      </c>
      <c r="O4373">
        <v>1</v>
      </c>
      <c r="P4373">
        <v>0</v>
      </c>
      <c r="Q4373">
        <v>0</v>
      </c>
      <c r="R4373" t="s">
        <v>114</v>
      </c>
      <c r="S4373" t="str">
        <f>"19:49:33.828"</f>
        <v>19:49:33.828</v>
      </c>
      <c r="T4373" t="str">
        <f>"19:49:33.727"</f>
        <v>19:49:33.727</v>
      </c>
      <c r="U4373" t="str">
        <f t="shared" si="206"/>
        <v>a1cdbe</v>
      </c>
      <c r="V4373">
        <v>0</v>
      </c>
      <c r="W4373">
        <v>0</v>
      </c>
      <c r="X4373">
        <v>2</v>
      </c>
      <c r="Y4373">
        <v>0</v>
      </c>
      <c r="Z4373">
        <v>0</v>
      </c>
      <c r="AB4373">
        <v>0</v>
      </c>
      <c r="AC4373">
        <v>9</v>
      </c>
      <c r="AD4373">
        <v>3</v>
      </c>
      <c r="AE4373">
        <v>0</v>
      </c>
      <c r="AF4373">
        <v>9</v>
      </c>
      <c r="AG4373" t="s">
        <v>115</v>
      </c>
      <c r="AH4373">
        <v>0</v>
      </c>
      <c r="AI4373">
        <v>0</v>
      </c>
      <c r="AJ4373">
        <v>1</v>
      </c>
      <c r="AK4373">
        <v>0</v>
      </c>
      <c r="AL4373" t="s">
        <v>504</v>
      </c>
      <c r="AM4373">
        <v>47.060966000000001</v>
      </c>
      <c r="AN4373" t="s">
        <v>7489</v>
      </c>
      <c r="AO4373">
        <v>-124.01352199999999</v>
      </c>
      <c r="AP4373">
        <v>100</v>
      </c>
      <c r="AQ4373">
        <v>100</v>
      </c>
      <c r="AR4373" t="s">
        <v>118</v>
      </c>
      <c r="AS4373">
        <v>-71</v>
      </c>
      <c r="AT4373">
        <v>-15</v>
      </c>
      <c r="AU4373">
        <v>512</v>
      </c>
      <c r="BC4373">
        <v>1200</v>
      </c>
      <c r="BD4373">
        <v>1</v>
      </c>
      <c r="BE4373" t="str">
        <f t="shared" si="207"/>
        <v xml:space="preserve">N215T   </v>
      </c>
      <c r="BF4373">
        <v>1</v>
      </c>
      <c r="BH4373">
        <v>0</v>
      </c>
      <c r="BI4373">
        <v>0</v>
      </c>
      <c r="BJ4373">
        <v>0</v>
      </c>
      <c r="BK4373">
        <v>425</v>
      </c>
      <c r="BL4373">
        <v>325</v>
      </c>
      <c r="BM4373" t="s">
        <v>119</v>
      </c>
      <c r="BN4373">
        <v>1</v>
      </c>
      <c r="BO4373">
        <v>1</v>
      </c>
      <c r="BP4373">
        <v>1</v>
      </c>
      <c r="BQ4373">
        <v>0</v>
      </c>
      <c r="BT4373">
        <v>0</v>
      </c>
      <c r="BU4373">
        <v>0</v>
      </c>
      <c r="BV4373">
        <v>0</v>
      </c>
      <c r="CC4373" t="str">
        <f>"19:49:33.828"</f>
        <v>19:49:33.828</v>
      </c>
      <c r="CD4373" t="str">
        <f>"831331260"</f>
        <v>831331260</v>
      </c>
      <c r="CQ4373">
        <v>0</v>
      </c>
      <c r="CR4373">
        <v>2</v>
      </c>
      <c r="CS4373">
        <v>0</v>
      </c>
      <c r="CT4373">
        <v>2</v>
      </c>
      <c r="CU4373">
        <v>0</v>
      </c>
      <c r="CV4373">
        <v>5</v>
      </c>
      <c r="CW4373" t="s">
        <v>120</v>
      </c>
      <c r="CX4373">
        <v>257</v>
      </c>
      <c r="CY4373">
        <v>0</v>
      </c>
      <c r="CZ4373" t="s">
        <v>615</v>
      </c>
      <c r="DA4373" t="s">
        <v>616</v>
      </c>
      <c r="DD4373">
        <v>11413</v>
      </c>
      <c r="DE4373" t="s">
        <v>123</v>
      </c>
    </row>
    <row r="4374" spans="1:109" x14ac:dyDescent="0.3">
      <c r="A4374" t="str">
        <f>"19:49:35.109"</f>
        <v>19:49:35.109</v>
      </c>
      <c r="B4374" t="s">
        <v>110</v>
      </c>
      <c r="C4374" t="str">
        <f t="shared" si="208"/>
        <v>ffdfd3c0</v>
      </c>
      <c r="D4374" t="s">
        <v>111</v>
      </c>
      <c r="E4374">
        <v>18</v>
      </c>
      <c r="F4374">
        <v>1018</v>
      </c>
      <c r="G4374" t="s">
        <v>112</v>
      </c>
      <c r="J4374" t="s">
        <v>113</v>
      </c>
      <c r="K4374">
        <v>0</v>
      </c>
      <c r="L4374">
        <v>3</v>
      </c>
      <c r="M4374">
        <v>0</v>
      </c>
      <c r="N4374">
        <v>2</v>
      </c>
      <c r="O4374">
        <v>1</v>
      </c>
      <c r="P4374">
        <v>0</v>
      </c>
      <c r="Q4374">
        <v>0</v>
      </c>
      <c r="R4374" t="s">
        <v>114</v>
      </c>
      <c r="S4374" t="str">
        <f>"19:49:34.875"</f>
        <v>19:49:34.875</v>
      </c>
      <c r="T4374" t="str">
        <f>"19:49:34.773"</f>
        <v>19:49:34.773</v>
      </c>
      <c r="U4374" t="str">
        <f t="shared" si="206"/>
        <v>a1cdbe</v>
      </c>
      <c r="V4374">
        <v>0</v>
      </c>
      <c r="W4374">
        <v>0</v>
      </c>
      <c r="X4374">
        <v>2</v>
      </c>
      <c r="Y4374">
        <v>0</v>
      </c>
      <c r="Z4374">
        <v>0</v>
      </c>
      <c r="AB4374">
        <v>0</v>
      </c>
      <c r="AC4374">
        <v>9</v>
      </c>
      <c r="AD4374">
        <v>3</v>
      </c>
      <c r="AE4374">
        <v>0</v>
      </c>
      <c r="AF4374">
        <v>9</v>
      </c>
      <c r="AG4374" t="s">
        <v>115</v>
      </c>
      <c r="AH4374">
        <v>0</v>
      </c>
      <c r="AI4374">
        <v>0</v>
      </c>
      <c r="AJ4374">
        <v>1</v>
      </c>
      <c r="AK4374">
        <v>0</v>
      </c>
      <c r="AL4374" t="s">
        <v>7943</v>
      </c>
      <c r="AM4374">
        <v>47.060901999999999</v>
      </c>
      <c r="AN4374" t="s">
        <v>7944</v>
      </c>
      <c r="AO4374">
        <v>-124.014015</v>
      </c>
      <c r="AP4374">
        <v>100</v>
      </c>
      <c r="AQ4374">
        <v>100</v>
      </c>
      <c r="AR4374" t="s">
        <v>118</v>
      </c>
      <c r="AS4374">
        <v>-72</v>
      </c>
      <c r="AT4374">
        <v>-14</v>
      </c>
      <c r="AU4374">
        <v>576</v>
      </c>
      <c r="BC4374">
        <v>1200</v>
      </c>
      <c r="BD4374">
        <v>1</v>
      </c>
      <c r="BE4374" t="str">
        <f t="shared" si="207"/>
        <v xml:space="preserve">N215T   </v>
      </c>
      <c r="BF4374">
        <v>1</v>
      </c>
      <c r="BH4374">
        <v>0</v>
      </c>
      <c r="BI4374">
        <v>0</v>
      </c>
      <c r="BJ4374">
        <v>0</v>
      </c>
      <c r="BK4374">
        <v>325</v>
      </c>
      <c r="BL4374">
        <v>225</v>
      </c>
      <c r="BM4374" t="s">
        <v>119</v>
      </c>
      <c r="BN4374">
        <v>1</v>
      </c>
      <c r="BO4374">
        <v>1</v>
      </c>
      <c r="BP4374">
        <v>1</v>
      </c>
      <c r="BQ4374">
        <v>0</v>
      </c>
      <c r="BT4374">
        <v>0</v>
      </c>
      <c r="BU4374">
        <v>0</v>
      </c>
      <c r="BV4374">
        <v>0</v>
      </c>
      <c r="CC4374" t="str">
        <f>"19:49:34.883"</f>
        <v>19:49:34.883</v>
      </c>
      <c r="CD4374" t="str">
        <f>"881227794"</f>
        <v>881227794</v>
      </c>
      <c r="CQ4374">
        <v>0</v>
      </c>
      <c r="CR4374">
        <v>2</v>
      </c>
      <c r="CS4374">
        <v>0</v>
      </c>
      <c r="CT4374">
        <v>2</v>
      </c>
      <c r="CU4374">
        <v>0</v>
      </c>
      <c r="CV4374">
        <v>6</v>
      </c>
      <c r="CW4374" t="s">
        <v>120</v>
      </c>
      <c r="CX4374">
        <v>257</v>
      </c>
      <c r="CY4374">
        <v>0</v>
      </c>
      <c r="CZ4374" t="s">
        <v>615</v>
      </c>
      <c r="DA4374" t="s">
        <v>616</v>
      </c>
      <c r="DD4374">
        <v>11716</v>
      </c>
      <c r="DE4374" t="s">
        <v>123</v>
      </c>
    </row>
    <row r="4375" spans="1:109" x14ac:dyDescent="0.3">
      <c r="A4375" t="str">
        <f>"19:49:36.063"</f>
        <v>19:49:36.063</v>
      </c>
      <c r="B4375" t="s">
        <v>110</v>
      </c>
      <c r="C4375" t="str">
        <f t="shared" si="208"/>
        <v>ffdfd3c0</v>
      </c>
      <c r="D4375" t="s">
        <v>111</v>
      </c>
      <c r="E4375">
        <v>18</v>
      </c>
      <c r="F4375">
        <v>1018</v>
      </c>
      <c r="G4375" t="s">
        <v>112</v>
      </c>
      <c r="J4375" t="s">
        <v>113</v>
      </c>
      <c r="K4375">
        <v>0</v>
      </c>
      <c r="L4375">
        <v>3</v>
      </c>
      <c r="M4375">
        <v>0</v>
      </c>
      <c r="N4375">
        <v>2</v>
      </c>
      <c r="O4375">
        <v>1</v>
      </c>
      <c r="P4375">
        <v>0</v>
      </c>
      <c r="Q4375">
        <v>0</v>
      </c>
      <c r="R4375" t="s">
        <v>114</v>
      </c>
      <c r="S4375" t="str">
        <f>"19:49:35.836"</f>
        <v>19:49:35.836</v>
      </c>
      <c r="T4375" t="str">
        <f>"19:49:35.734"</f>
        <v>19:49:35.734</v>
      </c>
      <c r="U4375" t="str">
        <f t="shared" si="206"/>
        <v>a1cdbe</v>
      </c>
      <c r="V4375">
        <v>0</v>
      </c>
      <c r="W4375">
        <v>0</v>
      </c>
      <c r="X4375">
        <v>2</v>
      </c>
      <c r="Y4375">
        <v>0</v>
      </c>
      <c r="Z4375">
        <v>0</v>
      </c>
      <c r="AB4375">
        <v>0</v>
      </c>
      <c r="AC4375">
        <v>9</v>
      </c>
      <c r="AD4375">
        <v>3</v>
      </c>
      <c r="AE4375">
        <v>0</v>
      </c>
      <c r="AF4375">
        <v>9</v>
      </c>
      <c r="AG4375" t="s">
        <v>115</v>
      </c>
      <c r="AH4375">
        <v>0</v>
      </c>
      <c r="AI4375">
        <v>0</v>
      </c>
      <c r="AJ4375">
        <v>1</v>
      </c>
      <c r="AK4375">
        <v>0</v>
      </c>
      <c r="AL4375" t="s">
        <v>7945</v>
      </c>
      <c r="AM4375">
        <v>47.060816000000003</v>
      </c>
      <c r="AN4375" t="s">
        <v>7946</v>
      </c>
      <c r="AO4375">
        <v>-124.014509</v>
      </c>
      <c r="AP4375">
        <v>100</v>
      </c>
      <c r="AQ4375">
        <v>100</v>
      </c>
      <c r="AR4375" t="s">
        <v>118</v>
      </c>
      <c r="AS4375">
        <v>-72</v>
      </c>
      <c r="AT4375">
        <v>-14</v>
      </c>
      <c r="AU4375">
        <v>576</v>
      </c>
      <c r="BC4375">
        <v>1200</v>
      </c>
      <c r="BD4375">
        <v>1</v>
      </c>
      <c r="BE4375" t="str">
        <f t="shared" si="207"/>
        <v xml:space="preserve">N215T   </v>
      </c>
      <c r="BF4375">
        <v>1</v>
      </c>
      <c r="BH4375">
        <v>0</v>
      </c>
      <c r="BI4375">
        <v>0</v>
      </c>
      <c r="BJ4375">
        <v>0</v>
      </c>
      <c r="BK4375">
        <v>450</v>
      </c>
      <c r="BL4375">
        <v>350</v>
      </c>
      <c r="BM4375" t="s">
        <v>119</v>
      </c>
      <c r="BN4375">
        <v>1</v>
      </c>
      <c r="BO4375">
        <v>1</v>
      </c>
      <c r="BP4375">
        <v>1</v>
      </c>
      <c r="BQ4375">
        <v>0</v>
      </c>
      <c r="BT4375">
        <v>0</v>
      </c>
      <c r="BU4375">
        <v>0</v>
      </c>
      <c r="BV4375">
        <v>0</v>
      </c>
      <c r="CC4375" t="str">
        <f>"19:49:35.844"</f>
        <v>19:49:35.844</v>
      </c>
      <c r="CD4375" t="str">
        <f>"841133199"</f>
        <v>841133199</v>
      </c>
      <c r="CQ4375">
        <v>0</v>
      </c>
      <c r="CR4375">
        <v>2</v>
      </c>
      <c r="CS4375">
        <v>0</v>
      </c>
      <c r="CT4375">
        <v>2</v>
      </c>
      <c r="CU4375">
        <v>0</v>
      </c>
      <c r="CV4375">
        <v>6</v>
      </c>
      <c r="CW4375" t="s">
        <v>120</v>
      </c>
      <c r="CX4375">
        <v>257</v>
      </c>
      <c r="CY4375">
        <v>0</v>
      </c>
      <c r="CZ4375" t="s">
        <v>615</v>
      </c>
      <c r="DA4375" t="s">
        <v>616</v>
      </c>
      <c r="DD4375">
        <v>12035</v>
      </c>
      <c r="DE4375" t="s">
        <v>123</v>
      </c>
    </row>
    <row r="4376" spans="1:109" x14ac:dyDescent="0.3">
      <c r="A4376" t="str">
        <f>"19:49:36.969"</f>
        <v>19:49:36.969</v>
      </c>
      <c r="B4376" t="s">
        <v>110</v>
      </c>
      <c r="C4376" t="str">
        <f t="shared" si="208"/>
        <v>ffdfd3c0</v>
      </c>
      <c r="D4376" t="s">
        <v>111</v>
      </c>
      <c r="E4376">
        <v>18</v>
      </c>
      <c r="F4376">
        <v>1018</v>
      </c>
      <c r="G4376" t="s">
        <v>112</v>
      </c>
      <c r="J4376" t="s">
        <v>113</v>
      </c>
      <c r="K4376">
        <v>0</v>
      </c>
      <c r="L4376">
        <v>3</v>
      </c>
      <c r="M4376">
        <v>0</v>
      </c>
      <c r="N4376">
        <v>2</v>
      </c>
      <c r="O4376">
        <v>1</v>
      </c>
      <c r="P4376">
        <v>0</v>
      </c>
      <c r="Q4376">
        <v>0</v>
      </c>
      <c r="R4376" t="s">
        <v>114</v>
      </c>
      <c r="S4376" t="str">
        <f>"19:49:36.734"</f>
        <v>19:49:36.734</v>
      </c>
      <c r="T4376" t="str">
        <f>"19:49:36.734"</f>
        <v>19:49:36.734</v>
      </c>
      <c r="U4376" t="str">
        <f t="shared" si="206"/>
        <v>a1cdbe</v>
      </c>
      <c r="V4376">
        <v>0</v>
      </c>
      <c r="W4376">
        <v>0</v>
      </c>
      <c r="X4376">
        <v>2</v>
      </c>
      <c r="Y4376">
        <v>0</v>
      </c>
      <c r="Z4376">
        <v>0</v>
      </c>
      <c r="AB4376">
        <v>0</v>
      </c>
      <c r="AC4376">
        <v>9</v>
      </c>
      <c r="AD4376">
        <v>3</v>
      </c>
      <c r="AE4376">
        <v>0</v>
      </c>
      <c r="AF4376">
        <v>9</v>
      </c>
      <c r="AG4376" t="s">
        <v>115</v>
      </c>
      <c r="AH4376">
        <v>0</v>
      </c>
      <c r="AI4376">
        <v>0</v>
      </c>
      <c r="AJ4376">
        <v>1</v>
      </c>
      <c r="AK4376">
        <v>0</v>
      </c>
      <c r="AL4376" t="s">
        <v>7831</v>
      </c>
      <c r="AM4376">
        <v>47.060752000000001</v>
      </c>
      <c r="AN4376" t="s">
        <v>7947</v>
      </c>
      <c r="AO4376">
        <v>-124.01498100000001</v>
      </c>
      <c r="AP4376">
        <v>100</v>
      </c>
      <c r="AQ4376">
        <v>100</v>
      </c>
      <c r="AR4376" t="s">
        <v>118</v>
      </c>
      <c r="AS4376">
        <v>-73</v>
      </c>
      <c r="AT4376">
        <v>-13</v>
      </c>
      <c r="AU4376">
        <v>512</v>
      </c>
      <c r="BC4376">
        <v>1200</v>
      </c>
      <c r="BD4376">
        <v>1</v>
      </c>
      <c r="BE4376" t="str">
        <f t="shared" si="207"/>
        <v xml:space="preserve">N215T   </v>
      </c>
      <c r="BF4376">
        <v>1</v>
      </c>
      <c r="BH4376">
        <v>0</v>
      </c>
      <c r="BI4376">
        <v>0</v>
      </c>
      <c r="BJ4376">
        <v>0</v>
      </c>
      <c r="BK4376">
        <v>450</v>
      </c>
      <c r="BL4376">
        <v>350</v>
      </c>
      <c r="BM4376" t="s">
        <v>119</v>
      </c>
      <c r="BN4376">
        <v>1</v>
      </c>
      <c r="BO4376">
        <v>1</v>
      </c>
      <c r="BP4376">
        <v>1</v>
      </c>
      <c r="BQ4376">
        <v>0</v>
      </c>
      <c r="BT4376">
        <v>0</v>
      </c>
      <c r="BU4376">
        <v>0</v>
      </c>
      <c r="BV4376">
        <v>0</v>
      </c>
      <c r="CC4376" t="str">
        <f>"19:49:36.742"</f>
        <v>19:49:36.742</v>
      </c>
      <c r="CD4376" t="str">
        <f>"741044508"</f>
        <v>741044508</v>
      </c>
      <c r="CQ4376">
        <v>0</v>
      </c>
      <c r="CR4376">
        <v>2</v>
      </c>
      <c r="CS4376">
        <v>0</v>
      </c>
      <c r="CT4376">
        <v>2</v>
      </c>
      <c r="CU4376">
        <v>0</v>
      </c>
      <c r="CV4376">
        <v>5</v>
      </c>
      <c r="CW4376" t="s">
        <v>120</v>
      </c>
      <c r="CX4376">
        <v>257</v>
      </c>
      <c r="CY4376">
        <v>0</v>
      </c>
      <c r="CZ4376" t="s">
        <v>615</v>
      </c>
      <c r="DA4376" t="s">
        <v>616</v>
      </c>
      <c r="DD4376">
        <v>12326</v>
      </c>
      <c r="DE4376" t="s">
        <v>123</v>
      </c>
    </row>
    <row r="4377" spans="1:109" x14ac:dyDescent="0.3">
      <c r="A4377" t="str">
        <f>"19:49:38.023"</f>
        <v>19:49:38.023</v>
      </c>
      <c r="B4377" t="s">
        <v>110</v>
      </c>
      <c r="C4377" t="str">
        <f t="shared" si="208"/>
        <v>ffdfd3c0</v>
      </c>
      <c r="D4377" t="s">
        <v>111</v>
      </c>
      <c r="E4377">
        <v>18</v>
      </c>
      <c r="F4377">
        <v>1018</v>
      </c>
      <c r="G4377" t="s">
        <v>112</v>
      </c>
      <c r="J4377" t="s">
        <v>113</v>
      </c>
      <c r="K4377">
        <v>0</v>
      </c>
      <c r="L4377">
        <v>3</v>
      </c>
      <c r="M4377">
        <v>0</v>
      </c>
      <c r="N4377">
        <v>2</v>
      </c>
      <c r="O4377">
        <v>1</v>
      </c>
      <c r="P4377">
        <v>0</v>
      </c>
      <c r="Q4377">
        <v>0</v>
      </c>
      <c r="R4377" t="s">
        <v>114</v>
      </c>
      <c r="S4377" t="str">
        <f>"19:49:37.773"</f>
        <v>19:49:37.773</v>
      </c>
      <c r="T4377" t="str">
        <f>"19:49:37.773"</f>
        <v>19:49:37.773</v>
      </c>
      <c r="U4377" t="str">
        <f t="shared" si="206"/>
        <v>a1cdbe</v>
      </c>
      <c r="V4377">
        <v>0</v>
      </c>
      <c r="W4377">
        <v>0</v>
      </c>
      <c r="X4377">
        <v>2</v>
      </c>
      <c r="Y4377">
        <v>0</v>
      </c>
      <c r="Z4377">
        <v>0</v>
      </c>
      <c r="AB4377">
        <v>0</v>
      </c>
      <c r="AC4377">
        <v>9</v>
      </c>
      <c r="AD4377">
        <v>3</v>
      </c>
      <c r="AE4377">
        <v>0</v>
      </c>
      <c r="AF4377">
        <v>9</v>
      </c>
      <c r="AG4377" t="s">
        <v>115</v>
      </c>
      <c r="AH4377">
        <v>0</v>
      </c>
      <c r="AI4377">
        <v>0</v>
      </c>
      <c r="AJ4377">
        <v>1</v>
      </c>
      <c r="AK4377">
        <v>0</v>
      </c>
      <c r="AL4377" t="s">
        <v>7948</v>
      </c>
      <c r="AM4377">
        <v>47.060687999999999</v>
      </c>
      <c r="AN4377" t="s">
        <v>7949</v>
      </c>
      <c r="AO4377">
        <v>-124.01543100000001</v>
      </c>
      <c r="AP4377">
        <v>100</v>
      </c>
      <c r="AQ4377">
        <v>100</v>
      </c>
      <c r="AR4377" t="s">
        <v>118</v>
      </c>
      <c r="AS4377">
        <v>-73</v>
      </c>
      <c r="AT4377">
        <v>-15</v>
      </c>
      <c r="AU4377">
        <v>384</v>
      </c>
      <c r="BC4377">
        <v>1200</v>
      </c>
      <c r="BD4377">
        <v>1</v>
      </c>
      <c r="BE4377" t="str">
        <f t="shared" si="207"/>
        <v xml:space="preserve">N215T   </v>
      </c>
      <c r="BF4377">
        <v>1</v>
      </c>
      <c r="BH4377">
        <v>0</v>
      </c>
      <c r="BI4377">
        <v>0</v>
      </c>
      <c r="BJ4377">
        <v>0</v>
      </c>
      <c r="BK4377">
        <v>450</v>
      </c>
      <c r="BL4377">
        <v>350</v>
      </c>
      <c r="BM4377" t="s">
        <v>119</v>
      </c>
      <c r="BN4377">
        <v>1</v>
      </c>
      <c r="BO4377">
        <v>1</v>
      </c>
      <c r="BP4377">
        <v>1</v>
      </c>
      <c r="BQ4377">
        <v>0</v>
      </c>
      <c r="BT4377">
        <v>0</v>
      </c>
      <c r="BU4377">
        <v>0</v>
      </c>
      <c r="BV4377">
        <v>0</v>
      </c>
      <c r="CC4377" t="str">
        <f>"19:49:37.773"</f>
        <v>19:49:37.773</v>
      </c>
      <c r="CD4377" t="str">
        <f>"775942520"</f>
        <v>775942520</v>
      </c>
      <c r="CQ4377">
        <v>0</v>
      </c>
      <c r="CR4377">
        <v>2</v>
      </c>
      <c r="CS4377">
        <v>0</v>
      </c>
      <c r="CT4377">
        <v>2</v>
      </c>
      <c r="CU4377">
        <v>0</v>
      </c>
      <c r="CV4377">
        <v>6</v>
      </c>
      <c r="CW4377" t="s">
        <v>120</v>
      </c>
      <c r="CX4377">
        <v>257</v>
      </c>
      <c r="CY4377">
        <v>0</v>
      </c>
      <c r="CZ4377" t="s">
        <v>615</v>
      </c>
      <c r="DA4377" t="s">
        <v>616</v>
      </c>
      <c r="DD4377">
        <v>12672</v>
      </c>
      <c r="DE4377" t="s">
        <v>123</v>
      </c>
    </row>
    <row r="4378" spans="1:109" x14ac:dyDescent="0.3">
      <c r="A4378" t="str">
        <f>"19:49:38.977"</f>
        <v>19:49:38.977</v>
      </c>
      <c r="B4378" t="s">
        <v>110</v>
      </c>
      <c r="C4378" t="str">
        <f t="shared" si="208"/>
        <v>ffdfd3c0</v>
      </c>
      <c r="D4378" t="s">
        <v>111</v>
      </c>
      <c r="E4378">
        <v>18</v>
      </c>
      <c r="F4378">
        <v>1018</v>
      </c>
      <c r="G4378" t="s">
        <v>112</v>
      </c>
      <c r="J4378" t="s">
        <v>113</v>
      </c>
      <c r="K4378">
        <v>0</v>
      </c>
      <c r="L4378">
        <v>3</v>
      </c>
      <c r="M4378">
        <v>0</v>
      </c>
      <c r="N4378">
        <v>2</v>
      </c>
      <c r="O4378">
        <v>1</v>
      </c>
      <c r="P4378">
        <v>0</v>
      </c>
      <c r="Q4378">
        <v>0</v>
      </c>
      <c r="R4378" t="s">
        <v>114</v>
      </c>
      <c r="S4378" t="str">
        <f>"19:49:38.750"</f>
        <v>19:49:38.750</v>
      </c>
      <c r="T4378" t="str">
        <f>"19:49:38.352"</f>
        <v>19:49:38.352</v>
      </c>
      <c r="U4378" t="str">
        <f t="shared" si="206"/>
        <v>a1cdbe</v>
      </c>
      <c r="V4378">
        <v>0</v>
      </c>
      <c r="W4378">
        <v>0</v>
      </c>
      <c r="X4378">
        <v>2</v>
      </c>
      <c r="Y4378">
        <v>0</v>
      </c>
      <c r="Z4378">
        <v>0</v>
      </c>
      <c r="AB4378">
        <v>0</v>
      </c>
      <c r="AC4378">
        <v>9</v>
      </c>
      <c r="AD4378">
        <v>3</v>
      </c>
      <c r="AE4378">
        <v>0</v>
      </c>
      <c r="AF4378">
        <v>9</v>
      </c>
      <c r="AG4378" t="s">
        <v>115</v>
      </c>
      <c r="AH4378">
        <v>0</v>
      </c>
      <c r="AI4378">
        <v>0</v>
      </c>
      <c r="AJ4378">
        <v>1</v>
      </c>
      <c r="AK4378">
        <v>0</v>
      </c>
      <c r="AL4378" t="s">
        <v>7950</v>
      </c>
      <c r="AM4378">
        <v>47.060645000000001</v>
      </c>
      <c r="AN4378" t="s">
        <v>7951</v>
      </c>
      <c r="AO4378">
        <v>-124.015925</v>
      </c>
      <c r="AP4378">
        <v>100</v>
      </c>
      <c r="AQ4378">
        <v>100</v>
      </c>
      <c r="AR4378" t="s">
        <v>118</v>
      </c>
      <c r="AS4378">
        <v>-73</v>
      </c>
      <c r="AT4378">
        <v>-15</v>
      </c>
      <c r="AU4378">
        <v>320</v>
      </c>
      <c r="BC4378">
        <v>1200</v>
      </c>
      <c r="BD4378">
        <v>1</v>
      </c>
      <c r="BE4378" t="str">
        <f t="shared" si="207"/>
        <v xml:space="preserve">N215T   </v>
      </c>
      <c r="BF4378">
        <v>1</v>
      </c>
      <c r="BH4378">
        <v>0</v>
      </c>
      <c r="BI4378">
        <v>0</v>
      </c>
      <c r="BJ4378">
        <v>0</v>
      </c>
      <c r="BK4378">
        <v>475</v>
      </c>
      <c r="BL4378">
        <v>375</v>
      </c>
      <c r="BM4378" t="s">
        <v>119</v>
      </c>
      <c r="BN4378">
        <v>1</v>
      </c>
      <c r="BO4378">
        <v>1</v>
      </c>
      <c r="BP4378">
        <v>1</v>
      </c>
      <c r="BQ4378">
        <v>0</v>
      </c>
      <c r="BT4378">
        <v>0</v>
      </c>
      <c r="BU4378">
        <v>0</v>
      </c>
      <c r="BV4378">
        <v>0</v>
      </c>
      <c r="CC4378" t="str">
        <f>"19:49:38.750"</f>
        <v>19:49:38.750</v>
      </c>
      <c r="CD4378" t="str">
        <f>"750846436"</f>
        <v>750846436</v>
      </c>
      <c r="CQ4378">
        <v>0</v>
      </c>
      <c r="CR4378">
        <v>2</v>
      </c>
      <c r="CS4378">
        <v>0</v>
      </c>
      <c r="CT4378">
        <v>2</v>
      </c>
      <c r="CU4378">
        <v>0</v>
      </c>
      <c r="CV4378">
        <v>5</v>
      </c>
      <c r="CW4378" t="s">
        <v>120</v>
      </c>
      <c r="CX4378">
        <v>257</v>
      </c>
      <c r="CY4378">
        <v>0</v>
      </c>
      <c r="CZ4378" t="s">
        <v>615</v>
      </c>
      <c r="DA4378" t="s">
        <v>616</v>
      </c>
      <c r="DD4378">
        <v>12974</v>
      </c>
      <c r="DE4378" t="s">
        <v>123</v>
      </c>
    </row>
    <row r="4379" spans="1:109" x14ac:dyDescent="0.3">
      <c r="A4379" t="str">
        <f>"19:49:40.086"</f>
        <v>19:49:40.086</v>
      </c>
      <c r="B4379" t="s">
        <v>110</v>
      </c>
      <c r="C4379" t="str">
        <f t="shared" si="208"/>
        <v>ffdfd3c0</v>
      </c>
      <c r="D4379" t="s">
        <v>111</v>
      </c>
      <c r="E4379">
        <v>18</v>
      </c>
      <c r="F4379">
        <v>1018</v>
      </c>
      <c r="G4379" t="s">
        <v>112</v>
      </c>
      <c r="J4379" t="s">
        <v>113</v>
      </c>
      <c r="K4379">
        <v>0</v>
      </c>
      <c r="L4379">
        <v>3</v>
      </c>
      <c r="M4379">
        <v>0</v>
      </c>
      <c r="N4379">
        <v>2</v>
      </c>
      <c r="O4379">
        <v>1</v>
      </c>
      <c r="P4379">
        <v>0</v>
      </c>
      <c r="Q4379">
        <v>0</v>
      </c>
      <c r="R4379" t="s">
        <v>114</v>
      </c>
      <c r="S4379" t="str">
        <f>"19:49:39.828"</f>
        <v>19:49:39.828</v>
      </c>
      <c r="T4379" t="str">
        <f>"19:49:39.828"</f>
        <v>19:49:39.828</v>
      </c>
      <c r="U4379" t="str">
        <f t="shared" si="206"/>
        <v>a1cdbe</v>
      </c>
      <c r="V4379">
        <v>0</v>
      </c>
      <c r="W4379">
        <v>0</v>
      </c>
      <c r="X4379">
        <v>2</v>
      </c>
      <c r="Y4379">
        <v>0</v>
      </c>
      <c r="Z4379">
        <v>0</v>
      </c>
      <c r="AB4379">
        <v>0</v>
      </c>
      <c r="AC4379">
        <v>9</v>
      </c>
      <c r="AD4379">
        <v>3</v>
      </c>
      <c r="AE4379">
        <v>0</v>
      </c>
      <c r="AF4379">
        <v>9</v>
      </c>
      <c r="AG4379" t="s">
        <v>115</v>
      </c>
      <c r="AH4379">
        <v>0</v>
      </c>
      <c r="AI4379">
        <v>0</v>
      </c>
      <c r="AJ4379">
        <v>1</v>
      </c>
      <c r="AK4379">
        <v>0</v>
      </c>
      <c r="AL4379" t="s">
        <v>7386</v>
      </c>
      <c r="AM4379">
        <v>47.060536999999997</v>
      </c>
      <c r="AN4379" t="s">
        <v>7419</v>
      </c>
      <c r="AO4379">
        <v>-124.01648299999999</v>
      </c>
      <c r="AP4379">
        <v>100</v>
      </c>
      <c r="AQ4379">
        <v>100</v>
      </c>
      <c r="AR4379" t="s">
        <v>118</v>
      </c>
      <c r="AS4379">
        <v>-74</v>
      </c>
      <c r="AT4379">
        <v>-15</v>
      </c>
      <c r="AU4379">
        <v>64</v>
      </c>
      <c r="BC4379">
        <v>1200</v>
      </c>
      <c r="BD4379">
        <v>1</v>
      </c>
      <c r="BE4379" t="str">
        <f t="shared" si="207"/>
        <v xml:space="preserve">N215T   </v>
      </c>
      <c r="BF4379">
        <v>1</v>
      </c>
      <c r="BH4379">
        <v>0</v>
      </c>
      <c r="BI4379">
        <v>0</v>
      </c>
      <c r="BJ4379">
        <v>0</v>
      </c>
      <c r="BK4379">
        <v>475</v>
      </c>
      <c r="BL4379">
        <v>375</v>
      </c>
      <c r="BM4379" t="s">
        <v>119</v>
      </c>
      <c r="BN4379">
        <v>1</v>
      </c>
      <c r="BO4379">
        <v>1</v>
      </c>
      <c r="BP4379">
        <v>1</v>
      </c>
      <c r="BQ4379">
        <v>0</v>
      </c>
      <c r="BT4379">
        <v>0</v>
      </c>
      <c r="BU4379">
        <v>0</v>
      </c>
      <c r="BV4379">
        <v>0</v>
      </c>
      <c r="CC4379" t="str">
        <f>"19:49:39.828"</f>
        <v>19:49:39.828</v>
      </c>
      <c r="CD4379" t="str">
        <f>"830740018"</f>
        <v>830740018</v>
      </c>
      <c r="CQ4379">
        <v>0</v>
      </c>
      <c r="CR4379">
        <v>2</v>
      </c>
      <c r="CS4379">
        <v>0</v>
      </c>
      <c r="CT4379">
        <v>2</v>
      </c>
      <c r="CU4379">
        <v>0</v>
      </c>
      <c r="CV4379">
        <v>6</v>
      </c>
      <c r="CW4379" t="s">
        <v>120</v>
      </c>
      <c r="CX4379">
        <v>257</v>
      </c>
      <c r="CY4379">
        <v>0</v>
      </c>
      <c r="CZ4379" t="s">
        <v>615</v>
      </c>
      <c r="DA4379" t="s">
        <v>616</v>
      </c>
      <c r="DD4379">
        <v>13289</v>
      </c>
      <c r="DE4379" t="s">
        <v>123</v>
      </c>
    </row>
    <row r="4380" spans="1:109" x14ac:dyDescent="0.3">
      <c r="A4380" t="str">
        <f>"19:49:41.094"</f>
        <v>19:49:41.094</v>
      </c>
      <c r="B4380" t="s">
        <v>110</v>
      </c>
      <c r="C4380" t="str">
        <f t="shared" si="208"/>
        <v>ffdfd3c0</v>
      </c>
      <c r="D4380" t="s">
        <v>111</v>
      </c>
      <c r="E4380">
        <v>18</v>
      </c>
      <c r="F4380">
        <v>1018</v>
      </c>
      <c r="G4380" t="s">
        <v>112</v>
      </c>
      <c r="J4380" t="s">
        <v>113</v>
      </c>
      <c r="K4380">
        <v>0</v>
      </c>
      <c r="L4380">
        <v>3</v>
      </c>
      <c r="M4380">
        <v>0</v>
      </c>
      <c r="N4380">
        <v>2</v>
      </c>
      <c r="O4380">
        <v>1</v>
      </c>
      <c r="P4380">
        <v>0</v>
      </c>
      <c r="Q4380">
        <v>0</v>
      </c>
      <c r="R4380" t="s">
        <v>114</v>
      </c>
      <c r="S4380" t="str">
        <f>"19:49:40.844"</f>
        <v>19:49:40.844</v>
      </c>
      <c r="T4380" t="str">
        <f>"19:49:40.742"</f>
        <v>19:49:40.742</v>
      </c>
      <c r="U4380" t="str">
        <f t="shared" si="206"/>
        <v>a1cdbe</v>
      </c>
      <c r="V4380">
        <v>0</v>
      </c>
      <c r="W4380">
        <v>0</v>
      </c>
      <c r="X4380">
        <v>2</v>
      </c>
      <c r="Y4380">
        <v>0</v>
      </c>
      <c r="Z4380">
        <v>0</v>
      </c>
      <c r="AB4380">
        <v>0</v>
      </c>
      <c r="AC4380">
        <v>9</v>
      </c>
      <c r="AD4380">
        <v>3</v>
      </c>
      <c r="AE4380">
        <v>0</v>
      </c>
      <c r="AF4380">
        <v>9</v>
      </c>
      <c r="AG4380" t="s">
        <v>115</v>
      </c>
      <c r="AH4380">
        <v>0</v>
      </c>
      <c r="AI4380">
        <v>0</v>
      </c>
      <c r="AJ4380">
        <v>1</v>
      </c>
      <c r="AK4380">
        <v>0</v>
      </c>
      <c r="AL4380" t="s">
        <v>7644</v>
      </c>
      <c r="AM4380">
        <v>47.060493999999998</v>
      </c>
      <c r="AN4380" t="s">
        <v>7421</v>
      </c>
      <c r="AO4380">
        <v>-124.01704100000001</v>
      </c>
      <c r="AP4380">
        <v>100</v>
      </c>
      <c r="AQ4380">
        <v>100</v>
      </c>
      <c r="AR4380" t="s">
        <v>118</v>
      </c>
      <c r="AS4380">
        <v>-75</v>
      </c>
      <c r="AT4380">
        <v>-16</v>
      </c>
      <c r="AU4380">
        <v>64</v>
      </c>
      <c r="BC4380">
        <v>1200</v>
      </c>
      <c r="BD4380">
        <v>1</v>
      </c>
      <c r="BE4380" t="str">
        <f t="shared" si="207"/>
        <v xml:space="preserve">N215T   </v>
      </c>
      <c r="BF4380">
        <v>1</v>
      </c>
      <c r="BH4380">
        <v>0</v>
      </c>
      <c r="BI4380">
        <v>0</v>
      </c>
      <c r="BJ4380">
        <v>0</v>
      </c>
      <c r="BK4380">
        <v>475</v>
      </c>
      <c r="BL4380">
        <v>375</v>
      </c>
      <c r="BM4380" t="s">
        <v>119</v>
      </c>
      <c r="BN4380">
        <v>1</v>
      </c>
      <c r="BO4380">
        <v>1</v>
      </c>
      <c r="BP4380">
        <v>1</v>
      </c>
      <c r="BQ4380">
        <v>0</v>
      </c>
      <c r="BT4380">
        <v>0</v>
      </c>
      <c r="BU4380">
        <v>0</v>
      </c>
      <c r="BV4380">
        <v>0</v>
      </c>
      <c r="CC4380" t="str">
        <f>"19:49:40.852"</f>
        <v>19:49:40.852</v>
      </c>
      <c r="CD4380" t="str">
        <f>"850639509"</f>
        <v>850639509</v>
      </c>
      <c r="CQ4380">
        <v>0</v>
      </c>
      <c r="CR4380">
        <v>2</v>
      </c>
      <c r="CS4380">
        <v>0</v>
      </c>
      <c r="CT4380">
        <v>2</v>
      </c>
      <c r="CU4380">
        <v>0</v>
      </c>
      <c r="CV4380">
        <v>6</v>
      </c>
      <c r="CW4380" t="s">
        <v>120</v>
      </c>
      <c r="CX4380">
        <v>257</v>
      </c>
      <c r="CY4380">
        <v>0</v>
      </c>
      <c r="CZ4380" t="s">
        <v>615</v>
      </c>
      <c r="DA4380" t="s">
        <v>616</v>
      </c>
      <c r="DD4380">
        <v>13614</v>
      </c>
      <c r="DE4380" t="s">
        <v>123</v>
      </c>
    </row>
    <row r="4381" spans="1:109" x14ac:dyDescent="0.3">
      <c r="A4381" t="str">
        <f>"19:49:42.148"</f>
        <v>19:49:42.148</v>
      </c>
      <c r="B4381" t="s">
        <v>110</v>
      </c>
      <c r="C4381" t="str">
        <f t="shared" si="208"/>
        <v>ffdfd3c0</v>
      </c>
      <c r="D4381" t="s">
        <v>111</v>
      </c>
      <c r="E4381">
        <v>18</v>
      </c>
      <c r="F4381">
        <v>1018</v>
      </c>
      <c r="G4381" t="s">
        <v>112</v>
      </c>
      <c r="J4381" t="s">
        <v>113</v>
      </c>
      <c r="K4381">
        <v>0</v>
      </c>
      <c r="L4381">
        <v>3</v>
      </c>
      <c r="M4381">
        <v>0</v>
      </c>
      <c r="N4381">
        <v>2</v>
      </c>
      <c r="O4381">
        <v>1</v>
      </c>
      <c r="P4381">
        <v>0</v>
      </c>
      <c r="Q4381">
        <v>0</v>
      </c>
      <c r="R4381" t="s">
        <v>114</v>
      </c>
      <c r="S4381" t="str">
        <f>"19:49:41.930"</f>
        <v>19:49:41.930</v>
      </c>
      <c r="T4381" t="str">
        <f>"19:49:41.828"</f>
        <v>19:49:41.828</v>
      </c>
      <c r="U4381" t="str">
        <f t="shared" si="206"/>
        <v>a1cdbe</v>
      </c>
      <c r="V4381">
        <v>0</v>
      </c>
      <c r="W4381">
        <v>0</v>
      </c>
      <c r="X4381">
        <v>2</v>
      </c>
      <c r="Y4381">
        <v>0</v>
      </c>
      <c r="Z4381">
        <v>0</v>
      </c>
      <c r="AB4381">
        <v>0</v>
      </c>
      <c r="AC4381">
        <v>9</v>
      </c>
      <c r="AD4381">
        <v>3</v>
      </c>
      <c r="AE4381">
        <v>0</v>
      </c>
      <c r="AF4381">
        <v>9</v>
      </c>
      <c r="AG4381" t="s">
        <v>115</v>
      </c>
      <c r="AH4381">
        <v>0</v>
      </c>
      <c r="AI4381">
        <v>0</v>
      </c>
      <c r="AJ4381">
        <v>1</v>
      </c>
      <c r="AK4381">
        <v>0</v>
      </c>
      <c r="AL4381" t="s">
        <v>7384</v>
      </c>
      <c r="AM4381">
        <v>47.060409</v>
      </c>
      <c r="AN4381" t="s">
        <v>7423</v>
      </c>
      <c r="AO4381">
        <v>-124.017556</v>
      </c>
      <c r="AP4381">
        <v>100</v>
      </c>
      <c r="AQ4381">
        <v>100</v>
      </c>
      <c r="AR4381" t="s">
        <v>118</v>
      </c>
      <c r="AS4381">
        <v>-75</v>
      </c>
      <c r="AT4381">
        <v>-16</v>
      </c>
      <c r="AU4381">
        <v>320</v>
      </c>
      <c r="BC4381">
        <v>1200</v>
      </c>
      <c r="BD4381">
        <v>1</v>
      </c>
      <c r="BE4381" t="str">
        <f t="shared" si="207"/>
        <v xml:space="preserve">N215T   </v>
      </c>
      <c r="BF4381">
        <v>1</v>
      </c>
      <c r="BH4381">
        <v>0</v>
      </c>
      <c r="BI4381">
        <v>0</v>
      </c>
      <c r="BJ4381">
        <v>0</v>
      </c>
      <c r="BK4381">
        <v>475</v>
      </c>
      <c r="BL4381">
        <v>375</v>
      </c>
      <c r="BM4381" t="s">
        <v>119</v>
      </c>
      <c r="BN4381">
        <v>1</v>
      </c>
      <c r="BO4381">
        <v>1</v>
      </c>
      <c r="BP4381">
        <v>1</v>
      </c>
      <c r="BQ4381">
        <v>0</v>
      </c>
      <c r="BT4381">
        <v>0</v>
      </c>
      <c r="BU4381">
        <v>0</v>
      </c>
      <c r="BV4381">
        <v>0</v>
      </c>
      <c r="CC4381" t="str">
        <f>"19:49:41.930"</f>
        <v>19:49:41.930</v>
      </c>
      <c r="CD4381" t="str">
        <f>"930533068"</f>
        <v>930533068</v>
      </c>
      <c r="CQ4381">
        <v>0</v>
      </c>
      <c r="CR4381">
        <v>2</v>
      </c>
      <c r="CS4381">
        <v>0</v>
      </c>
      <c r="CT4381">
        <v>2</v>
      </c>
      <c r="CU4381">
        <v>0</v>
      </c>
      <c r="CV4381">
        <v>5</v>
      </c>
      <c r="CW4381" t="s">
        <v>120</v>
      </c>
      <c r="CX4381">
        <v>257</v>
      </c>
      <c r="CY4381">
        <v>0</v>
      </c>
      <c r="CZ4381" t="s">
        <v>615</v>
      </c>
      <c r="DA4381" t="s">
        <v>616</v>
      </c>
      <c r="DD4381">
        <v>13938</v>
      </c>
      <c r="DE4381" t="s">
        <v>123</v>
      </c>
    </row>
    <row r="4382" spans="1:109" x14ac:dyDescent="0.3">
      <c r="A4382" t="str">
        <f>"19:49:43.305"</f>
        <v>19:49:43.305</v>
      </c>
      <c r="B4382" t="s">
        <v>110</v>
      </c>
      <c r="C4382" t="str">
        <f t="shared" si="208"/>
        <v>ffdfd3c0</v>
      </c>
      <c r="D4382" t="s">
        <v>111</v>
      </c>
      <c r="E4382">
        <v>18</v>
      </c>
      <c r="F4382">
        <v>1018</v>
      </c>
      <c r="G4382" t="s">
        <v>112</v>
      </c>
      <c r="J4382" t="s">
        <v>113</v>
      </c>
      <c r="K4382">
        <v>0</v>
      </c>
      <c r="L4382">
        <v>3</v>
      </c>
      <c r="M4382">
        <v>0</v>
      </c>
      <c r="N4382">
        <v>2</v>
      </c>
      <c r="O4382">
        <v>1</v>
      </c>
      <c r="P4382">
        <v>0</v>
      </c>
      <c r="Q4382">
        <v>0</v>
      </c>
      <c r="R4382" t="s">
        <v>114</v>
      </c>
      <c r="S4382" t="str">
        <f>"19:49:43.039"</f>
        <v>19:49:43.039</v>
      </c>
      <c r="T4382" t="str">
        <f>"19:49:42.836"</f>
        <v>19:49:42.836</v>
      </c>
      <c r="U4382" t="str">
        <f t="shared" si="206"/>
        <v>a1cdbe</v>
      </c>
      <c r="V4382">
        <v>0</v>
      </c>
      <c r="W4382">
        <v>0</v>
      </c>
      <c r="X4382">
        <v>2</v>
      </c>
      <c r="Y4382">
        <v>0</v>
      </c>
      <c r="Z4382">
        <v>0</v>
      </c>
      <c r="AB4382">
        <v>0</v>
      </c>
      <c r="AC4382">
        <v>9</v>
      </c>
      <c r="AD4382">
        <v>3</v>
      </c>
      <c r="AE4382">
        <v>0</v>
      </c>
      <c r="AF4382">
        <v>9</v>
      </c>
      <c r="AG4382" t="s">
        <v>115</v>
      </c>
      <c r="AH4382">
        <v>0</v>
      </c>
      <c r="AI4382">
        <v>0</v>
      </c>
      <c r="AJ4382">
        <v>1</v>
      </c>
      <c r="AK4382">
        <v>0</v>
      </c>
      <c r="AL4382" t="s">
        <v>7382</v>
      </c>
      <c r="AM4382">
        <v>47.060301000000003</v>
      </c>
      <c r="AN4382" t="s">
        <v>7952</v>
      </c>
      <c r="AO4382">
        <v>-124.018114</v>
      </c>
      <c r="AP4382">
        <v>100</v>
      </c>
      <c r="AQ4382">
        <v>100</v>
      </c>
      <c r="AR4382" t="s">
        <v>118</v>
      </c>
      <c r="AS4382">
        <v>-74</v>
      </c>
      <c r="AT4382">
        <v>-15</v>
      </c>
      <c r="AU4382">
        <v>704</v>
      </c>
      <c r="BC4382">
        <v>1200</v>
      </c>
      <c r="BD4382">
        <v>1</v>
      </c>
      <c r="BE4382" t="str">
        <f t="shared" si="207"/>
        <v xml:space="preserve">N215T   </v>
      </c>
      <c r="BF4382">
        <v>1</v>
      </c>
      <c r="BH4382">
        <v>0</v>
      </c>
      <c r="BI4382">
        <v>0</v>
      </c>
      <c r="BJ4382">
        <v>0</v>
      </c>
      <c r="BK4382">
        <v>475</v>
      </c>
      <c r="BL4382">
        <v>375</v>
      </c>
      <c r="BM4382" t="s">
        <v>119</v>
      </c>
      <c r="BN4382">
        <v>1</v>
      </c>
      <c r="BO4382">
        <v>1</v>
      </c>
      <c r="BP4382">
        <v>1</v>
      </c>
      <c r="BQ4382">
        <v>0</v>
      </c>
      <c r="BT4382">
        <v>0</v>
      </c>
      <c r="BU4382">
        <v>0</v>
      </c>
      <c r="BV4382">
        <v>0</v>
      </c>
      <c r="CC4382" t="str">
        <f>"19:49:43.039"</f>
        <v>19:49:43.039</v>
      </c>
      <c r="CD4382" t="str">
        <f>"040423697"</f>
        <v>040423697</v>
      </c>
      <c r="CQ4382">
        <v>0</v>
      </c>
      <c r="CR4382">
        <v>2</v>
      </c>
      <c r="CS4382">
        <v>0</v>
      </c>
      <c r="CT4382">
        <v>2</v>
      </c>
      <c r="CU4382">
        <v>0</v>
      </c>
      <c r="CV4382">
        <v>5</v>
      </c>
      <c r="CW4382" t="s">
        <v>120</v>
      </c>
      <c r="CX4382">
        <v>257</v>
      </c>
      <c r="CY4382">
        <v>0</v>
      </c>
      <c r="CZ4382" t="s">
        <v>615</v>
      </c>
      <c r="DA4382" t="s">
        <v>616</v>
      </c>
      <c r="DD4382">
        <v>14284</v>
      </c>
      <c r="DE4382" t="s">
        <v>123</v>
      </c>
    </row>
    <row r="4383" spans="1:109" x14ac:dyDescent="0.3">
      <c r="A4383" t="str">
        <f>"19:49:44.258"</f>
        <v>19:49:44.258</v>
      </c>
      <c r="B4383" t="s">
        <v>110</v>
      </c>
      <c r="C4383" t="str">
        <f t="shared" si="208"/>
        <v>ffdfd3c0</v>
      </c>
      <c r="D4383" t="s">
        <v>111</v>
      </c>
      <c r="E4383">
        <v>18</v>
      </c>
      <c r="F4383">
        <v>1018</v>
      </c>
      <c r="G4383" t="s">
        <v>112</v>
      </c>
      <c r="J4383" t="s">
        <v>113</v>
      </c>
      <c r="K4383">
        <v>0</v>
      </c>
      <c r="L4383">
        <v>3</v>
      </c>
      <c r="M4383">
        <v>0</v>
      </c>
      <c r="N4383">
        <v>2</v>
      </c>
      <c r="O4383">
        <v>1</v>
      </c>
      <c r="P4383">
        <v>0</v>
      </c>
      <c r="Q4383">
        <v>0</v>
      </c>
      <c r="R4383" t="s">
        <v>114</v>
      </c>
      <c r="S4383" t="str">
        <f>"19:49:44.008"</f>
        <v>19:49:44.008</v>
      </c>
      <c r="T4383" t="str">
        <f>"19:49:43.805"</f>
        <v>19:49:43.805</v>
      </c>
      <c r="U4383" t="str">
        <f t="shared" si="206"/>
        <v>a1cdbe</v>
      </c>
      <c r="V4383">
        <v>0</v>
      </c>
      <c r="W4383">
        <v>0</v>
      </c>
      <c r="X4383">
        <v>2</v>
      </c>
      <c r="Y4383">
        <v>0</v>
      </c>
      <c r="Z4383">
        <v>0</v>
      </c>
      <c r="AB4383">
        <v>0</v>
      </c>
      <c r="AC4383">
        <v>9</v>
      </c>
      <c r="AD4383">
        <v>3</v>
      </c>
      <c r="AE4383">
        <v>0</v>
      </c>
      <c r="AF4383">
        <v>9</v>
      </c>
      <c r="AG4383" t="s">
        <v>115</v>
      </c>
      <c r="AH4383">
        <v>0</v>
      </c>
      <c r="AI4383">
        <v>0</v>
      </c>
      <c r="AJ4383">
        <v>1</v>
      </c>
      <c r="AK4383">
        <v>0</v>
      </c>
      <c r="AL4383" t="s">
        <v>7953</v>
      </c>
      <c r="AM4383">
        <v>47.060257999999997</v>
      </c>
      <c r="AN4383" t="s">
        <v>7954</v>
      </c>
      <c r="AO4383">
        <v>-124.018607</v>
      </c>
      <c r="AP4383">
        <v>100</v>
      </c>
      <c r="AQ4383">
        <v>100</v>
      </c>
      <c r="AR4383" t="s">
        <v>118</v>
      </c>
      <c r="AS4383">
        <v>-73</v>
      </c>
      <c r="AT4383">
        <v>-14</v>
      </c>
      <c r="AU4383">
        <v>832</v>
      </c>
      <c r="BC4383">
        <v>1200</v>
      </c>
      <c r="BD4383">
        <v>1</v>
      </c>
      <c r="BE4383" t="str">
        <f t="shared" si="207"/>
        <v xml:space="preserve">N215T   </v>
      </c>
      <c r="BF4383">
        <v>1</v>
      </c>
      <c r="BH4383">
        <v>0</v>
      </c>
      <c r="BI4383">
        <v>0</v>
      </c>
      <c r="BJ4383">
        <v>0</v>
      </c>
      <c r="BK4383">
        <v>500</v>
      </c>
      <c r="BL4383">
        <v>400</v>
      </c>
      <c r="BM4383" t="s">
        <v>119</v>
      </c>
      <c r="BN4383">
        <v>1</v>
      </c>
      <c r="BO4383">
        <v>1</v>
      </c>
      <c r="BP4383">
        <v>1</v>
      </c>
      <c r="BQ4383">
        <v>0</v>
      </c>
      <c r="BT4383">
        <v>0</v>
      </c>
      <c r="BU4383">
        <v>0</v>
      </c>
      <c r="BV4383">
        <v>0</v>
      </c>
      <c r="CC4383" t="str">
        <f>"19:49:44.016"</f>
        <v>19:49:44.016</v>
      </c>
      <c r="CD4383" t="str">
        <f>"015327617"</f>
        <v>015327617</v>
      </c>
      <c r="CQ4383">
        <v>0</v>
      </c>
      <c r="CR4383">
        <v>2</v>
      </c>
      <c r="CS4383">
        <v>0</v>
      </c>
      <c r="CT4383">
        <v>2</v>
      </c>
      <c r="CU4383">
        <v>0</v>
      </c>
      <c r="CV4383">
        <v>5</v>
      </c>
      <c r="CW4383" t="s">
        <v>120</v>
      </c>
      <c r="CX4383">
        <v>257</v>
      </c>
      <c r="CY4383">
        <v>0</v>
      </c>
      <c r="CZ4383" t="s">
        <v>615</v>
      </c>
      <c r="DA4383" t="s">
        <v>616</v>
      </c>
      <c r="DD4383">
        <v>14576</v>
      </c>
      <c r="DE4383" t="s">
        <v>123</v>
      </c>
    </row>
    <row r="4384" spans="1:109" x14ac:dyDescent="0.3">
      <c r="A4384" t="str">
        <f>"19:49:45.313"</f>
        <v>19:49:45.313</v>
      </c>
      <c r="B4384" t="s">
        <v>110</v>
      </c>
      <c r="C4384" t="str">
        <f t="shared" si="208"/>
        <v>ffdfd3c0</v>
      </c>
      <c r="D4384" t="s">
        <v>111</v>
      </c>
      <c r="E4384">
        <v>18</v>
      </c>
      <c r="F4384">
        <v>1018</v>
      </c>
      <c r="G4384" t="s">
        <v>112</v>
      </c>
      <c r="J4384" t="s">
        <v>113</v>
      </c>
      <c r="K4384">
        <v>0</v>
      </c>
      <c r="L4384">
        <v>3</v>
      </c>
      <c r="M4384">
        <v>0</v>
      </c>
      <c r="N4384">
        <v>2</v>
      </c>
      <c r="O4384">
        <v>1</v>
      </c>
      <c r="P4384">
        <v>0</v>
      </c>
      <c r="Q4384">
        <v>0</v>
      </c>
      <c r="R4384" t="s">
        <v>114</v>
      </c>
      <c r="S4384" t="str">
        <f>"19:49:45.031"</f>
        <v>19:49:45.031</v>
      </c>
      <c r="T4384" t="str">
        <f>"19:49:44.633"</f>
        <v>19:49:44.633</v>
      </c>
      <c r="U4384" t="str">
        <f t="shared" si="206"/>
        <v>a1cdbe</v>
      </c>
      <c r="V4384">
        <v>0</v>
      </c>
      <c r="W4384">
        <v>0</v>
      </c>
      <c r="X4384">
        <v>2</v>
      </c>
      <c r="Y4384">
        <v>0</v>
      </c>
      <c r="Z4384">
        <v>0</v>
      </c>
      <c r="AB4384">
        <v>0</v>
      </c>
      <c r="AC4384">
        <v>9</v>
      </c>
      <c r="AD4384">
        <v>3</v>
      </c>
      <c r="AE4384">
        <v>0</v>
      </c>
      <c r="AF4384">
        <v>9</v>
      </c>
      <c r="AG4384" t="s">
        <v>115</v>
      </c>
      <c r="AH4384">
        <v>0</v>
      </c>
      <c r="AI4384">
        <v>0</v>
      </c>
      <c r="AJ4384">
        <v>1</v>
      </c>
      <c r="AK4384">
        <v>0</v>
      </c>
      <c r="AL4384" t="s">
        <v>7645</v>
      </c>
      <c r="AM4384">
        <v>47.060214999999999</v>
      </c>
      <c r="AN4384" t="s">
        <v>7955</v>
      </c>
      <c r="AO4384">
        <v>-124.01910100000001</v>
      </c>
      <c r="AP4384">
        <v>100</v>
      </c>
      <c r="AQ4384">
        <v>100</v>
      </c>
      <c r="AR4384" t="s">
        <v>118</v>
      </c>
      <c r="AS4384">
        <v>-72</v>
      </c>
      <c r="AT4384">
        <v>-13</v>
      </c>
      <c r="AU4384">
        <v>896</v>
      </c>
      <c r="BC4384">
        <v>1200</v>
      </c>
      <c r="BD4384">
        <v>1</v>
      </c>
      <c r="BE4384" t="str">
        <f t="shared" si="207"/>
        <v xml:space="preserve">N215T   </v>
      </c>
      <c r="BF4384">
        <v>1</v>
      </c>
      <c r="BH4384">
        <v>0</v>
      </c>
      <c r="BI4384">
        <v>0</v>
      </c>
      <c r="BJ4384">
        <v>0</v>
      </c>
      <c r="BK4384">
        <v>500</v>
      </c>
      <c r="BL4384">
        <v>400</v>
      </c>
      <c r="BM4384" t="s">
        <v>119</v>
      </c>
      <c r="BN4384">
        <v>1</v>
      </c>
      <c r="BO4384">
        <v>1</v>
      </c>
      <c r="BP4384">
        <v>1</v>
      </c>
      <c r="BQ4384">
        <v>0</v>
      </c>
      <c r="BT4384">
        <v>0</v>
      </c>
      <c r="BU4384">
        <v>0</v>
      </c>
      <c r="BV4384">
        <v>0</v>
      </c>
      <c r="CC4384" t="str">
        <f>"19:49:45.039"</f>
        <v>19:49:45.039</v>
      </c>
      <c r="CD4384" t="str">
        <f>"035227118"</f>
        <v>035227118</v>
      </c>
      <c r="CQ4384">
        <v>0</v>
      </c>
      <c r="CR4384">
        <v>2</v>
      </c>
      <c r="CS4384">
        <v>0</v>
      </c>
      <c r="CT4384">
        <v>2</v>
      </c>
      <c r="CU4384">
        <v>0</v>
      </c>
      <c r="CV4384">
        <v>5</v>
      </c>
      <c r="CW4384" t="s">
        <v>120</v>
      </c>
      <c r="CX4384">
        <v>257</v>
      </c>
      <c r="CY4384">
        <v>0</v>
      </c>
      <c r="CZ4384" t="s">
        <v>615</v>
      </c>
      <c r="DA4384" t="s">
        <v>616</v>
      </c>
      <c r="DD4384">
        <v>14891</v>
      </c>
      <c r="DE4384" t="s">
        <v>123</v>
      </c>
    </row>
    <row r="4385" spans="1:109" x14ac:dyDescent="0.3">
      <c r="A4385" t="str">
        <f>"19:49:46.117"</f>
        <v>19:49:46.117</v>
      </c>
      <c r="B4385" t="s">
        <v>110</v>
      </c>
      <c r="C4385" t="str">
        <f t="shared" si="208"/>
        <v>ffdfd3c0</v>
      </c>
      <c r="D4385" t="s">
        <v>111</v>
      </c>
      <c r="E4385">
        <v>18</v>
      </c>
      <c r="F4385">
        <v>1018</v>
      </c>
      <c r="G4385" t="s">
        <v>112</v>
      </c>
      <c r="J4385" t="s">
        <v>113</v>
      </c>
      <c r="K4385">
        <v>0</v>
      </c>
      <c r="L4385">
        <v>3</v>
      </c>
      <c r="M4385">
        <v>0</v>
      </c>
      <c r="N4385">
        <v>2</v>
      </c>
      <c r="O4385">
        <v>1</v>
      </c>
      <c r="P4385">
        <v>0</v>
      </c>
      <c r="Q4385">
        <v>0</v>
      </c>
      <c r="R4385" t="s">
        <v>114</v>
      </c>
      <c r="S4385" t="str">
        <f>"19:49:45.883"</f>
        <v>19:49:45.883</v>
      </c>
      <c r="T4385" t="str">
        <f>"19:49:45.781"</f>
        <v>19:49:45.781</v>
      </c>
      <c r="U4385" t="str">
        <f t="shared" si="206"/>
        <v>a1cdbe</v>
      </c>
      <c r="V4385">
        <v>0</v>
      </c>
      <c r="W4385">
        <v>0</v>
      </c>
      <c r="X4385">
        <v>2</v>
      </c>
      <c r="Y4385">
        <v>0</v>
      </c>
      <c r="Z4385">
        <v>0</v>
      </c>
      <c r="AB4385">
        <v>0</v>
      </c>
      <c r="AC4385">
        <v>9</v>
      </c>
      <c r="AD4385">
        <v>3</v>
      </c>
      <c r="AE4385">
        <v>0</v>
      </c>
      <c r="AF4385">
        <v>9</v>
      </c>
      <c r="AG4385" t="s">
        <v>115</v>
      </c>
      <c r="AH4385">
        <v>0</v>
      </c>
      <c r="AI4385">
        <v>0</v>
      </c>
      <c r="AJ4385">
        <v>1</v>
      </c>
      <c r="AK4385">
        <v>0</v>
      </c>
      <c r="AL4385" t="s">
        <v>7380</v>
      </c>
      <c r="AM4385">
        <v>47.060172999999999</v>
      </c>
      <c r="AN4385" t="s">
        <v>7956</v>
      </c>
      <c r="AO4385">
        <v>-124.019508</v>
      </c>
      <c r="AP4385">
        <v>100</v>
      </c>
      <c r="AQ4385">
        <v>200</v>
      </c>
      <c r="AR4385" t="s">
        <v>118</v>
      </c>
      <c r="AS4385">
        <v>-71</v>
      </c>
      <c r="AT4385">
        <v>-12</v>
      </c>
      <c r="AU4385">
        <v>1152</v>
      </c>
      <c r="BC4385">
        <v>1200</v>
      </c>
      <c r="BD4385">
        <v>1</v>
      </c>
      <c r="BE4385" t="str">
        <f t="shared" si="207"/>
        <v xml:space="preserve">N215T   </v>
      </c>
      <c r="BF4385">
        <v>1</v>
      </c>
      <c r="BH4385">
        <v>0</v>
      </c>
      <c r="BI4385">
        <v>0</v>
      </c>
      <c r="BJ4385">
        <v>0</v>
      </c>
      <c r="BK4385">
        <v>425</v>
      </c>
      <c r="BL4385">
        <v>225</v>
      </c>
      <c r="BM4385" t="s">
        <v>119</v>
      </c>
      <c r="BN4385">
        <v>1</v>
      </c>
      <c r="BO4385">
        <v>1</v>
      </c>
      <c r="BP4385">
        <v>1</v>
      </c>
      <c r="BQ4385">
        <v>0</v>
      </c>
      <c r="BT4385">
        <v>0</v>
      </c>
      <c r="BU4385">
        <v>0</v>
      </c>
      <c r="BV4385">
        <v>0</v>
      </c>
      <c r="CC4385" t="str">
        <f>"19:49:45.891"</f>
        <v>19:49:45.891</v>
      </c>
      <c r="CD4385" t="str">
        <f>"890142849"</f>
        <v>890142849</v>
      </c>
      <c r="CQ4385">
        <v>0</v>
      </c>
      <c r="CR4385">
        <v>2</v>
      </c>
      <c r="CS4385">
        <v>0</v>
      </c>
      <c r="CT4385">
        <v>2</v>
      </c>
      <c r="CU4385">
        <v>0</v>
      </c>
      <c r="CV4385">
        <v>5</v>
      </c>
      <c r="CW4385" t="s">
        <v>120</v>
      </c>
      <c r="CX4385">
        <v>257</v>
      </c>
      <c r="CY4385">
        <v>0</v>
      </c>
      <c r="CZ4385" t="s">
        <v>615</v>
      </c>
      <c r="DA4385" t="s">
        <v>616</v>
      </c>
      <c r="DD4385">
        <v>15139</v>
      </c>
      <c r="DE4385" t="s">
        <v>123</v>
      </c>
    </row>
    <row r="4386" spans="1:109" x14ac:dyDescent="0.3">
      <c r="A4386" t="str">
        <f>"19:49:47.180"</f>
        <v>19:49:47.180</v>
      </c>
      <c r="B4386" t="s">
        <v>110</v>
      </c>
      <c r="C4386" t="str">
        <f t="shared" si="208"/>
        <v>ffdfd3c0</v>
      </c>
      <c r="D4386" t="s">
        <v>111</v>
      </c>
      <c r="E4386">
        <v>18</v>
      </c>
      <c r="F4386">
        <v>1018</v>
      </c>
      <c r="G4386" t="s">
        <v>112</v>
      </c>
      <c r="J4386" t="s">
        <v>113</v>
      </c>
      <c r="K4386">
        <v>0</v>
      </c>
      <c r="L4386">
        <v>3</v>
      </c>
      <c r="M4386">
        <v>0</v>
      </c>
      <c r="N4386">
        <v>2</v>
      </c>
      <c r="O4386">
        <v>1</v>
      </c>
      <c r="P4386">
        <v>0</v>
      </c>
      <c r="Q4386">
        <v>0</v>
      </c>
      <c r="R4386" t="s">
        <v>114</v>
      </c>
      <c r="S4386" t="str">
        <f>"19:49:46.906"</f>
        <v>19:49:46.906</v>
      </c>
      <c r="T4386" t="str">
        <f>"19:49:46.406"</f>
        <v>19:49:46.406</v>
      </c>
      <c r="U4386" t="str">
        <f t="shared" si="206"/>
        <v>a1cdbe</v>
      </c>
      <c r="V4386">
        <v>0</v>
      </c>
      <c r="W4386">
        <v>0</v>
      </c>
      <c r="X4386">
        <v>2</v>
      </c>
      <c r="Y4386">
        <v>0</v>
      </c>
      <c r="Z4386">
        <v>0</v>
      </c>
      <c r="AB4386">
        <v>0</v>
      </c>
      <c r="AC4386">
        <v>9</v>
      </c>
      <c r="AD4386">
        <v>3</v>
      </c>
      <c r="AE4386">
        <v>0</v>
      </c>
      <c r="AF4386">
        <v>9</v>
      </c>
      <c r="AG4386" t="s">
        <v>115</v>
      </c>
      <c r="AH4386">
        <v>0</v>
      </c>
      <c r="AI4386">
        <v>0</v>
      </c>
      <c r="AJ4386">
        <v>1</v>
      </c>
      <c r="AK4386">
        <v>0</v>
      </c>
      <c r="AL4386" t="s">
        <v>7834</v>
      </c>
      <c r="AM4386">
        <v>47.060130000000001</v>
      </c>
      <c r="AN4386" t="s">
        <v>7957</v>
      </c>
      <c r="AO4386">
        <v>-124.01998</v>
      </c>
      <c r="AP4386">
        <v>100</v>
      </c>
      <c r="AQ4386">
        <v>200</v>
      </c>
      <c r="AR4386" t="s">
        <v>118</v>
      </c>
      <c r="AS4386">
        <v>-70</v>
      </c>
      <c r="AT4386">
        <v>-12</v>
      </c>
      <c r="AU4386">
        <v>1024</v>
      </c>
      <c r="BC4386">
        <v>1200</v>
      </c>
      <c r="BD4386">
        <v>1</v>
      </c>
      <c r="BE4386" t="str">
        <f t="shared" si="207"/>
        <v xml:space="preserve">N215T   </v>
      </c>
      <c r="BF4386">
        <v>1</v>
      </c>
      <c r="BH4386">
        <v>0</v>
      </c>
      <c r="BI4386">
        <v>0</v>
      </c>
      <c r="BJ4386">
        <v>0</v>
      </c>
      <c r="BK4386">
        <v>525</v>
      </c>
      <c r="BL4386">
        <v>325</v>
      </c>
      <c r="BM4386" t="s">
        <v>119</v>
      </c>
      <c r="BN4386">
        <v>1</v>
      </c>
      <c r="BO4386">
        <v>1</v>
      </c>
      <c r="BP4386">
        <v>1</v>
      </c>
      <c r="BQ4386">
        <v>0</v>
      </c>
      <c r="BT4386">
        <v>0</v>
      </c>
      <c r="BU4386">
        <v>0</v>
      </c>
      <c r="BV4386">
        <v>0</v>
      </c>
      <c r="CC4386" t="str">
        <f>"19:49:46.906"</f>
        <v>19:49:46.906</v>
      </c>
      <c r="CD4386" t="str">
        <f>"910042347"</f>
        <v>910042347</v>
      </c>
      <c r="CQ4386">
        <v>0</v>
      </c>
      <c r="CR4386">
        <v>2</v>
      </c>
      <c r="CS4386">
        <v>0</v>
      </c>
      <c r="CT4386">
        <v>2</v>
      </c>
      <c r="CU4386">
        <v>0</v>
      </c>
      <c r="CV4386">
        <v>5</v>
      </c>
      <c r="CW4386" t="s">
        <v>120</v>
      </c>
      <c r="CX4386">
        <v>257</v>
      </c>
      <c r="CY4386">
        <v>0</v>
      </c>
      <c r="CZ4386" t="s">
        <v>615</v>
      </c>
      <c r="DA4386" t="s">
        <v>616</v>
      </c>
      <c r="DD4386">
        <v>15465</v>
      </c>
      <c r="DE4386" t="s">
        <v>123</v>
      </c>
    </row>
    <row r="4387" spans="1:109" x14ac:dyDescent="0.3">
      <c r="A4387" t="str">
        <f>"19:49:48.031"</f>
        <v>19:49:48.031</v>
      </c>
      <c r="B4387" t="s">
        <v>110</v>
      </c>
      <c r="C4387" t="str">
        <f t="shared" si="208"/>
        <v>ffdfd3c0</v>
      </c>
      <c r="D4387" t="s">
        <v>111</v>
      </c>
      <c r="E4387">
        <v>18</v>
      </c>
      <c r="F4387">
        <v>1018</v>
      </c>
      <c r="G4387" t="s">
        <v>112</v>
      </c>
      <c r="J4387" t="s">
        <v>113</v>
      </c>
      <c r="K4387">
        <v>0</v>
      </c>
      <c r="L4387">
        <v>3</v>
      </c>
      <c r="M4387">
        <v>0</v>
      </c>
      <c r="N4387">
        <v>2</v>
      </c>
      <c r="O4387">
        <v>1</v>
      </c>
      <c r="P4387">
        <v>0</v>
      </c>
      <c r="Q4387">
        <v>0</v>
      </c>
      <c r="R4387" t="s">
        <v>114</v>
      </c>
      <c r="S4387" t="str">
        <f>"19:49:47.789"</f>
        <v>19:49:47.789</v>
      </c>
      <c r="T4387" t="str">
        <f>"19:49:47.492"</f>
        <v>19:49:47.492</v>
      </c>
      <c r="U4387" t="str">
        <f t="shared" si="206"/>
        <v>a1cdbe</v>
      </c>
      <c r="V4387">
        <v>0</v>
      </c>
      <c r="W4387">
        <v>0</v>
      </c>
      <c r="X4387">
        <v>2</v>
      </c>
      <c r="Y4387">
        <v>0</v>
      </c>
      <c r="Z4387">
        <v>0</v>
      </c>
      <c r="AB4387">
        <v>0</v>
      </c>
      <c r="AC4387">
        <v>9</v>
      </c>
      <c r="AD4387">
        <v>3</v>
      </c>
      <c r="AE4387">
        <v>0</v>
      </c>
      <c r="AF4387">
        <v>9</v>
      </c>
      <c r="AG4387" t="s">
        <v>115</v>
      </c>
      <c r="AH4387">
        <v>0</v>
      </c>
      <c r="AI4387">
        <v>0</v>
      </c>
      <c r="AJ4387">
        <v>1</v>
      </c>
      <c r="AK4387">
        <v>0</v>
      </c>
      <c r="AL4387" t="s">
        <v>7958</v>
      </c>
      <c r="AM4387">
        <v>47.060021999999996</v>
      </c>
      <c r="AN4387" t="s">
        <v>7959</v>
      </c>
      <c r="AO4387">
        <v>-124.020431</v>
      </c>
      <c r="AP4387">
        <v>100</v>
      </c>
      <c r="AQ4387">
        <v>200</v>
      </c>
      <c r="AR4387" t="s">
        <v>118</v>
      </c>
      <c r="AS4387">
        <v>-69</v>
      </c>
      <c r="AT4387">
        <v>-12</v>
      </c>
      <c r="AU4387">
        <v>896</v>
      </c>
      <c r="BC4387">
        <v>1200</v>
      </c>
      <c r="BD4387">
        <v>1</v>
      </c>
      <c r="BE4387" t="str">
        <f t="shared" si="207"/>
        <v xml:space="preserve">N215T   </v>
      </c>
      <c r="BF4387">
        <v>1</v>
      </c>
      <c r="BH4387">
        <v>0</v>
      </c>
      <c r="BI4387">
        <v>0</v>
      </c>
      <c r="BJ4387">
        <v>0</v>
      </c>
      <c r="BK4387">
        <v>550</v>
      </c>
      <c r="BL4387">
        <v>350</v>
      </c>
      <c r="BM4387" t="s">
        <v>119</v>
      </c>
      <c r="BN4387">
        <v>1</v>
      </c>
      <c r="BO4387">
        <v>1</v>
      </c>
      <c r="BP4387">
        <v>1</v>
      </c>
      <c r="BQ4387">
        <v>0</v>
      </c>
      <c r="BT4387">
        <v>0</v>
      </c>
      <c r="BU4387">
        <v>0</v>
      </c>
      <c r="BV4387">
        <v>0</v>
      </c>
      <c r="CC4387" t="str">
        <f>"19:49:47.797"</f>
        <v>19:49:47.797</v>
      </c>
      <c r="CD4387" t="str">
        <f>"794955144"</f>
        <v>794955144</v>
      </c>
      <c r="CQ4387">
        <v>0</v>
      </c>
      <c r="CR4387">
        <v>2</v>
      </c>
      <c r="CS4387">
        <v>0</v>
      </c>
      <c r="CT4387">
        <v>2</v>
      </c>
      <c r="CU4387">
        <v>0</v>
      </c>
      <c r="CV4387">
        <v>5</v>
      </c>
      <c r="CW4387" t="s">
        <v>120</v>
      </c>
      <c r="CX4387">
        <v>257</v>
      </c>
      <c r="CY4387">
        <v>0</v>
      </c>
      <c r="CZ4387" t="s">
        <v>615</v>
      </c>
      <c r="DA4387" t="s">
        <v>616</v>
      </c>
      <c r="DD4387">
        <v>15759</v>
      </c>
      <c r="DE4387" t="s">
        <v>123</v>
      </c>
    </row>
    <row r="4388" spans="1:109" x14ac:dyDescent="0.3">
      <c r="A4388" t="str">
        <f>"19:49:49.031"</f>
        <v>19:49:49.031</v>
      </c>
      <c r="B4388" t="s">
        <v>110</v>
      </c>
      <c r="C4388" t="str">
        <f t="shared" si="208"/>
        <v>ffdfd3c0</v>
      </c>
      <c r="D4388" t="s">
        <v>111</v>
      </c>
      <c r="E4388">
        <v>18</v>
      </c>
      <c r="F4388">
        <v>1018</v>
      </c>
      <c r="G4388" t="s">
        <v>112</v>
      </c>
      <c r="J4388" t="s">
        <v>113</v>
      </c>
      <c r="K4388">
        <v>0</v>
      </c>
      <c r="L4388">
        <v>3</v>
      </c>
      <c r="M4388">
        <v>0</v>
      </c>
      <c r="N4388">
        <v>2</v>
      </c>
      <c r="O4388">
        <v>1</v>
      </c>
      <c r="P4388">
        <v>0</v>
      </c>
      <c r="Q4388">
        <v>0</v>
      </c>
      <c r="R4388" t="s">
        <v>114</v>
      </c>
      <c r="S4388" t="str">
        <f>"19:49:48.797"</f>
        <v>19:49:48.797</v>
      </c>
      <c r="T4388" t="str">
        <f>"19:49:48.797"</f>
        <v>19:49:48.797</v>
      </c>
      <c r="U4388" t="str">
        <f t="shared" si="206"/>
        <v>a1cdbe</v>
      </c>
      <c r="V4388">
        <v>0</v>
      </c>
      <c r="W4388">
        <v>0</v>
      </c>
      <c r="X4388">
        <v>2</v>
      </c>
      <c r="Y4388">
        <v>0</v>
      </c>
      <c r="Z4388">
        <v>0</v>
      </c>
      <c r="AB4388">
        <v>0</v>
      </c>
      <c r="AC4388">
        <v>9</v>
      </c>
      <c r="AD4388">
        <v>3</v>
      </c>
      <c r="AE4388">
        <v>0</v>
      </c>
      <c r="AF4388">
        <v>9</v>
      </c>
      <c r="AG4388" t="s">
        <v>115</v>
      </c>
      <c r="AH4388">
        <v>0</v>
      </c>
      <c r="AI4388">
        <v>0</v>
      </c>
      <c r="AJ4388">
        <v>1</v>
      </c>
      <c r="AK4388">
        <v>0</v>
      </c>
      <c r="AL4388" t="s">
        <v>510</v>
      </c>
      <c r="AM4388">
        <v>47.059978999999998</v>
      </c>
      <c r="AN4388" t="s">
        <v>7436</v>
      </c>
      <c r="AO4388">
        <v>-124.020882</v>
      </c>
      <c r="AP4388">
        <v>100</v>
      </c>
      <c r="AQ4388">
        <v>200</v>
      </c>
      <c r="AR4388" t="s">
        <v>118</v>
      </c>
      <c r="AS4388">
        <v>-68</v>
      </c>
      <c r="AT4388">
        <v>-11</v>
      </c>
      <c r="AU4388">
        <v>960</v>
      </c>
      <c r="BC4388">
        <v>1200</v>
      </c>
      <c r="BD4388">
        <v>1</v>
      </c>
      <c r="BE4388" t="str">
        <f t="shared" si="207"/>
        <v xml:space="preserve">N215T   </v>
      </c>
      <c r="BF4388">
        <v>1</v>
      </c>
      <c r="BH4388">
        <v>0</v>
      </c>
      <c r="BI4388">
        <v>0</v>
      </c>
      <c r="BJ4388">
        <v>0</v>
      </c>
      <c r="BK4388">
        <v>575</v>
      </c>
      <c r="BL4388">
        <v>375</v>
      </c>
      <c r="BM4388" t="s">
        <v>119</v>
      </c>
      <c r="BN4388">
        <v>1</v>
      </c>
      <c r="BO4388">
        <v>1</v>
      </c>
      <c r="BP4388">
        <v>1</v>
      </c>
      <c r="BQ4388">
        <v>0</v>
      </c>
      <c r="BT4388">
        <v>0</v>
      </c>
      <c r="BU4388">
        <v>0</v>
      </c>
      <c r="BV4388">
        <v>0</v>
      </c>
      <c r="CC4388" t="str">
        <f>"19:49:48.797"</f>
        <v>19:49:48.797</v>
      </c>
      <c r="CD4388" t="str">
        <f>"799856111"</f>
        <v>799856111</v>
      </c>
      <c r="CQ4388">
        <v>0</v>
      </c>
      <c r="CR4388">
        <v>2</v>
      </c>
      <c r="CS4388">
        <v>0</v>
      </c>
      <c r="CT4388">
        <v>2</v>
      </c>
      <c r="CU4388">
        <v>0</v>
      </c>
      <c r="CV4388">
        <v>5</v>
      </c>
      <c r="CW4388" t="s">
        <v>120</v>
      </c>
      <c r="CX4388">
        <v>257</v>
      </c>
      <c r="CY4388">
        <v>0</v>
      </c>
      <c r="CZ4388" t="s">
        <v>615</v>
      </c>
      <c r="DA4388" t="s">
        <v>616</v>
      </c>
      <c r="DD4388">
        <v>16063</v>
      </c>
      <c r="DE4388" t="s">
        <v>123</v>
      </c>
    </row>
    <row r="4389" spans="1:109" x14ac:dyDescent="0.3">
      <c r="A4389" t="str">
        <f>"19:49:50.141"</f>
        <v>19:49:50.141</v>
      </c>
      <c r="B4389" t="s">
        <v>110</v>
      </c>
      <c r="C4389" t="str">
        <f t="shared" si="208"/>
        <v>ffdfd3c0</v>
      </c>
      <c r="D4389" t="s">
        <v>111</v>
      </c>
      <c r="E4389">
        <v>18</v>
      </c>
      <c r="F4389">
        <v>1018</v>
      </c>
      <c r="G4389" t="s">
        <v>112</v>
      </c>
      <c r="J4389" t="s">
        <v>113</v>
      </c>
      <c r="K4389">
        <v>0</v>
      </c>
      <c r="L4389">
        <v>3</v>
      </c>
      <c r="M4389">
        <v>0</v>
      </c>
      <c r="N4389">
        <v>2</v>
      </c>
      <c r="O4389">
        <v>1</v>
      </c>
      <c r="P4389">
        <v>0</v>
      </c>
      <c r="Q4389">
        <v>0</v>
      </c>
      <c r="R4389" t="s">
        <v>114</v>
      </c>
      <c r="S4389" t="str">
        <f>"19:49:49.875"</f>
        <v>19:49:49.875</v>
      </c>
      <c r="T4389" t="str">
        <f>"19:49:49.773"</f>
        <v>19:49:49.773</v>
      </c>
      <c r="U4389" t="str">
        <f t="shared" si="206"/>
        <v>a1cdbe</v>
      </c>
      <c r="V4389">
        <v>0</v>
      </c>
      <c r="W4389">
        <v>0</v>
      </c>
      <c r="X4389">
        <v>2</v>
      </c>
      <c r="Y4389">
        <v>0</v>
      </c>
      <c r="Z4389">
        <v>0</v>
      </c>
      <c r="AB4389">
        <v>0</v>
      </c>
      <c r="AC4389">
        <v>9</v>
      </c>
      <c r="AD4389">
        <v>3</v>
      </c>
      <c r="AE4389">
        <v>0</v>
      </c>
      <c r="AF4389">
        <v>9</v>
      </c>
      <c r="AG4389" t="s">
        <v>115</v>
      </c>
      <c r="AH4389">
        <v>0</v>
      </c>
      <c r="AI4389">
        <v>0</v>
      </c>
      <c r="AJ4389">
        <v>1</v>
      </c>
      <c r="AK4389">
        <v>0</v>
      </c>
      <c r="AL4389" t="s">
        <v>7678</v>
      </c>
      <c r="AM4389">
        <v>47.059936999999998</v>
      </c>
      <c r="AN4389" t="s">
        <v>7960</v>
      </c>
      <c r="AO4389">
        <v>-124.021354</v>
      </c>
      <c r="AP4389">
        <v>100</v>
      </c>
      <c r="AQ4389">
        <v>200</v>
      </c>
      <c r="AR4389" t="s">
        <v>118</v>
      </c>
      <c r="AS4389">
        <v>-68</v>
      </c>
      <c r="AT4389">
        <v>-11</v>
      </c>
      <c r="AU4389">
        <v>1024</v>
      </c>
      <c r="BC4389">
        <v>1200</v>
      </c>
      <c r="BD4389">
        <v>1</v>
      </c>
      <c r="BE4389" t="str">
        <f t="shared" si="207"/>
        <v xml:space="preserve">N215T   </v>
      </c>
      <c r="BF4389">
        <v>1</v>
      </c>
      <c r="BH4389">
        <v>0</v>
      </c>
      <c r="BI4389">
        <v>0</v>
      </c>
      <c r="BJ4389">
        <v>0</v>
      </c>
      <c r="BK4389">
        <v>600</v>
      </c>
      <c r="BL4389">
        <v>400</v>
      </c>
      <c r="BM4389" t="s">
        <v>119</v>
      </c>
      <c r="BN4389">
        <v>1</v>
      </c>
      <c r="BO4389">
        <v>1</v>
      </c>
      <c r="BP4389">
        <v>1</v>
      </c>
      <c r="BQ4389">
        <v>0</v>
      </c>
      <c r="BT4389">
        <v>0</v>
      </c>
      <c r="BU4389">
        <v>0</v>
      </c>
      <c r="BV4389">
        <v>0</v>
      </c>
      <c r="CC4389" t="str">
        <f>"19:49:49.883"</f>
        <v>19:49:49.883</v>
      </c>
      <c r="CD4389" t="str">
        <f>"879749715"</f>
        <v>879749715</v>
      </c>
      <c r="CQ4389">
        <v>0</v>
      </c>
      <c r="CR4389">
        <v>2</v>
      </c>
      <c r="CS4389">
        <v>0</v>
      </c>
      <c r="CT4389">
        <v>2</v>
      </c>
      <c r="CU4389">
        <v>0</v>
      </c>
      <c r="CV4389">
        <v>5</v>
      </c>
      <c r="CW4389" t="s">
        <v>120</v>
      </c>
      <c r="CX4389">
        <v>257</v>
      </c>
      <c r="CY4389">
        <v>0</v>
      </c>
      <c r="CZ4389" t="s">
        <v>615</v>
      </c>
      <c r="DA4389" t="s">
        <v>616</v>
      </c>
      <c r="DD4389">
        <v>16410</v>
      </c>
      <c r="DE4389" t="s">
        <v>123</v>
      </c>
    </row>
    <row r="4390" spans="1:109" x14ac:dyDescent="0.3">
      <c r="A4390" t="str">
        <f>"19:49:51.094"</f>
        <v>19:49:51.094</v>
      </c>
      <c r="B4390" t="s">
        <v>110</v>
      </c>
      <c r="C4390" t="str">
        <f t="shared" si="208"/>
        <v>ffdfd3c0</v>
      </c>
      <c r="D4390" t="s">
        <v>111</v>
      </c>
      <c r="E4390">
        <v>18</v>
      </c>
      <c r="F4390">
        <v>1018</v>
      </c>
      <c r="G4390" t="s">
        <v>112</v>
      </c>
      <c r="J4390" t="s">
        <v>113</v>
      </c>
      <c r="K4390">
        <v>0</v>
      </c>
      <c r="L4390">
        <v>3</v>
      </c>
      <c r="M4390">
        <v>0</v>
      </c>
      <c r="N4390">
        <v>2</v>
      </c>
      <c r="O4390">
        <v>1</v>
      </c>
      <c r="P4390">
        <v>0</v>
      </c>
      <c r="Q4390">
        <v>0</v>
      </c>
      <c r="R4390" t="s">
        <v>114</v>
      </c>
      <c r="S4390" t="str">
        <f>"19:49:50.852"</f>
        <v>19:49:50.852</v>
      </c>
      <c r="T4390" t="str">
        <f>"19:49:50.352"</f>
        <v>19:49:50.352</v>
      </c>
      <c r="U4390" t="str">
        <f t="shared" si="206"/>
        <v>a1cdbe</v>
      </c>
      <c r="V4390">
        <v>0</v>
      </c>
      <c r="W4390">
        <v>0</v>
      </c>
      <c r="X4390">
        <v>2</v>
      </c>
      <c r="Y4390">
        <v>0</v>
      </c>
      <c r="Z4390">
        <v>0</v>
      </c>
      <c r="AB4390">
        <v>0</v>
      </c>
      <c r="AC4390">
        <v>9</v>
      </c>
      <c r="AD4390">
        <v>3</v>
      </c>
      <c r="AE4390">
        <v>0</v>
      </c>
      <c r="AF4390">
        <v>9</v>
      </c>
      <c r="AG4390" t="s">
        <v>115</v>
      </c>
      <c r="AH4390">
        <v>0</v>
      </c>
      <c r="AI4390">
        <v>0</v>
      </c>
      <c r="AJ4390">
        <v>1</v>
      </c>
      <c r="AK4390">
        <v>0</v>
      </c>
      <c r="AL4390" t="s">
        <v>7375</v>
      </c>
      <c r="AM4390">
        <v>47.059894</v>
      </c>
      <c r="AN4390" t="s">
        <v>7961</v>
      </c>
      <c r="AO4390">
        <v>-124.02184699999999</v>
      </c>
      <c r="AP4390">
        <v>100</v>
      </c>
      <c r="AQ4390">
        <v>200</v>
      </c>
      <c r="AR4390" t="s">
        <v>118</v>
      </c>
      <c r="AS4390">
        <v>-68</v>
      </c>
      <c r="AT4390">
        <v>-10</v>
      </c>
      <c r="AU4390">
        <v>960</v>
      </c>
      <c r="BC4390">
        <v>1200</v>
      </c>
      <c r="BD4390">
        <v>1</v>
      </c>
      <c r="BE4390" t="str">
        <f t="shared" si="207"/>
        <v xml:space="preserve">N215T   </v>
      </c>
      <c r="BF4390">
        <v>1</v>
      </c>
      <c r="BH4390">
        <v>0</v>
      </c>
      <c r="BI4390">
        <v>0</v>
      </c>
      <c r="BJ4390">
        <v>0</v>
      </c>
      <c r="BK4390">
        <v>600</v>
      </c>
      <c r="BL4390">
        <v>400</v>
      </c>
      <c r="BM4390" t="s">
        <v>119</v>
      </c>
      <c r="BN4390">
        <v>1</v>
      </c>
      <c r="BO4390">
        <v>1</v>
      </c>
      <c r="BP4390">
        <v>1</v>
      </c>
      <c r="BQ4390">
        <v>0</v>
      </c>
      <c r="BT4390">
        <v>0</v>
      </c>
      <c r="BU4390">
        <v>0</v>
      </c>
      <c r="BV4390">
        <v>0</v>
      </c>
      <c r="CC4390" t="str">
        <f>"19:49:50.852"</f>
        <v>19:49:50.852</v>
      </c>
      <c r="CD4390" t="str">
        <f>"854653639"</f>
        <v>854653639</v>
      </c>
      <c r="CQ4390">
        <v>0</v>
      </c>
      <c r="CR4390">
        <v>2</v>
      </c>
      <c r="CS4390">
        <v>0</v>
      </c>
      <c r="CT4390">
        <v>2</v>
      </c>
      <c r="CU4390">
        <v>0</v>
      </c>
      <c r="CV4390">
        <v>5</v>
      </c>
      <c r="CW4390" t="s">
        <v>120</v>
      </c>
      <c r="CX4390">
        <v>257</v>
      </c>
      <c r="CY4390">
        <v>0</v>
      </c>
      <c r="CZ4390" t="s">
        <v>615</v>
      </c>
      <c r="DA4390" t="s">
        <v>616</v>
      </c>
      <c r="DD4390">
        <v>16698</v>
      </c>
      <c r="DE4390" t="s">
        <v>123</v>
      </c>
    </row>
    <row r="4391" spans="1:109" x14ac:dyDescent="0.3">
      <c r="A4391" t="str">
        <f>"19:49:52.102"</f>
        <v>19:49:52.102</v>
      </c>
      <c r="B4391" t="s">
        <v>110</v>
      </c>
      <c r="C4391" t="str">
        <f t="shared" si="208"/>
        <v>ffdfd3c0</v>
      </c>
      <c r="D4391" t="s">
        <v>111</v>
      </c>
      <c r="E4391">
        <v>18</v>
      </c>
      <c r="F4391">
        <v>1018</v>
      </c>
      <c r="G4391" t="s">
        <v>112</v>
      </c>
      <c r="J4391" t="s">
        <v>113</v>
      </c>
      <c r="K4391">
        <v>0</v>
      </c>
      <c r="L4391">
        <v>3</v>
      </c>
      <c r="M4391">
        <v>0</v>
      </c>
      <c r="N4391">
        <v>2</v>
      </c>
      <c r="O4391">
        <v>1</v>
      </c>
      <c r="P4391">
        <v>0</v>
      </c>
      <c r="Q4391">
        <v>0</v>
      </c>
      <c r="R4391" t="s">
        <v>114</v>
      </c>
      <c r="S4391" t="str">
        <f>"19:49:51.883"</f>
        <v>19:49:51.883</v>
      </c>
      <c r="T4391" t="str">
        <f>"19:49:51.883"</f>
        <v>19:49:51.883</v>
      </c>
      <c r="U4391" t="str">
        <f t="shared" si="206"/>
        <v>a1cdbe</v>
      </c>
      <c r="V4391">
        <v>0</v>
      </c>
      <c r="W4391">
        <v>0</v>
      </c>
      <c r="X4391">
        <v>2</v>
      </c>
      <c r="Y4391">
        <v>0</v>
      </c>
      <c r="Z4391">
        <v>0</v>
      </c>
      <c r="AB4391">
        <v>0</v>
      </c>
      <c r="AC4391">
        <v>9</v>
      </c>
      <c r="AD4391">
        <v>3</v>
      </c>
      <c r="AE4391">
        <v>0</v>
      </c>
      <c r="AF4391">
        <v>9</v>
      </c>
      <c r="AG4391" t="s">
        <v>115</v>
      </c>
      <c r="AH4391">
        <v>0</v>
      </c>
      <c r="AI4391">
        <v>0</v>
      </c>
      <c r="AJ4391">
        <v>1</v>
      </c>
      <c r="AK4391">
        <v>0</v>
      </c>
      <c r="AL4391" t="s">
        <v>7962</v>
      </c>
      <c r="AM4391">
        <v>47.059851000000002</v>
      </c>
      <c r="AN4391" t="s">
        <v>7444</v>
      </c>
      <c r="AO4391">
        <v>-124.022255</v>
      </c>
      <c r="AP4391">
        <v>100</v>
      </c>
      <c r="AQ4391">
        <v>200</v>
      </c>
      <c r="AR4391" t="s">
        <v>118</v>
      </c>
      <c r="AS4391">
        <v>-68</v>
      </c>
      <c r="AT4391">
        <v>-8</v>
      </c>
      <c r="AU4391">
        <v>896</v>
      </c>
      <c r="BC4391">
        <v>1200</v>
      </c>
      <c r="BD4391">
        <v>1</v>
      </c>
      <c r="BE4391" t="str">
        <f t="shared" si="207"/>
        <v xml:space="preserve">N215T   </v>
      </c>
      <c r="BF4391">
        <v>1</v>
      </c>
      <c r="BH4391">
        <v>0</v>
      </c>
      <c r="BI4391">
        <v>0</v>
      </c>
      <c r="BJ4391">
        <v>0</v>
      </c>
      <c r="BK4391">
        <v>625</v>
      </c>
      <c r="BL4391">
        <v>425</v>
      </c>
      <c r="BM4391" t="s">
        <v>119</v>
      </c>
      <c r="BN4391">
        <v>1</v>
      </c>
      <c r="BO4391">
        <v>1</v>
      </c>
      <c r="BP4391">
        <v>1</v>
      </c>
      <c r="BQ4391">
        <v>0</v>
      </c>
      <c r="BT4391">
        <v>0</v>
      </c>
      <c r="BU4391">
        <v>0</v>
      </c>
      <c r="BV4391">
        <v>0</v>
      </c>
      <c r="CC4391" t="str">
        <f>"19:49:51.891"</f>
        <v>19:49:51.891</v>
      </c>
      <c r="CD4391" t="str">
        <f>"889551660"</f>
        <v>889551660</v>
      </c>
      <c r="CQ4391">
        <v>0</v>
      </c>
      <c r="CR4391">
        <v>2</v>
      </c>
      <c r="CS4391">
        <v>0</v>
      </c>
      <c r="CT4391">
        <v>2</v>
      </c>
      <c r="CU4391">
        <v>0</v>
      </c>
      <c r="CV4391">
        <v>5</v>
      </c>
      <c r="CW4391" t="s">
        <v>120</v>
      </c>
      <c r="CX4391">
        <v>257</v>
      </c>
      <c r="CY4391">
        <v>0</v>
      </c>
      <c r="CZ4391" t="s">
        <v>615</v>
      </c>
      <c r="DA4391" t="s">
        <v>616</v>
      </c>
      <c r="DD4391">
        <v>17018</v>
      </c>
      <c r="DE4391" t="s">
        <v>123</v>
      </c>
    </row>
    <row r="4392" spans="1:109" x14ac:dyDescent="0.3">
      <c r="A4392" t="str">
        <f>"19:49:53.156"</f>
        <v>19:49:53.156</v>
      </c>
      <c r="B4392" t="s">
        <v>110</v>
      </c>
      <c r="C4392" t="str">
        <f t="shared" si="208"/>
        <v>ffdfd3c0</v>
      </c>
      <c r="D4392" t="s">
        <v>111</v>
      </c>
      <c r="E4392">
        <v>18</v>
      </c>
      <c r="F4392">
        <v>1018</v>
      </c>
      <c r="G4392" t="s">
        <v>112</v>
      </c>
      <c r="J4392" t="s">
        <v>113</v>
      </c>
      <c r="K4392">
        <v>0</v>
      </c>
      <c r="L4392">
        <v>3</v>
      </c>
      <c r="M4392">
        <v>0</v>
      </c>
      <c r="N4392">
        <v>2</v>
      </c>
      <c r="O4392">
        <v>1</v>
      </c>
      <c r="P4392">
        <v>0</v>
      </c>
      <c r="Q4392">
        <v>0</v>
      </c>
      <c r="R4392" t="s">
        <v>114</v>
      </c>
      <c r="S4392" t="str">
        <f>"19:49:52.938"</f>
        <v>19:49:52.938</v>
      </c>
      <c r="T4392" t="str">
        <f>"19:49:52.938"</f>
        <v>19:49:52.938</v>
      </c>
      <c r="U4392" t="str">
        <f t="shared" si="206"/>
        <v>a1cdbe</v>
      </c>
      <c r="V4392">
        <v>0</v>
      </c>
      <c r="W4392">
        <v>0</v>
      </c>
      <c r="X4392">
        <v>2</v>
      </c>
      <c r="Y4392">
        <v>0</v>
      </c>
      <c r="Z4392">
        <v>0</v>
      </c>
      <c r="AB4392">
        <v>0</v>
      </c>
      <c r="AC4392">
        <v>9</v>
      </c>
      <c r="AD4392">
        <v>3</v>
      </c>
      <c r="AE4392">
        <v>0</v>
      </c>
      <c r="AF4392">
        <v>9</v>
      </c>
      <c r="AG4392" t="s">
        <v>115</v>
      </c>
      <c r="AH4392">
        <v>0</v>
      </c>
      <c r="AI4392">
        <v>0</v>
      </c>
      <c r="AJ4392">
        <v>1</v>
      </c>
      <c r="AK4392">
        <v>0</v>
      </c>
      <c r="AL4392" t="s">
        <v>7647</v>
      </c>
      <c r="AM4392">
        <v>47.059807999999997</v>
      </c>
      <c r="AN4392" t="s">
        <v>7452</v>
      </c>
      <c r="AO4392">
        <v>-124.022727</v>
      </c>
      <c r="AP4392">
        <v>100</v>
      </c>
      <c r="AQ4392">
        <v>300</v>
      </c>
      <c r="AR4392" t="s">
        <v>118</v>
      </c>
      <c r="AS4392">
        <v>-68</v>
      </c>
      <c r="AT4392">
        <v>-8</v>
      </c>
      <c r="AU4392">
        <v>704</v>
      </c>
      <c r="BC4392">
        <v>1200</v>
      </c>
      <c r="BD4392">
        <v>1</v>
      </c>
      <c r="BE4392" t="str">
        <f t="shared" si="207"/>
        <v xml:space="preserve">N215T   </v>
      </c>
      <c r="BF4392">
        <v>1</v>
      </c>
      <c r="BH4392">
        <v>0</v>
      </c>
      <c r="BI4392">
        <v>0</v>
      </c>
      <c r="BJ4392">
        <v>0</v>
      </c>
      <c r="BK4392">
        <v>650</v>
      </c>
      <c r="BL4392">
        <v>350</v>
      </c>
      <c r="BM4392" t="s">
        <v>119</v>
      </c>
      <c r="BN4392">
        <v>1</v>
      </c>
      <c r="BO4392">
        <v>1</v>
      </c>
      <c r="BP4392">
        <v>1</v>
      </c>
      <c r="BQ4392">
        <v>0</v>
      </c>
      <c r="BT4392">
        <v>0</v>
      </c>
      <c r="BU4392">
        <v>0</v>
      </c>
      <c r="BV4392">
        <v>0</v>
      </c>
      <c r="CC4392" t="str">
        <f>"19:49:52.938"</f>
        <v>19:49:52.938</v>
      </c>
      <c r="CD4392" t="str">
        <f>"939448195"</f>
        <v>939448195</v>
      </c>
      <c r="CQ4392">
        <v>0</v>
      </c>
      <c r="CR4392">
        <v>2</v>
      </c>
      <c r="CS4392">
        <v>0</v>
      </c>
      <c r="CT4392">
        <v>2</v>
      </c>
      <c r="CU4392">
        <v>0</v>
      </c>
      <c r="CV4392">
        <v>4</v>
      </c>
      <c r="CW4392" t="s">
        <v>120</v>
      </c>
      <c r="CX4392">
        <v>257</v>
      </c>
      <c r="CY4392">
        <v>0</v>
      </c>
      <c r="CZ4392" t="s">
        <v>615</v>
      </c>
      <c r="DA4392" t="s">
        <v>616</v>
      </c>
      <c r="DD4392">
        <v>17308</v>
      </c>
      <c r="DE4392" t="s">
        <v>123</v>
      </c>
    </row>
    <row r="4393" spans="1:109" x14ac:dyDescent="0.3">
      <c r="A4393" t="str">
        <f>"19:49:54.008"</f>
        <v>19:49:54.008</v>
      </c>
      <c r="B4393" t="s">
        <v>110</v>
      </c>
      <c r="C4393" t="str">
        <f t="shared" si="208"/>
        <v>ffdfd3c0</v>
      </c>
      <c r="D4393" t="s">
        <v>111</v>
      </c>
      <c r="E4393">
        <v>18</v>
      </c>
      <c r="F4393">
        <v>1018</v>
      </c>
      <c r="G4393" t="s">
        <v>112</v>
      </c>
      <c r="J4393" t="s">
        <v>113</v>
      </c>
      <c r="K4393">
        <v>0</v>
      </c>
      <c r="L4393">
        <v>3</v>
      </c>
      <c r="M4393">
        <v>0</v>
      </c>
      <c r="N4393">
        <v>2</v>
      </c>
      <c r="O4393">
        <v>1</v>
      </c>
      <c r="P4393">
        <v>0</v>
      </c>
      <c r="Q4393">
        <v>0</v>
      </c>
      <c r="R4393" t="s">
        <v>114</v>
      </c>
      <c r="S4393" t="str">
        <f>"19:49:53.742"</f>
        <v>19:49:53.742</v>
      </c>
      <c r="T4393" t="str">
        <f>"19:49:53.344"</f>
        <v>19:49:53.344</v>
      </c>
      <c r="U4393" t="str">
        <f t="shared" si="206"/>
        <v>a1cdbe</v>
      </c>
      <c r="V4393">
        <v>0</v>
      </c>
      <c r="W4393">
        <v>0</v>
      </c>
      <c r="X4393">
        <v>2</v>
      </c>
      <c r="Y4393">
        <v>0</v>
      </c>
      <c r="Z4393">
        <v>0</v>
      </c>
      <c r="AB4393">
        <v>0</v>
      </c>
      <c r="AC4393">
        <v>9</v>
      </c>
      <c r="AD4393">
        <v>3</v>
      </c>
      <c r="AE4393">
        <v>0</v>
      </c>
      <c r="AF4393">
        <v>9</v>
      </c>
      <c r="AG4393" t="s">
        <v>115</v>
      </c>
      <c r="AH4393">
        <v>0</v>
      </c>
      <c r="AI4393">
        <v>0</v>
      </c>
      <c r="AJ4393">
        <v>1</v>
      </c>
      <c r="AK4393">
        <v>0</v>
      </c>
      <c r="AL4393" t="s">
        <v>7373</v>
      </c>
      <c r="AM4393">
        <v>47.059786000000003</v>
      </c>
      <c r="AN4393" t="s">
        <v>7963</v>
      </c>
      <c r="AO4393">
        <v>-124.023113</v>
      </c>
      <c r="AP4393">
        <v>100</v>
      </c>
      <c r="AQ4393">
        <v>300</v>
      </c>
      <c r="AR4393" t="s">
        <v>118</v>
      </c>
      <c r="AS4393">
        <v>-68</v>
      </c>
      <c r="AT4393">
        <v>-8</v>
      </c>
      <c r="AU4393">
        <v>640</v>
      </c>
      <c r="BC4393">
        <v>1200</v>
      </c>
      <c r="BD4393">
        <v>1</v>
      </c>
      <c r="BE4393" t="str">
        <f t="shared" si="207"/>
        <v xml:space="preserve">N215T   </v>
      </c>
      <c r="BF4393">
        <v>1</v>
      </c>
      <c r="BH4393">
        <v>0</v>
      </c>
      <c r="BI4393">
        <v>0</v>
      </c>
      <c r="BJ4393">
        <v>0</v>
      </c>
      <c r="BK4393">
        <v>650</v>
      </c>
      <c r="BL4393">
        <v>350</v>
      </c>
      <c r="BM4393" t="s">
        <v>119</v>
      </c>
      <c r="BN4393">
        <v>1</v>
      </c>
      <c r="BO4393">
        <v>1</v>
      </c>
      <c r="BP4393">
        <v>1</v>
      </c>
      <c r="BQ4393">
        <v>0</v>
      </c>
      <c r="BT4393">
        <v>0</v>
      </c>
      <c r="BU4393">
        <v>0</v>
      </c>
      <c r="BV4393">
        <v>0</v>
      </c>
      <c r="CC4393" t="str">
        <f>"19:49:53.750"</f>
        <v>19:49:53.750</v>
      </c>
      <c r="CD4393" t="str">
        <f>"749368358"</f>
        <v>749368358</v>
      </c>
      <c r="CQ4393">
        <v>0</v>
      </c>
      <c r="CR4393">
        <v>2</v>
      </c>
      <c r="CS4393">
        <v>0</v>
      </c>
      <c r="CT4393">
        <v>2</v>
      </c>
      <c r="CU4393">
        <v>0</v>
      </c>
      <c r="CV4393">
        <v>2</v>
      </c>
      <c r="CW4393" t="s">
        <v>120</v>
      </c>
      <c r="CX4393">
        <v>257</v>
      </c>
      <c r="CY4393">
        <v>0</v>
      </c>
      <c r="CZ4393" t="s">
        <v>615</v>
      </c>
      <c r="DA4393" t="s">
        <v>616</v>
      </c>
      <c r="DD4393">
        <v>17562</v>
      </c>
      <c r="DE4393" t="s">
        <v>123</v>
      </c>
    </row>
    <row r="4394" spans="1:109" x14ac:dyDescent="0.3">
      <c r="A4394" t="str">
        <f>"19:49:55.016"</f>
        <v>19:49:55.016</v>
      </c>
      <c r="B4394" t="s">
        <v>110</v>
      </c>
      <c r="C4394" t="str">
        <f t="shared" si="208"/>
        <v>ffdfd3c0</v>
      </c>
      <c r="D4394" t="s">
        <v>111</v>
      </c>
      <c r="E4394">
        <v>18</v>
      </c>
      <c r="F4394">
        <v>1018</v>
      </c>
      <c r="G4394" t="s">
        <v>112</v>
      </c>
      <c r="J4394" t="s">
        <v>113</v>
      </c>
      <c r="K4394">
        <v>0</v>
      </c>
      <c r="L4394">
        <v>3</v>
      </c>
      <c r="M4394">
        <v>0</v>
      </c>
      <c r="N4394">
        <v>2</v>
      </c>
      <c r="O4394">
        <v>1</v>
      </c>
      <c r="P4394">
        <v>0</v>
      </c>
      <c r="Q4394">
        <v>0</v>
      </c>
      <c r="R4394" t="s">
        <v>114</v>
      </c>
      <c r="S4394" t="str">
        <f>"19:49:54.797"</f>
        <v>19:49:54.797</v>
      </c>
      <c r="T4394" t="str">
        <f>"19:49:54.297"</f>
        <v>19:49:54.297</v>
      </c>
      <c r="U4394" t="str">
        <f t="shared" si="206"/>
        <v>a1cdbe</v>
      </c>
      <c r="V4394">
        <v>0</v>
      </c>
      <c r="W4394">
        <v>0</v>
      </c>
      <c r="X4394">
        <v>2</v>
      </c>
      <c r="Y4394">
        <v>0</v>
      </c>
      <c r="Z4394">
        <v>0</v>
      </c>
      <c r="AB4394">
        <v>0</v>
      </c>
      <c r="AC4394">
        <v>9</v>
      </c>
      <c r="AD4394">
        <v>3</v>
      </c>
      <c r="AE4394">
        <v>0</v>
      </c>
      <c r="AF4394">
        <v>9</v>
      </c>
      <c r="AG4394" t="s">
        <v>115</v>
      </c>
      <c r="AH4394">
        <v>0</v>
      </c>
      <c r="AI4394">
        <v>0</v>
      </c>
      <c r="AJ4394">
        <v>1</v>
      </c>
      <c r="AK4394">
        <v>0</v>
      </c>
      <c r="AL4394" t="s">
        <v>7677</v>
      </c>
      <c r="AM4394">
        <v>47.059742999999997</v>
      </c>
      <c r="AN4394" t="s">
        <v>7964</v>
      </c>
      <c r="AO4394">
        <v>-124.023628</v>
      </c>
      <c r="AP4394">
        <v>100</v>
      </c>
      <c r="AQ4394">
        <v>300</v>
      </c>
      <c r="AR4394" t="s">
        <v>118</v>
      </c>
      <c r="AS4394">
        <v>-69</v>
      </c>
      <c r="AT4394">
        <v>-7</v>
      </c>
      <c r="AU4394">
        <v>384</v>
      </c>
      <c r="BC4394">
        <v>1200</v>
      </c>
      <c r="BD4394">
        <v>1</v>
      </c>
      <c r="BE4394" t="str">
        <f t="shared" si="207"/>
        <v xml:space="preserve">N215T   </v>
      </c>
      <c r="BF4394">
        <v>1</v>
      </c>
      <c r="BH4394">
        <v>0</v>
      </c>
      <c r="BI4394">
        <v>0</v>
      </c>
      <c r="BJ4394">
        <v>0</v>
      </c>
      <c r="BK4394">
        <v>650</v>
      </c>
      <c r="BL4394">
        <v>350</v>
      </c>
      <c r="BM4394" t="s">
        <v>119</v>
      </c>
      <c r="BN4394">
        <v>1</v>
      </c>
      <c r="BO4394">
        <v>1</v>
      </c>
      <c r="BP4394">
        <v>1</v>
      </c>
      <c r="BQ4394">
        <v>0</v>
      </c>
      <c r="BT4394">
        <v>0</v>
      </c>
      <c r="BU4394">
        <v>0</v>
      </c>
      <c r="BV4394">
        <v>0</v>
      </c>
      <c r="CC4394" t="str">
        <f>"19:49:54.797"</f>
        <v>19:49:54.797</v>
      </c>
      <c r="CD4394" t="str">
        <f>"799264957"</f>
        <v>799264957</v>
      </c>
      <c r="CQ4394">
        <v>0</v>
      </c>
      <c r="CR4394">
        <v>2</v>
      </c>
      <c r="CS4394">
        <v>0</v>
      </c>
      <c r="CT4394">
        <v>2</v>
      </c>
      <c r="CU4394">
        <v>0</v>
      </c>
      <c r="CV4394">
        <v>3</v>
      </c>
      <c r="CW4394" t="s">
        <v>120</v>
      </c>
      <c r="CX4394">
        <v>257</v>
      </c>
      <c r="CY4394">
        <v>0</v>
      </c>
      <c r="CZ4394" t="s">
        <v>615</v>
      </c>
      <c r="DA4394" t="s">
        <v>616</v>
      </c>
      <c r="DD4394">
        <v>17866</v>
      </c>
      <c r="DE4394" t="s">
        <v>123</v>
      </c>
    </row>
    <row r="4395" spans="1:109" x14ac:dyDescent="0.3">
      <c r="A4395" t="str">
        <f>"19:49:56.023"</f>
        <v>19:49:56.023</v>
      </c>
      <c r="B4395" t="s">
        <v>110</v>
      </c>
      <c r="C4395" t="str">
        <f t="shared" si="208"/>
        <v>ffdfd3c0</v>
      </c>
      <c r="D4395" t="s">
        <v>111</v>
      </c>
      <c r="E4395">
        <v>18</v>
      </c>
      <c r="F4395">
        <v>1018</v>
      </c>
      <c r="G4395" t="s">
        <v>112</v>
      </c>
      <c r="J4395" t="s">
        <v>113</v>
      </c>
      <c r="K4395">
        <v>0</v>
      </c>
      <c r="L4395">
        <v>3</v>
      </c>
      <c r="M4395">
        <v>0</v>
      </c>
      <c r="N4395">
        <v>2</v>
      </c>
      <c r="O4395">
        <v>1</v>
      </c>
      <c r="P4395">
        <v>0</v>
      </c>
      <c r="Q4395">
        <v>0</v>
      </c>
      <c r="R4395" t="s">
        <v>114</v>
      </c>
      <c r="S4395" t="str">
        <f>"19:49:55.789"</f>
        <v>19:49:55.789</v>
      </c>
      <c r="T4395" t="str">
        <f>"19:49:55.789"</f>
        <v>19:49:55.789</v>
      </c>
      <c r="U4395" t="str">
        <f t="shared" si="206"/>
        <v>a1cdbe</v>
      </c>
      <c r="V4395">
        <v>0</v>
      </c>
      <c r="W4395">
        <v>0</v>
      </c>
      <c r="X4395">
        <v>2</v>
      </c>
      <c r="Y4395">
        <v>0</v>
      </c>
      <c r="Z4395">
        <v>0</v>
      </c>
      <c r="AB4395">
        <v>0</v>
      </c>
      <c r="AC4395">
        <v>9</v>
      </c>
      <c r="AD4395">
        <v>3</v>
      </c>
      <c r="AE4395">
        <v>0</v>
      </c>
      <c r="AF4395">
        <v>9</v>
      </c>
      <c r="AG4395" t="s">
        <v>115</v>
      </c>
      <c r="AH4395">
        <v>0</v>
      </c>
      <c r="AI4395">
        <v>0</v>
      </c>
      <c r="AJ4395">
        <v>1</v>
      </c>
      <c r="AK4395">
        <v>0</v>
      </c>
      <c r="AL4395" t="s">
        <v>7836</v>
      </c>
      <c r="AM4395">
        <v>47.059699999999999</v>
      </c>
      <c r="AN4395" t="s">
        <v>7965</v>
      </c>
      <c r="AO4395">
        <v>-124.0241</v>
      </c>
      <c r="AP4395">
        <v>100</v>
      </c>
      <c r="AQ4395">
        <v>300</v>
      </c>
      <c r="AR4395" t="s">
        <v>118</v>
      </c>
      <c r="AS4395">
        <v>-70</v>
      </c>
      <c r="AT4395">
        <v>-6</v>
      </c>
      <c r="AU4395">
        <v>320</v>
      </c>
      <c r="BC4395">
        <v>1200</v>
      </c>
      <c r="BD4395">
        <v>1</v>
      </c>
      <c r="BE4395" t="str">
        <f t="shared" si="207"/>
        <v xml:space="preserve">N215T   </v>
      </c>
      <c r="BF4395">
        <v>1</v>
      </c>
      <c r="BH4395">
        <v>0</v>
      </c>
      <c r="BI4395">
        <v>0</v>
      </c>
      <c r="BJ4395">
        <v>0</v>
      </c>
      <c r="BK4395">
        <v>675</v>
      </c>
      <c r="BL4395">
        <v>375</v>
      </c>
      <c r="BM4395" t="s">
        <v>119</v>
      </c>
      <c r="BN4395">
        <v>1</v>
      </c>
      <c r="BO4395">
        <v>1</v>
      </c>
      <c r="BP4395">
        <v>1</v>
      </c>
      <c r="BQ4395">
        <v>0</v>
      </c>
      <c r="BT4395">
        <v>0</v>
      </c>
      <c r="BU4395">
        <v>0</v>
      </c>
      <c r="BV4395">
        <v>0</v>
      </c>
      <c r="CC4395" t="str">
        <f>"19:49:55.789"</f>
        <v>19:49:55.789</v>
      </c>
      <c r="CD4395" t="str">
        <f>"789167405"</f>
        <v>789167405</v>
      </c>
      <c r="CQ4395">
        <v>0</v>
      </c>
      <c r="CR4395">
        <v>2</v>
      </c>
      <c r="CS4395">
        <v>0</v>
      </c>
      <c r="CT4395">
        <v>2</v>
      </c>
      <c r="CU4395">
        <v>0</v>
      </c>
      <c r="CV4395">
        <v>3</v>
      </c>
      <c r="CW4395" t="s">
        <v>120</v>
      </c>
      <c r="CX4395">
        <v>257</v>
      </c>
      <c r="CY4395">
        <v>0</v>
      </c>
      <c r="CZ4395" t="s">
        <v>615</v>
      </c>
      <c r="DA4395" t="s">
        <v>616</v>
      </c>
      <c r="DD4395">
        <v>18165</v>
      </c>
      <c r="DE4395" t="s">
        <v>123</v>
      </c>
    </row>
    <row r="4396" spans="1:109" x14ac:dyDescent="0.3">
      <c r="A4396" t="str">
        <f>"19:49:56.977"</f>
        <v>19:49:56.977</v>
      </c>
      <c r="B4396" t="s">
        <v>110</v>
      </c>
      <c r="C4396" t="str">
        <f t="shared" si="208"/>
        <v>ffdfd3c0</v>
      </c>
      <c r="D4396" t="s">
        <v>111</v>
      </c>
      <c r="E4396">
        <v>18</v>
      </c>
      <c r="F4396">
        <v>1018</v>
      </c>
      <c r="G4396" t="s">
        <v>112</v>
      </c>
      <c r="J4396" t="s">
        <v>113</v>
      </c>
      <c r="K4396">
        <v>0</v>
      </c>
      <c r="L4396">
        <v>3</v>
      </c>
      <c r="M4396">
        <v>0</v>
      </c>
      <c r="N4396">
        <v>2</v>
      </c>
      <c r="O4396">
        <v>1</v>
      </c>
      <c r="P4396">
        <v>0</v>
      </c>
      <c r="Q4396">
        <v>0</v>
      </c>
      <c r="R4396" t="s">
        <v>114</v>
      </c>
      <c r="S4396" t="str">
        <f>"19:49:56.758"</f>
        <v>19:49:56.758</v>
      </c>
      <c r="T4396" t="str">
        <f>"19:49:56.758"</f>
        <v>19:49:56.758</v>
      </c>
      <c r="U4396" t="str">
        <f t="shared" si="206"/>
        <v>a1cdbe</v>
      </c>
      <c r="V4396">
        <v>0</v>
      </c>
      <c r="W4396">
        <v>0</v>
      </c>
      <c r="X4396">
        <v>2</v>
      </c>
      <c r="Y4396">
        <v>0</v>
      </c>
      <c r="Z4396">
        <v>0</v>
      </c>
      <c r="AB4396">
        <v>0</v>
      </c>
      <c r="AC4396">
        <v>9</v>
      </c>
      <c r="AD4396">
        <v>3</v>
      </c>
      <c r="AE4396">
        <v>0</v>
      </c>
      <c r="AF4396">
        <v>9</v>
      </c>
      <c r="AG4396" t="s">
        <v>115</v>
      </c>
      <c r="AH4396">
        <v>0</v>
      </c>
      <c r="AI4396">
        <v>0</v>
      </c>
      <c r="AJ4396">
        <v>1</v>
      </c>
      <c r="AK4396">
        <v>0</v>
      </c>
      <c r="AL4396" t="s">
        <v>7836</v>
      </c>
      <c r="AM4396">
        <v>47.059699999999999</v>
      </c>
      <c r="AN4396" t="s">
        <v>7966</v>
      </c>
      <c r="AO4396">
        <v>-124.02459399999999</v>
      </c>
      <c r="AP4396">
        <v>100</v>
      </c>
      <c r="AQ4396">
        <v>300</v>
      </c>
      <c r="AR4396" t="s">
        <v>118</v>
      </c>
      <c r="AS4396">
        <v>-70</v>
      </c>
      <c r="AT4396">
        <v>-5</v>
      </c>
      <c r="AU4396">
        <v>192</v>
      </c>
      <c r="BC4396">
        <v>1200</v>
      </c>
      <c r="BD4396">
        <v>1</v>
      </c>
      <c r="BE4396" t="str">
        <f t="shared" si="207"/>
        <v xml:space="preserve">N215T   </v>
      </c>
      <c r="BF4396">
        <v>1</v>
      </c>
      <c r="BH4396">
        <v>0</v>
      </c>
      <c r="BI4396">
        <v>0</v>
      </c>
      <c r="BJ4396">
        <v>0</v>
      </c>
      <c r="BK4396">
        <v>650</v>
      </c>
      <c r="BL4396">
        <v>350</v>
      </c>
      <c r="BM4396" t="s">
        <v>119</v>
      </c>
      <c r="BN4396">
        <v>1</v>
      </c>
      <c r="BO4396">
        <v>1</v>
      </c>
      <c r="BP4396">
        <v>1</v>
      </c>
      <c r="BQ4396">
        <v>0</v>
      </c>
      <c r="BT4396">
        <v>0</v>
      </c>
      <c r="BU4396">
        <v>0</v>
      </c>
      <c r="BV4396">
        <v>0</v>
      </c>
      <c r="CC4396" t="str">
        <f>"19:49:56.766"</f>
        <v>19:49:56.766</v>
      </c>
      <c r="CD4396" t="str">
        <f>"764071320"</f>
        <v>764071320</v>
      </c>
      <c r="CQ4396">
        <v>0</v>
      </c>
      <c r="CR4396">
        <v>2</v>
      </c>
      <c r="CS4396">
        <v>0</v>
      </c>
      <c r="CT4396">
        <v>2</v>
      </c>
      <c r="CU4396">
        <v>0</v>
      </c>
      <c r="CV4396">
        <v>3</v>
      </c>
      <c r="CW4396" t="s">
        <v>120</v>
      </c>
      <c r="CX4396">
        <v>257</v>
      </c>
      <c r="CY4396">
        <v>0</v>
      </c>
      <c r="CZ4396" t="s">
        <v>615</v>
      </c>
      <c r="DA4396" t="s">
        <v>616</v>
      </c>
      <c r="DD4396">
        <v>18473</v>
      </c>
      <c r="DE4396" t="s">
        <v>123</v>
      </c>
    </row>
    <row r="4397" spans="1:109" x14ac:dyDescent="0.3">
      <c r="A4397" t="str">
        <f>"19:49:57.984"</f>
        <v>19:49:57.984</v>
      </c>
      <c r="B4397" t="s">
        <v>110</v>
      </c>
      <c r="C4397" t="str">
        <f t="shared" si="208"/>
        <v>ffdfd3c0</v>
      </c>
      <c r="D4397" t="s">
        <v>111</v>
      </c>
      <c r="E4397">
        <v>18</v>
      </c>
      <c r="F4397">
        <v>1018</v>
      </c>
      <c r="G4397" t="s">
        <v>112</v>
      </c>
      <c r="J4397" t="s">
        <v>113</v>
      </c>
      <c r="K4397">
        <v>0</v>
      </c>
      <c r="L4397">
        <v>3</v>
      </c>
      <c r="M4397">
        <v>0</v>
      </c>
      <c r="N4397">
        <v>2</v>
      </c>
      <c r="O4397">
        <v>1</v>
      </c>
      <c r="P4397">
        <v>0</v>
      </c>
      <c r="Q4397">
        <v>0</v>
      </c>
      <c r="R4397" t="s">
        <v>114</v>
      </c>
      <c r="S4397" t="str">
        <f>"19:49:57.750"</f>
        <v>19:49:57.750</v>
      </c>
      <c r="T4397" t="str">
        <f>"19:49:57.250"</f>
        <v>19:49:57.250</v>
      </c>
      <c r="U4397" t="str">
        <f t="shared" si="206"/>
        <v>a1cdbe</v>
      </c>
      <c r="V4397">
        <v>0</v>
      </c>
      <c r="W4397">
        <v>0</v>
      </c>
      <c r="X4397">
        <v>2</v>
      </c>
      <c r="Y4397">
        <v>0</v>
      </c>
      <c r="Z4397">
        <v>0</v>
      </c>
      <c r="AB4397">
        <v>0</v>
      </c>
      <c r="AC4397">
        <v>9</v>
      </c>
      <c r="AD4397">
        <v>3</v>
      </c>
      <c r="AE4397">
        <v>0</v>
      </c>
      <c r="AF4397">
        <v>9</v>
      </c>
      <c r="AG4397" t="s">
        <v>115</v>
      </c>
      <c r="AH4397">
        <v>0</v>
      </c>
      <c r="AI4397">
        <v>0</v>
      </c>
      <c r="AJ4397">
        <v>1</v>
      </c>
      <c r="AK4397">
        <v>0</v>
      </c>
      <c r="AL4397" t="s">
        <v>7371</v>
      </c>
      <c r="AM4397">
        <v>47.059657999999999</v>
      </c>
      <c r="AN4397" t="s">
        <v>7967</v>
      </c>
      <c r="AO4397">
        <v>-124.025066</v>
      </c>
      <c r="AP4397">
        <v>100</v>
      </c>
      <c r="AQ4397">
        <v>300</v>
      </c>
      <c r="AR4397" t="s">
        <v>118</v>
      </c>
      <c r="AS4397">
        <v>-70</v>
      </c>
      <c r="AT4397">
        <v>-4</v>
      </c>
      <c r="AU4397">
        <v>192</v>
      </c>
      <c r="BC4397">
        <v>1200</v>
      </c>
      <c r="BD4397">
        <v>1</v>
      </c>
      <c r="BE4397" t="str">
        <f t="shared" si="207"/>
        <v xml:space="preserve">N215T   </v>
      </c>
      <c r="BF4397">
        <v>1</v>
      </c>
      <c r="BH4397">
        <v>0</v>
      </c>
      <c r="BI4397">
        <v>0</v>
      </c>
      <c r="BJ4397">
        <v>0</v>
      </c>
      <c r="BK4397">
        <v>675</v>
      </c>
      <c r="BL4397">
        <v>375</v>
      </c>
      <c r="BM4397" t="s">
        <v>119</v>
      </c>
      <c r="BN4397">
        <v>1</v>
      </c>
      <c r="BO4397">
        <v>1</v>
      </c>
      <c r="BP4397">
        <v>1</v>
      </c>
      <c r="BQ4397">
        <v>0</v>
      </c>
      <c r="BT4397">
        <v>0</v>
      </c>
      <c r="BU4397">
        <v>0</v>
      </c>
      <c r="BV4397">
        <v>0</v>
      </c>
      <c r="CC4397" t="str">
        <f>"19:49:57.758"</f>
        <v>19:49:57.758</v>
      </c>
      <c r="CD4397" t="str">
        <f>"753973791"</f>
        <v>753973791</v>
      </c>
      <c r="CQ4397">
        <v>0</v>
      </c>
      <c r="CR4397">
        <v>2</v>
      </c>
      <c r="CS4397">
        <v>0</v>
      </c>
      <c r="CT4397">
        <v>2</v>
      </c>
      <c r="CU4397">
        <v>0</v>
      </c>
      <c r="CV4397">
        <v>4</v>
      </c>
      <c r="CW4397" t="s">
        <v>120</v>
      </c>
      <c r="CX4397">
        <v>257</v>
      </c>
      <c r="CY4397">
        <v>0</v>
      </c>
      <c r="CZ4397" t="s">
        <v>615</v>
      </c>
      <c r="DA4397" t="s">
        <v>616</v>
      </c>
      <c r="DD4397">
        <v>18760</v>
      </c>
      <c r="DE4397" t="s">
        <v>123</v>
      </c>
    </row>
    <row r="4398" spans="1:109" x14ac:dyDescent="0.3">
      <c r="A4398" t="str">
        <f>"19:50:00.648"</f>
        <v>19:50:00.648</v>
      </c>
      <c r="B4398" t="s">
        <v>110</v>
      </c>
      <c r="C4398" t="str">
        <f t="shared" si="208"/>
        <v>ffdfd3c0</v>
      </c>
      <c r="D4398" t="s">
        <v>111</v>
      </c>
      <c r="E4398">
        <v>18</v>
      </c>
      <c r="F4398">
        <v>1018</v>
      </c>
      <c r="G4398" t="s">
        <v>112</v>
      </c>
      <c r="J4398" t="s">
        <v>113</v>
      </c>
      <c r="K4398">
        <v>0</v>
      </c>
      <c r="L4398">
        <v>3</v>
      </c>
      <c r="M4398">
        <v>0</v>
      </c>
      <c r="N4398">
        <v>2</v>
      </c>
      <c r="O4398">
        <v>1</v>
      </c>
      <c r="P4398">
        <v>0</v>
      </c>
      <c r="Q4398">
        <v>0</v>
      </c>
      <c r="R4398" t="s">
        <v>114</v>
      </c>
      <c r="S4398" t="str">
        <f>"19:50:00.375"</f>
        <v>19:50:00.375</v>
      </c>
      <c r="T4398" t="str">
        <f>"19:49:59.875"</f>
        <v>19:49:59.875</v>
      </c>
      <c r="U4398" t="str">
        <f t="shared" si="206"/>
        <v>a1cdbe</v>
      </c>
      <c r="V4398">
        <v>0</v>
      </c>
      <c r="W4398">
        <v>0</v>
      </c>
      <c r="X4398">
        <v>2</v>
      </c>
      <c r="Y4398">
        <v>0</v>
      </c>
      <c r="Z4398">
        <v>0</v>
      </c>
      <c r="AB4398">
        <v>0</v>
      </c>
      <c r="AC4398">
        <v>9</v>
      </c>
      <c r="AD4398">
        <v>3</v>
      </c>
      <c r="AE4398">
        <v>0</v>
      </c>
      <c r="AF4398">
        <v>9</v>
      </c>
      <c r="AG4398" t="s">
        <v>115</v>
      </c>
      <c r="AH4398">
        <v>0</v>
      </c>
      <c r="AI4398">
        <v>0</v>
      </c>
      <c r="AJ4398">
        <v>1</v>
      </c>
      <c r="AK4398">
        <v>0</v>
      </c>
      <c r="AL4398" t="s">
        <v>7371</v>
      </c>
      <c r="AM4398">
        <v>47.059657999999999</v>
      </c>
      <c r="AN4398" t="s">
        <v>7968</v>
      </c>
      <c r="AO4398">
        <v>-124.02631</v>
      </c>
      <c r="AP4398">
        <v>100</v>
      </c>
      <c r="AQ4398">
        <v>300</v>
      </c>
      <c r="AR4398" t="s">
        <v>118</v>
      </c>
      <c r="AS4398">
        <v>-72</v>
      </c>
      <c r="AT4398">
        <v>-2</v>
      </c>
      <c r="AU4398">
        <v>192</v>
      </c>
      <c r="BC4398">
        <v>1200</v>
      </c>
      <c r="BD4398">
        <v>1</v>
      </c>
      <c r="BE4398" t="str">
        <f t="shared" si="207"/>
        <v xml:space="preserve">N215T   </v>
      </c>
      <c r="BF4398">
        <v>1</v>
      </c>
      <c r="BH4398">
        <v>0</v>
      </c>
      <c r="BI4398">
        <v>0</v>
      </c>
      <c r="BJ4398">
        <v>0</v>
      </c>
      <c r="BK4398">
        <v>675</v>
      </c>
      <c r="BL4398">
        <v>375</v>
      </c>
      <c r="BM4398" t="s">
        <v>119</v>
      </c>
      <c r="BN4398">
        <v>1</v>
      </c>
      <c r="BO4398">
        <v>1</v>
      </c>
      <c r="BP4398">
        <v>1</v>
      </c>
      <c r="BQ4398">
        <v>0</v>
      </c>
      <c r="BT4398">
        <v>0</v>
      </c>
      <c r="BU4398">
        <v>0</v>
      </c>
      <c r="BV4398">
        <v>0</v>
      </c>
      <c r="CC4398" t="str">
        <f>"19:50:00.375"</f>
        <v>19:50:00.375</v>
      </c>
      <c r="CD4398" t="str">
        <f>"378715168"</f>
        <v>378715168</v>
      </c>
      <c r="CQ4398">
        <v>0</v>
      </c>
      <c r="CR4398">
        <v>2</v>
      </c>
      <c r="CS4398">
        <v>0</v>
      </c>
      <c r="CT4398">
        <v>2</v>
      </c>
      <c r="CU4398">
        <v>0</v>
      </c>
      <c r="CV4398">
        <v>3</v>
      </c>
      <c r="CW4398" t="s">
        <v>120</v>
      </c>
      <c r="CX4398">
        <v>257</v>
      </c>
      <c r="CY4398">
        <v>0</v>
      </c>
      <c r="CZ4398" t="s">
        <v>615</v>
      </c>
      <c r="DA4398" t="s">
        <v>616</v>
      </c>
      <c r="DD4398">
        <v>19561</v>
      </c>
      <c r="DE4398" t="s">
        <v>123</v>
      </c>
    </row>
    <row r="4399" spans="1:109" x14ac:dyDescent="0.3">
      <c r="A4399" t="str">
        <f>"19:50:01.648"</f>
        <v>19:50:01.648</v>
      </c>
      <c r="B4399" t="s">
        <v>110</v>
      </c>
      <c r="C4399" t="str">
        <f t="shared" si="208"/>
        <v>ffdfd3c0</v>
      </c>
      <c r="D4399" t="s">
        <v>111</v>
      </c>
      <c r="E4399">
        <v>18</v>
      </c>
      <c r="F4399">
        <v>1018</v>
      </c>
      <c r="G4399" t="s">
        <v>112</v>
      </c>
      <c r="J4399" t="s">
        <v>113</v>
      </c>
      <c r="K4399">
        <v>0</v>
      </c>
      <c r="L4399">
        <v>3</v>
      </c>
      <c r="M4399">
        <v>0</v>
      </c>
      <c r="N4399">
        <v>2</v>
      </c>
      <c r="O4399">
        <v>1</v>
      </c>
      <c r="P4399">
        <v>0</v>
      </c>
      <c r="Q4399">
        <v>0</v>
      </c>
      <c r="R4399" t="s">
        <v>114</v>
      </c>
      <c r="S4399" t="str">
        <f>"19:50:01.406"</f>
        <v>19:50:01.406</v>
      </c>
      <c r="T4399" t="str">
        <f>"19:50:01.008"</f>
        <v>19:50:01.008</v>
      </c>
      <c r="U4399" t="str">
        <f t="shared" si="206"/>
        <v>a1cdbe</v>
      </c>
      <c r="V4399">
        <v>0</v>
      </c>
      <c r="W4399">
        <v>0</v>
      </c>
      <c r="X4399">
        <v>2</v>
      </c>
      <c r="Y4399">
        <v>0</v>
      </c>
      <c r="Z4399">
        <v>0</v>
      </c>
      <c r="AB4399">
        <v>0</v>
      </c>
      <c r="AC4399">
        <v>9</v>
      </c>
      <c r="AD4399">
        <v>3</v>
      </c>
      <c r="AE4399">
        <v>0</v>
      </c>
      <c r="AF4399">
        <v>9</v>
      </c>
      <c r="AG4399" t="s">
        <v>115</v>
      </c>
      <c r="AH4399">
        <v>0</v>
      </c>
      <c r="AI4399">
        <v>0</v>
      </c>
      <c r="AJ4399">
        <v>1</v>
      </c>
      <c r="AK4399">
        <v>0</v>
      </c>
      <c r="AL4399" t="s">
        <v>7371</v>
      </c>
      <c r="AM4399">
        <v>47.059657999999999</v>
      </c>
      <c r="AN4399" t="s">
        <v>7969</v>
      </c>
      <c r="AO4399">
        <v>-124.02676099999999</v>
      </c>
      <c r="AP4399">
        <v>100</v>
      </c>
      <c r="AQ4399">
        <v>300</v>
      </c>
      <c r="AR4399" t="s">
        <v>118</v>
      </c>
      <c r="AS4399">
        <v>-72</v>
      </c>
      <c r="AT4399">
        <v>-2</v>
      </c>
      <c r="AU4399">
        <v>192</v>
      </c>
      <c r="BC4399">
        <v>1200</v>
      </c>
      <c r="BD4399">
        <v>1</v>
      </c>
      <c r="BE4399" t="str">
        <f t="shared" si="207"/>
        <v xml:space="preserve">N215T   </v>
      </c>
      <c r="BF4399">
        <v>1</v>
      </c>
      <c r="BH4399">
        <v>0</v>
      </c>
      <c r="BI4399">
        <v>0</v>
      </c>
      <c r="BJ4399">
        <v>0</v>
      </c>
      <c r="BK4399">
        <v>675</v>
      </c>
      <c r="BL4399">
        <v>375</v>
      </c>
      <c r="BM4399" t="s">
        <v>119</v>
      </c>
      <c r="BN4399">
        <v>1</v>
      </c>
      <c r="BO4399">
        <v>1</v>
      </c>
      <c r="BP4399">
        <v>1</v>
      </c>
      <c r="BQ4399">
        <v>0</v>
      </c>
      <c r="BT4399">
        <v>0</v>
      </c>
      <c r="BU4399">
        <v>0</v>
      </c>
      <c r="BV4399">
        <v>0</v>
      </c>
      <c r="CC4399" t="str">
        <f>"19:50:01.414"</f>
        <v>19:50:01.414</v>
      </c>
      <c r="CD4399" t="str">
        <f>"413613221"</f>
        <v>413613221</v>
      </c>
      <c r="CQ4399">
        <v>0</v>
      </c>
      <c r="CR4399">
        <v>2</v>
      </c>
      <c r="CS4399">
        <v>0</v>
      </c>
      <c r="CT4399">
        <v>2</v>
      </c>
      <c r="CU4399">
        <v>0</v>
      </c>
      <c r="CV4399">
        <v>3</v>
      </c>
      <c r="CW4399" t="s">
        <v>120</v>
      </c>
      <c r="CX4399">
        <v>257</v>
      </c>
      <c r="CY4399">
        <v>0</v>
      </c>
      <c r="CZ4399" t="s">
        <v>615</v>
      </c>
      <c r="DA4399" t="s">
        <v>616</v>
      </c>
      <c r="DD4399">
        <v>19903</v>
      </c>
      <c r="DE4399" t="s">
        <v>123</v>
      </c>
    </row>
    <row r="4400" spans="1:109" x14ac:dyDescent="0.3">
      <c r="A4400" t="str">
        <f>"19:50:02.711"</f>
        <v>19:50:02.711</v>
      </c>
      <c r="B4400" t="s">
        <v>110</v>
      </c>
      <c r="C4400" t="str">
        <f t="shared" si="208"/>
        <v>ffdfd3c0</v>
      </c>
      <c r="D4400" t="s">
        <v>111</v>
      </c>
      <c r="E4400">
        <v>18</v>
      </c>
      <c r="F4400">
        <v>1018</v>
      </c>
      <c r="G4400" t="s">
        <v>112</v>
      </c>
      <c r="J4400" t="s">
        <v>113</v>
      </c>
      <c r="K4400">
        <v>0</v>
      </c>
      <c r="L4400">
        <v>3</v>
      </c>
      <c r="M4400">
        <v>0</v>
      </c>
      <c r="N4400">
        <v>2</v>
      </c>
      <c r="O4400">
        <v>1</v>
      </c>
      <c r="P4400">
        <v>0</v>
      </c>
      <c r="Q4400">
        <v>0</v>
      </c>
      <c r="R4400" t="s">
        <v>114</v>
      </c>
      <c r="S4400" t="str">
        <f>"19:50:02.461"</f>
        <v>19:50:02.461</v>
      </c>
      <c r="T4400" t="str">
        <f>"19:50:02.359"</f>
        <v>19:50:02.359</v>
      </c>
      <c r="U4400" t="str">
        <f t="shared" si="206"/>
        <v>a1cdbe</v>
      </c>
      <c r="V4400">
        <v>0</v>
      </c>
      <c r="W4400">
        <v>0</v>
      </c>
      <c r="X4400">
        <v>2</v>
      </c>
      <c r="Y4400">
        <v>0</v>
      </c>
      <c r="Z4400">
        <v>0</v>
      </c>
      <c r="AB4400">
        <v>0</v>
      </c>
      <c r="AC4400">
        <v>9</v>
      </c>
      <c r="AD4400">
        <v>3</v>
      </c>
      <c r="AE4400">
        <v>0</v>
      </c>
      <c r="AF4400">
        <v>9</v>
      </c>
      <c r="AG4400" t="s">
        <v>115</v>
      </c>
      <c r="AH4400">
        <v>0</v>
      </c>
      <c r="AI4400">
        <v>0</v>
      </c>
      <c r="AJ4400">
        <v>1</v>
      </c>
      <c r="AK4400">
        <v>0</v>
      </c>
      <c r="AL4400" t="s">
        <v>512</v>
      </c>
      <c r="AM4400">
        <v>47.059615000000001</v>
      </c>
      <c r="AN4400" t="s">
        <v>7970</v>
      </c>
      <c r="AO4400">
        <v>-124.02734</v>
      </c>
      <c r="AP4400">
        <v>100</v>
      </c>
      <c r="AQ4400">
        <v>300</v>
      </c>
      <c r="AR4400" t="s">
        <v>118</v>
      </c>
      <c r="AS4400">
        <v>-73</v>
      </c>
      <c r="AT4400">
        <v>-3</v>
      </c>
      <c r="AU4400">
        <v>192</v>
      </c>
      <c r="BC4400">
        <v>1200</v>
      </c>
      <c r="BD4400">
        <v>1</v>
      </c>
      <c r="BE4400" t="str">
        <f t="shared" si="207"/>
        <v xml:space="preserve">N215T   </v>
      </c>
      <c r="BF4400">
        <v>1</v>
      </c>
      <c r="BH4400">
        <v>0</v>
      </c>
      <c r="BI4400">
        <v>0</v>
      </c>
      <c r="BJ4400">
        <v>0</v>
      </c>
      <c r="BK4400">
        <v>675</v>
      </c>
      <c r="BL4400">
        <v>375</v>
      </c>
      <c r="BM4400" t="s">
        <v>119</v>
      </c>
      <c r="BN4400">
        <v>1</v>
      </c>
      <c r="BO4400">
        <v>1</v>
      </c>
      <c r="BP4400">
        <v>1</v>
      </c>
      <c r="BQ4400">
        <v>0</v>
      </c>
      <c r="BT4400">
        <v>0</v>
      </c>
      <c r="BU4400">
        <v>0</v>
      </c>
      <c r="BV4400">
        <v>0</v>
      </c>
      <c r="CC4400" t="str">
        <f>"19:50:02.461"</f>
        <v>19:50:02.461</v>
      </c>
      <c r="CD4400" t="str">
        <f>"463509775"</f>
        <v>463509775</v>
      </c>
      <c r="CQ4400">
        <v>0</v>
      </c>
      <c r="CR4400">
        <v>2</v>
      </c>
      <c r="CS4400">
        <v>0</v>
      </c>
      <c r="CT4400">
        <v>2</v>
      </c>
      <c r="CU4400">
        <v>0</v>
      </c>
      <c r="CV4400">
        <v>3</v>
      </c>
      <c r="CW4400" t="s">
        <v>120</v>
      </c>
      <c r="CX4400">
        <v>257</v>
      </c>
      <c r="CY4400">
        <v>0</v>
      </c>
      <c r="CZ4400" t="s">
        <v>615</v>
      </c>
      <c r="DA4400" t="s">
        <v>616</v>
      </c>
      <c r="DD4400">
        <v>20208</v>
      </c>
      <c r="DE4400" t="s">
        <v>123</v>
      </c>
    </row>
    <row r="4401" spans="1:109" x14ac:dyDescent="0.3">
      <c r="A4401" t="str">
        <f>"19:50:03.766"</f>
        <v>19:50:03.766</v>
      </c>
      <c r="B4401" t="s">
        <v>110</v>
      </c>
      <c r="C4401" t="str">
        <f t="shared" si="208"/>
        <v>ffdfd3c0</v>
      </c>
      <c r="D4401" t="s">
        <v>111</v>
      </c>
      <c r="E4401">
        <v>18</v>
      </c>
      <c r="F4401">
        <v>1018</v>
      </c>
      <c r="G4401" t="s">
        <v>112</v>
      </c>
      <c r="J4401" t="s">
        <v>113</v>
      </c>
      <c r="K4401">
        <v>0</v>
      </c>
      <c r="L4401">
        <v>3</v>
      </c>
      <c r="M4401">
        <v>0</v>
      </c>
      <c r="N4401">
        <v>2</v>
      </c>
      <c r="O4401">
        <v>1</v>
      </c>
      <c r="P4401">
        <v>0</v>
      </c>
      <c r="Q4401">
        <v>0</v>
      </c>
      <c r="R4401" t="s">
        <v>114</v>
      </c>
      <c r="S4401" t="str">
        <f>"19:50:03.523"</f>
        <v>19:50:03.523</v>
      </c>
      <c r="T4401" t="str">
        <f>"19:50:03.422"</f>
        <v>19:50:03.422</v>
      </c>
      <c r="U4401" t="str">
        <f t="shared" si="206"/>
        <v>a1cdbe</v>
      </c>
      <c r="V4401">
        <v>0</v>
      </c>
      <c r="W4401">
        <v>0</v>
      </c>
      <c r="X4401">
        <v>2</v>
      </c>
      <c r="Y4401">
        <v>0</v>
      </c>
      <c r="Z4401">
        <v>0</v>
      </c>
      <c r="AB4401">
        <v>0</v>
      </c>
      <c r="AC4401">
        <v>9</v>
      </c>
      <c r="AD4401">
        <v>3</v>
      </c>
      <c r="AE4401">
        <v>0</v>
      </c>
      <c r="AF4401">
        <v>9</v>
      </c>
      <c r="AG4401" t="s">
        <v>115</v>
      </c>
      <c r="AH4401">
        <v>0</v>
      </c>
      <c r="AI4401">
        <v>0</v>
      </c>
      <c r="AJ4401">
        <v>1</v>
      </c>
      <c r="AK4401">
        <v>0</v>
      </c>
      <c r="AL4401" t="s">
        <v>512</v>
      </c>
      <c r="AM4401">
        <v>47.059615000000001</v>
      </c>
      <c r="AN4401" t="s">
        <v>7971</v>
      </c>
      <c r="AO4401">
        <v>-124.027834</v>
      </c>
      <c r="AP4401">
        <v>100</v>
      </c>
      <c r="AQ4401">
        <v>300</v>
      </c>
      <c r="AR4401" t="s">
        <v>118</v>
      </c>
      <c r="AS4401">
        <v>-74</v>
      </c>
      <c r="AT4401">
        <v>-3</v>
      </c>
      <c r="AU4401">
        <v>256</v>
      </c>
      <c r="BC4401">
        <v>1200</v>
      </c>
      <c r="BD4401">
        <v>1</v>
      </c>
      <c r="BE4401" t="str">
        <f t="shared" si="207"/>
        <v xml:space="preserve">N215T   </v>
      </c>
      <c r="BF4401">
        <v>1</v>
      </c>
      <c r="BH4401">
        <v>0</v>
      </c>
      <c r="BI4401">
        <v>0</v>
      </c>
      <c r="BJ4401">
        <v>0</v>
      </c>
      <c r="BK4401">
        <v>675</v>
      </c>
      <c r="BL4401">
        <v>375</v>
      </c>
      <c r="BM4401" t="s">
        <v>119</v>
      </c>
      <c r="BN4401">
        <v>1</v>
      </c>
      <c r="BO4401">
        <v>1</v>
      </c>
      <c r="BP4401">
        <v>1</v>
      </c>
      <c r="BQ4401">
        <v>0</v>
      </c>
      <c r="BT4401">
        <v>0</v>
      </c>
      <c r="BU4401">
        <v>0</v>
      </c>
      <c r="BV4401">
        <v>0</v>
      </c>
      <c r="CC4401" t="str">
        <f>"19:50:03.531"</f>
        <v>19:50:03.531</v>
      </c>
      <c r="CD4401" t="str">
        <f>"528404858"</f>
        <v>528404858</v>
      </c>
      <c r="CQ4401">
        <v>0</v>
      </c>
      <c r="CR4401">
        <v>2</v>
      </c>
      <c r="CS4401">
        <v>0</v>
      </c>
      <c r="CT4401">
        <v>2</v>
      </c>
      <c r="CU4401">
        <v>0</v>
      </c>
      <c r="CV4401">
        <v>4</v>
      </c>
      <c r="CW4401" t="s">
        <v>120</v>
      </c>
      <c r="CX4401">
        <v>257</v>
      </c>
      <c r="CY4401">
        <v>0</v>
      </c>
      <c r="CZ4401" t="s">
        <v>615</v>
      </c>
      <c r="DA4401" t="s">
        <v>616</v>
      </c>
      <c r="DD4401">
        <v>20538</v>
      </c>
      <c r="DE4401" t="s">
        <v>123</v>
      </c>
    </row>
    <row r="4402" spans="1:109" x14ac:dyDescent="0.3">
      <c r="A4402" t="str">
        <f>"19:50:04.672"</f>
        <v>19:50:04.672</v>
      </c>
      <c r="B4402" t="s">
        <v>110</v>
      </c>
      <c r="C4402" t="str">
        <f t="shared" si="208"/>
        <v>ffdfd3c0</v>
      </c>
      <c r="D4402" t="s">
        <v>111</v>
      </c>
      <c r="E4402">
        <v>18</v>
      </c>
      <c r="F4402">
        <v>1018</v>
      </c>
      <c r="G4402" t="s">
        <v>112</v>
      </c>
      <c r="J4402" t="s">
        <v>113</v>
      </c>
      <c r="K4402">
        <v>0</v>
      </c>
      <c r="L4402">
        <v>3</v>
      </c>
      <c r="M4402">
        <v>0</v>
      </c>
      <c r="N4402">
        <v>2</v>
      </c>
      <c r="O4402">
        <v>1</v>
      </c>
      <c r="P4402">
        <v>0</v>
      </c>
      <c r="Q4402">
        <v>0</v>
      </c>
      <c r="R4402" t="s">
        <v>114</v>
      </c>
      <c r="S4402" t="str">
        <f>"19:50:04.422"</f>
        <v>19:50:04.422</v>
      </c>
      <c r="T4402" t="str">
        <f>"19:50:04.422"</f>
        <v>19:50:04.422</v>
      </c>
      <c r="U4402" t="str">
        <f t="shared" si="206"/>
        <v>a1cdbe</v>
      </c>
      <c r="V4402">
        <v>0</v>
      </c>
      <c r="W4402">
        <v>0</v>
      </c>
      <c r="X4402">
        <v>2</v>
      </c>
      <c r="Y4402">
        <v>0</v>
      </c>
      <c r="Z4402">
        <v>0</v>
      </c>
      <c r="AB4402">
        <v>0</v>
      </c>
      <c r="AC4402">
        <v>9</v>
      </c>
      <c r="AD4402">
        <v>3</v>
      </c>
      <c r="AE4402">
        <v>0</v>
      </c>
      <c r="AF4402">
        <v>9</v>
      </c>
      <c r="AG4402" t="s">
        <v>115</v>
      </c>
      <c r="AH4402">
        <v>0</v>
      </c>
      <c r="AI4402">
        <v>0</v>
      </c>
      <c r="AJ4402">
        <v>1</v>
      </c>
      <c r="AK4402">
        <v>0</v>
      </c>
      <c r="AL4402" t="s">
        <v>512</v>
      </c>
      <c r="AM4402">
        <v>47.059615000000001</v>
      </c>
      <c r="AN4402" t="s">
        <v>7972</v>
      </c>
      <c r="AO4402">
        <v>-124.028306</v>
      </c>
      <c r="AP4402">
        <v>100</v>
      </c>
      <c r="AQ4402">
        <v>300</v>
      </c>
      <c r="AR4402" t="s">
        <v>118</v>
      </c>
      <c r="AS4402">
        <v>-74</v>
      </c>
      <c r="AT4402">
        <v>-3</v>
      </c>
      <c r="AU4402">
        <v>320</v>
      </c>
      <c r="BC4402">
        <v>1200</v>
      </c>
      <c r="BD4402">
        <v>1</v>
      </c>
      <c r="BE4402" t="str">
        <f t="shared" si="207"/>
        <v xml:space="preserve">N215T   </v>
      </c>
      <c r="BF4402">
        <v>1</v>
      </c>
      <c r="BH4402">
        <v>0</v>
      </c>
      <c r="BI4402">
        <v>0</v>
      </c>
      <c r="BJ4402">
        <v>0</v>
      </c>
      <c r="BK4402">
        <v>700</v>
      </c>
      <c r="BL4402">
        <v>400</v>
      </c>
      <c r="BM4402" t="s">
        <v>119</v>
      </c>
      <c r="BN4402">
        <v>1</v>
      </c>
      <c r="BO4402">
        <v>1</v>
      </c>
      <c r="BP4402">
        <v>1</v>
      </c>
      <c r="BQ4402">
        <v>0</v>
      </c>
      <c r="BT4402">
        <v>0</v>
      </c>
      <c r="BU4402">
        <v>0</v>
      </c>
      <c r="BV4402">
        <v>0</v>
      </c>
      <c r="CC4402" t="str">
        <f>"19:50:04.430"</f>
        <v>19:50:04.430</v>
      </c>
      <c r="CD4402" t="str">
        <f>"428316182"</f>
        <v>428316182</v>
      </c>
      <c r="CQ4402">
        <v>0</v>
      </c>
      <c r="CR4402">
        <v>2</v>
      </c>
      <c r="CS4402">
        <v>0</v>
      </c>
      <c r="CT4402">
        <v>2</v>
      </c>
      <c r="CU4402">
        <v>0</v>
      </c>
      <c r="CV4402">
        <v>2</v>
      </c>
      <c r="CW4402" t="s">
        <v>120</v>
      </c>
      <c r="CX4402">
        <v>257</v>
      </c>
      <c r="CY4402">
        <v>0</v>
      </c>
      <c r="CZ4402" t="s">
        <v>615</v>
      </c>
      <c r="DA4402" t="s">
        <v>616</v>
      </c>
      <c r="DD4402">
        <v>20793</v>
      </c>
      <c r="DE4402" t="s">
        <v>123</v>
      </c>
    </row>
    <row r="4403" spans="1:109" x14ac:dyDescent="0.3">
      <c r="A4403" t="str">
        <f>"19:50:05.625"</f>
        <v>19:50:05.625</v>
      </c>
      <c r="B4403" t="s">
        <v>110</v>
      </c>
      <c r="C4403" t="str">
        <f t="shared" si="208"/>
        <v>ffdfd3c0</v>
      </c>
      <c r="D4403" t="s">
        <v>111</v>
      </c>
      <c r="E4403">
        <v>18</v>
      </c>
      <c r="F4403">
        <v>1018</v>
      </c>
      <c r="G4403" t="s">
        <v>112</v>
      </c>
      <c r="J4403" t="s">
        <v>113</v>
      </c>
      <c r="K4403">
        <v>0</v>
      </c>
      <c r="L4403">
        <v>3</v>
      </c>
      <c r="M4403">
        <v>0</v>
      </c>
      <c r="N4403">
        <v>2</v>
      </c>
      <c r="O4403">
        <v>1</v>
      </c>
      <c r="P4403">
        <v>0</v>
      </c>
      <c r="Q4403">
        <v>0</v>
      </c>
      <c r="R4403" t="s">
        <v>114</v>
      </c>
      <c r="S4403" t="str">
        <f>"19:50:05.430"</f>
        <v>19:50:05.430</v>
      </c>
      <c r="T4403" t="str">
        <f>"19:50:05.430"</f>
        <v>19:50:05.430</v>
      </c>
      <c r="U4403" t="str">
        <f t="shared" si="206"/>
        <v>a1cdbe</v>
      </c>
      <c r="V4403">
        <v>0</v>
      </c>
      <c r="W4403">
        <v>0</v>
      </c>
      <c r="X4403">
        <v>2</v>
      </c>
      <c r="Y4403">
        <v>0</v>
      </c>
      <c r="Z4403">
        <v>0</v>
      </c>
      <c r="AB4403">
        <v>0</v>
      </c>
      <c r="AC4403">
        <v>9</v>
      </c>
      <c r="AD4403">
        <v>3</v>
      </c>
      <c r="AE4403">
        <v>0</v>
      </c>
      <c r="AF4403">
        <v>9</v>
      </c>
      <c r="AG4403" t="s">
        <v>115</v>
      </c>
      <c r="AH4403">
        <v>0</v>
      </c>
      <c r="AI4403">
        <v>0</v>
      </c>
      <c r="AJ4403">
        <v>1</v>
      </c>
      <c r="AK4403">
        <v>0</v>
      </c>
      <c r="AL4403" t="s">
        <v>512</v>
      </c>
      <c r="AM4403">
        <v>47.059615000000001</v>
      </c>
      <c r="AN4403" t="s">
        <v>7973</v>
      </c>
      <c r="AO4403">
        <v>-124.02882099999999</v>
      </c>
      <c r="AP4403">
        <v>100</v>
      </c>
      <c r="AQ4403">
        <v>300</v>
      </c>
      <c r="AR4403" t="s">
        <v>118</v>
      </c>
      <c r="AS4403">
        <v>-74</v>
      </c>
      <c r="AT4403">
        <v>-3</v>
      </c>
      <c r="AU4403">
        <v>192</v>
      </c>
      <c r="BC4403">
        <v>1200</v>
      </c>
      <c r="BD4403">
        <v>1</v>
      </c>
      <c r="BE4403" t="str">
        <f t="shared" si="207"/>
        <v xml:space="preserve">N215T   </v>
      </c>
      <c r="BF4403">
        <v>1</v>
      </c>
      <c r="BH4403">
        <v>0</v>
      </c>
      <c r="BI4403">
        <v>0</v>
      </c>
      <c r="BJ4403">
        <v>0</v>
      </c>
      <c r="BK4403">
        <v>700</v>
      </c>
      <c r="BL4403">
        <v>400</v>
      </c>
      <c r="BM4403" t="s">
        <v>119</v>
      </c>
      <c r="BN4403">
        <v>1</v>
      </c>
      <c r="BO4403">
        <v>1</v>
      </c>
      <c r="BP4403">
        <v>1</v>
      </c>
      <c r="BQ4403">
        <v>0</v>
      </c>
      <c r="BT4403">
        <v>0</v>
      </c>
      <c r="BU4403">
        <v>0</v>
      </c>
      <c r="BV4403">
        <v>0</v>
      </c>
      <c r="CC4403" t="str">
        <f>"19:50:05.430"</f>
        <v>19:50:05.430</v>
      </c>
      <c r="CD4403" t="str">
        <f>"433217197"</f>
        <v>433217197</v>
      </c>
      <c r="CQ4403">
        <v>0</v>
      </c>
      <c r="CR4403">
        <v>2</v>
      </c>
      <c r="CS4403">
        <v>0</v>
      </c>
      <c r="CT4403">
        <v>2</v>
      </c>
      <c r="CU4403">
        <v>0</v>
      </c>
      <c r="CV4403">
        <v>4</v>
      </c>
      <c r="CW4403" t="s">
        <v>120</v>
      </c>
      <c r="CX4403">
        <v>257</v>
      </c>
      <c r="CY4403">
        <v>0</v>
      </c>
      <c r="CZ4403" t="s">
        <v>615</v>
      </c>
      <c r="DA4403" t="s">
        <v>616</v>
      </c>
      <c r="DD4403">
        <v>21099</v>
      </c>
      <c r="DE4403" t="s">
        <v>123</v>
      </c>
    </row>
    <row r="4404" spans="1:109" x14ac:dyDescent="0.3">
      <c r="A4404" t="str">
        <f>"19:50:06.680"</f>
        <v>19:50:06.680</v>
      </c>
      <c r="B4404" t="s">
        <v>110</v>
      </c>
      <c r="C4404" t="str">
        <f t="shared" si="208"/>
        <v>ffdfd3c0</v>
      </c>
      <c r="D4404" t="s">
        <v>111</v>
      </c>
      <c r="E4404">
        <v>18</v>
      </c>
      <c r="F4404">
        <v>1018</v>
      </c>
      <c r="G4404" t="s">
        <v>112</v>
      </c>
      <c r="J4404" t="s">
        <v>113</v>
      </c>
      <c r="K4404">
        <v>0</v>
      </c>
      <c r="L4404">
        <v>3</v>
      </c>
      <c r="M4404">
        <v>0</v>
      </c>
      <c r="N4404">
        <v>2</v>
      </c>
      <c r="O4404">
        <v>1</v>
      </c>
      <c r="P4404">
        <v>0</v>
      </c>
      <c r="Q4404">
        <v>0</v>
      </c>
      <c r="R4404" t="s">
        <v>114</v>
      </c>
      <c r="S4404" t="str">
        <f>"19:50:06.461"</f>
        <v>19:50:06.461</v>
      </c>
      <c r="T4404" t="str">
        <f>"19:50:06.359"</f>
        <v>19:50:06.359</v>
      </c>
      <c r="U4404" t="str">
        <f t="shared" si="206"/>
        <v>a1cdbe</v>
      </c>
      <c r="V4404">
        <v>0</v>
      </c>
      <c r="W4404">
        <v>0</v>
      </c>
      <c r="X4404">
        <v>2</v>
      </c>
      <c r="Y4404">
        <v>0</v>
      </c>
      <c r="Z4404">
        <v>0</v>
      </c>
      <c r="AB4404">
        <v>0</v>
      </c>
      <c r="AC4404">
        <v>9</v>
      </c>
      <c r="AD4404">
        <v>3</v>
      </c>
      <c r="AE4404">
        <v>0</v>
      </c>
      <c r="AF4404">
        <v>9</v>
      </c>
      <c r="AG4404" t="s">
        <v>115</v>
      </c>
      <c r="AH4404">
        <v>0</v>
      </c>
      <c r="AI4404">
        <v>0</v>
      </c>
      <c r="AJ4404">
        <v>1</v>
      </c>
      <c r="AK4404">
        <v>0</v>
      </c>
      <c r="AL4404" t="s">
        <v>7369</v>
      </c>
      <c r="AM4404">
        <v>47.059572000000003</v>
      </c>
      <c r="AN4404" t="s">
        <v>7974</v>
      </c>
      <c r="AO4404">
        <v>-124.029336</v>
      </c>
      <c r="AP4404">
        <v>100</v>
      </c>
      <c r="AQ4404">
        <v>300</v>
      </c>
      <c r="AR4404" t="s">
        <v>118</v>
      </c>
      <c r="AS4404">
        <v>-74</v>
      </c>
      <c r="AT4404">
        <v>-4</v>
      </c>
      <c r="AU4404">
        <v>256</v>
      </c>
      <c r="BC4404">
        <v>1200</v>
      </c>
      <c r="BD4404">
        <v>1</v>
      </c>
      <c r="BE4404" t="str">
        <f t="shared" si="207"/>
        <v xml:space="preserve">N215T   </v>
      </c>
      <c r="BF4404">
        <v>1</v>
      </c>
      <c r="BH4404">
        <v>0</v>
      </c>
      <c r="BI4404">
        <v>0</v>
      </c>
      <c r="BJ4404">
        <v>0</v>
      </c>
      <c r="BK4404">
        <v>700</v>
      </c>
      <c r="BL4404">
        <v>400</v>
      </c>
      <c r="BM4404" t="s">
        <v>119</v>
      </c>
      <c r="BN4404">
        <v>1</v>
      </c>
      <c r="BO4404">
        <v>1</v>
      </c>
      <c r="BP4404">
        <v>1</v>
      </c>
      <c r="BQ4404">
        <v>0</v>
      </c>
      <c r="BT4404">
        <v>0</v>
      </c>
      <c r="BU4404">
        <v>0</v>
      </c>
      <c r="BV4404">
        <v>0</v>
      </c>
      <c r="CC4404" t="str">
        <f>"19:50:06.469"</f>
        <v>19:50:06.469</v>
      </c>
      <c r="CD4404" t="str">
        <f>"468115222"</f>
        <v>468115222</v>
      </c>
      <c r="CQ4404">
        <v>0</v>
      </c>
      <c r="CR4404">
        <v>2</v>
      </c>
      <c r="CS4404">
        <v>0</v>
      </c>
      <c r="CT4404">
        <v>2</v>
      </c>
      <c r="CU4404">
        <v>0</v>
      </c>
      <c r="CV4404">
        <v>4</v>
      </c>
      <c r="CW4404" t="s">
        <v>120</v>
      </c>
      <c r="CX4404">
        <v>257</v>
      </c>
      <c r="CY4404">
        <v>0</v>
      </c>
      <c r="CZ4404" t="s">
        <v>615</v>
      </c>
      <c r="DA4404" t="s">
        <v>616</v>
      </c>
      <c r="DD4404">
        <v>21417</v>
      </c>
      <c r="DE4404" t="s">
        <v>123</v>
      </c>
    </row>
    <row r="4405" spans="1:109" x14ac:dyDescent="0.3">
      <c r="A4405" t="str">
        <f>"19:50:07.633"</f>
        <v>19:50:07.633</v>
      </c>
      <c r="B4405" t="s">
        <v>110</v>
      </c>
      <c r="C4405" t="str">
        <f t="shared" ref="C4405:C4436" si="209">"ffdfd3c0"</f>
        <v>ffdfd3c0</v>
      </c>
      <c r="D4405" t="s">
        <v>111</v>
      </c>
      <c r="E4405">
        <v>18</v>
      </c>
      <c r="F4405">
        <v>1018</v>
      </c>
      <c r="G4405" t="s">
        <v>112</v>
      </c>
      <c r="J4405" t="s">
        <v>113</v>
      </c>
      <c r="K4405">
        <v>0</v>
      </c>
      <c r="L4405">
        <v>3</v>
      </c>
      <c r="M4405">
        <v>0</v>
      </c>
      <c r="N4405">
        <v>2</v>
      </c>
      <c r="O4405">
        <v>1</v>
      </c>
      <c r="P4405">
        <v>0</v>
      </c>
      <c r="Q4405">
        <v>0</v>
      </c>
      <c r="R4405" t="s">
        <v>114</v>
      </c>
      <c r="S4405" t="str">
        <f>"19:50:07.406"</f>
        <v>19:50:07.406</v>
      </c>
      <c r="T4405" t="str">
        <f>"19:50:06.906"</f>
        <v>19:50:06.906</v>
      </c>
      <c r="U4405" t="str">
        <f t="shared" si="206"/>
        <v>a1cdbe</v>
      </c>
      <c r="V4405">
        <v>0</v>
      </c>
      <c r="W4405">
        <v>0</v>
      </c>
      <c r="X4405">
        <v>2</v>
      </c>
      <c r="Y4405">
        <v>0</v>
      </c>
      <c r="Z4405">
        <v>0</v>
      </c>
      <c r="AB4405">
        <v>0</v>
      </c>
      <c r="AC4405">
        <v>9</v>
      </c>
      <c r="AD4405">
        <v>3</v>
      </c>
      <c r="AE4405">
        <v>0</v>
      </c>
      <c r="AF4405">
        <v>9</v>
      </c>
      <c r="AG4405" t="s">
        <v>115</v>
      </c>
      <c r="AH4405">
        <v>0</v>
      </c>
      <c r="AI4405">
        <v>0</v>
      </c>
      <c r="AJ4405">
        <v>1</v>
      </c>
      <c r="AK4405">
        <v>0</v>
      </c>
      <c r="AL4405" t="s">
        <v>7369</v>
      </c>
      <c r="AM4405">
        <v>47.059572000000003</v>
      </c>
      <c r="AN4405" t="s">
        <v>7975</v>
      </c>
      <c r="AO4405">
        <v>-124.029808</v>
      </c>
      <c r="AP4405">
        <v>100</v>
      </c>
      <c r="AQ4405">
        <v>300</v>
      </c>
      <c r="AR4405" t="s">
        <v>118</v>
      </c>
      <c r="AS4405">
        <v>-75</v>
      </c>
      <c r="AT4405">
        <v>-4</v>
      </c>
      <c r="AU4405">
        <v>384</v>
      </c>
      <c r="BC4405">
        <v>1200</v>
      </c>
      <c r="BD4405">
        <v>1</v>
      </c>
      <c r="BE4405" t="str">
        <f t="shared" si="207"/>
        <v xml:space="preserve">N215T   </v>
      </c>
      <c r="BF4405">
        <v>1</v>
      </c>
      <c r="BH4405">
        <v>0</v>
      </c>
      <c r="BI4405">
        <v>0</v>
      </c>
      <c r="BJ4405">
        <v>0</v>
      </c>
      <c r="BK4405">
        <v>700</v>
      </c>
      <c r="BL4405">
        <v>400</v>
      </c>
      <c r="BM4405" t="s">
        <v>119</v>
      </c>
      <c r="BN4405">
        <v>1</v>
      </c>
      <c r="BO4405">
        <v>1</v>
      </c>
      <c r="BP4405">
        <v>1</v>
      </c>
      <c r="BQ4405">
        <v>0</v>
      </c>
      <c r="BT4405">
        <v>0</v>
      </c>
      <c r="BU4405">
        <v>0</v>
      </c>
      <c r="BV4405">
        <v>0</v>
      </c>
      <c r="CC4405" t="str">
        <f>"19:50:07.414"</f>
        <v>19:50:07.414</v>
      </c>
      <c r="CD4405" t="str">
        <f>"413022109"</f>
        <v>413022109</v>
      </c>
      <c r="CQ4405">
        <v>0</v>
      </c>
      <c r="CR4405">
        <v>2</v>
      </c>
      <c r="CS4405">
        <v>0</v>
      </c>
      <c r="CT4405">
        <v>2</v>
      </c>
      <c r="CU4405">
        <v>0</v>
      </c>
      <c r="CV4405">
        <v>4</v>
      </c>
      <c r="CW4405" t="s">
        <v>120</v>
      </c>
      <c r="CX4405">
        <v>257</v>
      </c>
      <c r="CY4405">
        <v>0</v>
      </c>
      <c r="CZ4405" t="s">
        <v>615</v>
      </c>
      <c r="DA4405" t="s">
        <v>616</v>
      </c>
      <c r="DD4405">
        <v>21702</v>
      </c>
      <c r="DE4405" t="s">
        <v>123</v>
      </c>
    </row>
    <row r="4406" spans="1:109" x14ac:dyDescent="0.3">
      <c r="A4406" t="str">
        <f>"19:50:08.641"</f>
        <v>19:50:08.641</v>
      </c>
      <c r="B4406" t="s">
        <v>110</v>
      </c>
      <c r="C4406" t="str">
        <f t="shared" si="209"/>
        <v>ffdfd3c0</v>
      </c>
      <c r="D4406" t="s">
        <v>111</v>
      </c>
      <c r="E4406">
        <v>18</v>
      </c>
      <c r="F4406">
        <v>1018</v>
      </c>
      <c r="G4406" t="s">
        <v>112</v>
      </c>
      <c r="J4406" t="s">
        <v>113</v>
      </c>
      <c r="K4406">
        <v>0</v>
      </c>
      <c r="L4406">
        <v>3</v>
      </c>
      <c r="M4406">
        <v>0</v>
      </c>
      <c r="N4406">
        <v>2</v>
      </c>
      <c r="O4406">
        <v>1</v>
      </c>
      <c r="P4406">
        <v>0</v>
      </c>
      <c r="Q4406">
        <v>0</v>
      </c>
      <c r="R4406" t="s">
        <v>114</v>
      </c>
      <c r="S4406" t="str">
        <f>"19:50:08.414"</f>
        <v>19:50:08.414</v>
      </c>
      <c r="T4406" t="str">
        <f>"19:50:08.414"</f>
        <v>19:50:08.414</v>
      </c>
      <c r="U4406" t="str">
        <f t="shared" si="206"/>
        <v>a1cdbe</v>
      </c>
      <c r="V4406">
        <v>0</v>
      </c>
      <c r="W4406">
        <v>0</v>
      </c>
      <c r="X4406">
        <v>2</v>
      </c>
      <c r="Y4406">
        <v>0</v>
      </c>
      <c r="Z4406">
        <v>0</v>
      </c>
      <c r="AB4406">
        <v>0</v>
      </c>
      <c r="AC4406">
        <v>9</v>
      </c>
      <c r="AD4406">
        <v>3</v>
      </c>
      <c r="AE4406">
        <v>0</v>
      </c>
      <c r="AF4406">
        <v>9</v>
      </c>
      <c r="AG4406" t="s">
        <v>115</v>
      </c>
      <c r="AH4406">
        <v>0</v>
      </c>
      <c r="AI4406">
        <v>0</v>
      </c>
      <c r="AJ4406">
        <v>1</v>
      </c>
      <c r="AK4406">
        <v>0</v>
      </c>
      <c r="AL4406" t="s">
        <v>7675</v>
      </c>
      <c r="AM4406">
        <v>47.059528999999998</v>
      </c>
      <c r="AN4406" t="s">
        <v>7976</v>
      </c>
      <c r="AO4406">
        <v>-124.030366</v>
      </c>
      <c r="AP4406">
        <v>100</v>
      </c>
      <c r="AQ4406">
        <v>300</v>
      </c>
      <c r="AR4406" t="s">
        <v>118</v>
      </c>
      <c r="AS4406">
        <v>-75</v>
      </c>
      <c r="AT4406">
        <v>-6</v>
      </c>
      <c r="AU4406">
        <v>320</v>
      </c>
      <c r="BC4406">
        <v>1200</v>
      </c>
      <c r="BD4406">
        <v>1</v>
      </c>
      <c r="BE4406" t="str">
        <f t="shared" si="207"/>
        <v xml:space="preserve">N215T   </v>
      </c>
      <c r="BF4406">
        <v>1</v>
      </c>
      <c r="BH4406">
        <v>0</v>
      </c>
      <c r="BI4406">
        <v>0</v>
      </c>
      <c r="BJ4406">
        <v>0</v>
      </c>
      <c r="BK4406">
        <v>700</v>
      </c>
      <c r="BL4406">
        <v>400</v>
      </c>
      <c r="BM4406" t="s">
        <v>119</v>
      </c>
      <c r="BN4406">
        <v>1</v>
      </c>
      <c r="BO4406">
        <v>1</v>
      </c>
      <c r="BP4406">
        <v>1</v>
      </c>
      <c r="BQ4406">
        <v>0</v>
      </c>
      <c r="BT4406">
        <v>0</v>
      </c>
      <c r="BU4406">
        <v>0</v>
      </c>
      <c r="BV4406">
        <v>0</v>
      </c>
      <c r="CC4406" t="str">
        <f>"19:50:08.414"</f>
        <v>19:50:08.414</v>
      </c>
      <c r="CD4406" t="str">
        <f>"417923108"</f>
        <v>417923108</v>
      </c>
      <c r="CQ4406">
        <v>0</v>
      </c>
      <c r="CR4406">
        <v>2</v>
      </c>
      <c r="CS4406">
        <v>0</v>
      </c>
      <c r="CT4406">
        <v>2</v>
      </c>
      <c r="CU4406">
        <v>0</v>
      </c>
      <c r="CV4406">
        <v>4</v>
      </c>
      <c r="CW4406" t="s">
        <v>120</v>
      </c>
      <c r="CX4406">
        <v>257</v>
      </c>
      <c r="CY4406">
        <v>0</v>
      </c>
      <c r="CZ4406" t="s">
        <v>615</v>
      </c>
      <c r="DA4406" t="s">
        <v>616</v>
      </c>
      <c r="DD4406">
        <v>22011</v>
      </c>
      <c r="DE4406" t="s">
        <v>123</v>
      </c>
    </row>
    <row r="4407" spans="1:109" x14ac:dyDescent="0.3">
      <c r="A4407" t="str">
        <f>"19:50:09.797"</f>
        <v>19:50:09.797</v>
      </c>
      <c r="B4407" t="s">
        <v>110</v>
      </c>
      <c r="C4407" t="str">
        <f t="shared" si="209"/>
        <v>ffdfd3c0</v>
      </c>
      <c r="D4407" t="s">
        <v>111</v>
      </c>
      <c r="E4407">
        <v>18</v>
      </c>
      <c r="F4407">
        <v>1018</v>
      </c>
      <c r="G4407" t="s">
        <v>112</v>
      </c>
      <c r="J4407" t="s">
        <v>113</v>
      </c>
      <c r="K4407">
        <v>0</v>
      </c>
      <c r="L4407">
        <v>3</v>
      </c>
      <c r="M4407">
        <v>0</v>
      </c>
      <c r="N4407">
        <v>2</v>
      </c>
      <c r="O4407">
        <v>1</v>
      </c>
      <c r="P4407">
        <v>0</v>
      </c>
      <c r="Q4407">
        <v>0</v>
      </c>
      <c r="R4407" t="s">
        <v>114</v>
      </c>
      <c r="S4407" t="str">
        <f>"19:50:09.555"</f>
        <v>19:50:09.555</v>
      </c>
      <c r="T4407" t="str">
        <f>"19:50:09.555"</f>
        <v>19:50:09.555</v>
      </c>
      <c r="U4407" t="str">
        <f t="shared" si="206"/>
        <v>a1cdbe</v>
      </c>
      <c r="V4407">
        <v>0</v>
      </c>
      <c r="W4407">
        <v>0</v>
      </c>
      <c r="X4407">
        <v>2</v>
      </c>
      <c r="Y4407">
        <v>0</v>
      </c>
      <c r="Z4407">
        <v>0</v>
      </c>
      <c r="AB4407">
        <v>0</v>
      </c>
      <c r="AC4407">
        <v>9</v>
      </c>
      <c r="AD4407">
        <v>3</v>
      </c>
      <c r="AE4407">
        <v>0</v>
      </c>
      <c r="AF4407">
        <v>9</v>
      </c>
      <c r="AG4407" t="s">
        <v>115</v>
      </c>
      <c r="AH4407">
        <v>0</v>
      </c>
      <c r="AI4407">
        <v>0</v>
      </c>
      <c r="AJ4407">
        <v>1</v>
      </c>
      <c r="AK4407">
        <v>0</v>
      </c>
      <c r="AL4407" t="s">
        <v>7977</v>
      </c>
      <c r="AM4407">
        <v>47.059507000000004</v>
      </c>
      <c r="AN4407" t="s">
        <v>7978</v>
      </c>
      <c r="AO4407">
        <v>-124.030924</v>
      </c>
      <c r="AP4407">
        <v>100</v>
      </c>
      <c r="AQ4407">
        <v>300</v>
      </c>
      <c r="AR4407" t="s">
        <v>118</v>
      </c>
      <c r="AS4407">
        <v>-75</v>
      </c>
      <c r="AT4407">
        <v>-5</v>
      </c>
      <c r="AU4407">
        <v>448</v>
      </c>
      <c r="BC4407">
        <v>1200</v>
      </c>
      <c r="BD4407">
        <v>1</v>
      </c>
      <c r="BE4407" t="str">
        <f t="shared" si="207"/>
        <v xml:space="preserve">N215T   </v>
      </c>
      <c r="BF4407">
        <v>1</v>
      </c>
      <c r="BH4407">
        <v>0</v>
      </c>
      <c r="BI4407">
        <v>0</v>
      </c>
      <c r="BJ4407">
        <v>0</v>
      </c>
      <c r="BK4407">
        <v>725</v>
      </c>
      <c r="BL4407">
        <v>425</v>
      </c>
      <c r="BM4407" t="s">
        <v>119</v>
      </c>
      <c r="BN4407">
        <v>1</v>
      </c>
      <c r="BO4407">
        <v>1</v>
      </c>
      <c r="BP4407">
        <v>1</v>
      </c>
      <c r="BQ4407">
        <v>0</v>
      </c>
      <c r="BT4407">
        <v>0</v>
      </c>
      <c r="BU4407">
        <v>0</v>
      </c>
      <c r="BV4407">
        <v>0</v>
      </c>
      <c r="CC4407" t="str">
        <f>"19:50:09.555"</f>
        <v>19:50:09.555</v>
      </c>
      <c r="CD4407" t="str">
        <f>"557810822"</f>
        <v>557810822</v>
      </c>
      <c r="CQ4407">
        <v>0</v>
      </c>
      <c r="CR4407">
        <v>2</v>
      </c>
      <c r="CS4407">
        <v>0</v>
      </c>
      <c r="CT4407">
        <v>2</v>
      </c>
      <c r="CU4407">
        <v>0</v>
      </c>
      <c r="CV4407">
        <v>4</v>
      </c>
      <c r="CW4407" t="s">
        <v>120</v>
      </c>
      <c r="CX4407">
        <v>257</v>
      </c>
      <c r="CY4407">
        <v>0</v>
      </c>
      <c r="CZ4407" t="s">
        <v>615</v>
      </c>
      <c r="DA4407" t="s">
        <v>616</v>
      </c>
      <c r="DD4407">
        <v>22345</v>
      </c>
      <c r="DE4407" t="s">
        <v>123</v>
      </c>
    </row>
    <row r="4408" spans="1:109" x14ac:dyDescent="0.3">
      <c r="A4408" t="str">
        <f>"19:50:10.703"</f>
        <v>19:50:10.703</v>
      </c>
      <c r="B4408" t="s">
        <v>110</v>
      </c>
      <c r="C4408" t="str">
        <f t="shared" si="209"/>
        <v>ffdfd3c0</v>
      </c>
      <c r="D4408" t="s">
        <v>111</v>
      </c>
      <c r="E4408">
        <v>18</v>
      </c>
      <c r="F4408">
        <v>1018</v>
      </c>
      <c r="G4408" t="s">
        <v>112</v>
      </c>
      <c r="J4408" t="s">
        <v>113</v>
      </c>
      <c r="K4408">
        <v>0</v>
      </c>
      <c r="L4408">
        <v>3</v>
      </c>
      <c r="M4408">
        <v>0</v>
      </c>
      <c r="N4408">
        <v>2</v>
      </c>
      <c r="O4408">
        <v>1</v>
      </c>
      <c r="P4408">
        <v>0</v>
      </c>
      <c r="Q4408">
        <v>0</v>
      </c>
      <c r="R4408" t="s">
        <v>114</v>
      </c>
      <c r="S4408" t="str">
        <f>"19:50:10.438"</f>
        <v>19:50:10.438</v>
      </c>
      <c r="T4408" t="str">
        <f>"19:50:10.438"</f>
        <v>19:50:10.438</v>
      </c>
      <c r="U4408" t="str">
        <f t="shared" si="206"/>
        <v>a1cdbe</v>
      </c>
      <c r="V4408">
        <v>0</v>
      </c>
      <c r="W4408">
        <v>0</v>
      </c>
      <c r="X4408">
        <v>2</v>
      </c>
      <c r="Y4408">
        <v>0</v>
      </c>
      <c r="Z4408">
        <v>0</v>
      </c>
      <c r="AB4408">
        <v>0</v>
      </c>
      <c r="AC4408">
        <v>9</v>
      </c>
      <c r="AD4408">
        <v>3</v>
      </c>
      <c r="AE4408">
        <v>0</v>
      </c>
      <c r="AF4408">
        <v>9</v>
      </c>
      <c r="AG4408" t="s">
        <v>115</v>
      </c>
      <c r="AH4408">
        <v>0</v>
      </c>
      <c r="AI4408">
        <v>0</v>
      </c>
      <c r="AJ4408">
        <v>1</v>
      </c>
      <c r="AK4408">
        <v>0</v>
      </c>
      <c r="AL4408" t="s">
        <v>7979</v>
      </c>
      <c r="AM4408">
        <v>47.059486</v>
      </c>
      <c r="AN4408" t="s">
        <v>7980</v>
      </c>
      <c r="AO4408">
        <v>-124.03131</v>
      </c>
      <c r="AP4408">
        <v>100</v>
      </c>
      <c r="AQ4408">
        <v>400</v>
      </c>
      <c r="AR4408" t="s">
        <v>118</v>
      </c>
      <c r="AS4408">
        <v>-75</v>
      </c>
      <c r="AT4408">
        <v>-5</v>
      </c>
      <c r="AU4408">
        <v>512</v>
      </c>
      <c r="BC4408">
        <v>1200</v>
      </c>
      <c r="BD4408">
        <v>1</v>
      </c>
      <c r="BE4408" t="str">
        <f t="shared" si="207"/>
        <v xml:space="preserve">N215T   </v>
      </c>
      <c r="BF4408">
        <v>1</v>
      </c>
      <c r="BH4408">
        <v>0</v>
      </c>
      <c r="BI4408">
        <v>0</v>
      </c>
      <c r="BJ4408">
        <v>0</v>
      </c>
      <c r="BK4408">
        <v>625</v>
      </c>
      <c r="BL4408">
        <v>225</v>
      </c>
      <c r="BM4408" t="s">
        <v>119</v>
      </c>
      <c r="BN4408">
        <v>1</v>
      </c>
      <c r="BO4408">
        <v>1</v>
      </c>
      <c r="BP4408">
        <v>1</v>
      </c>
      <c r="BQ4408">
        <v>0</v>
      </c>
      <c r="BT4408">
        <v>0</v>
      </c>
      <c r="BU4408">
        <v>0</v>
      </c>
      <c r="BV4408">
        <v>0</v>
      </c>
      <c r="CC4408" t="str">
        <f>"19:50:10.445"</f>
        <v>19:50:10.445</v>
      </c>
      <c r="CD4408" t="str">
        <f>"442723599"</f>
        <v>442723599</v>
      </c>
      <c r="CQ4408">
        <v>0</v>
      </c>
      <c r="CR4408">
        <v>2</v>
      </c>
      <c r="CS4408">
        <v>0</v>
      </c>
      <c r="CT4408">
        <v>2</v>
      </c>
      <c r="CU4408">
        <v>0</v>
      </c>
      <c r="CV4408">
        <v>4</v>
      </c>
      <c r="CW4408" t="s">
        <v>120</v>
      </c>
      <c r="CX4408">
        <v>257</v>
      </c>
      <c r="CY4408">
        <v>0</v>
      </c>
      <c r="CZ4408" t="s">
        <v>615</v>
      </c>
      <c r="DA4408" t="s">
        <v>616</v>
      </c>
      <c r="DD4408">
        <v>22621</v>
      </c>
      <c r="DE4408" t="s">
        <v>123</v>
      </c>
    </row>
    <row r="4409" spans="1:109" x14ac:dyDescent="0.3">
      <c r="A4409" t="str">
        <f>"19:50:11.656"</f>
        <v>19:50:11.656</v>
      </c>
      <c r="B4409" t="s">
        <v>110</v>
      </c>
      <c r="C4409" t="str">
        <f t="shared" si="209"/>
        <v>ffdfd3c0</v>
      </c>
      <c r="D4409" t="s">
        <v>111</v>
      </c>
      <c r="E4409">
        <v>18</v>
      </c>
      <c r="F4409">
        <v>1018</v>
      </c>
      <c r="G4409" t="s">
        <v>112</v>
      </c>
      <c r="J4409" t="s">
        <v>113</v>
      </c>
      <c r="K4409">
        <v>0</v>
      </c>
      <c r="L4409">
        <v>3</v>
      </c>
      <c r="M4409">
        <v>0</v>
      </c>
      <c r="N4409">
        <v>2</v>
      </c>
      <c r="O4409">
        <v>1</v>
      </c>
      <c r="P4409">
        <v>0</v>
      </c>
      <c r="Q4409">
        <v>0</v>
      </c>
      <c r="R4409" t="s">
        <v>114</v>
      </c>
      <c r="S4409" t="str">
        <f>"19:50:11.398"</f>
        <v>19:50:11.398</v>
      </c>
      <c r="T4409" t="str">
        <f>"19:50:11.000"</f>
        <v>19:50:11.000</v>
      </c>
      <c r="U4409" t="str">
        <f t="shared" si="206"/>
        <v>a1cdbe</v>
      </c>
      <c r="V4409">
        <v>0</v>
      </c>
      <c r="W4409">
        <v>0</v>
      </c>
      <c r="X4409">
        <v>2</v>
      </c>
      <c r="Y4409">
        <v>0</v>
      </c>
      <c r="Z4409">
        <v>0</v>
      </c>
      <c r="AB4409">
        <v>0</v>
      </c>
      <c r="AC4409">
        <v>9</v>
      </c>
      <c r="AD4409">
        <v>3</v>
      </c>
      <c r="AE4409">
        <v>0</v>
      </c>
      <c r="AF4409">
        <v>9</v>
      </c>
      <c r="AG4409" t="s">
        <v>115</v>
      </c>
      <c r="AH4409">
        <v>0</v>
      </c>
      <c r="AI4409">
        <v>0</v>
      </c>
      <c r="AJ4409">
        <v>1</v>
      </c>
      <c r="AK4409">
        <v>0</v>
      </c>
      <c r="AL4409" t="s">
        <v>7367</v>
      </c>
      <c r="AM4409">
        <v>47.059463999999998</v>
      </c>
      <c r="AN4409" t="s">
        <v>7981</v>
      </c>
      <c r="AO4409">
        <v>-124.031847</v>
      </c>
      <c r="AP4409">
        <v>100</v>
      </c>
      <c r="AQ4409">
        <v>400</v>
      </c>
      <c r="AR4409" t="s">
        <v>118</v>
      </c>
      <c r="AS4409">
        <v>-74</v>
      </c>
      <c r="AT4409">
        <v>-6</v>
      </c>
      <c r="AU4409">
        <v>448</v>
      </c>
      <c r="BC4409">
        <v>1200</v>
      </c>
      <c r="BD4409">
        <v>1</v>
      </c>
      <c r="BE4409" t="str">
        <f t="shared" si="207"/>
        <v xml:space="preserve">N215T   </v>
      </c>
      <c r="BF4409">
        <v>1</v>
      </c>
      <c r="BH4409">
        <v>0</v>
      </c>
      <c r="BI4409">
        <v>0</v>
      </c>
      <c r="BJ4409">
        <v>0</v>
      </c>
      <c r="BK4409">
        <v>725</v>
      </c>
      <c r="BL4409">
        <v>325</v>
      </c>
      <c r="BM4409" t="s">
        <v>119</v>
      </c>
      <c r="BN4409">
        <v>1</v>
      </c>
      <c r="BO4409">
        <v>1</v>
      </c>
      <c r="BP4409">
        <v>1</v>
      </c>
      <c r="BQ4409">
        <v>0</v>
      </c>
      <c r="BT4409">
        <v>0</v>
      </c>
      <c r="BU4409">
        <v>0</v>
      </c>
      <c r="BV4409">
        <v>0</v>
      </c>
      <c r="CC4409" t="str">
        <f>"19:50:11.406"</f>
        <v>19:50:11.406</v>
      </c>
      <c r="CD4409" t="str">
        <f>"402629007"</f>
        <v>402629007</v>
      </c>
      <c r="CQ4409">
        <v>0</v>
      </c>
      <c r="CR4409">
        <v>2</v>
      </c>
      <c r="CS4409">
        <v>0</v>
      </c>
      <c r="CT4409">
        <v>2</v>
      </c>
      <c r="CU4409">
        <v>0</v>
      </c>
      <c r="CV4409">
        <v>4</v>
      </c>
      <c r="CW4409" t="s">
        <v>120</v>
      </c>
      <c r="CX4409">
        <v>257</v>
      </c>
      <c r="CY4409">
        <v>0</v>
      </c>
      <c r="CZ4409" t="s">
        <v>615</v>
      </c>
      <c r="DA4409" t="s">
        <v>616</v>
      </c>
      <c r="DD4409">
        <v>22903</v>
      </c>
      <c r="DE4409" t="s">
        <v>123</v>
      </c>
    </row>
    <row r="4410" spans="1:109" x14ac:dyDescent="0.3">
      <c r="A4410" t="str">
        <f>"19:50:12.664"</f>
        <v>19:50:12.664</v>
      </c>
      <c r="B4410" t="s">
        <v>110</v>
      </c>
      <c r="C4410" t="str">
        <f t="shared" si="209"/>
        <v>ffdfd3c0</v>
      </c>
      <c r="D4410" t="s">
        <v>111</v>
      </c>
      <c r="E4410">
        <v>18</v>
      </c>
      <c r="F4410">
        <v>1018</v>
      </c>
      <c r="G4410" t="s">
        <v>112</v>
      </c>
      <c r="J4410" t="s">
        <v>113</v>
      </c>
      <c r="K4410">
        <v>0</v>
      </c>
      <c r="L4410">
        <v>3</v>
      </c>
      <c r="M4410">
        <v>0</v>
      </c>
      <c r="N4410">
        <v>2</v>
      </c>
      <c r="O4410">
        <v>1</v>
      </c>
      <c r="P4410">
        <v>0</v>
      </c>
      <c r="Q4410">
        <v>0</v>
      </c>
      <c r="R4410" t="s">
        <v>114</v>
      </c>
      <c r="S4410" t="str">
        <f>"19:50:12.406"</f>
        <v>19:50:12.406</v>
      </c>
      <c r="T4410" t="str">
        <f>"19:50:12.109"</f>
        <v>19:50:12.109</v>
      </c>
      <c r="U4410" t="str">
        <f t="shared" si="206"/>
        <v>a1cdbe</v>
      </c>
      <c r="V4410">
        <v>0</v>
      </c>
      <c r="W4410">
        <v>0</v>
      </c>
      <c r="X4410">
        <v>2</v>
      </c>
      <c r="Y4410">
        <v>0</v>
      </c>
      <c r="Z4410">
        <v>0</v>
      </c>
      <c r="AB4410">
        <v>0</v>
      </c>
      <c r="AC4410">
        <v>9</v>
      </c>
      <c r="AD4410">
        <v>3</v>
      </c>
      <c r="AE4410">
        <v>0</v>
      </c>
      <c r="AF4410">
        <v>9</v>
      </c>
      <c r="AG4410" t="s">
        <v>115</v>
      </c>
      <c r="AH4410">
        <v>0</v>
      </c>
      <c r="AI4410">
        <v>0</v>
      </c>
      <c r="AJ4410">
        <v>1</v>
      </c>
      <c r="AK4410">
        <v>0</v>
      </c>
      <c r="AL4410" t="s">
        <v>7739</v>
      </c>
      <c r="AM4410">
        <v>47.059443000000002</v>
      </c>
      <c r="AN4410" t="s">
        <v>7982</v>
      </c>
      <c r="AO4410">
        <v>-124.03234</v>
      </c>
      <c r="AP4410">
        <v>100</v>
      </c>
      <c r="AQ4410">
        <v>400</v>
      </c>
      <c r="AR4410" t="s">
        <v>118</v>
      </c>
      <c r="AS4410">
        <v>-74</v>
      </c>
      <c r="AT4410">
        <v>-6</v>
      </c>
      <c r="AU4410">
        <v>448</v>
      </c>
      <c r="BC4410">
        <v>1200</v>
      </c>
      <c r="BD4410">
        <v>1</v>
      </c>
      <c r="BE4410" t="str">
        <f t="shared" si="207"/>
        <v xml:space="preserve">N215T   </v>
      </c>
      <c r="BF4410">
        <v>1</v>
      </c>
      <c r="BH4410">
        <v>0</v>
      </c>
      <c r="BI4410">
        <v>0</v>
      </c>
      <c r="BJ4410">
        <v>0</v>
      </c>
      <c r="BK4410">
        <v>750</v>
      </c>
      <c r="BL4410">
        <v>350</v>
      </c>
      <c r="BM4410" t="s">
        <v>119</v>
      </c>
      <c r="BN4410">
        <v>1</v>
      </c>
      <c r="BO4410">
        <v>1</v>
      </c>
      <c r="BP4410">
        <v>1</v>
      </c>
      <c r="BQ4410">
        <v>0</v>
      </c>
      <c r="BT4410">
        <v>0</v>
      </c>
      <c r="BU4410">
        <v>0</v>
      </c>
      <c r="BV4410">
        <v>0</v>
      </c>
      <c r="CC4410" t="str">
        <f>"19:50:12.406"</f>
        <v>19:50:12.406</v>
      </c>
      <c r="CD4410" t="str">
        <f>"407529989"</f>
        <v>407529989</v>
      </c>
      <c r="CQ4410">
        <v>0</v>
      </c>
      <c r="CR4410">
        <v>2</v>
      </c>
      <c r="CS4410">
        <v>0</v>
      </c>
      <c r="CT4410">
        <v>2</v>
      </c>
      <c r="CU4410">
        <v>0</v>
      </c>
      <c r="CV4410">
        <v>4</v>
      </c>
      <c r="CW4410" t="s">
        <v>120</v>
      </c>
      <c r="CX4410">
        <v>257</v>
      </c>
      <c r="CY4410">
        <v>0</v>
      </c>
      <c r="CZ4410" t="s">
        <v>615</v>
      </c>
      <c r="DA4410" t="s">
        <v>616</v>
      </c>
      <c r="DD4410">
        <v>23199</v>
      </c>
      <c r="DE4410" t="s">
        <v>123</v>
      </c>
    </row>
    <row r="4411" spans="1:109" x14ac:dyDescent="0.3">
      <c r="A4411" t="str">
        <f>"19:50:13.625"</f>
        <v>19:50:13.625</v>
      </c>
      <c r="B4411" t="s">
        <v>110</v>
      </c>
      <c r="C4411" t="str">
        <f t="shared" si="209"/>
        <v>ffdfd3c0</v>
      </c>
      <c r="D4411" t="s">
        <v>111</v>
      </c>
      <c r="E4411">
        <v>18</v>
      </c>
      <c r="F4411">
        <v>1018</v>
      </c>
      <c r="G4411" t="s">
        <v>112</v>
      </c>
      <c r="J4411" t="s">
        <v>113</v>
      </c>
      <c r="K4411">
        <v>0</v>
      </c>
      <c r="L4411">
        <v>3</v>
      </c>
      <c r="M4411">
        <v>0</v>
      </c>
      <c r="N4411">
        <v>2</v>
      </c>
      <c r="O4411">
        <v>1</v>
      </c>
      <c r="P4411">
        <v>0</v>
      </c>
      <c r="Q4411">
        <v>0</v>
      </c>
      <c r="R4411" t="s">
        <v>114</v>
      </c>
      <c r="S4411" t="str">
        <f>"19:50:13.391"</f>
        <v>19:50:13.391</v>
      </c>
      <c r="T4411" t="str">
        <f>"19:50:13.094"</f>
        <v>19:50:13.094</v>
      </c>
      <c r="U4411" t="str">
        <f t="shared" si="206"/>
        <v>a1cdbe</v>
      </c>
      <c r="V4411">
        <v>0</v>
      </c>
      <c r="W4411">
        <v>0</v>
      </c>
      <c r="X4411">
        <v>2</v>
      </c>
      <c r="Y4411">
        <v>0</v>
      </c>
      <c r="Z4411">
        <v>0</v>
      </c>
      <c r="AB4411">
        <v>0</v>
      </c>
      <c r="AC4411">
        <v>9</v>
      </c>
      <c r="AD4411">
        <v>3</v>
      </c>
      <c r="AE4411">
        <v>0</v>
      </c>
      <c r="AF4411">
        <v>9</v>
      </c>
      <c r="AG4411" t="s">
        <v>115</v>
      </c>
      <c r="AH4411">
        <v>0</v>
      </c>
      <c r="AI4411">
        <v>0</v>
      </c>
      <c r="AJ4411">
        <v>1</v>
      </c>
      <c r="AK4411">
        <v>0</v>
      </c>
      <c r="AL4411" t="s">
        <v>7839</v>
      </c>
      <c r="AM4411">
        <v>47.059379</v>
      </c>
      <c r="AN4411" t="s">
        <v>7983</v>
      </c>
      <c r="AO4411">
        <v>-124.03283399999999</v>
      </c>
      <c r="AP4411">
        <v>100</v>
      </c>
      <c r="AQ4411">
        <v>400</v>
      </c>
      <c r="AR4411" t="s">
        <v>118</v>
      </c>
      <c r="AS4411">
        <v>-74</v>
      </c>
      <c r="AT4411">
        <v>-7</v>
      </c>
      <c r="AU4411">
        <v>320</v>
      </c>
      <c r="BC4411">
        <v>1200</v>
      </c>
      <c r="BD4411">
        <v>1</v>
      </c>
      <c r="BE4411" t="str">
        <f t="shared" si="207"/>
        <v xml:space="preserve">N215T   </v>
      </c>
      <c r="BF4411">
        <v>1</v>
      </c>
      <c r="BH4411">
        <v>0</v>
      </c>
      <c r="BI4411">
        <v>0</v>
      </c>
      <c r="BJ4411">
        <v>0</v>
      </c>
      <c r="BK4411">
        <v>750</v>
      </c>
      <c r="BL4411">
        <v>350</v>
      </c>
      <c r="BM4411" t="s">
        <v>119</v>
      </c>
      <c r="BN4411">
        <v>1</v>
      </c>
      <c r="BO4411">
        <v>1</v>
      </c>
      <c r="BP4411">
        <v>1</v>
      </c>
      <c r="BQ4411">
        <v>0</v>
      </c>
      <c r="BT4411">
        <v>0</v>
      </c>
      <c r="BU4411">
        <v>0</v>
      </c>
      <c r="BV4411">
        <v>0</v>
      </c>
      <c r="CC4411" t="str">
        <f>"19:50:13.398"</f>
        <v>19:50:13.398</v>
      </c>
      <c r="CD4411" t="str">
        <f>"397432469"</f>
        <v>397432469</v>
      </c>
      <c r="CQ4411">
        <v>0</v>
      </c>
      <c r="CR4411">
        <v>2</v>
      </c>
      <c r="CS4411">
        <v>0</v>
      </c>
      <c r="CT4411">
        <v>2</v>
      </c>
      <c r="CU4411">
        <v>0</v>
      </c>
      <c r="CV4411">
        <v>4</v>
      </c>
      <c r="CW4411" t="s">
        <v>120</v>
      </c>
      <c r="CX4411">
        <v>257</v>
      </c>
      <c r="CY4411">
        <v>0</v>
      </c>
      <c r="CZ4411" t="s">
        <v>615</v>
      </c>
      <c r="DA4411" t="s">
        <v>616</v>
      </c>
      <c r="DD4411">
        <v>23532</v>
      </c>
      <c r="DE4411" t="s">
        <v>123</v>
      </c>
    </row>
    <row r="4412" spans="1:109" x14ac:dyDescent="0.3">
      <c r="A4412" t="str">
        <f>"19:50:14.727"</f>
        <v>19:50:14.727</v>
      </c>
      <c r="B4412" t="s">
        <v>110</v>
      </c>
      <c r="C4412" t="str">
        <f t="shared" si="209"/>
        <v>ffdfd3c0</v>
      </c>
      <c r="D4412" t="s">
        <v>111</v>
      </c>
      <c r="E4412">
        <v>18</v>
      </c>
      <c r="F4412">
        <v>1018</v>
      </c>
      <c r="G4412" t="s">
        <v>112</v>
      </c>
      <c r="J4412" t="s">
        <v>113</v>
      </c>
      <c r="K4412">
        <v>0</v>
      </c>
      <c r="L4412">
        <v>3</v>
      </c>
      <c r="M4412">
        <v>0</v>
      </c>
      <c r="N4412">
        <v>2</v>
      </c>
      <c r="O4412">
        <v>1</v>
      </c>
      <c r="P4412">
        <v>0</v>
      </c>
      <c r="Q4412">
        <v>0</v>
      </c>
      <c r="R4412" t="s">
        <v>114</v>
      </c>
      <c r="S4412" t="str">
        <f>"19:50:14.445"</f>
        <v>19:50:14.445</v>
      </c>
      <c r="T4412" t="str">
        <f>"19:50:14.047"</f>
        <v>19:50:14.047</v>
      </c>
      <c r="U4412" t="str">
        <f t="shared" si="206"/>
        <v>a1cdbe</v>
      </c>
      <c r="V4412">
        <v>0</v>
      </c>
      <c r="W4412">
        <v>0</v>
      </c>
      <c r="X4412">
        <v>2</v>
      </c>
      <c r="Y4412">
        <v>0</v>
      </c>
      <c r="Z4412">
        <v>0</v>
      </c>
      <c r="AB4412">
        <v>0</v>
      </c>
      <c r="AC4412">
        <v>9</v>
      </c>
      <c r="AD4412">
        <v>3</v>
      </c>
      <c r="AE4412">
        <v>0</v>
      </c>
      <c r="AF4412">
        <v>9</v>
      </c>
      <c r="AG4412" t="s">
        <v>115</v>
      </c>
      <c r="AH4412">
        <v>0</v>
      </c>
      <c r="AI4412">
        <v>0</v>
      </c>
      <c r="AJ4412">
        <v>1</v>
      </c>
      <c r="AK4412">
        <v>0</v>
      </c>
      <c r="AL4412" t="s">
        <v>7365</v>
      </c>
      <c r="AM4412">
        <v>47.059336000000002</v>
      </c>
      <c r="AN4412" t="s">
        <v>7984</v>
      </c>
      <c r="AO4412">
        <v>-124.03337000000001</v>
      </c>
      <c r="AP4412">
        <v>100</v>
      </c>
      <c r="AQ4412">
        <v>400</v>
      </c>
      <c r="AR4412" t="s">
        <v>118</v>
      </c>
      <c r="AS4412">
        <v>-74</v>
      </c>
      <c r="AT4412">
        <v>-7</v>
      </c>
      <c r="AU4412">
        <v>640</v>
      </c>
      <c r="BC4412">
        <v>1200</v>
      </c>
      <c r="BD4412">
        <v>1</v>
      </c>
      <c r="BE4412" t="str">
        <f t="shared" si="207"/>
        <v xml:space="preserve">N215T   </v>
      </c>
      <c r="BF4412">
        <v>1</v>
      </c>
      <c r="BH4412">
        <v>0</v>
      </c>
      <c r="BI4412">
        <v>0</v>
      </c>
      <c r="BJ4412">
        <v>0</v>
      </c>
      <c r="BK4412">
        <v>750</v>
      </c>
      <c r="BL4412">
        <v>350</v>
      </c>
      <c r="BM4412" t="s">
        <v>119</v>
      </c>
      <c r="BN4412">
        <v>1</v>
      </c>
      <c r="BO4412">
        <v>1</v>
      </c>
      <c r="BP4412">
        <v>1</v>
      </c>
      <c r="BQ4412">
        <v>0</v>
      </c>
      <c r="BT4412">
        <v>0</v>
      </c>
      <c r="BU4412">
        <v>0</v>
      </c>
      <c r="BV4412">
        <v>0</v>
      </c>
      <c r="CC4412" t="str">
        <f>"19:50:14.445"</f>
        <v>19:50:14.445</v>
      </c>
      <c r="CD4412" t="str">
        <f>"447329006"</f>
        <v>447329006</v>
      </c>
      <c r="CQ4412">
        <v>0</v>
      </c>
      <c r="CR4412">
        <v>2</v>
      </c>
      <c r="CS4412">
        <v>0</v>
      </c>
      <c r="CT4412">
        <v>2</v>
      </c>
      <c r="CU4412">
        <v>0</v>
      </c>
      <c r="CV4412">
        <v>4</v>
      </c>
      <c r="CW4412" t="s">
        <v>120</v>
      </c>
      <c r="CX4412">
        <v>257</v>
      </c>
      <c r="CY4412">
        <v>0</v>
      </c>
      <c r="CZ4412" t="s">
        <v>615</v>
      </c>
      <c r="DA4412" t="s">
        <v>616</v>
      </c>
      <c r="DD4412">
        <v>23854</v>
      </c>
      <c r="DE4412" t="s">
        <v>123</v>
      </c>
    </row>
    <row r="4413" spans="1:109" x14ac:dyDescent="0.3">
      <c r="A4413" t="str">
        <f>"19:50:15.531"</f>
        <v>19:50:15.531</v>
      </c>
      <c r="B4413" t="s">
        <v>110</v>
      </c>
      <c r="C4413" t="str">
        <f t="shared" si="209"/>
        <v>ffdfd3c0</v>
      </c>
      <c r="D4413" t="s">
        <v>111</v>
      </c>
      <c r="E4413">
        <v>18</v>
      </c>
      <c r="F4413">
        <v>1018</v>
      </c>
      <c r="G4413" t="s">
        <v>112</v>
      </c>
      <c r="J4413" t="s">
        <v>113</v>
      </c>
      <c r="K4413">
        <v>0</v>
      </c>
      <c r="L4413">
        <v>3</v>
      </c>
      <c r="M4413">
        <v>0</v>
      </c>
      <c r="N4413">
        <v>2</v>
      </c>
      <c r="O4413">
        <v>1</v>
      </c>
      <c r="P4413">
        <v>0</v>
      </c>
      <c r="Q4413">
        <v>0</v>
      </c>
      <c r="R4413" t="s">
        <v>114</v>
      </c>
      <c r="S4413" t="str">
        <f>"19:50:15.266"</f>
        <v>19:50:15.266</v>
      </c>
      <c r="T4413" t="str">
        <f>"19:50:14.969"</f>
        <v>19:50:14.969</v>
      </c>
      <c r="U4413" t="str">
        <f t="shared" si="206"/>
        <v>a1cdbe</v>
      </c>
      <c r="V4413">
        <v>0</v>
      </c>
      <c r="W4413">
        <v>0</v>
      </c>
      <c r="X4413">
        <v>2</v>
      </c>
      <c r="Y4413">
        <v>0</v>
      </c>
      <c r="Z4413">
        <v>0</v>
      </c>
      <c r="AB4413">
        <v>0</v>
      </c>
      <c r="AC4413">
        <v>9</v>
      </c>
      <c r="AD4413">
        <v>3</v>
      </c>
      <c r="AE4413">
        <v>0</v>
      </c>
      <c r="AF4413">
        <v>9</v>
      </c>
      <c r="AG4413" t="s">
        <v>115</v>
      </c>
      <c r="AH4413">
        <v>0</v>
      </c>
      <c r="AI4413">
        <v>0</v>
      </c>
      <c r="AJ4413">
        <v>1</v>
      </c>
      <c r="AK4413">
        <v>0</v>
      </c>
      <c r="AL4413" t="s">
        <v>7365</v>
      </c>
      <c r="AM4413">
        <v>47.059336000000002</v>
      </c>
      <c r="AN4413" t="s">
        <v>7985</v>
      </c>
      <c r="AO4413">
        <v>-124.033799</v>
      </c>
      <c r="AP4413">
        <v>100</v>
      </c>
      <c r="AQ4413">
        <v>400</v>
      </c>
      <c r="AR4413" t="s">
        <v>118</v>
      </c>
      <c r="AS4413">
        <v>-74</v>
      </c>
      <c r="AT4413">
        <v>-7</v>
      </c>
      <c r="AU4413">
        <v>576</v>
      </c>
      <c r="BC4413">
        <v>1200</v>
      </c>
      <c r="BD4413">
        <v>1</v>
      </c>
      <c r="BE4413" t="str">
        <f t="shared" si="207"/>
        <v xml:space="preserve">N215T   </v>
      </c>
      <c r="BF4413">
        <v>1</v>
      </c>
      <c r="BH4413">
        <v>0</v>
      </c>
      <c r="BI4413">
        <v>0</v>
      </c>
      <c r="BJ4413">
        <v>0</v>
      </c>
      <c r="BK4413">
        <v>750</v>
      </c>
      <c r="BL4413">
        <v>350</v>
      </c>
      <c r="BM4413" t="s">
        <v>119</v>
      </c>
      <c r="BN4413">
        <v>1</v>
      </c>
      <c r="BO4413">
        <v>1</v>
      </c>
      <c r="BP4413">
        <v>1</v>
      </c>
      <c r="BQ4413">
        <v>0</v>
      </c>
      <c r="BT4413">
        <v>0</v>
      </c>
      <c r="BU4413">
        <v>0</v>
      </c>
      <c r="BV4413">
        <v>0</v>
      </c>
      <c r="CC4413" t="str">
        <f>"19:50:15.273"</f>
        <v>19:50:15.273</v>
      </c>
      <c r="CD4413" t="str">
        <f>"272247738"</f>
        <v>272247738</v>
      </c>
      <c r="CQ4413">
        <v>0</v>
      </c>
      <c r="CR4413">
        <v>2</v>
      </c>
      <c r="CS4413">
        <v>0</v>
      </c>
      <c r="CT4413">
        <v>2</v>
      </c>
      <c r="CU4413">
        <v>0</v>
      </c>
      <c r="CV4413">
        <v>4</v>
      </c>
      <c r="CW4413" t="s">
        <v>120</v>
      </c>
      <c r="CX4413">
        <v>257</v>
      </c>
      <c r="CY4413">
        <v>0</v>
      </c>
      <c r="CZ4413" t="s">
        <v>615</v>
      </c>
      <c r="DA4413" t="s">
        <v>616</v>
      </c>
      <c r="DD4413">
        <v>24107</v>
      </c>
      <c r="DE4413" t="s">
        <v>123</v>
      </c>
    </row>
    <row r="4414" spans="1:109" x14ac:dyDescent="0.3">
      <c r="A4414" t="str">
        <f>"19:50:16.531"</f>
        <v>19:50:16.531</v>
      </c>
      <c r="B4414" t="s">
        <v>110</v>
      </c>
      <c r="C4414" t="str">
        <f t="shared" si="209"/>
        <v>ffdfd3c0</v>
      </c>
      <c r="D4414" t="s">
        <v>111</v>
      </c>
      <c r="E4414">
        <v>18</v>
      </c>
      <c r="F4414">
        <v>1018</v>
      </c>
      <c r="G4414" t="s">
        <v>112</v>
      </c>
      <c r="J4414" t="s">
        <v>113</v>
      </c>
      <c r="K4414">
        <v>0</v>
      </c>
      <c r="L4414">
        <v>3</v>
      </c>
      <c r="M4414">
        <v>0</v>
      </c>
      <c r="N4414">
        <v>2</v>
      </c>
      <c r="O4414">
        <v>1</v>
      </c>
      <c r="P4414">
        <v>0</v>
      </c>
      <c r="Q4414">
        <v>0</v>
      </c>
      <c r="R4414" t="s">
        <v>114</v>
      </c>
      <c r="S4414" t="str">
        <f>"19:50:16.289"</f>
        <v>19:50:16.289</v>
      </c>
      <c r="T4414" t="str">
        <f>"19:50:15.391"</f>
        <v>19:50:15.391</v>
      </c>
      <c r="U4414" t="str">
        <f t="shared" si="206"/>
        <v>a1cdbe</v>
      </c>
      <c r="V4414">
        <v>0</v>
      </c>
      <c r="W4414">
        <v>0</v>
      </c>
      <c r="X4414">
        <v>2</v>
      </c>
      <c r="Y4414">
        <v>0</v>
      </c>
      <c r="Z4414">
        <v>0</v>
      </c>
      <c r="AB4414">
        <v>0</v>
      </c>
      <c r="AC4414">
        <v>9</v>
      </c>
      <c r="AD4414">
        <v>3</v>
      </c>
      <c r="AE4414">
        <v>0</v>
      </c>
      <c r="AF4414">
        <v>9</v>
      </c>
      <c r="AG4414" t="s">
        <v>115</v>
      </c>
      <c r="AH4414">
        <v>0</v>
      </c>
      <c r="AI4414">
        <v>0</v>
      </c>
      <c r="AJ4414">
        <v>1</v>
      </c>
      <c r="AK4414">
        <v>0</v>
      </c>
      <c r="AL4414" t="s">
        <v>7674</v>
      </c>
      <c r="AM4414">
        <v>47.059292999999997</v>
      </c>
      <c r="AN4414" t="s">
        <v>7986</v>
      </c>
      <c r="AO4414">
        <v>-124.034228</v>
      </c>
      <c r="AP4414">
        <v>100</v>
      </c>
      <c r="AQ4414">
        <v>400</v>
      </c>
      <c r="AR4414" t="s">
        <v>118</v>
      </c>
      <c r="AS4414">
        <v>-74</v>
      </c>
      <c r="AT4414">
        <v>-7</v>
      </c>
      <c r="AU4414">
        <v>640</v>
      </c>
      <c r="BC4414">
        <v>1200</v>
      </c>
      <c r="BD4414">
        <v>1</v>
      </c>
      <c r="BE4414" t="str">
        <f t="shared" si="207"/>
        <v xml:space="preserve">N215T   </v>
      </c>
      <c r="BF4414">
        <v>1</v>
      </c>
      <c r="BH4414">
        <v>0</v>
      </c>
      <c r="BI4414">
        <v>0</v>
      </c>
      <c r="BJ4414">
        <v>0</v>
      </c>
      <c r="BK4414">
        <v>775</v>
      </c>
      <c r="BL4414">
        <v>375</v>
      </c>
      <c r="BM4414" t="s">
        <v>119</v>
      </c>
      <c r="BN4414">
        <v>1</v>
      </c>
      <c r="BO4414">
        <v>1</v>
      </c>
      <c r="BP4414">
        <v>1</v>
      </c>
      <c r="BQ4414">
        <v>0</v>
      </c>
      <c r="BT4414">
        <v>0</v>
      </c>
      <c r="BU4414">
        <v>0</v>
      </c>
      <c r="BV4414">
        <v>0</v>
      </c>
      <c r="CC4414" t="str">
        <f>"19:50:16.289"</f>
        <v>19:50:16.289</v>
      </c>
      <c r="CD4414" t="str">
        <f>"292147247"</f>
        <v>292147247</v>
      </c>
      <c r="CQ4414">
        <v>0</v>
      </c>
      <c r="CR4414">
        <v>2</v>
      </c>
      <c r="CS4414">
        <v>0</v>
      </c>
      <c r="CT4414">
        <v>2</v>
      </c>
      <c r="CU4414">
        <v>0</v>
      </c>
      <c r="CV4414">
        <v>3</v>
      </c>
      <c r="CW4414" t="s">
        <v>120</v>
      </c>
      <c r="CX4414">
        <v>257</v>
      </c>
      <c r="CY4414">
        <v>0</v>
      </c>
      <c r="CZ4414" t="s">
        <v>615</v>
      </c>
      <c r="DA4414" t="s">
        <v>616</v>
      </c>
      <c r="DD4414">
        <v>24425</v>
      </c>
      <c r="DE4414" t="s">
        <v>123</v>
      </c>
    </row>
    <row r="4415" spans="1:109" x14ac:dyDescent="0.3">
      <c r="A4415" t="str">
        <f>"19:50:17.484"</f>
        <v>19:50:17.484</v>
      </c>
      <c r="B4415" t="s">
        <v>110</v>
      </c>
      <c r="C4415" t="str">
        <f t="shared" si="209"/>
        <v>ffdfd3c0</v>
      </c>
      <c r="D4415" t="s">
        <v>111</v>
      </c>
      <c r="E4415">
        <v>18</v>
      </c>
      <c r="F4415">
        <v>1018</v>
      </c>
      <c r="G4415" t="s">
        <v>112</v>
      </c>
      <c r="J4415" t="s">
        <v>113</v>
      </c>
      <c r="K4415">
        <v>0</v>
      </c>
      <c r="L4415">
        <v>3</v>
      </c>
      <c r="M4415">
        <v>0</v>
      </c>
      <c r="N4415">
        <v>2</v>
      </c>
      <c r="O4415">
        <v>1</v>
      </c>
      <c r="P4415">
        <v>0</v>
      </c>
      <c r="Q4415">
        <v>0</v>
      </c>
      <c r="R4415" t="s">
        <v>114</v>
      </c>
      <c r="S4415" t="str">
        <f>"19:50:17.266"</f>
        <v>19:50:17.266</v>
      </c>
      <c r="T4415" t="str">
        <f>"19:50:16.969"</f>
        <v>19:50:16.969</v>
      </c>
      <c r="U4415" t="str">
        <f t="shared" si="206"/>
        <v>a1cdbe</v>
      </c>
      <c r="V4415">
        <v>0</v>
      </c>
      <c r="W4415">
        <v>0</v>
      </c>
      <c r="X4415">
        <v>2</v>
      </c>
      <c r="Y4415">
        <v>0</v>
      </c>
      <c r="Z4415">
        <v>0</v>
      </c>
      <c r="AB4415">
        <v>0</v>
      </c>
      <c r="AC4415">
        <v>9</v>
      </c>
      <c r="AD4415">
        <v>3</v>
      </c>
      <c r="AE4415">
        <v>0</v>
      </c>
      <c r="AF4415">
        <v>9</v>
      </c>
      <c r="AG4415" t="s">
        <v>115</v>
      </c>
      <c r="AH4415">
        <v>0</v>
      </c>
      <c r="AI4415">
        <v>0</v>
      </c>
      <c r="AJ4415">
        <v>1</v>
      </c>
      <c r="AK4415">
        <v>0</v>
      </c>
      <c r="AL4415" t="s">
        <v>7674</v>
      </c>
      <c r="AM4415">
        <v>47.059292999999997</v>
      </c>
      <c r="AN4415" t="s">
        <v>7987</v>
      </c>
      <c r="AO4415">
        <v>-124.03474300000001</v>
      </c>
      <c r="AP4415">
        <v>100</v>
      </c>
      <c r="AQ4415">
        <v>400</v>
      </c>
      <c r="AR4415" t="s">
        <v>118</v>
      </c>
      <c r="AS4415">
        <v>-71</v>
      </c>
      <c r="AT4415">
        <v>-5</v>
      </c>
      <c r="AU4415">
        <v>1088</v>
      </c>
      <c r="BC4415">
        <v>1200</v>
      </c>
      <c r="BD4415">
        <v>1</v>
      </c>
      <c r="BE4415" t="str">
        <f t="shared" si="207"/>
        <v xml:space="preserve">N215T   </v>
      </c>
      <c r="BF4415">
        <v>1</v>
      </c>
      <c r="BH4415">
        <v>0</v>
      </c>
      <c r="BI4415">
        <v>0</v>
      </c>
      <c r="BJ4415">
        <v>0</v>
      </c>
      <c r="BK4415">
        <v>775</v>
      </c>
      <c r="BL4415">
        <v>375</v>
      </c>
      <c r="BM4415" t="s">
        <v>119</v>
      </c>
      <c r="BN4415">
        <v>1</v>
      </c>
      <c r="BO4415">
        <v>1</v>
      </c>
      <c r="BP4415">
        <v>1</v>
      </c>
      <c r="BQ4415">
        <v>0</v>
      </c>
      <c r="BT4415">
        <v>0</v>
      </c>
      <c r="BU4415">
        <v>0</v>
      </c>
      <c r="BV4415">
        <v>0</v>
      </c>
      <c r="CC4415" t="str">
        <f>"19:50:17.266"</f>
        <v>19:50:17.266</v>
      </c>
      <c r="CD4415" t="str">
        <f>"267051184"</f>
        <v>267051184</v>
      </c>
      <c r="CQ4415">
        <v>0</v>
      </c>
      <c r="CR4415">
        <v>2</v>
      </c>
      <c r="CS4415">
        <v>0</v>
      </c>
      <c r="CT4415">
        <v>2</v>
      </c>
      <c r="CU4415">
        <v>0</v>
      </c>
      <c r="CV4415">
        <v>4</v>
      </c>
      <c r="CW4415" t="s">
        <v>120</v>
      </c>
      <c r="CX4415">
        <v>257</v>
      </c>
      <c r="CY4415">
        <v>0</v>
      </c>
      <c r="CZ4415" t="s">
        <v>615</v>
      </c>
      <c r="DA4415" t="s">
        <v>616</v>
      </c>
      <c r="DD4415">
        <v>24721</v>
      </c>
      <c r="DE4415" t="s">
        <v>123</v>
      </c>
    </row>
    <row r="4416" spans="1:109" x14ac:dyDescent="0.3">
      <c r="A4416" t="str">
        <f>"19:50:18.547"</f>
        <v>19:50:18.547</v>
      </c>
      <c r="B4416" t="s">
        <v>110</v>
      </c>
      <c r="C4416" t="str">
        <f t="shared" si="209"/>
        <v>ffdfd3c0</v>
      </c>
      <c r="D4416" t="s">
        <v>111</v>
      </c>
      <c r="E4416">
        <v>18</v>
      </c>
      <c r="F4416">
        <v>1018</v>
      </c>
      <c r="G4416" t="s">
        <v>112</v>
      </c>
      <c r="J4416" t="s">
        <v>113</v>
      </c>
      <c r="K4416">
        <v>0</v>
      </c>
      <c r="L4416">
        <v>3</v>
      </c>
      <c r="M4416">
        <v>0</v>
      </c>
      <c r="N4416">
        <v>2</v>
      </c>
      <c r="O4416">
        <v>1</v>
      </c>
      <c r="P4416">
        <v>0</v>
      </c>
      <c r="Q4416">
        <v>0</v>
      </c>
      <c r="R4416" t="s">
        <v>114</v>
      </c>
      <c r="S4416" t="str">
        <f>"19:50:18.297"</f>
        <v>19:50:18.297</v>
      </c>
      <c r="T4416" t="str">
        <f>"19:50:17.898"</f>
        <v>19:50:17.898</v>
      </c>
      <c r="U4416" t="str">
        <f t="shared" si="206"/>
        <v>a1cdbe</v>
      </c>
      <c r="V4416">
        <v>0</v>
      </c>
      <c r="W4416">
        <v>0</v>
      </c>
      <c r="X4416">
        <v>2</v>
      </c>
      <c r="Y4416">
        <v>0</v>
      </c>
      <c r="Z4416">
        <v>0</v>
      </c>
      <c r="AB4416">
        <v>0</v>
      </c>
      <c r="AC4416">
        <v>9</v>
      </c>
      <c r="AD4416">
        <v>3</v>
      </c>
      <c r="AE4416">
        <v>0</v>
      </c>
      <c r="AF4416">
        <v>9</v>
      </c>
      <c r="AG4416" t="s">
        <v>115</v>
      </c>
      <c r="AH4416">
        <v>0</v>
      </c>
      <c r="AI4416">
        <v>0</v>
      </c>
      <c r="AJ4416">
        <v>1</v>
      </c>
      <c r="AK4416">
        <v>0</v>
      </c>
      <c r="AL4416" t="s">
        <v>7988</v>
      </c>
      <c r="AM4416">
        <v>47.059227999999997</v>
      </c>
      <c r="AN4416" t="s">
        <v>7989</v>
      </c>
      <c r="AO4416">
        <v>-124.03521499999999</v>
      </c>
      <c r="AP4416">
        <v>100</v>
      </c>
      <c r="AQ4416">
        <v>400</v>
      </c>
      <c r="AR4416" t="s">
        <v>118</v>
      </c>
      <c r="AS4416">
        <v>-70</v>
      </c>
      <c r="AT4416">
        <v>-5</v>
      </c>
      <c r="AU4416">
        <v>1280</v>
      </c>
      <c r="BC4416">
        <v>1200</v>
      </c>
      <c r="BD4416">
        <v>1</v>
      </c>
      <c r="BE4416" t="str">
        <f t="shared" si="207"/>
        <v xml:space="preserve">N215T   </v>
      </c>
      <c r="BF4416">
        <v>1</v>
      </c>
      <c r="BH4416">
        <v>0</v>
      </c>
      <c r="BI4416">
        <v>0</v>
      </c>
      <c r="BJ4416">
        <v>0</v>
      </c>
      <c r="BK4416">
        <v>800</v>
      </c>
      <c r="BL4416">
        <v>400</v>
      </c>
      <c r="BM4416" t="s">
        <v>119</v>
      </c>
      <c r="BN4416">
        <v>1</v>
      </c>
      <c r="BO4416">
        <v>1</v>
      </c>
      <c r="BP4416">
        <v>1</v>
      </c>
      <c r="BQ4416">
        <v>0</v>
      </c>
      <c r="BT4416">
        <v>0</v>
      </c>
      <c r="BU4416">
        <v>0</v>
      </c>
      <c r="BV4416">
        <v>0</v>
      </c>
      <c r="CC4416" t="str">
        <f>"19:50:18.305"</f>
        <v>19:50:18.305</v>
      </c>
      <c r="CD4416" t="str">
        <f>"301949261"</f>
        <v>301949261</v>
      </c>
      <c r="CQ4416">
        <v>0</v>
      </c>
      <c r="CR4416">
        <v>2</v>
      </c>
      <c r="CS4416">
        <v>0</v>
      </c>
      <c r="CT4416">
        <v>2</v>
      </c>
      <c r="CU4416">
        <v>0</v>
      </c>
      <c r="CV4416">
        <v>2</v>
      </c>
      <c r="CW4416" t="s">
        <v>120</v>
      </c>
      <c r="CX4416">
        <v>257</v>
      </c>
      <c r="CY4416">
        <v>0</v>
      </c>
      <c r="CZ4416" t="s">
        <v>615</v>
      </c>
      <c r="DA4416" t="s">
        <v>616</v>
      </c>
      <c r="DD4416">
        <v>25043</v>
      </c>
      <c r="DE4416" t="s">
        <v>123</v>
      </c>
    </row>
    <row r="4417" spans="1:109" x14ac:dyDescent="0.3">
      <c r="A4417" t="str">
        <f>"19:50:19.648"</f>
        <v>19:50:19.648</v>
      </c>
      <c r="B4417" t="s">
        <v>110</v>
      </c>
      <c r="C4417" t="str">
        <f t="shared" si="209"/>
        <v>ffdfd3c0</v>
      </c>
      <c r="D4417" t="s">
        <v>111</v>
      </c>
      <c r="E4417">
        <v>18</v>
      </c>
      <c r="F4417">
        <v>1018</v>
      </c>
      <c r="G4417" t="s">
        <v>112</v>
      </c>
      <c r="J4417" t="s">
        <v>113</v>
      </c>
      <c r="K4417">
        <v>0</v>
      </c>
      <c r="L4417">
        <v>3</v>
      </c>
      <c r="M4417">
        <v>0</v>
      </c>
      <c r="N4417">
        <v>2</v>
      </c>
      <c r="O4417">
        <v>1</v>
      </c>
      <c r="P4417">
        <v>0</v>
      </c>
      <c r="Q4417">
        <v>0</v>
      </c>
      <c r="R4417" t="s">
        <v>114</v>
      </c>
      <c r="S4417" t="str">
        <f>"19:50:19.375"</f>
        <v>19:50:19.375</v>
      </c>
      <c r="T4417" t="str">
        <f>"19:50:18.875"</f>
        <v>19:50:18.875</v>
      </c>
      <c r="U4417" t="str">
        <f t="shared" si="206"/>
        <v>a1cdbe</v>
      </c>
      <c r="V4417">
        <v>0</v>
      </c>
      <c r="W4417">
        <v>0</v>
      </c>
      <c r="X4417">
        <v>2</v>
      </c>
      <c r="Y4417">
        <v>0</v>
      </c>
      <c r="Z4417">
        <v>0</v>
      </c>
      <c r="AB4417">
        <v>0</v>
      </c>
      <c r="AC4417">
        <v>9</v>
      </c>
      <c r="AD4417">
        <v>3</v>
      </c>
      <c r="AE4417">
        <v>0</v>
      </c>
      <c r="AF4417">
        <v>9</v>
      </c>
      <c r="AG4417" t="s">
        <v>115</v>
      </c>
      <c r="AH4417">
        <v>0</v>
      </c>
      <c r="AI4417">
        <v>0</v>
      </c>
      <c r="AJ4417">
        <v>1</v>
      </c>
      <c r="AK4417">
        <v>0</v>
      </c>
      <c r="AL4417" t="s">
        <v>7988</v>
      </c>
      <c r="AM4417">
        <v>47.059227999999997</v>
      </c>
      <c r="AN4417" t="s">
        <v>7990</v>
      </c>
      <c r="AO4417">
        <v>-124.035709</v>
      </c>
      <c r="AP4417">
        <v>100</v>
      </c>
      <c r="AQ4417">
        <v>500</v>
      </c>
      <c r="AR4417" t="s">
        <v>118</v>
      </c>
      <c r="AS4417">
        <v>-68</v>
      </c>
      <c r="AT4417">
        <v>-5</v>
      </c>
      <c r="AU4417">
        <v>1216</v>
      </c>
      <c r="BC4417">
        <v>1200</v>
      </c>
      <c r="BD4417">
        <v>1</v>
      </c>
      <c r="BE4417" t="str">
        <f t="shared" si="207"/>
        <v xml:space="preserve">N215T   </v>
      </c>
      <c r="BF4417">
        <v>1</v>
      </c>
      <c r="BH4417">
        <v>0</v>
      </c>
      <c r="BI4417">
        <v>0</v>
      </c>
      <c r="BJ4417">
        <v>0</v>
      </c>
      <c r="BK4417">
        <v>725</v>
      </c>
      <c r="BL4417">
        <v>225</v>
      </c>
      <c r="BM4417" t="s">
        <v>119</v>
      </c>
      <c r="BN4417">
        <v>1</v>
      </c>
      <c r="BO4417">
        <v>1</v>
      </c>
      <c r="BP4417">
        <v>1</v>
      </c>
      <c r="BQ4417">
        <v>0</v>
      </c>
      <c r="BT4417">
        <v>0</v>
      </c>
      <c r="BU4417">
        <v>0</v>
      </c>
      <c r="BV4417">
        <v>0</v>
      </c>
      <c r="CC4417" t="str">
        <f>"19:50:19.383"</f>
        <v>19:50:19.383</v>
      </c>
      <c r="CD4417" t="str">
        <f>"381842780"</f>
        <v>381842780</v>
      </c>
      <c r="CQ4417">
        <v>0</v>
      </c>
      <c r="CR4417">
        <v>2</v>
      </c>
      <c r="CS4417">
        <v>0</v>
      </c>
      <c r="CT4417">
        <v>2</v>
      </c>
      <c r="CU4417">
        <v>0</v>
      </c>
      <c r="CV4417">
        <v>3</v>
      </c>
      <c r="CW4417" t="s">
        <v>120</v>
      </c>
      <c r="CX4417">
        <v>257</v>
      </c>
      <c r="CY4417">
        <v>0</v>
      </c>
      <c r="CZ4417" t="s">
        <v>615</v>
      </c>
      <c r="DA4417" t="s">
        <v>616</v>
      </c>
      <c r="DD4417">
        <v>25350</v>
      </c>
      <c r="DE4417" t="s">
        <v>123</v>
      </c>
    </row>
    <row r="4418" spans="1:109" x14ac:dyDescent="0.3">
      <c r="A4418" t="str">
        <f>"19:50:20.656"</f>
        <v>19:50:20.656</v>
      </c>
      <c r="B4418" t="s">
        <v>110</v>
      </c>
      <c r="C4418" t="str">
        <f t="shared" si="209"/>
        <v>ffdfd3c0</v>
      </c>
      <c r="D4418" t="s">
        <v>111</v>
      </c>
      <c r="E4418">
        <v>18</v>
      </c>
      <c r="F4418">
        <v>1018</v>
      </c>
      <c r="G4418" t="s">
        <v>112</v>
      </c>
      <c r="J4418" t="s">
        <v>113</v>
      </c>
      <c r="K4418">
        <v>0</v>
      </c>
      <c r="L4418">
        <v>3</v>
      </c>
      <c r="M4418">
        <v>0</v>
      </c>
      <c r="N4418">
        <v>2</v>
      </c>
      <c r="O4418">
        <v>1</v>
      </c>
      <c r="P4418">
        <v>0</v>
      </c>
      <c r="Q4418">
        <v>0</v>
      </c>
      <c r="R4418" t="s">
        <v>114</v>
      </c>
      <c r="S4418" t="str">
        <f>"19:50:20.398"</f>
        <v>19:50:20.398</v>
      </c>
      <c r="T4418" t="str">
        <f>"19:50:18.898"</f>
        <v>19:50:18.898</v>
      </c>
      <c r="U4418" t="str">
        <f t="shared" ref="U4418:U4481" si="210">"a1cdbe"</f>
        <v>a1cdbe</v>
      </c>
      <c r="V4418">
        <v>0</v>
      </c>
      <c r="W4418">
        <v>0</v>
      </c>
      <c r="X4418">
        <v>2</v>
      </c>
      <c r="Y4418">
        <v>0</v>
      </c>
      <c r="Z4418">
        <v>0</v>
      </c>
      <c r="AB4418">
        <v>0</v>
      </c>
      <c r="AC4418">
        <v>9</v>
      </c>
      <c r="AD4418">
        <v>3</v>
      </c>
      <c r="AE4418">
        <v>0</v>
      </c>
      <c r="AF4418">
        <v>9</v>
      </c>
      <c r="AG4418" t="s">
        <v>115</v>
      </c>
      <c r="AH4418">
        <v>0</v>
      </c>
      <c r="AI4418">
        <v>0</v>
      </c>
      <c r="AJ4418">
        <v>1</v>
      </c>
      <c r="AK4418">
        <v>0</v>
      </c>
      <c r="AL4418" t="s">
        <v>514</v>
      </c>
      <c r="AM4418">
        <v>47.059207000000001</v>
      </c>
      <c r="AN4418" t="s">
        <v>7991</v>
      </c>
      <c r="AO4418">
        <v>-124.036202</v>
      </c>
      <c r="AP4418">
        <v>100</v>
      </c>
      <c r="AQ4418">
        <v>500</v>
      </c>
      <c r="AR4418" t="s">
        <v>118</v>
      </c>
      <c r="AS4418">
        <v>-68</v>
      </c>
      <c r="AT4418">
        <v>-5</v>
      </c>
      <c r="AU4418">
        <v>1216</v>
      </c>
      <c r="BC4418">
        <v>1200</v>
      </c>
      <c r="BD4418">
        <v>1</v>
      </c>
      <c r="BE4418" t="str">
        <f t="shared" ref="BE4418:BE4481" si="211">"N215T   "</f>
        <v xml:space="preserve">N215T   </v>
      </c>
      <c r="BF4418">
        <v>1</v>
      </c>
      <c r="BH4418">
        <v>0</v>
      </c>
      <c r="BI4418">
        <v>0</v>
      </c>
      <c r="BJ4418">
        <v>0</v>
      </c>
      <c r="BK4418">
        <v>725</v>
      </c>
      <c r="BL4418">
        <v>225</v>
      </c>
      <c r="BM4418" t="s">
        <v>119</v>
      </c>
      <c r="BN4418">
        <v>1</v>
      </c>
      <c r="BO4418">
        <v>1</v>
      </c>
      <c r="BP4418">
        <v>1</v>
      </c>
      <c r="BQ4418">
        <v>0</v>
      </c>
      <c r="BT4418">
        <v>0</v>
      </c>
      <c r="BU4418">
        <v>0</v>
      </c>
      <c r="BV4418">
        <v>0</v>
      </c>
      <c r="CC4418" t="str">
        <f>"19:50:20.398"</f>
        <v>19:50:20.398</v>
      </c>
      <c r="CD4418" t="str">
        <f>"401742318"</f>
        <v>401742318</v>
      </c>
      <c r="CQ4418">
        <v>0</v>
      </c>
      <c r="CR4418">
        <v>2</v>
      </c>
      <c r="CS4418">
        <v>0</v>
      </c>
      <c r="CT4418">
        <v>2</v>
      </c>
      <c r="CU4418">
        <v>0</v>
      </c>
      <c r="CV4418">
        <v>4</v>
      </c>
      <c r="CW4418" t="s">
        <v>120</v>
      </c>
      <c r="CX4418">
        <v>257</v>
      </c>
      <c r="CY4418">
        <v>0</v>
      </c>
      <c r="CZ4418" t="s">
        <v>615</v>
      </c>
      <c r="DA4418" t="s">
        <v>616</v>
      </c>
      <c r="DD4418">
        <v>25658</v>
      </c>
      <c r="DE4418" t="s">
        <v>123</v>
      </c>
    </row>
    <row r="4419" spans="1:109" x14ac:dyDescent="0.3">
      <c r="A4419" t="str">
        <f>"19:50:21.758"</f>
        <v>19:50:21.758</v>
      </c>
      <c r="B4419" t="s">
        <v>110</v>
      </c>
      <c r="C4419" t="str">
        <f t="shared" si="209"/>
        <v>ffdfd3c0</v>
      </c>
      <c r="D4419" t="s">
        <v>111</v>
      </c>
      <c r="E4419">
        <v>18</v>
      </c>
      <c r="F4419">
        <v>1018</v>
      </c>
      <c r="G4419" t="s">
        <v>112</v>
      </c>
      <c r="J4419" t="s">
        <v>113</v>
      </c>
      <c r="K4419">
        <v>0</v>
      </c>
      <c r="L4419">
        <v>3</v>
      </c>
      <c r="M4419">
        <v>0</v>
      </c>
      <c r="N4419">
        <v>2</v>
      </c>
      <c r="O4419">
        <v>1</v>
      </c>
      <c r="P4419">
        <v>0</v>
      </c>
      <c r="Q4419">
        <v>0</v>
      </c>
      <c r="R4419" t="s">
        <v>114</v>
      </c>
      <c r="S4419" t="str">
        <f>"19:50:21.477"</f>
        <v>19:50:21.477</v>
      </c>
      <c r="T4419" t="str">
        <f>"19:50:19.477"</f>
        <v>19:50:19.477</v>
      </c>
      <c r="U4419" t="str">
        <f t="shared" si="210"/>
        <v>a1cdbe</v>
      </c>
      <c r="V4419">
        <v>0</v>
      </c>
      <c r="W4419">
        <v>0</v>
      </c>
      <c r="X4419">
        <v>2</v>
      </c>
      <c r="Y4419">
        <v>0</v>
      </c>
      <c r="Z4419">
        <v>0</v>
      </c>
      <c r="AB4419">
        <v>0</v>
      </c>
      <c r="AC4419">
        <v>9</v>
      </c>
      <c r="AD4419">
        <v>3</v>
      </c>
      <c r="AE4419">
        <v>0</v>
      </c>
      <c r="AF4419">
        <v>9</v>
      </c>
      <c r="AG4419" t="s">
        <v>115</v>
      </c>
      <c r="AH4419">
        <v>0</v>
      </c>
      <c r="AI4419">
        <v>0</v>
      </c>
      <c r="AJ4419">
        <v>1</v>
      </c>
      <c r="AK4419">
        <v>0</v>
      </c>
      <c r="AL4419" t="s">
        <v>7992</v>
      </c>
      <c r="AM4419">
        <v>47.059185999999997</v>
      </c>
      <c r="AN4419" t="s">
        <v>7993</v>
      </c>
      <c r="AO4419">
        <v>-124.036632</v>
      </c>
      <c r="AP4419">
        <v>100</v>
      </c>
      <c r="AQ4419">
        <v>500</v>
      </c>
      <c r="AR4419" t="s">
        <v>118</v>
      </c>
      <c r="AS4419">
        <v>-67</v>
      </c>
      <c r="AT4419">
        <v>-5</v>
      </c>
      <c r="AU4419">
        <v>1152</v>
      </c>
      <c r="BC4419">
        <v>1200</v>
      </c>
      <c r="BD4419">
        <v>1</v>
      </c>
      <c r="BE4419" t="str">
        <f t="shared" si="211"/>
        <v xml:space="preserve">N215T   </v>
      </c>
      <c r="BF4419">
        <v>1</v>
      </c>
      <c r="BH4419">
        <v>0</v>
      </c>
      <c r="BI4419">
        <v>0</v>
      </c>
      <c r="BJ4419">
        <v>0</v>
      </c>
      <c r="BK4419">
        <v>850</v>
      </c>
      <c r="BL4419">
        <v>350</v>
      </c>
      <c r="BM4419" t="s">
        <v>119</v>
      </c>
      <c r="BN4419">
        <v>1</v>
      </c>
      <c r="BO4419">
        <v>1</v>
      </c>
      <c r="BP4419">
        <v>1</v>
      </c>
      <c r="BQ4419">
        <v>0</v>
      </c>
      <c r="BT4419">
        <v>0</v>
      </c>
      <c r="BU4419">
        <v>0</v>
      </c>
      <c r="BV4419">
        <v>0</v>
      </c>
      <c r="CC4419" t="str">
        <f>"19:50:21.484"</f>
        <v>19:50:21.484</v>
      </c>
      <c r="CD4419" t="str">
        <f>"481635912"</f>
        <v>481635912</v>
      </c>
      <c r="CQ4419">
        <v>0</v>
      </c>
      <c r="CR4419">
        <v>2</v>
      </c>
      <c r="CS4419">
        <v>0</v>
      </c>
      <c r="CT4419">
        <v>2</v>
      </c>
      <c r="CU4419">
        <v>0</v>
      </c>
      <c r="CV4419">
        <v>2</v>
      </c>
      <c r="CW4419" t="s">
        <v>120</v>
      </c>
      <c r="CX4419">
        <v>257</v>
      </c>
      <c r="CY4419">
        <v>3</v>
      </c>
      <c r="CZ4419" t="s">
        <v>615</v>
      </c>
      <c r="DA4419" t="s">
        <v>616</v>
      </c>
      <c r="DD4419">
        <v>9513670</v>
      </c>
      <c r="DE4419" t="s">
        <v>123</v>
      </c>
    </row>
    <row r="4420" spans="1:109" x14ac:dyDescent="0.3">
      <c r="A4420" t="str">
        <f>"19:50:22.617"</f>
        <v>19:50:22.617</v>
      </c>
      <c r="B4420" t="s">
        <v>110</v>
      </c>
      <c r="C4420" t="str">
        <f t="shared" si="209"/>
        <v>ffdfd3c0</v>
      </c>
      <c r="D4420" t="s">
        <v>111</v>
      </c>
      <c r="E4420">
        <v>18</v>
      </c>
      <c r="F4420">
        <v>1018</v>
      </c>
      <c r="G4420" t="s">
        <v>112</v>
      </c>
      <c r="J4420" t="s">
        <v>113</v>
      </c>
      <c r="K4420">
        <v>0</v>
      </c>
      <c r="L4420">
        <v>3</v>
      </c>
      <c r="M4420">
        <v>0</v>
      </c>
      <c r="N4420">
        <v>2</v>
      </c>
      <c r="O4420">
        <v>1</v>
      </c>
      <c r="P4420">
        <v>0</v>
      </c>
      <c r="Q4420">
        <v>0</v>
      </c>
      <c r="R4420" t="s">
        <v>114</v>
      </c>
      <c r="S4420" t="str">
        <f>"19:50:22.391"</f>
        <v>19:50:22.391</v>
      </c>
      <c r="T4420" t="str">
        <f>"19:50:21.992"</f>
        <v>19:50:21.992</v>
      </c>
      <c r="U4420" t="str">
        <f t="shared" si="210"/>
        <v>a1cdbe</v>
      </c>
      <c r="V4420">
        <v>0</v>
      </c>
      <c r="W4420">
        <v>0</v>
      </c>
      <c r="X4420">
        <v>2</v>
      </c>
      <c r="Y4420">
        <v>0</v>
      </c>
      <c r="Z4420">
        <v>0</v>
      </c>
      <c r="AB4420">
        <v>0</v>
      </c>
      <c r="AC4420">
        <v>9</v>
      </c>
      <c r="AD4420">
        <v>3</v>
      </c>
      <c r="AE4420">
        <v>0</v>
      </c>
      <c r="AF4420">
        <v>9</v>
      </c>
      <c r="AG4420" t="s">
        <v>115</v>
      </c>
      <c r="AH4420">
        <v>0</v>
      </c>
      <c r="AI4420">
        <v>0</v>
      </c>
      <c r="AJ4420">
        <v>1</v>
      </c>
      <c r="AK4420">
        <v>0</v>
      </c>
      <c r="AL4420" t="s">
        <v>7994</v>
      </c>
      <c r="AM4420">
        <v>47.059164000000003</v>
      </c>
      <c r="AN4420" t="s">
        <v>7995</v>
      </c>
      <c r="AO4420">
        <v>-124.037082</v>
      </c>
      <c r="AP4420">
        <v>100</v>
      </c>
      <c r="AQ4420">
        <v>500</v>
      </c>
      <c r="AR4420" t="s">
        <v>118</v>
      </c>
      <c r="AS4420">
        <v>-65</v>
      </c>
      <c r="AT4420">
        <v>-5</v>
      </c>
      <c r="AU4420">
        <v>960</v>
      </c>
      <c r="BC4420">
        <v>1200</v>
      </c>
      <c r="BD4420">
        <v>1</v>
      </c>
      <c r="BE4420" t="str">
        <f t="shared" si="211"/>
        <v xml:space="preserve">N215T   </v>
      </c>
      <c r="BF4420">
        <v>1</v>
      </c>
      <c r="BH4420">
        <v>0</v>
      </c>
      <c r="BI4420">
        <v>0</v>
      </c>
      <c r="BJ4420">
        <v>0</v>
      </c>
      <c r="BK4420">
        <v>875</v>
      </c>
      <c r="BL4420">
        <v>375</v>
      </c>
      <c r="BM4420" t="s">
        <v>119</v>
      </c>
      <c r="BN4420">
        <v>1</v>
      </c>
      <c r="BO4420">
        <v>1</v>
      </c>
      <c r="BP4420">
        <v>1</v>
      </c>
      <c r="BQ4420">
        <v>0</v>
      </c>
      <c r="BT4420">
        <v>0</v>
      </c>
      <c r="BU4420">
        <v>0</v>
      </c>
      <c r="BV4420">
        <v>0</v>
      </c>
      <c r="CC4420" t="str">
        <f>"19:50:22.398"</f>
        <v>19:50:22.398</v>
      </c>
      <c r="CD4420" t="str">
        <f>"396545760"</f>
        <v>396545760</v>
      </c>
      <c r="CQ4420">
        <v>0</v>
      </c>
      <c r="CR4420">
        <v>2</v>
      </c>
      <c r="CS4420">
        <v>0</v>
      </c>
      <c r="CT4420">
        <v>2</v>
      </c>
      <c r="CU4420">
        <v>0</v>
      </c>
      <c r="CV4420">
        <v>5</v>
      </c>
      <c r="CW4420" t="s">
        <v>120</v>
      </c>
      <c r="CX4420">
        <v>257</v>
      </c>
      <c r="CY4420">
        <v>0</v>
      </c>
      <c r="CZ4420" t="s">
        <v>615</v>
      </c>
      <c r="DA4420" t="s">
        <v>616</v>
      </c>
      <c r="DD4420">
        <v>26256</v>
      </c>
      <c r="DE4420" t="s">
        <v>123</v>
      </c>
    </row>
    <row r="4421" spans="1:109" x14ac:dyDescent="0.3">
      <c r="A4421" t="str">
        <f>"19:50:23.523"</f>
        <v>19:50:23.523</v>
      </c>
      <c r="B4421" t="s">
        <v>110</v>
      </c>
      <c r="C4421" t="str">
        <f t="shared" si="209"/>
        <v>ffdfd3c0</v>
      </c>
      <c r="D4421" t="s">
        <v>111</v>
      </c>
      <c r="E4421">
        <v>18</v>
      </c>
      <c r="F4421">
        <v>1018</v>
      </c>
      <c r="G4421" t="s">
        <v>112</v>
      </c>
      <c r="J4421" t="s">
        <v>113</v>
      </c>
      <c r="K4421">
        <v>0</v>
      </c>
      <c r="L4421">
        <v>3</v>
      </c>
      <c r="M4421">
        <v>0</v>
      </c>
      <c r="N4421">
        <v>2</v>
      </c>
      <c r="O4421">
        <v>1</v>
      </c>
      <c r="P4421">
        <v>0</v>
      </c>
      <c r="Q4421">
        <v>0</v>
      </c>
      <c r="R4421" t="s">
        <v>114</v>
      </c>
      <c r="S4421" t="str">
        <f>"19:50:23.250"</f>
        <v>19:50:23.250</v>
      </c>
      <c r="T4421" t="str">
        <f>"19:50:22.953"</f>
        <v>19:50:22.953</v>
      </c>
      <c r="U4421" t="str">
        <f t="shared" si="210"/>
        <v>a1cdbe</v>
      </c>
      <c r="V4421">
        <v>0</v>
      </c>
      <c r="W4421">
        <v>0</v>
      </c>
      <c r="X4421">
        <v>2</v>
      </c>
      <c r="Y4421">
        <v>0</v>
      </c>
      <c r="Z4421">
        <v>0</v>
      </c>
      <c r="AB4421">
        <v>0</v>
      </c>
      <c r="AC4421">
        <v>9</v>
      </c>
      <c r="AD4421">
        <v>3</v>
      </c>
      <c r="AE4421">
        <v>0</v>
      </c>
      <c r="AF4421">
        <v>9</v>
      </c>
      <c r="AG4421" t="s">
        <v>115</v>
      </c>
      <c r="AH4421">
        <v>0</v>
      </c>
      <c r="AI4421">
        <v>0</v>
      </c>
      <c r="AJ4421">
        <v>1</v>
      </c>
      <c r="AK4421">
        <v>0</v>
      </c>
      <c r="AL4421" t="s">
        <v>7994</v>
      </c>
      <c r="AM4421">
        <v>47.059164000000003</v>
      </c>
      <c r="AN4421" t="s">
        <v>7996</v>
      </c>
      <c r="AO4421">
        <v>-124.037426</v>
      </c>
      <c r="AP4421">
        <v>100</v>
      </c>
      <c r="AQ4421">
        <v>500</v>
      </c>
      <c r="AR4421" t="s">
        <v>118</v>
      </c>
      <c r="AS4421">
        <v>-64</v>
      </c>
      <c r="AT4421">
        <v>-5</v>
      </c>
      <c r="AU4421">
        <v>960</v>
      </c>
      <c r="BC4421">
        <v>1200</v>
      </c>
      <c r="BD4421">
        <v>1</v>
      </c>
      <c r="BE4421" t="str">
        <f t="shared" si="211"/>
        <v xml:space="preserve">N215T   </v>
      </c>
      <c r="BF4421">
        <v>1</v>
      </c>
      <c r="BH4421">
        <v>0</v>
      </c>
      <c r="BI4421">
        <v>0</v>
      </c>
      <c r="BJ4421">
        <v>0</v>
      </c>
      <c r="BK4421">
        <v>900</v>
      </c>
      <c r="BL4421">
        <v>400</v>
      </c>
      <c r="BM4421" t="s">
        <v>119</v>
      </c>
      <c r="BN4421">
        <v>1</v>
      </c>
      <c r="BO4421">
        <v>1</v>
      </c>
      <c r="BP4421">
        <v>1</v>
      </c>
      <c r="BQ4421">
        <v>0</v>
      </c>
      <c r="BT4421">
        <v>0</v>
      </c>
      <c r="BU4421">
        <v>0</v>
      </c>
      <c r="BV4421">
        <v>0</v>
      </c>
      <c r="CC4421" t="str">
        <f>"19:50:23.250"</f>
        <v>19:50:23.250</v>
      </c>
      <c r="CD4421" t="str">
        <f>"251461533"</f>
        <v>251461533</v>
      </c>
      <c r="CQ4421">
        <v>0</v>
      </c>
      <c r="CR4421">
        <v>2</v>
      </c>
      <c r="CS4421">
        <v>0</v>
      </c>
      <c r="CT4421">
        <v>2</v>
      </c>
      <c r="CU4421">
        <v>0</v>
      </c>
      <c r="CV4421">
        <v>4</v>
      </c>
      <c r="CW4421" t="s">
        <v>120</v>
      </c>
      <c r="CX4421">
        <v>257</v>
      </c>
      <c r="CY4421">
        <v>0</v>
      </c>
      <c r="CZ4421" t="s">
        <v>615</v>
      </c>
      <c r="DA4421" t="s">
        <v>616</v>
      </c>
      <c r="DD4421">
        <v>26547</v>
      </c>
      <c r="DE4421" t="s">
        <v>123</v>
      </c>
    </row>
    <row r="4422" spans="1:109" x14ac:dyDescent="0.3">
      <c r="A4422" t="str">
        <f>"19:50:24.523"</f>
        <v>19:50:24.523</v>
      </c>
      <c r="B4422" t="s">
        <v>110</v>
      </c>
      <c r="C4422" t="str">
        <f t="shared" si="209"/>
        <v>ffdfd3c0</v>
      </c>
      <c r="D4422" t="s">
        <v>111</v>
      </c>
      <c r="E4422">
        <v>18</v>
      </c>
      <c r="F4422">
        <v>1018</v>
      </c>
      <c r="G4422" t="s">
        <v>112</v>
      </c>
      <c r="J4422" t="s">
        <v>113</v>
      </c>
      <c r="K4422">
        <v>0</v>
      </c>
      <c r="L4422">
        <v>3</v>
      </c>
      <c r="M4422">
        <v>0</v>
      </c>
      <c r="N4422">
        <v>2</v>
      </c>
      <c r="O4422">
        <v>1</v>
      </c>
      <c r="P4422">
        <v>0</v>
      </c>
      <c r="Q4422">
        <v>0</v>
      </c>
      <c r="R4422" t="s">
        <v>114</v>
      </c>
      <c r="S4422" t="str">
        <f>"19:50:24.281"</f>
        <v>19:50:24.281</v>
      </c>
      <c r="T4422" t="str">
        <f>"19:50:23.984"</f>
        <v>19:50:23.984</v>
      </c>
      <c r="U4422" t="str">
        <f t="shared" si="210"/>
        <v>a1cdbe</v>
      </c>
      <c r="V4422">
        <v>0</v>
      </c>
      <c r="W4422">
        <v>0</v>
      </c>
      <c r="X4422">
        <v>2</v>
      </c>
      <c r="Y4422">
        <v>0</v>
      </c>
      <c r="Z4422">
        <v>0</v>
      </c>
      <c r="AB4422">
        <v>0</v>
      </c>
      <c r="AC4422">
        <v>9</v>
      </c>
      <c r="AD4422">
        <v>3</v>
      </c>
      <c r="AE4422">
        <v>0</v>
      </c>
      <c r="AF4422">
        <v>9</v>
      </c>
      <c r="AG4422" t="s">
        <v>115</v>
      </c>
      <c r="AH4422">
        <v>0</v>
      </c>
      <c r="AI4422">
        <v>0</v>
      </c>
      <c r="AJ4422">
        <v>1</v>
      </c>
      <c r="AK4422">
        <v>0</v>
      </c>
      <c r="AL4422" t="s">
        <v>7361</v>
      </c>
      <c r="AM4422">
        <v>47.059100000000001</v>
      </c>
      <c r="AN4422" t="s">
        <v>7997</v>
      </c>
      <c r="AO4422">
        <v>-124.037898</v>
      </c>
      <c r="AP4422">
        <v>100</v>
      </c>
      <c r="AQ4422">
        <v>500</v>
      </c>
      <c r="AR4422" t="s">
        <v>118</v>
      </c>
      <c r="AS4422">
        <v>-64</v>
      </c>
      <c r="AT4422">
        <v>-5</v>
      </c>
      <c r="AU4422">
        <v>832</v>
      </c>
      <c r="BC4422">
        <v>1200</v>
      </c>
      <c r="BD4422">
        <v>1</v>
      </c>
      <c r="BE4422" t="str">
        <f t="shared" si="211"/>
        <v xml:space="preserve">N215T   </v>
      </c>
      <c r="BF4422">
        <v>1</v>
      </c>
      <c r="BH4422">
        <v>0</v>
      </c>
      <c r="BI4422">
        <v>0</v>
      </c>
      <c r="BJ4422">
        <v>0</v>
      </c>
      <c r="BK4422">
        <v>925</v>
      </c>
      <c r="BL4422">
        <v>425</v>
      </c>
      <c r="BM4422" t="s">
        <v>119</v>
      </c>
      <c r="BN4422">
        <v>1</v>
      </c>
      <c r="BO4422">
        <v>1</v>
      </c>
      <c r="BP4422">
        <v>1</v>
      </c>
      <c r="BQ4422">
        <v>0</v>
      </c>
      <c r="BT4422">
        <v>0</v>
      </c>
      <c r="BU4422">
        <v>0</v>
      </c>
      <c r="BV4422">
        <v>0</v>
      </c>
      <c r="CC4422" t="str">
        <f>"19:50:24.289"</f>
        <v>19:50:24.289</v>
      </c>
      <c r="CD4422" t="str">
        <f>"286359556"</f>
        <v>286359556</v>
      </c>
      <c r="CQ4422">
        <v>0</v>
      </c>
      <c r="CR4422">
        <v>2</v>
      </c>
      <c r="CS4422">
        <v>0</v>
      </c>
      <c r="CT4422">
        <v>2</v>
      </c>
      <c r="CU4422">
        <v>0</v>
      </c>
      <c r="CV4422">
        <v>4</v>
      </c>
      <c r="CW4422" t="s">
        <v>120</v>
      </c>
      <c r="CX4422">
        <v>257</v>
      </c>
      <c r="CY4422">
        <v>0</v>
      </c>
      <c r="CZ4422" t="s">
        <v>615</v>
      </c>
      <c r="DA4422" t="s">
        <v>616</v>
      </c>
      <c r="DD4422">
        <v>26883</v>
      </c>
      <c r="DE4422" t="s">
        <v>123</v>
      </c>
    </row>
    <row r="4423" spans="1:109" x14ac:dyDescent="0.3">
      <c r="A4423" t="str">
        <f>"19:50:25.633"</f>
        <v>19:50:25.633</v>
      </c>
      <c r="B4423" t="s">
        <v>110</v>
      </c>
      <c r="C4423" t="str">
        <f t="shared" si="209"/>
        <v>ffdfd3c0</v>
      </c>
      <c r="D4423" t="s">
        <v>111</v>
      </c>
      <c r="E4423">
        <v>18</v>
      </c>
      <c r="F4423">
        <v>1018</v>
      </c>
      <c r="G4423" t="s">
        <v>112</v>
      </c>
      <c r="J4423" t="s">
        <v>113</v>
      </c>
      <c r="K4423">
        <v>0</v>
      </c>
      <c r="L4423">
        <v>3</v>
      </c>
      <c r="M4423">
        <v>0</v>
      </c>
      <c r="N4423">
        <v>2</v>
      </c>
      <c r="O4423">
        <v>1</v>
      </c>
      <c r="P4423">
        <v>0</v>
      </c>
      <c r="Q4423">
        <v>0</v>
      </c>
      <c r="R4423" t="s">
        <v>114</v>
      </c>
      <c r="S4423" t="str">
        <f>"19:50:25.406"</f>
        <v>19:50:25.406</v>
      </c>
      <c r="T4423" t="str">
        <f>"19:50:25.008"</f>
        <v>19:50:25.008</v>
      </c>
      <c r="U4423" t="str">
        <f t="shared" si="210"/>
        <v>a1cdbe</v>
      </c>
      <c r="V4423">
        <v>0</v>
      </c>
      <c r="W4423">
        <v>0</v>
      </c>
      <c r="X4423">
        <v>2</v>
      </c>
      <c r="Y4423">
        <v>0</v>
      </c>
      <c r="Z4423">
        <v>0</v>
      </c>
      <c r="AB4423">
        <v>0</v>
      </c>
      <c r="AC4423">
        <v>9</v>
      </c>
      <c r="AD4423">
        <v>3</v>
      </c>
      <c r="AE4423">
        <v>0</v>
      </c>
      <c r="AF4423">
        <v>9</v>
      </c>
      <c r="AG4423" t="s">
        <v>115</v>
      </c>
      <c r="AH4423">
        <v>0</v>
      </c>
      <c r="AI4423">
        <v>0</v>
      </c>
      <c r="AJ4423">
        <v>1</v>
      </c>
      <c r="AK4423">
        <v>0</v>
      </c>
      <c r="AL4423" t="s">
        <v>7361</v>
      </c>
      <c r="AM4423">
        <v>47.059100000000001</v>
      </c>
      <c r="AN4423" t="s">
        <v>7998</v>
      </c>
      <c r="AO4423">
        <v>-124.038391</v>
      </c>
      <c r="AP4423">
        <v>100</v>
      </c>
      <c r="AQ4423">
        <v>600</v>
      </c>
      <c r="AR4423" t="s">
        <v>118</v>
      </c>
      <c r="AS4423">
        <v>-64</v>
      </c>
      <c r="AT4423">
        <v>-6</v>
      </c>
      <c r="AU4423">
        <v>896</v>
      </c>
      <c r="BC4423">
        <v>1200</v>
      </c>
      <c r="BD4423">
        <v>1</v>
      </c>
      <c r="BE4423" t="str">
        <f t="shared" si="211"/>
        <v xml:space="preserve">N215T   </v>
      </c>
      <c r="BF4423">
        <v>1</v>
      </c>
      <c r="BH4423">
        <v>0</v>
      </c>
      <c r="BI4423">
        <v>0</v>
      </c>
      <c r="BJ4423">
        <v>0</v>
      </c>
      <c r="BK4423">
        <v>925</v>
      </c>
      <c r="BL4423">
        <v>325</v>
      </c>
      <c r="BM4423" t="s">
        <v>119</v>
      </c>
      <c r="BN4423">
        <v>1</v>
      </c>
      <c r="BO4423">
        <v>1</v>
      </c>
      <c r="BP4423">
        <v>1</v>
      </c>
      <c r="BQ4423">
        <v>0</v>
      </c>
      <c r="BT4423">
        <v>0</v>
      </c>
      <c r="BU4423">
        <v>0</v>
      </c>
      <c r="BV4423">
        <v>0</v>
      </c>
      <c r="CC4423" t="str">
        <f>"19:50:25.414"</f>
        <v>19:50:25.414</v>
      </c>
      <c r="CD4423" t="str">
        <f>"411248733"</f>
        <v>411248733</v>
      </c>
      <c r="CQ4423">
        <v>0</v>
      </c>
      <c r="CR4423">
        <v>2</v>
      </c>
      <c r="CS4423">
        <v>0</v>
      </c>
      <c r="CT4423">
        <v>2</v>
      </c>
      <c r="CU4423">
        <v>0</v>
      </c>
      <c r="CV4423">
        <v>4</v>
      </c>
      <c r="CW4423" t="s">
        <v>120</v>
      </c>
      <c r="CX4423">
        <v>257</v>
      </c>
      <c r="CY4423">
        <v>0</v>
      </c>
      <c r="CZ4423" t="s">
        <v>615</v>
      </c>
      <c r="DA4423" t="s">
        <v>616</v>
      </c>
      <c r="DD4423">
        <v>27206</v>
      </c>
      <c r="DE4423" t="s">
        <v>123</v>
      </c>
    </row>
    <row r="4424" spans="1:109" x14ac:dyDescent="0.3">
      <c r="A4424" t="str">
        <f>"19:50:26.633"</f>
        <v>19:50:26.633</v>
      </c>
      <c r="B4424" t="s">
        <v>110</v>
      </c>
      <c r="C4424" t="str">
        <f t="shared" si="209"/>
        <v>ffdfd3c0</v>
      </c>
      <c r="D4424" t="s">
        <v>111</v>
      </c>
      <c r="E4424">
        <v>18</v>
      </c>
      <c r="F4424">
        <v>1018</v>
      </c>
      <c r="G4424" t="s">
        <v>112</v>
      </c>
      <c r="J4424" t="s">
        <v>113</v>
      </c>
      <c r="K4424">
        <v>0</v>
      </c>
      <c r="L4424">
        <v>3</v>
      </c>
      <c r="M4424">
        <v>0</v>
      </c>
      <c r="N4424">
        <v>2</v>
      </c>
      <c r="O4424">
        <v>1</v>
      </c>
      <c r="P4424">
        <v>0</v>
      </c>
      <c r="Q4424">
        <v>0</v>
      </c>
      <c r="R4424" t="s">
        <v>114</v>
      </c>
      <c r="S4424" t="str">
        <f>"19:50:26.414"</f>
        <v>19:50:26.414</v>
      </c>
      <c r="T4424" t="str">
        <f>"19:50:26.211"</f>
        <v>19:50:26.211</v>
      </c>
      <c r="U4424" t="str">
        <f t="shared" si="210"/>
        <v>a1cdbe</v>
      </c>
      <c r="V4424">
        <v>0</v>
      </c>
      <c r="W4424">
        <v>0</v>
      </c>
      <c r="X4424">
        <v>2</v>
      </c>
      <c r="Y4424">
        <v>0</v>
      </c>
      <c r="Z4424">
        <v>0</v>
      </c>
      <c r="AB4424">
        <v>0</v>
      </c>
      <c r="AC4424">
        <v>9</v>
      </c>
      <c r="AD4424">
        <v>3</v>
      </c>
      <c r="AE4424">
        <v>0</v>
      </c>
      <c r="AF4424">
        <v>9</v>
      </c>
      <c r="AG4424" t="s">
        <v>115</v>
      </c>
      <c r="AH4424">
        <v>0</v>
      </c>
      <c r="AI4424">
        <v>0</v>
      </c>
      <c r="AJ4424">
        <v>1</v>
      </c>
      <c r="AK4424">
        <v>0</v>
      </c>
      <c r="AL4424" t="s">
        <v>7672</v>
      </c>
      <c r="AM4424">
        <v>47.059057000000003</v>
      </c>
      <c r="AN4424" t="s">
        <v>7999</v>
      </c>
      <c r="AO4424">
        <v>-124.038799</v>
      </c>
      <c r="AP4424">
        <v>100</v>
      </c>
      <c r="AQ4424">
        <v>600</v>
      </c>
      <c r="AR4424" t="s">
        <v>118</v>
      </c>
      <c r="AS4424">
        <v>-66</v>
      </c>
      <c r="AT4424">
        <v>-7</v>
      </c>
      <c r="AU4424">
        <v>832</v>
      </c>
      <c r="BC4424">
        <v>1200</v>
      </c>
      <c r="BD4424">
        <v>1</v>
      </c>
      <c r="BE4424" t="str">
        <f t="shared" si="211"/>
        <v xml:space="preserve">N215T   </v>
      </c>
      <c r="BF4424">
        <v>1</v>
      </c>
      <c r="BH4424">
        <v>0</v>
      </c>
      <c r="BI4424">
        <v>0</v>
      </c>
      <c r="BJ4424">
        <v>0</v>
      </c>
      <c r="BK4424">
        <v>950</v>
      </c>
      <c r="BL4424">
        <v>350</v>
      </c>
      <c r="BM4424" t="s">
        <v>119</v>
      </c>
      <c r="BN4424">
        <v>1</v>
      </c>
      <c r="BO4424">
        <v>1</v>
      </c>
      <c r="BP4424">
        <v>1</v>
      </c>
      <c r="BQ4424">
        <v>0</v>
      </c>
      <c r="BT4424">
        <v>0</v>
      </c>
      <c r="BU4424">
        <v>0</v>
      </c>
      <c r="BV4424">
        <v>0</v>
      </c>
      <c r="CC4424" t="str">
        <f>"19:50:26.414"</f>
        <v>19:50:26.414</v>
      </c>
      <c r="CD4424" t="str">
        <f>"416149704"</f>
        <v>416149704</v>
      </c>
      <c r="CQ4424">
        <v>0</v>
      </c>
      <c r="CR4424">
        <v>2</v>
      </c>
      <c r="CS4424">
        <v>0</v>
      </c>
      <c r="CT4424">
        <v>2</v>
      </c>
      <c r="CU4424">
        <v>0</v>
      </c>
      <c r="CV4424">
        <v>4</v>
      </c>
      <c r="CW4424" t="s">
        <v>120</v>
      </c>
      <c r="CX4424">
        <v>257</v>
      </c>
      <c r="CY4424">
        <v>0</v>
      </c>
      <c r="CZ4424" t="s">
        <v>615</v>
      </c>
      <c r="DA4424" t="s">
        <v>616</v>
      </c>
      <c r="DD4424">
        <v>27543</v>
      </c>
      <c r="DE4424" t="s">
        <v>123</v>
      </c>
    </row>
    <row r="4425" spans="1:109" x14ac:dyDescent="0.3">
      <c r="A4425" t="str">
        <f>"19:50:28.141"</f>
        <v>19:50:28.141</v>
      </c>
      <c r="B4425" t="s">
        <v>110</v>
      </c>
      <c r="C4425" t="str">
        <f t="shared" si="209"/>
        <v>ffdfd3c0</v>
      </c>
      <c r="D4425" t="s">
        <v>111</v>
      </c>
      <c r="E4425">
        <v>18</v>
      </c>
      <c r="F4425">
        <v>1018</v>
      </c>
      <c r="G4425" t="s">
        <v>112</v>
      </c>
      <c r="J4425" t="s">
        <v>113</v>
      </c>
      <c r="K4425">
        <v>0</v>
      </c>
      <c r="L4425">
        <v>3</v>
      </c>
      <c r="M4425">
        <v>0</v>
      </c>
      <c r="N4425">
        <v>2</v>
      </c>
      <c r="O4425">
        <v>1</v>
      </c>
      <c r="P4425">
        <v>0</v>
      </c>
      <c r="Q4425">
        <v>0</v>
      </c>
      <c r="R4425" t="s">
        <v>114</v>
      </c>
      <c r="S4425" t="str">
        <f>"19:50:27.914"</f>
        <v>19:50:27.914</v>
      </c>
      <c r="T4425" t="str">
        <f>"19:50:27.516"</f>
        <v>19:50:27.516</v>
      </c>
      <c r="U4425" t="str">
        <f t="shared" si="210"/>
        <v>a1cdbe</v>
      </c>
      <c r="V4425">
        <v>0</v>
      </c>
      <c r="W4425">
        <v>0</v>
      </c>
      <c r="X4425">
        <v>2</v>
      </c>
      <c r="Y4425">
        <v>0</v>
      </c>
      <c r="Z4425">
        <v>0</v>
      </c>
      <c r="AB4425">
        <v>0</v>
      </c>
      <c r="AC4425">
        <v>9</v>
      </c>
      <c r="AD4425">
        <v>3</v>
      </c>
      <c r="AE4425">
        <v>0</v>
      </c>
      <c r="AF4425">
        <v>9</v>
      </c>
      <c r="AG4425" t="s">
        <v>115</v>
      </c>
      <c r="AH4425">
        <v>0</v>
      </c>
      <c r="AI4425">
        <v>0</v>
      </c>
      <c r="AJ4425">
        <v>1</v>
      </c>
      <c r="AK4425">
        <v>0</v>
      </c>
      <c r="AL4425" t="s">
        <v>8000</v>
      </c>
      <c r="AM4425">
        <v>47.059013999999998</v>
      </c>
      <c r="AN4425" t="s">
        <v>8001</v>
      </c>
      <c r="AO4425">
        <v>-124.039528</v>
      </c>
      <c r="AP4425">
        <v>100</v>
      </c>
      <c r="AQ4425">
        <v>600</v>
      </c>
      <c r="AR4425" t="s">
        <v>118</v>
      </c>
      <c r="AS4425">
        <v>-67</v>
      </c>
      <c r="AT4425">
        <v>-6</v>
      </c>
      <c r="AU4425">
        <v>768</v>
      </c>
      <c r="BC4425">
        <v>1200</v>
      </c>
      <c r="BD4425">
        <v>1</v>
      </c>
      <c r="BE4425" t="str">
        <f t="shared" si="211"/>
        <v xml:space="preserve">N215T   </v>
      </c>
      <c r="BF4425">
        <v>1</v>
      </c>
      <c r="BH4425">
        <v>0</v>
      </c>
      <c r="BI4425">
        <v>0</v>
      </c>
      <c r="BJ4425">
        <v>0</v>
      </c>
      <c r="BK4425">
        <v>950</v>
      </c>
      <c r="BL4425">
        <v>350</v>
      </c>
      <c r="BM4425" t="s">
        <v>119</v>
      </c>
      <c r="BN4425">
        <v>1</v>
      </c>
      <c r="BO4425">
        <v>1</v>
      </c>
      <c r="BP4425">
        <v>1</v>
      </c>
      <c r="BQ4425">
        <v>0</v>
      </c>
      <c r="BT4425">
        <v>0</v>
      </c>
      <c r="BU4425">
        <v>0</v>
      </c>
      <c r="BV4425">
        <v>0</v>
      </c>
      <c r="CC4425" t="str">
        <f>"19:50:27.914"</f>
        <v>19:50:27.914</v>
      </c>
      <c r="CD4425" t="str">
        <f>"916001932"</f>
        <v>916001932</v>
      </c>
      <c r="CQ4425">
        <v>0</v>
      </c>
      <c r="CR4425">
        <v>2</v>
      </c>
      <c r="CS4425">
        <v>0</v>
      </c>
      <c r="CT4425">
        <v>2</v>
      </c>
      <c r="CU4425">
        <v>0</v>
      </c>
      <c r="CV4425">
        <v>4</v>
      </c>
      <c r="CW4425" t="s">
        <v>120</v>
      </c>
      <c r="CX4425">
        <v>257</v>
      </c>
      <c r="CY4425">
        <v>0</v>
      </c>
      <c r="CZ4425" t="s">
        <v>615</v>
      </c>
      <c r="DA4425" t="s">
        <v>616</v>
      </c>
      <c r="DD4425">
        <v>27992</v>
      </c>
      <c r="DE4425" t="s">
        <v>123</v>
      </c>
    </row>
    <row r="4426" spans="1:109" x14ac:dyDescent="0.3">
      <c r="A4426" t="str">
        <f>"19:50:29.352"</f>
        <v>19:50:29.352</v>
      </c>
      <c r="B4426" t="s">
        <v>110</v>
      </c>
      <c r="C4426" t="str">
        <f t="shared" si="209"/>
        <v>ffdfd3c0</v>
      </c>
      <c r="D4426" t="s">
        <v>111</v>
      </c>
      <c r="E4426">
        <v>18</v>
      </c>
      <c r="F4426">
        <v>1018</v>
      </c>
      <c r="G4426" t="s">
        <v>112</v>
      </c>
      <c r="J4426" t="s">
        <v>113</v>
      </c>
      <c r="K4426">
        <v>0</v>
      </c>
      <c r="L4426">
        <v>3</v>
      </c>
      <c r="M4426">
        <v>0</v>
      </c>
      <c r="N4426">
        <v>2</v>
      </c>
      <c r="O4426">
        <v>1</v>
      </c>
      <c r="P4426">
        <v>0</v>
      </c>
      <c r="Q4426">
        <v>0</v>
      </c>
      <c r="R4426" t="s">
        <v>114</v>
      </c>
      <c r="S4426" t="str">
        <f>"19:50:29.094"</f>
        <v>19:50:29.094</v>
      </c>
      <c r="T4426" t="str">
        <f>"19:50:28.992"</f>
        <v>19:50:28.992</v>
      </c>
      <c r="U4426" t="str">
        <f t="shared" si="210"/>
        <v>a1cdbe</v>
      </c>
      <c r="V4426">
        <v>0</v>
      </c>
      <c r="W4426">
        <v>0</v>
      </c>
      <c r="X4426">
        <v>2</v>
      </c>
      <c r="Y4426">
        <v>0</v>
      </c>
      <c r="Z4426">
        <v>0</v>
      </c>
      <c r="AB4426">
        <v>0</v>
      </c>
      <c r="AC4426">
        <v>9</v>
      </c>
      <c r="AD4426">
        <v>3</v>
      </c>
      <c r="AE4426">
        <v>0</v>
      </c>
      <c r="AF4426">
        <v>9</v>
      </c>
      <c r="AG4426" t="s">
        <v>115</v>
      </c>
      <c r="AH4426">
        <v>0</v>
      </c>
      <c r="AI4426">
        <v>0</v>
      </c>
      <c r="AJ4426">
        <v>1</v>
      </c>
      <c r="AK4426">
        <v>0</v>
      </c>
      <c r="AL4426" t="s">
        <v>8002</v>
      </c>
      <c r="AM4426">
        <v>47.058948999999998</v>
      </c>
      <c r="AN4426" t="s">
        <v>8003</v>
      </c>
      <c r="AO4426">
        <v>-124.040086</v>
      </c>
      <c r="AP4426">
        <v>100</v>
      </c>
      <c r="AQ4426">
        <v>600</v>
      </c>
      <c r="AR4426" t="s">
        <v>118</v>
      </c>
      <c r="AS4426">
        <v>-69</v>
      </c>
      <c r="AT4426">
        <v>-6</v>
      </c>
      <c r="AU4426">
        <v>960</v>
      </c>
      <c r="BC4426">
        <v>1200</v>
      </c>
      <c r="BD4426">
        <v>1</v>
      </c>
      <c r="BE4426" t="str">
        <f t="shared" si="211"/>
        <v xml:space="preserve">N215T   </v>
      </c>
      <c r="BF4426">
        <v>1</v>
      </c>
      <c r="BH4426">
        <v>0</v>
      </c>
      <c r="BI4426">
        <v>0</v>
      </c>
      <c r="BJ4426">
        <v>0</v>
      </c>
      <c r="BK4426">
        <v>975</v>
      </c>
      <c r="BL4426">
        <v>375</v>
      </c>
      <c r="BM4426" t="s">
        <v>119</v>
      </c>
      <c r="BN4426">
        <v>1</v>
      </c>
      <c r="BO4426">
        <v>1</v>
      </c>
      <c r="BP4426">
        <v>1</v>
      </c>
      <c r="BQ4426">
        <v>0</v>
      </c>
      <c r="BT4426">
        <v>0</v>
      </c>
      <c r="BU4426">
        <v>0</v>
      </c>
      <c r="BV4426">
        <v>0</v>
      </c>
      <c r="CC4426" t="str">
        <f>"19:50:29.102"</f>
        <v>19:50:29.102</v>
      </c>
      <c r="CD4426" t="str">
        <f>"100885180"</f>
        <v>100885180</v>
      </c>
      <c r="CQ4426">
        <v>0</v>
      </c>
      <c r="CR4426">
        <v>2</v>
      </c>
      <c r="CS4426">
        <v>0</v>
      </c>
      <c r="CT4426">
        <v>2</v>
      </c>
      <c r="CU4426">
        <v>0</v>
      </c>
      <c r="CV4426">
        <v>5</v>
      </c>
      <c r="CW4426" t="s">
        <v>120</v>
      </c>
      <c r="CX4426">
        <v>257</v>
      </c>
      <c r="CY4426">
        <v>0</v>
      </c>
      <c r="CZ4426" t="s">
        <v>615</v>
      </c>
      <c r="DA4426" t="s">
        <v>616</v>
      </c>
      <c r="DD4426">
        <v>28347</v>
      </c>
      <c r="DE4426" t="s">
        <v>123</v>
      </c>
    </row>
    <row r="4427" spans="1:109" x14ac:dyDescent="0.3">
      <c r="A4427" t="str">
        <f>"19:50:30.406"</f>
        <v>19:50:30.406</v>
      </c>
      <c r="B4427" t="s">
        <v>110</v>
      </c>
      <c r="C4427" t="str">
        <f t="shared" si="209"/>
        <v>ffdfd3c0</v>
      </c>
      <c r="D4427" t="s">
        <v>111</v>
      </c>
      <c r="E4427">
        <v>18</v>
      </c>
      <c r="F4427">
        <v>1018</v>
      </c>
      <c r="G4427" t="s">
        <v>112</v>
      </c>
      <c r="J4427" t="s">
        <v>113</v>
      </c>
      <c r="K4427">
        <v>0</v>
      </c>
      <c r="L4427">
        <v>3</v>
      </c>
      <c r="M4427">
        <v>0</v>
      </c>
      <c r="N4427">
        <v>2</v>
      </c>
      <c r="O4427">
        <v>1</v>
      </c>
      <c r="P4427">
        <v>0</v>
      </c>
      <c r="Q4427">
        <v>0</v>
      </c>
      <c r="R4427" t="s">
        <v>114</v>
      </c>
      <c r="S4427" t="str">
        <f>"19:50:30.148"</f>
        <v>19:50:30.148</v>
      </c>
      <c r="T4427" t="str">
        <f>"19:50:30.047"</f>
        <v>19:50:30.047</v>
      </c>
      <c r="U4427" t="str">
        <f t="shared" si="210"/>
        <v>a1cdbe</v>
      </c>
      <c r="V4427">
        <v>0</v>
      </c>
      <c r="W4427">
        <v>0</v>
      </c>
      <c r="X4427">
        <v>2</v>
      </c>
      <c r="Y4427">
        <v>0</v>
      </c>
      <c r="Z4427">
        <v>0</v>
      </c>
      <c r="AB4427">
        <v>0</v>
      </c>
      <c r="AC4427">
        <v>9</v>
      </c>
      <c r="AD4427">
        <v>3</v>
      </c>
      <c r="AE4427">
        <v>0</v>
      </c>
      <c r="AF4427">
        <v>9</v>
      </c>
      <c r="AG4427" t="s">
        <v>115</v>
      </c>
      <c r="AH4427">
        <v>0</v>
      </c>
      <c r="AI4427">
        <v>0</v>
      </c>
      <c r="AJ4427">
        <v>1</v>
      </c>
      <c r="AK4427">
        <v>0</v>
      </c>
      <c r="AL4427" t="s">
        <v>8004</v>
      </c>
      <c r="AM4427">
        <v>47.058906999999998</v>
      </c>
      <c r="AN4427" t="s">
        <v>8005</v>
      </c>
      <c r="AO4427">
        <v>-124.04058000000001</v>
      </c>
      <c r="AP4427">
        <v>100</v>
      </c>
      <c r="AQ4427">
        <v>600</v>
      </c>
      <c r="AR4427" t="s">
        <v>118</v>
      </c>
      <c r="AS4427">
        <v>-71</v>
      </c>
      <c r="AT4427">
        <v>-7</v>
      </c>
      <c r="AU4427">
        <v>960</v>
      </c>
      <c r="BC4427">
        <v>1200</v>
      </c>
      <c r="BD4427">
        <v>1</v>
      </c>
      <c r="BE4427" t="str">
        <f t="shared" si="211"/>
        <v xml:space="preserve">N215T   </v>
      </c>
      <c r="BF4427">
        <v>1</v>
      </c>
      <c r="BH4427">
        <v>0</v>
      </c>
      <c r="BI4427">
        <v>0</v>
      </c>
      <c r="BJ4427">
        <v>0</v>
      </c>
      <c r="BK4427">
        <v>1000</v>
      </c>
      <c r="BL4427">
        <v>400</v>
      </c>
      <c r="BM4427" t="s">
        <v>119</v>
      </c>
      <c r="BN4427">
        <v>1</v>
      </c>
      <c r="BO4427">
        <v>1</v>
      </c>
      <c r="BP4427">
        <v>1</v>
      </c>
      <c r="BQ4427">
        <v>0</v>
      </c>
      <c r="BT4427">
        <v>0</v>
      </c>
      <c r="BU4427">
        <v>0</v>
      </c>
      <c r="BV4427">
        <v>0</v>
      </c>
      <c r="CC4427" t="str">
        <f>"19:50:30.148"</f>
        <v>19:50:30.148</v>
      </c>
      <c r="CD4427" t="str">
        <f>"150781722"</f>
        <v>150781722</v>
      </c>
      <c r="CQ4427">
        <v>0</v>
      </c>
      <c r="CR4427">
        <v>2</v>
      </c>
      <c r="CS4427">
        <v>0</v>
      </c>
      <c r="CT4427">
        <v>2</v>
      </c>
      <c r="CU4427">
        <v>0</v>
      </c>
      <c r="CV4427">
        <v>4</v>
      </c>
      <c r="CW4427" t="s">
        <v>120</v>
      </c>
      <c r="CX4427">
        <v>257</v>
      </c>
      <c r="CY4427">
        <v>0</v>
      </c>
      <c r="CZ4427" t="s">
        <v>615</v>
      </c>
      <c r="DA4427" t="s">
        <v>616</v>
      </c>
      <c r="DD4427">
        <v>28635</v>
      </c>
      <c r="DE4427" t="s">
        <v>123</v>
      </c>
    </row>
    <row r="4428" spans="1:109" x14ac:dyDescent="0.3">
      <c r="A4428" t="str">
        <f>"19:50:31.313"</f>
        <v>19:50:31.313</v>
      </c>
      <c r="B4428" t="s">
        <v>110</v>
      </c>
      <c r="C4428" t="str">
        <f t="shared" si="209"/>
        <v>ffdfd3c0</v>
      </c>
      <c r="D4428" t="s">
        <v>111</v>
      </c>
      <c r="E4428">
        <v>18</v>
      </c>
      <c r="F4428">
        <v>1018</v>
      </c>
      <c r="G4428" t="s">
        <v>112</v>
      </c>
      <c r="J4428" t="s">
        <v>113</v>
      </c>
      <c r="K4428">
        <v>0</v>
      </c>
      <c r="L4428">
        <v>3</v>
      </c>
      <c r="M4428">
        <v>0</v>
      </c>
      <c r="N4428">
        <v>2</v>
      </c>
      <c r="O4428">
        <v>1</v>
      </c>
      <c r="P4428">
        <v>0</v>
      </c>
      <c r="Q4428">
        <v>0</v>
      </c>
      <c r="R4428" t="s">
        <v>114</v>
      </c>
      <c r="S4428" t="str">
        <f>"19:50:31.094"</f>
        <v>19:50:31.094</v>
      </c>
      <c r="T4428" t="str">
        <f>"19:50:31.094"</f>
        <v>19:50:31.094</v>
      </c>
      <c r="U4428" t="str">
        <f t="shared" si="210"/>
        <v>a1cdbe</v>
      </c>
      <c r="V4428">
        <v>0</v>
      </c>
      <c r="W4428">
        <v>0</v>
      </c>
      <c r="X4428">
        <v>2</v>
      </c>
      <c r="Y4428">
        <v>0</v>
      </c>
      <c r="Z4428">
        <v>0</v>
      </c>
      <c r="AB4428">
        <v>0</v>
      </c>
      <c r="AC4428">
        <v>9</v>
      </c>
      <c r="AD4428">
        <v>3</v>
      </c>
      <c r="AE4428">
        <v>0</v>
      </c>
      <c r="AF4428">
        <v>9</v>
      </c>
      <c r="AG4428" t="s">
        <v>115</v>
      </c>
      <c r="AH4428">
        <v>0</v>
      </c>
      <c r="AI4428">
        <v>0</v>
      </c>
      <c r="AJ4428">
        <v>1</v>
      </c>
      <c r="AK4428">
        <v>0</v>
      </c>
      <c r="AL4428" t="s">
        <v>8004</v>
      </c>
      <c r="AM4428">
        <v>47.058906999999998</v>
      </c>
      <c r="AN4428" t="s">
        <v>8006</v>
      </c>
      <c r="AO4428">
        <v>-124.040987</v>
      </c>
      <c r="AP4428">
        <v>100</v>
      </c>
      <c r="AQ4428">
        <v>600</v>
      </c>
      <c r="AR4428" t="s">
        <v>118</v>
      </c>
      <c r="AS4428">
        <v>-72</v>
      </c>
      <c r="AT4428">
        <v>-7</v>
      </c>
      <c r="AU4428">
        <v>1088</v>
      </c>
      <c r="BC4428">
        <v>1200</v>
      </c>
      <c r="BD4428">
        <v>1</v>
      </c>
      <c r="BE4428" t="str">
        <f t="shared" si="211"/>
        <v xml:space="preserve">N215T   </v>
      </c>
      <c r="BF4428">
        <v>1</v>
      </c>
      <c r="BH4428">
        <v>0</v>
      </c>
      <c r="BI4428">
        <v>0</v>
      </c>
      <c r="BJ4428">
        <v>0</v>
      </c>
      <c r="BK4428">
        <v>1025</v>
      </c>
      <c r="BL4428">
        <v>425</v>
      </c>
      <c r="BM4428" t="s">
        <v>119</v>
      </c>
      <c r="BN4428">
        <v>1</v>
      </c>
      <c r="BO4428">
        <v>1</v>
      </c>
      <c r="BP4428">
        <v>1</v>
      </c>
      <c r="BQ4428">
        <v>0</v>
      </c>
      <c r="BT4428">
        <v>0</v>
      </c>
      <c r="BU4428">
        <v>0</v>
      </c>
      <c r="BV4428">
        <v>0</v>
      </c>
      <c r="CC4428" t="str">
        <f>"19:50:31.094"</f>
        <v>19:50:31.094</v>
      </c>
      <c r="CD4428" t="str">
        <f>"095688611"</f>
        <v>095688611</v>
      </c>
      <c r="CQ4428">
        <v>0</v>
      </c>
      <c r="CR4428">
        <v>2</v>
      </c>
      <c r="CS4428">
        <v>0</v>
      </c>
      <c r="CT4428">
        <v>2</v>
      </c>
      <c r="CU4428">
        <v>0</v>
      </c>
      <c r="CV4428">
        <v>5</v>
      </c>
      <c r="CW4428" t="s">
        <v>120</v>
      </c>
      <c r="CX4428">
        <v>257</v>
      </c>
      <c r="CY4428">
        <v>0</v>
      </c>
      <c r="CZ4428" t="s">
        <v>615</v>
      </c>
      <c r="DA4428" t="s">
        <v>616</v>
      </c>
      <c r="DD4428">
        <v>28933</v>
      </c>
      <c r="DE4428" t="s">
        <v>123</v>
      </c>
    </row>
    <row r="4429" spans="1:109" x14ac:dyDescent="0.3">
      <c r="A4429" t="str">
        <f>"19:50:32.367"</f>
        <v>19:50:32.367</v>
      </c>
      <c r="B4429" t="s">
        <v>110</v>
      </c>
      <c r="C4429" t="str">
        <f t="shared" si="209"/>
        <v>ffdfd3c0</v>
      </c>
      <c r="D4429" t="s">
        <v>111</v>
      </c>
      <c r="E4429">
        <v>18</v>
      </c>
      <c r="F4429">
        <v>1018</v>
      </c>
      <c r="G4429" t="s">
        <v>112</v>
      </c>
      <c r="J4429" t="s">
        <v>113</v>
      </c>
      <c r="K4429">
        <v>0</v>
      </c>
      <c r="L4429">
        <v>3</v>
      </c>
      <c r="M4429">
        <v>0</v>
      </c>
      <c r="N4429">
        <v>2</v>
      </c>
      <c r="O4429">
        <v>1</v>
      </c>
      <c r="P4429">
        <v>0</v>
      </c>
      <c r="Q4429">
        <v>0</v>
      </c>
      <c r="R4429" t="s">
        <v>114</v>
      </c>
      <c r="S4429" t="str">
        <f>"19:50:32.125"</f>
        <v>19:50:32.125</v>
      </c>
      <c r="T4429" t="str">
        <f>"19:50:31.727"</f>
        <v>19:50:31.727</v>
      </c>
      <c r="U4429" t="str">
        <f t="shared" si="210"/>
        <v>a1cdbe</v>
      </c>
      <c r="V4429">
        <v>0</v>
      </c>
      <c r="W4429">
        <v>0</v>
      </c>
      <c r="X4429">
        <v>2</v>
      </c>
      <c r="Y4429">
        <v>0</v>
      </c>
      <c r="Z4429">
        <v>0</v>
      </c>
      <c r="AB4429">
        <v>0</v>
      </c>
      <c r="AC4429">
        <v>9</v>
      </c>
      <c r="AD4429">
        <v>3</v>
      </c>
      <c r="AE4429">
        <v>0</v>
      </c>
      <c r="AF4429">
        <v>9</v>
      </c>
      <c r="AG4429" t="s">
        <v>115</v>
      </c>
      <c r="AH4429">
        <v>0</v>
      </c>
      <c r="AI4429">
        <v>0</v>
      </c>
      <c r="AJ4429">
        <v>1</v>
      </c>
      <c r="AK4429">
        <v>0</v>
      </c>
      <c r="AL4429" t="s">
        <v>7741</v>
      </c>
      <c r="AM4429">
        <v>47.058884999999997</v>
      </c>
      <c r="AN4429" t="s">
        <v>8007</v>
      </c>
      <c r="AO4429">
        <v>-124.041481</v>
      </c>
      <c r="AP4429">
        <v>100</v>
      </c>
      <c r="AQ4429">
        <v>700</v>
      </c>
      <c r="AR4429" t="s">
        <v>118</v>
      </c>
      <c r="AS4429">
        <v>-72</v>
      </c>
      <c r="AT4429">
        <v>-7</v>
      </c>
      <c r="AU4429">
        <v>1024</v>
      </c>
      <c r="BC4429">
        <v>1200</v>
      </c>
      <c r="BD4429">
        <v>1</v>
      </c>
      <c r="BE4429" t="str">
        <f t="shared" si="211"/>
        <v xml:space="preserve">N215T   </v>
      </c>
      <c r="BF4429">
        <v>1</v>
      </c>
      <c r="BH4429">
        <v>0</v>
      </c>
      <c r="BI4429">
        <v>0</v>
      </c>
      <c r="BJ4429">
        <v>0</v>
      </c>
      <c r="BK4429">
        <v>1025</v>
      </c>
      <c r="BL4429">
        <v>325</v>
      </c>
      <c r="BM4429" t="s">
        <v>119</v>
      </c>
      <c r="BN4429">
        <v>1</v>
      </c>
      <c r="BO4429">
        <v>1</v>
      </c>
      <c r="BP4429">
        <v>1</v>
      </c>
      <c r="BQ4429">
        <v>0</v>
      </c>
      <c r="BT4429">
        <v>0</v>
      </c>
      <c r="BU4429">
        <v>0</v>
      </c>
      <c r="BV4429">
        <v>0</v>
      </c>
      <c r="CC4429" t="str">
        <f>"19:50:32.133"</f>
        <v>19:50:32.133</v>
      </c>
      <c r="CD4429" t="str">
        <f>"130586648"</f>
        <v>130586648</v>
      </c>
      <c r="CQ4429">
        <v>0</v>
      </c>
      <c r="CR4429">
        <v>2</v>
      </c>
      <c r="CS4429">
        <v>0</v>
      </c>
      <c r="CT4429">
        <v>2</v>
      </c>
      <c r="CU4429">
        <v>0</v>
      </c>
      <c r="CV4429">
        <v>5</v>
      </c>
      <c r="CW4429" t="s">
        <v>120</v>
      </c>
      <c r="CX4429">
        <v>257</v>
      </c>
      <c r="CY4429">
        <v>0</v>
      </c>
      <c r="CZ4429" t="s">
        <v>615</v>
      </c>
      <c r="DA4429" t="s">
        <v>616</v>
      </c>
      <c r="DD4429">
        <v>29238</v>
      </c>
      <c r="DE4429" t="s">
        <v>123</v>
      </c>
    </row>
    <row r="4430" spans="1:109" x14ac:dyDescent="0.3">
      <c r="A4430" t="str">
        <f>"19:50:33.320"</f>
        <v>19:50:33.320</v>
      </c>
      <c r="B4430" t="s">
        <v>110</v>
      </c>
      <c r="C4430" t="str">
        <f t="shared" si="209"/>
        <v>ffdfd3c0</v>
      </c>
      <c r="D4430" t="s">
        <v>111</v>
      </c>
      <c r="E4430">
        <v>18</v>
      </c>
      <c r="F4430">
        <v>1018</v>
      </c>
      <c r="G4430" t="s">
        <v>112</v>
      </c>
      <c r="J4430" t="s">
        <v>113</v>
      </c>
      <c r="K4430">
        <v>0</v>
      </c>
      <c r="L4430">
        <v>3</v>
      </c>
      <c r="M4430">
        <v>0</v>
      </c>
      <c r="N4430">
        <v>2</v>
      </c>
      <c r="O4430">
        <v>1</v>
      </c>
      <c r="P4430">
        <v>0</v>
      </c>
      <c r="Q4430">
        <v>0</v>
      </c>
      <c r="R4430" t="s">
        <v>114</v>
      </c>
      <c r="S4430" t="str">
        <f>"19:50:33.070"</f>
        <v>19:50:33.070</v>
      </c>
      <c r="T4430" t="str">
        <f>"19:50:32.672"</f>
        <v>19:50:32.672</v>
      </c>
      <c r="U4430" t="str">
        <f t="shared" si="210"/>
        <v>a1cdbe</v>
      </c>
      <c r="V4430">
        <v>0</v>
      </c>
      <c r="W4430">
        <v>0</v>
      </c>
      <c r="X4430">
        <v>2</v>
      </c>
      <c r="Y4430">
        <v>0</v>
      </c>
      <c r="Z4430">
        <v>0</v>
      </c>
      <c r="AB4430">
        <v>0</v>
      </c>
      <c r="AC4430">
        <v>9</v>
      </c>
      <c r="AD4430">
        <v>3</v>
      </c>
      <c r="AE4430">
        <v>0</v>
      </c>
      <c r="AF4430">
        <v>9</v>
      </c>
      <c r="AG4430" t="s">
        <v>115</v>
      </c>
      <c r="AH4430">
        <v>0</v>
      </c>
      <c r="AI4430">
        <v>0</v>
      </c>
      <c r="AJ4430">
        <v>1</v>
      </c>
      <c r="AK4430">
        <v>0</v>
      </c>
      <c r="AL4430" t="s">
        <v>8008</v>
      </c>
      <c r="AM4430">
        <v>47.058821000000002</v>
      </c>
      <c r="AN4430" t="s">
        <v>8009</v>
      </c>
      <c r="AO4430">
        <v>-124.04197499999999</v>
      </c>
      <c r="AP4430">
        <v>100</v>
      </c>
      <c r="AQ4430">
        <v>700</v>
      </c>
      <c r="AR4430" t="s">
        <v>118</v>
      </c>
      <c r="AS4430">
        <v>-73</v>
      </c>
      <c r="AT4430">
        <v>-7</v>
      </c>
      <c r="AU4430">
        <v>960</v>
      </c>
      <c r="BC4430">
        <v>1200</v>
      </c>
      <c r="BD4430">
        <v>1</v>
      </c>
      <c r="BE4430" t="str">
        <f t="shared" si="211"/>
        <v xml:space="preserve">N215T   </v>
      </c>
      <c r="BF4430">
        <v>1</v>
      </c>
      <c r="BH4430">
        <v>0</v>
      </c>
      <c r="BI4430">
        <v>0</v>
      </c>
      <c r="BJ4430">
        <v>0</v>
      </c>
      <c r="BK4430">
        <v>1050</v>
      </c>
      <c r="BL4430">
        <v>350</v>
      </c>
      <c r="BM4430" t="s">
        <v>119</v>
      </c>
      <c r="BN4430">
        <v>1</v>
      </c>
      <c r="BO4430">
        <v>1</v>
      </c>
      <c r="BP4430">
        <v>1</v>
      </c>
      <c r="BQ4430">
        <v>0</v>
      </c>
      <c r="BT4430">
        <v>0</v>
      </c>
      <c r="BU4430">
        <v>0</v>
      </c>
      <c r="BV4430">
        <v>0</v>
      </c>
      <c r="CC4430" t="str">
        <f>"19:50:33.078"</f>
        <v>19:50:33.078</v>
      </c>
      <c r="CD4430" t="str">
        <f>"075493533"</f>
        <v>075493533</v>
      </c>
      <c r="CQ4430">
        <v>0</v>
      </c>
      <c r="CR4430">
        <v>2</v>
      </c>
      <c r="CS4430">
        <v>0</v>
      </c>
      <c r="CT4430">
        <v>2</v>
      </c>
      <c r="CU4430">
        <v>0</v>
      </c>
      <c r="CV4430">
        <v>4</v>
      </c>
      <c r="CW4430" t="s">
        <v>120</v>
      </c>
      <c r="CX4430">
        <v>257</v>
      </c>
      <c r="CY4430">
        <v>0</v>
      </c>
      <c r="CZ4430" t="s">
        <v>615</v>
      </c>
      <c r="DA4430" t="s">
        <v>616</v>
      </c>
      <c r="DD4430">
        <v>29540</v>
      </c>
      <c r="DE4430" t="s">
        <v>123</v>
      </c>
    </row>
    <row r="4431" spans="1:109" x14ac:dyDescent="0.3">
      <c r="A4431" t="str">
        <f>"19:50:34.727"</f>
        <v>19:50:34.727</v>
      </c>
      <c r="B4431" t="s">
        <v>110</v>
      </c>
      <c r="C4431" t="str">
        <f t="shared" si="209"/>
        <v>ffdfd3c0</v>
      </c>
      <c r="D4431" t="s">
        <v>111</v>
      </c>
      <c r="E4431">
        <v>18</v>
      </c>
      <c r="F4431">
        <v>1018</v>
      </c>
      <c r="G4431" t="s">
        <v>112</v>
      </c>
      <c r="J4431" t="s">
        <v>113</v>
      </c>
      <c r="K4431">
        <v>0</v>
      </c>
      <c r="L4431">
        <v>3</v>
      </c>
      <c r="M4431">
        <v>0</v>
      </c>
      <c r="N4431">
        <v>2</v>
      </c>
      <c r="O4431">
        <v>1</v>
      </c>
      <c r="P4431">
        <v>0</v>
      </c>
      <c r="Q4431">
        <v>0</v>
      </c>
      <c r="R4431" t="s">
        <v>114</v>
      </c>
      <c r="S4431" t="str">
        <f>"19:50:34.469"</f>
        <v>19:50:34.469</v>
      </c>
      <c r="T4431" t="str">
        <f>"19:50:34.172"</f>
        <v>19:50:34.172</v>
      </c>
      <c r="U4431" t="str">
        <f t="shared" si="210"/>
        <v>a1cdbe</v>
      </c>
      <c r="V4431">
        <v>0</v>
      </c>
      <c r="W4431">
        <v>0</v>
      </c>
      <c r="X4431">
        <v>2</v>
      </c>
      <c r="Y4431">
        <v>0</v>
      </c>
      <c r="Z4431">
        <v>0</v>
      </c>
      <c r="AB4431">
        <v>0</v>
      </c>
      <c r="AC4431">
        <v>9</v>
      </c>
      <c r="AD4431">
        <v>3</v>
      </c>
      <c r="AE4431">
        <v>0</v>
      </c>
      <c r="AF4431">
        <v>9</v>
      </c>
      <c r="AG4431" t="s">
        <v>115</v>
      </c>
      <c r="AH4431">
        <v>0</v>
      </c>
      <c r="AI4431">
        <v>0</v>
      </c>
      <c r="AJ4431">
        <v>1</v>
      </c>
      <c r="AK4431">
        <v>0</v>
      </c>
      <c r="AL4431" t="s">
        <v>8010</v>
      </c>
      <c r="AM4431">
        <v>47.058799</v>
      </c>
      <c r="AN4431" t="s">
        <v>8011</v>
      </c>
      <c r="AO4431">
        <v>-124.04264000000001</v>
      </c>
      <c r="AP4431">
        <v>100</v>
      </c>
      <c r="AQ4431">
        <v>700</v>
      </c>
      <c r="AR4431" t="s">
        <v>118</v>
      </c>
      <c r="AS4431">
        <v>-73</v>
      </c>
      <c r="AT4431">
        <v>-7</v>
      </c>
      <c r="AU4431">
        <v>1088</v>
      </c>
      <c r="BC4431">
        <v>1200</v>
      </c>
      <c r="BD4431">
        <v>1</v>
      </c>
      <c r="BE4431" t="str">
        <f t="shared" si="211"/>
        <v xml:space="preserve">N215T   </v>
      </c>
      <c r="BF4431">
        <v>1</v>
      </c>
      <c r="BH4431">
        <v>0</v>
      </c>
      <c r="BI4431">
        <v>0</v>
      </c>
      <c r="BJ4431">
        <v>0</v>
      </c>
      <c r="BK4431">
        <v>1075</v>
      </c>
      <c r="BL4431">
        <v>375</v>
      </c>
      <c r="BM4431" t="s">
        <v>119</v>
      </c>
      <c r="BN4431">
        <v>1</v>
      </c>
      <c r="BO4431">
        <v>1</v>
      </c>
      <c r="BP4431">
        <v>1</v>
      </c>
      <c r="BQ4431">
        <v>0</v>
      </c>
      <c r="BT4431">
        <v>0</v>
      </c>
      <c r="BU4431">
        <v>0</v>
      </c>
      <c r="BV4431">
        <v>0</v>
      </c>
      <c r="CC4431" t="str">
        <f>"19:50:34.469"</f>
        <v>19:50:34.469</v>
      </c>
      <c r="CD4431" t="str">
        <f>"470356082"</f>
        <v>470356082</v>
      </c>
      <c r="CQ4431">
        <v>0</v>
      </c>
      <c r="CR4431">
        <v>2</v>
      </c>
      <c r="CS4431">
        <v>0</v>
      </c>
      <c r="CT4431">
        <v>2</v>
      </c>
      <c r="CU4431">
        <v>0</v>
      </c>
      <c r="CV4431">
        <v>5</v>
      </c>
      <c r="CW4431" t="s">
        <v>120</v>
      </c>
      <c r="CX4431">
        <v>257</v>
      </c>
      <c r="CY4431">
        <v>0</v>
      </c>
      <c r="CZ4431" t="s">
        <v>615</v>
      </c>
      <c r="DA4431" t="s">
        <v>616</v>
      </c>
      <c r="DD4431">
        <v>29951</v>
      </c>
      <c r="DE4431" t="s">
        <v>123</v>
      </c>
    </row>
    <row r="4432" spans="1:109" x14ac:dyDescent="0.3">
      <c r="A4432" t="str">
        <f>"19:50:35.781"</f>
        <v>19:50:35.781</v>
      </c>
      <c r="B4432" t="s">
        <v>110</v>
      </c>
      <c r="C4432" t="str">
        <f t="shared" si="209"/>
        <v>ffdfd3c0</v>
      </c>
      <c r="D4432" t="s">
        <v>111</v>
      </c>
      <c r="E4432">
        <v>18</v>
      </c>
      <c r="F4432">
        <v>1018</v>
      </c>
      <c r="G4432" t="s">
        <v>112</v>
      </c>
      <c r="J4432" t="s">
        <v>113</v>
      </c>
      <c r="K4432">
        <v>0</v>
      </c>
      <c r="L4432">
        <v>3</v>
      </c>
      <c r="M4432">
        <v>0</v>
      </c>
      <c r="N4432">
        <v>2</v>
      </c>
      <c r="O4432">
        <v>1</v>
      </c>
      <c r="P4432">
        <v>0</v>
      </c>
      <c r="Q4432">
        <v>0</v>
      </c>
      <c r="R4432" t="s">
        <v>114</v>
      </c>
      <c r="S4432" t="str">
        <f>"19:50:35.547"</f>
        <v>19:50:35.547</v>
      </c>
      <c r="T4432" t="str">
        <f>"19:50:35.047"</f>
        <v>19:50:35.047</v>
      </c>
      <c r="U4432" t="str">
        <f t="shared" si="210"/>
        <v>a1cdbe</v>
      </c>
      <c r="V4432">
        <v>0</v>
      </c>
      <c r="W4432">
        <v>0</v>
      </c>
      <c r="X4432">
        <v>2</v>
      </c>
      <c r="Y4432">
        <v>0</v>
      </c>
      <c r="Z4432">
        <v>0</v>
      </c>
      <c r="AB4432">
        <v>0</v>
      </c>
      <c r="AC4432">
        <v>9</v>
      </c>
      <c r="AD4432">
        <v>3</v>
      </c>
      <c r="AE4432">
        <v>0</v>
      </c>
      <c r="AF4432">
        <v>9</v>
      </c>
      <c r="AG4432" t="s">
        <v>115</v>
      </c>
      <c r="AH4432">
        <v>0</v>
      </c>
      <c r="AI4432">
        <v>0</v>
      </c>
      <c r="AJ4432">
        <v>1</v>
      </c>
      <c r="AK4432">
        <v>0</v>
      </c>
      <c r="AL4432" t="s">
        <v>8012</v>
      </c>
      <c r="AM4432">
        <v>47.058756000000002</v>
      </c>
      <c r="AN4432" t="s">
        <v>8013</v>
      </c>
      <c r="AO4432">
        <v>-124.043198</v>
      </c>
      <c r="AP4432">
        <v>100</v>
      </c>
      <c r="AQ4432">
        <v>700</v>
      </c>
      <c r="AR4432" t="s">
        <v>118</v>
      </c>
      <c r="AS4432">
        <v>-74</v>
      </c>
      <c r="AT4432">
        <v>-8</v>
      </c>
      <c r="AU4432">
        <v>1152</v>
      </c>
      <c r="BC4432">
        <v>1200</v>
      </c>
      <c r="BD4432">
        <v>1</v>
      </c>
      <c r="BE4432" t="str">
        <f t="shared" si="211"/>
        <v xml:space="preserve">N215T   </v>
      </c>
      <c r="BF4432">
        <v>1</v>
      </c>
      <c r="BH4432">
        <v>0</v>
      </c>
      <c r="BI4432">
        <v>0</v>
      </c>
      <c r="BJ4432">
        <v>0</v>
      </c>
      <c r="BK4432">
        <v>1075</v>
      </c>
      <c r="BL4432">
        <v>375</v>
      </c>
      <c r="BM4432" t="s">
        <v>119</v>
      </c>
      <c r="BN4432">
        <v>1</v>
      </c>
      <c r="BO4432">
        <v>1</v>
      </c>
      <c r="BP4432">
        <v>1</v>
      </c>
      <c r="BQ4432">
        <v>0</v>
      </c>
      <c r="BT4432">
        <v>0</v>
      </c>
      <c r="BU4432">
        <v>0</v>
      </c>
      <c r="BV4432">
        <v>0</v>
      </c>
      <c r="CC4432" t="str">
        <f>"19:50:35.547"</f>
        <v>19:50:35.547</v>
      </c>
      <c r="CD4432" t="str">
        <f>"550249701"</f>
        <v>550249701</v>
      </c>
      <c r="CQ4432">
        <v>0</v>
      </c>
      <c r="CR4432">
        <v>2</v>
      </c>
      <c r="CS4432">
        <v>0</v>
      </c>
      <c r="CT4432">
        <v>2</v>
      </c>
      <c r="CU4432">
        <v>0</v>
      </c>
      <c r="CV4432">
        <v>5</v>
      </c>
      <c r="CW4432" t="s">
        <v>120</v>
      </c>
      <c r="CX4432">
        <v>257</v>
      </c>
      <c r="CY4432">
        <v>0</v>
      </c>
      <c r="CZ4432" t="s">
        <v>615</v>
      </c>
      <c r="DA4432" t="s">
        <v>616</v>
      </c>
      <c r="DD4432">
        <v>30316</v>
      </c>
      <c r="DE4432" t="s">
        <v>123</v>
      </c>
    </row>
    <row r="4433" spans="1:109" x14ac:dyDescent="0.3">
      <c r="A4433" t="str">
        <f>"19:50:36.641"</f>
        <v>19:50:36.641</v>
      </c>
      <c r="B4433" t="s">
        <v>110</v>
      </c>
      <c r="C4433" t="str">
        <f t="shared" si="209"/>
        <v>ffdfd3c0</v>
      </c>
      <c r="D4433" t="s">
        <v>111</v>
      </c>
      <c r="E4433">
        <v>18</v>
      </c>
      <c r="F4433">
        <v>1018</v>
      </c>
      <c r="G4433" t="s">
        <v>112</v>
      </c>
      <c r="J4433" t="s">
        <v>113</v>
      </c>
      <c r="K4433">
        <v>0</v>
      </c>
      <c r="L4433">
        <v>3</v>
      </c>
      <c r="M4433">
        <v>0</v>
      </c>
      <c r="N4433">
        <v>2</v>
      </c>
      <c r="O4433">
        <v>1</v>
      </c>
      <c r="P4433">
        <v>0</v>
      </c>
      <c r="Q4433">
        <v>0</v>
      </c>
      <c r="R4433" t="s">
        <v>114</v>
      </c>
      <c r="S4433" t="str">
        <f>"19:50:36.398"</f>
        <v>19:50:36.398</v>
      </c>
      <c r="T4433" t="str">
        <f>"19:50:36.195"</f>
        <v>19:50:36.195</v>
      </c>
      <c r="U4433" t="str">
        <f t="shared" si="210"/>
        <v>a1cdbe</v>
      </c>
      <c r="V4433">
        <v>0</v>
      </c>
      <c r="W4433">
        <v>0</v>
      </c>
      <c r="X4433">
        <v>2</v>
      </c>
      <c r="Y4433">
        <v>0</v>
      </c>
      <c r="Z4433">
        <v>0</v>
      </c>
      <c r="AB4433">
        <v>0</v>
      </c>
      <c r="AC4433">
        <v>9</v>
      </c>
      <c r="AD4433">
        <v>3</v>
      </c>
      <c r="AE4433">
        <v>0</v>
      </c>
      <c r="AF4433">
        <v>9</v>
      </c>
      <c r="AG4433" t="s">
        <v>115</v>
      </c>
      <c r="AH4433">
        <v>0</v>
      </c>
      <c r="AI4433">
        <v>0</v>
      </c>
      <c r="AJ4433">
        <v>1</v>
      </c>
      <c r="AK4433">
        <v>0</v>
      </c>
      <c r="AL4433" t="s">
        <v>8014</v>
      </c>
      <c r="AM4433">
        <v>47.058692000000001</v>
      </c>
      <c r="AN4433" t="s">
        <v>8015</v>
      </c>
      <c r="AO4433">
        <v>-124.043605</v>
      </c>
      <c r="AP4433">
        <v>100</v>
      </c>
      <c r="AQ4433">
        <v>700</v>
      </c>
      <c r="AR4433" t="s">
        <v>118</v>
      </c>
      <c r="AS4433">
        <v>-74</v>
      </c>
      <c r="AT4433">
        <v>-10</v>
      </c>
      <c r="AU4433">
        <v>1152</v>
      </c>
      <c r="BC4433">
        <v>1200</v>
      </c>
      <c r="BD4433">
        <v>1</v>
      </c>
      <c r="BE4433" t="str">
        <f t="shared" si="211"/>
        <v xml:space="preserve">N215T   </v>
      </c>
      <c r="BF4433">
        <v>1</v>
      </c>
      <c r="BH4433">
        <v>0</v>
      </c>
      <c r="BI4433">
        <v>0</v>
      </c>
      <c r="BJ4433">
        <v>0</v>
      </c>
      <c r="BK4433">
        <v>1100</v>
      </c>
      <c r="BL4433">
        <v>400</v>
      </c>
      <c r="BM4433" t="s">
        <v>119</v>
      </c>
      <c r="BN4433">
        <v>1</v>
      </c>
      <c r="BO4433">
        <v>1</v>
      </c>
      <c r="BP4433">
        <v>1</v>
      </c>
      <c r="BQ4433">
        <v>0</v>
      </c>
      <c r="BT4433">
        <v>0</v>
      </c>
      <c r="BU4433">
        <v>0</v>
      </c>
      <c r="BV4433">
        <v>0</v>
      </c>
      <c r="CC4433" t="str">
        <f>"19:50:36.406"</f>
        <v>19:50:36.406</v>
      </c>
      <c r="CD4433" t="str">
        <f>"405165450"</f>
        <v>405165450</v>
      </c>
      <c r="CQ4433">
        <v>0</v>
      </c>
      <c r="CR4433">
        <v>2</v>
      </c>
      <c r="CS4433">
        <v>0</v>
      </c>
      <c r="CT4433">
        <v>2</v>
      </c>
      <c r="CU4433">
        <v>0</v>
      </c>
      <c r="CV4433">
        <v>5</v>
      </c>
      <c r="CW4433" t="s">
        <v>120</v>
      </c>
      <c r="CX4433">
        <v>257</v>
      </c>
      <c r="CY4433">
        <v>0</v>
      </c>
      <c r="CZ4433" t="s">
        <v>615</v>
      </c>
      <c r="DA4433" t="s">
        <v>616</v>
      </c>
      <c r="DD4433">
        <v>30606</v>
      </c>
      <c r="DE4433" t="s">
        <v>123</v>
      </c>
    </row>
    <row r="4434" spans="1:109" x14ac:dyDescent="0.3">
      <c r="A4434" t="str">
        <f>"19:50:37.594"</f>
        <v>19:50:37.594</v>
      </c>
      <c r="B4434" t="s">
        <v>110</v>
      </c>
      <c r="C4434" t="str">
        <f t="shared" si="209"/>
        <v>ffdfd3c0</v>
      </c>
      <c r="D4434" t="s">
        <v>111</v>
      </c>
      <c r="E4434">
        <v>18</v>
      </c>
      <c r="F4434">
        <v>1018</v>
      </c>
      <c r="G4434" t="s">
        <v>112</v>
      </c>
      <c r="J4434" t="s">
        <v>113</v>
      </c>
      <c r="K4434">
        <v>0</v>
      </c>
      <c r="L4434">
        <v>3</v>
      </c>
      <c r="M4434">
        <v>0</v>
      </c>
      <c r="N4434">
        <v>2</v>
      </c>
      <c r="O4434">
        <v>1</v>
      </c>
      <c r="P4434">
        <v>0</v>
      </c>
      <c r="Q4434">
        <v>0</v>
      </c>
      <c r="R4434" t="s">
        <v>114</v>
      </c>
      <c r="S4434" t="str">
        <f>"19:50:37.313"</f>
        <v>19:50:37.313</v>
      </c>
      <c r="T4434" t="str">
        <f>"19:50:37.016"</f>
        <v>19:50:37.016</v>
      </c>
      <c r="U4434" t="str">
        <f t="shared" si="210"/>
        <v>a1cdbe</v>
      </c>
      <c r="V4434">
        <v>0</v>
      </c>
      <c r="W4434">
        <v>0</v>
      </c>
      <c r="X4434">
        <v>2</v>
      </c>
      <c r="Y4434">
        <v>0</v>
      </c>
      <c r="Z4434">
        <v>0</v>
      </c>
      <c r="AB4434">
        <v>0</v>
      </c>
      <c r="AC4434">
        <v>9</v>
      </c>
      <c r="AD4434">
        <v>3</v>
      </c>
      <c r="AE4434">
        <v>0</v>
      </c>
      <c r="AF4434">
        <v>9</v>
      </c>
      <c r="AG4434" t="s">
        <v>115</v>
      </c>
      <c r="AH4434">
        <v>0</v>
      </c>
      <c r="AI4434">
        <v>0</v>
      </c>
      <c r="AJ4434">
        <v>1</v>
      </c>
      <c r="AK4434">
        <v>0</v>
      </c>
      <c r="AL4434" t="s">
        <v>7743</v>
      </c>
      <c r="AM4434">
        <v>47.058649000000003</v>
      </c>
      <c r="AN4434" t="s">
        <v>8016</v>
      </c>
      <c r="AO4434">
        <v>-124.044099</v>
      </c>
      <c r="AP4434">
        <v>100</v>
      </c>
      <c r="AQ4434">
        <v>800</v>
      </c>
      <c r="AR4434" t="s">
        <v>118</v>
      </c>
      <c r="AS4434">
        <v>-74</v>
      </c>
      <c r="AT4434">
        <v>-10</v>
      </c>
      <c r="AU4434">
        <v>1088</v>
      </c>
      <c r="BC4434">
        <v>1200</v>
      </c>
      <c r="BD4434">
        <v>1</v>
      </c>
      <c r="BE4434" t="str">
        <f t="shared" si="211"/>
        <v xml:space="preserve">N215T   </v>
      </c>
      <c r="BF4434">
        <v>1</v>
      </c>
      <c r="BH4434">
        <v>0</v>
      </c>
      <c r="BI4434">
        <v>0</v>
      </c>
      <c r="BJ4434">
        <v>0</v>
      </c>
      <c r="BK4434">
        <v>1025</v>
      </c>
      <c r="BL4434">
        <v>225</v>
      </c>
      <c r="BM4434" t="s">
        <v>119</v>
      </c>
      <c r="BN4434">
        <v>1</v>
      </c>
      <c r="BO4434">
        <v>1</v>
      </c>
      <c r="BP4434">
        <v>1</v>
      </c>
      <c r="BQ4434">
        <v>0</v>
      </c>
      <c r="BT4434">
        <v>0</v>
      </c>
      <c r="BU4434">
        <v>0</v>
      </c>
      <c r="BV4434">
        <v>0</v>
      </c>
      <c r="CC4434" t="str">
        <f>"19:50:37.320"</f>
        <v>19:50:37.320</v>
      </c>
      <c r="CD4434" t="str">
        <f>"320075296"</f>
        <v>320075296</v>
      </c>
      <c r="CQ4434">
        <v>0</v>
      </c>
      <c r="CR4434">
        <v>2</v>
      </c>
      <c r="CS4434">
        <v>0</v>
      </c>
      <c r="CT4434">
        <v>2</v>
      </c>
      <c r="CU4434">
        <v>0</v>
      </c>
      <c r="CV4434">
        <v>5</v>
      </c>
      <c r="CW4434" t="s">
        <v>120</v>
      </c>
      <c r="CX4434">
        <v>257</v>
      </c>
      <c r="CY4434">
        <v>0</v>
      </c>
      <c r="CZ4434" t="s">
        <v>615</v>
      </c>
      <c r="DA4434" t="s">
        <v>616</v>
      </c>
      <c r="DD4434">
        <v>30878</v>
      </c>
      <c r="DE4434" t="s">
        <v>123</v>
      </c>
    </row>
    <row r="4435" spans="1:109" x14ac:dyDescent="0.3">
      <c r="A4435" t="str">
        <f>"19:50:38.500"</f>
        <v>19:50:38.500</v>
      </c>
      <c r="B4435" t="s">
        <v>110</v>
      </c>
      <c r="C4435" t="str">
        <f t="shared" si="209"/>
        <v>ffdfd3c0</v>
      </c>
      <c r="D4435" t="s">
        <v>111</v>
      </c>
      <c r="E4435">
        <v>18</v>
      </c>
      <c r="F4435">
        <v>1018</v>
      </c>
      <c r="G4435" t="s">
        <v>112</v>
      </c>
      <c r="J4435" t="s">
        <v>113</v>
      </c>
      <c r="K4435">
        <v>0</v>
      </c>
      <c r="L4435">
        <v>3</v>
      </c>
      <c r="M4435">
        <v>0</v>
      </c>
      <c r="N4435">
        <v>2</v>
      </c>
      <c r="O4435">
        <v>1</v>
      </c>
      <c r="P4435">
        <v>0</v>
      </c>
      <c r="Q4435">
        <v>0</v>
      </c>
      <c r="R4435" t="s">
        <v>114</v>
      </c>
      <c r="S4435" t="str">
        <f>"19:50:38.242"</f>
        <v>19:50:38.242</v>
      </c>
      <c r="T4435" t="str">
        <f>"19:50:38.039"</f>
        <v>19:50:38.039</v>
      </c>
      <c r="U4435" t="str">
        <f t="shared" si="210"/>
        <v>a1cdbe</v>
      </c>
      <c r="V4435">
        <v>0</v>
      </c>
      <c r="W4435">
        <v>0</v>
      </c>
      <c r="X4435">
        <v>2</v>
      </c>
      <c r="Y4435">
        <v>0</v>
      </c>
      <c r="Z4435">
        <v>0</v>
      </c>
      <c r="AB4435">
        <v>0</v>
      </c>
      <c r="AC4435">
        <v>9</v>
      </c>
      <c r="AD4435">
        <v>3</v>
      </c>
      <c r="AE4435">
        <v>0</v>
      </c>
      <c r="AF4435">
        <v>9</v>
      </c>
      <c r="AG4435" t="s">
        <v>115</v>
      </c>
      <c r="AH4435">
        <v>0</v>
      </c>
      <c r="AI4435">
        <v>0</v>
      </c>
      <c r="AJ4435">
        <v>1</v>
      </c>
      <c r="AK4435">
        <v>0</v>
      </c>
      <c r="AL4435" t="s">
        <v>7669</v>
      </c>
      <c r="AM4435">
        <v>47.058627999999999</v>
      </c>
      <c r="AN4435" t="s">
        <v>8017</v>
      </c>
      <c r="AO4435">
        <v>-124.044528</v>
      </c>
      <c r="AP4435">
        <v>100</v>
      </c>
      <c r="AQ4435">
        <v>800</v>
      </c>
      <c r="AR4435" t="s">
        <v>118</v>
      </c>
      <c r="AS4435">
        <v>-74</v>
      </c>
      <c r="AT4435">
        <v>-10</v>
      </c>
      <c r="AU4435">
        <v>1088</v>
      </c>
      <c r="BC4435">
        <v>1200</v>
      </c>
      <c r="BD4435">
        <v>1</v>
      </c>
      <c r="BE4435" t="str">
        <f t="shared" si="211"/>
        <v xml:space="preserve">N215T   </v>
      </c>
      <c r="BF4435">
        <v>1</v>
      </c>
      <c r="BH4435">
        <v>0</v>
      </c>
      <c r="BI4435">
        <v>0</v>
      </c>
      <c r="BJ4435">
        <v>0</v>
      </c>
      <c r="BK4435">
        <v>1150</v>
      </c>
      <c r="BL4435">
        <v>350</v>
      </c>
      <c r="BM4435" t="s">
        <v>119</v>
      </c>
      <c r="BN4435">
        <v>1</v>
      </c>
      <c r="BO4435">
        <v>1</v>
      </c>
      <c r="BP4435">
        <v>1</v>
      </c>
      <c r="BQ4435">
        <v>0</v>
      </c>
      <c r="BT4435">
        <v>0</v>
      </c>
      <c r="BU4435">
        <v>0</v>
      </c>
      <c r="BV4435">
        <v>0</v>
      </c>
      <c r="CC4435" t="str">
        <f>"19:50:38.250"</f>
        <v>19:50:38.250</v>
      </c>
      <c r="CD4435" t="str">
        <f>"249983681"</f>
        <v>249983681</v>
      </c>
      <c r="CQ4435">
        <v>0</v>
      </c>
      <c r="CR4435">
        <v>2</v>
      </c>
      <c r="CS4435">
        <v>0</v>
      </c>
      <c r="CT4435">
        <v>2</v>
      </c>
      <c r="CU4435">
        <v>0</v>
      </c>
      <c r="CV4435">
        <v>4</v>
      </c>
      <c r="CW4435" t="s">
        <v>120</v>
      </c>
      <c r="CX4435">
        <v>257</v>
      </c>
      <c r="CY4435">
        <v>0</v>
      </c>
      <c r="CZ4435" t="s">
        <v>615</v>
      </c>
      <c r="DA4435" t="s">
        <v>616</v>
      </c>
      <c r="DD4435">
        <v>31179</v>
      </c>
      <c r="DE4435" t="s">
        <v>123</v>
      </c>
    </row>
    <row r="4436" spans="1:109" x14ac:dyDescent="0.3">
      <c r="A4436" t="str">
        <f>"19:50:39.602"</f>
        <v>19:50:39.602</v>
      </c>
      <c r="B4436" t="s">
        <v>110</v>
      </c>
      <c r="C4436" t="str">
        <f t="shared" si="209"/>
        <v>ffdfd3c0</v>
      </c>
      <c r="D4436" t="s">
        <v>111</v>
      </c>
      <c r="E4436">
        <v>18</v>
      </c>
      <c r="F4436">
        <v>1018</v>
      </c>
      <c r="G4436" t="s">
        <v>112</v>
      </c>
      <c r="J4436" t="s">
        <v>113</v>
      </c>
      <c r="K4436">
        <v>0</v>
      </c>
      <c r="L4436">
        <v>3</v>
      </c>
      <c r="M4436">
        <v>0</v>
      </c>
      <c r="N4436">
        <v>2</v>
      </c>
      <c r="O4436">
        <v>1</v>
      </c>
      <c r="P4436">
        <v>0</v>
      </c>
      <c r="Q4436">
        <v>0</v>
      </c>
      <c r="R4436" t="s">
        <v>114</v>
      </c>
      <c r="S4436" t="str">
        <f>"19:50:39.344"</f>
        <v>19:50:39.344</v>
      </c>
      <c r="T4436" t="str">
        <f>"19:50:39.047"</f>
        <v>19:50:39.047</v>
      </c>
      <c r="U4436" t="str">
        <f t="shared" si="210"/>
        <v>a1cdbe</v>
      </c>
      <c r="V4436">
        <v>0</v>
      </c>
      <c r="W4436">
        <v>0</v>
      </c>
      <c r="X4436">
        <v>2</v>
      </c>
      <c r="Y4436">
        <v>0</v>
      </c>
      <c r="Z4436">
        <v>0</v>
      </c>
      <c r="AB4436">
        <v>0</v>
      </c>
      <c r="AC4436">
        <v>9</v>
      </c>
      <c r="AD4436">
        <v>3</v>
      </c>
      <c r="AE4436">
        <v>0</v>
      </c>
      <c r="AF4436">
        <v>9</v>
      </c>
      <c r="AG4436" t="s">
        <v>115</v>
      </c>
      <c r="AH4436">
        <v>0</v>
      </c>
      <c r="AI4436">
        <v>0</v>
      </c>
      <c r="AJ4436">
        <v>1</v>
      </c>
      <c r="AK4436">
        <v>0</v>
      </c>
      <c r="AL4436" t="s">
        <v>7653</v>
      </c>
      <c r="AM4436">
        <v>47.058562999999999</v>
      </c>
      <c r="AN4436" t="s">
        <v>8018</v>
      </c>
      <c r="AO4436">
        <v>-124.045129</v>
      </c>
      <c r="AP4436">
        <v>100</v>
      </c>
      <c r="AQ4436">
        <v>800</v>
      </c>
      <c r="AR4436" t="s">
        <v>118</v>
      </c>
      <c r="AS4436">
        <v>-74</v>
      </c>
      <c r="AT4436">
        <v>-10</v>
      </c>
      <c r="AU4436">
        <v>960</v>
      </c>
      <c r="BC4436">
        <v>1200</v>
      </c>
      <c r="BD4436">
        <v>1</v>
      </c>
      <c r="BE4436" t="str">
        <f t="shared" si="211"/>
        <v xml:space="preserve">N215T   </v>
      </c>
      <c r="BF4436">
        <v>1</v>
      </c>
      <c r="BH4436">
        <v>0</v>
      </c>
      <c r="BI4436">
        <v>0</v>
      </c>
      <c r="BJ4436">
        <v>0</v>
      </c>
      <c r="BK4436">
        <v>1150</v>
      </c>
      <c r="BL4436">
        <v>350</v>
      </c>
      <c r="BM4436" t="s">
        <v>119</v>
      </c>
      <c r="BN4436">
        <v>1</v>
      </c>
      <c r="BO4436">
        <v>1</v>
      </c>
      <c r="BP4436">
        <v>1</v>
      </c>
      <c r="BQ4436">
        <v>0</v>
      </c>
      <c r="BT4436">
        <v>0</v>
      </c>
      <c r="BU4436">
        <v>0</v>
      </c>
      <c r="BV4436">
        <v>0</v>
      </c>
      <c r="CC4436" t="str">
        <f>"19:50:39.344"</f>
        <v>19:50:39.344</v>
      </c>
      <c r="CD4436" t="str">
        <f>"344875769"</f>
        <v>344875769</v>
      </c>
      <c r="CQ4436">
        <v>0</v>
      </c>
      <c r="CR4436">
        <v>2</v>
      </c>
      <c r="CS4436">
        <v>0</v>
      </c>
      <c r="CT4436">
        <v>2</v>
      </c>
      <c r="CU4436">
        <v>0</v>
      </c>
      <c r="CV4436">
        <v>5</v>
      </c>
      <c r="CW4436" t="s">
        <v>120</v>
      </c>
      <c r="CX4436">
        <v>257</v>
      </c>
      <c r="CY4436">
        <v>0</v>
      </c>
      <c r="CZ4436" t="s">
        <v>615</v>
      </c>
      <c r="DA4436" t="s">
        <v>616</v>
      </c>
      <c r="DD4436">
        <v>31489</v>
      </c>
      <c r="DE4436" t="s">
        <v>123</v>
      </c>
    </row>
    <row r="4437" spans="1:109" x14ac:dyDescent="0.3">
      <c r="A4437" t="str">
        <f>"19:50:40.609"</f>
        <v>19:50:40.609</v>
      </c>
      <c r="B4437" t="s">
        <v>110</v>
      </c>
      <c r="C4437" t="str">
        <f t="shared" ref="C4437:C4468" si="212">"ffdfd3c0"</f>
        <v>ffdfd3c0</v>
      </c>
      <c r="D4437" t="s">
        <v>111</v>
      </c>
      <c r="E4437">
        <v>18</v>
      </c>
      <c r="F4437">
        <v>1018</v>
      </c>
      <c r="G4437" t="s">
        <v>112</v>
      </c>
      <c r="J4437" t="s">
        <v>113</v>
      </c>
      <c r="K4437">
        <v>0</v>
      </c>
      <c r="L4437">
        <v>3</v>
      </c>
      <c r="M4437">
        <v>0</v>
      </c>
      <c r="N4437">
        <v>2</v>
      </c>
      <c r="O4437">
        <v>1</v>
      </c>
      <c r="P4437">
        <v>0</v>
      </c>
      <c r="Q4437">
        <v>0</v>
      </c>
      <c r="R4437" t="s">
        <v>114</v>
      </c>
      <c r="S4437" t="str">
        <f>"19:50:40.359"</f>
        <v>19:50:40.359</v>
      </c>
      <c r="T4437" t="str">
        <f>"19:50:40.156"</f>
        <v>19:50:40.156</v>
      </c>
      <c r="U4437" t="str">
        <f t="shared" si="210"/>
        <v>a1cdbe</v>
      </c>
      <c r="V4437">
        <v>0</v>
      </c>
      <c r="W4437">
        <v>0</v>
      </c>
      <c r="X4437">
        <v>2</v>
      </c>
      <c r="Y4437">
        <v>0</v>
      </c>
      <c r="Z4437">
        <v>0</v>
      </c>
      <c r="AB4437">
        <v>0</v>
      </c>
      <c r="AC4437">
        <v>9</v>
      </c>
      <c r="AD4437">
        <v>3</v>
      </c>
      <c r="AE4437">
        <v>0</v>
      </c>
      <c r="AF4437">
        <v>9</v>
      </c>
      <c r="AG4437" t="s">
        <v>115</v>
      </c>
      <c r="AH4437">
        <v>0</v>
      </c>
      <c r="AI4437">
        <v>0</v>
      </c>
      <c r="AJ4437">
        <v>1</v>
      </c>
      <c r="AK4437">
        <v>0</v>
      </c>
      <c r="AL4437" t="s">
        <v>518</v>
      </c>
      <c r="AM4437">
        <v>47.058520000000001</v>
      </c>
      <c r="AN4437" t="s">
        <v>8019</v>
      </c>
      <c r="AO4437">
        <v>-124.045601</v>
      </c>
      <c r="AP4437">
        <v>100</v>
      </c>
      <c r="AQ4437">
        <v>800</v>
      </c>
      <c r="AR4437" t="s">
        <v>118</v>
      </c>
      <c r="AS4437">
        <v>-74</v>
      </c>
      <c r="AT4437">
        <v>-11</v>
      </c>
      <c r="AU4437">
        <v>832</v>
      </c>
      <c r="BC4437">
        <v>1200</v>
      </c>
      <c r="BD4437">
        <v>1</v>
      </c>
      <c r="BE4437" t="str">
        <f t="shared" si="211"/>
        <v xml:space="preserve">N215T   </v>
      </c>
      <c r="BF4437">
        <v>1</v>
      </c>
      <c r="BH4437">
        <v>0</v>
      </c>
      <c r="BI4437">
        <v>0</v>
      </c>
      <c r="BJ4437">
        <v>0</v>
      </c>
      <c r="BK4437">
        <v>1175</v>
      </c>
      <c r="BL4437">
        <v>375</v>
      </c>
      <c r="BM4437" t="s">
        <v>119</v>
      </c>
      <c r="BN4437">
        <v>1</v>
      </c>
      <c r="BO4437">
        <v>1</v>
      </c>
      <c r="BP4437">
        <v>1</v>
      </c>
      <c r="BQ4437">
        <v>0</v>
      </c>
      <c r="BT4437">
        <v>0</v>
      </c>
      <c r="BU4437">
        <v>0</v>
      </c>
      <c r="BV4437">
        <v>0</v>
      </c>
      <c r="CC4437" t="str">
        <f>"19:50:40.367"</f>
        <v>19:50:40.367</v>
      </c>
      <c r="CD4437" t="str">
        <f>"364775266"</f>
        <v>364775266</v>
      </c>
      <c r="CQ4437">
        <v>0</v>
      </c>
      <c r="CR4437">
        <v>2</v>
      </c>
      <c r="CS4437">
        <v>0</v>
      </c>
      <c r="CT4437">
        <v>2</v>
      </c>
      <c r="CU4437">
        <v>0</v>
      </c>
      <c r="CV4437">
        <v>5</v>
      </c>
      <c r="CW4437" t="s">
        <v>120</v>
      </c>
      <c r="CX4437">
        <v>257</v>
      </c>
      <c r="CY4437">
        <v>0</v>
      </c>
      <c r="CZ4437" t="s">
        <v>615</v>
      </c>
      <c r="DA4437" t="s">
        <v>616</v>
      </c>
      <c r="DD4437">
        <v>31800</v>
      </c>
      <c r="DE4437" t="s">
        <v>123</v>
      </c>
    </row>
    <row r="4438" spans="1:109" x14ac:dyDescent="0.3">
      <c r="A4438" t="str">
        <f>"19:50:41.766"</f>
        <v>19:50:41.766</v>
      </c>
      <c r="B4438" t="s">
        <v>110</v>
      </c>
      <c r="C4438" t="str">
        <f t="shared" si="212"/>
        <v>ffdfd3c0</v>
      </c>
      <c r="D4438" t="s">
        <v>111</v>
      </c>
      <c r="E4438">
        <v>18</v>
      </c>
      <c r="F4438">
        <v>1018</v>
      </c>
      <c r="G4438" t="s">
        <v>112</v>
      </c>
      <c r="J4438" t="s">
        <v>113</v>
      </c>
      <c r="K4438">
        <v>0</v>
      </c>
      <c r="L4438">
        <v>3</v>
      </c>
      <c r="M4438">
        <v>0</v>
      </c>
      <c r="N4438">
        <v>2</v>
      </c>
      <c r="O4438">
        <v>1</v>
      </c>
      <c r="P4438">
        <v>0</v>
      </c>
      <c r="Q4438">
        <v>0</v>
      </c>
      <c r="R4438" t="s">
        <v>114</v>
      </c>
      <c r="S4438" t="str">
        <f>"19:50:41.531"</f>
        <v>19:50:41.531</v>
      </c>
      <c r="T4438" t="str">
        <f>"19:50:41.133"</f>
        <v>19:50:41.133</v>
      </c>
      <c r="U4438" t="str">
        <f t="shared" si="210"/>
        <v>a1cdbe</v>
      </c>
      <c r="V4438">
        <v>0</v>
      </c>
      <c r="W4438">
        <v>0</v>
      </c>
      <c r="X4438">
        <v>2</v>
      </c>
      <c r="Y4438">
        <v>0</v>
      </c>
      <c r="Z4438">
        <v>0</v>
      </c>
      <c r="AB4438">
        <v>0</v>
      </c>
      <c r="AC4438">
        <v>9</v>
      </c>
      <c r="AD4438">
        <v>3</v>
      </c>
      <c r="AE4438">
        <v>0</v>
      </c>
      <c r="AF4438">
        <v>9</v>
      </c>
      <c r="AG4438" t="s">
        <v>115</v>
      </c>
      <c r="AH4438">
        <v>0</v>
      </c>
      <c r="AI4438">
        <v>0</v>
      </c>
      <c r="AJ4438">
        <v>1</v>
      </c>
      <c r="AK4438">
        <v>0</v>
      </c>
      <c r="AL4438" t="s">
        <v>7745</v>
      </c>
      <c r="AM4438">
        <v>47.058456</v>
      </c>
      <c r="AN4438" t="s">
        <v>8020</v>
      </c>
      <c r="AO4438">
        <v>-124.04620199999999</v>
      </c>
      <c r="AP4438">
        <v>100</v>
      </c>
      <c r="AQ4438">
        <v>800</v>
      </c>
      <c r="AR4438" t="s">
        <v>118</v>
      </c>
      <c r="AS4438">
        <v>-74</v>
      </c>
      <c r="AT4438">
        <v>-11</v>
      </c>
      <c r="AU4438">
        <v>832</v>
      </c>
      <c r="BC4438">
        <v>1200</v>
      </c>
      <c r="BD4438">
        <v>1</v>
      </c>
      <c r="BE4438" t="str">
        <f t="shared" si="211"/>
        <v xml:space="preserve">N215T   </v>
      </c>
      <c r="BF4438">
        <v>1</v>
      </c>
      <c r="BH4438">
        <v>0</v>
      </c>
      <c r="BI4438">
        <v>0</v>
      </c>
      <c r="BJ4438">
        <v>0</v>
      </c>
      <c r="BK4438">
        <v>1200</v>
      </c>
      <c r="BL4438">
        <v>400</v>
      </c>
      <c r="BM4438" t="s">
        <v>119</v>
      </c>
      <c r="BN4438">
        <v>1</v>
      </c>
      <c r="BO4438">
        <v>1</v>
      </c>
      <c r="BP4438">
        <v>1</v>
      </c>
      <c r="BQ4438">
        <v>0</v>
      </c>
      <c r="BT4438">
        <v>0</v>
      </c>
      <c r="BU4438">
        <v>0</v>
      </c>
      <c r="BV4438">
        <v>0</v>
      </c>
      <c r="CC4438" t="str">
        <f>"19:50:41.531"</f>
        <v>19:50:41.531</v>
      </c>
      <c r="CD4438" t="str">
        <f>"534659997"</f>
        <v>534659997</v>
      </c>
      <c r="CQ4438">
        <v>0</v>
      </c>
      <c r="CR4438">
        <v>2</v>
      </c>
      <c r="CS4438">
        <v>0</v>
      </c>
      <c r="CT4438">
        <v>2</v>
      </c>
      <c r="CU4438">
        <v>0</v>
      </c>
      <c r="CV4438">
        <v>5</v>
      </c>
      <c r="CW4438" t="s">
        <v>120</v>
      </c>
      <c r="CX4438">
        <v>257</v>
      </c>
      <c r="CY4438">
        <v>0</v>
      </c>
      <c r="CZ4438" t="s">
        <v>615</v>
      </c>
      <c r="DA4438" t="s">
        <v>616</v>
      </c>
      <c r="DD4438">
        <v>32169</v>
      </c>
      <c r="DE4438" t="s">
        <v>123</v>
      </c>
    </row>
    <row r="4439" spans="1:109" x14ac:dyDescent="0.3">
      <c r="A4439" t="str">
        <f>"19:50:42.820"</f>
        <v>19:50:42.820</v>
      </c>
      <c r="B4439" t="s">
        <v>110</v>
      </c>
      <c r="C4439" t="str">
        <f t="shared" si="212"/>
        <v>ffdfd3c0</v>
      </c>
      <c r="D4439" t="s">
        <v>111</v>
      </c>
      <c r="E4439">
        <v>18</v>
      </c>
      <c r="F4439">
        <v>1018</v>
      </c>
      <c r="G4439" t="s">
        <v>112</v>
      </c>
      <c r="J4439" t="s">
        <v>113</v>
      </c>
      <c r="K4439">
        <v>0</v>
      </c>
      <c r="L4439">
        <v>3</v>
      </c>
      <c r="M4439">
        <v>0</v>
      </c>
      <c r="N4439">
        <v>2</v>
      </c>
      <c r="O4439">
        <v>1</v>
      </c>
      <c r="P4439">
        <v>0</v>
      </c>
      <c r="Q4439">
        <v>0</v>
      </c>
      <c r="R4439" t="s">
        <v>114</v>
      </c>
      <c r="S4439" t="str">
        <f>"19:50:42.578"</f>
        <v>19:50:42.578</v>
      </c>
      <c r="T4439" t="str">
        <f>"19:50:42.078"</f>
        <v>19:50:42.078</v>
      </c>
      <c r="U4439" t="str">
        <f t="shared" si="210"/>
        <v>a1cdbe</v>
      </c>
      <c r="V4439">
        <v>0</v>
      </c>
      <c r="W4439">
        <v>0</v>
      </c>
      <c r="X4439">
        <v>2</v>
      </c>
      <c r="Y4439">
        <v>0</v>
      </c>
      <c r="Z4439">
        <v>0</v>
      </c>
      <c r="AB4439">
        <v>0</v>
      </c>
      <c r="AC4439">
        <v>9</v>
      </c>
      <c r="AD4439">
        <v>3</v>
      </c>
      <c r="AE4439">
        <v>0</v>
      </c>
      <c r="AF4439">
        <v>9</v>
      </c>
      <c r="AG4439" t="s">
        <v>115</v>
      </c>
      <c r="AH4439">
        <v>0</v>
      </c>
      <c r="AI4439">
        <v>0</v>
      </c>
      <c r="AJ4439">
        <v>1</v>
      </c>
      <c r="AK4439">
        <v>0</v>
      </c>
      <c r="AL4439" t="s">
        <v>8021</v>
      </c>
      <c r="AM4439">
        <v>47.058391999999998</v>
      </c>
      <c r="AN4439" t="s">
        <v>8022</v>
      </c>
      <c r="AO4439">
        <v>-124.046781</v>
      </c>
      <c r="AP4439">
        <v>100</v>
      </c>
      <c r="AQ4439">
        <v>800</v>
      </c>
      <c r="AR4439" t="s">
        <v>118</v>
      </c>
      <c r="AS4439">
        <v>-74</v>
      </c>
      <c r="AT4439">
        <v>-11</v>
      </c>
      <c r="AU4439">
        <v>768</v>
      </c>
      <c r="BC4439">
        <v>1200</v>
      </c>
      <c r="BD4439">
        <v>1</v>
      </c>
      <c r="BE4439" t="str">
        <f t="shared" si="211"/>
        <v xml:space="preserve">N215T   </v>
      </c>
      <c r="BF4439">
        <v>1</v>
      </c>
      <c r="BH4439">
        <v>0</v>
      </c>
      <c r="BI4439">
        <v>0</v>
      </c>
      <c r="BJ4439">
        <v>0</v>
      </c>
      <c r="BK4439">
        <v>1200</v>
      </c>
      <c r="BL4439">
        <v>400</v>
      </c>
      <c r="BM4439" t="s">
        <v>119</v>
      </c>
      <c r="BN4439">
        <v>1</v>
      </c>
      <c r="BO4439">
        <v>1</v>
      </c>
      <c r="BP4439">
        <v>1</v>
      </c>
      <c r="BQ4439">
        <v>0</v>
      </c>
      <c r="BT4439">
        <v>0</v>
      </c>
      <c r="BU4439">
        <v>0</v>
      </c>
      <c r="BV4439">
        <v>0</v>
      </c>
      <c r="CC4439" t="str">
        <f>"19:50:42.586"</f>
        <v>19:50:42.586</v>
      </c>
      <c r="CD4439" t="str">
        <f>"584556538"</f>
        <v>584556538</v>
      </c>
      <c r="CQ4439">
        <v>0</v>
      </c>
      <c r="CR4439">
        <v>2</v>
      </c>
      <c r="CS4439">
        <v>0</v>
      </c>
      <c r="CT4439">
        <v>2</v>
      </c>
      <c r="CU4439">
        <v>0</v>
      </c>
      <c r="CV4439">
        <v>4</v>
      </c>
      <c r="CW4439" t="s">
        <v>120</v>
      </c>
      <c r="CX4439">
        <v>257</v>
      </c>
      <c r="CY4439">
        <v>0</v>
      </c>
      <c r="CZ4439" t="s">
        <v>615</v>
      </c>
      <c r="DA4439" t="s">
        <v>616</v>
      </c>
      <c r="DD4439">
        <v>32509</v>
      </c>
      <c r="DE4439" t="s">
        <v>123</v>
      </c>
    </row>
    <row r="4440" spans="1:109" x14ac:dyDescent="0.3">
      <c r="A4440" t="str">
        <f>"19:50:43.930"</f>
        <v>19:50:43.930</v>
      </c>
      <c r="B4440" t="s">
        <v>110</v>
      </c>
      <c r="C4440" t="str">
        <f t="shared" si="212"/>
        <v>ffdfd3c0</v>
      </c>
      <c r="D4440" t="s">
        <v>111</v>
      </c>
      <c r="E4440">
        <v>18</v>
      </c>
      <c r="F4440">
        <v>1018</v>
      </c>
      <c r="G4440" t="s">
        <v>112</v>
      </c>
      <c r="J4440" t="s">
        <v>113</v>
      </c>
      <c r="K4440">
        <v>0</v>
      </c>
      <c r="L4440">
        <v>3</v>
      </c>
      <c r="M4440">
        <v>0</v>
      </c>
      <c r="N4440">
        <v>2</v>
      </c>
      <c r="O4440">
        <v>1</v>
      </c>
      <c r="P4440">
        <v>0</v>
      </c>
      <c r="Q4440">
        <v>0</v>
      </c>
      <c r="R4440" t="s">
        <v>114</v>
      </c>
      <c r="S4440" t="str">
        <f>"19:50:43.672"</f>
        <v>19:50:43.672</v>
      </c>
      <c r="T4440" t="str">
        <f>"19:50:43.570"</f>
        <v>19:50:43.570</v>
      </c>
      <c r="U4440" t="str">
        <f t="shared" si="210"/>
        <v>a1cdbe</v>
      </c>
      <c r="V4440">
        <v>0</v>
      </c>
      <c r="W4440">
        <v>0</v>
      </c>
      <c r="X4440">
        <v>2</v>
      </c>
      <c r="Y4440">
        <v>0</v>
      </c>
      <c r="Z4440">
        <v>0</v>
      </c>
      <c r="AB4440">
        <v>0</v>
      </c>
      <c r="AC4440">
        <v>9</v>
      </c>
      <c r="AD4440">
        <v>3</v>
      </c>
      <c r="AE4440">
        <v>0</v>
      </c>
      <c r="AF4440">
        <v>9</v>
      </c>
      <c r="AG4440" t="s">
        <v>115</v>
      </c>
      <c r="AH4440">
        <v>0</v>
      </c>
      <c r="AI4440">
        <v>0</v>
      </c>
      <c r="AJ4440">
        <v>1</v>
      </c>
      <c r="AK4440">
        <v>0</v>
      </c>
      <c r="AL4440" t="s">
        <v>7350</v>
      </c>
      <c r="AM4440">
        <v>47.058369999999996</v>
      </c>
      <c r="AN4440" t="s">
        <v>8023</v>
      </c>
      <c r="AO4440">
        <v>-124.047318</v>
      </c>
      <c r="AP4440">
        <v>100</v>
      </c>
      <c r="AQ4440">
        <v>800</v>
      </c>
      <c r="AR4440" t="s">
        <v>118</v>
      </c>
      <c r="AS4440">
        <v>-75</v>
      </c>
      <c r="AT4440">
        <v>-10</v>
      </c>
      <c r="AU4440">
        <v>704</v>
      </c>
      <c r="BC4440">
        <v>1200</v>
      </c>
      <c r="BD4440">
        <v>1</v>
      </c>
      <c r="BE4440" t="str">
        <f t="shared" si="211"/>
        <v xml:space="preserve">N215T   </v>
      </c>
      <c r="BF4440">
        <v>1</v>
      </c>
      <c r="BH4440">
        <v>0</v>
      </c>
      <c r="BI4440">
        <v>0</v>
      </c>
      <c r="BJ4440">
        <v>0</v>
      </c>
      <c r="BK4440">
        <v>1225</v>
      </c>
      <c r="BL4440">
        <v>425</v>
      </c>
      <c r="BM4440" t="s">
        <v>119</v>
      </c>
      <c r="BN4440">
        <v>1</v>
      </c>
      <c r="BO4440">
        <v>1</v>
      </c>
      <c r="BP4440">
        <v>1</v>
      </c>
      <c r="BQ4440">
        <v>0</v>
      </c>
      <c r="BT4440">
        <v>0</v>
      </c>
      <c r="BU4440">
        <v>0</v>
      </c>
      <c r="BV4440">
        <v>0</v>
      </c>
      <c r="CC4440" t="str">
        <f>"19:50:43.680"</f>
        <v>19:50:43.680</v>
      </c>
      <c r="CD4440" t="str">
        <f>"679448639"</f>
        <v>679448639</v>
      </c>
      <c r="CQ4440">
        <v>0</v>
      </c>
      <c r="CR4440">
        <v>2</v>
      </c>
      <c r="CS4440">
        <v>0</v>
      </c>
      <c r="CT4440">
        <v>2</v>
      </c>
      <c r="CU4440">
        <v>0</v>
      </c>
      <c r="CV4440">
        <v>4</v>
      </c>
      <c r="CW4440" t="s">
        <v>120</v>
      </c>
      <c r="CX4440">
        <v>257</v>
      </c>
      <c r="CY4440">
        <v>0</v>
      </c>
      <c r="CZ4440" t="s">
        <v>615</v>
      </c>
      <c r="DA4440" t="s">
        <v>616</v>
      </c>
      <c r="DD4440">
        <v>32833</v>
      </c>
      <c r="DE4440" t="s">
        <v>123</v>
      </c>
    </row>
    <row r="4441" spans="1:109" x14ac:dyDescent="0.3">
      <c r="A4441" t="str">
        <f>"19:50:44.938"</f>
        <v>19:50:44.938</v>
      </c>
      <c r="B4441" t="s">
        <v>110</v>
      </c>
      <c r="C4441" t="str">
        <f t="shared" si="212"/>
        <v>ffdfd3c0</v>
      </c>
      <c r="D4441" t="s">
        <v>111</v>
      </c>
      <c r="E4441">
        <v>18</v>
      </c>
      <c r="F4441">
        <v>1018</v>
      </c>
      <c r="G4441" t="s">
        <v>112</v>
      </c>
      <c r="J4441" t="s">
        <v>113</v>
      </c>
      <c r="K4441">
        <v>0</v>
      </c>
      <c r="L4441">
        <v>3</v>
      </c>
      <c r="M4441">
        <v>0</v>
      </c>
      <c r="N4441">
        <v>2</v>
      </c>
      <c r="O4441">
        <v>1</v>
      </c>
      <c r="P4441">
        <v>0</v>
      </c>
      <c r="Q4441">
        <v>0</v>
      </c>
      <c r="R4441" t="s">
        <v>114</v>
      </c>
      <c r="S4441" t="str">
        <f>"19:50:44.680"</f>
        <v>19:50:44.680</v>
      </c>
      <c r="T4441" t="str">
        <f>"19:50:44.680"</f>
        <v>19:50:44.680</v>
      </c>
      <c r="U4441" t="str">
        <f t="shared" si="210"/>
        <v>a1cdbe</v>
      </c>
      <c r="V4441">
        <v>0</v>
      </c>
      <c r="W4441">
        <v>0</v>
      </c>
      <c r="X4441">
        <v>2</v>
      </c>
      <c r="Y4441">
        <v>0</v>
      </c>
      <c r="Z4441">
        <v>0</v>
      </c>
      <c r="AB4441">
        <v>0</v>
      </c>
      <c r="AC4441">
        <v>9</v>
      </c>
      <c r="AD4441">
        <v>3</v>
      </c>
      <c r="AE4441">
        <v>0</v>
      </c>
      <c r="AF4441">
        <v>9</v>
      </c>
      <c r="AG4441" t="s">
        <v>115</v>
      </c>
      <c r="AH4441">
        <v>0</v>
      </c>
      <c r="AI4441">
        <v>0</v>
      </c>
      <c r="AJ4441">
        <v>1</v>
      </c>
      <c r="AK4441">
        <v>0</v>
      </c>
      <c r="AL4441" t="s">
        <v>7666</v>
      </c>
      <c r="AM4441">
        <v>47.058306000000002</v>
      </c>
      <c r="AN4441" t="s">
        <v>8024</v>
      </c>
      <c r="AO4441">
        <v>-124.047832</v>
      </c>
      <c r="AP4441">
        <v>100</v>
      </c>
      <c r="AQ4441">
        <v>900</v>
      </c>
      <c r="AR4441" t="s">
        <v>118</v>
      </c>
      <c r="AS4441">
        <v>-75</v>
      </c>
      <c r="AT4441">
        <v>-9</v>
      </c>
      <c r="AU4441">
        <v>896</v>
      </c>
      <c r="BC4441">
        <v>1200</v>
      </c>
      <c r="BD4441">
        <v>1</v>
      </c>
      <c r="BE4441" t="str">
        <f t="shared" si="211"/>
        <v xml:space="preserve">N215T   </v>
      </c>
      <c r="BF4441">
        <v>1</v>
      </c>
      <c r="BH4441">
        <v>0</v>
      </c>
      <c r="BI4441">
        <v>0</v>
      </c>
      <c r="BJ4441">
        <v>0</v>
      </c>
      <c r="BK4441">
        <v>1225</v>
      </c>
      <c r="BL4441">
        <v>325</v>
      </c>
      <c r="BM4441" t="s">
        <v>119</v>
      </c>
      <c r="BN4441">
        <v>1</v>
      </c>
      <c r="BO4441">
        <v>1</v>
      </c>
      <c r="BP4441">
        <v>1</v>
      </c>
      <c r="BQ4441">
        <v>0</v>
      </c>
      <c r="BT4441">
        <v>0</v>
      </c>
      <c r="BU4441">
        <v>0</v>
      </c>
      <c r="BV4441">
        <v>0</v>
      </c>
      <c r="CC4441" t="str">
        <f>"19:50:44.688"</f>
        <v>19:50:44.688</v>
      </c>
      <c r="CD4441" t="str">
        <f>"684349640"</f>
        <v>684349640</v>
      </c>
      <c r="CQ4441">
        <v>0</v>
      </c>
      <c r="CR4441">
        <v>2</v>
      </c>
      <c r="CS4441">
        <v>0</v>
      </c>
      <c r="CT4441">
        <v>2</v>
      </c>
      <c r="CU4441">
        <v>0</v>
      </c>
      <c r="CV4441">
        <v>4</v>
      </c>
      <c r="CW4441" t="s">
        <v>120</v>
      </c>
      <c r="CX4441">
        <v>257</v>
      </c>
      <c r="CY4441">
        <v>0</v>
      </c>
      <c r="CZ4441" t="s">
        <v>615</v>
      </c>
      <c r="DA4441" t="s">
        <v>616</v>
      </c>
      <c r="DD4441">
        <v>33145</v>
      </c>
      <c r="DE4441" t="s">
        <v>123</v>
      </c>
    </row>
    <row r="4442" spans="1:109" x14ac:dyDescent="0.3">
      <c r="A4442" t="str">
        <f>"19:50:45.938"</f>
        <v>19:50:45.938</v>
      </c>
      <c r="B4442" t="s">
        <v>110</v>
      </c>
      <c r="C4442" t="str">
        <f t="shared" si="212"/>
        <v>ffdfd3c0</v>
      </c>
      <c r="D4442" t="s">
        <v>111</v>
      </c>
      <c r="E4442">
        <v>18</v>
      </c>
      <c r="F4442">
        <v>1018</v>
      </c>
      <c r="G4442" t="s">
        <v>112</v>
      </c>
      <c r="J4442" t="s">
        <v>113</v>
      </c>
      <c r="K4442">
        <v>0</v>
      </c>
      <c r="L4442">
        <v>3</v>
      </c>
      <c r="M4442">
        <v>0</v>
      </c>
      <c r="N4442">
        <v>2</v>
      </c>
      <c r="O4442">
        <v>1</v>
      </c>
      <c r="P4442">
        <v>0</v>
      </c>
      <c r="Q4442">
        <v>0</v>
      </c>
      <c r="R4442" t="s">
        <v>114</v>
      </c>
      <c r="S4442" t="str">
        <f>"19:50:45.703"</f>
        <v>19:50:45.703</v>
      </c>
      <c r="T4442" t="str">
        <f>"19:50:45.602"</f>
        <v>19:50:45.602</v>
      </c>
      <c r="U4442" t="str">
        <f t="shared" si="210"/>
        <v>a1cdbe</v>
      </c>
      <c r="V4442">
        <v>0</v>
      </c>
      <c r="W4442">
        <v>0</v>
      </c>
      <c r="X4442">
        <v>2</v>
      </c>
      <c r="Y4442">
        <v>0</v>
      </c>
      <c r="Z4442">
        <v>0</v>
      </c>
      <c r="AB4442">
        <v>0</v>
      </c>
      <c r="AC4442">
        <v>9</v>
      </c>
      <c r="AD4442">
        <v>3</v>
      </c>
      <c r="AE4442">
        <v>0</v>
      </c>
      <c r="AF4442">
        <v>9</v>
      </c>
      <c r="AG4442" t="s">
        <v>115</v>
      </c>
      <c r="AH4442">
        <v>0</v>
      </c>
      <c r="AI4442">
        <v>0</v>
      </c>
      <c r="AJ4442">
        <v>1</v>
      </c>
      <c r="AK4442">
        <v>0</v>
      </c>
      <c r="AL4442" t="s">
        <v>7656</v>
      </c>
      <c r="AM4442">
        <v>47.058284</v>
      </c>
      <c r="AN4442" t="s">
        <v>8025</v>
      </c>
      <c r="AO4442">
        <v>-124.04834700000001</v>
      </c>
      <c r="AP4442">
        <v>100</v>
      </c>
      <c r="AQ4442">
        <v>900</v>
      </c>
      <c r="AR4442" t="s">
        <v>118</v>
      </c>
      <c r="AS4442">
        <v>-75</v>
      </c>
      <c r="AT4442">
        <v>-8</v>
      </c>
      <c r="AU4442">
        <v>832</v>
      </c>
      <c r="BC4442">
        <v>1200</v>
      </c>
      <c r="BD4442">
        <v>1</v>
      </c>
      <c r="BE4442" t="str">
        <f t="shared" si="211"/>
        <v xml:space="preserve">N215T   </v>
      </c>
      <c r="BF4442">
        <v>1</v>
      </c>
      <c r="BH4442">
        <v>0</v>
      </c>
      <c r="BI4442">
        <v>0</v>
      </c>
      <c r="BJ4442">
        <v>0</v>
      </c>
      <c r="BK4442">
        <v>1250</v>
      </c>
      <c r="BL4442">
        <v>350</v>
      </c>
      <c r="BM4442" t="s">
        <v>119</v>
      </c>
      <c r="BN4442">
        <v>1</v>
      </c>
      <c r="BO4442">
        <v>1</v>
      </c>
      <c r="BP4442">
        <v>1</v>
      </c>
      <c r="BQ4442">
        <v>0</v>
      </c>
      <c r="BT4442">
        <v>0</v>
      </c>
      <c r="BU4442">
        <v>0</v>
      </c>
      <c r="BV4442">
        <v>0</v>
      </c>
      <c r="CC4442" t="str">
        <f>"19:50:45.703"</f>
        <v>19:50:45.703</v>
      </c>
      <c r="CD4442" t="str">
        <f>"704249135"</f>
        <v>704249135</v>
      </c>
      <c r="CQ4442">
        <v>0</v>
      </c>
      <c r="CR4442">
        <v>2</v>
      </c>
      <c r="CS4442">
        <v>0</v>
      </c>
      <c r="CT4442">
        <v>2</v>
      </c>
      <c r="CU4442">
        <v>0</v>
      </c>
      <c r="CV4442">
        <v>3</v>
      </c>
      <c r="CW4442" t="s">
        <v>120</v>
      </c>
      <c r="CX4442">
        <v>257</v>
      </c>
      <c r="CY4442">
        <v>0</v>
      </c>
      <c r="CZ4442" t="s">
        <v>615</v>
      </c>
      <c r="DA4442" t="s">
        <v>616</v>
      </c>
      <c r="DD4442">
        <v>33475</v>
      </c>
      <c r="DE4442" t="s">
        <v>123</v>
      </c>
    </row>
    <row r="4443" spans="1:109" x14ac:dyDescent="0.3">
      <c r="A4443" t="str">
        <f>"19:50:46.844"</f>
        <v>19:50:46.844</v>
      </c>
      <c r="B4443" t="s">
        <v>110</v>
      </c>
      <c r="C4443" t="str">
        <f t="shared" si="212"/>
        <v>ffdfd3c0</v>
      </c>
      <c r="D4443" t="s">
        <v>111</v>
      </c>
      <c r="E4443">
        <v>18</v>
      </c>
      <c r="F4443">
        <v>1018</v>
      </c>
      <c r="G4443" t="s">
        <v>112</v>
      </c>
      <c r="J4443" t="s">
        <v>113</v>
      </c>
      <c r="K4443">
        <v>0</v>
      </c>
      <c r="L4443">
        <v>3</v>
      </c>
      <c r="M4443">
        <v>0</v>
      </c>
      <c r="N4443">
        <v>2</v>
      </c>
      <c r="O4443">
        <v>1</v>
      </c>
      <c r="P4443">
        <v>0</v>
      </c>
      <c r="Q4443">
        <v>0</v>
      </c>
      <c r="R4443" t="s">
        <v>114</v>
      </c>
      <c r="S4443" t="str">
        <f>"19:50:46.602"</f>
        <v>19:50:46.602</v>
      </c>
      <c r="T4443" t="str">
        <f>"19:50:46.102"</f>
        <v>19:50:46.102</v>
      </c>
      <c r="U4443" t="str">
        <f t="shared" si="210"/>
        <v>a1cdbe</v>
      </c>
      <c r="V4443">
        <v>0</v>
      </c>
      <c r="W4443">
        <v>0</v>
      </c>
      <c r="X4443">
        <v>2</v>
      </c>
      <c r="Y4443">
        <v>0</v>
      </c>
      <c r="Z4443">
        <v>0</v>
      </c>
      <c r="AB4443">
        <v>0</v>
      </c>
      <c r="AC4443">
        <v>9</v>
      </c>
      <c r="AD4443">
        <v>3</v>
      </c>
      <c r="AE4443">
        <v>0</v>
      </c>
      <c r="AF4443">
        <v>9</v>
      </c>
      <c r="AG4443" t="s">
        <v>115</v>
      </c>
      <c r="AH4443">
        <v>0</v>
      </c>
      <c r="AI4443">
        <v>0</v>
      </c>
      <c r="AJ4443">
        <v>1</v>
      </c>
      <c r="AK4443">
        <v>0</v>
      </c>
      <c r="AL4443" t="s">
        <v>7747</v>
      </c>
      <c r="AM4443">
        <v>47.058262999999997</v>
      </c>
      <c r="AN4443" t="s">
        <v>8026</v>
      </c>
      <c r="AO4443">
        <v>-124.04882000000001</v>
      </c>
      <c r="AP4443">
        <v>100</v>
      </c>
      <c r="AQ4443">
        <v>900</v>
      </c>
      <c r="AR4443" t="s">
        <v>118</v>
      </c>
      <c r="AS4443">
        <v>-75</v>
      </c>
      <c r="AT4443">
        <v>-8</v>
      </c>
      <c r="AU4443">
        <v>960</v>
      </c>
      <c r="BC4443">
        <v>1200</v>
      </c>
      <c r="BD4443">
        <v>1</v>
      </c>
      <c r="BE4443" t="str">
        <f t="shared" si="211"/>
        <v xml:space="preserve">N215T   </v>
      </c>
      <c r="BF4443">
        <v>1</v>
      </c>
      <c r="BH4443">
        <v>0</v>
      </c>
      <c r="BI4443">
        <v>0</v>
      </c>
      <c r="BJ4443">
        <v>0</v>
      </c>
      <c r="BK4443">
        <v>1250</v>
      </c>
      <c r="BL4443">
        <v>350</v>
      </c>
      <c r="BM4443" t="s">
        <v>119</v>
      </c>
      <c r="BN4443">
        <v>1</v>
      </c>
      <c r="BO4443">
        <v>1</v>
      </c>
      <c r="BP4443">
        <v>1</v>
      </c>
      <c r="BQ4443">
        <v>0</v>
      </c>
      <c r="BT4443">
        <v>0</v>
      </c>
      <c r="BU4443">
        <v>0</v>
      </c>
      <c r="BV4443">
        <v>0</v>
      </c>
      <c r="CC4443" t="str">
        <f>"19:50:46.602"</f>
        <v>19:50:46.602</v>
      </c>
      <c r="CD4443" t="str">
        <f>"604160476"</f>
        <v>604160476</v>
      </c>
      <c r="CQ4443">
        <v>0</v>
      </c>
      <c r="CR4443">
        <v>2</v>
      </c>
      <c r="CS4443">
        <v>0</v>
      </c>
      <c r="CT4443">
        <v>2</v>
      </c>
      <c r="CU4443">
        <v>0</v>
      </c>
      <c r="CV4443">
        <v>4</v>
      </c>
      <c r="CW4443" t="s">
        <v>120</v>
      </c>
      <c r="CX4443">
        <v>257</v>
      </c>
      <c r="CY4443">
        <v>0</v>
      </c>
      <c r="CZ4443" t="s">
        <v>615</v>
      </c>
      <c r="DA4443" t="s">
        <v>616</v>
      </c>
      <c r="DD4443">
        <v>33764</v>
      </c>
      <c r="DE4443" t="s">
        <v>123</v>
      </c>
    </row>
    <row r="4444" spans="1:109" x14ac:dyDescent="0.3">
      <c r="A4444" t="str">
        <f>"19:50:47.898"</f>
        <v>19:50:47.898</v>
      </c>
      <c r="B4444" t="s">
        <v>110</v>
      </c>
      <c r="C4444" t="str">
        <f t="shared" si="212"/>
        <v>ffdfd3c0</v>
      </c>
      <c r="D4444" t="s">
        <v>111</v>
      </c>
      <c r="E4444">
        <v>18</v>
      </c>
      <c r="F4444">
        <v>1018</v>
      </c>
      <c r="G4444" t="s">
        <v>112</v>
      </c>
      <c r="J4444" t="s">
        <v>113</v>
      </c>
      <c r="K4444">
        <v>0</v>
      </c>
      <c r="L4444">
        <v>3</v>
      </c>
      <c r="M4444">
        <v>0</v>
      </c>
      <c r="N4444">
        <v>2</v>
      </c>
      <c r="O4444">
        <v>1</v>
      </c>
      <c r="P4444">
        <v>0</v>
      </c>
      <c r="Q4444">
        <v>0</v>
      </c>
      <c r="R4444" t="s">
        <v>114</v>
      </c>
      <c r="S4444" t="str">
        <f>"19:50:47.633"</f>
        <v>19:50:47.633</v>
      </c>
      <c r="T4444" t="str">
        <f>"19:50:47.133"</f>
        <v>19:50:47.133</v>
      </c>
      <c r="U4444" t="str">
        <f t="shared" si="210"/>
        <v>a1cdbe</v>
      </c>
      <c r="V4444">
        <v>0</v>
      </c>
      <c r="W4444">
        <v>0</v>
      </c>
      <c r="X4444">
        <v>2</v>
      </c>
      <c r="Y4444">
        <v>0</v>
      </c>
      <c r="Z4444">
        <v>0</v>
      </c>
      <c r="AB4444">
        <v>0</v>
      </c>
      <c r="AC4444">
        <v>9</v>
      </c>
      <c r="AD4444">
        <v>3</v>
      </c>
      <c r="AE4444">
        <v>0</v>
      </c>
      <c r="AF4444">
        <v>9</v>
      </c>
      <c r="AG4444" t="s">
        <v>115</v>
      </c>
      <c r="AH4444">
        <v>0</v>
      </c>
      <c r="AI4444">
        <v>0</v>
      </c>
      <c r="AJ4444">
        <v>1</v>
      </c>
      <c r="AK4444">
        <v>0</v>
      </c>
      <c r="AL4444" t="s">
        <v>7828</v>
      </c>
      <c r="AM4444">
        <v>47.058197999999997</v>
      </c>
      <c r="AN4444" t="s">
        <v>8027</v>
      </c>
      <c r="AO4444">
        <v>-124.049313</v>
      </c>
      <c r="AP4444">
        <v>100</v>
      </c>
      <c r="AQ4444">
        <v>900</v>
      </c>
      <c r="AR4444" t="s">
        <v>118</v>
      </c>
      <c r="AS4444">
        <v>-75</v>
      </c>
      <c r="AT4444">
        <v>-8</v>
      </c>
      <c r="AU4444">
        <v>896</v>
      </c>
      <c r="BC4444">
        <v>1200</v>
      </c>
      <c r="BD4444">
        <v>1</v>
      </c>
      <c r="BE4444" t="str">
        <f t="shared" si="211"/>
        <v xml:space="preserve">N215T   </v>
      </c>
      <c r="BF4444">
        <v>1</v>
      </c>
      <c r="BH4444">
        <v>0</v>
      </c>
      <c r="BI4444">
        <v>0</v>
      </c>
      <c r="BJ4444">
        <v>0</v>
      </c>
      <c r="BK4444">
        <v>1275</v>
      </c>
      <c r="BL4444">
        <v>375</v>
      </c>
      <c r="BM4444" t="s">
        <v>119</v>
      </c>
      <c r="BN4444">
        <v>1</v>
      </c>
      <c r="BO4444">
        <v>1</v>
      </c>
      <c r="BP4444">
        <v>1</v>
      </c>
      <c r="BQ4444">
        <v>0</v>
      </c>
      <c r="BT4444">
        <v>0</v>
      </c>
      <c r="BU4444">
        <v>0</v>
      </c>
      <c r="BV4444">
        <v>0</v>
      </c>
      <c r="CC4444" t="str">
        <f>"19:50:47.641"</f>
        <v>19:50:47.641</v>
      </c>
      <c r="CD4444" t="str">
        <f>"639058513"</f>
        <v>639058513</v>
      </c>
      <c r="CQ4444">
        <v>0</v>
      </c>
      <c r="CR4444">
        <v>2</v>
      </c>
      <c r="CS4444">
        <v>0</v>
      </c>
      <c r="CT4444">
        <v>2</v>
      </c>
      <c r="CU4444">
        <v>0</v>
      </c>
      <c r="CV4444">
        <v>4</v>
      </c>
      <c r="CW4444" t="s">
        <v>120</v>
      </c>
      <c r="CX4444">
        <v>257</v>
      </c>
      <c r="CY4444">
        <v>0</v>
      </c>
      <c r="CZ4444" t="s">
        <v>615</v>
      </c>
      <c r="DA4444" t="s">
        <v>616</v>
      </c>
      <c r="DD4444">
        <v>34120</v>
      </c>
      <c r="DE4444" t="s">
        <v>123</v>
      </c>
    </row>
    <row r="4445" spans="1:109" x14ac:dyDescent="0.3">
      <c r="A4445" t="str">
        <f>"19:50:48.906"</f>
        <v>19:50:48.906</v>
      </c>
      <c r="B4445" t="s">
        <v>110</v>
      </c>
      <c r="C4445" t="str">
        <f t="shared" si="212"/>
        <v>ffdfd3c0</v>
      </c>
      <c r="D4445" t="s">
        <v>111</v>
      </c>
      <c r="E4445">
        <v>18</v>
      </c>
      <c r="F4445">
        <v>1018</v>
      </c>
      <c r="G4445" t="s">
        <v>112</v>
      </c>
      <c r="J4445" t="s">
        <v>113</v>
      </c>
      <c r="K4445">
        <v>0</v>
      </c>
      <c r="L4445">
        <v>3</v>
      </c>
      <c r="M4445">
        <v>0</v>
      </c>
      <c r="N4445">
        <v>2</v>
      </c>
      <c r="O4445">
        <v>1</v>
      </c>
      <c r="P4445">
        <v>0</v>
      </c>
      <c r="Q4445">
        <v>0</v>
      </c>
      <c r="R4445" t="s">
        <v>114</v>
      </c>
      <c r="S4445" t="str">
        <f>"19:50:48.656"</f>
        <v>19:50:48.656</v>
      </c>
      <c r="T4445" t="str">
        <f>"19:50:47.656"</f>
        <v>19:50:47.656</v>
      </c>
      <c r="U4445" t="str">
        <f t="shared" si="210"/>
        <v>a1cdbe</v>
      </c>
      <c r="V4445">
        <v>0</v>
      </c>
      <c r="W4445">
        <v>0</v>
      </c>
      <c r="X4445">
        <v>2</v>
      </c>
      <c r="Y4445">
        <v>0</v>
      </c>
      <c r="Z4445">
        <v>0</v>
      </c>
      <c r="AB4445">
        <v>0</v>
      </c>
      <c r="AC4445">
        <v>9</v>
      </c>
      <c r="AD4445">
        <v>3</v>
      </c>
      <c r="AE4445">
        <v>0</v>
      </c>
      <c r="AF4445">
        <v>9</v>
      </c>
      <c r="AG4445" t="s">
        <v>115</v>
      </c>
      <c r="AH4445">
        <v>0</v>
      </c>
      <c r="AI4445">
        <v>0</v>
      </c>
      <c r="AJ4445">
        <v>1</v>
      </c>
      <c r="AK4445">
        <v>0</v>
      </c>
      <c r="AL4445" t="s">
        <v>7657</v>
      </c>
      <c r="AM4445">
        <v>47.058177000000001</v>
      </c>
      <c r="AN4445" t="s">
        <v>8028</v>
      </c>
      <c r="AO4445">
        <v>-124.049871</v>
      </c>
      <c r="AP4445">
        <v>100</v>
      </c>
      <c r="AQ4445">
        <v>900</v>
      </c>
      <c r="AR4445" t="s">
        <v>118</v>
      </c>
      <c r="AS4445">
        <v>-75</v>
      </c>
      <c r="AT4445">
        <v>-7</v>
      </c>
      <c r="AU4445">
        <v>896</v>
      </c>
      <c r="BC4445">
        <v>1200</v>
      </c>
      <c r="BD4445">
        <v>1</v>
      </c>
      <c r="BE4445" t="str">
        <f t="shared" si="211"/>
        <v xml:space="preserve">N215T   </v>
      </c>
      <c r="BF4445">
        <v>1</v>
      </c>
      <c r="BH4445">
        <v>0</v>
      </c>
      <c r="BI4445">
        <v>0</v>
      </c>
      <c r="BJ4445">
        <v>0</v>
      </c>
      <c r="BK4445">
        <v>1275</v>
      </c>
      <c r="BL4445">
        <v>375</v>
      </c>
      <c r="BM4445" t="s">
        <v>119</v>
      </c>
      <c r="BN4445">
        <v>1</v>
      </c>
      <c r="BO4445">
        <v>1</v>
      </c>
      <c r="BP4445">
        <v>1</v>
      </c>
      <c r="BQ4445">
        <v>0</v>
      </c>
      <c r="BT4445">
        <v>0</v>
      </c>
      <c r="BU4445">
        <v>0</v>
      </c>
      <c r="BV4445">
        <v>0</v>
      </c>
      <c r="CC4445" t="str">
        <f>"19:50:48.656"</f>
        <v>19:50:48.656</v>
      </c>
      <c r="CD4445" t="str">
        <f>"658958053"</f>
        <v>658958053</v>
      </c>
      <c r="CQ4445">
        <v>0</v>
      </c>
      <c r="CR4445">
        <v>2</v>
      </c>
      <c r="CS4445">
        <v>0</v>
      </c>
      <c r="CT4445">
        <v>2</v>
      </c>
      <c r="CU4445">
        <v>0</v>
      </c>
      <c r="CV4445">
        <v>3</v>
      </c>
      <c r="CW4445" t="s">
        <v>120</v>
      </c>
      <c r="CX4445">
        <v>257</v>
      </c>
      <c r="CY4445">
        <v>0</v>
      </c>
      <c r="CZ4445" t="s">
        <v>615</v>
      </c>
      <c r="DA4445" t="s">
        <v>616</v>
      </c>
      <c r="DD4445">
        <v>34433</v>
      </c>
      <c r="DE4445" t="s">
        <v>123</v>
      </c>
    </row>
    <row r="4446" spans="1:109" x14ac:dyDescent="0.3">
      <c r="A4446" t="str">
        <f>"19:50:49.859"</f>
        <v>19:50:49.859</v>
      </c>
      <c r="B4446" t="s">
        <v>110</v>
      </c>
      <c r="C4446" t="str">
        <f t="shared" si="212"/>
        <v>ffdfd3c0</v>
      </c>
      <c r="D4446" t="s">
        <v>111</v>
      </c>
      <c r="E4446">
        <v>18</v>
      </c>
      <c r="F4446">
        <v>1018</v>
      </c>
      <c r="G4446" t="s">
        <v>112</v>
      </c>
      <c r="J4446" t="s">
        <v>113</v>
      </c>
      <c r="K4446">
        <v>0</v>
      </c>
      <c r="L4446">
        <v>3</v>
      </c>
      <c r="M4446">
        <v>0</v>
      </c>
      <c r="N4446">
        <v>2</v>
      </c>
      <c r="O4446">
        <v>1</v>
      </c>
      <c r="P4446">
        <v>0</v>
      </c>
      <c r="Q4446">
        <v>0</v>
      </c>
      <c r="R4446" t="s">
        <v>114</v>
      </c>
      <c r="S4446" t="str">
        <f>"19:50:49.617"</f>
        <v>19:50:49.617</v>
      </c>
      <c r="T4446" t="str">
        <f>"19:50:49.219"</f>
        <v>19:50:49.219</v>
      </c>
      <c r="U4446" t="str">
        <f t="shared" si="210"/>
        <v>a1cdbe</v>
      </c>
      <c r="V4446">
        <v>0</v>
      </c>
      <c r="W4446">
        <v>0</v>
      </c>
      <c r="X4446">
        <v>2</v>
      </c>
      <c r="Y4446">
        <v>0</v>
      </c>
      <c r="Z4446">
        <v>0</v>
      </c>
      <c r="AB4446">
        <v>0</v>
      </c>
      <c r="AC4446">
        <v>9</v>
      </c>
      <c r="AD4446">
        <v>3</v>
      </c>
      <c r="AE4446">
        <v>0</v>
      </c>
      <c r="AF4446">
        <v>9</v>
      </c>
      <c r="AG4446" t="s">
        <v>115</v>
      </c>
      <c r="AH4446">
        <v>0</v>
      </c>
      <c r="AI4446">
        <v>0</v>
      </c>
      <c r="AJ4446">
        <v>1</v>
      </c>
      <c r="AK4446">
        <v>0</v>
      </c>
      <c r="AL4446" t="s">
        <v>8029</v>
      </c>
      <c r="AM4446">
        <v>47.058155999999997</v>
      </c>
      <c r="AN4446" t="s">
        <v>8030</v>
      </c>
      <c r="AO4446">
        <v>-124.050343</v>
      </c>
      <c r="AP4446">
        <v>100</v>
      </c>
      <c r="AQ4446">
        <v>900</v>
      </c>
      <c r="AR4446" t="s">
        <v>118</v>
      </c>
      <c r="AS4446">
        <v>-75</v>
      </c>
      <c r="AT4446">
        <v>-7</v>
      </c>
      <c r="AU4446">
        <v>768</v>
      </c>
      <c r="BC4446">
        <v>1200</v>
      </c>
      <c r="BD4446">
        <v>1</v>
      </c>
      <c r="BE4446" t="str">
        <f t="shared" si="211"/>
        <v xml:space="preserve">N215T   </v>
      </c>
      <c r="BF4446">
        <v>1</v>
      </c>
      <c r="BH4446">
        <v>0</v>
      </c>
      <c r="BI4446">
        <v>0</v>
      </c>
      <c r="BJ4446">
        <v>0</v>
      </c>
      <c r="BK4446">
        <v>1300</v>
      </c>
      <c r="BL4446">
        <v>400</v>
      </c>
      <c r="BM4446" t="s">
        <v>119</v>
      </c>
      <c r="BN4446">
        <v>1</v>
      </c>
      <c r="BO4446">
        <v>1</v>
      </c>
      <c r="BP4446">
        <v>1</v>
      </c>
      <c r="BQ4446">
        <v>0</v>
      </c>
      <c r="BT4446">
        <v>0</v>
      </c>
      <c r="BU4446">
        <v>0</v>
      </c>
      <c r="BV4446">
        <v>0</v>
      </c>
      <c r="CC4446" t="str">
        <f>"19:50:49.617"</f>
        <v>19:50:49.617</v>
      </c>
      <c r="CD4446" t="str">
        <f>"618863446"</f>
        <v>618863446</v>
      </c>
      <c r="CQ4446">
        <v>0</v>
      </c>
      <c r="CR4446">
        <v>2</v>
      </c>
      <c r="CS4446">
        <v>0</v>
      </c>
      <c r="CT4446">
        <v>2</v>
      </c>
      <c r="CU4446">
        <v>0</v>
      </c>
      <c r="CV4446">
        <v>2</v>
      </c>
      <c r="CW4446" t="s">
        <v>120</v>
      </c>
      <c r="CX4446">
        <v>257</v>
      </c>
      <c r="CY4446">
        <v>0</v>
      </c>
      <c r="CZ4446" t="s">
        <v>615</v>
      </c>
      <c r="DA4446" t="s">
        <v>616</v>
      </c>
      <c r="DD4446">
        <v>34740</v>
      </c>
      <c r="DE4446" t="s">
        <v>123</v>
      </c>
    </row>
    <row r="4447" spans="1:109" x14ac:dyDescent="0.3">
      <c r="A4447" t="str">
        <f>"19:50:51.117"</f>
        <v>19:50:51.117</v>
      </c>
      <c r="B4447" t="s">
        <v>110</v>
      </c>
      <c r="C4447" t="str">
        <f t="shared" si="212"/>
        <v>ffdfd3c0</v>
      </c>
      <c r="D4447" t="s">
        <v>111</v>
      </c>
      <c r="E4447">
        <v>18</v>
      </c>
      <c r="F4447">
        <v>1018</v>
      </c>
      <c r="G4447" t="s">
        <v>112</v>
      </c>
      <c r="J4447" t="s">
        <v>113</v>
      </c>
      <c r="K4447">
        <v>0</v>
      </c>
      <c r="L4447">
        <v>3</v>
      </c>
      <c r="M4447">
        <v>0</v>
      </c>
      <c r="N4447">
        <v>2</v>
      </c>
      <c r="O4447">
        <v>1</v>
      </c>
      <c r="P4447">
        <v>0</v>
      </c>
      <c r="Q4447">
        <v>0</v>
      </c>
      <c r="R4447" t="s">
        <v>114</v>
      </c>
      <c r="S4447" t="str">
        <f>"19:50:50.875"</f>
        <v>19:50:50.875</v>
      </c>
      <c r="T4447" t="str">
        <f>"19:50:49.672"</f>
        <v>19:50:49.672</v>
      </c>
      <c r="U4447" t="str">
        <f t="shared" si="210"/>
        <v>a1cdbe</v>
      </c>
      <c r="V4447">
        <v>0</v>
      </c>
      <c r="W4447">
        <v>0</v>
      </c>
      <c r="X4447">
        <v>2</v>
      </c>
      <c r="Y4447">
        <v>0</v>
      </c>
      <c r="Z4447">
        <v>0</v>
      </c>
      <c r="AB4447">
        <v>0</v>
      </c>
      <c r="AC4447">
        <v>9</v>
      </c>
      <c r="AD4447">
        <v>3</v>
      </c>
      <c r="AE4447">
        <v>0</v>
      </c>
      <c r="AF4447">
        <v>9</v>
      </c>
      <c r="AG4447" t="s">
        <v>115</v>
      </c>
      <c r="AH4447">
        <v>0</v>
      </c>
      <c r="AI4447">
        <v>0</v>
      </c>
      <c r="AJ4447">
        <v>1</v>
      </c>
      <c r="AK4447">
        <v>0</v>
      </c>
      <c r="AL4447" t="s">
        <v>8029</v>
      </c>
      <c r="AM4447">
        <v>47.058155999999997</v>
      </c>
      <c r="AN4447" t="s">
        <v>8031</v>
      </c>
      <c r="AO4447">
        <v>-124.05096500000001</v>
      </c>
      <c r="AP4447">
        <v>100</v>
      </c>
      <c r="AQ4447">
        <v>1000</v>
      </c>
      <c r="AR4447" t="s">
        <v>118</v>
      </c>
      <c r="AS4447">
        <v>-76</v>
      </c>
      <c r="AT4447">
        <v>-6</v>
      </c>
      <c r="AU4447">
        <v>768</v>
      </c>
      <c r="BC4447">
        <v>1200</v>
      </c>
      <c r="BD4447">
        <v>1</v>
      </c>
      <c r="BE4447" t="str">
        <f t="shared" si="211"/>
        <v xml:space="preserve">N215T   </v>
      </c>
      <c r="BF4447">
        <v>1</v>
      </c>
      <c r="BH4447">
        <v>0</v>
      </c>
      <c r="BI4447">
        <v>0</v>
      </c>
      <c r="BJ4447">
        <v>0</v>
      </c>
      <c r="BK4447">
        <v>1300</v>
      </c>
      <c r="BL4447">
        <v>300</v>
      </c>
      <c r="BM4447" t="s">
        <v>119</v>
      </c>
      <c r="BN4447">
        <v>1</v>
      </c>
      <c r="BO4447">
        <v>1</v>
      </c>
      <c r="BP4447">
        <v>1</v>
      </c>
      <c r="BQ4447">
        <v>0</v>
      </c>
      <c r="BT4447">
        <v>0</v>
      </c>
      <c r="BU4447">
        <v>0</v>
      </c>
      <c r="BV4447">
        <v>0</v>
      </c>
      <c r="CC4447" t="str">
        <f>"19:50:50.875"</f>
        <v>19:50:50.875</v>
      </c>
      <c r="CD4447" t="str">
        <f>"878739331"</f>
        <v>878739331</v>
      </c>
      <c r="CQ4447">
        <v>0</v>
      </c>
      <c r="CR4447">
        <v>2</v>
      </c>
      <c r="CS4447">
        <v>0</v>
      </c>
      <c r="CT4447">
        <v>2</v>
      </c>
      <c r="CU4447">
        <v>0</v>
      </c>
      <c r="CV4447">
        <v>3</v>
      </c>
      <c r="CW4447" t="s">
        <v>120</v>
      </c>
      <c r="CX4447">
        <v>257</v>
      </c>
      <c r="CY4447">
        <v>0</v>
      </c>
      <c r="CZ4447" t="s">
        <v>615</v>
      </c>
      <c r="DA4447" t="s">
        <v>616</v>
      </c>
      <c r="DD4447">
        <v>35134</v>
      </c>
      <c r="DE4447" t="s">
        <v>123</v>
      </c>
    </row>
    <row r="4448" spans="1:109" x14ac:dyDescent="0.3">
      <c r="A4448" t="str">
        <f>"19:50:52.125"</f>
        <v>19:50:52.125</v>
      </c>
      <c r="B4448" t="s">
        <v>110</v>
      </c>
      <c r="C4448" t="str">
        <f t="shared" si="212"/>
        <v>ffdfd3c0</v>
      </c>
      <c r="D4448" t="s">
        <v>111</v>
      </c>
      <c r="E4448">
        <v>18</v>
      </c>
      <c r="F4448">
        <v>1018</v>
      </c>
      <c r="G4448" t="s">
        <v>112</v>
      </c>
      <c r="J4448" t="s">
        <v>113</v>
      </c>
      <c r="K4448">
        <v>0</v>
      </c>
      <c r="L4448">
        <v>3</v>
      </c>
      <c r="M4448">
        <v>0</v>
      </c>
      <c r="N4448">
        <v>2</v>
      </c>
      <c r="O4448">
        <v>1</v>
      </c>
      <c r="P4448">
        <v>0</v>
      </c>
      <c r="Q4448">
        <v>0</v>
      </c>
      <c r="R4448" t="s">
        <v>114</v>
      </c>
      <c r="S4448" t="str">
        <f>"19:50:51.867"</f>
        <v>19:50:51.867</v>
      </c>
      <c r="T4448" t="str">
        <f>"19:50:51.766"</f>
        <v>19:50:51.766</v>
      </c>
      <c r="U4448" t="str">
        <f t="shared" si="210"/>
        <v>a1cdbe</v>
      </c>
      <c r="V4448">
        <v>0</v>
      </c>
      <c r="W4448">
        <v>0</v>
      </c>
      <c r="X4448">
        <v>2</v>
      </c>
      <c r="Y4448">
        <v>0</v>
      </c>
      <c r="Z4448">
        <v>0</v>
      </c>
      <c r="AB4448">
        <v>0</v>
      </c>
      <c r="AC4448">
        <v>9</v>
      </c>
      <c r="AD4448">
        <v>3</v>
      </c>
      <c r="AE4448">
        <v>0</v>
      </c>
      <c r="AF4448">
        <v>9</v>
      </c>
      <c r="AG4448" t="s">
        <v>115</v>
      </c>
      <c r="AH4448">
        <v>0</v>
      </c>
      <c r="AI4448">
        <v>0</v>
      </c>
      <c r="AJ4448">
        <v>1</v>
      </c>
      <c r="AK4448">
        <v>0</v>
      </c>
      <c r="AL4448" t="s">
        <v>520</v>
      </c>
      <c r="AM4448">
        <v>47.058112999999999</v>
      </c>
      <c r="AN4448" t="s">
        <v>8032</v>
      </c>
      <c r="AO4448">
        <v>-124.05148</v>
      </c>
      <c r="AP4448">
        <v>100</v>
      </c>
      <c r="AQ4448">
        <v>1000</v>
      </c>
      <c r="AR4448" t="s">
        <v>118</v>
      </c>
      <c r="AS4448">
        <v>-76</v>
      </c>
      <c r="AT4448">
        <v>-4</v>
      </c>
      <c r="AU4448">
        <v>768</v>
      </c>
      <c r="BC4448">
        <v>1200</v>
      </c>
      <c r="BD4448">
        <v>1</v>
      </c>
      <c r="BE4448" t="str">
        <f t="shared" si="211"/>
        <v xml:space="preserve">N215T   </v>
      </c>
      <c r="BF4448">
        <v>1</v>
      </c>
      <c r="BH4448">
        <v>0</v>
      </c>
      <c r="BI4448">
        <v>0</v>
      </c>
      <c r="BJ4448">
        <v>0</v>
      </c>
      <c r="BK4448">
        <v>1325</v>
      </c>
      <c r="BL4448">
        <v>325</v>
      </c>
      <c r="BM4448" t="s">
        <v>119</v>
      </c>
      <c r="BN4448">
        <v>1</v>
      </c>
      <c r="BO4448">
        <v>1</v>
      </c>
      <c r="BP4448">
        <v>1</v>
      </c>
      <c r="BQ4448">
        <v>0</v>
      </c>
      <c r="BT4448">
        <v>0</v>
      </c>
      <c r="BU4448">
        <v>0</v>
      </c>
      <c r="BV4448">
        <v>0</v>
      </c>
      <c r="CC4448" t="str">
        <f>"19:50:51.867"</f>
        <v>19:50:51.867</v>
      </c>
      <c r="CD4448" t="str">
        <f>"868641777"</f>
        <v>868641777</v>
      </c>
      <c r="CQ4448">
        <v>0</v>
      </c>
      <c r="CR4448">
        <v>2</v>
      </c>
      <c r="CS4448">
        <v>0</v>
      </c>
      <c r="CT4448">
        <v>2</v>
      </c>
      <c r="CU4448">
        <v>0</v>
      </c>
      <c r="CV4448">
        <v>2</v>
      </c>
      <c r="CW4448" t="s">
        <v>120</v>
      </c>
      <c r="CX4448">
        <v>257</v>
      </c>
      <c r="CY4448">
        <v>0</v>
      </c>
      <c r="CZ4448" t="s">
        <v>615</v>
      </c>
      <c r="DA4448" t="s">
        <v>616</v>
      </c>
      <c r="DD4448">
        <v>35454</v>
      </c>
      <c r="DE4448" t="s">
        <v>123</v>
      </c>
    </row>
    <row r="4449" spans="1:109" x14ac:dyDescent="0.3">
      <c r="A4449" t="str">
        <f>"19:50:53.125"</f>
        <v>19:50:53.125</v>
      </c>
      <c r="B4449" t="s">
        <v>110</v>
      </c>
      <c r="C4449" t="str">
        <f t="shared" si="212"/>
        <v>ffdfd3c0</v>
      </c>
      <c r="D4449" t="s">
        <v>111</v>
      </c>
      <c r="E4449">
        <v>18</v>
      </c>
      <c r="F4449">
        <v>1018</v>
      </c>
      <c r="G4449" t="s">
        <v>112</v>
      </c>
      <c r="J4449" t="s">
        <v>113</v>
      </c>
      <c r="K4449">
        <v>0</v>
      </c>
      <c r="L4449">
        <v>3</v>
      </c>
      <c r="M4449">
        <v>0</v>
      </c>
      <c r="N4449">
        <v>2</v>
      </c>
      <c r="O4449">
        <v>1</v>
      </c>
      <c r="P4449">
        <v>0</v>
      </c>
      <c r="Q4449">
        <v>0</v>
      </c>
      <c r="R4449" t="s">
        <v>114</v>
      </c>
      <c r="S4449" t="str">
        <f>"19:50:52.914"</f>
        <v>19:50:52.914</v>
      </c>
      <c r="T4449" t="str">
        <f>"19:50:52.813"</f>
        <v>19:50:52.813</v>
      </c>
      <c r="U4449" t="str">
        <f t="shared" si="210"/>
        <v>a1cdbe</v>
      </c>
      <c r="V4449">
        <v>0</v>
      </c>
      <c r="W4449">
        <v>0</v>
      </c>
      <c r="X4449">
        <v>2</v>
      </c>
      <c r="Y4449">
        <v>0</v>
      </c>
      <c r="Z4449">
        <v>0</v>
      </c>
      <c r="AB4449">
        <v>0</v>
      </c>
      <c r="AC4449">
        <v>9</v>
      </c>
      <c r="AD4449">
        <v>3</v>
      </c>
      <c r="AE4449">
        <v>0</v>
      </c>
      <c r="AF4449">
        <v>9</v>
      </c>
      <c r="AG4449" t="s">
        <v>115</v>
      </c>
      <c r="AH4449">
        <v>0</v>
      </c>
      <c r="AI4449">
        <v>0</v>
      </c>
      <c r="AJ4449">
        <v>1</v>
      </c>
      <c r="AK4449">
        <v>0</v>
      </c>
      <c r="AL4449" t="s">
        <v>520</v>
      </c>
      <c r="AM4449">
        <v>47.058112999999999</v>
      </c>
      <c r="AN4449" t="s">
        <v>8033</v>
      </c>
      <c r="AO4449">
        <v>-124.05206</v>
      </c>
      <c r="AP4449">
        <v>100</v>
      </c>
      <c r="AQ4449">
        <v>1000</v>
      </c>
      <c r="AR4449" t="s">
        <v>118</v>
      </c>
      <c r="AS4449">
        <v>-77</v>
      </c>
      <c r="AT4449">
        <v>-3</v>
      </c>
      <c r="AU4449">
        <v>576</v>
      </c>
      <c r="BC4449">
        <v>1200</v>
      </c>
      <c r="BD4449">
        <v>1</v>
      </c>
      <c r="BE4449" t="str">
        <f t="shared" si="211"/>
        <v xml:space="preserve">N215T   </v>
      </c>
      <c r="BF4449">
        <v>1</v>
      </c>
      <c r="BH4449">
        <v>0</v>
      </c>
      <c r="BI4449">
        <v>0</v>
      </c>
      <c r="BJ4449">
        <v>0</v>
      </c>
      <c r="BK4449">
        <v>1350</v>
      </c>
      <c r="BL4449">
        <v>350</v>
      </c>
      <c r="BM4449" t="s">
        <v>119</v>
      </c>
      <c r="BN4449">
        <v>1</v>
      </c>
      <c r="BO4449">
        <v>1</v>
      </c>
      <c r="BP4449">
        <v>1</v>
      </c>
      <c r="BQ4449">
        <v>0</v>
      </c>
      <c r="BT4449">
        <v>0</v>
      </c>
      <c r="BU4449">
        <v>0</v>
      </c>
      <c r="BV4449">
        <v>0</v>
      </c>
      <c r="CC4449" t="str">
        <f>"19:50:52.922"</f>
        <v>19:50:52.922</v>
      </c>
      <c r="CD4449" t="str">
        <f>"918538364"</f>
        <v>918538364</v>
      </c>
      <c r="CQ4449">
        <v>0</v>
      </c>
      <c r="CR4449">
        <v>2</v>
      </c>
      <c r="CS4449">
        <v>0</v>
      </c>
      <c r="CT4449">
        <v>2</v>
      </c>
      <c r="CU4449">
        <v>0</v>
      </c>
      <c r="CV4449">
        <v>2</v>
      </c>
      <c r="CW4449" t="s">
        <v>120</v>
      </c>
      <c r="CX4449">
        <v>257</v>
      </c>
      <c r="CY4449">
        <v>0</v>
      </c>
      <c r="CZ4449" t="s">
        <v>615</v>
      </c>
      <c r="DA4449" t="s">
        <v>616</v>
      </c>
      <c r="DD4449">
        <v>35770</v>
      </c>
      <c r="DE4449" t="s">
        <v>123</v>
      </c>
    </row>
    <row r="4450" spans="1:109" x14ac:dyDescent="0.3">
      <c r="A4450" t="str">
        <f>"19:50:54.133"</f>
        <v>19:50:54.133</v>
      </c>
      <c r="B4450" t="s">
        <v>110</v>
      </c>
      <c r="C4450" t="str">
        <f t="shared" si="212"/>
        <v>ffdfd3c0</v>
      </c>
      <c r="D4450" t="s">
        <v>111</v>
      </c>
      <c r="E4450">
        <v>18</v>
      </c>
      <c r="F4450">
        <v>1018</v>
      </c>
      <c r="G4450" t="s">
        <v>112</v>
      </c>
      <c r="J4450" t="s">
        <v>113</v>
      </c>
      <c r="K4450">
        <v>0</v>
      </c>
      <c r="L4450">
        <v>3</v>
      </c>
      <c r="M4450">
        <v>0</v>
      </c>
      <c r="N4450">
        <v>2</v>
      </c>
      <c r="O4450">
        <v>1</v>
      </c>
      <c r="P4450">
        <v>0</v>
      </c>
      <c r="Q4450">
        <v>0</v>
      </c>
      <c r="R4450" t="s">
        <v>114</v>
      </c>
      <c r="S4450" t="str">
        <f>"19:50:53.906"</f>
        <v>19:50:53.906</v>
      </c>
      <c r="T4450" t="str">
        <f>"19:50:53.805"</f>
        <v>19:50:53.805</v>
      </c>
      <c r="U4450" t="str">
        <f t="shared" si="210"/>
        <v>a1cdbe</v>
      </c>
      <c r="V4450">
        <v>0</v>
      </c>
      <c r="W4450">
        <v>0</v>
      </c>
      <c r="X4450">
        <v>2</v>
      </c>
      <c r="Y4450">
        <v>0</v>
      </c>
      <c r="Z4450">
        <v>0</v>
      </c>
      <c r="AB4450">
        <v>0</v>
      </c>
      <c r="AC4450">
        <v>9</v>
      </c>
      <c r="AD4450">
        <v>3</v>
      </c>
      <c r="AE4450">
        <v>0</v>
      </c>
      <c r="AF4450">
        <v>9</v>
      </c>
      <c r="AG4450" t="s">
        <v>115</v>
      </c>
      <c r="AH4450">
        <v>0</v>
      </c>
      <c r="AI4450">
        <v>0</v>
      </c>
      <c r="AJ4450">
        <v>1</v>
      </c>
      <c r="AK4450">
        <v>0</v>
      </c>
      <c r="AL4450" t="s">
        <v>7660</v>
      </c>
      <c r="AM4450">
        <v>47.058070000000001</v>
      </c>
      <c r="AN4450" t="s">
        <v>8034</v>
      </c>
      <c r="AO4450">
        <v>-124.052553</v>
      </c>
      <c r="AP4450">
        <v>100</v>
      </c>
      <c r="AQ4450">
        <v>1000</v>
      </c>
      <c r="AR4450" t="s">
        <v>118</v>
      </c>
      <c r="AS4450">
        <v>-78</v>
      </c>
      <c r="AT4450">
        <v>-2</v>
      </c>
      <c r="AU4450">
        <v>512</v>
      </c>
      <c r="BC4450">
        <v>1200</v>
      </c>
      <c r="BD4450">
        <v>1</v>
      </c>
      <c r="BE4450" t="str">
        <f t="shared" si="211"/>
        <v xml:space="preserve">N215T   </v>
      </c>
      <c r="BF4450">
        <v>1</v>
      </c>
      <c r="BH4450">
        <v>0</v>
      </c>
      <c r="BI4450">
        <v>0</v>
      </c>
      <c r="BJ4450">
        <v>0</v>
      </c>
      <c r="BK4450">
        <v>1350</v>
      </c>
      <c r="BL4450">
        <v>350</v>
      </c>
      <c r="BM4450" t="s">
        <v>119</v>
      </c>
      <c r="BN4450">
        <v>1</v>
      </c>
      <c r="BO4450">
        <v>1</v>
      </c>
      <c r="BP4450">
        <v>1</v>
      </c>
      <c r="BQ4450">
        <v>0</v>
      </c>
      <c r="BT4450">
        <v>0</v>
      </c>
      <c r="BU4450">
        <v>0</v>
      </c>
      <c r="BV4450">
        <v>0</v>
      </c>
      <c r="CC4450" t="str">
        <f>"19:50:53.906"</f>
        <v>19:50:53.906</v>
      </c>
      <c r="CD4450" t="str">
        <f>"908440811"</f>
        <v>908440811</v>
      </c>
      <c r="CQ4450">
        <v>0</v>
      </c>
      <c r="CR4450">
        <v>2</v>
      </c>
      <c r="CS4450">
        <v>0</v>
      </c>
      <c r="CT4450">
        <v>2</v>
      </c>
      <c r="CU4450">
        <v>0</v>
      </c>
      <c r="CV4450">
        <v>3</v>
      </c>
      <c r="CW4450" t="s">
        <v>120</v>
      </c>
      <c r="CX4450">
        <v>257</v>
      </c>
      <c r="CY4450">
        <v>0</v>
      </c>
      <c r="CZ4450" t="s">
        <v>615</v>
      </c>
      <c r="DA4450" t="s">
        <v>616</v>
      </c>
      <c r="DD4450">
        <v>36065</v>
      </c>
      <c r="DE4450" t="s">
        <v>123</v>
      </c>
    </row>
    <row r="4451" spans="1:109" x14ac:dyDescent="0.3">
      <c r="A4451" t="str">
        <f>"19:50:55.336"</f>
        <v>19:50:55.336</v>
      </c>
      <c r="B4451" t="s">
        <v>110</v>
      </c>
      <c r="C4451" t="str">
        <f t="shared" si="212"/>
        <v>ffdfd3c0</v>
      </c>
      <c r="D4451" t="s">
        <v>111</v>
      </c>
      <c r="E4451">
        <v>18</v>
      </c>
      <c r="F4451">
        <v>1018</v>
      </c>
      <c r="G4451" t="s">
        <v>112</v>
      </c>
      <c r="J4451" t="s">
        <v>113</v>
      </c>
      <c r="K4451">
        <v>0</v>
      </c>
      <c r="L4451">
        <v>3</v>
      </c>
      <c r="M4451">
        <v>0</v>
      </c>
      <c r="N4451">
        <v>2</v>
      </c>
      <c r="O4451">
        <v>1</v>
      </c>
      <c r="P4451">
        <v>0</v>
      </c>
      <c r="Q4451">
        <v>0</v>
      </c>
      <c r="R4451" t="s">
        <v>114</v>
      </c>
      <c r="S4451" t="str">
        <f>"19:50:55.086"</f>
        <v>19:50:55.086</v>
      </c>
      <c r="T4451" t="str">
        <f>"19:50:54.883"</f>
        <v>19:50:54.883</v>
      </c>
      <c r="U4451" t="str">
        <f t="shared" si="210"/>
        <v>a1cdbe</v>
      </c>
      <c r="V4451">
        <v>0</v>
      </c>
      <c r="W4451">
        <v>0</v>
      </c>
      <c r="X4451">
        <v>2</v>
      </c>
      <c r="Y4451">
        <v>0</v>
      </c>
      <c r="Z4451">
        <v>0</v>
      </c>
      <c r="AB4451">
        <v>0</v>
      </c>
      <c r="AC4451">
        <v>9</v>
      </c>
      <c r="AD4451">
        <v>3</v>
      </c>
      <c r="AE4451">
        <v>0</v>
      </c>
      <c r="AF4451">
        <v>9</v>
      </c>
      <c r="AG4451" t="s">
        <v>115</v>
      </c>
      <c r="AH4451">
        <v>0</v>
      </c>
      <c r="AI4451">
        <v>0</v>
      </c>
      <c r="AJ4451">
        <v>1</v>
      </c>
      <c r="AK4451">
        <v>0</v>
      </c>
      <c r="AL4451" t="s">
        <v>7660</v>
      </c>
      <c r="AM4451">
        <v>47.058070000000001</v>
      </c>
      <c r="AN4451" t="s">
        <v>8035</v>
      </c>
      <c r="AO4451">
        <v>-124.053175</v>
      </c>
      <c r="AP4451">
        <v>100</v>
      </c>
      <c r="AQ4451">
        <v>1000</v>
      </c>
      <c r="AR4451" t="s">
        <v>118</v>
      </c>
      <c r="AS4451">
        <v>-78</v>
      </c>
      <c r="AT4451">
        <v>-1</v>
      </c>
      <c r="AU4451">
        <v>576</v>
      </c>
      <c r="BC4451">
        <v>1200</v>
      </c>
      <c r="BD4451">
        <v>1</v>
      </c>
      <c r="BE4451" t="str">
        <f t="shared" si="211"/>
        <v xml:space="preserve">N215T   </v>
      </c>
      <c r="BF4451">
        <v>1</v>
      </c>
      <c r="BH4451">
        <v>0</v>
      </c>
      <c r="BI4451">
        <v>0</v>
      </c>
      <c r="BJ4451">
        <v>0</v>
      </c>
      <c r="BK4451">
        <v>1350</v>
      </c>
      <c r="BL4451">
        <v>350</v>
      </c>
      <c r="BM4451" t="s">
        <v>119</v>
      </c>
      <c r="BN4451">
        <v>1</v>
      </c>
      <c r="BO4451">
        <v>1</v>
      </c>
      <c r="BP4451">
        <v>1</v>
      </c>
      <c r="BQ4451">
        <v>0</v>
      </c>
      <c r="BT4451">
        <v>0</v>
      </c>
      <c r="BU4451">
        <v>0</v>
      </c>
      <c r="BV4451">
        <v>0</v>
      </c>
      <c r="CC4451" t="str">
        <f>"19:50:55.094"</f>
        <v>19:50:55.094</v>
      </c>
      <c r="CD4451" t="str">
        <f>"093324089"</f>
        <v>093324089</v>
      </c>
      <c r="CQ4451">
        <v>0</v>
      </c>
      <c r="CR4451">
        <v>2</v>
      </c>
      <c r="CS4451">
        <v>0</v>
      </c>
      <c r="CT4451">
        <v>2</v>
      </c>
      <c r="CU4451">
        <v>0</v>
      </c>
      <c r="CV4451">
        <v>5</v>
      </c>
      <c r="CW4451" t="s">
        <v>120</v>
      </c>
      <c r="CX4451">
        <v>257</v>
      </c>
      <c r="CY4451">
        <v>0</v>
      </c>
      <c r="CZ4451" t="s">
        <v>615</v>
      </c>
      <c r="DA4451" t="s">
        <v>616</v>
      </c>
      <c r="DD4451">
        <v>36437</v>
      </c>
      <c r="DE4451" t="s">
        <v>123</v>
      </c>
    </row>
    <row r="4452" spans="1:109" x14ac:dyDescent="0.3">
      <c r="A4452" t="str">
        <f>"19:50:56.445"</f>
        <v>19:50:56.445</v>
      </c>
      <c r="B4452" t="s">
        <v>110</v>
      </c>
      <c r="C4452" t="str">
        <f t="shared" si="212"/>
        <v>ffdfd3c0</v>
      </c>
      <c r="D4452" t="s">
        <v>111</v>
      </c>
      <c r="E4452">
        <v>18</v>
      </c>
      <c r="F4452">
        <v>1018</v>
      </c>
      <c r="G4452" t="s">
        <v>112</v>
      </c>
      <c r="J4452" t="s">
        <v>113</v>
      </c>
      <c r="K4452">
        <v>0</v>
      </c>
      <c r="L4452">
        <v>3</v>
      </c>
      <c r="M4452">
        <v>0</v>
      </c>
      <c r="N4452">
        <v>2</v>
      </c>
      <c r="O4452">
        <v>1</v>
      </c>
      <c r="P4452">
        <v>0</v>
      </c>
      <c r="Q4452">
        <v>0</v>
      </c>
      <c r="R4452" t="s">
        <v>114</v>
      </c>
      <c r="S4452" t="str">
        <f>"19:50:56.203"</f>
        <v>19:50:56.203</v>
      </c>
      <c r="T4452" t="str">
        <f>"19:50:56.102"</f>
        <v>19:50:56.102</v>
      </c>
      <c r="U4452" t="str">
        <f t="shared" si="210"/>
        <v>a1cdbe</v>
      </c>
      <c r="V4452">
        <v>0</v>
      </c>
      <c r="W4452">
        <v>0</v>
      </c>
      <c r="X4452">
        <v>2</v>
      </c>
      <c r="Y4452">
        <v>0</v>
      </c>
      <c r="Z4452">
        <v>0</v>
      </c>
      <c r="AB4452">
        <v>0</v>
      </c>
      <c r="AC4452">
        <v>9</v>
      </c>
      <c r="AD4452">
        <v>3</v>
      </c>
      <c r="AE4452">
        <v>0</v>
      </c>
      <c r="AF4452">
        <v>9</v>
      </c>
      <c r="AG4452" t="s">
        <v>115</v>
      </c>
      <c r="AH4452">
        <v>0</v>
      </c>
      <c r="AI4452">
        <v>0</v>
      </c>
      <c r="AJ4452">
        <v>1</v>
      </c>
      <c r="AK4452">
        <v>0</v>
      </c>
      <c r="AL4452" t="s">
        <v>7660</v>
      </c>
      <c r="AM4452">
        <v>47.058070000000001</v>
      </c>
      <c r="AN4452" t="s">
        <v>8036</v>
      </c>
      <c r="AO4452">
        <v>-124.05373299999999</v>
      </c>
      <c r="AP4452">
        <v>100</v>
      </c>
      <c r="AQ4452">
        <v>1000</v>
      </c>
      <c r="AR4452" t="s">
        <v>118</v>
      </c>
      <c r="AS4452">
        <v>-78</v>
      </c>
      <c r="AT4452">
        <v>1</v>
      </c>
      <c r="AU4452">
        <v>448</v>
      </c>
      <c r="BC4452">
        <v>1200</v>
      </c>
      <c r="BD4452">
        <v>1</v>
      </c>
      <c r="BE4452" t="str">
        <f t="shared" si="211"/>
        <v xml:space="preserve">N215T   </v>
      </c>
      <c r="BF4452">
        <v>1</v>
      </c>
      <c r="BH4452">
        <v>0</v>
      </c>
      <c r="BI4452">
        <v>0</v>
      </c>
      <c r="BJ4452">
        <v>0</v>
      </c>
      <c r="BK4452">
        <v>1375</v>
      </c>
      <c r="BL4452">
        <v>375</v>
      </c>
      <c r="BM4452" t="s">
        <v>119</v>
      </c>
      <c r="BN4452">
        <v>1</v>
      </c>
      <c r="BO4452">
        <v>1</v>
      </c>
      <c r="BP4452">
        <v>1</v>
      </c>
      <c r="BQ4452">
        <v>0</v>
      </c>
      <c r="BT4452">
        <v>0</v>
      </c>
      <c r="BU4452">
        <v>0</v>
      </c>
      <c r="BV4452">
        <v>0</v>
      </c>
      <c r="CC4452" t="str">
        <f>"19:50:56.203"</f>
        <v>19:50:56.203</v>
      </c>
      <c r="CD4452" t="str">
        <f>"203214733"</f>
        <v>203214733</v>
      </c>
      <c r="CQ4452">
        <v>0</v>
      </c>
      <c r="CR4452">
        <v>2</v>
      </c>
      <c r="CS4452">
        <v>0</v>
      </c>
      <c r="CT4452">
        <v>2</v>
      </c>
      <c r="CU4452">
        <v>0</v>
      </c>
      <c r="CV4452">
        <v>4</v>
      </c>
      <c r="CW4452" t="s">
        <v>120</v>
      </c>
      <c r="CX4452">
        <v>257</v>
      </c>
      <c r="CY4452">
        <v>0</v>
      </c>
      <c r="CZ4452" t="s">
        <v>615</v>
      </c>
      <c r="DA4452" t="s">
        <v>616</v>
      </c>
      <c r="DD4452">
        <v>36805</v>
      </c>
      <c r="DE4452" t="s">
        <v>123</v>
      </c>
    </row>
    <row r="4453" spans="1:109" x14ac:dyDescent="0.3">
      <c r="A4453" t="str">
        <f>"19:50:57.453"</f>
        <v>19:50:57.453</v>
      </c>
      <c r="B4453" t="s">
        <v>110</v>
      </c>
      <c r="C4453" t="str">
        <f t="shared" si="212"/>
        <v>ffdfd3c0</v>
      </c>
      <c r="D4453" t="s">
        <v>111</v>
      </c>
      <c r="E4453">
        <v>18</v>
      </c>
      <c r="F4453">
        <v>1018</v>
      </c>
      <c r="G4453" t="s">
        <v>112</v>
      </c>
      <c r="J4453" t="s">
        <v>113</v>
      </c>
      <c r="K4453">
        <v>0</v>
      </c>
      <c r="L4453">
        <v>3</v>
      </c>
      <c r="M4453">
        <v>0</v>
      </c>
      <c r="N4453">
        <v>2</v>
      </c>
      <c r="O4453">
        <v>1</v>
      </c>
      <c r="P4453">
        <v>0</v>
      </c>
      <c r="Q4453">
        <v>0</v>
      </c>
      <c r="R4453" t="s">
        <v>114</v>
      </c>
      <c r="S4453" t="str">
        <f>"19:50:57.188"</f>
        <v>19:50:57.188</v>
      </c>
      <c r="T4453" t="str">
        <f>"19:50:57.086"</f>
        <v>19:50:57.086</v>
      </c>
      <c r="U4453" t="str">
        <f t="shared" si="210"/>
        <v>a1cdbe</v>
      </c>
      <c r="V4453">
        <v>0</v>
      </c>
      <c r="W4453">
        <v>0</v>
      </c>
      <c r="X4453">
        <v>2</v>
      </c>
      <c r="Y4453">
        <v>0</v>
      </c>
      <c r="Z4453">
        <v>0</v>
      </c>
      <c r="AB4453">
        <v>0</v>
      </c>
      <c r="AC4453">
        <v>9</v>
      </c>
      <c r="AD4453">
        <v>3</v>
      </c>
      <c r="AE4453">
        <v>0</v>
      </c>
      <c r="AF4453">
        <v>9</v>
      </c>
      <c r="AG4453" t="s">
        <v>115</v>
      </c>
      <c r="AH4453">
        <v>0</v>
      </c>
      <c r="AI4453">
        <v>0</v>
      </c>
      <c r="AJ4453">
        <v>1</v>
      </c>
      <c r="AK4453">
        <v>0</v>
      </c>
      <c r="AL4453" t="s">
        <v>7660</v>
      </c>
      <c r="AM4453">
        <v>47.058070000000001</v>
      </c>
      <c r="AN4453" t="s">
        <v>8037</v>
      </c>
      <c r="AO4453">
        <v>-124.054248</v>
      </c>
      <c r="AP4453">
        <v>100</v>
      </c>
      <c r="AQ4453">
        <v>1000</v>
      </c>
      <c r="AR4453" t="s">
        <v>118</v>
      </c>
      <c r="AS4453">
        <v>-78</v>
      </c>
      <c r="AT4453">
        <v>1</v>
      </c>
      <c r="AU4453">
        <v>448</v>
      </c>
      <c r="BC4453">
        <v>1200</v>
      </c>
      <c r="BD4453">
        <v>1</v>
      </c>
      <c r="BE4453" t="str">
        <f t="shared" si="211"/>
        <v xml:space="preserve">N215T   </v>
      </c>
      <c r="BF4453">
        <v>1</v>
      </c>
      <c r="BH4453">
        <v>0</v>
      </c>
      <c r="BI4453">
        <v>0</v>
      </c>
      <c r="BJ4453">
        <v>0</v>
      </c>
      <c r="BK4453">
        <v>1375</v>
      </c>
      <c r="BL4453">
        <v>375</v>
      </c>
      <c r="BM4453" t="s">
        <v>119</v>
      </c>
      <c r="BN4453">
        <v>1</v>
      </c>
      <c r="BO4453">
        <v>1</v>
      </c>
      <c r="BP4453">
        <v>1</v>
      </c>
      <c r="BQ4453">
        <v>0</v>
      </c>
      <c r="BT4453">
        <v>0</v>
      </c>
      <c r="BU4453">
        <v>0</v>
      </c>
      <c r="BV4453">
        <v>0</v>
      </c>
      <c r="CC4453" t="str">
        <f>"19:50:57.195"</f>
        <v>19:50:57.195</v>
      </c>
      <c r="CD4453" t="str">
        <f>"193117216"</f>
        <v>193117216</v>
      </c>
      <c r="CQ4453">
        <v>0</v>
      </c>
      <c r="CR4453">
        <v>2</v>
      </c>
      <c r="CS4453">
        <v>0</v>
      </c>
      <c r="CT4453">
        <v>2</v>
      </c>
      <c r="CU4453">
        <v>0</v>
      </c>
      <c r="CV4453">
        <v>4</v>
      </c>
      <c r="CW4453" t="s">
        <v>120</v>
      </c>
      <c r="CX4453">
        <v>257</v>
      </c>
      <c r="CY4453">
        <v>0</v>
      </c>
      <c r="CZ4453" t="s">
        <v>615</v>
      </c>
      <c r="DA4453" t="s">
        <v>616</v>
      </c>
      <c r="DD4453">
        <v>37122</v>
      </c>
      <c r="DE4453" t="s">
        <v>123</v>
      </c>
    </row>
    <row r="4454" spans="1:109" x14ac:dyDescent="0.3">
      <c r="A4454" t="str">
        <f>"19:50:58.453"</f>
        <v>19:50:58.453</v>
      </c>
      <c r="B4454" t="s">
        <v>110</v>
      </c>
      <c r="C4454" t="str">
        <f t="shared" si="212"/>
        <v>ffdfd3c0</v>
      </c>
      <c r="D4454" t="s">
        <v>111</v>
      </c>
      <c r="E4454">
        <v>18</v>
      </c>
      <c r="F4454">
        <v>1018</v>
      </c>
      <c r="G4454" t="s">
        <v>112</v>
      </c>
      <c r="J4454" t="s">
        <v>113</v>
      </c>
      <c r="K4454">
        <v>0</v>
      </c>
      <c r="L4454">
        <v>3</v>
      </c>
      <c r="M4454">
        <v>0</v>
      </c>
      <c r="N4454">
        <v>2</v>
      </c>
      <c r="O4454">
        <v>1</v>
      </c>
      <c r="P4454">
        <v>0</v>
      </c>
      <c r="Q4454">
        <v>0</v>
      </c>
      <c r="R4454" t="s">
        <v>114</v>
      </c>
      <c r="S4454" t="str">
        <f>"19:50:58.195"</f>
        <v>19:50:58.195</v>
      </c>
      <c r="T4454" t="str">
        <f>"19:50:57.594"</f>
        <v>19:50:57.594</v>
      </c>
      <c r="U4454" t="str">
        <f t="shared" si="210"/>
        <v>a1cdbe</v>
      </c>
      <c r="V4454">
        <v>0</v>
      </c>
      <c r="W4454">
        <v>0</v>
      </c>
      <c r="X4454">
        <v>2</v>
      </c>
      <c r="Y4454">
        <v>0</v>
      </c>
      <c r="Z4454">
        <v>0</v>
      </c>
      <c r="AB4454">
        <v>0</v>
      </c>
      <c r="AC4454">
        <v>9</v>
      </c>
      <c r="AD4454">
        <v>3</v>
      </c>
      <c r="AE4454">
        <v>0</v>
      </c>
      <c r="AF4454">
        <v>9</v>
      </c>
      <c r="AG4454" t="s">
        <v>115</v>
      </c>
      <c r="AH4454">
        <v>0</v>
      </c>
      <c r="AI4454">
        <v>0</v>
      </c>
      <c r="AJ4454">
        <v>1</v>
      </c>
      <c r="AK4454">
        <v>0</v>
      </c>
      <c r="AL4454" t="s">
        <v>7660</v>
      </c>
      <c r="AM4454">
        <v>47.058070000000001</v>
      </c>
      <c r="AN4454" t="s">
        <v>8038</v>
      </c>
      <c r="AO4454">
        <v>-124.054806</v>
      </c>
      <c r="AP4454">
        <v>100</v>
      </c>
      <c r="AQ4454">
        <v>1000</v>
      </c>
      <c r="AR4454" t="s">
        <v>118</v>
      </c>
      <c r="AS4454">
        <v>-78</v>
      </c>
      <c r="AT4454">
        <v>2</v>
      </c>
      <c r="AU4454">
        <v>320</v>
      </c>
      <c r="BC4454">
        <v>1200</v>
      </c>
      <c r="BD4454">
        <v>1</v>
      </c>
      <c r="BE4454" t="str">
        <f t="shared" si="211"/>
        <v xml:space="preserve">N215T   </v>
      </c>
      <c r="BF4454">
        <v>1</v>
      </c>
      <c r="BH4454">
        <v>0</v>
      </c>
      <c r="BI4454">
        <v>0</v>
      </c>
      <c r="BJ4454">
        <v>0</v>
      </c>
      <c r="BK4454">
        <v>1375</v>
      </c>
      <c r="BL4454">
        <v>375</v>
      </c>
      <c r="BM4454" t="s">
        <v>119</v>
      </c>
      <c r="BN4454">
        <v>1</v>
      </c>
      <c r="BO4454">
        <v>1</v>
      </c>
      <c r="BP4454">
        <v>1</v>
      </c>
      <c r="BQ4454">
        <v>0</v>
      </c>
      <c r="BT4454">
        <v>0</v>
      </c>
      <c r="BU4454">
        <v>0</v>
      </c>
      <c r="BV4454">
        <v>0</v>
      </c>
      <c r="CC4454" t="str">
        <f>"19:50:58.195"</f>
        <v>19:50:58.195</v>
      </c>
      <c r="CD4454" t="str">
        <f>"198018199"</f>
        <v>198018199</v>
      </c>
      <c r="CQ4454">
        <v>0</v>
      </c>
      <c r="CR4454">
        <v>2</v>
      </c>
      <c r="CS4454">
        <v>0</v>
      </c>
      <c r="CT4454">
        <v>2</v>
      </c>
      <c r="CU4454">
        <v>0</v>
      </c>
      <c r="CV4454">
        <v>3</v>
      </c>
      <c r="CW4454" t="s">
        <v>120</v>
      </c>
      <c r="CX4454">
        <v>257</v>
      </c>
      <c r="CY4454">
        <v>0</v>
      </c>
      <c r="CZ4454" t="s">
        <v>615</v>
      </c>
      <c r="DA4454" t="s">
        <v>616</v>
      </c>
      <c r="DD4454">
        <v>37428</v>
      </c>
      <c r="DE4454" t="s">
        <v>123</v>
      </c>
    </row>
    <row r="4455" spans="1:109" x14ac:dyDescent="0.3">
      <c r="A4455" t="str">
        <f>"19:50:59.359"</f>
        <v>19:50:59.359</v>
      </c>
      <c r="B4455" t="s">
        <v>110</v>
      </c>
      <c r="C4455" t="str">
        <f t="shared" si="212"/>
        <v>ffdfd3c0</v>
      </c>
      <c r="D4455" t="s">
        <v>111</v>
      </c>
      <c r="E4455">
        <v>18</v>
      </c>
      <c r="F4455">
        <v>1018</v>
      </c>
      <c r="G4455" t="s">
        <v>112</v>
      </c>
      <c r="J4455" t="s">
        <v>113</v>
      </c>
      <c r="K4455">
        <v>0</v>
      </c>
      <c r="L4455">
        <v>3</v>
      </c>
      <c r="M4455">
        <v>0</v>
      </c>
      <c r="N4455">
        <v>2</v>
      </c>
      <c r="O4455">
        <v>1</v>
      </c>
      <c r="P4455">
        <v>0</v>
      </c>
      <c r="Q4455">
        <v>0</v>
      </c>
      <c r="R4455" t="s">
        <v>114</v>
      </c>
      <c r="S4455" t="str">
        <f>"19:50:59.141"</f>
        <v>19:50:59.141</v>
      </c>
      <c r="T4455" t="str">
        <f>"19:50:58.539"</f>
        <v>19:50:58.539</v>
      </c>
      <c r="U4455" t="str">
        <f t="shared" si="210"/>
        <v>a1cdbe</v>
      </c>
      <c r="V4455">
        <v>0</v>
      </c>
      <c r="W4455">
        <v>0</v>
      </c>
      <c r="X4455">
        <v>2</v>
      </c>
      <c r="Y4455">
        <v>0</v>
      </c>
      <c r="Z4455">
        <v>0</v>
      </c>
      <c r="AB4455">
        <v>0</v>
      </c>
      <c r="AC4455">
        <v>9</v>
      </c>
      <c r="AD4455">
        <v>3</v>
      </c>
      <c r="AE4455">
        <v>0</v>
      </c>
      <c r="AF4455">
        <v>9</v>
      </c>
      <c r="AG4455" t="s">
        <v>115</v>
      </c>
      <c r="AH4455">
        <v>0</v>
      </c>
      <c r="AI4455">
        <v>0</v>
      </c>
      <c r="AJ4455">
        <v>1</v>
      </c>
      <c r="AK4455">
        <v>0</v>
      </c>
      <c r="AL4455" t="s">
        <v>7660</v>
      </c>
      <c r="AM4455">
        <v>47.058070000000001</v>
      </c>
      <c r="AN4455" t="s">
        <v>8039</v>
      </c>
      <c r="AO4455">
        <v>-124.0553</v>
      </c>
      <c r="AP4455">
        <v>100</v>
      </c>
      <c r="AQ4455">
        <v>1000</v>
      </c>
      <c r="AR4455" t="s">
        <v>118</v>
      </c>
      <c r="AS4455">
        <v>-78</v>
      </c>
      <c r="AT4455">
        <v>2</v>
      </c>
      <c r="AU4455">
        <v>0</v>
      </c>
      <c r="BC4455">
        <v>1200</v>
      </c>
      <c r="BD4455">
        <v>1</v>
      </c>
      <c r="BE4455" t="str">
        <f t="shared" si="211"/>
        <v xml:space="preserve">N215T   </v>
      </c>
      <c r="BF4455">
        <v>1</v>
      </c>
      <c r="BH4455">
        <v>0</v>
      </c>
      <c r="BI4455">
        <v>0</v>
      </c>
      <c r="BJ4455">
        <v>0</v>
      </c>
      <c r="BK4455">
        <v>1375</v>
      </c>
      <c r="BL4455">
        <v>375</v>
      </c>
      <c r="BM4455" t="s">
        <v>119</v>
      </c>
      <c r="BN4455">
        <v>1</v>
      </c>
      <c r="BO4455">
        <v>1</v>
      </c>
      <c r="BP4455">
        <v>1</v>
      </c>
      <c r="BQ4455">
        <v>0</v>
      </c>
      <c r="BT4455">
        <v>0</v>
      </c>
      <c r="BU4455">
        <v>0</v>
      </c>
      <c r="BV4455">
        <v>0</v>
      </c>
      <c r="CC4455" t="str">
        <f>"19:50:59.141"</f>
        <v>19:50:59.141</v>
      </c>
      <c r="CD4455" t="str">
        <f>"142925150"</f>
        <v>142925150</v>
      </c>
      <c r="CQ4455">
        <v>0</v>
      </c>
      <c r="CR4455">
        <v>2</v>
      </c>
      <c r="CS4455">
        <v>0</v>
      </c>
      <c r="CT4455">
        <v>2</v>
      </c>
      <c r="CU4455">
        <v>0</v>
      </c>
      <c r="CV4455">
        <v>4</v>
      </c>
      <c r="CW4455" t="s">
        <v>120</v>
      </c>
      <c r="CX4455">
        <v>257</v>
      </c>
      <c r="CY4455">
        <v>0</v>
      </c>
      <c r="CZ4455" t="s">
        <v>615</v>
      </c>
      <c r="DA4455" t="s">
        <v>616</v>
      </c>
      <c r="DD4455">
        <v>37732</v>
      </c>
      <c r="DE4455" t="s">
        <v>123</v>
      </c>
    </row>
    <row r="4456" spans="1:109" x14ac:dyDescent="0.3">
      <c r="A4456" t="str">
        <f>"19:51:00.469"</f>
        <v>19:51:00.469</v>
      </c>
      <c r="B4456" t="s">
        <v>110</v>
      </c>
      <c r="C4456" t="str">
        <f t="shared" si="212"/>
        <v>ffdfd3c0</v>
      </c>
      <c r="D4456" t="s">
        <v>111</v>
      </c>
      <c r="E4456">
        <v>18</v>
      </c>
      <c r="F4456">
        <v>1018</v>
      </c>
      <c r="G4456" t="s">
        <v>112</v>
      </c>
      <c r="J4456" t="s">
        <v>113</v>
      </c>
      <c r="K4456">
        <v>0</v>
      </c>
      <c r="L4456">
        <v>3</v>
      </c>
      <c r="M4456">
        <v>0</v>
      </c>
      <c r="N4456">
        <v>2</v>
      </c>
      <c r="O4456">
        <v>1</v>
      </c>
      <c r="P4456">
        <v>0</v>
      </c>
      <c r="Q4456">
        <v>0</v>
      </c>
      <c r="R4456" t="s">
        <v>114</v>
      </c>
      <c r="S4456" t="str">
        <f>"19:51:00.219"</f>
        <v>19:51:00.219</v>
      </c>
      <c r="T4456" t="str">
        <f>"19:50:59.922"</f>
        <v>19:50:59.922</v>
      </c>
      <c r="U4456" t="str">
        <f t="shared" si="210"/>
        <v>a1cdbe</v>
      </c>
      <c r="V4456">
        <v>0</v>
      </c>
      <c r="W4456">
        <v>0</v>
      </c>
      <c r="X4456">
        <v>2</v>
      </c>
      <c r="Y4456">
        <v>0</v>
      </c>
      <c r="Z4456">
        <v>0</v>
      </c>
      <c r="AB4456">
        <v>0</v>
      </c>
      <c r="AC4456">
        <v>9</v>
      </c>
      <c r="AD4456">
        <v>3</v>
      </c>
      <c r="AE4456">
        <v>0</v>
      </c>
      <c r="AF4456">
        <v>9</v>
      </c>
      <c r="AG4456" t="s">
        <v>115</v>
      </c>
      <c r="AH4456">
        <v>0</v>
      </c>
      <c r="AI4456">
        <v>0</v>
      </c>
      <c r="AJ4456">
        <v>1</v>
      </c>
      <c r="AK4456">
        <v>0</v>
      </c>
      <c r="AL4456" t="s">
        <v>520</v>
      </c>
      <c r="AM4456">
        <v>47.058112999999999</v>
      </c>
      <c r="AN4456" t="s">
        <v>8040</v>
      </c>
      <c r="AO4456">
        <v>-124.055858</v>
      </c>
      <c r="AP4456">
        <v>100</v>
      </c>
      <c r="AQ4456">
        <v>1000</v>
      </c>
      <c r="AR4456" t="s">
        <v>118</v>
      </c>
      <c r="AS4456">
        <v>-79</v>
      </c>
      <c r="AT4456">
        <v>3</v>
      </c>
      <c r="AU4456">
        <v>-64</v>
      </c>
      <c r="BC4456">
        <v>1200</v>
      </c>
      <c r="BD4456">
        <v>1</v>
      </c>
      <c r="BE4456" t="str">
        <f t="shared" si="211"/>
        <v xml:space="preserve">N215T   </v>
      </c>
      <c r="BF4456">
        <v>1</v>
      </c>
      <c r="BH4456">
        <v>0</v>
      </c>
      <c r="BI4456">
        <v>0</v>
      </c>
      <c r="BJ4456">
        <v>0</v>
      </c>
      <c r="BK4456">
        <v>1375</v>
      </c>
      <c r="BL4456">
        <v>375</v>
      </c>
      <c r="BM4456" t="s">
        <v>119</v>
      </c>
      <c r="BN4456">
        <v>1</v>
      </c>
      <c r="BO4456">
        <v>1</v>
      </c>
      <c r="BP4456">
        <v>1</v>
      </c>
      <c r="BQ4456">
        <v>0</v>
      </c>
      <c r="BT4456">
        <v>0</v>
      </c>
      <c r="BU4456">
        <v>0</v>
      </c>
      <c r="BV4456">
        <v>0</v>
      </c>
      <c r="CC4456" t="str">
        <f>"19:51:00.227"</f>
        <v>19:51:00.227</v>
      </c>
      <c r="CD4456" t="str">
        <f>"222818748"</f>
        <v>222818748</v>
      </c>
      <c r="CQ4456">
        <v>0</v>
      </c>
      <c r="CR4456">
        <v>2</v>
      </c>
      <c r="CS4456">
        <v>0</v>
      </c>
      <c r="CT4456">
        <v>2</v>
      </c>
      <c r="CU4456">
        <v>0</v>
      </c>
      <c r="CV4456">
        <v>4</v>
      </c>
      <c r="CW4456" t="s">
        <v>120</v>
      </c>
      <c r="CX4456">
        <v>257</v>
      </c>
      <c r="CY4456">
        <v>0</v>
      </c>
      <c r="CZ4456" t="s">
        <v>615</v>
      </c>
      <c r="DA4456" t="s">
        <v>616</v>
      </c>
      <c r="DD4456">
        <v>38059</v>
      </c>
      <c r="DE4456" t="s">
        <v>123</v>
      </c>
    </row>
    <row r="4457" spans="1:109" x14ac:dyDescent="0.3">
      <c r="A4457" t="str">
        <f>"19:51:01.422"</f>
        <v>19:51:01.422</v>
      </c>
      <c r="B4457" t="s">
        <v>110</v>
      </c>
      <c r="C4457" t="str">
        <f t="shared" si="212"/>
        <v>ffdfd3c0</v>
      </c>
      <c r="D4457" t="s">
        <v>111</v>
      </c>
      <c r="E4457">
        <v>18</v>
      </c>
      <c r="F4457">
        <v>1018</v>
      </c>
      <c r="G4457" t="s">
        <v>112</v>
      </c>
      <c r="J4457" t="s">
        <v>113</v>
      </c>
      <c r="K4457">
        <v>0</v>
      </c>
      <c r="L4457">
        <v>3</v>
      </c>
      <c r="M4457">
        <v>0</v>
      </c>
      <c r="N4457">
        <v>2</v>
      </c>
      <c r="O4457">
        <v>1</v>
      </c>
      <c r="P4457">
        <v>0</v>
      </c>
      <c r="Q4457">
        <v>0</v>
      </c>
      <c r="R4457" t="s">
        <v>114</v>
      </c>
      <c r="S4457" t="str">
        <f>"19:51:01.195"</f>
        <v>19:51:01.195</v>
      </c>
      <c r="T4457" t="str">
        <f>"19:51:01.094"</f>
        <v>19:51:01.094</v>
      </c>
      <c r="U4457" t="str">
        <f t="shared" si="210"/>
        <v>a1cdbe</v>
      </c>
      <c r="V4457">
        <v>0</v>
      </c>
      <c r="W4457">
        <v>0</v>
      </c>
      <c r="X4457">
        <v>2</v>
      </c>
      <c r="Y4457">
        <v>0</v>
      </c>
      <c r="Z4457">
        <v>0</v>
      </c>
      <c r="AB4457">
        <v>0</v>
      </c>
      <c r="AC4457">
        <v>9</v>
      </c>
      <c r="AD4457">
        <v>3</v>
      </c>
      <c r="AE4457">
        <v>0</v>
      </c>
      <c r="AF4457">
        <v>9</v>
      </c>
      <c r="AG4457" t="s">
        <v>115</v>
      </c>
      <c r="AH4457">
        <v>0</v>
      </c>
      <c r="AI4457">
        <v>0</v>
      </c>
      <c r="AJ4457">
        <v>1</v>
      </c>
      <c r="AK4457">
        <v>0</v>
      </c>
      <c r="AL4457" t="s">
        <v>8029</v>
      </c>
      <c r="AM4457">
        <v>47.058155999999997</v>
      </c>
      <c r="AN4457" t="s">
        <v>8041</v>
      </c>
      <c r="AO4457">
        <v>-124.05645800000001</v>
      </c>
      <c r="AP4457">
        <v>100</v>
      </c>
      <c r="AQ4457">
        <v>1000</v>
      </c>
      <c r="AR4457" t="s">
        <v>118</v>
      </c>
      <c r="AS4457">
        <v>-79</v>
      </c>
      <c r="AT4457">
        <v>4</v>
      </c>
      <c r="AU4457">
        <v>-192</v>
      </c>
      <c r="BC4457">
        <v>1200</v>
      </c>
      <c r="BD4457">
        <v>1</v>
      </c>
      <c r="BE4457" t="str">
        <f t="shared" si="211"/>
        <v xml:space="preserve">N215T   </v>
      </c>
      <c r="BF4457">
        <v>1</v>
      </c>
      <c r="BH4457">
        <v>0</v>
      </c>
      <c r="BI4457">
        <v>0</v>
      </c>
      <c r="BJ4457">
        <v>0</v>
      </c>
      <c r="BK4457">
        <v>1375</v>
      </c>
      <c r="BL4457">
        <v>375</v>
      </c>
      <c r="BM4457" t="s">
        <v>119</v>
      </c>
      <c r="BN4457">
        <v>1</v>
      </c>
      <c r="BO4457">
        <v>1</v>
      </c>
      <c r="BP4457">
        <v>1</v>
      </c>
      <c r="BQ4457">
        <v>0</v>
      </c>
      <c r="BT4457">
        <v>0</v>
      </c>
      <c r="BU4457">
        <v>0</v>
      </c>
      <c r="BV4457">
        <v>0</v>
      </c>
      <c r="CC4457" t="str">
        <f>"19:51:01.195"</f>
        <v>19:51:01.195</v>
      </c>
      <c r="CD4457" t="str">
        <f>"197722736"</f>
        <v>197722736</v>
      </c>
      <c r="CQ4457">
        <v>0</v>
      </c>
      <c r="CR4457">
        <v>2</v>
      </c>
      <c r="CS4457">
        <v>0</v>
      </c>
      <c r="CT4457">
        <v>2</v>
      </c>
      <c r="CU4457">
        <v>0</v>
      </c>
      <c r="CV4457">
        <v>3</v>
      </c>
      <c r="CW4457" t="s">
        <v>120</v>
      </c>
      <c r="CX4457">
        <v>257</v>
      </c>
      <c r="CY4457">
        <v>0</v>
      </c>
      <c r="CZ4457" t="s">
        <v>615</v>
      </c>
      <c r="DA4457" t="s">
        <v>616</v>
      </c>
      <c r="DD4457">
        <v>38400</v>
      </c>
      <c r="DE4457" t="s">
        <v>123</v>
      </c>
    </row>
    <row r="4458" spans="1:109" x14ac:dyDescent="0.3">
      <c r="A4458" t="str">
        <f>"19:51:02.430"</f>
        <v>19:51:02.430</v>
      </c>
      <c r="B4458" t="s">
        <v>110</v>
      </c>
      <c r="C4458" t="str">
        <f t="shared" si="212"/>
        <v>ffdfd3c0</v>
      </c>
      <c r="D4458" t="s">
        <v>111</v>
      </c>
      <c r="E4458">
        <v>18</v>
      </c>
      <c r="F4458">
        <v>1018</v>
      </c>
      <c r="G4458" t="s">
        <v>112</v>
      </c>
      <c r="J4458" t="s">
        <v>113</v>
      </c>
      <c r="K4458">
        <v>0</v>
      </c>
      <c r="L4458">
        <v>3</v>
      </c>
      <c r="M4458">
        <v>0</v>
      </c>
      <c r="N4458">
        <v>2</v>
      </c>
      <c r="O4458">
        <v>1</v>
      </c>
      <c r="P4458">
        <v>0</v>
      </c>
      <c r="Q4458">
        <v>0</v>
      </c>
      <c r="R4458" t="s">
        <v>114</v>
      </c>
      <c r="S4458" t="str">
        <f>"19:51:02.172"</f>
        <v>19:51:02.172</v>
      </c>
      <c r="T4458" t="str">
        <f>"19:51:02.172"</f>
        <v>19:51:02.172</v>
      </c>
      <c r="U4458" t="str">
        <f t="shared" si="210"/>
        <v>a1cdbe</v>
      </c>
      <c r="V4458">
        <v>0</v>
      </c>
      <c r="W4458">
        <v>0</v>
      </c>
      <c r="X4458">
        <v>2</v>
      </c>
      <c r="Y4458">
        <v>0</v>
      </c>
      <c r="Z4458">
        <v>0</v>
      </c>
      <c r="AB4458">
        <v>0</v>
      </c>
      <c r="AC4458">
        <v>9</v>
      </c>
      <c r="AD4458">
        <v>3</v>
      </c>
      <c r="AE4458">
        <v>0</v>
      </c>
      <c r="AF4458">
        <v>9</v>
      </c>
      <c r="AG4458" t="s">
        <v>115</v>
      </c>
      <c r="AH4458">
        <v>0</v>
      </c>
      <c r="AI4458">
        <v>0</v>
      </c>
      <c r="AJ4458">
        <v>1</v>
      </c>
      <c r="AK4458">
        <v>0</v>
      </c>
      <c r="AL4458" t="s">
        <v>7657</v>
      </c>
      <c r="AM4458">
        <v>47.058177000000001</v>
      </c>
      <c r="AN4458" t="s">
        <v>8042</v>
      </c>
      <c r="AO4458">
        <v>-124.056909</v>
      </c>
      <c r="AP4458">
        <v>100</v>
      </c>
      <c r="AQ4458">
        <v>1000</v>
      </c>
      <c r="AR4458" t="s">
        <v>118</v>
      </c>
      <c r="AS4458">
        <v>-80</v>
      </c>
      <c r="AT4458">
        <v>5</v>
      </c>
      <c r="AU4458">
        <v>0</v>
      </c>
      <c r="BC4458">
        <v>1200</v>
      </c>
      <c r="BD4458">
        <v>1</v>
      </c>
      <c r="BE4458" t="str">
        <f t="shared" si="211"/>
        <v xml:space="preserve">N215T   </v>
      </c>
      <c r="BF4458">
        <v>1</v>
      </c>
      <c r="BH4458">
        <v>0</v>
      </c>
      <c r="BI4458">
        <v>0</v>
      </c>
      <c r="BJ4458">
        <v>0</v>
      </c>
      <c r="BK4458">
        <v>1375</v>
      </c>
      <c r="BL4458">
        <v>375</v>
      </c>
      <c r="BM4458" t="s">
        <v>119</v>
      </c>
      <c r="BN4458">
        <v>1</v>
      </c>
      <c r="BO4458">
        <v>1</v>
      </c>
      <c r="BP4458">
        <v>1</v>
      </c>
      <c r="BQ4458">
        <v>0</v>
      </c>
      <c r="BT4458">
        <v>0</v>
      </c>
      <c r="BU4458">
        <v>0</v>
      </c>
      <c r="BV4458">
        <v>0</v>
      </c>
      <c r="CC4458" t="str">
        <f>"19:51:02.172"</f>
        <v>19:51:02.172</v>
      </c>
      <c r="CD4458" t="str">
        <f>"172626693"</f>
        <v>172626693</v>
      </c>
      <c r="CQ4458">
        <v>0</v>
      </c>
      <c r="CR4458">
        <v>2</v>
      </c>
      <c r="CS4458">
        <v>0</v>
      </c>
      <c r="CT4458">
        <v>2</v>
      </c>
      <c r="CU4458">
        <v>0</v>
      </c>
      <c r="CV4458">
        <v>4</v>
      </c>
      <c r="CW4458" t="s">
        <v>120</v>
      </c>
      <c r="CX4458">
        <v>257</v>
      </c>
      <c r="CY4458">
        <v>0</v>
      </c>
      <c r="CZ4458" t="s">
        <v>615</v>
      </c>
      <c r="DA4458" t="s">
        <v>616</v>
      </c>
      <c r="DD4458">
        <v>38695</v>
      </c>
      <c r="DE4458" t="s">
        <v>123</v>
      </c>
    </row>
    <row r="4459" spans="1:109" x14ac:dyDescent="0.3">
      <c r="A4459" t="str">
        <f>"19:51:03.484"</f>
        <v>19:51:03.484</v>
      </c>
      <c r="B4459" t="s">
        <v>110</v>
      </c>
      <c r="C4459" t="str">
        <f t="shared" si="212"/>
        <v>ffdfd3c0</v>
      </c>
      <c r="D4459" t="s">
        <v>111</v>
      </c>
      <c r="E4459">
        <v>18</v>
      </c>
      <c r="F4459">
        <v>1018</v>
      </c>
      <c r="G4459" t="s">
        <v>112</v>
      </c>
      <c r="J4459" t="s">
        <v>113</v>
      </c>
      <c r="K4459">
        <v>0</v>
      </c>
      <c r="L4459">
        <v>3</v>
      </c>
      <c r="M4459">
        <v>0</v>
      </c>
      <c r="N4459">
        <v>2</v>
      </c>
      <c r="O4459">
        <v>1</v>
      </c>
      <c r="P4459">
        <v>0</v>
      </c>
      <c r="Q4459">
        <v>0</v>
      </c>
      <c r="R4459" t="s">
        <v>114</v>
      </c>
      <c r="S4459" t="str">
        <f>"19:51:03.219"</f>
        <v>19:51:03.219</v>
      </c>
      <c r="T4459" t="str">
        <f>"19:51:03.117"</f>
        <v>19:51:03.117</v>
      </c>
      <c r="U4459" t="str">
        <f t="shared" si="210"/>
        <v>a1cdbe</v>
      </c>
      <c r="V4459">
        <v>0</v>
      </c>
      <c r="W4459">
        <v>0</v>
      </c>
      <c r="X4459">
        <v>2</v>
      </c>
      <c r="Y4459">
        <v>0</v>
      </c>
      <c r="Z4459">
        <v>0</v>
      </c>
      <c r="AB4459">
        <v>0</v>
      </c>
      <c r="AC4459">
        <v>9</v>
      </c>
      <c r="AD4459">
        <v>3</v>
      </c>
      <c r="AE4459">
        <v>0</v>
      </c>
      <c r="AF4459">
        <v>9</v>
      </c>
      <c r="AG4459" t="s">
        <v>115</v>
      </c>
      <c r="AH4459">
        <v>0</v>
      </c>
      <c r="AI4459">
        <v>0</v>
      </c>
      <c r="AJ4459">
        <v>1</v>
      </c>
      <c r="AK4459">
        <v>0</v>
      </c>
      <c r="AL4459" t="s">
        <v>7828</v>
      </c>
      <c r="AM4459">
        <v>47.058197999999997</v>
      </c>
      <c r="AN4459" t="s">
        <v>8043</v>
      </c>
      <c r="AO4459">
        <v>-124.05748800000001</v>
      </c>
      <c r="AP4459">
        <v>100</v>
      </c>
      <c r="AQ4459">
        <v>1000</v>
      </c>
      <c r="AR4459" t="s">
        <v>118</v>
      </c>
      <c r="AS4459">
        <v>-80</v>
      </c>
      <c r="AT4459">
        <v>7</v>
      </c>
      <c r="AU4459">
        <v>-128</v>
      </c>
      <c r="BC4459">
        <v>1200</v>
      </c>
      <c r="BD4459">
        <v>1</v>
      </c>
      <c r="BE4459" t="str">
        <f t="shared" si="211"/>
        <v xml:space="preserve">N215T   </v>
      </c>
      <c r="BF4459">
        <v>1</v>
      </c>
      <c r="BH4459">
        <v>0</v>
      </c>
      <c r="BI4459">
        <v>0</v>
      </c>
      <c r="BJ4459">
        <v>0</v>
      </c>
      <c r="BK4459">
        <v>1375</v>
      </c>
      <c r="BL4459">
        <v>375</v>
      </c>
      <c r="BM4459" t="s">
        <v>119</v>
      </c>
      <c r="BN4459">
        <v>1</v>
      </c>
      <c r="BO4459">
        <v>1</v>
      </c>
      <c r="BP4459">
        <v>1</v>
      </c>
      <c r="BQ4459">
        <v>0</v>
      </c>
      <c r="BT4459">
        <v>0</v>
      </c>
      <c r="BU4459">
        <v>0</v>
      </c>
      <c r="BV4459">
        <v>0</v>
      </c>
      <c r="CC4459" t="str">
        <f>"19:51:03.219"</f>
        <v>19:51:03.219</v>
      </c>
      <c r="CD4459" t="str">
        <f>"222523250"</f>
        <v>222523250</v>
      </c>
      <c r="CQ4459">
        <v>0</v>
      </c>
      <c r="CR4459">
        <v>2</v>
      </c>
      <c r="CS4459">
        <v>0</v>
      </c>
      <c r="CT4459">
        <v>2</v>
      </c>
      <c r="CU4459">
        <v>0</v>
      </c>
      <c r="CV4459">
        <v>4</v>
      </c>
      <c r="CW4459" t="s">
        <v>120</v>
      </c>
      <c r="CX4459">
        <v>257</v>
      </c>
      <c r="CY4459">
        <v>0</v>
      </c>
      <c r="CZ4459" t="s">
        <v>615</v>
      </c>
      <c r="DA4459" t="s">
        <v>616</v>
      </c>
      <c r="DD4459">
        <v>39022</v>
      </c>
      <c r="DE4459" t="s">
        <v>123</v>
      </c>
    </row>
    <row r="4460" spans="1:109" x14ac:dyDescent="0.3">
      <c r="A4460" t="str">
        <f>"19:51:04.336"</f>
        <v>19:51:04.336</v>
      </c>
      <c r="B4460" t="s">
        <v>110</v>
      </c>
      <c r="C4460" t="str">
        <f t="shared" si="212"/>
        <v>ffdfd3c0</v>
      </c>
      <c r="D4460" t="s">
        <v>111</v>
      </c>
      <c r="E4460">
        <v>18</v>
      </c>
      <c r="F4460">
        <v>1018</v>
      </c>
      <c r="G4460" t="s">
        <v>112</v>
      </c>
      <c r="J4460" t="s">
        <v>113</v>
      </c>
      <c r="K4460">
        <v>0</v>
      </c>
      <c r="L4460">
        <v>3</v>
      </c>
      <c r="M4460">
        <v>0</v>
      </c>
      <c r="N4460">
        <v>2</v>
      </c>
      <c r="O4460">
        <v>1</v>
      </c>
      <c r="P4460">
        <v>0</v>
      </c>
      <c r="Q4460">
        <v>0</v>
      </c>
      <c r="R4460" t="s">
        <v>114</v>
      </c>
      <c r="S4460" t="str">
        <f>"19:51:04.086"</f>
        <v>19:51:04.086</v>
      </c>
      <c r="T4460" t="str">
        <f>"19:51:03.688"</f>
        <v>19:51:03.688</v>
      </c>
      <c r="U4460" t="str">
        <f t="shared" si="210"/>
        <v>a1cdbe</v>
      </c>
      <c r="V4460">
        <v>0</v>
      </c>
      <c r="W4460">
        <v>0</v>
      </c>
      <c r="X4460">
        <v>2</v>
      </c>
      <c r="Y4460">
        <v>0</v>
      </c>
      <c r="Z4460">
        <v>0</v>
      </c>
      <c r="AB4460">
        <v>0</v>
      </c>
      <c r="AC4460">
        <v>9</v>
      </c>
      <c r="AD4460">
        <v>3</v>
      </c>
      <c r="AE4460">
        <v>0</v>
      </c>
      <c r="AF4460">
        <v>9</v>
      </c>
      <c r="AG4460" t="s">
        <v>115</v>
      </c>
      <c r="AH4460">
        <v>0</v>
      </c>
      <c r="AI4460">
        <v>0</v>
      </c>
      <c r="AJ4460">
        <v>1</v>
      </c>
      <c r="AK4460">
        <v>0</v>
      </c>
      <c r="AL4460" t="s">
        <v>7348</v>
      </c>
      <c r="AM4460">
        <v>47.058241000000002</v>
      </c>
      <c r="AN4460" t="s">
        <v>8044</v>
      </c>
      <c r="AO4460">
        <v>-124.05796100000001</v>
      </c>
      <c r="AP4460">
        <v>100</v>
      </c>
      <c r="AQ4460">
        <v>1000</v>
      </c>
      <c r="AR4460" t="s">
        <v>118</v>
      </c>
      <c r="AS4460">
        <v>-81</v>
      </c>
      <c r="AT4460">
        <v>7</v>
      </c>
      <c r="AU4460">
        <v>-192</v>
      </c>
      <c r="BC4460">
        <v>1200</v>
      </c>
      <c r="BD4460">
        <v>1</v>
      </c>
      <c r="BE4460" t="str">
        <f t="shared" si="211"/>
        <v xml:space="preserve">N215T   </v>
      </c>
      <c r="BF4460">
        <v>1</v>
      </c>
      <c r="BH4460">
        <v>0</v>
      </c>
      <c r="BI4460">
        <v>0</v>
      </c>
      <c r="BJ4460">
        <v>0</v>
      </c>
      <c r="BK4460">
        <v>1375</v>
      </c>
      <c r="BL4460">
        <v>375</v>
      </c>
      <c r="BM4460" t="s">
        <v>119</v>
      </c>
      <c r="BN4460">
        <v>1</v>
      </c>
      <c r="BO4460">
        <v>1</v>
      </c>
      <c r="BP4460">
        <v>1</v>
      </c>
      <c r="BQ4460">
        <v>0</v>
      </c>
      <c r="BT4460">
        <v>0</v>
      </c>
      <c r="BU4460">
        <v>0</v>
      </c>
      <c r="BV4460">
        <v>0</v>
      </c>
      <c r="CC4460" t="str">
        <f>"19:51:04.094"</f>
        <v>19:51:04.094</v>
      </c>
      <c r="CD4460" t="str">
        <f>"092437562"</f>
        <v>092437562</v>
      </c>
      <c r="CQ4460">
        <v>0</v>
      </c>
      <c r="CR4460">
        <v>2</v>
      </c>
      <c r="CS4460">
        <v>0</v>
      </c>
      <c r="CT4460">
        <v>2</v>
      </c>
      <c r="CU4460">
        <v>0</v>
      </c>
      <c r="CV4460">
        <v>4</v>
      </c>
      <c r="CW4460" t="s">
        <v>120</v>
      </c>
      <c r="CX4460">
        <v>257</v>
      </c>
      <c r="CY4460">
        <v>0</v>
      </c>
      <c r="CZ4460" t="s">
        <v>615</v>
      </c>
      <c r="DA4460" t="s">
        <v>616</v>
      </c>
      <c r="DD4460">
        <v>39276</v>
      </c>
      <c r="DE4460" t="s">
        <v>123</v>
      </c>
    </row>
    <row r="4461" spans="1:109" x14ac:dyDescent="0.3">
      <c r="A4461" t="str">
        <f>"19:51:05.391"</f>
        <v>19:51:05.391</v>
      </c>
      <c r="B4461" t="s">
        <v>110</v>
      </c>
      <c r="C4461" t="str">
        <f t="shared" si="212"/>
        <v>ffdfd3c0</v>
      </c>
      <c r="D4461" t="s">
        <v>111</v>
      </c>
      <c r="E4461">
        <v>18</v>
      </c>
      <c r="F4461">
        <v>1018</v>
      </c>
      <c r="G4461" t="s">
        <v>112</v>
      </c>
      <c r="J4461" t="s">
        <v>113</v>
      </c>
      <c r="K4461">
        <v>0</v>
      </c>
      <c r="L4461">
        <v>3</v>
      </c>
      <c r="M4461">
        <v>0</v>
      </c>
      <c r="N4461">
        <v>2</v>
      </c>
      <c r="O4461">
        <v>1</v>
      </c>
      <c r="P4461">
        <v>0</v>
      </c>
      <c r="Q4461">
        <v>0</v>
      </c>
      <c r="R4461" t="s">
        <v>114</v>
      </c>
      <c r="S4461" t="str">
        <f>"19:51:05.141"</f>
        <v>19:51:05.141</v>
      </c>
      <c r="T4461" t="str">
        <f>"19:51:04.844"</f>
        <v>19:51:04.844</v>
      </c>
      <c r="U4461" t="str">
        <f t="shared" si="210"/>
        <v>a1cdbe</v>
      </c>
      <c r="V4461">
        <v>0</v>
      </c>
      <c r="W4461">
        <v>0</v>
      </c>
      <c r="X4461">
        <v>2</v>
      </c>
      <c r="Y4461">
        <v>0</v>
      </c>
      <c r="Z4461">
        <v>0</v>
      </c>
      <c r="AB4461">
        <v>0</v>
      </c>
      <c r="AC4461">
        <v>9</v>
      </c>
      <c r="AD4461">
        <v>3</v>
      </c>
      <c r="AE4461">
        <v>0</v>
      </c>
      <c r="AF4461">
        <v>9</v>
      </c>
      <c r="AG4461" t="s">
        <v>115</v>
      </c>
      <c r="AH4461">
        <v>0</v>
      </c>
      <c r="AI4461">
        <v>0</v>
      </c>
      <c r="AJ4461">
        <v>1</v>
      </c>
      <c r="AK4461">
        <v>0</v>
      </c>
      <c r="AL4461" t="s">
        <v>7348</v>
      </c>
      <c r="AM4461">
        <v>47.058241000000002</v>
      </c>
      <c r="AN4461" t="s">
        <v>8045</v>
      </c>
      <c r="AO4461">
        <v>-124.058583</v>
      </c>
      <c r="AP4461">
        <v>100</v>
      </c>
      <c r="AQ4461">
        <v>1000</v>
      </c>
      <c r="AR4461" t="s">
        <v>118</v>
      </c>
      <c r="AS4461">
        <v>-82</v>
      </c>
      <c r="AT4461">
        <v>8</v>
      </c>
      <c r="AU4461">
        <v>0</v>
      </c>
      <c r="BC4461">
        <v>1200</v>
      </c>
      <c r="BD4461">
        <v>1</v>
      </c>
      <c r="BE4461" t="str">
        <f t="shared" si="211"/>
        <v xml:space="preserve">N215T   </v>
      </c>
      <c r="BF4461">
        <v>1</v>
      </c>
      <c r="BH4461">
        <v>0</v>
      </c>
      <c r="BI4461">
        <v>0</v>
      </c>
      <c r="BJ4461">
        <v>0</v>
      </c>
      <c r="BK4461">
        <v>1375</v>
      </c>
      <c r="BL4461">
        <v>375</v>
      </c>
      <c r="BM4461" t="s">
        <v>119</v>
      </c>
      <c r="BN4461">
        <v>1</v>
      </c>
      <c r="BO4461">
        <v>1</v>
      </c>
      <c r="BP4461">
        <v>1</v>
      </c>
      <c r="BQ4461">
        <v>0</v>
      </c>
      <c r="BT4461">
        <v>0</v>
      </c>
      <c r="BU4461">
        <v>0</v>
      </c>
      <c r="BV4461">
        <v>0</v>
      </c>
      <c r="CC4461" t="str">
        <f>"19:51:05.141"</f>
        <v>19:51:05.141</v>
      </c>
      <c r="CD4461" t="str">
        <f>"142334130"</f>
        <v>142334130</v>
      </c>
      <c r="CQ4461">
        <v>0</v>
      </c>
      <c r="CR4461">
        <v>2</v>
      </c>
      <c r="CS4461">
        <v>0</v>
      </c>
      <c r="CT4461">
        <v>2</v>
      </c>
      <c r="CU4461">
        <v>0</v>
      </c>
      <c r="CV4461">
        <v>4</v>
      </c>
      <c r="CW4461" t="s">
        <v>120</v>
      </c>
      <c r="CX4461">
        <v>257</v>
      </c>
      <c r="CY4461">
        <v>0</v>
      </c>
      <c r="CZ4461" t="s">
        <v>615</v>
      </c>
      <c r="DA4461" t="s">
        <v>616</v>
      </c>
      <c r="DD4461">
        <v>39602</v>
      </c>
      <c r="DE4461" t="s">
        <v>123</v>
      </c>
    </row>
    <row r="4462" spans="1:109" x14ac:dyDescent="0.3">
      <c r="A4462" t="str">
        <f>"19:51:06.297"</f>
        <v>19:51:06.297</v>
      </c>
      <c r="B4462" t="s">
        <v>110</v>
      </c>
      <c r="C4462" t="str">
        <f t="shared" si="212"/>
        <v>ffdfd3c0</v>
      </c>
      <c r="D4462" t="s">
        <v>111</v>
      </c>
      <c r="E4462">
        <v>18</v>
      </c>
      <c r="F4462">
        <v>1018</v>
      </c>
      <c r="G4462" t="s">
        <v>112</v>
      </c>
      <c r="J4462" t="s">
        <v>113</v>
      </c>
      <c r="K4462">
        <v>0</v>
      </c>
      <c r="L4462">
        <v>3</v>
      </c>
      <c r="M4462">
        <v>0</v>
      </c>
      <c r="N4462">
        <v>2</v>
      </c>
      <c r="O4462">
        <v>1</v>
      </c>
      <c r="P4462">
        <v>0</v>
      </c>
      <c r="Q4462">
        <v>0</v>
      </c>
      <c r="R4462" t="s">
        <v>114</v>
      </c>
      <c r="S4462" t="str">
        <f>"19:51:06.039"</f>
        <v>19:51:06.039</v>
      </c>
      <c r="T4462" t="str">
        <f>"19:51:05.641"</f>
        <v>19:51:05.641</v>
      </c>
      <c r="U4462" t="str">
        <f t="shared" si="210"/>
        <v>a1cdbe</v>
      </c>
      <c r="V4462">
        <v>0</v>
      </c>
      <c r="W4462">
        <v>0</v>
      </c>
      <c r="X4462">
        <v>2</v>
      </c>
      <c r="Y4462">
        <v>0</v>
      </c>
      <c r="Z4462">
        <v>0</v>
      </c>
      <c r="AB4462">
        <v>0</v>
      </c>
      <c r="AC4462">
        <v>9</v>
      </c>
      <c r="AD4462">
        <v>3</v>
      </c>
      <c r="AE4462">
        <v>0</v>
      </c>
      <c r="AF4462">
        <v>9</v>
      </c>
      <c r="AG4462" t="s">
        <v>115</v>
      </c>
      <c r="AH4462">
        <v>0</v>
      </c>
      <c r="AI4462">
        <v>0</v>
      </c>
      <c r="AJ4462">
        <v>1</v>
      </c>
      <c r="AK4462">
        <v>0</v>
      </c>
      <c r="AL4462" t="s">
        <v>7656</v>
      </c>
      <c r="AM4462">
        <v>47.058284</v>
      </c>
      <c r="AN4462" t="s">
        <v>8046</v>
      </c>
      <c r="AO4462">
        <v>-124.059055</v>
      </c>
      <c r="AP4462">
        <v>100</v>
      </c>
      <c r="AQ4462">
        <v>1000</v>
      </c>
      <c r="AR4462" t="s">
        <v>118</v>
      </c>
      <c r="AS4462">
        <v>-82</v>
      </c>
      <c r="AT4462">
        <v>7</v>
      </c>
      <c r="AU4462">
        <v>-128</v>
      </c>
      <c r="BC4462">
        <v>1200</v>
      </c>
      <c r="BD4462">
        <v>1</v>
      </c>
      <c r="BE4462" t="str">
        <f t="shared" si="211"/>
        <v xml:space="preserve">N215T   </v>
      </c>
      <c r="BF4462">
        <v>1</v>
      </c>
      <c r="BH4462">
        <v>0</v>
      </c>
      <c r="BI4462">
        <v>0</v>
      </c>
      <c r="BJ4462">
        <v>0</v>
      </c>
      <c r="BK4462">
        <v>1375</v>
      </c>
      <c r="BL4462">
        <v>375</v>
      </c>
      <c r="BM4462" t="s">
        <v>119</v>
      </c>
      <c r="BN4462">
        <v>1</v>
      </c>
      <c r="BO4462">
        <v>1</v>
      </c>
      <c r="BP4462">
        <v>1</v>
      </c>
      <c r="BQ4462">
        <v>0</v>
      </c>
      <c r="BT4462">
        <v>0</v>
      </c>
      <c r="BU4462">
        <v>0</v>
      </c>
      <c r="BV4462">
        <v>0</v>
      </c>
      <c r="CC4462" t="str">
        <f>"19:51:06.039"</f>
        <v>19:51:06.039</v>
      </c>
      <c r="CD4462" t="str">
        <f>"042245498"</f>
        <v>042245498</v>
      </c>
      <c r="CQ4462">
        <v>0</v>
      </c>
      <c r="CR4462">
        <v>2</v>
      </c>
      <c r="CS4462">
        <v>0</v>
      </c>
      <c r="CT4462">
        <v>2</v>
      </c>
      <c r="CU4462">
        <v>0</v>
      </c>
      <c r="CV4462">
        <v>4</v>
      </c>
      <c r="CW4462" t="s">
        <v>120</v>
      </c>
      <c r="CX4462">
        <v>257</v>
      </c>
      <c r="CY4462">
        <v>0</v>
      </c>
      <c r="CZ4462" t="s">
        <v>615</v>
      </c>
      <c r="DA4462" t="s">
        <v>616</v>
      </c>
      <c r="DD4462">
        <v>39883</v>
      </c>
      <c r="DE4462" t="s">
        <v>123</v>
      </c>
    </row>
    <row r="4463" spans="1:109" x14ac:dyDescent="0.3">
      <c r="A4463" t="str">
        <f>"19:51:07.406"</f>
        <v>19:51:07.406</v>
      </c>
      <c r="B4463" t="s">
        <v>110</v>
      </c>
      <c r="C4463" t="str">
        <f t="shared" si="212"/>
        <v>ffdfd3c0</v>
      </c>
      <c r="D4463" t="s">
        <v>111</v>
      </c>
      <c r="E4463">
        <v>18</v>
      </c>
      <c r="F4463">
        <v>1018</v>
      </c>
      <c r="G4463" t="s">
        <v>112</v>
      </c>
      <c r="J4463" t="s">
        <v>113</v>
      </c>
      <c r="K4463">
        <v>0</v>
      </c>
      <c r="L4463">
        <v>3</v>
      </c>
      <c r="M4463">
        <v>0</v>
      </c>
      <c r="N4463">
        <v>2</v>
      </c>
      <c r="O4463">
        <v>1</v>
      </c>
      <c r="P4463">
        <v>0</v>
      </c>
      <c r="Q4463">
        <v>0</v>
      </c>
      <c r="R4463" t="s">
        <v>114</v>
      </c>
      <c r="S4463" t="str">
        <f>"19:51:07.133"</f>
        <v>19:51:07.133</v>
      </c>
      <c r="T4463" t="str">
        <f>"19:51:07.031"</f>
        <v>19:51:07.031</v>
      </c>
      <c r="U4463" t="str">
        <f t="shared" si="210"/>
        <v>a1cdbe</v>
      </c>
      <c r="V4463">
        <v>0</v>
      </c>
      <c r="W4463">
        <v>0</v>
      </c>
      <c r="X4463">
        <v>2</v>
      </c>
      <c r="Y4463">
        <v>0</v>
      </c>
      <c r="Z4463">
        <v>0</v>
      </c>
      <c r="AB4463">
        <v>0</v>
      </c>
      <c r="AC4463">
        <v>9</v>
      </c>
      <c r="AD4463">
        <v>3</v>
      </c>
      <c r="AE4463">
        <v>0</v>
      </c>
      <c r="AF4463">
        <v>9</v>
      </c>
      <c r="AG4463" t="s">
        <v>115</v>
      </c>
      <c r="AH4463">
        <v>0</v>
      </c>
      <c r="AI4463">
        <v>0</v>
      </c>
      <c r="AJ4463">
        <v>1</v>
      </c>
      <c r="AK4463">
        <v>0</v>
      </c>
      <c r="AL4463" t="s">
        <v>7666</v>
      </c>
      <c r="AM4463">
        <v>47.058306000000002</v>
      </c>
      <c r="AN4463" t="s">
        <v>8047</v>
      </c>
      <c r="AO4463">
        <v>-124.05972</v>
      </c>
      <c r="AP4463">
        <v>100</v>
      </c>
      <c r="AQ4463">
        <v>1000</v>
      </c>
      <c r="AR4463" t="s">
        <v>118</v>
      </c>
      <c r="AS4463">
        <v>-83</v>
      </c>
      <c r="AT4463">
        <v>6</v>
      </c>
      <c r="AU4463">
        <v>-192</v>
      </c>
      <c r="BC4463">
        <v>1200</v>
      </c>
      <c r="BD4463">
        <v>1</v>
      </c>
      <c r="BE4463" t="str">
        <f t="shared" si="211"/>
        <v xml:space="preserve">N215T   </v>
      </c>
      <c r="BF4463">
        <v>1</v>
      </c>
      <c r="BH4463">
        <v>0</v>
      </c>
      <c r="BI4463">
        <v>0</v>
      </c>
      <c r="BJ4463">
        <v>0</v>
      </c>
      <c r="BK4463">
        <v>1375</v>
      </c>
      <c r="BL4463">
        <v>375</v>
      </c>
      <c r="BM4463" t="s">
        <v>119</v>
      </c>
      <c r="BN4463">
        <v>1</v>
      </c>
      <c r="BO4463">
        <v>1</v>
      </c>
      <c r="BP4463">
        <v>1</v>
      </c>
      <c r="BQ4463">
        <v>0</v>
      </c>
      <c r="BT4463">
        <v>0</v>
      </c>
      <c r="BU4463">
        <v>0</v>
      </c>
      <c r="BV4463">
        <v>0</v>
      </c>
      <c r="CC4463" t="str">
        <f>"19:51:07.141"</f>
        <v>19:51:07.141</v>
      </c>
      <c r="CD4463" t="str">
        <f>"137137656"</f>
        <v>137137656</v>
      </c>
      <c r="CQ4463">
        <v>0</v>
      </c>
      <c r="CR4463">
        <v>2</v>
      </c>
      <c r="CS4463">
        <v>0</v>
      </c>
      <c r="CT4463">
        <v>2</v>
      </c>
      <c r="CU4463">
        <v>0</v>
      </c>
      <c r="CV4463">
        <v>4</v>
      </c>
      <c r="CW4463" t="s">
        <v>120</v>
      </c>
      <c r="CX4463">
        <v>257</v>
      </c>
      <c r="CY4463">
        <v>0</v>
      </c>
      <c r="CZ4463" t="s">
        <v>615</v>
      </c>
      <c r="DA4463" t="s">
        <v>616</v>
      </c>
      <c r="DD4463">
        <v>40219</v>
      </c>
      <c r="DE4463" t="s">
        <v>123</v>
      </c>
    </row>
    <row r="4464" spans="1:109" x14ac:dyDescent="0.3">
      <c r="A4464" t="str">
        <f>"19:51:08.563"</f>
        <v>19:51:08.563</v>
      </c>
      <c r="B4464" t="s">
        <v>110</v>
      </c>
      <c r="C4464" t="str">
        <f t="shared" si="212"/>
        <v>ffdfd3c0</v>
      </c>
      <c r="D4464" t="s">
        <v>111</v>
      </c>
      <c r="E4464">
        <v>18</v>
      </c>
      <c r="F4464">
        <v>1018</v>
      </c>
      <c r="G4464" t="s">
        <v>112</v>
      </c>
      <c r="J4464" t="s">
        <v>113</v>
      </c>
      <c r="K4464">
        <v>0</v>
      </c>
      <c r="L4464">
        <v>3</v>
      </c>
      <c r="M4464">
        <v>0</v>
      </c>
      <c r="N4464">
        <v>2</v>
      </c>
      <c r="O4464">
        <v>1</v>
      </c>
      <c r="P4464">
        <v>0</v>
      </c>
      <c r="Q4464">
        <v>0</v>
      </c>
      <c r="R4464" t="s">
        <v>114</v>
      </c>
      <c r="S4464" t="str">
        <f>"19:51:08.289"</f>
        <v>19:51:08.289</v>
      </c>
      <c r="T4464" t="str">
        <f>"19:51:08.086"</f>
        <v>19:51:08.086</v>
      </c>
      <c r="U4464" t="str">
        <f t="shared" si="210"/>
        <v>a1cdbe</v>
      </c>
      <c r="V4464">
        <v>0</v>
      </c>
      <c r="W4464">
        <v>0</v>
      </c>
      <c r="X4464">
        <v>2</v>
      </c>
      <c r="Y4464">
        <v>0</v>
      </c>
      <c r="Z4464">
        <v>0</v>
      </c>
      <c r="AB4464">
        <v>0</v>
      </c>
      <c r="AC4464">
        <v>9</v>
      </c>
      <c r="AD4464">
        <v>3</v>
      </c>
      <c r="AE4464">
        <v>0</v>
      </c>
      <c r="AF4464">
        <v>9</v>
      </c>
      <c r="AG4464" t="s">
        <v>115</v>
      </c>
      <c r="AH4464">
        <v>0</v>
      </c>
      <c r="AI4464">
        <v>0</v>
      </c>
      <c r="AJ4464">
        <v>1</v>
      </c>
      <c r="AK4464">
        <v>0</v>
      </c>
      <c r="AL4464" t="s">
        <v>8048</v>
      </c>
      <c r="AM4464">
        <v>47.058349</v>
      </c>
      <c r="AN4464" t="s">
        <v>8049</v>
      </c>
      <c r="AO4464">
        <v>-124.06036400000001</v>
      </c>
      <c r="AP4464">
        <v>100</v>
      </c>
      <c r="AQ4464">
        <v>1000</v>
      </c>
      <c r="AR4464" t="s">
        <v>118</v>
      </c>
      <c r="AS4464">
        <v>-84</v>
      </c>
      <c r="AT4464">
        <v>5</v>
      </c>
      <c r="AU4464">
        <v>-256</v>
      </c>
      <c r="BC4464">
        <v>1200</v>
      </c>
      <c r="BD4464">
        <v>1</v>
      </c>
      <c r="BE4464" t="str">
        <f t="shared" si="211"/>
        <v xml:space="preserve">N215T   </v>
      </c>
      <c r="BF4464">
        <v>1</v>
      </c>
      <c r="BH4464">
        <v>0</v>
      </c>
      <c r="BI4464">
        <v>0</v>
      </c>
      <c r="BJ4464">
        <v>0</v>
      </c>
      <c r="BK4464">
        <v>1350</v>
      </c>
      <c r="BL4464">
        <v>350</v>
      </c>
      <c r="BM4464" t="s">
        <v>119</v>
      </c>
      <c r="BN4464">
        <v>1</v>
      </c>
      <c r="BO4464">
        <v>1</v>
      </c>
      <c r="BP4464">
        <v>1</v>
      </c>
      <c r="BQ4464">
        <v>0</v>
      </c>
      <c r="BT4464">
        <v>0</v>
      </c>
      <c r="BU4464">
        <v>0</v>
      </c>
      <c r="BV4464">
        <v>0</v>
      </c>
      <c r="CC4464" t="str">
        <f>"19:51:08.289"</f>
        <v>19:51:08.289</v>
      </c>
      <c r="CD4464" t="str">
        <f>"292023895"</f>
        <v>292023895</v>
      </c>
      <c r="CQ4464">
        <v>0</v>
      </c>
      <c r="CR4464">
        <v>2</v>
      </c>
      <c r="CS4464">
        <v>0</v>
      </c>
      <c r="CT4464">
        <v>2</v>
      </c>
      <c r="CU4464">
        <v>0</v>
      </c>
      <c r="CV4464">
        <v>4</v>
      </c>
      <c r="CW4464" t="s">
        <v>120</v>
      </c>
      <c r="CX4464">
        <v>257</v>
      </c>
      <c r="CY4464">
        <v>0</v>
      </c>
      <c r="CZ4464" t="s">
        <v>615</v>
      </c>
      <c r="DA4464" t="s">
        <v>616</v>
      </c>
      <c r="DD4464">
        <v>40588</v>
      </c>
      <c r="DE4464" t="s">
        <v>123</v>
      </c>
    </row>
    <row r="4465" spans="1:109" x14ac:dyDescent="0.3">
      <c r="A4465" t="str">
        <f>"19:51:09.516"</f>
        <v>19:51:09.516</v>
      </c>
      <c r="B4465" t="s">
        <v>110</v>
      </c>
      <c r="C4465" t="str">
        <f t="shared" si="212"/>
        <v>ffdfd3c0</v>
      </c>
      <c r="D4465" t="s">
        <v>111</v>
      </c>
      <c r="E4465">
        <v>18</v>
      </c>
      <c r="F4465">
        <v>1018</v>
      </c>
      <c r="G4465" t="s">
        <v>112</v>
      </c>
      <c r="J4465" t="s">
        <v>113</v>
      </c>
      <c r="K4465">
        <v>0</v>
      </c>
      <c r="L4465">
        <v>3</v>
      </c>
      <c r="M4465">
        <v>0</v>
      </c>
      <c r="N4465">
        <v>2</v>
      </c>
      <c r="O4465">
        <v>1</v>
      </c>
      <c r="P4465">
        <v>0</v>
      </c>
      <c r="Q4465">
        <v>0</v>
      </c>
      <c r="R4465" t="s">
        <v>114</v>
      </c>
      <c r="S4465" t="str">
        <f>"19:51:09.305"</f>
        <v>19:51:09.305</v>
      </c>
      <c r="T4465" t="str">
        <f>"19:51:09.102"</f>
        <v>19:51:09.102</v>
      </c>
      <c r="U4465" t="str">
        <f t="shared" si="210"/>
        <v>a1cdbe</v>
      </c>
      <c r="V4465">
        <v>0</v>
      </c>
      <c r="W4465">
        <v>0</v>
      </c>
      <c r="X4465">
        <v>2</v>
      </c>
      <c r="Y4465">
        <v>0</v>
      </c>
      <c r="Z4465">
        <v>0</v>
      </c>
      <c r="AB4465">
        <v>0</v>
      </c>
      <c r="AC4465">
        <v>9</v>
      </c>
      <c r="AD4465">
        <v>3</v>
      </c>
      <c r="AE4465">
        <v>0</v>
      </c>
      <c r="AF4465">
        <v>9</v>
      </c>
      <c r="AG4465" t="s">
        <v>115</v>
      </c>
      <c r="AH4465">
        <v>0</v>
      </c>
      <c r="AI4465">
        <v>0</v>
      </c>
      <c r="AJ4465">
        <v>1</v>
      </c>
      <c r="AK4465">
        <v>0</v>
      </c>
      <c r="AL4465" t="s">
        <v>7350</v>
      </c>
      <c r="AM4465">
        <v>47.058369999999996</v>
      </c>
      <c r="AN4465" t="s">
        <v>8050</v>
      </c>
      <c r="AO4465">
        <v>-124.06092200000001</v>
      </c>
      <c r="AP4465">
        <v>100</v>
      </c>
      <c r="AQ4465">
        <v>1000</v>
      </c>
      <c r="AR4465" t="s">
        <v>118</v>
      </c>
      <c r="AS4465">
        <v>-85</v>
      </c>
      <c r="AT4465">
        <v>4</v>
      </c>
      <c r="AU4465">
        <v>-448</v>
      </c>
      <c r="BC4465">
        <v>1200</v>
      </c>
      <c r="BD4465">
        <v>1</v>
      </c>
      <c r="BE4465" t="str">
        <f t="shared" si="211"/>
        <v xml:space="preserve">N215T   </v>
      </c>
      <c r="BF4465">
        <v>1</v>
      </c>
      <c r="BH4465">
        <v>0</v>
      </c>
      <c r="BI4465">
        <v>0</v>
      </c>
      <c r="BJ4465">
        <v>0</v>
      </c>
      <c r="BK4465">
        <v>1350</v>
      </c>
      <c r="BL4465">
        <v>350</v>
      </c>
      <c r="BM4465" t="s">
        <v>119</v>
      </c>
      <c r="BN4465">
        <v>1</v>
      </c>
      <c r="BO4465">
        <v>1</v>
      </c>
      <c r="BP4465">
        <v>1</v>
      </c>
      <c r="BQ4465">
        <v>0</v>
      </c>
      <c r="BT4465">
        <v>0</v>
      </c>
      <c r="BU4465">
        <v>0</v>
      </c>
      <c r="BV4465">
        <v>0</v>
      </c>
      <c r="CC4465" t="str">
        <f>"19:51:09.313"</f>
        <v>19:51:09.313</v>
      </c>
      <c r="CD4465" t="str">
        <f>"311923419"</f>
        <v>311923419</v>
      </c>
      <c r="CQ4465">
        <v>0</v>
      </c>
      <c r="CR4465">
        <v>2</v>
      </c>
      <c r="CS4465">
        <v>0</v>
      </c>
      <c r="CT4465">
        <v>2</v>
      </c>
      <c r="CU4465">
        <v>0</v>
      </c>
      <c r="CV4465">
        <v>4</v>
      </c>
      <c r="CW4465" t="s">
        <v>120</v>
      </c>
      <c r="CX4465">
        <v>257</v>
      </c>
      <c r="CY4465">
        <v>0</v>
      </c>
      <c r="CZ4465" t="s">
        <v>615</v>
      </c>
      <c r="DA4465" t="s">
        <v>616</v>
      </c>
      <c r="DD4465">
        <v>40898</v>
      </c>
      <c r="DE4465" t="s">
        <v>123</v>
      </c>
    </row>
    <row r="4466" spans="1:109" x14ac:dyDescent="0.3">
      <c r="A4466" t="str">
        <f>"19:51:10.523"</f>
        <v>19:51:10.523</v>
      </c>
      <c r="B4466" t="s">
        <v>110</v>
      </c>
      <c r="C4466" t="str">
        <f t="shared" si="212"/>
        <v>ffdfd3c0</v>
      </c>
      <c r="D4466" t="s">
        <v>111</v>
      </c>
      <c r="E4466">
        <v>18</v>
      </c>
      <c r="F4466">
        <v>1018</v>
      </c>
      <c r="G4466" t="s">
        <v>112</v>
      </c>
      <c r="J4466" t="s">
        <v>113</v>
      </c>
      <c r="K4466">
        <v>0</v>
      </c>
      <c r="L4466">
        <v>3</v>
      </c>
      <c r="M4466">
        <v>0</v>
      </c>
      <c r="N4466">
        <v>2</v>
      </c>
      <c r="O4466">
        <v>1</v>
      </c>
      <c r="P4466">
        <v>0</v>
      </c>
      <c r="Q4466">
        <v>0</v>
      </c>
      <c r="R4466" t="s">
        <v>114</v>
      </c>
      <c r="S4466" t="str">
        <f>"19:51:10.266"</f>
        <v>19:51:10.266</v>
      </c>
      <c r="T4466" t="str">
        <f>"19:51:10.164"</f>
        <v>19:51:10.164</v>
      </c>
      <c r="U4466" t="str">
        <f t="shared" si="210"/>
        <v>a1cdbe</v>
      </c>
      <c r="V4466">
        <v>0</v>
      </c>
      <c r="W4466">
        <v>0</v>
      </c>
      <c r="X4466">
        <v>2</v>
      </c>
      <c r="Y4466">
        <v>0</v>
      </c>
      <c r="Z4466">
        <v>0</v>
      </c>
      <c r="AB4466">
        <v>0</v>
      </c>
      <c r="AC4466">
        <v>9</v>
      </c>
      <c r="AD4466">
        <v>3</v>
      </c>
      <c r="AE4466">
        <v>0</v>
      </c>
      <c r="AF4466">
        <v>9</v>
      </c>
      <c r="AG4466" t="s">
        <v>115</v>
      </c>
      <c r="AH4466">
        <v>0</v>
      </c>
      <c r="AI4466">
        <v>0</v>
      </c>
      <c r="AJ4466">
        <v>1</v>
      </c>
      <c r="AK4466">
        <v>0</v>
      </c>
      <c r="AL4466" t="s">
        <v>8021</v>
      </c>
      <c r="AM4466">
        <v>47.058391999999998</v>
      </c>
      <c r="AN4466" t="s">
        <v>8051</v>
      </c>
      <c r="AO4466">
        <v>-124.06150100000001</v>
      </c>
      <c r="AP4466">
        <v>100</v>
      </c>
      <c r="AQ4466">
        <v>1000</v>
      </c>
      <c r="AR4466" t="s">
        <v>118</v>
      </c>
      <c r="AS4466">
        <v>-85</v>
      </c>
      <c r="AT4466">
        <v>4</v>
      </c>
      <c r="AU4466">
        <v>-448</v>
      </c>
      <c r="BC4466">
        <v>1200</v>
      </c>
      <c r="BD4466">
        <v>1</v>
      </c>
      <c r="BE4466" t="str">
        <f t="shared" si="211"/>
        <v xml:space="preserve">N215T   </v>
      </c>
      <c r="BF4466">
        <v>1</v>
      </c>
      <c r="BH4466">
        <v>0</v>
      </c>
      <c r="BI4466">
        <v>0</v>
      </c>
      <c r="BJ4466">
        <v>0</v>
      </c>
      <c r="BK4466">
        <v>1350</v>
      </c>
      <c r="BL4466">
        <v>350</v>
      </c>
      <c r="BM4466" t="s">
        <v>119</v>
      </c>
      <c r="BN4466">
        <v>1</v>
      </c>
      <c r="BO4466">
        <v>1</v>
      </c>
      <c r="BP4466">
        <v>1</v>
      </c>
      <c r="BQ4466">
        <v>0</v>
      </c>
      <c r="BT4466">
        <v>0</v>
      </c>
      <c r="BU4466">
        <v>0</v>
      </c>
      <c r="BV4466">
        <v>0</v>
      </c>
      <c r="CC4466" t="str">
        <f>"19:51:10.273"</f>
        <v>19:51:10.273</v>
      </c>
      <c r="CD4466" t="str">
        <f>"271828866"</f>
        <v>271828866</v>
      </c>
      <c r="CQ4466">
        <v>0</v>
      </c>
      <c r="CR4466">
        <v>2</v>
      </c>
      <c r="CS4466">
        <v>0</v>
      </c>
      <c r="CT4466">
        <v>2</v>
      </c>
      <c r="CU4466">
        <v>0</v>
      </c>
      <c r="CV4466">
        <v>4</v>
      </c>
      <c r="CW4466" t="s">
        <v>120</v>
      </c>
      <c r="CX4466">
        <v>257</v>
      </c>
      <c r="CY4466">
        <v>0</v>
      </c>
      <c r="CZ4466" t="s">
        <v>615</v>
      </c>
      <c r="DA4466" t="s">
        <v>616</v>
      </c>
      <c r="DD4466">
        <v>41206</v>
      </c>
      <c r="DE4466" t="s">
        <v>123</v>
      </c>
    </row>
    <row r="4467" spans="1:109" x14ac:dyDescent="0.3">
      <c r="A4467" t="str">
        <f>"19:51:11.523"</f>
        <v>19:51:11.523</v>
      </c>
      <c r="B4467" t="s">
        <v>110</v>
      </c>
      <c r="C4467" t="str">
        <f t="shared" si="212"/>
        <v>ffdfd3c0</v>
      </c>
      <c r="D4467" t="s">
        <v>111</v>
      </c>
      <c r="E4467">
        <v>18</v>
      </c>
      <c r="F4467">
        <v>1018</v>
      </c>
      <c r="G4467" t="s">
        <v>112</v>
      </c>
      <c r="J4467" t="s">
        <v>113</v>
      </c>
      <c r="K4467">
        <v>0</v>
      </c>
      <c r="L4467">
        <v>3</v>
      </c>
      <c r="M4467">
        <v>0</v>
      </c>
      <c r="N4467">
        <v>2</v>
      </c>
      <c r="O4467">
        <v>1</v>
      </c>
      <c r="P4467">
        <v>0</v>
      </c>
      <c r="Q4467">
        <v>0</v>
      </c>
      <c r="R4467" t="s">
        <v>114</v>
      </c>
      <c r="S4467" t="str">
        <f>"19:51:11.289"</f>
        <v>19:51:11.289</v>
      </c>
      <c r="T4467" t="str">
        <f>"19:51:11.188"</f>
        <v>19:51:11.188</v>
      </c>
      <c r="U4467" t="str">
        <f t="shared" si="210"/>
        <v>a1cdbe</v>
      </c>
      <c r="V4467">
        <v>0</v>
      </c>
      <c r="W4467">
        <v>0</v>
      </c>
      <c r="X4467">
        <v>2</v>
      </c>
      <c r="Y4467">
        <v>0</v>
      </c>
      <c r="Z4467">
        <v>0</v>
      </c>
      <c r="AB4467">
        <v>0</v>
      </c>
      <c r="AC4467">
        <v>9</v>
      </c>
      <c r="AD4467">
        <v>3</v>
      </c>
      <c r="AE4467">
        <v>0</v>
      </c>
      <c r="AF4467">
        <v>9</v>
      </c>
      <c r="AG4467" t="s">
        <v>115</v>
      </c>
      <c r="AH4467">
        <v>0</v>
      </c>
      <c r="AI4467">
        <v>0</v>
      </c>
      <c r="AJ4467">
        <v>1</v>
      </c>
      <c r="AK4467">
        <v>0</v>
      </c>
      <c r="AL4467" t="s">
        <v>7350</v>
      </c>
      <c r="AM4467">
        <v>47.058369999999996</v>
      </c>
      <c r="AN4467" t="s">
        <v>8052</v>
      </c>
      <c r="AO4467">
        <v>-124.06207999999999</v>
      </c>
      <c r="AP4467">
        <v>100</v>
      </c>
      <c r="AQ4467">
        <v>1000</v>
      </c>
      <c r="AR4467" t="s">
        <v>118</v>
      </c>
      <c r="AS4467">
        <v>-86</v>
      </c>
      <c r="AT4467">
        <v>4</v>
      </c>
      <c r="AU4467">
        <v>-512</v>
      </c>
      <c r="BC4467">
        <v>1200</v>
      </c>
      <c r="BD4467">
        <v>1</v>
      </c>
      <c r="BE4467" t="str">
        <f t="shared" si="211"/>
        <v xml:space="preserve">N215T   </v>
      </c>
      <c r="BF4467">
        <v>1</v>
      </c>
      <c r="BH4467">
        <v>0</v>
      </c>
      <c r="BI4467">
        <v>0</v>
      </c>
      <c r="BJ4467">
        <v>0</v>
      </c>
      <c r="BK4467">
        <v>1325</v>
      </c>
      <c r="BL4467">
        <v>325</v>
      </c>
      <c r="BM4467" t="s">
        <v>119</v>
      </c>
      <c r="BN4467">
        <v>1</v>
      </c>
      <c r="BO4467">
        <v>1</v>
      </c>
      <c r="BP4467">
        <v>1</v>
      </c>
      <c r="BQ4467">
        <v>0</v>
      </c>
      <c r="BT4467">
        <v>0</v>
      </c>
      <c r="BU4467">
        <v>0</v>
      </c>
      <c r="BV4467">
        <v>0</v>
      </c>
      <c r="CC4467" t="str">
        <f>"19:51:11.289"</f>
        <v>19:51:11.289</v>
      </c>
      <c r="CD4467" t="str">
        <f>"291728381"</f>
        <v>291728381</v>
      </c>
      <c r="CQ4467">
        <v>0</v>
      </c>
      <c r="CR4467">
        <v>2</v>
      </c>
      <c r="CS4467">
        <v>0</v>
      </c>
      <c r="CT4467">
        <v>2</v>
      </c>
      <c r="CU4467">
        <v>0</v>
      </c>
      <c r="CV4467">
        <v>4</v>
      </c>
      <c r="CW4467" t="s">
        <v>120</v>
      </c>
      <c r="CX4467">
        <v>257</v>
      </c>
      <c r="CY4467">
        <v>0</v>
      </c>
      <c r="CZ4467" t="s">
        <v>615</v>
      </c>
      <c r="DA4467" t="s">
        <v>616</v>
      </c>
      <c r="DD4467">
        <v>41541</v>
      </c>
      <c r="DE4467" t="s">
        <v>123</v>
      </c>
    </row>
    <row r="4468" spans="1:109" x14ac:dyDescent="0.3">
      <c r="A4468" t="str">
        <f>"19:51:12.477"</f>
        <v>19:51:12.477</v>
      </c>
      <c r="B4468" t="s">
        <v>110</v>
      </c>
      <c r="C4468" t="str">
        <f t="shared" si="212"/>
        <v>ffdfd3c0</v>
      </c>
      <c r="D4468" t="s">
        <v>111</v>
      </c>
      <c r="E4468">
        <v>18</v>
      </c>
      <c r="F4468">
        <v>1018</v>
      </c>
      <c r="G4468" t="s">
        <v>112</v>
      </c>
      <c r="J4468" t="s">
        <v>113</v>
      </c>
      <c r="K4468">
        <v>0</v>
      </c>
      <c r="L4468">
        <v>3</v>
      </c>
      <c r="M4468">
        <v>0</v>
      </c>
      <c r="N4468">
        <v>2</v>
      </c>
      <c r="O4468">
        <v>1</v>
      </c>
      <c r="P4468">
        <v>0</v>
      </c>
      <c r="Q4468">
        <v>0</v>
      </c>
      <c r="R4468" t="s">
        <v>114</v>
      </c>
      <c r="S4468" t="str">
        <f>"19:51:12.250"</f>
        <v>19:51:12.250</v>
      </c>
      <c r="T4468" t="str">
        <f>"19:51:11.750"</f>
        <v>19:51:11.750</v>
      </c>
      <c r="U4468" t="str">
        <f t="shared" si="210"/>
        <v>a1cdbe</v>
      </c>
      <c r="V4468">
        <v>0</v>
      </c>
      <c r="W4468">
        <v>0</v>
      </c>
      <c r="X4468">
        <v>2</v>
      </c>
      <c r="Y4468">
        <v>0</v>
      </c>
      <c r="Z4468">
        <v>0</v>
      </c>
      <c r="AB4468">
        <v>0</v>
      </c>
      <c r="AC4468">
        <v>9</v>
      </c>
      <c r="AD4468">
        <v>3</v>
      </c>
      <c r="AE4468">
        <v>0</v>
      </c>
      <c r="AF4468">
        <v>9</v>
      </c>
      <c r="AG4468" t="s">
        <v>115</v>
      </c>
      <c r="AH4468">
        <v>0</v>
      </c>
      <c r="AI4468">
        <v>0</v>
      </c>
      <c r="AJ4468">
        <v>1</v>
      </c>
      <c r="AK4468">
        <v>0</v>
      </c>
      <c r="AL4468" t="s">
        <v>8021</v>
      </c>
      <c r="AM4468">
        <v>47.058391999999998</v>
      </c>
      <c r="AN4468" t="s">
        <v>8053</v>
      </c>
      <c r="AO4468">
        <v>-124.062617</v>
      </c>
      <c r="AP4468">
        <v>100</v>
      </c>
      <c r="AQ4468">
        <v>1000</v>
      </c>
      <c r="AR4468" t="s">
        <v>118</v>
      </c>
      <c r="AS4468">
        <v>-86</v>
      </c>
      <c r="AT4468">
        <v>4</v>
      </c>
      <c r="AU4468">
        <v>-512</v>
      </c>
      <c r="BC4468">
        <v>1200</v>
      </c>
      <c r="BD4468">
        <v>1</v>
      </c>
      <c r="BE4468" t="str">
        <f t="shared" si="211"/>
        <v xml:space="preserve">N215T   </v>
      </c>
      <c r="BF4468">
        <v>1</v>
      </c>
      <c r="BH4468">
        <v>0</v>
      </c>
      <c r="BI4468">
        <v>0</v>
      </c>
      <c r="BJ4468">
        <v>0</v>
      </c>
      <c r="BK4468">
        <v>1325</v>
      </c>
      <c r="BL4468">
        <v>325</v>
      </c>
      <c r="BM4468" t="s">
        <v>119</v>
      </c>
      <c r="BN4468">
        <v>1</v>
      </c>
      <c r="BO4468">
        <v>1</v>
      </c>
      <c r="BP4468">
        <v>1</v>
      </c>
      <c r="BQ4468">
        <v>0</v>
      </c>
      <c r="BT4468">
        <v>0</v>
      </c>
      <c r="BU4468">
        <v>0</v>
      </c>
      <c r="BV4468">
        <v>0</v>
      </c>
      <c r="CC4468" t="str">
        <f>"19:51:12.250"</f>
        <v>19:51:12.250</v>
      </c>
      <c r="CD4468" t="str">
        <f>"251633834"</f>
        <v>251633834</v>
      </c>
      <c r="CQ4468">
        <v>0</v>
      </c>
      <c r="CR4468">
        <v>2</v>
      </c>
      <c r="CS4468">
        <v>0</v>
      </c>
      <c r="CT4468">
        <v>2</v>
      </c>
      <c r="CU4468">
        <v>0</v>
      </c>
      <c r="CV4468">
        <v>5</v>
      </c>
      <c r="CW4468" t="s">
        <v>120</v>
      </c>
      <c r="CX4468">
        <v>257</v>
      </c>
      <c r="CY4468">
        <v>0</v>
      </c>
      <c r="CZ4468" t="s">
        <v>615</v>
      </c>
      <c r="DA4468" t="s">
        <v>616</v>
      </c>
      <c r="DD4468">
        <v>41872</v>
      </c>
      <c r="DE4468" t="s">
        <v>123</v>
      </c>
    </row>
    <row r="4469" spans="1:109" x14ac:dyDescent="0.3">
      <c r="A4469" t="str">
        <f>"19:51:13.383"</f>
        <v>19:51:13.383</v>
      </c>
      <c r="B4469" t="s">
        <v>110</v>
      </c>
      <c r="C4469" t="str">
        <f t="shared" ref="C4469:C4500" si="213">"ffdfd3c0"</f>
        <v>ffdfd3c0</v>
      </c>
      <c r="D4469" t="s">
        <v>111</v>
      </c>
      <c r="E4469">
        <v>18</v>
      </c>
      <c r="F4469">
        <v>1018</v>
      </c>
      <c r="G4469" t="s">
        <v>112</v>
      </c>
      <c r="J4469" t="s">
        <v>113</v>
      </c>
      <c r="K4469">
        <v>0</v>
      </c>
      <c r="L4469">
        <v>3</v>
      </c>
      <c r="M4469">
        <v>0</v>
      </c>
      <c r="N4469">
        <v>2</v>
      </c>
      <c r="O4469">
        <v>1</v>
      </c>
      <c r="P4469">
        <v>0</v>
      </c>
      <c r="Q4469">
        <v>0</v>
      </c>
      <c r="R4469" t="s">
        <v>114</v>
      </c>
      <c r="S4469" t="str">
        <f>"19:51:13.164"</f>
        <v>19:51:13.164</v>
      </c>
      <c r="T4469" t="str">
        <f>"19:51:12.766"</f>
        <v>19:51:12.766</v>
      </c>
      <c r="U4469" t="str">
        <f t="shared" si="210"/>
        <v>a1cdbe</v>
      </c>
      <c r="V4469">
        <v>0</v>
      </c>
      <c r="W4469">
        <v>0</v>
      </c>
      <c r="X4469">
        <v>2</v>
      </c>
      <c r="Y4469">
        <v>0</v>
      </c>
      <c r="Z4469">
        <v>0</v>
      </c>
      <c r="AB4469">
        <v>0</v>
      </c>
      <c r="AC4469">
        <v>9</v>
      </c>
      <c r="AD4469">
        <v>3</v>
      </c>
      <c r="AE4469">
        <v>0</v>
      </c>
      <c r="AF4469">
        <v>9</v>
      </c>
      <c r="AG4469" t="s">
        <v>115</v>
      </c>
      <c r="AH4469">
        <v>0</v>
      </c>
      <c r="AI4469">
        <v>0</v>
      </c>
      <c r="AJ4469">
        <v>1</v>
      </c>
      <c r="AK4469">
        <v>0</v>
      </c>
      <c r="AL4469" t="s">
        <v>7654</v>
      </c>
      <c r="AM4469">
        <v>47.058433999999998</v>
      </c>
      <c r="AN4469" t="s">
        <v>8054</v>
      </c>
      <c r="AO4469">
        <v>-124.063175</v>
      </c>
      <c r="AP4469">
        <v>100</v>
      </c>
      <c r="AQ4469">
        <v>1000</v>
      </c>
      <c r="AR4469" t="s">
        <v>118</v>
      </c>
      <c r="AS4469">
        <v>-86</v>
      </c>
      <c r="AT4469">
        <v>4</v>
      </c>
      <c r="AU4469">
        <v>-512</v>
      </c>
      <c r="BC4469">
        <v>1200</v>
      </c>
      <c r="BD4469">
        <v>1</v>
      </c>
      <c r="BE4469" t="str">
        <f t="shared" si="211"/>
        <v xml:space="preserve">N215T   </v>
      </c>
      <c r="BF4469">
        <v>1</v>
      </c>
      <c r="BH4469">
        <v>0</v>
      </c>
      <c r="BI4469">
        <v>0</v>
      </c>
      <c r="BJ4469">
        <v>0</v>
      </c>
      <c r="BK4469">
        <v>1325</v>
      </c>
      <c r="BL4469">
        <v>325</v>
      </c>
      <c r="BM4469" t="s">
        <v>119</v>
      </c>
      <c r="BN4469">
        <v>1</v>
      </c>
      <c r="BO4469">
        <v>1</v>
      </c>
      <c r="BP4469">
        <v>1</v>
      </c>
      <c r="BQ4469">
        <v>0</v>
      </c>
      <c r="BT4469">
        <v>0</v>
      </c>
      <c r="BU4469">
        <v>0</v>
      </c>
      <c r="BV4469">
        <v>0</v>
      </c>
      <c r="CC4469" t="str">
        <f>"19:51:13.164"</f>
        <v>19:51:13.164</v>
      </c>
      <c r="CD4469" t="str">
        <f>"166543735"</f>
        <v>166543735</v>
      </c>
      <c r="CQ4469">
        <v>0</v>
      </c>
      <c r="CR4469">
        <v>2</v>
      </c>
      <c r="CS4469">
        <v>0</v>
      </c>
      <c r="CT4469">
        <v>2</v>
      </c>
      <c r="CU4469">
        <v>0</v>
      </c>
      <c r="CV4469">
        <v>4</v>
      </c>
      <c r="CW4469" t="s">
        <v>120</v>
      </c>
      <c r="CX4469">
        <v>257</v>
      </c>
      <c r="CY4469">
        <v>0</v>
      </c>
      <c r="CZ4469" t="s">
        <v>615</v>
      </c>
      <c r="DA4469" t="s">
        <v>616</v>
      </c>
      <c r="DD4469">
        <v>42179</v>
      </c>
      <c r="DE4469" t="s">
        <v>123</v>
      </c>
    </row>
    <row r="4470" spans="1:109" x14ac:dyDescent="0.3">
      <c r="A4470" t="str">
        <f>"19:51:14.891"</f>
        <v>19:51:14.891</v>
      </c>
      <c r="B4470" t="s">
        <v>110</v>
      </c>
      <c r="C4470" t="str">
        <f t="shared" si="213"/>
        <v>ffdfd3c0</v>
      </c>
      <c r="D4470" t="s">
        <v>111</v>
      </c>
      <c r="E4470">
        <v>18</v>
      </c>
      <c r="F4470">
        <v>1018</v>
      </c>
      <c r="G4470" t="s">
        <v>112</v>
      </c>
      <c r="J4470" t="s">
        <v>113</v>
      </c>
      <c r="K4470">
        <v>0</v>
      </c>
      <c r="L4470">
        <v>3</v>
      </c>
      <c r="M4470">
        <v>0</v>
      </c>
      <c r="N4470">
        <v>2</v>
      </c>
      <c r="O4470">
        <v>1</v>
      </c>
      <c r="P4470">
        <v>0</v>
      </c>
      <c r="Q4470">
        <v>0</v>
      </c>
      <c r="R4470" t="s">
        <v>114</v>
      </c>
      <c r="S4470" t="str">
        <f>"19:51:14.602"</f>
        <v>19:51:14.602</v>
      </c>
      <c r="T4470" t="str">
        <f>"19:51:14.602"</f>
        <v>19:51:14.602</v>
      </c>
      <c r="U4470" t="str">
        <f t="shared" si="210"/>
        <v>a1cdbe</v>
      </c>
      <c r="V4470">
        <v>0</v>
      </c>
      <c r="W4470">
        <v>0</v>
      </c>
      <c r="X4470">
        <v>2</v>
      </c>
      <c r="Y4470">
        <v>0</v>
      </c>
      <c r="Z4470">
        <v>0</v>
      </c>
      <c r="AB4470">
        <v>0</v>
      </c>
      <c r="AC4470">
        <v>9</v>
      </c>
      <c r="AD4470">
        <v>3</v>
      </c>
      <c r="AE4470">
        <v>0</v>
      </c>
      <c r="AF4470">
        <v>9</v>
      </c>
      <c r="AG4470" t="s">
        <v>115</v>
      </c>
      <c r="AH4470">
        <v>0</v>
      </c>
      <c r="AI4470">
        <v>0</v>
      </c>
      <c r="AJ4470">
        <v>1</v>
      </c>
      <c r="AK4470">
        <v>0</v>
      </c>
      <c r="AL4470" t="s">
        <v>7745</v>
      </c>
      <c r="AM4470">
        <v>47.058456</v>
      </c>
      <c r="AN4470" t="s">
        <v>8055</v>
      </c>
      <c r="AO4470">
        <v>-124.06403299999999</v>
      </c>
      <c r="AP4470">
        <v>100</v>
      </c>
      <c r="AQ4470">
        <v>900</v>
      </c>
      <c r="AR4470" t="s">
        <v>118</v>
      </c>
      <c r="AS4470">
        <v>-86</v>
      </c>
      <c r="AT4470">
        <v>4</v>
      </c>
      <c r="AU4470">
        <v>-512</v>
      </c>
      <c r="BC4470">
        <v>1200</v>
      </c>
      <c r="BD4470">
        <v>1</v>
      </c>
      <c r="BE4470" t="str">
        <f t="shared" si="211"/>
        <v xml:space="preserve">N215T   </v>
      </c>
      <c r="BF4470">
        <v>1</v>
      </c>
      <c r="BH4470">
        <v>0</v>
      </c>
      <c r="BI4470">
        <v>0</v>
      </c>
      <c r="BJ4470">
        <v>0</v>
      </c>
      <c r="BK4470">
        <v>1400</v>
      </c>
      <c r="BL4470">
        <v>500</v>
      </c>
      <c r="BM4470" t="s">
        <v>119</v>
      </c>
      <c r="BN4470">
        <v>1</v>
      </c>
      <c r="BO4470">
        <v>1</v>
      </c>
      <c r="BP4470">
        <v>1</v>
      </c>
      <c r="BQ4470">
        <v>0</v>
      </c>
      <c r="BT4470">
        <v>0</v>
      </c>
      <c r="BU4470">
        <v>0</v>
      </c>
      <c r="BV4470">
        <v>0</v>
      </c>
      <c r="CC4470" t="str">
        <f>"19:51:14.609"</f>
        <v>19:51:14.609</v>
      </c>
      <c r="CD4470" t="str">
        <f>"606401888"</f>
        <v>606401888</v>
      </c>
      <c r="CQ4470">
        <v>0</v>
      </c>
      <c r="CR4470">
        <v>2</v>
      </c>
      <c r="CS4470">
        <v>0</v>
      </c>
      <c r="CT4470">
        <v>2</v>
      </c>
      <c r="CU4470">
        <v>0</v>
      </c>
      <c r="CV4470">
        <v>4</v>
      </c>
      <c r="CW4470" t="s">
        <v>120</v>
      </c>
      <c r="CX4470">
        <v>257</v>
      </c>
      <c r="CY4470">
        <v>0</v>
      </c>
      <c r="CZ4470" t="s">
        <v>615</v>
      </c>
      <c r="DA4470" t="s">
        <v>616</v>
      </c>
      <c r="DD4470">
        <v>42654</v>
      </c>
      <c r="DE4470" t="s">
        <v>123</v>
      </c>
    </row>
    <row r="4471" spans="1:109" x14ac:dyDescent="0.3">
      <c r="A4471" t="str">
        <f>"19:51:15.852"</f>
        <v>19:51:15.852</v>
      </c>
      <c r="B4471" t="s">
        <v>110</v>
      </c>
      <c r="C4471" t="str">
        <f t="shared" si="213"/>
        <v>ffdfd3c0</v>
      </c>
      <c r="D4471" t="s">
        <v>111</v>
      </c>
      <c r="E4471">
        <v>18</v>
      </c>
      <c r="F4471">
        <v>1018</v>
      </c>
      <c r="G4471" t="s">
        <v>112</v>
      </c>
      <c r="J4471" t="s">
        <v>113</v>
      </c>
      <c r="K4471">
        <v>0</v>
      </c>
      <c r="L4471">
        <v>3</v>
      </c>
      <c r="M4471">
        <v>0</v>
      </c>
      <c r="N4471">
        <v>2</v>
      </c>
      <c r="O4471">
        <v>1</v>
      </c>
      <c r="P4471">
        <v>0</v>
      </c>
      <c r="Q4471">
        <v>0</v>
      </c>
      <c r="R4471" t="s">
        <v>114</v>
      </c>
      <c r="S4471" t="str">
        <f>"19:51:15.625"</f>
        <v>19:51:15.625</v>
      </c>
      <c r="T4471" t="str">
        <f>"19:51:15.523"</f>
        <v>19:51:15.523</v>
      </c>
      <c r="U4471" t="str">
        <f t="shared" si="210"/>
        <v>a1cdbe</v>
      </c>
      <c r="V4471">
        <v>0</v>
      </c>
      <c r="W4471">
        <v>0</v>
      </c>
      <c r="X4471">
        <v>2</v>
      </c>
      <c r="Y4471">
        <v>0</v>
      </c>
      <c r="Z4471">
        <v>0</v>
      </c>
      <c r="AB4471">
        <v>0</v>
      </c>
      <c r="AC4471">
        <v>9</v>
      </c>
      <c r="AD4471">
        <v>3</v>
      </c>
      <c r="AE4471">
        <v>0</v>
      </c>
      <c r="AF4471">
        <v>9</v>
      </c>
      <c r="AG4471" t="s">
        <v>115</v>
      </c>
      <c r="AH4471">
        <v>0</v>
      </c>
      <c r="AI4471">
        <v>0</v>
      </c>
      <c r="AJ4471">
        <v>1</v>
      </c>
      <c r="AK4471">
        <v>0</v>
      </c>
      <c r="AL4471" t="s">
        <v>7844</v>
      </c>
      <c r="AM4471">
        <v>47.058477000000003</v>
      </c>
      <c r="AN4471" t="s">
        <v>8056</v>
      </c>
      <c r="AO4471">
        <v>-124.064612</v>
      </c>
      <c r="AP4471">
        <v>100</v>
      </c>
      <c r="AQ4471">
        <v>900</v>
      </c>
      <c r="AR4471" t="s">
        <v>118</v>
      </c>
      <c r="AS4471">
        <v>-87</v>
      </c>
      <c r="AT4471">
        <v>4</v>
      </c>
      <c r="AU4471">
        <v>-384</v>
      </c>
      <c r="BC4471">
        <v>1200</v>
      </c>
      <c r="BD4471">
        <v>1</v>
      </c>
      <c r="BE4471" t="str">
        <f t="shared" si="211"/>
        <v xml:space="preserve">N215T   </v>
      </c>
      <c r="BF4471">
        <v>1</v>
      </c>
      <c r="BH4471">
        <v>0</v>
      </c>
      <c r="BI4471">
        <v>0</v>
      </c>
      <c r="BJ4471">
        <v>0</v>
      </c>
      <c r="BK4471">
        <v>1300</v>
      </c>
      <c r="BL4471">
        <v>400</v>
      </c>
      <c r="BM4471" t="s">
        <v>119</v>
      </c>
      <c r="BN4471">
        <v>1</v>
      </c>
      <c r="BO4471">
        <v>1</v>
      </c>
      <c r="BP4471">
        <v>1</v>
      </c>
      <c r="BQ4471">
        <v>0</v>
      </c>
      <c r="BT4471">
        <v>0</v>
      </c>
      <c r="BU4471">
        <v>0</v>
      </c>
      <c r="BV4471">
        <v>0</v>
      </c>
      <c r="CC4471" t="str">
        <f>"19:51:15.625"</f>
        <v>19:51:15.625</v>
      </c>
      <c r="CD4471" t="str">
        <f>"626301399"</f>
        <v>626301399</v>
      </c>
      <c r="CQ4471">
        <v>0</v>
      </c>
      <c r="CR4471">
        <v>2</v>
      </c>
      <c r="CS4471">
        <v>0</v>
      </c>
      <c r="CT4471">
        <v>2</v>
      </c>
      <c r="CU4471">
        <v>0</v>
      </c>
      <c r="CV4471">
        <v>4</v>
      </c>
      <c r="CW4471" t="s">
        <v>120</v>
      </c>
      <c r="CX4471">
        <v>257</v>
      </c>
      <c r="CY4471">
        <v>0</v>
      </c>
      <c r="CZ4471" t="s">
        <v>615</v>
      </c>
      <c r="DA4471" t="s">
        <v>616</v>
      </c>
      <c r="DD4471">
        <v>42959</v>
      </c>
      <c r="DE4471" t="s">
        <v>123</v>
      </c>
    </row>
    <row r="4472" spans="1:109" x14ac:dyDescent="0.3">
      <c r="A4472" t="str">
        <f>"19:51:16.852"</f>
        <v>19:51:16.852</v>
      </c>
      <c r="B4472" t="s">
        <v>110</v>
      </c>
      <c r="C4472" t="str">
        <f t="shared" si="213"/>
        <v>ffdfd3c0</v>
      </c>
      <c r="D4472" t="s">
        <v>111</v>
      </c>
      <c r="E4472">
        <v>18</v>
      </c>
      <c r="F4472">
        <v>1018</v>
      </c>
      <c r="G4472" t="s">
        <v>112</v>
      </c>
      <c r="J4472" t="s">
        <v>113</v>
      </c>
      <c r="K4472">
        <v>0</v>
      </c>
      <c r="L4472">
        <v>3</v>
      </c>
      <c r="M4472">
        <v>0</v>
      </c>
      <c r="N4472">
        <v>2</v>
      </c>
      <c r="O4472">
        <v>1</v>
      </c>
      <c r="P4472">
        <v>0</v>
      </c>
      <c r="Q4472">
        <v>0</v>
      </c>
      <c r="R4472" t="s">
        <v>114</v>
      </c>
      <c r="S4472" t="str">
        <f>"19:51:16.609"</f>
        <v>19:51:16.609</v>
      </c>
      <c r="T4472" t="str">
        <f>"19:51:16.609"</f>
        <v>19:51:16.609</v>
      </c>
      <c r="U4472" t="str">
        <f t="shared" si="210"/>
        <v>a1cdbe</v>
      </c>
      <c r="V4472">
        <v>0</v>
      </c>
      <c r="W4472">
        <v>0</v>
      </c>
      <c r="X4472">
        <v>2</v>
      </c>
      <c r="Y4472">
        <v>0</v>
      </c>
      <c r="Z4472">
        <v>0</v>
      </c>
      <c r="AB4472">
        <v>0</v>
      </c>
      <c r="AC4472">
        <v>9</v>
      </c>
      <c r="AD4472">
        <v>3</v>
      </c>
      <c r="AE4472">
        <v>0</v>
      </c>
      <c r="AF4472">
        <v>9</v>
      </c>
      <c r="AG4472" t="s">
        <v>115</v>
      </c>
      <c r="AH4472">
        <v>0</v>
      </c>
      <c r="AI4472">
        <v>0</v>
      </c>
      <c r="AJ4472">
        <v>1</v>
      </c>
      <c r="AK4472">
        <v>0</v>
      </c>
      <c r="AL4472" t="s">
        <v>7352</v>
      </c>
      <c r="AM4472">
        <v>47.058498999999998</v>
      </c>
      <c r="AN4472" t="s">
        <v>8057</v>
      </c>
      <c r="AO4472">
        <v>-124.065213</v>
      </c>
      <c r="AP4472">
        <v>100</v>
      </c>
      <c r="AQ4472">
        <v>900</v>
      </c>
      <c r="AR4472" t="s">
        <v>118</v>
      </c>
      <c r="AS4472">
        <v>-86</v>
      </c>
      <c r="AT4472">
        <v>4</v>
      </c>
      <c r="AU4472">
        <v>-320</v>
      </c>
      <c r="BC4472">
        <v>1200</v>
      </c>
      <c r="BD4472">
        <v>1</v>
      </c>
      <c r="BE4472" t="str">
        <f t="shared" si="211"/>
        <v xml:space="preserve">N215T   </v>
      </c>
      <c r="BF4472">
        <v>1</v>
      </c>
      <c r="BH4472">
        <v>0</v>
      </c>
      <c r="BI4472">
        <v>0</v>
      </c>
      <c r="BJ4472">
        <v>0</v>
      </c>
      <c r="BK4472">
        <v>1300</v>
      </c>
      <c r="BL4472">
        <v>400</v>
      </c>
      <c r="BM4472" t="s">
        <v>119</v>
      </c>
      <c r="BN4472">
        <v>1</v>
      </c>
      <c r="BO4472">
        <v>1</v>
      </c>
      <c r="BP4472">
        <v>1</v>
      </c>
      <c r="BQ4472">
        <v>0</v>
      </c>
      <c r="BT4472">
        <v>0</v>
      </c>
      <c r="BU4472">
        <v>0</v>
      </c>
      <c r="BV4472">
        <v>0</v>
      </c>
      <c r="CC4472" t="str">
        <f>"19:51:16.617"</f>
        <v>19:51:16.617</v>
      </c>
      <c r="CD4472" t="str">
        <f>"616203914"</f>
        <v>616203914</v>
      </c>
      <c r="CQ4472">
        <v>0</v>
      </c>
      <c r="CR4472">
        <v>2</v>
      </c>
      <c r="CS4472">
        <v>0</v>
      </c>
      <c r="CT4472">
        <v>2</v>
      </c>
      <c r="CU4472">
        <v>0</v>
      </c>
      <c r="CV4472">
        <v>2</v>
      </c>
      <c r="CW4472" t="s">
        <v>120</v>
      </c>
      <c r="CX4472">
        <v>257</v>
      </c>
      <c r="CY4472">
        <v>0</v>
      </c>
      <c r="CZ4472" t="s">
        <v>615</v>
      </c>
      <c r="DA4472" t="s">
        <v>616</v>
      </c>
      <c r="DD4472">
        <v>43270</v>
      </c>
      <c r="DE4472" t="s">
        <v>123</v>
      </c>
    </row>
    <row r="4473" spans="1:109" x14ac:dyDescent="0.3">
      <c r="A4473" t="str">
        <f>"19:51:18.008"</f>
        <v>19:51:18.008</v>
      </c>
      <c r="B4473" t="s">
        <v>110</v>
      </c>
      <c r="C4473" t="str">
        <f t="shared" si="213"/>
        <v>ffdfd3c0</v>
      </c>
      <c r="D4473" t="s">
        <v>111</v>
      </c>
      <c r="E4473">
        <v>18</v>
      </c>
      <c r="F4473">
        <v>1018</v>
      </c>
      <c r="G4473" t="s">
        <v>112</v>
      </c>
      <c r="J4473" t="s">
        <v>113</v>
      </c>
      <c r="K4473">
        <v>0</v>
      </c>
      <c r="L4473">
        <v>3</v>
      </c>
      <c r="M4473">
        <v>0</v>
      </c>
      <c r="N4473">
        <v>2</v>
      </c>
      <c r="O4473">
        <v>1</v>
      </c>
      <c r="P4473">
        <v>0</v>
      </c>
      <c r="Q4473">
        <v>0</v>
      </c>
      <c r="R4473" t="s">
        <v>114</v>
      </c>
      <c r="S4473" t="str">
        <f>"19:51:17.750"</f>
        <v>19:51:17.750</v>
      </c>
      <c r="T4473" t="str">
        <f>"19:51:16.648"</f>
        <v>19:51:16.648</v>
      </c>
      <c r="U4473" t="str">
        <f t="shared" si="210"/>
        <v>a1cdbe</v>
      </c>
      <c r="V4473">
        <v>0</v>
      </c>
      <c r="W4473">
        <v>0</v>
      </c>
      <c r="X4473">
        <v>2</v>
      </c>
      <c r="Y4473">
        <v>0</v>
      </c>
      <c r="Z4473">
        <v>0</v>
      </c>
      <c r="AB4473">
        <v>0</v>
      </c>
      <c r="AC4473">
        <v>9</v>
      </c>
      <c r="AD4473">
        <v>3</v>
      </c>
      <c r="AE4473">
        <v>0</v>
      </c>
      <c r="AF4473">
        <v>9</v>
      </c>
      <c r="AG4473" t="s">
        <v>115</v>
      </c>
      <c r="AH4473">
        <v>0</v>
      </c>
      <c r="AI4473">
        <v>0</v>
      </c>
      <c r="AJ4473">
        <v>1</v>
      </c>
      <c r="AK4473">
        <v>0</v>
      </c>
      <c r="AL4473" t="s">
        <v>518</v>
      </c>
      <c r="AM4473">
        <v>47.058520000000001</v>
      </c>
      <c r="AN4473" t="s">
        <v>8058</v>
      </c>
      <c r="AO4473">
        <v>-124.06585699999999</v>
      </c>
      <c r="AP4473">
        <v>100</v>
      </c>
      <c r="AQ4473">
        <v>900</v>
      </c>
      <c r="AR4473" t="s">
        <v>118</v>
      </c>
      <c r="AS4473">
        <v>-86</v>
      </c>
      <c r="AT4473">
        <v>4</v>
      </c>
      <c r="AU4473">
        <v>-320</v>
      </c>
      <c r="BC4473">
        <v>1200</v>
      </c>
      <c r="BD4473">
        <v>1</v>
      </c>
      <c r="BE4473" t="str">
        <f t="shared" si="211"/>
        <v xml:space="preserve">N215T   </v>
      </c>
      <c r="BF4473">
        <v>1</v>
      </c>
      <c r="BH4473">
        <v>0</v>
      </c>
      <c r="BI4473">
        <v>0</v>
      </c>
      <c r="BJ4473">
        <v>0</v>
      </c>
      <c r="BK4473">
        <v>1300</v>
      </c>
      <c r="BL4473">
        <v>400</v>
      </c>
      <c r="BM4473" t="s">
        <v>119</v>
      </c>
      <c r="BN4473">
        <v>1</v>
      </c>
      <c r="BO4473">
        <v>1</v>
      </c>
      <c r="BP4473">
        <v>1</v>
      </c>
      <c r="BQ4473">
        <v>0</v>
      </c>
      <c r="BT4473">
        <v>0</v>
      </c>
      <c r="BU4473">
        <v>0</v>
      </c>
      <c r="BV4473">
        <v>0</v>
      </c>
      <c r="CC4473" t="str">
        <f>"19:51:17.758"</f>
        <v>19:51:17.758</v>
      </c>
      <c r="CD4473" t="str">
        <f>"756091594"</f>
        <v>756091594</v>
      </c>
      <c r="CQ4473">
        <v>0</v>
      </c>
      <c r="CR4473">
        <v>2</v>
      </c>
      <c r="CS4473">
        <v>0</v>
      </c>
      <c r="CT4473">
        <v>2</v>
      </c>
      <c r="CU4473">
        <v>0</v>
      </c>
      <c r="CV4473">
        <v>3</v>
      </c>
      <c r="CW4473" t="s">
        <v>120</v>
      </c>
      <c r="CX4473">
        <v>257</v>
      </c>
      <c r="CY4473">
        <v>0</v>
      </c>
      <c r="CZ4473" t="s">
        <v>615</v>
      </c>
      <c r="DA4473" t="s">
        <v>616</v>
      </c>
      <c r="DD4473">
        <v>43649</v>
      </c>
      <c r="DE4473" t="s">
        <v>123</v>
      </c>
    </row>
    <row r="4474" spans="1:109" x14ac:dyDescent="0.3">
      <c r="A4474" t="str">
        <f>"19:51:18.813"</f>
        <v>19:51:18.813</v>
      </c>
      <c r="B4474" t="s">
        <v>110</v>
      </c>
      <c r="C4474" t="str">
        <f t="shared" si="213"/>
        <v>ffdfd3c0</v>
      </c>
      <c r="D4474" t="s">
        <v>111</v>
      </c>
      <c r="E4474">
        <v>18</v>
      </c>
      <c r="F4474">
        <v>1018</v>
      </c>
      <c r="G4474" t="s">
        <v>112</v>
      </c>
      <c r="J4474" t="s">
        <v>113</v>
      </c>
      <c r="K4474">
        <v>0</v>
      </c>
      <c r="L4474">
        <v>3</v>
      </c>
      <c r="M4474">
        <v>0</v>
      </c>
      <c r="N4474">
        <v>2</v>
      </c>
      <c r="O4474">
        <v>1</v>
      </c>
      <c r="P4474">
        <v>0</v>
      </c>
      <c r="Q4474">
        <v>0</v>
      </c>
      <c r="R4474" t="s">
        <v>114</v>
      </c>
      <c r="S4474" t="str">
        <f>"19:51:18.578"</f>
        <v>19:51:18.578</v>
      </c>
      <c r="T4474" t="str">
        <f>"19:51:18.375"</f>
        <v>19:51:18.375</v>
      </c>
      <c r="U4474" t="str">
        <f t="shared" si="210"/>
        <v>a1cdbe</v>
      </c>
      <c r="V4474">
        <v>0</v>
      </c>
      <c r="W4474">
        <v>0</v>
      </c>
      <c r="X4474">
        <v>2</v>
      </c>
      <c r="Y4474">
        <v>0</v>
      </c>
      <c r="Z4474">
        <v>0</v>
      </c>
      <c r="AB4474">
        <v>0</v>
      </c>
      <c r="AC4474">
        <v>9</v>
      </c>
      <c r="AD4474">
        <v>3</v>
      </c>
      <c r="AE4474">
        <v>0</v>
      </c>
      <c r="AF4474">
        <v>9</v>
      </c>
      <c r="AG4474" t="s">
        <v>115</v>
      </c>
      <c r="AH4474">
        <v>0</v>
      </c>
      <c r="AI4474">
        <v>0</v>
      </c>
      <c r="AJ4474">
        <v>1</v>
      </c>
      <c r="AK4474">
        <v>0</v>
      </c>
      <c r="AL4474" t="s">
        <v>8059</v>
      </c>
      <c r="AM4474">
        <v>47.058542000000003</v>
      </c>
      <c r="AN4474" t="s">
        <v>8060</v>
      </c>
      <c r="AO4474">
        <v>-124.06635</v>
      </c>
      <c r="AP4474">
        <v>100</v>
      </c>
      <c r="AQ4474">
        <v>900</v>
      </c>
      <c r="AR4474" t="s">
        <v>118</v>
      </c>
      <c r="AS4474">
        <v>-86</v>
      </c>
      <c r="AT4474">
        <v>3</v>
      </c>
      <c r="AU4474">
        <v>-320</v>
      </c>
      <c r="BC4474">
        <v>1200</v>
      </c>
      <c r="BD4474">
        <v>1</v>
      </c>
      <c r="BE4474" t="str">
        <f t="shared" si="211"/>
        <v xml:space="preserve">N215T   </v>
      </c>
      <c r="BF4474">
        <v>1</v>
      </c>
      <c r="BH4474">
        <v>0</v>
      </c>
      <c r="BI4474">
        <v>0</v>
      </c>
      <c r="BJ4474">
        <v>0</v>
      </c>
      <c r="BK4474">
        <v>1275</v>
      </c>
      <c r="BL4474">
        <v>375</v>
      </c>
      <c r="BM4474" t="s">
        <v>119</v>
      </c>
      <c r="BN4474">
        <v>1</v>
      </c>
      <c r="BO4474">
        <v>1</v>
      </c>
      <c r="BP4474">
        <v>1</v>
      </c>
      <c r="BQ4474">
        <v>0</v>
      </c>
      <c r="BT4474">
        <v>0</v>
      </c>
      <c r="BU4474">
        <v>0</v>
      </c>
      <c r="BV4474">
        <v>0</v>
      </c>
      <c r="CC4474" t="str">
        <f>"19:51:18.578"</f>
        <v>19:51:18.578</v>
      </c>
      <c r="CD4474" t="str">
        <f>"581010353"</f>
        <v>581010353</v>
      </c>
      <c r="CQ4474">
        <v>0</v>
      </c>
      <c r="CR4474">
        <v>2</v>
      </c>
      <c r="CS4474">
        <v>0</v>
      </c>
      <c r="CT4474">
        <v>2</v>
      </c>
      <c r="CU4474">
        <v>0</v>
      </c>
      <c r="CV4474">
        <v>3</v>
      </c>
      <c r="CW4474" t="s">
        <v>120</v>
      </c>
      <c r="CX4474">
        <v>257</v>
      </c>
      <c r="CY4474">
        <v>0</v>
      </c>
      <c r="CZ4474" t="s">
        <v>615</v>
      </c>
      <c r="DA4474" t="s">
        <v>616</v>
      </c>
      <c r="DD4474">
        <v>43899</v>
      </c>
      <c r="DE4474" t="s">
        <v>123</v>
      </c>
    </row>
    <row r="4475" spans="1:109" x14ac:dyDescent="0.3">
      <c r="A4475" t="str">
        <f>"19:51:19.766"</f>
        <v>19:51:19.766</v>
      </c>
      <c r="B4475" t="s">
        <v>110</v>
      </c>
      <c r="C4475" t="str">
        <f t="shared" si="213"/>
        <v>ffdfd3c0</v>
      </c>
      <c r="D4475" t="s">
        <v>111</v>
      </c>
      <c r="E4475">
        <v>18</v>
      </c>
      <c r="F4475">
        <v>1018</v>
      </c>
      <c r="G4475" t="s">
        <v>112</v>
      </c>
      <c r="J4475" t="s">
        <v>113</v>
      </c>
      <c r="K4475">
        <v>0</v>
      </c>
      <c r="L4475">
        <v>3</v>
      </c>
      <c r="M4475">
        <v>0</v>
      </c>
      <c r="N4475">
        <v>2</v>
      </c>
      <c r="O4475">
        <v>1</v>
      </c>
      <c r="P4475">
        <v>0</v>
      </c>
      <c r="Q4475">
        <v>0</v>
      </c>
      <c r="R4475" t="s">
        <v>114</v>
      </c>
      <c r="S4475" t="str">
        <f>"19:51:19.539"</f>
        <v>19:51:19.539</v>
      </c>
      <c r="T4475" t="str">
        <f>"19:51:19.242"</f>
        <v>19:51:19.242</v>
      </c>
      <c r="U4475" t="str">
        <f t="shared" si="210"/>
        <v>a1cdbe</v>
      </c>
      <c r="V4475">
        <v>0</v>
      </c>
      <c r="W4475">
        <v>0</v>
      </c>
      <c r="X4475">
        <v>2</v>
      </c>
      <c r="Y4475">
        <v>0</v>
      </c>
      <c r="Z4475">
        <v>0</v>
      </c>
      <c r="AB4475">
        <v>0</v>
      </c>
      <c r="AC4475">
        <v>9</v>
      </c>
      <c r="AD4475">
        <v>3</v>
      </c>
      <c r="AE4475">
        <v>0</v>
      </c>
      <c r="AF4475">
        <v>9</v>
      </c>
      <c r="AG4475" t="s">
        <v>115</v>
      </c>
      <c r="AH4475">
        <v>0</v>
      </c>
      <c r="AI4475">
        <v>0</v>
      </c>
      <c r="AJ4475">
        <v>1</v>
      </c>
      <c r="AK4475">
        <v>0</v>
      </c>
      <c r="AL4475" t="s">
        <v>8059</v>
      </c>
      <c r="AM4475">
        <v>47.058542000000003</v>
      </c>
      <c r="AN4475" t="s">
        <v>8061</v>
      </c>
      <c r="AO4475">
        <v>-124.066908</v>
      </c>
      <c r="AP4475">
        <v>100</v>
      </c>
      <c r="AQ4475">
        <v>900</v>
      </c>
      <c r="AR4475" t="s">
        <v>118</v>
      </c>
      <c r="AS4475">
        <v>-86</v>
      </c>
      <c r="AT4475">
        <v>3</v>
      </c>
      <c r="AU4475">
        <v>-384</v>
      </c>
      <c r="BC4475">
        <v>1200</v>
      </c>
      <c r="BD4475">
        <v>1</v>
      </c>
      <c r="BE4475" t="str">
        <f t="shared" si="211"/>
        <v xml:space="preserve">N215T   </v>
      </c>
      <c r="BF4475">
        <v>1</v>
      </c>
      <c r="BH4475">
        <v>0</v>
      </c>
      <c r="BI4475">
        <v>0</v>
      </c>
      <c r="BJ4475">
        <v>0</v>
      </c>
      <c r="BK4475">
        <v>1275</v>
      </c>
      <c r="BL4475">
        <v>375</v>
      </c>
      <c r="BM4475" t="s">
        <v>119</v>
      </c>
      <c r="BN4475">
        <v>1</v>
      </c>
      <c r="BO4475">
        <v>1</v>
      </c>
      <c r="BP4475">
        <v>1</v>
      </c>
      <c r="BQ4475">
        <v>0</v>
      </c>
      <c r="BT4475">
        <v>0</v>
      </c>
      <c r="BU4475">
        <v>0</v>
      </c>
      <c r="BV4475">
        <v>0</v>
      </c>
      <c r="CC4475" t="str">
        <f>"19:51:19.539"</f>
        <v>19:51:19.539</v>
      </c>
      <c r="CD4475" t="str">
        <f>"540915759"</f>
        <v>540915759</v>
      </c>
      <c r="CQ4475">
        <v>0</v>
      </c>
      <c r="CR4475">
        <v>2</v>
      </c>
      <c r="CS4475">
        <v>0</v>
      </c>
      <c r="CT4475">
        <v>2</v>
      </c>
      <c r="CU4475">
        <v>0</v>
      </c>
      <c r="CV4475">
        <v>3</v>
      </c>
      <c r="CW4475" t="s">
        <v>120</v>
      </c>
      <c r="CX4475">
        <v>257</v>
      </c>
      <c r="CY4475">
        <v>0</v>
      </c>
      <c r="CZ4475" t="s">
        <v>615</v>
      </c>
      <c r="DA4475" t="s">
        <v>616</v>
      </c>
      <c r="DD4475">
        <v>44204</v>
      </c>
      <c r="DE4475" t="s">
        <v>123</v>
      </c>
    </row>
    <row r="4476" spans="1:109" x14ac:dyDescent="0.3">
      <c r="A4476" t="str">
        <f>"19:51:20.875"</f>
        <v>19:51:20.875</v>
      </c>
      <c r="B4476" t="s">
        <v>110</v>
      </c>
      <c r="C4476" t="str">
        <f t="shared" si="213"/>
        <v>ffdfd3c0</v>
      </c>
      <c r="D4476" t="s">
        <v>111</v>
      </c>
      <c r="E4476">
        <v>18</v>
      </c>
      <c r="F4476">
        <v>1018</v>
      </c>
      <c r="G4476" t="s">
        <v>112</v>
      </c>
      <c r="J4476" t="s">
        <v>113</v>
      </c>
      <c r="K4476">
        <v>0</v>
      </c>
      <c r="L4476">
        <v>3</v>
      </c>
      <c r="M4476">
        <v>0</v>
      </c>
      <c r="N4476">
        <v>2</v>
      </c>
      <c r="O4476">
        <v>1</v>
      </c>
      <c r="P4476">
        <v>0</v>
      </c>
      <c r="Q4476">
        <v>0</v>
      </c>
      <c r="R4476" t="s">
        <v>114</v>
      </c>
      <c r="S4476" t="str">
        <f>"19:51:20.602"</f>
        <v>19:51:20.602</v>
      </c>
      <c r="T4476" t="str">
        <f>"19:51:20.305"</f>
        <v>19:51:20.305</v>
      </c>
      <c r="U4476" t="str">
        <f t="shared" si="210"/>
        <v>a1cdbe</v>
      </c>
      <c r="V4476">
        <v>0</v>
      </c>
      <c r="W4476">
        <v>0</v>
      </c>
      <c r="X4476">
        <v>2</v>
      </c>
      <c r="Y4476">
        <v>0</v>
      </c>
      <c r="Z4476">
        <v>0</v>
      </c>
      <c r="AB4476">
        <v>0</v>
      </c>
      <c r="AC4476">
        <v>9</v>
      </c>
      <c r="AD4476">
        <v>3</v>
      </c>
      <c r="AE4476">
        <v>0</v>
      </c>
      <c r="AF4476">
        <v>9</v>
      </c>
      <c r="AG4476" t="s">
        <v>115</v>
      </c>
      <c r="AH4476">
        <v>0</v>
      </c>
      <c r="AI4476">
        <v>0</v>
      </c>
      <c r="AJ4476">
        <v>1</v>
      </c>
      <c r="AK4476">
        <v>0</v>
      </c>
      <c r="AL4476" t="s">
        <v>8059</v>
      </c>
      <c r="AM4476">
        <v>47.058542000000003</v>
      </c>
      <c r="AN4476" t="s">
        <v>8062</v>
      </c>
      <c r="AO4476">
        <v>-124.06755200000001</v>
      </c>
      <c r="AP4476">
        <v>100</v>
      </c>
      <c r="AQ4476">
        <v>900</v>
      </c>
      <c r="AR4476" t="s">
        <v>118</v>
      </c>
      <c r="AS4476">
        <v>-86</v>
      </c>
      <c r="AT4476">
        <v>2</v>
      </c>
      <c r="AU4476">
        <v>-384</v>
      </c>
      <c r="BC4476">
        <v>1200</v>
      </c>
      <c r="BD4476">
        <v>1</v>
      </c>
      <c r="BE4476" t="str">
        <f t="shared" si="211"/>
        <v xml:space="preserve">N215T   </v>
      </c>
      <c r="BF4476">
        <v>1</v>
      </c>
      <c r="BH4476">
        <v>0</v>
      </c>
      <c r="BI4476">
        <v>0</v>
      </c>
      <c r="BJ4476">
        <v>0</v>
      </c>
      <c r="BK4476">
        <v>1275</v>
      </c>
      <c r="BL4476">
        <v>375</v>
      </c>
      <c r="BM4476" t="s">
        <v>119</v>
      </c>
      <c r="BN4476">
        <v>1</v>
      </c>
      <c r="BO4476">
        <v>1</v>
      </c>
      <c r="BP4476">
        <v>1</v>
      </c>
      <c r="BQ4476">
        <v>0</v>
      </c>
      <c r="BT4476">
        <v>0</v>
      </c>
      <c r="BU4476">
        <v>0</v>
      </c>
      <c r="BV4476">
        <v>0</v>
      </c>
      <c r="CC4476" t="str">
        <f>"19:51:20.609"</f>
        <v>19:51:20.609</v>
      </c>
      <c r="CD4476" t="str">
        <f>"605810868"</f>
        <v>605810868</v>
      </c>
      <c r="CQ4476">
        <v>0</v>
      </c>
      <c r="CR4476">
        <v>2</v>
      </c>
      <c r="CS4476">
        <v>0</v>
      </c>
      <c r="CT4476">
        <v>2</v>
      </c>
      <c r="CU4476">
        <v>0</v>
      </c>
      <c r="CV4476">
        <v>3</v>
      </c>
      <c r="CW4476" t="s">
        <v>120</v>
      </c>
      <c r="CX4476">
        <v>257</v>
      </c>
      <c r="CY4476">
        <v>0</v>
      </c>
      <c r="CZ4476" t="s">
        <v>615</v>
      </c>
      <c r="DA4476" t="s">
        <v>616</v>
      </c>
      <c r="DD4476">
        <v>44509</v>
      </c>
      <c r="DE4476" t="s">
        <v>123</v>
      </c>
    </row>
    <row r="4477" spans="1:109" x14ac:dyDescent="0.3">
      <c r="A4477" t="str">
        <f>"19:51:21.828"</f>
        <v>19:51:21.828</v>
      </c>
      <c r="B4477" t="s">
        <v>110</v>
      </c>
      <c r="C4477" t="str">
        <f t="shared" si="213"/>
        <v>ffdfd3c0</v>
      </c>
      <c r="D4477" t="s">
        <v>111</v>
      </c>
      <c r="E4477">
        <v>18</v>
      </c>
      <c r="F4477">
        <v>1018</v>
      </c>
      <c r="G4477" t="s">
        <v>112</v>
      </c>
      <c r="J4477" t="s">
        <v>113</v>
      </c>
      <c r="K4477">
        <v>0</v>
      </c>
      <c r="L4477">
        <v>3</v>
      </c>
      <c r="M4477">
        <v>0</v>
      </c>
      <c r="N4477">
        <v>2</v>
      </c>
      <c r="O4477">
        <v>1</v>
      </c>
      <c r="P4477">
        <v>0</v>
      </c>
      <c r="Q4477">
        <v>0</v>
      </c>
      <c r="R4477" t="s">
        <v>114</v>
      </c>
      <c r="S4477" t="str">
        <f>"19:51:21.547"</f>
        <v>19:51:21.547</v>
      </c>
      <c r="T4477" t="str">
        <f>"19:51:21.344"</f>
        <v>19:51:21.344</v>
      </c>
      <c r="U4477" t="str">
        <f t="shared" si="210"/>
        <v>a1cdbe</v>
      </c>
      <c r="V4477">
        <v>0</v>
      </c>
      <c r="W4477">
        <v>0</v>
      </c>
      <c r="X4477">
        <v>2</v>
      </c>
      <c r="Y4477">
        <v>0</v>
      </c>
      <c r="Z4477">
        <v>0</v>
      </c>
      <c r="AB4477">
        <v>0</v>
      </c>
      <c r="AC4477">
        <v>9</v>
      </c>
      <c r="AD4477">
        <v>3</v>
      </c>
      <c r="AE4477">
        <v>0</v>
      </c>
      <c r="AF4477">
        <v>9</v>
      </c>
      <c r="AG4477" t="s">
        <v>115</v>
      </c>
      <c r="AH4477">
        <v>0</v>
      </c>
      <c r="AI4477">
        <v>0</v>
      </c>
      <c r="AJ4477">
        <v>1</v>
      </c>
      <c r="AK4477">
        <v>0</v>
      </c>
      <c r="AL4477" t="s">
        <v>7653</v>
      </c>
      <c r="AM4477">
        <v>47.058562999999999</v>
      </c>
      <c r="AN4477" t="s">
        <v>8063</v>
      </c>
      <c r="AO4477">
        <v>-124.068046</v>
      </c>
      <c r="AP4477">
        <v>100</v>
      </c>
      <c r="AQ4477">
        <v>900</v>
      </c>
      <c r="AR4477" t="s">
        <v>118</v>
      </c>
      <c r="AS4477">
        <v>-85</v>
      </c>
      <c r="AT4477">
        <v>3</v>
      </c>
      <c r="AU4477">
        <v>-128</v>
      </c>
      <c r="BC4477">
        <v>1200</v>
      </c>
      <c r="BD4477">
        <v>1</v>
      </c>
      <c r="BE4477" t="str">
        <f t="shared" si="211"/>
        <v xml:space="preserve">N215T   </v>
      </c>
      <c r="BF4477">
        <v>1</v>
      </c>
      <c r="BH4477">
        <v>0</v>
      </c>
      <c r="BI4477">
        <v>0</v>
      </c>
      <c r="BJ4477">
        <v>0</v>
      </c>
      <c r="BK4477">
        <v>1275</v>
      </c>
      <c r="BL4477">
        <v>375</v>
      </c>
      <c r="BM4477" t="s">
        <v>119</v>
      </c>
      <c r="BN4477">
        <v>1</v>
      </c>
      <c r="BO4477">
        <v>1</v>
      </c>
      <c r="BP4477">
        <v>1</v>
      </c>
      <c r="BQ4477">
        <v>0</v>
      </c>
      <c r="BT4477">
        <v>0</v>
      </c>
      <c r="BU4477">
        <v>0</v>
      </c>
      <c r="BV4477">
        <v>0</v>
      </c>
      <c r="CC4477" t="str">
        <f>"19:51:21.547"</f>
        <v>19:51:21.547</v>
      </c>
      <c r="CD4477" t="str">
        <f>"550717814"</f>
        <v>550717814</v>
      </c>
      <c r="CQ4477">
        <v>0</v>
      </c>
      <c r="CR4477">
        <v>2</v>
      </c>
      <c r="CS4477">
        <v>0</v>
      </c>
      <c r="CT4477">
        <v>2</v>
      </c>
      <c r="CU4477">
        <v>0</v>
      </c>
      <c r="CV4477">
        <v>3</v>
      </c>
      <c r="CW4477" t="s">
        <v>120</v>
      </c>
      <c r="CX4477">
        <v>257</v>
      </c>
      <c r="CY4477">
        <v>0</v>
      </c>
      <c r="CZ4477" t="s">
        <v>615</v>
      </c>
      <c r="DA4477" t="s">
        <v>616</v>
      </c>
      <c r="DD4477">
        <v>44827</v>
      </c>
      <c r="DE4477" t="s">
        <v>123</v>
      </c>
    </row>
    <row r="4478" spans="1:109" x14ac:dyDescent="0.3">
      <c r="A4478" t="str">
        <f>"19:51:22.781"</f>
        <v>19:51:22.781</v>
      </c>
      <c r="B4478" t="s">
        <v>110</v>
      </c>
      <c r="C4478" t="str">
        <f t="shared" si="213"/>
        <v>ffdfd3c0</v>
      </c>
      <c r="D4478" t="s">
        <v>111</v>
      </c>
      <c r="E4478">
        <v>18</v>
      </c>
      <c r="F4478">
        <v>1018</v>
      </c>
      <c r="G4478" t="s">
        <v>112</v>
      </c>
      <c r="J4478" t="s">
        <v>113</v>
      </c>
      <c r="K4478">
        <v>0</v>
      </c>
      <c r="L4478">
        <v>3</v>
      </c>
      <c r="M4478">
        <v>0</v>
      </c>
      <c r="N4478">
        <v>2</v>
      </c>
      <c r="O4478">
        <v>1</v>
      </c>
      <c r="P4478">
        <v>0</v>
      </c>
      <c r="Q4478">
        <v>0</v>
      </c>
      <c r="R4478" t="s">
        <v>114</v>
      </c>
      <c r="S4478" t="str">
        <f>"19:51:22.523"</f>
        <v>19:51:22.523</v>
      </c>
      <c r="T4478" t="str">
        <f>"19:51:22.227"</f>
        <v>19:51:22.227</v>
      </c>
      <c r="U4478" t="str">
        <f t="shared" si="210"/>
        <v>a1cdbe</v>
      </c>
      <c r="V4478">
        <v>0</v>
      </c>
      <c r="W4478">
        <v>0</v>
      </c>
      <c r="X4478">
        <v>2</v>
      </c>
      <c r="Y4478">
        <v>0</v>
      </c>
      <c r="Z4478">
        <v>0</v>
      </c>
      <c r="AB4478">
        <v>0</v>
      </c>
      <c r="AC4478">
        <v>9</v>
      </c>
      <c r="AD4478">
        <v>3</v>
      </c>
      <c r="AE4478">
        <v>0</v>
      </c>
      <c r="AF4478">
        <v>9</v>
      </c>
      <c r="AG4478" t="s">
        <v>115</v>
      </c>
      <c r="AH4478">
        <v>0</v>
      </c>
      <c r="AI4478">
        <v>0</v>
      </c>
      <c r="AJ4478">
        <v>1</v>
      </c>
      <c r="AK4478">
        <v>0</v>
      </c>
      <c r="AL4478" t="s">
        <v>7653</v>
      </c>
      <c r="AM4478">
        <v>47.058562999999999</v>
      </c>
      <c r="AN4478" t="s">
        <v>8064</v>
      </c>
      <c r="AO4478">
        <v>-124.06860399999999</v>
      </c>
      <c r="AP4478">
        <v>100</v>
      </c>
      <c r="AQ4478">
        <v>900</v>
      </c>
      <c r="AR4478" t="s">
        <v>118</v>
      </c>
      <c r="AS4478">
        <v>-84</v>
      </c>
      <c r="AT4478">
        <v>3</v>
      </c>
      <c r="AU4478">
        <v>64</v>
      </c>
      <c r="BC4478">
        <v>1200</v>
      </c>
      <c r="BD4478">
        <v>1</v>
      </c>
      <c r="BE4478" t="str">
        <f t="shared" si="211"/>
        <v xml:space="preserve">N215T   </v>
      </c>
      <c r="BF4478">
        <v>1</v>
      </c>
      <c r="BH4478">
        <v>0</v>
      </c>
      <c r="BI4478">
        <v>0</v>
      </c>
      <c r="BJ4478">
        <v>0</v>
      </c>
      <c r="BK4478">
        <v>1275</v>
      </c>
      <c r="BL4478">
        <v>375</v>
      </c>
      <c r="BM4478" t="s">
        <v>119</v>
      </c>
      <c r="BN4478">
        <v>1</v>
      </c>
      <c r="BO4478">
        <v>1</v>
      </c>
      <c r="BP4478">
        <v>1</v>
      </c>
      <c r="BQ4478">
        <v>0</v>
      </c>
      <c r="BT4478">
        <v>0</v>
      </c>
      <c r="BU4478">
        <v>0</v>
      </c>
      <c r="BV4478">
        <v>0</v>
      </c>
      <c r="CC4478" t="str">
        <f>"19:51:22.523"</f>
        <v>19:51:22.523</v>
      </c>
      <c r="CD4478" t="str">
        <f>"525621758"</f>
        <v>525621758</v>
      </c>
      <c r="CQ4478">
        <v>0</v>
      </c>
      <c r="CR4478">
        <v>2</v>
      </c>
      <c r="CS4478">
        <v>0</v>
      </c>
      <c r="CT4478">
        <v>2</v>
      </c>
      <c r="CU4478">
        <v>0</v>
      </c>
      <c r="CV4478">
        <v>3</v>
      </c>
      <c r="CW4478" t="s">
        <v>120</v>
      </c>
      <c r="CX4478">
        <v>257</v>
      </c>
      <c r="CY4478">
        <v>0</v>
      </c>
      <c r="CZ4478" t="s">
        <v>615</v>
      </c>
      <c r="DA4478" t="s">
        <v>616</v>
      </c>
      <c r="DD4478">
        <v>45144</v>
      </c>
      <c r="DE4478" t="s">
        <v>123</v>
      </c>
    </row>
    <row r="4479" spans="1:109" x14ac:dyDescent="0.3">
      <c r="A4479" t="str">
        <f>"19:51:23.891"</f>
        <v>19:51:23.891</v>
      </c>
      <c r="B4479" t="s">
        <v>110</v>
      </c>
      <c r="C4479" t="str">
        <f t="shared" si="213"/>
        <v>ffdfd3c0</v>
      </c>
      <c r="D4479" t="s">
        <v>111</v>
      </c>
      <c r="E4479">
        <v>18</v>
      </c>
      <c r="F4479">
        <v>1018</v>
      </c>
      <c r="G4479" t="s">
        <v>112</v>
      </c>
      <c r="J4479" t="s">
        <v>113</v>
      </c>
      <c r="K4479">
        <v>0</v>
      </c>
      <c r="L4479">
        <v>3</v>
      </c>
      <c r="M4479">
        <v>0</v>
      </c>
      <c r="N4479">
        <v>2</v>
      </c>
      <c r="O4479">
        <v>1</v>
      </c>
      <c r="P4479">
        <v>0</v>
      </c>
      <c r="Q4479">
        <v>0</v>
      </c>
      <c r="R4479" t="s">
        <v>114</v>
      </c>
      <c r="S4479" t="str">
        <f>"19:51:23.664"</f>
        <v>19:51:23.664</v>
      </c>
      <c r="T4479" t="str">
        <f>"19:51:22.766"</f>
        <v>19:51:22.766</v>
      </c>
      <c r="U4479" t="str">
        <f t="shared" si="210"/>
        <v>a1cdbe</v>
      </c>
      <c r="V4479">
        <v>0</v>
      </c>
      <c r="W4479">
        <v>0</v>
      </c>
      <c r="X4479">
        <v>2</v>
      </c>
      <c r="Y4479">
        <v>0</v>
      </c>
      <c r="Z4479">
        <v>0</v>
      </c>
      <c r="AB4479">
        <v>0</v>
      </c>
      <c r="AC4479">
        <v>9</v>
      </c>
      <c r="AD4479">
        <v>3</v>
      </c>
      <c r="AE4479">
        <v>0</v>
      </c>
      <c r="AF4479">
        <v>9</v>
      </c>
      <c r="AG4479" t="s">
        <v>115</v>
      </c>
      <c r="AH4479">
        <v>0</v>
      </c>
      <c r="AI4479">
        <v>0</v>
      </c>
      <c r="AJ4479">
        <v>1</v>
      </c>
      <c r="AK4479">
        <v>0</v>
      </c>
      <c r="AL4479" t="s">
        <v>7354</v>
      </c>
      <c r="AM4479">
        <v>47.058605999999997</v>
      </c>
      <c r="AN4479" t="s">
        <v>8065</v>
      </c>
      <c r="AO4479">
        <v>-124.06929</v>
      </c>
      <c r="AP4479">
        <v>100</v>
      </c>
      <c r="AQ4479">
        <v>900</v>
      </c>
      <c r="AR4479" t="s">
        <v>118</v>
      </c>
      <c r="AS4479">
        <v>-84</v>
      </c>
      <c r="AT4479">
        <v>3</v>
      </c>
      <c r="AU4479">
        <v>256</v>
      </c>
      <c r="BC4479">
        <v>1200</v>
      </c>
      <c r="BD4479">
        <v>1</v>
      </c>
      <c r="BE4479" t="str">
        <f t="shared" si="211"/>
        <v xml:space="preserve">N215T   </v>
      </c>
      <c r="BF4479">
        <v>1</v>
      </c>
      <c r="BH4479">
        <v>0</v>
      </c>
      <c r="BI4479">
        <v>0</v>
      </c>
      <c r="BJ4479">
        <v>0</v>
      </c>
      <c r="BK4479">
        <v>1275</v>
      </c>
      <c r="BL4479">
        <v>375</v>
      </c>
      <c r="BM4479" t="s">
        <v>119</v>
      </c>
      <c r="BN4479">
        <v>1</v>
      </c>
      <c r="BO4479">
        <v>1</v>
      </c>
      <c r="BP4479">
        <v>1</v>
      </c>
      <c r="BQ4479">
        <v>0</v>
      </c>
      <c r="BT4479">
        <v>0</v>
      </c>
      <c r="BU4479">
        <v>0</v>
      </c>
      <c r="BV4479">
        <v>0</v>
      </c>
      <c r="CC4479" t="str">
        <f>"19:51:23.664"</f>
        <v>19:51:23.664</v>
      </c>
      <c r="CD4479" t="str">
        <f>"665509473"</f>
        <v>665509473</v>
      </c>
      <c r="CQ4479">
        <v>0</v>
      </c>
      <c r="CR4479">
        <v>2</v>
      </c>
      <c r="CS4479">
        <v>0</v>
      </c>
      <c r="CT4479">
        <v>2</v>
      </c>
      <c r="CU4479">
        <v>0</v>
      </c>
      <c r="CV4479">
        <v>3</v>
      </c>
      <c r="CW4479" t="s">
        <v>120</v>
      </c>
      <c r="CX4479">
        <v>257</v>
      </c>
      <c r="CY4479">
        <v>0</v>
      </c>
      <c r="CZ4479" t="s">
        <v>615</v>
      </c>
      <c r="DA4479" t="s">
        <v>616</v>
      </c>
      <c r="DD4479">
        <v>45506</v>
      </c>
      <c r="DE4479" t="s">
        <v>123</v>
      </c>
    </row>
    <row r="4480" spans="1:109" x14ac:dyDescent="0.3">
      <c r="A4480" t="str">
        <f>"19:51:24.992"</f>
        <v>19:51:24.992</v>
      </c>
      <c r="B4480" t="s">
        <v>110</v>
      </c>
      <c r="C4480" t="str">
        <f t="shared" si="213"/>
        <v>ffdfd3c0</v>
      </c>
      <c r="D4480" t="s">
        <v>111</v>
      </c>
      <c r="E4480">
        <v>18</v>
      </c>
      <c r="F4480">
        <v>1018</v>
      </c>
      <c r="G4480" t="s">
        <v>112</v>
      </c>
      <c r="J4480" t="s">
        <v>113</v>
      </c>
      <c r="K4480">
        <v>0</v>
      </c>
      <c r="L4480">
        <v>3</v>
      </c>
      <c r="M4480">
        <v>0</v>
      </c>
      <c r="N4480">
        <v>2</v>
      </c>
      <c r="O4480">
        <v>1</v>
      </c>
      <c r="P4480">
        <v>0</v>
      </c>
      <c r="Q4480">
        <v>0</v>
      </c>
      <c r="R4480" t="s">
        <v>114</v>
      </c>
      <c r="S4480" t="str">
        <f>"19:51:24.789"</f>
        <v>19:51:24.789</v>
      </c>
      <c r="T4480" t="str">
        <f>"19:51:23.891"</f>
        <v>19:51:23.891</v>
      </c>
      <c r="U4480" t="str">
        <f t="shared" si="210"/>
        <v>a1cdbe</v>
      </c>
      <c r="V4480">
        <v>0</v>
      </c>
      <c r="W4480">
        <v>0</v>
      </c>
      <c r="X4480">
        <v>2</v>
      </c>
      <c r="Y4480">
        <v>0</v>
      </c>
      <c r="Z4480">
        <v>0</v>
      </c>
      <c r="AB4480">
        <v>0</v>
      </c>
      <c r="AC4480">
        <v>9</v>
      </c>
      <c r="AD4480">
        <v>3</v>
      </c>
      <c r="AE4480">
        <v>0</v>
      </c>
      <c r="AF4480">
        <v>9</v>
      </c>
      <c r="AG4480" t="s">
        <v>115</v>
      </c>
      <c r="AH4480">
        <v>0</v>
      </c>
      <c r="AI4480">
        <v>0</v>
      </c>
      <c r="AJ4480">
        <v>1</v>
      </c>
      <c r="AK4480">
        <v>0</v>
      </c>
      <c r="AL4480" t="s">
        <v>7354</v>
      </c>
      <c r="AM4480">
        <v>47.058605999999997</v>
      </c>
      <c r="AN4480" t="s">
        <v>8066</v>
      </c>
      <c r="AO4480">
        <v>-124.069912</v>
      </c>
      <c r="AP4480">
        <v>100</v>
      </c>
      <c r="AQ4480">
        <v>900</v>
      </c>
      <c r="AR4480" t="s">
        <v>118</v>
      </c>
      <c r="AS4480">
        <v>-82</v>
      </c>
      <c r="AT4480">
        <v>4</v>
      </c>
      <c r="AU4480">
        <v>320</v>
      </c>
      <c r="BC4480">
        <v>1200</v>
      </c>
      <c r="BD4480">
        <v>1</v>
      </c>
      <c r="BE4480" t="str">
        <f t="shared" si="211"/>
        <v xml:space="preserve">N215T   </v>
      </c>
      <c r="BF4480">
        <v>1</v>
      </c>
      <c r="BH4480">
        <v>0</v>
      </c>
      <c r="BI4480">
        <v>0</v>
      </c>
      <c r="BJ4480">
        <v>0</v>
      </c>
      <c r="BK4480">
        <v>1275</v>
      </c>
      <c r="BL4480">
        <v>375</v>
      </c>
      <c r="BM4480" t="s">
        <v>119</v>
      </c>
      <c r="BN4480">
        <v>1</v>
      </c>
      <c r="BO4480">
        <v>1</v>
      </c>
      <c r="BP4480">
        <v>1</v>
      </c>
      <c r="BQ4480">
        <v>0</v>
      </c>
      <c r="BT4480">
        <v>0</v>
      </c>
      <c r="BU4480">
        <v>0</v>
      </c>
      <c r="BV4480">
        <v>0</v>
      </c>
      <c r="CC4480" t="str">
        <f>"19:51:24.789"</f>
        <v>19:51:24.789</v>
      </c>
      <c r="CD4480" t="str">
        <f>"790398643"</f>
        <v>790398643</v>
      </c>
      <c r="CQ4480">
        <v>0</v>
      </c>
      <c r="CR4480">
        <v>2</v>
      </c>
      <c r="CS4480">
        <v>0</v>
      </c>
      <c r="CT4480">
        <v>2</v>
      </c>
      <c r="CU4480">
        <v>0</v>
      </c>
      <c r="CV4480">
        <v>4</v>
      </c>
      <c r="CW4480" t="s">
        <v>120</v>
      </c>
      <c r="CX4480">
        <v>257</v>
      </c>
      <c r="CY4480">
        <v>0</v>
      </c>
      <c r="CZ4480" t="s">
        <v>615</v>
      </c>
      <c r="DA4480" t="s">
        <v>616</v>
      </c>
      <c r="DD4480">
        <v>45861</v>
      </c>
      <c r="DE4480" t="s">
        <v>123</v>
      </c>
    </row>
    <row r="4481" spans="1:109" x14ac:dyDescent="0.3">
      <c r="A4481" t="str">
        <f>"19:51:26.055"</f>
        <v>19:51:26.055</v>
      </c>
      <c r="B4481" t="s">
        <v>110</v>
      </c>
      <c r="C4481" t="str">
        <f t="shared" si="213"/>
        <v>ffdfd3c0</v>
      </c>
      <c r="D4481" t="s">
        <v>111</v>
      </c>
      <c r="E4481">
        <v>18</v>
      </c>
      <c r="F4481">
        <v>1018</v>
      </c>
      <c r="G4481" t="s">
        <v>112</v>
      </c>
      <c r="J4481" t="s">
        <v>113</v>
      </c>
      <c r="K4481">
        <v>0</v>
      </c>
      <c r="L4481">
        <v>3</v>
      </c>
      <c r="M4481">
        <v>0</v>
      </c>
      <c r="N4481">
        <v>2</v>
      </c>
      <c r="O4481">
        <v>1</v>
      </c>
      <c r="P4481">
        <v>0</v>
      </c>
      <c r="Q4481">
        <v>0</v>
      </c>
      <c r="R4481" t="s">
        <v>114</v>
      </c>
      <c r="S4481" t="str">
        <f>"19:51:25.789"</f>
        <v>19:51:25.789</v>
      </c>
      <c r="T4481" t="str">
        <f>"19:51:25.688"</f>
        <v>19:51:25.688</v>
      </c>
      <c r="U4481" t="str">
        <f t="shared" si="210"/>
        <v>a1cdbe</v>
      </c>
      <c r="V4481">
        <v>0</v>
      </c>
      <c r="W4481">
        <v>0</v>
      </c>
      <c r="X4481">
        <v>2</v>
      </c>
      <c r="Y4481">
        <v>0</v>
      </c>
      <c r="Z4481">
        <v>0</v>
      </c>
      <c r="AB4481">
        <v>0</v>
      </c>
      <c r="AC4481">
        <v>9</v>
      </c>
      <c r="AD4481">
        <v>3</v>
      </c>
      <c r="AE4481">
        <v>0</v>
      </c>
      <c r="AF4481">
        <v>9</v>
      </c>
      <c r="AG4481" t="s">
        <v>115</v>
      </c>
      <c r="AH4481">
        <v>0</v>
      </c>
      <c r="AI4481">
        <v>0</v>
      </c>
      <c r="AJ4481">
        <v>1</v>
      </c>
      <c r="AK4481">
        <v>0</v>
      </c>
      <c r="AL4481" t="s">
        <v>7669</v>
      </c>
      <c r="AM4481">
        <v>47.058627999999999</v>
      </c>
      <c r="AN4481" t="s">
        <v>8067</v>
      </c>
      <c r="AO4481">
        <v>-124.070427</v>
      </c>
      <c r="AP4481">
        <v>100</v>
      </c>
      <c r="AQ4481">
        <v>900</v>
      </c>
      <c r="AR4481" t="s">
        <v>118</v>
      </c>
      <c r="AS4481">
        <v>-79</v>
      </c>
      <c r="AT4481">
        <v>4</v>
      </c>
      <c r="AU4481">
        <v>320</v>
      </c>
      <c r="BC4481">
        <v>1200</v>
      </c>
      <c r="BD4481">
        <v>1</v>
      </c>
      <c r="BE4481" t="str">
        <f t="shared" si="211"/>
        <v xml:space="preserve">N215T   </v>
      </c>
      <c r="BF4481">
        <v>1</v>
      </c>
      <c r="BH4481">
        <v>0</v>
      </c>
      <c r="BI4481">
        <v>0</v>
      </c>
      <c r="BJ4481">
        <v>0</v>
      </c>
      <c r="BK4481">
        <v>1275</v>
      </c>
      <c r="BL4481">
        <v>375</v>
      </c>
      <c r="BM4481" t="s">
        <v>119</v>
      </c>
      <c r="BN4481">
        <v>1</v>
      </c>
      <c r="BO4481">
        <v>1</v>
      </c>
      <c r="BP4481">
        <v>1</v>
      </c>
      <c r="BQ4481">
        <v>0</v>
      </c>
      <c r="BT4481">
        <v>0</v>
      </c>
      <c r="BU4481">
        <v>0</v>
      </c>
      <c r="BV4481">
        <v>0</v>
      </c>
      <c r="CC4481" t="str">
        <f>"19:51:25.797"</f>
        <v>19:51:25.797</v>
      </c>
      <c r="CD4481" t="str">
        <f>"795299608"</f>
        <v>795299608</v>
      </c>
      <c r="CQ4481">
        <v>0</v>
      </c>
      <c r="CR4481">
        <v>2</v>
      </c>
      <c r="CS4481">
        <v>0</v>
      </c>
      <c r="CT4481">
        <v>2</v>
      </c>
      <c r="CU4481">
        <v>0</v>
      </c>
      <c r="CV4481">
        <v>2</v>
      </c>
      <c r="CW4481" t="s">
        <v>120</v>
      </c>
      <c r="CX4481">
        <v>257</v>
      </c>
      <c r="CY4481">
        <v>0</v>
      </c>
      <c r="CZ4481" t="s">
        <v>615</v>
      </c>
      <c r="DA4481" t="s">
        <v>616</v>
      </c>
      <c r="DD4481">
        <v>46194</v>
      </c>
      <c r="DE4481" t="s">
        <v>123</v>
      </c>
    </row>
    <row r="4482" spans="1:109" x14ac:dyDescent="0.3">
      <c r="A4482" t="str">
        <f>"19:51:26.953"</f>
        <v>19:51:26.953</v>
      </c>
      <c r="B4482" t="s">
        <v>110</v>
      </c>
      <c r="C4482" t="str">
        <f t="shared" si="213"/>
        <v>ffdfd3c0</v>
      </c>
      <c r="D4482" t="s">
        <v>111</v>
      </c>
      <c r="E4482">
        <v>18</v>
      </c>
      <c r="F4482">
        <v>1018</v>
      </c>
      <c r="G4482" t="s">
        <v>112</v>
      </c>
      <c r="J4482" t="s">
        <v>113</v>
      </c>
      <c r="K4482">
        <v>0</v>
      </c>
      <c r="L4482">
        <v>3</v>
      </c>
      <c r="M4482">
        <v>0</v>
      </c>
      <c r="N4482">
        <v>2</v>
      </c>
      <c r="O4482">
        <v>1</v>
      </c>
      <c r="P4482">
        <v>0</v>
      </c>
      <c r="Q4482">
        <v>0</v>
      </c>
      <c r="R4482" t="s">
        <v>114</v>
      </c>
      <c r="S4482" t="str">
        <f>"19:51:26.719"</f>
        <v>19:51:26.719</v>
      </c>
      <c r="T4482" t="str">
        <f>"19:51:26.219"</f>
        <v>19:51:26.219</v>
      </c>
      <c r="U4482" t="str">
        <f t="shared" ref="U4482:U4545" si="214">"a1cdbe"</f>
        <v>a1cdbe</v>
      </c>
      <c r="V4482">
        <v>0</v>
      </c>
      <c r="W4482">
        <v>0</v>
      </c>
      <c r="X4482">
        <v>2</v>
      </c>
      <c r="Y4482">
        <v>0</v>
      </c>
      <c r="Z4482">
        <v>0</v>
      </c>
      <c r="AB4482">
        <v>0</v>
      </c>
      <c r="AC4482">
        <v>9</v>
      </c>
      <c r="AD4482">
        <v>3</v>
      </c>
      <c r="AE4482">
        <v>0</v>
      </c>
      <c r="AF4482">
        <v>9</v>
      </c>
      <c r="AG4482" t="s">
        <v>115</v>
      </c>
      <c r="AH4482">
        <v>0</v>
      </c>
      <c r="AI4482">
        <v>0</v>
      </c>
      <c r="AJ4482">
        <v>1</v>
      </c>
      <c r="AK4482">
        <v>0</v>
      </c>
      <c r="AL4482" t="s">
        <v>7842</v>
      </c>
      <c r="AM4482">
        <v>47.058670999999997</v>
      </c>
      <c r="AN4482" t="s">
        <v>8068</v>
      </c>
      <c r="AO4482">
        <v>-124.070921</v>
      </c>
      <c r="AP4482">
        <v>100</v>
      </c>
      <c r="AQ4482">
        <v>900</v>
      </c>
      <c r="AR4482" t="s">
        <v>118</v>
      </c>
      <c r="AS4482">
        <v>-78</v>
      </c>
      <c r="AT4482">
        <v>5</v>
      </c>
      <c r="AU4482">
        <v>384</v>
      </c>
      <c r="BC4482">
        <v>1200</v>
      </c>
      <c r="BD4482">
        <v>1</v>
      </c>
      <c r="BE4482" t="str">
        <f t="shared" ref="BE4482:BE4545" si="215">"N215T   "</f>
        <v xml:space="preserve">N215T   </v>
      </c>
      <c r="BF4482">
        <v>1</v>
      </c>
      <c r="BH4482">
        <v>0</v>
      </c>
      <c r="BI4482">
        <v>0</v>
      </c>
      <c r="BJ4482">
        <v>0</v>
      </c>
      <c r="BK4482">
        <v>1275</v>
      </c>
      <c r="BL4482">
        <v>375</v>
      </c>
      <c r="BM4482" t="s">
        <v>119</v>
      </c>
      <c r="BN4482">
        <v>1</v>
      </c>
      <c r="BO4482">
        <v>1</v>
      </c>
      <c r="BP4482">
        <v>1</v>
      </c>
      <c r="BQ4482">
        <v>0</v>
      </c>
      <c r="BT4482">
        <v>0</v>
      </c>
      <c r="BU4482">
        <v>0</v>
      </c>
      <c r="BV4482">
        <v>0</v>
      </c>
      <c r="CC4482" t="str">
        <f>"19:51:26.727"</f>
        <v>19:51:26.727</v>
      </c>
      <c r="CD4482" t="str">
        <f>"725208056"</f>
        <v>725208056</v>
      </c>
      <c r="CQ4482">
        <v>0</v>
      </c>
      <c r="CR4482">
        <v>2</v>
      </c>
      <c r="CS4482">
        <v>0</v>
      </c>
      <c r="CT4482">
        <v>2</v>
      </c>
      <c r="CU4482">
        <v>0</v>
      </c>
      <c r="CV4482">
        <v>3</v>
      </c>
      <c r="CW4482" t="s">
        <v>120</v>
      </c>
      <c r="CX4482">
        <v>257</v>
      </c>
      <c r="CY4482">
        <v>0</v>
      </c>
      <c r="CZ4482" t="s">
        <v>615</v>
      </c>
      <c r="DA4482" t="s">
        <v>616</v>
      </c>
      <c r="DD4482">
        <v>46519</v>
      </c>
      <c r="DE4482" t="s">
        <v>123</v>
      </c>
    </row>
    <row r="4483" spans="1:109" x14ac:dyDescent="0.3">
      <c r="A4483" t="str">
        <f>"19:51:27.859"</f>
        <v>19:51:27.859</v>
      </c>
      <c r="B4483" t="s">
        <v>110</v>
      </c>
      <c r="C4483" t="str">
        <f t="shared" si="213"/>
        <v>ffdfd3c0</v>
      </c>
      <c r="D4483" t="s">
        <v>111</v>
      </c>
      <c r="E4483">
        <v>18</v>
      </c>
      <c r="F4483">
        <v>1018</v>
      </c>
      <c r="G4483" t="s">
        <v>112</v>
      </c>
      <c r="J4483" t="s">
        <v>113</v>
      </c>
      <c r="K4483">
        <v>0</v>
      </c>
      <c r="L4483">
        <v>3</v>
      </c>
      <c r="M4483">
        <v>0</v>
      </c>
      <c r="N4483">
        <v>2</v>
      </c>
      <c r="O4483">
        <v>1</v>
      </c>
      <c r="P4483">
        <v>0</v>
      </c>
      <c r="Q4483">
        <v>0</v>
      </c>
      <c r="R4483" t="s">
        <v>114</v>
      </c>
      <c r="S4483" t="str">
        <f>"19:51:27.625"</f>
        <v>19:51:27.625</v>
      </c>
      <c r="T4483" t="str">
        <f>"19:51:27.328"</f>
        <v>19:51:27.328</v>
      </c>
      <c r="U4483" t="str">
        <f t="shared" si="214"/>
        <v>a1cdbe</v>
      </c>
      <c r="V4483">
        <v>0</v>
      </c>
      <c r="W4483">
        <v>0</v>
      </c>
      <c r="X4483">
        <v>2</v>
      </c>
      <c r="Y4483">
        <v>0</v>
      </c>
      <c r="Z4483">
        <v>0</v>
      </c>
      <c r="AB4483">
        <v>0</v>
      </c>
      <c r="AC4483">
        <v>9</v>
      </c>
      <c r="AD4483">
        <v>3</v>
      </c>
      <c r="AE4483">
        <v>0</v>
      </c>
      <c r="AF4483">
        <v>9</v>
      </c>
      <c r="AG4483" t="s">
        <v>115</v>
      </c>
      <c r="AH4483">
        <v>0</v>
      </c>
      <c r="AI4483">
        <v>0</v>
      </c>
      <c r="AJ4483">
        <v>1</v>
      </c>
      <c r="AK4483">
        <v>0</v>
      </c>
      <c r="AL4483" t="s">
        <v>8014</v>
      </c>
      <c r="AM4483">
        <v>47.058692000000001</v>
      </c>
      <c r="AN4483" t="s">
        <v>8069</v>
      </c>
      <c r="AO4483">
        <v>-124.07135</v>
      </c>
      <c r="AP4483">
        <v>100</v>
      </c>
      <c r="AQ4483">
        <v>900</v>
      </c>
      <c r="AR4483" t="s">
        <v>118</v>
      </c>
      <c r="AS4483">
        <v>-77</v>
      </c>
      <c r="AT4483">
        <v>5</v>
      </c>
      <c r="AU4483">
        <v>256</v>
      </c>
      <c r="BC4483">
        <v>1200</v>
      </c>
      <c r="BD4483">
        <v>1</v>
      </c>
      <c r="BE4483" t="str">
        <f t="shared" si="215"/>
        <v xml:space="preserve">N215T   </v>
      </c>
      <c r="BF4483">
        <v>1</v>
      </c>
      <c r="BH4483">
        <v>0</v>
      </c>
      <c r="BI4483">
        <v>0</v>
      </c>
      <c r="BJ4483">
        <v>0</v>
      </c>
      <c r="BK4483">
        <v>1300</v>
      </c>
      <c r="BL4483">
        <v>400</v>
      </c>
      <c r="BM4483" t="s">
        <v>119</v>
      </c>
      <c r="BN4483">
        <v>1</v>
      </c>
      <c r="BO4483">
        <v>1</v>
      </c>
      <c r="BP4483">
        <v>1</v>
      </c>
      <c r="BQ4483">
        <v>0</v>
      </c>
      <c r="BT4483">
        <v>0</v>
      </c>
      <c r="BU4483">
        <v>0</v>
      </c>
      <c r="BV4483">
        <v>0</v>
      </c>
      <c r="CC4483" t="str">
        <f>"19:51:27.625"</f>
        <v>19:51:27.625</v>
      </c>
      <c r="CD4483" t="str">
        <f>"625119408"</f>
        <v>625119408</v>
      </c>
      <c r="CQ4483">
        <v>0</v>
      </c>
      <c r="CR4483">
        <v>2</v>
      </c>
      <c r="CS4483">
        <v>0</v>
      </c>
      <c r="CT4483">
        <v>2</v>
      </c>
      <c r="CU4483">
        <v>0</v>
      </c>
      <c r="CV4483">
        <v>3</v>
      </c>
      <c r="CW4483" t="s">
        <v>120</v>
      </c>
      <c r="CX4483">
        <v>257</v>
      </c>
      <c r="CY4483">
        <v>0</v>
      </c>
      <c r="CZ4483" t="s">
        <v>615</v>
      </c>
      <c r="DA4483" t="s">
        <v>616</v>
      </c>
      <c r="DD4483">
        <v>46803</v>
      </c>
      <c r="DE4483" t="s">
        <v>123</v>
      </c>
    </row>
    <row r="4484" spans="1:109" x14ac:dyDescent="0.3">
      <c r="A4484" t="str">
        <f>"19:51:28.867"</f>
        <v>19:51:28.867</v>
      </c>
      <c r="B4484" t="s">
        <v>110</v>
      </c>
      <c r="C4484" t="str">
        <f t="shared" si="213"/>
        <v>ffdfd3c0</v>
      </c>
      <c r="D4484" t="s">
        <v>111</v>
      </c>
      <c r="E4484">
        <v>18</v>
      </c>
      <c r="F4484">
        <v>1018</v>
      </c>
      <c r="G4484" t="s">
        <v>112</v>
      </c>
      <c r="J4484" t="s">
        <v>113</v>
      </c>
      <c r="K4484">
        <v>0</v>
      </c>
      <c r="L4484">
        <v>3</v>
      </c>
      <c r="M4484">
        <v>0</v>
      </c>
      <c r="N4484">
        <v>2</v>
      </c>
      <c r="O4484">
        <v>1</v>
      </c>
      <c r="P4484">
        <v>0</v>
      </c>
      <c r="Q4484">
        <v>0</v>
      </c>
      <c r="R4484" t="s">
        <v>114</v>
      </c>
      <c r="S4484" t="str">
        <f>"19:51:28.625"</f>
        <v>19:51:28.625</v>
      </c>
      <c r="T4484" t="str">
        <f>"19:51:28.328"</f>
        <v>19:51:28.328</v>
      </c>
      <c r="U4484" t="str">
        <f t="shared" si="214"/>
        <v>a1cdbe</v>
      </c>
      <c r="V4484">
        <v>0</v>
      </c>
      <c r="W4484">
        <v>0</v>
      </c>
      <c r="X4484">
        <v>2</v>
      </c>
      <c r="Y4484">
        <v>0</v>
      </c>
      <c r="Z4484">
        <v>0</v>
      </c>
      <c r="AB4484">
        <v>0</v>
      </c>
      <c r="AC4484">
        <v>9</v>
      </c>
      <c r="AD4484">
        <v>3</v>
      </c>
      <c r="AE4484">
        <v>0</v>
      </c>
      <c r="AF4484">
        <v>9</v>
      </c>
      <c r="AG4484" t="s">
        <v>115</v>
      </c>
      <c r="AH4484">
        <v>0</v>
      </c>
      <c r="AI4484">
        <v>0</v>
      </c>
      <c r="AJ4484">
        <v>1</v>
      </c>
      <c r="AK4484">
        <v>0</v>
      </c>
      <c r="AL4484" t="s">
        <v>7356</v>
      </c>
      <c r="AM4484">
        <v>47.058734999999999</v>
      </c>
      <c r="AN4484" t="s">
        <v>8070</v>
      </c>
      <c r="AO4484">
        <v>-124.07190799999999</v>
      </c>
      <c r="AP4484">
        <v>100</v>
      </c>
      <c r="AQ4484">
        <v>900</v>
      </c>
      <c r="AR4484" t="s">
        <v>118</v>
      </c>
      <c r="AS4484">
        <v>-77</v>
      </c>
      <c r="AT4484">
        <v>5</v>
      </c>
      <c r="AU4484">
        <v>64</v>
      </c>
      <c r="BC4484">
        <v>1200</v>
      </c>
      <c r="BD4484">
        <v>1</v>
      </c>
      <c r="BE4484" t="str">
        <f t="shared" si="215"/>
        <v xml:space="preserve">N215T   </v>
      </c>
      <c r="BF4484">
        <v>1</v>
      </c>
      <c r="BH4484">
        <v>0</v>
      </c>
      <c r="BI4484">
        <v>0</v>
      </c>
      <c r="BJ4484">
        <v>0</v>
      </c>
      <c r="BK4484">
        <v>1300</v>
      </c>
      <c r="BL4484">
        <v>400</v>
      </c>
      <c r="BM4484" t="s">
        <v>119</v>
      </c>
      <c r="BN4484">
        <v>1</v>
      </c>
      <c r="BO4484">
        <v>1</v>
      </c>
      <c r="BP4484">
        <v>1</v>
      </c>
      <c r="BQ4484">
        <v>0</v>
      </c>
      <c r="BT4484">
        <v>0</v>
      </c>
      <c r="BU4484">
        <v>0</v>
      </c>
      <c r="BV4484">
        <v>0</v>
      </c>
      <c r="CC4484" t="str">
        <f>"19:51:28.633"</f>
        <v>19:51:28.633</v>
      </c>
      <c r="CD4484" t="str">
        <f>"630020379"</f>
        <v>630020379</v>
      </c>
      <c r="CQ4484">
        <v>0</v>
      </c>
      <c r="CR4484">
        <v>2</v>
      </c>
      <c r="CS4484">
        <v>0</v>
      </c>
      <c r="CT4484">
        <v>2</v>
      </c>
      <c r="CU4484">
        <v>0</v>
      </c>
      <c r="CV4484">
        <v>3</v>
      </c>
      <c r="CW4484" t="s">
        <v>120</v>
      </c>
      <c r="CX4484">
        <v>257</v>
      </c>
      <c r="CY4484">
        <v>0</v>
      </c>
      <c r="CZ4484" t="s">
        <v>615</v>
      </c>
      <c r="DA4484" t="s">
        <v>616</v>
      </c>
      <c r="DD4484">
        <v>47140</v>
      </c>
      <c r="DE4484" t="s">
        <v>123</v>
      </c>
    </row>
    <row r="4485" spans="1:109" x14ac:dyDescent="0.3">
      <c r="A4485" t="str">
        <f>"19:51:30.023"</f>
        <v>19:51:30.023</v>
      </c>
      <c r="B4485" t="s">
        <v>110</v>
      </c>
      <c r="C4485" t="str">
        <f t="shared" si="213"/>
        <v>ffdfd3c0</v>
      </c>
      <c r="D4485" t="s">
        <v>111</v>
      </c>
      <c r="E4485">
        <v>18</v>
      </c>
      <c r="F4485">
        <v>1018</v>
      </c>
      <c r="G4485" t="s">
        <v>112</v>
      </c>
      <c r="J4485" t="s">
        <v>113</v>
      </c>
      <c r="K4485">
        <v>0</v>
      </c>
      <c r="L4485">
        <v>3</v>
      </c>
      <c r="M4485">
        <v>0</v>
      </c>
      <c r="N4485">
        <v>2</v>
      </c>
      <c r="O4485">
        <v>1</v>
      </c>
      <c r="P4485">
        <v>0</v>
      </c>
      <c r="Q4485">
        <v>0</v>
      </c>
      <c r="R4485" t="s">
        <v>114</v>
      </c>
      <c r="S4485" t="str">
        <f>"19:51:29.766"</f>
        <v>19:51:29.766</v>
      </c>
      <c r="T4485" t="str">
        <f>"19:51:29.367"</f>
        <v>19:51:29.367</v>
      </c>
      <c r="U4485" t="str">
        <f t="shared" si="214"/>
        <v>a1cdbe</v>
      </c>
      <c r="V4485">
        <v>0</v>
      </c>
      <c r="W4485">
        <v>0</v>
      </c>
      <c r="X4485">
        <v>2</v>
      </c>
      <c r="Y4485">
        <v>0</v>
      </c>
      <c r="Z4485">
        <v>0</v>
      </c>
      <c r="AB4485">
        <v>0</v>
      </c>
      <c r="AC4485">
        <v>9</v>
      </c>
      <c r="AD4485">
        <v>3</v>
      </c>
      <c r="AE4485">
        <v>0</v>
      </c>
      <c r="AF4485">
        <v>9</v>
      </c>
      <c r="AG4485" t="s">
        <v>115</v>
      </c>
      <c r="AH4485">
        <v>0</v>
      </c>
      <c r="AI4485">
        <v>0</v>
      </c>
      <c r="AJ4485">
        <v>1</v>
      </c>
      <c r="AK4485">
        <v>0</v>
      </c>
      <c r="AL4485" t="s">
        <v>7356</v>
      </c>
      <c r="AM4485">
        <v>47.058734999999999</v>
      </c>
      <c r="AN4485" t="s">
        <v>8071</v>
      </c>
      <c r="AO4485">
        <v>-124.072487</v>
      </c>
      <c r="AP4485">
        <v>100</v>
      </c>
      <c r="AQ4485">
        <v>900</v>
      </c>
      <c r="AR4485" t="s">
        <v>118</v>
      </c>
      <c r="AS4485">
        <v>-76</v>
      </c>
      <c r="AT4485">
        <v>4</v>
      </c>
      <c r="AU4485">
        <v>-128</v>
      </c>
      <c r="BC4485">
        <v>1200</v>
      </c>
      <c r="BD4485">
        <v>1</v>
      </c>
      <c r="BE4485" t="str">
        <f t="shared" si="215"/>
        <v xml:space="preserve">N215T   </v>
      </c>
      <c r="BF4485">
        <v>1</v>
      </c>
      <c r="BH4485">
        <v>0</v>
      </c>
      <c r="BI4485">
        <v>0</v>
      </c>
      <c r="BJ4485">
        <v>0</v>
      </c>
      <c r="BK4485">
        <v>1300</v>
      </c>
      <c r="BL4485">
        <v>400</v>
      </c>
      <c r="BM4485" t="s">
        <v>119</v>
      </c>
      <c r="BN4485">
        <v>1</v>
      </c>
      <c r="BO4485">
        <v>1</v>
      </c>
      <c r="BP4485">
        <v>1</v>
      </c>
      <c r="BQ4485">
        <v>0</v>
      </c>
      <c r="BT4485">
        <v>0</v>
      </c>
      <c r="BU4485">
        <v>0</v>
      </c>
      <c r="BV4485">
        <v>0</v>
      </c>
      <c r="CC4485" t="str">
        <f>"19:51:29.773"</f>
        <v>19:51:29.773</v>
      </c>
      <c r="CD4485" t="str">
        <f>"769908134"</f>
        <v>769908134</v>
      </c>
      <c r="CQ4485">
        <v>0</v>
      </c>
      <c r="CR4485">
        <v>2</v>
      </c>
      <c r="CS4485">
        <v>0</v>
      </c>
      <c r="CT4485">
        <v>2</v>
      </c>
      <c r="CU4485">
        <v>0</v>
      </c>
      <c r="CV4485">
        <v>3</v>
      </c>
      <c r="CW4485" t="s">
        <v>120</v>
      </c>
      <c r="CX4485">
        <v>257</v>
      </c>
      <c r="CY4485">
        <v>0</v>
      </c>
      <c r="CZ4485" t="s">
        <v>615</v>
      </c>
      <c r="DA4485" t="s">
        <v>616</v>
      </c>
      <c r="DD4485">
        <v>47494</v>
      </c>
      <c r="DE4485" t="s">
        <v>123</v>
      </c>
    </row>
    <row r="4486" spans="1:109" x14ac:dyDescent="0.3">
      <c r="A4486" t="str">
        <f>"19:51:30.875"</f>
        <v>19:51:30.875</v>
      </c>
      <c r="B4486" t="s">
        <v>110</v>
      </c>
      <c r="C4486" t="str">
        <f t="shared" si="213"/>
        <v>ffdfd3c0</v>
      </c>
      <c r="D4486" t="s">
        <v>111</v>
      </c>
      <c r="E4486">
        <v>18</v>
      </c>
      <c r="F4486">
        <v>1018</v>
      </c>
      <c r="G4486" t="s">
        <v>112</v>
      </c>
      <c r="J4486" t="s">
        <v>113</v>
      </c>
      <c r="K4486">
        <v>0</v>
      </c>
      <c r="L4486">
        <v>3</v>
      </c>
      <c r="M4486">
        <v>0</v>
      </c>
      <c r="N4486">
        <v>2</v>
      </c>
      <c r="O4486">
        <v>1</v>
      </c>
      <c r="P4486">
        <v>0</v>
      </c>
      <c r="Q4486">
        <v>0</v>
      </c>
      <c r="R4486" t="s">
        <v>114</v>
      </c>
      <c r="S4486" t="str">
        <f>"19:51:30.648"</f>
        <v>19:51:30.648</v>
      </c>
      <c r="T4486" t="str">
        <f>"19:51:30.445"</f>
        <v>19:51:30.445</v>
      </c>
      <c r="U4486" t="str">
        <f t="shared" si="214"/>
        <v>a1cdbe</v>
      </c>
      <c r="V4486">
        <v>0</v>
      </c>
      <c r="W4486">
        <v>0</v>
      </c>
      <c r="X4486">
        <v>2</v>
      </c>
      <c r="Y4486">
        <v>0</v>
      </c>
      <c r="Z4486">
        <v>0</v>
      </c>
      <c r="AB4486">
        <v>0</v>
      </c>
      <c r="AC4486">
        <v>9</v>
      </c>
      <c r="AD4486">
        <v>3</v>
      </c>
      <c r="AE4486">
        <v>0</v>
      </c>
      <c r="AF4486">
        <v>9</v>
      </c>
      <c r="AG4486" t="s">
        <v>115</v>
      </c>
      <c r="AH4486">
        <v>0</v>
      </c>
      <c r="AI4486">
        <v>0</v>
      </c>
      <c r="AJ4486">
        <v>1</v>
      </c>
      <c r="AK4486">
        <v>0</v>
      </c>
      <c r="AL4486" t="s">
        <v>7356</v>
      </c>
      <c r="AM4486">
        <v>47.058734999999999</v>
      </c>
      <c r="AN4486" t="s">
        <v>8072</v>
      </c>
      <c r="AO4486">
        <v>-124.072895</v>
      </c>
      <c r="AP4486">
        <v>100</v>
      </c>
      <c r="AQ4486">
        <v>900</v>
      </c>
      <c r="AR4486" t="s">
        <v>118</v>
      </c>
      <c r="AS4486">
        <v>-76</v>
      </c>
      <c r="AT4486">
        <v>4</v>
      </c>
      <c r="AU4486">
        <v>-320</v>
      </c>
      <c r="BC4486">
        <v>1200</v>
      </c>
      <c r="BD4486">
        <v>1</v>
      </c>
      <c r="BE4486" t="str">
        <f t="shared" si="215"/>
        <v xml:space="preserve">N215T   </v>
      </c>
      <c r="BF4486">
        <v>1</v>
      </c>
      <c r="BH4486">
        <v>0</v>
      </c>
      <c r="BI4486">
        <v>0</v>
      </c>
      <c r="BJ4486">
        <v>0</v>
      </c>
      <c r="BK4486">
        <v>1300</v>
      </c>
      <c r="BL4486">
        <v>400</v>
      </c>
      <c r="BM4486" t="s">
        <v>119</v>
      </c>
      <c r="BN4486">
        <v>1</v>
      </c>
      <c r="BO4486">
        <v>1</v>
      </c>
      <c r="BP4486">
        <v>1</v>
      </c>
      <c r="BQ4486">
        <v>0</v>
      </c>
      <c r="BT4486">
        <v>0</v>
      </c>
      <c r="BU4486">
        <v>0</v>
      </c>
      <c r="BV4486">
        <v>0</v>
      </c>
      <c r="CC4486" t="str">
        <f>"19:51:30.656"</f>
        <v>19:51:30.656</v>
      </c>
      <c r="CD4486" t="str">
        <f>"654820956"</f>
        <v>654820956</v>
      </c>
      <c r="CQ4486">
        <v>0</v>
      </c>
      <c r="CR4486">
        <v>2</v>
      </c>
      <c r="CS4486">
        <v>0</v>
      </c>
      <c r="CT4486">
        <v>2</v>
      </c>
      <c r="CU4486">
        <v>0</v>
      </c>
      <c r="CV4486">
        <v>3</v>
      </c>
      <c r="CW4486" t="s">
        <v>120</v>
      </c>
      <c r="CX4486">
        <v>257</v>
      </c>
      <c r="CY4486">
        <v>0</v>
      </c>
      <c r="CZ4486" t="s">
        <v>615</v>
      </c>
      <c r="DA4486" t="s">
        <v>616</v>
      </c>
      <c r="DD4486">
        <v>47779</v>
      </c>
      <c r="DE4486" t="s">
        <v>123</v>
      </c>
    </row>
    <row r="4487" spans="1:109" x14ac:dyDescent="0.3">
      <c r="A4487" t="str">
        <f>"19:51:32.086"</f>
        <v>19:51:32.086</v>
      </c>
      <c r="B4487" t="s">
        <v>110</v>
      </c>
      <c r="C4487" t="str">
        <f t="shared" si="213"/>
        <v>ffdfd3c0</v>
      </c>
      <c r="D4487" t="s">
        <v>111</v>
      </c>
      <c r="E4487">
        <v>18</v>
      </c>
      <c r="F4487">
        <v>1018</v>
      </c>
      <c r="G4487" t="s">
        <v>112</v>
      </c>
      <c r="J4487" t="s">
        <v>113</v>
      </c>
      <c r="K4487">
        <v>0</v>
      </c>
      <c r="L4487">
        <v>3</v>
      </c>
      <c r="M4487">
        <v>0</v>
      </c>
      <c r="N4487">
        <v>2</v>
      </c>
      <c r="O4487">
        <v>1</v>
      </c>
      <c r="P4487">
        <v>0</v>
      </c>
      <c r="Q4487">
        <v>0</v>
      </c>
      <c r="R4487" t="s">
        <v>114</v>
      </c>
      <c r="S4487" t="str">
        <f>"19:51:31.820"</f>
        <v>19:51:31.820</v>
      </c>
      <c r="T4487" t="str">
        <f>"19:51:31.422"</f>
        <v>19:51:31.422</v>
      </c>
      <c r="U4487" t="str">
        <f t="shared" si="214"/>
        <v>a1cdbe</v>
      </c>
      <c r="V4487">
        <v>0</v>
      </c>
      <c r="W4487">
        <v>0</v>
      </c>
      <c r="X4487">
        <v>2</v>
      </c>
      <c r="Y4487">
        <v>0</v>
      </c>
      <c r="Z4487">
        <v>0</v>
      </c>
      <c r="AB4487">
        <v>0</v>
      </c>
      <c r="AC4487">
        <v>9</v>
      </c>
      <c r="AD4487">
        <v>3</v>
      </c>
      <c r="AE4487">
        <v>0</v>
      </c>
      <c r="AF4487">
        <v>9</v>
      </c>
      <c r="AG4487" t="s">
        <v>115</v>
      </c>
      <c r="AH4487">
        <v>0</v>
      </c>
      <c r="AI4487">
        <v>0</v>
      </c>
      <c r="AJ4487">
        <v>1</v>
      </c>
      <c r="AK4487">
        <v>0</v>
      </c>
      <c r="AL4487" t="s">
        <v>7652</v>
      </c>
      <c r="AM4487">
        <v>47.058777999999997</v>
      </c>
      <c r="AN4487" t="s">
        <v>8073</v>
      </c>
      <c r="AO4487">
        <v>-124.073539</v>
      </c>
      <c r="AP4487">
        <v>100</v>
      </c>
      <c r="AQ4487">
        <v>900</v>
      </c>
      <c r="AR4487" t="s">
        <v>118</v>
      </c>
      <c r="AS4487">
        <v>-77</v>
      </c>
      <c r="AT4487">
        <v>5</v>
      </c>
      <c r="AU4487">
        <v>-256</v>
      </c>
      <c r="BC4487">
        <v>1200</v>
      </c>
      <c r="BD4487">
        <v>1</v>
      </c>
      <c r="BE4487" t="str">
        <f t="shared" si="215"/>
        <v xml:space="preserve">N215T   </v>
      </c>
      <c r="BF4487">
        <v>1</v>
      </c>
      <c r="BH4487">
        <v>0</v>
      </c>
      <c r="BI4487">
        <v>0</v>
      </c>
      <c r="BJ4487">
        <v>0</v>
      </c>
      <c r="BK4487">
        <v>1300</v>
      </c>
      <c r="BL4487">
        <v>400</v>
      </c>
      <c r="BM4487" t="s">
        <v>119</v>
      </c>
      <c r="BN4487">
        <v>1</v>
      </c>
      <c r="BO4487">
        <v>1</v>
      </c>
      <c r="BP4487">
        <v>1</v>
      </c>
      <c r="BQ4487">
        <v>0</v>
      </c>
      <c r="BT4487">
        <v>0</v>
      </c>
      <c r="BU4487">
        <v>0</v>
      </c>
      <c r="BV4487">
        <v>0</v>
      </c>
      <c r="CC4487" t="str">
        <f>"19:51:31.828"</f>
        <v>19:51:31.828</v>
      </c>
      <c r="CD4487" t="str">
        <f>"824705706"</f>
        <v>824705706</v>
      </c>
      <c r="CQ4487">
        <v>0</v>
      </c>
      <c r="CR4487">
        <v>2</v>
      </c>
      <c r="CS4487">
        <v>0</v>
      </c>
      <c r="CT4487">
        <v>2</v>
      </c>
      <c r="CU4487">
        <v>0</v>
      </c>
      <c r="CV4487">
        <v>3</v>
      </c>
      <c r="CW4487" t="s">
        <v>120</v>
      </c>
      <c r="CX4487">
        <v>257</v>
      </c>
      <c r="CY4487">
        <v>0</v>
      </c>
      <c r="CZ4487" t="s">
        <v>615</v>
      </c>
      <c r="DA4487" t="s">
        <v>616</v>
      </c>
      <c r="DD4487">
        <v>48157</v>
      </c>
      <c r="DE4487" t="s">
        <v>123</v>
      </c>
    </row>
    <row r="4488" spans="1:109" x14ac:dyDescent="0.3">
      <c r="A4488" t="str">
        <f>"19:51:33.039"</f>
        <v>19:51:33.039</v>
      </c>
      <c r="B4488" t="s">
        <v>110</v>
      </c>
      <c r="C4488" t="str">
        <f t="shared" si="213"/>
        <v>ffdfd3c0</v>
      </c>
      <c r="D4488" t="s">
        <v>111</v>
      </c>
      <c r="E4488">
        <v>18</v>
      </c>
      <c r="F4488">
        <v>1018</v>
      </c>
      <c r="G4488" t="s">
        <v>112</v>
      </c>
      <c r="J4488" t="s">
        <v>113</v>
      </c>
      <c r="K4488">
        <v>0</v>
      </c>
      <c r="L4488">
        <v>3</v>
      </c>
      <c r="M4488">
        <v>0</v>
      </c>
      <c r="N4488">
        <v>2</v>
      </c>
      <c r="O4488">
        <v>1</v>
      </c>
      <c r="P4488">
        <v>0</v>
      </c>
      <c r="Q4488">
        <v>0</v>
      </c>
      <c r="R4488" t="s">
        <v>114</v>
      </c>
      <c r="S4488" t="str">
        <f>"19:51:32.797"</f>
        <v>19:51:32.797</v>
      </c>
      <c r="T4488" t="str">
        <f>"19:51:32.797"</f>
        <v>19:51:32.797</v>
      </c>
      <c r="U4488" t="str">
        <f t="shared" si="214"/>
        <v>a1cdbe</v>
      </c>
      <c r="V4488">
        <v>0</v>
      </c>
      <c r="W4488">
        <v>0</v>
      </c>
      <c r="X4488">
        <v>2</v>
      </c>
      <c r="Y4488">
        <v>0</v>
      </c>
      <c r="Z4488">
        <v>0</v>
      </c>
      <c r="AB4488">
        <v>0</v>
      </c>
      <c r="AC4488">
        <v>9</v>
      </c>
      <c r="AD4488">
        <v>3</v>
      </c>
      <c r="AE4488">
        <v>0</v>
      </c>
      <c r="AF4488">
        <v>9</v>
      </c>
      <c r="AG4488" t="s">
        <v>115</v>
      </c>
      <c r="AH4488">
        <v>0</v>
      </c>
      <c r="AI4488">
        <v>0</v>
      </c>
      <c r="AJ4488">
        <v>1</v>
      </c>
      <c r="AK4488">
        <v>0</v>
      </c>
      <c r="AL4488" t="s">
        <v>8010</v>
      </c>
      <c r="AM4488">
        <v>47.058799</v>
      </c>
      <c r="AN4488" t="s">
        <v>8074</v>
      </c>
      <c r="AO4488">
        <v>-124.07409699999999</v>
      </c>
      <c r="AP4488">
        <v>100</v>
      </c>
      <c r="AQ4488">
        <v>900</v>
      </c>
      <c r="AR4488" t="s">
        <v>118</v>
      </c>
      <c r="AS4488">
        <v>-77</v>
      </c>
      <c r="AT4488">
        <v>4</v>
      </c>
      <c r="AU4488">
        <v>-384</v>
      </c>
      <c r="BC4488">
        <v>1200</v>
      </c>
      <c r="BD4488">
        <v>1</v>
      </c>
      <c r="BE4488" t="str">
        <f t="shared" si="215"/>
        <v xml:space="preserve">N215T   </v>
      </c>
      <c r="BF4488">
        <v>1</v>
      </c>
      <c r="BH4488">
        <v>0</v>
      </c>
      <c r="BI4488">
        <v>0</v>
      </c>
      <c r="BJ4488">
        <v>0</v>
      </c>
      <c r="BK4488">
        <v>1275</v>
      </c>
      <c r="BL4488">
        <v>375</v>
      </c>
      <c r="BM4488" t="s">
        <v>119</v>
      </c>
      <c r="BN4488">
        <v>1</v>
      </c>
      <c r="BO4488">
        <v>1</v>
      </c>
      <c r="BP4488">
        <v>1</v>
      </c>
      <c r="BQ4488">
        <v>0</v>
      </c>
      <c r="BT4488">
        <v>0</v>
      </c>
      <c r="BU4488">
        <v>0</v>
      </c>
      <c r="BV4488">
        <v>0</v>
      </c>
      <c r="CC4488" t="str">
        <f>"19:51:32.797"</f>
        <v>19:51:32.797</v>
      </c>
      <c r="CD4488" t="str">
        <f>"799609676"</f>
        <v>799609676</v>
      </c>
      <c r="CQ4488">
        <v>0</v>
      </c>
      <c r="CR4488">
        <v>2</v>
      </c>
      <c r="CS4488">
        <v>0</v>
      </c>
      <c r="CT4488">
        <v>2</v>
      </c>
      <c r="CU4488">
        <v>0</v>
      </c>
      <c r="CV4488">
        <v>3</v>
      </c>
      <c r="CW4488" t="s">
        <v>120</v>
      </c>
      <c r="CX4488">
        <v>257</v>
      </c>
      <c r="CY4488">
        <v>0</v>
      </c>
      <c r="CZ4488" t="s">
        <v>615</v>
      </c>
      <c r="DA4488" t="s">
        <v>616</v>
      </c>
      <c r="DD4488">
        <v>48462</v>
      </c>
      <c r="DE4488" t="s">
        <v>123</v>
      </c>
    </row>
    <row r="4489" spans="1:109" x14ac:dyDescent="0.3">
      <c r="A4489" t="str">
        <f>"19:51:34.094"</f>
        <v>19:51:34.094</v>
      </c>
      <c r="B4489" t="s">
        <v>110</v>
      </c>
      <c r="C4489" t="str">
        <f t="shared" si="213"/>
        <v>ffdfd3c0</v>
      </c>
      <c r="D4489" t="s">
        <v>111</v>
      </c>
      <c r="E4489">
        <v>18</v>
      </c>
      <c r="F4489">
        <v>1018</v>
      </c>
      <c r="G4489" t="s">
        <v>112</v>
      </c>
      <c r="J4489" t="s">
        <v>113</v>
      </c>
      <c r="K4489">
        <v>0</v>
      </c>
      <c r="L4489">
        <v>3</v>
      </c>
      <c r="M4489">
        <v>0</v>
      </c>
      <c r="N4489">
        <v>2</v>
      </c>
      <c r="O4489">
        <v>1</v>
      </c>
      <c r="P4489">
        <v>0</v>
      </c>
      <c r="Q4489">
        <v>0</v>
      </c>
      <c r="R4489" t="s">
        <v>114</v>
      </c>
      <c r="S4489" t="str">
        <f>"19:51:33.813"</f>
        <v>19:51:33.813</v>
      </c>
      <c r="T4489" t="str">
        <f>"19:51:33.414"</f>
        <v>19:51:33.414</v>
      </c>
      <c r="U4489" t="str">
        <f t="shared" si="214"/>
        <v>a1cdbe</v>
      </c>
      <c r="V4489">
        <v>0</v>
      </c>
      <c r="W4489">
        <v>0</v>
      </c>
      <c r="X4489">
        <v>2</v>
      </c>
      <c r="Y4489">
        <v>0</v>
      </c>
      <c r="Z4489">
        <v>0</v>
      </c>
      <c r="AB4489">
        <v>0</v>
      </c>
      <c r="AC4489">
        <v>9</v>
      </c>
      <c r="AD4489">
        <v>3</v>
      </c>
      <c r="AE4489">
        <v>0</v>
      </c>
      <c r="AF4489">
        <v>9</v>
      </c>
      <c r="AG4489" t="s">
        <v>115</v>
      </c>
      <c r="AH4489">
        <v>0</v>
      </c>
      <c r="AI4489">
        <v>0</v>
      </c>
      <c r="AJ4489">
        <v>1</v>
      </c>
      <c r="AK4489">
        <v>0</v>
      </c>
      <c r="AL4489" t="s">
        <v>8008</v>
      </c>
      <c r="AM4489">
        <v>47.058821000000002</v>
      </c>
      <c r="AN4489" t="s">
        <v>8075</v>
      </c>
      <c r="AO4489">
        <v>-124.07459</v>
      </c>
      <c r="AP4489">
        <v>100</v>
      </c>
      <c r="AQ4489">
        <v>900</v>
      </c>
      <c r="AR4489" t="s">
        <v>118</v>
      </c>
      <c r="AS4489">
        <v>-77</v>
      </c>
      <c r="AT4489">
        <v>3</v>
      </c>
      <c r="AU4489">
        <v>-384</v>
      </c>
      <c r="BC4489">
        <v>1200</v>
      </c>
      <c r="BD4489">
        <v>1</v>
      </c>
      <c r="BE4489" t="str">
        <f t="shared" si="215"/>
        <v xml:space="preserve">N215T   </v>
      </c>
      <c r="BF4489">
        <v>1</v>
      </c>
      <c r="BH4489">
        <v>0</v>
      </c>
      <c r="BI4489">
        <v>0</v>
      </c>
      <c r="BJ4489">
        <v>0</v>
      </c>
      <c r="BK4489">
        <v>1275</v>
      </c>
      <c r="BL4489">
        <v>375</v>
      </c>
      <c r="BM4489" t="s">
        <v>119</v>
      </c>
      <c r="BN4489">
        <v>1</v>
      </c>
      <c r="BO4489">
        <v>1</v>
      </c>
      <c r="BP4489">
        <v>1</v>
      </c>
      <c r="BQ4489">
        <v>0</v>
      </c>
      <c r="BT4489">
        <v>0</v>
      </c>
      <c r="BU4489">
        <v>0</v>
      </c>
      <c r="BV4489">
        <v>0</v>
      </c>
      <c r="CC4489" t="str">
        <f>"19:51:33.820"</f>
        <v>19:51:33.820</v>
      </c>
      <c r="CD4489" t="str">
        <f>"819509176"</f>
        <v>819509176</v>
      </c>
      <c r="CQ4489">
        <v>0</v>
      </c>
      <c r="CR4489">
        <v>2</v>
      </c>
      <c r="CS4489">
        <v>0</v>
      </c>
      <c r="CT4489">
        <v>2</v>
      </c>
      <c r="CU4489">
        <v>0</v>
      </c>
      <c r="CV4489">
        <v>3</v>
      </c>
      <c r="CW4489" t="s">
        <v>120</v>
      </c>
      <c r="CX4489">
        <v>257</v>
      </c>
      <c r="CY4489">
        <v>0</v>
      </c>
      <c r="CZ4489" t="s">
        <v>615</v>
      </c>
      <c r="DA4489" t="s">
        <v>616</v>
      </c>
      <c r="DD4489">
        <v>48799</v>
      </c>
      <c r="DE4489" t="s">
        <v>123</v>
      </c>
    </row>
    <row r="4490" spans="1:109" x14ac:dyDescent="0.3">
      <c r="A4490" t="str">
        <f>"19:51:35.102"</f>
        <v>19:51:35.102</v>
      </c>
      <c r="B4490" t="s">
        <v>110</v>
      </c>
      <c r="C4490" t="str">
        <f t="shared" si="213"/>
        <v>ffdfd3c0</v>
      </c>
      <c r="D4490" t="s">
        <v>111</v>
      </c>
      <c r="E4490">
        <v>18</v>
      </c>
      <c r="F4490">
        <v>1018</v>
      </c>
      <c r="G4490" t="s">
        <v>112</v>
      </c>
      <c r="J4490" t="s">
        <v>113</v>
      </c>
      <c r="K4490">
        <v>0</v>
      </c>
      <c r="L4490">
        <v>3</v>
      </c>
      <c r="M4490">
        <v>0</v>
      </c>
      <c r="N4490">
        <v>2</v>
      </c>
      <c r="O4490">
        <v>1</v>
      </c>
      <c r="P4490">
        <v>0</v>
      </c>
      <c r="Q4490">
        <v>0</v>
      </c>
      <c r="R4490" t="s">
        <v>114</v>
      </c>
      <c r="S4490" t="str">
        <f>"19:51:34.836"</f>
        <v>19:51:34.836</v>
      </c>
      <c r="T4490" t="str">
        <f>"19:51:34.438"</f>
        <v>19:51:34.438</v>
      </c>
      <c r="U4490" t="str">
        <f t="shared" si="214"/>
        <v>a1cdbe</v>
      </c>
      <c r="V4490">
        <v>0</v>
      </c>
      <c r="W4490">
        <v>0</v>
      </c>
      <c r="X4490">
        <v>2</v>
      </c>
      <c r="Y4490">
        <v>0</v>
      </c>
      <c r="Z4490">
        <v>0</v>
      </c>
      <c r="AB4490">
        <v>0</v>
      </c>
      <c r="AC4490">
        <v>9</v>
      </c>
      <c r="AD4490">
        <v>3</v>
      </c>
      <c r="AE4490">
        <v>0</v>
      </c>
      <c r="AF4490">
        <v>9</v>
      </c>
      <c r="AG4490" t="s">
        <v>115</v>
      </c>
      <c r="AH4490">
        <v>0</v>
      </c>
      <c r="AI4490">
        <v>0</v>
      </c>
      <c r="AJ4490">
        <v>1</v>
      </c>
      <c r="AK4490">
        <v>0</v>
      </c>
      <c r="AL4490" t="s">
        <v>8010</v>
      </c>
      <c r="AM4490">
        <v>47.058799</v>
      </c>
      <c r="AN4490" t="s">
        <v>8076</v>
      </c>
      <c r="AO4490">
        <v>-124.07512699999999</v>
      </c>
      <c r="AP4490">
        <v>100</v>
      </c>
      <c r="AQ4490">
        <v>900</v>
      </c>
      <c r="AR4490" t="s">
        <v>118</v>
      </c>
      <c r="AS4490">
        <v>-78</v>
      </c>
      <c r="AT4490">
        <v>3</v>
      </c>
      <c r="AU4490">
        <v>-384</v>
      </c>
      <c r="BC4490">
        <v>1200</v>
      </c>
      <c r="BD4490">
        <v>1</v>
      </c>
      <c r="BE4490" t="str">
        <f t="shared" si="215"/>
        <v xml:space="preserve">N215T   </v>
      </c>
      <c r="BF4490">
        <v>1</v>
      </c>
      <c r="BH4490">
        <v>0</v>
      </c>
      <c r="BI4490">
        <v>0</v>
      </c>
      <c r="BJ4490">
        <v>0</v>
      </c>
      <c r="BK4490">
        <v>1275</v>
      </c>
      <c r="BL4490">
        <v>375</v>
      </c>
      <c r="BM4490" t="s">
        <v>119</v>
      </c>
      <c r="BN4490">
        <v>1</v>
      </c>
      <c r="BO4490">
        <v>1</v>
      </c>
      <c r="BP4490">
        <v>1</v>
      </c>
      <c r="BQ4490">
        <v>0</v>
      </c>
      <c r="BT4490">
        <v>0</v>
      </c>
      <c r="BU4490">
        <v>0</v>
      </c>
      <c r="BV4490">
        <v>0</v>
      </c>
      <c r="CC4490" t="str">
        <f>"19:51:34.836"</f>
        <v>19:51:34.836</v>
      </c>
      <c r="CD4490" t="str">
        <f>"839408697"</f>
        <v>839408697</v>
      </c>
      <c r="CQ4490">
        <v>0</v>
      </c>
      <c r="CR4490">
        <v>2</v>
      </c>
      <c r="CS4490">
        <v>0</v>
      </c>
      <c r="CT4490">
        <v>2</v>
      </c>
      <c r="CU4490">
        <v>0</v>
      </c>
      <c r="CV4490">
        <v>3</v>
      </c>
      <c r="CW4490" t="s">
        <v>120</v>
      </c>
      <c r="CX4490">
        <v>257</v>
      </c>
      <c r="CY4490">
        <v>0</v>
      </c>
      <c r="CZ4490" t="s">
        <v>615</v>
      </c>
      <c r="DA4490" t="s">
        <v>616</v>
      </c>
      <c r="DD4490">
        <v>49116</v>
      </c>
      <c r="DE4490" t="s">
        <v>123</v>
      </c>
    </row>
    <row r="4491" spans="1:109" x14ac:dyDescent="0.3">
      <c r="A4491" t="str">
        <f>"19:51:36.203"</f>
        <v>19:51:36.203</v>
      </c>
      <c r="B4491" t="s">
        <v>110</v>
      </c>
      <c r="C4491" t="str">
        <f t="shared" si="213"/>
        <v>ffdfd3c0</v>
      </c>
      <c r="D4491" t="s">
        <v>111</v>
      </c>
      <c r="E4491">
        <v>18</v>
      </c>
      <c r="F4491">
        <v>1018</v>
      </c>
      <c r="G4491" t="s">
        <v>112</v>
      </c>
      <c r="J4491" t="s">
        <v>113</v>
      </c>
      <c r="K4491">
        <v>0</v>
      </c>
      <c r="L4491">
        <v>3</v>
      </c>
      <c r="M4491">
        <v>0</v>
      </c>
      <c r="N4491">
        <v>2</v>
      </c>
      <c r="O4491">
        <v>1</v>
      </c>
      <c r="P4491">
        <v>0</v>
      </c>
      <c r="Q4491">
        <v>0</v>
      </c>
      <c r="R4491" t="s">
        <v>114</v>
      </c>
      <c r="S4491" t="str">
        <f>"19:51:35.992"</f>
        <v>19:51:35.992</v>
      </c>
      <c r="T4491" t="str">
        <f>"19:51:35.789"</f>
        <v>19:51:35.789</v>
      </c>
      <c r="U4491" t="str">
        <f t="shared" si="214"/>
        <v>a1cdbe</v>
      </c>
      <c r="V4491">
        <v>0</v>
      </c>
      <c r="W4491">
        <v>0</v>
      </c>
      <c r="X4491">
        <v>2</v>
      </c>
      <c r="Y4491">
        <v>0</v>
      </c>
      <c r="Z4491">
        <v>0</v>
      </c>
      <c r="AB4491">
        <v>0</v>
      </c>
      <c r="AC4491">
        <v>9</v>
      </c>
      <c r="AD4491">
        <v>3</v>
      </c>
      <c r="AE4491">
        <v>0</v>
      </c>
      <c r="AF4491">
        <v>9</v>
      </c>
      <c r="AG4491" t="s">
        <v>115</v>
      </c>
      <c r="AH4491">
        <v>0</v>
      </c>
      <c r="AI4491">
        <v>0</v>
      </c>
      <c r="AJ4491">
        <v>1</v>
      </c>
      <c r="AK4491">
        <v>0</v>
      </c>
      <c r="AL4491" t="s">
        <v>7671</v>
      </c>
      <c r="AM4491">
        <v>47.058841999999999</v>
      </c>
      <c r="AN4491" t="s">
        <v>8077</v>
      </c>
      <c r="AO4491">
        <v>-124.075749</v>
      </c>
      <c r="AP4491">
        <v>100</v>
      </c>
      <c r="AQ4491">
        <v>900</v>
      </c>
      <c r="AR4491" t="s">
        <v>118</v>
      </c>
      <c r="AS4491">
        <v>-79</v>
      </c>
      <c r="AT4491">
        <v>4</v>
      </c>
      <c r="AU4491">
        <v>-256</v>
      </c>
      <c r="BC4491">
        <v>1200</v>
      </c>
      <c r="BD4491">
        <v>1</v>
      </c>
      <c r="BE4491" t="str">
        <f t="shared" si="215"/>
        <v xml:space="preserve">N215T   </v>
      </c>
      <c r="BF4491">
        <v>1</v>
      </c>
      <c r="BH4491">
        <v>0</v>
      </c>
      <c r="BI4491">
        <v>0</v>
      </c>
      <c r="BJ4491">
        <v>0</v>
      </c>
      <c r="BK4491">
        <v>1275</v>
      </c>
      <c r="BL4491">
        <v>375</v>
      </c>
      <c r="BM4491" t="s">
        <v>119</v>
      </c>
      <c r="BN4491">
        <v>1</v>
      </c>
      <c r="BO4491">
        <v>1</v>
      </c>
      <c r="BP4491">
        <v>1</v>
      </c>
      <c r="BQ4491">
        <v>0</v>
      </c>
      <c r="BT4491">
        <v>0</v>
      </c>
      <c r="BU4491">
        <v>0</v>
      </c>
      <c r="BV4491">
        <v>0</v>
      </c>
      <c r="CC4491" t="str">
        <f>"19:51:35.992"</f>
        <v>19:51:35.992</v>
      </c>
      <c r="CD4491" t="str">
        <f>"994294939"</f>
        <v>994294939</v>
      </c>
      <c r="CQ4491">
        <v>0</v>
      </c>
      <c r="CR4491">
        <v>2</v>
      </c>
      <c r="CS4491">
        <v>0</v>
      </c>
      <c r="CT4491">
        <v>2</v>
      </c>
      <c r="CU4491">
        <v>0</v>
      </c>
      <c r="CV4491">
        <v>3</v>
      </c>
      <c r="CW4491" t="s">
        <v>120</v>
      </c>
      <c r="CX4491">
        <v>257</v>
      </c>
      <c r="CY4491">
        <v>0</v>
      </c>
      <c r="CZ4491" t="s">
        <v>615</v>
      </c>
      <c r="DA4491" t="s">
        <v>616</v>
      </c>
      <c r="DD4491">
        <v>49529</v>
      </c>
      <c r="DE4491" t="s">
        <v>123</v>
      </c>
    </row>
    <row r="4492" spans="1:109" x14ac:dyDescent="0.3">
      <c r="A4492" t="str">
        <f>"19:51:37.258"</f>
        <v>19:51:37.258</v>
      </c>
      <c r="B4492" t="s">
        <v>110</v>
      </c>
      <c r="C4492" t="str">
        <f t="shared" si="213"/>
        <v>ffdfd3c0</v>
      </c>
      <c r="D4492" t="s">
        <v>111</v>
      </c>
      <c r="E4492">
        <v>18</v>
      </c>
      <c r="F4492">
        <v>1018</v>
      </c>
      <c r="G4492" t="s">
        <v>112</v>
      </c>
      <c r="J4492" t="s">
        <v>113</v>
      </c>
      <c r="K4492">
        <v>0</v>
      </c>
      <c r="L4492">
        <v>3</v>
      </c>
      <c r="M4492">
        <v>0</v>
      </c>
      <c r="N4492">
        <v>2</v>
      </c>
      <c r="O4492">
        <v>1</v>
      </c>
      <c r="P4492">
        <v>0</v>
      </c>
      <c r="Q4492">
        <v>0</v>
      </c>
      <c r="R4492" t="s">
        <v>114</v>
      </c>
      <c r="S4492" t="str">
        <f>"19:51:37.039"</f>
        <v>19:51:37.039</v>
      </c>
      <c r="T4492" t="str">
        <f>"19:51:36.836"</f>
        <v>19:51:36.836</v>
      </c>
      <c r="U4492" t="str">
        <f t="shared" si="214"/>
        <v>a1cdbe</v>
      </c>
      <c r="V4492">
        <v>0</v>
      </c>
      <c r="W4492">
        <v>0</v>
      </c>
      <c r="X4492">
        <v>2</v>
      </c>
      <c r="Y4492">
        <v>0</v>
      </c>
      <c r="Z4492">
        <v>0</v>
      </c>
      <c r="AB4492">
        <v>0</v>
      </c>
      <c r="AC4492">
        <v>9</v>
      </c>
      <c r="AD4492">
        <v>3</v>
      </c>
      <c r="AE4492">
        <v>0</v>
      </c>
      <c r="AF4492">
        <v>9</v>
      </c>
      <c r="AG4492" t="s">
        <v>115</v>
      </c>
      <c r="AH4492">
        <v>0</v>
      </c>
      <c r="AI4492">
        <v>0</v>
      </c>
      <c r="AJ4492">
        <v>1</v>
      </c>
      <c r="AK4492">
        <v>0</v>
      </c>
      <c r="AL4492" t="s">
        <v>516</v>
      </c>
      <c r="AM4492">
        <v>47.058864</v>
      </c>
      <c r="AN4492" t="s">
        <v>8078</v>
      </c>
      <c r="AO4492">
        <v>-124.07635000000001</v>
      </c>
      <c r="AP4492">
        <v>100</v>
      </c>
      <c r="AQ4492">
        <v>900</v>
      </c>
      <c r="AR4492" t="s">
        <v>118</v>
      </c>
      <c r="AS4492">
        <v>-79</v>
      </c>
      <c r="AT4492">
        <v>5</v>
      </c>
      <c r="AU4492">
        <v>-64</v>
      </c>
      <c r="BC4492">
        <v>1200</v>
      </c>
      <c r="BD4492">
        <v>1</v>
      </c>
      <c r="BE4492" t="str">
        <f t="shared" si="215"/>
        <v xml:space="preserve">N215T   </v>
      </c>
      <c r="BF4492">
        <v>1</v>
      </c>
      <c r="BH4492">
        <v>0</v>
      </c>
      <c r="BI4492">
        <v>0</v>
      </c>
      <c r="BJ4492">
        <v>0</v>
      </c>
      <c r="BK4492">
        <v>1250</v>
      </c>
      <c r="BL4492">
        <v>350</v>
      </c>
      <c r="BM4492" t="s">
        <v>119</v>
      </c>
      <c r="BN4492">
        <v>1</v>
      </c>
      <c r="BO4492">
        <v>1</v>
      </c>
      <c r="BP4492">
        <v>1</v>
      </c>
      <c r="BQ4492">
        <v>0</v>
      </c>
      <c r="BT4492">
        <v>0</v>
      </c>
      <c r="BU4492">
        <v>0</v>
      </c>
      <c r="BV4492">
        <v>0</v>
      </c>
      <c r="CC4492" t="str">
        <f>"19:51:37.047"</f>
        <v>19:51:37.047</v>
      </c>
      <c r="CD4492" t="str">
        <f>"044191459"</f>
        <v>044191459</v>
      </c>
      <c r="CQ4492">
        <v>0</v>
      </c>
      <c r="CR4492">
        <v>2</v>
      </c>
      <c r="CS4492">
        <v>0</v>
      </c>
      <c r="CT4492">
        <v>2</v>
      </c>
      <c r="CU4492">
        <v>0</v>
      </c>
      <c r="CV4492">
        <v>2</v>
      </c>
      <c r="CW4492" t="s">
        <v>120</v>
      </c>
      <c r="CX4492">
        <v>257</v>
      </c>
      <c r="CY4492">
        <v>0</v>
      </c>
      <c r="CZ4492" t="s">
        <v>615</v>
      </c>
      <c r="DA4492" t="s">
        <v>616</v>
      </c>
      <c r="DD4492">
        <v>49866</v>
      </c>
      <c r="DE4492" t="s">
        <v>123</v>
      </c>
    </row>
    <row r="4493" spans="1:109" x14ac:dyDescent="0.3">
      <c r="A4493" t="str">
        <f>"19:51:38.117"</f>
        <v>19:51:38.117</v>
      </c>
      <c r="B4493" t="s">
        <v>110</v>
      </c>
      <c r="C4493" t="str">
        <f t="shared" si="213"/>
        <v>ffdfd3c0</v>
      </c>
      <c r="D4493" t="s">
        <v>111</v>
      </c>
      <c r="E4493">
        <v>18</v>
      </c>
      <c r="F4493">
        <v>1018</v>
      </c>
      <c r="G4493" t="s">
        <v>112</v>
      </c>
      <c r="J4493" t="s">
        <v>113</v>
      </c>
      <c r="K4493">
        <v>0</v>
      </c>
      <c r="L4493">
        <v>3</v>
      </c>
      <c r="M4493">
        <v>0</v>
      </c>
      <c r="N4493">
        <v>2</v>
      </c>
      <c r="O4493">
        <v>1</v>
      </c>
      <c r="P4493">
        <v>0</v>
      </c>
      <c r="Q4493">
        <v>0</v>
      </c>
      <c r="R4493" t="s">
        <v>114</v>
      </c>
      <c r="S4493" t="str">
        <f>"19:51:37.867"</f>
        <v>19:51:37.867</v>
      </c>
      <c r="T4493" t="str">
        <f>"19:51:37.367"</f>
        <v>19:51:37.367</v>
      </c>
      <c r="U4493" t="str">
        <f t="shared" si="214"/>
        <v>a1cdbe</v>
      </c>
      <c r="V4493">
        <v>0</v>
      </c>
      <c r="W4493">
        <v>0</v>
      </c>
      <c r="X4493">
        <v>2</v>
      </c>
      <c r="Y4493">
        <v>0</v>
      </c>
      <c r="Z4493">
        <v>0</v>
      </c>
      <c r="AB4493">
        <v>0</v>
      </c>
      <c r="AC4493">
        <v>9</v>
      </c>
      <c r="AD4493">
        <v>3</v>
      </c>
      <c r="AE4493">
        <v>0</v>
      </c>
      <c r="AF4493">
        <v>9</v>
      </c>
      <c r="AG4493" t="s">
        <v>115</v>
      </c>
      <c r="AH4493">
        <v>0</v>
      </c>
      <c r="AI4493">
        <v>0</v>
      </c>
      <c r="AJ4493">
        <v>1</v>
      </c>
      <c r="AK4493">
        <v>0</v>
      </c>
      <c r="AL4493" t="s">
        <v>516</v>
      </c>
      <c r="AM4493">
        <v>47.058864</v>
      </c>
      <c r="AN4493" t="s">
        <v>8079</v>
      </c>
      <c r="AO4493">
        <v>-124.076779</v>
      </c>
      <c r="AP4493">
        <v>100</v>
      </c>
      <c r="AQ4493">
        <v>900</v>
      </c>
      <c r="AR4493" t="s">
        <v>118</v>
      </c>
      <c r="AS4493">
        <v>-79</v>
      </c>
      <c r="AT4493">
        <v>6</v>
      </c>
      <c r="AU4493">
        <v>-64</v>
      </c>
      <c r="BC4493">
        <v>1200</v>
      </c>
      <c r="BD4493">
        <v>1</v>
      </c>
      <c r="BE4493" t="str">
        <f t="shared" si="215"/>
        <v xml:space="preserve">N215T   </v>
      </c>
      <c r="BF4493">
        <v>1</v>
      </c>
      <c r="BH4493">
        <v>0</v>
      </c>
      <c r="BI4493">
        <v>0</v>
      </c>
      <c r="BJ4493">
        <v>0</v>
      </c>
      <c r="BK4493">
        <v>1250</v>
      </c>
      <c r="BL4493">
        <v>350</v>
      </c>
      <c r="BM4493" t="s">
        <v>119</v>
      </c>
      <c r="BN4493">
        <v>1</v>
      </c>
      <c r="BO4493">
        <v>1</v>
      </c>
      <c r="BP4493">
        <v>1</v>
      </c>
      <c r="BQ4493">
        <v>0</v>
      </c>
      <c r="BT4493">
        <v>0</v>
      </c>
      <c r="BU4493">
        <v>0</v>
      </c>
      <c r="BV4493">
        <v>0</v>
      </c>
      <c r="CC4493" t="str">
        <f>"19:51:37.867"</f>
        <v>19:51:37.867</v>
      </c>
      <c r="CD4493" t="str">
        <f>"869110310"</f>
        <v>869110310</v>
      </c>
      <c r="CQ4493">
        <v>0</v>
      </c>
      <c r="CR4493">
        <v>2</v>
      </c>
      <c r="CS4493">
        <v>0</v>
      </c>
      <c r="CT4493">
        <v>2</v>
      </c>
      <c r="CU4493">
        <v>0</v>
      </c>
      <c r="CV4493">
        <v>2</v>
      </c>
      <c r="CW4493" t="s">
        <v>120</v>
      </c>
      <c r="CX4493">
        <v>257</v>
      </c>
      <c r="CY4493">
        <v>0</v>
      </c>
      <c r="CZ4493" t="s">
        <v>615</v>
      </c>
      <c r="DA4493" t="s">
        <v>616</v>
      </c>
      <c r="DD4493">
        <v>50150</v>
      </c>
      <c r="DE4493" t="s">
        <v>123</v>
      </c>
    </row>
    <row r="4494" spans="1:109" x14ac:dyDescent="0.3">
      <c r="A4494" t="str">
        <f>"19:51:39.117"</f>
        <v>19:51:39.117</v>
      </c>
      <c r="B4494" t="s">
        <v>110</v>
      </c>
      <c r="C4494" t="str">
        <f t="shared" si="213"/>
        <v>ffdfd3c0</v>
      </c>
      <c r="D4494" t="s">
        <v>111</v>
      </c>
      <c r="E4494">
        <v>18</v>
      </c>
      <c r="F4494">
        <v>1018</v>
      </c>
      <c r="G4494" t="s">
        <v>112</v>
      </c>
      <c r="J4494" t="s">
        <v>113</v>
      </c>
      <c r="K4494">
        <v>0</v>
      </c>
      <c r="L4494">
        <v>3</v>
      </c>
      <c r="M4494">
        <v>0</v>
      </c>
      <c r="N4494">
        <v>2</v>
      </c>
      <c r="O4494">
        <v>1</v>
      </c>
      <c r="P4494">
        <v>0</v>
      </c>
      <c r="Q4494">
        <v>0</v>
      </c>
      <c r="R4494" t="s">
        <v>114</v>
      </c>
      <c r="S4494" t="str">
        <f>"19:51:38.852"</f>
        <v>19:51:38.852</v>
      </c>
      <c r="T4494" t="str">
        <f>"19:51:38.352"</f>
        <v>19:51:38.352</v>
      </c>
      <c r="U4494" t="str">
        <f t="shared" si="214"/>
        <v>a1cdbe</v>
      </c>
      <c r="V4494">
        <v>0</v>
      </c>
      <c r="W4494">
        <v>0</v>
      </c>
      <c r="X4494">
        <v>2</v>
      </c>
      <c r="Y4494">
        <v>0</v>
      </c>
      <c r="Z4494">
        <v>0</v>
      </c>
      <c r="AB4494">
        <v>0</v>
      </c>
      <c r="AC4494">
        <v>9</v>
      </c>
      <c r="AD4494">
        <v>3</v>
      </c>
      <c r="AE4494">
        <v>0</v>
      </c>
      <c r="AF4494">
        <v>9</v>
      </c>
      <c r="AG4494" t="s">
        <v>115</v>
      </c>
      <c r="AH4494">
        <v>0</v>
      </c>
      <c r="AI4494">
        <v>0</v>
      </c>
      <c r="AJ4494">
        <v>1</v>
      </c>
      <c r="AK4494">
        <v>0</v>
      </c>
      <c r="AL4494" t="s">
        <v>7650</v>
      </c>
      <c r="AM4494">
        <v>47.058928000000002</v>
      </c>
      <c r="AN4494" t="s">
        <v>8080</v>
      </c>
      <c r="AO4494">
        <v>-124.077251</v>
      </c>
      <c r="AP4494">
        <v>100</v>
      </c>
      <c r="AQ4494">
        <v>900</v>
      </c>
      <c r="AR4494" t="s">
        <v>118</v>
      </c>
      <c r="AS4494">
        <v>-79</v>
      </c>
      <c r="AT4494">
        <v>6</v>
      </c>
      <c r="AU4494">
        <v>64</v>
      </c>
      <c r="BC4494">
        <v>1200</v>
      </c>
      <c r="BD4494">
        <v>1</v>
      </c>
      <c r="BE4494" t="str">
        <f t="shared" si="215"/>
        <v xml:space="preserve">N215T   </v>
      </c>
      <c r="BF4494">
        <v>1</v>
      </c>
      <c r="BH4494">
        <v>0</v>
      </c>
      <c r="BI4494">
        <v>0</v>
      </c>
      <c r="BJ4494">
        <v>0</v>
      </c>
      <c r="BK4494">
        <v>1250</v>
      </c>
      <c r="BL4494">
        <v>350</v>
      </c>
      <c r="BM4494" t="s">
        <v>119</v>
      </c>
      <c r="BN4494">
        <v>1</v>
      </c>
      <c r="BO4494">
        <v>1</v>
      </c>
      <c r="BP4494">
        <v>1</v>
      </c>
      <c r="BQ4494">
        <v>0</v>
      </c>
      <c r="BT4494">
        <v>0</v>
      </c>
      <c r="BU4494">
        <v>0</v>
      </c>
      <c r="BV4494">
        <v>0</v>
      </c>
      <c r="CC4494" t="str">
        <f>"19:51:38.859"</f>
        <v>19:51:38.859</v>
      </c>
      <c r="CD4494" t="str">
        <f>"859012737"</f>
        <v>859012737</v>
      </c>
      <c r="CQ4494">
        <v>0</v>
      </c>
      <c r="CR4494">
        <v>2</v>
      </c>
      <c r="CS4494">
        <v>0</v>
      </c>
      <c r="CT4494">
        <v>2</v>
      </c>
      <c r="CU4494">
        <v>0</v>
      </c>
      <c r="CV4494">
        <v>3</v>
      </c>
      <c r="CW4494" t="s">
        <v>120</v>
      </c>
      <c r="CX4494">
        <v>257</v>
      </c>
      <c r="CY4494">
        <v>0</v>
      </c>
      <c r="CZ4494" t="s">
        <v>615</v>
      </c>
      <c r="DA4494" t="s">
        <v>616</v>
      </c>
      <c r="DD4494">
        <v>50479</v>
      </c>
      <c r="DE4494" t="s">
        <v>123</v>
      </c>
    </row>
    <row r="4495" spans="1:109" x14ac:dyDescent="0.3">
      <c r="A4495" t="str">
        <f>"19:51:40.078"</f>
        <v>19:51:40.078</v>
      </c>
      <c r="B4495" t="s">
        <v>110</v>
      </c>
      <c r="C4495" t="str">
        <f t="shared" si="213"/>
        <v>ffdfd3c0</v>
      </c>
      <c r="D4495" t="s">
        <v>111</v>
      </c>
      <c r="E4495">
        <v>18</v>
      </c>
      <c r="F4495">
        <v>1018</v>
      </c>
      <c r="G4495" t="s">
        <v>112</v>
      </c>
      <c r="J4495" t="s">
        <v>113</v>
      </c>
      <c r="K4495">
        <v>0</v>
      </c>
      <c r="L4495">
        <v>3</v>
      </c>
      <c r="M4495">
        <v>0</v>
      </c>
      <c r="N4495">
        <v>2</v>
      </c>
      <c r="O4495">
        <v>1</v>
      </c>
      <c r="P4495">
        <v>0</v>
      </c>
      <c r="Q4495">
        <v>0</v>
      </c>
      <c r="R4495" t="s">
        <v>114</v>
      </c>
      <c r="S4495" t="str">
        <f>"19:51:39.797"</f>
        <v>19:51:39.797</v>
      </c>
      <c r="T4495" t="str">
        <f>"19:51:39.797"</f>
        <v>19:51:39.797</v>
      </c>
      <c r="U4495" t="str">
        <f t="shared" si="214"/>
        <v>a1cdbe</v>
      </c>
      <c r="V4495">
        <v>0</v>
      </c>
      <c r="W4495">
        <v>0</v>
      </c>
      <c r="X4495">
        <v>2</v>
      </c>
      <c r="Y4495">
        <v>0</v>
      </c>
      <c r="Z4495">
        <v>0</v>
      </c>
      <c r="AB4495">
        <v>0</v>
      </c>
      <c r="AC4495">
        <v>9</v>
      </c>
      <c r="AD4495">
        <v>3</v>
      </c>
      <c r="AE4495">
        <v>0</v>
      </c>
      <c r="AF4495">
        <v>9</v>
      </c>
      <c r="AG4495" t="s">
        <v>115</v>
      </c>
      <c r="AH4495">
        <v>0</v>
      </c>
      <c r="AI4495">
        <v>0</v>
      </c>
      <c r="AJ4495">
        <v>1</v>
      </c>
      <c r="AK4495">
        <v>0</v>
      </c>
      <c r="AL4495" t="s">
        <v>8004</v>
      </c>
      <c r="AM4495">
        <v>47.058906999999998</v>
      </c>
      <c r="AN4495" t="s">
        <v>8081</v>
      </c>
      <c r="AO4495">
        <v>-124.077766</v>
      </c>
      <c r="AP4495">
        <v>100</v>
      </c>
      <c r="AQ4495">
        <v>900</v>
      </c>
      <c r="AR4495" t="s">
        <v>118</v>
      </c>
      <c r="AS4495">
        <v>-79</v>
      </c>
      <c r="AT4495">
        <v>5</v>
      </c>
      <c r="AU4495">
        <v>192</v>
      </c>
      <c r="BC4495">
        <v>1200</v>
      </c>
      <c r="BD4495">
        <v>1</v>
      </c>
      <c r="BE4495" t="str">
        <f t="shared" si="215"/>
        <v xml:space="preserve">N215T   </v>
      </c>
      <c r="BF4495">
        <v>1</v>
      </c>
      <c r="BH4495">
        <v>0</v>
      </c>
      <c r="BI4495">
        <v>0</v>
      </c>
      <c r="BJ4495">
        <v>0</v>
      </c>
      <c r="BK4495">
        <v>1275</v>
      </c>
      <c r="BL4495">
        <v>375</v>
      </c>
      <c r="BM4495" t="s">
        <v>119</v>
      </c>
      <c r="BN4495">
        <v>1</v>
      </c>
      <c r="BO4495">
        <v>1</v>
      </c>
      <c r="BP4495">
        <v>1</v>
      </c>
      <c r="BQ4495">
        <v>0</v>
      </c>
      <c r="BT4495">
        <v>0</v>
      </c>
      <c r="BU4495">
        <v>0</v>
      </c>
      <c r="BV4495">
        <v>0</v>
      </c>
      <c r="CC4495" t="str">
        <f>"19:51:39.805"</f>
        <v>19:51:39.805</v>
      </c>
      <c r="CD4495" t="str">
        <f>"803919684"</f>
        <v>803919684</v>
      </c>
      <c r="CQ4495">
        <v>0</v>
      </c>
      <c r="CR4495">
        <v>2</v>
      </c>
      <c r="CS4495">
        <v>0</v>
      </c>
      <c r="CT4495">
        <v>2</v>
      </c>
      <c r="CU4495">
        <v>0</v>
      </c>
      <c r="CV4495">
        <v>3</v>
      </c>
      <c r="CW4495" t="s">
        <v>120</v>
      </c>
      <c r="CX4495">
        <v>257</v>
      </c>
      <c r="CY4495">
        <v>0</v>
      </c>
      <c r="CZ4495" t="s">
        <v>615</v>
      </c>
      <c r="DA4495" t="s">
        <v>616</v>
      </c>
      <c r="DD4495">
        <v>50787</v>
      </c>
      <c r="DE4495" t="s">
        <v>123</v>
      </c>
    </row>
    <row r="4496" spans="1:109" x14ac:dyDescent="0.3">
      <c r="A4496" t="str">
        <f>"19:51:42.086"</f>
        <v>19:51:42.086</v>
      </c>
      <c r="B4496" t="s">
        <v>110</v>
      </c>
      <c r="C4496" t="str">
        <f t="shared" si="213"/>
        <v>ffdfd3c0</v>
      </c>
      <c r="D4496" t="s">
        <v>111</v>
      </c>
      <c r="E4496">
        <v>18</v>
      </c>
      <c r="F4496">
        <v>1018</v>
      </c>
      <c r="G4496" t="s">
        <v>112</v>
      </c>
      <c r="J4496" t="s">
        <v>113</v>
      </c>
      <c r="K4496">
        <v>0</v>
      </c>
      <c r="L4496">
        <v>3</v>
      </c>
      <c r="M4496">
        <v>0</v>
      </c>
      <c r="N4496">
        <v>2</v>
      </c>
      <c r="O4496">
        <v>1</v>
      </c>
      <c r="P4496">
        <v>0</v>
      </c>
      <c r="Q4496">
        <v>0</v>
      </c>
      <c r="R4496" t="s">
        <v>114</v>
      </c>
      <c r="S4496" t="str">
        <f>"19:51:41.797"</f>
        <v>19:51:41.797</v>
      </c>
      <c r="T4496" t="str">
        <f>"19:51:41.297"</f>
        <v>19:51:41.297</v>
      </c>
      <c r="U4496" t="str">
        <f t="shared" si="214"/>
        <v>a1cdbe</v>
      </c>
      <c r="V4496">
        <v>0</v>
      </c>
      <c r="W4496">
        <v>0</v>
      </c>
      <c r="X4496">
        <v>2</v>
      </c>
      <c r="Y4496">
        <v>0</v>
      </c>
      <c r="Z4496">
        <v>0</v>
      </c>
      <c r="AB4496">
        <v>0</v>
      </c>
      <c r="AC4496">
        <v>9</v>
      </c>
      <c r="AD4496">
        <v>3</v>
      </c>
      <c r="AE4496">
        <v>0</v>
      </c>
      <c r="AF4496">
        <v>9</v>
      </c>
      <c r="AG4496" t="s">
        <v>115</v>
      </c>
      <c r="AH4496">
        <v>0</v>
      </c>
      <c r="AI4496">
        <v>0</v>
      </c>
      <c r="AJ4496">
        <v>1</v>
      </c>
      <c r="AK4496">
        <v>0</v>
      </c>
      <c r="AL4496" t="s">
        <v>8000</v>
      </c>
      <c r="AM4496">
        <v>47.059013999999998</v>
      </c>
      <c r="AN4496" t="s">
        <v>8082</v>
      </c>
      <c r="AO4496">
        <v>-124.078817</v>
      </c>
      <c r="AP4496">
        <v>100</v>
      </c>
      <c r="AQ4496">
        <v>900</v>
      </c>
      <c r="AR4496" t="s">
        <v>118</v>
      </c>
      <c r="AS4496">
        <v>-78</v>
      </c>
      <c r="AT4496">
        <v>8</v>
      </c>
      <c r="AU4496">
        <v>64</v>
      </c>
      <c r="BC4496">
        <v>1200</v>
      </c>
      <c r="BD4496">
        <v>1</v>
      </c>
      <c r="BE4496" t="str">
        <f t="shared" si="215"/>
        <v xml:space="preserve">N215T   </v>
      </c>
      <c r="BF4496">
        <v>1</v>
      </c>
      <c r="BH4496">
        <v>0</v>
      </c>
      <c r="BI4496">
        <v>0</v>
      </c>
      <c r="BJ4496">
        <v>0</v>
      </c>
      <c r="BK4496">
        <v>1275</v>
      </c>
      <c r="BL4496">
        <v>375</v>
      </c>
      <c r="BM4496" t="s">
        <v>119</v>
      </c>
      <c r="BN4496">
        <v>1</v>
      </c>
      <c r="BO4496">
        <v>1</v>
      </c>
      <c r="BP4496">
        <v>1</v>
      </c>
      <c r="BQ4496">
        <v>0</v>
      </c>
      <c r="BT4496">
        <v>0</v>
      </c>
      <c r="BU4496">
        <v>0</v>
      </c>
      <c r="BV4496">
        <v>0</v>
      </c>
      <c r="CC4496" t="str">
        <f>"19:51:41.797"</f>
        <v>19:51:41.797</v>
      </c>
      <c r="CD4496" t="str">
        <f>"798723141"</f>
        <v>798723141</v>
      </c>
      <c r="CQ4496">
        <v>0</v>
      </c>
      <c r="CR4496">
        <v>2</v>
      </c>
      <c r="CS4496">
        <v>0</v>
      </c>
      <c r="CT4496">
        <v>2</v>
      </c>
      <c r="CU4496">
        <v>0</v>
      </c>
      <c r="CV4496">
        <v>3</v>
      </c>
      <c r="CW4496" t="s">
        <v>120</v>
      </c>
      <c r="CX4496">
        <v>257</v>
      </c>
      <c r="CY4496">
        <v>0</v>
      </c>
      <c r="CZ4496" t="s">
        <v>615</v>
      </c>
      <c r="DA4496" t="s">
        <v>616</v>
      </c>
      <c r="DD4496">
        <v>51416</v>
      </c>
      <c r="DE4496" t="s">
        <v>123</v>
      </c>
    </row>
    <row r="4497" spans="1:109" x14ac:dyDescent="0.3">
      <c r="A4497" t="str">
        <f>"19:51:43.094"</f>
        <v>19:51:43.094</v>
      </c>
      <c r="B4497" t="s">
        <v>110</v>
      </c>
      <c r="C4497" t="str">
        <f t="shared" si="213"/>
        <v>ffdfd3c0</v>
      </c>
      <c r="D4497" t="s">
        <v>111</v>
      </c>
      <c r="E4497">
        <v>18</v>
      </c>
      <c r="F4497">
        <v>1018</v>
      </c>
      <c r="G4497" t="s">
        <v>112</v>
      </c>
      <c r="J4497" t="s">
        <v>113</v>
      </c>
      <c r="K4497">
        <v>0</v>
      </c>
      <c r="L4497">
        <v>3</v>
      </c>
      <c r="M4497">
        <v>0</v>
      </c>
      <c r="N4497">
        <v>2</v>
      </c>
      <c r="O4497">
        <v>1</v>
      </c>
      <c r="P4497">
        <v>0</v>
      </c>
      <c r="Q4497">
        <v>0</v>
      </c>
      <c r="R4497" t="s">
        <v>114</v>
      </c>
      <c r="S4497" t="str">
        <f>"19:51:42.813"</f>
        <v>19:51:42.813</v>
      </c>
      <c r="T4497" t="str">
        <f>"19:51:42.414"</f>
        <v>19:51:42.414</v>
      </c>
      <c r="U4497" t="str">
        <f t="shared" si="214"/>
        <v>a1cdbe</v>
      </c>
      <c r="V4497">
        <v>0</v>
      </c>
      <c r="W4497">
        <v>0</v>
      </c>
      <c r="X4497">
        <v>2</v>
      </c>
      <c r="Y4497">
        <v>0</v>
      </c>
      <c r="Z4497">
        <v>0</v>
      </c>
      <c r="AB4497">
        <v>0</v>
      </c>
      <c r="AC4497">
        <v>9</v>
      </c>
      <c r="AD4497">
        <v>3</v>
      </c>
      <c r="AE4497">
        <v>0</v>
      </c>
      <c r="AF4497">
        <v>9</v>
      </c>
      <c r="AG4497" t="s">
        <v>115</v>
      </c>
      <c r="AH4497">
        <v>0</v>
      </c>
      <c r="AI4497">
        <v>0</v>
      </c>
      <c r="AJ4497">
        <v>1</v>
      </c>
      <c r="AK4497">
        <v>0</v>
      </c>
      <c r="AL4497" t="s">
        <v>8000</v>
      </c>
      <c r="AM4497">
        <v>47.059013999999998</v>
      </c>
      <c r="AN4497" t="s">
        <v>8083</v>
      </c>
      <c r="AO4497">
        <v>-124.079375</v>
      </c>
      <c r="AP4497">
        <v>100</v>
      </c>
      <c r="AQ4497">
        <v>900</v>
      </c>
      <c r="AR4497" t="s">
        <v>118</v>
      </c>
      <c r="AS4497">
        <v>-78</v>
      </c>
      <c r="AT4497">
        <v>8</v>
      </c>
      <c r="AU4497">
        <v>256</v>
      </c>
      <c r="BC4497">
        <v>1200</v>
      </c>
      <c r="BD4497">
        <v>1</v>
      </c>
      <c r="BE4497" t="str">
        <f t="shared" si="215"/>
        <v xml:space="preserve">N215T   </v>
      </c>
      <c r="BF4497">
        <v>1</v>
      </c>
      <c r="BH4497">
        <v>0</v>
      </c>
      <c r="BI4497">
        <v>0</v>
      </c>
      <c r="BJ4497">
        <v>0</v>
      </c>
      <c r="BK4497">
        <v>1275</v>
      </c>
      <c r="BL4497">
        <v>375</v>
      </c>
      <c r="BM4497" t="s">
        <v>119</v>
      </c>
      <c r="BN4497">
        <v>1</v>
      </c>
      <c r="BO4497">
        <v>1</v>
      </c>
      <c r="BP4497">
        <v>1</v>
      </c>
      <c r="BQ4497">
        <v>0</v>
      </c>
      <c r="BT4497">
        <v>0</v>
      </c>
      <c r="BU4497">
        <v>0</v>
      </c>
      <c r="BV4497">
        <v>0</v>
      </c>
      <c r="CC4497" t="str">
        <f>"19:51:42.820"</f>
        <v>19:51:42.820</v>
      </c>
      <c r="CD4497" t="str">
        <f>"818622679"</f>
        <v>818622679</v>
      </c>
      <c r="CQ4497">
        <v>0</v>
      </c>
      <c r="CR4497">
        <v>2</v>
      </c>
      <c r="CS4497">
        <v>0</v>
      </c>
      <c r="CT4497">
        <v>2</v>
      </c>
      <c r="CU4497">
        <v>0</v>
      </c>
      <c r="CV4497">
        <v>2</v>
      </c>
      <c r="CW4497" t="s">
        <v>120</v>
      </c>
      <c r="CX4497">
        <v>257</v>
      </c>
      <c r="CY4497">
        <v>0</v>
      </c>
      <c r="CZ4497" t="s">
        <v>615</v>
      </c>
      <c r="DA4497" t="s">
        <v>616</v>
      </c>
      <c r="DD4497">
        <v>51756</v>
      </c>
      <c r="DE4497" t="s">
        <v>123</v>
      </c>
    </row>
    <row r="4498" spans="1:109" x14ac:dyDescent="0.3">
      <c r="A4498" t="str">
        <f>"19:51:44.094"</f>
        <v>19:51:44.094</v>
      </c>
      <c r="B4498" t="s">
        <v>110</v>
      </c>
      <c r="C4498" t="str">
        <f t="shared" si="213"/>
        <v>ffdfd3c0</v>
      </c>
      <c r="D4498" t="s">
        <v>111</v>
      </c>
      <c r="E4498">
        <v>18</v>
      </c>
      <c r="F4498">
        <v>1018</v>
      </c>
      <c r="G4498" t="s">
        <v>112</v>
      </c>
      <c r="J4498" t="s">
        <v>113</v>
      </c>
      <c r="K4498">
        <v>0</v>
      </c>
      <c r="L4498">
        <v>3</v>
      </c>
      <c r="M4498">
        <v>0</v>
      </c>
      <c r="N4498">
        <v>2</v>
      </c>
      <c r="O4498">
        <v>1</v>
      </c>
      <c r="P4498">
        <v>0</v>
      </c>
      <c r="Q4498">
        <v>0</v>
      </c>
      <c r="R4498" t="s">
        <v>114</v>
      </c>
      <c r="S4498" t="str">
        <f>"19:51:43.883"</f>
        <v>19:51:43.883</v>
      </c>
      <c r="T4498" t="str">
        <f>"19:51:43.883"</f>
        <v>19:51:43.883</v>
      </c>
      <c r="U4498" t="str">
        <f t="shared" si="214"/>
        <v>a1cdbe</v>
      </c>
      <c r="V4498">
        <v>0</v>
      </c>
      <c r="W4498">
        <v>0</v>
      </c>
      <c r="X4498">
        <v>2</v>
      </c>
      <c r="Y4498">
        <v>0</v>
      </c>
      <c r="Z4498">
        <v>0</v>
      </c>
      <c r="AB4498">
        <v>0</v>
      </c>
      <c r="AC4498">
        <v>9</v>
      </c>
      <c r="AD4498">
        <v>3</v>
      </c>
      <c r="AE4498">
        <v>0</v>
      </c>
      <c r="AF4498">
        <v>9</v>
      </c>
      <c r="AG4498" t="s">
        <v>115</v>
      </c>
      <c r="AH4498">
        <v>0</v>
      </c>
      <c r="AI4498">
        <v>0</v>
      </c>
      <c r="AJ4498">
        <v>1</v>
      </c>
      <c r="AK4498">
        <v>0</v>
      </c>
      <c r="AL4498" t="s">
        <v>7672</v>
      </c>
      <c r="AM4498">
        <v>47.059057000000003</v>
      </c>
      <c r="AN4498" t="s">
        <v>8084</v>
      </c>
      <c r="AO4498">
        <v>-124.079933</v>
      </c>
      <c r="AP4498">
        <v>100</v>
      </c>
      <c r="AQ4498">
        <v>900</v>
      </c>
      <c r="AR4498" t="s">
        <v>118</v>
      </c>
      <c r="AS4498">
        <v>-78</v>
      </c>
      <c r="AT4498">
        <v>7</v>
      </c>
      <c r="AU4498">
        <v>256</v>
      </c>
      <c r="BC4498">
        <v>1200</v>
      </c>
      <c r="BD4498">
        <v>1</v>
      </c>
      <c r="BE4498" t="str">
        <f t="shared" si="215"/>
        <v xml:space="preserve">N215T   </v>
      </c>
      <c r="BF4498">
        <v>1</v>
      </c>
      <c r="BH4498">
        <v>0</v>
      </c>
      <c r="BI4498">
        <v>0</v>
      </c>
      <c r="BJ4498">
        <v>0</v>
      </c>
      <c r="BK4498">
        <v>1275</v>
      </c>
      <c r="BL4498">
        <v>375</v>
      </c>
      <c r="BM4498" t="s">
        <v>119</v>
      </c>
      <c r="BN4498">
        <v>1</v>
      </c>
      <c r="BO4498">
        <v>1</v>
      </c>
      <c r="BP4498">
        <v>1</v>
      </c>
      <c r="BQ4498">
        <v>0</v>
      </c>
      <c r="BT4498">
        <v>0</v>
      </c>
      <c r="BU4498">
        <v>0</v>
      </c>
      <c r="BV4498">
        <v>0</v>
      </c>
      <c r="CC4498" t="str">
        <f>"19:51:43.883"</f>
        <v>19:51:43.883</v>
      </c>
      <c r="CD4498" t="str">
        <f>"883517808"</f>
        <v>883517808</v>
      </c>
      <c r="CQ4498">
        <v>0</v>
      </c>
      <c r="CR4498">
        <v>2</v>
      </c>
      <c r="CS4498">
        <v>0</v>
      </c>
      <c r="CT4498">
        <v>2</v>
      </c>
      <c r="CU4498">
        <v>0</v>
      </c>
      <c r="CV4498">
        <v>3</v>
      </c>
      <c r="CW4498" t="s">
        <v>120</v>
      </c>
      <c r="CX4498">
        <v>257</v>
      </c>
      <c r="CY4498">
        <v>0</v>
      </c>
      <c r="CZ4498" t="s">
        <v>615</v>
      </c>
      <c r="DA4498" t="s">
        <v>616</v>
      </c>
      <c r="DD4498">
        <v>52086</v>
      </c>
      <c r="DE4498" t="s">
        <v>123</v>
      </c>
    </row>
    <row r="4499" spans="1:109" x14ac:dyDescent="0.3">
      <c r="A4499" t="str">
        <f>"19:51:45.102"</f>
        <v>19:51:45.102</v>
      </c>
      <c r="B4499" t="s">
        <v>110</v>
      </c>
      <c r="C4499" t="str">
        <f t="shared" si="213"/>
        <v>ffdfd3c0</v>
      </c>
      <c r="D4499" t="s">
        <v>111</v>
      </c>
      <c r="E4499">
        <v>18</v>
      </c>
      <c r="F4499">
        <v>1018</v>
      </c>
      <c r="G4499" t="s">
        <v>112</v>
      </c>
      <c r="J4499" t="s">
        <v>113</v>
      </c>
      <c r="K4499">
        <v>0</v>
      </c>
      <c r="L4499">
        <v>3</v>
      </c>
      <c r="M4499">
        <v>0</v>
      </c>
      <c r="N4499">
        <v>2</v>
      </c>
      <c r="O4499">
        <v>1</v>
      </c>
      <c r="P4499">
        <v>0</v>
      </c>
      <c r="Q4499">
        <v>0</v>
      </c>
      <c r="R4499" t="s">
        <v>114</v>
      </c>
      <c r="S4499" t="str">
        <f>"19:51:44.852"</f>
        <v>19:51:44.852</v>
      </c>
      <c r="T4499" t="str">
        <f>"19:51:44.852"</f>
        <v>19:51:44.852</v>
      </c>
      <c r="U4499" t="str">
        <f t="shared" si="214"/>
        <v>a1cdbe</v>
      </c>
      <c r="V4499">
        <v>0</v>
      </c>
      <c r="W4499">
        <v>0</v>
      </c>
      <c r="X4499">
        <v>2</v>
      </c>
      <c r="Y4499">
        <v>0</v>
      </c>
      <c r="Z4499">
        <v>0</v>
      </c>
      <c r="AB4499">
        <v>0</v>
      </c>
      <c r="AC4499">
        <v>9</v>
      </c>
      <c r="AD4499">
        <v>3</v>
      </c>
      <c r="AE4499">
        <v>0</v>
      </c>
      <c r="AF4499">
        <v>9</v>
      </c>
      <c r="AG4499" t="s">
        <v>115</v>
      </c>
      <c r="AH4499">
        <v>0</v>
      </c>
      <c r="AI4499">
        <v>0</v>
      </c>
      <c r="AJ4499">
        <v>1</v>
      </c>
      <c r="AK4499">
        <v>0</v>
      </c>
      <c r="AL4499" t="s">
        <v>8085</v>
      </c>
      <c r="AM4499">
        <v>47.059120999999998</v>
      </c>
      <c r="AN4499" t="s">
        <v>8086</v>
      </c>
      <c r="AO4499">
        <v>-124.080405</v>
      </c>
      <c r="AP4499">
        <v>100</v>
      </c>
      <c r="AQ4499">
        <v>900</v>
      </c>
      <c r="AR4499" t="s">
        <v>118</v>
      </c>
      <c r="AS4499">
        <v>-78</v>
      </c>
      <c r="AT4499">
        <v>6</v>
      </c>
      <c r="AU4499">
        <v>256</v>
      </c>
      <c r="BC4499">
        <v>1200</v>
      </c>
      <c r="BD4499">
        <v>1</v>
      </c>
      <c r="BE4499" t="str">
        <f t="shared" si="215"/>
        <v xml:space="preserve">N215T   </v>
      </c>
      <c r="BF4499">
        <v>1</v>
      </c>
      <c r="BH4499">
        <v>0</v>
      </c>
      <c r="BI4499">
        <v>0</v>
      </c>
      <c r="BJ4499">
        <v>0</v>
      </c>
      <c r="BK4499">
        <v>1275</v>
      </c>
      <c r="BL4499">
        <v>375</v>
      </c>
      <c r="BM4499" t="s">
        <v>119</v>
      </c>
      <c r="BN4499">
        <v>1</v>
      </c>
      <c r="BO4499">
        <v>1</v>
      </c>
      <c r="BP4499">
        <v>1</v>
      </c>
      <c r="BQ4499">
        <v>0</v>
      </c>
      <c r="BT4499">
        <v>0</v>
      </c>
      <c r="BU4499">
        <v>0</v>
      </c>
      <c r="BV4499">
        <v>0</v>
      </c>
      <c r="CC4499" t="str">
        <f>"19:51:44.859"</f>
        <v>19:51:44.859</v>
      </c>
      <c r="CD4499" t="str">
        <f>"858421787"</f>
        <v>858421787</v>
      </c>
      <c r="CQ4499">
        <v>0</v>
      </c>
      <c r="CR4499">
        <v>2</v>
      </c>
      <c r="CS4499">
        <v>0</v>
      </c>
      <c r="CT4499">
        <v>2</v>
      </c>
      <c r="CU4499">
        <v>0</v>
      </c>
      <c r="CV4499">
        <v>3</v>
      </c>
      <c r="CW4499" t="s">
        <v>120</v>
      </c>
      <c r="CX4499">
        <v>257</v>
      </c>
      <c r="CY4499">
        <v>0</v>
      </c>
      <c r="CZ4499" t="s">
        <v>615</v>
      </c>
      <c r="DA4499" t="s">
        <v>616</v>
      </c>
      <c r="DD4499">
        <v>52406</v>
      </c>
      <c r="DE4499" t="s">
        <v>123</v>
      </c>
    </row>
    <row r="4500" spans="1:109" x14ac:dyDescent="0.3">
      <c r="A4500" t="str">
        <f>"19:51:46.156"</f>
        <v>19:51:46.156</v>
      </c>
      <c r="B4500" t="s">
        <v>110</v>
      </c>
      <c r="C4500" t="str">
        <f t="shared" si="213"/>
        <v>ffdfd3c0</v>
      </c>
      <c r="D4500" t="s">
        <v>111</v>
      </c>
      <c r="E4500">
        <v>18</v>
      </c>
      <c r="F4500">
        <v>1018</v>
      </c>
      <c r="G4500" t="s">
        <v>112</v>
      </c>
      <c r="J4500" t="s">
        <v>113</v>
      </c>
      <c r="K4500">
        <v>0</v>
      </c>
      <c r="L4500">
        <v>3</v>
      </c>
      <c r="M4500">
        <v>0</v>
      </c>
      <c r="N4500">
        <v>2</v>
      </c>
      <c r="O4500">
        <v>1</v>
      </c>
      <c r="P4500">
        <v>0</v>
      </c>
      <c r="Q4500">
        <v>0</v>
      </c>
      <c r="R4500" t="s">
        <v>114</v>
      </c>
      <c r="S4500" t="str">
        <f>"19:51:45.891"</f>
        <v>19:51:45.891</v>
      </c>
      <c r="T4500" t="str">
        <f>"19:51:45.492"</f>
        <v>19:51:45.492</v>
      </c>
      <c r="U4500" t="str">
        <f t="shared" si="214"/>
        <v>a1cdbe</v>
      </c>
      <c r="V4500">
        <v>0</v>
      </c>
      <c r="W4500">
        <v>0</v>
      </c>
      <c r="X4500">
        <v>2</v>
      </c>
      <c r="Y4500">
        <v>0</v>
      </c>
      <c r="Z4500">
        <v>0</v>
      </c>
      <c r="AB4500">
        <v>0</v>
      </c>
      <c r="AC4500">
        <v>9</v>
      </c>
      <c r="AD4500">
        <v>3</v>
      </c>
      <c r="AE4500">
        <v>0</v>
      </c>
      <c r="AF4500">
        <v>9</v>
      </c>
      <c r="AG4500" t="s">
        <v>115</v>
      </c>
      <c r="AH4500">
        <v>0</v>
      </c>
      <c r="AI4500">
        <v>0</v>
      </c>
      <c r="AJ4500">
        <v>1</v>
      </c>
      <c r="AK4500">
        <v>0</v>
      </c>
      <c r="AL4500" t="s">
        <v>7649</v>
      </c>
      <c r="AM4500">
        <v>47.059142999999999</v>
      </c>
      <c r="AN4500" t="s">
        <v>8087</v>
      </c>
      <c r="AO4500">
        <v>-124.081006</v>
      </c>
      <c r="AP4500">
        <v>100</v>
      </c>
      <c r="AQ4500">
        <v>900</v>
      </c>
      <c r="AR4500" t="s">
        <v>118</v>
      </c>
      <c r="AS4500">
        <v>-78</v>
      </c>
      <c r="AT4500">
        <v>6</v>
      </c>
      <c r="AU4500">
        <v>192</v>
      </c>
      <c r="BC4500">
        <v>1200</v>
      </c>
      <c r="BD4500">
        <v>1</v>
      </c>
      <c r="BE4500" t="str">
        <f t="shared" si="215"/>
        <v xml:space="preserve">N215T   </v>
      </c>
      <c r="BF4500">
        <v>1</v>
      </c>
      <c r="BH4500">
        <v>0</v>
      </c>
      <c r="BI4500">
        <v>0</v>
      </c>
      <c r="BJ4500">
        <v>0</v>
      </c>
      <c r="BK4500">
        <v>1275</v>
      </c>
      <c r="BL4500">
        <v>375</v>
      </c>
      <c r="BM4500" t="s">
        <v>119</v>
      </c>
      <c r="BN4500">
        <v>1</v>
      </c>
      <c r="BO4500">
        <v>1</v>
      </c>
      <c r="BP4500">
        <v>1</v>
      </c>
      <c r="BQ4500">
        <v>0</v>
      </c>
      <c r="BT4500">
        <v>0</v>
      </c>
      <c r="BU4500">
        <v>0</v>
      </c>
      <c r="BV4500">
        <v>0</v>
      </c>
      <c r="CC4500" t="str">
        <f>"19:51:45.891"</f>
        <v>19:51:45.891</v>
      </c>
      <c r="CD4500" t="str">
        <f>"893319790"</f>
        <v>893319790</v>
      </c>
      <c r="CQ4500">
        <v>0</v>
      </c>
      <c r="CR4500">
        <v>2</v>
      </c>
      <c r="CS4500">
        <v>0</v>
      </c>
      <c r="CT4500">
        <v>2</v>
      </c>
      <c r="CU4500">
        <v>0</v>
      </c>
      <c r="CV4500">
        <v>3</v>
      </c>
      <c r="CW4500" t="s">
        <v>120</v>
      </c>
      <c r="CX4500">
        <v>257</v>
      </c>
      <c r="CY4500">
        <v>0</v>
      </c>
      <c r="CZ4500" t="s">
        <v>615</v>
      </c>
      <c r="DA4500" t="s">
        <v>616</v>
      </c>
      <c r="DD4500">
        <v>52726</v>
      </c>
      <c r="DE4500" t="s">
        <v>123</v>
      </c>
    </row>
    <row r="4501" spans="1:109" x14ac:dyDescent="0.3">
      <c r="A4501" t="str">
        <f>"19:51:47.016"</f>
        <v>19:51:47.016</v>
      </c>
      <c r="B4501" t="s">
        <v>110</v>
      </c>
      <c r="C4501" t="str">
        <f t="shared" ref="C4501:C4518" si="216">"ffdfd3c0"</f>
        <v>ffdfd3c0</v>
      </c>
      <c r="D4501" t="s">
        <v>111</v>
      </c>
      <c r="E4501">
        <v>18</v>
      </c>
      <c r="F4501">
        <v>1018</v>
      </c>
      <c r="G4501" t="s">
        <v>112</v>
      </c>
      <c r="J4501" t="s">
        <v>113</v>
      </c>
      <c r="K4501">
        <v>0</v>
      </c>
      <c r="L4501">
        <v>3</v>
      </c>
      <c r="M4501">
        <v>0</v>
      </c>
      <c r="N4501">
        <v>2</v>
      </c>
      <c r="O4501">
        <v>1</v>
      </c>
      <c r="P4501">
        <v>0</v>
      </c>
      <c r="Q4501">
        <v>0</v>
      </c>
      <c r="R4501" t="s">
        <v>114</v>
      </c>
      <c r="S4501" t="str">
        <f>"19:51:46.758"</f>
        <v>19:51:46.758</v>
      </c>
      <c r="T4501" t="str">
        <f>"19:51:45.461"</f>
        <v>19:51:45.461</v>
      </c>
      <c r="U4501" t="str">
        <f t="shared" si="214"/>
        <v>a1cdbe</v>
      </c>
      <c r="V4501">
        <v>0</v>
      </c>
      <c r="W4501">
        <v>0</v>
      </c>
      <c r="X4501">
        <v>2</v>
      </c>
      <c r="Y4501">
        <v>0</v>
      </c>
      <c r="Z4501">
        <v>0</v>
      </c>
      <c r="AB4501">
        <v>0</v>
      </c>
      <c r="AC4501">
        <v>9</v>
      </c>
      <c r="AD4501">
        <v>3</v>
      </c>
      <c r="AE4501">
        <v>0</v>
      </c>
      <c r="AF4501">
        <v>9</v>
      </c>
      <c r="AG4501" t="s">
        <v>115</v>
      </c>
      <c r="AH4501">
        <v>0</v>
      </c>
      <c r="AI4501">
        <v>0</v>
      </c>
      <c r="AJ4501">
        <v>1</v>
      </c>
      <c r="AK4501">
        <v>0</v>
      </c>
      <c r="AL4501" t="s">
        <v>7994</v>
      </c>
      <c r="AM4501">
        <v>47.059164000000003</v>
      </c>
      <c r="AN4501" t="s">
        <v>8088</v>
      </c>
      <c r="AO4501">
        <v>-124.081435</v>
      </c>
      <c r="AP4501">
        <v>100</v>
      </c>
      <c r="AQ4501">
        <v>900</v>
      </c>
      <c r="AR4501" t="s">
        <v>118</v>
      </c>
      <c r="AS4501">
        <v>-78</v>
      </c>
      <c r="AT4501">
        <v>6</v>
      </c>
      <c r="AU4501">
        <v>192</v>
      </c>
      <c r="BC4501">
        <v>1200</v>
      </c>
      <c r="BD4501">
        <v>1</v>
      </c>
      <c r="BE4501" t="str">
        <f t="shared" si="215"/>
        <v xml:space="preserve">N215T   </v>
      </c>
      <c r="BF4501">
        <v>1</v>
      </c>
      <c r="BH4501">
        <v>0</v>
      </c>
      <c r="BI4501">
        <v>0</v>
      </c>
      <c r="BJ4501">
        <v>0</v>
      </c>
      <c r="BK4501">
        <v>1275</v>
      </c>
      <c r="BL4501">
        <v>375</v>
      </c>
      <c r="BM4501" t="s">
        <v>119</v>
      </c>
      <c r="BN4501">
        <v>1</v>
      </c>
      <c r="BO4501">
        <v>1</v>
      </c>
      <c r="BP4501">
        <v>1</v>
      </c>
      <c r="BQ4501">
        <v>0</v>
      </c>
      <c r="BT4501">
        <v>0</v>
      </c>
      <c r="BU4501">
        <v>0</v>
      </c>
      <c r="BV4501">
        <v>0</v>
      </c>
      <c r="CC4501" t="str">
        <f>"19:51:46.766"</f>
        <v>19:51:46.766</v>
      </c>
      <c r="CD4501" t="str">
        <f>"763234129"</f>
        <v>763234129</v>
      </c>
      <c r="CQ4501">
        <v>0</v>
      </c>
      <c r="CR4501">
        <v>2</v>
      </c>
      <c r="CS4501">
        <v>0</v>
      </c>
      <c r="CT4501">
        <v>2</v>
      </c>
      <c r="CU4501">
        <v>0</v>
      </c>
      <c r="CV4501">
        <v>3</v>
      </c>
      <c r="CW4501" t="s">
        <v>120</v>
      </c>
      <c r="CX4501">
        <v>257</v>
      </c>
      <c r="CY4501">
        <v>0</v>
      </c>
      <c r="CZ4501" t="s">
        <v>615</v>
      </c>
      <c r="DA4501" t="s">
        <v>616</v>
      </c>
      <c r="DD4501">
        <v>53018</v>
      </c>
      <c r="DE4501" t="s">
        <v>123</v>
      </c>
    </row>
    <row r="4502" spans="1:109" x14ac:dyDescent="0.3">
      <c r="A4502" t="str">
        <f>"19:51:47.867"</f>
        <v>19:51:47.867</v>
      </c>
      <c r="B4502" t="s">
        <v>110</v>
      </c>
      <c r="C4502" t="str">
        <f t="shared" si="216"/>
        <v>ffdfd3c0</v>
      </c>
      <c r="D4502" t="s">
        <v>111</v>
      </c>
      <c r="E4502">
        <v>18</v>
      </c>
      <c r="F4502">
        <v>1018</v>
      </c>
      <c r="G4502" t="s">
        <v>112</v>
      </c>
      <c r="J4502" t="s">
        <v>113</v>
      </c>
      <c r="K4502">
        <v>0</v>
      </c>
      <c r="L4502">
        <v>3</v>
      </c>
      <c r="M4502">
        <v>0</v>
      </c>
      <c r="N4502">
        <v>2</v>
      </c>
      <c r="O4502">
        <v>1</v>
      </c>
      <c r="P4502">
        <v>0</v>
      </c>
      <c r="Q4502">
        <v>0</v>
      </c>
      <c r="R4502" t="s">
        <v>114</v>
      </c>
      <c r="S4502" t="str">
        <f>"19:51:47.633"</f>
        <v>19:51:47.633</v>
      </c>
      <c r="T4502" t="str">
        <f>"19:51:47.430"</f>
        <v>19:51:47.430</v>
      </c>
      <c r="U4502" t="str">
        <f t="shared" si="214"/>
        <v>a1cdbe</v>
      </c>
      <c r="V4502">
        <v>0</v>
      </c>
      <c r="W4502">
        <v>0</v>
      </c>
      <c r="X4502">
        <v>2</v>
      </c>
      <c r="Y4502">
        <v>0</v>
      </c>
      <c r="Z4502">
        <v>0</v>
      </c>
      <c r="AB4502">
        <v>0</v>
      </c>
      <c r="AC4502">
        <v>9</v>
      </c>
      <c r="AD4502">
        <v>3</v>
      </c>
      <c r="AE4502">
        <v>0</v>
      </c>
      <c r="AF4502">
        <v>9</v>
      </c>
      <c r="AG4502" t="s">
        <v>115</v>
      </c>
      <c r="AH4502">
        <v>0</v>
      </c>
      <c r="AI4502">
        <v>0</v>
      </c>
      <c r="AJ4502">
        <v>1</v>
      </c>
      <c r="AK4502">
        <v>0</v>
      </c>
      <c r="AL4502" t="s">
        <v>7994</v>
      </c>
      <c r="AM4502">
        <v>47.059164000000003</v>
      </c>
      <c r="AN4502" t="s">
        <v>8089</v>
      </c>
      <c r="AO4502">
        <v>-124.081929</v>
      </c>
      <c r="AP4502">
        <v>100</v>
      </c>
      <c r="AQ4502">
        <v>900</v>
      </c>
      <c r="AR4502" t="s">
        <v>118</v>
      </c>
      <c r="AS4502">
        <v>-78</v>
      </c>
      <c r="AT4502">
        <v>5</v>
      </c>
      <c r="AU4502">
        <v>128</v>
      </c>
      <c r="BC4502">
        <v>1200</v>
      </c>
      <c r="BD4502">
        <v>1</v>
      </c>
      <c r="BE4502" t="str">
        <f t="shared" si="215"/>
        <v xml:space="preserve">N215T   </v>
      </c>
      <c r="BF4502">
        <v>1</v>
      </c>
      <c r="BH4502">
        <v>0</v>
      </c>
      <c r="BI4502">
        <v>0</v>
      </c>
      <c r="BJ4502">
        <v>0</v>
      </c>
      <c r="BK4502">
        <v>1300</v>
      </c>
      <c r="BL4502">
        <v>400</v>
      </c>
      <c r="BM4502" t="s">
        <v>119</v>
      </c>
      <c r="BN4502">
        <v>1</v>
      </c>
      <c r="BO4502">
        <v>1</v>
      </c>
      <c r="BP4502">
        <v>1</v>
      </c>
      <c r="BQ4502">
        <v>0</v>
      </c>
      <c r="BT4502">
        <v>0</v>
      </c>
      <c r="BU4502">
        <v>0</v>
      </c>
      <c r="BV4502">
        <v>0</v>
      </c>
      <c r="CC4502" t="str">
        <f>"19:51:47.633"</f>
        <v>19:51:47.633</v>
      </c>
      <c r="CD4502" t="str">
        <f>"633148443"</f>
        <v>633148443</v>
      </c>
      <c r="CQ4502">
        <v>0</v>
      </c>
      <c r="CR4502">
        <v>2</v>
      </c>
      <c r="CS4502">
        <v>0</v>
      </c>
      <c r="CT4502">
        <v>2</v>
      </c>
      <c r="CU4502">
        <v>0</v>
      </c>
      <c r="CV4502">
        <v>3</v>
      </c>
      <c r="CW4502" t="s">
        <v>120</v>
      </c>
      <c r="CX4502">
        <v>257</v>
      </c>
      <c r="CY4502">
        <v>0</v>
      </c>
      <c r="CZ4502" t="s">
        <v>615</v>
      </c>
      <c r="DA4502" t="s">
        <v>616</v>
      </c>
      <c r="DD4502">
        <v>53293</v>
      </c>
      <c r="DE4502" t="s">
        <v>123</v>
      </c>
    </row>
    <row r="4503" spans="1:109" x14ac:dyDescent="0.3">
      <c r="A4503" t="str">
        <f>"19:51:48.922"</f>
        <v>19:51:48.922</v>
      </c>
      <c r="B4503" t="s">
        <v>110</v>
      </c>
      <c r="C4503" t="str">
        <f t="shared" si="216"/>
        <v>ffdfd3c0</v>
      </c>
      <c r="D4503" t="s">
        <v>111</v>
      </c>
      <c r="E4503">
        <v>18</v>
      </c>
      <c r="F4503">
        <v>1018</v>
      </c>
      <c r="G4503" t="s">
        <v>112</v>
      </c>
      <c r="J4503" t="s">
        <v>113</v>
      </c>
      <c r="K4503">
        <v>0</v>
      </c>
      <c r="L4503">
        <v>3</v>
      </c>
      <c r="M4503">
        <v>0</v>
      </c>
      <c r="N4503">
        <v>2</v>
      </c>
      <c r="O4503">
        <v>1</v>
      </c>
      <c r="P4503">
        <v>0</v>
      </c>
      <c r="Q4503">
        <v>0</v>
      </c>
      <c r="R4503" t="s">
        <v>114</v>
      </c>
      <c r="S4503" t="str">
        <f>"19:51:48.695"</f>
        <v>19:51:48.695</v>
      </c>
      <c r="T4503" t="str">
        <f>"19:51:48.492"</f>
        <v>19:51:48.492</v>
      </c>
      <c r="U4503" t="str">
        <f t="shared" si="214"/>
        <v>a1cdbe</v>
      </c>
      <c r="V4503">
        <v>0</v>
      </c>
      <c r="W4503">
        <v>0</v>
      </c>
      <c r="X4503">
        <v>2</v>
      </c>
      <c r="Y4503">
        <v>0</v>
      </c>
      <c r="Z4503">
        <v>0</v>
      </c>
      <c r="AB4503">
        <v>0</v>
      </c>
      <c r="AC4503">
        <v>9</v>
      </c>
      <c r="AD4503">
        <v>3</v>
      </c>
      <c r="AE4503">
        <v>0</v>
      </c>
      <c r="AF4503">
        <v>9</v>
      </c>
      <c r="AG4503" t="s">
        <v>115</v>
      </c>
      <c r="AH4503">
        <v>0</v>
      </c>
      <c r="AI4503">
        <v>0</v>
      </c>
      <c r="AJ4503">
        <v>1</v>
      </c>
      <c r="AK4503">
        <v>0</v>
      </c>
      <c r="AL4503" t="s">
        <v>7992</v>
      </c>
      <c r="AM4503">
        <v>47.059185999999997</v>
      </c>
      <c r="AN4503" t="s">
        <v>8090</v>
      </c>
      <c r="AO4503">
        <v>-124.082487</v>
      </c>
      <c r="AP4503">
        <v>100</v>
      </c>
      <c r="AQ4503">
        <v>900</v>
      </c>
      <c r="AR4503" t="s">
        <v>118</v>
      </c>
      <c r="AS4503">
        <v>-78</v>
      </c>
      <c r="AT4503">
        <v>5</v>
      </c>
      <c r="AU4503">
        <v>64</v>
      </c>
      <c r="BC4503">
        <v>1200</v>
      </c>
      <c r="BD4503">
        <v>1</v>
      </c>
      <c r="BE4503" t="str">
        <f t="shared" si="215"/>
        <v xml:space="preserve">N215T   </v>
      </c>
      <c r="BF4503">
        <v>1</v>
      </c>
      <c r="BH4503">
        <v>0</v>
      </c>
      <c r="BI4503">
        <v>0</v>
      </c>
      <c r="BJ4503">
        <v>0</v>
      </c>
      <c r="BK4503">
        <v>1300</v>
      </c>
      <c r="BL4503">
        <v>400</v>
      </c>
      <c r="BM4503" t="s">
        <v>119</v>
      </c>
      <c r="BN4503">
        <v>1</v>
      </c>
      <c r="BO4503">
        <v>1</v>
      </c>
      <c r="BP4503">
        <v>1</v>
      </c>
      <c r="BQ4503">
        <v>0</v>
      </c>
      <c r="BT4503">
        <v>0</v>
      </c>
      <c r="BU4503">
        <v>0</v>
      </c>
      <c r="BV4503">
        <v>0</v>
      </c>
      <c r="CC4503" t="str">
        <f>"19:51:48.695"</f>
        <v>19:51:48.695</v>
      </c>
      <c r="CD4503" t="str">
        <f>"698043560"</f>
        <v>698043560</v>
      </c>
      <c r="CQ4503">
        <v>0</v>
      </c>
      <c r="CR4503">
        <v>2</v>
      </c>
      <c r="CS4503">
        <v>0</v>
      </c>
      <c r="CT4503">
        <v>2</v>
      </c>
      <c r="CU4503">
        <v>0</v>
      </c>
      <c r="CV4503">
        <v>3</v>
      </c>
      <c r="CW4503" t="s">
        <v>120</v>
      </c>
      <c r="CX4503">
        <v>257</v>
      </c>
      <c r="CY4503">
        <v>0</v>
      </c>
      <c r="CZ4503" t="s">
        <v>615</v>
      </c>
      <c r="DA4503" t="s">
        <v>616</v>
      </c>
      <c r="DD4503">
        <v>53640</v>
      </c>
      <c r="DE4503" t="s">
        <v>123</v>
      </c>
    </row>
    <row r="4504" spans="1:109" x14ac:dyDescent="0.3">
      <c r="A4504" t="str">
        <f>"19:51:50.031"</f>
        <v>19:51:50.031</v>
      </c>
      <c r="B4504" t="s">
        <v>110</v>
      </c>
      <c r="C4504" t="str">
        <f t="shared" si="216"/>
        <v>ffdfd3c0</v>
      </c>
      <c r="D4504" t="s">
        <v>111</v>
      </c>
      <c r="E4504">
        <v>18</v>
      </c>
      <c r="F4504">
        <v>1018</v>
      </c>
      <c r="G4504" t="s">
        <v>112</v>
      </c>
      <c r="J4504" t="s">
        <v>113</v>
      </c>
      <c r="K4504">
        <v>0</v>
      </c>
      <c r="L4504">
        <v>3</v>
      </c>
      <c r="M4504">
        <v>0</v>
      </c>
      <c r="N4504">
        <v>2</v>
      </c>
      <c r="O4504">
        <v>1</v>
      </c>
      <c r="P4504">
        <v>0</v>
      </c>
      <c r="Q4504">
        <v>0</v>
      </c>
      <c r="R4504" t="s">
        <v>114</v>
      </c>
      <c r="S4504" t="str">
        <f>"19:51:49.742"</f>
        <v>19:51:49.742</v>
      </c>
      <c r="T4504" t="str">
        <f>"19:51:49.641"</f>
        <v>19:51:49.641</v>
      </c>
      <c r="U4504" t="str">
        <f t="shared" si="214"/>
        <v>a1cdbe</v>
      </c>
      <c r="V4504">
        <v>0</v>
      </c>
      <c r="W4504">
        <v>0</v>
      </c>
      <c r="X4504">
        <v>2</v>
      </c>
      <c r="Y4504">
        <v>0</v>
      </c>
      <c r="Z4504">
        <v>0</v>
      </c>
      <c r="AB4504">
        <v>0</v>
      </c>
      <c r="AC4504">
        <v>9</v>
      </c>
      <c r="AD4504">
        <v>3</v>
      </c>
      <c r="AE4504">
        <v>0</v>
      </c>
      <c r="AF4504">
        <v>9</v>
      </c>
      <c r="AG4504" t="s">
        <v>115</v>
      </c>
      <c r="AH4504">
        <v>0</v>
      </c>
      <c r="AI4504">
        <v>0</v>
      </c>
      <c r="AJ4504">
        <v>1</v>
      </c>
      <c r="AK4504">
        <v>0</v>
      </c>
      <c r="AL4504" t="s">
        <v>514</v>
      </c>
      <c r="AM4504">
        <v>47.059207000000001</v>
      </c>
      <c r="AN4504" t="s">
        <v>8091</v>
      </c>
      <c r="AO4504">
        <v>-124.083023</v>
      </c>
      <c r="AP4504">
        <v>100</v>
      </c>
      <c r="AQ4504">
        <v>900</v>
      </c>
      <c r="AR4504" t="s">
        <v>118</v>
      </c>
      <c r="AS4504">
        <v>-77</v>
      </c>
      <c r="AT4504">
        <v>6</v>
      </c>
      <c r="AU4504">
        <v>-256</v>
      </c>
      <c r="BC4504">
        <v>1200</v>
      </c>
      <c r="BD4504">
        <v>1</v>
      </c>
      <c r="BE4504" t="str">
        <f t="shared" si="215"/>
        <v xml:space="preserve">N215T   </v>
      </c>
      <c r="BF4504">
        <v>1</v>
      </c>
      <c r="BH4504">
        <v>0</v>
      </c>
      <c r="BI4504">
        <v>0</v>
      </c>
      <c r="BJ4504">
        <v>0</v>
      </c>
      <c r="BK4504">
        <v>1300</v>
      </c>
      <c r="BL4504">
        <v>400</v>
      </c>
      <c r="BM4504" t="s">
        <v>119</v>
      </c>
      <c r="BN4504">
        <v>1</v>
      </c>
      <c r="BO4504">
        <v>1</v>
      </c>
      <c r="BP4504">
        <v>1</v>
      </c>
      <c r="BQ4504">
        <v>0</v>
      </c>
      <c r="BT4504">
        <v>0</v>
      </c>
      <c r="BU4504">
        <v>0</v>
      </c>
      <c r="BV4504">
        <v>0</v>
      </c>
      <c r="CC4504" t="str">
        <f>"19:51:49.750"</f>
        <v>19:51:49.750</v>
      </c>
      <c r="CD4504" t="str">
        <f>"747940086"</f>
        <v>747940086</v>
      </c>
      <c r="CQ4504">
        <v>0</v>
      </c>
      <c r="CR4504">
        <v>2</v>
      </c>
      <c r="CS4504">
        <v>0</v>
      </c>
      <c r="CT4504">
        <v>2</v>
      </c>
      <c r="CU4504">
        <v>0</v>
      </c>
      <c r="CV4504">
        <v>2</v>
      </c>
      <c r="CW4504" t="s">
        <v>120</v>
      </c>
      <c r="CX4504">
        <v>257</v>
      </c>
      <c r="CY4504">
        <v>0</v>
      </c>
      <c r="CZ4504" t="s">
        <v>615</v>
      </c>
      <c r="DA4504" t="s">
        <v>616</v>
      </c>
      <c r="DD4504">
        <v>54016</v>
      </c>
      <c r="DE4504" t="s">
        <v>123</v>
      </c>
    </row>
    <row r="4505" spans="1:109" x14ac:dyDescent="0.3">
      <c r="A4505" t="str">
        <f>"19:51:50.984"</f>
        <v>19:51:50.984</v>
      </c>
      <c r="B4505" t="s">
        <v>110</v>
      </c>
      <c r="C4505" t="str">
        <f t="shared" si="216"/>
        <v>ffdfd3c0</v>
      </c>
      <c r="D4505" t="s">
        <v>111</v>
      </c>
      <c r="E4505">
        <v>18</v>
      </c>
      <c r="F4505">
        <v>1018</v>
      </c>
      <c r="G4505" t="s">
        <v>112</v>
      </c>
      <c r="J4505" t="s">
        <v>113</v>
      </c>
      <c r="K4505">
        <v>0</v>
      </c>
      <c r="L4505">
        <v>3</v>
      </c>
      <c r="M4505">
        <v>0</v>
      </c>
      <c r="N4505">
        <v>2</v>
      </c>
      <c r="O4505">
        <v>1</v>
      </c>
      <c r="P4505">
        <v>0</v>
      </c>
      <c r="Q4505">
        <v>0</v>
      </c>
      <c r="R4505" t="s">
        <v>114</v>
      </c>
      <c r="S4505" t="str">
        <f>"19:51:50.750"</f>
        <v>19:51:50.750</v>
      </c>
      <c r="T4505" t="str">
        <f>"19:51:50.547"</f>
        <v>19:51:50.547</v>
      </c>
      <c r="U4505" t="str">
        <f t="shared" si="214"/>
        <v>a1cdbe</v>
      </c>
      <c r="V4505">
        <v>0</v>
      </c>
      <c r="W4505">
        <v>0</v>
      </c>
      <c r="X4505">
        <v>2</v>
      </c>
      <c r="Y4505">
        <v>0</v>
      </c>
      <c r="Z4505">
        <v>0</v>
      </c>
      <c r="AB4505">
        <v>0</v>
      </c>
      <c r="AC4505">
        <v>9</v>
      </c>
      <c r="AD4505">
        <v>3</v>
      </c>
      <c r="AE4505">
        <v>0</v>
      </c>
      <c r="AF4505">
        <v>9</v>
      </c>
      <c r="AG4505" t="s">
        <v>115</v>
      </c>
      <c r="AH4505">
        <v>0</v>
      </c>
      <c r="AI4505">
        <v>0</v>
      </c>
      <c r="AJ4505">
        <v>1</v>
      </c>
      <c r="AK4505">
        <v>0</v>
      </c>
      <c r="AL4505" t="s">
        <v>7988</v>
      </c>
      <c r="AM4505">
        <v>47.059227999999997</v>
      </c>
      <c r="AN4505" t="s">
        <v>8092</v>
      </c>
      <c r="AO4505">
        <v>-124.083538</v>
      </c>
      <c r="AP4505">
        <v>100</v>
      </c>
      <c r="AQ4505">
        <v>900</v>
      </c>
      <c r="AR4505" t="s">
        <v>118</v>
      </c>
      <c r="AS4505">
        <v>-78</v>
      </c>
      <c r="AT4505">
        <v>5</v>
      </c>
      <c r="AU4505">
        <v>128</v>
      </c>
      <c r="BC4505">
        <v>1200</v>
      </c>
      <c r="BD4505">
        <v>1</v>
      </c>
      <c r="BE4505" t="str">
        <f t="shared" si="215"/>
        <v xml:space="preserve">N215T   </v>
      </c>
      <c r="BF4505">
        <v>1</v>
      </c>
      <c r="BH4505">
        <v>0</v>
      </c>
      <c r="BI4505">
        <v>0</v>
      </c>
      <c r="BJ4505">
        <v>0</v>
      </c>
      <c r="BK4505">
        <v>1300</v>
      </c>
      <c r="BL4505">
        <v>400</v>
      </c>
      <c r="BM4505" t="s">
        <v>119</v>
      </c>
      <c r="BN4505">
        <v>1</v>
      </c>
      <c r="BO4505">
        <v>1</v>
      </c>
      <c r="BP4505">
        <v>1</v>
      </c>
      <c r="BQ4505">
        <v>0</v>
      </c>
      <c r="BT4505">
        <v>0</v>
      </c>
      <c r="BU4505">
        <v>0</v>
      </c>
      <c r="BV4505">
        <v>0</v>
      </c>
      <c r="CC4505" t="str">
        <f>"19:51:50.750"</f>
        <v>19:51:50.750</v>
      </c>
      <c r="CD4505" t="str">
        <f>"752841105"</f>
        <v>752841105</v>
      </c>
      <c r="CQ4505">
        <v>0</v>
      </c>
      <c r="CR4505">
        <v>2</v>
      </c>
      <c r="CS4505">
        <v>0</v>
      </c>
      <c r="CT4505">
        <v>2</v>
      </c>
      <c r="CU4505">
        <v>0</v>
      </c>
      <c r="CV4505">
        <v>3</v>
      </c>
      <c r="CW4505" t="s">
        <v>120</v>
      </c>
      <c r="CX4505">
        <v>257</v>
      </c>
      <c r="CY4505">
        <v>0</v>
      </c>
      <c r="CZ4505" t="s">
        <v>615</v>
      </c>
      <c r="DA4505" t="s">
        <v>616</v>
      </c>
      <c r="DD4505">
        <v>54330</v>
      </c>
      <c r="DE4505" t="s">
        <v>123</v>
      </c>
    </row>
    <row r="4506" spans="1:109" x14ac:dyDescent="0.3">
      <c r="A4506" t="str">
        <f>"19:51:52.141"</f>
        <v>19:51:52.141</v>
      </c>
      <c r="B4506" t="s">
        <v>110</v>
      </c>
      <c r="C4506" t="str">
        <f t="shared" si="216"/>
        <v>ffdfd3c0</v>
      </c>
      <c r="D4506" t="s">
        <v>111</v>
      </c>
      <c r="E4506">
        <v>18</v>
      </c>
      <c r="F4506">
        <v>1018</v>
      </c>
      <c r="G4506" t="s">
        <v>112</v>
      </c>
      <c r="J4506" t="s">
        <v>113</v>
      </c>
      <c r="K4506">
        <v>0</v>
      </c>
      <c r="L4506">
        <v>3</v>
      </c>
      <c r="M4506">
        <v>0</v>
      </c>
      <c r="N4506">
        <v>2</v>
      </c>
      <c r="O4506">
        <v>1</v>
      </c>
      <c r="P4506">
        <v>0</v>
      </c>
      <c r="Q4506">
        <v>0</v>
      </c>
      <c r="R4506" t="s">
        <v>114</v>
      </c>
      <c r="S4506" t="str">
        <f>"19:51:51.891"</f>
        <v>19:51:51.891</v>
      </c>
      <c r="T4506" t="str">
        <f>"19:51:51.391"</f>
        <v>19:51:51.391</v>
      </c>
      <c r="U4506" t="str">
        <f t="shared" si="214"/>
        <v>a1cdbe</v>
      </c>
      <c r="V4506">
        <v>0</v>
      </c>
      <c r="W4506">
        <v>0</v>
      </c>
      <c r="X4506">
        <v>2</v>
      </c>
      <c r="Y4506">
        <v>0</v>
      </c>
      <c r="Z4506">
        <v>0</v>
      </c>
      <c r="AB4506">
        <v>0</v>
      </c>
      <c r="AC4506">
        <v>9</v>
      </c>
      <c r="AD4506">
        <v>3</v>
      </c>
      <c r="AE4506">
        <v>0</v>
      </c>
      <c r="AF4506">
        <v>9</v>
      </c>
      <c r="AG4506" t="s">
        <v>115</v>
      </c>
      <c r="AH4506">
        <v>0</v>
      </c>
      <c r="AI4506">
        <v>0</v>
      </c>
      <c r="AJ4506">
        <v>1</v>
      </c>
      <c r="AK4506">
        <v>0</v>
      </c>
      <c r="AL4506" t="s">
        <v>7674</v>
      </c>
      <c r="AM4506">
        <v>47.059292999999997</v>
      </c>
      <c r="AN4506" t="s">
        <v>8093</v>
      </c>
      <c r="AO4506">
        <v>-124.08416</v>
      </c>
      <c r="AP4506">
        <v>100</v>
      </c>
      <c r="AQ4506">
        <v>900</v>
      </c>
      <c r="AR4506" t="s">
        <v>118</v>
      </c>
      <c r="AS4506">
        <v>-78</v>
      </c>
      <c r="AT4506">
        <v>5</v>
      </c>
      <c r="AU4506">
        <v>384</v>
      </c>
      <c r="BC4506">
        <v>1200</v>
      </c>
      <c r="BD4506">
        <v>1</v>
      </c>
      <c r="BE4506" t="str">
        <f t="shared" si="215"/>
        <v xml:space="preserve">N215T   </v>
      </c>
      <c r="BF4506">
        <v>1</v>
      </c>
      <c r="BH4506">
        <v>0</v>
      </c>
      <c r="BI4506">
        <v>0</v>
      </c>
      <c r="BJ4506">
        <v>0</v>
      </c>
      <c r="BK4506">
        <v>1300</v>
      </c>
      <c r="BL4506">
        <v>400</v>
      </c>
      <c r="BM4506" t="s">
        <v>119</v>
      </c>
      <c r="BN4506">
        <v>1</v>
      </c>
      <c r="BO4506">
        <v>1</v>
      </c>
      <c r="BP4506">
        <v>1</v>
      </c>
      <c r="BQ4506">
        <v>0</v>
      </c>
      <c r="BT4506">
        <v>0</v>
      </c>
      <c r="BU4506">
        <v>0</v>
      </c>
      <c r="BV4506">
        <v>0</v>
      </c>
      <c r="CC4506" t="str">
        <f>"19:51:51.891"</f>
        <v>19:51:51.891</v>
      </c>
      <c r="CD4506" t="str">
        <f>"892728859"</f>
        <v>892728859</v>
      </c>
      <c r="CQ4506">
        <v>0</v>
      </c>
      <c r="CR4506">
        <v>2</v>
      </c>
      <c r="CS4506">
        <v>0</v>
      </c>
      <c r="CT4506">
        <v>2</v>
      </c>
      <c r="CU4506">
        <v>0</v>
      </c>
      <c r="CV4506">
        <v>2</v>
      </c>
      <c r="CW4506" t="s">
        <v>120</v>
      </c>
      <c r="CX4506">
        <v>257</v>
      </c>
      <c r="CY4506">
        <v>0</v>
      </c>
      <c r="CZ4506" t="s">
        <v>615</v>
      </c>
      <c r="DA4506" t="s">
        <v>616</v>
      </c>
      <c r="DD4506">
        <v>54716</v>
      </c>
      <c r="DE4506" t="s">
        <v>123</v>
      </c>
    </row>
    <row r="4507" spans="1:109" x14ac:dyDescent="0.3">
      <c r="A4507" t="str">
        <f>"19:51:54.602"</f>
        <v>19:51:54.602</v>
      </c>
      <c r="B4507" t="s">
        <v>110</v>
      </c>
      <c r="C4507" t="str">
        <f t="shared" si="216"/>
        <v>ffdfd3c0</v>
      </c>
      <c r="D4507" t="s">
        <v>111</v>
      </c>
      <c r="E4507">
        <v>18</v>
      </c>
      <c r="F4507">
        <v>1018</v>
      </c>
      <c r="G4507" t="s">
        <v>112</v>
      </c>
      <c r="J4507" t="s">
        <v>113</v>
      </c>
      <c r="K4507">
        <v>0</v>
      </c>
      <c r="L4507">
        <v>3</v>
      </c>
      <c r="M4507">
        <v>0</v>
      </c>
      <c r="N4507">
        <v>2</v>
      </c>
      <c r="O4507">
        <v>1</v>
      </c>
      <c r="P4507">
        <v>0</v>
      </c>
      <c r="Q4507">
        <v>0</v>
      </c>
      <c r="R4507" t="s">
        <v>114</v>
      </c>
      <c r="S4507" t="str">
        <f>"19:51:54.320"</f>
        <v>19:51:54.320</v>
      </c>
      <c r="T4507" t="str">
        <f>"19:51:53.922"</f>
        <v>19:51:53.922</v>
      </c>
      <c r="U4507" t="str">
        <f t="shared" si="214"/>
        <v>a1cdbe</v>
      </c>
      <c r="V4507">
        <v>0</v>
      </c>
      <c r="W4507">
        <v>0</v>
      </c>
      <c r="X4507">
        <v>2</v>
      </c>
      <c r="Y4507">
        <v>0</v>
      </c>
      <c r="Z4507">
        <v>0</v>
      </c>
      <c r="AB4507">
        <v>0</v>
      </c>
      <c r="AC4507">
        <v>9</v>
      </c>
      <c r="AD4507">
        <v>3</v>
      </c>
      <c r="AE4507">
        <v>0</v>
      </c>
      <c r="AF4507">
        <v>9</v>
      </c>
      <c r="AG4507" t="s">
        <v>115</v>
      </c>
      <c r="AH4507">
        <v>0</v>
      </c>
      <c r="AI4507">
        <v>0</v>
      </c>
      <c r="AJ4507">
        <v>1</v>
      </c>
      <c r="AK4507">
        <v>0</v>
      </c>
      <c r="AL4507" t="s">
        <v>7839</v>
      </c>
      <c r="AM4507">
        <v>47.059379</v>
      </c>
      <c r="AN4507" t="s">
        <v>8094</v>
      </c>
      <c r="AO4507">
        <v>-124.085426</v>
      </c>
      <c r="AP4507">
        <v>100</v>
      </c>
      <c r="AQ4507">
        <v>900</v>
      </c>
      <c r="AR4507" t="s">
        <v>118</v>
      </c>
      <c r="AS4507">
        <v>-77</v>
      </c>
      <c r="AT4507">
        <v>9</v>
      </c>
      <c r="AU4507">
        <v>320</v>
      </c>
      <c r="BC4507">
        <v>1200</v>
      </c>
      <c r="BD4507">
        <v>1</v>
      </c>
      <c r="BE4507" t="str">
        <f t="shared" si="215"/>
        <v xml:space="preserve">N215T   </v>
      </c>
      <c r="BF4507">
        <v>1</v>
      </c>
      <c r="BH4507">
        <v>0</v>
      </c>
      <c r="BI4507">
        <v>0</v>
      </c>
      <c r="BJ4507">
        <v>0</v>
      </c>
      <c r="BK4507">
        <v>1300</v>
      </c>
      <c r="BL4507">
        <v>400</v>
      </c>
      <c r="BM4507" t="s">
        <v>119</v>
      </c>
      <c r="BN4507">
        <v>1</v>
      </c>
      <c r="BO4507">
        <v>1</v>
      </c>
      <c r="BP4507">
        <v>1</v>
      </c>
      <c r="BQ4507">
        <v>0</v>
      </c>
      <c r="BT4507">
        <v>0</v>
      </c>
      <c r="BU4507">
        <v>0</v>
      </c>
      <c r="BV4507">
        <v>0</v>
      </c>
      <c r="CC4507" t="str">
        <f>"19:51:54.320"</f>
        <v>19:51:54.320</v>
      </c>
      <c r="CD4507" t="str">
        <f>"322489524"</f>
        <v>322489524</v>
      </c>
      <c r="CQ4507">
        <v>0</v>
      </c>
      <c r="CR4507">
        <v>2</v>
      </c>
      <c r="CS4507">
        <v>0</v>
      </c>
      <c r="CT4507">
        <v>2</v>
      </c>
      <c r="CU4507">
        <v>0</v>
      </c>
      <c r="CV4507">
        <v>3</v>
      </c>
      <c r="CW4507" t="s">
        <v>120</v>
      </c>
      <c r="CX4507">
        <v>257</v>
      </c>
      <c r="CY4507">
        <v>0</v>
      </c>
      <c r="CZ4507" t="s">
        <v>615</v>
      </c>
      <c r="DA4507" t="s">
        <v>616</v>
      </c>
      <c r="DD4507">
        <v>55480</v>
      </c>
      <c r="DE4507" t="s">
        <v>123</v>
      </c>
    </row>
    <row r="4508" spans="1:109" x14ac:dyDescent="0.3">
      <c r="A4508" t="str">
        <f>"19:51:55.609"</f>
        <v>19:51:55.609</v>
      </c>
      <c r="B4508" t="s">
        <v>110</v>
      </c>
      <c r="C4508" t="str">
        <f t="shared" si="216"/>
        <v>ffdfd3c0</v>
      </c>
      <c r="D4508" t="s">
        <v>111</v>
      </c>
      <c r="E4508">
        <v>18</v>
      </c>
      <c r="F4508">
        <v>1018</v>
      </c>
      <c r="G4508" t="s">
        <v>112</v>
      </c>
      <c r="J4508" t="s">
        <v>113</v>
      </c>
      <c r="K4508">
        <v>0</v>
      </c>
      <c r="L4508">
        <v>3</v>
      </c>
      <c r="M4508">
        <v>0</v>
      </c>
      <c r="N4508">
        <v>2</v>
      </c>
      <c r="O4508">
        <v>1</v>
      </c>
      <c r="P4508">
        <v>0</v>
      </c>
      <c r="Q4508">
        <v>0</v>
      </c>
      <c r="R4508" t="s">
        <v>114</v>
      </c>
      <c r="S4508" t="str">
        <f>"19:51:55.383"</f>
        <v>19:51:55.383</v>
      </c>
      <c r="T4508" t="str">
        <f>"19:51:54.984"</f>
        <v>19:51:54.984</v>
      </c>
      <c r="U4508" t="str">
        <f t="shared" si="214"/>
        <v>a1cdbe</v>
      </c>
      <c r="V4508">
        <v>0</v>
      </c>
      <c r="W4508">
        <v>0</v>
      </c>
      <c r="X4508">
        <v>2</v>
      </c>
      <c r="Y4508">
        <v>0</v>
      </c>
      <c r="Z4508">
        <v>0</v>
      </c>
      <c r="AB4508">
        <v>0</v>
      </c>
      <c r="AC4508">
        <v>9</v>
      </c>
      <c r="AD4508">
        <v>3</v>
      </c>
      <c r="AE4508">
        <v>0</v>
      </c>
      <c r="AF4508">
        <v>9</v>
      </c>
      <c r="AG4508" t="s">
        <v>115</v>
      </c>
      <c r="AH4508">
        <v>0</v>
      </c>
      <c r="AI4508">
        <v>0</v>
      </c>
      <c r="AJ4508">
        <v>1</v>
      </c>
      <c r="AK4508">
        <v>0</v>
      </c>
      <c r="AL4508" t="s">
        <v>8095</v>
      </c>
      <c r="AM4508">
        <v>47.059421999999998</v>
      </c>
      <c r="AN4508" t="s">
        <v>8096</v>
      </c>
      <c r="AO4508">
        <v>-124.08592</v>
      </c>
      <c r="AP4508">
        <v>100</v>
      </c>
      <c r="AQ4508">
        <v>900</v>
      </c>
      <c r="AR4508" t="s">
        <v>118</v>
      </c>
      <c r="AS4508">
        <v>-76</v>
      </c>
      <c r="AT4508">
        <v>10</v>
      </c>
      <c r="AU4508">
        <v>64</v>
      </c>
      <c r="BC4508">
        <v>1200</v>
      </c>
      <c r="BD4508">
        <v>1</v>
      </c>
      <c r="BE4508" t="str">
        <f t="shared" si="215"/>
        <v xml:space="preserve">N215T   </v>
      </c>
      <c r="BF4508">
        <v>1</v>
      </c>
      <c r="BH4508">
        <v>0</v>
      </c>
      <c r="BI4508">
        <v>0</v>
      </c>
      <c r="BJ4508">
        <v>0</v>
      </c>
      <c r="BK4508">
        <v>1300</v>
      </c>
      <c r="BL4508">
        <v>400</v>
      </c>
      <c r="BM4508" t="s">
        <v>119</v>
      </c>
      <c r="BN4508">
        <v>1</v>
      </c>
      <c r="BO4508">
        <v>1</v>
      </c>
      <c r="BP4508">
        <v>1</v>
      </c>
      <c r="BQ4508">
        <v>0</v>
      </c>
      <c r="BT4508">
        <v>0</v>
      </c>
      <c r="BU4508">
        <v>0</v>
      </c>
      <c r="BV4508">
        <v>0</v>
      </c>
      <c r="CC4508" t="str">
        <f>"19:51:55.391"</f>
        <v>19:51:55.391</v>
      </c>
      <c r="CD4508" t="str">
        <f>"387384611"</f>
        <v>387384611</v>
      </c>
      <c r="CQ4508">
        <v>0</v>
      </c>
      <c r="CR4508">
        <v>2</v>
      </c>
      <c r="CS4508">
        <v>0</v>
      </c>
      <c r="CT4508">
        <v>2</v>
      </c>
      <c r="CU4508">
        <v>0</v>
      </c>
      <c r="CV4508">
        <v>2</v>
      </c>
      <c r="CW4508" t="s">
        <v>120</v>
      </c>
      <c r="CX4508">
        <v>257</v>
      </c>
      <c r="CY4508">
        <v>0</v>
      </c>
      <c r="CZ4508" t="s">
        <v>615</v>
      </c>
      <c r="DA4508" t="s">
        <v>616</v>
      </c>
      <c r="DD4508">
        <v>55806</v>
      </c>
      <c r="DE4508" t="s">
        <v>123</v>
      </c>
    </row>
    <row r="4509" spans="1:109" x14ac:dyDescent="0.3">
      <c r="A4509" t="str">
        <f>"19:51:57.766"</f>
        <v>19:51:57.766</v>
      </c>
      <c r="B4509" t="s">
        <v>110</v>
      </c>
      <c r="C4509" t="str">
        <f t="shared" si="216"/>
        <v>ffdfd3c0</v>
      </c>
      <c r="D4509" t="s">
        <v>111</v>
      </c>
      <c r="E4509">
        <v>18</v>
      </c>
      <c r="F4509">
        <v>1018</v>
      </c>
      <c r="G4509" t="s">
        <v>112</v>
      </c>
      <c r="J4509" t="s">
        <v>113</v>
      </c>
      <c r="K4509">
        <v>0</v>
      </c>
      <c r="L4509">
        <v>3</v>
      </c>
      <c r="M4509">
        <v>0</v>
      </c>
      <c r="N4509">
        <v>2</v>
      </c>
      <c r="O4509">
        <v>1</v>
      </c>
      <c r="P4509">
        <v>0</v>
      </c>
      <c r="Q4509">
        <v>0</v>
      </c>
      <c r="R4509" t="s">
        <v>114</v>
      </c>
      <c r="S4509" t="str">
        <f>"19:51:57.547"</f>
        <v>19:51:57.547</v>
      </c>
      <c r="T4509" t="str">
        <f>"19:51:57.547"</f>
        <v>19:51:57.547</v>
      </c>
      <c r="U4509" t="str">
        <f t="shared" si="214"/>
        <v>a1cdbe</v>
      </c>
      <c r="V4509">
        <v>0</v>
      </c>
      <c r="W4509">
        <v>0</v>
      </c>
      <c r="X4509">
        <v>2</v>
      </c>
      <c r="Y4509">
        <v>0</v>
      </c>
      <c r="Z4509">
        <v>0</v>
      </c>
      <c r="AB4509">
        <v>0</v>
      </c>
      <c r="AC4509">
        <v>9</v>
      </c>
      <c r="AD4509">
        <v>3</v>
      </c>
      <c r="AE4509">
        <v>0</v>
      </c>
      <c r="AF4509">
        <v>9</v>
      </c>
      <c r="AG4509" t="s">
        <v>1307</v>
      </c>
      <c r="AH4509">
        <v>0</v>
      </c>
      <c r="AI4509">
        <v>3</v>
      </c>
      <c r="AJ4509">
        <v>1</v>
      </c>
      <c r="AK4509">
        <v>0</v>
      </c>
      <c r="AL4509" t="s">
        <v>7675</v>
      </c>
      <c r="AM4509">
        <v>47.059528999999998</v>
      </c>
      <c r="AN4509" t="s">
        <v>8097</v>
      </c>
      <c r="AO4509">
        <v>-124.087079</v>
      </c>
      <c r="AP4509">
        <v>100</v>
      </c>
      <c r="AQ4509">
        <v>900</v>
      </c>
      <c r="AR4509" t="s">
        <v>118</v>
      </c>
      <c r="AS4509">
        <v>-75</v>
      </c>
      <c r="AT4509">
        <v>14</v>
      </c>
      <c r="AU4509">
        <v>0</v>
      </c>
      <c r="BC4509">
        <v>1200</v>
      </c>
      <c r="BD4509">
        <v>1</v>
      </c>
      <c r="BE4509" t="str">
        <f t="shared" si="215"/>
        <v xml:space="preserve">N215T   </v>
      </c>
      <c r="BF4509">
        <v>1</v>
      </c>
      <c r="BH4509">
        <v>0</v>
      </c>
      <c r="BI4509">
        <v>0</v>
      </c>
      <c r="BJ4509">
        <v>0</v>
      </c>
      <c r="BK4509">
        <v>1300</v>
      </c>
      <c r="BL4509">
        <v>400</v>
      </c>
      <c r="BM4509" t="s">
        <v>119</v>
      </c>
      <c r="BN4509">
        <v>1</v>
      </c>
      <c r="BO4509">
        <v>1</v>
      </c>
      <c r="BP4509">
        <v>1</v>
      </c>
      <c r="BQ4509">
        <v>0</v>
      </c>
      <c r="BT4509">
        <v>0</v>
      </c>
      <c r="BU4509">
        <v>0</v>
      </c>
      <c r="BV4509">
        <v>0</v>
      </c>
      <c r="CC4509" t="str">
        <f>"19:51:57.547"</f>
        <v>19:51:57.547</v>
      </c>
      <c r="CD4509" t="str">
        <f>"547171870"</f>
        <v>547171870</v>
      </c>
      <c r="CQ4509">
        <v>0</v>
      </c>
      <c r="CR4509">
        <v>2</v>
      </c>
      <c r="CS4509">
        <v>0</v>
      </c>
      <c r="CT4509">
        <v>2</v>
      </c>
      <c r="CU4509">
        <v>0</v>
      </c>
      <c r="CV4509">
        <v>2</v>
      </c>
      <c r="CW4509" t="s">
        <v>120</v>
      </c>
      <c r="CX4509">
        <v>257</v>
      </c>
      <c r="CY4509">
        <v>0</v>
      </c>
      <c r="CZ4509" t="s">
        <v>615</v>
      </c>
      <c r="DA4509" t="s">
        <v>616</v>
      </c>
      <c r="DD4509">
        <v>56527</v>
      </c>
      <c r="DE4509" t="s">
        <v>123</v>
      </c>
    </row>
    <row r="4510" spans="1:109" x14ac:dyDescent="0.3">
      <c r="A4510" t="str">
        <f>"19:52:00.781"</f>
        <v>19:52:00.781</v>
      </c>
      <c r="B4510" t="s">
        <v>110</v>
      </c>
      <c r="C4510" t="str">
        <f t="shared" si="216"/>
        <v>ffdfd3c0</v>
      </c>
      <c r="D4510" t="s">
        <v>111</v>
      </c>
      <c r="E4510">
        <v>18</v>
      </c>
      <c r="F4510">
        <v>1018</v>
      </c>
      <c r="G4510" t="s">
        <v>112</v>
      </c>
      <c r="J4510" t="s">
        <v>113</v>
      </c>
      <c r="K4510">
        <v>0</v>
      </c>
      <c r="L4510">
        <v>3</v>
      </c>
      <c r="M4510">
        <v>0</v>
      </c>
      <c r="N4510">
        <v>2</v>
      </c>
      <c r="O4510">
        <v>1</v>
      </c>
      <c r="P4510">
        <v>0</v>
      </c>
      <c r="Q4510">
        <v>0</v>
      </c>
      <c r="R4510" t="s">
        <v>114</v>
      </c>
      <c r="S4510" t="str">
        <f>"19:52:00.516"</f>
        <v>19:52:00.516</v>
      </c>
      <c r="T4510" t="str">
        <f>"19:52:00.516"</f>
        <v>19:52:00.516</v>
      </c>
      <c r="U4510" t="str">
        <f t="shared" si="214"/>
        <v>a1cdbe</v>
      </c>
      <c r="V4510">
        <v>0</v>
      </c>
      <c r="W4510">
        <v>0</v>
      </c>
      <c r="X4510">
        <v>2</v>
      </c>
      <c r="Y4510">
        <v>0</v>
      </c>
      <c r="Z4510">
        <v>0</v>
      </c>
      <c r="AB4510">
        <v>0</v>
      </c>
      <c r="AC4510">
        <v>9</v>
      </c>
      <c r="AD4510">
        <v>3</v>
      </c>
      <c r="AE4510">
        <v>0</v>
      </c>
      <c r="AF4510">
        <v>9</v>
      </c>
      <c r="AG4510" t="s">
        <v>1307</v>
      </c>
      <c r="AH4510">
        <v>0</v>
      </c>
      <c r="AI4510">
        <v>3</v>
      </c>
      <c r="AJ4510">
        <v>1</v>
      </c>
      <c r="AK4510">
        <v>0</v>
      </c>
      <c r="AL4510" t="s">
        <v>7677</v>
      </c>
      <c r="AM4510">
        <v>47.059742999999997</v>
      </c>
      <c r="AN4510" t="s">
        <v>8098</v>
      </c>
      <c r="AO4510">
        <v>-124.088581</v>
      </c>
      <c r="AP4510">
        <v>100</v>
      </c>
      <c r="AQ4510">
        <v>900</v>
      </c>
      <c r="AR4510" t="s">
        <v>118</v>
      </c>
      <c r="AS4510">
        <v>-74</v>
      </c>
      <c r="AT4510">
        <v>19</v>
      </c>
      <c r="AU4510">
        <v>-128</v>
      </c>
      <c r="BC4510">
        <v>1200</v>
      </c>
      <c r="BD4510">
        <v>1</v>
      </c>
      <c r="BE4510" t="str">
        <f t="shared" si="215"/>
        <v xml:space="preserve">N215T   </v>
      </c>
      <c r="BF4510">
        <v>1</v>
      </c>
      <c r="BH4510">
        <v>0</v>
      </c>
      <c r="BI4510">
        <v>0</v>
      </c>
      <c r="BJ4510">
        <v>0</v>
      </c>
      <c r="BK4510">
        <v>1300</v>
      </c>
      <c r="BL4510">
        <v>400</v>
      </c>
      <c r="BM4510" t="s">
        <v>119</v>
      </c>
      <c r="BN4510">
        <v>1</v>
      </c>
      <c r="BO4510">
        <v>1</v>
      </c>
      <c r="BP4510">
        <v>1</v>
      </c>
      <c r="BQ4510">
        <v>0</v>
      </c>
      <c r="BT4510">
        <v>0</v>
      </c>
      <c r="BU4510">
        <v>0</v>
      </c>
      <c r="BV4510">
        <v>0</v>
      </c>
      <c r="CC4510" t="str">
        <f>"19:52:00.516"</f>
        <v>19:52:00.516</v>
      </c>
      <c r="CD4510" t="str">
        <f>"516879371"</f>
        <v>516879371</v>
      </c>
      <c r="CQ4510">
        <v>0</v>
      </c>
      <c r="CR4510">
        <v>2</v>
      </c>
      <c r="CS4510">
        <v>0</v>
      </c>
      <c r="CT4510">
        <v>2</v>
      </c>
      <c r="CU4510">
        <v>0</v>
      </c>
      <c r="CV4510">
        <v>2</v>
      </c>
      <c r="CW4510" t="s">
        <v>120</v>
      </c>
      <c r="CX4510">
        <v>257</v>
      </c>
      <c r="CY4510">
        <v>0</v>
      </c>
      <c r="CZ4510" t="s">
        <v>615</v>
      </c>
      <c r="DA4510" t="s">
        <v>616</v>
      </c>
      <c r="DD4510">
        <v>57469</v>
      </c>
      <c r="DE4510" t="s">
        <v>123</v>
      </c>
    </row>
    <row r="4511" spans="1:109" x14ac:dyDescent="0.3">
      <c r="A4511" t="str">
        <f>"19:52:01.742"</f>
        <v>19:52:01.742</v>
      </c>
      <c r="B4511" t="s">
        <v>110</v>
      </c>
      <c r="C4511" t="str">
        <f t="shared" si="216"/>
        <v>ffdfd3c0</v>
      </c>
      <c r="D4511" t="s">
        <v>111</v>
      </c>
      <c r="E4511">
        <v>18</v>
      </c>
      <c r="F4511">
        <v>1018</v>
      </c>
      <c r="G4511" t="s">
        <v>112</v>
      </c>
      <c r="J4511" t="s">
        <v>113</v>
      </c>
      <c r="K4511">
        <v>0</v>
      </c>
      <c r="L4511">
        <v>3</v>
      </c>
      <c r="M4511">
        <v>0</v>
      </c>
      <c r="N4511">
        <v>2</v>
      </c>
      <c r="O4511">
        <v>1</v>
      </c>
      <c r="P4511">
        <v>0</v>
      </c>
      <c r="Q4511">
        <v>0</v>
      </c>
      <c r="R4511" t="s">
        <v>114</v>
      </c>
      <c r="S4511" t="str">
        <f>"19:52:01.477"</f>
        <v>19:52:01.477</v>
      </c>
      <c r="T4511" t="str">
        <f>"19:52:00.578"</f>
        <v>19:52:00.578</v>
      </c>
      <c r="U4511" t="str">
        <f t="shared" si="214"/>
        <v>a1cdbe</v>
      </c>
      <c r="V4511">
        <v>0</v>
      </c>
      <c r="W4511">
        <v>0</v>
      </c>
      <c r="X4511">
        <v>2</v>
      </c>
      <c r="Y4511">
        <v>0</v>
      </c>
      <c r="Z4511">
        <v>0</v>
      </c>
      <c r="AB4511">
        <v>0</v>
      </c>
      <c r="AC4511">
        <v>9</v>
      </c>
      <c r="AD4511">
        <v>3</v>
      </c>
      <c r="AE4511">
        <v>0</v>
      </c>
      <c r="AF4511">
        <v>9</v>
      </c>
      <c r="AG4511" t="s">
        <v>1307</v>
      </c>
      <c r="AH4511">
        <v>0</v>
      </c>
      <c r="AI4511">
        <v>3</v>
      </c>
      <c r="AJ4511">
        <v>1</v>
      </c>
      <c r="AK4511">
        <v>0</v>
      </c>
      <c r="AL4511" t="s">
        <v>7962</v>
      </c>
      <c r="AM4511">
        <v>47.059851000000002</v>
      </c>
      <c r="AN4511" t="s">
        <v>8099</v>
      </c>
      <c r="AO4511">
        <v>-124.08903100000001</v>
      </c>
      <c r="AP4511">
        <v>100</v>
      </c>
      <c r="AQ4511">
        <v>900</v>
      </c>
      <c r="AR4511" t="s">
        <v>118</v>
      </c>
      <c r="AS4511">
        <v>-74</v>
      </c>
      <c r="AT4511">
        <v>19</v>
      </c>
      <c r="AU4511">
        <v>-128</v>
      </c>
      <c r="BC4511">
        <v>1200</v>
      </c>
      <c r="BD4511">
        <v>1</v>
      </c>
      <c r="BE4511" t="str">
        <f t="shared" si="215"/>
        <v xml:space="preserve">N215T   </v>
      </c>
      <c r="BF4511">
        <v>1</v>
      </c>
      <c r="BH4511">
        <v>0</v>
      </c>
      <c r="BI4511">
        <v>0</v>
      </c>
      <c r="BJ4511">
        <v>0</v>
      </c>
      <c r="BK4511">
        <v>1300</v>
      </c>
      <c r="BL4511">
        <v>400</v>
      </c>
      <c r="BM4511" t="s">
        <v>119</v>
      </c>
      <c r="BN4511">
        <v>1</v>
      </c>
      <c r="BO4511">
        <v>1</v>
      </c>
      <c r="BP4511">
        <v>1</v>
      </c>
      <c r="BQ4511">
        <v>0</v>
      </c>
      <c r="BT4511">
        <v>0</v>
      </c>
      <c r="BU4511">
        <v>0</v>
      </c>
      <c r="BV4511">
        <v>0</v>
      </c>
      <c r="CC4511" t="str">
        <f>"19:52:01.477"</f>
        <v>19:52:01.477</v>
      </c>
      <c r="CD4511" t="str">
        <f>"476784850"</f>
        <v>476784850</v>
      </c>
      <c r="CQ4511">
        <v>0</v>
      </c>
      <c r="CR4511">
        <v>2</v>
      </c>
      <c r="CS4511">
        <v>0</v>
      </c>
      <c r="CT4511">
        <v>2</v>
      </c>
      <c r="CU4511">
        <v>0</v>
      </c>
      <c r="CV4511">
        <v>4</v>
      </c>
      <c r="CW4511" t="s">
        <v>120</v>
      </c>
      <c r="CX4511">
        <v>257</v>
      </c>
      <c r="CY4511">
        <v>0</v>
      </c>
      <c r="CZ4511" t="s">
        <v>615</v>
      </c>
      <c r="DA4511" t="s">
        <v>616</v>
      </c>
      <c r="DD4511">
        <v>57794</v>
      </c>
      <c r="DE4511" t="s">
        <v>123</v>
      </c>
    </row>
    <row r="4512" spans="1:109" x14ac:dyDescent="0.3">
      <c r="A4512" t="str">
        <f>"19:52:05.563"</f>
        <v>19:52:05.563</v>
      </c>
      <c r="B4512" t="s">
        <v>110</v>
      </c>
      <c r="C4512" t="str">
        <f t="shared" si="216"/>
        <v>ffdfd3c0</v>
      </c>
      <c r="D4512" t="s">
        <v>111</v>
      </c>
      <c r="E4512">
        <v>18</v>
      </c>
      <c r="F4512">
        <v>1018</v>
      </c>
      <c r="G4512" t="s">
        <v>112</v>
      </c>
      <c r="J4512" t="s">
        <v>113</v>
      </c>
      <c r="K4512">
        <v>0</v>
      </c>
      <c r="L4512">
        <v>3</v>
      </c>
      <c r="M4512">
        <v>0</v>
      </c>
      <c r="N4512">
        <v>2</v>
      </c>
      <c r="O4512">
        <v>1</v>
      </c>
      <c r="P4512">
        <v>0</v>
      </c>
      <c r="Q4512">
        <v>0</v>
      </c>
      <c r="R4512" t="s">
        <v>114</v>
      </c>
      <c r="S4512" t="str">
        <f>"19:52:05.313"</f>
        <v>19:52:05.313</v>
      </c>
      <c r="T4512" t="str">
        <f>"19:52:04.516"</f>
        <v>19:52:04.516</v>
      </c>
      <c r="U4512" t="str">
        <f t="shared" si="214"/>
        <v>a1cdbe</v>
      </c>
      <c r="V4512">
        <v>0</v>
      </c>
      <c r="W4512">
        <v>0</v>
      </c>
      <c r="X4512">
        <v>2</v>
      </c>
      <c r="Y4512">
        <v>0</v>
      </c>
      <c r="Z4512">
        <v>0</v>
      </c>
      <c r="AB4512">
        <v>0</v>
      </c>
      <c r="AC4512">
        <v>9</v>
      </c>
      <c r="AD4512">
        <v>3</v>
      </c>
      <c r="AE4512">
        <v>0</v>
      </c>
      <c r="AF4512">
        <v>9</v>
      </c>
      <c r="AG4512" t="s">
        <v>1307</v>
      </c>
      <c r="AH4512">
        <v>0</v>
      </c>
      <c r="AI4512">
        <v>3</v>
      </c>
      <c r="AJ4512">
        <v>1</v>
      </c>
      <c r="AK4512">
        <v>0</v>
      </c>
      <c r="AL4512" t="s">
        <v>7953</v>
      </c>
      <c r="AM4512">
        <v>47.060257999999997</v>
      </c>
      <c r="AN4512" t="s">
        <v>8100</v>
      </c>
      <c r="AO4512">
        <v>-124.09098400000001</v>
      </c>
      <c r="AP4512">
        <v>100</v>
      </c>
      <c r="AQ4512">
        <v>900</v>
      </c>
      <c r="AR4512" t="s">
        <v>118</v>
      </c>
      <c r="AS4512">
        <v>-73</v>
      </c>
      <c r="AT4512">
        <v>22</v>
      </c>
      <c r="AU4512">
        <v>-128</v>
      </c>
      <c r="BC4512">
        <v>1200</v>
      </c>
      <c r="BD4512">
        <v>1</v>
      </c>
      <c r="BE4512" t="str">
        <f t="shared" si="215"/>
        <v xml:space="preserve">N215T   </v>
      </c>
      <c r="BF4512">
        <v>1</v>
      </c>
      <c r="BH4512">
        <v>0</v>
      </c>
      <c r="BI4512">
        <v>0</v>
      </c>
      <c r="BJ4512">
        <v>0</v>
      </c>
      <c r="BK4512">
        <v>1300</v>
      </c>
      <c r="BL4512">
        <v>400</v>
      </c>
      <c r="BM4512" t="s">
        <v>119</v>
      </c>
      <c r="BN4512">
        <v>1</v>
      </c>
      <c r="BO4512">
        <v>1</v>
      </c>
      <c r="BP4512">
        <v>1</v>
      </c>
      <c r="BQ4512">
        <v>0</v>
      </c>
      <c r="BT4512">
        <v>0</v>
      </c>
      <c r="BU4512">
        <v>0</v>
      </c>
      <c r="BV4512">
        <v>0</v>
      </c>
      <c r="CC4512" t="str">
        <f>"19:52:05.320"</f>
        <v>19:52:05.320</v>
      </c>
      <c r="CD4512" t="str">
        <f>"316406645"</f>
        <v>316406645</v>
      </c>
      <c r="CQ4512">
        <v>0</v>
      </c>
      <c r="CR4512">
        <v>2</v>
      </c>
      <c r="CS4512">
        <v>0</v>
      </c>
      <c r="CT4512">
        <v>2</v>
      </c>
      <c r="CU4512">
        <v>0</v>
      </c>
      <c r="CV4512">
        <v>3</v>
      </c>
      <c r="CW4512" t="s">
        <v>120</v>
      </c>
      <c r="CX4512">
        <v>257</v>
      </c>
      <c r="CY4512">
        <v>0</v>
      </c>
      <c r="CZ4512" t="s">
        <v>615</v>
      </c>
      <c r="DA4512" t="s">
        <v>616</v>
      </c>
      <c r="DD4512">
        <v>59014</v>
      </c>
      <c r="DE4512" t="s">
        <v>123</v>
      </c>
    </row>
    <row r="4513" spans="1:109" x14ac:dyDescent="0.3">
      <c r="A4513" t="str">
        <f>"19:52:07.672"</f>
        <v>19:52:07.672</v>
      </c>
      <c r="B4513" t="s">
        <v>110</v>
      </c>
      <c r="C4513" t="str">
        <f t="shared" si="216"/>
        <v>ffdfd3c0</v>
      </c>
      <c r="D4513" t="s">
        <v>111</v>
      </c>
      <c r="E4513">
        <v>18</v>
      </c>
      <c r="F4513">
        <v>1018</v>
      </c>
      <c r="G4513" t="s">
        <v>112</v>
      </c>
      <c r="J4513" t="s">
        <v>113</v>
      </c>
      <c r="K4513">
        <v>0</v>
      </c>
      <c r="L4513">
        <v>3</v>
      </c>
      <c r="M4513">
        <v>0</v>
      </c>
      <c r="N4513">
        <v>2</v>
      </c>
      <c r="O4513">
        <v>1</v>
      </c>
      <c r="P4513">
        <v>0</v>
      </c>
      <c r="Q4513">
        <v>0</v>
      </c>
      <c r="R4513" t="s">
        <v>114</v>
      </c>
      <c r="S4513" t="str">
        <f>"19:52:07.398"</f>
        <v>19:52:07.398</v>
      </c>
      <c r="T4513" t="str">
        <f>"19:52:04.500"</f>
        <v>19:52:04.500</v>
      </c>
      <c r="U4513" t="str">
        <f t="shared" si="214"/>
        <v>a1cdbe</v>
      </c>
      <c r="V4513">
        <v>0</v>
      </c>
      <c r="W4513">
        <v>0</v>
      </c>
      <c r="X4513">
        <v>2</v>
      </c>
      <c r="Y4513">
        <v>0</v>
      </c>
      <c r="Z4513">
        <v>0</v>
      </c>
      <c r="AB4513">
        <v>0</v>
      </c>
      <c r="AC4513">
        <v>9</v>
      </c>
      <c r="AD4513">
        <v>3</v>
      </c>
      <c r="AE4513">
        <v>0</v>
      </c>
      <c r="AF4513">
        <v>9</v>
      </c>
      <c r="AG4513" t="s">
        <v>1307</v>
      </c>
      <c r="AH4513">
        <v>0</v>
      </c>
      <c r="AI4513">
        <v>3</v>
      </c>
      <c r="AJ4513">
        <v>1</v>
      </c>
      <c r="AK4513">
        <v>0</v>
      </c>
      <c r="AL4513" t="s">
        <v>8101</v>
      </c>
      <c r="AM4513">
        <v>47.060451999999998</v>
      </c>
      <c r="AN4513" t="s">
        <v>8102</v>
      </c>
      <c r="AO4513">
        <v>-124.091992</v>
      </c>
      <c r="AP4513">
        <v>100</v>
      </c>
      <c r="AQ4513">
        <v>900</v>
      </c>
      <c r="AR4513" t="s">
        <v>118</v>
      </c>
      <c r="AS4513">
        <v>-73</v>
      </c>
      <c r="AT4513">
        <v>22</v>
      </c>
      <c r="AU4513">
        <v>-128</v>
      </c>
      <c r="BC4513">
        <v>1200</v>
      </c>
      <c r="BD4513">
        <v>1</v>
      </c>
      <c r="BE4513" t="str">
        <f t="shared" si="215"/>
        <v xml:space="preserve">N215T   </v>
      </c>
      <c r="BF4513">
        <v>1</v>
      </c>
      <c r="BH4513">
        <v>0</v>
      </c>
      <c r="BI4513">
        <v>0</v>
      </c>
      <c r="BJ4513">
        <v>0</v>
      </c>
      <c r="BK4513">
        <v>1300</v>
      </c>
      <c r="BL4513">
        <v>400</v>
      </c>
      <c r="BM4513" t="s">
        <v>119</v>
      </c>
      <c r="BN4513">
        <v>1</v>
      </c>
      <c r="BO4513">
        <v>1</v>
      </c>
      <c r="BP4513">
        <v>1</v>
      </c>
      <c r="BQ4513">
        <v>0</v>
      </c>
      <c r="BT4513">
        <v>0</v>
      </c>
      <c r="BU4513">
        <v>0</v>
      </c>
      <c r="BV4513">
        <v>0</v>
      </c>
      <c r="CC4513" t="str">
        <f>"19:52:07.398"</f>
        <v>19:52:07.398</v>
      </c>
      <c r="CD4513" t="str">
        <f>"401201366"</f>
        <v>401201366</v>
      </c>
      <c r="CQ4513">
        <v>0</v>
      </c>
      <c r="CR4513">
        <v>2</v>
      </c>
      <c r="CS4513">
        <v>0</v>
      </c>
      <c r="CT4513">
        <v>2</v>
      </c>
      <c r="CU4513">
        <v>0</v>
      </c>
      <c r="CV4513">
        <v>2</v>
      </c>
      <c r="CW4513" t="s">
        <v>120</v>
      </c>
      <c r="CX4513">
        <v>257</v>
      </c>
      <c r="CY4513">
        <v>0</v>
      </c>
      <c r="CZ4513" t="s">
        <v>615</v>
      </c>
      <c r="DA4513" t="s">
        <v>616</v>
      </c>
      <c r="DD4513">
        <v>59654</v>
      </c>
      <c r="DE4513" t="s">
        <v>123</v>
      </c>
    </row>
    <row r="4514" spans="1:109" x14ac:dyDescent="0.3">
      <c r="A4514" t="str">
        <f>"19:52:09.633"</f>
        <v>19:52:09.633</v>
      </c>
      <c r="B4514" t="s">
        <v>110</v>
      </c>
      <c r="C4514" t="str">
        <f t="shared" si="216"/>
        <v>ffdfd3c0</v>
      </c>
      <c r="D4514" t="s">
        <v>111</v>
      </c>
      <c r="E4514">
        <v>18</v>
      </c>
      <c r="F4514">
        <v>1018</v>
      </c>
      <c r="G4514" t="s">
        <v>112</v>
      </c>
      <c r="J4514" t="s">
        <v>113</v>
      </c>
      <c r="K4514">
        <v>0</v>
      </c>
      <c r="L4514">
        <v>3</v>
      </c>
      <c r="M4514">
        <v>0</v>
      </c>
      <c r="N4514">
        <v>2</v>
      </c>
      <c r="O4514">
        <v>1</v>
      </c>
      <c r="P4514">
        <v>0</v>
      </c>
      <c r="Q4514">
        <v>0</v>
      </c>
      <c r="R4514" t="s">
        <v>114</v>
      </c>
      <c r="S4514" t="str">
        <f>"19:52:09.344"</f>
        <v>19:52:09.344</v>
      </c>
      <c r="T4514" t="str">
        <f>"19:52:08.844"</f>
        <v>19:52:08.844</v>
      </c>
      <c r="U4514" t="str">
        <f t="shared" si="214"/>
        <v>a1cdbe</v>
      </c>
      <c r="V4514">
        <v>0</v>
      </c>
      <c r="W4514">
        <v>0</v>
      </c>
      <c r="X4514">
        <v>2</v>
      </c>
      <c r="Y4514">
        <v>0</v>
      </c>
      <c r="Z4514">
        <v>0</v>
      </c>
      <c r="AB4514">
        <v>0</v>
      </c>
      <c r="AC4514">
        <v>9</v>
      </c>
      <c r="AD4514">
        <v>3</v>
      </c>
      <c r="AE4514">
        <v>0</v>
      </c>
      <c r="AF4514">
        <v>9</v>
      </c>
      <c r="AG4514" t="s">
        <v>1307</v>
      </c>
      <c r="AH4514">
        <v>0</v>
      </c>
      <c r="AI4514">
        <v>3</v>
      </c>
      <c r="AJ4514">
        <v>1</v>
      </c>
      <c r="AK4514">
        <v>0</v>
      </c>
      <c r="AL4514" t="s">
        <v>7948</v>
      </c>
      <c r="AM4514">
        <v>47.060687999999999</v>
      </c>
      <c r="AN4514" t="s">
        <v>8103</v>
      </c>
      <c r="AO4514">
        <v>-124.092979</v>
      </c>
      <c r="AP4514">
        <v>100</v>
      </c>
      <c r="AQ4514">
        <v>900</v>
      </c>
      <c r="AR4514" t="s">
        <v>118</v>
      </c>
      <c r="AS4514">
        <v>-74</v>
      </c>
      <c r="AT4514">
        <v>22</v>
      </c>
      <c r="AU4514">
        <v>64</v>
      </c>
      <c r="BC4514">
        <v>1200</v>
      </c>
      <c r="BD4514">
        <v>1</v>
      </c>
      <c r="BE4514" t="str">
        <f t="shared" si="215"/>
        <v xml:space="preserve">N215T   </v>
      </c>
      <c r="BF4514">
        <v>1</v>
      </c>
      <c r="BH4514">
        <v>0</v>
      </c>
      <c r="BI4514">
        <v>0</v>
      </c>
      <c r="BJ4514">
        <v>0</v>
      </c>
      <c r="BK4514">
        <v>1300</v>
      </c>
      <c r="BL4514">
        <v>400</v>
      </c>
      <c r="BM4514" t="s">
        <v>119</v>
      </c>
      <c r="BN4514">
        <v>1</v>
      </c>
      <c r="BO4514">
        <v>1</v>
      </c>
      <c r="BP4514">
        <v>1</v>
      </c>
      <c r="BQ4514">
        <v>0</v>
      </c>
      <c r="BT4514">
        <v>0</v>
      </c>
      <c r="BU4514">
        <v>0</v>
      </c>
      <c r="BV4514">
        <v>0</v>
      </c>
      <c r="CC4514" t="str">
        <f>"19:52:09.352"</f>
        <v>19:52:09.352</v>
      </c>
      <c r="CD4514" t="str">
        <f>"351009335"</f>
        <v>351009335</v>
      </c>
      <c r="CQ4514">
        <v>0</v>
      </c>
      <c r="CR4514">
        <v>2</v>
      </c>
      <c r="CS4514">
        <v>0</v>
      </c>
      <c r="CT4514">
        <v>2</v>
      </c>
      <c r="CU4514">
        <v>0</v>
      </c>
      <c r="CV4514">
        <v>2</v>
      </c>
      <c r="CW4514" t="s">
        <v>120</v>
      </c>
      <c r="CX4514">
        <v>257</v>
      </c>
      <c r="CY4514">
        <v>0</v>
      </c>
      <c r="CZ4514" t="s">
        <v>615</v>
      </c>
      <c r="DA4514" t="s">
        <v>616</v>
      </c>
      <c r="DD4514">
        <v>60267</v>
      </c>
      <c r="DE4514" t="s">
        <v>123</v>
      </c>
    </row>
    <row r="4515" spans="1:109" x14ac:dyDescent="0.3">
      <c r="A4515" t="str">
        <f>"19:52:12.297"</f>
        <v>19:52:12.297</v>
      </c>
      <c r="B4515" t="s">
        <v>110</v>
      </c>
      <c r="C4515" t="str">
        <f t="shared" si="216"/>
        <v>ffdfd3c0</v>
      </c>
      <c r="D4515" t="s">
        <v>111</v>
      </c>
      <c r="E4515">
        <v>18</v>
      </c>
      <c r="F4515">
        <v>1018</v>
      </c>
      <c r="G4515" t="s">
        <v>112</v>
      </c>
      <c r="J4515" t="s">
        <v>113</v>
      </c>
      <c r="K4515">
        <v>0</v>
      </c>
      <c r="L4515">
        <v>3</v>
      </c>
      <c r="M4515">
        <v>0</v>
      </c>
      <c r="N4515">
        <v>2</v>
      </c>
      <c r="O4515">
        <v>1</v>
      </c>
      <c r="P4515">
        <v>0</v>
      </c>
      <c r="Q4515">
        <v>0</v>
      </c>
      <c r="R4515" t="s">
        <v>114</v>
      </c>
      <c r="S4515" t="str">
        <f>"19:52:12.078"</f>
        <v>19:52:12.078</v>
      </c>
      <c r="T4515" t="str">
        <f>"19:52:11.078"</f>
        <v>19:52:11.078</v>
      </c>
      <c r="U4515" t="str">
        <f t="shared" si="214"/>
        <v>a1cdbe</v>
      </c>
      <c r="V4515">
        <v>0</v>
      </c>
      <c r="W4515">
        <v>0</v>
      </c>
      <c r="X4515">
        <v>2</v>
      </c>
      <c r="Y4515">
        <v>0</v>
      </c>
      <c r="Z4515">
        <v>0</v>
      </c>
      <c r="AB4515">
        <v>0</v>
      </c>
      <c r="AC4515">
        <v>9</v>
      </c>
      <c r="AD4515">
        <v>3</v>
      </c>
      <c r="AE4515">
        <v>0</v>
      </c>
      <c r="AF4515">
        <v>9</v>
      </c>
      <c r="AG4515" t="s">
        <v>1307</v>
      </c>
      <c r="AH4515">
        <v>0</v>
      </c>
      <c r="AI4515">
        <v>3</v>
      </c>
      <c r="AJ4515">
        <v>1</v>
      </c>
      <c r="AK4515">
        <v>0</v>
      </c>
      <c r="AL4515" t="s">
        <v>7943</v>
      </c>
      <c r="AM4515">
        <v>47.060901999999999</v>
      </c>
      <c r="AN4515" t="s">
        <v>8104</v>
      </c>
      <c r="AO4515">
        <v>-124.094353</v>
      </c>
      <c r="AP4515">
        <v>100</v>
      </c>
      <c r="AQ4515">
        <v>900</v>
      </c>
      <c r="AR4515" t="s">
        <v>118</v>
      </c>
      <c r="AS4515">
        <v>-75</v>
      </c>
      <c r="AT4515">
        <v>21</v>
      </c>
      <c r="AU4515">
        <v>-64</v>
      </c>
      <c r="BC4515">
        <v>1200</v>
      </c>
      <c r="BD4515">
        <v>1</v>
      </c>
      <c r="BE4515" t="str">
        <f t="shared" si="215"/>
        <v xml:space="preserve">N215T   </v>
      </c>
      <c r="BF4515">
        <v>1</v>
      </c>
      <c r="BH4515">
        <v>0</v>
      </c>
      <c r="BI4515">
        <v>0</v>
      </c>
      <c r="BJ4515">
        <v>0</v>
      </c>
      <c r="BK4515">
        <v>1300</v>
      </c>
      <c r="BL4515">
        <v>400</v>
      </c>
      <c r="BM4515" t="s">
        <v>119</v>
      </c>
      <c r="BN4515">
        <v>1</v>
      </c>
      <c r="BO4515">
        <v>1</v>
      </c>
      <c r="BP4515">
        <v>1</v>
      </c>
      <c r="BQ4515">
        <v>0</v>
      </c>
      <c r="BT4515">
        <v>0</v>
      </c>
      <c r="BU4515">
        <v>0</v>
      </c>
      <c r="BV4515">
        <v>0</v>
      </c>
      <c r="CC4515" t="str">
        <f>"19:52:12.078"</f>
        <v>19:52:12.078</v>
      </c>
      <c r="CD4515" t="str">
        <f>"080740509"</f>
        <v>080740509</v>
      </c>
      <c r="CQ4515">
        <v>0</v>
      </c>
      <c r="CR4515">
        <v>2</v>
      </c>
      <c r="CS4515">
        <v>0</v>
      </c>
      <c r="CT4515">
        <v>2</v>
      </c>
      <c r="CU4515">
        <v>0</v>
      </c>
      <c r="CV4515">
        <v>2</v>
      </c>
      <c r="CW4515" t="s">
        <v>120</v>
      </c>
      <c r="CX4515">
        <v>257</v>
      </c>
      <c r="CY4515">
        <v>0</v>
      </c>
      <c r="CZ4515" t="s">
        <v>615</v>
      </c>
      <c r="DA4515" t="s">
        <v>616</v>
      </c>
      <c r="DD4515">
        <v>61157</v>
      </c>
      <c r="DE4515" t="s">
        <v>123</v>
      </c>
    </row>
    <row r="4516" spans="1:109" x14ac:dyDescent="0.3">
      <c r="A4516" t="str">
        <f>"19:52:13.758"</f>
        <v>19:52:13.758</v>
      </c>
      <c r="B4516" t="s">
        <v>110</v>
      </c>
      <c r="C4516" t="str">
        <f t="shared" si="216"/>
        <v>ffdfd3c0</v>
      </c>
      <c r="D4516" t="s">
        <v>111</v>
      </c>
      <c r="E4516">
        <v>18</v>
      </c>
      <c r="F4516">
        <v>1018</v>
      </c>
      <c r="G4516" t="s">
        <v>112</v>
      </c>
      <c r="J4516" t="s">
        <v>113</v>
      </c>
      <c r="K4516">
        <v>0</v>
      </c>
      <c r="L4516">
        <v>3</v>
      </c>
      <c r="M4516">
        <v>0</v>
      </c>
      <c r="N4516">
        <v>2</v>
      </c>
      <c r="O4516">
        <v>1</v>
      </c>
      <c r="P4516">
        <v>0</v>
      </c>
      <c r="Q4516">
        <v>0</v>
      </c>
      <c r="R4516" t="s">
        <v>114</v>
      </c>
      <c r="S4516" t="str">
        <f>"19:52:13.531"</f>
        <v>19:52:13.531</v>
      </c>
      <c r="T4516" t="str">
        <f>"19:52:11.031"</f>
        <v>19:52:11.031</v>
      </c>
      <c r="U4516" t="str">
        <f t="shared" si="214"/>
        <v>a1cdbe</v>
      </c>
      <c r="V4516">
        <v>0</v>
      </c>
      <c r="W4516">
        <v>0</v>
      </c>
      <c r="X4516">
        <v>2</v>
      </c>
      <c r="Y4516">
        <v>0</v>
      </c>
      <c r="Z4516">
        <v>0</v>
      </c>
      <c r="AB4516">
        <v>0</v>
      </c>
      <c r="AC4516">
        <v>9</v>
      </c>
      <c r="AD4516">
        <v>3</v>
      </c>
      <c r="AE4516">
        <v>0</v>
      </c>
      <c r="AF4516">
        <v>9</v>
      </c>
      <c r="AG4516" t="s">
        <v>1307</v>
      </c>
      <c r="AH4516">
        <v>0</v>
      </c>
      <c r="AI4516">
        <v>3</v>
      </c>
      <c r="AJ4516">
        <v>1</v>
      </c>
      <c r="AK4516">
        <v>0</v>
      </c>
      <c r="AL4516" t="s">
        <v>7686</v>
      </c>
      <c r="AM4516">
        <v>47.061051999999997</v>
      </c>
      <c r="AN4516" t="s">
        <v>8105</v>
      </c>
      <c r="AO4516">
        <v>-124.095082</v>
      </c>
      <c r="AP4516">
        <v>100</v>
      </c>
      <c r="AQ4516">
        <v>900</v>
      </c>
      <c r="AR4516" t="s">
        <v>118</v>
      </c>
      <c r="AS4516">
        <v>-75</v>
      </c>
      <c r="AT4516">
        <v>21</v>
      </c>
      <c r="AU4516">
        <v>-64</v>
      </c>
      <c r="BC4516">
        <v>1200</v>
      </c>
      <c r="BD4516">
        <v>1</v>
      </c>
      <c r="BE4516" t="str">
        <f t="shared" si="215"/>
        <v xml:space="preserve">N215T   </v>
      </c>
      <c r="BF4516">
        <v>1</v>
      </c>
      <c r="BH4516">
        <v>0</v>
      </c>
      <c r="BI4516">
        <v>0</v>
      </c>
      <c r="BJ4516">
        <v>0</v>
      </c>
      <c r="BK4516">
        <v>1300</v>
      </c>
      <c r="BL4516">
        <v>400</v>
      </c>
      <c r="BM4516" t="s">
        <v>119</v>
      </c>
      <c r="BN4516">
        <v>1</v>
      </c>
      <c r="BO4516">
        <v>1</v>
      </c>
      <c r="BP4516">
        <v>1</v>
      </c>
      <c r="BQ4516">
        <v>0</v>
      </c>
      <c r="BT4516">
        <v>0</v>
      </c>
      <c r="BU4516">
        <v>0</v>
      </c>
      <c r="BV4516">
        <v>0</v>
      </c>
      <c r="CC4516" t="str">
        <f>"19:52:13.539"</f>
        <v>19:52:13.539</v>
      </c>
      <c r="CD4516" t="str">
        <f>"535597231"</f>
        <v>535597231</v>
      </c>
      <c r="CQ4516">
        <v>0</v>
      </c>
      <c r="CR4516">
        <v>2</v>
      </c>
      <c r="CS4516">
        <v>0</v>
      </c>
      <c r="CT4516">
        <v>2</v>
      </c>
      <c r="CU4516">
        <v>0</v>
      </c>
      <c r="CV4516">
        <v>2</v>
      </c>
      <c r="CW4516" t="s">
        <v>120</v>
      </c>
      <c r="CX4516">
        <v>257</v>
      </c>
      <c r="CY4516">
        <v>0</v>
      </c>
      <c r="CZ4516" t="s">
        <v>615</v>
      </c>
      <c r="DA4516" t="s">
        <v>616</v>
      </c>
      <c r="DD4516">
        <v>61593</v>
      </c>
      <c r="DE4516" t="s">
        <v>123</v>
      </c>
    </row>
    <row r="4517" spans="1:109" x14ac:dyDescent="0.3">
      <c r="A4517" t="str">
        <f>"19:52:16.219"</f>
        <v>19:52:16.219</v>
      </c>
      <c r="B4517" t="s">
        <v>110</v>
      </c>
      <c r="C4517" t="str">
        <f t="shared" si="216"/>
        <v>ffdfd3c0</v>
      </c>
      <c r="D4517" t="s">
        <v>111</v>
      </c>
      <c r="E4517">
        <v>18</v>
      </c>
      <c r="F4517">
        <v>1018</v>
      </c>
      <c r="G4517" t="s">
        <v>112</v>
      </c>
      <c r="J4517" t="s">
        <v>113</v>
      </c>
      <c r="K4517">
        <v>0</v>
      </c>
      <c r="L4517">
        <v>3</v>
      </c>
      <c r="M4517">
        <v>0</v>
      </c>
      <c r="N4517">
        <v>2</v>
      </c>
      <c r="O4517">
        <v>1</v>
      </c>
      <c r="P4517">
        <v>0</v>
      </c>
      <c r="Q4517">
        <v>0</v>
      </c>
      <c r="R4517" t="s">
        <v>114</v>
      </c>
      <c r="S4517" t="str">
        <f>"19:52:15.961"</f>
        <v>19:52:15.961</v>
      </c>
      <c r="T4517" t="str">
        <f>"19:52:11.063"</f>
        <v>19:52:11.063</v>
      </c>
      <c r="U4517" t="str">
        <f t="shared" si="214"/>
        <v>a1cdbe</v>
      </c>
      <c r="V4517">
        <v>0</v>
      </c>
      <c r="W4517">
        <v>0</v>
      </c>
      <c r="X4517">
        <v>2</v>
      </c>
      <c r="Y4517">
        <v>0</v>
      </c>
      <c r="Z4517">
        <v>0</v>
      </c>
      <c r="AB4517">
        <v>0</v>
      </c>
      <c r="AC4517">
        <v>9</v>
      </c>
      <c r="AD4517">
        <v>3</v>
      </c>
      <c r="AE4517">
        <v>0</v>
      </c>
      <c r="AF4517">
        <v>9</v>
      </c>
      <c r="AG4517" t="s">
        <v>1307</v>
      </c>
      <c r="AH4517">
        <v>0</v>
      </c>
      <c r="AI4517">
        <v>3</v>
      </c>
      <c r="AJ4517">
        <v>1</v>
      </c>
      <c r="AK4517">
        <v>0</v>
      </c>
      <c r="AL4517" t="s">
        <v>502</v>
      </c>
      <c r="AM4517">
        <v>47.061309999999999</v>
      </c>
      <c r="AN4517" t="s">
        <v>8106</v>
      </c>
      <c r="AO4517">
        <v>-124.09634800000001</v>
      </c>
      <c r="AP4517">
        <v>100</v>
      </c>
      <c r="AQ4517">
        <v>900</v>
      </c>
      <c r="AR4517" t="s">
        <v>118</v>
      </c>
      <c r="AS4517">
        <v>-75</v>
      </c>
      <c r="AT4517">
        <v>21</v>
      </c>
      <c r="AU4517">
        <v>-64</v>
      </c>
      <c r="BC4517">
        <v>1200</v>
      </c>
      <c r="BD4517">
        <v>1</v>
      </c>
      <c r="BE4517" t="str">
        <f t="shared" si="215"/>
        <v xml:space="preserve">N215T   </v>
      </c>
      <c r="BF4517">
        <v>1</v>
      </c>
      <c r="BH4517">
        <v>0</v>
      </c>
      <c r="BI4517">
        <v>0</v>
      </c>
      <c r="BJ4517">
        <v>0</v>
      </c>
      <c r="BK4517">
        <v>1300</v>
      </c>
      <c r="BL4517">
        <v>400</v>
      </c>
      <c r="BM4517" t="s">
        <v>119</v>
      </c>
      <c r="BN4517">
        <v>1</v>
      </c>
      <c r="BO4517">
        <v>1</v>
      </c>
      <c r="BP4517">
        <v>1</v>
      </c>
      <c r="BQ4517">
        <v>0</v>
      </c>
      <c r="BT4517">
        <v>0</v>
      </c>
      <c r="BU4517">
        <v>0</v>
      </c>
      <c r="BV4517">
        <v>0</v>
      </c>
      <c r="CC4517" t="str">
        <f>"19:52:15.969"</f>
        <v>19:52:15.969</v>
      </c>
      <c r="CD4517" t="str">
        <f>"965357929"</f>
        <v>965357929</v>
      </c>
      <c r="CQ4517">
        <v>0</v>
      </c>
      <c r="CR4517">
        <v>2</v>
      </c>
      <c r="CS4517">
        <v>0</v>
      </c>
      <c r="CT4517">
        <v>2</v>
      </c>
      <c r="CU4517">
        <v>0</v>
      </c>
      <c r="CV4517">
        <v>2</v>
      </c>
      <c r="CW4517" t="s">
        <v>120</v>
      </c>
      <c r="CX4517">
        <v>257</v>
      </c>
      <c r="CY4517">
        <v>0</v>
      </c>
      <c r="CZ4517" t="s">
        <v>615</v>
      </c>
      <c r="DA4517" t="s">
        <v>616</v>
      </c>
      <c r="DD4517">
        <v>62356</v>
      </c>
      <c r="DE4517" t="s">
        <v>123</v>
      </c>
    </row>
    <row r="4518" spans="1:109" x14ac:dyDescent="0.3">
      <c r="A4518" t="str">
        <f>"19:52:19.734"</f>
        <v>19:52:19.734</v>
      </c>
      <c r="B4518" t="s">
        <v>110</v>
      </c>
      <c r="C4518" t="str">
        <f t="shared" si="216"/>
        <v>ffdfd3c0</v>
      </c>
      <c r="D4518" t="s">
        <v>111</v>
      </c>
      <c r="E4518">
        <v>18</v>
      </c>
      <c r="F4518">
        <v>1018</v>
      </c>
      <c r="G4518" t="s">
        <v>112</v>
      </c>
      <c r="J4518" t="s">
        <v>113</v>
      </c>
      <c r="K4518">
        <v>0</v>
      </c>
      <c r="L4518">
        <v>3</v>
      </c>
      <c r="M4518">
        <v>0</v>
      </c>
      <c r="N4518">
        <v>2</v>
      </c>
      <c r="O4518">
        <v>1</v>
      </c>
      <c r="P4518">
        <v>0</v>
      </c>
      <c r="Q4518">
        <v>0</v>
      </c>
      <c r="R4518" t="s">
        <v>114</v>
      </c>
      <c r="S4518" t="str">
        <f>"19:52:19.516"</f>
        <v>19:52:19.516</v>
      </c>
      <c r="T4518" t="str">
        <f>"19:52:19.516"</f>
        <v>19:52:19.516</v>
      </c>
      <c r="U4518" t="str">
        <f t="shared" si="214"/>
        <v>a1cdbe</v>
      </c>
      <c r="V4518">
        <v>0</v>
      </c>
      <c r="W4518">
        <v>0</v>
      </c>
      <c r="X4518">
        <v>2</v>
      </c>
      <c r="Y4518">
        <v>0</v>
      </c>
      <c r="Z4518">
        <v>0</v>
      </c>
      <c r="AB4518">
        <v>0</v>
      </c>
      <c r="AC4518">
        <v>9</v>
      </c>
      <c r="AD4518">
        <v>3</v>
      </c>
      <c r="AE4518">
        <v>0</v>
      </c>
      <c r="AF4518">
        <v>9</v>
      </c>
      <c r="AG4518" t="s">
        <v>1307</v>
      </c>
      <c r="AH4518">
        <v>0</v>
      </c>
      <c r="AI4518">
        <v>3</v>
      </c>
      <c r="AJ4518">
        <v>1</v>
      </c>
      <c r="AK4518">
        <v>0</v>
      </c>
      <c r="AL4518" t="s">
        <v>500</v>
      </c>
      <c r="AM4518">
        <v>47.061653</v>
      </c>
      <c r="AN4518" t="s">
        <v>8107</v>
      </c>
      <c r="AO4518">
        <v>-124.098108</v>
      </c>
      <c r="AP4518">
        <v>100</v>
      </c>
      <c r="AQ4518">
        <v>900</v>
      </c>
      <c r="AR4518" t="s">
        <v>118</v>
      </c>
      <c r="AS4518">
        <v>-73</v>
      </c>
      <c r="AT4518">
        <v>21</v>
      </c>
      <c r="AU4518">
        <v>-64</v>
      </c>
      <c r="BC4518">
        <v>1200</v>
      </c>
      <c r="BD4518">
        <v>1</v>
      </c>
      <c r="BE4518" t="str">
        <f t="shared" si="215"/>
        <v xml:space="preserve">N215T   </v>
      </c>
      <c r="BF4518">
        <v>1</v>
      </c>
      <c r="BH4518">
        <v>0</v>
      </c>
      <c r="BI4518">
        <v>0</v>
      </c>
      <c r="BJ4518">
        <v>0</v>
      </c>
      <c r="BK4518">
        <v>1300</v>
      </c>
      <c r="BL4518">
        <v>400</v>
      </c>
      <c r="BM4518" t="s">
        <v>119</v>
      </c>
      <c r="BN4518">
        <v>1</v>
      </c>
      <c r="BO4518">
        <v>1</v>
      </c>
      <c r="BP4518">
        <v>1</v>
      </c>
      <c r="BQ4518">
        <v>0</v>
      </c>
      <c r="BT4518">
        <v>0</v>
      </c>
      <c r="BU4518">
        <v>0</v>
      </c>
      <c r="BV4518">
        <v>0</v>
      </c>
      <c r="CC4518" t="str">
        <f>"19:52:19.523"</f>
        <v>19:52:19.523</v>
      </c>
      <c r="CD4518" t="str">
        <f>"520007801"</f>
        <v>520007801</v>
      </c>
      <c r="CQ4518">
        <v>0</v>
      </c>
      <c r="CR4518">
        <v>2</v>
      </c>
      <c r="CS4518">
        <v>0</v>
      </c>
      <c r="CT4518">
        <v>2</v>
      </c>
      <c r="CU4518">
        <v>0</v>
      </c>
      <c r="CV4518">
        <v>2</v>
      </c>
      <c r="CW4518" t="s">
        <v>120</v>
      </c>
      <c r="CX4518">
        <v>257</v>
      </c>
      <c r="CY4518">
        <v>0</v>
      </c>
      <c r="CZ4518" t="s">
        <v>615</v>
      </c>
      <c r="DA4518" t="s">
        <v>616</v>
      </c>
      <c r="DD4518">
        <v>63492</v>
      </c>
      <c r="DE4518" t="s">
        <v>123</v>
      </c>
    </row>
    <row r="4519" spans="1:109" x14ac:dyDescent="0.3">
      <c r="A4519" t="str">
        <f>"19:52:23.000"</f>
        <v>19:52:23.000</v>
      </c>
      <c r="B4519" t="s">
        <v>110</v>
      </c>
      <c r="C4519" t="str">
        <f>"ffdf53c0"</f>
        <v>ffdf53c0</v>
      </c>
      <c r="D4519" t="s">
        <v>111</v>
      </c>
      <c r="E4519">
        <v>18</v>
      </c>
      <c r="F4519">
        <v>1018</v>
      </c>
      <c r="G4519" t="s">
        <v>112</v>
      </c>
      <c r="J4519" t="s">
        <v>113</v>
      </c>
      <c r="K4519">
        <v>0</v>
      </c>
      <c r="L4519">
        <v>3</v>
      </c>
      <c r="M4519">
        <v>0</v>
      </c>
      <c r="N4519">
        <v>2</v>
      </c>
      <c r="O4519">
        <v>1</v>
      </c>
      <c r="P4519">
        <v>0</v>
      </c>
      <c r="Q4519">
        <v>0</v>
      </c>
      <c r="R4519" t="s">
        <v>114</v>
      </c>
      <c r="S4519" t="str">
        <f>"19:52:22.469"</f>
        <v>19:52:22.469</v>
      </c>
      <c r="U4519" t="str">
        <f t="shared" si="214"/>
        <v>a1cdbe</v>
      </c>
      <c r="V4519">
        <v>0</v>
      </c>
      <c r="W4519">
        <v>0</v>
      </c>
      <c r="X4519">
        <v>2</v>
      </c>
      <c r="Y4519">
        <v>0</v>
      </c>
      <c r="Z4519">
        <v>0</v>
      </c>
      <c r="AB4519">
        <v>0</v>
      </c>
      <c r="AC4519">
        <v>9</v>
      </c>
      <c r="AD4519">
        <v>3</v>
      </c>
      <c r="AE4519">
        <v>0</v>
      </c>
      <c r="AF4519">
        <v>9</v>
      </c>
      <c r="AG4519" t="s">
        <v>1307</v>
      </c>
      <c r="AH4519">
        <v>0</v>
      </c>
      <c r="AI4519">
        <v>3</v>
      </c>
      <c r="AJ4519">
        <v>1</v>
      </c>
      <c r="AK4519">
        <v>0</v>
      </c>
      <c r="AL4519" t="s">
        <v>7413</v>
      </c>
      <c r="AM4519">
        <v>47.061954</v>
      </c>
      <c r="AN4519" t="s">
        <v>8108</v>
      </c>
      <c r="AO4519">
        <v>-124.099503</v>
      </c>
      <c r="AP4519">
        <v>100</v>
      </c>
      <c r="AQ4519">
        <v>900</v>
      </c>
      <c r="AR4519" t="s">
        <v>118</v>
      </c>
      <c r="AU4519">
        <v>64</v>
      </c>
      <c r="BC4519">
        <v>1200</v>
      </c>
      <c r="BD4519">
        <v>1</v>
      </c>
      <c r="BE4519" t="str">
        <f t="shared" si="215"/>
        <v xml:space="preserve">N215T   </v>
      </c>
      <c r="BF4519">
        <v>1</v>
      </c>
      <c r="BH4519">
        <v>0</v>
      </c>
      <c r="BI4519">
        <v>0</v>
      </c>
      <c r="BJ4519">
        <v>0</v>
      </c>
      <c r="BM4519" t="s">
        <v>119</v>
      </c>
      <c r="BN4519">
        <v>1</v>
      </c>
      <c r="BO4519">
        <v>1</v>
      </c>
      <c r="BP4519">
        <v>1</v>
      </c>
      <c r="BQ4519">
        <v>0</v>
      </c>
      <c r="BT4519">
        <v>0</v>
      </c>
      <c r="BU4519">
        <v>0</v>
      </c>
      <c r="BV4519">
        <v>0</v>
      </c>
      <c r="CC4519" t="str">
        <f>"19:52:22.477"</f>
        <v>19:52:22.477</v>
      </c>
      <c r="CD4519" t="str">
        <f>"474716891"</f>
        <v>474716891</v>
      </c>
      <c r="CQ4519">
        <v>0</v>
      </c>
      <c r="CR4519">
        <v>2</v>
      </c>
      <c r="CS4519">
        <v>0</v>
      </c>
      <c r="CT4519">
        <v>2</v>
      </c>
      <c r="CU4519">
        <v>0</v>
      </c>
      <c r="CV4519">
        <v>2</v>
      </c>
      <c r="CW4519" t="s">
        <v>120</v>
      </c>
      <c r="CX4519">
        <v>257</v>
      </c>
      <c r="CY4519">
        <v>3</v>
      </c>
      <c r="CZ4519" t="s">
        <v>615</v>
      </c>
      <c r="DA4519" t="s">
        <v>616</v>
      </c>
      <c r="DD4519">
        <v>9535131</v>
      </c>
      <c r="DE4519" t="s">
        <v>123</v>
      </c>
    </row>
    <row r="4520" spans="1:109" x14ac:dyDescent="0.3">
      <c r="A4520" t="str">
        <f>"19:52:24.258"</f>
        <v>19:52:24.258</v>
      </c>
      <c r="B4520" t="s">
        <v>110</v>
      </c>
      <c r="C4520" t="str">
        <f t="shared" ref="C4520:C4583" si="217">"ffdfd3c0"</f>
        <v>ffdfd3c0</v>
      </c>
      <c r="D4520" t="s">
        <v>111</v>
      </c>
      <c r="E4520">
        <v>18</v>
      </c>
      <c r="F4520">
        <v>1018</v>
      </c>
      <c r="G4520" t="s">
        <v>112</v>
      </c>
      <c r="J4520" t="s">
        <v>113</v>
      </c>
      <c r="K4520">
        <v>0</v>
      </c>
      <c r="L4520">
        <v>3</v>
      </c>
      <c r="M4520">
        <v>0</v>
      </c>
      <c r="N4520">
        <v>2</v>
      </c>
      <c r="O4520">
        <v>1</v>
      </c>
      <c r="P4520">
        <v>0</v>
      </c>
      <c r="Q4520">
        <v>0</v>
      </c>
      <c r="R4520" t="s">
        <v>114</v>
      </c>
      <c r="S4520" t="str">
        <f>"19:52:23.984"</f>
        <v>19:52:23.984</v>
      </c>
      <c r="T4520" t="str">
        <f>"19:52:23.586"</f>
        <v>19:52:23.586</v>
      </c>
      <c r="U4520" t="str">
        <f t="shared" si="214"/>
        <v>a1cdbe</v>
      </c>
      <c r="V4520">
        <v>0</v>
      </c>
      <c r="W4520">
        <v>0</v>
      </c>
      <c r="X4520">
        <v>2</v>
      </c>
      <c r="Y4520">
        <v>0</v>
      </c>
      <c r="Z4520">
        <v>0</v>
      </c>
      <c r="AB4520">
        <v>0</v>
      </c>
      <c r="AC4520">
        <v>9</v>
      </c>
      <c r="AD4520">
        <v>3</v>
      </c>
      <c r="AE4520">
        <v>0</v>
      </c>
      <c r="AF4520">
        <v>9</v>
      </c>
      <c r="AG4520" t="s">
        <v>1307</v>
      </c>
      <c r="AH4520">
        <v>0</v>
      </c>
      <c r="AI4520">
        <v>3</v>
      </c>
      <c r="AJ4520">
        <v>1</v>
      </c>
      <c r="AK4520">
        <v>0</v>
      </c>
      <c r="AL4520" t="s">
        <v>7416</v>
      </c>
      <c r="AM4520">
        <v>47.062081999999997</v>
      </c>
      <c r="AN4520" t="s">
        <v>8109</v>
      </c>
      <c r="AO4520">
        <v>-124.10025400000001</v>
      </c>
      <c r="AP4520">
        <v>100</v>
      </c>
      <c r="AQ4520">
        <v>900</v>
      </c>
      <c r="AR4520" t="s">
        <v>118</v>
      </c>
      <c r="AS4520">
        <v>-73</v>
      </c>
      <c r="AT4520">
        <v>21</v>
      </c>
      <c r="AU4520">
        <v>0</v>
      </c>
      <c r="BC4520">
        <v>1200</v>
      </c>
      <c r="BD4520">
        <v>1</v>
      </c>
      <c r="BE4520" t="str">
        <f t="shared" si="215"/>
        <v xml:space="preserve">N215T   </v>
      </c>
      <c r="BF4520">
        <v>1</v>
      </c>
      <c r="BH4520">
        <v>0</v>
      </c>
      <c r="BI4520">
        <v>0</v>
      </c>
      <c r="BJ4520">
        <v>0</v>
      </c>
      <c r="BK4520">
        <v>1275</v>
      </c>
      <c r="BL4520">
        <v>375</v>
      </c>
      <c r="BM4520" t="s">
        <v>119</v>
      </c>
      <c r="BN4520">
        <v>1</v>
      </c>
      <c r="BO4520">
        <v>1</v>
      </c>
      <c r="BP4520">
        <v>1</v>
      </c>
      <c r="BQ4520">
        <v>0</v>
      </c>
      <c r="BT4520">
        <v>0</v>
      </c>
      <c r="BU4520">
        <v>0</v>
      </c>
      <c r="BV4520">
        <v>0</v>
      </c>
      <c r="CC4520" t="str">
        <f>"19:52:23.992"</f>
        <v>19:52:23.992</v>
      </c>
      <c r="CD4520" t="str">
        <f>"989567658"</f>
        <v>989567658</v>
      </c>
      <c r="CQ4520">
        <v>0</v>
      </c>
      <c r="CR4520">
        <v>2</v>
      </c>
      <c r="CS4520">
        <v>0</v>
      </c>
      <c r="CT4520">
        <v>2</v>
      </c>
      <c r="CU4520">
        <v>0</v>
      </c>
      <c r="CV4520">
        <v>2</v>
      </c>
      <c r="CW4520" t="s">
        <v>120</v>
      </c>
      <c r="CX4520">
        <v>257</v>
      </c>
      <c r="CY4520">
        <v>0</v>
      </c>
      <c r="CZ4520" t="s">
        <v>615</v>
      </c>
      <c r="DA4520" t="s">
        <v>616</v>
      </c>
      <c r="DD4520">
        <v>64874</v>
      </c>
      <c r="DE4520" t="s">
        <v>123</v>
      </c>
    </row>
    <row r="4521" spans="1:109" x14ac:dyDescent="0.3">
      <c r="A4521" t="str">
        <f>"19:52:25.367"</f>
        <v>19:52:25.367</v>
      </c>
      <c r="B4521" t="s">
        <v>110</v>
      </c>
      <c r="C4521" t="str">
        <f t="shared" si="217"/>
        <v>ffdfd3c0</v>
      </c>
      <c r="D4521" t="s">
        <v>111</v>
      </c>
      <c r="E4521">
        <v>18</v>
      </c>
      <c r="F4521">
        <v>1018</v>
      </c>
      <c r="G4521" t="s">
        <v>112</v>
      </c>
      <c r="J4521" t="s">
        <v>113</v>
      </c>
      <c r="K4521">
        <v>0</v>
      </c>
      <c r="L4521">
        <v>3</v>
      </c>
      <c r="M4521">
        <v>0</v>
      </c>
      <c r="N4521">
        <v>2</v>
      </c>
      <c r="O4521">
        <v>1</v>
      </c>
      <c r="P4521">
        <v>0</v>
      </c>
      <c r="Q4521">
        <v>0</v>
      </c>
      <c r="R4521" t="s">
        <v>114</v>
      </c>
      <c r="S4521" t="str">
        <f>"19:52:25.109"</f>
        <v>19:52:25.109</v>
      </c>
      <c r="T4521" t="str">
        <f>"19:52:24.906"</f>
        <v>19:52:24.906</v>
      </c>
      <c r="U4521" t="str">
        <f t="shared" si="214"/>
        <v>a1cdbe</v>
      </c>
      <c r="V4521">
        <v>0</v>
      </c>
      <c r="W4521">
        <v>0</v>
      </c>
      <c r="X4521">
        <v>2</v>
      </c>
      <c r="Y4521">
        <v>0</v>
      </c>
      <c r="Z4521">
        <v>0</v>
      </c>
      <c r="AB4521">
        <v>0</v>
      </c>
      <c r="AC4521">
        <v>9</v>
      </c>
      <c r="AD4521">
        <v>3</v>
      </c>
      <c r="AE4521">
        <v>0</v>
      </c>
      <c r="AF4521">
        <v>9</v>
      </c>
      <c r="AG4521" t="s">
        <v>1307</v>
      </c>
      <c r="AH4521">
        <v>0</v>
      </c>
      <c r="AI4521">
        <v>3</v>
      </c>
      <c r="AJ4521">
        <v>1</v>
      </c>
      <c r="AK4521">
        <v>0</v>
      </c>
      <c r="AL4521" t="s">
        <v>7418</v>
      </c>
      <c r="AM4521">
        <v>47.062168</v>
      </c>
      <c r="AN4521" t="s">
        <v>8110</v>
      </c>
      <c r="AO4521">
        <v>-124.100854</v>
      </c>
      <c r="AP4521">
        <v>100</v>
      </c>
      <c r="AQ4521">
        <v>900</v>
      </c>
      <c r="AR4521" t="s">
        <v>118</v>
      </c>
      <c r="AS4521">
        <v>-73</v>
      </c>
      <c r="AT4521">
        <v>20</v>
      </c>
      <c r="AU4521">
        <v>0</v>
      </c>
      <c r="BC4521">
        <v>1200</v>
      </c>
      <c r="BD4521">
        <v>1</v>
      </c>
      <c r="BE4521" t="str">
        <f t="shared" si="215"/>
        <v xml:space="preserve">N215T   </v>
      </c>
      <c r="BF4521">
        <v>1</v>
      </c>
      <c r="BH4521">
        <v>0</v>
      </c>
      <c r="BI4521">
        <v>0</v>
      </c>
      <c r="BJ4521">
        <v>0</v>
      </c>
      <c r="BK4521">
        <v>1275</v>
      </c>
      <c r="BL4521">
        <v>375</v>
      </c>
      <c r="BM4521" t="s">
        <v>119</v>
      </c>
      <c r="BN4521">
        <v>1</v>
      </c>
      <c r="BO4521">
        <v>1</v>
      </c>
      <c r="BP4521">
        <v>1</v>
      </c>
      <c r="BQ4521">
        <v>0</v>
      </c>
      <c r="BT4521">
        <v>0</v>
      </c>
      <c r="BU4521">
        <v>0</v>
      </c>
      <c r="BV4521">
        <v>0</v>
      </c>
      <c r="CC4521" t="str">
        <f>"19:52:25.117"</f>
        <v>19:52:25.117</v>
      </c>
      <c r="CD4521" t="str">
        <f>"114456880"</f>
        <v>114456880</v>
      </c>
      <c r="CQ4521">
        <v>0</v>
      </c>
      <c r="CR4521">
        <v>2</v>
      </c>
      <c r="CS4521">
        <v>0</v>
      </c>
      <c r="CT4521">
        <v>2</v>
      </c>
      <c r="CU4521">
        <v>0</v>
      </c>
      <c r="CV4521">
        <v>2</v>
      </c>
      <c r="CW4521" t="s">
        <v>120</v>
      </c>
      <c r="CX4521">
        <v>257</v>
      </c>
      <c r="CY4521">
        <v>0</v>
      </c>
      <c r="CZ4521" t="s">
        <v>615</v>
      </c>
      <c r="DA4521" t="s">
        <v>616</v>
      </c>
      <c r="DD4521">
        <v>65198</v>
      </c>
      <c r="DE4521" t="s">
        <v>123</v>
      </c>
    </row>
    <row r="4522" spans="1:109" x14ac:dyDescent="0.3">
      <c r="A4522" t="str">
        <f>"19:52:26.969"</f>
        <v>19:52:26.969</v>
      </c>
      <c r="B4522" t="s">
        <v>110</v>
      </c>
      <c r="C4522" t="str">
        <f t="shared" si="217"/>
        <v>ffdfd3c0</v>
      </c>
      <c r="D4522" t="s">
        <v>111</v>
      </c>
      <c r="E4522">
        <v>18</v>
      </c>
      <c r="F4522">
        <v>1018</v>
      </c>
      <c r="G4522" t="s">
        <v>112</v>
      </c>
      <c r="J4522" t="s">
        <v>113</v>
      </c>
      <c r="K4522">
        <v>0</v>
      </c>
      <c r="L4522">
        <v>3</v>
      </c>
      <c r="M4522">
        <v>0</v>
      </c>
      <c r="N4522">
        <v>2</v>
      </c>
      <c r="O4522">
        <v>1</v>
      </c>
      <c r="P4522">
        <v>0</v>
      </c>
      <c r="Q4522">
        <v>0</v>
      </c>
      <c r="R4522" t="s">
        <v>114</v>
      </c>
      <c r="S4522" t="str">
        <f>"19:52:26.688"</f>
        <v>19:52:26.688</v>
      </c>
      <c r="T4522" t="str">
        <f>"19:52:25.984"</f>
        <v>19:52:25.984</v>
      </c>
      <c r="U4522" t="str">
        <f t="shared" si="214"/>
        <v>a1cdbe</v>
      </c>
      <c r="V4522">
        <v>0</v>
      </c>
      <c r="W4522">
        <v>0</v>
      </c>
      <c r="X4522">
        <v>2</v>
      </c>
      <c r="Y4522">
        <v>0</v>
      </c>
      <c r="Z4522">
        <v>0</v>
      </c>
      <c r="AB4522">
        <v>0</v>
      </c>
      <c r="AC4522">
        <v>9</v>
      </c>
      <c r="AD4522">
        <v>3</v>
      </c>
      <c r="AE4522">
        <v>0</v>
      </c>
      <c r="AF4522">
        <v>9</v>
      </c>
      <c r="AG4522" t="s">
        <v>1307</v>
      </c>
      <c r="AH4522">
        <v>0</v>
      </c>
      <c r="AI4522">
        <v>3</v>
      </c>
      <c r="AJ4522">
        <v>1</v>
      </c>
      <c r="AK4522">
        <v>0</v>
      </c>
      <c r="AL4522" t="s">
        <v>7422</v>
      </c>
      <c r="AM4522">
        <v>47.062361000000003</v>
      </c>
      <c r="AN4522" t="s">
        <v>8111</v>
      </c>
      <c r="AO4522">
        <v>-124.101563</v>
      </c>
      <c r="AP4522">
        <v>100</v>
      </c>
      <c r="AQ4522">
        <v>900</v>
      </c>
      <c r="AR4522" t="s">
        <v>118</v>
      </c>
      <c r="AS4522">
        <v>-73</v>
      </c>
      <c r="AT4522">
        <v>20</v>
      </c>
      <c r="AU4522">
        <v>64</v>
      </c>
      <c r="BC4522">
        <v>1200</v>
      </c>
      <c r="BD4522">
        <v>1</v>
      </c>
      <c r="BE4522" t="str">
        <f t="shared" si="215"/>
        <v xml:space="preserve">N215T   </v>
      </c>
      <c r="BF4522">
        <v>1</v>
      </c>
      <c r="BH4522">
        <v>0</v>
      </c>
      <c r="BI4522">
        <v>0</v>
      </c>
      <c r="BJ4522">
        <v>0</v>
      </c>
      <c r="BK4522">
        <v>1275</v>
      </c>
      <c r="BL4522">
        <v>375</v>
      </c>
      <c r="BM4522" t="s">
        <v>119</v>
      </c>
      <c r="BN4522">
        <v>1</v>
      </c>
      <c r="BO4522">
        <v>1</v>
      </c>
      <c r="BP4522">
        <v>1</v>
      </c>
      <c r="BQ4522">
        <v>0</v>
      </c>
      <c r="BT4522">
        <v>0</v>
      </c>
      <c r="BU4522">
        <v>0</v>
      </c>
      <c r="BV4522">
        <v>0</v>
      </c>
      <c r="CC4522" t="str">
        <f>"19:52:26.688"</f>
        <v>19:52:26.688</v>
      </c>
      <c r="CD4522" t="str">
        <f>"689301750"</f>
        <v>689301750</v>
      </c>
      <c r="CQ4522">
        <v>0</v>
      </c>
      <c r="CR4522">
        <v>2</v>
      </c>
      <c r="CS4522">
        <v>0</v>
      </c>
      <c r="CT4522">
        <v>2</v>
      </c>
      <c r="CU4522">
        <v>0</v>
      </c>
      <c r="CV4522">
        <v>2</v>
      </c>
      <c r="CW4522" t="s">
        <v>120</v>
      </c>
      <c r="CX4522">
        <v>257</v>
      </c>
      <c r="CY4522">
        <v>0</v>
      </c>
      <c r="CZ4522" t="s">
        <v>615</v>
      </c>
      <c r="DA4522" t="s">
        <v>616</v>
      </c>
      <c r="DD4522">
        <v>65701</v>
      </c>
      <c r="DE4522" t="s">
        <v>123</v>
      </c>
    </row>
    <row r="4523" spans="1:109" x14ac:dyDescent="0.3">
      <c r="A4523" t="str">
        <f>"19:52:28.328"</f>
        <v>19:52:28.328</v>
      </c>
      <c r="B4523" t="s">
        <v>110</v>
      </c>
      <c r="C4523" t="str">
        <f t="shared" si="217"/>
        <v>ffdfd3c0</v>
      </c>
      <c r="D4523" t="s">
        <v>111</v>
      </c>
      <c r="E4523">
        <v>18</v>
      </c>
      <c r="F4523">
        <v>1018</v>
      </c>
      <c r="G4523" t="s">
        <v>112</v>
      </c>
      <c r="J4523" t="s">
        <v>113</v>
      </c>
      <c r="K4523">
        <v>0</v>
      </c>
      <c r="L4523">
        <v>3</v>
      </c>
      <c r="M4523">
        <v>0</v>
      </c>
      <c r="N4523">
        <v>2</v>
      </c>
      <c r="O4523">
        <v>1</v>
      </c>
      <c r="P4523">
        <v>0</v>
      </c>
      <c r="Q4523">
        <v>0</v>
      </c>
      <c r="R4523" t="s">
        <v>114</v>
      </c>
      <c r="S4523" t="str">
        <f>"19:52:28.094"</f>
        <v>19:52:28.094</v>
      </c>
      <c r="T4523" t="str">
        <f>"19:52:27.695"</f>
        <v>19:52:27.695</v>
      </c>
      <c r="U4523" t="str">
        <f t="shared" si="214"/>
        <v>a1cdbe</v>
      </c>
      <c r="V4523">
        <v>0</v>
      </c>
      <c r="W4523">
        <v>0</v>
      </c>
      <c r="X4523">
        <v>2</v>
      </c>
      <c r="Y4523">
        <v>0</v>
      </c>
      <c r="Z4523">
        <v>0</v>
      </c>
      <c r="AB4523">
        <v>0</v>
      </c>
      <c r="AC4523">
        <v>9</v>
      </c>
      <c r="AD4523">
        <v>3</v>
      </c>
      <c r="AE4523">
        <v>0</v>
      </c>
      <c r="AF4523">
        <v>9</v>
      </c>
      <c r="AG4523" t="s">
        <v>1307</v>
      </c>
      <c r="AH4523">
        <v>0</v>
      </c>
      <c r="AI4523">
        <v>3</v>
      </c>
      <c r="AJ4523">
        <v>1</v>
      </c>
      <c r="AK4523">
        <v>0</v>
      </c>
      <c r="AL4523" t="s">
        <v>7520</v>
      </c>
      <c r="AM4523">
        <v>47.062446999999999</v>
      </c>
      <c r="AN4523" t="s">
        <v>8112</v>
      </c>
      <c r="AO4523">
        <v>-124.10231400000001</v>
      </c>
      <c r="AP4523">
        <v>100</v>
      </c>
      <c r="AQ4523">
        <v>900</v>
      </c>
      <c r="AR4523" t="s">
        <v>118</v>
      </c>
      <c r="AS4523">
        <v>-73</v>
      </c>
      <c r="AT4523">
        <v>19</v>
      </c>
      <c r="AU4523">
        <v>64</v>
      </c>
      <c r="BC4523">
        <v>1200</v>
      </c>
      <c r="BD4523">
        <v>1</v>
      </c>
      <c r="BE4523" t="str">
        <f t="shared" si="215"/>
        <v xml:space="preserve">N215T   </v>
      </c>
      <c r="BF4523">
        <v>1</v>
      </c>
      <c r="BH4523">
        <v>0</v>
      </c>
      <c r="BI4523">
        <v>0</v>
      </c>
      <c r="BJ4523">
        <v>0</v>
      </c>
      <c r="BK4523">
        <v>1275</v>
      </c>
      <c r="BL4523">
        <v>375</v>
      </c>
      <c r="BM4523" t="s">
        <v>119</v>
      </c>
      <c r="BN4523">
        <v>1</v>
      </c>
      <c r="BO4523">
        <v>1</v>
      </c>
      <c r="BP4523">
        <v>1</v>
      </c>
      <c r="BQ4523">
        <v>0</v>
      </c>
      <c r="BT4523">
        <v>0</v>
      </c>
      <c r="BU4523">
        <v>0</v>
      </c>
      <c r="BV4523">
        <v>0</v>
      </c>
      <c r="CC4523" t="str">
        <f>"19:52:28.102"</f>
        <v>19:52:28.102</v>
      </c>
      <c r="CD4523" t="str">
        <f>"099162922"</f>
        <v>099162922</v>
      </c>
      <c r="CQ4523">
        <v>0</v>
      </c>
      <c r="CR4523">
        <v>2</v>
      </c>
      <c r="CS4523">
        <v>0</v>
      </c>
      <c r="CT4523">
        <v>2</v>
      </c>
      <c r="CU4523">
        <v>0</v>
      </c>
      <c r="CV4523">
        <v>2</v>
      </c>
      <c r="CW4523" t="s">
        <v>120</v>
      </c>
      <c r="CX4523">
        <v>257</v>
      </c>
      <c r="CY4523">
        <v>0</v>
      </c>
      <c r="CZ4523" t="s">
        <v>615</v>
      </c>
      <c r="DA4523" t="s">
        <v>616</v>
      </c>
      <c r="DD4523">
        <v>66161</v>
      </c>
      <c r="DE4523" t="s">
        <v>123</v>
      </c>
    </row>
    <row r="4524" spans="1:109" x14ac:dyDescent="0.3">
      <c r="A4524" t="str">
        <f>"19:52:29.883"</f>
        <v>19:52:29.883</v>
      </c>
      <c r="B4524" t="s">
        <v>110</v>
      </c>
      <c r="C4524" t="str">
        <f t="shared" si="217"/>
        <v>ffdfd3c0</v>
      </c>
      <c r="D4524" t="s">
        <v>111</v>
      </c>
      <c r="E4524">
        <v>18</v>
      </c>
      <c r="F4524">
        <v>1018</v>
      </c>
      <c r="G4524" t="s">
        <v>112</v>
      </c>
      <c r="J4524" t="s">
        <v>113</v>
      </c>
      <c r="K4524">
        <v>0</v>
      </c>
      <c r="L4524">
        <v>3</v>
      </c>
      <c r="M4524">
        <v>0</v>
      </c>
      <c r="N4524">
        <v>2</v>
      </c>
      <c r="O4524">
        <v>1</v>
      </c>
      <c r="P4524">
        <v>0</v>
      </c>
      <c r="Q4524">
        <v>0</v>
      </c>
      <c r="R4524" t="s">
        <v>114</v>
      </c>
      <c r="S4524" t="str">
        <f>"19:52:29.609"</f>
        <v>19:52:29.609</v>
      </c>
      <c r="T4524" t="str">
        <f>"19:52:27.711"</f>
        <v>19:52:27.711</v>
      </c>
      <c r="U4524" t="str">
        <f t="shared" si="214"/>
        <v>a1cdbe</v>
      </c>
      <c r="V4524">
        <v>0</v>
      </c>
      <c r="W4524">
        <v>0</v>
      </c>
      <c r="X4524">
        <v>2</v>
      </c>
      <c r="Y4524">
        <v>0</v>
      </c>
      <c r="Z4524">
        <v>0</v>
      </c>
      <c r="AB4524">
        <v>0</v>
      </c>
      <c r="AC4524">
        <v>9</v>
      </c>
      <c r="AD4524">
        <v>3</v>
      </c>
      <c r="AE4524">
        <v>0</v>
      </c>
      <c r="AF4524">
        <v>9</v>
      </c>
      <c r="AG4524" t="s">
        <v>1307</v>
      </c>
      <c r="AH4524">
        <v>0</v>
      </c>
      <c r="AI4524">
        <v>3</v>
      </c>
      <c r="AJ4524">
        <v>1</v>
      </c>
      <c r="AK4524">
        <v>0</v>
      </c>
      <c r="AL4524" t="s">
        <v>8113</v>
      </c>
      <c r="AM4524">
        <v>47.062596999999997</v>
      </c>
      <c r="AN4524" t="s">
        <v>8114</v>
      </c>
      <c r="AO4524">
        <v>-124.103065</v>
      </c>
      <c r="AP4524">
        <v>100</v>
      </c>
      <c r="AQ4524">
        <v>900</v>
      </c>
      <c r="AR4524" t="s">
        <v>118</v>
      </c>
      <c r="AS4524">
        <v>-73</v>
      </c>
      <c r="AT4524">
        <v>19</v>
      </c>
      <c r="AU4524">
        <v>64</v>
      </c>
      <c r="BC4524">
        <v>1200</v>
      </c>
      <c r="BD4524">
        <v>1</v>
      </c>
      <c r="BE4524" t="str">
        <f t="shared" si="215"/>
        <v xml:space="preserve">N215T   </v>
      </c>
      <c r="BF4524">
        <v>1</v>
      </c>
      <c r="BH4524">
        <v>0</v>
      </c>
      <c r="BI4524">
        <v>0</v>
      </c>
      <c r="BJ4524">
        <v>0</v>
      </c>
      <c r="BK4524">
        <v>1275</v>
      </c>
      <c r="BL4524">
        <v>375</v>
      </c>
      <c r="BM4524" t="s">
        <v>119</v>
      </c>
      <c r="BN4524">
        <v>1</v>
      </c>
      <c r="BO4524">
        <v>1</v>
      </c>
      <c r="BP4524">
        <v>1</v>
      </c>
      <c r="BQ4524">
        <v>0</v>
      </c>
      <c r="BT4524">
        <v>0</v>
      </c>
      <c r="BU4524">
        <v>0</v>
      </c>
      <c r="BV4524">
        <v>0</v>
      </c>
      <c r="CC4524" t="str">
        <f>"19:52:29.617"</f>
        <v>19:52:29.617</v>
      </c>
      <c r="CD4524" t="str">
        <f>"614013677"</f>
        <v>614013677</v>
      </c>
      <c r="CQ4524">
        <v>0</v>
      </c>
      <c r="CR4524">
        <v>2</v>
      </c>
      <c r="CS4524">
        <v>0</v>
      </c>
      <c r="CT4524">
        <v>2</v>
      </c>
      <c r="CU4524">
        <v>0</v>
      </c>
      <c r="CV4524">
        <v>2</v>
      </c>
      <c r="CW4524" t="s">
        <v>120</v>
      </c>
      <c r="CX4524">
        <v>257</v>
      </c>
      <c r="CY4524">
        <v>0</v>
      </c>
      <c r="CZ4524" t="s">
        <v>615</v>
      </c>
      <c r="DA4524" t="s">
        <v>616</v>
      </c>
      <c r="DD4524">
        <v>66636</v>
      </c>
      <c r="DE4524" t="s">
        <v>123</v>
      </c>
    </row>
    <row r="4525" spans="1:109" x14ac:dyDescent="0.3">
      <c r="A4525" t="str">
        <f>"19:52:31.945"</f>
        <v>19:52:31.945</v>
      </c>
      <c r="B4525" t="s">
        <v>110</v>
      </c>
      <c r="C4525" t="str">
        <f t="shared" si="217"/>
        <v>ffdfd3c0</v>
      </c>
      <c r="D4525" t="s">
        <v>111</v>
      </c>
      <c r="E4525">
        <v>18</v>
      </c>
      <c r="F4525">
        <v>1018</v>
      </c>
      <c r="G4525" t="s">
        <v>112</v>
      </c>
      <c r="J4525" t="s">
        <v>113</v>
      </c>
      <c r="K4525">
        <v>0</v>
      </c>
      <c r="L4525">
        <v>3</v>
      </c>
      <c r="M4525">
        <v>0</v>
      </c>
      <c r="N4525">
        <v>2</v>
      </c>
      <c r="O4525">
        <v>1</v>
      </c>
      <c r="P4525">
        <v>0</v>
      </c>
      <c r="Q4525">
        <v>0</v>
      </c>
      <c r="R4525" t="s">
        <v>114</v>
      </c>
      <c r="S4525" t="str">
        <f>"19:52:31.680"</f>
        <v>19:52:31.680</v>
      </c>
      <c r="T4525" t="str">
        <f>"19:52:31.578"</f>
        <v>19:52:31.578</v>
      </c>
      <c r="U4525" t="str">
        <f t="shared" si="214"/>
        <v>a1cdbe</v>
      </c>
      <c r="V4525">
        <v>0</v>
      </c>
      <c r="W4525">
        <v>0</v>
      </c>
      <c r="X4525">
        <v>2</v>
      </c>
      <c r="Y4525">
        <v>0</v>
      </c>
      <c r="Z4525">
        <v>0</v>
      </c>
      <c r="AB4525">
        <v>0</v>
      </c>
      <c r="AC4525">
        <v>9</v>
      </c>
      <c r="AD4525">
        <v>3</v>
      </c>
      <c r="AE4525">
        <v>0</v>
      </c>
      <c r="AF4525">
        <v>9</v>
      </c>
      <c r="AG4525" t="s">
        <v>1307</v>
      </c>
      <c r="AH4525">
        <v>0</v>
      </c>
      <c r="AI4525">
        <v>3</v>
      </c>
      <c r="AJ4525">
        <v>1</v>
      </c>
      <c r="AK4525">
        <v>0</v>
      </c>
      <c r="AL4525" t="s">
        <v>7429</v>
      </c>
      <c r="AM4525">
        <v>47.062769000000003</v>
      </c>
      <c r="AN4525" t="s">
        <v>8115</v>
      </c>
      <c r="AO4525">
        <v>-124.104095</v>
      </c>
      <c r="AP4525">
        <v>100</v>
      </c>
      <c r="AQ4525">
        <v>900</v>
      </c>
      <c r="AR4525" t="s">
        <v>118</v>
      </c>
      <c r="AS4525">
        <v>-75</v>
      </c>
      <c r="AT4525">
        <v>18</v>
      </c>
      <c r="AU4525">
        <v>64</v>
      </c>
      <c r="BC4525">
        <v>1200</v>
      </c>
      <c r="BD4525">
        <v>1</v>
      </c>
      <c r="BE4525" t="str">
        <f t="shared" si="215"/>
        <v xml:space="preserve">N215T   </v>
      </c>
      <c r="BF4525">
        <v>1</v>
      </c>
      <c r="BH4525">
        <v>0</v>
      </c>
      <c r="BI4525">
        <v>0</v>
      </c>
      <c r="BJ4525">
        <v>0</v>
      </c>
      <c r="BK4525">
        <v>1300</v>
      </c>
      <c r="BL4525">
        <v>400</v>
      </c>
      <c r="BM4525" t="s">
        <v>119</v>
      </c>
      <c r="BN4525">
        <v>1</v>
      </c>
      <c r="BO4525">
        <v>1</v>
      </c>
      <c r="BP4525">
        <v>1</v>
      </c>
      <c r="BQ4525">
        <v>0</v>
      </c>
      <c r="BT4525">
        <v>0</v>
      </c>
      <c r="BU4525">
        <v>0</v>
      </c>
      <c r="BV4525">
        <v>0</v>
      </c>
      <c r="CC4525" t="str">
        <f>"19:52:31.688"</f>
        <v>19:52:31.688</v>
      </c>
      <c r="CD4525" t="str">
        <f>"683809861"</f>
        <v>683809861</v>
      </c>
      <c r="CQ4525">
        <v>0</v>
      </c>
      <c r="CR4525">
        <v>2</v>
      </c>
      <c r="CS4525">
        <v>0</v>
      </c>
      <c r="CT4525">
        <v>2</v>
      </c>
      <c r="CU4525">
        <v>0</v>
      </c>
      <c r="CV4525">
        <v>2</v>
      </c>
      <c r="CW4525" t="s">
        <v>120</v>
      </c>
      <c r="CX4525">
        <v>257</v>
      </c>
      <c r="CY4525">
        <v>0</v>
      </c>
      <c r="CZ4525" t="s">
        <v>615</v>
      </c>
      <c r="DA4525" t="s">
        <v>616</v>
      </c>
      <c r="DD4525">
        <v>67327</v>
      </c>
      <c r="DE4525" t="s">
        <v>123</v>
      </c>
    </row>
    <row r="4526" spans="1:109" x14ac:dyDescent="0.3">
      <c r="A4526" t="str">
        <f>"19:52:32.898"</f>
        <v>19:52:32.898</v>
      </c>
      <c r="B4526" t="s">
        <v>110</v>
      </c>
      <c r="C4526" t="str">
        <f t="shared" si="217"/>
        <v>ffdfd3c0</v>
      </c>
      <c r="D4526" t="s">
        <v>111</v>
      </c>
      <c r="E4526">
        <v>18</v>
      </c>
      <c r="F4526">
        <v>1018</v>
      </c>
      <c r="G4526" t="s">
        <v>112</v>
      </c>
      <c r="J4526" t="s">
        <v>113</v>
      </c>
      <c r="K4526">
        <v>0</v>
      </c>
      <c r="L4526">
        <v>3</v>
      </c>
      <c r="M4526">
        <v>0</v>
      </c>
      <c r="N4526">
        <v>2</v>
      </c>
      <c r="O4526">
        <v>1</v>
      </c>
      <c r="P4526">
        <v>0</v>
      </c>
      <c r="Q4526">
        <v>0</v>
      </c>
      <c r="R4526" t="s">
        <v>114</v>
      </c>
      <c r="S4526" t="str">
        <f>"19:52:32.641"</f>
        <v>19:52:32.641</v>
      </c>
      <c r="T4526" t="str">
        <f>"19:52:32.141"</f>
        <v>19:52:32.141</v>
      </c>
      <c r="U4526" t="str">
        <f t="shared" si="214"/>
        <v>a1cdbe</v>
      </c>
      <c r="V4526">
        <v>0</v>
      </c>
      <c r="W4526">
        <v>0</v>
      </c>
      <c r="X4526">
        <v>2</v>
      </c>
      <c r="Y4526">
        <v>0</v>
      </c>
      <c r="Z4526">
        <v>0</v>
      </c>
      <c r="AB4526">
        <v>0</v>
      </c>
      <c r="AC4526">
        <v>9</v>
      </c>
      <c r="AD4526">
        <v>3</v>
      </c>
      <c r="AE4526">
        <v>0</v>
      </c>
      <c r="AF4526">
        <v>9</v>
      </c>
      <c r="AG4526" t="s">
        <v>1307</v>
      </c>
      <c r="AH4526">
        <v>0</v>
      </c>
      <c r="AI4526">
        <v>3</v>
      </c>
      <c r="AJ4526">
        <v>1</v>
      </c>
      <c r="AK4526">
        <v>0</v>
      </c>
      <c r="AL4526" t="s">
        <v>7517</v>
      </c>
      <c r="AM4526">
        <v>47.062832999999998</v>
      </c>
      <c r="AN4526" t="s">
        <v>8116</v>
      </c>
      <c r="AO4526">
        <v>-124.10458800000001</v>
      </c>
      <c r="AP4526">
        <v>100</v>
      </c>
      <c r="AQ4526">
        <v>900</v>
      </c>
      <c r="AR4526" t="s">
        <v>118</v>
      </c>
      <c r="AS4526">
        <v>-75</v>
      </c>
      <c r="AT4526">
        <v>18</v>
      </c>
      <c r="AU4526">
        <v>64</v>
      </c>
      <c r="BC4526">
        <v>1200</v>
      </c>
      <c r="BD4526">
        <v>1</v>
      </c>
      <c r="BE4526" t="str">
        <f t="shared" si="215"/>
        <v xml:space="preserve">N215T   </v>
      </c>
      <c r="BF4526">
        <v>1</v>
      </c>
      <c r="BH4526">
        <v>0</v>
      </c>
      <c r="BI4526">
        <v>0</v>
      </c>
      <c r="BJ4526">
        <v>0</v>
      </c>
      <c r="BK4526">
        <v>1300</v>
      </c>
      <c r="BL4526">
        <v>400</v>
      </c>
      <c r="BM4526" t="s">
        <v>119</v>
      </c>
      <c r="BN4526">
        <v>1</v>
      </c>
      <c r="BO4526">
        <v>1</v>
      </c>
      <c r="BP4526">
        <v>1</v>
      </c>
      <c r="BQ4526">
        <v>0</v>
      </c>
      <c r="BT4526">
        <v>0</v>
      </c>
      <c r="BU4526">
        <v>0</v>
      </c>
      <c r="BV4526">
        <v>0</v>
      </c>
      <c r="CC4526" t="str">
        <f>"19:52:32.641"</f>
        <v>19:52:32.641</v>
      </c>
      <c r="CD4526" t="str">
        <f>"643715331"</f>
        <v>643715331</v>
      </c>
      <c r="CQ4526">
        <v>0</v>
      </c>
      <c r="CR4526">
        <v>2</v>
      </c>
      <c r="CS4526">
        <v>0</v>
      </c>
      <c r="CT4526">
        <v>2</v>
      </c>
      <c r="CU4526">
        <v>0</v>
      </c>
      <c r="CV4526">
        <v>3</v>
      </c>
      <c r="CW4526" t="s">
        <v>120</v>
      </c>
      <c r="CX4526">
        <v>257</v>
      </c>
      <c r="CY4526">
        <v>0</v>
      </c>
      <c r="CZ4526" t="s">
        <v>615</v>
      </c>
      <c r="DA4526" t="s">
        <v>616</v>
      </c>
      <c r="DD4526">
        <v>67603</v>
      </c>
      <c r="DE4526" t="s">
        <v>123</v>
      </c>
    </row>
    <row r="4527" spans="1:109" x14ac:dyDescent="0.3">
      <c r="A4527" t="str">
        <f>"19:52:39.531"</f>
        <v>19:52:39.531</v>
      </c>
      <c r="B4527" t="s">
        <v>110</v>
      </c>
      <c r="C4527" t="str">
        <f t="shared" si="217"/>
        <v>ffdfd3c0</v>
      </c>
      <c r="D4527" t="s">
        <v>111</v>
      </c>
      <c r="E4527">
        <v>18</v>
      </c>
      <c r="F4527">
        <v>1018</v>
      </c>
      <c r="G4527" t="s">
        <v>112</v>
      </c>
      <c r="J4527" t="s">
        <v>113</v>
      </c>
      <c r="K4527">
        <v>0</v>
      </c>
      <c r="L4527">
        <v>3</v>
      </c>
      <c r="M4527">
        <v>0</v>
      </c>
      <c r="N4527">
        <v>2</v>
      </c>
      <c r="O4527">
        <v>1</v>
      </c>
      <c r="P4527">
        <v>0</v>
      </c>
      <c r="Q4527">
        <v>0</v>
      </c>
      <c r="R4527" t="s">
        <v>114</v>
      </c>
      <c r="S4527" t="str">
        <f>"19:52:39.031"</f>
        <v>19:52:39.031</v>
      </c>
      <c r="T4527" t="str">
        <f>"19:52:36.031"</f>
        <v>19:52:36.031</v>
      </c>
      <c r="U4527" t="str">
        <f t="shared" si="214"/>
        <v>a1cdbe</v>
      </c>
      <c r="V4527">
        <v>0</v>
      </c>
      <c r="W4527">
        <v>0</v>
      </c>
      <c r="X4527">
        <v>2</v>
      </c>
      <c r="Y4527">
        <v>0</v>
      </c>
      <c r="Z4527">
        <v>0</v>
      </c>
      <c r="AB4527">
        <v>0</v>
      </c>
      <c r="AC4527">
        <v>9</v>
      </c>
      <c r="AD4527">
        <v>3</v>
      </c>
      <c r="AE4527">
        <v>0</v>
      </c>
      <c r="AF4527">
        <v>9</v>
      </c>
      <c r="AG4527" t="s">
        <v>1307</v>
      </c>
      <c r="AH4527">
        <v>0</v>
      </c>
      <c r="AI4527">
        <v>3</v>
      </c>
      <c r="AJ4527">
        <v>1</v>
      </c>
      <c r="AK4527">
        <v>0</v>
      </c>
      <c r="AL4527" t="s">
        <v>7435</v>
      </c>
      <c r="AM4527">
        <v>47.063327000000001</v>
      </c>
      <c r="AN4527" t="s">
        <v>8117</v>
      </c>
      <c r="AO4527">
        <v>-124.107828</v>
      </c>
      <c r="AP4527">
        <v>100</v>
      </c>
      <c r="AQ4527">
        <v>900</v>
      </c>
      <c r="AR4527" t="s">
        <v>118</v>
      </c>
      <c r="AS4527">
        <v>-75</v>
      </c>
      <c r="AT4527">
        <v>18</v>
      </c>
      <c r="AU4527">
        <v>128</v>
      </c>
      <c r="BC4527">
        <v>1200</v>
      </c>
      <c r="BD4527">
        <v>1</v>
      </c>
      <c r="BE4527" t="str">
        <f t="shared" si="215"/>
        <v xml:space="preserve">N215T   </v>
      </c>
      <c r="BF4527">
        <v>1</v>
      </c>
      <c r="BH4527">
        <v>0</v>
      </c>
      <c r="BI4527">
        <v>0</v>
      </c>
      <c r="BJ4527">
        <v>0</v>
      </c>
      <c r="BK4527">
        <v>1300</v>
      </c>
      <c r="BL4527">
        <v>400</v>
      </c>
      <c r="BM4527" t="s">
        <v>119</v>
      </c>
      <c r="BN4527">
        <v>1</v>
      </c>
      <c r="BO4527">
        <v>1</v>
      </c>
      <c r="BP4527">
        <v>1</v>
      </c>
      <c r="BQ4527">
        <v>0</v>
      </c>
      <c r="BT4527">
        <v>0</v>
      </c>
      <c r="BU4527">
        <v>0</v>
      </c>
      <c r="BV4527">
        <v>0</v>
      </c>
      <c r="CC4527" t="str">
        <f>"19:52:39.031"</f>
        <v>19:52:39.031</v>
      </c>
      <c r="CD4527" t="str">
        <f>"033085996"</f>
        <v>033085996</v>
      </c>
      <c r="CQ4527">
        <v>0</v>
      </c>
      <c r="CR4527">
        <v>2</v>
      </c>
      <c r="CS4527">
        <v>0</v>
      </c>
      <c r="CT4527">
        <v>2</v>
      </c>
      <c r="CU4527">
        <v>0</v>
      </c>
      <c r="CV4527">
        <v>2</v>
      </c>
      <c r="CW4527" t="s">
        <v>120</v>
      </c>
      <c r="CX4527">
        <v>257</v>
      </c>
      <c r="CY4527">
        <v>3</v>
      </c>
      <c r="CZ4527" t="s">
        <v>615</v>
      </c>
      <c r="DA4527" t="s">
        <v>616</v>
      </c>
      <c r="DD4527">
        <v>9538000</v>
      </c>
      <c r="DE4527" t="s">
        <v>123</v>
      </c>
    </row>
    <row r="4528" spans="1:109" x14ac:dyDescent="0.3">
      <c r="A4528" t="str">
        <f>"19:52:40.336"</f>
        <v>19:52:40.336</v>
      </c>
      <c r="B4528" t="s">
        <v>110</v>
      </c>
      <c r="C4528" t="str">
        <f t="shared" si="217"/>
        <v>ffdfd3c0</v>
      </c>
      <c r="D4528" t="s">
        <v>111</v>
      </c>
      <c r="E4528">
        <v>18</v>
      </c>
      <c r="F4528">
        <v>1018</v>
      </c>
      <c r="G4528" t="s">
        <v>112</v>
      </c>
      <c r="J4528" t="s">
        <v>113</v>
      </c>
      <c r="K4528">
        <v>0</v>
      </c>
      <c r="L4528">
        <v>3</v>
      </c>
      <c r="M4528">
        <v>0</v>
      </c>
      <c r="N4528">
        <v>2</v>
      </c>
      <c r="O4528">
        <v>1</v>
      </c>
      <c r="P4528">
        <v>0</v>
      </c>
      <c r="Q4528">
        <v>0</v>
      </c>
      <c r="R4528" t="s">
        <v>114</v>
      </c>
      <c r="S4528" t="str">
        <f>"19:52:40.063"</f>
        <v>19:52:40.063</v>
      </c>
      <c r="T4528" t="str">
        <f>"19:52:37.164"</f>
        <v>19:52:37.164</v>
      </c>
      <c r="U4528" t="str">
        <f t="shared" si="214"/>
        <v>a1cdbe</v>
      </c>
      <c r="V4528">
        <v>0</v>
      </c>
      <c r="W4528">
        <v>0</v>
      </c>
      <c r="X4528">
        <v>2</v>
      </c>
      <c r="Y4528">
        <v>0</v>
      </c>
      <c r="Z4528">
        <v>0</v>
      </c>
      <c r="AB4528">
        <v>0</v>
      </c>
      <c r="AC4528">
        <v>9</v>
      </c>
      <c r="AD4528">
        <v>3</v>
      </c>
      <c r="AE4528">
        <v>0</v>
      </c>
      <c r="AF4528">
        <v>9</v>
      </c>
      <c r="AG4528" t="s">
        <v>1307</v>
      </c>
      <c r="AH4528">
        <v>0</v>
      </c>
      <c r="AI4528">
        <v>3</v>
      </c>
      <c r="AJ4528">
        <v>1</v>
      </c>
      <c r="AK4528">
        <v>0</v>
      </c>
      <c r="AL4528" t="s">
        <v>7587</v>
      </c>
      <c r="AM4528">
        <v>47.063412999999997</v>
      </c>
      <c r="AN4528" t="s">
        <v>8118</v>
      </c>
      <c r="AO4528">
        <v>-124.10836500000001</v>
      </c>
      <c r="AP4528">
        <v>100</v>
      </c>
      <c r="AQ4528">
        <v>900</v>
      </c>
      <c r="AR4528" t="s">
        <v>118</v>
      </c>
      <c r="AS4528">
        <v>-75</v>
      </c>
      <c r="AT4528">
        <v>17</v>
      </c>
      <c r="AU4528">
        <v>128</v>
      </c>
      <c r="BC4528">
        <v>1200</v>
      </c>
      <c r="BD4528">
        <v>1</v>
      </c>
      <c r="BE4528" t="str">
        <f t="shared" si="215"/>
        <v xml:space="preserve">N215T   </v>
      </c>
      <c r="BF4528">
        <v>1</v>
      </c>
      <c r="BH4528">
        <v>0</v>
      </c>
      <c r="BI4528">
        <v>0</v>
      </c>
      <c r="BJ4528">
        <v>0</v>
      </c>
      <c r="BK4528">
        <v>1300</v>
      </c>
      <c r="BL4528">
        <v>400</v>
      </c>
      <c r="BM4528" t="s">
        <v>119</v>
      </c>
      <c r="BN4528">
        <v>1</v>
      </c>
      <c r="BO4528">
        <v>1</v>
      </c>
      <c r="BP4528">
        <v>1</v>
      </c>
      <c r="BQ4528">
        <v>0</v>
      </c>
      <c r="BT4528">
        <v>0</v>
      </c>
      <c r="BU4528">
        <v>0</v>
      </c>
      <c r="BV4528">
        <v>0</v>
      </c>
      <c r="CC4528" t="str">
        <f>"19:52:40.070"</f>
        <v>19:52:40.070</v>
      </c>
      <c r="CD4528" t="str">
        <f>"067984081"</f>
        <v>067984081</v>
      </c>
      <c r="CQ4528">
        <v>0</v>
      </c>
      <c r="CR4528">
        <v>2</v>
      </c>
      <c r="CS4528">
        <v>0</v>
      </c>
      <c r="CT4528">
        <v>2</v>
      </c>
      <c r="CU4528">
        <v>0</v>
      </c>
      <c r="CV4528">
        <v>4</v>
      </c>
      <c r="CW4528" t="s">
        <v>120</v>
      </c>
      <c r="CX4528">
        <v>257</v>
      </c>
      <c r="CY4528">
        <v>0</v>
      </c>
      <c r="CZ4528" t="s">
        <v>615</v>
      </c>
      <c r="DA4528" t="s">
        <v>616</v>
      </c>
      <c r="DD4528">
        <v>69970</v>
      </c>
      <c r="DE4528" t="s">
        <v>123</v>
      </c>
    </row>
    <row r="4529" spans="1:109" x14ac:dyDescent="0.3">
      <c r="A4529" t="str">
        <f>"19:52:41.445"</f>
        <v>19:52:41.445</v>
      </c>
      <c r="B4529" t="s">
        <v>110</v>
      </c>
      <c r="C4529" t="str">
        <f t="shared" si="217"/>
        <v>ffdfd3c0</v>
      </c>
      <c r="D4529" t="s">
        <v>111</v>
      </c>
      <c r="E4529">
        <v>18</v>
      </c>
      <c r="F4529">
        <v>1018</v>
      </c>
      <c r="G4529" t="s">
        <v>112</v>
      </c>
      <c r="J4529" t="s">
        <v>113</v>
      </c>
      <c r="K4529">
        <v>0</v>
      </c>
      <c r="L4529">
        <v>3</v>
      </c>
      <c r="M4529">
        <v>0</v>
      </c>
      <c r="N4529">
        <v>2</v>
      </c>
      <c r="O4529">
        <v>1</v>
      </c>
      <c r="P4529">
        <v>0</v>
      </c>
      <c r="Q4529">
        <v>0</v>
      </c>
      <c r="R4529" t="s">
        <v>114</v>
      </c>
      <c r="S4529" t="str">
        <f>"19:52:41.219"</f>
        <v>19:52:41.219</v>
      </c>
      <c r="T4529" t="str">
        <f>"19:52:40.820"</f>
        <v>19:52:40.820</v>
      </c>
      <c r="U4529" t="str">
        <f t="shared" si="214"/>
        <v>a1cdbe</v>
      </c>
      <c r="V4529">
        <v>0</v>
      </c>
      <c r="W4529">
        <v>0</v>
      </c>
      <c r="X4529">
        <v>2</v>
      </c>
      <c r="Y4529">
        <v>0</v>
      </c>
      <c r="Z4529">
        <v>0</v>
      </c>
      <c r="AB4529">
        <v>0</v>
      </c>
      <c r="AC4529">
        <v>9</v>
      </c>
      <c r="AD4529">
        <v>3</v>
      </c>
      <c r="AE4529">
        <v>0</v>
      </c>
      <c r="AF4529">
        <v>9</v>
      </c>
      <c r="AG4529" t="s">
        <v>1307</v>
      </c>
      <c r="AH4529">
        <v>0</v>
      </c>
      <c r="AI4529">
        <v>3</v>
      </c>
      <c r="AJ4529">
        <v>1</v>
      </c>
      <c r="AK4529">
        <v>0</v>
      </c>
      <c r="AL4529" t="s">
        <v>8119</v>
      </c>
      <c r="AM4529">
        <v>47.063498000000003</v>
      </c>
      <c r="AN4529" t="s">
        <v>8120</v>
      </c>
      <c r="AO4529">
        <v>-124.108901</v>
      </c>
      <c r="AP4529">
        <v>100</v>
      </c>
      <c r="AQ4529">
        <v>900</v>
      </c>
      <c r="AR4529" t="s">
        <v>118</v>
      </c>
      <c r="AS4529">
        <v>-75</v>
      </c>
      <c r="AT4529">
        <v>15</v>
      </c>
      <c r="AU4529">
        <v>128</v>
      </c>
      <c r="BC4529">
        <v>1200</v>
      </c>
      <c r="BD4529">
        <v>1</v>
      </c>
      <c r="BE4529" t="str">
        <f t="shared" si="215"/>
        <v xml:space="preserve">N215T   </v>
      </c>
      <c r="BF4529">
        <v>1</v>
      </c>
      <c r="BH4529">
        <v>0</v>
      </c>
      <c r="BI4529">
        <v>0</v>
      </c>
      <c r="BJ4529">
        <v>0</v>
      </c>
      <c r="BK4529">
        <v>1325</v>
      </c>
      <c r="BL4529">
        <v>425</v>
      </c>
      <c r="BM4529" t="s">
        <v>119</v>
      </c>
      <c r="BN4529">
        <v>1</v>
      </c>
      <c r="BO4529">
        <v>1</v>
      </c>
      <c r="BP4529">
        <v>1</v>
      </c>
      <c r="BQ4529">
        <v>0</v>
      </c>
      <c r="BT4529">
        <v>0</v>
      </c>
      <c r="BU4529">
        <v>0</v>
      </c>
      <c r="BV4529">
        <v>0</v>
      </c>
      <c r="CC4529" t="str">
        <f>"19:52:41.227"</f>
        <v>19:52:41.227</v>
      </c>
      <c r="CD4529" t="str">
        <f>"222870350"</f>
        <v>222870350</v>
      </c>
      <c r="CQ4529">
        <v>0</v>
      </c>
      <c r="CR4529">
        <v>2</v>
      </c>
      <c r="CS4529">
        <v>0</v>
      </c>
      <c r="CT4529">
        <v>2</v>
      </c>
      <c r="CU4529">
        <v>0</v>
      </c>
      <c r="CV4529">
        <v>3</v>
      </c>
      <c r="CW4529" t="s">
        <v>120</v>
      </c>
      <c r="CX4529">
        <v>257</v>
      </c>
      <c r="CY4529">
        <v>0</v>
      </c>
      <c r="CZ4529" t="s">
        <v>615</v>
      </c>
      <c r="DA4529" t="s">
        <v>616</v>
      </c>
      <c r="DD4529">
        <v>70324</v>
      </c>
      <c r="DE4529" t="s">
        <v>123</v>
      </c>
    </row>
    <row r="4530" spans="1:109" x14ac:dyDescent="0.3">
      <c r="A4530" t="str">
        <f>"19:52:42.398"</f>
        <v>19:52:42.398</v>
      </c>
      <c r="B4530" t="s">
        <v>110</v>
      </c>
      <c r="C4530" t="str">
        <f t="shared" si="217"/>
        <v>ffdfd3c0</v>
      </c>
      <c r="D4530" t="s">
        <v>111</v>
      </c>
      <c r="E4530">
        <v>18</v>
      </c>
      <c r="F4530">
        <v>1018</v>
      </c>
      <c r="G4530" t="s">
        <v>112</v>
      </c>
      <c r="J4530" t="s">
        <v>113</v>
      </c>
      <c r="K4530">
        <v>0</v>
      </c>
      <c r="L4530">
        <v>3</v>
      </c>
      <c r="M4530">
        <v>0</v>
      </c>
      <c r="N4530">
        <v>2</v>
      </c>
      <c r="O4530">
        <v>1</v>
      </c>
      <c r="P4530">
        <v>0</v>
      </c>
      <c r="Q4530">
        <v>0</v>
      </c>
      <c r="R4530" t="s">
        <v>114</v>
      </c>
      <c r="S4530" t="str">
        <f>"19:52:42.164"</f>
        <v>19:52:42.164</v>
      </c>
      <c r="T4530" t="str">
        <f>"19:52:41.766"</f>
        <v>19:52:41.766</v>
      </c>
      <c r="U4530" t="str">
        <f t="shared" si="214"/>
        <v>a1cdbe</v>
      </c>
      <c r="V4530">
        <v>0</v>
      </c>
      <c r="W4530">
        <v>0</v>
      </c>
      <c r="X4530">
        <v>2</v>
      </c>
      <c r="Y4530">
        <v>0</v>
      </c>
      <c r="Z4530">
        <v>0</v>
      </c>
      <c r="AB4530">
        <v>0</v>
      </c>
      <c r="AC4530">
        <v>9</v>
      </c>
      <c r="AD4530">
        <v>3</v>
      </c>
      <c r="AE4530">
        <v>0</v>
      </c>
      <c r="AF4530">
        <v>9</v>
      </c>
      <c r="AG4530" t="s">
        <v>1307</v>
      </c>
      <c r="AH4530">
        <v>0</v>
      </c>
      <c r="AI4530">
        <v>3</v>
      </c>
      <c r="AJ4530">
        <v>1</v>
      </c>
      <c r="AK4530">
        <v>0</v>
      </c>
      <c r="AL4530" t="s">
        <v>7437</v>
      </c>
      <c r="AM4530">
        <v>47.063563000000002</v>
      </c>
      <c r="AN4530" t="s">
        <v>8121</v>
      </c>
      <c r="AO4530">
        <v>-124.109459</v>
      </c>
      <c r="AP4530">
        <v>100</v>
      </c>
      <c r="AQ4530">
        <v>900</v>
      </c>
      <c r="AR4530" t="s">
        <v>118</v>
      </c>
      <c r="AS4530">
        <v>-75</v>
      </c>
      <c r="AT4530">
        <v>15</v>
      </c>
      <c r="AU4530">
        <v>128</v>
      </c>
      <c r="BC4530">
        <v>1200</v>
      </c>
      <c r="BD4530">
        <v>1</v>
      </c>
      <c r="BE4530" t="str">
        <f t="shared" si="215"/>
        <v xml:space="preserve">N215T   </v>
      </c>
      <c r="BF4530">
        <v>1</v>
      </c>
      <c r="BH4530">
        <v>0</v>
      </c>
      <c r="BI4530">
        <v>0</v>
      </c>
      <c r="BJ4530">
        <v>0</v>
      </c>
      <c r="BK4530">
        <v>1325</v>
      </c>
      <c r="BL4530">
        <v>425</v>
      </c>
      <c r="BM4530" t="s">
        <v>119</v>
      </c>
      <c r="BN4530">
        <v>1</v>
      </c>
      <c r="BO4530">
        <v>1</v>
      </c>
      <c r="BP4530">
        <v>1</v>
      </c>
      <c r="BQ4530">
        <v>0</v>
      </c>
      <c r="BT4530">
        <v>0</v>
      </c>
      <c r="BU4530">
        <v>0</v>
      </c>
      <c r="BV4530">
        <v>0</v>
      </c>
      <c r="CC4530" t="str">
        <f>"19:52:42.164"</f>
        <v>19:52:42.164</v>
      </c>
      <c r="CD4530" t="str">
        <f>"167777258"</f>
        <v>167777258</v>
      </c>
      <c r="CQ4530">
        <v>0</v>
      </c>
      <c r="CR4530">
        <v>2</v>
      </c>
      <c r="CS4530">
        <v>0</v>
      </c>
      <c r="CT4530">
        <v>2</v>
      </c>
      <c r="CU4530">
        <v>0</v>
      </c>
      <c r="CV4530">
        <v>4</v>
      </c>
      <c r="CW4530" t="s">
        <v>120</v>
      </c>
      <c r="CX4530">
        <v>257</v>
      </c>
      <c r="CY4530">
        <v>0</v>
      </c>
      <c r="CZ4530" t="s">
        <v>615</v>
      </c>
      <c r="DA4530" t="s">
        <v>616</v>
      </c>
      <c r="DD4530">
        <v>70629</v>
      </c>
      <c r="DE4530" t="s">
        <v>123</v>
      </c>
    </row>
    <row r="4531" spans="1:109" x14ac:dyDescent="0.3">
      <c r="A4531" t="str">
        <f>"19:52:43.758"</f>
        <v>19:52:43.758</v>
      </c>
      <c r="B4531" t="s">
        <v>110</v>
      </c>
      <c r="C4531" t="str">
        <f t="shared" si="217"/>
        <v>ffdfd3c0</v>
      </c>
      <c r="D4531" t="s">
        <v>111</v>
      </c>
      <c r="E4531">
        <v>18</v>
      </c>
      <c r="F4531">
        <v>1018</v>
      </c>
      <c r="G4531" t="s">
        <v>112</v>
      </c>
      <c r="J4531" t="s">
        <v>113</v>
      </c>
      <c r="K4531">
        <v>0</v>
      </c>
      <c r="L4531">
        <v>3</v>
      </c>
      <c r="M4531">
        <v>0</v>
      </c>
      <c r="N4531">
        <v>2</v>
      </c>
      <c r="O4531">
        <v>1</v>
      </c>
      <c r="P4531">
        <v>0</v>
      </c>
      <c r="Q4531">
        <v>0</v>
      </c>
      <c r="R4531" t="s">
        <v>114</v>
      </c>
      <c r="S4531" t="str">
        <f>"19:52:43.516"</f>
        <v>19:52:43.516</v>
      </c>
      <c r="T4531" t="str">
        <f>"19:52:43.219"</f>
        <v>19:52:43.219</v>
      </c>
      <c r="U4531" t="str">
        <f t="shared" si="214"/>
        <v>a1cdbe</v>
      </c>
      <c r="V4531">
        <v>0</v>
      </c>
      <c r="W4531">
        <v>0</v>
      </c>
      <c r="X4531">
        <v>2</v>
      </c>
      <c r="Y4531">
        <v>0</v>
      </c>
      <c r="Z4531">
        <v>0</v>
      </c>
      <c r="AB4531">
        <v>0</v>
      </c>
      <c r="AC4531">
        <v>9</v>
      </c>
      <c r="AD4531">
        <v>3</v>
      </c>
      <c r="AE4531">
        <v>0</v>
      </c>
      <c r="AF4531">
        <v>9</v>
      </c>
      <c r="AG4531" t="s">
        <v>1307</v>
      </c>
      <c r="AH4531">
        <v>0</v>
      </c>
      <c r="AI4531">
        <v>3</v>
      </c>
      <c r="AJ4531">
        <v>1</v>
      </c>
      <c r="AK4531">
        <v>0</v>
      </c>
      <c r="AL4531" t="s">
        <v>7733</v>
      </c>
      <c r="AM4531">
        <v>47.063670000000002</v>
      </c>
      <c r="AN4531" t="s">
        <v>8122</v>
      </c>
      <c r="AO4531">
        <v>-124.11008099999999</v>
      </c>
      <c r="AP4531">
        <v>100</v>
      </c>
      <c r="AQ4531">
        <v>900</v>
      </c>
      <c r="AR4531" t="s">
        <v>118</v>
      </c>
      <c r="AS4531">
        <v>-75</v>
      </c>
      <c r="AT4531">
        <v>15</v>
      </c>
      <c r="AU4531">
        <v>128</v>
      </c>
      <c r="BC4531">
        <v>1200</v>
      </c>
      <c r="BD4531">
        <v>1</v>
      </c>
      <c r="BE4531" t="str">
        <f t="shared" si="215"/>
        <v xml:space="preserve">N215T   </v>
      </c>
      <c r="BF4531">
        <v>1</v>
      </c>
      <c r="BH4531">
        <v>0</v>
      </c>
      <c r="BI4531">
        <v>0</v>
      </c>
      <c r="BJ4531">
        <v>0</v>
      </c>
      <c r="BK4531">
        <v>1325</v>
      </c>
      <c r="BL4531">
        <v>425</v>
      </c>
      <c r="BM4531" t="s">
        <v>119</v>
      </c>
      <c r="BN4531">
        <v>1</v>
      </c>
      <c r="BO4531">
        <v>1</v>
      </c>
      <c r="BP4531">
        <v>1</v>
      </c>
      <c r="BQ4531">
        <v>0</v>
      </c>
      <c r="BT4531">
        <v>0</v>
      </c>
      <c r="BU4531">
        <v>0</v>
      </c>
      <c r="BV4531">
        <v>0</v>
      </c>
      <c r="CC4531" t="str">
        <f>"19:52:43.516"</f>
        <v>19:52:43.516</v>
      </c>
      <c r="CD4531" t="str">
        <f>"517644330"</f>
        <v>517644330</v>
      </c>
      <c r="CQ4531">
        <v>0</v>
      </c>
      <c r="CR4531">
        <v>2</v>
      </c>
      <c r="CS4531">
        <v>0</v>
      </c>
      <c r="CT4531">
        <v>2</v>
      </c>
      <c r="CU4531">
        <v>0</v>
      </c>
      <c r="CV4531">
        <v>3</v>
      </c>
      <c r="CW4531" t="s">
        <v>120</v>
      </c>
      <c r="CX4531">
        <v>257</v>
      </c>
      <c r="CY4531">
        <v>0</v>
      </c>
      <c r="CZ4531" t="s">
        <v>615</v>
      </c>
      <c r="DA4531" t="s">
        <v>616</v>
      </c>
      <c r="DD4531">
        <v>71044</v>
      </c>
      <c r="DE4531" t="s">
        <v>123</v>
      </c>
    </row>
    <row r="4532" spans="1:109" x14ac:dyDescent="0.3">
      <c r="A4532" t="str">
        <f>"19:52:45.828"</f>
        <v>19:52:45.828</v>
      </c>
      <c r="B4532" t="s">
        <v>110</v>
      </c>
      <c r="C4532" t="str">
        <f t="shared" si="217"/>
        <v>ffdfd3c0</v>
      </c>
      <c r="D4532" t="s">
        <v>111</v>
      </c>
      <c r="E4532">
        <v>18</v>
      </c>
      <c r="F4532">
        <v>1018</v>
      </c>
      <c r="G4532" t="s">
        <v>112</v>
      </c>
      <c r="J4532" t="s">
        <v>113</v>
      </c>
      <c r="K4532">
        <v>0</v>
      </c>
      <c r="L4532">
        <v>3</v>
      </c>
      <c r="M4532">
        <v>0</v>
      </c>
      <c r="N4532">
        <v>2</v>
      </c>
      <c r="O4532">
        <v>1</v>
      </c>
      <c r="P4532">
        <v>0</v>
      </c>
      <c r="Q4532">
        <v>0</v>
      </c>
      <c r="R4532" t="s">
        <v>114</v>
      </c>
      <c r="S4532" t="str">
        <f>"19:52:45.555"</f>
        <v>19:52:45.555</v>
      </c>
      <c r="T4532" t="str">
        <f>"19:52:45.258"</f>
        <v>19:52:45.258</v>
      </c>
      <c r="U4532" t="str">
        <f t="shared" si="214"/>
        <v>a1cdbe</v>
      </c>
      <c r="V4532">
        <v>0</v>
      </c>
      <c r="W4532">
        <v>0</v>
      </c>
      <c r="X4532">
        <v>2</v>
      </c>
      <c r="Y4532">
        <v>0</v>
      </c>
      <c r="Z4532">
        <v>0</v>
      </c>
      <c r="AB4532">
        <v>0</v>
      </c>
      <c r="AC4532">
        <v>9</v>
      </c>
      <c r="AD4532">
        <v>3</v>
      </c>
      <c r="AE4532">
        <v>0</v>
      </c>
      <c r="AF4532">
        <v>9</v>
      </c>
      <c r="AG4532" t="s">
        <v>1307</v>
      </c>
      <c r="AH4532">
        <v>0</v>
      </c>
      <c r="AI4532">
        <v>3</v>
      </c>
      <c r="AJ4532">
        <v>1</v>
      </c>
      <c r="AK4532">
        <v>0</v>
      </c>
      <c r="AL4532" t="s">
        <v>7591</v>
      </c>
      <c r="AM4532">
        <v>47.063777000000002</v>
      </c>
      <c r="AN4532" t="s">
        <v>8123</v>
      </c>
      <c r="AO4532">
        <v>-124.11111099999999</v>
      </c>
      <c r="AP4532">
        <v>100</v>
      </c>
      <c r="AQ4532">
        <v>1000</v>
      </c>
      <c r="AR4532" t="s">
        <v>118</v>
      </c>
      <c r="AS4532">
        <v>-75</v>
      </c>
      <c r="AT4532">
        <v>15</v>
      </c>
      <c r="AU4532">
        <v>128</v>
      </c>
      <c r="BC4532">
        <v>1200</v>
      </c>
      <c r="BD4532">
        <v>1</v>
      </c>
      <c r="BE4532" t="str">
        <f t="shared" si="215"/>
        <v xml:space="preserve">N215T   </v>
      </c>
      <c r="BF4532">
        <v>1</v>
      </c>
      <c r="BH4532">
        <v>0</v>
      </c>
      <c r="BI4532">
        <v>0</v>
      </c>
      <c r="BJ4532">
        <v>0</v>
      </c>
      <c r="BK4532">
        <v>1325</v>
      </c>
      <c r="BL4532">
        <v>325</v>
      </c>
      <c r="BM4532" t="s">
        <v>119</v>
      </c>
      <c r="BN4532">
        <v>1</v>
      </c>
      <c r="BO4532">
        <v>1</v>
      </c>
      <c r="BP4532">
        <v>1</v>
      </c>
      <c r="BQ4532">
        <v>0</v>
      </c>
      <c r="BT4532">
        <v>0</v>
      </c>
      <c r="BU4532">
        <v>0</v>
      </c>
      <c r="BV4532">
        <v>0</v>
      </c>
      <c r="CC4532" t="str">
        <f>"19:52:45.555"</f>
        <v>19:52:45.555</v>
      </c>
      <c r="CD4532" t="str">
        <f>"557443392"</f>
        <v>557443392</v>
      </c>
      <c r="CQ4532">
        <v>0</v>
      </c>
      <c r="CR4532">
        <v>2</v>
      </c>
      <c r="CS4532">
        <v>0</v>
      </c>
      <c r="CT4532">
        <v>2</v>
      </c>
      <c r="CU4532">
        <v>0</v>
      </c>
      <c r="CV4532">
        <v>3</v>
      </c>
      <c r="CW4532" t="s">
        <v>120</v>
      </c>
      <c r="CX4532">
        <v>257</v>
      </c>
      <c r="CY4532">
        <v>0</v>
      </c>
      <c r="CZ4532" t="s">
        <v>615</v>
      </c>
      <c r="DA4532" t="s">
        <v>616</v>
      </c>
      <c r="DD4532">
        <v>71670</v>
      </c>
      <c r="DE4532" t="s">
        <v>123</v>
      </c>
    </row>
    <row r="4533" spans="1:109" x14ac:dyDescent="0.3">
      <c r="A4533" t="str">
        <f>"19:52:46.875"</f>
        <v>19:52:46.875</v>
      </c>
      <c r="B4533" t="s">
        <v>110</v>
      </c>
      <c r="C4533" t="str">
        <f t="shared" si="217"/>
        <v>ffdfd3c0</v>
      </c>
      <c r="D4533" t="s">
        <v>111</v>
      </c>
      <c r="E4533">
        <v>18</v>
      </c>
      <c r="F4533">
        <v>1018</v>
      </c>
      <c r="G4533" t="s">
        <v>112</v>
      </c>
      <c r="J4533" t="s">
        <v>113</v>
      </c>
      <c r="K4533">
        <v>0</v>
      </c>
      <c r="L4533">
        <v>3</v>
      </c>
      <c r="M4533">
        <v>0</v>
      </c>
      <c r="N4533">
        <v>2</v>
      </c>
      <c r="O4533">
        <v>1</v>
      </c>
      <c r="P4533">
        <v>0</v>
      </c>
      <c r="Q4533">
        <v>0</v>
      </c>
      <c r="R4533" t="s">
        <v>114</v>
      </c>
      <c r="S4533" t="str">
        <f>"19:52:46.633"</f>
        <v>19:52:46.633</v>
      </c>
      <c r="T4533" t="str">
        <f>"19:52:46.234"</f>
        <v>19:52:46.234</v>
      </c>
      <c r="U4533" t="str">
        <f t="shared" si="214"/>
        <v>a1cdbe</v>
      </c>
      <c r="V4533">
        <v>0</v>
      </c>
      <c r="W4533">
        <v>0</v>
      </c>
      <c r="X4533">
        <v>2</v>
      </c>
      <c r="Y4533">
        <v>0</v>
      </c>
      <c r="Z4533">
        <v>0</v>
      </c>
      <c r="AB4533">
        <v>0</v>
      </c>
      <c r="AC4533">
        <v>9</v>
      </c>
      <c r="AD4533">
        <v>3</v>
      </c>
      <c r="AE4533">
        <v>0</v>
      </c>
      <c r="AF4533">
        <v>9</v>
      </c>
      <c r="AG4533" t="s">
        <v>1307</v>
      </c>
      <c r="AH4533">
        <v>0</v>
      </c>
      <c r="AI4533">
        <v>3</v>
      </c>
      <c r="AJ4533">
        <v>1</v>
      </c>
      <c r="AK4533">
        <v>0</v>
      </c>
      <c r="AL4533" t="s">
        <v>7593</v>
      </c>
      <c r="AM4533">
        <v>47.063884999999999</v>
      </c>
      <c r="AN4533" t="s">
        <v>8124</v>
      </c>
      <c r="AO4533">
        <v>-124.111626</v>
      </c>
      <c r="AP4533">
        <v>100</v>
      </c>
      <c r="AQ4533">
        <v>1000</v>
      </c>
      <c r="AR4533" t="s">
        <v>118</v>
      </c>
      <c r="AS4533">
        <v>-75</v>
      </c>
      <c r="AT4533">
        <v>15</v>
      </c>
      <c r="AU4533">
        <v>64</v>
      </c>
      <c r="BC4533">
        <v>1200</v>
      </c>
      <c r="BD4533">
        <v>1</v>
      </c>
      <c r="BE4533" t="str">
        <f t="shared" si="215"/>
        <v xml:space="preserve">N215T   </v>
      </c>
      <c r="BF4533">
        <v>1</v>
      </c>
      <c r="BH4533">
        <v>0</v>
      </c>
      <c r="BI4533">
        <v>0</v>
      </c>
      <c r="BJ4533">
        <v>0</v>
      </c>
      <c r="BK4533">
        <v>1325</v>
      </c>
      <c r="BL4533">
        <v>325</v>
      </c>
      <c r="BM4533" t="s">
        <v>119</v>
      </c>
      <c r="BN4533">
        <v>1</v>
      </c>
      <c r="BO4533">
        <v>1</v>
      </c>
      <c r="BP4533">
        <v>1</v>
      </c>
      <c r="BQ4533">
        <v>0</v>
      </c>
      <c r="BT4533">
        <v>0</v>
      </c>
      <c r="BU4533">
        <v>0</v>
      </c>
      <c r="BV4533">
        <v>0</v>
      </c>
      <c r="CC4533" t="str">
        <f>"19:52:46.641"</f>
        <v>19:52:46.641</v>
      </c>
      <c r="CD4533" t="str">
        <f>"637337027"</f>
        <v>637337027</v>
      </c>
      <c r="CQ4533">
        <v>0</v>
      </c>
      <c r="CR4533">
        <v>2</v>
      </c>
      <c r="CS4533">
        <v>0</v>
      </c>
      <c r="CT4533">
        <v>2</v>
      </c>
      <c r="CU4533">
        <v>0</v>
      </c>
      <c r="CV4533">
        <v>3</v>
      </c>
      <c r="CW4533" t="s">
        <v>120</v>
      </c>
      <c r="CX4533">
        <v>257</v>
      </c>
      <c r="CY4533">
        <v>0</v>
      </c>
      <c r="CZ4533" t="s">
        <v>615</v>
      </c>
      <c r="DA4533" t="s">
        <v>616</v>
      </c>
      <c r="DD4533">
        <v>72035</v>
      </c>
      <c r="DE4533" t="s">
        <v>123</v>
      </c>
    </row>
    <row r="4534" spans="1:109" x14ac:dyDescent="0.3">
      <c r="A4534" t="str">
        <f>"19:52:47.930"</f>
        <v>19:52:47.930</v>
      </c>
      <c r="B4534" t="s">
        <v>110</v>
      </c>
      <c r="C4534" t="str">
        <f t="shared" si="217"/>
        <v>ffdfd3c0</v>
      </c>
      <c r="D4534" t="s">
        <v>111</v>
      </c>
      <c r="E4534">
        <v>18</v>
      </c>
      <c r="F4534">
        <v>1018</v>
      </c>
      <c r="G4534" t="s">
        <v>112</v>
      </c>
      <c r="J4534" t="s">
        <v>113</v>
      </c>
      <c r="K4534">
        <v>0</v>
      </c>
      <c r="L4534">
        <v>3</v>
      </c>
      <c r="M4534">
        <v>0</v>
      </c>
      <c r="N4534">
        <v>2</v>
      </c>
      <c r="O4534">
        <v>1</v>
      </c>
      <c r="P4534">
        <v>0</v>
      </c>
      <c r="Q4534">
        <v>0</v>
      </c>
      <c r="R4534" t="s">
        <v>114</v>
      </c>
      <c r="S4534" t="str">
        <f>"19:52:47.680"</f>
        <v>19:52:47.680</v>
      </c>
      <c r="T4534" t="str">
        <f>"19:52:47.180"</f>
        <v>19:52:47.180</v>
      </c>
      <c r="U4534" t="str">
        <f t="shared" si="214"/>
        <v>a1cdbe</v>
      </c>
      <c r="V4534">
        <v>0</v>
      </c>
      <c r="W4534">
        <v>0</v>
      </c>
      <c r="X4534">
        <v>2</v>
      </c>
      <c r="Y4534">
        <v>0</v>
      </c>
      <c r="Z4534">
        <v>0</v>
      </c>
      <c r="AB4534">
        <v>0</v>
      </c>
      <c r="AC4534">
        <v>9</v>
      </c>
      <c r="AD4534">
        <v>3</v>
      </c>
      <c r="AE4534">
        <v>0</v>
      </c>
      <c r="AF4534">
        <v>9</v>
      </c>
      <c r="AG4534" t="s">
        <v>1307</v>
      </c>
      <c r="AH4534">
        <v>0</v>
      </c>
      <c r="AI4534">
        <v>3</v>
      </c>
      <c r="AJ4534">
        <v>1</v>
      </c>
      <c r="AK4534">
        <v>0</v>
      </c>
      <c r="AL4534" t="s">
        <v>7595</v>
      </c>
      <c r="AM4534">
        <v>47.063971000000002</v>
      </c>
      <c r="AN4534" t="s">
        <v>8125</v>
      </c>
      <c r="AO4534">
        <v>-124.112206</v>
      </c>
      <c r="AP4534">
        <v>100</v>
      </c>
      <c r="AQ4534">
        <v>1000</v>
      </c>
      <c r="AR4534" t="s">
        <v>118</v>
      </c>
      <c r="AS4534">
        <v>-75</v>
      </c>
      <c r="AT4534">
        <v>16</v>
      </c>
      <c r="AU4534">
        <v>64</v>
      </c>
      <c r="BC4534">
        <v>1200</v>
      </c>
      <c r="BD4534">
        <v>1</v>
      </c>
      <c r="BE4534" t="str">
        <f t="shared" si="215"/>
        <v xml:space="preserve">N215T   </v>
      </c>
      <c r="BF4534">
        <v>1</v>
      </c>
      <c r="BH4534">
        <v>0</v>
      </c>
      <c r="BI4534">
        <v>0</v>
      </c>
      <c r="BJ4534">
        <v>0</v>
      </c>
      <c r="BK4534">
        <v>1325</v>
      </c>
      <c r="BL4534">
        <v>325</v>
      </c>
      <c r="BM4534" t="s">
        <v>119</v>
      </c>
      <c r="BN4534">
        <v>1</v>
      </c>
      <c r="BO4534">
        <v>1</v>
      </c>
      <c r="BP4534">
        <v>1</v>
      </c>
      <c r="BQ4534">
        <v>0</v>
      </c>
      <c r="BT4534">
        <v>0</v>
      </c>
      <c r="BU4534">
        <v>0</v>
      </c>
      <c r="BV4534">
        <v>0</v>
      </c>
      <c r="CC4534" t="str">
        <f>"19:52:47.688"</f>
        <v>19:52:47.688</v>
      </c>
      <c r="CD4534" t="str">
        <f>"687233622"</f>
        <v>687233622</v>
      </c>
      <c r="CQ4534">
        <v>0</v>
      </c>
      <c r="CR4534">
        <v>2</v>
      </c>
      <c r="CS4534">
        <v>0</v>
      </c>
      <c r="CT4534">
        <v>2</v>
      </c>
      <c r="CU4534">
        <v>0</v>
      </c>
      <c r="CV4534">
        <v>4</v>
      </c>
      <c r="CW4534" t="s">
        <v>120</v>
      </c>
      <c r="CX4534">
        <v>257</v>
      </c>
      <c r="CY4534">
        <v>0</v>
      </c>
      <c r="CZ4534" t="s">
        <v>615</v>
      </c>
      <c r="DA4534" t="s">
        <v>616</v>
      </c>
      <c r="DD4534">
        <v>72375</v>
      </c>
      <c r="DE4534" t="s">
        <v>123</v>
      </c>
    </row>
    <row r="4535" spans="1:109" x14ac:dyDescent="0.3">
      <c r="A4535" t="str">
        <f>"19:52:49.438"</f>
        <v>19:52:49.438</v>
      </c>
      <c r="B4535" t="s">
        <v>110</v>
      </c>
      <c r="C4535" t="str">
        <f t="shared" si="217"/>
        <v>ffdfd3c0</v>
      </c>
      <c r="D4535" t="s">
        <v>111</v>
      </c>
      <c r="E4535">
        <v>18</v>
      </c>
      <c r="F4535">
        <v>1018</v>
      </c>
      <c r="G4535" t="s">
        <v>112</v>
      </c>
      <c r="J4535" t="s">
        <v>113</v>
      </c>
      <c r="K4535">
        <v>0</v>
      </c>
      <c r="L4535">
        <v>3</v>
      </c>
      <c r="M4535">
        <v>0</v>
      </c>
      <c r="N4535">
        <v>2</v>
      </c>
      <c r="O4535">
        <v>1</v>
      </c>
      <c r="P4535">
        <v>0</v>
      </c>
      <c r="Q4535">
        <v>0</v>
      </c>
      <c r="R4535" t="s">
        <v>114</v>
      </c>
      <c r="S4535" t="str">
        <f>"19:52:49.195"</f>
        <v>19:52:49.195</v>
      </c>
      <c r="T4535" t="str">
        <f>"19:52:48.695"</f>
        <v>19:52:48.695</v>
      </c>
      <c r="U4535" t="str">
        <f t="shared" si="214"/>
        <v>a1cdbe</v>
      </c>
      <c r="V4535">
        <v>0</v>
      </c>
      <c r="W4535">
        <v>0</v>
      </c>
      <c r="X4535">
        <v>2</v>
      </c>
      <c r="Y4535">
        <v>0</v>
      </c>
      <c r="Z4535">
        <v>0</v>
      </c>
      <c r="AB4535">
        <v>0</v>
      </c>
      <c r="AC4535">
        <v>9</v>
      </c>
      <c r="AD4535">
        <v>3</v>
      </c>
      <c r="AE4535">
        <v>0</v>
      </c>
      <c r="AF4535">
        <v>9</v>
      </c>
      <c r="AG4535" t="s">
        <v>1307</v>
      </c>
      <c r="AH4535">
        <v>0</v>
      </c>
      <c r="AI4535">
        <v>3</v>
      </c>
      <c r="AJ4535">
        <v>1</v>
      </c>
      <c r="AK4535">
        <v>0</v>
      </c>
      <c r="AL4535" t="s">
        <v>7606</v>
      </c>
      <c r="AM4535">
        <v>47.064056000000001</v>
      </c>
      <c r="AN4535" t="s">
        <v>8126</v>
      </c>
      <c r="AO4535">
        <v>-124.11295699999999</v>
      </c>
      <c r="AP4535">
        <v>100</v>
      </c>
      <c r="AQ4535">
        <v>1000</v>
      </c>
      <c r="AR4535" t="s">
        <v>118</v>
      </c>
      <c r="AS4535">
        <v>-76</v>
      </c>
      <c r="AT4535">
        <v>16</v>
      </c>
      <c r="AU4535">
        <v>0</v>
      </c>
      <c r="BC4535">
        <v>1200</v>
      </c>
      <c r="BD4535">
        <v>1</v>
      </c>
      <c r="BE4535" t="str">
        <f t="shared" si="215"/>
        <v xml:space="preserve">N215T   </v>
      </c>
      <c r="BF4535">
        <v>1</v>
      </c>
      <c r="BH4535">
        <v>0</v>
      </c>
      <c r="BI4535">
        <v>0</v>
      </c>
      <c r="BJ4535">
        <v>0</v>
      </c>
      <c r="BK4535">
        <v>1325</v>
      </c>
      <c r="BL4535">
        <v>325</v>
      </c>
      <c r="BM4535" t="s">
        <v>119</v>
      </c>
      <c r="BN4535">
        <v>1</v>
      </c>
      <c r="BO4535">
        <v>1</v>
      </c>
      <c r="BP4535">
        <v>1</v>
      </c>
      <c r="BQ4535">
        <v>0</v>
      </c>
      <c r="BT4535">
        <v>0</v>
      </c>
      <c r="BU4535">
        <v>0</v>
      </c>
      <c r="BV4535">
        <v>0</v>
      </c>
      <c r="CC4535" t="str">
        <f>"19:52:49.203"</f>
        <v>19:52:49.203</v>
      </c>
      <c r="CD4535" t="str">
        <f>"202084434"</f>
        <v>202084434</v>
      </c>
      <c r="CQ4535">
        <v>0</v>
      </c>
      <c r="CR4535">
        <v>2</v>
      </c>
      <c r="CS4535">
        <v>0</v>
      </c>
      <c r="CT4535">
        <v>2</v>
      </c>
      <c r="CU4535">
        <v>0</v>
      </c>
      <c r="CV4535">
        <v>3</v>
      </c>
      <c r="CW4535" t="s">
        <v>120</v>
      </c>
      <c r="CX4535">
        <v>257</v>
      </c>
      <c r="CY4535">
        <v>0</v>
      </c>
      <c r="CZ4535" t="s">
        <v>615</v>
      </c>
      <c r="DA4535" t="s">
        <v>616</v>
      </c>
      <c r="DD4535">
        <v>72837</v>
      </c>
      <c r="DE4535" t="s">
        <v>123</v>
      </c>
    </row>
    <row r="4536" spans="1:109" x14ac:dyDescent="0.3">
      <c r="A4536" t="str">
        <f>"19:52:51.000"</f>
        <v>19:52:51.000</v>
      </c>
      <c r="B4536" t="s">
        <v>110</v>
      </c>
      <c r="C4536" t="str">
        <f t="shared" si="217"/>
        <v>ffdfd3c0</v>
      </c>
      <c r="D4536" t="s">
        <v>111</v>
      </c>
      <c r="E4536">
        <v>18</v>
      </c>
      <c r="F4536">
        <v>1018</v>
      </c>
      <c r="G4536" t="s">
        <v>112</v>
      </c>
      <c r="J4536" t="s">
        <v>113</v>
      </c>
      <c r="K4536">
        <v>0</v>
      </c>
      <c r="L4536">
        <v>3</v>
      </c>
      <c r="M4536">
        <v>0</v>
      </c>
      <c r="N4536">
        <v>2</v>
      </c>
      <c r="O4536">
        <v>1</v>
      </c>
      <c r="P4536">
        <v>0</v>
      </c>
      <c r="Q4536">
        <v>0</v>
      </c>
      <c r="R4536" t="s">
        <v>114</v>
      </c>
      <c r="S4536" t="str">
        <f>"19:52:50.742"</f>
        <v>19:52:50.742</v>
      </c>
      <c r="T4536" t="str">
        <f>"19:52:50.742"</f>
        <v>19:52:50.742</v>
      </c>
      <c r="U4536" t="str">
        <f t="shared" si="214"/>
        <v>a1cdbe</v>
      </c>
      <c r="V4536">
        <v>0</v>
      </c>
      <c r="W4536">
        <v>0</v>
      </c>
      <c r="X4536">
        <v>2</v>
      </c>
      <c r="Y4536">
        <v>0</v>
      </c>
      <c r="Z4536">
        <v>0</v>
      </c>
      <c r="AB4536">
        <v>0</v>
      </c>
      <c r="AC4536">
        <v>9</v>
      </c>
      <c r="AD4536">
        <v>3</v>
      </c>
      <c r="AE4536">
        <v>0</v>
      </c>
      <c r="AF4536">
        <v>9</v>
      </c>
      <c r="AG4536" t="s">
        <v>1307</v>
      </c>
      <c r="AH4536">
        <v>0</v>
      </c>
      <c r="AI4536">
        <v>3</v>
      </c>
      <c r="AJ4536">
        <v>1</v>
      </c>
      <c r="AK4536">
        <v>0</v>
      </c>
      <c r="AL4536" t="s">
        <v>486</v>
      </c>
      <c r="AM4536">
        <v>47.064185000000002</v>
      </c>
      <c r="AN4536" t="s">
        <v>8127</v>
      </c>
      <c r="AO4536">
        <v>-124.113793</v>
      </c>
      <c r="AP4536">
        <v>100</v>
      </c>
      <c r="AQ4536">
        <v>1000</v>
      </c>
      <c r="AR4536" t="s">
        <v>118</v>
      </c>
      <c r="AS4536">
        <v>-76</v>
      </c>
      <c r="AT4536">
        <v>17</v>
      </c>
      <c r="AU4536">
        <v>0</v>
      </c>
      <c r="BC4536">
        <v>1200</v>
      </c>
      <c r="BD4536">
        <v>1</v>
      </c>
      <c r="BE4536" t="str">
        <f t="shared" si="215"/>
        <v xml:space="preserve">N215T   </v>
      </c>
      <c r="BF4536">
        <v>1</v>
      </c>
      <c r="BH4536">
        <v>0</v>
      </c>
      <c r="BI4536">
        <v>0</v>
      </c>
      <c r="BJ4536">
        <v>0</v>
      </c>
      <c r="BK4536">
        <v>1325</v>
      </c>
      <c r="BL4536">
        <v>325</v>
      </c>
      <c r="BM4536" t="s">
        <v>119</v>
      </c>
      <c r="BN4536">
        <v>1</v>
      </c>
      <c r="BO4536">
        <v>1</v>
      </c>
      <c r="BP4536">
        <v>1</v>
      </c>
      <c r="BQ4536">
        <v>0</v>
      </c>
      <c r="BT4536">
        <v>0</v>
      </c>
      <c r="BU4536">
        <v>0</v>
      </c>
      <c r="BV4536">
        <v>0</v>
      </c>
      <c r="CC4536" t="str">
        <f>"19:52:50.750"</f>
        <v>19:52:50.750</v>
      </c>
      <c r="CD4536" t="str">
        <f>"746932291"</f>
        <v>746932291</v>
      </c>
      <c r="CQ4536">
        <v>0</v>
      </c>
      <c r="CR4536">
        <v>2</v>
      </c>
      <c r="CS4536">
        <v>0</v>
      </c>
      <c r="CT4536">
        <v>2</v>
      </c>
      <c r="CU4536">
        <v>0</v>
      </c>
      <c r="CV4536">
        <v>3</v>
      </c>
      <c r="CW4536" t="s">
        <v>120</v>
      </c>
      <c r="CX4536">
        <v>257</v>
      </c>
      <c r="CY4536">
        <v>0</v>
      </c>
      <c r="CZ4536" t="s">
        <v>615</v>
      </c>
      <c r="DA4536" t="s">
        <v>616</v>
      </c>
      <c r="DD4536">
        <v>73314</v>
      </c>
      <c r="DE4536" t="s">
        <v>123</v>
      </c>
    </row>
    <row r="4537" spans="1:109" x14ac:dyDescent="0.3">
      <c r="A4537" t="str">
        <f>"19:52:51.953"</f>
        <v>19:52:51.953</v>
      </c>
      <c r="B4537" t="s">
        <v>110</v>
      </c>
      <c r="C4537" t="str">
        <f t="shared" si="217"/>
        <v>ffdfd3c0</v>
      </c>
      <c r="D4537" t="s">
        <v>111</v>
      </c>
      <c r="E4537">
        <v>18</v>
      </c>
      <c r="F4537">
        <v>1018</v>
      </c>
      <c r="G4537" t="s">
        <v>112</v>
      </c>
      <c r="J4537" t="s">
        <v>113</v>
      </c>
      <c r="K4537">
        <v>0</v>
      </c>
      <c r="L4537">
        <v>3</v>
      </c>
      <c r="M4537">
        <v>0</v>
      </c>
      <c r="N4537">
        <v>2</v>
      </c>
      <c r="O4537">
        <v>1</v>
      </c>
      <c r="P4537">
        <v>0</v>
      </c>
      <c r="Q4537">
        <v>0</v>
      </c>
      <c r="R4537" t="s">
        <v>114</v>
      </c>
      <c r="S4537" t="str">
        <f>"19:52:51.672"</f>
        <v>19:52:51.672</v>
      </c>
      <c r="T4537" t="str">
        <f>"19:52:51.172"</f>
        <v>19:52:51.172</v>
      </c>
      <c r="U4537" t="str">
        <f t="shared" si="214"/>
        <v>a1cdbe</v>
      </c>
      <c r="V4537">
        <v>0</v>
      </c>
      <c r="W4537">
        <v>0</v>
      </c>
      <c r="X4537">
        <v>2</v>
      </c>
      <c r="Y4537">
        <v>0</v>
      </c>
      <c r="Z4537">
        <v>0</v>
      </c>
      <c r="AB4537">
        <v>0</v>
      </c>
      <c r="AC4537">
        <v>9</v>
      </c>
      <c r="AD4537">
        <v>3</v>
      </c>
      <c r="AE4537">
        <v>0</v>
      </c>
      <c r="AF4537">
        <v>9</v>
      </c>
      <c r="AG4537" t="s">
        <v>1307</v>
      </c>
      <c r="AH4537">
        <v>0</v>
      </c>
      <c r="AI4537">
        <v>3</v>
      </c>
      <c r="AJ4537">
        <v>1</v>
      </c>
      <c r="AK4537">
        <v>0</v>
      </c>
      <c r="AL4537" t="s">
        <v>7621</v>
      </c>
      <c r="AM4537">
        <v>47.064250000000001</v>
      </c>
      <c r="AN4537" t="s">
        <v>8128</v>
      </c>
      <c r="AO4537">
        <v>-124.114265</v>
      </c>
      <c r="AP4537">
        <v>100</v>
      </c>
      <c r="AQ4537">
        <v>1000</v>
      </c>
      <c r="AR4537" t="s">
        <v>118</v>
      </c>
      <c r="AS4537">
        <v>-76</v>
      </c>
      <c r="AT4537">
        <v>17</v>
      </c>
      <c r="AU4537">
        <v>0</v>
      </c>
      <c r="BC4537">
        <v>1200</v>
      </c>
      <c r="BD4537">
        <v>1</v>
      </c>
      <c r="BE4537" t="str">
        <f t="shared" si="215"/>
        <v xml:space="preserve">N215T   </v>
      </c>
      <c r="BF4537">
        <v>1</v>
      </c>
      <c r="BH4537">
        <v>0</v>
      </c>
      <c r="BI4537">
        <v>0</v>
      </c>
      <c r="BJ4537">
        <v>0</v>
      </c>
      <c r="BK4537">
        <v>1325</v>
      </c>
      <c r="BL4537">
        <v>325</v>
      </c>
      <c r="BM4537" t="s">
        <v>119</v>
      </c>
      <c r="BN4537">
        <v>1</v>
      </c>
      <c r="BO4537">
        <v>1</v>
      </c>
      <c r="BP4537">
        <v>1</v>
      </c>
      <c r="BQ4537">
        <v>0</v>
      </c>
      <c r="BT4537">
        <v>0</v>
      </c>
      <c r="BU4537">
        <v>0</v>
      </c>
      <c r="BV4537">
        <v>0</v>
      </c>
      <c r="CC4537" t="str">
        <f>"19:52:51.680"</f>
        <v>19:52:51.680</v>
      </c>
      <c r="CD4537" t="str">
        <f>"676840703"</f>
        <v>676840703</v>
      </c>
      <c r="CQ4537">
        <v>0</v>
      </c>
      <c r="CR4537">
        <v>2</v>
      </c>
      <c r="CS4537">
        <v>0</v>
      </c>
      <c r="CT4537">
        <v>2</v>
      </c>
      <c r="CU4537">
        <v>0</v>
      </c>
      <c r="CV4537">
        <v>2</v>
      </c>
      <c r="CW4537" t="s">
        <v>120</v>
      </c>
      <c r="CX4537">
        <v>257</v>
      </c>
      <c r="CY4537">
        <v>0</v>
      </c>
      <c r="CZ4537" t="s">
        <v>615</v>
      </c>
      <c r="DA4537" t="s">
        <v>616</v>
      </c>
      <c r="DD4537">
        <v>73607</v>
      </c>
      <c r="DE4537" t="s">
        <v>123</v>
      </c>
    </row>
    <row r="4538" spans="1:109" x14ac:dyDescent="0.3">
      <c r="A4538" t="str">
        <f>"19:52:53.359"</f>
        <v>19:52:53.359</v>
      </c>
      <c r="B4538" t="s">
        <v>110</v>
      </c>
      <c r="C4538" t="str">
        <f t="shared" si="217"/>
        <v>ffdfd3c0</v>
      </c>
      <c r="D4538" t="s">
        <v>111</v>
      </c>
      <c r="E4538">
        <v>18</v>
      </c>
      <c r="F4538">
        <v>1018</v>
      </c>
      <c r="G4538" t="s">
        <v>112</v>
      </c>
      <c r="J4538" t="s">
        <v>113</v>
      </c>
      <c r="K4538">
        <v>0</v>
      </c>
      <c r="L4538">
        <v>3</v>
      </c>
      <c r="M4538">
        <v>0</v>
      </c>
      <c r="N4538">
        <v>2</v>
      </c>
      <c r="O4538">
        <v>1</v>
      </c>
      <c r="P4538">
        <v>0</v>
      </c>
      <c r="Q4538">
        <v>0</v>
      </c>
      <c r="R4538" t="s">
        <v>114</v>
      </c>
      <c r="S4538" t="str">
        <f>"19:52:53.125"</f>
        <v>19:52:53.125</v>
      </c>
      <c r="T4538" t="str">
        <f>"19:52:51.727"</f>
        <v>19:52:51.727</v>
      </c>
      <c r="U4538" t="str">
        <f t="shared" si="214"/>
        <v>a1cdbe</v>
      </c>
      <c r="V4538">
        <v>0</v>
      </c>
      <c r="W4538">
        <v>0</v>
      </c>
      <c r="X4538">
        <v>2</v>
      </c>
      <c r="Y4538">
        <v>0</v>
      </c>
      <c r="Z4538">
        <v>0</v>
      </c>
      <c r="AB4538">
        <v>0</v>
      </c>
      <c r="AC4538">
        <v>9</v>
      </c>
      <c r="AD4538">
        <v>3</v>
      </c>
      <c r="AE4538">
        <v>0</v>
      </c>
      <c r="AF4538">
        <v>9</v>
      </c>
      <c r="AG4538" t="s">
        <v>1307</v>
      </c>
      <c r="AH4538">
        <v>0</v>
      </c>
      <c r="AI4538">
        <v>3</v>
      </c>
      <c r="AJ4538">
        <v>1</v>
      </c>
      <c r="AK4538">
        <v>0</v>
      </c>
      <c r="AL4538" t="s">
        <v>7508</v>
      </c>
      <c r="AM4538">
        <v>47.064357000000001</v>
      </c>
      <c r="AN4538" t="s">
        <v>8129</v>
      </c>
      <c r="AO4538">
        <v>-124.115016</v>
      </c>
      <c r="AP4538">
        <v>100</v>
      </c>
      <c r="AQ4538">
        <v>1000</v>
      </c>
      <c r="AR4538" t="s">
        <v>118</v>
      </c>
      <c r="AS4538">
        <v>-76</v>
      </c>
      <c r="AT4538">
        <v>17</v>
      </c>
      <c r="AU4538">
        <v>0</v>
      </c>
      <c r="BC4538">
        <v>1200</v>
      </c>
      <c r="BD4538">
        <v>1</v>
      </c>
      <c r="BE4538" t="str">
        <f t="shared" si="215"/>
        <v xml:space="preserve">N215T   </v>
      </c>
      <c r="BF4538">
        <v>1</v>
      </c>
      <c r="BH4538">
        <v>0</v>
      </c>
      <c r="BI4538">
        <v>0</v>
      </c>
      <c r="BJ4538">
        <v>0</v>
      </c>
      <c r="BK4538">
        <v>1325</v>
      </c>
      <c r="BL4538">
        <v>325</v>
      </c>
      <c r="BM4538" t="s">
        <v>119</v>
      </c>
      <c r="BN4538">
        <v>1</v>
      </c>
      <c r="BO4538">
        <v>1</v>
      </c>
      <c r="BP4538">
        <v>1</v>
      </c>
      <c r="BQ4538">
        <v>0</v>
      </c>
      <c r="BT4538">
        <v>0</v>
      </c>
      <c r="BU4538">
        <v>0</v>
      </c>
      <c r="BV4538">
        <v>0</v>
      </c>
      <c r="CC4538" t="str">
        <f>"19:52:53.133"</f>
        <v>19:52:53.133</v>
      </c>
      <c r="CD4538" t="str">
        <f>"131697378"</f>
        <v>131697378</v>
      </c>
      <c r="CQ4538">
        <v>0</v>
      </c>
      <c r="CR4538">
        <v>2</v>
      </c>
      <c r="CS4538">
        <v>0</v>
      </c>
      <c r="CT4538">
        <v>2</v>
      </c>
      <c r="CU4538">
        <v>0</v>
      </c>
      <c r="CV4538">
        <v>2</v>
      </c>
      <c r="CW4538" t="s">
        <v>120</v>
      </c>
      <c r="CX4538">
        <v>257</v>
      </c>
      <c r="CY4538">
        <v>0</v>
      </c>
      <c r="CZ4538" t="s">
        <v>615</v>
      </c>
      <c r="DA4538" t="s">
        <v>616</v>
      </c>
      <c r="DD4538">
        <v>74008</v>
      </c>
      <c r="DE4538" t="s">
        <v>123</v>
      </c>
    </row>
    <row r="4539" spans="1:109" x14ac:dyDescent="0.3">
      <c r="A4539" t="str">
        <f>"19:52:55.375"</f>
        <v>19:52:55.375</v>
      </c>
      <c r="B4539" t="s">
        <v>110</v>
      </c>
      <c r="C4539" t="str">
        <f t="shared" si="217"/>
        <v>ffdfd3c0</v>
      </c>
      <c r="D4539" t="s">
        <v>111</v>
      </c>
      <c r="E4539">
        <v>18</v>
      </c>
      <c r="F4539">
        <v>1018</v>
      </c>
      <c r="G4539" t="s">
        <v>112</v>
      </c>
      <c r="J4539" t="s">
        <v>113</v>
      </c>
      <c r="K4539">
        <v>0</v>
      </c>
      <c r="L4539">
        <v>3</v>
      </c>
      <c r="M4539">
        <v>0</v>
      </c>
      <c r="N4539">
        <v>2</v>
      </c>
      <c r="O4539">
        <v>1</v>
      </c>
      <c r="P4539">
        <v>0</v>
      </c>
      <c r="Q4539">
        <v>0</v>
      </c>
      <c r="R4539" t="s">
        <v>114</v>
      </c>
      <c r="S4539" t="str">
        <f>"19:52:55.109"</f>
        <v>19:52:55.109</v>
      </c>
      <c r="T4539" t="str">
        <f>"19:52:54.711"</f>
        <v>19:52:54.711</v>
      </c>
      <c r="U4539" t="str">
        <f t="shared" si="214"/>
        <v>a1cdbe</v>
      </c>
      <c r="V4539">
        <v>0</v>
      </c>
      <c r="W4539">
        <v>0</v>
      </c>
      <c r="X4539">
        <v>2</v>
      </c>
      <c r="Y4539">
        <v>0</v>
      </c>
      <c r="Z4539">
        <v>0</v>
      </c>
      <c r="AB4539">
        <v>0</v>
      </c>
      <c r="AC4539">
        <v>9</v>
      </c>
      <c r="AD4539">
        <v>3</v>
      </c>
      <c r="AE4539">
        <v>0</v>
      </c>
      <c r="AF4539">
        <v>9</v>
      </c>
      <c r="AG4539" t="s">
        <v>1307</v>
      </c>
      <c r="AH4539">
        <v>0</v>
      </c>
      <c r="AI4539">
        <v>3</v>
      </c>
      <c r="AJ4539">
        <v>1</v>
      </c>
      <c r="AK4539">
        <v>0</v>
      </c>
      <c r="AL4539" t="s">
        <v>8130</v>
      </c>
      <c r="AM4539">
        <v>47.064549999999997</v>
      </c>
      <c r="AN4539" t="s">
        <v>8131</v>
      </c>
      <c r="AO4539">
        <v>-124.116004</v>
      </c>
      <c r="AP4539">
        <v>100</v>
      </c>
      <c r="AQ4539">
        <v>1000</v>
      </c>
      <c r="AR4539" t="s">
        <v>118</v>
      </c>
      <c r="AS4539">
        <v>-75</v>
      </c>
      <c r="AT4539">
        <v>19</v>
      </c>
      <c r="AU4539">
        <v>64</v>
      </c>
      <c r="BC4539">
        <v>1200</v>
      </c>
      <c r="BD4539">
        <v>1</v>
      </c>
      <c r="BE4539" t="str">
        <f t="shared" si="215"/>
        <v xml:space="preserve">N215T   </v>
      </c>
      <c r="BF4539">
        <v>1</v>
      </c>
      <c r="BH4539">
        <v>0</v>
      </c>
      <c r="BI4539">
        <v>0</v>
      </c>
      <c r="BJ4539">
        <v>0</v>
      </c>
      <c r="BK4539">
        <v>1325</v>
      </c>
      <c r="BL4539">
        <v>325</v>
      </c>
      <c r="BM4539" t="s">
        <v>119</v>
      </c>
      <c r="BN4539">
        <v>1</v>
      </c>
      <c r="BO4539">
        <v>1</v>
      </c>
      <c r="BP4539">
        <v>1</v>
      </c>
      <c r="BQ4539">
        <v>0</v>
      </c>
      <c r="BT4539">
        <v>0</v>
      </c>
      <c r="BU4539">
        <v>0</v>
      </c>
      <c r="BV4539">
        <v>0</v>
      </c>
      <c r="CC4539" t="str">
        <f>"19:52:55.109"</f>
        <v>19:52:55.109</v>
      </c>
      <c r="CD4539" t="str">
        <f>"111502395"</f>
        <v>111502395</v>
      </c>
      <c r="CQ4539">
        <v>0</v>
      </c>
      <c r="CR4539">
        <v>2</v>
      </c>
      <c r="CS4539">
        <v>0</v>
      </c>
      <c r="CT4539">
        <v>2</v>
      </c>
      <c r="CU4539">
        <v>0</v>
      </c>
      <c r="CV4539">
        <v>3</v>
      </c>
      <c r="CW4539" t="s">
        <v>120</v>
      </c>
      <c r="CX4539">
        <v>257</v>
      </c>
      <c r="CY4539">
        <v>0</v>
      </c>
      <c r="CZ4539" t="s">
        <v>615</v>
      </c>
      <c r="DA4539" t="s">
        <v>616</v>
      </c>
      <c r="DD4539">
        <v>74617</v>
      </c>
      <c r="DE4539" t="s">
        <v>123</v>
      </c>
    </row>
    <row r="4540" spans="1:109" x14ac:dyDescent="0.3">
      <c r="A4540" t="str">
        <f>"19:52:59.039"</f>
        <v>19:52:59.039</v>
      </c>
      <c r="B4540" t="s">
        <v>110</v>
      </c>
      <c r="C4540" t="str">
        <f t="shared" si="217"/>
        <v>ffdfd3c0</v>
      </c>
      <c r="D4540" t="s">
        <v>111</v>
      </c>
      <c r="E4540">
        <v>18</v>
      </c>
      <c r="F4540">
        <v>1018</v>
      </c>
      <c r="G4540" t="s">
        <v>112</v>
      </c>
      <c r="J4540" t="s">
        <v>113</v>
      </c>
      <c r="K4540">
        <v>0</v>
      </c>
      <c r="L4540">
        <v>3</v>
      </c>
      <c r="M4540">
        <v>0</v>
      </c>
      <c r="N4540">
        <v>2</v>
      </c>
      <c r="O4540">
        <v>1</v>
      </c>
      <c r="P4540">
        <v>0</v>
      </c>
      <c r="Q4540">
        <v>0</v>
      </c>
      <c r="R4540" t="s">
        <v>114</v>
      </c>
      <c r="S4540" t="str">
        <f>"19:52:58.766"</f>
        <v>19:52:58.766</v>
      </c>
      <c r="T4540" t="str">
        <f>"19:52:58.766"</f>
        <v>19:52:58.766</v>
      </c>
      <c r="U4540" t="str">
        <f t="shared" si="214"/>
        <v>a1cdbe</v>
      </c>
      <c r="V4540">
        <v>0</v>
      </c>
      <c r="W4540">
        <v>0</v>
      </c>
      <c r="X4540">
        <v>2</v>
      </c>
      <c r="Y4540">
        <v>0</v>
      </c>
      <c r="Z4540">
        <v>0</v>
      </c>
      <c r="AB4540">
        <v>0</v>
      </c>
      <c r="AC4540">
        <v>9</v>
      </c>
      <c r="AD4540">
        <v>3</v>
      </c>
      <c r="AE4540">
        <v>0</v>
      </c>
      <c r="AF4540">
        <v>9</v>
      </c>
      <c r="AG4540" t="s">
        <v>1307</v>
      </c>
      <c r="AH4540">
        <v>0</v>
      </c>
      <c r="AI4540">
        <v>3</v>
      </c>
      <c r="AJ4540">
        <v>1</v>
      </c>
      <c r="AK4540">
        <v>0</v>
      </c>
      <c r="AL4540" t="s">
        <v>8132</v>
      </c>
      <c r="AM4540">
        <v>47.064936000000003</v>
      </c>
      <c r="AN4540" t="s">
        <v>8133</v>
      </c>
      <c r="AO4540">
        <v>-124.11782700000001</v>
      </c>
      <c r="AP4540">
        <v>100</v>
      </c>
      <c r="AQ4540">
        <v>1000</v>
      </c>
      <c r="AR4540" t="s">
        <v>118</v>
      </c>
      <c r="AS4540">
        <v>-74</v>
      </c>
      <c r="AT4540">
        <v>23</v>
      </c>
      <c r="AU4540">
        <v>256</v>
      </c>
      <c r="BC4540">
        <v>1200</v>
      </c>
      <c r="BD4540">
        <v>1</v>
      </c>
      <c r="BE4540" t="str">
        <f t="shared" si="215"/>
        <v xml:space="preserve">N215T   </v>
      </c>
      <c r="BF4540">
        <v>1</v>
      </c>
      <c r="BH4540">
        <v>0</v>
      </c>
      <c r="BI4540">
        <v>0</v>
      </c>
      <c r="BJ4540">
        <v>0</v>
      </c>
      <c r="BK4540">
        <v>1325</v>
      </c>
      <c r="BL4540">
        <v>325</v>
      </c>
      <c r="BM4540" t="s">
        <v>119</v>
      </c>
      <c r="BN4540">
        <v>1</v>
      </c>
      <c r="BO4540">
        <v>1</v>
      </c>
      <c r="BP4540">
        <v>1</v>
      </c>
      <c r="BQ4540">
        <v>0</v>
      </c>
      <c r="BT4540">
        <v>0</v>
      </c>
      <c r="BU4540">
        <v>0</v>
      </c>
      <c r="BV4540">
        <v>0</v>
      </c>
      <c r="CC4540" t="str">
        <f>"19:52:58.773"</f>
        <v>19:52:58.773</v>
      </c>
      <c r="CD4540" t="str">
        <f>"771141959"</f>
        <v>771141959</v>
      </c>
      <c r="CQ4540">
        <v>0</v>
      </c>
      <c r="CR4540">
        <v>2</v>
      </c>
      <c r="CS4540">
        <v>0</v>
      </c>
      <c r="CT4540">
        <v>2</v>
      </c>
      <c r="CU4540">
        <v>0</v>
      </c>
      <c r="CV4540">
        <v>2</v>
      </c>
      <c r="CW4540" t="s">
        <v>120</v>
      </c>
      <c r="CX4540">
        <v>257</v>
      </c>
      <c r="CY4540">
        <v>0</v>
      </c>
      <c r="CZ4540" t="s">
        <v>615</v>
      </c>
      <c r="DA4540" t="s">
        <v>616</v>
      </c>
      <c r="DD4540">
        <v>75684</v>
      </c>
      <c r="DE4540" t="s">
        <v>123</v>
      </c>
    </row>
    <row r="4541" spans="1:109" x14ac:dyDescent="0.3">
      <c r="A4541" t="str">
        <f>"19:52:59.797"</f>
        <v>19:52:59.797</v>
      </c>
      <c r="B4541" t="s">
        <v>110</v>
      </c>
      <c r="C4541" t="str">
        <f t="shared" si="217"/>
        <v>ffdfd3c0</v>
      </c>
      <c r="D4541" t="s">
        <v>111</v>
      </c>
      <c r="E4541">
        <v>18</v>
      </c>
      <c r="F4541">
        <v>1018</v>
      </c>
      <c r="G4541" t="s">
        <v>112</v>
      </c>
      <c r="J4541" t="s">
        <v>113</v>
      </c>
      <c r="K4541">
        <v>0</v>
      </c>
      <c r="L4541">
        <v>3</v>
      </c>
      <c r="M4541">
        <v>0</v>
      </c>
      <c r="N4541">
        <v>2</v>
      </c>
      <c r="O4541">
        <v>1</v>
      </c>
      <c r="P4541">
        <v>0</v>
      </c>
      <c r="Q4541">
        <v>0</v>
      </c>
      <c r="R4541" t="s">
        <v>114</v>
      </c>
      <c r="S4541" t="str">
        <f>"19:52:59.250"</f>
        <v>19:52:59.250</v>
      </c>
      <c r="T4541" t="str">
        <f>"19:52:58.750"</f>
        <v>19:52:58.750</v>
      </c>
      <c r="U4541" t="str">
        <f t="shared" si="214"/>
        <v>a1cdbe</v>
      </c>
      <c r="V4541">
        <v>0</v>
      </c>
      <c r="W4541">
        <v>0</v>
      </c>
      <c r="X4541">
        <v>2</v>
      </c>
      <c r="Y4541">
        <v>0</v>
      </c>
      <c r="Z4541">
        <v>0</v>
      </c>
      <c r="AB4541">
        <v>0</v>
      </c>
      <c r="AC4541">
        <v>9</v>
      </c>
      <c r="AD4541">
        <v>3</v>
      </c>
      <c r="AE4541">
        <v>0</v>
      </c>
      <c r="AF4541">
        <v>9</v>
      </c>
      <c r="AG4541" t="s">
        <v>1307</v>
      </c>
      <c r="AH4541">
        <v>0</v>
      </c>
      <c r="AI4541">
        <v>3</v>
      </c>
      <c r="AJ4541">
        <v>1</v>
      </c>
      <c r="AK4541">
        <v>0</v>
      </c>
      <c r="AL4541" t="s">
        <v>8134</v>
      </c>
      <c r="AM4541">
        <v>47.064979000000001</v>
      </c>
      <c r="AN4541" t="s">
        <v>8135</v>
      </c>
      <c r="AO4541">
        <v>-124.118106</v>
      </c>
      <c r="AP4541">
        <v>100</v>
      </c>
      <c r="AQ4541">
        <v>1000</v>
      </c>
      <c r="AR4541" t="s">
        <v>118</v>
      </c>
      <c r="AS4541">
        <v>-74</v>
      </c>
      <c r="AT4541">
        <v>23</v>
      </c>
      <c r="AU4541">
        <v>256</v>
      </c>
      <c r="BC4541">
        <v>1200</v>
      </c>
      <c r="BD4541">
        <v>1</v>
      </c>
      <c r="BE4541" t="str">
        <f t="shared" si="215"/>
        <v xml:space="preserve">N215T   </v>
      </c>
      <c r="BF4541">
        <v>1</v>
      </c>
      <c r="BH4541">
        <v>0</v>
      </c>
      <c r="BI4541">
        <v>0</v>
      </c>
      <c r="BJ4541">
        <v>0</v>
      </c>
      <c r="BK4541">
        <v>1325</v>
      </c>
      <c r="BL4541">
        <v>325</v>
      </c>
      <c r="BM4541" t="s">
        <v>119</v>
      </c>
      <c r="BN4541">
        <v>1</v>
      </c>
      <c r="BO4541">
        <v>1</v>
      </c>
      <c r="BP4541">
        <v>1</v>
      </c>
      <c r="BQ4541">
        <v>0</v>
      </c>
      <c r="BT4541">
        <v>0</v>
      </c>
      <c r="BU4541">
        <v>0</v>
      </c>
      <c r="BV4541">
        <v>0</v>
      </c>
      <c r="CC4541" t="str">
        <f>"19:52:59.250"</f>
        <v>19:52:59.250</v>
      </c>
      <c r="CD4541" t="str">
        <f>"251094752"</f>
        <v>251094752</v>
      </c>
      <c r="CQ4541">
        <v>0</v>
      </c>
      <c r="CR4541">
        <v>2</v>
      </c>
      <c r="CS4541">
        <v>0</v>
      </c>
      <c r="CT4541">
        <v>2</v>
      </c>
      <c r="CU4541">
        <v>0</v>
      </c>
      <c r="CV4541">
        <v>2</v>
      </c>
      <c r="CW4541" t="s">
        <v>120</v>
      </c>
      <c r="CX4541">
        <v>257</v>
      </c>
      <c r="CY4541">
        <v>3</v>
      </c>
      <c r="CZ4541" t="s">
        <v>615</v>
      </c>
      <c r="DA4541" t="s">
        <v>616</v>
      </c>
      <c r="DD4541">
        <v>9541211</v>
      </c>
      <c r="DE4541" t="s">
        <v>123</v>
      </c>
    </row>
    <row r="4542" spans="1:109" x14ac:dyDescent="0.3">
      <c r="A4542" t="str">
        <f>"19:53:00.547"</f>
        <v>19:53:00.547</v>
      </c>
      <c r="B4542" t="s">
        <v>110</v>
      </c>
      <c r="C4542" t="str">
        <f t="shared" si="217"/>
        <v>ffdfd3c0</v>
      </c>
      <c r="D4542" t="s">
        <v>111</v>
      </c>
      <c r="E4542">
        <v>18</v>
      </c>
      <c r="F4542">
        <v>1018</v>
      </c>
      <c r="G4542" t="s">
        <v>112</v>
      </c>
      <c r="J4542" t="s">
        <v>113</v>
      </c>
      <c r="K4542">
        <v>0</v>
      </c>
      <c r="L4542">
        <v>3</v>
      </c>
      <c r="M4542">
        <v>0</v>
      </c>
      <c r="N4542">
        <v>2</v>
      </c>
      <c r="O4542">
        <v>1</v>
      </c>
      <c r="P4542">
        <v>0</v>
      </c>
      <c r="Q4542">
        <v>0</v>
      </c>
      <c r="R4542" t="s">
        <v>114</v>
      </c>
      <c r="S4542" t="str">
        <f>"19:53:00.297"</f>
        <v>19:53:00.297</v>
      </c>
      <c r="T4542" t="str">
        <f>"19:53:00.297"</f>
        <v>19:53:00.297</v>
      </c>
      <c r="U4542" t="str">
        <f t="shared" si="214"/>
        <v>a1cdbe</v>
      </c>
      <c r="V4542">
        <v>0</v>
      </c>
      <c r="W4542">
        <v>0</v>
      </c>
      <c r="X4542">
        <v>2</v>
      </c>
      <c r="Y4542">
        <v>0</v>
      </c>
      <c r="Z4542">
        <v>0</v>
      </c>
      <c r="AB4542">
        <v>0</v>
      </c>
      <c r="AC4542">
        <v>9</v>
      </c>
      <c r="AD4542">
        <v>3</v>
      </c>
      <c r="AE4542">
        <v>0</v>
      </c>
      <c r="AF4542">
        <v>9</v>
      </c>
      <c r="AG4542" t="s">
        <v>1307</v>
      </c>
      <c r="AH4542">
        <v>0</v>
      </c>
      <c r="AI4542">
        <v>3</v>
      </c>
      <c r="AJ4542">
        <v>1</v>
      </c>
      <c r="AK4542">
        <v>0</v>
      </c>
      <c r="AL4542" t="s">
        <v>7702</v>
      </c>
      <c r="AM4542">
        <v>47.065064999999997</v>
      </c>
      <c r="AN4542" t="s">
        <v>8136</v>
      </c>
      <c r="AO4542">
        <v>-124.1186</v>
      </c>
      <c r="AP4542">
        <v>100</v>
      </c>
      <c r="AQ4542">
        <v>1000</v>
      </c>
      <c r="AR4542" t="s">
        <v>118</v>
      </c>
      <c r="AS4542">
        <v>-73</v>
      </c>
      <c r="AT4542">
        <v>24</v>
      </c>
      <c r="AU4542">
        <v>192</v>
      </c>
      <c r="BC4542">
        <v>1200</v>
      </c>
      <c r="BD4542">
        <v>1</v>
      </c>
      <c r="BE4542" t="str">
        <f t="shared" si="215"/>
        <v xml:space="preserve">N215T   </v>
      </c>
      <c r="BF4542">
        <v>1</v>
      </c>
      <c r="BH4542">
        <v>0</v>
      </c>
      <c r="BI4542">
        <v>0</v>
      </c>
      <c r="BJ4542">
        <v>0</v>
      </c>
      <c r="BK4542">
        <v>1350</v>
      </c>
      <c r="BL4542">
        <v>350</v>
      </c>
      <c r="BM4542" t="s">
        <v>119</v>
      </c>
      <c r="BN4542">
        <v>1</v>
      </c>
      <c r="BO4542">
        <v>1</v>
      </c>
      <c r="BP4542">
        <v>1</v>
      </c>
      <c r="BQ4542">
        <v>0</v>
      </c>
      <c r="BT4542">
        <v>0</v>
      </c>
      <c r="BU4542">
        <v>0</v>
      </c>
      <c r="BV4542">
        <v>0</v>
      </c>
      <c r="CC4542" t="str">
        <f>"19:53:00.305"</f>
        <v>19:53:00.305</v>
      </c>
      <c r="CD4542" t="str">
        <f>"300991343"</f>
        <v>300991343</v>
      </c>
      <c r="CQ4542">
        <v>0</v>
      </c>
      <c r="CR4542">
        <v>2</v>
      </c>
      <c r="CS4542">
        <v>0</v>
      </c>
      <c r="CT4542">
        <v>2</v>
      </c>
      <c r="CU4542">
        <v>0</v>
      </c>
      <c r="CV4542">
        <v>5</v>
      </c>
      <c r="CW4542" t="s">
        <v>120</v>
      </c>
      <c r="CX4542">
        <v>257</v>
      </c>
      <c r="CY4542">
        <v>0</v>
      </c>
      <c r="CZ4542" t="s">
        <v>615</v>
      </c>
      <c r="DA4542" t="s">
        <v>616</v>
      </c>
      <c r="DD4542">
        <v>76168</v>
      </c>
      <c r="DE4542" t="s">
        <v>123</v>
      </c>
    </row>
    <row r="4543" spans="1:109" x14ac:dyDescent="0.3">
      <c r="A4543" t="str">
        <f>"19:53:01.555"</f>
        <v>19:53:01.555</v>
      </c>
      <c r="B4543" t="s">
        <v>110</v>
      </c>
      <c r="C4543" t="str">
        <f t="shared" si="217"/>
        <v>ffdfd3c0</v>
      </c>
      <c r="D4543" t="s">
        <v>111</v>
      </c>
      <c r="E4543">
        <v>18</v>
      </c>
      <c r="F4543">
        <v>1018</v>
      </c>
      <c r="G4543" t="s">
        <v>112</v>
      </c>
      <c r="J4543" t="s">
        <v>113</v>
      </c>
      <c r="K4543">
        <v>0</v>
      </c>
      <c r="L4543">
        <v>3</v>
      </c>
      <c r="M4543">
        <v>0</v>
      </c>
      <c r="N4543">
        <v>2</v>
      </c>
      <c r="O4543">
        <v>1</v>
      </c>
      <c r="P4543">
        <v>0</v>
      </c>
      <c r="Q4543">
        <v>0</v>
      </c>
      <c r="R4543" t="s">
        <v>114</v>
      </c>
      <c r="S4543" t="str">
        <f>"19:53:01.320"</f>
        <v>19:53:01.320</v>
      </c>
      <c r="T4543" t="str">
        <f>"19:53:01.320"</f>
        <v>19:53:01.320</v>
      </c>
      <c r="U4543" t="str">
        <f t="shared" si="214"/>
        <v>a1cdbe</v>
      </c>
      <c r="V4543">
        <v>0</v>
      </c>
      <c r="W4543">
        <v>0</v>
      </c>
      <c r="X4543">
        <v>2</v>
      </c>
      <c r="Y4543">
        <v>0</v>
      </c>
      <c r="Z4543">
        <v>0</v>
      </c>
      <c r="AB4543">
        <v>0</v>
      </c>
      <c r="AC4543">
        <v>9</v>
      </c>
      <c r="AD4543">
        <v>3</v>
      </c>
      <c r="AE4543">
        <v>0</v>
      </c>
      <c r="AF4543">
        <v>9</v>
      </c>
      <c r="AG4543" t="s">
        <v>1307</v>
      </c>
      <c r="AH4543">
        <v>0</v>
      </c>
      <c r="AI4543">
        <v>3</v>
      </c>
      <c r="AJ4543">
        <v>1</v>
      </c>
      <c r="AK4543">
        <v>0</v>
      </c>
      <c r="AL4543" t="s">
        <v>8137</v>
      </c>
      <c r="AM4543">
        <v>47.065193999999998</v>
      </c>
      <c r="AN4543" t="s">
        <v>8138</v>
      </c>
      <c r="AO4543">
        <v>-124.119136</v>
      </c>
      <c r="AP4543">
        <v>100</v>
      </c>
      <c r="AQ4543">
        <v>1000</v>
      </c>
      <c r="AR4543" t="s">
        <v>118</v>
      </c>
      <c r="AS4543">
        <v>-73</v>
      </c>
      <c r="AT4543">
        <v>25</v>
      </c>
      <c r="AU4543">
        <v>128</v>
      </c>
      <c r="BC4543">
        <v>1200</v>
      </c>
      <c r="BD4543">
        <v>1</v>
      </c>
      <c r="BE4543" t="str">
        <f t="shared" si="215"/>
        <v xml:space="preserve">N215T   </v>
      </c>
      <c r="BF4543">
        <v>1</v>
      </c>
      <c r="BH4543">
        <v>0</v>
      </c>
      <c r="BI4543">
        <v>0</v>
      </c>
      <c r="BJ4543">
        <v>0</v>
      </c>
      <c r="BK4543">
        <v>1350</v>
      </c>
      <c r="BL4543">
        <v>350</v>
      </c>
      <c r="BM4543" t="s">
        <v>119</v>
      </c>
      <c r="BN4543">
        <v>1</v>
      </c>
      <c r="BO4543">
        <v>1</v>
      </c>
      <c r="BP4543">
        <v>1</v>
      </c>
      <c r="BQ4543">
        <v>0</v>
      </c>
      <c r="BT4543">
        <v>0</v>
      </c>
      <c r="BU4543">
        <v>0</v>
      </c>
      <c r="BV4543">
        <v>0</v>
      </c>
      <c r="CC4543" t="str">
        <f>"19:53:01.320"</f>
        <v>19:53:01.320</v>
      </c>
      <c r="CD4543" t="str">
        <f>"320890908"</f>
        <v>320890908</v>
      </c>
      <c r="CQ4543">
        <v>0</v>
      </c>
      <c r="CR4543">
        <v>2</v>
      </c>
      <c r="CS4543">
        <v>0</v>
      </c>
      <c r="CT4543">
        <v>2</v>
      </c>
      <c r="CU4543">
        <v>0</v>
      </c>
      <c r="CV4543">
        <v>5</v>
      </c>
      <c r="CW4543" t="s">
        <v>120</v>
      </c>
      <c r="CX4543">
        <v>257</v>
      </c>
      <c r="CY4543">
        <v>0</v>
      </c>
      <c r="CZ4543" t="s">
        <v>615</v>
      </c>
      <c r="DA4543" t="s">
        <v>616</v>
      </c>
      <c r="DD4543">
        <v>76523</v>
      </c>
      <c r="DE4543" t="s">
        <v>123</v>
      </c>
    </row>
    <row r="4544" spans="1:109" x14ac:dyDescent="0.3">
      <c r="A4544" t="str">
        <f>"19:53:02.563"</f>
        <v>19:53:02.563</v>
      </c>
      <c r="B4544" t="s">
        <v>110</v>
      </c>
      <c r="C4544" t="str">
        <f t="shared" si="217"/>
        <v>ffdfd3c0</v>
      </c>
      <c r="D4544" t="s">
        <v>111</v>
      </c>
      <c r="E4544">
        <v>18</v>
      </c>
      <c r="F4544">
        <v>1018</v>
      </c>
      <c r="G4544" t="s">
        <v>112</v>
      </c>
      <c r="J4544" t="s">
        <v>113</v>
      </c>
      <c r="K4544">
        <v>0</v>
      </c>
      <c r="L4544">
        <v>3</v>
      </c>
      <c r="M4544">
        <v>0</v>
      </c>
      <c r="N4544">
        <v>2</v>
      </c>
      <c r="O4544">
        <v>1</v>
      </c>
      <c r="P4544">
        <v>0</v>
      </c>
      <c r="Q4544">
        <v>0</v>
      </c>
      <c r="R4544" t="s">
        <v>114</v>
      </c>
      <c r="S4544" t="str">
        <f>"19:53:02.320"</f>
        <v>19:53:02.320</v>
      </c>
      <c r="T4544" t="str">
        <f>"19:53:02.320"</f>
        <v>19:53:02.320</v>
      </c>
      <c r="U4544" t="str">
        <f t="shared" si="214"/>
        <v>a1cdbe</v>
      </c>
      <c r="V4544">
        <v>0</v>
      </c>
      <c r="W4544">
        <v>0</v>
      </c>
      <c r="X4544">
        <v>2</v>
      </c>
      <c r="Y4544">
        <v>0</v>
      </c>
      <c r="Z4544">
        <v>0</v>
      </c>
      <c r="AB4544">
        <v>0</v>
      </c>
      <c r="AC4544">
        <v>9</v>
      </c>
      <c r="AD4544">
        <v>3</v>
      </c>
      <c r="AE4544">
        <v>0</v>
      </c>
      <c r="AF4544">
        <v>9</v>
      </c>
      <c r="AG4544" t="s">
        <v>1307</v>
      </c>
      <c r="AH4544">
        <v>0</v>
      </c>
      <c r="AI4544">
        <v>3</v>
      </c>
      <c r="AJ4544">
        <v>1</v>
      </c>
      <c r="AK4544">
        <v>0</v>
      </c>
      <c r="AL4544" t="s">
        <v>8139</v>
      </c>
      <c r="AM4544">
        <v>47.065278999999997</v>
      </c>
      <c r="AN4544" t="s">
        <v>8140</v>
      </c>
      <c r="AO4544">
        <v>-124.119587</v>
      </c>
      <c r="AP4544">
        <v>100</v>
      </c>
      <c r="AQ4544">
        <v>1000</v>
      </c>
      <c r="AR4544" t="s">
        <v>118</v>
      </c>
      <c r="AS4544">
        <v>-73</v>
      </c>
      <c r="AT4544">
        <v>25</v>
      </c>
      <c r="AU4544">
        <v>64</v>
      </c>
      <c r="BC4544">
        <v>1200</v>
      </c>
      <c r="BD4544">
        <v>1</v>
      </c>
      <c r="BE4544" t="str">
        <f t="shared" si="215"/>
        <v xml:space="preserve">N215T   </v>
      </c>
      <c r="BF4544">
        <v>1</v>
      </c>
      <c r="BH4544">
        <v>0</v>
      </c>
      <c r="BI4544">
        <v>0</v>
      </c>
      <c r="BJ4544">
        <v>0</v>
      </c>
      <c r="BK4544">
        <v>1350</v>
      </c>
      <c r="BL4544">
        <v>350</v>
      </c>
      <c r="BM4544" t="s">
        <v>119</v>
      </c>
      <c r="BN4544">
        <v>1</v>
      </c>
      <c r="BO4544">
        <v>1</v>
      </c>
      <c r="BP4544">
        <v>1</v>
      </c>
      <c r="BQ4544">
        <v>0</v>
      </c>
      <c r="BT4544">
        <v>0</v>
      </c>
      <c r="BU4544">
        <v>0</v>
      </c>
      <c r="BV4544">
        <v>0</v>
      </c>
      <c r="CC4544" t="str">
        <f>"19:53:02.328"</f>
        <v>19:53:02.328</v>
      </c>
      <c r="CD4544" t="str">
        <f>"325791932"</f>
        <v>325791932</v>
      </c>
      <c r="CQ4544">
        <v>0</v>
      </c>
      <c r="CR4544">
        <v>2</v>
      </c>
      <c r="CS4544">
        <v>0</v>
      </c>
      <c r="CT4544">
        <v>2</v>
      </c>
      <c r="CU4544">
        <v>0</v>
      </c>
      <c r="CV4544">
        <v>5</v>
      </c>
      <c r="CW4544" t="s">
        <v>120</v>
      </c>
      <c r="CX4544">
        <v>257</v>
      </c>
      <c r="CY4544">
        <v>0</v>
      </c>
      <c r="CZ4544" t="s">
        <v>615</v>
      </c>
      <c r="DA4544" t="s">
        <v>616</v>
      </c>
      <c r="DD4544">
        <v>76833</v>
      </c>
      <c r="DE4544" t="s">
        <v>123</v>
      </c>
    </row>
    <row r="4545" spans="1:109" x14ac:dyDescent="0.3">
      <c r="A4545" t="str">
        <f>"19:53:03.516"</f>
        <v>19:53:03.516</v>
      </c>
      <c r="B4545" t="s">
        <v>110</v>
      </c>
      <c r="C4545" t="str">
        <f t="shared" si="217"/>
        <v>ffdfd3c0</v>
      </c>
      <c r="D4545" t="s">
        <v>111</v>
      </c>
      <c r="E4545">
        <v>18</v>
      </c>
      <c r="F4545">
        <v>1018</v>
      </c>
      <c r="G4545" t="s">
        <v>112</v>
      </c>
      <c r="J4545" t="s">
        <v>113</v>
      </c>
      <c r="K4545">
        <v>0</v>
      </c>
      <c r="L4545">
        <v>3</v>
      </c>
      <c r="M4545">
        <v>0</v>
      </c>
      <c r="N4545">
        <v>2</v>
      </c>
      <c r="O4545">
        <v>1</v>
      </c>
      <c r="P4545">
        <v>0</v>
      </c>
      <c r="Q4545">
        <v>0</v>
      </c>
      <c r="R4545" t="s">
        <v>114</v>
      </c>
      <c r="S4545" t="str">
        <f>"19:53:03.266"</f>
        <v>19:53:03.266</v>
      </c>
      <c r="T4545" t="str">
        <f>"19:53:02.867"</f>
        <v>19:53:02.867</v>
      </c>
      <c r="U4545" t="str">
        <f t="shared" si="214"/>
        <v>a1cdbe</v>
      </c>
      <c r="V4545">
        <v>0</v>
      </c>
      <c r="W4545">
        <v>0</v>
      </c>
      <c r="X4545">
        <v>2</v>
      </c>
      <c r="Y4545">
        <v>0</v>
      </c>
      <c r="Z4545">
        <v>0</v>
      </c>
      <c r="AB4545">
        <v>0</v>
      </c>
      <c r="AC4545">
        <v>9</v>
      </c>
      <c r="AD4545">
        <v>3</v>
      </c>
      <c r="AE4545">
        <v>0</v>
      </c>
      <c r="AF4545">
        <v>9</v>
      </c>
      <c r="AG4545" t="s">
        <v>1307</v>
      </c>
      <c r="AH4545">
        <v>0</v>
      </c>
      <c r="AI4545">
        <v>3</v>
      </c>
      <c r="AJ4545">
        <v>1</v>
      </c>
      <c r="AK4545">
        <v>0</v>
      </c>
      <c r="AL4545" t="s">
        <v>7499</v>
      </c>
      <c r="AM4545">
        <v>47.065429999999999</v>
      </c>
      <c r="AN4545" t="s">
        <v>8141</v>
      </c>
      <c r="AO4545">
        <v>-124.120102</v>
      </c>
      <c r="AP4545">
        <v>100</v>
      </c>
      <c r="AQ4545">
        <v>1000</v>
      </c>
      <c r="AR4545" t="s">
        <v>118</v>
      </c>
      <c r="AS4545">
        <v>-73</v>
      </c>
      <c r="AT4545">
        <v>25</v>
      </c>
      <c r="AU4545">
        <v>64</v>
      </c>
      <c r="BC4545">
        <v>1200</v>
      </c>
      <c r="BD4545">
        <v>1</v>
      </c>
      <c r="BE4545" t="str">
        <f t="shared" si="215"/>
        <v xml:space="preserve">N215T   </v>
      </c>
      <c r="BF4545">
        <v>1</v>
      </c>
      <c r="BH4545">
        <v>0</v>
      </c>
      <c r="BI4545">
        <v>0</v>
      </c>
      <c r="BJ4545">
        <v>0</v>
      </c>
      <c r="BK4545">
        <v>1350</v>
      </c>
      <c r="BL4545">
        <v>350</v>
      </c>
      <c r="BM4545" t="s">
        <v>119</v>
      </c>
      <c r="BN4545">
        <v>1</v>
      </c>
      <c r="BO4545">
        <v>1</v>
      </c>
      <c r="BP4545">
        <v>1</v>
      </c>
      <c r="BQ4545">
        <v>0</v>
      </c>
      <c r="BT4545">
        <v>0</v>
      </c>
      <c r="BU4545">
        <v>0</v>
      </c>
      <c r="BV4545">
        <v>0</v>
      </c>
      <c r="CC4545" t="str">
        <f>"19:53:03.273"</f>
        <v>19:53:03.273</v>
      </c>
      <c r="CD4545" t="str">
        <f>"270698888"</f>
        <v>270698888</v>
      </c>
      <c r="CQ4545">
        <v>0</v>
      </c>
      <c r="CR4545">
        <v>2</v>
      </c>
      <c r="CS4545">
        <v>0</v>
      </c>
      <c r="CT4545">
        <v>2</v>
      </c>
      <c r="CU4545">
        <v>0</v>
      </c>
      <c r="CV4545">
        <v>5</v>
      </c>
      <c r="CW4545" t="s">
        <v>120</v>
      </c>
      <c r="CX4545">
        <v>257</v>
      </c>
      <c r="CY4545">
        <v>0</v>
      </c>
      <c r="CZ4545" t="s">
        <v>615</v>
      </c>
      <c r="DA4545" t="s">
        <v>616</v>
      </c>
      <c r="DD4545">
        <v>77110</v>
      </c>
      <c r="DE4545" t="s">
        <v>123</v>
      </c>
    </row>
    <row r="4546" spans="1:109" x14ac:dyDescent="0.3">
      <c r="A4546" t="str">
        <f>"19:53:04.477"</f>
        <v>19:53:04.477</v>
      </c>
      <c r="B4546" t="s">
        <v>110</v>
      </c>
      <c r="C4546" t="str">
        <f t="shared" si="217"/>
        <v>ffdfd3c0</v>
      </c>
      <c r="D4546" t="s">
        <v>111</v>
      </c>
      <c r="E4546">
        <v>18</v>
      </c>
      <c r="F4546">
        <v>1018</v>
      </c>
      <c r="G4546" t="s">
        <v>112</v>
      </c>
      <c r="J4546" t="s">
        <v>113</v>
      </c>
      <c r="K4546">
        <v>0</v>
      </c>
      <c r="L4546">
        <v>3</v>
      </c>
      <c r="M4546">
        <v>0</v>
      </c>
      <c r="N4546">
        <v>2</v>
      </c>
      <c r="O4546">
        <v>1</v>
      </c>
      <c r="P4546">
        <v>0</v>
      </c>
      <c r="Q4546">
        <v>0</v>
      </c>
      <c r="R4546" t="s">
        <v>114</v>
      </c>
      <c r="S4546" t="str">
        <f>"19:53:04.242"</f>
        <v>19:53:04.242</v>
      </c>
      <c r="T4546" t="str">
        <f>"19:53:04.242"</f>
        <v>19:53:04.242</v>
      </c>
      <c r="U4546" t="str">
        <f t="shared" ref="U4546:U4609" si="218">"a1cdbe"</f>
        <v>a1cdbe</v>
      </c>
      <c r="V4546">
        <v>0</v>
      </c>
      <c r="W4546">
        <v>0</v>
      </c>
      <c r="X4546">
        <v>2</v>
      </c>
      <c r="Y4546">
        <v>0</v>
      </c>
      <c r="Z4546">
        <v>0</v>
      </c>
      <c r="AB4546">
        <v>0</v>
      </c>
      <c r="AC4546">
        <v>9</v>
      </c>
      <c r="AD4546">
        <v>3</v>
      </c>
      <c r="AE4546">
        <v>0</v>
      </c>
      <c r="AF4546">
        <v>9</v>
      </c>
      <c r="AG4546" t="s">
        <v>1307</v>
      </c>
      <c r="AH4546">
        <v>0</v>
      </c>
      <c r="AI4546">
        <v>3</v>
      </c>
      <c r="AJ4546">
        <v>1</v>
      </c>
      <c r="AK4546">
        <v>0</v>
      </c>
      <c r="AL4546" t="s">
        <v>7449</v>
      </c>
      <c r="AM4546">
        <v>47.065516000000002</v>
      </c>
      <c r="AN4546" t="s">
        <v>8142</v>
      </c>
      <c r="AO4546">
        <v>-124.120574</v>
      </c>
      <c r="AP4546">
        <v>100</v>
      </c>
      <c r="AQ4546">
        <v>1000</v>
      </c>
      <c r="AR4546" t="s">
        <v>118</v>
      </c>
      <c r="AS4546">
        <v>-73</v>
      </c>
      <c r="AT4546">
        <v>25</v>
      </c>
      <c r="AU4546">
        <v>-64</v>
      </c>
      <c r="BC4546">
        <v>1200</v>
      </c>
      <c r="BD4546">
        <v>1</v>
      </c>
      <c r="BE4546" t="str">
        <f t="shared" ref="BE4546:BE4609" si="219">"N215T   "</f>
        <v xml:space="preserve">N215T   </v>
      </c>
      <c r="BF4546">
        <v>1</v>
      </c>
      <c r="BH4546">
        <v>0</v>
      </c>
      <c r="BI4546">
        <v>0</v>
      </c>
      <c r="BJ4546">
        <v>0</v>
      </c>
      <c r="BK4546">
        <v>1350</v>
      </c>
      <c r="BL4546">
        <v>350</v>
      </c>
      <c r="BM4546" t="s">
        <v>119</v>
      </c>
      <c r="BN4546">
        <v>1</v>
      </c>
      <c r="BO4546">
        <v>1</v>
      </c>
      <c r="BP4546">
        <v>1</v>
      </c>
      <c r="BQ4546">
        <v>0</v>
      </c>
      <c r="BT4546">
        <v>0</v>
      </c>
      <c r="BU4546">
        <v>0</v>
      </c>
      <c r="BV4546">
        <v>0</v>
      </c>
      <c r="CC4546" t="str">
        <f>"19:53:04.242"</f>
        <v>19:53:04.242</v>
      </c>
      <c r="CD4546" t="str">
        <f>"245602886"</f>
        <v>245602886</v>
      </c>
      <c r="CQ4546">
        <v>0</v>
      </c>
      <c r="CR4546">
        <v>2</v>
      </c>
      <c r="CS4546">
        <v>0</v>
      </c>
      <c r="CT4546">
        <v>2</v>
      </c>
      <c r="CU4546">
        <v>0</v>
      </c>
      <c r="CV4546">
        <v>5</v>
      </c>
      <c r="CW4546" t="s">
        <v>120</v>
      </c>
      <c r="CX4546">
        <v>257</v>
      </c>
      <c r="CY4546">
        <v>0</v>
      </c>
      <c r="CZ4546" t="s">
        <v>615</v>
      </c>
      <c r="DA4546" t="s">
        <v>616</v>
      </c>
      <c r="DD4546">
        <v>77433</v>
      </c>
      <c r="DE4546" t="s">
        <v>123</v>
      </c>
    </row>
    <row r="4547" spans="1:109" x14ac:dyDescent="0.3">
      <c r="A4547" t="str">
        <f>"19:53:05.523"</f>
        <v>19:53:05.523</v>
      </c>
      <c r="B4547" t="s">
        <v>110</v>
      </c>
      <c r="C4547" t="str">
        <f t="shared" si="217"/>
        <v>ffdfd3c0</v>
      </c>
      <c r="D4547" t="s">
        <v>111</v>
      </c>
      <c r="E4547">
        <v>18</v>
      </c>
      <c r="F4547">
        <v>1018</v>
      </c>
      <c r="G4547" t="s">
        <v>112</v>
      </c>
      <c r="J4547" t="s">
        <v>113</v>
      </c>
      <c r="K4547">
        <v>0</v>
      </c>
      <c r="L4547">
        <v>3</v>
      </c>
      <c r="M4547">
        <v>0</v>
      </c>
      <c r="N4547">
        <v>2</v>
      </c>
      <c r="O4547">
        <v>1</v>
      </c>
      <c r="P4547">
        <v>0</v>
      </c>
      <c r="Q4547">
        <v>0</v>
      </c>
      <c r="R4547" t="s">
        <v>114</v>
      </c>
      <c r="S4547" t="str">
        <f>"19:53:05.250"</f>
        <v>19:53:05.250</v>
      </c>
      <c r="T4547" t="str">
        <f>"19:53:05.250"</f>
        <v>19:53:05.250</v>
      </c>
      <c r="U4547" t="str">
        <f t="shared" si="218"/>
        <v>a1cdbe</v>
      </c>
      <c r="V4547">
        <v>0</v>
      </c>
      <c r="W4547">
        <v>0</v>
      </c>
      <c r="X4547">
        <v>2</v>
      </c>
      <c r="Y4547">
        <v>0</v>
      </c>
      <c r="Z4547">
        <v>0</v>
      </c>
      <c r="AB4547">
        <v>0</v>
      </c>
      <c r="AC4547">
        <v>9</v>
      </c>
      <c r="AD4547">
        <v>3</v>
      </c>
      <c r="AE4547">
        <v>0</v>
      </c>
      <c r="AF4547">
        <v>9</v>
      </c>
      <c r="AG4547" t="s">
        <v>1307</v>
      </c>
      <c r="AH4547">
        <v>0</v>
      </c>
      <c r="AI4547">
        <v>3</v>
      </c>
      <c r="AJ4547">
        <v>1</v>
      </c>
      <c r="AK4547">
        <v>0</v>
      </c>
      <c r="AL4547" t="s">
        <v>7497</v>
      </c>
      <c r="AM4547">
        <v>47.065666</v>
      </c>
      <c r="AN4547" t="s">
        <v>8143</v>
      </c>
      <c r="AO4547">
        <v>-124.12106799999999</v>
      </c>
      <c r="AP4547">
        <v>100</v>
      </c>
      <c r="AQ4547">
        <v>1000</v>
      </c>
      <c r="AR4547" t="s">
        <v>118</v>
      </c>
      <c r="AS4547">
        <v>-74</v>
      </c>
      <c r="AT4547">
        <v>24</v>
      </c>
      <c r="AU4547">
        <v>-64</v>
      </c>
      <c r="BC4547">
        <v>1200</v>
      </c>
      <c r="BD4547">
        <v>1</v>
      </c>
      <c r="BE4547" t="str">
        <f t="shared" si="219"/>
        <v xml:space="preserve">N215T   </v>
      </c>
      <c r="BF4547">
        <v>1</v>
      </c>
      <c r="BH4547">
        <v>0</v>
      </c>
      <c r="BI4547">
        <v>0</v>
      </c>
      <c r="BJ4547">
        <v>0</v>
      </c>
      <c r="BK4547">
        <v>1350</v>
      </c>
      <c r="BL4547">
        <v>350</v>
      </c>
      <c r="BM4547" t="s">
        <v>119</v>
      </c>
      <c r="BN4547">
        <v>1</v>
      </c>
      <c r="BO4547">
        <v>1</v>
      </c>
      <c r="BP4547">
        <v>1</v>
      </c>
      <c r="BQ4547">
        <v>0</v>
      </c>
      <c r="BT4547">
        <v>0</v>
      </c>
      <c r="BU4547">
        <v>0</v>
      </c>
      <c r="BV4547">
        <v>0</v>
      </c>
      <c r="CC4547" t="str">
        <f>"19:53:05.250"</f>
        <v>19:53:05.250</v>
      </c>
      <c r="CD4547" t="str">
        <f>"250503888"</f>
        <v>250503888</v>
      </c>
      <c r="CQ4547">
        <v>0</v>
      </c>
      <c r="CR4547">
        <v>2</v>
      </c>
      <c r="CS4547">
        <v>0</v>
      </c>
      <c r="CT4547">
        <v>2</v>
      </c>
      <c r="CU4547">
        <v>0</v>
      </c>
      <c r="CV4547">
        <v>5</v>
      </c>
      <c r="CW4547" t="s">
        <v>120</v>
      </c>
      <c r="CX4547">
        <v>257</v>
      </c>
      <c r="CY4547">
        <v>0</v>
      </c>
      <c r="CZ4547" t="s">
        <v>615</v>
      </c>
      <c r="DA4547" t="s">
        <v>616</v>
      </c>
      <c r="DD4547">
        <v>77734</v>
      </c>
      <c r="DE4547" t="s">
        <v>123</v>
      </c>
    </row>
    <row r="4548" spans="1:109" x14ac:dyDescent="0.3">
      <c r="A4548" t="str">
        <f>"19:53:06.477"</f>
        <v>19:53:06.477</v>
      </c>
      <c r="B4548" t="s">
        <v>110</v>
      </c>
      <c r="C4548" t="str">
        <f t="shared" si="217"/>
        <v>ffdfd3c0</v>
      </c>
      <c r="D4548" t="s">
        <v>111</v>
      </c>
      <c r="E4548">
        <v>18</v>
      </c>
      <c r="F4548">
        <v>1018</v>
      </c>
      <c r="G4548" t="s">
        <v>112</v>
      </c>
      <c r="J4548" t="s">
        <v>113</v>
      </c>
      <c r="K4548">
        <v>0</v>
      </c>
      <c r="L4548">
        <v>3</v>
      </c>
      <c r="M4548">
        <v>0</v>
      </c>
      <c r="N4548">
        <v>2</v>
      </c>
      <c r="O4548">
        <v>1</v>
      </c>
      <c r="P4548">
        <v>0</v>
      </c>
      <c r="Q4548">
        <v>0</v>
      </c>
      <c r="R4548" t="s">
        <v>114</v>
      </c>
      <c r="S4548" t="str">
        <f>"19:53:06.266"</f>
        <v>19:53:06.266</v>
      </c>
      <c r="T4548" t="str">
        <f>"19:53:06.266"</f>
        <v>19:53:06.266</v>
      </c>
      <c r="U4548" t="str">
        <f t="shared" si="218"/>
        <v>a1cdbe</v>
      </c>
      <c r="V4548">
        <v>0</v>
      </c>
      <c r="W4548">
        <v>0</v>
      </c>
      <c r="X4548">
        <v>2</v>
      </c>
      <c r="Y4548">
        <v>0</v>
      </c>
      <c r="Z4548">
        <v>0</v>
      </c>
      <c r="AB4548">
        <v>0</v>
      </c>
      <c r="AC4548">
        <v>9</v>
      </c>
      <c r="AD4548">
        <v>3</v>
      </c>
      <c r="AE4548">
        <v>0</v>
      </c>
      <c r="AF4548">
        <v>9</v>
      </c>
      <c r="AG4548" t="s">
        <v>1307</v>
      </c>
      <c r="AH4548">
        <v>0</v>
      </c>
      <c r="AI4548">
        <v>3</v>
      </c>
      <c r="AJ4548">
        <v>1</v>
      </c>
      <c r="AK4548">
        <v>0</v>
      </c>
      <c r="AL4548" t="s">
        <v>8144</v>
      </c>
      <c r="AM4548">
        <v>47.065752000000003</v>
      </c>
      <c r="AN4548" t="s">
        <v>8145</v>
      </c>
      <c r="AO4548">
        <v>-124.121561</v>
      </c>
      <c r="AP4548">
        <v>100</v>
      </c>
      <c r="AQ4548">
        <v>1000</v>
      </c>
      <c r="AR4548" t="s">
        <v>118</v>
      </c>
      <c r="AS4548">
        <v>-74</v>
      </c>
      <c r="AT4548">
        <v>25</v>
      </c>
      <c r="AU4548">
        <v>0</v>
      </c>
      <c r="BC4548">
        <v>1200</v>
      </c>
      <c r="BD4548">
        <v>1</v>
      </c>
      <c r="BE4548" t="str">
        <f t="shared" si="219"/>
        <v xml:space="preserve">N215T   </v>
      </c>
      <c r="BF4548">
        <v>1</v>
      </c>
      <c r="BH4548">
        <v>0</v>
      </c>
      <c r="BI4548">
        <v>0</v>
      </c>
      <c r="BJ4548">
        <v>0</v>
      </c>
      <c r="BK4548">
        <v>1350</v>
      </c>
      <c r="BL4548">
        <v>350</v>
      </c>
      <c r="BM4548" t="s">
        <v>119</v>
      </c>
      <c r="BN4548">
        <v>1</v>
      </c>
      <c r="BO4548">
        <v>1</v>
      </c>
      <c r="BP4548">
        <v>1</v>
      </c>
      <c r="BQ4548">
        <v>0</v>
      </c>
      <c r="BT4548">
        <v>0</v>
      </c>
      <c r="BU4548">
        <v>0</v>
      </c>
      <c r="BV4548">
        <v>0</v>
      </c>
      <c r="CC4548" t="str">
        <f>"19:53:06.273"</f>
        <v>19:53:06.273</v>
      </c>
      <c r="CD4548" t="str">
        <f>"270403482"</f>
        <v>270403482</v>
      </c>
      <c r="CQ4548">
        <v>0</v>
      </c>
      <c r="CR4548">
        <v>2</v>
      </c>
      <c r="CS4548">
        <v>0</v>
      </c>
      <c r="CT4548">
        <v>2</v>
      </c>
      <c r="CU4548">
        <v>0</v>
      </c>
      <c r="CV4548">
        <v>5</v>
      </c>
      <c r="CW4548" t="s">
        <v>120</v>
      </c>
      <c r="CX4548">
        <v>257</v>
      </c>
      <c r="CY4548">
        <v>0</v>
      </c>
      <c r="CZ4548" t="s">
        <v>615</v>
      </c>
      <c r="DA4548" t="s">
        <v>616</v>
      </c>
      <c r="DD4548">
        <v>78062</v>
      </c>
      <c r="DE4548" t="s">
        <v>123</v>
      </c>
    </row>
    <row r="4549" spans="1:109" x14ac:dyDescent="0.3">
      <c r="A4549" t="str">
        <f>"19:53:07.438"</f>
        <v>19:53:07.438</v>
      </c>
      <c r="B4549" t="s">
        <v>110</v>
      </c>
      <c r="C4549" t="str">
        <f t="shared" si="217"/>
        <v>ffdfd3c0</v>
      </c>
      <c r="D4549" t="s">
        <v>111</v>
      </c>
      <c r="E4549">
        <v>18</v>
      </c>
      <c r="F4549">
        <v>1018</v>
      </c>
      <c r="G4549" t="s">
        <v>112</v>
      </c>
      <c r="J4549" t="s">
        <v>113</v>
      </c>
      <c r="K4549">
        <v>0</v>
      </c>
      <c r="L4549">
        <v>3</v>
      </c>
      <c r="M4549">
        <v>0</v>
      </c>
      <c r="N4549">
        <v>2</v>
      </c>
      <c r="O4549">
        <v>1</v>
      </c>
      <c r="P4549">
        <v>0</v>
      </c>
      <c r="Q4549">
        <v>0</v>
      </c>
      <c r="R4549" t="s">
        <v>114</v>
      </c>
      <c r="S4549" t="str">
        <f>"19:53:07.195"</f>
        <v>19:53:07.195</v>
      </c>
      <c r="T4549" t="str">
        <f>"19:53:07.195"</f>
        <v>19:53:07.195</v>
      </c>
      <c r="U4549" t="str">
        <f t="shared" si="218"/>
        <v>a1cdbe</v>
      </c>
      <c r="V4549">
        <v>0</v>
      </c>
      <c r="W4549">
        <v>0</v>
      </c>
      <c r="X4549">
        <v>2</v>
      </c>
      <c r="Y4549">
        <v>0</v>
      </c>
      <c r="Z4549">
        <v>0</v>
      </c>
      <c r="AB4549">
        <v>0</v>
      </c>
      <c r="AC4549">
        <v>9</v>
      </c>
      <c r="AD4549">
        <v>3</v>
      </c>
      <c r="AE4549">
        <v>0</v>
      </c>
      <c r="AF4549">
        <v>9</v>
      </c>
      <c r="AG4549" t="s">
        <v>1307</v>
      </c>
      <c r="AH4549">
        <v>0</v>
      </c>
      <c r="AI4549">
        <v>3</v>
      </c>
      <c r="AJ4549">
        <v>1</v>
      </c>
      <c r="AK4549">
        <v>0</v>
      </c>
      <c r="AL4549" t="s">
        <v>8146</v>
      </c>
      <c r="AM4549">
        <v>47.065837000000002</v>
      </c>
      <c r="AN4549" t="s">
        <v>8147</v>
      </c>
      <c r="AO4549">
        <v>-124.122033</v>
      </c>
      <c r="AP4549">
        <v>100</v>
      </c>
      <c r="AQ4549">
        <v>1000</v>
      </c>
      <c r="AR4549" t="s">
        <v>118</v>
      </c>
      <c r="AS4549">
        <v>-74</v>
      </c>
      <c r="AT4549">
        <v>25</v>
      </c>
      <c r="AU4549">
        <v>0</v>
      </c>
      <c r="BC4549">
        <v>1200</v>
      </c>
      <c r="BD4549">
        <v>1</v>
      </c>
      <c r="BE4549" t="str">
        <f t="shared" si="219"/>
        <v xml:space="preserve">N215T   </v>
      </c>
      <c r="BF4549">
        <v>1</v>
      </c>
      <c r="BH4549">
        <v>0</v>
      </c>
      <c r="BI4549">
        <v>0</v>
      </c>
      <c r="BJ4549">
        <v>0</v>
      </c>
      <c r="BK4549">
        <v>1350</v>
      </c>
      <c r="BL4549">
        <v>350</v>
      </c>
      <c r="BM4549" t="s">
        <v>119</v>
      </c>
      <c r="BN4549">
        <v>1</v>
      </c>
      <c r="BO4549">
        <v>1</v>
      </c>
      <c r="BP4549">
        <v>1</v>
      </c>
      <c r="BQ4549">
        <v>0</v>
      </c>
      <c r="BT4549">
        <v>0</v>
      </c>
      <c r="BU4549">
        <v>0</v>
      </c>
      <c r="BV4549">
        <v>0</v>
      </c>
      <c r="CC4549" t="str">
        <f>"19:53:07.203"</f>
        <v>19:53:07.203</v>
      </c>
      <c r="CD4549" t="str">
        <f>"200311902"</f>
        <v>200311902</v>
      </c>
      <c r="CQ4549">
        <v>0</v>
      </c>
      <c r="CR4549">
        <v>2</v>
      </c>
      <c r="CS4549">
        <v>0</v>
      </c>
      <c r="CT4549">
        <v>2</v>
      </c>
      <c r="CU4549">
        <v>0</v>
      </c>
      <c r="CV4549">
        <v>5</v>
      </c>
      <c r="CW4549" t="s">
        <v>120</v>
      </c>
      <c r="CX4549">
        <v>257</v>
      </c>
      <c r="CY4549">
        <v>0</v>
      </c>
      <c r="CZ4549" t="s">
        <v>615</v>
      </c>
      <c r="DA4549" t="s">
        <v>616</v>
      </c>
      <c r="DD4549">
        <v>78327</v>
      </c>
      <c r="DE4549" t="s">
        <v>123</v>
      </c>
    </row>
    <row r="4550" spans="1:109" x14ac:dyDescent="0.3">
      <c r="A4550" t="str">
        <f>"19:53:08.438"</f>
        <v>19:53:08.438</v>
      </c>
      <c r="B4550" t="s">
        <v>110</v>
      </c>
      <c r="C4550" t="str">
        <f t="shared" si="217"/>
        <v>ffdfd3c0</v>
      </c>
      <c r="D4550" t="s">
        <v>111</v>
      </c>
      <c r="E4550">
        <v>18</v>
      </c>
      <c r="F4550">
        <v>1018</v>
      </c>
      <c r="G4550" t="s">
        <v>112</v>
      </c>
      <c r="J4550" t="s">
        <v>113</v>
      </c>
      <c r="K4550">
        <v>0</v>
      </c>
      <c r="L4550">
        <v>3</v>
      </c>
      <c r="M4550">
        <v>0</v>
      </c>
      <c r="N4550">
        <v>2</v>
      </c>
      <c r="O4550">
        <v>1</v>
      </c>
      <c r="P4550">
        <v>0</v>
      </c>
      <c r="Q4550">
        <v>0</v>
      </c>
      <c r="R4550" t="s">
        <v>114</v>
      </c>
      <c r="S4550" t="str">
        <f>"19:53:08.203"</f>
        <v>19:53:08.203</v>
      </c>
      <c r="T4550" t="str">
        <f>"19:53:07.203"</f>
        <v>19:53:07.203</v>
      </c>
      <c r="U4550" t="str">
        <f t="shared" si="218"/>
        <v>a1cdbe</v>
      </c>
      <c r="V4550">
        <v>0</v>
      </c>
      <c r="W4550">
        <v>0</v>
      </c>
      <c r="X4550">
        <v>2</v>
      </c>
      <c r="Y4550">
        <v>0</v>
      </c>
      <c r="Z4550">
        <v>0</v>
      </c>
      <c r="AB4550">
        <v>0</v>
      </c>
      <c r="AC4550">
        <v>9</v>
      </c>
      <c r="AD4550">
        <v>3</v>
      </c>
      <c r="AE4550">
        <v>0</v>
      </c>
      <c r="AF4550">
        <v>9</v>
      </c>
      <c r="AG4550" t="s">
        <v>1307</v>
      </c>
      <c r="AH4550">
        <v>0</v>
      </c>
      <c r="AI4550">
        <v>3</v>
      </c>
      <c r="AJ4550">
        <v>1</v>
      </c>
      <c r="AK4550">
        <v>0</v>
      </c>
      <c r="AL4550" t="s">
        <v>8148</v>
      </c>
      <c r="AM4550">
        <v>47.065987999999997</v>
      </c>
      <c r="AN4550" t="s">
        <v>8149</v>
      </c>
      <c r="AO4550">
        <v>-124.12254799999999</v>
      </c>
      <c r="AP4550">
        <v>100</v>
      </c>
      <c r="AQ4550">
        <v>1000</v>
      </c>
      <c r="AR4550" t="s">
        <v>118</v>
      </c>
      <c r="AS4550">
        <v>-74</v>
      </c>
      <c r="AT4550">
        <v>25</v>
      </c>
      <c r="AU4550">
        <v>0</v>
      </c>
      <c r="BC4550">
        <v>1200</v>
      </c>
      <c r="BD4550">
        <v>1</v>
      </c>
      <c r="BE4550" t="str">
        <f t="shared" si="219"/>
        <v xml:space="preserve">N215T   </v>
      </c>
      <c r="BF4550">
        <v>1</v>
      </c>
      <c r="BH4550">
        <v>0</v>
      </c>
      <c r="BI4550">
        <v>0</v>
      </c>
      <c r="BJ4550">
        <v>0</v>
      </c>
      <c r="BK4550">
        <v>1350</v>
      </c>
      <c r="BL4550">
        <v>350</v>
      </c>
      <c r="BM4550" t="s">
        <v>119</v>
      </c>
      <c r="BN4550">
        <v>1</v>
      </c>
      <c r="BO4550">
        <v>1</v>
      </c>
      <c r="BP4550">
        <v>1</v>
      </c>
      <c r="BQ4550">
        <v>0</v>
      </c>
      <c r="BT4550">
        <v>0</v>
      </c>
      <c r="BU4550">
        <v>0</v>
      </c>
      <c r="BV4550">
        <v>0</v>
      </c>
      <c r="CC4550" t="str">
        <f>"19:53:08.203"</f>
        <v>19:53:08.203</v>
      </c>
      <c r="CD4550" t="str">
        <f>"205212942"</f>
        <v>205212942</v>
      </c>
      <c r="CQ4550">
        <v>0</v>
      </c>
      <c r="CR4550">
        <v>2</v>
      </c>
      <c r="CS4550">
        <v>0</v>
      </c>
      <c r="CT4550">
        <v>2</v>
      </c>
      <c r="CU4550">
        <v>0</v>
      </c>
      <c r="CV4550">
        <v>5</v>
      </c>
      <c r="CW4550" t="s">
        <v>120</v>
      </c>
      <c r="CX4550">
        <v>257</v>
      </c>
      <c r="CY4550">
        <v>0</v>
      </c>
      <c r="CZ4550" t="s">
        <v>615</v>
      </c>
      <c r="DA4550" t="s">
        <v>616</v>
      </c>
      <c r="DD4550">
        <v>78651</v>
      </c>
      <c r="DE4550" t="s">
        <v>123</v>
      </c>
    </row>
    <row r="4551" spans="1:109" x14ac:dyDescent="0.3">
      <c r="A4551" t="str">
        <f>"19:53:09.445"</f>
        <v>19:53:09.445</v>
      </c>
      <c r="B4551" t="s">
        <v>110</v>
      </c>
      <c r="C4551" t="str">
        <f t="shared" si="217"/>
        <v>ffdfd3c0</v>
      </c>
      <c r="D4551" t="s">
        <v>111</v>
      </c>
      <c r="E4551">
        <v>18</v>
      </c>
      <c r="F4551">
        <v>1018</v>
      </c>
      <c r="G4551" t="s">
        <v>112</v>
      </c>
      <c r="J4551" t="s">
        <v>113</v>
      </c>
      <c r="K4551">
        <v>0</v>
      </c>
      <c r="L4551">
        <v>3</v>
      </c>
      <c r="M4551">
        <v>0</v>
      </c>
      <c r="N4551">
        <v>2</v>
      </c>
      <c r="O4551">
        <v>1</v>
      </c>
      <c r="P4551">
        <v>0</v>
      </c>
      <c r="Q4551">
        <v>0</v>
      </c>
      <c r="R4551" t="s">
        <v>114</v>
      </c>
      <c r="S4551" t="str">
        <f>"19:53:09.203"</f>
        <v>19:53:09.203</v>
      </c>
      <c r="T4551" t="str">
        <f>"19:53:08.805"</f>
        <v>19:53:08.805</v>
      </c>
      <c r="U4551" t="str">
        <f t="shared" si="218"/>
        <v>a1cdbe</v>
      </c>
      <c r="V4551">
        <v>0</v>
      </c>
      <c r="W4551">
        <v>0</v>
      </c>
      <c r="X4551">
        <v>2</v>
      </c>
      <c r="Y4551">
        <v>0</v>
      </c>
      <c r="Z4551">
        <v>0</v>
      </c>
      <c r="AB4551">
        <v>0</v>
      </c>
      <c r="AC4551">
        <v>9</v>
      </c>
      <c r="AD4551">
        <v>3</v>
      </c>
      <c r="AE4551">
        <v>0</v>
      </c>
      <c r="AF4551">
        <v>9</v>
      </c>
      <c r="AG4551" t="s">
        <v>1307</v>
      </c>
      <c r="AH4551">
        <v>0</v>
      </c>
      <c r="AI4551">
        <v>3</v>
      </c>
      <c r="AJ4551">
        <v>1</v>
      </c>
      <c r="AK4551">
        <v>0</v>
      </c>
      <c r="AL4551" t="s">
        <v>7494</v>
      </c>
      <c r="AM4551">
        <v>47.066116000000001</v>
      </c>
      <c r="AN4551" t="s">
        <v>8150</v>
      </c>
      <c r="AO4551">
        <v>-124.123063</v>
      </c>
      <c r="AP4551">
        <v>100</v>
      </c>
      <c r="AQ4551">
        <v>1000</v>
      </c>
      <c r="AR4551" t="s">
        <v>118</v>
      </c>
      <c r="AS4551">
        <v>-73</v>
      </c>
      <c r="AT4551">
        <v>25</v>
      </c>
      <c r="AU4551">
        <v>64</v>
      </c>
      <c r="BC4551">
        <v>1200</v>
      </c>
      <c r="BD4551">
        <v>1</v>
      </c>
      <c r="BE4551" t="str">
        <f t="shared" si="219"/>
        <v xml:space="preserve">N215T   </v>
      </c>
      <c r="BF4551">
        <v>1</v>
      </c>
      <c r="BH4551">
        <v>0</v>
      </c>
      <c r="BI4551">
        <v>0</v>
      </c>
      <c r="BJ4551">
        <v>0</v>
      </c>
      <c r="BK4551">
        <v>1350</v>
      </c>
      <c r="BL4551">
        <v>350</v>
      </c>
      <c r="BM4551" t="s">
        <v>119</v>
      </c>
      <c r="BN4551">
        <v>1</v>
      </c>
      <c r="BO4551">
        <v>1</v>
      </c>
      <c r="BP4551">
        <v>1</v>
      </c>
      <c r="BQ4551">
        <v>0</v>
      </c>
      <c r="BT4551">
        <v>0</v>
      </c>
      <c r="BU4551">
        <v>0</v>
      </c>
      <c r="BV4551">
        <v>0</v>
      </c>
      <c r="CC4551" t="str">
        <f>"19:53:09.211"</f>
        <v>19:53:09.211</v>
      </c>
      <c r="CD4551" t="str">
        <f>"210113978"</f>
        <v>210113978</v>
      </c>
      <c r="CQ4551">
        <v>0</v>
      </c>
      <c r="CR4551">
        <v>2</v>
      </c>
      <c r="CS4551">
        <v>0</v>
      </c>
      <c r="CT4551">
        <v>2</v>
      </c>
      <c r="CU4551">
        <v>0</v>
      </c>
      <c r="CV4551">
        <v>5</v>
      </c>
      <c r="CW4551" t="s">
        <v>120</v>
      </c>
      <c r="CX4551">
        <v>257</v>
      </c>
      <c r="CY4551">
        <v>0</v>
      </c>
      <c r="CZ4551" t="s">
        <v>615</v>
      </c>
      <c r="DA4551" t="s">
        <v>616</v>
      </c>
      <c r="DD4551">
        <v>78979</v>
      </c>
      <c r="DE4551" t="s">
        <v>123</v>
      </c>
    </row>
    <row r="4552" spans="1:109" x14ac:dyDescent="0.3">
      <c r="A4552" t="str">
        <f>"19:53:10.555"</f>
        <v>19:53:10.555</v>
      </c>
      <c r="B4552" t="s">
        <v>110</v>
      </c>
      <c r="C4552" t="str">
        <f t="shared" si="217"/>
        <v>ffdfd3c0</v>
      </c>
      <c r="D4552" t="s">
        <v>111</v>
      </c>
      <c r="E4552">
        <v>18</v>
      </c>
      <c r="F4552">
        <v>1018</v>
      </c>
      <c r="G4552" t="s">
        <v>112</v>
      </c>
      <c r="J4552" t="s">
        <v>113</v>
      </c>
      <c r="K4552">
        <v>0</v>
      </c>
      <c r="L4552">
        <v>3</v>
      </c>
      <c r="M4552">
        <v>0</v>
      </c>
      <c r="N4552">
        <v>2</v>
      </c>
      <c r="O4552">
        <v>1</v>
      </c>
      <c r="P4552">
        <v>0</v>
      </c>
      <c r="Q4552">
        <v>0</v>
      </c>
      <c r="R4552" t="s">
        <v>114</v>
      </c>
      <c r="S4552" t="str">
        <f>"19:53:10.305"</f>
        <v>19:53:10.305</v>
      </c>
      <c r="T4552" t="str">
        <f>"19:53:09.805"</f>
        <v>19:53:09.805</v>
      </c>
      <c r="U4552" t="str">
        <f t="shared" si="218"/>
        <v>a1cdbe</v>
      </c>
      <c r="V4552">
        <v>0</v>
      </c>
      <c r="W4552">
        <v>0</v>
      </c>
      <c r="X4552">
        <v>2</v>
      </c>
      <c r="Y4552">
        <v>0</v>
      </c>
      <c r="Z4552">
        <v>0</v>
      </c>
      <c r="AB4552">
        <v>0</v>
      </c>
      <c r="AC4552">
        <v>9</v>
      </c>
      <c r="AD4552">
        <v>3</v>
      </c>
      <c r="AE4552">
        <v>0</v>
      </c>
      <c r="AF4552">
        <v>9</v>
      </c>
      <c r="AG4552" t="s">
        <v>1307</v>
      </c>
      <c r="AH4552">
        <v>0</v>
      </c>
      <c r="AI4552">
        <v>3</v>
      </c>
      <c r="AJ4552">
        <v>1</v>
      </c>
      <c r="AK4552">
        <v>0</v>
      </c>
      <c r="AL4552" t="s">
        <v>8151</v>
      </c>
      <c r="AM4552">
        <v>47.066223999999998</v>
      </c>
      <c r="AN4552" t="s">
        <v>8152</v>
      </c>
      <c r="AO4552">
        <v>-124.1236</v>
      </c>
      <c r="AP4552">
        <v>100</v>
      </c>
      <c r="AQ4552">
        <v>1000</v>
      </c>
      <c r="AR4552" t="s">
        <v>118</v>
      </c>
      <c r="AS4552">
        <v>-73</v>
      </c>
      <c r="AT4552">
        <v>26</v>
      </c>
      <c r="AU4552">
        <v>64</v>
      </c>
      <c r="BC4552">
        <v>1200</v>
      </c>
      <c r="BD4552">
        <v>1</v>
      </c>
      <c r="BE4552" t="str">
        <f t="shared" si="219"/>
        <v xml:space="preserve">N215T   </v>
      </c>
      <c r="BF4552">
        <v>1</v>
      </c>
      <c r="BH4552">
        <v>0</v>
      </c>
      <c r="BI4552">
        <v>0</v>
      </c>
      <c r="BJ4552">
        <v>0</v>
      </c>
      <c r="BK4552">
        <v>1350</v>
      </c>
      <c r="BL4552">
        <v>350</v>
      </c>
      <c r="BM4552" t="s">
        <v>119</v>
      </c>
      <c r="BN4552">
        <v>1</v>
      </c>
      <c r="BO4552">
        <v>1</v>
      </c>
      <c r="BP4552">
        <v>1</v>
      </c>
      <c r="BQ4552">
        <v>0</v>
      </c>
      <c r="BT4552">
        <v>0</v>
      </c>
      <c r="BU4552">
        <v>0</v>
      </c>
      <c r="BV4552">
        <v>0</v>
      </c>
      <c r="CC4552" t="str">
        <f>"19:53:10.305"</f>
        <v>19:53:10.305</v>
      </c>
      <c r="CD4552" t="str">
        <f>"305006158"</f>
        <v>305006158</v>
      </c>
      <c r="CQ4552">
        <v>0</v>
      </c>
      <c r="CR4552">
        <v>2</v>
      </c>
      <c r="CS4552">
        <v>0</v>
      </c>
      <c r="CT4552">
        <v>2</v>
      </c>
      <c r="CU4552">
        <v>0</v>
      </c>
      <c r="CV4552">
        <v>5</v>
      </c>
      <c r="CW4552" t="s">
        <v>120</v>
      </c>
      <c r="CX4552">
        <v>257</v>
      </c>
      <c r="CY4552">
        <v>0</v>
      </c>
      <c r="CZ4552" t="s">
        <v>615</v>
      </c>
      <c r="DA4552" t="s">
        <v>616</v>
      </c>
      <c r="DD4552">
        <v>79321</v>
      </c>
      <c r="DE4552" t="s">
        <v>123</v>
      </c>
    </row>
    <row r="4553" spans="1:109" x14ac:dyDescent="0.3">
      <c r="A4553" t="str">
        <f>"19:53:11.703"</f>
        <v>19:53:11.703</v>
      </c>
      <c r="B4553" t="s">
        <v>110</v>
      </c>
      <c r="C4553" t="str">
        <f t="shared" si="217"/>
        <v>ffdfd3c0</v>
      </c>
      <c r="D4553" t="s">
        <v>111</v>
      </c>
      <c r="E4553">
        <v>18</v>
      </c>
      <c r="F4553">
        <v>1018</v>
      </c>
      <c r="G4553" t="s">
        <v>112</v>
      </c>
      <c r="J4553" t="s">
        <v>113</v>
      </c>
      <c r="K4553">
        <v>0</v>
      </c>
      <c r="L4553">
        <v>3</v>
      </c>
      <c r="M4553">
        <v>0</v>
      </c>
      <c r="N4553">
        <v>2</v>
      </c>
      <c r="O4553">
        <v>1</v>
      </c>
      <c r="P4553">
        <v>0</v>
      </c>
      <c r="Q4553">
        <v>0</v>
      </c>
      <c r="R4553" t="s">
        <v>114</v>
      </c>
      <c r="S4553" t="str">
        <f>"19:53:11.438"</f>
        <v>19:53:11.438</v>
      </c>
      <c r="T4553" t="str">
        <f>"19:53:11.438"</f>
        <v>19:53:11.438</v>
      </c>
      <c r="U4553" t="str">
        <f t="shared" si="218"/>
        <v>a1cdbe</v>
      </c>
      <c r="V4553">
        <v>0</v>
      </c>
      <c r="W4553">
        <v>0</v>
      </c>
      <c r="X4553">
        <v>2</v>
      </c>
      <c r="Y4553">
        <v>0</v>
      </c>
      <c r="Z4553">
        <v>0</v>
      </c>
      <c r="AB4553">
        <v>0</v>
      </c>
      <c r="AC4553">
        <v>9</v>
      </c>
      <c r="AD4553">
        <v>3</v>
      </c>
      <c r="AE4553">
        <v>0</v>
      </c>
      <c r="AF4553">
        <v>9</v>
      </c>
      <c r="AG4553" t="s">
        <v>1307</v>
      </c>
      <c r="AH4553">
        <v>0</v>
      </c>
      <c r="AI4553">
        <v>3</v>
      </c>
      <c r="AJ4553">
        <v>1</v>
      </c>
      <c r="AK4553">
        <v>0</v>
      </c>
      <c r="AL4553" t="s">
        <v>7713</v>
      </c>
      <c r="AM4553">
        <v>47.066352000000002</v>
      </c>
      <c r="AN4553" t="s">
        <v>8153</v>
      </c>
      <c r="AO4553">
        <v>-124.124179</v>
      </c>
      <c r="AP4553">
        <v>100</v>
      </c>
      <c r="AQ4553">
        <v>1000</v>
      </c>
      <c r="AR4553" t="s">
        <v>118</v>
      </c>
      <c r="AS4553">
        <v>-73</v>
      </c>
      <c r="AT4553">
        <v>26</v>
      </c>
      <c r="AU4553">
        <v>64</v>
      </c>
      <c r="BC4553">
        <v>1200</v>
      </c>
      <c r="BD4553">
        <v>1</v>
      </c>
      <c r="BE4553" t="str">
        <f t="shared" si="219"/>
        <v xml:space="preserve">N215T   </v>
      </c>
      <c r="BF4553">
        <v>1</v>
      </c>
      <c r="BH4553">
        <v>0</v>
      </c>
      <c r="BI4553">
        <v>0</v>
      </c>
      <c r="BJ4553">
        <v>0</v>
      </c>
      <c r="BK4553">
        <v>1350</v>
      </c>
      <c r="BL4553">
        <v>350</v>
      </c>
      <c r="BM4553" t="s">
        <v>119</v>
      </c>
      <c r="BN4553">
        <v>1</v>
      </c>
      <c r="BO4553">
        <v>1</v>
      </c>
      <c r="BP4553">
        <v>1</v>
      </c>
      <c r="BQ4553">
        <v>0</v>
      </c>
      <c r="BT4553">
        <v>0</v>
      </c>
      <c r="BU4553">
        <v>0</v>
      </c>
      <c r="BV4553">
        <v>0</v>
      </c>
      <c r="CC4553" t="str">
        <f>"19:53:11.445"</f>
        <v>19:53:11.445</v>
      </c>
      <c r="CD4553" t="str">
        <f>"444893905"</f>
        <v>444893905</v>
      </c>
      <c r="CQ4553">
        <v>0</v>
      </c>
      <c r="CR4553">
        <v>2</v>
      </c>
      <c r="CS4553">
        <v>0</v>
      </c>
      <c r="CT4553">
        <v>2</v>
      </c>
      <c r="CU4553">
        <v>0</v>
      </c>
      <c r="CV4553">
        <v>5</v>
      </c>
      <c r="CW4553" t="s">
        <v>120</v>
      </c>
      <c r="CX4553">
        <v>257</v>
      </c>
      <c r="CY4553">
        <v>0</v>
      </c>
      <c r="CZ4553" t="s">
        <v>615</v>
      </c>
      <c r="DA4553" t="s">
        <v>616</v>
      </c>
      <c r="DD4553">
        <v>79697</v>
      </c>
      <c r="DE4553" t="s">
        <v>123</v>
      </c>
    </row>
    <row r="4554" spans="1:109" x14ac:dyDescent="0.3">
      <c r="A4554" t="str">
        <f>"19:53:12.609"</f>
        <v>19:53:12.609</v>
      </c>
      <c r="B4554" t="s">
        <v>110</v>
      </c>
      <c r="C4554" t="str">
        <f t="shared" si="217"/>
        <v>ffdfd3c0</v>
      </c>
      <c r="D4554" t="s">
        <v>111</v>
      </c>
      <c r="E4554">
        <v>18</v>
      </c>
      <c r="F4554">
        <v>1018</v>
      </c>
      <c r="G4554" t="s">
        <v>112</v>
      </c>
      <c r="J4554" t="s">
        <v>113</v>
      </c>
      <c r="K4554">
        <v>0</v>
      </c>
      <c r="L4554">
        <v>3</v>
      </c>
      <c r="M4554">
        <v>0</v>
      </c>
      <c r="N4554">
        <v>2</v>
      </c>
      <c r="O4554">
        <v>1</v>
      </c>
      <c r="P4554">
        <v>0</v>
      </c>
      <c r="Q4554">
        <v>0</v>
      </c>
      <c r="R4554" t="s">
        <v>114</v>
      </c>
      <c r="S4554" t="str">
        <f>"19:53:12.344"</f>
        <v>19:53:12.344</v>
      </c>
      <c r="T4554" t="str">
        <f>"19:53:12.242"</f>
        <v>19:53:12.242</v>
      </c>
      <c r="U4554" t="str">
        <f t="shared" si="218"/>
        <v>a1cdbe</v>
      </c>
      <c r="V4554">
        <v>0</v>
      </c>
      <c r="W4554">
        <v>0</v>
      </c>
      <c r="X4554">
        <v>2</v>
      </c>
      <c r="Y4554">
        <v>0</v>
      </c>
      <c r="Z4554">
        <v>0</v>
      </c>
      <c r="AB4554">
        <v>0</v>
      </c>
      <c r="AC4554">
        <v>9</v>
      </c>
      <c r="AD4554">
        <v>3</v>
      </c>
      <c r="AE4554">
        <v>0</v>
      </c>
      <c r="AF4554">
        <v>9</v>
      </c>
      <c r="AG4554" t="s">
        <v>1307</v>
      </c>
      <c r="AH4554">
        <v>0</v>
      </c>
      <c r="AI4554">
        <v>3</v>
      </c>
      <c r="AJ4554">
        <v>1</v>
      </c>
      <c r="AK4554">
        <v>0</v>
      </c>
      <c r="AL4554" t="s">
        <v>8154</v>
      </c>
      <c r="AM4554">
        <v>47.066502999999997</v>
      </c>
      <c r="AN4554" t="s">
        <v>8155</v>
      </c>
      <c r="AO4554">
        <v>-124.12458700000001</v>
      </c>
      <c r="AP4554">
        <v>100</v>
      </c>
      <c r="AQ4554">
        <v>1000</v>
      </c>
      <c r="AR4554" t="s">
        <v>118</v>
      </c>
      <c r="AS4554">
        <v>-73</v>
      </c>
      <c r="AT4554">
        <v>27</v>
      </c>
      <c r="AU4554">
        <v>64</v>
      </c>
      <c r="BC4554">
        <v>1200</v>
      </c>
      <c r="BD4554">
        <v>1</v>
      </c>
      <c r="BE4554" t="str">
        <f t="shared" si="219"/>
        <v xml:space="preserve">N215T   </v>
      </c>
      <c r="BF4554">
        <v>1</v>
      </c>
      <c r="BH4554">
        <v>0</v>
      </c>
      <c r="BI4554">
        <v>0</v>
      </c>
      <c r="BJ4554">
        <v>0</v>
      </c>
      <c r="BK4554">
        <v>1350</v>
      </c>
      <c r="BL4554">
        <v>350</v>
      </c>
      <c r="BM4554" t="s">
        <v>119</v>
      </c>
      <c r="BN4554">
        <v>1</v>
      </c>
      <c r="BO4554">
        <v>1</v>
      </c>
      <c r="BP4554">
        <v>1</v>
      </c>
      <c r="BQ4554">
        <v>0</v>
      </c>
      <c r="BT4554">
        <v>0</v>
      </c>
      <c r="BU4554">
        <v>0</v>
      </c>
      <c r="BV4554">
        <v>0</v>
      </c>
      <c r="CC4554" t="str">
        <f>"19:53:12.344"</f>
        <v>19:53:12.344</v>
      </c>
      <c r="CD4554" t="str">
        <f>"344805289"</f>
        <v>344805289</v>
      </c>
      <c r="CQ4554">
        <v>0</v>
      </c>
      <c r="CR4554">
        <v>2</v>
      </c>
      <c r="CS4554">
        <v>0</v>
      </c>
      <c r="CT4554">
        <v>2</v>
      </c>
      <c r="CU4554">
        <v>0</v>
      </c>
      <c r="CV4554">
        <v>5</v>
      </c>
      <c r="CW4554" t="s">
        <v>120</v>
      </c>
      <c r="CX4554">
        <v>257</v>
      </c>
      <c r="CY4554">
        <v>3</v>
      </c>
      <c r="CZ4554" t="s">
        <v>615</v>
      </c>
      <c r="DA4554" t="s">
        <v>616</v>
      </c>
      <c r="DD4554">
        <v>9543169</v>
      </c>
      <c r="DE4554" t="s">
        <v>123</v>
      </c>
    </row>
    <row r="4555" spans="1:109" x14ac:dyDescent="0.3">
      <c r="A4555" t="str">
        <f>"19:53:13.617"</f>
        <v>19:53:13.617</v>
      </c>
      <c r="B4555" t="s">
        <v>110</v>
      </c>
      <c r="C4555" t="str">
        <f t="shared" si="217"/>
        <v>ffdfd3c0</v>
      </c>
      <c r="D4555" t="s">
        <v>111</v>
      </c>
      <c r="E4555">
        <v>18</v>
      </c>
      <c r="F4555">
        <v>1018</v>
      </c>
      <c r="G4555" t="s">
        <v>112</v>
      </c>
      <c r="J4555" t="s">
        <v>113</v>
      </c>
      <c r="K4555">
        <v>0</v>
      </c>
      <c r="L4555">
        <v>3</v>
      </c>
      <c r="M4555">
        <v>0</v>
      </c>
      <c r="N4555">
        <v>2</v>
      </c>
      <c r="O4555">
        <v>1</v>
      </c>
      <c r="P4555">
        <v>0</v>
      </c>
      <c r="Q4555">
        <v>0</v>
      </c>
      <c r="R4555" t="s">
        <v>114</v>
      </c>
      <c r="S4555" t="str">
        <f>"19:53:13.391"</f>
        <v>19:53:13.391</v>
      </c>
      <c r="T4555" t="str">
        <f>"19:53:13.289"</f>
        <v>19:53:13.289</v>
      </c>
      <c r="U4555" t="str">
        <f t="shared" si="218"/>
        <v>a1cdbe</v>
      </c>
      <c r="V4555">
        <v>0</v>
      </c>
      <c r="W4555">
        <v>0</v>
      </c>
      <c r="X4555">
        <v>2</v>
      </c>
      <c r="Y4555">
        <v>0</v>
      </c>
      <c r="Z4555">
        <v>0</v>
      </c>
      <c r="AB4555">
        <v>0</v>
      </c>
      <c r="AC4555">
        <v>9</v>
      </c>
      <c r="AD4555">
        <v>3</v>
      </c>
      <c r="AE4555">
        <v>0</v>
      </c>
      <c r="AF4555">
        <v>9</v>
      </c>
      <c r="AG4555" t="s">
        <v>1307</v>
      </c>
      <c r="AH4555">
        <v>0</v>
      </c>
      <c r="AI4555">
        <v>3</v>
      </c>
      <c r="AJ4555">
        <v>1</v>
      </c>
      <c r="AK4555">
        <v>0</v>
      </c>
      <c r="AL4555" t="s">
        <v>8156</v>
      </c>
      <c r="AM4555">
        <v>47.066588000000003</v>
      </c>
      <c r="AN4555" t="s">
        <v>8157</v>
      </c>
      <c r="AO4555">
        <v>-124.12508</v>
      </c>
      <c r="AP4555">
        <v>100</v>
      </c>
      <c r="AQ4555">
        <v>1000</v>
      </c>
      <c r="AR4555" t="s">
        <v>118</v>
      </c>
      <c r="AS4555">
        <v>-72</v>
      </c>
      <c r="AT4555">
        <v>28</v>
      </c>
      <c r="AU4555">
        <v>128</v>
      </c>
      <c r="BC4555">
        <v>1200</v>
      </c>
      <c r="BD4555">
        <v>1</v>
      </c>
      <c r="BE4555" t="str">
        <f t="shared" si="219"/>
        <v xml:space="preserve">N215T   </v>
      </c>
      <c r="BF4555">
        <v>1</v>
      </c>
      <c r="BH4555">
        <v>0</v>
      </c>
      <c r="BI4555">
        <v>0</v>
      </c>
      <c r="BJ4555">
        <v>0</v>
      </c>
      <c r="BK4555">
        <v>1350</v>
      </c>
      <c r="BL4555">
        <v>350</v>
      </c>
      <c r="BM4555" t="s">
        <v>119</v>
      </c>
      <c r="BN4555">
        <v>1</v>
      </c>
      <c r="BO4555">
        <v>1</v>
      </c>
      <c r="BP4555">
        <v>1</v>
      </c>
      <c r="BQ4555">
        <v>0</v>
      </c>
      <c r="BT4555">
        <v>0</v>
      </c>
      <c r="BU4555">
        <v>0</v>
      </c>
      <c r="BV4555">
        <v>0</v>
      </c>
      <c r="CC4555" t="str">
        <f>"19:53:13.398"</f>
        <v>19:53:13.398</v>
      </c>
      <c r="CD4555" t="str">
        <f>"394701905"</f>
        <v>394701905</v>
      </c>
      <c r="CQ4555">
        <v>0</v>
      </c>
      <c r="CR4555">
        <v>2</v>
      </c>
      <c r="CS4555">
        <v>0</v>
      </c>
      <c r="CT4555">
        <v>2</v>
      </c>
      <c r="CU4555">
        <v>0</v>
      </c>
      <c r="CV4555">
        <v>6</v>
      </c>
      <c r="CW4555" t="s">
        <v>120</v>
      </c>
      <c r="CX4555">
        <v>257</v>
      </c>
      <c r="CY4555">
        <v>0</v>
      </c>
      <c r="CZ4555" t="s">
        <v>615</v>
      </c>
      <c r="DA4555" t="s">
        <v>616</v>
      </c>
      <c r="DD4555">
        <v>80323</v>
      </c>
      <c r="DE4555" t="s">
        <v>123</v>
      </c>
    </row>
    <row r="4556" spans="1:109" x14ac:dyDescent="0.3">
      <c r="A4556" t="str">
        <f>"19:53:14.719"</f>
        <v>19:53:14.719</v>
      </c>
      <c r="B4556" t="s">
        <v>110</v>
      </c>
      <c r="C4556" t="str">
        <f t="shared" si="217"/>
        <v>ffdfd3c0</v>
      </c>
      <c r="D4556" t="s">
        <v>111</v>
      </c>
      <c r="E4556">
        <v>18</v>
      </c>
      <c r="F4556">
        <v>1018</v>
      </c>
      <c r="G4556" t="s">
        <v>112</v>
      </c>
      <c r="J4556" t="s">
        <v>113</v>
      </c>
      <c r="K4556">
        <v>0</v>
      </c>
      <c r="L4556">
        <v>3</v>
      </c>
      <c r="M4556">
        <v>0</v>
      </c>
      <c r="N4556">
        <v>2</v>
      </c>
      <c r="O4556">
        <v>1</v>
      </c>
      <c r="P4556">
        <v>0</v>
      </c>
      <c r="Q4556">
        <v>0</v>
      </c>
      <c r="R4556" t="s">
        <v>114</v>
      </c>
      <c r="S4556" t="str">
        <f>"19:53:14.469"</f>
        <v>19:53:14.469</v>
      </c>
      <c r="T4556" t="str">
        <f>"19:53:14.469"</f>
        <v>19:53:14.469</v>
      </c>
      <c r="U4556" t="str">
        <f t="shared" si="218"/>
        <v>a1cdbe</v>
      </c>
      <c r="V4556">
        <v>0</v>
      </c>
      <c r="W4556">
        <v>0</v>
      </c>
      <c r="X4556">
        <v>2</v>
      </c>
      <c r="Y4556">
        <v>0</v>
      </c>
      <c r="Z4556">
        <v>0</v>
      </c>
      <c r="AB4556">
        <v>0</v>
      </c>
      <c r="AC4556">
        <v>9</v>
      </c>
      <c r="AD4556">
        <v>3</v>
      </c>
      <c r="AE4556">
        <v>0</v>
      </c>
      <c r="AF4556">
        <v>9</v>
      </c>
      <c r="AG4556" t="s">
        <v>1307</v>
      </c>
      <c r="AH4556">
        <v>0</v>
      </c>
      <c r="AI4556">
        <v>3</v>
      </c>
      <c r="AJ4556">
        <v>1</v>
      </c>
      <c r="AK4556">
        <v>0</v>
      </c>
      <c r="AL4556" t="s">
        <v>8158</v>
      </c>
      <c r="AM4556">
        <v>47.066760000000002</v>
      </c>
      <c r="AN4556" t="s">
        <v>8159</v>
      </c>
      <c r="AO4556">
        <v>-124.125659</v>
      </c>
      <c r="AP4556">
        <v>100</v>
      </c>
      <c r="AQ4556">
        <v>1000</v>
      </c>
      <c r="AR4556" t="s">
        <v>118</v>
      </c>
      <c r="AS4556">
        <v>-72</v>
      </c>
      <c r="AT4556">
        <v>29</v>
      </c>
      <c r="AU4556">
        <v>128</v>
      </c>
      <c r="BC4556">
        <v>1200</v>
      </c>
      <c r="BD4556">
        <v>1</v>
      </c>
      <c r="BE4556" t="str">
        <f t="shared" si="219"/>
        <v xml:space="preserve">N215T   </v>
      </c>
      <c r="BF4556">
        <v>1</v>
      </c>
      <c r="BH4556">
        <v>0</v>
      </c>
      <c r="BI4556">
        <v>0</v>
      </c>
      <c r="BJ4556">
        <v>0</v>
      </c>
      <c r="BK4556">
        <v>1350</v>
      </c>
      <c r="BL4556">
        <v>350</v>
      </c>
      <c r="BM4556" t="s">
        <v>119</v>
      </c>
      <c r="BN4556">
        <v>1</v>
      </c>
      <c r="BO4556">
        <v>1</v>
      </c>
      <c r="BP4556">
        <v>1</v>
      </c>
      <c r="BQ4556">
        <v>0</v>
      </c>
      <c r="BT4556">
        <v>0</v>
      </c>
      <c r="BU4556">
        <v>0</v>
      </c>
      <c r="BV4556">
        <v>0</v>
      </c>
      <c r="CC4556" t="str">
        <f>"19:53:14.477"</f>
        <v>19:53:14.477</v>
      </c>
      <c r="CD4556" t="str">
        <f>"474595562"</f>
        <v>474595562</v>
      </c>
      <c r="CQ4556">
        <v>0</v>
      </c>
      <c r="CR4556">
        <v>2</v>
      </c>
      <c r="CS4556">
        <v>0</v>
      </c>
      <c r="CT4556">
        <v>2</v>
      </c>
      <c r="CU4556">
        <v>0</v>
      </c>
      <c r="CV4556">
        <v>6</v>
      </c>
      <c r="CW4556" t="s">
        <v>120</v>
      </c>
      <c r="CX4556">
        <v>257</v>
      </c>
      <c r="CY4556">
        <v>0</v>
      </c>
      <c r="CZ4556" t="s">
        <v>615</v>
      </c>
      <c r="DA4556" t="s">
        <v>616</v>
      </c>
      <c r="DD4556">
        <v>80674</v>
      </c>
      <c r="DE4556" t="s">
        <v>123</v>
      </c>
    </row>
    <row r="4557" spans="1:109" x14ac:dyDescent="0.3">
      <c r="A4557" t="str">
        <f>"19:53:15.781"</f>
        <v>19:53:15.781</v>
      </c>
      <c r="B4557" t="s">
        <v>110</v>
      </c>
      <c r="C4557" t="str">
        <f t="shared" si="217"/>
        <v>ffdfd3c0</v>
      </c>
      <c r="D4557" t="s">
        <v>111</v>
      </c>
      <c r="E4557">
        <v>18</v>
      </c>
      <c r="F4557">
        <v>1018</v>
      </c>
      <c r="G4557" t="s">
        <v>112</v>
      </c>
      <c r="J4557" t="s">
        <v>113</v>
      </c>
      <c r="K4557">
        <v>0</v>
      </c>
      <c r="L4557">
        <v>3</v>
      </c>
      <c r="M4557">
        <v>0</v>
      </c>
      <c r="N4557">
        <v>2</v>
      </c>
      <c r="O4557">
        <v>1</v>
      </c>
      <c r="P4557">
        <v>0</v>
      </c>
      <c r="Q4557">
        <v>0</v>
      </c>
      <c r="R4557" t="s">
        <v>114</v>
      </c>
      <c r="S4557" t="str">
        <f>"19:53:15.508"</f>
        <v>19:53:15.508</v>
      </c>
      <c r="T4557" t="str">
        <f>"19:53:15.406"</f>
        <v>19:53:15.406</v>
      </c>
      <c r="U4557" t="str">
        <f t="shared" si="218"/>
        <v>a1cdbe</v>
      </c>
      <c r="V4557">
        <v>0</v>
      </c>
      <c r="W4557">
        <v>0</v>
      </c>
      <c r="X4557">
        <v>2</v>
      </c>
      <c r="Y4557">
        <v>0</v>
      </c>
      <c r="Z4557">
        <v>0</v>
      </c>
      <c r="AB4557">
        <v>0</v>
      </c>
      <c r="AC4557">
        <v>9</v>
      </c>
      <c r="AD4557">
        <v>3</v>
      </c>
      <c r="AE4557">
        <v>0</v>
      </c>
      <c r="AF4557">
        <v>9</v>
      </c>
      <c r="AG4557" t="s">
        <v>1307</v>
      </c>
      <c r="AH4557">
        <v>0</v>
      </c>
      <c r="AI4557">
        <v>3</v>
      </c>
      <c r="AJ4557">
        <v>1</v>
      </c>
      <c r="AK4557">
        <v>0</v>
      </c>
      <c r="AL4557" t="s">
        <v>8160</v>
      </c>
      <c r="AM4557">
        <v>47.06691</v>
      </c>
      <c r="AN4557" t="s">
        <v>8161</v>
      </c>
      <c r="AO4557">
        <v>-124.126132</v>
      </c>
      <c r="AP4557">
        <v>100</v>
      </c>
      <c r="AQ4557">
        <v>1000</v>
      </c>
      <c r="AR4557" t="s">
        <v>118</v>
      </c>
      <c r="AS4557">
        <v>-71</v>
      </c>
      <c r="AT4557">
        <v>29</v>
      </c>
      <c r="AU4557">
        <v>128</v>
      </c>
      <c r="BC4557">
        <v>1200</v>
      </c>
      <c r="BD4557">
        <v>1</v>
      </c>
      <c r="BE4557" t="str">
        <f t="shared" si="219"/>
        <v xml:space="preserve">N215T   </v>
      </c>
      <c r="BF4557">
        <v>1</v>
      </c>
      <c r="BH4557">
        <v>0</v>
      </c>
      <c r="BI4557">
        <v>0</v>
      </c>
      <c r="BJ4557">
        <v>0</v>
      </c>
      <c r="BK4557">
        <v>1350</v>
      </c>
      <c r="BL4557">
        <v>350</v>
      </c>
      <c r="BM4557" t="s">
        <v>119</v>
      </c>
      <c r="BN4557">
        <v>1</v>
      </c>
      <c r="BO4557">
        <v>1</v>
      </c>
      <c r="BP4557">
        <v>1</v>
      </c>
      <c r="BQ4557">
        <v>0</v>
      </c>
      <c r="BT4557">
        <v>0</v>
      </c>
      <c r="BU4557">
        <v>0</v>
      </c>
      <c r="BV4557">
        <v>0</v>
      </c>
      <c r="CC4557" t="str">
        <f>"19:53:15.508"</f>
        <v>19:53:15.508</v>
      </c>
      <c r="CD4557" t="str">
        <f>"509493657"</f>
        <v>509493657</v>
      </c>
      <c r="CQ4557">
        <v>0</v>
      </c>
      <c r="CR4557">
        <v>2</v>
      </c>
      <c r="CS4557">
        <v>0</v>
      </c>
      <c r="CT4557">
        <v>2</v>
      </c>
      <c r="CU4557">
        <v>0</v>
      </c>
      <c r="CV4557">
        <v>6</v>
      </c>
      <c r="CW4557" t="s">
        <v>120</v>
      </c>
      <c r="CX4557">
        <v>257</v>
      </c>
      <c r="CY4557">
        <v>0</v>
      </c>
      <c r="CZ4557" t="s">
        <v>615</v>
      </c>
      <c r="DA4557" t="s">
        <v>616</v>
      </c>
      <c r="DD4557">
        <v>80973</v>
      </c>
      <c r="DE4557" t="s">
        <v>123</v>
      </c>
    </row>
    <row r="4558" spans="1:109" x14ac:dyDescent="0.3">
      <c r="A4558" t="str">
        <f>"19:53:16.680"</f>
        <v>19:53:16.680</v>
      </c>
      <c r="B4558" t="s">
        <v>110</v>
      </c>
      <c r="C4558" t="str">
        <f t="shared" si="217"/>
        <v>ffdfd3c0</v>
      </c>
      <c r="D4558" t="s">
        <v>111</v>
      </c>
      <c r="E4558">
        <v>18</v>
      </c>
      <c r="F4558">
        <v>1018</v>
      </c>
      <c r="G4558" t="s">
        <v>112</v>
      </c>
      <c r="J4558" t="s">
        <v>113</v>
      </c>
      <c r="K4558">
        <v>0</v>
      </c>
      <c r="L4558">
        <v>3</v>
      </c>
      <c r="M4558">
        <v>0</v>
      </c>
      <c r="N4558">
        <v>2</v>
      </c>
      <c r="O4558">
        <v>1</v>
      </c>
      <c r="P4558">
        <v>0</v>
      </c>
      <c r="Q4558">
        <v>0</v>
      </c>
      <c r="R4558" t="s">
        <v>114</v>
      </c>
      <c r="S4558" t="str">
        <f>"19:53:16.453"</f>
        <v>19:53:16.453</v>
      </c>
      <c r="T4558" t="str">
        <f>"19:53:16.352"</f>
        <v>19:53:16.352</v>
      </c>
      <c r="U4558" t="str">
        <f t="shared" si="218"/>
        <v>a1cdbe</v>
      </c>
      <c r="V4558">
        <v>0</v>
      </c>
      <c r="W4558">
        <v>0</v>
      </c>
      <c r="X4558">
        <v>2</v>
      </c>
      <c r="Y4558">
        <v>0</v>
      </c>
      <c r="Z4558">
        <v>0</v>
      </c>
      <c r="AB4558">
        <v>0</v>
      </c>
      <c r="AC4558">
        <v>9</v>
      </c>
      <c r="AD4558">
        <v>3</v>
      </c>
      <c r="AE4558">
        <v>0</v>
      </c>
      <c r="AF4558">
        <v>9</v>
      </c>
      <c r="AG4558" t="s">
        <v>1307</v>
      </c>
      <c r="AH4558">
        <v>0</v>
      </c>
      <c r="AI4558">
        <v>3</v>
      </c>
      <c r="AJ4558">
        <v>1</v>
      </c>
      <c r="AK4558">
        <v>0</v>
      </c>
      <c r="AL4558" t="s">
        <v>8162</v>
      </c>
      <c r="AM4558">
        <v>47.067039000000001</v>
      </c>
      <c r="AN4558" t="s">
        <v>8163</v>
      </c>
      <c r="AO4558">
        <v>-124.126561</v>
      </c>
      <c r="AP4558">
        <v>100</v>
      </c>
      <c r="AQ4558">
        <v>1000</v>
      </c>
      <c r="AR4558" t="s">
        <v>118</v>
      </c>
      <c r="AS4558">
        <v>-70</v>
      </c>
      <c r="AT4558">
        <v>30</v>
      </c>
      <c r="AU4558">
        <v>128</v>
      </c>
      <c r="BC4558">
        <v>1200</v>
      </c>
      <c r="BD4558">
        <v>1</v>
      </c>
      <c r="BE4558" t="str">
        <f t="shared" si="219"/>
        <v xml:space="preserve">N215T   </v>
      </c>
      <c r="BF4558">
        <v>1</v>
      </c>
      <c r="BH4558">
        <v>0</v>
      </c>
      <c r="BI4558">
        <v>0</v>
      </c>
      <c r="BJ4558">
        <v>0</v>
      </c>
      <c r="BK4558">
        <v>1350</v>
      </c>
      <c r="BL4558">
        <v>350</v>
      </c>
      <c r="BM4558" t="s">
        <v>119</v>
      </c>
      <c r="BN4558">
        <v>1</v>
      </c>
      <c r="BO4558">
        <v>1</v>
      </c>
      <c r="BP4558">
        <v>1</v>
      </c>
      <c r="BQ4558">
        <v>0</v>
      </c>
      <c r="BT4558">
        <v>0</v>
      </c>
      <c r="BU4558">
        <v>0</v>
      </c>
      <c r="BV4558">
        <v>0</v>
      </c>
      <c r="CC4558" t="str">
        <f>"19:53:16.453"</f>
        <v>19:53:16.453</v>
      </c>
      <c r="CD4558" t="str">
        <f>"454400609"</f>
        <v>454400609</v>
      </c>
      <c r="CQ4558">
        <v>0</v>
      </c>
      <c r="CR4558">
        <v>2</v>
      </c>
      <c r="CS4558">
        <v>0</v>
      </c>
      <c r="CT4558">
        <v>2</v>
      </c>
      <c r="CU4558">
        <v>0</v>
      </c>
      <c r="CV4558">
        <v>6</v>
      </c>
      <c r="CW4558" t="s">
        <v>120</v>
      </c>
      <c r="CX4558">
        <v>257</v>
      </c>
      <c r="CY4558">
        <v>0</v>
      </c>
      <c r="CZ4558" t="s">
        <v>615</v>
      </c>
      <c r="DA4558" t="s">
        <v>616</v>
      </c>
      <c r="DD4558">
        <v>81256</v>
      </c>
      <c r="DE4558" t="s">
        <v>123</v>
      </c>
    </row>
    <row r="4559" spans="1:109" x14ac:dyDescent="0.3">
      <c r="A4559" t="str">
        <f>"19:53:17.586"</f>
        <v>19:53:17.586</v>
      </c>
      <c r="B4559" t="s">
        <v>110</v>
      </c>
      <c r="C4559" t="str">
        <f t="shared" si="217"/>
        <v>ffdfd3c0</v>
      </c>
      <c r="D4559" t="s">
        <v>111</v>
      </c>
      <c r="E4559">
        <v>18</v>
      </c>
      <c r="F4559">
        <v>1018</v>
      </c>
      <c r="G4559" t="s">
        <v>112</v>
      </c>
      <c r="J4559" t="s">
        <v>113</v>
      </c>
      <c r="K4559">
        <v>0</v>
      </c>
      <c r="L4559">
        <v>3</v>
      </c>
      <c r="M4559">
        <v>0</v>
      </c>
      <c r="N4559">
        <v>2</v>
      </c>
      <c r="O4559">
        <v>1</v>
      </c>
      <c r="P4559">
        <v>0</v>
      </c>
      <c r="Q4559">
        <v>0</v>
      </c>
      <c r="R4559" t="s">
        <v>114</v>
      </c>
      <c r="S4559" t="str">
        <f>"19:53:17.336"</f>
        <v>19:53:17.336</v>
      </c>
      <c r="T4559" t="str">
        <f>"19:53:16.836"</f>
        <v>19:53:16.836</v>
      </c>
      <c r="U4559" t="str">
        <f t="shared" si="218"/>
        <v>a1cdbe</v>
      </c>
      <c r="V4559">
        <v>0</v>
      </c>
      <c r="W4559">
        <v>0</v>
      </c>
      <c r="X4559">
        <v>2</v>
      </c>
      <c r="Y4559">
        <v>0</v>
      </c>
      <c r="Z4559">
        <v>0</v>
      </c>
      <c r="AB4559">
        <v>0</v>
      </c>
      <c r="AC4559">
        <v>9</v>
      </c>
      <c r="AD4559">
        <v>3</v>
      </c>
      <c r="AE4559">
        <v>0</v>
      </c>
      <c r="AF4559">
        <v>9</v>
      </c>
      <c r="AG4559" t="s">
        <v>1307</v>
      </c>
      <c r="AH4559">
        <v>0</v>
      </c>
      <c r="AI4559">
        <v>3</v>
      </c>
      <c r="AJ4559">
        <v>1</v>
      </c>
      <c r="AK4559">
        <v>0</v>
      </c>
      <c r="AL4559" t="s">
        <v>8164</v>
      </c>
      <c r="AM4559">
        <v>47.067168000000002</v>
      </c>
      <c r="AN4559" t="s">
        <v>8165</v>
      </c>
      <c r="AO4559">
        <v>-124.127033</v>
      </c>
      <c r="AP4559">
        <v>100</v>
      </c>
      <c r="AQ4559">
        <v>1000</v>
      </c>
      <c r="AR4559" t="s">
        <v>118</v>
      </c>
      <c r="AS4559">
        <v>-70</v>
      </c>
      <c r="AT4559">
        <v>31</v>
      </c>
      <c r="AU4559">
        <v>128</v>
      </c>
      <c r="BC4559">
        <v>1200</v>
      </c>
      <c r="BD4559">
        <v>1</v>
      </c>
      <c r="BE4559" t="str">
        <f t="shared" si="219"/>
        <v xml:space="preserve">N215T   </v>
      </c>
      <c r="BF4559">
        <v>1</v>
      </c>
      <c r="BH4559">
        <v>0</v>
      </c>
      <c r="BI4559">
        <v>0</v>
      </c>
      <c r="BJ4559">
        <v>0</v>
      </c>
      <c r="BK4559">
        <v>1350</v>
      </c>
      <c r="BL4559">
        <v>350</v>
      </c>
      <c r="BM4559" t="s">
        <v>119</v>
      </c>
      <c r="BN4559">
        <v>1</v>
      </c>
      <c r="BO4559">
        <v>1</v>
      </c>
      <c r="BP4559">
        <v>1</v>
      </c>
      <c r="BQ4559">
        <v>0</v>
      </c>
      <c r="BT4559">
        <v>0</v>
      </c>
      <c r="BU4559">
        <v>0</v>
      </c>
      <c r="BV4559">
        <v>0</v>
      </c>
      <c r="CC4559" t="str">
        <f>"19:53:17.336"</f>
        <v>19:53:17.336</v>
      </c>
      <c r="CD4559" t="str">
        <f>"339313486"</f>
        <v>339313486</v>
      </c>
      <c r="CQ4559">
        <v>0</v>
      </c>
      <c r="CR4559">
        <v>2</v>
      </c>
      <c r="CS4559">
        <v>0</v>
      </c>
      <c r="CT4559">
        <v>2</v>
      </c>
      <c r="CU4559">
        <v>0</v>
      </c>
      <c r="CV4559">
        <v>6</v>
      </c>
      <c r="CW4559" t="s">
        <v>120</v>
      </c>
      <c r="CX4559">
        <v>257</v>
      </c>
      <c r="CY4559">
        <v>0</v>
      </c>
      <c r="CZ4559" t="s">
        <v>615</v>
      </c>
      <c r="DA4559" t="s">
        <v>616</v>
      </c>
      <c r="DD4559">
        <v>81536</v>
      </c>
      <c r="DE4559" t="s">
        <v>123</v>
      </c>
    </row>
    <row r="4560" spans="1:109" x14ac:dyDescent="0.3">
      <c r="A4560" t="str">
        <f>"19:53:18.594"</f>
        <v>19:53:18.594</v>
      </c>
      <c r="B4560" t="s">
        <v>110</v>
      </c>
      <c r="C4560" t="str">
        <f t="shared" si="217"/>
        <v>ffdfd3c0</v>
      </c>
      <c r="D4560" t="s">
        <v>111</v>
      </c>
      <c r="E4560">
        <v>18</v>
      </c>
      <c r="F4560">
        <v>1018</v>
      </c>
      <c r="G4560" t="s">
        <v>112</v>
      </c>
      <c r="J4560" t="s">
        <v>113</v>
      </c>
      <c r="K4560">
        <v>0</v>
      </c>
      <c r="L4560">
        <v>3</v>
      </c>
      <c r="M4560">
        <v>0</v>
      </c>
      <c r="N4560">
        <v>2</v>
      </c>
      <c r="O4560">
        <v>1</v>
      </c>
      <c r="P4560">
        <v>0</v>
      </c>
      <c r="Q4560">
        <v>0</v>
      </c>
      <c r="R4560" t="s">
        <v>114</v>
      </c>
      <c r="S4560" t="str">
        <f>"19:53:18.352"</f>
        <v>19:53:18.352</v>
      </c>
      <c r="T4560" t="str">
        <f>"19:53:18.250"</f>
        <v>19:53:18.250</v>
      </c>
      <c r="U4560" t="str">
        <f t="shared" si="218"/>
        <v>a1cdbe</v>
      </c>
      <c r="V4560">
        <v>0</v>
      </c>
      <c r="W4560">
        <v>0</v>
      </c>
      <c r="X4560">
        <v>2</v>
      </c>
      <c r="Y4560">
        <v>0</v>
      </c>
      <c r="Z4560">
        <v>0</v>
      </c>
      <c r="AB4560">
        <v>0</v>
      </c>
      <c r="AC4560">
        <v>9</v>
      </c>
      <c r="AD4560">
        <v>3</v>
      </c>
      <c r="AE4560">
        <v>0</v>
      </c>
      <c r="AF4560">
        <v>9</v>
      </c>
      <c r="AG4560" t="s">
        <v>1307</v>
      </c>
      <c r="AH4560">
        <v>0</v>
      </c>
      <c r="AI4560">
        <v>3</v>
      </c>
      <c r="AJ4560">
        <v>1</v>
      </c>
      <c r="AK4560">
        <v>0</v>
      </c>
      <c r="AL4560" t="s">
        <v>8166</v>
      </c>
      <c r="AM4560">
        <v>47.067297000000003</v>
      </c>
      <c r="AN4560" t="s">
        <v>8167</v>
      </c>
      <c r="AO4560">
        <v>-124.12744000000001</v>
      </c>
      <c r="AP4560">
        <v>100</v>
      </c>
      <c r="AQ4560">
        <v>1000</v>
      </c>
      <c r="AR4560" t="s">
        <v>118</v>
      </c>
      <c r="AS4560">
        <v>-68</v>
      </c>
      <c r="AT4560">
        <v>32</v>
      </c>
      <c r="AU4560">
        <v>64</v>
      </c>
      <c r="BC4560">
        <v>1200</v>
      </c>
      <c r="BD4560">
        <v>1</v>
      </c>
      <c r="BE4560" t="str">
        <f t="shared" si="219"/>
        <v xml:space="preserve">N215T   </v>
      </c>
      <c r="BF4560">
        <v>1</v>
      </c>
      <c r="BH4560">
        <v>0</v>
      </c>
      <c r="BI4560">
        <v>0</v>
      </c>
      <c r="BJ4560">
        <v>0</v>
      </c>
      <c r="BK4560">
        <v>1350</v>
      </c>
      <c r="BL4560">
        <v>350</v>
      </c>
      <c r="BM4560" t="s">
        <v>119</v>
      </c>
      <c r="BN4560">
        <v>1</v>
      </c>
      <c r="BO4560">
        <v>1</v>
      </c>
      <c r="BP4560">
        <v>1</v>
      </c>
      <c r="BQ4560">
        <v>0</v>
      </c>
      <c r="BT4560">
        <v>0</v>
      </c>
      <c r="BU4560">
        <v>0</v>
      </c>
      <c r="BV4560">
        <v>0</v>
      </c>
      <c r="CC4560" t="str">
        <f>"19:53:18.359"</f>
        <v>19:53:18.359</v>
      </c>
      <c r="CD4560" t="str">
        <f>"359213051"</f>
        <v>359213051</v>
      </c>
      <c r="CQ4560">
        <v>0</v>
      </c>
      <c r="CR4560">
        <v>2</v>
      </c>
      <c r="CS4560">
        <v>0</v>
      </c>
      <c r="CT4560">
        <v>2</v>
      </c>
      <c r="CU4560">
        <v>0</v>
      </c>
      <c r="CV4560">
        <v>6</v>
      </c>
      <c r="CW4560" t="s">
        <v>120</v>
      </c>
      <c r="CX4560">
        <v>257</v>
      </c>
      <c r="CY4560">
        <v>0</v>
      </c>
      <c r="CZ4560" t="s">
        <v>615</v>
      </c>
      <c r="DA4560" t="s">
        <v>616</v>
      </c>
      <c r="DD4560">
        <v>81836</v>
      </c>
      <c r="DE4560" t="s">
        <v>123</v>
      </c>
    </row>
    <row r="4561" spans="1:109" x14ac:dyDescent="0.3">
      <c r="A4561" t="str">
        <f>"19:53:19.648"</f>
        <v>19:53:19.648</v>
      </c>
      <c r="B4561" t="s">
        <v>110</v>
      </c>
      <c r="C4561" t="str">
        <f t="shared" si="217"/>
        <v>ffdfd3c0</v>
      </c>
      <c r="D4561" t="s">
        <v>111</v>
      </c>
      <c r="E4561">
        <v>18</v>
      </c>
      <c r="F4561">
        <v>1018</v>
      </c>
      <c r="G4561" t="s">
        <v>112</v>
      </c>
      <c r="J4561" t="s">
        <v>113</v>
      </c>
      <c r="K4561">
        <v>0</v>
      </c>
      <c r="L4561">
        <v>3</v>
      </c>
      <c r="M4561">
        <v>0</v>
      </c>
      <c r="N4561">
        <v>2</v>
      </c>
      <c r="O4561">
        <v>1</v>
      </c>
      <c r="P4561">
        <v>0</v>
      </c>
      <c r="Q4561">
        <v>0</v>
      </c>
      <c r="R4561" t="s">
        <v>114</v>
      </c>
      <c r="S4561" t="str">
        <f>"19:53:19.391"</f>
        <v>19:53:19.391</v>
      </c>
      <c r="T4561" t="str">
        <f>"19:53:19.289"</f>
        <v>19:53:19.289</v>
      </c>
      <c r="U4561" t="str">
        <f t="shared" si="218"/>
        <v>a1cdbe</v>
      </c>
      <c r="V4561">
        <v>0</v>
      </c>
      <c r="W4561">
        <v>0</v>
      </c>
      <c r="X4561">
        <v>2</v>
      </c>
      <c r="Y4561">
        <v>0</v>
      </c>
      <c r="Z4561">
        <v>0</v>
      </c>
      <c r="AB4561">
        <v>0</v>
      </c>
      <c r="AC4561">
        <v>9</v>
      </c>
      <c r="AD4561">
        <v>3</v>
      </c>
      <c r="AE4561">
        <v>0</v>
      </c>
      <c r="AF4561">
        <v>9</v>
      </c>
      <c r="AG4561" t="s">
        <v>1307</v>
      </c>
      <c r="AH4561">
        <v>0</v>
      </c>
      <c r="AI4561">
        <v>3</v>
      </c>
      <c r="AJ4561">
        <v>1</v>
      </c>
      <c r="AK4561">
        <v>0</v>
      </c>
      <c r="AL4561" t="s">
        <v>471</v>
      </c>
      <c r="AM4561">
        <v>47.067467999999998</v>
      </c>
      <c r="AN4561" t="s">
        <v>8168</v>
      </c>
      <c r="AO4561">
        <v>-124.127977</v>
      </c>
      <c r="AP4561">
        <v>100</v>
      </c>
      <c r="AQ4561">
        <v>1000</v>
      </c>
      <c r="AR4561" t="s">
        <v>118</v>
      </c>
      <c r="AS4561">
        <v>-66</v>
      </c>
      <c r="AT4561">
        <v>33</v>
      </c>
      <c r="AU4561">
        <v>0</v>
      </c>
      <c r="BC4561">
        <v>1200</v>
      </c>
      <c r="BD4561">
        <v>1</v>
      </c>
      <c r="BE4561" t="str">
        <f t="shared" si="219"/>
        <v xml:space="preserve">N215T   </v>
      </c>
      <c r="BF4561">
        <v>1</v>
      </c>
      <c r="BH4561">
        <v>0</v>
      </c>
      <c r="BI4561">
        <v>0</v>
      </c>
      <c r="BJ4561">
        <v>0</v>
      </c>
      <c r="BK4561">
        <v>1350</v>
      </c>
      <c r="BL4561">
        <v>350</v>
      </c>
      <c r="BM4561" t="s">
        <v>119</v>
      </c>
      <c r="BN4561">
        <v>1</v>
      </c>
      <c r="BO4561">
        <v>1</v>
      </c>
      <c r="BP4561">
        <v>1</v>
      </c>
      <c r="BQ4561">
        <v>0</v>
      </c>
      <c r="BT4561">
        <v>0</v>
      </c>
      <c r="BU4561">
        <v>0</v>
      </c>
      <c r="BV4561">
        <v>0</v>
      </c>
      <c r="CC4561" t="str">
        <f>"19:53:19.391"</f>
        <v>19:53:19.391</v>
      </c>
      <c r="CD4561" t="str">
        <f>"394111154"</f>
        <v>394111154</v>
      </c>
      <c r="CQ4561">
        <v>0</v>
      </c>
      <c r="CR4561">
        <v>2</v>
      </c>
      <c r="CS4561">
        <v>0</v>
      </c>
      <c r="CT4561">
        <v>2</v>
      </c>
      <c r="CU4561">
        <v>0</v>
      </c>
      <c r="CV4561">
        <v>5</v>
      </c>
      <c r="CW4561" t="s">
        <v>120</v>
      </c>
      <c r="CX4561">
        <v>257</v>
      </c>
      <c r="CY4561">
        <v>0</v>
      </c>
      <c r="CZ4561" t="s">
        <v>615</v>
      </c>
      <c r="DA4561" t="s">
        <v>616</v>
      </c>
      <c r="DD4561">
        <v>82148</v>
      </c>
      <c r="DE4561" t="s">
        <v>123</v>
      </c>
    </row>
    <row r="4562" spans="1:109" x14ac:dyDescent="0.3">
      <c r="A4562" t="str">
        <f>"19:53:20.703"</f>
        <v>19:53:20.703</v>
      </c>
      <c r="B4562" t="s">
        <v>110</v>
      </c>
      <c r="C4562" t="str">
        <f t="shared" si="217"/>
        <v>ffdfd3c0</v>
      </c>
      <c r="D4562" t="s">
        <v>111</v>
      </c>
      <c r="E4562">
        <v>18</v>
      </c>
      <c r="F4562">
        <v>1018</v>
      </c>
      <c r="G4562" t="s">
        <v>112</v>
      </c>
      <c r="J4562" t="s">
        <v>113</v>
      </c>
      <c r="K4562">
        <v>0</v>
      </c>
      <c r="L4562">
        <v>3</v>
      </c>
      <c r="M4562">
        <v>0</v>
      </c>
      <c r="N4562">
        <v>2</v>
      </c>
      <c r="O4562">
        <v>1</v>
      </c>
      <c r="P4562">
        <v>0</v>
      </c>
      <c r="Q4562">
        <v>0</v>
      </c>
      <c r="R4562" t="s">
        <v>114</v>
      </c>
      <c r="S4562" t="str">
        <f>"19:53:20.500"</f>
        <v>19:53:20.500</v>
      </c>
      <c r="T4562" t="str">
        <f>"19:53:20.297"</f>
        <v>19:53:20.297</v>
      </c>
      <c r="U4562" t="str">
        <f t="shared" si="218"/>
        <v>a1cdbe</v>
      </c>
      <c r="V4562">
        <v>0</v>
      </c>
      <c r="W4562">
        <v>0</v>
      </c>
      <c r="X4562">
        <v>2</v>
      </c>
      <c r="Y4562">
        <v>0</v>
      </c>
      <c r="Z4562">
        <v>0</v>
      </c>
      <c r="AB4562">
        <v>0</v>
      </c>
      <c r="AC4562">
        <v>9</v>
      </c>
      <c r="AD4562">
        <v>3</v>
      </c>
      <c r="AE4562">
        <v>0</v>
      </c>
      <c r="AF4562">
        <v>9</v>
      </c>
      <c r="AG4562" t="s">
        <v>1307</v>
      </c>
      <c r="AH4562">
        <v>0</v>
      </c>
      <c r="AI4562">
        <v>3</v>
      </c>
      <c r="AJ4562">
        <v>1</v>
      </c>
      <c r="AK4562">
        <v>0</v>
      </c>
      <c r="AL4562" t="s">
        <v>8169</v>
      </c>
      <c r="AM4562">
        <v>47.067618000000003</v>
      </c>
      <c r="AN4562" t="s">
        <v>8170</v>
      </c>
      <c r="AO4562">
        <v>-124.128406</v>
      </c>
      <c r="AP4562">
        <v>100</v>
      </c>
      <c r="AQ4562">
        <v>1000</v>
      </c>
      <c r="AR4562" t="s">
        <v>118</v>
      </c>
      <c r="AS4562">
        <v>-64</v>
      </c>
      <c r="AT4562">
        <v>35</v>
      </c>
      <c r="AU4562">
        <v>-64</v>
      </c>
      <c r="BC4562">
        <v>1200</v>
      </c>
      <c r="BD4562">
        <v>1</v>
      </c>
      <c r="BE4562" t="str">
        <f t="shared" si="219"/>
        <v xml:space="preserve">N215T   </v>
      </c>
      <c r="BF4562">
        <v>1</v>
      </c>
      <c r="BH4562">
        <v>0</v>
      </c>
      <c r="BI4562">
        <v>0</v>
      </c>
      <c r="BJ4562">
        <v>0</v>
      </c>
      <c r="BK4562">
        <v>1375</v>
      </c>
      <c r="BL4562">
        <v>375</v>
      </c>
      <c r="BM4562" t="s">
        <v>119</v>
      </c>
      <c r="BN4562">
        <v>1</v>
      </c>
      <c r="BO4562">
        <v>1</v>
      </c>
      <c r="BP4562">
        <v>1</v>
      </c>
      <c r="BQ4562">
        <v>0</v>
      </c>
      <c r="BT4562">
        <v>0</v>
      </c>
      <c r="BU4562">
        <v>0</v>
      </c>
      <c r="BV4562">
        <v>0</v>
      </c>
      <c r="CC4562" t="str">
        <f>"19:53:20.508"</f>
        <v>19:53:20.508</v>
      </c>
      <c r="CD4562" t="str">
        <f>"504001864"</f>
        <v>504001864</v>
      </c>
      <c r="CQ4562">
        <v>0</v>
      </c>
      <c r="CR4562">
        <v>2</v>
      </c>
      <c r="CS4562">
        <v>0</v>
      </c>
      <c r="CT4562">
        <v>2</v>
      </c>
      <c r="CU4562">
        <v>0</v>
      </c>
      <c r="CV4562">
        <v>4</v>
      </c>
      <c r="CW4562" t="s">
        <v>120</v>
      </c>
      <c r="CX4562">
        <v>257</v>
      </c>
      <c r="CY4562">
        <v>0</v>
      </c>
      <c r="CZ4562" t="s">
        <v>615</v>
      </c>
      <c r="DA4562" t="s">
        <v>616</v>
      </c>
      <c r="DD4562">
        <v>82475</v>
      </c>
      <c r="DE4562" t="s">
        <v>123</v>
      </c>
    </row>
    <row r="4563" spans="1:109" x14ac:dyDescent="0.3">
      <c r="A4563" t="str">
        <f>"19:53:21.758"</f>
        <v>19:53:21.758</v>
      </c>
      <c r="B4563" t="s">
        <v>110</v>
      </c>
      <c r="C4563" t="str">
        <f t="shared" si="217"/>
        <v>ffdfd3c0</v>
      </c>
      <c r="D4563" t="s">
        <v>111</v>
      </c>
      <c r="E4563">
        <v>18</v>
      </c>
      <c r="F4563">
        <v>1018</v>
      </c>
      <c r="G4563" t="s">
        <v>112</v>
      </c>
      <c r="J4563" t="s">
        <v>113</v>
      </c>
      <c r="K4563">
        <v>0</v>
      </c>
      <c r="L4563">
        <v>3</v>
      </c>
      <c r="M4563">
        <v>0</v>
      </c>
      <c r="N4563">
        <v>2</v>
      </c>
      <c r="O4563">
        <v>1</v>
      </c>
      <c r="P4563">
        <v>0</v>
      </c>
      <c r="Q4563">
        <v>0</v>
      </c>
      <c r="R4563" t="s">
        <v>114</v>
      </c>
      <c r="S4563" t="str">
        <f>"19:53:21.508"</f>
        <v>19:53:21.508</v>
      </c>
      <c r="T4563" t="str">
        <f>"19:53:21.305"</f>
        <v>19:53:21.305</v>
      </c>
      <c r="U4563" t="str">
        <f t="shared" si="218"/>
        <v>a1cdbe</v>
      </c>
      <c r="V4563">
        <v>0</v>
      </c>
      <c r="W4563">
        <v>0</v>
      </c>
      <c r="X4563">
        <v>2</v>
      </c>
      <c r="Y4563">
        <v>0</v>
      </c>
      <c r="Z4563">
        <v>0</v>
      </c>
      <c r="AB4563">
        <v>0</v>
      </c>
      <c r="AC4563">
        <v>9</v>
      </c>
      <c r="AD4563">
        <v>3</v>
      </c>
      <c r="AE4563">
        <v>0</v>
      </c>
      <c r="AF4563">
        <v>9</v>
      </c>
      <c r="AG4563" t="s">
        <v>1307</v>
      </c>
      <c r="AH4563">
        <v>0</v>
      </c>
      <c r="AI4563">
        <v>3</v>
      </c>
      <c r="AJ4563">
        <v>1</v>
      </c>
      <c r="AK4563">
        <v>0</v>
      </c>
      <c r="AL4563" t="s">
        <v>8171</v>
      </c>
      <c r="AM4563">
        <v>47.067810999999999</v>
      </c>
      <c r="AN4563" t="s">
        <v>8172</v>
      </c>
      <c r="AO4563">
        <v>-124.12881400000001</v>
      </c>
      <c r="AP4563">
        <v>100</v>
      </c>
      <c r="AQ4563">
        <v>1000</v>
      </c>
      <c r="AR4563" t="s">
        <v>118</v>
      </c>
      <c r="AS4563">
        <v>-62</v>
      </c>
      <c r="AT4563">
        <v>36</v>
      </c>
      <c r="AU4563">
        <v>-64</v>
      </c>
      <c r="BC4563">
        <v>1200</v>
      </c>
      <c r="BD4563">
        <v>1</v>
      </c>
      <c r="BE4563" t="str">
        <f t="shared" si="219"/>
        <v xml:space="preserve">N215T   </v>
      </c>
      <c r="BF4563">
        <v>1</v>
      </c>
      <c r="BH4563">
        <v>0</v>
      </c>
      <c r="BI4563">
        <v>0</v>
      </c>
      <c r="BJ4563">
        <v>0</v>
      </c>
      <c r="BK4563">
        <v>1375</v>
      </c>
      <c r="BL4563">
        <v>375</v>
      </c>
      <c r="BM4563" t="s">
        <v>119</v>
      </c>
      <c r="BN4563">
        <v>1</v>
      </c>
      <c r="BO4563">
        <v>1</v>
      </c>
      <c r="BP4563">
        <v>1</v>
      </c>
      <c r="BQ4563">
        <v>0</v>
      </c>
      <c r="BT4563">
        <v>0</v>
      </c>
      <c r="BU4563">
        <v>0</v>
      </c>
      <c r="BV4563">
        <v>0</v>
      </c>
      <c r="CC4563" t="str">
        <f>"19:53:21.508"</f>
        <v>19:53:21.508</v>
      </c>
      <c r="CD4563" t="str">
        <f>"508902930"</f>
        <v>508902930</v>
      </c>
      <c r="CQ4563">
        <v>0</v>
      </c>
      <c r="CR4563">
        <v>2</v>
      </c>
      <c r="CS4563">
        <v>0</v>
      </c>
      <c r="CT4563">
        <v>2</v>
      </c>
      <c r="CU4563">
        <v>0</v>
      </c>
      <c r="CV4563">
        <v>5</v>
      </c>
      <c r="CW4563" t="s">
        <v>120</v>
      </c>
      <c r="CX4563">
        <v>257</v>
      </c>
      <c r="CY4563">
        <v>0</v>
      </c>
      <c r="CZ4563" t="s">
        <v>615</v>
      </c>
      <c r="DA4563" t="s">
        <v>616</v>
      </c>
      <c r="DD4563">
        <v>82818</v>
      </c>
      <c r="DE4563" t="s">
        <v>123</v>
      </c>
    </row>
    <row r="4564" spans="1:109" x14ac:dyDescent="0.3">
      <c r="A4564" t="str">
        <f>"19:53:22.617"</f>
        <v>19:53:22.617</v>
      </c>
      <c r="B4564" t="s">
        <v>110</v>
      </c>
      <c r="C4564" t="str">
        <f t="shared" si="217"/>
        <v>ffdfd3c0</v>
      </c>
      <c r="D4564" t="s">
        <v>111</v>
      </c>
      <c r="E4564">
        <v>18</v>
      </c>
      <c r="F4564">
        <v>1018</v>
      </c>
      <c r="G4564" t="s">
        <v>112</v>
      </c>
      <c r="J4564" t="s">
        <v>113</v>
      </c>
      <c r="K4564">
        <v>0</v>
      </c>
      <c r="L4564">
        <v>3</v>
      </c>
      <c r="M4564">
        <v>0</v>
      </c>
      <c r="N4564">
        <v>2</v>
      </c>
      <c r="O4564">
        <v>1</v>
      </c>
      <c r="P4564">
        <v>0</v>
      </c>
      <c r="Q4564">
        <v>0</v>
      </c>
      <c r="R4564" t="s">
        <v>114</v>
      </c>
      <c r="S4564" t="str">
        <f>"19:53:22.391"</f>
        <v>19:53:22.391</v>
      </c>
      <c r="T4564" t="str">
        <f>"19:53:22.188"</f>
        <v>19:53:22.188</v>
      </c>
      <c r="U4564" t="str">
        <f t="shared" si="218"/>
        <v>a1cdbe</v>
      </c>
      <c r="V4564">
        <v>0</v>
      </c>
      <c r="W4564">
        <v>0</v>
      </c>
      <c r="X4564">
        <v>2</v>
      </c>
      <c r="Y4564">
        <v>0</v>
      </c>
      <c r="Z4564">
        <v>0</v>
      </c>
      <c r="AB4564">
        <v>0</v>
      </c>
      <c r="AC4564">
        <v>9</v>
      </c>
      <c r="AD4564">
        <v>3</v>
      </c>
      <c r="AE4564">
        <v>0</v>
      </c>
      <c r="AF4564">
        <v>9</v>
      </c>
      <c r="AG4564" t="s">
        <v>1307</v>
      </c>
      <c r="AH4564">
        <v>0</v>
      </c>
      <c r="AI4564">
        <v>3</v>
      </c>
      <c r="AJ4564">
        <v>1</v>
      </c>
      <c r="AK4564">
        <v>0</v>
      </c>
      <c r="AL4564" t="s">
        <v>8173</v>
      </c>
      <c r="AM4564">
        <v>47.06794</v>
      </c>
      <c r="AN4564" t="s">
        <v>8174</v>
      </c>
      <c r="AO4564">
        <v>-124.129243</v>
      </c>
      <c r="AP4564">
        <v>100</v>
      </c>
      <c r="AQ4564">
        <v>1000</v>
      </c>
      <c r="AR4564" t="s">
        <v>118</v>
      </c>
      <c r="AS4564">
        <v>-60</v>
      </c>
      <c r="AT4564">
        <v>38</v>
      </c>
      <c r="AU4564">
        <v>0</v>
      </c>
      <c r="BC4564">
        <v>1200</v>
      </c>
      <c r="BD4564">
        <v>1</v>
      </c>
      <c r="BE4564" t="str">
        <f t="shared" si="219"/>
        <v xml:space="preserve">N215T   </v>
      </c>
      <c r="BF4564">
        <v>1</v>
      </c>
      <c r="BH4564">
        <v>0</v>
      </c>
      <c r="BI4564">
        <v>0</v>
      </c>
      <c r="BJ4564">
        <v>0</v>
      </c>
      <c r="BK4564">
        <v>1350</v>
      </c>
      <c r="BL4564">
        <v>350</v>
      </c>
      <c r="BM4564" t="s">
        <v>119</v>
      </c>
      <c r="BN4564">
        <v>1</v>
      </c>
      <c r="BO4564">
        <v>1</v>
      </c>
      <c r="BP4564">
        <v>1</v>
      </c>
      <c r="BQ4564">
        <v>0</v>
      </c>
      <c r="BT4564">
        <v>0</v>
      </c>
      <c r="BU4564">
        <v>0</v>
      </c>
      <c r="BV4564">
        <v>0</v>
      </c>
      <c r="CC4564" t="str">
        <f>"19:53:22.391"</f>
        <v>19:53:22.391</v>
      </c>
      <c r="CD4564" t="str">
        <f>"393815794"</f>
        <v>393815794</v>
      </c>
      <c r="CQ4564">
        <v>0</v>
      </c>
      <c r="CR4564">
        <v>2</v>
      </c>
      <c r="CS4564">
        <v>0</v>
      </c>
      <c r="CT4564">
        <v>2</v>
      </c>
      <c r="CU4564">
        <v>0</v>
      </c>
      <c r="CV4564">
        <v>5</v>
      </c>
      <c r="CW4564" t="s">
        <v>120</v>
      </c>
      <c r="CX4564">
        <v>257</v>
      </c>
      <c r="CY4564">
        <v>0</v>
      </c>
      <c r="CZ4564" t="s">
        <v>615</v>
      </c>
      <c r="DA4564" t="s">
        <v>616</v>
      </c>
      <c r="DD4564">
        <v>83088</v>
      </c>
      <c r="DE4564" t="s">
        <v>123</v>
      </c>
    </row>
    <row r="4565" spans="1:109" x14ac:dyDescent="0.3">
      <c r="A4565" t="str">
        <f>"19:53:23.719"</f>
        <v>19:53:23.719</v>
      </c>
      <c r="B4565" t="s">
        <v>110</v>
      </c>
      <c r="C4565" t="str">
        <f t="shared" si="217"/>
        <v>ffdfd3c0</v>
      </c>
      <c r="D4565" t="s">
        <v>111</v>
      </c>
      <c r="E4565">
        <v>18</v>
      </c>
      <c r="F4565">
        <v>1018</v>
      </c>
      <c r="G4565" t="s">
        <v>112</v>
      </c>
      <c r="J4565" t="s">
        <v>113</v>
      </c>
      <c r="K4565">
        <v>0</v>
      </c>
      <c r="L4565">
        <v>3</v>
      </c>
      <c r="M4565">
        <v>0</v>
      </c>
      <c r="N4565">
        <v>2</v>
      </c>
      <c r="O4565">
        <v>1</v>
      </c>
      <c r="P4565">
        <v>0</v>
      </c>
      <c r="Q4565">
        <v>0</v>
      </c>
      <c r="R4565" t="s">
        <v>114</v>
      </c>
      <c r="S4565" t="str">
        <f>"19:53:23.469"</f>
        <v>19:53:23.469</v>
      </c>
      <c r="T4565" t="str">
        <f>"19:53:23.367"</f>
        <v>19:53:23.367</v>
      </c>
      <c r="U4565" t="str">
        <f t="shared" si="218"/>
        <v>a1cdbe</v>
      </c>
      <c r="V4565">
        <v>0</v>
      </c>
      <c r="W4565">
        <v>0</v>
      </c>
      <c r="X4565">
        <v>2</v>
      </c>
      <c r="Y4565">
        <v>0</v>
      </c>
      <c r="Z4565">
        <v>0</v>
      </c>
      <c r="AB4565">
        <v>0</v>
      </c>
      <c r="AC4565">
        <v>9</v>
      </c>
      <c r="AD4565">
        <v>3</v>
      </c>
      <c r="AE4565">
        <v>0</v>
      </c>
      <c r="AF4565">
        <v>9</v>
      </c>
      <c r="AG4565" t="s">
        <v>1307</v>
      </c>
      <c r="AH4565">
        <v>0</v>
      </c>
      <c r="AI4565">
        <v>3</v>
      </c>
      <c r="AJ4565">
        <v>1</v>
      </c>
      <c r="AK4565">
        <v>0</v>
      </c>
      <c r="AL4565" t="s">
        <v>8175</v>
      </c>
      <c r="AM4565">
        <v>47.068176000000001</v>
      </c>
      <c r="AN4565" t="s">
        <v>8176</v>
      </c>
      <c r="AO4565">
        <v>-124.129586</v>
      </c>
      <c r="AP4565">
        <v>100</v>
      </c>
      <c r="AQ4565">
        <v>1000</v>
      </c>
      <c r="AR4565" t="s">
        <v>118</v>
      </c>
      <c r="AS4565">
        <v>-58</v>
      </c>
      <c r="AT4565">
        <v>39</v>
      </c>
      <c r="AU4565">
        <v>-64</v>
      </c>
      <c r="BC4565">
        <v>1200</v>
      </c>
      <c r="BD4565">
        <v>1</v>
      </c>
      <c r="BE4565" t="str">
        <f t="shared" si="219"/>
        <v xml:space="preserve">N215T   </v>
      </c>
      <c r="BF4565">
        <v>1</v>
      </c>
      <c r="BH4565">
        <v>0</v>
      </c>
      <c r="BI4565">
        <v>0</v>
      </c>
      <c r="BJ4565">
        <v>0</v>
      </c>
      <c r="BK4565">
        <v>1350</v>
      </c>
      <c r="BL4565">
        <v>350</v>
      </c>
      <c r="BM4565" t="s">
        <v>119</v>
      </c>
      <c r="BN4565">
        <v>1</v>
      </c>
      <c r="BO4565">
        <v>1</v>
      </c>
      <c r="BP4565">
        <v>1</v>
      </c>
      <c r="BQ4565">
        <v>0</v>
      </c>
      <c r="BT4565">
        <v>0</v>
      </c>
      <c r="BU4565">
        <v>0</v>
      </c>
      <c r="BV4565">
        <v>0</v>
      </c>
      <c r="CC4565" t="str">
        <f>"19:53:23.477"</f>
        <v>19:53:23.477</v>
      </c>
      <c r="CD4565" t="str">
        <f>"473709446"</f>
        <v>473709446</v>
      </c>
      <c r="CQ4565">
        <v>0</v>
      </c>
      <c r="CR4565">
        <v>2</v>
      </c>
      <c r="CS4565">
        <v>0</v>
      </c>
      <c r="CT4565">
        <v>2</v>
      </c>
      <c r="CU4565">
        <v>0</v>
      </c>
      <c r="CV4565">
        <v>5</v>
      </c>
      <c r="CW4565" t="s">
        <v>120</v>
      </c>
      <c r="CX4565">
        <v>257</v>
      </c>
      <c r="CY4565">
        <v>0</v>
      </c>
      <c r="CZ4565" t="s">
        <v>615</v>
      </c>
      <c r="DA4565" t="s">
        <v>616</v>
      </c>
      <c r="DD4565">
        <v>83448</v>
      </c>
      <c r="DE4565" t="s">
        <v>123</v>
      </c>
    </row>
    <row r="4566" spans="1:109" x14ac:dyDescent="0.3">
      <c r="A4566" t="str">
        <f>"19:53:24.625"</f>
        <v>19:53:24.625</v>
      </c>
      <c r="B4566" t="s">
        <v>110</v>
      </c>
      <c r="C4566" t="str">
        <f t="shared" si="217"/>
        <v>ffdfd3c0</v>
      </c>
      <c r="D4566" t="s">
        <v>111</v>
      </c>
      <c r="E4566">
        <v>18</v>
      </c>
      <c r="F4566">
        <v>1018</v>
      </c>
      <c r="G4566" t="s">
        <v>112</v>
      </c>
      <c r="J4566" t="s">
        <v>113</v>
      </c>
      <c r="K4566">
        <v>0</v>
      </c>
      <c r="L4566">
        <v>3</v>
      </c>
      <c r="M4566">
        <v>0</v>
      </c>
      <c r="N4566">
        <v>2</v>
      </c>
      <c r="O4566">
        <v>1</v>
      </c>
      <c r="P4566">
        <v>0</v>
      </c>
      <c r="Q4566">
        <v>0</v>
      </c>
      <c r="R4566" t="s">
        <v>114</v>
      </c>
      <c r="S4566" t="str">
        <f>"19:53:24.367"</f>
        <v>19:53:24.367</v>
      </c>
      <c r="T4566" t="str">
        <f>"19:53:23.867"</f>
        <v>19:53:23.867</v>
      </c>
      <c r="U4566" t="str">
        <f t="shared" si="218"/>
        <v>a1cdbe</v>
      </c>
      <c r="V4566">
        <v>0</v>
      </c>
      <c r="W4566">
        <v>0</v>
      </c>
      <c r="X4566">
        <v>2</v>
      </c>
      <c r="Y4566">
        <v>0</v>
      </c>
      <c r="Z4566">
        <v>0</v>
      </c>
      <c r="AB4566">
        <v>0</v>
      </c>
      <c r="AC4566">
        <v>9</v>
      </c>
      <c r="AD4566">
        <v>3</v>
      </c>
      <c r="AE4566">
        <v>0</v>
      </c>
      <c r="AF4566">
        <v>9</v>
      </c>
      <c r="AG4566" t="s">
        <v>1307</v>
      </c>
      <c r="AH4566">
        <v>0</v>
      </c>
      <c r="AI4566">
        <v>3</v>
      </c>
      <c r="AJ4566">
        <v>1</v>
      </c>
      <c r="AK4566">
        <v>0</v>
      </c>
      <c r="AL4566" t="s">
        <v>8177</v>
      </c>
      <c r="AM4566">
        <v>47.068305000000002</v>
      </c>
      <c r="AN4566" t="s">
        <v>8178</v>
      </c>
      <c r="AO4566">
        <v>-124.129994</v>
      </c>
      <c r="AP4566">
        <v>100</v>
      </c>
      <c r="AQ4566">
        <v>1000</v>
      </c>
      <c r="AR4566" t="s">
        <v>118</v>
      </c>
      <c r="AS4566">
        <v>-57</v>
      </c>
      <c r="AT4566">
        <v>40</v>
      </c>
      <c r="AU4566">
        <v>-128</v>
      </c>
      <c r="BC4566">
        <v>1200</v>
      </c>
      <c r="BD4566">
        <v>1</v>
      </c>
      <c r="BE4566" t="str">
        <f t="shared" si="219"/>
        <v xml:space="preserve">N215T   </v>
      </c>
      <c r="BF4566">
        <v>1</v>
      </c>
      <c r="BH4566">
        <v>0</v>
      </c>
      <c r="BI4566">
        <v>0</v>
      </c>
      <c r="BJ4566">
        <v>0</v>
      </c>
      <c r="BK4566">
        <v>1350</v>
      </c>
      <c r="BL4566">
        <v>350</v>
      </c>
      <c r="BM4566" t="s">
        <v>119</v>
      </c>
      <c r="BN4566">
        <v>1</v>
      </c>
      <c r="BO4566">
        <v>1</v>
      </c>
      <c r="BP4566">
        <v>1</v>
      </c>
      <c r="BQ4566">
        <v>0</v>
      </c>
      <c r="BT4566">
        <v>0</v>
      </c>
      <c r="BU4566">
        <v>0</v>
      </c>
      <c r="BV4566">
        <v>0</v>
      </c>
      <c r="CC4566" t="str">
        <f>"19:53:24.375"</f>
        <v>19:53:24.375</v>
      </c>
      <c r="CD4566" t="str">
        <f>"373620848"</f>
        <v>373620848</v>
      </c>
      <c r="CQ4566">
        <v>0</v>
      </c>
      <c r="CR4566">
        <v>2</v>
      </c>
      <c r="CS4566">
        <v>0</v>
      </c>
      <c r="CT4566">
        <v>2</v>
      </c>
      <c r="CU4566">
        <v>0</v>
      </c>
      <c r="CV4566">
        <v>5</v>
      </c>
      <c r="CW4566" t="s">
        <v>120</v>
      </c>
      <c r="CX4566">
        <v>257</v>
      </c>
      <c r="CY4566">
        <v>0</v>
      </c>
      <c r="CZ4566" t="s">
        <v>615</v>
      </c>
      <c r="DA4566" t="s">
        <v>616</v>
      </c>
      <c r="DD4566">
        <v>83743</v>
      </c>
      <c r="DE4566" t="s">
        <v>123</v>
      </c>
    </row>
    <row r="4567" spans="1:109" x14ac:dyDescent="0.3">
      <c r="A4567" t="str">
        <f>"19:53:25.680"</f>
        <v>19:53:25.680</v>
      </c>
      <c r="B4567" t="s">
        <v>110</v>
      </c>
      <c r="C4567" t="str">
        <f t="shared" si="217"/>
        <v>ffdfd3c0</v>
      </c>
      <c r="D4567" t="s">
        <v>111</v>
      </c>
      <c r="E4567">
        <v>18</v>
      </c>
      <c r="F4567">
        <v>1018</v>
      </c>
      <c r="G4567" t="s">
        <v>112</v>
      </c>
      <c r="J4567" t="s">
        <v>113</v>
      </c>
      <c r="K4567">
        <v>0</v>
      </c>
      <c r="L4567">
        <v>3</v>
      </c>
      <c r="M4567">
        <v>0</v>
      </c>
      <c r="N4567">
        <v>2</v>
      </c>
      <c r="O4567">
        <v>1</v>
      </c>
      <c r="P4567">
        <v>0</v>
      </c>
      <c r="Q4567">
        <v>0</v>
      </c>
      <c r="R4567" t="s">
        <v>114</v>
      </c>
      <c r="S4567" t="str">
        <f>"19:53:25.438"</f>
        <v>19:53:25.438</v>
      </c>
      <c r="T4567" t="str">
        <f>"19:53:25.336"</f>
        <v>19:53:25.336</v>
      </c>
      <c r="U4567" t="str">
        <f t="shared" si="218"/>
        <v>a1cdbe</v>
      </c>
      <c r="V4567">
        <v>0</v>
      </c>
      <c r="W4567">
        <v>0</v>
      </c>
      <c r="X4567">
        <v>2</v>
      </c>
      <c r="Y4567">
        <v>0</v>
      </c>
      <c r="Z4567">
        <v>0</v>
      </c>
      <c r="AB4567">
        <v>0</v>
      </c>
      <c r="AC4567">
        <v>9</v>
      </c>
      <c r="AD4567">
        <v>3</v>
      </c>
      <c r="AE4567">
        <v>0</v>
      </c>
      <c r="AF4567">
        <v>9</v>
      </c>
      <c r="AG4567" t="s">
        <v>1307</v>
      </c>
      <c r="AH4567">
        <v>0</v>
      </c>
      <c r="AI4567">
        <v>3</v>
      </c>
      <c r="AJ4567">
        <v>1</v>
      </c>
      <c r="AK4567">
        <v>0</v>
      </c>
      <c r="AL4567" t="s">
        <v>7464</v>
      </c>
      <c r="AM4567">
        <v>47.068497999999998</v>
      </c>
      <c r="AN4567" t="s">
        <v>8179</v>
      </c>
      <c r="AO4567">
        <v>-124.130359</v>
      </c>
      <c r="AP4567">
        <v>100</v>
      </c>
      <c r="AQ4567">
        <v>1000</v>
      </c>
      <c r="AR4567" t="s">
        <v>118</v>
      </c>
      <c r="AS4567">
        <v>-54</v>
      </c>
      <c r="AT4567">
        <v>41</v>
      </c>
      <c r="AU4567">
        <v>-192</v>
      </c>
      <c r="BC4567">
        <v>1200</v>
      </c>
      <c r="BD4567">
        <v>1</v>
      </c>
      <c r="BE4567" t="str">
        <f t="shared" si="219"/>
        <v xml:space="preserve">N215T   </v>
      </c>
      <c r="BF4567">
        <v>1</v>
      </c>
      <c r="BH4567">
        <v>0</v>
      </c>
      <c r="BI4567">
        <v>0</v>
      </c>
      <c r="BJ4567">
        <v>0</v>
      </c>
      <c r="BK4567">
        <v>1350</v>
      </c>
      <c r="BL4567">
        <v>350</v>
      </c>
      <c r="BM4567" t="s">
        <v>119</v>
      </c>
      <c r="BN4567">
        <v>1</v>
      </c>
      <c r="BO4567">
        <v>1</v>
      </c>
      <c r="BP4567">
        <v>1</v>
      </c>
      <c r="BQ4567">
        <v>0</v>
      </c>
      <c r="BT4567">
        <v>0</v>
      </c>
      <c r="BU4567">
        <v>0</v>
      </c>
      <c r="BV4567">
        <v>0</v>
      </c>
      <c r="CC4567" t="str">
        <f>"19:53:25.438"</f>
        <v>19:53:25.438</v>
      </c>
      <c r="CD4567" t="str">
        <f>"438515995"</f>
        <v>438515995</v>
      </c>
      <c r="CQ4567">
        <v>0</v>
      </c>
      <c r="CR4567">
        <v>2</v>
      </c>
      <c r="CS4567">
        <v>0</v>
      </c>
      <c r="CT4567">
        <v>2</v>
      </c>
      <c r="CU4567">
        <v>0</v>
      </c>
      <c r="CV4567">
        <v>6</v>
      </c>
      <c r="CW4567" t="s">
        <v>120</v>
      </c>
      <c r="CX4567">
        <v>257</v>
      </c>
      <c r="CY4567">
        <v>0</v>
      </c>
      <c r="CZ4567" t="s">
        <v>615</v>
      </c>
      <c r="DA4567" t="s">
        <v>616</v>
      </c>
      <c r="DD4567">
        <v>84065</v>
      </c>
      <c r="DE4567" t="s">
        <v>123</v>
      </c>
    </row>
    <row r="4568" spans="1:109" x14ac:dyDescent="0.3">
      <c r="A4568" t="str">
        <f>"19:53:26.688"</f>
        <v>19:53:26.688</v>
      </c>
      <c r="B4568" t="s">
        <v>110</v>
      </c>
      <c r="C4568" t="str">
        <f t="shared" si="217"/>
        <v>ffdfd3c0</v>
      </c>
      <c r="D4568" t="s">
        <v>111</v>
      </c>
      <c r="E4568">
        <v>18</v>
      </c>
      <c r="F4568">
        <v>1018</v>
      </c>
      <c r="G4568" t="s">
        <v>112</v>
      </c>
      <c r="J4568" t="s">
        <v>113</v>
      </c>
      <c r="K4568">
        <v>0</v>
      </c>
      <c r="L4568">
        <v>3</v>
      </c>
      <c r="M4568">
        <v>0</v>
      </c>
      <c r="N4568">
        <v>2</v>
      </c>
      <c r="O4568">
        <v>1</v>
      </c>
      <c r="P4568">
        <v>0</v>
      </c>
      <c r="Q4568">
        <v>0</v>
      </c>
      <c r="R4568" t="s">
        <v>114</v>
      </c>
      <c r="S4568" t="str">
        <f>"19:53:26.438"</f>
        <v>19:53:26.438</v>
      </c>
      <c r="T4568" t="str">
        <f>"19:53:26.234"</f>
        <v>19:53:26.234</v>
      </c>
      <c r="U4568" t="str">
        <f t="shared" si="218"/>
        <v>a1cdbe</v>
      </c>
      <c r="V4568">
        <v>0</v>
      </c>
      <c r="W4568">
        <v>0</v>
      </c>
      <c r="X4568">
        <v>2</v>
      </c>
      <c r="Y4568">
        <v>0</v>
      </c>
      <c r="Z4568">
        <v>0</v>
      </c>
      <c r="AB4568">
        <v>0</v>
      </c>
      <c r="AC4568">
        <v>9</v>
      </c>
      <c r="AD4568">
        <v>3</v>
      </c>
      <c r="AE4568">
        <v>0</v>
      </c>
      <c r="AF4568">
        <v>9</v>
      </c>
      <c r="AG4568" t="s">
        <v>1307</v>
      </c>
      <c r="AH4568">
        <v>0</v>
      </c>
      <c r="AI4568">
        <v>3</v>
      </c>
      <c r="AJ4568">
        <v>1</v>
      </c>
      <c r="AK4568">
        <v>0</v>
      </c>
      <c r="AL4568" t="s">
        <v>8180</v>
      </c>
      <c r="AM4568">
        <v>47.068733999999999</v>
      </c>
      <c r="AN4568" t="s">
        <v>8181</v>
      </c>
      <c r="AO4568">
        <v>-124.130681</v>
      </c>
      <c r="AP4568">
        <v>100</v>
      </c>
      <c r="AQ4568">
        <v>1000</v>
      </c>
      <c r="AR4568" t="s">
        <v>118</v>
      </c>
      <c r="AS4568">
        <v>-52</v>
      </c>
      <c r="AT4568">
        <v>42</v>
      </c>
      <c r="AU4568">
        <v>-128</v>
      </c>
      <c r="BC4568">
        <v>1200</v>
      </c>
      <c r="BD4568">
        <v>1</v>
      </c>
      <c r="BE4568" t="str">
        <f t="shared" si="219"/>
        <v xml:space="preserve">N215T   </v>
      </c>
      <c r="BF4568">
        <v>1</v>
      </c>
      <c r="BH4568">
        <v>0</v>
      </c>
      <c r="BI4568">
        <v>0</v>
      </c>
      <c r="BJ4568">
        <v>0</v>
      </c>
      <c r="BK4568">
        <v>1350</v>
      </c>
      <c r="BL4568">
        <v>350</v>
      </c>
      <c r="BM4568" t="s">
        <v>119</v>
      </c>
      <c r="BN4568">
        <v>1</v>
      </c>
      <c r="BO4568">
        <v>1</v>
      </c>
      <c r="BP4568">
        <v>1</v>
      </c>
      <c r="BQ4568">
        <v>0</v>
      </c>
      <c r="BT4568">
        <v>0</v>
      </c>
      <c r="BU4568">
        <v>0</v>
      </c>
      <c r="BV4568">
        <v>0</v>
      </c>
      <c r="CC4568" t="str">
        <f>"19:53:26.445"</f>
        <v>19:53:26.445</v>
      </c>
      <c r="CD4568" t="str">
        <f>"443417054"</f>
        <v>443417054</v>
      </c>
      <c r="CQ4568">
        <v>0</v>
      </c>
      <c r="CR4568">
        <v>2</v>
      </c>
      <c r="CS4568">
        <v>0</v>
      </c>
      <c r="CT4568">
        <v>2</v>
      </c>
      <c r="CU4568">
        <v>0</v>
      </c>
      <c r="CV4568">
        <v>6</v>
      </c>
      <c r="CW4568" t="s">
        <v>120</v>
      </c>
      <c r="CX4568">
        <v>257</v>
      </c>
      <c r="CY4568">
        <v>0</v>
      </c>
      <c r="CZ4568" t="s">
        <v>615</v>
      </c>
      <c r="DA4568" t="s">
        <v>616</v>
      </c>
      <c r="DD4568">
        <v>84418</v>
      </c>
      <c r="DE4568" t="s">
        <v>123</v>
      </c>
    </row>
    <row r="4569" spans="1:109" x14ac:dyDescent="0.3">
      <c r="A4569" t="str">
        <f>"19:53:27.539"</f>
        <v>19:53:27.539</v>
      </c>
      <c r="B4569" t="s">
        <v>110</v>
      </c>
      <c r="C4569" t="str">
        <f t="shared" si="217"/>
        <v>ffdfd3c0</v>
      </c>
      <c r="D4569" t="s">
        <v>111</v>
      </c>
      <c r="E4569">
        <v>18</v>
      </c>
      <c r="F4569">
        <v>1018</v>
      </c>
      <c r="G4569" t="s">
        <v>112</v>
      </c>
      <c r="J4569" t="s">
        <v>113</v>
      </c>
      <c r="K4569">
        <v>0</v>
      </c>
      <c r="L4569">
        <v>3</v>
      </c>
      <c r="M4569">
        <v>0</v>
      </c>
      <c r="N4569">
        <v>2</v>
      </c>
      <c r="O4569">
        <v>1</v>
      </c>
      <c r="P4569">
        <v>0</v>
      </c>
      <c r="Q4569">
        <v>0</v>
      </c>
      <c r="R4569" t="s">
        <v>114</v>
      </c>
      <c r="S4569" t="str">
        <f>"19:53:27.313"</f>
        <v>19:53:27.313</v>
      </c>
      <c r="T4569" t="str">
        <f>"19:53:27.211"</f>
        <v>19:53:27.211</v>
      </c>
      <c r="U4569" t="str">
        <f t="shared" si="218"/>
        <v>a1cdbe</v>
      </c>
      <c r="V4569">
        <v>0</v>
      </c>
      <c r="W4569">
        <v>0</v>
      </c>
      <c r="X4569">
        <v>2</v>
      </c>
      <c r="Y4569">
        <v>0</v>
      </c>
      <c r="Z4569">
        <v>0</v>
      </c>
      <c r="AB4569">
        <v>0</v>
      </c>
      <c r="AC4569">
        <v>9</v>
      </c>
      <c r="AD4569">
        <v>3</v>
      </c>
      <c r="AE4569">
        <v>0</v>
      </c>
      <c r="AF4569">
        <v>9</v>
      </c>
      <c r="AG4569" t="s">
        <v>1307</v>
      </c>
      <c r="AH4569">
        <v>0</v>
      </c>
      <c r="AI4569">
        <v>3</v>
      </c>
      <c r="AJ4569">
        <v>1</v>
      </c>
      <c r="AK4569">
        <v>0</v>
      </c>
      <c r="AL4569" t="s">
        <v>8182</v>
      </c>
      <c r="AM4569">
        <v>47.068905999999998</v>
      </c>
      <c r="AN4569" t="s">
        <v>8183</v>
      </c>
      <c r="AO4569">
        <v>-124.13096</v>
      </c>
      <c r="AP4569">
        <v>100</v>
      </c>
      <c r="AQ4569">
        <v>1000</v>
      </c>
      <c r="AR4569" t="s">
        <v>118</v>
      </c>
      <c r="AS4569">
        <v>-49</v>
      </c>
      <c r="AT4569">
        <v>45</v>
      </c>
      <c r="AU4569">
        <v>-256</v>
      </c>
      <c r="BC4569">
        <v>1200</v>
      </c>
      <c r="BD4569">
        <v>1</v>
      </c>
      <c r="BE4569" t="str">
        <f t="shared" si="219"/>
        <v xml:space="preserve">N215T   </v>
      </c>
      <c r="BF4569">
        <v>1</v>
      </c>
      <c r="BH4569">
        <v>0</v>
      </c>
      <c r="BI4569">
        <v>0</v>
      </c>
      <c r="BJ4569">
        <v>0</v>
      </c>
      <c r="BK4569">
        <v>1350</v>
      </c>
      <c r="BL4569">
        <v>350</v>
      </c>
      <c r="BM4569" t="s">
        <v>119</v>
      </c>
      <c r="BN4569">
        <v>1</v>
      </c>
      <c r="BO4569">
        <v>1</v>
      </c>
      <c r="BP4569">
        <v>1</v>
      </c>
      <c r="BQ4569">
        <v>0</v>
      </c>
      <c r="BT4569">
        <v>0</v>
      </c>
      <c r="BU4569">
        <v>0</v>
      </c>
      <c r="BV4569">
        <v>0</v>
      </c>
      <c r="CC4569" t="str">
        <f>"19:53:27.313"</f>
        <v>19:53:27.313</v>
      </c>
      <c r="CD4569" t="str">
        <f>"313331395"</f>
        <v>313331395</v>
      </c>
      <c r="CQ4569">
        <v>0</v>
      </c>
      <c r="CR4569">
        <v>2</v>
      </c>
      <c r="CS4569">
        <v>0</v>
      </c>
      <c r="CT4569">
        <v>2</v>
      </c>
      <c r="CU4569">
        <v>0</v>
      </c>
      <c r="CV4569">
        <v>6</v>
      </c>
      <c r="CW4569" t="s">
        <v>120</v>
      </c>
      <c r="CX4569">
        <v>257</v>
      </c>
      <c r="CY4569">
        <v>0</v>
      </c>
      <c r="CZ4569" t="s">
        <v>615</v>
      </c>
      <c r="DA4569" t="s">
        <v>616</v>
      </c>
      <c r="DD4569">
        <v>84680</v>
      </c>
      <c r="DE4569" t="s">
        <v>123</v>
      </c>
    </row>
    <row r="4570" spans="1:109" x14ac:dyDescent="0.3">
      <c r="A4570" t="str">
        <f>"19:53:28.648"</f>
        <v>19:53:28.648</v>
      </c>
      <c r="B4570" t="s">
        <v>110</v>
      </c>
      <c r="C4570" t="str">
        <f t="shared" si="217"/>
        <v>ffdfd3c0</v>
      </c>
      <c r="D4570" t="s">
        <v>111</v>
      </c>
      <c r="E4570">
        <v>18</v>
      </c>
      <c r="F4570">
        <v>1018</v>
      </c>
      <c r="G4570" t="s">
        <v>112</v>
      </c>
      <c r="J4570" t="s">
        <v>113</v>
      </c>
      <c r="K4570">
        <v>0</v>
      </c>
      <c r="L4570">
        <v>3</v>
      </c>
      <c r="M4570">
        <v>0</v>
      </c>
      <c r="N4570">
        <v>2</v>
      </c>
      <c r="O4570">
        <v>1</v>
      </c>
      <c r="P4570">
        <v>0</v>
      </c>
      <c r="Q4570">
        <v>0</v>
      </c>
      <c r="R4570" t="s">
        <v>114</v>
      </c>
      <c r="S4570" t="str">
        <f>"19:53:28.375"</f>
        <v>19:53:28.375</v>
      </c>
      <c r="T4570" t="str">
        <f>"19:53:28.172"</f>
        <v>19:53:28.172</v>
      </c>
      <c r="U4570" t="str">
        <f t="shared" si="218"/>
        <v>a1cdbe</v>
      </c>
      <c r="V4570">
        <v>0</v>
      </c>
      <c r="W4570">
        <v>0</v>
      </c>
      <c r="X4570">
        <v>2</v>
      </c>
      <c r="Y4570">
        <v>0</v>
      </c>
      <c r="Z4570">
        <v>0</v>
      </c>
      <c r="AB4570">
        <v>0</v>
      </c>
      <c r="AC4570">
        <v>9</v>
      </c>
      <c r="AD4570">
        <v>3</v>
      </c>
      <c r="AE4570">
        <v>0</v>
      </c>
      <c r="AF4570">
        <v>9</v>
      </c>
      <c r="AG4570" t="s">
        <v>1307</v>
      </c>
      <c r="AH4570">
        <v>0</v>
      </c>
      <c r="AI4570">
        <v>3</v>
      </c>
      <c r="AJ4570">
        <v>1</v>
      </c>
      <c r="AK4570">
        <v>0</v>
      </c>
      <c r="AL4570" t="s">
        <v>8184</v>
      </c>
      <c r="AM4570">
        <v>47.069141999999999</v>
      </c>
      <c r="AN4570" t="s">
        <v>8185</v>
      </c>
      <c r="AO4570">
        <v>-124.131367</v>
      </c>
      <c r="AP4570">
        <v>100</v>
      </c>
      <c r="AQ4570">
        <v>1000</v>
      </c>
      <c r="AR4570" t="s">
        <v>118</v>
      </c>
      <c r="AS4570">
        <v>-46</v>
      </c>
      <c r="AT4570">
        <v>47</v>
      </c>
      <c r="AU4570">
        <v>-256</v>
      </c>
      <c r="BC4570">
        <v>1200</v>
      </c>
      <c r="BD4570">
        <v>1</v>
      </c>
      <c r="BE4570" t="str">
        <f t="shared" si="219"/>
        <v xml:space="preserve">N215T   </v>
      </c>
      <c r="BF4570">
        <v>1</v>
      </c>
      <c r="BH4570">
        <v>0</v>
      </c>
      <c r="BI4570">
        <v>0</v>
      </c>
      <c r="BJ4570">
        <v>0</v>
      </c>
      <c r="BK4570">
        <v>1350</v>
      </c>
      <c r="BL4570">
        <v>350</v>
      </c>
      <c r="BM4570" t="s">
        <v>119</v>
      </c>
      <c r="BN4570">
        <v>1</v>
      </c>
      <c r="BO4570">
        <v>1</v>
      </c>
      <c r="BP4570">
        <v>1</v>
      </c>
      <c r="BQ4570">
        <v>0</v>
      </c>
      <c r="BT4570">
        <v>0</v>
      </c>
      <c r="BU4570">
        <v>0</v>
      </c>
      <c r="BV4570">
        <v>0</v>
      </c>
      <c r="CC4570" t="str">
        <f>"19:53:28.375"</f>
        <v>19:53:28.375</v>
      </c>
      <c r="CD4570" t="str">
        <f>"378226553"</f>
        <v>378226553</v>
      </c>
      <c r="CQ4570">
        <v>0</v>
      </c>
      <c r="CR4570">
        <v>2</v>
      </c>
      <c r="CS4570">
        <v>0</v>
      </c>
      <c r="CT4570">
        <v>2</v>
      </c>
      <c r="CU4570">
        <v>0</v>
      </c>
      <c r="CV4570">
        <v>6</v>
      </c>
      <c r="CW4570" t="s">
        <v>120</v>
      </c>
      <c r="CX4570">
        <v>257</v>
      </c>
      <c r="CY4570">
        <v>0</v>
      </c>
      <c r="CZ4570" t="s">
        <v>615</v>
      </c>
      <c r="DA4570" t="s">
        <v>616</v>
      </c>
      <c r="DD4570">
        <v>85015</v>
      </c>
      <c r="DE4570" t="s">
        <v>123</v>
      </c>
    </row>
    <row r="4571" spans="1:109" x14ac:dyDescent="0.3">
      <c r="A4571" t="str">
        <f>"19:53:29.750"</f>
        <v>19:53:29.750</v>
      </c>
      <c r="B4571" t="s">
        <v>110</v>
      </c>
      <c r="C4571" t="str">
        <f t="shared" si="217"/>
        <v>ffdfd3c0</v>
      </c>
      <c r="D4571" t="s">
        <v>111</v>
      </c>
      <c r="E4571">
        <v>18</v>
      </c>
      <c r="F4571">
        <v>1018</v>
      </c>
      <c r="G4571" t="s">
        <v>112</v>
      </c>
      <c r="J4571" t="s">
        <v>113</v>
      </c>
      <c r="K4571">
        <v>0</v>
      </c>
      <c r="L4571">
        <v>3</v>
      </c>
      <c r="M4571">
        <v>0</v>
      </c>
      <c r="N4571">
        <v>2</v>
      </c>
      <c r="O4571">
        <v>1</v>
      </c>
      <c r="P4571">
        <v>0</v>
      </c>
      <c r="Q4571">
        <v>0</v>
      </c>
      <c r="R4571" t="s">
        <v>114</v>
      </c>
      <c r="S4571" t="str">
        <f>"19:53:29.531"</f>
        <v>19:53:29.531</v>
      </c>
      <c r="T4571" t="str">
        <f>"19:53:29.133"</f>
        <v>19:53:29.133</v>
      </c>
      <c r="U4571" t="str">
        <f t="shared" si="218"/>
        <v>a1cdbe</v>
      </c>
      <c r="V4571">
        <v>0</v>
      </c>
      <c r="W4571">
        <v>0</v>
      </c>
      <c r="X4571">
        <v>2</v>
      </c>
      <c r="Y4571">
        <v>0</v>
      </c>
      <c r="Z4571">
        <v>0</v>
      </c>
      <c r="AB4571">
        <v>0</v>
      </c>
      <c r="AC4571">
        <v>9</v>
      </c>
      <c r="AD4571">
        <v>3</v>
      </c>
      <c r="AE4571">
        <v>0</v>
      </c>
      <c r="AF4571">
        <v>9</v>
      </c>
      <c r="AG4571" t="s">
        <v>1307</v>
      </c>
      <c r="AH4571">
        <v>0</v>
      </c>
      <c r="AI4571">
        <v>3</v>
      </c>
      <c r="AJ4571">
        <v>1</v>
      </c>
      <c r="AK4571">
        <v>0</v>
      </c>
      <c r="AL4571" t="s">
        <v>8186</v>
      </c>
      <c r="AM4571">
        <v>47.069378</v>
      </c>
      <c r="AN4571" t="s">
        <v>8187</v>
      </c>
      <c r="AO4571">
        <v>-124.131625</v>
      </c>
      <c r="AP4571">
        <v>100</v>
      </c>
      <c r="AQ4571">
        <v>1000</v>
      </c>
      <c r="AR4571" t="s">
        <v>118</v>
      </c>
      <c r="AS4571">
        <v>-43</v>
      </c>
      <c r="AT4571">
        <v>49</v>
      </c>
      <c r="AU4571">
        <v>-320</v>
      </c>
      <c r="BC4571">
        <v>1200</v>
      </c>
      <c r="BD4571">
        <v>1</v>
      </c>
      <c r="BE4571" t="str">
        <f t="shared" si="219"/>
        <v xml:space="preserve">N215T   </v>
      </c>
      <c r="BF4571">
        <v>1</v>
      </c>
      <c r="BH4571">
        <v>0</v>
      </c>
      <c r="BI4571">
        <v>0</v>
      </c>
      <c r="BJ4571">
        <v>0</v>
      </c>
      <c r="BK4571">
        <v>1350</v>
      </c>
      <c r="BL4571">
        <v>350</v>
      </c>
      <c r="BM4571" t="s">
        <v>119</v>
      </c>
      <c r="BN4571">
        <v>1</v>
      </c>
      <c r="BO4571">
        <v>1</v>
      </c>
      <c r="BP4571">
        <v>1</v>
      </c>
      <c r="BQ4571">
        <v>0</v>
      </c>
      <c r="BT4571">
        <v>0</v>
      </c>
      <c r="BU4571">
        <v>0</v>
      </c>
      <c r="BV4571">
        <v>0</v>
      </c>
      <c r="CC4571" t="str">
        <f>"19:53:29.531"</f>
        <v>19:53:29.531</v>
      </c>
      <c r="CD4571" t="str">
        <f>"533112851"</f>
        <v>533112851</v>
      </c>
      <c r="CQ4571">
        <v>0</v>
      </c>
      <c r="CR4571">
        <v>2</v>
      </c>
      <c r="CS4571">
        <v>0</v>
      </c>
      <c r="CT4571">
        <v>2</v>
      </c>
      <c r="CU4571">
        <v>0</v>
      </c>
      <c r="CV4571">
        <v>6</v>
      </c>
      <c r="CW4571" t="s">
        <v>120</v>
      </c>
      <c r="CX4571">
        <v>257</v>
      </c>
      <c r="CY4571">
        <v>0</v>
      </c>
      <c r="CZ4571" t="s">
        <v>615</v>
      </c>
      <c r="DA4571" t="s">
        <v>616</v>
      </c>
      <c r="DD4571">
        <v>85374</v>
      </c>
      <c r="DE4571" t="s">
        <v>123</v>
      </c>
    </row>
    <row r="4572" spans="1:109" x14ac:dyDescent="0.3">
      <c r="A4572" t="str">
        <f>"19:53:30.711"</f>
        <v>19:53:30.711</v>
      </c>
      <c r="B4572" t="s">
        <v>110</v>
      </c>
      <c r="C4572" t="str">
        <f t="shared" si="217"/>
        <v>ffdfd3c0</v>
      </c>
      <c r="D4572" t="s">
        <v>111</v>
      </c>
      <c r="E4572">
        <v>18</v>
      </c>
      <c r="F4572">
        <v>1018</v>
      </c>
      <c r="G4572" t="s">
        <v>112</v>
      </c>
      <c r="J4572" t="s">
        <v>113</v>
      </c>
      <c r="K4572">
        <v>0</v>
      </c>
      <c r="L4572">
        <v>3</v>
      </c>
      <c r="M4572">
        <v>0</v>
      </c>
      <c r="N4572">
        <v>2</v>
      </c>
      <c r="O4572">
        <v>1</v>
      </c>
      <c r="P4572">
        <v>0</v>
      </c>
      <c r="Q4572">
        <v>0</v>
      </c>
      <c r="R4572" t="s">
        <v>114</v>
      </c>
      <c r="S4572" t="str">
        <f>"19:53:30.445"</f>
        <v>19:53:30.445</v>
      </c>
      <c r="T4572" t="str">
        <f>"19:53:30.344"</f>
        <v>19:53:30.344</v>
      </c>
      <c r="U4572" t="str">
        <f t="shared" si="218"/>
        <v>a1cdbe</v>
      </c>
      <c r="V4572">
        <v>0</v>
      </c>
      <c r="W4572">
        <v>0</v>
      </c>
      <c r="X4572">
        <v>2</v>
      </c>
      <c r="Y4572">
        <v>0</v>
      </c>
      <c r="Z4572">
        <v>0</v>
      </c>
      <c r="AB4572">
        <v>0</v>
      </c>
      <c r="AC4572">
        <v>9</v>
      </c>
      <c r="AD4572">
        <v>3</v>
      </c>
      <c r="AE4572">
        <v>0</v>
      </c>
      <c r="AF4572">
        <v>9</v>
      </c>
      <c r="AG4572" t="s">
        <v>1307</v>
      </c>
      <c r="AH4572">
        <v>0</v>
      </c>
      <c r="AI4572">
        <v>3</v>
      </c>
      <c r="AJ4572">
        <v>1</v>
      </c>
      <c r="AK4572">
        <v>0</v>
      </c>
      <c r="AL4572" t="s">
        <v>8188</v>
      </c>
      <c r="AM4572">
        <v>47.069592</v>
      </c>
      <c r="AN4572" t="s">
        <v>8189</v>
      </c>
      <c r="AO4572">
        <v>-124.13190400000001</v>
      </c>
      <c r="AP4572">
        <v>100</v>
      </c>
      <c r="AQ4572">
        <v>900</v>
      </c>
      <c r="AR4572" t="s">
        <v>118</v>
      </c>
      <c r="AS4572">
        <v>-39</v>
      </c>
      <c r="AT4572">
        <v>51</v>
      </c>
      <c r="AU4572">
        <v>-384</v>
      </c>
      <c r="BC4572">
        <v>1200</v>
      </c>
      <c r="BD4572">
        <v>1</v>
      </c>
      <c r="BE4572" t="str">
        <f t="shared" si="219"/>
        <v xml:space="preserve">N215T   </v>
      </c>
      <c r="BF4572">
        <v>1</v>
      </c>
      <c r="BH4572">
        <v>0</v>
      </c>
      <c r="BI4572">
        <v>0</v>
      </c>
      <c r="BJ4572">
        <v>0</v>
      </c>
      <c r="BK4572">
        <v>1325</v>
      </c>
      <c r="BL4572">
        <v>425</v>
      </c>
      <c r="BM4572" t="s">
        <v>119</v>
      </c>
      <c r="BN4572">
        <v>1</v>
      </c>
      <c r="BO4572">
        <v>1</v>
      </c>
      <c r="BP4572">
        <v>1</v>
      </c>
      <c r="BQ4572">
        <v>0</v>
      </c>
      <c r="BT4572">
        <v>0</v>
      </c>
      <c r="BU4572">
        <v>0</v>
      </c>
      <c r="BV4572">
        <v>0</v>
      </c>
      <c r="CC4572" t="str">
        <f>"19:53:30.445"</f>
        <v>19:53:30.445</v>
      </c>
      <c r="CD4572" t="str">
        <f>"448022775"</f>
        <v>448022775</v>
      </c>
      <c r="CQ4572">
        <v>0</v>
      </c>
      <c r="CR4572">
        <v>2</v>
      </c>
      <c r="CS4572">
        <v>0</v>
      </c>
      <c r="CT4572">
        <v>2</v>
      </c>
      <c r="CU4572">
        <v>0</v>
      </c>
      <c r="CV4572">
        <v>6</v>
      </c>
      <c r="CW4572" t="s">
        <v>120</v>
      </c>
      <c r="CX4572">
        <v>257</v>
      </c>
      <c r="CY4572">
        <v>0</v>
      </c>
      <c r="CZ4572" t="s">
        <v>615</v>
      </c>
      <c r="DA4572" t="s">
        <v>616</v>
      </c>
      <c r="DD4572">
        <v>85657</v>
      </c>
      <c r="DE4572" t="s">
        <v>123</v>
      </c>
    </row>
    <row r="4573" spans="1:109" x14ac:dyDescent="0.3">
      <c r="A4573" t="str">
        <f>"19:53:31.664"</f>
        <v>19:53:31.664</v>
      </c>
      <c r="B4573" t="s">
        <v>110</v>
      </c>
      <c r="C4573" t="str">
        <f t="shared" si="217"/>
        <v>ffdfd3c0</v>
      </c>
      <c r="D4573" t="s">
        <v>111</v>
      </c>
      <c r="E4573">
        <v>18</v>
      </c>
      <c r="F4573">
        <v>1018</v>
      </c>
      <c r="G4573" t="s">
        <v>112</v>
      </c>
      <c r="J4573" t="s">
        <v>113</v>
      </c>
      <c r="K4573">
        <v>0</v>
      </c>
      <c r="L4573">
        <v>3</v>
      </c>
      <c r="M4573">
        <v>0</v>
      </c>
      <c r="N4573">
        <v>2</v>
      </c>
      <c r="O4573">
        <v>1</v>
      </c>
      <c r="P4573">
        <v>0</v>
      </c>
      <c r="Q4573">
        <v>0</v>
      </c>
      <c r="R4573" t="s">
        <v>114</v>
      </c>
      <c r="S4573" t="str">
        <f>"19:53:31.406"</f>
        <v>19:53:31.406</v>
      </c>
      <c r="T4573" t="str">
        <f>"19:53:30.906"</f>
        <v>19:53:30.906</v>
      </c>
      <c r="U4573" t="str">
        <f t="shared" si="218"/>
        <v>a1cdbe</v>
      </c>
      <c r="V4573">
        <v>0</v>
      </c>
      <c r="W4573">
        <v>0</v>
      </c>
      <c r="X4573">
        <v>2</v>
      </c>
      <c r="Y4573">
        <v>0</v>
      </c>
      <c r="Z4573">
        <v>0</v>
      </c>
      <c r="AB4573">
        <v>0</v>
      </c>
      <c r="AC4573">
        <v>9</v>
      </c>
      <c r="AD4573">
        <v>3</v>
      </c>
      <c r="AE4573">
        <v>0</v>
      </c>
      <c r="AF4573">
        <v>9</v>
      </c>
      <c r="AG4573" t="s">
        <v>1307</v>
      </c>
      <c r="AH4573">
        <v>0</v>
      </c>
      <c r="AI4573">
        <v>3</v>
      </c>
      <c r="AJ4573">
        <v>1</v>
      </c>
      <c r="AK4573">
        <v>0</v>
      </c>
      <c r="AL4573" t="s">
        <v>8190</v>
      </c>
      <c r="AM4573">
        <v>47.069850000000002</v>
      </c>
      <c r="AN4573" t="s">
        <v>8191</v>
      </c>
      <c r="AO4573">
        <v>-124.13211800000001</v>
      </c>
      <c r="AP4573">
        <v>100</v>
      </c>
      <c r="AQ4573">
        <v>900</v>
      </c>
      <c r="AR4573" t="s">
        <v>118</v>
      </c>
      <c r="AS4573">
        <v>-37</v>
      </c>
      <c r="AT4573">
        <v>52</v>
      </c>
      <c r="AU4573">
        <v>-384</v>
      </c>
      <c r="BC4573">
        <v>1200</v>
      </c>
      <c r="BD4573">
        <v>1</v>
      </c>
      <c r="BE4573" t="str">
        <f t="shared" si="219"/>
        <v xml:space="preserve">N215T   </v>
      </c>
      <c r="BF4573">
        <v>1</v>
      </c>
      <c r="BH4573">
        <v>0</v>
      </c>
      <c r="BI4573">
        <v>0</v>
      </c>
      <c r="BJ4573">
        <v>0</v>
      </c>
      <c r="BK4573">
        <v>1325</v>
      </c>
      <c r="BL4573">
        <v>425</v>
      </c>
      <c r="BM4573" t="s">
        <v>119</v>
      </c>
      <c r="BN4573">
        <v>1</v>
      </c>
      <c r="BO4573">
        <v>1</v>
      </c>
      <c r="BP4573">
        <v>1</v>
      </c>
      <c r="BQ4573">
        <v>0</v>
      </c>
      <c r="BT4573">
        <v>0</v>
      </c>
      <c r="BU4573">
        <v>0</v>
      </c>
      <c r="BV4573">
        <v>0</v>
      </c>
      <c r="CC4573" t="str">
        <f>"19:53:31.406"</f>
        <v>19:53:31.406</v>
      </c>
      <c r="CD4573" t="str">
        <f>"407928272"</f>
        <v>407928272</v>
      </c>
      <c r="CQ4573">
        <v>0</v>
      </c>
      <c r="CR4573">
        <v>2</v>
      </c>
      <c r="CS4573">
        <v>0</v>
      </c>
      <c r="CT4573">
        <v>2</v>
      </c>
      <c r="CU4573">
        <v>0</v>
      </c>
      <c r="CV4573">
        <v>6</v>
      </c>
      <c r="CW4573" t="s">
        <v>120</v>
      </c>
      <c r="CX4573">
        <v>257</v>
      </c>
      <c r="CY4573">
        <v>0</v>
      </c>
      <c r="CZ4573" t="s">
        <v>615</v>
      </c>
      <c r="DA4573" t="s">
        <v>616</v>
      </c>
      <c r="DD4573">
        <v>85994</v>
      </c>
      <c r="DE4573" t="s">
        <v>123</v>
      </c>
    </row>
    <row r="4574" spans="1:109" x14ac:dyDescent="0.3">
      <c r="A4574" t="str">
        <f>"19:53:32.563"</f>
        <v>19:53:32.563</v>
      </c>
      <c r="B4574" t="s">
        <v>110</v>
      </c>
      <c r="C4574" t="str">
        <f t="shared" si="217"/>
        <v>ffdfd3c0</v>
      </c>
      <c r="D4574" t="s">
        <v>111</v>
      </c>
      <c r="E4574">
        <v>18</v>
      </c>
      <c r="F4574">
        <v>1018</v>
      </c>
      <c r="G4574" t="s">
        <v>112</v>
      </c>
      <c r="J4574" t="s">
        <v>113</v>
      </c>
      <c r="K4574">
        <v>0</v>
      </c>
      <c r="L4574">
        <v>3</v>
      </c>
      <c r="M4574">
        <v>0</v>
      </c>
      <c r="N4574">
        <v>2</v>
      </c>
      <c r="O4574">
        <v>1</v>
      </c>
      <c r="P4574">
        <v>0</v>
      </c>
      <c r="Q4574">
        <v>0</v>
      </c>
      <c r="R4574" t="s">
        <v>114</v>
      </c>
      <c r="S4574" t="str">
        <f>"19:53:32.352"</f>
        <v>19:53:32.352</v>
      </c>
      <c r="T4574" t="str">
        <f>"19:53:31.852"</f>
        <v>19:53:31.852</v>
      </c>
      <c r="U4574" t="str">
        <f t="shared" si="218"/>
        <v>a1cdbe</v>
      </c>
      <c r="V4574">
        <v>0</v>
      </c>
      <c r="W4574">
        <v>0</v>
      </c>
      <c r="X4574">
        <v>2</v>
      </c>
      <c r="Y4574">
        <v>0</v>
      </c>
      <c r="Z4574">
        <v>0</v>
      </c>
      <c r="AB4574">
        <v>0</v>
      </c>
      <c r="AC4574">
        <v>9</v>
      </c>
      <c r="AD4574">
        <v>3</v>
      </c>
      <c r="AE4574">
        <v>0</v>
      </c>
      <c r="AF4574">
        <v>9</v>
      </c>
      <c r="AG4574" t="s">
        <v>1307</v>
      </c>
      <c r="AH4574">
        <v>0</v>
      </c>
      <c r="AI4574">
        <v>3</v>
      </c>
      <c r="AJ4574">
        <v>1</v>
      </c>
      <c r="AK4574">
        <v>0</v>
      </c>
      <c r="AL4574" t="s">
        <v>8192</v>
      </c>
      <c r="AM4574">
        <v>47.070107</v>
      </c>
      <c r="AN4574" t="s">
        <v>8193</v>
      </c>
      <c r="AO4574">
        <v>-124.132333</v>
      </c>
      <c r="AP4574">
        <v>100</v>
      </c>
      <c r="AQ4574">
        <v>900</v>
      </c>
      <c r="AR4574" t="s">
        <v>118</v>
      </c>
      <c r="AS4574">
        <v>-34</v>
      </c>
      <c r="AT4574">
        <v>54</v>
      </c>
      <c r="AU4574">
        <v>-448</v>
      </c>
      <c r="BC4574">
        <v>1200</v>
      </c>
      <c r="BD4574">
        <v>1</v>
      </c>
      <c r="BE4574" t="str">
        <f t="shared" si="219"/>
        <v xml:space="preserve">N215T   </v>
      </c>
      <c r="BF4574">
        <v>1</v>
      </c>
      <c r="BH4574">
        <v>0</v>
      </c>
      <c r="BI4574">
        <v>0</v>
      </c>
      <c r="BJ4574">
        <v>0</v>
      </c>
      <c r="BK4574">
        <v>1325</v>
      </c>
      <c r="BL4574">
        <v>425</v>
      </c>
      <c r="BM4574" t="s">
        <v>119</v>
      </c>
      <c r="BN4574">
        <v>1</v>
      </c>
      <c r="BO4574">
        <v>1</v>
      </c>
      <c r="BP4574">
        <v>1</v>
      </c>
      <c r="BQ4574">
        <v>0</v>
      </c>
      <c r="BT4574">
        <v>0</v>
      </c>
      <c r="BU4574">
        <v>0</v>
      </c>
      <c r="BV4574">
        <v>0</v>
      </c>
      <c r="CC4574" t="str">
        <f>"19:53:32.352"</f>
        <v>19:53:32.352</v>
      </c>
      <c r="CD4574" t="str">
        <f>"352835245"</f>
        <v>352835245</v>
      </c>
      <c r="CQ4574">
        <v>0</v>
      </c>
      <c r="CR4574">
        <v>2</v>
      </c>
      <c r="CS4574">
        <v>0</v>
      </c>
      <c r="CT4574">
        <v>2</v>
      </c>
      <c r="CU4574">
        <v>0</v>
      </c>
      <c r="CV4574">
        <v>6</v>
      </c>
      <c r="CW4574" t="s">
        <v>120</v>
      </c>
      <c r="CX4574">
        <v>257</v>
      </c>
      <c r="CY4574">
        <v>0</v>
      </c>
      <c r="CZ4574" t="s">
        <v>615</v>
      </c>
      <c r="DA4574" t="s">
        <v>616</v>
      </c>
      <c r="DD4574">
        <v>86297</v>
      </c>
      <c r="DE4574" t="s">
        <v>123</v>
      </c>
    </row>
    <row r="4575" spans="1:109" x14ac:dyDescent="0.3">
      <c r="A4575" t="str">
        <f>"19:53:33.523"</f>
        <v>19:53:33.523</v>
      </c>
      <c r="B4575" t="s">
        <v>110</v>
      </c>
      <c r="C4575" t="str">
        <f t="shared" si="217"/>
        <v>ffdfd3c0</v>
      </c>
      <c r="D4575" t="s">
        <v>111</v>
      </c>
      <c r="E4575">
        <v>18</v>
      </c>
      <c r="F4575">
        <v>1018</v>
      </c>
      <c r="G4575" t="s">
        <v>112</v>
      </c>
      <c r="J4575" t="s">
        <v>113</v>
      </c>
      <c r="K4575">
        <v>0</v>
      </c>
      <c r="L4575">
        <v>3</v>
      </c>
      <c r="M4575">
        <v>0</v>
      </c>
      <c r="N4575">
        <v>2</v>
      </c>
      <c r="O4575">
        <v>1</v>
      </c>
      <c r="P4575">
        <v>0</v>
      </c>
      <c r="Q4575">
        <v>0</v>
      </c>
      <c r="R4575" t="s">
        <v>114</v>
      </c>
      <c r="S4575" t="str">
        <f>"19:53:33.313"</f>
        <v>19:53:33.313</v>
      </c>
      <c r="T4575" t="str">
        <f>"19:53:33.016"</f>
        <v>19:53:33.016</v>
      </c>
      <c r="U4575" t="str">
        <f t="shared" si="218"/>
        <v>a1cdbe</v>
      </c>
      <c r="V4575">
        <v>0</v>
      </c>
      <c r="W4575">
        <v>0</v>
      </c>
      <c r="X4575">
        <v>2</v>
      </c>
      <c r="Y4575">
        <v>0</v>
      </c>
      <c r="Z4575">
        <v>0</v>
      </c>
      <c r="AB4575">
        <v>0</v>
      </c>
      <c r="AC4575">
        <v>9</v>
      </c>
      <c r="AD4575">
        <v>3</v>
      </c>
      <c r="AE4575">
        <v>0</v>
      </c>
      <c r="AF4575">
        <v>9</v>
      </c>
      <c r="AG4575" t="s">
        <v>1307</v>
      </c>
      <c r="AH4575">
        <v>0</v>
      </c>
      <c r="AI4575">
        <v>3</v>
      </c>
      <c r="AJ4575">
        <v>1</v>
      </c>
      <c r="AK4575">
        <v>0</v>
      </c>
      <c r="AL4575" t="s">
        <v>8194</v>
      </c>
      <c r="AM4575">
        <v>47.070321999999997</v>
      </c>
      <c r="AN4575" t="s">
        <v>8195</v>
      </c>
      <c r="AO4575">
        <v>-124.132526</v>
      </c>
      <c r="AP4575">
        <v>100</v>
      </c>
      <c r="AQ4575">
        <v>900</v>
      </c>
      <c r="AR4575" t="s">
        <v>118</v>
      </c>
      <c r="AS4575">
        <v>-31</v>
      </c>
      <c r="AT4575">
        <v>56</v>
      </c>
      <c r="AU4575">
        <v>-384</v>
      </c>
      <c r="BC4575">
        <v>1200</v>
      </c>
      <c r="BD4575">
        <v>1</v>
      </c>
      <c r="BE4575" t="str">
        <f t="shared" si="219"/>
        <v xml:space="preserve">N215T   </v>
      </c>
      <c r="BF4575">
        <v>1</v>
      </c>
      <c r="BH4575">
        <v>0</v>
      </c>
      <c r="BI4575">
        <v>0</v>
      </c>
      <c r="BJ4575">
        <v>0</v>
      </c>
      <c r="BK4575">
        <v>1325</v>
      </c>
      <c r="BL4575">
        <v>425</v>
      </c>
      <c r="BM4575" t="s">
        <v>119</v>
      </c>
      <c r="BN4575">
        <v>1</v>
      </c>
      <c r="BO4575">
        <v>1</v>
      </c>
      <c r="BP4575">
        <v>1</v>
      </c>
      <c r="BQ4575">
        <v>0</v>
      </c>
      <c r="BT4575">
        <v>0</v>
      </c>
      <c r="BU4575">
        <v>0</v>
      </c>
      <c r="BV4575">
        <v>0</v>
      </c>
      <c r="CC4575" t="str">
        <f>"19:53:33.313"</f>
        <v>19:53:33.313</v>
      </c>
      <c r="CD4575" t="str">
        <f>"312740737"</f>
        <v>312740737</v>
      </c>
      <c r="CQ4575">
        <v>0</v>
      </c>
      <c r="CR4575">
        <v>2</v>
      </c>
      <c r="CS4575">
        <v>0</v>
      </c>
      <c r="CT4575">
        <v>2</v>
      </c>
      <c r="CU4575">
        <v>0</v>
      </c>
      <c r="CV4575">
        <v>6</v>
      </c>
      <c r="CW4575" t="s">
        <v>120</v>
      </c>
      <c r="CX4575">
        <v>257</v>
      </c>
      <c r="CY4575">
        <v>0</v>
      </c>
      <c r="CZ4575" t="s">
        <v>615</v>
      </c>
      <c r="DA4575" t="s">
        <v>616</v>
      </c>
      <c r="DD4575">
        <v>86621</v>
      </c>
      <c r="DE4575" t="s">
        <v>123</v>
      </c>
    </row>
    <row r="4576" spans="1:109" x14ac:dyDescent="0.3">
      <c r="A4576" t="str">
        <f>"19:53:34.578"</f>
        <v>19:53:34.578</v>
      </c>
      <c r="B4576" t="s">
        <v>110</v>
      </c>
      <c r="C4576" t="str">
        <f t="shared" si="217"/>
        <v>ffdfd3c0</v>
      </c>
      <c r="D4576" t="s">
        <v>111</v>
      </c>
      <c r="E4576">
        <v>18</v>
      </c>
      <c r="F4576">
        <v>1018</v>
      </c>
      <c r="G4576" t="s">
        <v>112</v>
      </c>
      <c r="J4576" t="s">
        <v>113</v>
      </c>
      <c r="K4576">
        <v>0</v>
      </c>
      <c r="L4576">
        <v>3</v>
      </c>
      <c r="M4576">
        <v>0</v>
      </c>
      <c r="N4576">
        <v>2</v>
      </c>
      <c r="O4576">
        <v>1</v>
      </c>
      <c r="P4576">
        <v>0</v>
      </c>
      <c r="Q4576">
        <v>0</v>
      </c>
      <c r="R4576" t="s">
        <v>114</v>
      </c>
      <c r="S4576" t="str">
        <f>"19:53:34.328"</f>
        <v>19:53:34.328</v>
      </c>
      <c r="T4576" t="str">
        <f>"19:53:33.930"</f>
        <v>19:53:33.930</v>
      </c>
      <c r="U4576" t="str">
        <f t="shared" si="218"/>
        <v>a1cdbe</v>
      </c>
      <c r="V4576">
        <v>0</v>
      </c>
      <c r="W4576">
        <v>0</v>
      </c>
      <c r="X4576">
        <v>2</v>
      </c>
      <c r="Y4576">
        <v>0</v>
      </c>
      <c r="Z4576">
        <v>0</v>
      </c>
      <c r="AB4576">
        <v>0</v>
      </c>
      <c r="AC4576">
        <v>9</v>
      </c>
      <c r="AD4576">
        <v>3</v>
      </c>
      <c r="AE4576">
        <v>0</v>
      </c>
      <c r="AF4576">
        <v>9</v>
      </c>
      <c r="AG4576" t="s">
        <v>1307</v>
      </c>
      <c r="AH4576">
        <v>0</v>
      </c>
      <c r="AI4576">
        <v>3</v>
      </c>
      <c r="AJ4576">
        <v>1</v>
      </c>
      <c r="AK4576">
        <v>0</v>
      </c>
      <c r="AL4576" t="s">
        <v>456</v>
      </c>
      <c r="AM4576">
        <v>47.070601000000003</v>
      </c>
      <c r="AN4576" t="s">
        <v>8196</v>
      </c>
      <c r="AO4576">
        <v>-124.132698</v>
      </c>
      <c r="AP4576">
        <v>100</v>
      </c>
      <c r="AQ4576">
        <v>900</v>
      </c>
      <c r="AR4576" t="s">
        <v>118</v>
      </c>
      <c r="AS4576">
        <v>-27</v>
      </c>
      <c r="AT4576">
        <v>57</v>
      </c>
      <c r="AU4576">
        <v>-320</v>
      </c>
      <c r="BC4576">
        <v>1200</v>
      </c>
      <c r="BD4576">
        <v>1</v>
      </c>
      <c r="BE4576" t="str">
        <f t="shared" si="219"/>
        <v xml:space="preserve">N215T   </v>
      </c>
      <c r="BF4576">
        <v>1</v>
      </c>
      <c r="BH4576">
        <v>0</v>
      </c>
      <c r="BI4576">
        <v>0</v>
      </c>
      <c r="BJ4576">
        <v>0</v>
      </c>
      <c r="BK4576">
        <v>1300</v>
      </c>
      <c r="BL4576">
        <v>400</v>
      </c>
      <c r="BM4576" t="s">
        <v>119</v>
      </c>
      <c r="BN4576">
        <v>1</v>
      </c>
      <c r="BO4576">
        <v>1</v>
      </c>
      <c r="BP4576">
        <v>1</v>
      </c>
      <c r="BQ4576">
        <v>0</v>
      </c>
      <c r="BT4576">
        <v>0</v>
      </c>
      <c r="BU4576">
        <v>0</v>
      </c>
      <c r="BV4576">
        <v>0</v>
      </c>
      <c r="CC4576" t="str">
        <f>"19:53:34.336"</f>
        <v>19:53:34.336</v>
      </c>
      <c r="CD4576" t="str">
        <f>"332640337"</f>
        <v>332640337</v>
      </c>
      <c r="CQ4576">
        <v>0</v>
      </c>
      <c r="CR4576">
        <v>2</v>
      </c>
      <c r="CS4576">
        <v>0</v>
      </c>
      <c r="CT4576">
        <v>2</v>
      </c>
      <c r="CU4576">
        <v>0</v>
      </c>
      <c r="CV4576">
        <v>5</v>
      </c>
      <c r="CW4576" t="s">
        <v>120</v>
      </c>
      <c r="CX4576">
        <v>257</v>
      </c>
      <c r="CY4576">
        <v>0</v>
      </c>
      <c r="CZ4576" t="s">
        <v>615</v>
      </c>
      <c r="DA4576" t="s">
        <v>616</v>
      </c>
      <c r="DD4576">
        <v>86935</v>
      </c>
      <c r="DE4576" t="s">
        <v>123</v>
      </c>
    </row>
    <row r="4577" spans="1:109" x14ac:dyDescent="0.3">
      <c r="A4577" t="str">
        <f>"19:53:35.531"</f>
        <v>19:53:35.531</v>
      </c>
      <c r="B4577" t="s">
        <v>110</v>
      </c>
      <c r="C4577" t="str">
        <f t="shared" si="217"/>
        <v>ffdfd3c0</v>
      </c>
      <c r="D4577" t="s">
        <v>111</v>
      </c>
      <c r="E4577">
        <v>18</v>
      </c>
      <c r="F4577">
        <v>1018</v>
      </c>
      <c r="G4577" t="s">
        <v>112</v>
      </c>
      <c r="J4577" t="s">
        <v>113</v>
      </c>
      <c r="K4577">
        <v>0</v>
      </c>
      <c r="L4577">
        <v>3</v>
      </c>
      <c r="M4577">
        <v>0</v>
      </c>
      <c r="N4577">
        <v>2</v>
      </c>
      <c r="O4577">
        <v>1</v>
      </c>
      <c r="P4577">
        <v>0</v>
      </c>
      <c r="Q4577">
        <v>0</v>
      </c>
      <c r="R4577" t="s">
        <v>114</v>
      </c>
      <c r="S4577" t="str">
        <f>"19:53:35.320"</f>
        <v>19:53:35.320</v>
      </c>
      <c r="T4577" t="str">
        <f>"19:53:34.922"</f>
        <v>19:53:34.922</v>
      </c>
      <c r="U4577" t="str">
        <f t="shared" si="218"/>
        <v>a1cdbe</v>
      </c>
      <c r="V4577">
        <v>0</v>
      </c>
      <c r="W4577">
        <v>0</v>
      </c>
      <c r="X4577">
        <v>2</v>
      </c>
      <c r="Y4577">
        <v>0</v>
      </c>
      <c r="Z4577">
        <v>0</v>
      </c>
      <c r="AB4577">
        <v>0</v>
      </c>
      <c r="AC4577">
        <v>9</v>
      </c>
      <c r="AD4577">
        <v>3</v>
      </c>
      <c r="AE4577">
        <v>0</v>
      </c>
      <c r="AF4577">
        <v>9</v>
      </c>
      <c r="AG4577" t="s">
        <v>1307</v>
      </c>
      <c r="AH4577">
        <v>0</v>
      </c>
      <c r="AI4577">
        <v>3</v>
      </c>
      <c r="AJ4577">
        <v>1</v>
      </c>
      <c r="AK4577">
        <v>0</v>
      </c>
      <c r="AL4577" t="s">
        <v>8197</v>
      </c>
      <c r="AM4577">
        <v>47.070880000000002</v>
      </c>
      <c r="AN4577" t="s">
        <v>8198</v>
      </c>
      <c r="AO4577">
        <v>-124.132869</v>
      </c>
      <c r="AP4577">
        <v>100</v>
      </c>
      <c r="AQ4577">
        <v>900</v>
      </c>
      <c r="AR4577" t="s">
        <v>118</v>
      </c>
      <c r="AS4577">
        <v>-24</v>
      </c>
      <c r="AT4577">
        <v>59</v>
      </c>
      <c r="AU4577">
        <v>-320</v>
      </c>
      <c r="BC4577">
        <v>1200</v>
      </c>
      <c r="BD4577">
        <v>1</v>
      </c>
      <c r="BE4577" t="str">
        <f t="shared" si="219"/>
        <v xml:space="preserve">N215T   </v>
      </c>
      <c r="BF4577">
        <v>1</v>
      </c>
      <c r="BH4577">
        <v>0</v>
      </c>
      <c r="BI4577">
        <v>0</v>
      </c>
      <c r="BJ4577">
        <v>0</v>
      </c>
      <c r="BK4577">
        <v>1300</v>
      </c>
      <c r="BL4577">
        <v>400</v>
      </c>
      <c r="BM4577" t="s">
        <v>119</v>
      </c>
      <c r="BN4577">
        <v>1</v>
      </c>
      <c r="BO4577">
        <v>1</v>
      </c>
      <c r="BP4577">
        <v>1</v>
      </c>
      <c r="BQ4577">
        <v>0</v>
      </c>
      <c r="BT4577">
        <v>0</v>
      </c>
      <c r="BU4577">
        <v>0</v>
      </c>
      <c r="BV4577">
        <v>0</v>
      </c>
      <c r="CC4577" t="str">
        <f>"19:53:35.320"</f>
        <v>19:53:35.320</v>
      </c>
      <c r="CD4577" t="str">
        <f>"322542871"</f>
        <v>322542871</v>
      </c>
      <c r="CQ4577">
        <v>0</v>
      </c>
      <c r="CR4577">
        <v>2</v>
      </c>
      <c r="CS4577">
        <v>0</v>
      </c>
      <c r="CT4577">
        <v>2</v>
      </c>
      <c r="CU4577">
        <v>0</v>
      </c>
      <c r="CV4577">
        <v>5</v>
      </c>
      <c r="CW4577" t="s">
        <v>120</v>
      </c>
      <c r="CX4577">
        <v>257</v>
      </c>
      <c r="CY4577">
        <v>0</v>
      </c>
      <c r="CZ4577" t="s">
        <v>615</v>
      </c>
      <c r="DA4577" t="s">
        <v>616</v>
      </c>
      <c r="DD4577">
        <v>87268</v>
      </c>
      <c r="DE4577" t="s">
        <v>123</v>
      </c>
    </row>
    <row r="4578" spans="1:109" x14ac:dyDescent="0.3">
      <c r="A4578" t="str">
        <f>"19:53:36.484"</f>
        <v>19:53:36.484</v>
      </c>
      <c r="B4578" t="s">
        <v>110</v>
      </c>
      <c r="C4578" t="str">
        <f t="shared" si="217"/>
        <v>ffdfd3c0</v>
      </c>
      <c r="D4578" t="s">
        <v>111</v>
      </c>
      <c r="E4578">
        <v>18</v>
      </c>
      <c r="F4578">
        <v>1018</v>
      </c>
      <c r="G4578" t="s">
        <v>112</v>
      </c>
      <c r="J4578" t="s">
        <v>113</v>
      </c>
      <c r="K4578">
        <v>0</v>
      </c>
      <c r="L4578">
        <v>3</v>
      </c>
      <c r="M4578">
        <v>0</v>
      </c>
      <c r="N4578">
        <v>2</v>
      </c>
      <c r="O4578">
        <v>1</v>
      </c>
      <c r="P4578">
        <v>0</v>
      </c>
      <c r="Q4578">
        <v>0</v>
      </c>
      <c r="R4578" t="s">
        <v>114</v>
      </c>
      <c r="S4578" t="str">
        <f>"19:53:36.234"</f>
        <v>19:53:36.234</v>
      </c>
      <c r="T4578" t="str">
        <f>"19:53:35.836"</f>
        <v>19:53:35.836</v>
      </c>
      <c r="U4578" t="str">
        <f t="shared" si="218"/>
        <v>a1cdbe</v>
      </c>
      <c r="V4578">
        <v>0</v>
      </c>
      <c r="W4578">
        <v>0</v>
      </c>
      <c r="X4578">
        <v>2</v>
      </c>
      <c r="Y4578">
        <v>0</v>
      </c>
      <c r="Z4578">
        <v>0</v>
      </c>
      <c r="AB4578">
        <v>0</v>
      </c>
      <c r="AC4578">
        <v>9</v>
      </c>
      <c r="AD4578">
        <v>3</v>
      </c>
      <c r="AE4578">
        <v>0</v>
      </c>
      <c r="AF4578">
        <v>9</v>
      </c>
      <c r="AG4578" t="s">
        <v>1307</v>
      </c>
      <c r="AH4578">
        <v>0</v>
      </c>
      <c r="AI4578">
        <v>3</v>
      </c>
      <c r="AJ4578">
        <v>1</v>
      </c>
      <c r="AK4578">
        <v>0</v>
      </c>
      <c r="AL4578" t="s">
        <v>8199</v>
      </c>
      <c r="AM4578">
        <v>47.071159000000002</v>
      </c>
      <c r="AN4578" t="s">
        <v>8200</v>
      </c>
      <c r="AO4578">
        <v>-124.132977</v>
      </c>
      <c r="AP4578">
        <v>100</v>
      </c>
      <c r="AQ4578">
        <v>900</v>
      </c>
      <c r="AR4578" t="s">
        <v>118</v>
      </c>
      <c r="AS4578">
        <v>-20</v>
      </c>
      <c r="AT4578">
        <v>60</v>
      </c>
      <c r="AU4578">
        <v>-256</v>
      </c>
      <c r="BC4578">
        <v>1200</v>
      </c>
      <c r="BD4578">
        <v>1</v>
      </c>
      <c r="BE4578" t="str">
        <f t="shared" si="219"/>
        <v xml:space="preserve">N215T   </v>
      </c>
      <c r="BF4578">
        <v>1</v>
      </c>
      <c r="BH4578">
        <v>0</v>
      </c>
      <c r="BI4578">
        <v>0</v>
      </c>
      <c r="BJ4578">
        <v>0</v>
      </c>
      <c r="BK4578">
        <v>1300</v>
      </c>
      <c r="BL4578">
        <v>400</v>
      </c>
      <c r="BM4578" t="s">
        <v>119</v>
      </c>
      <c r="BN4578">
        <v>1</v>
      </c>
      <c r="BO4578">
        <v>1</v>
      </c>
      <c r="BP4578">
        <v>1</v>
      </c>
      <c r="BQ4578">
        <v>0</v>
      </c>
      <c r="BT4578">
        <v>0</v>
      </c>
      <c r="BU4578">
        <v>0</v>
      </c>
      <c r="BV4578">
        <v>0</v>
      </c>
      <c r="CC4578" t="str">
        <f>"19:53:36.234"</f>
        <v>19:53:36.234</v>
      </c>
      <c r="CD4578" t="str">
        <f>"237452814"</f>
        <v>237452814</v>
      </c>
      <c r="CQ4578">
        <v>0</v>
      </c>
      <c r="CR4578">
        <v>2</v>
      </c>
      <c r="CS4578">
        <v>0</v>
      </c>
      <c r="CT4578">
        <v>2</v>
      </c>
      <c r="CU4578">
        <v>0</v>
      </c>
      <c r="CV4578">
        <v>5</v>
      </c>
      <c r="CW4578" t="s">
        <v>120</v>
      </c>
      <c r="CX4578">
        <v>257</v>
      </c>
      <c r="CY4578">
        <v>0</v>
      </c>
      <c r="CZ4578" t="s">
        <v>615</v>
      </c>
      <c r="DA4578" t="s">
        <v>616</v>
      </c>
      <c r="DD4578">
        <v>87570</v>
      </c>
      <c r="DE4578" t="s">
        <v>123</v>
      </c>
    </row>
    <row r="4579" spans="1:109" x14ac:dyDescent="0.3">
      <c r="A4579" t="str">
        <f>"19:53:37.594"</f>
        <v>19:53:37.594</v>
      </c>
      <c r="B4579" t="s">
        <v>110</v>
      </c>
      <c r="C4579" t="str">
        <f t="shared" si="217"/>
        <v>ffdfd3c0</v>
      </c>
      <c r="D4579" t="s">
        <v>111</v>
      </c>
      <c r="E4579">
        <v>18</v>
      </c>
      <c r="F4579">
        <v>1018</v>
      </c>
      <c r="G4579" t="s">
        <v>112</v>
      </c>
      <c r="J4579" t="s">
        <v>113</v>
      </c>
      <c r="K4579">
        <v>0</v>
      </c>
      <c r="L4579">
        <v>3</v>
      </c>
      <c r="M4579">
        <v>0</v>
      </c>
      <c r="N4579">
        <v>2</v>
      </c>
      <c r="O4579">
        <v>1</v>
      </c>
      <c r="P4579">
        <v>0</v>
      </c>
      <c r="Q4579">
        <v>0</v>
      </c>
      <c r="R4579" t="s">
        <v>114</v>
      </c>
      <c r="S4579" t="str">
        <f>"19:53:37.375"</f>
        <v>19:53:37.375</v>
      </c>
      <c r="T4579" t="str">
        <f>"19:53:36.977"</f>
        <v>19:53:36.977</v>
      </c>
      <c r="U4579" t="str">
        <f t="shared" si="218"/>
        <v>a1cdbe</v>
      </c>
      <c r="V4579">
        <v>0</v>
      </c>
      <c r="W4579">
        <v>0</v>
      </c>
      <c r="X4579">
        <v>2</v>
      </c>
      <c r="Y4579">
        <v>0</v>
      </c>
      <c r="Z4579">
        <v>0</v>
      </c>
      <c r="AB4579">
        <v>0</v>
      </c>
      <c r="AC4579">
        <v>9</v>
      </c>
      <c r="AD4579">
        <v>3</v>
      </c>
      <c r="AE4579">
        <v>0</v>
      </c>
      <c r="AF4579">
        <v>9</v>
      </c>
      <c r="AG4579" t="s">
        <v>1307</v>
      </c>
      <c r="AH4579">
        <v>0</v>
      </c>
      <c r="AI4579">
        <v>3</v>
      </c>
      <c r="AJ4579">
        <v>1</v>
      </c>
      <c r="AK4579">
        <v>0</v>
      </c>
      <c r="AL4579" t="s">
        <v>8201</v>
      </c>
      <c r="AM4579">
        <v>47.071438000000001</v>
      </c>
      <c r="AN4579" t="s">
        <v>8202</v>
      </c>
      <c r="AO4579">
        <v>-124.133105</v>
      </c>
      <c r="AP4579">
        <v>100</v>
      </c>
      <c r="AQ4579">
        <v>900</v>
      </c>
      <c r="AR4579" t="s">
        <v>118</v>
      </c>
      <c r="AS4579">
        <v>-18</v>
      </c>
      <c r="AT4579">
        <v>60</v>
      </c>
      <c r="AU4579">
        <v>-320</v>
      </c>
      <c r="BC4579">
        <v>1200</v>
      </c>
      <c r="BD4579">
        <v>1</v>
      </c>
      <c r="BE4579" t="str">
        <f t="shared" si="219"/>
        <v xml:space="preserve">N215T   </v>
      </c>
      <c r="BF4579">
        <v>1</v>
      </c>
      <c r="BH4579">
        <v>0</v>
      </c>
      <c r="BI4579">
        <v>0</v>
      </c>
      <c r="BJ4579">
        <v>0</v>
      </c>
      <c r="BK4579">
        <v>1300</v>
      </c>
      <c r="BL4579">
        <v>400</v>
      </c>
      <c r="BM4579" t="s">
        <v>119</v>
      </c>
      <c r="BN4579">
        <v>1</v>
      </c>
      <c r="BO4579">
        <v>1</v>
      </c>
      <c r="BP4579">
        <v>1</v>
      </c>
      <c r="BQ4579">
        <v>0</v>
      </c>
      <c r="BT4579">
        <v>0</v>
      </c>
      <c r="BU4579">
        <v>0</v>
      </c>
      <c r="BV4579">
        <v>0</v>
      </c>
      <c r="CC4579" t="str">
        <f>"19:53:37.375"</f>
        <v>19:53:37.375</v>
      </c>
      <c r="CD4579" t="str">
        <f>"377340570"</f>
        <v>377340570</v>
      </c>
      <c r="CQ4579">
        <v>0</v>
      </c>
      <c r="CR4579">
        <v>2</v>
      </c>
      <c r="CS4579">
        <v>0</v>
      </c>
      <c r="CT4579">
        <v>2</v>
      </c>
      <c r="CU4579">
        <v>0</v>
      </c>
      <c r="CV4579">
        <v>4</v>
      </c>
      <c r="CW4579" t="s">
        <v>120</v>
      </c>
      <c r="CX4579">
        <v>257</v>
      </c>
      <c r="CY4579">
        <v>0</v>
      </c>
      <c r="CZ4579" t="s">
        <v>615</v>
      </c>
      <c r="DA4579" t="s">
        <v>616</v>
      </c>
      <c r="DD4579">
        <v>87953</v>
      </c>
      <c r="DE4579" t="s">
        <v>123</v>
      </c>
    </row>
    <row r="4580" spans="1:109" x14ac:dyDescent="0.3">
      <c r="A4580" t="str">
        <f>"19:53:38.648"</f>
        <v>19:53:38.648</v>
      </c>
      <c r="B4580" t="s">
        <v>110</v>
      </c>
      <c r="C4580" t="str">
        <f t="shared" si="217"/>
        <v>ffdfd3c0</v>
      </c>
      <c r="D4580" t="s">
        <v>111</v>
      </c>
      <c r="E4580">
        <v>18</v>
      </c>
      <c r="F4580">
        <v>1018</v>
      </c>
      <c r="G4580" t="s">
        <v>112</v>
      </c>
      <c r="J4580" t="s">
        <v>113</v>
      </c>
      <c r="K4580">
        <v>0</v>
      </c>
      <c r="L4580">
        <v>3</v>
      </c>
      <c r="M4580">
        <v>0</v>
      </c>
      <c r="N4580">
        <v>2</v>
      </c>
      <c r="O4580">
        <v>1</v>
      </c>
      <c r="P4580">
        <v>0</v>
      </c>
      <c r="Q4580">
        <v>0</v>
      </c>
      <c r="R4580" t="s">
        <v>114</v>
      </c>
      <c r="S4580" t="str">
        <f>"19:53:38.438"</f>
        <v>19:53:38.438</v>
      </c>
      <c r="T4580" t="str">
        <f>"19:53:38.039"</f>
        <v>19:53:38.039</v>
      </c>
      <c r="U4580" t="str">
        <f t="shared" si="218"/>
        <v>a1cdbe</v>
      </c>
      <c r="V4580">
        <v>0</v>
      </c>
      <c r="W4580">
        <v>0</v>
      </c>
      <c r="X4580">
        <v>2</v>
      </c>
      <c r="Y4580">
        <v>0</v>
      </c>
      <c r="Z4580">
        <v>0</v>
      </c>
      <c r="AB4580">
        <v>0</v>
      </c>
      <c r="AC4580">
        <v>9</v>
      </c>
      <c r="AD4580">
        <v>3</v>
      </c>
      <c r="AE4580">
        <v>0</v>
      </c>
      <c r="AF4580">
        <v>9</v>
      </c>
      <c r="AG4580" t="s">
        <v>1307</v>
      </c>
      <c r="AH4580">
        <v>0</v>
      </c>
      <c r="AI4580">
        <v>3</v>
      </c>
      <c r="AJ4580">
        <v>1</v>
      </c>
      <c r="AK4580">
        <v>0</v>
      </c>
      <c r="AL4580" t="s">
        <v>8203</v>
      </c>
      <c r="AM4580">
        <v>47.071738000000003</v>
      </c>
      <c r="AN4580" t="s">
        <v>8204</v>
      </c>
      <c r="AO4580">
        <v>-124.133213</v>
      </c>
      <c r="AP4580">
        <v>100</v>
      </c>
      <c r="AQ4580">
        <v>900</v>
      </c>
      <c r="AR4580" t="s">
        <v>118</v>
      </c>
      <c r="AS4580">
        <v>-15</v>
      </c>
      <c r="AT4580">
        <v>61</v>
      </c>
      <c r="AU4580">
        <v>-320</v>
      </c>
      <c r="BC4580">
        <v>1200</v>
      </c>
      <c r="BD4580">
        <v>1</v>
      </c>
      <c r="BE4580" t="str">
        <f t="shared" si="219"/>
        <v xml:space="preserve">N215T   </v>
      </c>
      <c r="BF4580">
        <v>1</v>
      </c>
      <c r="BH4580">
        <v>0</v>
      </c>
      <c r="BI4580">
        <v>0</v>
      </c>
      <c r="BJ4580">
        <v>0</v>
      </c>
      <c r="BK4580">
        <v>1275</v>
      </c>
      <c r="BL4580">
        <v>375</v>
      </c>
      <c r="BM4580" t="s">
        <v>119</v>
      </c>
      <c r="BN4580">
        <v>1</v>
      </c>
      <c r="BO4580">
        <v>1</v>
      </c>
      <c r="BP4580">
        <v>1</v>
      </c>
      <c r="BQ4580">
        <v>0</v>
      </c>
      <c r="BT4580">
        <v>0</v>
      </c>
      <c r="BU4580">
        <v>0</v>
      </c>
      <c r="BV4580">
        <v>0</v>
      </c>
      <c r="CC4580" t="str">
        <f>"19:53:38.445"</f>
        <v>19:53:38.445</v>
      </c>
      <c r="CD4580" t="str">
        <f>"442235743"</f>
        <v>442235743</v>
      </c>
      <c r="CQ4580">
        <v>0</v>
      </c>
      <c r="CR4580">
        <v>2</v>
      </c>
      <c r="CS4580">
        <v>0</v>
      </c>
      <c r="CT4580">
        <v>2</v>
      </c>
      <c r="CU4580">
        <v>0</v>
      </c>
      <c r="CV4580">
        <v>5</v>
      </c>
      <c r="CW4580" t="s">
        <v>120</v>
      </c>
      <c r="CX4580">
        <v>257</v>
      </c>
      <c r="CY4580">
        <v>0</v>
      </c>
      <c r="CZ4580" t="s">
        <v>615</v>
      </c>
      <c r="DA4580" t="s">
        <v>616</v>
      </c>
      <c r="DD4580">
        <v>88295</v>
      </c>
      <c r="DE4580" t="s">
        <v>123</v>
      </c>
    </row>
    <row r="4581" spans="1:109" x14ac:dyDescent="0.3">
      <c r="A4581" t="str">
        <f>"19:53:39.750"</f>
        <v>19:53:39.750</v>
      </c>
      <c r="B4581" t="s">
        <v>110</v>
      </c>
      <c r="C4581" t="str">
        <f t="shared" si="217"/>
        <v>ffdfd3c0</v>
      </c>
      <c r="D4581" t="s">
        <v>111</v>
      </c>
      <c r="E4581">
        <v>18</v>
      </c>
      <c r="F4581">
        <v>1018</v>
      </c>
      <c r="G4581" t="s">
        <v>112</v>
      </c>
      <c r="J4581" t="s">
        <v>113</v>
      </c>
      <c r="K4581">
        <v>0</v>
      </c>
      <c r="L4581">
        <v>3</v>
      </c>
      <c r="M4581">
        <v>0</v>
      </c>
      <c r="N4581">
        <v>2</v>
      </c>
      <c r="O4581">
        <v>1</v>
      </c>
      <c r="P4581">
        <v>0</v>
      </c>
      <c r="Q4581">
        <v>0</v>
      </c>
      <c r="R4581" t="s">
        <v>114</v>
      </c>
      <c r="S4581" t="str">
        <f>"19:53:39.461"</f>
        <v>19:53:39.461</v>
      </c>
      <c r="T4581" t="str">
        <f>"19:53:39.063"</f>
        <v>19:53:39.063</v>
      </c>
      <c r="U4581" t="str">
        <f t="shared" si="218"/>
        <v>a1cdbe</v>
      </c>
      <c r="V4581">
        <v>0</v>
      </c>
      <c r="W4581">
        <v>0</v>
      </c>
      <c r="X4581">
        <v>2</v>
      </c>
      <c r="Y4581">
        <v>0</v>
      </c>
      <c r="Z4581">
        <v>0</v>
      </c>
      <c r="AB4581">
        <v>0</v>
      </c>
      <c r="AC4581">
        <v>9</v>
      </c>
      <c r="AD4581">
        <v>3</v>
      </c>
      <c r="AE4581">
        <v>0</v>
      </c>
      <c r="AF4581">
        <v>9</v>
      </c>
      <c r="AG4581" t="s">
        <v>1307</v>
      </c>
      <c r="AH4581">
        <v>0</v>
      </c>
      <c r="AI4581">
        <v>3</v>
      </c>
      <c r="AJ4581">
        <v>1</v>
      </c>
      <c r="AK4581">
        <v>0</v>
      </c>
      <c r="AL4581" t="s">
        <v>8205</v>
      </c>
      <c r="AM4581">
        <v>47.072038999999997</v>
      </c>
      <c r="AN4581" t="s">
        <v>8206</v>
      </c>
      <c r="AO4581">
        <v>-124.13325500000001</v>
      </c>
      <c r="AP4581">
        <v>100</v>
      </c>
      <c r="AQ4581">
        <v>900</v>
      </c>
      <c r="AR4581" t="s">
        <v>118</v>
      </c>
      <c r="AS4581">
        <v>-11</v>
      </c>
      <c r="AT4581">
        <v>62</v>
      </c>
      <c r="AU4581">
        <v>-320</v>
      </c>
      <c r="BC4581">
        <v>1200</v>
      </c>
      <c r="BD4581">
        <v>1</v>
      </c>
      <c r="BE4581" t="str">
        <f t="shared" si="219"/>
        <v xml:space="preserve">N215T   </v>
      </c>
      <c r="BF4581">
        <v>1</v>
      </c>
      <c r="BH4581">
        <v>0</v>
      </c>
      <c r="BI4581">
        <v>0</v>
      </c>
      <c r="BJ4581">
        <v>0</v>
      </c>
      <c r="BK4581">
        <v>1275</v>
      </c>
      <c r="BL4581">
        <v>375</v>
      </c>
      <c r="BM4581" t="s">
        <v>119</v>
      </c>
      <c r="BN4581">
        <v>1</v>
      </c>
      <c r="BO4581">
        <v>1</v>
      </c>
      <c r="BP4581">
        <v>1</v>
      </c>
      <c r="BQ4581">
        <v>0</v>
      </c>
      <c r="BT4581">
        <v>0</v>
      </c>
      <c r="BU4581">
        <v>0</v>
      </c>
      <c r="BV4581">
        <v>0</v>
      </c>
      <c r="CC4581" t="str">
        <f>"19:53:39.461"</f>
        <v>19:53:39.461</v>
      </c>
      <c r="CD4581" t="str">
        <f>"462135320"</f>
        <v>462135320</v>
      </c>
      <c r="CQ4581">
        <v>0</v>
      </c>
      <c r="CR4581">
        <v>2</v>
      </c>
      <c r="CS4581">
        <v>0</v>
      </c>
      <c r="CT4581">
        <v>2</v>
      </c>
      <c r="CU4581">
        <v>0</v>
      </c>
      <c r="CV4581">
        <v>5</v>
      </c>
      <c r="CW4581" t="s">
        <v>120</v>
      </c>
      <c r="CX4581">
        <v>257</v>
      </c>
      <c r="CY4581">
        <v>0</v>
      </c>
      <c r="CZ4581" t="s">
        <v>615</v>
      </c>
      <c r="DA4581" t="s">
        <v>616</v>
      </c>
      <c r="DD4581">
        <v>88613</v>
      </c>
      <c r="DE4581" t="s">
        <v>123</v>
      </c>
    </row>
    <row r="4582" spans="1:109" x14ac:dyDescent="0.3">
      <c r="A4582" t="str">
        <f>"19:53:40.555"</f>
        <v>19:53:40.555</v>
      </c>
      <c r="B4582" t="s">
        <v>110</v>
      </c>
      <c r="C4582" t="str">
        <f t="shared" si="217"/>
        <v>ffdfd3c0</v>
      </c>
      <c r="D4582" t="s">
        <v>111</v>
      </c>
      <c r="E4582">
        <v>18</v>
      </c>
      <c r="F4582">
        <v>1018</v>
      </c>
      <c r="G4582" t="s">
        <v>112</v>
      </c>
      <c r="J4582" t="s">
        <v>113</v>
      </c>
      <c r="K4582">
        <v>0</v>
      </c>
      <c r="L4582">
        <v>3</v>
      </c>
      <c r="M4582">
        <v>0</v>
      </c>
      <c r="N4582">
        <v>2</v>
      </c>
      <c r="O4582">
        <v>1</v>
      </c>
      <c r="P4582">
        <v>0</v>
      </c>
      <c r="Q4582">
        <v>0</v>
      </c>
      <c r="R4582" t="s">
        <v>114</v>
      </c>
      <c r="S4582" t="str">
        <f>"19:53:40.281"</f>
        <v>19:53:40.281</v>
      </c>
      <c r="T4582" t="str">
        <f>"19:53:40.078"</f>
        <v>19:53:40.078</v>
      </c>
      <c r="U4582" t="str">
        <f t="shared" si="218"/>
        <v>a1cdbe</v>
      </c>
      <c r="V4582">
        <v>0</v>
      </c>
      <c r="W4582">
        <v>0</v>
      </c>
      <c r="X4582">
        <v>2</v>
      </c>
      <c r="Y4582">
        <v>0</v>
      </c>
      <c r="Z4582">
        <v>0</v>
      </c>
      <c r="AB4582">
        <v>0</v>
      </c>
      <c r="AC4582">
        <v>9</v>
      </c>
      <c r="AD4582">
        <v>3</v>
      </c>
      <c r="AE4582">
        <v>0</v>
      </c>
      <c r="AF4582">
        <v>9</v>
      </c>
      <c r="AG4582" t="s">
        <v>1307</v>
      </c>
      <c r="AH4582">
        <v>0</v>
      </c>
      <c r="AI4582">
        <v>3</v>
      </c>
      <c r="AJ4582">
        <v>1</v>
      </c>
      <c r="AK4582">
        <v>0</v>
      </c>
      <c r="AL4582" t="s">
        <v>8207</v>
      </c>
      <c r="AM4582">
        <v>47.072318000000003</v>
      </c>
      <c r="AN4582" t="s">
        <v>8208</v>
      </c>
      <c r="AO4582">
        <v>-124.13332</v>
      </c>
      <c r="AP4582">
        <v>100</v>
      </c>
      <c r="AQ4582">
        <v>900</v>
      </c>
      <c r="AR4582" t="s">
        <v>118</v>
      </c>
      <c r="AS4582">
        <v>-7</v>
      </c>
      <c r="AT4582">
        <v>62</v>
      </c>
      <c r="AU4582">
        <v>-256</v>
      </c>
      <c r="BC4582">
        <v>1200</v>
      </c>
      <c r="BD4582">
        <v>1</v>
      </c>
      <c r="BE4582" t="str">
        <f t="shared" si="219"/>
        <v xml:space="preserve">N215T   </v>
      </c>
      <c r="BF4582">
        <v>1</v>
      </c>
      <c r="BH4582">
        <v>0</v>
      </c>
      <c r="BI4582">
        <v>0</v>
      </c>
      <c r="BJ4582">
        <v>0</v>
      </c>
      <c r="BK4582">
        <v>1275</v>
      </c>
      <c r="BL4582">
        <v>375</v>
      </c>
      <c r="BM4582" t="s">
        <v>119</v>
      </c>
      <c r="BN4582">
        <v>1</v>
      </c>
      <c r="BO4582">
        <v>1</v>
      </c>
      <c r="BP4582">
        <v>1</v>
      </c>
      <c r="BQ4582">
        <v>0</v>
      </c>
      <c r="BT4582">
        <v>0</v>
      </c>
      <c r="BU4582">
        <v>0</v>
      </c>
      <c r="BV4582">
        <v>0</v>
      </c>
      <c r="CC4582" t="str">
        <f>"19:53:40.289"</f>
        <v>19:53:40.289</v>
      </c>
      <c r="CD4582" t="str">
        <f>"287054116"</f>
        <v>287054116</v>
      </c>
      <c r="CQ4582">
        <v>0</v>
      </c>
      <c r="CR4582">
        <v>2</v>
      </c>
      <c r="CS4582">
        <v>0</v>
      </c>
      <c r="CT4582">
        <v>2</v>
      </c>
      <c r="CU4582">
        <v>0</v>
      </c>
      <c r="CV4582">
        <v>5</v>
      </c>
      <c r="CW4582" t="s">
        <v>120</v>
      </c>
      <c r="CX4582">
        <v>257</v>
      </c>
      <c r="CY4582">
        <v>0</v>
      </c>
      <c r="CZ4582" t="s">
        <v>615</v>
      </c>
      <c r="DA4582" t="s">
        <v>616</v>
      </c>
      <c r="DD4582">
        <v>88887</v>
      </c>
      <c r="DE4582" t="s">
        <v>123</v>
      </c>
    </row>
    <row r="4583" spans="1:109" x14ac:dyDescent="0.3">
      <c r="A4583" t="str">
        <f>"19:53:41.516"</f>
        <v>19:53:41.516</v>
      </c>
      <c r="B4583" t="s">
        <v>110</v>
      </c>
      <c r="C4583" t="str">
        <f t="shared" si="217"/>
        <v>ffdfd3c0</v>
      </c>
      <c r="D4583" t="s">
        <v>111</v>
      </c>
      <c r="E4583">
        <v>18</v>
      </c>
      <c r="F4583">
        <v>1018</v>
      </c>
      <c r="G4583" t="s">
        <v>112</v>
      </c>
      <c r="J4583" t="s">
        <v>113</v>
      </c>
      <c r="K4583">
        <v>0</v>
      </c>
      <c r="L4583">
        <v>3</v>
      </c>
      <c r="M4583">
        <v>0</v>
      </c>
      <c r="N4583">
        <v>2</v>
      </c>
      <c r="O4583">
        <v>1</v>
      </c>
      <c r="P4583">
        <v>0</v>
      </c>
      <c r="Q4583">
        <v>0</v>
      </c>
      <c r="R4583" t="s">
        <v>114</v>
      </c>
      <c r="S4583" t="str">
        <f>"19:53:41.273"</f>
        <v>19:53:41.273</v>
      </c>
      <c r="T4583" t="str">
        <f>"19:53:41.070"</f>
        <v>19:53:41.070</v>
      </c>
      <c r="U4583" t="str">
        <f t="shared" si="218"/>
        <v>a1cdbe</v>
      </c>
      <c r="V4583">
        <v>0</v>
      </c>
      <c r="W4583">
        <v>0</v>
      </c>
      <c r="X4583">
        <v>2</v>
      </c>
      <c r="Y4583">
        <v>0</v>
      </c>
      <c r="Z4583">
        <v>0</v>
      </c>
      <c r="AB4583">
        <v>0</v>
      </c>
      <c r="AC4583">
        <v>9</v>
      </c>
      <c r="AD4583">
        <v>3</v>
      </c>
      <c r="AE4583">
        <v>0</v>
      </c>
      <c r="AF4583">
        <v>9</v>
      </c>
      <c r="AG4583" t="s">
        <v>1307</v>
      </c>
      <c r="AH4583">
        <v>0</v>
      </c>
      <c r="AI4583">
        <v>3</v>
      </c>
      <c r="AJ4583">
        <v>1</v>
      </c>
      <c r="AK4583">
        <v>0</v>
      </c>
      <c r="AL4583" t="s">
        <v>8209</v>
      </c>
      <c r="AM4583">
        <v>47.072575000000001</v>
      </c>
      <c r="AN4583" t="s">
        <v>8210</v>
      </c>
      <c r="AO4583">
        <v>-124.133363</v>
      </c>
      <c r="AP4583">
        <v>100</v>
      </c>
      <c r="AQ4583">
        <v>900</v>
      </c>
      <c r="AR4583" t="s">
        <v>118</v>
      </c>
      <c r="AS4583">
        <v>-4</v>
      </c>
      <c r="AT4583">
        <v>63</v>
      </c>
      <c r="AU4583">
        <v>-320</v>
      </c>
      <c r="BC4583">
        <v>1200</v>
      </c>
      <c r="BD4583">
        <v>1</v>
      </c>
      <c r="BE4583" t="str">
        <f t="shared" si="219"/>
        <v xml:space="preserve">N215T   </v>
      </c>
      <c r="BF4583">
        <v>1</v>
      </c>
      <c r="BH4583">
        <v>0</v>
      </c>
      <c r="BI4583">
        <v>0</v>
      </c>
      <c r="BJ4583">
        <v>0</v>
      </c>
      <c r="BK4583">
        <v>1275</v>
      </c>
      <c r="BL4583">
        <v>375</v>
      </c>
      <c r="BM4583" t="s">
        <v>119</v>
      </c>
      <c r="BN4583">
        <v>1</v>
      </c>
      <c r="BO4583">
        <v>1</v>
      </c>
      <c r="BP4583">
        <v>1</v>
      </c>
      <c r="BQ4583">
        <v>0</v>
      </c>
      <c r="BT4583">
        <v>0</v>
      </c>
      <c r="BU4583">
        <v>0</v>
      </c>
      <c r="BV4583">
        <v>0</v>
      </c>
      <c r="CC4583" t="str">
        <f>"19:53:41.273"</f>
        <v>19:53:41.273</v>
      </c>
      <c r="CD4583" t="str">
        <f>"276956666"</f>
        <v>276956666</v>
      </c>
      <c r="CQ4583">
        <v>0</v>
      </c>
      <c r="CR4583">
        <v>2</v>
      </c>
      <c r="CS4583">
        <v>0</v>
      </c>
      <c r="CT4583">
        <v>2</v>
      </c>
      <c r="CU4583">
        <v>0</v>
      </c>
      <c r="CV4583">
        <v>3</v>
      </c>
      <c r="CW4583" t="s">
        <v>120</v>
      </c>
      <c r="CX4583">
        <v>257</v>
      </c>
      <c r="CY4583">
        <v>0</v>
      </c>
      <c r="CZ4583" t="s">
        <v>615</v>
      </c>
      <c r="DA4583" t="s">
        <v>616</v>
      </c>
      <c r="DD4583">
        <v>89220</v>
      </c>
      <c r="DE4583" t="s">
        <v>123</v>
      </c>
    </row>
    <row r="4584" spans="1:109" x14ac:dyDescent="0.3">
      <c r="A4584" t="str">
        <f>"19:53:42.617"</f>
        <v>19:53:42.617</v>
      </c>
      <c r="B4584" t="s">
        <v>110</v>
      </c>
      <c r="C4584" t="str">
        <f t="shared" ref="C4584:C4647" si="220">"ffdfd3c0"</f>
        <v>ffdfd3c0</v>
      </c>
      <c r="D4584" t="s">
        <v>111</v>
      </c>
      <c r="E4584">
        <v>18</v>
      </c>
      <c r="F4584">
        <v>1018</v>
      </c>
      <c r="G4584" t="s">
        <v>112</v>
      </c>
      <c r="J4584" t="s">
        <v>113</v>
      </c>
      <c r="K4584">
        <v>0</v>
      </c>
      <c r="L4584">
        <v>3</v>
      </c>
      <c r="M4584">
        <v>0</v>
      </c>
      <c r="N4584">
        <v>2</v>
      </c>
      <c r="O4584">
        <v>1</v>
      </c>
      <c r="P4584">
        <v>0</v>
      </c>
      <c r="Q4584">
        <v>0</v>
      </c>
      <c r="R4584" t="s">
        <v>114</v>
      </c>
      <c r="S4584" t="str">
        <f>"19:53:42.367"</f>
        <v>19:53:42.367</v>
      </c>
      <c r="T4584" t="str">
        <f>"19:53:42.070"</f>
        <v>19:53:42.070</v>
      </c>
      <c r="U4584" t="str">
        <f t="shared" si="218"/>
        <v>a1cdbe</v>
      </c>
      <c r="V4584">
        <v>0</v>
      </c>
      <c r="W4584">
        <v>0</v>
      </c>
      <c r="X4584">
        <v>2</v>
      </c>
      <c r="Y4584">
        <v>0</v>
      </c>
      <c r="Z4584">
        <v>0</v>
      </c>
      <c r="AB4584">
        <v>0</v>
      </c>
      <c r="AC4584">
        <v>9</v>
      </c>
      <c r="AD4584">
        <v>3</v>
      </c>
      <c r="AE4584">
        <v>0</v>
      </c>
      <c r="AF4584">
        <v>9</v>
      </c>
      <c r="AG4584" t="s">
        <v>1307</v>
      </c>
      <c r="AH4584">
        <v>0</v>
      </c>
      <c r="AI4584">
        <v>3</v>
      </c>
      <c r="AJ4584">
        <v>1</v>
      </c>
      <c r="AK4584">
        <v>0</v>
      </c>
      <c r="AL4584" t="s">
        <v>8211</v>
      </c>
      <c r="AM4584">
        <v>47.072896999999998</v>
      </c>
      <c r="AN4584" t="s">
        <v>8210</v>
      </c>
      <c r="AO4584">
        <v>-124.133363</v>
      </c>
      <c r="AP4584">
        <v>100</v>
      </c>
      <c r="AQ4584">
        <v>900</v>
      </c>
      <c r="AR4584" t="s">
        <v>118</v>
      </c>
      <c r="AS4584">
        <v>-1</v>
      </c>
      <c r="AT4584">
        <v>63</v>
      </c>
      <c r="AU4584">
        <v>-384</v>
      </c>
      <c r="BC4584">
        <v>1200</v>
      </c>
      <c r="BD4584">
        <v>1</v>
      </c>
      <c r="BE4584" t="str">
        <f t="shared" si="219"/>
        <v xml:space="preserve">N215T   </v>
      </c>
      <c r="BF4584">
        <v>1</v>
      </c>
      <c r="BH4584">
        <v>0</v>
      </c>
      <c r="BI4584">
        <v>0</v>
      </c>
      <c r="BJ4584">
        <v>0</v>
      </c>
      <c r="BK4584">
        <v>1250</v>
      </c>
      <c r="BL4584">
        <v>350</v>
      </c>
      <c r="BM4584" t="s">
        <v>119</v>
      </c>
      <c r="BN4584">
        <v>1</v>
      </c>
      <c r="BO4584">
        <v>1</v>
      </c>
      <c r="BP4584">
        <v>1</v>
      </c>
      <c r="BQ4584">
        <v>0</v>
      </c>
      <c r="BT4584">
        <v>0</v>
      </c>
      <c r="BU4584">
        <v>0</v>
      </c>
      <c r="BV4584">
        <v>0</v>
      </c>
      <c r="CC4584" t="str">
        <f>"19:53:42.375"</f>
        <v>19:53:42.375</v>
      </c>
      <c r="CD4584" t="str">
        <f>"371848864"</f>
        <v>371848864</v>
      </c>
      <c r="CQ4584">
        <v>0</v>
      </c>
      <c r="CR4584">
        <v>2</v>
      </c>
      <c r="CS4584">
        <v>0</v>
      </c>
      <c r="CT4584">
        <v>2</v>
      </c>
      <c r="CU4584">
        <v>0</v>
      </c>
      <c r="CV4584">
        <v>3</v>
      </c>
      <c r="CW4584" t="s">
        <v>120</v>
      </c>
      <c r="CX4584">
        <v>257</v>
      </c>
      <c r="CY4584">
        <v>0</v>
      </c>
      <c r="CZ4584" t="s">
        <v>615</v>
      </c>
      <c r="DA4584" t="s">
        <v>616</v>
      </c>
      <c r="DD4584">
        <v>89597</v>
      </c>
      <c r="DE4584" t="s">
        <v>123</v>
      </c>
    </row>
    <row r="4585" spans="1:109" x14ac:dyDescent="0.3">
      <c r="A4585" t="str">
        <f>"19:53:43.672"</f>
        <v>19:53:43.672</v>
      </c>
      <c r="B4585" t="s">
        <v>110</v>
      </c>
      <c r="C4585" t="str">
        <f t="shared" si="220"/>
        <v>ffdfd3c0</v>
      </c>
      <c r="D4585" t="s">
        <v>111</v>
      </c>
      <c r="E4585">
        <v>18</v>
      </c>
      <c r="F4585">
        <v>1018</v>
      </c>
      <c r="G4585" t="s">
        <v>112</v>
      </c>
      <c r="J4585" t="s">
        <v>113</v>
      </c>
      <c r="K4585">
        <v>0</v>
      </c>
      <c r="L4585">
        <v>3</v>
      </c>
      <c r="M4585">
        <v>0</v>
      </c>
      <c r="N4585">
        <v>2</v>
      </c>
      <c r="O4585">
        <v>1</v>
      </c>
      <c r="P4585">
        <v>0</v>
      </c>
      <c r="Q4585">
        <v>0</v>
      </c>
      <c r="R4585" t="s">
        <v>114</v>
      </c>
      <c r="S4585" t="str">
        <f>"19:53:43.461"</f>
        <v>19:53:43.461</v>
      </c>
      <c r="T4585" t="str">
        <f>"19:53:42.461"</f>
        <v>19:53:42.461</v>
      </c>
      <c r="U4585" t="str">
        <f t="shared" si="218"/>
        <v>a1cdbe</v>
      </c>
      <c r="V4585">
        <v>0</v>
      </c>
      <c r="W4585">
        <v>0</v>
      </c>
      <c r="X4585">
        <v>2</v>
      </c>
      <c r="Y4585">
        <v>0</v>
      </c>
      <c r="Z4585">
        <v>0</v>
      </c>
      <c r="AB4585">
        <v>0</v>
      </c>
      <c r="AC4585">
        <v>9</v>
      </c>
      <c r="AD4585">
        <v>3</v>
      </c>
      <c r="AE4585">
        <v>0</v>
      </c>
      <c r="AF4585">
        <v>9</v>
      </c>
      <c r="AG4585" t="s">
        <v>1307</v>
      </c>
      <c r="AH4585">
        <v>0</v>
      </c>
      <c r="AI4585">
        <v>3</v>
      </c>
      <c r="AJ4585">
        <v>1</v>
      </c>
      <c r="AK4585">
        <v>0</v>
      </c>
      <c r="AL4585" t="s">
        <v>8212</v>
      </c>
      <c r="AM4585">
        <v>47.073197</v>
      </c>
      <c r="AN4585" t="s">
        <v>8208</v>
      </c>
      <c r="AO4585">
        <v>-124.13332</v>
      </c>
      <c r="AP4585">
        <v>100</v>
      </c>
      <c r="AQ4585">
        <v>900</v>
      </c>
      <c r="AR4585" t="s">
        <v>118</v>
      </c>
      <c r="AS4585">
        <v>0</v>
      </c>
      <c r="AT4585">
        <v>62</v>
      </c>
      <c r="AU4585">
        <v>-448</v>
      </c>
      <c r="BC4585">
        <v>1200</v>
      </c>
      <c r="BD4585">
        <v>1</v>
      </c>
      <c r="BE4585" t="str">
        <f t="shared" si="219"/>
        <v xml:space="preserve">N215T   </v>
      </c>
      <c r="BF4585">
        <v>1</v>
      </c>
      <c r="BH4585">
        <v>0</v>
      </c>
      <c r="BI4585">
        <v>0</v>
      </c>
      <c r="BJ4585">
        <v>0</v>
      </c>
      <c r="BK4585">
        <v>1250</v>
      </c>
      <c r="BL4585">
        <v>350</v>
      </c>
      <c r="BM4585" t="s">
        <v>119</v>
      </c>
      <c r="BN4585">
        <v>1</v>
      </c>
      <c r="BO4585">
        <v>1</v>
      </c>
      <c r="BP4585">
        <v>1</v>
      </c>
      <c r="BQ4585">
        <v>0</v>
      </c>
      <c r="BT4585">
        <v>0</v>
      </c>
      <c r="BU4585">
        <v>0</v>
      </c>
      <c r="BV4585">
        <v>0</v>
      </c>
      <c r="CC4585" t="str">
        <f>"19:53:43.469"</f>
        <v>19:53:43.469</v>
      </c>
      <c r="CD4585" t="str">
        <f>"466741105"</f>
        <v>466741105</v>
      </c>
      <c r="CQ4585">
        <v>0</v>
      </c>
      <c r="CR4585">
        <v>2</v>
      </c>
      <c r="CS4585">
        <v>0</v>
      </c>
      <c r="CT4585">
        <v>2</v>
      </c>
      <c r="CU4585">
        <v>0</v>
      </c>
      <c r="CV4585">
        <v>2</v>
      </c>
      <c r="CW4585" t="s">
        <v>120</v>
      </c>
      <c r="CX4585">
        <v>257</v>
      </c>
      <c r="CY4585">
        <v>0</v>
      </c>
      <c r="CZ4585" t="s">
        <v>615</v>
      </c>
      <c r="DA4585" t="s">
        <v>616</v>
      </c>
      <c r="DD4585">
        <v>89935</v>
      </c>
      <c r="DE4585" t="s">
        <v>123</v>
      </c>
    </row>
    <row r="4586" spans="1:109" x14ac:dyDescent="0.3">
      <c r="A4586" t="str">
        <f>"19:53:44.727"</f>
        <v>19:53:44.727</v>
      </c>
      <c r="B4586" t="s">
        <v>110</v>
      </c>
      <c r="C4586" t="str">
        <f t="shared" si="220"/>
        <v>ffdfd3c0</v>
      </c>
      <c r="D4586" t="s">
        <v>111</v>
      </c>
      <c r="E4586">
        <v>18</v>
      </c>
      <c r="F4586">
        <v>1018</v>
      </c>
      <c r="G4586" t="s">
        <v>112</v>
      </c>
      <c r="J4586" t="s">
        <v>113</v>
      </c>
      <c r="K4586">
        <v>0</v>
      </c>
      <c r="L4586">
        <v>3</v>
      </c>
      <c r="M4586">
        <v>0</v>
      </c>
      <c r="N4586">
        <v>2</v>
      </c>
      <c r="O4586">
        <v>1</v>
      </c>
      <c r="P4586">
        <v>0</v>
      </c>
      <c r="Q4586">
        <v>0</v>
      </c>
      <c r="R4586" t="s">
        <v>114</v>
      </c>
      <c r="S4586" t="str">
        <f>"19:53:44.438"</f>
        <v>19:53:44.438</v>
      </c>
      <c r="T4586" t="str">
        <f>"19:53:44.039"</f>
        <v>19:53:44.039</v>
      </c>
      <c r="U4586" t="str">
        <f t="shared" si="218"/>
        <v>a1cdbe</v>
      </c>
      <c r="V4586">
        <v>0</v>
      </c>
      <c r="W4586">
        <v>0</v>
      </c>
      <c r="X4586">
        <v>2</v>
      </c>
      <c r="Y4586">
        <v>0</v>
      </c>
      <c r="Z4586">
        <v>0</v>
      </c>
      <c r="AB4586">
        <v>0</v>
      </c>
      <c r="AC4586">
        <v>9</v>
      </c>
      <c r="AD4586">
        <v>3</v>
      </c>
      <c r="AE4586">
        <v>0</v>
      </c>
      <c r="AF4586">
        <v>9</v>
      </c>
      <c r="AG4586" t="s">
        <v>1307</v>
      </c>
      <c r="AH4586">
        <v>0</v>
      </c>
      <c r="AI4586">
        <v>3</v>
      </c>
      <c r="AJ4586">
        <v>1</v>
      </c>
      <c r="AK4586">
        <v>0</v>
      </c>
      <c r="AL4586" t="s">
        <v>8213</v>
      </c>
      <c r="AM4586">
        <v>47.073475999999999</v>
      </c>
      <c r="AN4586" t="s">
        <v>8214</v>
      </c>
      <c r="AO4586">
        <v>-124.13327700000001</v>
      </c>
      <c r="AP4586">
        <v>100</v>
      </c>
      <c r="AQ4586">
        <v>900</v>
      </c>
      <c r="AR4586" t="s">
        <v>118</v>
      </c>
      <c r="AS4586">
        <v>6</v>
      </c>
      <c r="AT4586">
        <v>62</v>
      </c>
      <c r="AU4586">
        <v>-320</v>
      </c>
      <c r="BC4586">
        <v>1200</v>
      </c>
      <c r="BD4586">
        <v>1</v>
      </c>
      <c r="BE4586" t="str">
        <f t="shared" si="219"/>
        <v xml:space="preserve">N215T   </v>
      </c>
      <c r="BF4586">
        <v>1</v>
      </c>
      <c r="BH4586">
        <v>0</v>
      </c>
      <c r="BI4586">
        <v>0</v>
      </c>
      <c r="BJ4586">
        <v>0</v>
      </c>
      <c r="BK4586">
        <v>1250</v>
      </c>
      <c r="BL4586">
        <v>350</v>
      </c>
      <c r="BM4586" t="s">
        <v>119</v>
      </c>
      <c r="BN4586">
        <v>1</v>
      </c>
      <c r="BO4586">
        <v>1</v>
      </c>
      <c r="BP4586">
        <v>1</v>
      </c>
      <c r="BQ4586">
        <v>0</v>
      </c>
      <c r="BT4586">
        <v>0</v>
      </c>
      <c r="BU4586">
        <v>0</v>
      </c>
      <c r="BV4586">
        <v>0</v>
      </c>
      <c r="CC4586" t="str">
        <f>"19:53:44.445"</f>
        <v>19:53:44.445</v>
      </c>
      <c r="CD4586" t="str">
        <f>"441645069"</f>
        <v>441645069</v>
      </c>
      <c r="CQ4586">
        <v>0</v>
      </c>
      <c r="CR4586">
        <v>2</v>
      </c>
      <c r="CS4586">
        <v>0</v>
      </c>
      <c r="CT4586">
        <v>2</v>
      </c>
      <c r="CU4586">
        <v>0</v>
      </c>
      <c r="CV4586">
        <v>5</v>
      </c>
      <c r="CW4586" t="s">
        <v>120</v>
      </c>
      <c r="CX4586">
        <v>257</v>
      </c>
      <c r="CY4586">
        <v>0</v>
      </c>
      <c r="CZ4586" t="s">
        <v>615</v>
      </c>
      <c r="DA4586" t="s">
        <v>616</v>
      </c>
      <c r="DD4586">
        <v>90249</v>
      </c>
      <c r="DE4586" t="s">
        <v>123</v>
      </c>
    </row>
    <row r="4587" spans="1:109" x14ac:dyDescent="0.3">
      <c r="A4587" t="str">
        <f>"19:53:45.688"</f>
        <v>19:53:45.688</v>
      </c>
      <c r="B4587" t="s">
        <v>110</v>
      </c>
      <c r="C4587" t="str">
        <f t="shared" si="220"/>
        <v>ffdfd3c0</v>
      </c>
      <c r="D4587" t="s">
        <v>111</v>
      </c>
      <c r="E4587">
        <v>18</v>
      </c>
      <c r="F4587">
        <v>1018</v>
      </c>
      <c r="G4587" t="s">
        <v>112</v>
      </c>
      <c r="J4587" t="s">
        <v>113</v>
      </c>
      <c r="K4587">
        <v>0</v>
      </c>
      <c r="L4587">
        <v>3</v>
      </c>
      <c r="M4587">
        <v>0</v>
      </c>
      <c r="N4587">
        <v>2</v>
      </c>
      <c r="O4587">
        <v>1</v>
      </c>
      <c r="P4587">
        <v>0</v>
      </c>
      <c r="Q4587">
        <v>0</v>
      </c>
      <c r="R4587" t="s">
        <v>114</v>
      </c>
      <c r="S4587" t="str">
        <f>"19:53:45.469"</f>
        <v>19:53:45.469</v>
      </c>
      <c r="T4587" t="str">
        <f>"19:53:44.570"</f>
        <v>19:53:44.570</v>
      </c>
      <c r="U4587" t="str">
        <f t="shared" si="218"/>
        <v>a1cdbe</v>
      </c>
      <c r="V4587">
        <v>0</v>
      </c>
      <c r="W4587">
        <v>0</v>
      </c>
      <c r="X4587">
        <v>2</v>
      </c>
      <c r="Y4587">
        <v>0</v>
      </c>
      <c r="Z4587">
        <v>0</v>
      </c>
      <c r="AB4587">
        <v>0</v>
      </c>
      <c r="AC4587">
        <v>9</v>
      </c>
      <c r="AD4587">
        <v>3</v>
      </c>
      <c r="AE4587">
        <v>0</v>
      </c>
      <c r="AF4587">
        <v>9</v>
      </c>
      <c r="AG4587" t="s">
        <v>1307</v>
      </c>
      <c r="AH4587">
        <v>0</v>
      </c>
      <c r="AI4587">
        <v>3</v>
      </c>
      <c r="AJ4587">
        <v>1</v>
      </c>
      <c r="AK4587">
        <v>0</v>
      </c>
      <c r="AL4587" t="s">
        <v>8215</v>
      </c>
      <c r="AM4587">
        <v>47.073754999999998</v>
      </c>
      <c r="AN4587" t="s">
        <v>8216</v>
      </c>
      <c r="AO4587">
        <v>-124.133191</v>
      </c>
      <c r="AP4587">
        <v>100</v>
      </c>
      <c r="AQ4587">
        <v>900</v>
      </c>
      <c r="AR4587" t="s">
        <v>118</v>
      </c>
      <c r="AS4587">
        <v>8</v>
      </c>
      <c r="AT4587">
        <v>61</v>
      </c>
      <c r="AU4587">
        <v>-192</v>
      </c>
      <c r="BC4587">
        <v>1200</v>
      </c>
      <c r="BD4587">
        <v>1</v>
      </c>
      <c r="BE4587" t="str">
        <f t="shared" si="219"/>
        <v xml:space="preserve">N215T   </v>
      </c>
      <c r="BF4587">
        <v>1</v>
      </c>
      <c r="BH4587">
        <v>0</v>
      </c>
      <c r="BI4587">
        <v>0</v>
      </c>
      <c r="BJ4587">
        <v>0</v>
      </c>
      <c r="BK4587">
        <v>1250</v>
      </c>
      <c r="BL4587">
        <v>350</v>
      </c>
      <c r="BM4587" t="s">
        <v>119</v>
      </c>
      <c r="BN4587">
        <v>1</v>
      </c>
      <c r="BO4587">
        <v>1</v>
      </c>
      <c r="BP4587">
        <v>1</v>
      </c>
      <c r="BQ4587">
        <v>0</v>
      </c>
      <c r="BT4587">
        <v>0</v>
      </c>
      <c r="BU4587">
        <v>0</v>
      </c>
      <c r="BV4587">
        <v>0</v>
      </c>
      <c r="CC4587" t="str">
        <f>"19:53:45.477"</f>
        <v>19:53:45.477</v>
      </c>
      <c r="CD4587" t="str">
        <f>"476543150"</f>
        <v>476543150</v>
      </c>
      <c r="CQ4587">
        <v>0</v>
      </c>
      <c r="CR4587">
        <v>2</v>
      </c>
      <c r="CS4587">
        <v>0</v>
      </c>
      <c r="CT4587">
        <v>2</v>
      </c>
      <c r="CU4587">
        <v>0</v>
      </c>
      <c r="CV4587">
        <v>5</v>
      </c>
      <c r="CW4587" t="s">
        <v>120</v>
      </c>
      <c r="CX4587">
        <v>257</v>
      </c>
      <c r="CY4587">
        <v>0</v>
      </c>
      <c r="CZ4587" t="s">
        <v>615</v>
      </c>
      <c r="DA4587" t="s">
        <v>616</v>
      </c>
      <c r="DD4587">
        <v>90575</v>
      </c>
      <c r="DE4587" t="s">
        <v>123</v>
      </c>
    </row>
    <row r="4588" spans="1:109" x14ac:dyDescent="0.3">
      <c r="A4588" t="str">
        <f>"19:53:46.789"</f>
        <v>19:53:46.789</v>
      </c>
      <c r="B4588" t="s">
        <v>110</v>
      </c>
      <c r="C4588" t="str">
        <f t="shared" si="220"/>
        <v>ffdfd3c0</v>
      </c>
      <c r="D4588" t="s">
        <v>111</v>
      </c>
      <c r="E4588">
        <v>18</v>
      </c>
      <c r="F4588">
        <v>1018</v>
      </c>
      <c r="G4588" t="s">
        <v>112</v>
      </c>
      <c r="J4588" t="s">
        <v>113</v>
      </c>
      <c r="K4588">
        <v>0</v>
      </c>
      <c r="L4588">
        <v>3</v>
      </c>
      <c r="M4588">
        <v>0</v>
      </c>
      <c r="N4588">
        <v>2</v>
      </c>
      <c r="O4588">
        <v>1</v>
      </c>
      <c r="P4588">
        <v>0</v>
      </c>
      <c r="Q4588">
        <v>0</v>
      </c>
      <c r="R4588" t="s">
        <v>114</v>
      </c>
      <c r="S4588" t="str">
        <f>"19:53:46.539"</f>
        <v>19:53:46.539</v>
      </c>
      <c r="T4588" t="str">
        <f>"19:53:46.141"</f>
        <v>19:53:46.141</v>
      </c>
      <c r="U4588" t="str">
        <f t="shared" si="218"/>
        <v>a1cdbe</v>
      </c>
      <c r="V4588">
        <v>0</v>
      </c>
      <c r="W4588">
        <v>0</v>
      </c>
      <c r="X4588">
        <v>2</v>
      </c>
      <c r="Y4588">
        <v>0</v>
      </c>
      <c r="Z4588">
        <v>0</v>
      </c>
      <c r="AB4588">
        <v>0</v>
      </c>
      <c r="AC4588">
        <v>9</v>
      </c>
      <c r="AD4588">
        <v>3</v>
      </c>
      <c r="AE4588">
        <v>0</v>
      </c>
      <c r="AF4588">
        <v>9</v>
      </c>
      <c r="AG4588" t="s">
        <v>1307</v>
      </c>
      <c r="AH4588">
        <v>0</v>
      </c>
      <c r="AI4588">
        <v>3</v>
      </c>
      <c r="AJ4588">
        <v>1</v>
      </c>
      <c r="AK4588">
        <v>0</v>
      </c>
      <c r="AL4588" t="s">
        <v>8217</v>
      </c>
      <c r="AM4588">
        <v>47.074077000000003</v>
      </c>
      <c r="AN4588" t="s">
        <v>8218</v>
      </c>
      <c r="AO4588">
        <v>-124.133084</v>
      </c>
      <c r="AP4588">
        <v>100</v>
      </c>
      <c r="AQ4588">
        <v>900</v>
      </c>
      <c r="AR4588" t="s">
        <v>118</v>
      </c>
      <c r="AS4588">
        <v>14</v>
      </c>
      <c r="AT4588">
        <v>58</v>
      </c>
      <c r="AU4588">
        <v>-64</v>
      </c>
      <c r="BC4588">
        <v>1200</v>
      </c>
      <c r="BD4588">
        <v>1</v>
      </c>
      <c r="BE4588" t="str">
        <f t="shared" si="219"/>
        <v xml:space="preserve">N215T   </v>
      </c>
      <c r="BF4588">
        <v>1</v>
      </c>
      <c r="BH4588">
        <v>0</v>
      </c>
      <c r="BI4588">
        <v>0</v>
      </c>
      <c r="BJ4588">
        <v>0</v>
      </c>
      <c r="BK4588">
        <v>1250</v>
      </c>
      <c r="BL4588">
        <v>350</v>
      </c>
      <c r="BM4588" t="s">
        <v>119</v>
      </c>
      <c r="BN4588">
        <v>1</v>
      </c>
      <c r="BO4588">
        <v>1</v>
      </c>
      <c r="BP4588">
        <v>1</v>
      </c>
      <c r="BQ4588">
        <v>0</v>
      </c>
      <c r="BT4588">
        <v>0</v>
      </c>
      <c r="BU4588">
        <v>0</v>
      </c>
      <c r="BV4588">
        <v>0</v>
      </c>
      <c r="CC4588" t="str">
        <f>"19:53:46.539"</f>
        <v>19:53:46.539</v>
      </c>
      <c r="CD4588" t="str">
        <f>"541438300"</f>
        <v>541438300</v>
      </c>
      <c r="CQ4588">
        <v>0</v>
      </c>
      <c r="CR4588">
        <v>2</v>
      </c>
      <c r="CS4588">
        <v>0</v>
      </c>
      <c r="CT4588">
        <v>2</v>
      </c>
      <c r="CU4588">
        <v>0</v>
      </c>
      <c r="CV4588">
        <v>5</v>
      </c>
      <c r="CW4588" t="s">
        <v>120</v>
      </c>
      <c r="CX4588">
        <v>257</v>
      </c>
      <c r="CY4588">
        <v>0</v>
      </c>
      <c r="CZ4588" t="s">
        <v>615</v>
      </c>
      <c r="DA4588" t="s">
        <v>616</v>
      </c>
      <c r="DD4588">
        <v>90910</v>
      </c>
      <c r="DE4588" t="s">
        <v>123</v>
      </c>
    </row>
    <row r="4589" spans="1:109" x14ac:dyDescent="0.3">
      <c r="A4589" t="str">
        <f>"19:53:47.797"</f>
        <v>19:53:47.797</v>
      </c>
      <c r="B4589" t="s">
        <v>110</v>
      </c>
      <c r="C4589" t="str">
        <f t="shared" si="220"/>
        <v>ffdfd3c0</v>
      </c>
      <c r="D4589" t="s">
        <v>111</v>
      </c>
      <c r="E4589">
        <v>18</v>
      </c>
      <c r="F4589">
        <v>1018</v>
      </c>
      <c r="G4589" t="s">
        <v>112</v>
      </c>
      <c r="J4589" t="s">
        <v>113</v>
      </c>
      <c r="K4589">
        <v>0</v>
      </c>
      <c r="L4589">
        <v>3</v>
      </c>
      <c r="M4589">
        <v>0</v>
      </c>
      <c r="N4589">
        <v>2</v>
      </c>
      <c r="O4589">
        <v>1</v>
      </c>
      <c r="P4589">
        <v>0</v>
      </c>
      <c r="Q4589">
        <v>0</v>
      </c>
      <c r="R4589" t="s">
        <v>114</v>
      </c>
      <c r="S4589" t="str">
        <f>"19:53:47.516"</f>
        <v>19:53:47.516</v>
      </c>
      <c r="T4589" t="str">
        <f>"19:53:47.516"</f>
        <v>19:53:47.516</v>
      </c>
      <c r="U4589" t="str">
        <f t="shared" si="218"/>
        <v>a1cdbe</v>
      </c>
      <c r="V4589">
        <v>0</v>
      </c>
      <c r="W4589">
        <v>0</v>
      </c>
      <c r="X4589">
        <v>2</v>
      </c>
      <c r="Y4589">
        <v>0</v>
      </c>
      <c r="Z4589">
        <v>0</v>
      </c>
      <c r="AB4589">
        <v>0</v>
      </c>
      <c r="AC4589">
        <v>9</v>
      </c>
      <c r="AD4589">
        <v>3</v>
      </c>
      <c r="AE4589">
        <v>0</v>
      </c>
      <c r="AF4589">
        <v>9</v>
      </c>
      <c r="AG4589" t="s">
        <v>1307</v>
      </c>
      <c r="AH4589">
        <v>0</v>
      </c>
      <c r="AI4589">
        <v>3</v>
      </c>
      <c r="AJ4589">
        <v>1</v>
      </c>
      <c r="AK4589">
        <v>0</v>
      </c>
      <c r="AL4589" t="s">
        <v>8219</v>
      </c>
      <c r="AM4589">
        <v>47.074312999999997</v>
      </c>
      <c r="AN4589" t="s">
        <v>8200</v>
      </c>
      <c r="AO4589">
        <v>-124.132977</v>
      </c>
      <c r="AP4589">
        <v>100</v>
      </c>
      <c r="AQ4589">
        <v>900</v>
      </c>
      <c r="AR4589" t="s">
        <v>118</v>
      </c>
      <c r="AS4589">
        <v>20</v>
      </c>
      <c r="AT4589">
        <v>55</v>
      </c>
      <c r="AU4589">
        <v>64</v>
      </c>
      <c r="BC4589">
        <v>1200</v>
      </c>
      <c r="BD4589">
        <v>1</v>
      </c>
      <c r="BE4589" t="str">
        <f t="shared" si="219"/>
        <v xml:space="preserve">N215T   </v>
      </c>
      <c r="BF4589">
        <v>1</v>
      </c>
      <c r="BH4589">
        <v>0</v>
      </c>
      <c r="BI4589">
        <v>0</v>
      </c>
      <c r="BJ4589">
        <v>0</v>
      </c>
      <c r="BK4589">
        <v>1250</v>
      </c>
      <c r="BL4589">
        <v>350</v>
      </c>
      <c r="BM4589" t="s">
        <v>119</v>
      </c>
      <c r="BN4589">
        <v>1</v>
      </c>
      <c r="BO4589">
        <v>1</v>
      </c>
      <c r="BP4589">
        <v>1</v>
      </c>
      <c r="BQ4589">
        <v>0</v>
      </c>
      <c r="BT4589">
        <v>0</v>
      </c>
      <c r="BU4589">
        <v>0</v>
      </c>
      <c r="BV4589">
        <v>0</v>
      </c>
      <c r="CC4589" t="str">
        <f>"19:53:47.516"</f>
        <v>19:53:47.516</v>
      </c>
      <c r="CD4589" t="str">
        <f>"516342294"</f>
        <v>516342294</v>
      </c>
      <c r="CQ4589">
        <v>0</v>
      </c>
      <c r="CR4589">
        <v>2</v>
      </c>
      <c r="CS4589">
        <v>0</v>
      </c>
      <c r="CT4589">
        <v>2</v>
      </c>
      <c r="CU4589">
        <v>0</v>
      </c>
      <c r="CV4589">
        <v>5</v>
      </c>
      <c r="CW4589" t="s">
        <v>120</v>
      </c>
      <c r="CX4589">
        <v>257</v>
      </c>
      <c r="CY4589">
        <v>0</v>
      </c>
      <c r="CZ4589" t="s">
        <v>615</v>
      </c>
      <c r="DA4589" t="s">
        <v>616</v>
      </c>
      <c r="DD4589">
        <v>91242</v>
      </c>
      <c r="DE4589" t="s">
        <v>123</v>
      </c>
    </row>
    <row r="4590" spans="1:109" x14ac:dyDescent="0.3">
      <c r="A4590" t="str">
        <f>"19:53:48.750"</f>
        <v>19:53:48.750</v>
      </c>
      <c r="B4590" t="s">
        <v>110</v>
      </c>
      <c r="C4590" t="str">
        <f t="shared" si="220"/>
        <v>ffdfd3c0</v>
      </c>
      <c r="D4590" t="s">
        <v>111</v>
      </c>
      <c r="E4590">
        <v>18</v>
      </c>
      <c r="F4590">
        <v>1018</v>
      </c>
      <c r="G4590" t="s">
        <v>112</v>
      </c>
      <c r="J4590" t="s">
        <v>113</v>
      </c>
      <c r="K4590">
        <v>0</v>
      </c>
      <c r="L4590">
        <v>3</v>
      </c>
      <c r="M4590">
        <v>0</v>
      </c>
      <c r="N4590">
        <v>2</v>
      </c>
      <c r="O4590">
        <v>1</v>
      </c>
      <c r="P4590">
        <v>0</v>
      </c>
      <c r="Q4590">
        <v>0</v>
      </c>
      <c r="R4590" t="s">
        <v>114</v>
      </c>
      <c r="S4590" t="str">
        <f>"19:53:48.516"</f>
        <v>19:53:48.516</v>
      </c>
      <c r="T4590" t="str">
        <f>"19:53:48.516"</f>
        <v>19:53:48.516</v>
      </c>
      <c r="U4590" t="str">
        <f t="shared" si="218"/>
        <v>a1cdbe</v>
      </c>
      <c r="V4590">
        <v>0</v>
      </c>
      <c r="W4590">
        <v>0</v>
      </c>
      <c r="X4590">
        <v>2</v>
      </c>
      <c r="Y4590">
        <v>0</v>
      </c>
      <c r="Z4590">
        <v>0</v>
      </c>
      <c r="AB4590">
        <v>0</v>
      </c>
      <c r="AC4590">
        <v>9</v>
      </c>
      <c r="AD4590">
        <v>3</v>
      </c>
      <c r="AE4590">
        <v>0</v>
      </c>
      <c r="AF4590">
        <v>9</v>
      </c>
      <c r="AG4590" t="s">
        <v>1307</v>
      </c>
      <c r="AH4590">
        <v>0</v>
      </c>
      <c r="AI4590">
        <v>3</v>
      </c>
      <c r="AJ4590">
        <v>1</v>
      </c>
      <c r="AK4590">
        <v>0</v>
      </c>
      <c r="AL4590" t="s">
        <v>8220</v>
      </c>
      <c r="AM4590">
        <v>47.074548999999998</v>
      </c>
      <c r="AN4590" t="s">
        <v>8221</v>
      </c>
      <c r="AO4590">
        <v>-124.132805</v>
      </c>
      <c r="AP4590">
        <v>100</v>
      </c>
      <c r="AQ4590">
        <v>900</v>
      </c>
      <c r="AR4590" t="s">
        <v>118</v>
      </c>
      <c r="AS4590">
        <v>25</v>
      </c>
      <c r="AT4590">
        <v>51</v>
      </c>
      <c r="AU4590">
        <v>64</v>
      </c>
      <c r="BC4590">
        <v>1200</v>
      </c>
      <c r="BD4590">
        <v>1</v>
      </c>
      <c r="BE4590" t="str">
        <f t="shared" si="219"/>
        <v xml:space="preserve">N215T   </v>
      </c>
      <c r="BF4590">
        <v>1</v>
      </c>
      <c r="BH4590">
        <v>0</v>
      </c>
      <c r="BI4590">
        <v>0</v>
      </c>
      <c r="BJ4590">
        <v>0</v>
      </c>
      <c r="BK4590">
        <v>1250</v>
      </c>
      <c r="BL4590">
        <v>350</v>
      </c>
      <c r="BM4590" t="s">
        <v>119</v>
      </c>
      <c r="BN4590">
        <v>1</v>
      </c>
      <c r="BO4590">
        <v>1</v>
      </c>
      <c r="BP4590">
        <v>1</v>
      </c>
      <c r="BQ4590">
        <v>0</v>
      </c>
      <c r="BT4590">
        <v>0</v>
      </c>
      <c r="BU4590">
        <v>0</v>
      </c>
      <c r="BV4590">
        <v>0</v>
      </c>
      <c r="CC4590" t="str">
        <f>"19:53:48.523"</f>
        <v>19:53:48.523</v>
      </c>
      <c r="CD4590" t="str">
        <f>"521243323"</f>
        <v>521243323</v>
      </c>
      <c r="CQ4590">
        <v>0</v>
      </c>
      <c r="CR4590">
        <v>2</v>
      </c>
      <c r="CS4590">
        <v>0</v>
      </c>
      <c r="CT4590">
        <v>2</v>
      </c>
      <c r="CU4590">
        <v>0</v>
      </c>
      <c r="CV4590">
        <v>5</v>
      </c>
      <c r="CW4590" t="s">
        <v>120</v>
      </c>
      <c r="CX4590">
        <v>257</v>
      </c>
      <c r="CY4590">
        <v>0</v>
      </c>
      <c r="CZ4590" t="s">
        <v>615</v>
      </c>
      <c r="DA4590" t="s">
        <v>616</v>
      </c>
      <c r="DD4590">
        <v>91548</v>
      </c>
      <c r="DE4590" t="s">
        <v>123</v>
      </c>
    </row>
    <row r="4591" spans="1:109" x14ac:dyDescent="0.3">
      <c r="A4591" t="str">
        <f>"19:53:49.805"</f>
        <v>19:53:49.805</v>
      </c>
      <c r="B4591" t="s">
        <v>110</v>
      </c>
      <c r="C4591" t="str">
        <f t="shared" si="220"/>
        <v>ffdfd3c0</v>
      </c>
      <c r="D4591" t="s">
        <v>111</v>
      </c>
      <c r="E4591">
        <v>18</v>
      </c>
      <c r="F4591">
        <v>1018</v>
      </c>
      <c r="G4591" t="s">
        <v>112</v>
      </c>
      <c r="J4591" t="s">
        <v>113</v>
      </c>
      <c r="K4591">
        <v>0</v>
      </c>
      <c r="L4591">
        <v>3</v>
      </c>
      <c r="M4591">
        <v>0</v>
      </c>
      <c r="N4591">
        <v>2</v>
      </c>
      <c r="O4591">
        <v>1</v>
      </c>
      <c r="P4591">
        <v>0</v>
      </c>
      <c r="Q4591">
        <v>0</v>
      </c>
      <c r="R4591" t="s">
        <v>114</v>
      </c>
      <c r="S4591" t="str">
        <f>"19:53:49.555"</f>
        <v>19:53:49.555</v>
      </c>
      <c r="T4591" t="str">
        <f>"19:53:49.555"</f>
        <v>19:53:49.555</v>
      </c>
      <c r="U4591" t="str">
        <f t="shared" si="218"/>
        <v>a1cdbe</v>
      </c>
      <c r="V4591">
        <v>0</v>
      </c>
      <c r="W4591">
        <v>0</v>
      </c>
      <c r="X4591">
        <v>2</v>
      </c>
      <c r="Y4591">
        <v>0</v>
      </c>
      <c r="Z4591">
        <v>0</v>
      </c>
      <c r="AB4591">
        <v>0</v>
      </c>
      <c r="AC4591">
        <v>9</v>
      </c>
      <c r="AD4591">
        <v>3</v>
      </c>
      <c r="AE4591">
        <v>0</v>
      </c>
      <c r="AF4591">
        <v>9</v>
      </c>
      <c r="AG4591" t="s">
        <v>1307</v>
      </c>
      <c r="AH4591">
        <v>0</v>
      </c>
      <c r="AI4591">
        <v>3</v>
      </c>
      <c r="AJ4591">
        <v>1</v>
      </c>
      <c r="AK4591">
        <v>0</v>
      </c>
      <c r="AL4591" t="s">
        <v>8222</v>
      </c>
      <c r="AM4591">
        <v>47.074764000000002</v>
      </c>
      <c r="AN4591" t="s">
        <v>8223</v>
      </c>
      <c r="AO4591">
        <v>-124.13258999999999</v>
      </c>
      <c r="AP4591">
        <v>100</v>
      </c>
      <c r="AQ4591">
        <v>900</v>
      </c>
      <c r="AR4591" t="s">
        <v>118</v>
      </c>
      <c r="AS4591">
        <v>29</v>
      </c>
      <c r="AT4591">
        <v>48</v>
      </c>
      <c r="AU4591">
        <v>64</v>
      </c>
      <c r="BC4591">
        <v>1200</v>
      </c>
      <c r="BD4591">
        <v>1</v>
      </c>
      <c r="BE4591" t="str">
        <f t="shared" si="219"/>
        <v xml:space="preserve">N215T   </v>
      </c>
      <c r="BF4591">
        <v>1</v>
      </c>
      <c r="BH4591">
        <v>0</v>
      </c>
      <c r="BI4591">
        <v>0</v>
      </c>
      <c r="BJ4591">
        <v>0</v>
      </c>
      <c r="BK4591">
        <v>1250</v>
      </c>
      <c r="BL4591">
        <v>350</v>
      </c>
      <c r="BM4591" t="s">
        <v>119</v>
      </c>
      <c r="BN4591">
        <v>1</v>
      </c>
      <c r="BO4591">
        <v>1</v>
      </c>
      <c r="BP4591">
        <v>1</v>
      </c>
      <c r="BQ4591">
        <v>0</v>
      </c>
      <c r="BT4591">
        <v>0</v>
      </c>
      <c r="BU4591">
        <v>0</v>
      </c>
      <c r="BV4591">
        <v>0</v>
      </c>
      <c r="CC4591" t="str">
        <f>"19:53:49.555"</f>
        <v>19:53:49.555</v>
      </c>
      <c r="CD4591" t="str">
        <f>"556141375"</f>
        <v>556141375</v>
      </c>
      <c r="CQ4591">
        <v>0</v>
      </c>
      <c r="CR4591">
        <v>2</v>
      </c>
      <c r="CS4591">
        <v>0</v>
      </c>
      <c r="CT4591">
        <v>2</v>
      </c>
      <c r="CU4591">
        <v>0</v>
      </c>
      <c r="CV4591">
        <v>5</v>
      </c>
      <c r="CW4591" t="s">
        <v>120</v>
      </c>
      <c r="CX4591">
        <v>257</v>
      </c>
      <c r="CY4591">
        <v>0</v>
      </c>
      <c r="CZ4591" t="s">
        <v>615</v>
      </c>
      <c r="DA4591" t="s">
        <v>616</v>
      </c>
      <c r="DD4591">
        <v>91900</v>
      </c>
      <c r="DE4591" t="s">
        <v>123</v>
      </c>
    </row>
    <row r="4592" spans="1:109" x14ac:dyDescent="0.3">
      <c r="A4592" t="str">
        <f>"19:53:50.766"</f>
        <v>19:53:50.766</v>
      </c>
      <c r="B4592" t="s">
        <v>110</v>
      </c>
      <c r="C4592" t="str">
        <f t="shared" si="220"/>
        <v>ffdfd3c0</v>
      </c>
      <c r="D4592" t="s">
        <v>111</v>
      </c>
      <c r="E4592">
        <v>18</v>
      </c>
      <c r="F4592">
        <v>1018</v>
      </c>
      <c r="G4592" t="s">
        <v>112</v>
      </c>
      <c r="J4592" t="s">
        <v>113</v>
      </c>
      <c r="K4592">
        <v>0</v>
      </c>
      <c r="L4592">
        <v>3</v>
      </c>
      <c r="M4592">
        <v>0</v>
      </c>
      <c r="N4592">
        <v>2</v>
      </c>
      <c r="O4592">
        <v>1</v>
      </c>
      <c r="P4592">
        <v>0</v>
      </c>
      <c r="Q4592">
        <v>0</v>
      </c>
      <c r="R4592" t="s">
        <v>114</v>
      </c>
      <c r="S4592" t="str">
        <f>"19:53:50.516"</f>
        <v>19:53:50.516</v>
      </c>
      <c r="T4592" t="str">
        <f>"19:53:50.414"</f>
        <v>19:53:50.414</v>
      </c>
      <c r="U4592" t="str">
        <f t="shared" si="218"/>
        <v>a1cdbe</v>
      </c>
      <c r="V4592">
        <v>0</v>
      </c>
      <c r="W4592">
        <v>0</v>
      </c>
      <c r="X4592">
        <v>2</v>
      </c>
      <c r="Y4592">
        <v>0</v>
      </c>
      <c r="Z4592">
        <v>0</v>
      </c>
      <c r="AB4592">
        <v>0</v>
      </c>
      <c r="AC4592">
        <v>9</v>
      </c>
      <c r="AD4592">
        <v>3</v>
      </c>
      <c r="AE4592">
        <v>0</v>
      </c>
      <c r="AF4592">
        <v>9</v>
      </c>
      <c r="AG4592" t="s">
        <v>1307</v>
      </c>
      <c r="AH4592">
        <v>0</v>
      </c>
      <c r="AI4592">
        <v>3</v>
      </c>
      <c r="AJ4592">
        <v>1</v>
      </c>
      <c r="AK4592">
        <v>0</v>
      </c>
      <c r="AL4592" t="s">
        <v>8224</v>
      </c>
      <c r="AM4592">
        <v>47.075000000000003</v>
      </c>
      <c r="AN4592" t="s">
        <v>8225</v>
      </c>
      <c r="AO4592">
        <v>-124.132397</v>
      </c>
      <c r="AP4592">
        <v>100</v>
      </c>
      <c r="AQ4592">
        <v>900</v>
      </c>
      <c r="AR4592" t="s">
        <v>118</v>
      </c>
      <c r="AS4592">
        <v>32</v>
      </c>
      <c r="AT4592">
        <v>44</v>
      </c>
      <c r="AU4592">
        <v>64</v>
      </c>
      <c r="BC4592">
        <v>1200</v>
      </c>
      <c r="BD4592">
        <v>1</v>
      </c>
      <c r="BE4592" t="str">
        <f t="shared" si="219"/>
        <v xml:space="preserve">N215T   </v>
      </c>
      <c r="BF4592">
        <v>1</v>
      </c>
      <c r="BH4592">
        <v>0</v>
      </c>
      <c r="BI4592">
        <v>0</v>
      </c>
      <c r="BJ4592">
        <v>0</v>
      </c>
      <c r="BK4592">
        <v>1250</v>
      </c>
      <c r="BL4592">
        <v>350</v>
      </c>
      <c r="BM4592" t="s">
        <v>119</v>
      </c>
      <c r="BN4592">
        <v>1</v>
      </c>
      <c r="BO4592">
        <v>1</v>
      </c>
      <c r="BP4592">
        <v>1</v>
      </c>
      <c r="BQ4592">
        <v>0</v>
      </c>
      <c r="BT4592">
        <v>0</v>
      </c>
      <c r="BU4592">
        <v>0</v>
      </c>
      <c r="BV4592">
        <v>0</v>
      </c>
      <c r="CC4592" t="str">
        <f>"19:53:50.516"</f>
        <v>19:53:50.516</v>
      </c>
      <c r="CD4592" t="str">
        <f>"516046817"</f>
        <v>516046817</v>
      </c>
      <c r="CQ4592">
        <v>0</v>
      </c>
      <c r="CR4592">
        <v>2</v>
      </c>
      <c r="CS4592">
        <v>0</v>
      </c>
      <c r="CT4592">
        <v>2</v>
      </c>
      <c r="CU4592">
        <v>0</v>
      </c>
      <c r="CV4592">
        <v>3</v>
      </c>
      <c r="CW4592" t="s">
        <v>120</v>
      </c>
      <c r="CX4592">
        <v>257</v>
      </c>
      <c r="CY4592">
        <v>0</v>
      </c>
      <c r="CZ4592" t="s">
        <v>615</v>
      </c>
      <c r="DA4592" t="s">
        <v>616</v>
      </c>
      <c r="DD4592">
        <v>92201</v>
      </c>
      <c r="DE4592" t="s">
        <v>123</v>
      </c>
    </row>
    <row r="4593" spans="1:109" x14ac:dyDescent="0.3">
      <c r="A4593" t="str">
        <f>"19:53:51.820"</f>
        <v>19:53:51.820</v>
      </c>
      <c r="B4593" t="s">
        <v>110</v>
      </c>
      <c r="C4593" t="str">
        <f t="shared" si="220"/>
        <v>ffdfd3c0</v>
      </c>
      <c r="D4593" t="s">
        <v>111</v>
      </c>
      <c r="E4593">
        <v>18</v>
      </c>
      <c r="F4593">
        <v>1018</v>
      </c>
      <c r="G4593" t="s">
        <v>112</v>
      </c>
      <c r="J4593" t="s">
        <v>113</v>
      </c>
      <c r="K4593">
        <v>0</v>
      </c>
      <c r="L4593">
        <v>3</v>
      </c>
      <c r="M4593">
        <v>0</v>
      </c>
      <c r="N4593">
        <v>2</v>
      </c>
      <c r="O4593">
        <v>1</v>
      </c>
      <c r="P4593">
        <v>0</v>
      </c>
      <c r="Q4593">
        <v>0</v>
      </c>
      <c r="R4593" t="s">
        <v>114</v>
      </c>
      <c r="S4593" t="str">
        <f>"19:53:51.578"</f>
        <v>19:53:51.578</v>
      </c>
      <c r="T4593" t="str">
        <f>"19:53:51.375"</f>
        <v>19:53:51.375</v>
      </c>
      <c r="U4593" t="str">
        <f t="shared" si="218"/>
        <v>a1cdbe</v>
      </c>
      <c r="V4593">
        <v>0</v>
      </c>
      <c r="W4593">
        <v>0</v>
      </c>
      <c r="X4593">
        <v>2</v>
      </c>
      <c r="Y4593">
        <v>0</v>
      </c>
      <c r="Z4593">
        <v>0</v>
      </c>
      <c r="AB4593">
        <v>0</v>
      </c>
      <c r="AC4593">
        <v>9</v>
      </c>
      <c r="AD4593">
        <v>3</v>
      </c>
      <c r="AE4593">
        <v>0</v>
      </c>
      <c r="AF4593">
        <v>9</v>
      </c>
      <c r="AG4593" t="s">
        <v>1307</v>
      </c>
      <c r="AH4593">
        <v>0</v>
      </c>
      <c r="AI4593">
        <v>3</v>
      </c>
      <c r="AJ4593">
        <v>1</v>
      </c>
      <c r="AK4593">
        <v>0</v>
      </c>
      <c r="AL4593" t="s">
        <v>8226</v>
      </c>
      <c r="AM4593">
        <v>47.075170999999997</v>
      </c>
      <c r="AN4593" t="s">
        <v>8191</v>
      </c>
      <c r="AO4593">
        <v>-124.13211800000001</v>
      </c>
      <c r="AP4593">
        <v>100</v>
      </c>
      <c r="AQ4593">
        <v>900</v>
      </c>
      <c r="AR4593" t="s">
        <v>118</v>
      </c>
      <c r="AS4593">
        <v>36</v>
      </c>
      <c r="AT4593">
        <v>39</v>
      </c>
      <c r="AU4593">
        <v>-64</v>
      </c>
      <c r="BC4593">
        <v>1200</v>
      </c>
      <c r="BD4593">
        <v>1</v>
      </c>
      <c r="BE4593" t="str">
        <f t="shared" si="219"/>
        <v xml:space="preserve">N215T   </v>
      </c>
      <c r="BF4593">
        <v>1</v>
      </c>
      <c r="BH4593">
        <v>0</v>
      </c>
      <c r="BI4593">
        <v>0</v>
      </c>
      <c r="BJ4593">
        <v>0</v>
      </c>
      <c r="BK4593">
        <v>1250</v>
      </c>
      <c r="BL4593">
        <v>350</v>
      </c>
      <c r="BM4593" t="s">
        <v>119</v>
      </c>
      <c r="BN4593">
        <v>1</v>
      </c>
      <c r="BO4593">
        <v>1</v>
      </c>
      <c r="BP4593">
        <v>1</v>
      </c>
      <c r="BQ4593">
        <v>0</v>
      </c>
      <c r="BT4593">
        <v>0</v>
      </c>
      <c r="BU4593">
        <v>0</v>
      </c>
      <c r="BV4593">
        <v>0</v>
      </c>
      <c r="CC4593" t="str">
        <f>"19:53:51.578"</f>
        <v>19:53:51.578</v>
      </c>
      <c r="CD4593" t="str">
        <f>"580941949"</f>
        <v>580941949</v>
      </c>
      <c r="CQ4593">
        <v>0</v>
      </c>
      <c r="CR4593">
        <v>2</v>
      </c>
      <c r="CS4593">
        <v>0</v>
      </c>
      <c r="CT4593">
        <v>2</v>
      </c>
      <c r="CU4593">
        <v>0</v>
      </c>
      <c r="CV4593">
        <v>5</v>
      </c>
      <c r="CW4593" t="s">
        <v>120</v>
      </c>
      <c r="CX4593">
        <v>257</v>
      </c>
      <c r="CY4593">
        <v>3</v>
      </c>
      <c r="CZ4593" t="s">
        <v>615</v>
      </c>
      <c r="DA4593" t="s">
        <v>616</v>
      </c>
      <c r="DD4593">
        <v>9549375</v>
      </c>
      <c r="DE4593" t="s">
        <v>123</v>
      </c>
    </row>
    <row r="4594" spans="1:109" x14ac:dyDescent="0.3">
      <c r="A4594" t="str">
        <f>"19:53:52.719"</f>
        <v>19:53:52.719</v>
      </c>
      <c r="B4594" t="s">
        <v>110</v>
      </c>
      <c r="C4594" t="str">
        <f t="shared" si="220"/>
        <v>ffdfd3c0</v>
      </c>
      <c r="D4594" t="s">
        <v>111</v>
      </c>
      <c r="E4594">
        <v>18</v>
      </c>
      <c r="F4594">
        <v>1018</v>
      </c>
      <c r="G4594" t="s">
        <v>112</v>
      </c>
      <c r="J4594" t="s">
        <v>113</v>
      </c>
      <c r="K4594">
        <v>0</v>
      </c>
      <c r="L4594">
        <v>3</v>
      </c>
      <c r="M4594">
        <v>0</v>
      </c>
      <c r="N4594">
        <v>2</v>
      </c>
      <c r="O4594">
        <v>1</v>
      </c>
      <c r="P4594">
        <v>0</v>
      </c>
      <c r="Q4594">
        <v>0</v>
      </c>
      <c r="R4594" t="s">
        <v>114</v>
      </c>
      <c r="S4594" t="str">
        <f>"19:53:52.508"</f>
        <v>19:53:52.508</v>
      </c>
      <c r="T4594" t="str">
        <f>"19:53:52.008"</f>
        <v>19:53:52.008</v>
      </c>
      <c r="U4594" t="str">
        <f t="shared" si="218"/>
        <v>a1cdbe</v>
      </c>
      <c r="V4594">
        <v>0</v>
      </c>
      <c r="W4594">
        <v>0</v>
      </c>
      <c r="X4594">
        <v>2</v>
      </c>
      <c r="Y4594">
        <v>0</v>
      </c>
      <c r="Z4594">
        <v>0</v>
      </c>
      <c r="AB4594">
        <v>0</v>
      </c>
      <c r="AC4594">
        <v>9</v>
      </c>
      <c r="AD4594">
        <v>3</v>
      </c>
      <c r="AE4594">
        <v>0</v>
      </c>
      <c r="AF4594">
        <v>9</v>
      </c>
      <c r="AG4594" t="s">
        <v>1307</v>
      </c>
      <c r="AH4594">
        <v>0</v>
      </c>
      <c r="AI4594">
        <v>3</v>
      </c>
      <c r="AJ4594">
        <v>1</v>
      </c>
      <c r="AK4594">
        <v>0</v>
      </c>
      <c r="AL4594" t="s">
        <v>8227</v>
      </c>
      <c r="AM4594">
        <v>47.075322</v>
      </c>
      <c r="AN4594" t="s">
        <v>8189</v>
      </c>
      <c r="AO4594">
        <v>-124.13190400000001</v>
      </c>
      <c r="AP4594">
        <v>100</v>
      </c>
      <c r="AQ4594">
        <v>900</v>
      </c>
      <c r="AR4594" t="s">
        <v>118</v>
      </c>
      <c r="AS4594">
        <v>37</v>
      </c>
      <c r="AT4594">
        <v>37</v>
      </c>
      <c r="AU4594">
        <v>-64</v>
      </c>
      <c r="BC4594">
        <v>1200</v>
      </c>
      <c r="BD4594">
        <v>1</v>
      </c>
      <c r="BE4594" t="str">
        <f t="shared" si="219"/>
        <v xml:space="preserve">N215T   </v>
      </c>
      <c r="BF4594">
        <v>1</v>
      </c>
      <c r="BH4594">
        <v>0</v>
      </c>
      <c r="BI4594">
        <v>0</v>
      </c>
      <c r="BJ4594">
        <v>0</v>
      </c>
      <c r="BK4594">
        <v>1250</v>
      </c>
      <c r="BL4594">
        <v>350</v>
      </c>
      <c r="BM4594" t="s">
        <v>119</v>
      </c>
      <c r="BN4594">
        <v>1</v>
      </c>
      <c r="BO4594">
        <v>1</v>
      </c>
      <c r="BP4594">
        <v>1</v>
      </c>
      <c r="BQ4594">
        <v>0</v>
      </c>
      <c r="BT4594">
        <v>0</v>
      </c>
      <c r="BU4594">
        <v>0</v>
      </c>
      <c r="BV4594">
        <v>0</v>
      </c>
      <c r="CC4594" t="str">
        <f>"19:53:52.508"</f>
        <v>19:53:52.508</v>
      </c>
      <c r="CD4594" t="str">
        <f>"510850302"</f>
        <v>510850302</v>
      </c>
      <c r="CQ4594">
        <v>0</v>
      </c>
      <c r="CR4594">
        <v>2</v>
      </c>
      <c r="CS4594">
        <v>0</v>
      </c>
      <c r="CT4594">
        <v>2</v>
      </c>
      <c r="CU4594">
        <v>0</v>
      </c>
      <c r="CV4594">
        <v>6</v>
      </c>
      <c r="CW4594" t="s">
        <v>120</v>
      </c>
      <c r="CX4594">
        <v>257</v>
      </c>
      <c r="CY4594">
        <v>0</v>
      </c>
      <c r="CZ4594" t="s">
        <v>615</v>
      </c>
      <c r="DA4594" t="s">
        <v>616</v>
      </c>
      <c r="DD4594">
        <v>92837</v>
      </c>
      <c r="DE4594" t="s">
        <v>123</v>
      </c>
    </row>
    <row r="4595" spans="1:109" x14ac:dyDescent="0.3">
      <c r="A4595" t="str">
        <f>"19:53:53.727"</f>
        <v>19:53:53.727</v>
      </c>
      <c r="B4595" t="s">
        <v>110</v>
      </c>
      <c r="C4595" t="str">
        <f t="shared" si="220"/>
        <v>ffdfd3c0</v>
      </c>
      <c r="D4595" t="s">
        <v>111</v>
      </c>
      <c r="E4595">
        <v>18</v>
      </c>
      <c r="F4595">
        <v>1018</v>
      </c>
      <c r="G4595" t="s">
        <v>112</v>
      </c>
      <c r="J4595" t="s">
        <v>113</v>
      </c>
      <c r="K4595">
        <v>0</v>
      </c>
      <c r="L4595">
        <v>3</v>
      </c>
      <c r="M4595">
        <v>0</v>
      </c>
      <c r="N4595">
        <v>2</v>
      </c>
      <c r="O4595">
        <v>1</v>
      </c>
      <c r="P4595">
        <v>0</v>
      </c>
      <c r="Q4595">
        <v>0</v>
      </c>
      <c r="R4595" t="s">
        <v>114</v>
      </c>
      <c r="S4595" t="str">
        <f>"19:53:53.500"</f>
        <v>19:53:53.500</v>
      </c>
      <c r="T4595" t="str">
        <f>"19:53:53.500"</f>
        <v>19:53:53.500</v>
      </c>
      <c r="U4595" t="str">
        <f t="shared" si="218"/>
        <v>a1cdbe</v>
      </c>
      <c r="V4595">
        <v>0</v>
      </c>
      <c r="W4595">
        <v>0</v>
      </c>
      <c r="X4595">
        <v>2</v>
      </c>
      <c r="Y4595">
        <v>0</v>
      </c>
      <c r="Z4595">
        <v>0</v>
      </c>
      <c r="AB4595">
        <v>0</v>
      </c>
      <c r="AC4595">
        <v>9</v>
      </c>
      <c r="AD4595">
        <v>3</v>
      </c>
      <c r="AE4595">
        <v>0</v>
      </c>
      <c r="AF4595">
        <v>9</v>
      </c>
      <c r="AG4595" t="s">
        <v>1307</v>
      </c>
      <c r="AH4595">
        <v>0</v>
      </c>
      <c r="AI4595">
        <v>3</v>
      </c>
      <c r="AJ4595">
        <v>1</v>
      </c>
      <c r="AK4595">
        <v>0</v>
      </c>
      <c r="AL4595" t="s">
        <v>8228</v>
      </c>
      <c r="AM4595">
        <v>47.075493000000002</v>
      </c>
      <c r="AN4595" t="s">
        <v>8187</v>
      </c>
      <c r="AO4595">
        <v>-124.131625</v>
      </c>
      <c r="AP4595">
        <v>100</v>
      </c>
      <c r="AQ4595">
        <v>900</v>
      </c>
      <c r="AR4595" t="s">
        <v>118</v>
      </c>
      <c r="AS4595">
        <v>40</v>
      </c>
      <c r="AT4595">
        <v>32</v>
      </c>
      <c r="AU4595">
        <v>-256</v>
      </c>
      <c r="BC4595">
        <v>1200</v>
      </c>
      <c r="BD4595">
        <v>1</v>
      </c>
      <c r="BE4595" t="str">
        <f t="shared" si="219"/>
        <v xml:space="preserve">N215T   </v>
      </c>
      <c r="BF4595">
        <v>1</v>
      </c>
      <c r="BH4595">
        <v>0</v>
      </c>
      <c r="BI4595">
        <v>0</v>
      </c>
      <c r="BJ4595">
        <v>0</v>
      </c>
      <c r="BK4595">
        <v>1250</v>
      </c>
      <c r="BL4595">
        <v>350</v>
      </c>
      <c r="BM4595" t="s">
        <v>119</v>
      </c>
      <c r="BN4595">
        <v>1</v>
      </c>
      <c r="BO4595">
        <v>1</v>
      </c>
      <c r="BP4595">
        <v>1</v>
      </c>
      <c r="BQ4595">
        <v>0</v>
      </c>
      <c r="BT4595">
        <v>0</v>
      </c>
      <c r="BU4595">
        <v>0</v>
      </c>
      <c r="BV4595">
        <v>0</v>
      </c>
      <c r="CC4595" t="str">
        <f>"19:53:53.500"</f>
        <v>19:53:53.500</v>
      </c>
      <c r="CD4595" t="str">
        <f>"500752770"</f>
        <v>500752770</v>
      </c>
      <c r="CQ4595">
        <v>0</v>
      </c>
      <c r="CR4595">
        <v>2</v>
      </c>
      <c r="CS4595">
        <v>0</v>
      </c>
      <c r="CT4595">
        <v>2</v>
      </c>
      <c r="CU4595">
        <v>0</v>
      </c>
      <c r="CV4595">
        <v>6</v>
      </c>
      <c r="CW4595" t="s">
        <v>120</v>
      </c>
      <c r="CX4595">
        <v>257</v>
      </c>
      <c r="CY4595">
        <v>0</v>
      </c>
      <c r="CZ4595" t="s">
        <v>615</v>
      </c>
      <c r="DA4595" t="s">
        <v>616</v>
      </c>
      <c r="DD4595">
        <v>93142</v>
      </c>
      <c r="DE4595" t="s">
        <v>123</v>
      </c>
    </row>
    <row r="4596" spans="1:109" x14ac:dyDescent="0.3">
      <c r="A4596" t="str">
        <f>"19:53:54.633"</f>
        <v>19:53:54.633</v>
      </c>
      <c r="B4596" t="s">
        <v>110</v>
      </c>
      <c r="C4596" t="str">
        <f t="shared" si="220"/>
        <v>ffdfd3c0</v>
      </c>
      <c r="D4596" t="s">
        <v>111</v>
      </c>
      <c r="E4596">
        <v>18</v>
      </c>
      <c r="F4596">
        <v>1018</v>
      </c>
      <c r="G4596" t="s">
        <v>112</v>
      </c>
      <c r="J4596" t="s">
        <v>113</v>
      </c>
      <c r="K4596">
        <v>0</v>
      </c>
      <c r="L4596">
        <v>3</v>
      </c>
      <c r="M4596">
        <v>0</v>
      </c>
      <c r="N4596">
        <v>2</v>
      </c>
      <c r="O4596">
        <v>1</v>
      </c>
      <c r="P4596">
        <v>0</v>
      </c>
      <c r="Q4596">
        <v>0</v>
      </c>
      <c r="R4596" t="s">
        <v>114</v>
      </c>
      <c r="S4596" t="str">
        <f>"19:53:54.414"</f>
        <v>19:53:54.414</v>
      </c>
      <c r="T4596" t="str">
        <f>"19:53:54.414"</f>
        <v>19:53:54.414</v>
      </c>
      <c r="U4596" t="str">
        <f t="shared" si="218"/>
        <v>a1cdbe</v>
      </c>
      <c r="V4596">
        <v>0</v>
      </c>
      <c r="W4596">
        <v>0</v>
      </c>
      <c r="X4596">
        <v>2</v>
      </c>
      <c r="Y4596">
        <v>0</v>
      </c>
      <c r="Z4596">
        <v>0</v>
      </c>
      <c r="AB4596">
        <v>0</v>
      </c>
      <c r="AC4596">
        <v>9</v>
      </c>
      <c r="AD4596">
        <v>3</v>
      </c>
      <c r="AE4596">
        <v>0</v>
      </c>
      <c r="AF4596">
        <v>9</v>
      </c>
      <c r="AG4596" t="s">
        <v>1307</v>
      </c>
      <c r="AH4596">
        <v>0</v>
      </c>
      <c r="AI4596">
        <v>3</v>
      </c>
      <c r="AJ4596">
        <v>1</v>
      </c>
      <c r="AK4596">
        <v>0</v>
      </c>
      <c r="AL4596" t="s">
        <v>8229</v>
      </c>
      <c r="AM4596">
        <v>47.075600999999999</v>
      </c>
      <c r="AN4596" t="s">
        <v>8185</v>
      </c>
      <c r="AO4596">
        <v>-124.131367</v>
      </c>
      <c r="AP4596">
        <v>100</v>
      </c>
      <c r="AQ4596">
        <v>800</v>
      </c>
      <c r="AR4596" t="s">
        <v>118</v>
      </c>
      <c r="AS4596">
        <v>41</v>
      </c>
      <c r="AT4596">
        <v>30</v>
      </c>
      <c r="AU4596">
        <v>-320</v>
      </c>
      <c r="BC4596">
        <v>1200</v>
      </c>
      <c r="BD4596">
        <v>1</v>
      </c>
      <c r="BE4596" t="str">
        <f t="shared" si="219"/>
        <v xml:space="preserve">N215T   </v>
      </c>
      <c r="BF4596">
        <v>1</v>
      </c>
      <c r="BH4596">
        <v>0</v>
      </c>
      <c r="BI4596">
        <v>0</v>
      </c>
      <c r="BJ4596">
        <v>0</v>
      </c>
      <c r="BK4596">
        <v>1250</v>
      </c>
      <c r="BL4596">
        <v>450</v>
      </c>
      <c r="BM4596" t="s">
        <v>119</v>
      </c>
      <c r="BN4596">
        <v>1</v>
      </c>
      <c r="BO4596">
        <v>1</v>
      </c>
      <c r="BP4596">
        <v>1</v>
      </c>
      <c r="BQ4596">
        <v>0</v>
      </c>
      <c r="BT4596">
        <v>0</v>
      </c>
      <c r="BU4596">
        <v>0</v>
      </c>
      <c r="BV4596">
        <v>0</v>
      </c>
      <c r="CC4596" t="str">
        <f>"19:53:54.414"</f>
        <v>19:53:54.414</v>
      </c>
      <c r="CD4596" t="str">
        <f>"415662633"</f>
        <v>415662633</v>
      </c>
      <c r="CQ4596">
        <v>0</v>
      </c>
      <c r="CR4596">
        <v>2</v>
      </c>
      <c r="CS4596">
        <v>0</v>
      </c>
      <c r="CT4596">
        <v>2</v>
      </c>
      <c r="CU4596">
        <v>0</v>
      </c>
      <c r="CV4596">
        <v>6</v>
      </c>
      <c r="CW4596" t="s">
        <v>120</v>
      </c>
      <c r="CX4596">
        <v>257</v>
      </c>
      <c r="CY4596">
        <v>0</v>
      </c>
      <c r="CZ4596" t="s">
        <v>615</v>
      </c>
      <c r="DA4596" t="s">
        <v>616</v>
      </c>
      <c r="DD4596">
        <v>93436</v>
      </c>
      <c r="DE4596" t="s">
        <v>123</v>
      </c>
    </row>
    <row r="4597" spans="1:109" x14ac:dyDescent="0.3">
      <c r="A4597" t="str">
        <f>"19:53:55.586"</f>
        <v>19:53:55.586</v>
      </c>
      <c r="B4597" t="s">
        <v>110</v>
      </c>
      <c r="C4597" t="str">
        <f t="shared" si="220"/>
        <v>ffdfd3c0</v>
      </c>
      <c r="D4597" t="s">
        <v>111</v>
      </c>
      <c r="E4597">
        <v>18</v>
      </c>
      <c r="F4597">
        <v>1018</v>
      </c>
      <c r="G4597" t="s">
        <v>112</v>
      </c>
      <c r="J4597" t="s">
        <v>113</v>
      </c>
      <c r="K4597">
        <v>0</v>
      </c>
      <c r="L4597">
        <v>3</v>
      </c>
      <c r="M4597">
        <v>0</v>
      </c>
      <c r="N4597">
        <v>2</v>
      </c>
      <c r="O4597">
        <v>1</v>
      </c>
      <c r="P4597">
        <v>0</v>
      </c>
      <c r="Q4597">
        <v>0</v>
      </c>
      <c r="R4597" t="s">
        <v>114</v>
      </c>
      <c r="S4597" t="str">
        <f>"19:53:55.328"</f>
        <v>19:53:55.328</v>
      </c>
      <c r="T4597" t="str">
        <f>"19:53:54.930"</f>
        <v>19:53:54.930</v>
      </c>
      <c r="U4597" t="str">
        <f t="shared" si="218"/>
        <v>a1cdbe</v>
      </c>
      <c r="V4597">
        <v>0</v>
      </c>
      <c r="W4597">
        <v>0</v>
      </c>
      <c r="X4597">
        <v>2</v>
      </c>
      <c r="Y4597">
        <v>0</v>
      </c>
      <c r="Z4597">
        <v>0</v>
      </c>
      <c r="AB4597">
        <v>0</v>
      </c>
      <c r="AC4597">
        <v>9</v>
      </c>
      <c r="AD4597">
        <v>3</v>
      </c>
      <c r="AE4597">
        <v>0</v>
      </c>
      <c r="AF4597">
        <v>9</v>
      </c>
      <c r="AG4597" t="s">
        <v>1307</v>
      </c>
      <c r="AH4597">
        <v>0</v>
      </c>
      <c r="AI4597">
        <v>3</v>
      </c>
      <c r="AJ4597">
        <v>1</v>
      </c>
      <c r="AK4597">
        <v>0</v>
      </c>
      <c r="AL4597" t="s">
        <v>8230</v>
      </c>
      <c r="AM4597">
        <v>47.075729000000003</v>
      </c>
      <c r="AN4597" t="s">
        <v>8231</v>
      </c>
      <c r="AO4597">
        <v>-124.13108800000001</v>
      </c>
      <c r="AP4597">
        <v>100</v>
      </c>
      <c r="AQ4597">
        <v>800</v>
      </c>
      <c r="AR4597" t="s">
        <v>118</v>
      </c>
      <c r="AS4597">
        <v>42</v>
      </c>
      <c r="AT4597">
        <v>28</v>
      </c>
      <c r="AU4597">
        <v>-384</v>
      </c>
      <c r="BC4597">
        <v>1200</v>
      </c>
      <c r="BD4597">
        <v>1</v>
      </c>
      <c r="BE4597" t="str">
        <f t="shared" si="219"/>
        <v xml:space="preserve">N215T   </v>
      </c>
      <c r="BF4597">
        <v>1</v>
      </c>
      <c r="BH4597">
        <v>0</v>
      </c>
      <c r="BI4597">
        <v>0</v>
      </c>
      <c r="BJ4597">
        <v>0</v>
      </c>
      <c r="BK4597">
        <v>1250</v>
      </c>
      <c r="BL4597">
        <v>450</v>
      </c>
      <c r="BM4597" t="s">
        <v>119</v>
      </c>
      <c r="BN4597">
        <v>1</v>
      </c>
      <c r="BO4597">
        <v>1</v>
      </c>
      <c r="BP4597">
        <v>1</v>
      </c>
      <c r="BQ4597">
        <v>0</v>
      </c>
      <c r="BT4597">
        <v>0</v>
      </c>
      <c r="BU4597">
        <v>0</v>
      </c>
      <c r="BV4597">
        <v>0</v>
      </c>
      <c r="CC4597" t="str">
        <f>"19:53:55.328"</f>
        <v>19:53:55.328</v>
      </c>
      <c r="CD4597" t="str">
        <f>"330572492"</f>
        <v>330572492</v>
      </c>
      <c r="CQ4597">
        <v>0</v>
      </c>
      <c r="CR4597">
        <v>2</v>
      </c>
      <c r="CS4597">
        <v>0</v>
      </c>
      <c r="CT4597">
        <v>2</v>
      </c>
      <c r="CU4597">
        <v>0</v>
      </c>
      <c r="CV4597">
        <v>5</v>
      </c>
      <c r="CW4597" t="s">
        <v>120</v>
      </c>
      <c r="CX4597">
        <v>257</v>
      </c>
      <c r="CY4597">
        <v>3</v>
      </c>
      <c r="CZ4597" t="s">
        <v>615</v>
      </c>
      <c r="DA4597" t="s">
        <v>616</v>
      </c>
      <c r="DD4597">
        <v>9549934</v>
      </c>
      <c r="DE4597" t="s">
        <v>123</v>
      </c>
    </row>
    <row r="4598" spans="1:109" x14ac:dyDescent="0.3">
      <c r="A4598" t="str">
        <f>"19:53:56.695"</f>
        <v>19:53:56.695</v>
      </c>
      <c r="B4598" t="s">
        <v>110</v>
      </c>
      <c r="C4598" t="str">
        <f t="shared" si="220"/>
        <v>ffdfd3c0</v>
      </c>
      <c r="D4598" t="s">
        <v>111</v>
      </c>
      <c r="E4598">
        <v>18</v>
      </c>
      <c r="F4598">
        <v>1018</v>
      </c>
      <c r="G4598" t="s">
        <v>112</v>
      </c>
      <c r="J4598" t="s">
        <v>113</v>
      </c>
      <c r="K4598">
        <v>0</v>
      </c>
      <c r="L4598">
        <v>3</v>
      </c>
      <c r="M4598">
        <v>0</v>
      </c>
      <c r="N4598">
        <v>2</v>
      </c>
      <c r="O4598">
        <v>1</v>
      </c>
      <c r="P4598">
        <v>0</v>
      </c>
      <c r="Q4598">
        <v>0</v>
      </c>
      <c r="R4598" t="s">
        <v>114</v>
      </c>
      <c r="S4598" t="str">
        <f>"19:53:56.453"</f>
        <v>19:53:56.453</v>
      </c>
      <c r="T4598" t="str">
        <f>"19:53:56.055"</f>
        <v>19:53:56.055</v>
      </c>
      <c r="U4598" t="str">
        <f t="shared" si="218"/>
        <v>a1cdbe</v>
      </c>
      <c r="V4598">
        <v>0</v>
      </c>
      <c r="W4598">
        <v>0</v>
      </c>
      <c r="X4598">
        <v>2</v>
      </c>
      <c r="Y4598">
        <v>0</v>
      </c>
      <c r="Z4598">
        <v>0</v>
      </c>
      <c r="AB4598">
        <v>0</v>
      </c>
      <c r="AC4598">
        <v>9</v>
      </c>
      <c r="AD4598">
        <v>3</v>
      </c>
      <c r="AE4598">
        <v>0</v>
      </c>
      <c r="AF4598">
        <v>9</v>
      </c>
      <c r="AG4598" t="s">
        <v>1307</v>
      </c>
      <c r="AH4598">
        <v>0</v>
      </c>
      <c r="AI4598">
        <v>3</v>
      </c>
      <c r="AJ4598">
        <v>1</v>
      </c>
      <c r="AK4598">
        <v>0</v>
      </c>
      <c r="AL4598" t="s">
        <v>8232</v>
      </c>
      <c r="AM4598">
        <v>47.075857999999997</v>
      </c>
      <c r="AN4598" t="s">
        <v>8233</v>
      </c>
      <c r="AO4598">
        <v>-124.130809</v>
      </c>
      <c r="AP4598">
        <v>100</v>
      </c>
      <c r="AQ4598">
        <v>800</v>
      </c>
      <c r="AR4598" t="s">
        <v>118</v>
      </c>
      <c r="AS4598">
        <v>44</v>
      </c>
      <c r="AT4598">
        <v>26</v>
      </c>
      <c r="AU4598">
        <v>-448</v>
      </c>
      <c r="BC4598">
        <v>1200</v>
      </c>
      <c r="BD4598">
        <v>1</v>
      </c>
      <c r="BE4598" t="str">
        <f t="shared" si="219"/>
        <v xml:space="preserve">N215T   </v>
      </c>
      <c r="BF4598">
        <v>1</v>
      </c>
      <c r="BH4598">
        <v>0</v>
      </c>
      <c r="BI4598">
        <v>0</v>
      </c>
      <c r="BJ4598">
        <v>0</v>
      </c>
      <c r="BK4598">
        <v>1225</v>
      </c>
      <c r="BL4598">
        <v>425</v>
      </c>
      <c r="BM4598" t="s">
        <v>119</v>
      </c>
      <c r="BN4598">
        <v>1</v>
      </c>
      <c r="BO4598">
        <v>1</v>
      </c>
      <c r="BP4598">
        <v>1</v>
      </c>
      <c r="BQ4598">
        <v>0</v>
      </c>
      <c r="BT4598">
        <v>0</v>
      </c>
      <c r="BU4598">
        <v>0</v>
      </c>
      <c r="BV4598">
        <v>0</v>
      </c>
      <c r="CC4598" t="str">
        <f>"19:53:56.453"</f>
        <v>19:53:56.453</v>
      </c>
      <c r="CD4598" t="str">
        <f>"455461621"</f>
        <v>455461621</v>
      </c>
      <c r="CQ4598">
        <v>0</v>
      </c>
      <c r="CR4598">
        <v>2</v>
      </c>
      <c r="CS4598">
        <v>0</v>
      </c>
      <c r="CT4598">
        <v>2</v>
      </c>
      <c r="CU4598">
        <v>0</v>
      </c>
      <c r="CV4598">
        <v>5</v>
      </c>
      <c r="CW4598" t="s">
        <v>120</v>
      </c>
      <c r="CX4598">
        <v>257</v>
      </c>
      <c r="CY4598">
        <v>3</v>
      </c>
      <c r="CZ4598" t="s">
        <v>615</v>
      </c>
      <c r="DA4598" t="s">
        <v>616</v>
      </c>
      <c r="DD4598">
        <v>9550135</v>
      </c>
      <c r="DE4598" t="s">
        <v>123</v>
      </c>
    </row>
    <row r="4599" spans="1:109" x14ac:dyDescent="0.3">
      <c r="A4599" t="str">
        <f>"19:53:57.797"</f>
        <v>19:53:57.797</v>
      </c>
      <c r="B4599" t="s">
        <v>110</v>
      </c>
      <c r="C4599" t="str">
        <f t="shared" si="220"/>
        <v>ffdfd3c0</v>
      </c>
      <c r="D4599" t="s">
        <v>111</v>
      </c>
      <c r="E4599">
        <v>18</v>
      </c>
      <c r="F4599">
        <v>1018</v>
      </c>
      <c r="G4599" t="s">
        <v>112</v>
      </c>
      <c r="J4599" t="s">
        <v>113</v>
      </c>
      <c r="K4599">
        <v>0</v>
      </c>
      <c r="L4599">
        <v>3</v>
      </c>
      <c r="M4599">
        <v>0</v>
      </c>
      <c r="N4599">
        <v>2</v>
      </c>
      <c r="O4599">
        <v>1</v>
      </c>
      <c r="P4599">
        <v>0</v>
      </c>
      <c r="Q4599">
        <v>0</v>
      </c>
      <c r="R4599" t="s">
        <v>114</v>
      </c>
      <c r="S4599" t="str">
        <f>"19:53:57.500"</f>
        <v>19:53:57.500</v>
      </c>
      <c r="T4599" t="str">
        <f>"19:53:57.102"</f>
        <v>19:53:57.102</v>
      </c>
      <c r="U4599" t="str">
        <f t="shared" si="218"/>
        <v>a1cdbe</v>
      </c>
      <c r="V4599">
        <v>0</v>
      </c>
      <c r="W4599">
        <v>0</v>
      </c>
      <c r="X4599">
        <v>2</v>
      </c>
      <c r="Y4599">
        <v>0</v>
      </c>
      <c r="Z4599">
        <v>0</v>
      </c>
      <c r="AB4599">
        <v>0</v>
      </c>
      <c r="AC4599">
        <v>9</v>
      </c>
      <c r="AD4599">
        <v>3</v>
      </c>
      <c r="AE4599">
        <v>0</v>
      </c>
      <c r="AF4599">
        <v>9</v>
      </c>
      <c r="AG4599" t="s">
        <v>1307</v>
      </c>
      <c r="AH4599">
        <v>0</v>
      </c>
      <c r="AI4599">
        <v>3</v>
      </c>
      <c r="AJ4599">
        <v>1</v>
      </c>
      <c r="AK4599">
        <v>0</v>
      </c>
      <c r="AL4599" t="s">
        <v>8234</v>
      </c>
      <c r="AM4599">
        <v>47.075944</v>
      </c>
      <c r="AN4599" t="s">
        <v>8235</v>
      </c>
      <c r="AO4599">
        <v>-124.13044499999999</v>
      </c>
      <c r="AP4599">
        <v>100</v>
      </c>
      <c r="AQ4599">
        <v>800</v>
      </c>
      <c r="AR4599" t="s">
        <v>118</v>
      </c>
      <c r="AS4599">
        <v>45</v>
      </c>
      <c r="AT4599">
        <v>24</v>
      </c>
      <c r="AU4599">
        <v>-448</v>
      </c>
      <c r="BC4599">
        <v>1200</v>
      </c>
      <c r="BD4599">
        <v>1</v>
      </c>
      <c r="BE4599" t="str">
        <f t="shared" si="219"/>
        <v xml:space="preserve">N215T   </v>
      </c>
      <c r="BF4599">
        <v>1</v>
      </c>
      <c r="BH4599">
        <v>0</v>
      </c>
      <c r="BI4599">
        <v>0</v>
      </c>
      <c r="BJ4599">
        <v>0</v>
      </c>
      <c r="BK4599">
        <v>1225</v>
      </c>
      <c r="BL4599">
        <v>425</v>
      </c>
      <c r="BM4599" t="s">
        <v>119</v>
      </c>
      <c r="BN4599">
        <v>1</v>
      </c>
      <c r="BO4599">
        <v>1</v>
      </c>
      <c r="BP4599">
        <v>1</v>
      </c>
      <c r="BQ4599">
        <v>0</v>
      </c>
      <c r="BT4599">
        <v>0</v>
      </c>
      <c r="BU4599">
        <v>0</v>
      </c>
      <c r="BV4599">
        <v>0</v>
      </c>
      <c r="CC4599" t="str">
        <f>"19:53:57.508"</f>
        <v>19:53:57.508</v>
      </c>
      <c r="CD4599" t="str">
        <f>"505358147"</f>
        <v>505358147</v>
      </c>
      <c r="CQ4599">
        <v>0</v>
      </c>
      <c r="CR4599">
        <v>2</v>
      </c>
      <c r="CS4599">
        <v>0</v>
      </c>
      <c r="CT4599">
        <v>2</v>
      </c>
      <c r="CU4599">
        <v>0</v>
      </c>
      <c r="CV4599">
        <v>6</v>
      </c>
      <c r="CW4599" t="s">
        <v>120</v>
      </c>
      <c r="CX4599">
        <v>257</v>
      </c>
      <c r="CY4599">
        <v>0</v>
      </c>
      <c r="CZ4599" t="s">
        <v>615</v>
      </c>
      <c r="DA4599" t="s">
        <v>616</v>
      </c>
      <c r="DD4599">
        <v>94391</v>
      </c>
      <c r="DE4599" t="s">
        <v>123</v>
      </c>
    </row>
    <row r="4600" spans="1:109" x14ac:dyDescent="0.3">
      <c r="A4600" t="str">
        <f>"19:53:58.758"</f>
        <v>19:53:58.758</v>
      </c>
      <c r="B4600" t="s">
        <v>110</v>
      </c>
      <c r="C4600" t="str">
        <f t="shared" si="220"/>
        <v>ffdfd3c0</v>
      </c>
      <c r="D4600" t="s">
        <v>111</v>
      </c>
      <c r="E4600">
        <v>18</v>
      </c>
      <c r="F4600">
        <v>1018</v>
      </c>
      <c r="G4600" t="s">
        <v>112</v>
      </c>
      <c r="J4600" t="s">
        <v>113</v>
      </c>
      <c r="K4600">
        <v>0</v>
      </c>
      <c r="L4600">
        <v>3</v>
      </c>
      <c r="M4600">
        <v>0</v>
      </c>
      <c r="N4600">
        <v>2</v>
      </c>
      <c r="O4600">
        <v>1</v>
      </c>
      <c r="P4600">
        <v>0</v>
      </c>
      <c r="Q4600">
        <v>0</v>
      </c>
      <c r="R4600" t="s">
        <v>114</v>
      </c>
      <c r="S4600" t="str">
        <f>"19:53:58.508"</f>
        <v>19:53:58.508</v>
      </c>
      <c r="T4600" t="str">
        <f>"19:53:58.211"</f>
        <v>19:53:58.211</v>
      </c>
      <c r="U4600" t="str">
        <f t="shared" si="218"/>
        <v>a1cdbe</v>
      </c>
      <c r="V4600">
        <v>0</v>
      </c>
      <c r="W4600">
        <v>0</v>
      </c>
      <c r="X4600">
        <v>2</v>
      </c>
      <c r="Y4600">
        <v>0</v>
      </c>
      <c r="Z4600">
        <v>0</v>
      </c>
      <c r="AB4600">
        <v>0</v>
      </c>
      <c r="AC4600">
        <v>9</v>
      </c>
      <c r="AD4600">
        <v>3</v>
      </c>
      <c r="AE4600">
        <v>0</v>
      </c>
      <c r="AF4600">
        <v>9</v>
      </c>
      <c r="AG4600" t="s">
        <v>1307</v>
      </c>
      <c r="AH4600">
        <v>0</v>
      </c>
      <c r="AI4600">
        <v>3</v>
      </c>
      <c r="AJ4600">
        <v>1</v>
      </c>
      <c r="AK4600">
        <v>0</v>
      </c>
      <c r="AL4600" t="s">
        <v>8236</v>
      </c>
      <c r="AM4600">
        <v>47.076051</v>
      </c>
      <c r="AN4600" t="s">
        <v>8237</v>
      </c>
      <c r="AO4600">
        <v>-124.130123</v>
      </c>
      <c r="AP4600">
        <v>100</v>
      </c>
      <c r="AQ4600">
        <v>800</v>
      </c>
      <c r="AR4600" t="s">
        <v>118</v>
      </c>
      <c r="AS4600">
        <v>46</v>
      </c>
      <c r="AT4600">
        <v>23</v>
      </c>
      <c r="AU4600">
        <v>-448</v>
      </c>
      <c r="BC4600">
        <v>1200</v>
      </c>
      <c r="BD4600">
        <v>1</v>
      </c>
      <c r="BE4600" t="str">
        <f t="shared" si="219"/>
        <v xml:space="preserve">N215T   </v>
      </c>
      <c r="BF4600">
        <v>1</v>
      </c>
      <c r="BH4600">
        <v>0</v>
      </c>
      <c r="BI4600">
        <v>0</v>
      </c>
      <c r="BJ4600">
        <v>0</v>
      </c>
      <c r="BK4600">
        <v>1225</v>
      </c>
      <c r="BL4600">
        <v>425</v>
      </c>
      <c r="BM4600" t="s">
        <v>119</v>
      </c>
      <c r="BN4600">
        <v>1</v>
      </c>
      <c r="BO4600">
        <v>1</v>
      </c>
      <c r="BP4600">
        <v>1</v>
      </c>
      <c r="BQ4600">
        <v>0</v>
      </c>
      <c r="BT4600">
        <v>0</v>
      </c>
      <c r="BU4600">
        <v>0</v>
      </c>
      <c r="BV4600">
        <v>0</v>
      </c>
      <c r="CC4600" t="str">
        <f>"19:53:58.508"</f>
        <v>19:53:58.508</v>
      </c>
      <c r="CD4600" t="str">
        <f>"510259121"</f>
        <v>510259121</v>
      </c>
      <c r="CQ4600">
        <v>0</v>
      </c>
      <c r="CR4600">
        <v>2</v>
      </c>
      <c r="CS4600">
        <v>0</v>
      </c>
      <c r="CT4600">
        <v>2</v>
      </c>
      <c r="CU4600">
        <v>0</v>
      </c>
      <c r="CV4600">
        <v>6</v>
      </c>
      <c r="CW4600" t="s">
        <v>120</v>
      </c>
      <c r="CX4600">
        <v>257</v>
      </c>
      <c r="CY4600">
        <v>0</v>
      </c>
      <c r="CZ4600" t="s">
        <v>615</v>
      </c>
      <c r="DA4600" t="s">
        <v>616</v>
      </c>
      <c r="DD4600">
        <v>94712</v>
      </c>
      <c r="DE4600" t="s">
        <v>123</v>
      </c>
    </row>
    <row r="4601" spans="1:109" x14ac:dyDescent="0.3">
      <c r="A4601" t="str">
        <f>"19:53:59.813"</f>
        <v>19:53:59.813</v>
      </c>
      <c r="B4601" t="s">
        <v>110</v>
      </c>
      <c r="C4601" t="str">
        <f t="shared" si="220"/>
        <v>ffdfd3c0</v>
      </c>
      <c r="D4601" t="s">
        <v>111</v>
      </c>
      <c r="E4601">
        <v>18</v>
      </c>
      <c r="F4601">
        <v>1018</v>
      </c>
      <c r="G4601" t="s">
        <v>112</v>
      </c>
      <c r="J4601" t="s">
        <v>113</v>
      </c>
      <c r="K4601">
        <v>0</v>
      </c>
      <c r="L4601">
        <v>3</v>
      </c>
      <c r="M4601">
        <v>0</v>
      </c>
      <c r="N4601">
        <v>2</v>
      </c>
      <c r="O4601">
        <v>1</v>
      </c>
      <c r="P4601">
        <v>0</v>
      </c>
      <c r="Q4601">
        <v>0</v>
      </c>
      <c r="R4601" t="s">
        <v>114</v>
      </c>
      <c r="S4601" t="str">
        <f>"19:53:59.539"</f>
        <v>19:53:59.539</v>
      </c>
      <c r="T4601" t="str">
        <f>"19:53:59.141"</f>
        <v>19:53:59.141</v>
      </c>
      <c r="U4601" t="str">
        <f t="shared" si="218"/>
        <v>a1cdbe</v>
      </c>
      <c r="V4601">
        <v>0</v>
      </c>
      <c r="W4601">
        <v>0</v>
      </c>
      <c r="X4601">
        <v>2</v>
      </c>
      <c r="Y4601">
        <v>0</v>
      </c>
      <c r="Z4601">
        <v>0</v>
      </c>
      <c r="AB4601">
        <v>0</v>
      </c>
      <c r="AC4601">
        <v>9</v>
      </c>
      <c r="AD4601">
        <v>3</v>
      </c>
      <c r="AE4601">
        <v>0</v>
      </c>
      <c r="AF4601">
        <v>9</v>
      </c>
      <c r="AG4601" t="s">
        <v>1307</v>
      </c>
      <c r="AH4601">
        <v>0</v>
      </c>
      <c r="AI4601">
        <v>3</v>
      </c>
      <c r="AJ4601">
        <v>1</v>
      </c>
      <c r="AK4601">
        <v>0</v>
      </c>
      <c r="AL4601" t="s">
        <v>430</v>
      </c>
      <c r="AM4601">
        <v>47.076180000000001</v>
      </c>
      <c r="AN4601" t="s">
        <v>8238</v>
      </c>
      <c r="AO4601">
        <v>-124.129801</v>
      </c>
      <c r="AP4601">
        <v>100</v>
      </c>
      <c r="AQ4601">
        <v>800</v>
      </c>
      <c r="AR4601" t="s">
        <v>118</v>
      </c>
      <c r="AS4601">
        <v>47</v>
      </c>
      <c r="AT4601">
        <v>21</v>
      </c>
      <c r="AU4601">
        <v>-448</v>
      </c>
      <c r="BC4601">
        <v>1200</v>
      </c>
      <c r="BD4601">
        <v>1</v>
      </c>
      <c r="BE4601" t="str">
        <f t="shared" si="219"/>
        <v xml:space="preserve">N215T   </v>
      </c>
      <c r="BF4601">
        <v>1</v>
      </c>
      <c r="BH4601">
        <v>0</v>
      </c>
      <c r="BI4601">
        <v>0</v>
      </c>
      <c r="BJ4601">
        <v>0</v>
      </c>
      <c r="BK4601">
        <v>1200</v>
      </c>
      <c r="BL4601">
        <v>400</v>
      </c>
      <c r="BM4601" t="s">
        <v>119</v>
      </c>
      <c r="BN4601">
        <v>1</v>
      </c>
      <c r="BO4601">
        <v>1</v>
      </c>
      <c r="BP4601">
        <v>1</v>
      </c>
      <c r="BQ4601">
        <v>0</v>
      </c>
      <c r="BT4601">
        <v>0</v>
      </c>
      <c r="BU4601">
        <v>0</v>
      </c>
      <c r="BV4601">
        <v>0</v>
      </c>
      <c r="CC4601" t="str">
        <f>"19:53:59.547"</f>
        <v>19:53:59.547</v>
      </c>
      <c r="CD4601" t="str">
        <f>"545157145"</f>
        <v>545157145</v>
      </c>
      <c r="CQ4601">
        <v>0</v>
      </c>
      <c r="CR4601">
        <v>2</v>
      </c>
      <c r="CS4601">
        <v>0</v>
      </c>
      <c r="CT4601">
        <v>2</v>
      </c>
      <c r="CU4601">
        <v>0</v>
      </c>
      <c r="CV4601">
        <v>5</v>
      </c>
      <c r="CW4601" t="s">
        <v>120</v>
      </c>
      <c r="CX4601">
        <v>257</v>
      </c>
      <c r="CY4601">
        <v>3</v>
      </c>
      <c r="CZ4601" t="s">
        <v>615</v>
      </c>
      <c r="DA4601" t="s">
        <v>616</v>
      </c>
      <c r="DD4601">
        <v>9550629</v>
      </c>
      <c r="DE4601" t="s">
        <v>123</v>
      </c>
    </row>
    <row r="4602" spans="1:109" x14ac:dyDescent="0.3">
      <c r="A4602" t="str">
        <f>"19:54:00.719"</f>
        <v>19:54:00.719</v>
      </c>
      <c r="B4602" t="s">
        <v>110</v>
      </c>
      <c r="C4602" t="str">
        <f t="shared" si="220"/>
        <v>ffdfd3c0</v>
      </c>
      <c r="D4602" t="s">
        <v>111</v>
      </c>
      <c r="E4602">
        <v>18</v>
      </c>
      <c r="F4602">
        <v>1018</v>
      </c>
      <c r="G4602" t="s">
        <v>112</v>
      </c>
      <c r="J4602" t="s">
        <v>113</v>
      </c>
      <c r="K4602">
        <v>0</v>
      </c>
      <c r="L4602">
        <v>3</v>
      </c>
      <c r="M4602">
        <v>0</v>
      </c>
      <c r="N4602">
        <v>2</v>
      </c>
      <c r="O4602">
        <v>1</v>
      </c>
      <c r="P4602">
        <v>0</v>
      </c>
      <c r="Q4602">
        <v>0</v>
      </c>
      <c r="R4602" t="s">
        <v>114</v>
      </c>
      <c r="S4602" t="str">
        <f>"19:54:00.469"</f>
        <v>19:54:00.469</v>
      </c>
      <c r="T4602" t="str">
        <f>"19:54:00.070"</f>
        <v>19:54:00.070</v>
      </c>
      <c r="U4602" t="str">
        <f t="shared" si="218"/>
        <v>a1cdbe</v>
      </c>
      <c r="V4602">
        <v>0</v>
      </c>
      <c r="W4602">
        <v>0</v>
      </c>
      <c r="X4602">
        <v>2</v>
      </c>
      <c r="Y4602">
        <v>0</v>
      </c>
      <c r="Z4602">
        <v>0</v>
      </c>
      <c r="AB4602">
        <v>0</v>
      </c>
      <c r="AC4602">
        <v>9</v>
      </c>
      <c r="AD4602">
        <v>3</v>
      </c>
      <c r="AE4602">
        <v>0</v>
      </c>
      <c r="AF4602">
        <v>9</v>
      </c>
      <c r="AG4602" t="s">
        <v>1307</v>
      </c>
      <c r="AH4602">
        <v>0</v>
      </c>
      <c r="AI4602">
        <v>3</v>
      </c>
      <c r="AJ4602">
        <v>1</v>
      </c>
      <c r="AK4602">
        <v>0</v>
      </c>
      <c r="AL4602" t="s">
        <v>8239</v>
      </c>
      <c r="AM4602">
        <v>47.076222999999999</v>
      </c>
      <c r="AN4602" t="s">
        <v>8240</v>
      </c>
      <c r="AO4602">
        <v>-124.12949999999999</v>
      </c>
      <c r="AP4602">
        <v>100</v>
      </c>
      <c r="AQ4602">
        <v>800</v>
      </c>
      <c r="AR4602" t="s">
        <v>118</v>
      </c>
      <c r="AS4602">
        <v>48</v>
      </c>
      <c r="AT4602">
        <v>20</v>
      </c>
      <c r="AU4602">
        <v>-384</v>
      </c>
      <c r="BC4602">
        <v>1200</v>
      </c>
      <c r="BD4602">
        <v>1</v>
      </c>
      <c r="BE4602" t="str">
        <f t="shared" si="219"/>
        <v xml:space="preserve">N215T   </v>
      </c>
      <c r="BF4602">
        <v>1</v>
      </c>
      <c r="BH4602">
        <v>0</v>
      </c>
      <c r="BI4602">
        <v>0</v>
      </c>
      <c r="BJ4602">
        <v>0</v>
      </c>
      <c r="BK4602">
        <v>1200</v>
      </c>
      <c r="BL4602">
        <v>400</v>
      </c>
      <c r="BM4602" t="s">
        <v>119</v>
      </c>
      <c r="BN4602">
        <v>1</v>
      </c>
      <c r="BO4602">
        <v>1</v>
      </c>
      <c r="BP4602">
        <v>1</v>
      </c>
      <c r="BQ4602">
        <v>0</v>
      </c>
      <c r="BT4602">
        <v>0</v>
      </c>
      <c r="BU4602">
        <v>0</v>
      </c>
      <c r="BV4602">
        <v>0</v>
      </c>
      <c r="CC4602" t="str">
        <f>"19:54:00.477"</f>
        <v>19:54:00.477</v>
      </c>
      <c r="CD4602" t="str">
        <f>"475065478"</f>
        <v>475065478</v>
      </c>
      <c r="CQ4602">
        <v>0</v>
      </c>
      <c r="CR4602">
        <v>2</v>
      </c>
      <c r="CS4602">
        <v>0</v>
      </c>
      <c r="CT4602">
        <v>2</v>
      </c>
      <c r="CU4602">
        <v>0</v>
      </c>
      <c r="CV4602">
        <v>5</v>
      </c>
      <c r="CW4602" t="s">
        <v>120</v>
      </c>
      <c r="CX4602">
        <v>257</v>
      </c>
      <c r="CY4602">
        <v>0</v>
      </c>
      <c r="CZ4602" t="s">
        <v>615</v>
      </c>
      <c r="DA4602" t="s">
        <v>616</v>
      </c>
      <c r="DD4602">
        <v>95393</v>
      </c>
      <c r="DE4602" t="s">
        <v>123</v>
      </c>
    </row>
    <row r="4603" spans="1:109" x14ac:dyDescent="0.3">
      <c r="A4603" t="str">
        <f>"19:54:01.570"</f>
        <v>19:54:01.570</v>
      </c>
      <c r="B4603" t="s">
        <v>110</v>
      </c>
      <c r="C4603" t="str">
        <f t="shared" si="220"/>
        <v>ffdfd3c0</v>
      </c>
      <c r="D4603" t="s">
        <v>111</v>
      </c>
      <c r="E4603">
        <v>18</v>
      </c>
      <c r="F4603">
        <v>1018</v>
      </c>
      <c r="G4603" t="s">
        <v>112</v>
      </c>
      <c r="J4603" t="s">
        <v>113</v>
      </c>
      <c r="K4603">
        <v>0</v>
      </c>
      <c r="L4603">
        <v>3</v>
      </c>
      <c r="M4603">
        <v>0</v>
      </c>
      <c r="N4603">
        <v>2</v>
      </c>
      <c r="O4603">
        <v>1</v>
      </c>
      <c r="P4603">
        <v>0</v>
      </c>
      <c r="Q4603">
        <v>0</v>
      </c>
      <c r="R4603" t="s">
        <v>114</v>
      </c>
      <c r="S4603" t="str">
        <f>"19:54:01.328"</f>
        <v>19:54:01.328</v>
      </c>
      <c r="T4603" t="str">
        <f>"19:54:01.031"</f>
        <v>19:54:01.031</v>
      </c>
      <c r="U4603" t="str">
        <f t="shared" si="218"/>
        <v>a1cdbe</v>
      </c>
      <c r="V4603">
        <v>0</v>
      </c>
      <c r="W4603">
        <v>0</v>
      </c>
      <c r="X4603">
        <v>2</v>
      </c>
      <c r="Y4603">
        <v>0</v>
      </c>
      <c r="Z4603">
        <v>0</v>
      </c>
      <c r="AB4603">
        <v>0</v>
      </c>
      <c r="AC4603">
        <v>9</v>
      </c>
      <c r="AD4603">
        <v>3</v>
      </c>
      <c r="AE4603">
        <v>0</v>
      </c>
      <c r="AF4603">
        <v>9</v>
      </c>
      <c r="AG4603" t="s">
        <v>1307</v>
      </c>
      <c r="AH4603">
        <v>0</v>
      </c>
      <c r="AI4603">
        <v>3</v>
      </c>
      <c r="AJ4603">
        <v>1</v>
      </c>
      <c r="AK4603">
        <v>0</v>
      </c>
      <c r="AL4603" t="s">
        <v>8241</v>
      </c>
      <c r="AM4603">
        <v>47.076329999999999</v>
      </c>
      <c r="AN4603" t="s">
        <v>8174</v>
      </c>
      <c r="AO4603">
        <v>-124.129243</v>
      </c>
      <c r="AP4603">
        <v>100</v>
      </c>
      <c r="AQ4603">
        <v>800</v>
      </c>
      <c r="AR4603" t="s">
        <v>118</v>
      </c>
      <c r="AS4603">
        <v>48</v>
      </c>
      <c r="AT4603">
        <v>19</v>
      </c>
      <c r="AU4603">
        <v>-384</v>
      </c>
      <c r="BC4603">
        <v>1200</v>
      </c>
      <c r="BD4603">
        <v>1</v>
      </c>
      <c r="BE4603" t="str">
        <f t="shared" si="219"/>
        <v xml:space="preserve">N215T   </v>
      </c>
      <c r="BF4603">
        <v>1</v>
      </c>
      <c r="BH4603">
        <v>0</v>
      </c>
      <c r="BI4603">
        <v>0</v>
      </c>
      <c r="BJ4603">
        <v>0</v>
      </c>
      <c r="BK4603">
        <v>1200</v>
      </c>
      <c r="BL4603">
        <v>400</v>
      </c>
      <c r="BM4603" t="s">
        <v>119</v>
      </c>
      <c r="BN4603">
        <v>1</v>
      </c>
      <c r="BO4603">
        <v>1</v>
      </c>
      <c r="BP4603">
        <v>1</v>
      </c>
      <c r="BQ4603">
        <v>0</v>
      </c>
      <c r="BT4603">
        <v>0</v>
      </c>
      <c r="BU4603">
        <v>0</v>
      </c>
      <c r="BV4603">
        <v>0</v>
      </c>
      <c r="CC4603" t="str">
        <f>"19:54:01.328"</f>
        <v>19:54:01.328</v>
      </c>
      <c r="CD4603" t="str">
        <f>"329981226"</f>
        <v>329981226</v>
      </c>
      <c r="CQ4603">
        <v>0</v>
      </c>
      <c r="CR4603">
        <v>2</v>
      </c>
      <c r="CS4603">
        <v>0</v>
      </c>
      <c r="CT4603">
        <v>2</v>
      </c>
      <c r="CU4603">
        <v>0</v>
      </c>
      <c r="CV4603">
        <v>5</v>
      </c>
      <c r="CW4603" t="s">
        <v>120</v>
      </c>
      <c r="CX4603">
        <v>257</v>
      </c>
      <c r="CY4603">
        <v>0</v>
      </c>
      <c r="CZ4603" t="s">
        <v>615</v>
      </c>
      <c r="DA4603" t="s">
        <v>616</v>
      </c>
      <c r="DD4603">
        <v>95694</v>
      </c>
      <c r="DE4603" t="s">
        <v>123</v>
      </c>
    </row>
    <row r="4604" spans="1:109" x14ac:dyDescent="0.3">
      <c r="A4604" t="str">
        <f>"19:54:02.625"</f>
        <v>19:54:02.625</v>
      </c>
      <c r="B4604" t="s">
        <v>110</v>
      </c>
      <c r="C4604" t="str">
        <f t="shared" si="220"/>
        <v>ffdfd3c0</v>
      </c>
      <c r="D4604" t="s">
        <v>111</v>
      </c>
      <c r="E4604">
        <v>18</v>
      </c>
      <c r="F4604">
        <v>1018</v>
      </c>
      <c r="G4604" t="s">
        <v>112</v>
      </c>
      <c r="J4604" t="s">
        <v>113</v>
      </c>
      <c r="K4604">
        <v>0</v>
      </c>
      <c r="L4604">
        <v>3</v>
      </c>
      <c r="M4604">
        <v>0</v>
      </c>
      <c r="N4604">
        <v>2</v>
      </c>
      <c r="O4604">
        <v>1</v>
      </c>
      <c r="P4604">
        <v>0</v>
      </c>
      <c r="Q4604">
        <v>0</v>
      </c>
      <c r="R4604" t="s">
        <v>114</v>
      </c>
      <c r="S4604" t="str">
        <f>"19:54:02.359"</f>
        <v>19:54:02.359</v>
      </c>
      <c r="T4604" t="str">
        <f>"19:54:02.063"</f>
        <v>19:54:02.063</v>
      </c>
      <c r="U4604" t="str">
        <f t="shared" si="218"/>
        <v>a1cdbe</v>
      </c>
      <c r="V4604">
        <v>0</v>
      </c>
      <c r="W4604">
        <v>0</v>
      </c>
      <c r="X4604">
        <v>2</v>
      </c>
      <c r="Y4604">
        <v>0</v>
      </c>
      <c r="Z4604">
        <v>0</v>
      </c>
      <c r="AB4604">
        <v>0</v>
      </c>
      <c r="AC4604">
        <v>9</v>
      </c>
      <c r="AD4604">
        <v>3</v>
      </c>
      <c r="AE4604">
        <v>0</v>
      </c>
      <c r="AF4604">
        <v>9</v>
      </c>
      <c r="AG4604" t="s">
        <v>1307</v>
      </c>
      <c r="AH4604">
        <v>0</v>
      </c>
      <c r="AI4604">
        <v>3</v>
      </c>
      <c r="AJ4604">
        <v>1</v>
      </c>
      <c r="AK4604">
        <v>0</v>
      </c>
      <c r="AL4604" t="s">
        <v>8242</v>
      </c>
      <c r="AM4604">
        <v>47.076416000000002</v>
      </c>
      <c r="AN4604" t="s">
        <v>8243</v>
      </c>
      <c r="AO4604">
        <v>-124.1289</v>
      </c>
      <c r="AP4604">
        <v>100</v>
      </c>
      <c r="AQ4604">
        <v>800</v>
      </c>
      <c r="AR4604" t="s">
        <v>118</v>
      </c>
      <c r="AS4604">
        <v>49</v>
      </c>
      <c r="AT4604">
        <v>17</v>
      </c>
      <c r="AU4604">
        <v>-384</v>
      </c>
      <c r="BC4604">
        <v>1200</v>
      </c>
      <c r="BD4604">
        <v>1</v>
      </c>
      <c r="BE4604" t="str">
        <f t="shared" si="219"/>
        <v xml:space="preserve">N215T   </v>
      </c>
      <c r="BF4604">
        <v>1</v>
      </c>
      <c r="BH4604">
        <v>0</v>
      </c>
      <c r="BI4604">
        <v>0</v>
      </c>
      <c r="BJ4604">
        <v>0</v>
      </c>
      <c r="BK4604">
        <v>1175</v>
      </c>
      <c r="BL4604">
        <v>375</v>
      </c>
      <c r="BM4604" t="s">
        <v>119</v>
      </c>
      <c r="BN4604">
        <v>1</v>
      </c>
      <c r="BO4604">
        <v>1</v>
      </c>
      <c r="BP4604">
        <v>1</v>
      </c>
      <c r="BQ4604">
        <v>0</v>
      </c>
      <c r="BT4604">
        <v>0</v>
      </c>
      <c r="BU4604">
        <v>0</v>
      </c>
      <c r="BV4604">
        <v>0</v>
      </c>
      <c r="CC4604" t="str">
        <f>"19:54:02.367"</f>
        <v>19:54:02.367</v>
      </c>
      <c r="CD4604" t="str">
        <f>"364879216"</f>
        <v>364879216</v>
      </c>
      <c r="CQ4604">
        <v>0</v>
      </c>
      <c r="CR4604">
        <v>2</v>
      </c>
      <c r="CS4604">
        <v>0</v>
      </c>
      <c r="CT4604">
        <v>2</v>
      </c>
      <c r="CU4604">
        <v>0</v>
      </c>
      <c r="CV4604">
        <v>5</v>
      </c>
      <c r="CW4604" t="s">
        <v>120</v>
      </c>
      <c r="CX4604">
        <v>257</v>
      </c>
      <c r="CY4604">
        <v>0</v>
      </c>
      <c r="CZ4604" t="s">
        <v>615</v>
      </c>
      <c r="DA4604" t="s">
        <v>616</v>
      </c>
      <c r="DD4604">
        <v>96015</v>
      </c>
      <c r="DE4604" t="s">
        <v>123</v>
      </c>
    </row>
    <row r="4605" spans="1:109" x14ac:dyDescent="0.3">
      <c r="A4605" t="str">
        <f>"19:54:03.734"</f>
        <v>19:54:03.734</v>
      </c>
      <c r="B4605" t="s">
        <v>110</v>
      </c>
      <c r="C4605" t="str">
        <f t="shared" si="220"/>
        <v>ffdfd3c0</v>
      </c>
      <c r="D4605" t="s">
        <v>111</v>
      </c>
      <c r="E4605">
        <v>18</v>
      </c>
      <c r="F4605">
        <v>1018</v>
      </c>
      <c r="G4605" t="s">
        <v>112</v>
      </c>
      <c r="J4605" t="s">
        <v>113</v>
      </c>
      <c r="K4605">
        <v>0</v>
      </c>
      <c r="L4605">
        <v>3</v>
      </c>
      <c r="M4605">
        <v>0</v>
      </c>
      <c r="N4605">
        <v>2</v>
      </c>
      <c r="O4605">
        <v>1</v>
      </c>
      <c r="P4605">
        <v>0</v>
      </c>
      <c r="Q4605">
        <v>0</v>
      </c>
      <c r="R4605" t="s">
        <v>114</v>
      </c>
      <c r="S4605" t="str">
        <f>"19:54:03.516"</f>
        <v>19:54:03.516</v>
      </c>
      <c r="T4605" t="str">
        <f>"19:54:03.313"</f>
        <v>19:54:03.313</v>
      </c>
      <c r="U4605" t="str">
        <f t="shared" si="218"/>
        <v>a1cdbe</v>
      </c>
      <c r="V4605">
        <v>0</v>
      </c>
      <c r="W4605">
        <v>0</v>
      </c>
      <c r="X4605">
        <v>2</v>
      </c>
      <c r="Y4605">
        <v>0</v>
      </c>
      <c r="Z4605">
        <v>0</v>
      </c>
      <c r="AB4605">
        <v>0</v>
      </c>
      <c r="AC4605">
        <v>9</v>
      </c>
      <c r="AD4605">
        <v>3</v>
      </c>
      <c r="AE4605">
        <v>0</v>
      </c>
      <c r="AF4605">
        <v>9</v>
      </c>
      <c r="AG4605" t="s">
        <v>1307</v>
      </c>
      <c r="AH4605">
        <v>0</v>
      </c>
      <c r="AI4605">
        <v>3</v>
      </c>
      <c r="AJ4605">
        <v>1</v>
      </c>
      <c r="AK4605">
        <v>0</v>
      </c>
      <c r="AL4605" t="s">
        <v>8244</v>
      </c>
      <c r="AM4605">
        <v>47.076459</v>
      </c>
      <c r="AN4605" t="s">
        <v>8245</v>
      </c>
      <c r="AO4605">
        <v>-124.12846999999999</v>
      </c>
      <c r="AP4605">
        <v>100</v>
      </c>
      <c r="AQ4605">
        <v>800</v>
      </c>
      <c r="AR4605" t="s">
        <v>118</v>
      </c>
      <c r="AS4605">
        <v>49</v>
      </c>
      <c r="AT4605">
        <v>14</v>
      </c>
      <c r="AU4605">
        <v>-320</v>
      </c>
      <c r="BC4605">
        <v>1200</v>
      </c>
      <c r="BD4605">
        <v>1</v>
      </c>
      <c r="BE4605" t="str">
        <f t="shared" si="219"/>
        <v xml:space="preserve">N215T   </v>
      </c>
      <c r="BF4605">
        <v>1</v>
      </c>
      <c r="BH4605">
        <v>0</v>
      </c>
      <c r="BI4605">
        <v>0</v>
      </c>
      <c r="BJ4605">
        <v>0</v>
      </c>
      <c r="BK4605">
        <v>1175</v>
      </c>
      <c r="BL4605">
        <v>375</v>
      </c>
      <c r="BM4605" t="s">
        <v>119</v>
      </c>
      <c r="BN4605">
        <v>1</v>
      </c>
      <c r="BO4605">
        <v>1</v>
      </c>
      <c r="BP4605">
        <v>1</v>
      </c>
      <c r="BQ4605">
        <v>0</v>
      </c>
      <c r="BT4605">
        <v>0</v>
      </c>
      <c r="BU4605">
        <v>0</v>
      </c>
      <c r="BV4605">
        <v>0</v>
      </c>
      <c r="CC4605" t="str">
        <f>"19:54:03.523"</f>
        <v>19:54:03.523</v>
      </c>
      <c r="CD4605" t="str">
        <f>"519765387"</f>
        <v>519765387</v>
      </c>
      <c r="CQ4605">
        <v>0</v>
      </c>
      <c r="CR4605">
        <v>2</v>
      </c>
      <c r="CS4605">
        <v>0</v>
      </c>
      <c r="CT4605">
        <v>2</v>
      </c>
      <c r="CU4605">
        <v>0</v>
      </c>
      <c r="CV4605">
        <v>5</v>
      </c>
      <c r="CW4605" t="s">
        <v>120</v>
      </c>
      <c r="CX4605">
        <v>257</v>
      </c>
      <c r="CY4605">
        <v>0</v>
      </c>
      <c r="CZ4605" t="s">
        <v>615</v>
      </c>
      <c r="DA4605" t="s">
        <v>616</v>
      </c>
      <c r="DD4605">
        <v>96403</v>
      </c>
      <c r="DE4605" t="s">
        <v>123</v>
      </c>
    </row>
    <row r="4606" spans="1:109" x14ac:dyDescent="0.3">
      <c r="A4606" t="str">
        <f>"19:54:04.789"</f>
        <v>19:54:04.789</v>
      </c>
      <c r="B4606" t="s">
        <v>110</v>
      </c>
      <c r="C4606" t="str">
        <f t="shared" si="220"/>
        <v>ffdfd3c0</v>
      </c>
      <c r="D4606" t="s">
        <v>111</v>
      </c>
      <c r="E4606">
        <v>18</v>
      </c>
      <c r="F4606">
        <v>1018</v>
      </c>
      <c r="G4606" t="s">
        <v>112</v>
      </c>
      <c r="J4606" t="s">
        <v>113</v>
      </c>
      <c r="K4606">
        <v>0</v>
      </c>
      <c r="L4606">
        <v>3</v>
      </c>
      <c r="M4606">
        <v>0</v>
      </c>
      <c r="N4606">
        <v>2</v>
      </c>
      <c r="O4606">
        <v>1</v>
      </c>
      <c r="P4606">
        <v>0</v>
      </c>
      <c r="Q4606">
        <v>0</v>
      </c>
      <c r="R4606" t="s">
        <v>114</v>
      </c>
      <c r="S4606" t="str">
        <f>"19:54:04.547"</f>
        <v>19:54:04.547</v>
      </c>
      <c r="T4606" t="str">
        <f>"19:54:04.344"</f>
        <v>19:54:04.344</v>
      </c>
      <c r="U4606" t="str">
        <f t="shared" si="218"/>
        <v>a1cdbe</v>
      </c>
      <c r="V4606">
        <v>0</v>
      </c>
      <c r="W4606">
        <v>0</v>
      </c>
      <c r="X4606">
        <v>2</v>
      </c>
      <c r="Y4606">
        <v>0</v>
      </c>
      <c r="Z4606">
        <v>0</v>
      </c>
      <c r="AB4606">
        <v>0</v>
      </c>
      <c r="AC4606">
        <v>9</v>
      </c>
      <c r="AD4606">
        <v>3</v>
      </c>
      <c r="AE4606">
        <v>0</v>
      </c>
      <c r="AF4606">
        <v>9</v>
      </c>
      <c r="AG4606" t="s">
        <v>1307</v>
      </c>
      <c r="AH4606">
        <v>0</v>
      </c>
      <c r="AI4606">
        <v>3</v>
      </c>
      <c r="AJ4606">
        <v>1</v>
      </c>
      <c r="AK4606">
        <v>0</v>
      </c>
      <c r="AL4606" t="s">
        <v>8246</v>
      </c>
      <c r="AM4606">
        <v>47.076566</v>
      </c>
      <c r="AN4606" t="s">
        <v>8247</v>
      </c>
      <c r="AO4606">
        <v>-124.128106</v>
      </c>
      <c r="AP4606">
        <v>100</v>
      </c>
      <c r="AQ4606">
        <v>800</v>
      </c>
      <c r="AR4606" t="s">
        <v>118</v>
      </c>
      <c r="AS4606">
        <v>50</v>
      </c>
      <c r="AT4606">
        <v>12</v>
      </c>
      <c r="AU4606">
        <v>-320</v>
      </c>
      <c r="BC4606">
        <v>1200</v>
      </c>
      <c r="BD4606">
        <v>1</v>
      </c>
      <c r="BE4606" t="str">
        <f t="shared" si="219"/>
        <v xml:space="preserve">N215T   </v>
      </c>
      <c r="BF4606">
        <v>1</v>
      </c>
      <c r="BH4606">
        <v>0</v>
      </c>
      <c r="BI4606">
        <v>0</v>
      </c>
      <c r="BJ4606">
        <v>0</v>
      </c>
      <c r="BK4606">
        <v>1175</v>
      </c>
      <c r="BL4606">
        <v>375</v>
      </c>
      <c r="BM4606" t="s">
        <v>119</v>
      </c>
      <c r="BN4606">
        <v>1</v>
      </c>
      <c r="BO4606">
        <v>1</v>
      </c>
      <c r="BP4606">
        <v>1</v>
      </c>
      <c r="BQ4606">
        <v>0</v>
      </c>
      <c r="BT4606">
        <v>0</v>
      </c>
      <c r="BU4606">
        <v>0</v>
      </c>
      <c r="BV4606">
        <v>0</v>
      </c>
      <c r="CC4606" t="str">
        <f>"19:54:04.555"</f>
        <v>19:54:04.555</v>
      </c>
      <c r="CD4606" t="str">
        <f>"554663385"</f>
        <v>554663385</v>
      </c>
      <c r="CQ4606">
        <v>0</v>
      </c>
      <c r="CR4606">
        <v>2</v>
      </c>
      <c r="CS4606">
        <v>0</v>
      </c>
      <c r="CT4606">
        <v>2</v>
      </c>
      <c r="CU4606">
        <v>0</v>
      </c>
      <c r="CV4606">
        <v>5</v>
      </c>
      <c r="CW4606" t="s">
        <v>120</v>
      </c>
      <c r="CX4606">
        <v>257</v>
      </c>
      <c r="CY4606">
        <v>0</v>
      </c>
      <c r="CZ4606" t="s">
        <v>615</v>
      </c>
      <c r="DA4606" t="s">
        <v>616</v>
      </c>
      <c r="DD4606">
        <v>96731</v>
      </c>
      <c r="DE4606" t="s">
        <v>123</v>
      </c>
    </row>
    <row r="4607" spans="1:109" x14ac:dyDescent="0.3">
      <c r="A4607" t="str">
        <f>"19:54:05.742"</f>
        <v>19:54:05.742</v>
      </c>
      <c r="B4607" t="s">
        <v>110</v>
      </c>
      <c r="C4607" t="str">
        <f t="shared" si="220"/>
        <v>ffdfd3c0</v>
      </c>
      <c r="D4607" t="s">
        <v>111</v>
      </c>
      <c r="E4607">
        <v>18</v>
      </c>
      <c r="F4607">
        <v>1018</v>
      </c>
      <c r="G4607" t="s">
        <v>112</v>
      </c>
      <c r="J4607" t="s">
        <v>113</v>
      </c>
      <c r="K4607">
        <v>0</v>
      </c>
      <c r="L4607">
        <v>3</v>
      </c>
      <c r="M4607">
        <v>0</v>
      </c>
      <c r="N4607">
        <v>2</v>
      </c>
      <c r="O4607">
        <v>1</v>
      </c>
      <c r="P4607">
        <v>0</v>
      </c>
      <c r="Q4607">
        <v>0</v>
      </c>
      <c r="R4607" t="s">
        <v>114</v>
      </c>
      <c r="S4607" t="str">
        <f>"19:54:05.469"</f>
        <v>19:54:05.469</v>
      </c>
      <c r="T4607" t="str">
        <f>"19:54:05.469"</f>
        <v>19:54:05.469</v>
      </c>
      <c r="U4607" t="str">
        <f t="shared" si="218"/>
        <v>a1cdbe</v>
      </c>
      <c r="V4607">
        <v>0</v>
      </c>
      <c r="W4607">
        <v>0</v>
      </c>
      <c r="X4607">
        <v>2</v>
      </c>
      <c r="Y4607">
        <v>0</v>
      </c>
      <c r="Z4607">
        <v>0</v>
      </c>
      <c r="AB4607">
        <v>0</v>
      </c>
      <c r="AC4607">
        <v>9</v>
      </c>
      <c r="AD4607">
        <v>3</v>
      </c>
      <c r="AE4607">
        <v>0</v>
      </c>
      <c r="AF4607">
        <v>9</v>
      </c>
      <c r="AG4607" t="s">
        <v>1307</v>
      </c>
      <c r="AH4607">
        <v>0</v>
      </c>
      <c r="AI4607">
        <v>3</v>
      </c>
      <c r="AJ4607">
        <v>1</v>
      </c>
      <c r="AK4607">
        <v>0</v>
      </c>
      <c r="AL4607" t="s">
        <v>8248</v>
      </c>
      <c r="AM4607">
        <v>47.076608999999998</v>
      </c>
      <c r="AN4607" t="s">
        <v>8249</v>
      </c>
      <c r="AO4607">
        <v>-124.127827</v>
      </c>
      <c r="AP4607">
        <v>100</v>
      </c>
      <c r="AQ4607">
        <v>800</v>
      </c>
      <c r="AR4607" t="s">
        <v>118</v>
      </c>
      <c r="AS4607">
        <v>50</v>
      </c>
      <c r="AT4607">
        <v>10</v>
      </c>
      <c r="AU4607">
        <v>-320</v>
      </c>
      <c r="BC4607">
        <v>1200</v>
      </c>
      <c r="BD4607">
        <v>1</v>
      </c>
      <c r="BE4607" t="str">
        <f t="shared" si="219"/>
        <v xml:space="preserve">N215T   </v>
      </c>
      <c r="BF4607">
        <v>1</v>
      </c>
      <c r="BH4607">
        <v>0</v>
      </c>
      <c r="BI4607">
        <v>0</v>
      </c>
      <c r="BJ4607">
        <v>0</v>
      </c>
      <c r="BK4607">
        <v>1150</v>
      </c>
      <c r="BL4607">
        <v>350</v>
      </c>
      <c r="BM4607" t="s">
        <v>119</v>
      </c>
      <c r="BN4607">
        <v>1</v>
      </c>
      <c r="BO4607">
        <v>1</v>
      </c>
      <c r="BP4607">
        <v>1</v>
      </c>
      <c r="BQ4607">
        <v>0</v>
      </c>
      <c r="BT4607">
        <v>0</v>
      </c>
      <c r="BU4607">
        <v>0</v>
      </c>
      <c r="BV4607">
        <v>0</v>
      </c>
      <c r="CC4607" t="str">
        <f>"19:54:05.469"</f>
        <v>19:54:05.469</v>
      </c>
      <c r="CD4607" t="str">
        <f>"469573192"</f>
        <v>469573192</v>
      </c>
      <c r="CQ4607">
        <v>0</v>
      </c>
      <c r="CR4607">
        <v>2</v>
      </c>
      <c r="CS4607">
        <v>0</v>
      </c>
      <c r="CT4607">
        <v>2</v>
      </c>
      <c r="CU4607">
        <v>0</v>
      </c>
      <c r="CV4607">
        <v>5</v>
      </c>
      <c r="CW4607" t="s">
        <v>120</v>
      </c>
      <c r="CX4607">
        <v>257</v>
      </c>
      <c r="CY4607">
        <v>0</v>
      </c>
      <c r="CZ4607" t="s">
        <v>615</v>
      </c>
      <c r="DA4607" t="s">
        <v>616</v>
      </c>
      <c r="DD4607">
        <v>97047</v>
      </c>
      <c r="DE4607" t="s">
        <v>123</v>
      </c>
    </row>
    <row r="4608" spans="1:109" x14ac:dyDescent="0.3">
      <c r="A4608" t="str">
        <f>"19:54:06.797"</f>
        <v>19:54:06.797</v>
      </c>
      <c r="B4608" t="s">
        <v>110</v>
      </c>
      <c r="C4608" t="str">
        <f t="shared" si="220"/>
        <v>ffdfd3c0</v>
      </c>
      <c r="D4608" t="s">
        <v>111</v>
      </c>
      <c r="E4608">
        <v>18</v>
      </c>
      <c r="F4608">
        <v>1018</v>
      </c>
      <c r="G4608" t="s">
        <v>112</v>
      </c>
      <c r="J4608" t="s">
        <v>113</v>
      </c>
      <c r="K4608">
        <v>0</v>
      </c>
      <c r="L4608">
        <v>3</v>
      </c>
      <c r="M4608">
        <v>0</v>
      </c>
      <c r="N4608">
        <v>2</v>
      </c>
      <c r="O4608">
        <v>1</v>
      </c>
      <c r="P4608">
        <v>0</v>
      </c>
      <c r="Q4608">
        <v>0</v>
      </c>
      <c r="R4608" t="s">
        <v>114</v>
      </c>
      <c r="S4608" t="str">
        <f>"19:54:06.578"</f>
        <v>19:54:06.578</v>
      </c>
      <c r="T4608" t="str">
        <f>"19:54:06.078"</f>
        <v>19:54:06.078</v>
      </c>
      <c r="U4608" t="str">
        <f t="shared" si="218"/>
        <v>a1cdbe</v>
      </c>
      <c r="V4608">
        <v>0</v>
      </c>
      <c r="W4608">
        <v>0</v>
      </c>
      <c r="X4608">
        <v>2</v>
      </c>
      <c r="Y4608">
        <v>0</v>
      </c>
      <c r="Z4608">
        <v>0</v>
      </c>
      <c r="AB4608">
        <v>0</v>
      </c>
      <c r="AC4608">
        <v>9</v>
      </c>
      <c r="AD4608">
        <v>3</v>
      </c>
      <c r="AE4608">
        <v>0</v>
      </c>
      <c r="AF4608">
        <v>9</v>
      </c>
      <c r="AG4608" t="s">
        <v>1307</v>
      </c>
      <c r="AH4608">
        <v>0</v>
      </c>
      <c r="AI4608">
        <v>3</v>
      </c>
      <c r="AJ4608">
        <v>1</v>
      </c>
      <c r="AK4608">
        <v>0</v>
      </c>
      <c r="AL4608" t="s">
        <v>8248</v>
      </c>
      <c r="AM4608">
        <v>47.076608999999998</v>
      </c>
      <c r="AN4608" t="s">
        <v>8250</v>
      </c>
      <c r="AO4608">
        <v>-124.127419</v>
      </c>
      <c r="AP4608">
        <v>100</v>
      </c>
      <c r="AQ4608">
        <v>800</v>
      </c>
      <c r="AR4608" t="s">
        <v>118</v>
      </c>
      <c r="AS4608">
        <v>50</v>
      </c>
      <c r="AT4608">
        <v>9</v>
      </c>
      <c r="AU4608">
        <v>-384</v>
      </c>
      <c r="BC4608">
        <v>1200</v>
      </c>
      <c r="BD4608">
        <v>1</v>
      </c>
      <c r="BE4608" t="str">
        <f t="shared" si="219"/>
        <v xml:space="preserve">N215T   </v>
      </c>
      <c r="BF4608">
        <v>1</v>
      </c>
      <c r="BH4608">
        <v>0</v>
      </c>
      <c r="BI4608">
        <v>0</v>
      </c>
      <c r="BJ4608">
        <v>0</v>
      </c>
      <c r="BK4608">
        <v>1150</v>
      </c>
      <c r="BL4608">
        <v>350</v>
      </c>
      <c r="BM4608" t="s">
        <v>119</v>
      </c>
      <c r="BN4608">
        <v>1</v>
      </c>
      <c r="BO4608">
        <v>1</v>
      </c>
      <c r="BP4608">
        <v>1</v>
      </c>
      <c r="BQ4608">
        <v>0</v>
      </c>
      <c r="BT4608">
        <v>0</v>
      </c>
      <c r="BU4608">
        <v>0</v>
      </c>
      <c r="BV4608">
        <v>0</v>
      </c>
      <c r="CC4608" t="str">
        <f>"19:54:06.578"</f>
        <v>19:54:06.578</v>
      </c>
      <c r="CD4608" t="str">
        <f>"579463801"</f>
        <v>579463801</v>
      </c>
      <c r="CQ4608">
        <v>0</v>
      </c>
      <c r="CR4608">
        <v>2</v>
      </c>
      <c r="CS4608">
        <v>0</v>
      </c>
      <c r="CT4608">
        <v>2</v>
      </c>
      <c r="CU4608">
        <v>0</v>
      </c>
      <c r="CV4608">
        <v>6</v>
      </c>
      <c r="CW4608" t="s">
        <v>120</v>
      </c>
      <c r="CX4608">
        <v>257</v>
      </c>
      <c r="CY4608">
        <v>0</v>
      </c>
      <c r="CZ4608" t="s">
        <v>615</v>
      </c>
      <c r="DA4608" t="s">
        <v>616</v>
      </c>
      <c r="DD4608">
        <v>97417</v>
      </c>
      <c r="DE4608" t="s">
        <v>123</v>
      </c>
    </row>
    <row r="4609" spans="1:109" x14ac:dyDescent="0.3">
      <c r="A4609" t="str">
        <f>"19:54:07.750"</f>
        <v>19:54:07.750</v>
      </c>
      <c r="B4609" t="s">
        <v>110</v>
      </c>
      <c r="C4609" t="str">
        <f t="shared" si="220"/>
        <v>ffdfd3c0</v>
      </c>
      <c r="D4609" t="s">
        <v>111</v>
      </c>
      <c r="E4609">
        <v>18</v>
      </c>
      <c r="F4609">
        <v>1018</v>
      </c>
      <c r="G4609" t="s">
        <v>112</v>
      </c>
      <c r="J4609" t="s">
        <v>113</v>
      </c>
      <c r="K4609">
        <v>0</v>
      </c>
      <c r="L4609">
        <v>3</v>
      </c>
      <c r="M4609">
        <v>0</v>
      </c>
      <c r="N4609">
        <v>2</v>
      </c>
      <c r="O4609">
        <v>1</v>
      </c>
      <c r="P4609">
        <v>0</v>
      </c>
      <c r="Q4609">
        <v>0</v>
      </c>
      <c r="R4609" t="s">
        <v>114</v>
      </c>
      <c r="S4609" t="str">
        <f>"19:54:07.508"</f>
        <v>19:54:07.508</v>
      </c>
      <c r="T4609" t="str">
        <f>"19:54:07.211"</f>
        <v>19:54:07.211</v>
      </c>
      <c r="U4609" t="str">
        <f t="shared" si="218"/>
        <v>a1cdbe</v>
      </c>
      <c r="V4609">
        <v>0</v>
      </c>
      <c r="W4609">
        <v>0</v>
      </c>
      <c r="X4609">
        <v>2</v>
      </c>
      <c r="Y4609">
        <v>0</v>
      </c>
      <c r="Z4609">
        <v>0</v>
      </c>
      <c r="AB4609">
        <v>0</v>
      </c>
      <c r="AC4609">
        <v>9</v>
      </c>
      <c r="AD4609">
        <v>3</v>
      </c>
      <c r="AE4609">
        <v>0</v>
      </c>
      <c r="AF4609">
        <v>9</v>
      </c>
      <c r="AG4609" t="s">
        <v>1307</v>
      </c>
      <c r="AH4609">
        <v>0</v>
      </c>
      <c r="AI4609">
        <v>3</v>
      </c>
      <c r="AJ4609">
        <v>1</v>
      </c>
      <c r="AK4609">
        <v>0</v>
      </c>
      <c r="AL4609" t="s">
        <v>8251</v>
      </c>
      <c r="AM4609">
        <v>47.076652000000003</v>
      </c>
      <c r="AN4609" t="s">
        <v>8252</v>
      </c>
      <c r="AO4609">
        <v>-124.12711899999999</v>
      </c>
      <c r="AP4609">
        <v>100</v>
      </c>
      <c r="AQ4609">
        <v>800</v>
      </c>
      <c r="AR4609" t="s">
        <v>118</v>
      </c>
      <c r="AS4609">
        <v>50</v>
      </c>
      <c r="AT4609">
        <v>7</v>
      </c>
      <c r="AU4609">
        <v>-448</v>
      </c>
      <c r="BC4609">
        <v>1200</v>
      </c>
      <c r="BD4609">
        <v>1</v>
      </c>
      <c r="BE4609" t="str">
        <f t="shared" si="219"/>
        <v xml:space="preserve">N215T   </v>
      </c>
      <c r="BF4609">
        <v>1</v>
      </c>
      <c r="BH4609">
        <v>0</v>
      </c>
      <c r="BI4609">
        <v>0</v>
      </c>
      <c r="BJ4609">
        <v>0</v>
      </c>
      <c r="BK4609">
        <v>1150</v>
      </c>
      <c r="BL4609">
        <v>350</v>
      </c>
      <c r="BM4609" t="s">
        <v>119</v>
      </c>
      <c r="BN4609">
        <v>1</v>
      </c>
      <c r="BO4609">
        <v>1</v>
      </c>
      <c r="BP4609">
        <v>1</v>
      </c>
      <c r="BQ4609">
        <v>0</v>
      </c>
      <c r="BT4609">
        <v>0</v>
      </c>
      <c r="BU4609">
        <v>0</v>
      </c>
      <c r="BV4609">
        <v>0</v>
      </c>
      <c r="CC4609" t="str">
        <f>"19:54:07.508"</f>
        <v>19:54:07.508</v>
      </c>
      <c r="CD4609" t="str">
        <f>"509372133"</f>
        <v>509372133</v>
      </c>
      <c r="CQ4609">
        <v>0</v>
      </c>
      <c r="CR4609">
        <v>2</v>
      </c>
      <c r="CS4609">
        <v>0</v>
      </c>
      <c r="CT4609">
        <v>2</v>
      </c>
      <c r="CU4609">
        <v>0</v>
      </c>
      <c r="CV4609">
        <v>6</v>
      </c>
      <c r="CW4609" t="s">
        <v>120</v>
      </c>
      <c r="CX4609">
        <v>257</v>
      </c>
      <c r="CY4609">
        <v>0</v>
      </c>
      <c r="CZ4609" t="s">
        <v>615</v>
      </c>
      <c r="DA4609" t="s">
        <v>616</v>
      </c>
      <c r="DD4609">
        <v>97726</v>
      </c>
      <c r="DE4609" t="s">
        <v>123</v>
      </c>
    </row>
    <row r="4610" spans="1:109" x14ac:dyDescent="0.3">
      <c r="A4610" t="str">
        <f>"19:54:08.656"</f>
        <v>19:54:08.656</v>
      </c>
      <c r="B4610" t="s">
        <v>110</v>
      </c>
      <c r="C4610" t="str">
        <f t="shared" si="220"/>
        <v>ffdfd3c0</v>
      </c>
      <c r="D4610" t="s">
        <v>111</v>
      </c>
      <c r="E4610">
        <v>18</v>
      </c>
      <c r="F4610">
        <v>1018</v>
      </c>
      <c r="G4610" t="s">
        <v>112</v>
      </c>
      <c r="J4610" t="s">
        <v>113</v>
      </c>
      <c r="K4610">
        <v>0</v>
      </c>
      <c r="L4610">
        <v>3</v>
      </c>
      <c r="M4610">
        <v>0</v>
      </c>
      <c r="N4610">
        <v>2</v>
      </c>
      <c r="O4610">
        <v>1</v>
      </c>
      <c r="P4610">
        <v>0</v>
      </c>
      <c r="Q4610">
        <v>0</v>
      </c>
      <c r="R4610" t="s">
        <v>114</v>
      </c>
      <c r="S4610" t="str">
        <f>"19:54:08.375"</f>
        <v>19:54:08.375</v>
      </c>
      <c r="T4610" t="str">
        <f>"19:54:08.172"</f>
        <v>19:54:08.172</v>
      </c>
      <c r="U4610" t="str">
        <f t="shared" ref="U4610:U4673" si="221">"a1cdbe"</f>
        <v>a1cdbe</v>
      </c>
      <c r="V4610">
        <v>0</v>
      </c>
      <c r="W4610">
        <v>0</v>
      </c>
      <c r="X4610">
        <v>2</v>
      </c>
      <c r="Y4610">
        <v>0</v>
      </c>
      <c r="Z4610">
        <v>0</v>
      </c>
      <c r="AB4610">
        <v>0</v>
      </c>
      <c r="AC4610">
        <v>9</v>
      </c>
      <c r="AD4610">
        <v>3</v>
      </c>
      <c r="AE4610">
        <v>0</v>
      </c>
      <c r="AF4610">
        <v>9</v>
      </c>
      <c r="AG4610" t="s">
        <v>1307</v>
      </c>
      <c r="AH4610">
        <v>0</v>
      </c>
      <c r="AI4610">
        <v>3</v>
      </c>
      <c r="AJ4610">
        <v>1</v>
      </c>
      <c r="AK4610">
        <v>0</v>
      </c>
      <c r="AL4610" t="s">
        <v>8251</v>
      </c>
      <c r="AM4610">
        <v>47.076652000000003</v>
      </c>
      <c r="AN4610" t="s">
        <v>8253</v>
      </c>
      <c r="AO4610">
        <v>-124.12684</v>
      </c>
      <c r="AP4610">
        <v>100</v>
      </c>
      <c r="AQ4610">
        <v>800</v>
      </c>
      <c r="AR4610" t="s">
        <v>118</v>
      </c>
      <c r="AS4610">
        <v>50</v>
      </c>
      <c r="AT4610">
        <v>6</v>
      </c>
      <c r="AU4610">
        <v>-512</v>
      </c>
      <c r="BC4610">
        <v>1200</v>
      </c>
      <c r="BD4610">
        <v>1</v>
      </c>
      <c r="BE4610" t="str">
        <f t="shared" ref="BE4610:BE4673" si="222">"N215T   "</f>
        <v xml:space="preserve">N215T   </v>
      </c>
      <c r="BF4610">
        <v>1</v>
      </c>
      <c r="BH4610">
        <v>0</v>
      </c>
      <c r="BI4610">
        <v>0</v>
      </c>
      <c r="BJ4610">
        <v>0</v>
      </c>
      <c r="BK4610">
        <v>1150</v>
      </c>
      <c r="BL4610">
        <v>350</v>
      </c>
      <c r="BM4610" t="s">
        <v>119</v>
      </c>
      <c r="BN4610">
        <v>1</v>
      </c>
      <c r="BO4610">
        <v>1</v>
      </c>
      <c r="BP4610">
        <v>1</v>
      </c>
      <c r="BQ4610">
        <v>0</v>
      </c>
      <c r="BT4610">
        <v>0</v>
      </c>
      <c r="BU4610">
        <v>0</v>
      </c>
      <c r="BV4610">
        <v>0</v>
      </c>
      <c r="CC4610" t="str">
        <f>"19:54:08.383"</f>
        <v>19:54:08.383</v>
      </c>
      <c r="CD4610" t="str">
        <f>"379286370"</f>
        <v>379286370</v>
      </c>
      <c r="CQ4610">
        <v>0</v>
      </c>
      <c r="CR4610">
        <v>2</v>
      </c>
      <c r="CS4610">
        <v>0</v>
      </c>
      <c r="CT4610">
        <v>2</v>
      </c>
      <c r="CU4610">
        <v>0</v>
      </c>
      <c r="CV4610">
        <v>6</v>
      </c>
      <c r="CW4610" t="s">
        <v>120</v>
      </c>
      <c r="CX4610">
        <v>257</v>
      </c>
      <c r="CY4610">
        <v>0</v>
      </c>
      <c r="CZ4610" t="s">
        <v>615</v>
      </c>
      <c r="DA4610" t="s">
        <v>616</v>
      </c>
      <c r="DD4610">
        <v>98013</v>
      </c>
      <c r="DE4610" t="s">
        <v>123</v>
      </c>
    </row>
    <row r="4611" spans="1:109" x14ac:dyDescent="0.3">
      <c r="A4611" t="str">
        <f>"19:54:09.711"</f>
        <v>19:54:09.711</v>
      </c>
      <c r="B4611" t="s">
        <v>110</v>
      </c>
      <c r="C4611" t="str">
        <f t="shared" si="220"/>
        <v>ffdfd3c0</v>
      </c>
      <c r="D4611" t="s">
        <v>111</v>
      </c>
      <c r="E4611">
        <v>18</v>
      </c>
      <c r="F4611">
        <v>1018</v>
      </c>
      <c r="G4611" t="s">
        <v>112</v>
      </c>
      <c r="J4611" t="s">
        <v>113</v>
      </c>
      <c r="K4611">
        <v>0</v>
      </c>
      <c r="L4611">
        <v>3</v>
      </c>
      <c r="M4611">
        <v>0</v>
      </c>
      <c r="N4611">
        <v>2</v>
      </c>
      <c r="O4611">
        <v>1</v>
      </c>
      <c r="P4611">
        <v>0</v>
      </c>
      <c r="Q4611">
        <v>0</v>
      </c>
      <c r="R4611" t="s">
        <v>114</v>
      </c>
      <c r="S4611" t="str">
        <f>"19:54:09.438"</f>
        <v>19:54:09.438</v>
      </c>
      <c r="T4611" t="str">
        <f>"19:54:09.141"</f>
        <v>19:54:09.141</v>
      </c>
      <c r="U4611" t="str">
        <f t="shared" si="221"/>
        <v>a1cdbe</v>
      </c>
      <c r="V4611">
        <v>0</v>
      </c>
      <c r="W4611">
        <v>0</v>
      </c>
      <c r="X4611">
        <v>2</v>
      </c>
      <c r="Y4611">
        <v>0</v>
      </c>
      <c r="Z4611">
        <v>0</v>
      </c>
      <c r="AB4611">
        <v>0</v>
      </c>
      <c r="AC4611">
        <v>9</v>
      </c>
      <c r="AD4611">
        <v>3</v>
      </c>
      <c r="AE4611">
        <v>0</v>
      </c>
      <c r="AF4611">
        <v>9</v>
      </c>
      <c r="AG4611" t="s">
        <v>1307</v>
      </c>
      <c r="AH4611">
        <v>0</v>
      </c>
      <c r="AI4611">
        <v>3</v>
      </c>
      <c r="AJ4611">
        <v>1</v>
      </c>
      <c r="AK4611">
        <v>0</v>
      </c>
      <c r="AL4611" t="s">
        <v>8254</v>
      </c>
      <c r="AM4611">
        <v>47.076695000000001</v>
      </c>
      <c r="AN4611" t="s">
        <v>8255</v>
      </c>
      <c r="AO4611">
        <v>-124.126496</v>
      </c>
      <c r="AP4611">
        <v>100</v>
      </c>
      <c r="AQ4611">
        <v>700</v>
      </c>
      <c r="AR4611" t="s">
        <v>118</v>
      </c>
      <c r="AS4611">
        <v>50</v>
      </c>
      <c r="AT4611">
        <v>4</v>
      </c>
      <c r="AU4611">
        <v>-640</v>
      </c>
      <c r="BC4611">
        <v>1200</v>
      </c>
      <c r="BD4611">
        <v>1</v>
      </c>
      <c r="BE4611" t="str">
        <f t="shared" si="222"/>
        <v xml:space="preserve">N215T   </v>
      </c>
      <c r="BF4611">
        <v>1</v>
      </c>
      <c r="BH4611">
        <v>0</v>
      </c>
      <c r="BI4611">
        <v>0</v>
      </c>
      <c r="BJ4611">
        <v>0</v>
      </c>
      <c r="BK4611">
        <v>1125</v>
      </c>
      <c r="BL4611">
        <v>425</v>
      </c>
      <c r="BM4611" t="s">
        <v>119</v>
      </c>
      <c r="BN4611">
        <v>1</v>
      </c>
      <c r="BO4611">
        <v>1</v>
      </c>
      <c r="BP4611">
        <v>1</v>
      </c>
      <c r="BQ4611">
        <v>0</v>
      </c>
      <c r="BT4611">
        <v>0</v>
      </c>
      <c r="BU4611">
        <v>0</v>
      </c>
      <c r="BV4611">
        <v>0</v>
      </c>
      <c r="CC4611" t="str">
        <f>"19:54:09.445"</f>
        <v>19:54:09.445</v>
      </c>
      <c r="CD4611" t="str">
        <f>"444181402"</f>
        <v>444181402</v>
      </c>
      <c r="CQ4611">
        <v>0</v>
      </c>
      <c r="CR4611">
        <v>2</v>
      </c>
      <c r="CS4611">
        <v>0</v>
      </c>
      <c r="CT4611">
        <v>2</v>
      </c>
      <c r="CU4611">
        <v>0</v>
      </c>
      <c r="CV4611">
        <v>6</v>
      </c>
      <c r="CW4611" t="s">
        <v>120</v>
      </c>
      <c r="CX4611">
        <v>257</v>
      </c>
      <c r="CY4611">
        <v>3</v>
      </c>
      <c r="CZ4611" t="s">
        <v>615</v>
      </c>
      <c r="DA4611" t="s">
        <v>616</v>
      </c>
      <c r="DD4611">
        <v>9552211</v>
      </c>
      <c r="DE4611" t="s">
        <v>123</v>
      </c>
    </row>
    <row r="4612" spans="1:109" x14ac:dyDescent="0.3">
      <c r="A4612" t="str">
        <f>"19:54:10.867"</f>
        <v>19:54:10.867</v>
      </c>
      <c r="B4612" t="s">
        <v>110</v>
      </c>
      <c r="C4612" t="str">
        <f t="shared" si="220"/>
        <v>ffdfd3c0</v>
      </c>
      <c r="D4612" t="s">
        <v>111</v>
      </c>
      <c r="E4612">
        <v>18</v>
      </c>
      <c r="F4612">
        <v>1018</v>
      </c>
      <c r="G4612" t="s">
        <v>112</v>
      </c>
      <c r="J4612" t="s">
        <v>113</v>
      </c>
      <c r="K4612">
        <v>0</v>
      </c>
      <c r="L4612">
        <v>3</v>
      </c>
      <c r="M4612">
        <v>0</v>
      </c>
      <c r="N4612">
        <v>2</v>
      </c>
      <c r="O4612">
        <v>1</v>
      </c>
      <c r="P4612">
        <v>0</v>
      </c>
      <c r="Q4612">
        <v>0</v>
      </c>
      <c r="R4612" t="s">
        <v>114</v>
      </c>
      <c r="S4612" t="str">
        <f>"19:54:10.625"</f>
        <v>19:54:10.625</v>
      </c>
      <c r="T4612" t="str">
        <f>"19:54:10.625"</f>
        <v>19:54:10.625</v>
      </c>
      <c r="U4612" t="str">
        <f t="shared" si="221"/>
        <v>a1cdbe</v>
      </c>
      <c r="V4612">
        <v>0</v>
      </c>
      <c r="W4612">
        <v>0</v>
      </c>
      <c r="X4612">
        <v>2</v>
      </c>
      <c r="Y4612">
        <v>0</v>
      </c>
      <c r="Z4612">
        <v>0</v>
      </c>
      <c r="AB4612">
        <v>0</v>
      </c>
      <c r="AC4612">
        <v>9</v>
      </c>
      <c r="AD4612">
        <v>3</v>
      </c>
      <c r="AE4612">
        <v>0</v>
      </c>
      <c r="AF4612">
        <v>9</v>
      </c>
      <c r="AG4612" t="s">
        <v>1307</v>
      </c>
      <c r="AH4612">
        <v>0</v>
      </c>
      <c r="AI4612">
        <v>3</v>
      </c>
      <c r="AJ4612">
        <v>1</v>
      </c>
      <c r="AK4612">
        <v>0</v>
      </c>
      <c r="AL4612" t="s">
        <v>8254</v>
      </c>
      <c r="AM4612">
        <v>47.076695000000001</v>
      </c>
      <c r="AN4612" t="s">
        <v>8256</v>
      </c>
      <c r="AO4612">
        <v>-124.126003</v>
      </c>
      <c r="AP4612">
        <v>100</v>
      </c>
      <c r="AQ4612">
        <v>700</v>
      </c>
      <c r="AR4612" t="s">
        <v>118</v>
      </c>
      <c r="AS4612">
        <v>51</v>
      </c>
      <c r="AT4612">
        <v>1</v>
      </c>
      <c r="AU4612">
        <v>-832</v>
      </c>
      <c r="BC4612">
        <v>1200</v>
      </c>
      <c r="BD4612">
        <v>1</v>
      </c>
      <c r="BE4612" t="str">
        <f t="shared" si="222"/>
        <v xml:space="preserve">N215T   </v>
      </c>
      <c r="BF4612">
        <v>1</v>
      </c>
      <c r="BH4612">
        <v>0</v>
      </c>
      <c r="BI4612">
        <v>0</v>
      </c>
      <c r="BJ4612">
        <v>0</v>
      </c>
      <c r="BK4612">
        <v>1125</v>
      </c>
      <c r="BL4612">
        <v>425</v>
      </c>
      <c r="BM4612" t="s">
        <v>119</v>
      </c>
      <c r="BN4612">
        <v>1</v>
      </c>
      <c r="BO4612">
        <v>1</v>
      </c>
      <c r="BP4612">
        <v>1</v>
      </c>
      <c r="BQ4612">
        <v>0</v>
      </c>
      <c r="BT4612">
        <v>0</v>
      </c>
      <c r="BU4612">
        <v>0</v>
      </c>
      <c r="BV4612">
        <v>0</v>
      </c>
      <c r="CC4612" t="str">
        <f>"19:54:10.633"</f>
        <v>19:54:10.633</v>
      </c>
      <c r="CD4612" t="str">
        <f>"629064594"</f>
        <v>629064594</v>
      </c>
      <c r="CQ4612">
        <v>0</v>
      </c>
      <c r="CR4612">
        <v>2</v>
      </c>
      <c r="CS4612">
        <v>0</v>
      </c>
      <c r="CT4612">
        <v>2</v>
      </c>
      <c r="CU4612">
        <v>0</v>
      </c>
      <c r="CV4612">
        <v>7</v>
      </c>
      <c r="CW4612" t="s">
        <v>120</v>
      </c>
      <c r="CX4612">
        <v>257</v>
      </c>
      <c r="CY4612">
        <v>0</v>
      </c>
      <c r="CZ4612" t="s">
        <v>615</v>
      </c>
      <c r="DA4612" t="s">
        <v>616</v>
      </c>
      <c r="DD4612">
        <v>98755</v>
      </c>
      <c r="DE4612" t="s">
        <v>123</v>
      </c>
    </row>
    <row r="4613" spans="1:109" x14ac:dyDescent="0.3">
      <c r="A4613" t="str">
        <f>"19:54:11.977"</f>
        <v>19:54:11.977</v>
      </c>
      <c r="B4613" t="s">
        <v>110</v>
      </c>
      <c r="C4613" t="str">
        <f t="shared" si="220"/>
        <v>ffdfd3c0</v>
      </c>
      <c r="D4613" t="s">
        <v>111</v>
      </c>
      <c r="E4613">
        <v>18</v>
      </c>
      <c r="F4613">
        <v>1018</v>
      </c>
      <c r="G4613" t="s">
        <v>112</v>
      </c>
      <c r="J4613" t="s">
        <v>113</v>
      </c>
      <c r="K4613">
        <v>0</v>
      </c>
      <c r="L4613">
        <v>3</v>
      </c>
      <c r="M4613">
        <v>0</v>
      </c>
      <c r="N4613">
        <v>2</v>
      </c>
      <c r="O4613">
        <v>1</v>
      </c>
      <c r="P4613">
        <v>0</v>
      </c>
      <c r="Q4613">
        <v>0</v>
      </c>
      <c r="R4613" t="s">
        <v>114</v>
      </c>
      <c r="S4613" t="str">
        <f>"19:54:11.719"</f>
        <v>19:54:11.719</v>
      </c>
      <c r="T4613" t="str">
        <f>"19:54:11.422"</f>
        <v>19:54:11.422</v>
      </c>
      <c r="U4613" t="str">
        <f t="shared" si="221"/>
        <v>a1cdbe</v>
      </c>
      <c r="V4613">
        <v>0</v>
      </c>
      <c r="W4613">
        <v>0</v>
      </c>
      <c r="X4613">
        <v>2</v>
      </c>
      <c r="Y4613">
        <v>0</v>
      </c>
      <c r="Z4613">
        <v>0</v>
      </c>
      <c r="AB4613">
        <v>0</v>
      </c>
      <c r="AC4613">
        <v>9</v>
      </c>
      <c r="AD4613">
        <v>3</v>
      </c>
      <c r="AE4613">
        <v>0</v>
      </c>
      <c r="AF4613">
        <v>9</v>
      </c>
      <c r="AG4613" t="s">
        <v>1307</v>
      </c>
      <c r="AH4613">
        <v>0</v>
      </c>
      <c r="AI4613">
        <v>3</v>
      </c>
      <c r="AJ4613">
        <v>1</v>
      </c>
      <c r="AK4613">
        <v>0</v>
      </c>
      <c r="AL4613" t="s">
        <v>8254</v>
      </c>
      <c r="AM4613">
        <v>47.076695000000001</v>
      </c>
      <c r="AN4613" t="s">
        <v>8159</v>
      </c>
      <c r="AO4613">
        <v>-124.125659</v>
      </c>
      <c r="AP4613">
        <v>100</v>
      </c>
      <c r="AQ4613">
        <v>700</v>
      </c>
      <c r="AR4613" t="s">
        <v>118</v>
      </c>
      <c r="AS4613">
        <v>52</v>
      </c>
      <c r="AT4613">
        <v>0</v>
      </c>
      <c r="AU4613">
        <v>-896</v>
      </c>
      <c r="BC4613">
        <v>1200</v>
      </c>
      <c r="BD4613">
        <v>1</v>
      </c>
      <c r="BE4613" t="str">
        <f t="shared" si="222"/>
        <v xml:space="preserve">N215T   </v>
      </c>
      <c r="BF4613">
        <v>1</v>
      </c>
      <c r="BH4613">
        <v>0</v>
      </c>
      <c r="BI4613">
        <v>0</v>
      </c>
      <c r="BJ4613">
        <v>0</v>
      </c>
      <c r="BK4613">
        <v>1100</v>
      </c>
      <c r="BL4613">
        <v>400</v>
      </c>
      <c r="BM4613" t="s">
        <v>119</v>
      </c>
      <c r="BN4613">
        <v>1</v>
      </c>
      <c r="BO4613">
        <v>1</v>
      </c>
      <c r="BP4613">
        <v>1</v>
      </c>
      <c r="BQ4613">
        <v>0</v>
      </c>
      <c r="BT4613">
        <v>0</v>
      </c>
      <c r="BU4613">
        <v>0</v>
      </c>
      <c r="BV4613">
        <v>0</v>
      </c>
      <c r="CC4613" t="str">
        <f>"19:54:11.727"</f>
        <v>19:54:11.727</v>
      </c>
      <c r="CD4613" t="str">
        <f>"723956647"</f>
        <v>723956647</v>
      </c>
      <c r="CQ4613">
        <v>0</v>
      </c>
      <c r="CR4613">
        <v>2</v>
      </c>
      <c r="CS4613">
        <v>0</v>
      </c>
      <c r="CT4613">
        <v>2</v>
      </c>
      <c r="CU4613">
        <v>0</v>
      </c>
      <c r="CV4613">
        <v>7</v>
      </c>
      <c r="CW4613" t="s">
        <v>120</v>
      </c>
      <c r="CX4613">
        <v>257</v>
      </c>
      <c r="CY4613">
        <v>0</v>
      </c>
      <c r="CZ4613" t="s">
        <v>615</v>
      </c>
      <c r="DA4613" t="s">
        <v>616</v>
      </c>
      <c r="DD4613">
        <v>99138</v>
      </c>
      <c r="DE4613" t="s">
        <v>123</v>
      </c>
    </row>
    <row r="4614" spans="1:109" x14ac:dyDescent="0.3">
      <c r="A4614" t="str">
        <f>"19:54:12.930"</f>
        <v>19:54:12.930</v>
      </c>
      <c r="B4614" t="s">
        <v>110</v>
      </c>
      <c r="C4614" t="str">
        <f t="shared" si="220"/>
        <v>ffdfd3c0</v>
      </c>
      <c r="D4614" t="s">
        <v>111</v>
      </c>
      <c r="E4614">
        <v>18</v>
      </c>
      <c r="F4614">
        <v>1018</v>
      </c>
      <c r="G4614" t="s">
        <v>112</v>
      </c>
      <c r="J4614" t="s">
        <v>113</v>
      </c>
      <c r="K4614">
        <v>0</v>
      </c>
      <c r="L4614">
        <v>3</v>
      </c>
      <c r="M4614">
        <v>0</v>
      </c>
      <c r="N4614">
        <v>2</v>
      </c>
      <c r="O4614">
        <v>1</v>
      </c>
      <c r="P4614">
        <v>0</v>
      </c>
      <c r="Q4614">
        <v>0</v>
      </c>
      <c r="R4614" t="s">
        <v>114</v>
      </c>
      <c r="S4614" t="str">
        <f>"19:54:12.664"</f>
        <v>19:54:12.664</v>
      </c>
      <c r="T4614" t="str">
        <f>"19:54:12.461"</f>
        <v>19:54:12.461</v>
      </c>
      <c r="U4614" t="str">
        <f t="shared" si="221"/>
        <v>a1cdbe</v>
      </c>
      <c r="V4614">
        <v>0</v>
      </c>
      <c r="W4614">
        <v>0</v>
      </c>
      <c r="X4614">
        <v>2</v>
      </c>
      <c r="Y4614">
        <v>0</v>
      </c>
      <c r="Z4614">
        <v>0</v>
      </c>
      <c r="AB4614">
        <v>0</v>
      </c>
      <c r="AC4614">
        <v>9</v>
      </c>
      <c r="AD4614">
        <v>3</v>
      </c>
      <c r="AE4614">
        <v>0</v>
      </c>
      <c r="AF4614">
        <v>9</v>
      </c>
      <c r="AG4614" t="s">
        <v>1307</v>
      </c>
      <c r="AH4614">
        <v>0</v>
      </c>
      <c r="AI4614">
        <v>3</v>
      </c>
      <c r="AJ4614">
        <v>1</v>
      </c>
      <c r="AK4614">
        <v>0</v>
      </c>
      <c r="AL4614" t="s">
        <v>8254</v>
      </c>
      <c r="AM4614">
        <v>47.076695000000001</v>
      </c>
      <c r="AN4614" t="s">
        <v>8257</v>
      </c>
      <c r="AO4614">
        <v>-124.125359</v>
      </c>
      <c r="AP4614">
        <v>100</v>
      </c>
      <c r="AQ4614">
        <v>700</v>
      </c>
      <c r="AR4614" t="s">
        <v>118</v>
      </c>
      <c r="AS4614">
        <v>52</v>
      </c>
      <c r="AT4614">
        <v>-2</v>
      </c>
      <c r="AU4614">
        <v>-832</v>
      </c>
      <c r="BC4614">
        <v>1200</v>
      </c>
      <c r="BD4614">
        <v>1</v>
      </c>
      <c r="BE4614" t="str">
        <f t="shared" si="222"/>
        <v xml:space="preserve">N215T   </v>
      </c>
      <c r="BF4614">
        <v>1</v>
      </c>
      <c r="BH4614">
        <v>0</v>
      </c>
      <c r="BI4614">
        <v>0</v>
      </c>
      <c r="BJ4614">
        <v>0</v>
      </c>
      <c r="BK4614">
        <v>1100</v>
      </c>
      <c r="BL4614">
        <v>400</v>
      </c>
      <c r="BM4614" t="s">
        <v>119</v>
      </c>
      <c r="BN4614">
        <v>1</v>
      </c>
      <c r="BO4614">
        <v>1</v>
      </c>
      <c r="BP4614">
        <v>1</v>
      </c>
      <c r="BQ4614">
        <v>0</v>
      </c>
      <c r="BT4614">
        <v>0</v>
      </c>
      <c r="BU4614">
        <v>0</v>
      </c>
      <c r="BV4614">
        <v>0</v>
      </c>
      <c r="CC4614" t="str">
        <f>"19:54:12.672"</f>
        <v>19:54:12.672</v>
      </c>
      <c r="CD4614" t="str">
        <f>"668863485"</f>
        <v>668863485</v>
      </c>
      <c r="CQ4614">
        <v>0</v>
      </c>
      <c r="CR4614">
        <v>2</v>
      </c>
      <c r="CS4614">
        <v>0</v>
      </c>
      <c r="CT4614">
        <v>2</v>
      </c>
      <c r="CU4614">
        <v>0</v>
      </c>
      <c r="CV4614">
        <v>6</v>
      </c>
      <c r="CW4614" t="s">
        <v>120</v>
      </c>
      <c r="CX4614">
        <v>257</v>
      </c>
      <c r="CY4614">
        <v>0</v>
      </c>
      <c r="CZ4614" t="s">
        <v>615</v>
      </c>
      <c r="DA4614" t="s">
        <v>616</v>
      </c>
      <c r="DD4614">
        <v>99468</v>
      </c>
      <c r="DE4614" t="s">
        <v>123</v>
      </c>
    </row>
    <row r="4615" spans="1:109" x14ac:dyDescent="0.3">
      <c r="A4615" t="str">
        <f>"19:54:13.836"</f>
        <v>19:54:13.836</v>
      </c>
      <c r="B4615" t="s">
        <v>110</v>
      </c>
      <c r="C4615" t="str">
        <f t="shared" si="220"/>
        <v>ffdfd3c0</v>
      </c>
      <c r="D4615" t="s">
        <v>111</v>
      </c>
      <c r="E4615">
        <v>18</v>
      </c>
      <c r="F4615">
        <v>1018</v>
      </c>
      <c r="G4615" t="s">
        <v>112</v>
      </c>
      <c r="J4615" t="s">
        <v>113</v>
      </c>
      <c r="K4615">
        <v>0</v>
      </c>
      <c r="L4615">
        <v>3</v>
      </c>
      <c r="M4615">
        <v>0</v>
      </c>
      <c r="N4615">
        <v>2</v>
      </c>
      <c r="O4615">
        <v>1</v>
      </c>
      <c r="P4615">
        <v>0</v>
      </c>
      <c r="Q4615">
        <v>0</v>
      </c>
      <c r="R4615" t="s">
        <v>114</v>
      </c>
      <c r="S4615" t="str">
        <f>"19:54:13.609"</f>
        <v>19:54:13.609</v>
      </c>
      <c r="T4615" t="str">
        <f>"19:54:13.109"</f>
        <v>19:54:13.109</v>
      </c>
      <c r="U4615" t="str">
        <f t="shared" si="221"/>
        <v>a1cdbe</v>
      </c>
      <c r="V4615">
        <v>0</v>
      </c>
      <c r="W4615">
        <v>0</v>
      </c>
      <c r="X4615">
        <v>2</v>
      </c>
      <c r="Y4615">
        <v>0</v>
      </c>
      <c r="Z4615">
        <v>0</v>
      </c>
      <c r="AB4615">
        <v>0</v>
      </c>
      <c r="AC4615">
        <v>9</v>
      </c>
      <c r="AD4615">
        <v>3</v>
      </c>
      <c r="AE4615">
        <v>0</v>
      </c>
      <c r="AF4615">
        <v>9</v>
      </c>
      <c r="AG4615" t="s">
        <v>1307</v>
      </c>
      <c r="AH4615">
        <v>0</v>
      </c>
      <c r="AI4615">
        <v>3</v>
      </c>
      <c r="AJ4615">
        <v>1</v>
      </c>
      <c r="AK4615">
        <v>0</v>
      </c>
      <c r="AL4615" t="s">
        <v>8254</v>
      </c>
      <c r="AM4615">
        <v>47.076695000000001</v>
      </c>
      <c r="AN4615" t="s">
        <v>8258</v>
      </c>
      <c r="AO4615">
        <v>-124.124973</v>
      </c>
      <c r="AP4615">
        <v>100</v>
      </c>
      <c r="AQ4615">
        <v>700</v>
      </c>
      <c r="AR4615" t="s">
        <v>118</v>
      </c>
      <c r="AS4615">
        <v>53</v>
      </c>
      <c r="AT4615">
        <v>-3</v>
      </c>
      <c r="AU4615">
        <v>-768</v>
      </c>
      <c r="BC4615">
        <v>1200</v>
      </c>
      <c r="BD4615">
        <v>1</v>
      </c>
      <c r="BE4615" t="str">
        <f t="shared" si="222"/>
        <v xml:space="preserve">N215T   </v>
      </c>
      <c r="BF4615">
        <v>1</v>
      </c>
      <c r="BH4615">
        <v>0</v>
      </c>
      <c r="BI4615">
        <v>0</v>
      </c>
      <c r="BJ4615">
        <v>0</v>
      </c>
      <c r="BK4615">
        <v>1075</v>
      </c>
      <c r="BL4615">
        <v>375</v>
      </c>
      <c r="BM4615" t="s">
        <v>119</v>
      </c>
      <c r="BN4615">
        <v>1</v>
      </c>
      <c r="BO4615">
        <v>1</v>
      </c>
      <c r="BP4615">
        <v>1</v>
      </c>
      <c r="BQ4615">
        <v>0</v>
      </c>
      <c r="BT4615">
        <v>0</v>
      </c>
      <c r="BU4615">
        <v>0</v>
      </c>
      <c r="BV4615">
        <v>0</v>
      </c>
      <c r="CC4615" t="str">
        <f>"19:54:13.617"</f>
        <v>19:54:13.617</v>
      </c>
      <c r="CD4615" t="str">
        <f>"613770323"</f>
        <v>613770323</v>
      </c>
      <c r="CQ4615">
        <v>0</v>
      </c>
      <c r="CR4615">
        <v>2</v>
      </c>
      <c r="CS4615">
        <v>0</v>
      </c>
      <c r="CT4615">
        <v>2</v>
      </c>
      <c r="CU4615">
        <v>0</v>
      </c>
      <c r="CV4615">
        <v>7</v>
      </c>
      <c r="CW4615" t="s">
        <v>120</v>
      </c>
      <c r="CX4615">
        <v>257</v>
      </c>
      <c r="CY4615">
        <v>0</v>
      </c>
      <c r="CZ4615" t="s">
        <v>615</v>
      </c>
      <c r="DA4615" t="s">
        <v>616</v>
      </c>
      <c r="DD4615">
        <v>99774</v>
      </c>
      <c r="DE4615" t="s">
        <v>123</v>
      </c>
    </row>
    <row r="4616" spans="1:109" x14ac:dyDescent="0.3">
      <c r="A4616" t="str">
        <f>"19:54:14.742"</f>
        <v>19:54:14.742</v>
      </c>
      <c r="B4616" t="s">
        <v>110</v>
      </c>
      <c r="C4616" t="str">
        <f t="shared" si="220"/>
        <v>ffdfd3c0</v>
      </c>
      <c r="D4616" t="s">
        <v>111</v>
      </c>
      <c r="E4616">
        <v>18</v>
      </c>
      <c r="F4616">
        <v>1018</v>
      </c>
      <c r="G4616" t="s">
        <v>112</v>
      </c>
      <c r="J4616" t="s">
        <v>113</v>
      </c>
      <c r="K4616">
        <v>0</v>
      </c>
      <c r="L4616">
        <v>3</v>
      </c>
      <c r="M4616">
        <v>0</v>
      </c>
      <c r="N4616">
        <v>2</v>
      </c>
      <c r="O4616">
        <v>1</v>
      </c>
      <c r="P4616">
        <v>0</v>
      </c>
      <c r="Q4616">
        <v>0</v>
      </c>
      <c r="R4616" t="s">
        <v>114</v>
      </c>
      <c r="S4616" t="str">
        <f>"19:54:14.461"</f>
        <v>19:54:14.461</v>
      </c>
      <c r="T4616" t="str">
        <f>"19:54:14.063"</f>
        <v>19:54:14.063</v>
      </c>
      <c r="U4616" t="str">
        <f t="shared" si="221"/>
        <v>a1cdbe</v>
      </c>
      <c r="V4616">
        <v>0</v>
      </c>
      <c r="W4616">
        <v>0</v>
      </c>
      <c r="X4616">
        <v>2</v>
      </c>
      <c r="Y4616">
        <v>0</v>
      </c>
      <c r="Z4616">
        <v>0</v>
      </c>
      <c r="AB4616">
        <v>0</v>
      </c>
      <c r="AC4616">
        <v>9</v>
      </c>
      <c r="AD4616">
        <v>3</v>
      </c>
      <c r="AE4616">
        <v>0</v>
      </c>
      <c r="AF4616">
        <v>9</v>
      </c>
      <c r="AG4616" t="s">
        <v>1307</v>
      </c>
      <c r="AH4616">
        <v>0</v>
      </c>
      <c r="AI4616">
        <v>3</v>
      </c>
      <c r="AJ4616">
        <v>1</v>
      </c>
      <c r="AK4616">
        <v>0</v>
      </c>
      <c r="AL4616" t="s">
        <v>8251</v>
      </c>
      <c r="AM4616">
        <v>47.076652000000003</v>
      </c>
      <c r="AN4616" t="s">
        <v>8259</v>
      </c>
      <c r="AO4616">
        <v>-124.12469400000001</v>
      </c>
      <c r="AP4616">
        <v>100</v>
      </c>
      <c r="AQ4616">
        <v>700</v>
      </c>
      <c r="AR4616" t="s">
        <v>118</v>
      </c>
      <c r="AS4616">
        <v>53</v>
      </c>
      <c r="AT4616">
        <v>-4</v>
      </c>
      <c r="AU4616">
        <v>-640</v>
      </c>
      <c r="BC4616">
        <v>1200</v>
      </c>
      <c r="BD4616">
        <v>1</v>
      </c>
      <c r="BE4616" t="str">
        <f t="shared" si="222"/>
        <v xml:space="preserve">N215T   </v>
      </c>
      <c r="BF4616">
        <v>1</v>
      </c>
      <c r="BH4616">
        <v>0</v>
      </c>
      <c r="BI4616">
        <v>0</v>
      </c>
      <c r="BJ4616">
        <v>0</v>
      </c>
      <c r="BK4616">
        <v>1075</v>
      </c>
      <c r="BL4616">
        <v>375</v>
      </c>
      <c r="BM4616" t="s">
        <v>119</v>
      </c>
      <c r="BN4616">
        <v>1</v>
      </c>
      <c r="BO4616">
        <v>1</v>
      </c>
      <c r="BP4616">
        <v>1</v>
      </c>
      <c r="BQ4616">
        <v>0</v>
      </c>
      <c r="BT4616">
        <v>0</v>
      </c>
      <c r="BU4616">
        <v>0</v>
      </c>
      <c r="BV4616">
        <v>0</v>
      </c>
      <c r="CC4616" t="str">
        <f>"19:54:14.469"</f>
        <v>19:54:14.469</v>
      </c>
      <c r="CD4616" t="str">
        <f>"468686030"</f>
        <v>468686030</v>
      </c>
      <c r="CQ4616">
        <v>0</v>
      </c>
      <c r="CR4616">
        <v>2</v>
      </c>
      <c r="CS4616">
        <v>0</v>
      </c>
      <c r="CT4616">
        <v>2</v>
      </c>
      <c r="CU4616">
        <v>0</v>
      </c>
      <c r="CV4616">
        <v>7</v>
      </c>
      <c r="CW4616" t="s">
        <v>120</v>
      </c>
      <c r="CX4616">
        <v>257</v>
      </c>
      <c r="CY4616">
        <v>0</v>
      </c>
      <c r="CZ4616" t="s">
        <v>615</v>
      </c>
      <c r="DA4616" t="s">
        <v>616</v>
      </c>
      <c r="DD4616">
        <v>100066</v>
      </c>
      <c r="DE4616" t="s">
        <v>123</v>
      </c>
    </row>
    <row r="4617" spans="1:109" x14ac:dyDescent="0.3">
      <c r="A4617" t="str">
        <f>"19:54:15.797"</f>
        <v>19:54:15.797</v>
      </c>
      <c r="B4617" t="s">
        <v>110</v>
      </c>
      <c r="C4617" t="str">
        <f t="shared" si="220"/>
        <v>ffdfd3c0</v>
      </c>
      <c r="D4617" t="s">
        <v>111</v>
      </c>
      <c r="E4617">
        <v>18</v>
      </c>
      <c r="F4617">
        <v>1018</v>
      </c>
      <c r="G4617" t="s">
        <v>112</v>
      </c>
      <c r="J4617" t="s">
        <v>113</v>
      </c>
      <c r="K4617">
        <v>0</v>
      </c>
      <c r="L4617">
        <v>3</v>
      </c>
      <c r="M4617">
        <v>0</v>
      </c>
      <c r="N4617">
        <v>2</v>
      </c>
      <c r="O4617">
        <v>1</v>
      </c>
      <c r="P4617">
        <v>0</v>
      </c>
      <c r="Q4617">
        <v>0</v>
      </c>
      <c r="R4617" t="s">
        <v>114</v>
      </c>
      <c r="S4617" t="str">
        <f>"19:54:15.516"</f>
        <v>19:54:15.516</v>
      </c>
      <c r="T4617" t="str">
        <f>"19:54:15.117"</f>
        <v>19:54:15.117</v>
      </c>
      <c r="U4617" t="str">
        <f t="shared" si="221"/>
        <v>a1cdbe</v>
      </c>
      <c r="V4617">
        <v>0</v>
      </c>
      <c r="W4617">
        <v>0</v>
      </c>
      <c r="X4617">
        <v>2</v>
      </c>
      <c r="Y4617">
        <v>0</v>
      </c>
      <c r="Z4617">
        <v>0</v>
      </c>
      <c r="AB4617">
        <v>0</v>
      </c>
      <c r="AC4617">
        <v>9</v>
      </c>
      <c r="AD4617">
        <v>3</v>
      </c>
      <c r="AE4617">
        <v>0</v>
      </c>
      <c r="AF4617">
        <v>9</v>
      </c>
      <c r="AG4617" t="s">
        <v>1307</v>
      </c>
      <c r="AH4617">
        <v>0</v>
      </c>
      <c r="AI4617">
        <v>3</v>
      </c>
      <c r="AJ4617">
        <v>1</v>
      </c>
      <c r="AK4617">
        <v>0</v>
      </c>
      <c r="AL4617" t="s">
        <v>8251</v>
      </c>
      <c r="AM4617">
        <v>47.076652000000003</v>
      </c>
      <c r="AN4617" t="s">
        <v>8260</v>
      </c>
      <c r="AO4617">
        <v>-124.124308</v>
      </c>
      <c r="AP4617">
        <v>100</v>
      </c>
      <c r="AQ4617">
        <v>700</v>
      </c>
      <c r="AR4617" t="s">
        <v>118</v>
      </c>
      <c r="AS4617">
        <v>53</v>
      </c>
      <c r="AT4617">
        <v>-6</v>
      </c>
      <c r="AU4617">
        <v>-576</v>
      </c>
      <c r="BC4617">
        <v>1200</v>
      </c>
      <c r="BD4617">
        <v>1</v>
      </c>
      <c r="BE4617" t="str">
        <f t="shared" si="222"/>
        <v xml:space="preserve">N215T   </v>
      </c>
      <c r="BF4617">
        <v>1</v>
      </c>
      <c r="BH4617">
        <v>0</v>
      </c>
      <c r="BI4617">
        <v>0</v>
      </c>
      <c r="BJ4617">
        <v>0</v>
      </c>
      <c r="BK4617">
        <v>1050</v>
      </c>
      <c r="BL4617">
        <v>350</v>
      </c>
      <c r="BM4617" t="s">
        <v>119</v>
      </c>
      <c r="BN4617">
        <v>1</v>
      </c>
      <c r="BO4617">
        <v>1</v>
      </c>
      <c r="BP4617">
        <v>1</v>
      </c>
      <c r="BQ4617">
        <v>0</v>
      </c>
      <c r="BT4617">
        <v>0</v>
      </c>
      <c r="BU4617">
        <v>0</v>
      </c>
      <c r="BV4617">
        <v>0</v>
      </c>
      <c r="CC4617" t="str">
        <f>"19:54:15.516"</f>
        <v>19:54:15.516</v>
      </c>
      <c r="CD4617" t="str">
        <f>"518582521"</f>
        <v>518582521</v>
      </c>
      <c r="CQ4617">
        <v>0</v>
      </c>
      <c r="CR4617">
        <v>2</v>
      </c>
      <c r="CS4617">
        <v>0</v>
      </c>
      <c r="CT4617">
        <v>2</v>
      </c>
      <c r="CU4617">
        <v>0</v>
      </c>
      <c r="CV4617">
        <v>7</v>
      </c>
      <c r="CW4617" t="s">
        <v>120</v>
      </c>
      <c r="CX4617">
        <v>257</v>
      </c>
      <c r="CY4617">
        <v>0</v>
      </c>
      <c r="CZ4617" t="s">
        <v>615</v>
      </c>
      <c r="DA4617" t="s">
        <v>616</v>
      </c>
      <c r="DD4617">
        <v>100398</v>
      </c>
      <c r="DE4617" t="s">
        <v>123</v>
      </c>
    </row>
    <row r="4618" spans="1:109" x14ac:dyDescent="0.3">
      <c r="A4618" t="str">
        <f>"19:54:16.750"</f>
        <v>19:54:16.750</v>
      </c>
      <c r="B4618" t="s">
        <v>110</v>
      </c>
      <c r="C4618" t="str">
        <f t="shared" si="220"/>
        <v>ffdfd3c0</v>
      </c>
      <c r="D4618" t="s">
        <v>111</v>
      </c>
      <c r="E4618">
        <v>18</v>
      </c>
      <c r="F4618">
        <v>1018</v>
      </c>
      <c r="G4618" t="s">
        <v>112</v>
      </c>
      <c r="J4618" t="s">
        <v>113</v>
      </c>
      <c r="K4618">
        <v>0</v>
      </c>
      <c r="L4618">
        <v>3</v>
      </c>
      <c r="M4618">
        <v>0</v>
      </c>
      <c r="N4618">
        <v>2</v>
      </c>
      <c r="O4618">
        <v>1</v>
      </c>
      <c r="P4618">
        <v>0</v>
      </c>
      <c r="Q4618">
        <v>0</v>
      </c>
      <c r="R4618" t="s">
        <v>114</v>
      </c>
      <c r="S4618" t="str">
        <f>"19:54:16.523"</f>
        <v>19:54:16.523</v>
      </c>
      <c r="T4618" t="str">
        <f>"19:54:16.227"</f>
        <v>19:54:16.227</v>
      </c>
      <c r="U4618" t="str">
        <f t="shared" si="221"/>
        <v>a1cdbe</v>
      </c>
      <c r="V4618">
        <v>0</v>
      </c>
      <c r="W4618">
        <v>0</v>
      </c>
      <c r="X4618">
        <v>2</v>
      </c>
      <c r="Y4618">
        <v>0</v>
      </c>
      <c r="Z4618">
        <v>0</v>
      </c>
      <c r="AB4618">
        <v>0</v>
      </c>
      <c r="AC4618">
        <v>9</v>
      </c>
      <c r="AD4618">
        <v>3</v>
      </c>
      <c r="AE4618">
        <v>0</v>
      </c>
      <c r="AF4618">
        <v>9</v>
      </c>
      <c r="AG4618" t="s">
        <v>1307</v>
      </c>
      <c r="AH4618">
        <v>0</v>
      </c>
      <c r="AI4618">
        <v>3</v>
      </c>
      <c r="AJ4618">
        <v>1</v>
      </c>
      <c r="AK4618">
        <v>0</v>
      </c>
      <c r="AL4618" t="s">
        <v>8248</v>
      </c>
      <c r="AM4618">
        <v>47.076608999999998</v>
      </c>
      <c r="AN4618" t="s">
        <v>8261</v>
      </c>
      <c r="AO4618">
        <v>-124.123943</v>
      </c>
      <c r="AP4618">
        <v>100</v>
      </c>
      <c r="AQ4618">
        <v>700</v>
      </c>
      <c r="AR4618" t="s">
        <v>118</v>
      </c>
      <c r="AS4618">
        <v>52</v>
      </c>
      <c r="AT4618">
        <v>-8</v>
      </c>
      <c r="AU4618">
        <v>-512</v>
      </c>
      <c r="BC4618">
        <v>1200</v>
      </c>
      <c r="BD4618">
        <v>1</v>
      </c>
      <c r="BE4618" t="str">
        <f t="shared" si="222"/>
        <v xml:space="preserve">N215T   </v>
      </c>
      <c r="BF4618">
        <v>1</v>
      </c>
      <c r="BH4618">
        <v>0</v>
      </c>
      <c r="BI4618">
        <v>0</v>
      </c>
      <c r="BJ4618">
        <v>0</v>
      </c>
      <c r="BK4618">
        <v>1050</v>
      </c>
      <c r="BL4618">
        <v>350</v>
      </c>
      <c r="BM4618" t="s">
        <v>119</v>
      </c>
      <c r="BN4618">
        <v>1</v>
      </c>
      <c r="BO4618">
        <v>1</v>
      </c>
      <c r="BP4618">
        <v>1</v>
      </c>
      <c r="BQ4618">
        <v>0</v>
      </c>
      <c r="BT4618">
        <v>0</v>
      </c>
      <c r="BU4618">
        <v>0</v>
      </c>
      <c r="BV4618">
        <v>0</v>
      </c>
      <c r="CC4618" t="str">
        <f>"19:54:16.523"</f>
        <v>19:54:16.523</v>
      </c>
      <c r="CD4618" t="str">
        <f>"523483425"</f>
        <v>523483425</v>
      </c>
      <c r="CQ4618">
        <v>0</v>
      </c>
      <c r="CR4618">
        <v>2</v>
      </c>
      <c r="CS4618">
        <v>0</v>
      </c>
      <c r="CT4618">
        <v>2</v>
      </c>
      <c r="CU4618">
        <v>0</v>
      </c>
      <c r="CV4618">
        <v>6</v>
      </c>
      <c r="CW4618" t="s">
        <v>120</v>
      </c>
      <c r="CX4618">
        <v>257</v>
      </c>
      <c r="CY4618">
        <v>0</v>
      </c>
      <c r="CZ4618" t="s">
        <v>615</v>
      </c>
      <c r="DA4618" t="s">
        <v>616</v>
      </c>
      <c r="DD4618">
        <v>100715</v>
      </c>
      <c r="DE4618" t="s">
        <v>123</v>
      </c>
    </row>
    <row r="4619" spans="1:109" x14ac:dyDescent="0.3">
      <c r="A4619" t="str">
        <f>"19:54:17.758"</f>
        <v>19:54:17.758</v>
      </c>
      <c r="B4619" t="s">
        <v>110</v>
      </c>
      <c r="C4619" t="str">
        <f t="shared" si="220"/>
        <v>ffdfd3c0</v>
      </c>
      <c r="D4619" t="s">
        <v>111</v>
      </c>
      <c r="E4619">
        <v>18</v>
      </c>
      <c r="F4619">
        <v>1018</v>
      </c>
      <c r="G4619" t="s">
        <v>112</v>
      </c>
      <c r="J4619" t="s">
        <v>113</v>
      </c>
      <c r="K4619">
        <v>0</v>
      </c>
      <c r="L4619">
        <v>3</v>
      </c>
      <c r="M4619">
        <v>0</v>
      </c>
      <c r="N4619">
        <v>2</v>
      </c>
      <c r="O4619">
        <v>1</v>
      </c>
      <c r="P4619">
        <v>0</v>
      </c>
      <c r="Q4619">
        <v>0</v>
      </c>
      <c r="R4619" t="s">
        <v>114</v>
      </c>
      <c r="S4619" t="str">
        <f>"19:54:17.477"</f>
        <v>19:54:17.477</v>
      </c>
      <c r="T4619" t="str">
        <f>"19:54:17.078"</f>
        <v>19:54:17.078</v>
      </c>
      <c r="U4619" t="str">
        <f t="shared" si="221"/>
        <v>a1cdbe</v>
      </c>
      <c r="V4619">
        <v>0</v>
      </c>
      <c r="W4619">
        <v>0</v>
      </c>
      <c r="X4619">
        <v>2</v>
      </c>
      <c r="Y4619">
        <v>0</v>
      </c>
      <c r="Z4619">
        <v>0</v>
      </c>
      <c r="AB4619">
        <v>0</v>
      </c>
      <c r="AC4619">
        <v>9</v>
      </c>
      <c r="AD4619">
        <v>3</v>
      </c>
      <c r="AE4619">
        <v>0</v>
      </c>
      <c r="AF4619">
        <v>9</v>
      </c>
      <c r="AG4619" t="s">
        <v>1307</v>
      </c>
      <c r="AH4619">
        <v>0</v>
      </c>
      <c r="AI4619">
        <v>3</v>
      </c>
      <c r="AJ4619">
        <v>1</v>
      </c>
      <c r="AK4619">
        <v>0</v>
      </c>
      <c r="AL4619" t="s">
        <v>8246</v>
      </c>
      <c r="AM4619">
        <v>47.076566</v>
      </c>
      <c r="AN4619" t="s">
        <v>8152</v>
      </c>
      <c r="AO4619">
        <v>-124.1236</v>
      </c>
      <c r="AP4619">
        <v>100</v>
      </c>
      <c r="AQ4619">
        <v>600</v>
      </c>
      <c r="AR4619" t="s">
        <v>118</v>
      </c>
      <c r="AS4619">
        <v>52</v>
      </c>
      <c r="AT4619">
        <v>-9</v>
      </c>
      <c r="AU4619">
        <v>-512</v>
      </c>
      <c r="BC4619">
        <v>1200</v>
      </c>
      <c r="BD4619">
        <v>1</v>
      </c>
      <c r="BE4619" t="str">
        <f t="shared" si="222"/>
        <v xml:space="preserve">N215T   </v>
      </c>
      <c r="BF4619">
        <v>1</v>
      </c>
      <c r="BH4619">
        <v>0</v>
      </c>
      <c r="BI4619">
        <v>0</v>
      </c>
      <c r="BJ4619">
        <v>0</v>
      </c>
      <c r="BK4619">
        <v>1150</v>
      </c>
      <c r="BL4619">
        <v>550</v>
      </c>
      <c r="BM4619" t="s">
        <v>119</v>
      </c>
      <c r="BN4619">
        <v>1</v>
      </c>
      <c r="BO4619">
        <v>1</v>
      </c>
      <c r="BP4619">
        <v>1</v>
      </c>
      <c r="BQ4619">
        <v>0</v>
      </c>
      <c r="BT4619">
        <v>0</v>
      </c>
      <c r="BU4619">
        <v>0</v>
      </c>
      <c r="BV4619">
        <v>0</v>
      </c>
      <c r="CC4619" t="str">
        <f>"19:54:17.484"</f>
        <v>19:54:17.484</v>
      </c>
      <c r="CD4619" t="str">
        <f>"483388770"</f>
        <v>483388770</v>
      </c>
      <c r="CQ4619">
        <v>0</v>
      </c>
      <c r="CR4619">
        <v>2</v>
      </c>
      <c r="CS4619">
        <v>0</v>
      </c>
      <c r="CT4619">
        <v>2</v>
      </c>
      <c r="CU4619">
        <v>0</v>
      </c>
      <c r="CV4619">
        <v>6</v>
      </c>
      <c r="CW4619" t="s">
        <v>120</v>
      </c>
      <c r="CX4619">
        <v>257</v>
      </c>
      <c r="CY4619">
        <v>0</v>
      </c>
      <c r="CZ4619" t="s">
        <v>615</v>
      </c>
      <c r="DA4619" t="s">
        <v>616</v>
      </c>
      <c r="DD4619">
        <v>101044</v>
      </c>
      <c r="DE4619" t="s">
        <v>123</v>
      </c>
    </row>
    <row r="4620" spans="1:109" x14ac:dyDescent="0.3">
      <c r="A4620" t="str">
        <f>"19:54:18.711"</f>
        <v>19:54:18.711</v>
      </c>
      <c r="B4620" t="s">
        <v>110</v>
      </c>
      <c r="C4620" t="str">
        <f t="shared" si="220"/>
        <v>ffdfd3c0</v>
      </c>
      <c r="D4620" t="s">
        <v>111</v>
      </c>
      <c r="E4620">
        <v>18</v>
      </c>
      <c r="F4620">
        <v>1018</v>
      </c>
      <c r="G4620" t="s">
        <v>112</v>
      </c>
      <c r="J4620" t="s">
        <v>113</v>
      </c>
      <c r="K4620">
        <v>0</v>
      </c>
      <c r="L4620">
        <v>3</v>
      </c>
      <c r="M4620">
        <v>0</v>
      </c>
      <c r="N4620">
        <v>2</v>
      </c>
      <c r="O4620">
        <v>1</v>
      </c>
      <c r="P4620">
        <v>0</v>
      </c>
      <c r="Q4620">
        <v>0</v>
      </c>
      <c r="R4620" t="s">
        <v>114</v>
      </c>
      <c r="S4620" t="str">
        <f>"19:54:18.484"</f>
        <v>19:54:18.484</v>
      </c>
      <c r="T4620" t="str">
        <f>"19:54:18.188"</f>
        <v>19:54:18.188</v>
      </c>
      <c r="U4620" t="str">
        <f t="shared" si="221"/>
        <v>a1cdbe</v>
      </c>
      <c r="V4620">
        <v>0</v>
      </c>
      <c r="W4620">
        <v>0</v>
      </c>
      <c r="X4620">
        <v>2</v>
      </c>
      <c r="Y4620">
        <v>0</v>
      </c>
      <c r="Z4620">
        <v>0</v>
      </c>
      <c r="AB4620">
        <v>0</v>
      </c>
      <c r="AC4620">
        <v>9</v>
      </c>
      <c r="AD4620">
        <v>3</v>
      </c>
      <c r="AE4620">
        <v>0</v>
      </c>
      <c r="AF4620">
        <v>9</v>
      </c>
      <c r="AG4620" t="s">
        <v>1307</v>
      </c>
      <c r="AH4620">
        <v>0</v>
      </c>
      <c r="AI4620">
        <v>3</v>
      </c>
      <c r="AJ4620">
        <v>1</v>
      </c>
      <c r="AK4620">
        <v>0</v>
      </c>
      <c r="AL4620" t="s">
        <v>428</v>
      </c>
      <c r="AM4620">
        <v>47.076501999999998</v>
      </c>
      <c r="AN4620" t="s">
        <v>8262</v>
      </c>
      <c r="AO4620">
        <v>-124.123256</v>
      </c>
      <c r="AP4620">
        <v>100</v>
      </c>
      <c r="AQ4620">
        <v>600</v>
      </c>
      <c r="AR4620" t="s">
        <v>118</v>
      </c>
      <c r="AS4620">
        <v>51</v>
      </c>
      <c r="AT4620">
        <v>-11</v>
      </c>
      <c r="AU4620">
        <v>-576</v>
      </c>
      <c r="BC4620">
        <v>1200</v>
      </c>
      <c r="BD4620">
        <v>1</v>
      </c>
      <c r="BE4620" t="str">
        <f t="shared" si="222"/>
        <v xml:space="preserve">N215T   </v>
      </c>
      <c r="BF4620">
        <v>1</v>
      </c>
      <c r="BH4620">
        <v>0</v>
      </c>
      <c r="BI4620">
        <v>0</v>
      </c>
      <c r="BJ4620">
        <v>0</v>
      </c>
      <c r="BK4620">
        <v>1025</v>
      </c>
      <c r="BL4620">
        <v>425</v>
      </c>
      <c r="BM4620" t="s">
        <v>119</v>
      </c>
      <c r="BN4620">
        <v>1</v>
      </c>
      <c r="BO4620">
        <v>1</v>
      </c>
      <c r="BP4620">
        <v>1</v>
      </c>
      <c r="BQ4620">
        <v>0</v>
      </c>
      <c r="BT4620">
        <v>0</v>
      </c>
      <c r="BU4620">
        <v>0</v>
      </c>
      <c r="BV4620">
        <v>0</v>
      </c>
      <c r="CC4620" t="str">
        <f>"19:54:18.492"</f>
        <v>19:54:18.492</v>
      </c>
      <c r="CD4620" t="str">
        <f>"488289684"</f>
        <v>488289684</v>
      </c>
      <c r="CQ4620">
        <v>0</v>
      </c>
      <c r="CR4620">
        <v>2</v>
      </c>
      <c r="CS4620">
        <v>0</v>
      </c>
      <c r="CT4620">
        <v>2</v>
      </c>
      <c r="CU4620">
        <v>0</v>
      </c>
      <c r="CV4620">
        <v>6</v>
      </c>
      <c r="CW4620" t="s">
        <v>120</v>
      </c>
      <c r="CX4620">
        <v>257</v>
      </c>
      <c r="CY4620">
        <v>0</v>
      </c>
      <c r="CZ4620" t="s">
        <v>615</v>
      </c>
      <c r="DA4620" t="s">
        <v>616</v>
      </c>
      <c r="DD4620">
        <v>101355</v>
      </c>
      <c r="DE4620" t="s">
        <v>123</v>
      </c>
    </row>
    <row r="4621" spans="1:109" x14ac:dyDescent="0.3">
      <c r="A4621" t="str">
        <f>"19:54:19.766"</f>
        <v>19:54:19.766</v>
      </c>
      <c r="B4621" t="s">
        <v>110</v>
      </c>
      <c r="C4621" t="str">
        <f t="shared" si="220"/>
        <v>ffdfd3c0</v>
      </c>
      <c r="D4621" t="s">
        <v>111</v>
      </c>
      <c r="E4621">
        <v>18</v>
      </c>
      <c r="F4621">
        <v>1018</v>
      </c>
      <c r="G4621" t="s">
        <v>112</v>
      </c>
      <c r="J4621" t="s">
        <v>113</v>
      </c>
      <c r="K4621">
        <v>0</v>
      </c>
      <c r="L4621">
        <v>3</v>
      </c>
      <c r="M4621">
        <v>0</v>
      </c>
      <c r="N4621">
        <v>2</v>
      </c>
      <c r="O4621">
        <v>1</v>
      </c>
      <c r="P4621">
        <v>0</v>
      </c>
      <c r="Q4621">
        <v>0</v>
      </c>
      <c r="R4621" t="s">
        <v>114</v>
      </c>
      <c r="S4621" t="str">
        <f>"19:54:19.516"</f>
        <v>19:54:19.516</v>
      </c>
      <c r="T4621" t="str">
        <f>"19:54:19.117"</f>
        <v>19:54:19.117</v>
      </c>
      <c r="U4621" t="str">
        <f t="shared" si="221"/>
        <v>a1cdbe</v>
      </c>
      <c r="V4621">
        <v>0</v>
      </c>
      <c r="W4621">
        <v>0</v>
      </c>
      <c r="X4621">
        <v>2</v>
      </c>
      <c r="Y4621">
        <v>0</v>
      </c>
      <c r="Z4621">
        <v>0</v>
      </c>
      <c r="AB4621">
        <v>0</v>
      </c>
      <c r="AC4621">
        <v>9</v>
      </c>
      <c r="AD4621">
        <v>3</v>
      </c>
      <c r="AE4621">
        <v>0</v>
      </c>
      <c r="AF4621">
        <v>9</v>
      </c>
      <c r="AG4621" t="s">
        <v>1307</v>
      </c>
      <c r="AH4621">
        <v>0</v>
      </c>
      <c r="AI4621">
        <v>3</v>
      </c>
      <c r="AJ4621">
        <v>1</v>
      </c>
      <c r="AK4621">
        <v>0</v>
      </c>
      <c r="AL4621" t="s">
        <v>8242</v>
      </c>
      <c r="AM4621">
        <v>47.076416000000002</v>
      </c>
      <c r="AN4621" t="s">
        <v>8263</v>
      </c>
      <c r="AO4621">
        <v>-124.122891</v>
      </c>
      <c r="AP4621">
        <v>100</v>
      </c>
      <c r="AQ4621">
        <v>600</v>
      </c>
      <c r="AR4621" t="s">
        <v>118</v>
      </c>
      <c r="AS4621">
        <v>50</v>
      </c>
      <c r="AT4621">
        <v>-12</v>
      </c>
      <c r="AU4621">
        <v>-640</v>
      </c>
      <c r="BC4621">
        <v>1200</v>
      </c>
      <c r="BD4621">
        <v>1</v>
      </c>
      <c r="BE4621" t="str">
        <f t="shared" si="222"/>
        <v xml:space="preserve">N215T   </v>
      </c>
      <c r="BF4621">
        <v>1</v>
      </c>
      <c r="BH4621">
        <v>0</v>
      </c>
      <c r="BI4621">
        <v>0</v>
      </c>
      <c r="BJ4621">
        <v>0</v>
      </c>
      <c r="BK4621">
        <v>1025</v>
      </c>
      <c r="BL4621">
        <v>425</v>
      </c>
      <c r="BM4621" t="s">
        <v>119</v>
      </c>
      <c r="BN4621">
        <v>1</v>
      </c>
      <c r="BO4621">
        <v>1</v>
      </c>
      <c r="BP4621">
        <v>1</v>
      </c>
      <c r="BQ4621">
        <v>0</v>
      </c>
      <c r="BT4621">
        <v>0</v>
      </c>
      <c r="BU4621">
        <v>0</v>
      </c>
      <c r="BV4621">
        <v>0</v>
      </c>
      <c r="CC4621" t="str">
        <f>"19:54:19.523"</f>
        <v>19:54:19.523</v>
      </c>
      <c r="CD4621" t="str">
        <f>"523187648"</f>
        <v>523187648</v>
      </c>
      <c r="CQ4621">
        <v>0</v>
      </c>
      <c r="CR4621">
        <v>2</v>
      </c>
      <c r="CS4621">
        <v>0</v>
      </c>
      <c r="CT4621">
        <v>2</v>
      </c>
      <c r="CU4621">
        <v>0</v>
      </c>
      <c r="CV4621">
        <v>7</v>
      </c>
      <c r="CW4621" t="s">
        <v>120</v>
      </c>
      <c r="CX4621">
        <v>257</v>
      </c>
      <c r="CY4621">
        <v>0</v>
      </c>
      <c r="CZ4621" t="s">
        <v>615</v>
      </c>
      <c r="DA4621" t="s">
        <v>616</v>
      </c>
      <c r="DD4621">
        <v>101727</v>
      </c>
      <c r="DE4621" t="s">
        <v>123</v>
      </c>
    </row>
    <row r="4622" spans="1:109" x14ac:dyDescent="0.3">
      <c r="A4622" t="str">
        <f>"19:54:20.875"</f>
        <v>19:54:20.875</v>
      </c>
      <c r="B4622" t="s">
        <v>110</v>
      </c>
      <c r="C4622" t="str">
        <f t="shared" si="220"/>
        <v>ffdfd3c0</v>
      </c>
      <c r="D4622" t="s">
        <v>111</v>
      </c>
      <c r="E4622">
        <v>18</v>
      </c>
      <c r="F4622">
        <v>1018</v>
      </c>
      <c r="G4622" t="s">
        <v>112</v>
      </c>
      <c r="J4622" t="s">
        <v>113</v>
      </c>
      <c r="K4622">
        <v>0</v>
      </c>
      <c r="L4622">
        <v>3</v>
      </c>
      <c r="M4622">
        <v>0</v>
      </c>
      <c r="N4622">
        <v>2</v>
      </c>
      <c r="O4622">
        <v>1</v>
      </c>
      <c r="P4622">
        <v>0</v>
      </c>
      <c r="Q4622">
        <v>0</v>
      </c>
      <c r="R4622" t="s">
        <v>114</v>
      </c>
      <c r="S4622" t="str">
        <f>"19:54:20.641"</f>
        <v>19:54:20.641</v>
      </c>
      <c r="T4622" t="str">
        <f>"19:54:20.242"</f>
        <v>19:54:20.242</v>
      </c>
      <c r="U4622" t="str">
        <f t="shared" si="221"/>
        <v>a1cdbe</v>
      </c>
      <c r="V4622">
        <v>0</v>
      </c>
      <c r="W4622">
        <v>0</v>
      </c>
      <c r="X4622">
        <v>2</v>
      </c>
      <c r="Y4622">
        <v>0</v>
      </c>
      <c r="Z4622">
        <v>0</v>
      </c>
      <c r="AB4622">
        <v>0</v>
      </c>
      <c r="AC4622">
        <v>9</v>
      </c>
      <c r="AD4622">
        <v>3</v>
      </c>
      <c r="AE4622">
        <v>0</v>
      </c>
      <c r="AF4622">
        <v>9</v>
      </c>
      <c r="AG4622" t="s">
        <v>1307</v>
      </c>
      <c r="AH4622">
        <v>0</v>
      </c>
      <c r="AI4622">
        <v>3</v>
      </c>
      <c r="AJ4622">
        <v>1</v>
      </c>
      <c r="AK4622">
        <v>0</v>
      </c>
      <c r="AL4622" t="s">
        <v>8264</v>
      </c>
      <c r="AM4622">
        <v>47.076372999999997</v>
      </c>
      <c r="AN4622" t="s">
        <v>8149</v>
      </c>
      <c r="AO4622">
        <v>-124.12254799999999</v>
      </c>
      <c r="AP4622">
        <v>100</v>
      </c>
      <c r="AQ4622">
        <v>600</v>
      </c>
      <c r="AR4622" t="s">
        <v>118</v>
      </c>
      <c r="AS4622">
        <v>50</v>
      </c>
      <c r="AT4622">
        <v>-14</v>
      </c>
      <c r="AU4622">
        <v>-704</v>
      </c>
      <c r="BC4622">
        <v>1200</v>
      </c>
      <c r="BD4622">
        <v>1</v>
      </c>
      <c r="BE4622" t="str">
        <f t="shared" si="222"/>
        <v xml:space="preserve">N215T   </v>
      </c>
      <c r="BF4622">
        <v>1</v>
      </c>
      <c r="BH4622">
        <v>0</v>
      </c>
      <c r="BI4622">
        <v>0</v>
      </c>
      <c r="BJ4622">
        <v>0</v>
      </c>
      <c r="BK4622">
        <v>1000</v>
      </c>
      <c r="BL4622">
        <v>400</v>
      </c>
      <c r="BM4622" t="s">
        <v>119</v>
      </c>
      <c r="BN4622">
        <v>1</v>
      </c>
      <c r="BO4622">
        <v>1</v>
      </c>
      <c r="BP4622">
        <v>1</v>
      </c>
      <c r="BQ4622">
        <v>0</v>
      </c>
      <c r="BT4622">
        <v>0</v>
      </c>
      <c r="BU4622">
        <v>0</v>
      </c>
      <c r="BV4622">
        <v>0</v>
      </c>
      <c r="CC4622" t="str">
        <f>"19:54:20.648"</f>
        <v>19:54:20.648</v>
      </c>
      <c r="CD4622" t="str">
        <f>"648076720"</f>
        <v>648076720</v>
      </c>
      <c r="CQ4622">
        <v>0</v>
      </c>
      <c r="CR4622">
        <v>2</v>
      </c>
      <c r="CS4622">
        <v>0</v>
      </c>
      <c r="CT4622">
        <v>2</v>
      </c>
      <c r="CU4622">
        <v>0</v>
      </c>
      <c r="CV4622">
        <v>6</v>
      </c>
      <c r="CW4622" t="s">
        <v>120</v>
      </c>
      <c r="CX4622">
        <v>257</v>
      </c>
      <c r="CY4622">
        <v>0</v>
      </c>
      <c r="CZ4622" t="s">
        <v>615</v>
      </c>
      <c r="DA4622" t="s">
        <v>616</v>
      </c>
      <c r="DD4622">
        <v>102095</v>
      </c>
      <c r="DE4622" t="s">
        <v>123</v>
      </c>
    </row>
    <row r="4623" spans="1:109" x14ac:dyDescent="0.3">
      <c r="A4623" t="str">
        <f>"19:54:21.930"</f>
        <v>19:54:21.930</v>
      </c>
      <c r="B4623" t="s">
        <v>110</v>
      </c>
      <c r="C4623" t="str">
        <f t="shared" si="220"/>
        <v>ffdfd3c0</v>
      </c>
      <c r="D4623" t="s">
        <v>111</v>
      </c>
      <c r="E4623">
        <v>18</v>
      </c>
      <c r="F4623">
        <v>1018</v>
      </c>
      <c r="G4623" t="s">
        <v>112</v>
      </c>
      <c r="J4623" t="s">
        <v>113</v>
      </c>
      <c r="K4623">
        <v>0</v>
      </c>
      <c r="L4623">
        <v>3</v>
      </c>
      <c r="M4623">
        <v>0</v>
      </c>
      <c r="N4623">
        <v>2</v>
      </c>
      <c r="O4623">
        <v>1</v>
      </c>
      <c r="P4623">
        <v>0</v>
      </c>
      <c r="Q4623">
        <v>0</v>
      </c>
      <c r="R4623" t="s">
        <v>114</v>
      </c>
      <c r="S4623" t="str">
        <f>"19:54:21.648"</f>
        <v>19:54:21.648</v>
      </c>
      <c r="T4623" t="str">
        <f>"19:54:21.547"</f>
        <v>19:54:21.547</v>
      </c>
      <c r="U4623" t="str">
        <f t="shared" si="221"/>
        <v>a1cdbe</v>
      </c>
      <c r="V4623">
        <v>0</v>
      </c>
      <c r="W4623">
        <v>0</v>
      </c>
      <c r="X4623">
        <v>2</v>
      </c>
      <c r="Y4623">
        <v>0</v>
      </c>
      <c r="Z4623">
        <v>0</v>
      </c>
      <c r="AB4623">
        <v>0</v>
      </c>
      <c r="AC4623">
        <v>9</v>
      </c>
      <c r="AD4623">
        <v>3</v>
      </c>
      <c r="AE4623">
        <v>0</v>
      </c>
      <c r="AF4623">
        <v>9</v>
      </c>
      <c r="AG4623" t="s">
        <v>1307</v>
      </c>
      <c r="AH4623">
        <v>0</v>
      </c>
      <c r="AI4623">
        <v>3</v>
      </c>
      <c r="AJ4623">
        <v>1</v>
      </c>
      <c r="AK4623">
        <v>0</v>
      </c>
      <c r="AL4623" t="s">
        <v>8241</v>
      </c>
      <c r="AM4623">
        <v>47.076329999999999</v>
      </c>
      <c r="AN4623" t="s">
        <v>8265</v>
      </c>
      <c r="AO4623">
        <v>-124.122226</v>
      </c>
      <c r="AP4623">
        <v>100</v>
      </c>
      <c r="AQ4623">
        <v>600</v>
      </c>
      <c r="AR4623" t="s">
        <v>118</v>
      </c>
      <c r="AS4623">
        <v>50</v>
      </c>
      <c r="AT4623">
        <v>-15</v>
      </c>
      <c r="AU4623">
        <v>-704</v>
      </c>
      <c r="BC4623">
        <v>1200</v>
      </c>
      <c r="BD4623">
        <v>1</v>
      </c>
      <c r="BE4623" t="str">
        <f t="shared" si="222"/>
        <v xml:space="preserve">N215T   </v>
      </c>
      <c r="BF4623">
        <v>1</v>
      </c>
      <c r="BH4623">
        <v>0</v>
      </c>
      <c r="BI4623">
        <v>0</v>
      </c>
      <c r="BJ4623">
        <v>0</v>
      </c>
      <c r="BK4623">
        <v>1000</v>
      </c>
      <c r="BL4623">
        <v>400</v>
      </c>
      <c r="BM4623" t="s">
        <v>119</v>
      </c>
      <c r="BN4623">
        <v>1</v>
      </c>
      <c r="BO4623">
        <v>1</v>
      </c>
      <c r="BP4623">
        <v>1</v>
      </c>
      <c r="BQ4623">
        <v>0</v>
      </c>
      <c r="BT4623">
        <v>0</v>
      </c>
      <c r="BU4623">
        <v>0</v>
      </c>
      <c r="BV4623">
        <v>0</v>
      </c>
      <c r="CC4623" t="str">
        <f>"19:54:21.656"</f>
        <v>19:54:21.656</v>
      </c>
      <c r="CD4623" t="str">
        <f>"652977621"</f>
        <v>652977621</v>
      </c>
      <c r="CQ4623">
        <v>0</v>
      </c>
      <c r="CR4623">
        <v>2</v>
      </c>
      <c r="CS4623">
        <v>0</v>
      </c>
      <c r="CT4623">
        <v>2</v>
      </c>
      <c r="CU4623">
        <v>0</v>
      </c>
      <c r="CV4623">
        <v>6</v>
      </c>
      <c r="CW4623" t="s">
        <v>120</v>
      </c>
      <c r="CX4623">
        <v>257</v>
      </c>
      <c r="CY4623">
        <v>0</v>
      </c>
      <c r="CZ4623" t="s">
        <v>615</v>
      </c>
      <c r="DA4623" t="s">
        <v>616</v>
      </c>
      <c r="DD4623">
        <v>102453</v>
      </c>
      <c r="DE4623" t="s">
        <v>123</v>
      </c>
    </row>
    <row r="4624" spans="1:109" x14ac:dyDescent="0.3">
      <c r="A4624" t="str">
        <f>"19:54:22.938"</f>
        <v>19:54:22.938</v>
      </c>
      <c r="B4624" t="s">
        <v>110</v>
      </c>
      <c r="C4624" t="str">
        <f t="shared" si="220"/>
        <v>ffdfd3c0</v>
      </c>
      <c r="D4624" t="s">
        <v>111</v>
      </c>
      <c r="E4624">
        <v>18</v>
      </c>
      <c r="F4624">
        <v>1018</v>
      </c>
      <c r="G4624" t="s">
        <v>112</v>
      </c>
      <c r="J4624" t="s">
        <v>113</v>
      </c>
      <c r="K4624">
        <v>0</v>
      </c>
      <c r="L4624">
        <v>3</v>
      </c>
      <c r="M4624">
        <v>0</v>
      </c>
      <c r="N4624">
        <v>2</v>
      </c>
      <c r="O4624">
        <v>1</v>
      </c>
      <c r="P4624">
        <v>0</v>
      </c>
      <c r="Q4624">
        <v>0</v>
      </c>
      <c r="R4624" t="s">
        <v>114</v>
      </c>
      <c r="S4624" t="str">
        <f>"19:54:22.695"</f>
        <v>19:54:22.695</v>
      </c>
      <c r="T4624" t="str">
        <f>"19:54:22.492"</f>
        <v>19:54:22.492</v>
      </c>
      <c r="U4624" t="str">
        <f t="shared" si="221"/>
        <v>a1cdbe</v>
      </c>
      <c r="V4624">
        <v>0</v>
      </c>
      <c r="W4624">
        <v>0</v>
      </c>
      <c r="X4624">
        <v>2</v>
      </c>
      <c r="Y4624">
        <v>0</v>
      </c>
      <c r="Z4624">
        <v>0</v>
      </c>
      <c r="AB4624">
        <v>0</v>
      </c>
      <c r="AC4624">
        <v>9</v>
      </c>
      <c r="AD4624">
        <v>3</v>
      </c>
      <c r="AE4624">
        <v>0</v>
      </c>
      <c r="AF4624">
        <v>9</v>
      </c>
      <c r="AG4624" t="s">
        <v>1307</v>
      </c>
      <c r="AH4624">
        <v>0</v>
      </c>
      <c r="AI4624">
        <v>3</v>
      </c>
      <c r="AJ4624">
        <v>1</v>
      </c>
      <c r="AK4624">
        <v>0</v>
      </c>
      <c r="AL4624" t="s">
        <v>8239</v>
      </c>
      <c r="AM4624">
        <v>47.076222999999999</v>
      </c>
      <c r="AN4624" t="s">
        <v>8266</v>
      </c>
      <c r="AO4624">
        <v>-124.12184000000001</v>
      </c>
      <c r="AP4624">
        <v>100</v>
      </c>
      <c r="AQ4624">
        <v>600</v>
      </c>
      <c r="AR4624" t="s">
        <v>118</v>
      </c>
      <c r="AS4624">
        <v>49</v>
      </c>
      <c r="AT4624">
        <v>-15</v>
      </c>
      <c r="AU4624">
        <v>-704</v>
      </c>
      <c r="BC4624">
        <v>1200</v>
      </c>
      <c r="BD4624">
        <v>1</v>
      </c>
      <c r="BE4624" t="str">
        <f t="shared" si="222"/>
        <v xml:space="preserve">N215T   </v>
      </c>
      <c r="BF4624">
        <v>1</v>
      </c>
      <c r="BH4624">
        <v>0</v>
      </c>
      <c r="BI4624">
        <v>0</v>
      </c>
      <c r="BJ4624">
        <v>0</v>
      </c>
      <c r="BK4624">
        <v>975</v>
      </c>
      <c r="BL4624">
        <v>375</v>
      </c>
      <c r="BM4624" t="s">
        <v>119</v>
      </c>
      <c r="BN4624">
        <v>1</v>
      </c>
      <c r="BO4624">
        <v>1</v>
      </c>
      <c r="BP4624">
        <v>1</v>
      </c>
      <c r="BQ4624">
        <v>0</v>
      </c>
      <c r="BT4624">
        <v>0</v>
      </c>
      <c r="BU4624">
        <v>0</v>
      </c>
      <c r="BV4624">
        <v>0</v>
      </c>
      <c r="CC4624" t="str">
        <f>"19:54:22.703"</f>
        <v>19:54:22.703</v>
      </c>
      <c r="CD4624" t="str">
        <f>"702874091"</f>
        <v>702874091</v>
      </c>
      <c r="CQ4624">
        <v>0</v>
      </c>
      <c r="CR4624">
        <v>2</v>
      </c>
      <c r="CS4624">
        <v>0</v>
      </c>
      <c r="CT4624">
        <v>2</v>
      </c>
      <c r="CU4624">
        <v>0</v>
      </c>
      <c r="CV4624">
        <v>7</v>
      </c>
      <c r="CW4624" t="s">
        <v>120</v>
      </c>
      <c r="CX4624">
        <v>257</v>
      </c>
      <c r="CY4624">
        <v>0</v>
      </c>
      <c r="CZ4624" t="s">
        <v>615</v>
      </c>
      <c r="DA4624" t="s">
        <v>616</v>
      </c>
      <c r="DD4624">
        <v>102796</v>
      </c>
      <c r="DE4624" t="s">
        <v>123</v>
      </c>
    </row>
    <row r="4625" spans="1:109" x14ac:dyDescent="0.3">
      <c r="A4625" t="str">
        <f>"19:54:23.938"</f>
        <v>19:54:23.938</v>
      </c>
      <c r="B4625" t="s">
        <v>110</v>
      </c>
      <c r="C4625" t="str">
        <f t="shared" si="220"/>
        <v>ffdfd3c0</v>
      </c>
      <c r="D4625" t="s">
        <v>111</v>
      </c>
      <c r="E4625">
        <v>18</v>
      </c>
      <c r="F4625">
        <v>1018</v>
      </c>
      <c r="G4625" t="s">
        <v>112</v>
      </c>
      <c r="J4625" t="s">
        <v>113</v>
      </c>
      <c r="K4625">
        <v>0</v>
      </c>
      <c r="L4625">
        <v>3</v>
      </c>
      <c r="M4625">
        <v>0</v>
      </c>
      <c r="N4625">
        <v>2</v>
      </c>
      <c r="O4625">
        <v>1</v>
      </c>
      <c r="P4625">
        <v>0</v>
      </c>
      <c r="Q4625">
        <v>0</v>
      </c>
      <c r="R4625" t="s">
        <v>114</v>
      </c>
      <c r="S4625" t="str">
        <f>"19:54:23.641"</f>
        <v>19:54:23.641</v>
      </c>
      <c r="T4625" t="str">
        <f>"19:54:23.438"</f>
        <v>19:54:23.438</v>
      </c>
      <c r="U4625" t="str">
        <f t="shared" si="221"/>
        <v>a1cdbe</v>
      </c>
      <c r="V4625">
        <v>0</v>
      </c>
      <c r="W4625">
        <v>0</v>
      </c>
      <c r="X4625">
        <v>2</v>
      </c>
      <c r="Y4625">
        <v>0</v>
      </c>
      <c r="Z4625">
        <v>0</v>
      </c>
      <c r="AB4625">
        <v>0</v>
      </c>
      <c r="AC4625">
        <v>9</v>
      </c>
      <c r="AD4625">
        <v>3</v>
      </c>
      <c r="AE4625">
        <v>0</v>
      </c>
      <c r="AF4625">
        <v>9</v>
      </c>
      <c r="AG4625" t="s">
        <v>1307</v>
      </c>
      <c r="AH4625">
        <v>0</v>
      </c>
      <c r="AI4625">
        <v>3</v>
      </c>
      <c r="AJ4625">
        <v>1</v>
      </c>
      <c r="AK4625">
        <v>0</v>
      </c>
      <c r="AL4625" t="s">
        <v>8267</v>
      </c>
      <c r="AM4625">
        <v>47.076137000000003</v>
      </c>
      <c r="AN4625" t="s">
        <v>8268</v>
      </c>
      <c r="AO4625">
        <v>-124.12154</v>
      </c>
      <c r="AP4625">
        <v>100</v>
      </c>
      <c r="AQ4625">
        <v>600</v>
      </c>
      <c r="AR4625" t="s">
        <v>118</v>
      </c>
      <c r="AS4625">
        <v>49</v>
      </c>
      <c r="AT4625">
        <v>-15</v>
      </c>
      <c r="AU4625">
        <v>-640</v>
      </c>
      <c r="BC4625">
        <v>1200</v>
      </c>
      <c r="BD4625">
        <v>1</v>
      </c>
      <c r="BE4625" t="str">
        <f t="shared" si="222"/>
        <v xml:space="preserve">N215T   </v>
      </c>
      <c r="BF4625">
        <v>1</v>
      </c>
      <c r="BH4625">
        <v>0</v>
      </c>
      <c r="BI4625">
        <v>0</v>
      </c>
      <c r="BJ4625">
        <v>0</v>
      </c>
      <c r="BK4625">
        <v>975</v>
      </c>
      <c r="BL4625">
        <v>375</v>
      </c>
      <c r="BM4625" t="s">
        <v>119</v>
      </c>
      <c r="BN4625">
        <v>1</v>
      </c>
      <c r="BO4625">
        <v>1</v>
      </c>
      <c r="BP4625">
        <v>1</v>
      </c>
      <c r="BQ4625">
        <v>0</v>
      </c>
      <c r="BT4625">
        <v>0</v>
      </c>
      <c r="BU4625">
        <v>0</v>
      </c>
      <c r="BV4625">
        <v>0</v>
      </c>
      <c r="CC4625" t="str">
        <f>"19:54:23.648"</f>
        <v>19:54:23.648</v>
      </c>
      <c r="CD4625" t="str">
        <f>"647780917"</f>
        <v>647780917</v>
      </c>
      <c r="CQ4625">
        <v>0</v>
      </c>
      <c r="CR4625">
        <v>2</v>
      </c>
      <c r="CS4625">
        <v>0</v>
      </c>
      <c r="CT4625">
        <v>2</v>
      </c>
      <c r="CU4625">
        <v>0</v>
      </c>
      <c r="CV4625">
        <v>6</v>
      </c>
      <c r="CW4625" t="s">
        <v>120</v>
      </c>
      <c r="CX4625">
        <v>257</v>
      </c>
      <c r="CY4625">
        <v>0</v>
      </c>
      <c r="CZ4625" t="s">
        <v>615</v>
      </c>
      <c r="DA4625" t="s">
        <v>616</v>
      </c>
      <c r="DD4625">
        <v>103150</v>
      </c>
      <c r="DE4625" t="s">
        <v>123</v>
      </c>
    </row>
    <row r="4626" spans="1:109" x14ac:dyDescent="0.3">
      <c r="A4626" t="str">
        <f>"19:54:25.047"</f>
        <v>19:54:25.047</v>
      </c>
      <c r="B4626" t="s">
        <v>110</v>
      </c>
      <c r="C4626" t="str">
        <f t="shared" si="220"/>
        <v>ffdfd3c0</v>
      </c>
      <c r="D4626" t="s">
        <v>111</v>
      </c>
      <c r="E4626">
        <v>18</v>
      </c>
      <c r="F4626">
        <v>1018</v>
      </c>
      <c r="G4626" t="s">
        <v>112</v>
      </c>
      <c r="J4626" t="s">
        <v>113</v>
      </c>
      <c r="K4626">
        <v>0</v>
      </c>
      <c r="L4626">
        <v>3</v>
      </c>
      <c r="M4626">
        <v>0</v>
      </c>
      <c r="N4626">
        <v>2</v>
      </c>
      <c r="O4626">
        <v>1</v>
      </c>
      <c r="P4626">
        <v>0</v>
      </c>
      <c r="Q4626">
        <v>0</v>
      </c>
      <c r="R4626" t="s">
        <v>114</v>
      </c>
      <c r="S4626" t="str">
        <f>"19:54:24.797"</f>
        <v>19:54:24.797</v>
      </c>
      <c r="T4626" t="str">
        <f>"19:54:24.594"</f>
        <v>19:54:24.594</v>
      </c>
      <c r="U4626" t="str">
        <f t="shared" si="221"/>
        <v>a1cdbe</v>
      </c>
      <c r="V4626">
        <v>0</v>
      </c>
      <c r="W4626">
        <v>0</v>
      </c>
      <c r="X4626">
        <v>2</v>
      </c>
      <c r="Y4626">
        <v>0</v>
      </c>
      <c r="Z4626">
        <v>0</v>
      </c>
      <c r="AB4626">
        <v>0</v>
      </c>
      <c r="AC4626">
        <v>9</v>
      </c>
      <c r="AD4626">
        <v>3</v>
      </c>
      <c r="AE4626">
        <v>0</v>
      </c>
      <c r="AF4626">
        <v>9</v>
      </c>
      <c r="AG4626" t="s">
        <v>1307</v>
      </c>
      <c r="AH4626">
        <v>0</v>
      </c>
      <c r="AI4626">
        <v>3</v>
      </c>
      <c r="AJ4626">
        <v>1</v>
      </c>
      <c r="AK4626">
        <v>0</v>
      </c>
      <c r="AL4626" t="s">
        <v>8236</v>
      </c>
      <c r="AM4626">
        <v>47.076051</v>
      </c>
      <c r="AN4626" t="s">
        <v>8269</v>
      </c>
      <c r="AO4626">
        <v>-124.121196</v>
      </c>
      <c r="AP4626">
        <v>100</v>
      </c>
      <c r="AQ4626">
        <v>600</v>
      </c>
      <c r="AR4626" t="s">
        <v>118</v>
      </c>
      <c r="AS4626">
        <v>48</v>
      </c>
      <c r="AT4626">
        <v>-15</v>
      </c>
      <c r="AU4626">
        <v>-576</v>
      </c>
      <c r="BC4626">
        <v>1200</v>
      </c>
      <c r="BD4626">
        <v>1</v>
      </c>
      <c r="BE4626" t="str">
        <f t="shared" si="222"/>
        <v xml:space="preserve">N215T   </v>
      </c>
      <c r="BF4626">
        <v>1</v>
      </c>
      <c r="BH4626">
        <v>0</v>
      </c>
      <c r="BI4626">
        <v>0</v>
      </c>
      <c r="BJ4626">
        <v>0</v>
      </c>
      <c r="BK4626">
        <v>950</v>
      </c>
      <c r="BL4626">
        <v>350</v>
      </c>
      <c r="BM4626" t="s">
        <v>119</v>
      </c>
      <c r="BN4626">
        <v>1</v>
      </c>
      <c r="BO4626">
        <v>1</v>
      </c>
      <c r="BP4626">
        <v>1</v>
      </c>
      <c r="BQ4626">
        <v>0</v>
      </c>
      <c r="BT4626">
        <v>0</v>
      </c>
      <c r="BU4626">
        <v>0</v>
      </c>
      <c r="BV4626">
        <v>0</v>
      </c>
      <c r="CC4626" t="str">
        <f>"19:54:24.805"</f>
        <v>19:54:24.805</v>
      </c>
      <c r="CD4626" t="str">
        <f>"802667024"</f>
        <v>802667024</v>
      </c>
      <c r="CQ4626">
        <v>0</v>
      </c>
      <c r="CR4626">
        <v>2</v>
      </c>
      <c r="CS4626">
        <v>0</v>
      </c>
      <c r="CT4626">
        <v>2</v>
      </c>
      <c r="CU4626">
        <v>0</v>
      </c>
      <c r="CV4626">
        <v>6</v>
      </c>
      <c r="CW4626" t="s">
        <v>120</v>
      </c>
      <c r="CX4626">
        <v>257</v>
      </c>
      <c r="CY4626">
        <v>0</v>
      </c>
      <c r="CZ4626" t="s">
        <v>615</v>
      </c>
      <c r="DA4626" t="s">
        <v>616</v>
      </c>
      <c r="DD4626">
        <v>103535</v>
      </c>
      <c r="DE4626" t="s">
        <v>123</v>
      </c>
    </row>
    <row r="4627" spans="1:109" x14ac:dyDescent="0.3">
      <c r="A4627" t="str">
        <f>"19:54:26.047"</f>
        <v>19:54:26.047</v>
      </c>
      <c r="B4627" t="s">
        <v>110</v>
      </c>
      <c r="C4627" t="str">
        <f t="shared" si="220"/>
        <v>ffdfd3c0</v>
      </c>
      <c r="D4627" t="s">
        <v>111</v>
      </c>
      <c r="E4627">
        <v>18</v>
      </c>
      <c r="F4627">
        <v>1018</v>
      </c>
      <c r="G4627" t="s">
        <v>112</v>
      </c>
      <c r="J4627" t="s">
        <v>113</v>
      </c>
      <c r="K4627">
        <v>0</v>
      </c>
      <c r="L4627">
        <v>3</v>
      </c>
      <c r="M4627">
        <v>0</v>
      </c>
      <c r="N4627">
        <v>2</v>
      </c>
      <c r="O4627">
        <v>1</v>
      </c>
      <c r="P4627">
        <v>0</v>
      </c>
      <c r="Q4627">
        <v>0</v>
      </c>
      <c r="R4627" t="s">
        <v>114</v>
      </c>
      <c r="S4627" t="str">
        <f>"19:54:25.789"</f>
        <v>19:54:25.789</v>
      </c>
      <c r="T4627" t="str">
        <f>"19:54:25.586"</f>
        <v>19:54:25.586</v>
      </c>
      <c r="U4627" t="str">
        <f t="shared" si="221"/>
        <v>a1cdbe</v>
      </c>
      <c r="V4627">
        <v>0</v>
      </c>
      <c r="W4627">
        <v>0</v>
      </c>
      <c r="X4627">
        <v>2</v>
      </c>
      <c r="Y4627">
        <v>0</v>
      </c>
      <c r="Z4627">
        <v>0</v>
      </c>
      <c r="AB4627">
        <v>0</v>
      </c>
      <c r="AC4627">
        <v>9</v>
      </c>
      <c r="AD4627">
        <v>3</v>
      </c>
      <c r="AE4627">
        <v>0</v>
      </c>
      <c r="AF4627">
        <v>9</v>
      </c>
      <c r="AG4627" t="s">
        <v>1307</v>
      </c>
      <c r="AH4627">
        <v>0</v>
      </c>
      <c r="AI4627">
        <v>3</v>
      </c>
      <c r="AJ4627">
        <v>1</v>
      </c>
      <c r="AK4627">
        <v>0</v>
      </c>
      <c r="AL4627" t="s">
        <v>8270</v>
      </c>
      <c r="AM4627">
        <v>47.075986999999998</v>
      </c>
      <c r="AN4627" t="s">
        <v>8271</v>
      </c>
      <c r="AO4627">
        <v>-124.120853</v>
      </c>
      <c r="AP4627">
        <v>100</v>
      </c>
      <c r="AQ4627">
        <v>600</v>
      </c>
      <c r="AR4627" t="s">
        <v>118</v>
      </c>
      <c r="AS4627">
        <v>47</v>
      </c>
      <c r="AT4627">
        <v>-15</v>
      </c>
      <c r="AU4627">
        <v>-576</v>
      </c>
      <c r="BC4627">
        <v>1200</v>
      </c>
      <c r="BD4627">
        <v>1</v>
      </c>
      <c r="BE4627" t="str">
        <f t="shared" si="222"/>
        <v xml:space="preserve">N215T   </v>
      </c>
      <c r="BF4627">
        <v>1</v>
      </c>
      <c r="BH4627">
        <v>0</v>
      </c>
      <c r="BI4627">
        <v>0</v>
      </c>
      <c r="BJ4627">
        <v>0</v>
      </c>
      <c r="BK4627">
        <v>950</v>
      </c>
      <c r="BL4627">
        <v>350</v>
      </c>
      <c r="BM4627" t="s">
        <v>119</v>
      </c>
      <c r="BN4627">
        <v>1</v>
      </c>
      <c r="BO4627">
        <v>1</v>
      </c>
      <c r="BP4627">
        <v>1</v>
      </c>
      <c r="BQ4627">
        <v>0</v>
      </c>
      <c r="BT4627">
        <v>0</v>
      </c>
      <c r="BU4627">
        <v>0</v>
      </c>
      <c r="BV4627">
        <v>0</v>
      </c>
      <c r="CC4627" t="str">
        <f>"19:54:25.789"</f>
        <v>19:54:25.789</v>
      </c>
      <c r="CD4627" t="str">
        <f>"792569416"</f>
        <v>792569416</v>
      </c>
      <c r="CQ4627">
        <v>0</v>
      </c>
      <c r="CR4627">
        <v>2</v>
      </c>
      <c r="CS4627">
        <v>0</v>
      </c>
      <c r="CT4627">
        <v>2</v>
      </c>
      <c r="CU4627">
        <v>0</v>
      </c>
      <c r="CV4627">
        <v>7</v>
      </c>
      <c r="CW4627" t="s">
        <v>120</v>
      </c>
      <c r="CX4627">
        <v>257</v>
      </c>
      <c r="CY4627">
        <v>0</v>
      </c>
      <c r="CZ4627" t="s">
        <v>615</v>
      </c>
      <c r="DA4627" t="s">
        <v>616</v>
      </c>
      <c r="DD4627">
        <v>103862</v>
      </c>
      <c r="DE4627" t="s">
        <v>123</v>
      </c>
    </row>
    <row r="4628" spans="1:109" x14ac:dyDescent="0.3">
      <c r="A4628" t="str">
        <f>"19:54:27.055"</f>
        <v>19:54:27.055</v>
      </c>
      <c r="B4628" t="s">
        <v>110</v>
      </c>
      <c r="C4628" t="str">
        <f t="shared" si="220"/>
        <v>ffdfd3c0</v>
      </c>
      <c r="D4628" t="s">
        <v>111</v>
      </c>
      <c r="E4628">
        <v>18</v>
      </c>
      <c r="F4628">
        <v>1018</v>
      </c>
      <c r="G4628" t="s">
        <v>112</v>
      </c>
      <c r="J4628" t="s">
        <v>113</v>
      </c>
      <c r="K4628">
        <v>0</v>
      </c>
      <c r="L4628">
        <v>3</v>
      </c>
      <c r="M4628">
        <v>0</v>
      </c>
      <c r="N4628">
        <v>2</v>
      </c>
      <c r="O4628">
        <v>1</v>
      </c>
      <c r="P4628">
        <v>0</v>
      </c>
      <c r="Q4628">
        <v>0</v>
      </c>
      <c r="R4628" t="s">
        <v>114</v>
      </c>
      <c r="S4628" t="str">
        <f>"19:54:26.797"</f>
        <v>19:54:26.797</v>
      </c>
      <c r="T4628" t="str">
        <f>"19:54:26.594"</f>
        <v>19:54:26.594</v>
      </c>
      <c r="U4628" t="str">
        <f t="shared" si="221"/>
        <v>a1cdbe</v>
      </c>
      <c r="V4628">
        <v>0</v>
      </c>
      <c r="W4628">
        <v>0</v>
      </c>
      <c r="X4628">
        <v>2</v>
      </c>
      <c r="Y4628">
        <v>0</v>
      </c>
      <c r="Z4628">
        <v>0</v>
      </c>
      <c r="AB4628">
        <v>0</v>
      </c>
      <c r="AC4628">
        <v>9</v>
      </c>
      <c r="AD4628">
        <v>3</v>
      </c>
      <c r="AE4628">
        <v>0</v>
      </c>
      <c r="AF4628">
        <v>9</v>
      </c>
      <c r="AG4628" t="s">
        <v>1307</v>
      </c>
      <c r="AH4628">
        <v>0</v>
      </c>
      <c r="AI4628">
        <v>3</v>
      </c>
      <c r="AJ4628">
        <v>1</v>
      </c>
      <c r="AK4628">
        <v>0</v>
      </c>
      <c r="AL4628" t="s">
        <v>8272</v>
      </c>
      <c r="AM4628">
        <v>47.075921999999998</v>
      </c>
      <c r="AN4628" t="s">
        <v>8273</v>
      </c>
      <c r="AO4628">
        <v>-124.12051</v>
      </c>
      <c r="AP4628">
        <v>100</v>
      </c>
      <c r="AQ4628">
        <v>500</v>
      </c>
      <c r="AR4628" t="s">
        <v>118</v>
      </c>
      <c r="AS4628">
        <v>47</v>
      </c>
      <c r="AT4628">
        <v>-15</v>
      </c>
      <c r="AU4628">
        <v>-640</v>
      </c>
      <c r="BC4628">
        <v>1200</v>
      </c>
      <c r="BD4628">
        <v>1</v>
      </c>
      <c r="BE4628" t="str">
        <f t="shared" si="222"/>
        <v xml:space="preserve">N215T   </v>
      </c>
      <c r="BF4628">
        <v>1</v>
      </c>
      <c r="BH4628">
        <v>0</v>
      </c>
      <c r="BI4628">
        <v>0</v>
      </c>
      <c r="BJ4628">
        <v>0</v>
      </c>
      <c r="BK4628">
        <v>1050</v>
      </c>
      <c r="BL4628">
        <v>550</v>
      </c>
      <c r="BM4628" t="s">
        <v>119</v>
      </c>
      <c r="BN4628">
        <v>1</v>
      </c>
      <c r="BO4628">
        <v>1</v>
      </c>
      <c r="BP4628">
        <v>1</v>
      </c>
      <c r="BQ4628">
        <v>0</v>
      </c>
      <c r="BT4628">
        <v>0</v>
      </c>
      <c r="BU4628">
        <v>0</v>
      </c>
      <c r="BV4628">
        <v>0</v>
      </c>
      <c r="CC4628" t="str">
        <f>"19:54:26.797"</f>
        <v>19:54:26.797</v>
      </c>
      <c r="CD4628" t="str">
        <f>"797470322"</f>
        <v>797470322</v>
      </c>
      <c r="CQ4628">
        <v>0</v>
      </c>
      <c r="CR4628">
        <v>2</v>
      </c>
      <c r="CS4628">
        <v>0</v>
      </c>
      <c r="CT4628">
        <v>2</v>
      </c>
      <c r="CU4628">
        <v>0</v>
      </c>
      <c r="CV4628">
        <v>6</v>
      </c>
      <c r="CW4628" t="s">
        <v>120</v>
      </c>
      <c r="CX4628">
        <v>257</v>
      </c>
      <c r="CY4628">
        <v>0</v>
      </c>
      <c r="CZ4628" t="s">
        <v>615</v>
      </c>
      <c r="DA4628" t="s">
        <v>616</v>
      </c>
      <c r="DD4628">
        <v>104184</v>
      </c>
      <c r="DE4628" t="s">
        <v>123</v>
      </c>
    </row>
    <row r="4629" spans="1:109" x14ac:dyDescent="0.3">
      <c r="A4629" t="str">
        <f>"19:54:27.961"</f>
        <v>19:54:27.961</v>
      </c>
      <c r="B4629" t="s">
        <v>110</v>
      </c>
      <c r="C4629" t="str">
        <f t="shared" si="220"/>
        <v>ffdfd3c0</v>
      </c>
      <c r="D4629" t="s">
        <v>111</v>
      </c>
      <c r="E4629">
        <v>18</v>
      </c>
      <c r="F4629">
        <v>1018</v>
      </c>
      <c r="G4629" t="s">
        <v>112</v>
      </c>
      <c r="J4629" t="s">
        <v>113</v>
      </c>
      <c r="K4629">
        <v>0</v>
      </c>
      <c r="L4629">
        <v>3</v>
      </c>
      <c r="M4629">
        <v>0</v>
      </c>
      <c r="N4629">
        <v>2</v>
      </c>
      <c r="O4629">
        <v>1</v>
      </c>
      <c r="P4629">
        <v>0</v>
      </c>
      <c r="Q4629">
        <v>0</v>
      </c>
      <c r="R4629" t="s">
        <v>114</v>
      </c>
      <c r="S4629" t="str">
        <f>"19:54:27.680"</f>
        <v>19:54:27.680</v>
      </c>
      <c r="T4629" t="str">
        <f>"19:54:27.180"</f>
        <v>19:54:27.180</v>
      </c>
      <c r="U4629" t="str">
        <f t="shared" si="221"/>
        <v>a1cdbe</v>
      </c>
      <c r="V4629">
        <v>0</v>
      </c>
      <c r="W4629">
        <v>0</v>
      </c>
      <c r="X4629">
        <v>2</v>
      </c>
      <c r="Y4629">
        <v>0</v>
      </c>
      <c r="Z4629">
        <v>0</v>
      </c>
      <c r="AB4629">
        <v>0</v>
      </c>
      <c r="AC4629">
        <v>9</v>
      </c>
      <c r="AD4629">
        <v>3</v>
      </c>
      <c r="AE4629">
        <v>0</v>
      </c>
      <c r="AF4629">
        <v>9</v>
      </c>
      <c r="AG4629" t="s">
        <v>1307</v>
      </c>
      <c r="AH4629">
        <v>0</v>
      </c>
      <c r="AI4629">
        <v>3</v>
      </c>
      <c r="AJ4629">
        <v>1</v>
      </c>
      <c r="AK4629">
        <v>0</v>
      </c>
      <c r="AL4629" t="s">
        <v>8232</v>
      </c>
      <c r="AM4629">
        <v>47.075857999999997</v>
      </c>
      <c r="AN4629" t="s">
        <v>8274</v>
      </c>
      <c r="AO4629">
        <v>-124.120231</v>
      </c>
      <c r="AP4629">
        <v>100</v>
      </c>
      <c r="AQ4629">
        <v>500</v>
      </c>
      <c r="AR4629" t="s">
        <v>118</v>
      </c>
      <c r="AS4629">
        <v>47</v>
      </c>
      <c r="AT4629">
        <v>-15</v>
      </c>
      <c r="AU4629">
        <v>-640</v>
      </c>
      <c r="BC4629">
        <v>1200</v>
      </c>
      <c r="BD4629">
        <v>1</v>
      </c>
      <c r="BE4629" t="str">
        <f t="shared" si="222"/>
        <v xml:space="preserve">N215T   </v>
      </c>
      <c r="BF4629">
        <v>1</v>
      </c>
      <c r="BH4629">
        <v>0</v>
      </c>
      <c r="BI4629">
        <v>0</v>
      </c>
      <c r="BJ4629">
        <v>0</v>
      </c>
      <c r="BK4629">
        <v>950</v>
      </c>
      <c r="BL4629">
        <v>450</v>
      </c>
      <c r="BM4629" t="s">
        <v>119</v>
      </c>
      <c r="BN4629">
        <v>1</v>
      </c>
      <c r="BO4629">
        <v>1</v>
      </c>
      <c r="BP4629">
        <v>1</v>
      </c>
      <c r="BQ4629">
        <v>0</v>
      </c>
      <c r="BT4629">
        <v>0</v>
      </c>
      <c r="BU4629">
        <v>0</v>
      </c>
      <c r="BV4629">
        <v>0</v>
      </c>
      <c r="CC4629" t="str">
        <f>"19:54:27.680"</f>
        <v>19:54:27.680</v>
      </c>
      <c r="CD4629" t="str">
        <f>"682383068"</f>
        <v>682383068</v>
      </c>
      <c r="CQ4629">
        <v>0</v>
      </c>
      <c r="CR4629">
        <v>2</v>
      </c>
      <c r="CS4629">
        <v>0</v>
      </c>
      <c r="CT4629">
        <v>2</v>
      </c>
      <c r="CU4629">
        <v>0</v>
      </c>
      <c r="CV4629">
        <v>6</v>
      </c>
      <c r="CW4629" t="s">
        <v>120</v>
      </c>
      <c r="CX4629">
        <v>257</v>
      </c>
      <c r="CY4629">
        <v>3</v>
      </c>
      <c r="CZ4629" t="s">
        <v>615</v>
      </c>
      <c r="DA4629" t="s">
        <v>616</v>
      </c>
      <c r="DD4629">
        <v>9555310</v>
      </c>
      <c r="DE4629" t="s">
        <v>123</v>
      </c>
    </row>
    <row r="4630" spans="1:109" x14ac:dyDescent="0.3">
      <c r="A4630" t="str">
        <f>"19:54:29.016"</f>
        <v>19:54:29.016</v>
      </c>
      <c r="B4630" t="s">
        <v>110</v>
      </c>
      <c r="C4630" t="str">
        <f t="shared" si="220"/>
        <v>ffdfd3c0</v>
      </c>
      <c r="D4630" t="s">
        <v>111</v>
      </c>
      <c r="E4630">
        <v>18</v>
      </c>
      <c r="F4630">
        <v>1018</v>
      </c>
      <c r="G4630" t="s">
        <v>112</v>
      </c>
      <c r="J4630" t="s">
        <v>113</v>
      </c>
      <c r="K4630">
        <v>0</v>
      </c>
      <c r="L4630">
        <v>3</v>
      </c>
      <c r="M4630">
        <v>0</v>
      </c>
      <c r="N4630">
        <v>2</v>
      </c>
      <c r="O4630">
        <v>1</v>
      </c>
      <c r="P4630">
        <v>0</v>
      </c>
      <c r="Q4630">
        <v>0</v>
      </c>
      <c r="R4630" t="s">
        <v>114</v>
      </c>
      <c r="S4630" t="str">
        <f>"19:54:28.758"</f>
        <v>19:54:28.758</v>
      </c>
      <c r="T4630" t="str">
        <f>"19:54:28.555"</f>
        <v>19:54:28.555</v>
      </c>
      <c r="U4630" t="str">
        <f t="shared" si="221"/>
        <v>a1cdbe</v>
      </c>
      <c r="V4630">
        <v>0</v>
      </c>
      <c r="W4630">
        <v>0</v>
      </c>
      <c r="X4630">
        <v>2</v>
      </c>
      <c r="Y4630">
        <v>0</v>
      </c>
      <c r="Z4630">
        <v>0</v>
      </c>
      <c r="AB4630">
        <v>0</v>
      </c>
      <c r="AC4630">
        <v>9</v>
      </c>
      <c r="AD4630">
        <v>3</v>
      </c>
      <c r="AE4630">
        <v>0</v>
      </c>
      <c r="AF4630">
        <v>9</v>
      </c>
      <c r="AG4630" t="s">
        <v>1307</v>
      </c>
      <c r="AH4630">
        <v>0</v>
      </c>
      <c r="AI4630">
        <v>3</v>
      </c>
      <c r="AJ4630">
        <v>1</v>
      </c>
      <c r="AK4630">
        <v>0</v>
      </c>
      <c r="AL4630" t="s">
        <v>8275</v>
      </c>
      <c r="AM4630">
        <v>47.075772000000001</v>
      </c>
      <c r="AN4630" t="s">
        <v>8276</v>
      </c>
      <c r="AO4630">
        <v>-124.11988700000001</v>
      </c>
      <c r="AP4630">
        <v>100</v>
      </c>
      <c r="AQ4630">
        <v>500</v>
      </c>
      <c r="AR4630" t="s">
        <v>118</v>
      </c>
      <c r="AS4630">
        <v>46</v>
      </c>
      <c r="AT4630">
        <v>-15</v>
      </c>
      <c r="AU4630">
        <v>-832</v>
      </c>
      <c r="BC4630">
        <v>1200</v>
      </c>
      <c r="BD4630">
        <v>1</v>
      </c>
      <c r="BE4630" t="str">
        <f t="shared" si="222"/>
        <v xml:space="preserve">N215T   </v>
      </c>
      <c r="BF4630">
        <v>1</v>
      </c>
      <c r="BH4630">
        <v>0</v>
      </c>
      <c r="BI4630">
        <v>0</v>
      </c>
      <c r="BJ4630">
        <v>0</v>
      </c>
      <c r="BK4630">
        <v>925</v>
      </c>
      <c r="BL4630">
        <v>425</v>
      </c>
      <c r="BM4630" t="s">
        <v>119</v>
      </c>
      <c r="BN4630">
        <v>1</v>
      </c>
      <c r="BO4630">
        <v>1</v>
      </c>
      <c r="BP4630">
        <v>1</v>
      </c>
      <c r="BQ4630">
        <v>0</v>
      </c>
      <c r="BT4630">
        <v>0</v>
      </c>
      <c r="BU4630">
        <v>0</v>
      </c>
      <c r="BV4630">
        <v>0</v>
      </c>
      <c r="CC4630" t="str">
        <f>"19:54:28.766"</f>
        <v>19:54:28.766</v>
      </c>
      <c r="CD4630" t="str">
        <f>"762276571"</f>
        <v>762276571</v>
      </c>
      <c r="CQ4630">
        <v>0</v>
      </c>
      <c r="CR4630">
        <v>2</v>
      </c>
      <c r="CS4630">
        <v>0</v>
      </c>
      <c r="CT4630">
        <v>2</v>
      </c>
      <c r="CU4630">
        <v>0</v>
      </c>
      <c r="CV4630">
        <v>6</v>
      </c>
      <c r="CW4630" t="s">
        <v>120</v>
      </c>
      <c r="CX4630">
        <v>257</v>
      </c>
      <c r="CY4630">
        <v>0</v>
      </c>
      <c r="CZ4630" t="s">
        <v>615</v>
      </c>
      <c r="DA4630" t="s">
        <v>616</v>
      </c>
      <c r="DD4630">
        <v>104826</v>
      </c>
      <c r="DE4630" t="s">
        <v>123</v>
      </c>
    </row>
    <row r="4631" spans="1:109" x14ac:dyDescent="0.3">
      <c r="A4631" t="str">
        <f>"19:54:29.922"</f>
        <v>19:54:29.922</v>
      </c>
      <c r="B4631" t="s">
        <v>110</v>
      </c>
      <c r="C4631" t="str">
        <f t="shared" si="220"/>
        <v>ffdfd3c0</v>
      </c>
      <c r="D4631" t="s">
        <v>111</v>
      </c>
      <c r="E4631">
        <v>18</v>
      </c>
      <c r="F4631">
        <v>1018</v>
      </c>
      <c r="G4631" t="s">
        <v>112</v>
      </c>
      <c r="J4631" t="s">
        <v>113</v>
      </c>
      <c r="K4631">
        <v>0</v>
      </c>
      <c r="L4631">
        <v>3</v>
      </c>
      <c r="M4631">
        <v>0</v>
      </c>
      <c r="N4631">
        <v>2</v>
      </c>
      <c r="O4631">
        <v>1</v>
      </c>
      <c r="P4631">
        <v>0</v>
      </c>
      <c r="Q4631">
        <v>0</v>
      </c>
      <c r="R4631" t="s">
        <v>114</v>
      </c>
      <c r="S4631" t="str">
        <f>"19:54:29.703"</f>
        <v>19:54:29.703</v>
      </c>
      <c r="T4631" t="str">
        <f>"19:54:29.406"</f>
        <v>19:54:29.406</v>
      </c>
      <c r="U4631" t="str">
        <f t="shared" si="221"/>
        <v>a1cdbe</v>
      </c>
      <c r="V4631">
        <v>0</v>
      </c>
      <c r="W4631">
        <v>0</v>
      </c>
      <c r="X4631">
        <v>2</v>
      </c>
      <c r="Y4631">
        <v>0</v>
      </c>
      <c r="Z4631">
        <v>0</v>
      </c>
      <c r="AB4631">
        <v>0</v>
      </c>
      <c r="AC4631">
        <v>9</v>
      </c>
      <c r="AD4631">
        <v>3</v>
      </c>
      <c r="AE4631">
        <v>0</v>
      </c>
      <c r="AF4631">
        <v>9</v>
      </c>
      <c r="AG4631" t="s">
        <v>1307</v>
      </c>
      <c r="AH4631">
        <v>0</v>
      </c>
      <c r="AI4631">
        <v>3</v>
      </c>
      <c r="AJ4631">
        <v>1</v>
      </c>
      <c r="AK4631">
        <v>0</v>
      </c>
      <c r="AL4631" t="s">
        <v>8230</v>
      </c>
      <c r="AM4631">
        <v>47.075729000000003</v>
      </c>
      <c r="AN4631" t="s">
        <v>8277</v>
      </c>
      <c r="AO4631">
        <v>-124.11963</v>
      </c>
      <c r="AP4631">
        <v>100</v>
      </c>
      <c r="AQ4631">
        <v>500</v>
      </c>
      <c r="AR4631" t="s">
        <v>118</v>
      </c>
      <c r="AS4631">
        <v>47</v>
      </c>
      <c r="AT4631">
        <v>-15</v>
      </c>
      <c r="AU4631">
        <v>-896</v>
      </c>
      <c r="BC4631">
        <v>1200</v>
      </c>
      <c r="BD4631">
        <v>1</v>
      </c>
      <c r="BE4631" t="str">
        <f t="shared" si="222"/>
        <v xml:space="preserve">N215T   </v>
      </c>
      <c r="BF4631">
        <v>1</v>
      </c>
      <c r="BH4631">
        <v>0</v>
      </c>
      <c r="BI4631">
        <v>0</v>
      </c>
      <c r="BJ4631">
        <v>0</v>
      </c>
      <c r="BK4631">
        <v>900</v>
      </c>
      <c r="BL4631">
        <v>400</v>
      </c>
      <c r="BM4631" t="s">
        <v>119</v>
      </c>
      <c r="BN4631">
        <v>1</v>
      </c>
      <c r="BO4631">
        <v>1</v>
      </c>
      <c r="BP4631">
        <v>1</v>
      </c>
      <c r="BQ4631">
        <v>0</v>
      </c>
      <c r="BT4631">
        <v>0</v>
      </c>
      <c r="BU4631">
        <v>0</v>
      </c>
      <c r="BV4631">
        <v>0</v>
      </c>
      <c r="CC4631" t="str">
        <f>"19:54:29.711"</f>
        <v>19:54:29.711</v>
      </c>
      <c r="CD4631" t="str">
        <f>"707183391"</f>
        <v>707183391</v>
      </c>
      <c r="CQ4631">
        <v>0</v>
      </c>
      <c r="CR4631">
        <v>2</v>
      </c>
      <c r="CS4631">
        <v>0</v>
      </c>
      <c r="CT4631">
        <v>2</v>
      </c>
      <c r="CU4631">
        <v>0</v>
      </c>
      <c r="CV4631">
        <v>7</v>
      </c>
      <c r="CW4631" t="s">
        <v>120</v>
      </c>
      <c r="CX4631">
        <v>257</v>
      </c>
      <c r="CY4631">
        <v>0</v>
      </c>
      <c r="CZ4631" t="s">
        <v>615</v>
      </c>
      <c r="DA4631" t="s">
        <v>616</v>
      </c>
      <c r="DD4631">
        <v>105120</v>
      </c>
      <c r="DE4631" t="s">
        <v>123</v>
      </c>
    </row>
    <row r="4632" spans="1:109" x14ac:dyDescent="0.3">
      <c r="A4632" t="str">
        <f>"19:54:30.828"</f>
        <v>19:54:30.828</v>
      </c>
      <c r="B4632" t="s">
        <v>110</v>
      </c>
      <c r="C4632" t="str">
        <f t="shared" si="220"/>
        <v>ffdfd3c0</v>
      </c>
      <c r="D4632" t="s">
        <v>111</v>
      </c>
      <c r="E4632">
        <v>18</v>
      </c>
      <c r="F4632">
        <v>1018</v>
      </c>
      <c r="G4632" t="s">
        <v>112</v>
      </c>
      <c r="J4632" t="s">
        <v>113</v>
      </c>
      <c r="K4632">
        <v>0</v>
      </c>
      <c r="L4632">
        <v>3</v>
      </c>
      <c r="M4632">
        <v>0</v>
      </c>
      <c r="N4632">
        <v>2</v>
      </c>
      <c r="O4632">
        <v>1</v>
      </c>
      <c r="P4632">
        <v>0</v>
      </c>
      <c r="Q4632">
        <v>0</v>
      </c>
      <c r="R4632" t="s">
        <v>114</v>
      </c>
      <c r="S4632" t="str">
        <f>"19:54:30.586"</f>
        <v>19:54:30.586</v>
      </c>
      <c r="T4632" t="str">
        <f>"19:54:30.484"</f>
        <v>19:54:30.484</v>
      </c>
      <c r="U4632" t="str">
        <f t="shared" si="221"/>
        <v>a1cdbe</v>
      </c>
      <c r="V4632">
        <v>0</v>
      </c>
      <c r="W4632">
        <v>0</v>
      </c>
      <c r="X4632">
        <v>2</v>
      </c>
      <c r="Y4632">
        <v>0</v>
      </c>
      <c r="Z4632">
        <v>0</v>
      </c>
      <c r="AB4632">
        <v>0</v>
      </c>
      <c r="AC4632">
        <v>9</v>
      </c>
      <c r="AD4632">
        <v>3</v>
      </c>
      <c r="AE4632">
        <v>0</v>
      </c>
      <c r="AF4632">
        <v>9</v>
      </c>
      <c r="AG4632" t="s">
        <v>1307</v>
      </c>
      <c r="AH4632">
        <v>0</v>
      </c>
      <c r="AI4632">
        <v>3</v>
      </c>
      <c r="AJ4632">
        <v>1</v>
      </c>
      <c r="AK4632">
        <v>0</v>
      </c>
      <c r="AL4632" t="s">
        <v>8278</v>
      </c>
      <c r="AM4632">
        <v>47.075665000000001</v>
      </c>
      <c r="AN4632" t="s">
        <v>8279</v>
      </c>
      <c r="AO4632">
        <v>-124.119308</v>
      </c>
      <c r="AP4632">
        <v>100</v>
      </c>
      <c r="AQ4632">
        <v>500</v>
      </c>
      <c r="AR4632" t="s">
        <v>118</v>
      </c>
      <c r="AS4632">
        <v>48</v>
      </c>
      <c r="AT4632">
        <v>-15</v>
      </c>
      <c r="AU4632">
        <v>-960</v>
      </c>
      <c r="BC4632">
        <v>1200</v>
      </c>
      <c r="BD4632">
        <v>1</v>
      </c>
      <c r="BE4632" t="str">
        <f t="shared" si="222"/>
        <v xml:space="preserve">N215T   </v>
      </c>
      <c r="BF4632">
        <v>1</v>
      </c>
      <c r="BH4632">
        <v>0</v>
      </c>
      <c r="BI4632">
        <v>0</v>
      </c>
      <c r="BJ4632">
        <v>0</v>
      </c>
      <c r="BK4632">
        <v>900</v>
      </c>
      <c r="BL4632">
        <v>400</v>
      </c>
      <c r="BM4632" t="s">
        <v>119</v>
      </c>
      <c r="BN4632">
        <v>1</v>
      </c>
      <c r="BO4632">
        <v>1</v>
      </c>
      <c r="BP4632">
        <v>1</v>
      </c>
      <c r="BQ4632">
        <v>0</v>
      </c>
      <c r="BT4632">
        <v>0</v>
      </c>
      <c r="BU4632">
        <v>0</v>
      </c>
      <c r="BV4632">
        <v>0</v>
      </c>
      <c r="CC4632" t="str">
        <f>"19:54:30.594"</f>
        <v>19:54:30.594</v>
      </c>
      <c r="CD4632" t="str">
        <f>"592096124"</f>
        <v>592096124</v>
      </c>
      <c r="CQ4632">
        <v>0</v>
      </c>
      <c r="CR4632">
        <v>2</v>
      </c>
      <c r="CS4632">
        <v>0</v>
      </c>
      <c r="CT4632">
        <v>2</v>
      </c>
      <c r="CU4632">
        <v>0</v>
      </c>
      <c r="CV4632">
        <v>7</v>
      </c>
      <c r="CW4632" t="s">
        <v>120</v>
      </c>
      <c r="CX4632">
        <v>257</v>
      </c>
      <c r="CY4632">
        <v>0</v>
      </c>
      <c r="CZ4632" t="s">
        <v>615</v>
      </c>
      <c r="DA4632" t="s">
        <v>616</v>
      </c>
      <c r="DD4632">
        <v>105405</v>
      </c>
      <c r="DE4632" t="s">
        <v>123</v>
      </c>
    </row>
    <row r="4633" spans="1:109" x14ac:dyDescent="0.3">
      <c r="A4633" t="str">
        <f>"19:54:31.781"</f>
        <v>19:54:31.781</v>
      </c>
      <c r="B4633" t="s">
        <v>110</v>
      </c>
      <c r="C4633" t="str">
        <f t="shared" si="220"/>
        <v>ffdfd3c0</v>
      </c>
      <c r="D4633" t="s">
        <v>111</v>
      </c>
      <c r="E4633">
        <v>18</v>
      </c>
      <c r="F4633">
        <v>1018</v>
      </c>
      <c r="G4633" t="s">
        <v>112</v>
      </c>
      <c r="J4633" t="s">
        <v>113</v>
      </c>
      <c r="K4633">
        <v>0</v>
      </c>
      <c r="L4633">
        <v>3</v>
      </c>
      <c r="M4633">
        <v>0</v>
      </c>
      <c r="N4633">
        <v>2</v>
      </c>
      <c r="O4633">
        <v>1</v>
      </c>
      <c r="P4633">
        <v>0</v>
      </c>
      <c r="Q4633">
        <v>0</v>
      </c>
      <c r="R4633" t="s">
        <v>114</v>
      </c>
      <c r="S4633" t="str">
        <f>"19:54:31.547"</f>
        <v>19:54:31.547</v>
      </c>
      <c r="T4633" t="str">
        <f>"19:54:31.547"</f>
        <v>19:54:31.547</v>
      </c>
      <c r="U4633" t="str">
        <f t="shared" si="221"/>
        <v>a1cdbe</v>
      </c>
      <c r="V4633">
        <v>0</v>
      </c>
      <c r="W4633">
        <v>0</v>
      </c>
      <c r="X4633">
        <v>2</v>
      </c>
      <c r="Y4633">
        <v>0</v>
      </c>
      <c r="Z4633">
        <v>0</v>
      </c>
      <c r="AB4633">
        <v>0</v>
      </c>
      <c r="AC4633">
        <v>9</v>
      </c>
      <c r="AD4633">
        <v>3</v>
      </c>
      <c r="AE4633">
        <v>0</v>
      </c>
      <c r="AF4633">
        <v>9</v>
      </c>
      <c r="AG4633" t="s">
        <v>115</v>
      </c>
      <c r="AH4633">
        <v>0</v>
      </c>
      <c r="AI4633">
        <v>0</v>
      </c>
      <c r="AJ4633">
        <v>1</v>
      </c>
      <c r="AK4633">
        <v>0</v>
      </c>
      <c r="AL4633" t="s">
        <v>8280</v>
      </c>
      <c r="AM4633">
        <v>47.075578999999998</v>
      </c>
      <c r="AN4633" t="s">
        <v>8281</v>
      </c>
      <c r="AO4633">
        <v>-124.119029</v>
      </c>
      <c r="AP4633">
        <v>100</v>
      </c>
      <c r="AQ4633">
        <v>500</v>
      </c>
      <c r="AR4633" t="s">
        <v>118</v>
      </c>
      <c r="AS4633">
        <v>49</v>
      </c>
      <c r="AT4633">
        <v>-14</v>
      </c>
      <c r="AU4633">
        <v>-960</v>
      </c>
      <c r="BC4633">
        <v>1200</v>
      </c>
      <c r="BD4633">
        <v>1</v>
      </c>
      <c r="BE4633" t="str">
        <f t="shared" si="222"/>
        <v xml:space="preserve">N215T   </v>
      </c>
      <c r="BF4633">
        <v>1</v>
      </c>
      <c r="BH4633">
        <v>0</v>
      </c>
      <c r="BI4633">
        <v>0</v>
      </c>
      <c r="BJ4633">
        <v>0</v>
      </c>
      <c r="BK4633">
        <v>875</v>
      </c>
      <c r="BL4633">
        <v>375</v>
      </c>
      <c r="BM4633" t="s">
        <v>119</v>
      </c>
      <c r="BN4633">
        <v>1</v>
      </c>
      <c r="BO4633">
        <v>1</v>
      </c>
      <c r="BP4633">
        <v>1</v>
      </c>
      <c r="BQ4633">
        <v>0</v>
      </c>
      <c r="BT4633">
        <v>0</v>
      </c>
      <c r="BU4633">
        <v>0</v>
      </c>
      <c r="BV4633">
        <v>0</v>
      </c>
      <c r="CC4633" t="str">
        <f>"19:54:31.555"</f>
        <v>19:54:31.555</v>
      </c>
      <c r="CD4633" t="str">
        <f>"552001481"</f>
        <v>552001481</v>
      </c>
      <c r="CQ4633">
        <v>0</v>
      </c>
      <c r="CR4633">
        <v>2</v>
      </c>
      <c r="CS4633">
        <v>0</v>
      </c>
      <c r="CT4633">
        <v>2</v>
      </c>
      <c r="CU4633">
        <v>0</v>
      </c>
      <c r="CV4633">
        <v>7</v>
      </c>
      <c r="CW4633" t="s">
        <v>120</v>
      </c>
      <c r="CX4633">
        <v>257</v>
      </c>
      <c r="CY4633">
        <v>0</v>
      </c>
      <c r="CZ4633" t="s">
        <v>615</v>
      </c>
      <c r="DA4633" t="s">
        <v>616</v>
      </c>
      <c r="DD4633">
        <v>105749</v>
      </c>
      <c r="DE4633" t="s">
        <v>123</v>
      </c>
    </row>
    <row r="4634" spans="1:109" x14ac:dyDescent="0.3">
      <c r="A4634" t="str">
        <f>"19:54:32.938"</f>
        <v>19:54:32.938</v>
      </c>
      <c r="B4634" t="s">
        <v>110</v>
      </c>
      <c r="C4634" t="str">
        <f t="shared" si="220"/>
        <v>ffdfd3c0</v>
      </c>
      <c r="D4634" t="s">
        <v>111</v>
      </c>
      <c r="E4634">
        <v>18</v>
      </c>
      <c r="F4634">
        <v>1018</v>
      </c>
      <c r="G4634" t="s">
        <v>112</v>
      </c>
      <c r="J4634" t="s">
        <v>113</v>
      </c>
      <c r="K4634">
        <v>0</v>
      </c>
      <c r="L4634">
        <v>3</v>
      </c>
      <c r="M4634">
        <v>0</v>
      </c>
      <c r="N4634">
        <v>2</v>
      </c>
      <c r="O4634">
        <v>1</v>
      </c>
      <c r="P4634">
        <v>0</v>
      </c>
      <c r="Q4634">
        <v>0</v>
      </c>
      <c r="R4634" t="s">
        <v>114</v>
      </c>
      <c r="S4634" t="str">
        <f>"19:54:32.688"</f>
        <v>19:54:32.688</v>
      </c>
      <c r="T4634" t="str">
        <f>"19:54:32.688"</f>
        <v>19:54:32.688</v>
      </c>
      <c r="U4634" t="str">
        <f t="shared" si="221"/>
        <v>a1cdbe</v>
      </c>
      <c r="V4634">
        <v>0</v>
      </c>
      <c r="W4634">
        <v>0</v>
      </c>
      <c r="X4634">
        <v>2</v>
      </c>
      <c r="Y4634">
        <v>0</v>
      </c>
      <c r="Z4634">
        <v>0</v>
      </c>
      <c r="AB4634">
        <v>0</v>
      </c>
      <c r="AC4634">
        <v>9</v>
      </c>
      <c r="AD4634">
        <v>3</v>
      </c>
      <c r="AE4634">
        <v>0</v>
      </c>
      <c r="AF4634">
        <v>9</v>
      </c>
      <c r="AG4634" t="s">
        <v>115</v>
      </c>
      <c r="AH4634">
        <v>0</v>
      </c>
      <c r="AI4634">
        <v>0</v>
      </c>
      <c r="AJ4634">
        <v>1</v>
      </c>
      <c r="AK4634">
        <v>0</v>
      </c>
      <c r="AL4634" t="s">
        <v>8282</v>
      </c>
      <c r="AM4634">
        <v>47.075536</v>
      </c>
      <c r="AN4634" t="s">
        <v>8136</v>
      </c>
      <c r="AO4634">
        <v>-124.1186</v>
      </c>
      <c r="AP4634">
        <v>100</v>
      </c>
      <c r="AQ4634">
        <v>500</v>
      </c>
      <c r="AR4634" t="s">
        <v>118</v>
      </c>
      <c r="AS4634">
        <v>50</v>
      </c>
      <c r="AT4634">
        <v>-13</v>
      </c>
      <c r="AU4634">
        <v>-960</v>
      </c>
      <c r="BC4634">
        <v>1200</v>
      </c>
      <c r="BD4634">
        <v>1</v>
      </c>
      <c r="BE4634" t="str">
        <f t="shared" si="222"/>
        <v xml:space="preserve">N215T   </v>
      </c>
      <c r="BF4634">
        <v>1</v>
      </c>
      <c r="BH4634">
        <v>0</v>
      </c>
      <c r="BI4634">
        <v>0</v>
      </c>
      <c r="BJ4634">
        <v>0</v>
      </c>
      <c r="BK4634">
        <v>850</v>
      </c>
      <c r="BL4634">
        <v>350</v>
      </c>
      <c r="BM4634" t="s">
        <v>119</v>
      </c>
      <c r="BN4634">
        <v>1</v>
      </c>
      <c r="BO4634">
        <v>1</v>
      </c>
      <c r="BP4634">
        <v>1</v>
      </c>
      <c r="BQ4634">
        <v>0</v>
      </c>
      <c r="BT4634">
        <v>0</v>
      </c>
      <c r="BU4634">
        <v>0</v>
      </c>
      <c r="BV4634">
        <v>0</v>
      </c>
      <c r="CC4634" t="str">
        <f>"19:54:32.695"</f>
        <v>19:54:32.695</v>
      </c>
      <c r="CD4634" t="str">
        <f>"691889076"</f>
        <v>691889076</v>
      </c>
      <c r="CQ4634">
        <v>0</v>
      </c>
      <c r="CR4634">
        <v>2</v>
      </c>
      <c r="CS4634">
        <v>0</v>
      </c>
      <c r="CT4634">
        <v>2</v>
      </c>
      <c r="CU4634">
        <v>0</v>
      </c>
      <c r="CV4634">
        <v>7</v>
      </c>
      <c r="CW4634" t="s">
        <v>120</v>
      </c>
      <c r="CX4634">
        <v>257</v>
      </c>
      <c r="CY4634">
        <v>0</v>
      </c>
      <c r="CZ4634" t="s">
        <v>615</v>
      </c>
      <c r="DA4634" t="s">
        <v>616</v>
      </c>
      <c r="DD4634">
        <v>106137</v>
      </c>
      <c r="DE4634" t="s">
        <v>123</v>
      </c>
    </row>
    <row r="4635" spans="1:109" x14ac:dyDescent="0.3">
      <c r="A4635" t="str">
        <f>"19:54:33.992"</f>
        <v>19:54:33.992</v>
      </c>
      <c r="B4635" t="s">
        <v>110</v>
      </c>
      <c r="C4635" t="str">
        <f t="shared" si="220"/>
        <v>ffdfd3c0</v>
      </c>
      <c r="D4635" t="s">
        <v>111</v>
      </c>
      <c r="E4635">
        <v>18</v>
      </c>
      <c r="F4635">
        <v>1018</v>
      </c>
      <c r="G4635" t="s">
        <v>112</v>
      </c>
      <c r="J4635" t="s">
        <v>113</v>
      </c>
      <c r="K4635">
        <v>0</v>
      </c>
      <c r="L4635">
        <v>3</v>
      </c>
      <c r="M4635">
        <v>0</v>
      </c>
      <c r="N4635">
        <v>2</v>
      </c>
      <c r="O4635">
        <v>1</v>
      </c>
      <c r="P4635">
        <v>0</v>
      </c>
      <c r="Q4635">
        <v>0</v>
      </c>
      <c r="R4635" t="s">
        <v>114</v>
      </c>
      <c r="S4635" t="str">
        <f>"19:54:33.766"</f>
        <v>19:54:33.766</v>
      </c>
      <c r="T4635" t="str">
        <f>"19:54:33.664"</f>
        <v>19:54:33.664</v>
      </c>
      <c r="U4635" t="str">
        <f t="shared" si="221"/>
        <v>a1cdbe</v>
      </c>
      <c r="V4635">
        <v>0</v>
      </c>
      <c r="W4635">
        <v>0</v>
      </c>
      <c r="X4635">
        <v>2</v>
      </c>
      <c r="Y4635">
        <v>0</v>
      </c>
      <c r="Z4635">
        <v>0</v>
      </c>
      <c r="AB4635">
        <v>0</v>
      </c>
      <c r="AC4635">
        <v>9</v>
      </c>
      <c r="AD4635">
        <v>3</v>
      </c>
      <c r="AE4635">
        <v>0</v>
      </c>
      <c r="AF4635">
        <v>9</v>
      </c>
      <c r="AG4635" t="s">
        <v>115</v>
      </c>
      <c r="AH4635">
        <v>0</v>
      </c>
      <c r="AI4635">
        <v>0</v>
      </c>
      <c r="AJ4635">
        <v>1</v>
      </c>
      <c r="AK4635">
        <v>0</v>
      </c>
      <c r="AL4635" t="s">
        <v>8228</v>
      </c>
      <c r="AM4635">
        <v>47.075493000000002</v>
      </c>
      <c r="AN4635" t="s">
        <v>8283</v>
      </c>
      <c r="AO4635">
        <v>-124.118257</v>
      </c>
      <c r="AP4635">
        <v>100</v>
      </c>
      <c r="AQ4635">
        <v>400</v>
      </c>
      <c r="AR4635" t="s">
        <v>118</v>
      </c>
      <c r="AS4635">
        <v>51</v>
      </c>
      <c r="AT4635">
        <v>-12</v>
      </c>
      <c r="AU4635">
        <v>-832</v>
      </c>
      <c r="BC4635">
        <v>1200</v>
      </c>
      <c r="BD4635">
        <v>1</v>
      </c>
      <c r="BE4635" t="str">
        <f t="shared" si="222"/>
        <v xml:space="preserve">N215T   </v>
      </c>
      <c r="BF4635">
        <v>1</v>
      </c>
      <c r="BH4635">
        <v>0</v>
      </c>
      <c r="BI4635">
        <v>0</v>
      </c>
      <c r="BJ4635">
        <v>0</v>
      </c>
      <c r="BK4635">
        <v>850</v>
      </c>
      <c r="BL4635">
        <v>450</v>
      </c>
      <c r="BM4635" t="s">
        <v>119</v>
      </c>
      <c r="BN4635">
        <v>1</v>
      </c>
      <c r="BO4635">
        <v>1</v>
      </c>
      <c r="BP4635">
        <v>1</v>
      </c>
      <c r="BQ4635">
        <v>0</v>
      </c>
      <c r="BT4635">
        <v>0</v>
      </c>
      <c r="BU4635">
        <v>0</v>
      </c>
      <c r="BV4635">
        <v>0</v>
      </c>
      <c r="CC4635" t="str">
        <f>"19:54:33.773"</f>
        <v>19:54:33.773</v>
      </c>
      <c r="CD4635" t="str">
        <f>"771782594"</f>
        <v>771782594</v>
      </c>
      <c r="CQ4635">
        <v>0</v>
      </c>
      <c r="CR4635">
        <v>2</v>
      </c>
      <c r="CS4635">
        <v>0</v>
      </c>
      <c r="CT4635">
        <v>2</v>
      </c>
      <c r="CU4635">
        <v>0</v>
      </c>
      <c r="CV4635">
        <v>7</v>
      </c>
      <c r="CW4635" t="s">
        <v>120</v>
      </c>
      <c r="CX4635">
        <v>257</v>
      </c>
      <c r="CY4635">
        <v>0</v>
      </c>
      <c r="CZ4635" t="s">
        <v>615</v>
      </c>
      <c r="DA4635" t="s">
        <v>616</v>
      </c>
      <c r="DD4635">
        <v>106505</v>
      </c>
      <c r="DE4635" t="s">
        <v>123</v>
      </c>
    </row>
    <row r="4636" spans="1:109" x14ac:dyDescent="0.3">
      <c r="A4636" t="str">
        <f>"19:54:34.945"</f>
        <v>19:54:34.945</v>
      </c>
      <c r="B4636" t="s">
        <v>110</v>
      </c>
      <c r="C4636" t="str">
        <f t="shared" si="220"/>
        <v>ffdfd3c0</v>
      </c>
      <c r="D4636" t="s">
        <v>111</v>
      </c>
      <c r="E4636">
        <v>18</v>
      </c>
      <c r="F4636">
        <v>1018</v>
      </c>
      <c r="G4636" t="s">
        <v>112</v>
      </c>
      <c r="J4636" t="s">
        <v>113</v>
      </c>
      <c r="K4636">
        <v>0</v>
      </c>
      <c r="L4636">
        <v>3</v>
      </c>
      <c r="M4636">
        <v>0</v>
      </c>
      <c r="N4636">
        <v>2</v>
      </c>
      <c r="O4636">
        <v>1</v>
      </c>
      <c r="P4636">
        <v>0</v>
      </c>
      <c r="Q4636">
        <v>0</v>
      </c>
      <c r="R4636" t="s">
        <v>114</v>
      </c>
      <c r="S4636" t="str">
        <f>"19:54:34.711"</f>
        <v>19:54:34.711</v>
      </c>
      <c r="T4636" t="str">
        <f>"19:54:34.211"</f>
        <v>19:54:34.211</v>
      </c>
      <c r="U4636" t="str">
        <f t="shared" si="221"/>
        <v>a1cdbe</v>
      </c>
      <c r="V4636">
        <v>0</v>
      </c>
      <c r="W4636">
        <v>0</v>
      </c>
      <c r="X4636">
        <v>2</v>
      </c>
      <c r="Y4636">
        <v>0</v>
      </c>
      <c r="Z4636">
        <v>0</v>
      </c>
      <c r="AB4636">
        <v>0</v>
      </c>
      <c r="AC4636">
        <v>9</v>
      </c>
      <c r="AD4636">
        <v>3</v>
      </c>
      <c r="AE4636">
        <v>0</v>
      </c>
      <c r="AF4636">
        <v>9</v>
      </c>
      <c r="AG4636" t="s">
        <v>115</v>
      </c>
      <c r="AH4636">
        <v>0</v>
      </c>
      <c r="AI4636">
        <v>0</v>
      </c>
      <c r="AJ4636">
        <v>1</v>
      </c>
      <c r="AK4636">
        <v>0</v>
      </c>
      <c r="AL4636" t="s">
        <v>8284</v>
      </c>
      <c r="AM4636">
        <v>47.075386000000002</v>
      </c>
      <c r="AN4636" t="s">
        <v>8285</v>
      </c>
      <c r="AO4636">
        <v>-124.117892</v>
      </c>
      <c r="AP4636">
        <v>100</v>
      </c>
      <c r="AQ4636">
        <v>400</v>
      </c>
      <c r="AR4636" t="s">
        <v>118</v>
      </c>
      <c r="AS4636">
        <v>51</v>
      </c>
      <c r="AT4636">
        <v>-13</v>
      </c>
      <c r="AU4636">
        <v>-832</v>
      </c>
      <c r="BC4636">
        <v>1200</v>
      </c>
      <c r="BD4636">
        <v>1</v>
      </c>
      <c r="BE4636" t="str">
        <f t="shared" si="222"/>
        <v xml:space="preserve">N215T   </v>
      </c>
      <c r="BF4636">
        <v>1</v>
      </c>
      <c r="BH4636">
        <v>0</v>
      </c>
      <c r="BI4636">
        <v>0</v>
      </c>
      <c r="BJ4636">
        <v>0</v>
      </c>
      <c r="BK4636">
        <v>825</v>
      </c>
      <c r="BL4636">
        <v>425</v>
      </c>
      <c r="BM4636" t="s">
        <v>119</v>
      </c>
      <c r="BN4636">
        <v>1</v>
      </c>
      <c r="BO4636">
        <v>1</v>
      </c>
      <c r="BP4636">
        <v>1</v>
      </c>
      <c r="BQ4636">
        <v>0</v>
      </c>
      <c r="BT4636">
        <v>0</v>
      </c>
      <c r="BU4636">
        <v>0</v>
      </c>
      <c r="BV4636">
        <v>0</v>
      </c>
      <c r="CC4636" t="str">
        <f>"19:54:34.719"</f>
        <v>19:54:34.719</v>
      </c>
      <c r="CD4636" t="str">
        <f>"716689415"</f>
        <v>716689415</v>
      </c>
      <c r="CQ4636">
        <v>0</v>
      </c>
      <c r="CR4636">
        <v>2</v>
      </c>
      <c r="CS4636">
        <v>0</v>
      </c>
      <c r="CT4636">
        <v>2</v>
      </c>
      <c r="CU4636">
        <v>0</v>
      </c>
      <c r="CV4636">
        <v>7</v>
      </c>
      <c r="CW4636" t="s">
        <v>120</v>
      </c>
      <c r="CX4636">
        <v>257</v>
      </c>
      <c r="CY4636">
        <v>0</v>
      </c>
      <c r="CZ4636" t="s">
        <v>615</v>
      </c>
      <c r="DA4636" t="s">
        <v>616</v>
      </c>
      <c r="DD4636">
        <v>106804</v>
      </c>
      <c r="DE4636" t="s">
        <v>123</v>
      </c>
    </row>
    <row r="4637" spans="1:109" x14ac:dyDescent="0.3">
      <c r="A4637" t="str">
        <f>"19:54:36.000"</f>
        <v>19:54:36.000</v>
      </c>
      <c r="B4637" t="s">
        <v>110</v>
      </c>
      <c r="C4637" t="str">
        <f t="shared" si="220"/>
        <v>ffdfd3c0</v>
      </c>
      <c r="D4637" t="s">
        <v>111</v>
      </c>
      <c r="E4637">
        <v>18</v>
      </c>
      <c r="F4637">
        <v>1018</v>
      </c>
      <c r="G4637" t="s">
        <v>112</v>
      </c>
      <c r="J4637" t="s">
        <v>113</v>
      </c>
      <c r="K4637">
        <v>0</v>
      </c>
      <c r="L4637">
        <v>3</v>
      </c>
      <c r="M4637">
        <v>0</v>
      </c>
      <c r="N4637">
        <v>2</v>
      </c>
      <c r="O4637">
        <v>1</v>
      </c>
      <c r="P4637">
        <v>0</v>
      </c>
      <c r="Q4637">
        <v>0</v>
      </c>
      <c r="R4637" t="s">
        <v>114</v>
      </c>
      <c r="S4637" t="str">
        <f>"19:54:35.750"</f>
        <v>19:54:35.750</v>
      </c>
      <c r="T4637" t="str">
        <f>"19:54:35.250"</f>
        <v>19:54:35.250</v>
      </c>
      <c r="U4637" t="str">
        <f t="shared" si="221"/>
        <v>a1cdbe</v>
      </c>
      <c r="V4637">
        <v>0</v>
      </c>
      <c r="W4637">
        <v>0</v>
      </c>
      <c r="X4637">
        <v>2</v>
      </c>
      <c r="Y4637">
        <v>0</v>
      </c>
      <c r="Z4637">
        <v>0</v>
      </c>
      <c r="AB4637">
        <v>0</v>
      </c>
      <c r="AC4637">
        <v>9</v>
      </c>
      <c r="AD4637">
        <v>3</v>
      </c>
      <c r="AE4637">
        <v>0</v>
      </c>
      <c r="AF4637">
        <v>9</v>
      </c>
      <c r="AG4637" t="s">
        <v>115</v>
      </c>
      <c r="AH4637">
        <v>0</v>
      </c>
      <c r="AI4637">
        <v>0</v>
      </c>
      <c r="AJ4637">
        <v>1</v>
      </c>
      <c r="AK4637">
        <v>0</v>
      </c>
      <c r="AL4637" t="s">
        <v>8227</v>
      </c>
      <c r="AM4637">
        <v>47.075322</v>
      </c>
      <c r="AN4637" t="s">
        <v>8286</v>
      </c>
      <c r="AO4637">
        <v>-124.11757</v>
      </c>
      <c r="AP4637">
        <v>100</v>
      </c>
      <c r="AQ4637">
        <v>400</v>
      </c>
      <c r="AR4637" t="s">
        <v>118</v>
      </c>
      <c r="AS4637">
        <v>50</v>
      </c>
      <c r="AT4637">
        <v>-14</v>
      </c>
      <c r="AU4637">
        <v>-896</v>
      </c>
      <c r="BC4637">
        <v>1200</v>
      </c>
      <c r="BD4637">
        <v>1</v>
      </c>
      <c r="BE4637" t="str">
        <f t="shared" si="222"/>
        <v xml:space="preserve">N215T   </v>
      </c>
      <c r="BF4637">
        <v>1</v>
      </c>
      <c r="BH4637">
        <v>0</v>
      </c>
      <c r="BI4637">
        <v>0</v>
      </c>
      <c r="BJ4637">
        <v>0</v>
      </c>
      <c r="BK4637">
        <v>825</v>
      </c>
      <c r="BL4637">
        <v>425</v>
      </c>
      <c r="BM4637" t="s">
        <v>119</v>
      </c>
      <c r="BN4637">
        <v>1</v>
      </c>
      <c r="BO4637">
        <v>1</v>
      </c>
      <c r="BP4637">
        <v>1</v>
      </c>
      <c r="BQ4637">
        <v>0</v>
      </c>
      <c r="BT4637">
        <v>0</v>
      </c>
      <c r="BU4637">
        <v>0</v>
      </c>
      <c r="BV4637">
        <v>0</v>
      </c>
      <c r="CC4637" t="str">
        <f>"19:54:35.750"</f>
        <v>19:54:35.750</v>
      </c>
      <c r="CD4637" t="str">
        <f>"751587380"</f>
        <v>751587380</v>
      </c>
      <c r="CQ4637">
        <v>0</v>
      </c>
      <c r="CR4637">
        <v>2</v>
      </c>
      <c r="CS4637">
        <v>0</v>
      </c>
      <c r="CT4637">
        <v>2</v>
      </c>
      <c r="CU4637">
        <v>0</v>
      </c>
      <c r="CV4637">
        <v>6</v>
      </c>
      <c r="CW4637" t="s">
        <v>120</v>
      </c>
      <c r="CX4637">
        <v>257</v>
      </c>
      <c r="CY4637">
        <v>3</v>
      </c>
      <c r="CZ4637" t="s">
        <v>615</v>
      </c>
      <c r="DA4637" t="s">
        <v>616</v>
      </c>
      <c r="DD4637">
        <v>9556598</v>
      </c>
      <c r="DE4637" t="s">
        <v>123</v>
      </c>
    </row>
    <row r="4638" spans="1:109" x14ac:dyDescent="0.3">
      <c r="A4638" t="str">
        <f>"19:54:36.953"</f>
        <v>19:54:36.953</v>
      </c>
      <c r="B4638" t="s">
        <v>110</v>
      </c>
      <c r="C4638" t="str">
        <f t="shared" si="220"/>
        <v>ffdfd3c0</v>
      </c>
      <c r="D4638" t="s">
        <v>111</v>
      </c>
      <c r="E4638">
        <v>18</v>
      </c>
      <c r="F4638">
        <v>1018</v>
      </c>
      <c r="G4638" t="s">
        <v>112</v>
      </c>
      <c r="J4638" t="s">
        <v>113</v>
      </c>
      <c r="K4638">
        <v>0</v>
      </c>
      <c r="L4638">
        <v>3</v>
      </c>
      <c r="M4638">
        <v>0</v>
      </c>
      <c r="N4638">
        <v>2</v>
      </c>
      <c r="O4638">
        <v>1</v>
      </c>
      <c r="P4638">
        <v>0</v>
      </c>
      <c r="Q4638">
        <v>0</v>
      </c>
      <c r="R4638" t="s">
        <v>114</v>
      </c>
      <c r="S4638" t="str">
        <f>"19:54:36.711"</f>
        <v>19:54:36.711</v>
      </c>
      <c r="T4638" t="str">
        <f>"19:54:36.313"</f>
        <v>19:54:36.313</v>
      </c>
      <c r="U4638" t="str">
        <f t="shared" si="221"/>
        <v>a1cdbe</v>
      </c>
      <c r="V4638">
        <v>0</v>
      </c>
      <c r="W4638">
        <v>0</v>
      </c>
      <c r="X4638">
        <v>2</v>
      </c>
      <c r="Y4638">
        <v>0</v>
      </c>
      <c r="Z4638">
        <v>0</v>
      </c>
      <c r="AB4638">
        <v>0</v>
      </c>
      <c r="AC4638">
        <v>9</v>
      </c>
      <c r="AD4638">
        <v>3</v>
      </c>
      <c r="AE4638">
        <v>0</v>
      </c>
      <c r="AF4638">
        <v>9</v>
      </c>
      <c r="AG4638" t="s">
        <v>115</v>
      </c>
      <c r="AH4638">
        <v>0</v>
      </c>
      <c r="AI4638">
        <v>0</v>
      </c>
      <c r="AJ4638">
        <v>1</v>
      </c>
      <c r="AK4638">
        <v>0</v>
      </c>
      <c r="AL4638" t="s">
        <v>8287</v>
      </c>
      <c r="AM4638">
        <v>47.075257000000001</v>
      </c>
      <c r="AN4638" t="s">
        <v>8288</v>
      </c>
      <c r="AO4638">
        <v>-124.11727</v>
      </c>
      <c r="AP4638">
        <v>100</v>
      </c>
      <c r="AQ4638">
        <v>400</v>
      </c>
      <c r="AR4638" t="s">
        <v>118</v>
      </c>
      <c r="AS4638">
        <v>51</v>
      </c>
      <c r="AT4638">
        <v>-16</v>
      </c>
      <c r="AU4638">
        <v>-768</v>
      </c>
      <c r="BC4638">
        <v>1200</v>
      </c>
      <c r="BD4638">
        <v>1</v>
      </c>
      <c r="BE4638" t="str">
        <f t="shared" si="222"/>
        <v xml:space="preserve">N215T   </v>
      </c>
      <c r="BF4638">
        <v>1</v>
      </c>
      <c r="BH4638">
        <v>0</v>
      </c>
      <c r="BI4638">
        <v>0</v>
      </c>
      <c r="BJ4638">
        <v>0</v>
      </c>
      <c r="BK4638">
        <v>800</v>
      </c>
      <c r="BL4638">
        <v>400</v>
      </c>
      <c r="BM4638" t="s">
        <v>119</v>
      </c>
      <c r="BN4638">
        <v>1</v>
      </c>
      <c r="BO4638">
        <v>1</v>
      </c>
      <c r="BP4638">
        <v>1</v>
      </c>
      <c r="BQ4638">
        <v>0</v>
      </c>
      <c r="BT4638">
        <v>0</v>
      </c>
      <c r="BU4638">
        <v>0</v>
      </c>
      <c r="BV4638">
        <v>0</v>
      </c>
      <c r="CC4638" t="str">
        <f>"19:54:36.711"</f>
        <v>19:54:36.711</v>
      </c>
      <c r="CD4638" t="str">
        <f>"711492700"</f>
        <v>711492700</v>
      </c>
      <c r="CQ4638">
        <v>0</v>
      </c>
      <c r="CR4638">
        <v>2</v>
      </c>
      <c r="CS4638">
        <v>0</v>
      </c>
      <c r="CT4638">
        <v>2</v>
      </c>
      <c r="CU4638">
        <v>0</v>
      </c>
      <c r="CV4638">
        <v>6</v>
      </c>
      <c r="CW4638" t="s">
        <v>120</v>
      </c>
      <c r="CX4638">
        <v>257</v>
      </c>
      <c r="CY4638">
        <v>0</v>
      </c>
      <c r="CZ4638" t="s">
        <v>615</v>
      </c>
      <c r="DA4638" t="s">
        <v>616</v>
      </c>
      <c r="DD4638">
        <v>107519</v>
      </c>
      <c r="DE4638" t="s">
        <v>123</v>
      </c>
    </row>
    <row r="4639" spans="1:109" x14ac:dyDescent="0.3">
      <c r="A4639" t="str">
        <f>"19:54:37.914"</f>
        <v>19:54:37.914</v>
      </c>
      <c r="B4639" t="s">
        <v>110</v>
      </c>
      <c r="C4639" t="str">
        <f t="shared" si="220"/>
        <v>ffdfd3c0</v>
      </c>
      <c r="D4639" t="s">
        <v>111</v>
      </c>
      <c r="E4639">
        <v>18</v>
      </c>
      <c r="F4639">
        <v>1018</v>
      </c>
      <c r="G4639" t="s">
        <v>112</v>
      </c>
      <c r="J4639" t="s">
        <v>113</v>
      </c>
      <c r="K4639">
        <v>0</v>
      </c>
      <c r="L4639">
        <v>3</v>
      </c>
      <c r="M4639">
        <v>0</v>
      </c>
      <c r="N4639">
        <v>2</v>
      </c>
      <c r="O4639">
        <v>1</v>
      </c>
      <c r="P4639">
        <v>0</v>
      </c>
      <c r="Q4639">
        <v>0</v>
      </c>
      <c r="R4639" t="s">
        <v>114</v>
      </c>
      <c r="S4639" t="str">
        <f>"19:54:37.664"</f>
        <v>19:54:37.664</v>
      </c>
      <c r="T4639" t="str">
        <f>"19:54:37.367"</f>
        <v>19:54:37.367</v>
      </c>
      <c r="U4639" t="str">
        <f t="shared" si="221"/>
        <v>a1cdbe</v>
      </c>
      <c r="V4639">
        <v>0</v>
      </c>
      <c r="W4639">
        <v>0</v>
      </c>
      <c r="X4639">
        <v>2</v>
      </c>
      <c r="Y4639">
        <v>0</v>
      </c>
      <c r="Z4639">
        <v>0</v>
      </c>
      <c r="AB4639">
        <v>0</v>
      </c>
      <c r="AC4639">
        <v>9</v>
      </c>
      <c r="AD4639">
        <v>3</v>
      </c>
      <c r="AE4639">
        <v>0</v>
      </c>
      <c r="AF4639">
        <v>9</v>
      </c>
      <c r="AG4639" t="s">
        <v>115</v>
      </c>
      <c r="AH4639">
        <v>0</v>
      </c>
      <c r="AI4639">
        <v>0</v>
      </c>
      <c r="AJ4639">
        <v>1</v>
      </c>
      <c r="AK4639">
        <v>0</v>
      </c>
      <c r="AL4639" t="s">
        <v>8226</v>
      </c>
      <c r="AM4639">
        <v>47.075170999999997</v>
      </c>
      <c r="AN4639" t="s">
        <v>8289</v>
      </c>
      <c r="AO4639">
        <v>-124.11694799999999</v>
      </c>
      <c r="AP4639">
        <v>100</v>
      </c>
      <c r="AQ4639">
        <v>400</v>
      </c>
      <c r="AR4639" t="s">
        <v>118</v>
      </c>
      <c r="AS4639">
        <v>51</v>
      </c>
      <c r="AT4639">
        <v>-17</v>
      </c>
      <c r="AU4639">
        <v>-704</v>
      </c>
      <c r="BC4639">
        <v>1200</v>
      </c>
      <c r="BD4639">
        <v>1</v>
      </c>
      <c r="BE4639" t="str">
        <f t="shared" si="222"/>
        <v xml:space="preserve">N215T   </v>
      </c>
      <c r="BF4639">
        <v>1</v>
      </c>
      <c r="BH4639">
        <v>0</v>
      </c>
      <c r="BI4639">
        <v>0</v>
      </c>
      <c r="BJ4639">
        <v>0</v>
      </c>
      <c r="BK4639">
        <v>800</v>
      </c>
      <c r="BL4639">
        <v>400</v>
      </c>
      <c r="BM4639" t="s">
        <v>119</v>
      </c>
      <c r="BN4639">
        <v>1</v>
      </c>
      <c r="BO4639">
        <v>1</v>
      </c>
      <c r="BP4639">
        <v>1</v>
      </c>
      <c r="BQ4639">
        <v>0</v>
      </c>
      <c r="BT4639">
        <v>0</v>
      </c>
      <c r="BU4639">
        <v>0</v>
      </c>
      <c r="BV4639">
        <v>0</v>
      </c>
      <c r="CC4639" t="str">
        <f>"19:54:37.672"</f>
        <v>19:54:37.672</v>
      </c>
      <c r="CD4639" t="str">
        <f>"671398036"</f>
        <v>671398036</v>
      </c>
      <c r="CQ4639">
        <v>0</v>
      </c>
      <c r="CR4639">
        <v>2</v>
      </c>
      <c r="CS4639">
        <v>0</v>
      </c>
      <c r="CT4639">
        <v>2</v>
      </c>
      <c r="CU4639">
        <v>0</v>
      </c>
      <c r="CV4639">
        <v>7</v>
      </c>
      <c r="CW4639" t="s">
        <v>120</v>
      </c>
      <c r="CX4639">
        <v>257</v>
      </c>
      <c r="CY4639">
        <v>0</v>
      </c>
      <c r="CZ4639" t="s">
        <v>615</v>
      </c>
      <c r="DA4639" t="s">
        <v>616</v>
      </c>
      <c r="DD4639">
        <v>107855</v>
      </c>
      <c r="DE4639" t="s">
        <v>123</v>
      </c>
    </row>
    <row r="4640" spans="1:109" x14ac:dyDescent="0.3">
      <c r="A4640" t="str">
        <f>"19:54:38.914"</f>
        <v>19:54:38.914</v>
      </c>
      <c r="B4640" t="s">
        <v>110</v>
      </c>
      <c r="C4640" t="str">
        <f t="shared" si="220"/>
        <v>ffdfd3c0</v>
      </c>
      <c r="D4640" t="s">
        <v>111</v>
      </c>
      <c r="E4640">
        <v>18</v>
      </c>
      <c r="F4640">
        <v>1018</v>
      </c>
      <c r="G4640" t="s">
        <v>112</v>
      </c>
      <c r="J4640" t="s">
        <v>113</v>
      </c>
      <c r="K4640">
        <v>0</v>
      </c>
      <c r="L4640">
        <v>3</v>
      </c>
      <c r="M4640">
        <v>0</v>
      </c>
      <c r="N4640">
        <v>2</v>
      </c>
      <c r="O4640">
        <v>1</v>
      </c>
      <c r="P4640">
        <v>0</v>
      </c>
      <c r="Q4640">
        <v>0</v>
      </c>
      <c r="R4640" t="s">
        <v>114</v>
      </c>
      <c r="S4640" t="str">
        <f>"19:54:38.688"</f>
        <v>19:54:38.688</v>
      </c>
      <c r="T4640" t="str">
        <f>"19:54:38.688"</f>
        <v>19:54:38.688</v>
      </c>
      <c r="U4640" t="str">
        <f t="shared" si="221"/>
        <v>a1cdbe</v>
      </c>
      <c r="V4640">
        <v>0</v>
      </c>
      <c r="W4640">
        <v>0</v>
      </c>
      <c r="X4640">
        <v>2</v>
      </c>
      <c r="Y4640">
        <v>0</v>
      </c>
      <c r="Z4640">
        <v>0</v>
      </c>
      <c r="AB4640">
        <v>0</v>
      </c>
      <c r="AC4640">
        <v>9</v>
      </c>
      <c r="AD4640">
        <v>3</v>
      </c>
      <c r="AE4640">
        <v>0</v>
      </c>
      <c r="AF4640">
        <v>9</v>
      </c>
      <c r="AG4640" t="s">
        <v>115</v>
      </c>
      <c r="AH4640">
        <v>0</v>
      </c>
      <c r="AI4640">
        <v>0</v>
      </c>
      <c r="AJ4640">
        <v>1</v>
      </c>
      <c r="AK4640">
        <v>0</v>
      </c>
      <c r="AL4640" t="s">
        <v>8290</v>
      </c>
      <c r="AM4640">
        <v>47.075107000000003</v>
      </c>
      <c r="AN4640" t="s">
        <v>8291</v>
      </c>
      <c r="AO4640">
        <v>-124.116561</v>
      </c>
      <c r="AP4640">
        <v>100</v>
      </c>
      <c r="AQ4640">
        <v>400</v>
      </c>
      <c r="AR4640" t="s">
        <v>118</v>
      </c>
      <c r="AS4640">
        <v>51</v>
      </c>
      <c r="AT4640">
        <v>-18</v>
      </c>
      <c r="AU4640">
        <v>-512</v>
      </c>
      <c r="BC4640">
        <v>1200</v>
      </c>
      <c r="BD4640">
        <v>1</v>
      </c>
      <c r="BE4640" t="str">
        <f t="shared" si="222"/>
        <v xml:space="preserve">N215T   </v>
      </c>
      <c r="BF4640">
        <v>1</v>
      </c>
      <c r="BH4640">
        <v>0</v>
      </c>
      <c r="BI4640">
        <v>0</v>
      </c>
      <c r="BJ4640">
        <v>0</v>
      </c>
      <c r="BK4640">
        <v>775</v>
      </c>
      <c r="BL4640">
        <v>375</v>
      </c>
      <c r="BM4640" t="s">
        <v>119</v>
      </c>
      <c r="BN4640">
        <v>1</v>
      </c>
      <c r="BO4640">
        <v>1</v>
      </c>
      <c r="BP4640">
        <v>1</v>
      </c>
      <c r="BQ4640">
        <v>0</v>
      </c>
      <c r="BT4640">
        <v>0</v>
      </c>
      <c r="BU4640">
        <v>0</v>
      </c>
      <c r="BV4640">
        <v>0</v>
      </c>
      <c r="CC4640" t="str">
        <f>"19:54:38.688"</f>
        <v>19:54:38.688</v>
      </c>
      <c r="CD4640" t="str">
        <f>"691297470"</f>
        <v>691297470</v>
      </c>
      <c r="CQ4640">
        <v>0</v>
      </c>
      <c r="CR4640">
        <v>2</v>
      </c>
      <c r="CS4640">
        <v>0</v>
      </c>
      <c r="CT4640">
        <v>2</v>
      </c>
      <c r="CU4640">
        <v>0</v>
      </c>
      <c r="CV4640">
        <v>7</v>
      </c>
      <c r="CW4640" t="s">
        <v>120</v>
      </c>
      <c r="CX4640">
        <v>257</v>
      </c>
      <c r="CY4640">
        <v>0</v>
      </c>
      <c r="CZ4640" t="s">
        <v>615</v>
      </c>
      <c r="DA4640" t="s">
        <v>616</v>
      </c>
      <c r="DD4640">
        <v>108199</v>
      </c>
      <c r="DE4640" t="s">
        <v>123</v>
      </c>
    </row>
    <row r="4641" spans="1:109" x14ac:dyDescent="0.3">
      <c r="A4641" t="str">
        <f>"19:54:39.922"</f>
        <v>19:54:39.922</v>
      </c>
      <c r="B4641" t="s">
        <v>110</v>
      </c>
      <c r="C4641" t="str">
        <f t="shared" si="220"/>
        <v>ffdfd3c0</v>
      </c>
      <c r="D4641" t="s">
        <v>111</v>
      </c>
      <c r="E4641">
        <v>18</v>
      </c>
      <c r="F4641">
        <v>1018</v>
      </c>
      <c r="G4641" t="s">
        <v>112</v>
      </c>
      <c r="J4641" t="s">
        <v>113</v>
      </c>
      <c r="K4641">
        <v>0</v>
      </c>
      <c r="L4641">
        <v>3</v>
      </c>
      <c r="M4641">
        <v>0</v>
      </c>
      <c r="N4641">
        <v>2</v>
      </c>
      <c r="O4641">
        <v>1</v>
      </c>
      <c r="P4641">
        <v>0</v>
      </c>
      <c r="Q4641">
        <v>0</v>
      </c>
      <c r="R4641" t="s">
        <v>114</v>
      </c>
      <c r="S4641" t="str">
        <f>"19:54:39.711"</f>
        <v>19:54:39.711</v>
      </c>
      <c r="T4641" t="str">
        <f>"19:54:39.313"</f>
        <v>19:54:39.313</v>
      </c>
      <c r="U4641" t="str">
        <f t="shared" si="221"/>
        <v>a1cdbe</v>
      </c>
      <c r="V4641">
        <v>0</v>
      </c>
      <c r="W4641">
        <v>0</v>
      </c>
      <c r="X4641">
        <v>2</v>
      </c>
      <c r="Y4641">
        <v>0</v>
      </c>
      <c r="Z4641">
        <v>0</v>
      </c>
      <c r="AB4641">
        <v>0</v>
      </c>
      <c r="AC4641">
        <v>9</v>
      </c>
      <c r="AD4641">
        <v>3</v>
      </c>
      <c r="AE4641">
        <v>0</v>
      </c>
      <c r="AF4641">
        <v>9</v>
      </c>
      <c r="AG4641" t="s">
        <v>115</v>
      </c>
      <c r="AH4641">
        <v>0</v>
      </c>
      <c r="AI4641">
        <v>0</v>
      </c>
      <c r="AJ4641">
        <v>1</v>
      </c>
      <c r="AK4641">
        <v>0</v>
      </c>
      <c r="AL4641" t="s">
        <v>8292</v>
      </c>
      <c r="AM4641">
        <v>47.075043000000001</v>
      </c>
      <c r="AN4641" t="s">
        <v>8293</v>
      </c>
      <c r="AO4641">
        <v>-124.116197</v>
      </c>
      <c r="AP4641">
        <v>100</v>
      </c>
      <c r="AQ4641">
        <v>400</v>
      </c>
      <c r="AR4641" t="s">
        <v>118</v>
      </c>
      <c r="AS4641">
        <v>51</v>
      </c>
      <c r="AT4641">
        <v>-18</v>
      </c>
      <c r="AU4641">
        <v>-576</v>
      </c>
      <c r="BC4641">
        <v>1200</v>
      </c>
      <c r="BD4641">
        <v>1</v>
      </c>
      <c r="BE4641" t="str">
        <f t="shared" si="222"/>
        <v xml:space="preserve">N215T   </v>
      </c>
      <c r="BF4641">
        <v>1</v>
      </c>
      <c r="BH4641">
        <v>0</v>
      </c>
      <c r="BI4641">
        <v>0</v>
      </c>
      <c r="BJ4641">
        <v>0</v>
      </c>
      <c r="BK4641">
        <v>775</v>
      </c>
      <c r="BL4641">
        <v>375</v>
      </c>
      <c r="BM4641" t="s">
        <v>119</v>
      </c>
      <c r="BN4641">
        <v>1</v>
      </c>
      <c r="BO4641">
        <v>1</v>
      </c>
      <c r="BP4641">
        <v>1</v>
      </c>
      <c r="BQ4641">
        <v>0</v>
      </c>
      <c r="BT4641">
        <v>0</v>
      </c>
      <c r="BU4641">
        <v>0</v>
      </c>
      <c r="BV4641">
        <v>0</v>
      </c>
      <c r="CC4641" t="str">
        <f>"19:54:39.711"</f>
        <v>19:54:39.711</v>
      </c>
      <c r="CD4641" t="str">
        <f>"711196885"</f>
        <v>711196885</v>
      </c>
      <c r="CQ4641">
        <v>0</v>
      </c>
      <c r="CR4641">
        <v>2</v>
      </c>
      <c r="CS4641">
        <v>0</v>
      </c>
      <c r="CT4641">
        <v>2</v>
      </c>
      <c r="CU4641">
        <v>0</v>
      </c>
      <c r="CV4641">
        <v>7</v>
      </c>
      <c r="CW4641" t="s">
        <v>120</v>
      </c>
      <c r="CX4641">
        <v>257</v>
      </c>
      <c r="CY4641">
        <v>0</v>
      </c>
      <c r="CZ4641" t="s">
        <v>615</v>
      </c>
      <c r="DA4641" t="s">
        <v>616</v>
      </c>
      <c r="DD4641">
        <v>108536</v>
      </c>
      <c r="DE4641" t="s">
        <v>123</v>
      </c>
    </row>
    <row r="4642" spans="1:109" x14ac:dyDescent="0.3">
      <c r="A4642" t="str">
        <f>"19:54:41.023"</f>
        <v>19:54:41.023</v>
      </c>
      <c r="B4642" t="s">
        <v>110</v>
      </c>
      <c r="C4642" t="str">
        <f t="shared" si="220"/>
        <v>ffdfd3c0</v>
      </c>
      <c r="D4642" t="s">
        <v>111</v>
      </c>
      <c r="E4642">
        <v>18</v>
      </c>
      <c r="F4642">
        <v>1018</v>
      </c>
      <c r="G4642" t="s">
        <v>112</v>
      </c>
      <c r="J4642" t="s">
        <v>113</v>
      </c>
      <c r="K4642">
        <v>0</v>
      </c>
      <c r="L4642">
        <v>3</v>
      </c>
      <c r="M4642">
        <v>0</v>
      </c>
      <c r="N4642">
        <v>2</v>
      </c>
      <c r="O4642">
        <v>1</v>
      </c>
      <c r="P4642">
        <v>0</v>
      </c>
      <c r="Q4642">
        <v>0</v>
      </c>
      <c r="R4642" t="s">
        <v>114</v>
      </c>
      <c r="S4642" t="str">
        <f>"19:54:40.773"</f>
        <v>19:54:40.773</v>
      </c>
      <c r="T4642" t="str">
        <f>"19:54:40.375"</f>
        <v>19:54:40.375</v>
      </c>
      <c r="U4642" t="str">
        <f t="shared" si="221"/>
        <v>a1cdbe</v>
      </c>
      <c r="V4642">
        <v>0</v>
      </c>
      <c r="W4642">
        <v>0</v>
      </c>
      <c r="X4642">
        <v>2</v>
      </c>
      <c r="Y4642">
        <v>0</v>
      </c>
      <c r="Z4642">
        <v>0</v>
      </c>
      <c r="AB4642">
        <v>0</v>
      </c>
      <c r="AC4642">
        <v>9</v>
      </c>
      <c r="AD4642">
        <v>3</v>
      </c>
      <c r="AE4642">
        <v>0</v>
      </c>
      <c r="AF4642">
        <v>9</v>
      </c>
      <c r="AG4642" t="s">
        <v>115</v>
      </c>
      <c r="AH4642">
        <v>0</v>
      </c>
      <c r="AI4642">
        <v>0</v>
      </c>
      <c r="AJ4642">
        <v>1</v>
      </c>
      <c r="AK4642">
        <v>0</v>
      </c>
      <c r="AL4642" t="s">
        <v>8294</v>
      </c>
      <c r="AM4642">
        <v>47.074914</v>
      </c>
      <c r="AN4642" t="s">
        <v>8295</v>
      </c>
      <c r="AO4642">
        <v>-124.115853</v>
      </c>
      <c r="AP4642">
        <v>100</v>
      </c>
      <c r="AQ4642">
        <v>400</v>
      </c>
      <c r="AR4642" t="s">
        <v>118</v>
      </c>
      <c r="AS4642">
        <v>51</v>
      </c>
      <c r="AT4642">
        <v>-18</v>
      </c>
      <c r="AU4642">
        <v>-640</v>
      </c>
      <c r="BC4642">
        <v>1200</v>
      </c>
      <c r="BD4642">
        <v>1</v>
      </c>
      <c r="BE4642" t="str">
        <f t="shared" si="222"/>
        <v xml:space="preserve">N215T   </v>
      </c>
      <c r="BF4642">
        <v>1</v>
      </c>
      <c r="BH4642">
        <v>0</v>
      </c>
      <c r="BI4642">
        <v>0</v>
      </c>
      <c r="BJ4642">
        <v>0</v>
      </c>
      <c r="BK4642">
        <v>750</v>
      </c>
      <c r="BL4642">
        <v>350</v>
      </c>
      <c r="BM4642" t="s">
        <v>119</v>
      </c>
      <c r="BN4642">
        <v>1</v>
      </c>
      <c r="BO4642">
        <v>1</v>
      </c>
      <c r="BP4642">
        <v>1</v>
      </c>
      <c r="BQ4642">
        <v>0</v>
      </c>
      <c r="BT4642">
        <v>0</v>
      </c>
      <c r="BU4642">
        <v>0</v>
      </c>
      <c r="BV4642">
        <v>0</v>
      </c>
      <c r="CC4642" t="str">
        <f>"19:54:40.773"</f>
        <v>19:54:40.773</v>
      </c>
      <c r="CD4642" t="str">
        <f>"776091874"</f>
        <v>776091874</v>
      </c>
      <c r="CQ4642">
        <v>0</v>
      </c>
      <c r="CR4642">
        <v>2</v>
      </c>
      <c r="CS4642">
        <v>0</v>
      </c>
      <c r="CT4642">
        <v>2</v>
      </c>
      <c r="CU4642">
        <v>0</v>
      </c>
      <c r="CV4642">
        <v>6</v>
      </c>
      <c r="CW4642" t="s">
        <v>120</v>
      </c>
      <c r="CX4642">
        <v>257</v>
      </c>
      <c r="CY4642">
        <v>0</v>
      </c>
      <c r="CZ4642" t="s">
        <v>615</v>
      </c>
      <c r="DA4642" t="s">
        <v>616</v>
      </c>
      <c r="DD4642">
        <v>108884</v>
      </c>
      <c r="DE4642" t="s">
        <v>123</v>
      </c>
    </row>
    <row r="4643" spans="1:109" x14ac:dyDescent="0.3">
      <c r="A4643" t="str">
        <f>"19:54:41.984"</f>
        <v>19:54:41.984</v>
      </c>
      <c r="B4643" t="s">
        <v>110</v>
      </c>
      <c r="C4643" t="str">
        <f t="shared" si="220"/>
        <v>ffdfd3c0</v>
      </c>
      <c r="D4643" t="s">
        <v>111</v>
      </c>
      <c r="E4643">
        <v>18</v>
      </c>
      <c r="F4643">
        <v>1018</v>
      </c>
      <c r="G4643" t="s">
        <v>112</v>
      </c>
      <c r="J4643" t="s">
        <v>113</v>
      </c>
      <c r="K4643">
        <v>0</v>
      </c>
      <c r="L4643">
        <v>3</v>
      </c>
      <c r="M4643">
        <v>0</v>
      </c>
      <c r="N4643">
        <v>2</v>
      </c>
      <c r="O4643">
        <v>1</v>
      </c>
      <c r="P4643">
        <v>0</v>
      </c>
      <c r="Q4643">
        <v>0</v>
      </c>
      <c r="R4643" t="s">
        <v>114</v>
      </c>
      <c r="S4643" t="str">
        <f>"19:54:41.750"</f>
        <v>19:54:41.750</v>
      </c>
      <c r="T4643" t="str">
        <f>"19:54:41.352"</f>
        <v>19:54:41.352</v>
      </c>
      <c r="U4643" t="str">
        <f t="shared" si="221"/>
        <v>a1cdbe</v>
      </c>
      <c r="V4643">
        <v>0</v>
      </c>
      <c r="W4643">
        <v>0</v>
      </c>
      <c r="X4643">
        <v>2</v>
      </c>
      <c r="Y4643">
        <v>0</v>
      </c>
      <c r="Z4643">
        <v>0</v>
      </c>
      <c r="AB4643">
        <v>0</v>
      </c>
      <c r="AC4643">
        <v>9</v>
      </c>
      <c r="AD4643">
        <v>3</v>
      </c>
      <c r="AE4643">
        <v>0</v>
      </c>
      <c r="AF4643">
        <v>9</v>
      </c>
      <c r="AG4643" t="s">
        <v>115</v>
      </c>
      <c r="AH4643">
        <v>0</v>
      </c>
      <c r="AI4643">
        <v>0</v>
      </c>
      <c r="AJ4643">
        <v>1</v>
      </c>
      <c r="AK4643">
        <v>0</v>
      </c>
      <c r="AL4643" t="s">
        <v>8296</v>
      </c>
      <c r="AM4643">
        <v>47.074827999999997</v>
      </c>
      <c r="AN4643" t="s">
        <v>8297</v>
      </c>
      <c r="AO4643">
        <v>-124.11551</v>
      </c>
      <c r="AP4643">
        <v>100</v>
      </c>
      <c r="AQ4643">
        <v>300</v>
      </c>
      <c r="AR4643" t="s">
        <v>118</v>
      </c>
      <c r="AS4643">
        <v>50</v>
      </c>
      <c r="AT4643">
        <v>-19</v>
      </c>
      <c r="AU4643">
        <v>-512</v>
      </c>
      <c r="BC4643">
        <v>1200</v>
      </c>
      <c r="BD4643">
        <v>1</v>
      </c>
      <c r="BE4643" t="str">
        <f t="shared" si="222"/>
        <v xml:space="preserve">N215T   </v>
      </c>
      <c r="BF4643">
        <v>1</v>
      </c>
      <c r="BH4643">
        <v>0</v>
      </c>
      <c r="BI4643">
        <v>0</v>
      </c>
      <c r="BJ4643">
        <v>0</v>
      </c>
      <c r="BK4643">
        <v>750</v>
      </c>
      <c r="BL4643">
        <v>450</v>
      </c>
      <c r="BM4643" t="s">
        <v>119</v>
      </c>
      <c r="BN4643">
        <v>1</v>
      </c>
      <c r="BO4643">
        <v>1</v>
      </c>
      <c r="BP4643">
        <v>1</v>
      </c>
      <c r="BQ4643">
        <v>0</v>
      </c>
      <c r="BT4643">
        <v>0</v>
      </c>
      <c r="BU4643">
        <v>0</v>
      </c>
      <c r="BV4643">
        <v>0</v>
      </c>
      <c r="CC4643" t="str">
        <f>"19:54:41.750"</f>
        <v>19:54:41.750</v>
      </c>
      <c r="CD4643" t="str">
        <f>"750995726"</f>
        <v>750995726</v>
      </c>
      <c r="CQ4643">
        <v>0</v>
      </c>
      <c r="CR4643">
        <v>2</v>
      </c>
      <c r="CS4643">
        <v>0</v>
      </c>
      <c r="CT4643">
        <v>2</v>
      </c>
      <c r="CU4643">
        <v>0</v>
      </c>
      <c r="CV4643">
        <v>7</v>
      </c>
      <c r="CW4643" t="s">
        <v>120</v>
      </c>
      <c r="CX4643">
        <v>257</v>
      </c>
      <c r="CY4643">
        <v>0</v>
      </c>
      <c r="CZ4643" t="s">
        <v>615</v>
      </c>
      <c r="DA4643" t="s">
        <v>616</v>
      </c>
      <c r="DD4643">
        <v>109222</v>
      </c>
      <c r="DE4643" t="s">
        <v>123</v>
      </c>
    </row>
    <row r="4644" spans="1:109" x14ac:dyDescent="0.3">
      <c r="A4644" t="str">
        <f>"19:54:42.836"</f>
        <v>19:54:42.836</v>
      </c>
      <c r="B4644" t="s">
        <v>110</v>
      </c>
      <c r="C4644" t="str">
        <f t="shared" si="220"/>
        <v>ffdfd3c0</v>
      </c>
      <c r="D4644" t="s">
        <v>111</v>
      </c>
      <c r="E4644">
        <v>18</v>
      </c>
      <c r="F4644">
        <v>1018</v>
      </c>
      <c r="G4644" t="s">
        <v>112</v>
      </c>
      <c r="J4644" t="s">
        <v>113</v>
      </c>
      <c r="K4644">
        <v>0</v>
      </c>
      <c r="L4644">
        <v>3</v>
      </c>
      <c r="M4644">
        <v>0</v>
      </c>
      <c r="N4644">
        <v>2</v>
      </c>
      <c r="O4644">
        <v>1</v>
      </c>
      <c r="P4644">
        <v>0</v>
      </c>
      <c r="Q4644">
        <v>0</v>
      </c>
      <c r="R4644" t="s">
        <v>114</v>
      </c>
      <c r="S4644" t="str">
        <f>"19:54:42.570"</f>
        <v>19:54:42.570</v>
      </c>
      <c r="T4644" t="str">
        <f>"19:54:42.172"</f>
        <v>19:54:42.172</v>
      </c>
      <c r="U4644" t="str">
        <f t="shared" si="221"/>
        <v>a1cdbe</v>
      </c>
      <c r="V4644">
        <v>0</v>
      </c>
      <c r="W4644">
        <v>0</v>
      </c>
      <c r="X4644">
        <v>2</v>
      </c>
      <c r="Y4644">
        <v>0</v>
      </c>
      <c r="Z4644">
        <v>0</v>
      </c>
      <c r="AB4644">
        <v>0</v>
      </c>
      <c r="AC4644">
        <v>9</v>
      </c>
      <c r="AD4644">
        <v>3</v>
      </c>
      <c r="AE4644">
        <v>0</v>
      </c>
      <c r="AF4644">
        <v>9</v>
      </c>
      <c r="AG4644" t="s">
        <v>115</v>
      </c>
      <c r="AH4644">
        <v>0</v>
      </c>
      <c r="AI4644">
        <v>0</v>
      </c>
      <c r="AJ4644">
        <v>1</v>
      </c>
      <c r="AK4644">
        <v>0</v>
      </c>
      <c r="AL4644" t="s">
        <v>8298</v>
      </c>
      <c r="AM4644">
        <v>47.074784999999999</v>
      </c>
      <c r="AN4644" t="s">
        <v>8299</v>
      </c>
      <c r="AO4644">
        <v>-124.11523099999999</v>
      </c>
      <c r="AP4644">
        <v>100</v>
      </c>
      <c r="AQ4644">
        <v>300</v>
      </c>
      <c r="AR4644" t="s">
        <v>118</v>
      </c>
      <c r="AS4644">
        <v>49</v>
      </c>
      <c r="AT4644">
        <v>-20</v>
      </c>
      <c r="AU4644">
        <v>-640</v>
      </c>
      <c r="BC4644">
        <v>1200</v>
      </c>
      <c r="BD4644">
        <v>1</v>
      </c>
      <c r="BE4644" t="str">
        <f t="shared" si="222"/>
        <v xml:space="preserve">N215T   </v>
      </c>
      <c r="BF4644">
        <v>1</v>
      </c>
      <c r="BH4644">
        <v>0</v>
      </c>
      <c r="BI4644">
        <v>0</v>
      </c>
      <c r="BJ4644">
        <v>0</v>
      </c>
      <c r="BK4644">
        <v>750</v>
      </c>
      <c r="BL4644">
        <v>450</v>
      </c>
      <c r="BM4644" t="s">
        <v>119</v>
      </c>
      <c r="BN4644">
        <v>1</v>
      </c>
      <c r="BO4644">
        <v>1</v>
      </c>
      <c r="BP4644">
        <v>1</v>
      </c>
      <c r="BQ4644">
        <v>0</v>
      </c>
      <c r="BT4644">
        <v>0</v>
      </c>
      <c r="BU4644">
        <v>0</v>
      </c>
      <c r="BV4644">
        <v>0</v>
      </c>
      <c r="CC4644" t="str">
        <f>"19:54:42.578"</f>
        <v>19:54:42.578</v>
      </c>
      <c r="CD4644" t="str">
        <f>"575914379"</f>
        <v>575914379</v>
      </c>
      <c r="CQ4644">
        <v>0</v>
      </c>
      <c r="CR4644">
        <v>2</v>
      </c>
      <c r="CS4644">
        <v>0</v>
      </c>
      <c r="CT4644">
        <v>2</v>
      </c>
      <c r="CU4644">
        <v>0</v>
      </c>
      <c r="CV4644">
        <v>7</v>
      </c>
      <c r="CW4644" t="s">
        <v>120</v>
      </c>
      <c r="CX4644">
        <v>257</v>
      </c>
      <c r="CY4644">
        <v>0</v>
      </c>
      <c r="CZ4644" t="s">
        <v>615</v>
      </c>
      <c r="DA4644" t="s">
        <v>616</v>
      </c>
      <c r="DD4644">
        <v>109498</v>
      </c>
      <c r="DE4644" t="s">
        <v>123</v>
      </c>
    </row>
    <row r="4645" spans="1:109" x14ac:dyDescent="0.3">
      <c r="A4645" t="str">
        <f>"19:54:43.844"</f>
        <v>19:54:43.844</v>
      </c>
      <c r="B4645" t="s">
        <v>110</v>
      </c>
      <c r="C4645" t="str">
        <f t="shared" si="220"/>
        <v>ffdfd3c0</v>
      </c>
      <c r="D4645" t="s">
        <v>111</v>
      </c>
      <c r="E4645">
        <v>18</v>
      </c>
      <c r="F4645">
        <v>1018</v>
      </c>
      <c r="G4645" t="s">
        <v>112</v>
      </c>
      <c r="J4645" t="s">
        <v>113</v>
      </c>
      <c r="K4645">
        <v>0</v>
      </c>
      <c r="L4645">
        <v>3</v>
      </c>
      <c r="M4645">
        <v>0</v>
      </c>
      <c r="N4645">
        <v>2</v>
      </c>
      <c r="O4645">
        <v>1</v>
      </c>
      <c r="P4645">
        <v>0</v>
      </c>
      <c r="Q4645">
        <v>0</v>
      </c>
      <c r="R4645" t="s">
        <v>114</v>
      </c>
      <c r="S4645" t="str">
        <f>"19:54:43.578"</f>
        <v>19:54:43.578</v>
      </c>
      <c r="T4645" t="str">
        <f>"19:54:43.578"</f>
        <v>19:54:43.578</v>
      </c>
      <c r="U4645" t="str">
        <f t="shared" si="221"/>
        <v>a1cdbe</v>
      </c>
      <c r="V4645">
        <v>0</v>
      </c>
      <c r="W4645">
        <v>0</v>
      </c>
      <c r="X4645">
        <v>2</v>
      </c>
      <c r="Y4645">
        <v>0</v>
      </c>
      <c r="Z4645">
        <v>0</v>
      </c>
      <c r="AB4645">
        <v>0</v>
      </c>
      <c r="AC4645">
        <v>9</v>
      </c>
      <c r="AD4645">
        <v>3</v>
      </c>
      <c r="AE4645">
        <v>0</v>
      </c>
      <c r="AF4645">
        <v>9</v>
      </c>
      <c r="AG4645" t="s">
        <v>115</v>
      </c>
      <c r="AH4645">
        <v>0</v>
      </c>
      <c r="AI4645">
        <v>0</v>
      </c>
      <c r="AJ4645">
        <v>1</v>
      </c>
      <c r="AK4645">
        <v>0</v>
      </c>
      <c r="AL4645" t="s">
        <v>8300</v>
      </c>
      <c r="AM4645">
        <v>47.074677999999999</v>
      </c>
      <c r="AN4645" t="s">
        <v>8301</v>
      </c>
      <c r="AO4645">
        <v>-124.114952</v>
      </c>
      <c r="AP4645">
        <v>100</v>
      </c>
      <c r="AQ4645">
        <v>300</v>
      </c>
      <c r="AR4645" t="s">
        <v>118</v>
      </c>
      <c r="AS4645">
        <v>49</v>
      </c>
      <c r="AT4645">
        <v>-18</v>
      </c>
      <c r="AU4645">
        <v>-704</v>
      </c>
      <c r="BC4645">
        <v>1200</v>
      </c>
      <c r="BD4645">
        <v>1</v>
      </c>
      <c r="BE4645" t="str">
        <f t="shared" si="222"/>
        <v xml:space="preserve">N215T   </v>
      </c>
      <c r="BF4645">
        <v>1</v>
      </c>
      <c r="BH4645">
        <v>0</v>
      </c>
      <c r="BI4645">
        <v>0</v>
      </c>
      <c r="BJ4645">
        <v>0</v>
      </c>
      <c r="BK4645">
        <v>725</v>
      </c>
      <c r="BL4645">
        <v>425</v>
      </c>
      <c r="BM4645" t="s">
        <v>119</v>
      </c>
      <c r="BN4645">
        <v>1</v>
      </c>
      <c r="BO4645">
        <v>1</v>
      </c>
      <c r="BP4645">
        <v>1</v>
      </c>
      <c r="BQ4645">
        <v>0</v>
      </c>
      <c r="BT4645">
        <v>0</v>
      </c>
      <c r="BU4645">
        <v>0</v>
      </c>
      <c r="BV4645">
        <v>0</v>
      </c>
      <c r="CC4645" t="str">
        <f>"19:54:43.578"</f>
        <v>19:54:43.578</v>
      </c>
      <c r="CD4645" t="str">
        <f>"580815273"</f>
        <v>580815273</v>
      </c>
      <c r="CQ4645">
        <v>0</v>
      </c>
      <c r="CR4645">
        <v>2</v>
      </c>
      <c r="CS4645">
        <v>0</v>
      </c>
      <c r="CT4645">
        <v>2</v>
      </c>
      <c r="CU4645">
        <v>0</v>
      </c>
      <c r="CV4645">
        <v>7</v>
      </c>
      <c r="CW4645" t="s">
        <v>120</v>
      </c>
      <c r="CX4645">
        <v>257</v>
      </c>
      <c r="CY4645">
        <v>0</v>
      </c>
      <c r="CZ4645" t="s">
        <v>615</v>
      </c>
      <c r="DA4645" t="s">
        <v>616</v>
      </c>
      <c r="DD4645">
        <v>109832</v>
      </c>
      <c r="DE4645" t="s">
        <v>123</v>
      </c>
    </row>
    <row r="4646" spans="1:109" x14ac:dyDescent="0.3">
      <c r="A4646" t="str">
        <f>"19:54:44.898"</f>
        <v>19:54:44.898</v>
      </c>
      <c r="B4646" t="s">
        <v>110</v>
      </c>
      <c r="C4646" t="str">
        <f t="shared" si="220"/>
        <v>ffdfd3c0</v>
      </c>
      <c r="D4646" t="s">
        <v>111</v>
      </c>
      <c r="E4646">
        <v>18</v>
      </c>
      <c r="F4646">
        <v>1018</v>
      </c>
      <c r="G4646" t="s">
        <v>112</v>
      </c>
      <c r="J4646" t="s">
        <v>113</v>
      </c>
      <c r="K4646">
        <v>0</v>
      </c>
      <c r="L4646">
        <v>3</v>
      </c>
      <c r="M4646">
        <v>0</v>
      </c>
      <c r="N4646">
        <v>2</v>
      </c>
      <c r="O4646">
        <v>1</v>
      </c>
      <c r="P4646">
        <v>0</v>
      </c>
      <c r="Q4646">
        <v>0</v>
      </c>
      <c r="R4646" t="s">
        <v>114</v>
      </c>
      <c r="S4646" t="str">
        <f>"19:54:44.688"</f>
        <v>19:54:44.688</v>
      </c>
      <c r="T4646" t="str">
        <f>"19:54:44.688"</f>
        <v>19:54:44.688</v>
      </c>
      <c r="U4646" t="str">
        <f t="shared" si="221"/>
        <v>a1cdbe</v>
      </c>
      <c r="V4646">
        <v>0</v>
      </c>
      <c r="W4646">
        <v>0</v>
      </c>
      <c r="X4646">
        <v>2</v>
      </c>
      <c r="Y4646">
        <v>0</v>
      </c>
      <c r="Z4646">
        <v>0</v>
      </c>
      <c r="AB4646">
        <v>0</v>
      </c>
      <c r="AC4646">
        <v>9</v>
      </c>
      <c r="AD4646">
        <v>3</v>
      </c>
      <c r="AE4646">
        <v>0</v>
      </c>
      <c r="AF4646">
        <v>9</v>
      </c>
      <c r="AG4646" t="s">
        <v>115</v>
      </c>
      <c r="AH4646">
        <v>0</v>
      </c>
      <c r="AI4646">
        <v>0</v>
      </c>
      <c r="AJ4646">
        <v>1</v>
      </c>
      <c r="AK4646">
        <v>0</v>
      </c>
      <c r="AL4646" t="s">
        <v>438</v>
      </c>
      <c r="AM4646">
        <v>47.074592000000003</v>
      </c>
      <c r="AN4646" t="s">
        <v>8302</v>
      </c>
      <c r="AO4646">
        <v>-124.11452300000001</v>
      </c>
      <c r="AP4646">
        <v>100</v>
      </c>
      <c r="AQ4646">
        <v>300</v>
      </c>
      <c r="AR4646" t="s">
        <v>118</v>
      </c>
      <c r="AS4646">
        <v>50</v>
      </c>
      <c r="AT4646">
        <v>-18</v>
      </c>
      <c r="AU4646">
        <v>-704</v>
      </c>
      <c r="BC4646">
        <v>1200</v>
      </c>
      <c r="BD4646">
        <v>1</v>
      </c>
      <c r="BE4646" t="str">
        <f t="shared" si="222"/>
        <v xml:space="preserve">N215T   </v>
      </c>
      <c r="BF4646">
        <v>1</v>
      </c>
      <c r="BH4646">
        <v>0</v>
      </c>
      <c r="BI4646">
        <v>0</v>
      </c>
      <c r="BJ4646">
        <v>0</v>
      </c>
      <c r="BK4646">
        <v>725</v>
      </c>
      <c r="BL4646">
        <v>425</v>
      </c>
      <c r="BM4646" t="s">
        <v>119</v>
      </c>
      <c r="BN4646">
        <v>1</v>
      </c>
      <c r="BO4646">
        <v>1</v>
      </c>
      <c r="BP4646">
        <v>1</v>
      </c>
      <c r="BQ4646">
        <v>0</v>
      </c>
      <c r="BT4646">
        <v>0</v>
      </c>
      <c r="BU4646">
        <v>0</v>
      </c>
      <c r="BV4646">
        <v>0</v>
      </c>
      <c r="CC4646" t="str">
        <f>"19:54:44.688"</f>
        <v>19:54:44.688</v>
      </c>
      <c r="CD4646" t="str">
        <f>"690705826"</f>
        <v>690705826</v>
      </c>
      <c r="CQ4646">
        <v>0</v>
      </c>
      <c r="CR4646">
        <v>2</v>
      </c>
      <c r="CS4646">
        <v>0</v>
      </c>
      <c r="CT4646">
        <v>2</v>
      </c>
      <c r="CU4646">
        <v>0</v>
      </c>
      <c r="CV4646">
        <v>7</v>
      </c>
      <c r="CW4646" t="s">
        <v>120</v>
      </c>
      <c r="CX4646">
        <v>257</v>
      </c>
      <c r="CY4646">
        <v>0</v>
      </c>
      <c r="CZ4646" t="s">
        <v>615</v>
      </c>
      <c r="DA4646" t="s">
        <v>616</v>
      </c>
      <c r="DD4646">
        <v>110203</v>
      </c>
      <c r="DE4646" t="s">
        <v>123</v>
      </c>
    </row>
    <row r="4647" spans="1:109" x14ac:dyDescent="0.3">
      <c r="A4647" t="str">
        <f>"19:54:46.055"</f>
        <v>19:54:46.055</v>
      </c>
      <c r="B4647" t="s">
        <v>110</v>
      </c>
      <c r="C4647" t="str">
        <f t="shared" si="220"/>
        <v>ffdfd3c0</v>
      </c>
      <c r="D4647" t="s">
        <v>111</v>
      </c>
      <c r="E4647">
        <v>18</v>
      </c>
      <c r="F4647">
        <v>1018</v>
      </c>
      <c r="G4647" t="s">
        <v>112</v>
      </c>
      <c r="J4647" t="s">
        <v>113</v>
      </c>
      <c r="K4647">
        <v>0</v>
      </c>
      <c r="L4647">
        <v>3</v>
      </c>
      <c r="M4647">
        <v>0</v>
      </c>
      <c r="N4647">
        <v>2</v>
      </c>
      <c r="O4647">
        <v>1</v>
      </c>
      <c r="P4647">
        <v>0</v>
      </c>
      <c r="Q4647">
        <v>0</v>
      </c>
      <c r="R4647" t="s">
        <v>114</v>
      </c>
      <c r="S4647" t="str">
        <f>"19:54:45.828"</f>
        <v>19:54:45.828</v>
      </c>
      <c r="T4647" t="str">
        <f>"19:54:45.625"</f>
        <v>19:54:45.625</v>
      </c>
      <c r="U4647" t="str">
        <f t="shared" si="221"/>
        <v>a1cdbe</v>
      </c>
      <c r="V4647">
        <v>0</v>
      </c>
      <c r="W4647">
        <v>0</v>
      </c>
      <c r="X4647">
        <v>2</v>
      </c>
      <c r="Y4647">
        <v>0</v>
      </c>
      <c r="Z4647">
        <v>0</v>
      </c>
      <c r="AB4647">
        <v>0</v>
      </c>
      <c r="AC4647">
        <v>9</v>
      </c>
      <c r="AD4647">
        <v>3</v>
      </c>
      <c r="AE4647">
        <v>0</v>
      </c>
      <c r="AF4647">
        <v>9</v>
      </c>
      <c r="AG4647" t="s">
        <v>115</v>
      </c>
      <c r="AH4647">
        <v>0</v>
      </c>
      <c r="AI4647">
        <v>0</v>
      </c>
      <c r="AJ4647">
        <v>1</v>
      </c>
      <c r="AK4647">
        <v>0</v>
      </c>
      <c r="AL4647" t="s">
        <v>8303</v>
      </c>
      <c r="AM4647">
        <v>47.074506</v>
      </c>
      <c r="AN4647" t="s">
        <v>8304</v>
      </c>
      <c r="AO4647">
        <v>-124.114158</v>
      </c>
      <c r="AP4647">
        <v>100</v>
      </c>
      <c r="AQ4647">
        <v>300</v>
      </c>
      <c r="AR4647" t="s">
        <v>118</v>
      </c>
      <c r="AS4647">
        <v>50</v>
      </c>
      <c r="AT4647">
        <v>-18</v>
      </c>
      <c r="AU4647">
        <v>-704</v>
      </c>
      <c r="BC4647">
        <v>1200</v>
      </c>
      <c r="BD4647">
        <v>1</v>
      </c>
      <c r="BE4647" t="str">
        <f t="shared" si="222"/>
        <v xml:space="preserve">N215T   </v>
      </c>
      <c r="BF4647">
        <v>1</v>
      </c>
      <c r="BH4647">
        <v>0</v>
      </c>
      <c r="BI4647">
        <v>0</v>
      </c>
      <c r="BJ4647">
        <v>0</v>
      </c>
      <c r="BK4647">
        <v>700</v>
      </c>
      <c r="BL4647">
        <v>400</v>
      </c>
      <c r="BM4647" t="s">
        <v>119</v>
      </c>
      <c r="BN4647">
        <v>1</v>
      </c>
      <c r="BO4647">
        <v>1</v>
      </c>
      <c r="BP4647">
        <v>1</v>
      </c>
      <c r="BQ4647">
        <v>0</v>
      </c>
      <c r="BT4647">
        <v>0</v>
      </c>
      <c r="BU4647">
        <v>0</v>
      </c>
      <c r="BV4647">
        <v>0</v>
      </c>
      <c r="CC4647" t="str">
        <f>"19:54:45.828"</f>
        <v>19:54:45.828</v>
      </c>
      <c r="CD4647" t="str">
        <f>"830593424"</f>
        <v>830593424</v>
      </c>
      <c r="CQ4647">
        <v>0</v>
      </c>
      <c r="CR4647">
        <v>2</v>
      </c>
      <c r="CS4647">
        <v>0</v>
      </c>
      <c r="CT4647">
        <v>2</v>
      </c>
      <c r="CU4647">
        <v>0</v>
      </c>
      <c r="CV4647">
        <v>6</v>
      </c>
      <c r="CW4647" t="s">
        <v>120</v>
      </c>
      <c r="CX4647">
        <v>257</v>
      </c>
      <c r="CY4647">
        <v>0</v>
      </c>
      <c r="CZ4647" t="s">
        <v>615</v>
      </c>
      <c r="DA4647" t="s">
        <v>616</v>
      </c>
      <c r="DD4647">
        <v>110592</v>
      </c>
      <c r="DE4647" t="s">
        <v>123</v>
      </c>
    </row>
    <row r="4648" spans="1:109" x14ac:dyDescent="0.3">
      <c r="A4648" t="str">
        <f>"19:54:47.063"</f>
        <v>19:54:47.063</v>
      </c>
      <c r="B4648" t="s">
        <v>110</v>
      </c>
      <c r="C4648" t="str">
        <f t="shared" ref="C4648:C4711" si="223">"ffdfd3c0"</f>
        <v>ffdfd3c0</v>
      </c>
      <c r="D4648" t="s">
        <v>111</v>
      </c>
      <c r="E4648">
        <v>18</v>
      </c>
      <c r="F4648">
        <v>1018</v>
      </c>
      <c r="G4648" t="s">
        <v>112</v>
      </c>
      <c r="J4648" t="s">
        <v>113</v>
      </c>
      <c r="K4648">
        <v>0</v>
      </c>
      <c r="L4648">
        <v>3</v>
      </c>
      <c r="M4648">
        <v>0</v>
      </c>
      <c r="N4648">
        <v>2</v>
      </c>
      <c r="O4648">
        <v>1</v>
      </c>
      <c r="P4648">
        <v>0</v>
      </c>
      <c r="Q4648">
        <v>0</v>
      </c>
      <c r="R4648" t="s">
        <v>114</v>
      </c>
      <c r="S4648" t="str">
        <f>"19:54:46.789"</f>
        <v>19:54:46.789</v>
      </c>
      <c r="T4648" t="str">
        <f>"19:54:46.688"</f>
        <v>19:54:46.688</v>
      </c>
      <c r="U4648" t="str">
        <f t="shared" si="221"/>
        <v>a1cdbe</v>
      </c>
      <c r="V4648">
        <v>0</v>
      </c>
      <c r="W4648">
        <v>0</v>
      </c>
      <c r="X4648">
        <v>2</v>
      </c>
      <c r="Y4648">
        <v>0</v>
      </c>
      <c r="Z4648">
        <v>0</v>
      </c>
      <c r="AB4648">
        <v>0</v>
      </c>
      <c r="AC4648">
        <v>9</v>
      </c>
      <c r="AD4648">
        <v>3</v>
      </c>
      <c r="AE4648">
        <v>0</v>
      </c>
      <c r="AF4648">
        <v>9</v>
      </c>
      <c r="AG4648" t="s">
        <v>115</v>
      </c>
      <c r="AH4648">
        <v>0</v>
      </c>
      <c r="AI4648">
        <v>0</v>
      </c>
      <c r="AJ4648">
        <v>1</v>
      </c>
      <c r="AK4648">
        <v>0</v>
      </c>
      <c r="AL4648" t="s">
        <v>8305</v>
      </c>
      <c r="AM4648">
        <v>47.074399</v>
      </c>
      <c r="AN4648" t="s">
        <v>8306</v>
      </c>
      <c r="AO4648">
        <v>-124.11385799999999</v>
      </c>
      <c r="AP4648">
        <v>100</v>
      </c>
      <c r="AQ4648">
        <v>300</v>
      </c>
      <c r="AR4648" t="s">
        <v>118</v>
      </c>
      <c r="AS4648">
        <v>50</v>
      </c>
      <c r="AT4648">
        <v>-20</v>
      </c>
      <c r="AU4648">
        <v>-768</v>
      </c>
      <c r="BC4648">
        <v>1200</v>
      </c>
      <c r="BD4648">
        <v>1</v>
      </c>
      <c r="BE4648" t="str">
        <f t="shared" si="222"/>
        <v xml:space="preserve">N215T   </v>
      </c>
      <c r="BF4648">
        <v>1</v>
      </c>
      <c r="BH4648">
        <v>0</v>
      </c>
      <c r="BI4648">
        <v>0</v>
      </c>
      <c r="BJ4648">
        <v>0</v>
      </c>
      <c r="BK4648">
        <v>700</v>
      </c>
      <c r="BL4648">
        <v>400</v>
      </c>
      <c r="BM4648" t="s">
        <v>119</v>
      </c>
      <c r="BN4648">
        <v>1</v>
      </c>
      <c r="BO4648">
        <v>1</v>
      </c>
      <c r="BP4648">
        <v>1</v>
      </c>
      <c r="BQ4648">
        <v>0</v>
      </c>
      <c r="BT4648">
        <v>0</v>
      </c>
      <c r="BU4648">
        <v>0</v>
      </c>
      <c r="BV4648">
        <v>0</v>
      </c>
      <c r="CC4648" t="str">
        <f>"19:54:46.789"</f>
        <v>19:54:46.789</v>
      </c>
      <c r="CD4648" t="str">
        <f>"790498756"</f>
        <v>790498756</v>
      </c>
      <c r="CQ4648">
        <v>0</v>
      </c>
      <c r="CR4648">
        <v>2</v>
      </c>
      <c r="CS4648">
        <v>0</v>
      </c>
      <c r="CT4648">
        <v>2</v>
      </c>
      <c r="CU4648">
        <v>0</v>
      </c>
      <c r="CV4648">
        <v>6</v>
      </c>
      <c r="CW4648" t="s">
        <v>120</v>
      </c>
      <c r="CX4648">
        <v>257</v>
      </c>
      <c r="CY4648">
        <v>0</v>
      </c>
      <c r="CZ4648" t="s">
        <v>615</v>
      </c>
      <c r="DA4648" t="s">
        <v>616</v>
      </c>
      <c r="DD4648">
        <v>110944</v>
      </c>
      <c r="DE4648" t="s">
        <v>123</v>
      </c>
    </row>
    <row r="4649" spans="1:109" x14ac:dyDescent="0.3">
      <c r="A4649" t="str">
        <f>"19:54:48.063"</f>
        <v>19:54:48.063</v>
      </c>
      <c r="B4649" t="s">
        <v>110</v>
      </c>
      <c r="C4649" t="str">
        <f t="shared" si="223"/>
        <v>ffdfd3c0</v>
      </c>
      <c r="D4649" t="s">
        <v>111</v>
      </c>
      <c r="E4649">
        <v>18</v>
      </c>
      <c r="F4649">
        <v>1018</v>
      </c>
      <c r="G4649" t="s">
        <v>112</v>
      </c>
      <c r="J4649" t="s">
        <v>113</v>
      </c>
      <c r="K4649">
        <v>0</v>
      </c>
      <c r="L4649">
        <v>3</v>
      </c>
      <c r="M4649">
        <v>0</v>
      </c>
      <c r="N4649">
        <v>2</v>
      </c>
      <c r="O4649">
        <v>1</v>
      </c>
      <c r="P4649">
        <v>0</v>
      </c>
      <c r="Q4649">
        <v>0</v>
      </c>
      <c r="R4649" t="s">
        <v>114</v>
      </c>
      <c r="S4649" t="str">
        <f>"19:54:47.805"</f>
        <v>19:54:47.805</v>
      </c>
      <c r="T4649" t="str">
        <f>"19:54:47.805"</f>
        <v>19:54:47.805</v>
      </c>
      <c r="U4649" t="str">
        <f t="shared" si="221"/>
        <v>a1cdbe</v>
      </c>
      <c r="V4649">
        <v>0</v>
      </c>
      <c r="W4649">
        <v>0</v>
      </c>
      <c r="X4649">
        <v>2</v>
      </c>
      <c r="Y4649">
        <v>0</v>
      </c>
      <c r="Z4649">
        <v>0</v>
      </c>
      <c r="AB4649">
        <v>0</v>
      </c>
      <c r="AC4649">
        <v>9</v>
      </c>
      <c r="AD4649">
        <v>3</v>
      </c>
      <c r="AE4649">
        <v>0</v>
      </c>
      <c r="AF4649">
        <v>9</v>
      </c>
      <c r="AG4649" t="s">
        <v>115</v>
      </c>
      <c r="AH4649">
        <v>0</v>
      </c>
      <c r="AI4649">
        <v>0</v>
      </c>
      <c r="AJ4649">
        <v>1</v>
      </c>
      <c r="AK4649">
        <v>0</v>
      </c>
      <c r="AL4649" t="s">
        <v>8219</v>
      </c>
      <c r="AM4649">
        <v>47.074312999999997</v>
      </c>
      <c r="AN4649" t="s">
        <v>8307</v>
      </c>
      <c r="AO4649">
        <v>-124.113472</v>
      </c>
      <c r="AP4649">
        <v>100</v>
      </c>
      <c r="AQ4649">
        <v>300</v>
      </c>
      <c r="AR4649" t="s">
        <v>118</v>
      </c>
      <c r="AS4649">
        <v>49</v>
      </c>
      <c r="AT4649">
        <v>-21</v>
      </c>
      <c r="AU4649">
        <v>-768</v>
      </c>
      <c r="BC4649">
        <v>1200</v>
      </c>
      <c r="BD4649">
        <v>1</v>
      </c>
      <c r="BE4649" t="str">
        <f t="shared" si="222"/>
        <v xml:space="preserve">N215T   </v>
      </c>
      <c r="BF4649">
        <v>1</v>
      </c>
      <c r="BH4649">
        <v>0</v>
      </c>
      <c r="BI4649">
        <v>0</v>
      </c>
      <c r="BJ4649">
        <v>0</v>
      </c>
      <c r="BK4649">
        <v>675</v>
      </c>
      <c r="BL4649">
        <v>375</v>
      </c>
      <c r="BM4649" t="s">
        <v>119</v>
      </c>
      <c r="BN4649">
        <v>1</v>
      </c>
      <c r="BO4649">
        <v>1</v>
      </c>
      <c r="BP4649">
        <v>1</v>
      </c>
      <c r="BQ4649">
        <v>0</v>
      </c>
      <c r="BT4649">
        <v>0</v>
      </c>
      <c r="BU4649">
        <v>0</v>
      </c>
      <c r="BV4649">
        <v>0</v>
      </c>
      <c r="CC4649" t="str">
        <f>"19:54:47.813"</f>
        <v>19:54:47.813</v>
      </c>
      <c r="CD4649" t="str">
        <f>"810398180"</f>
        <v>810398180</v>
      </c>
      <c r="CQ4649">
        <v>0</v>
      </c>
      <c r="CR4649">
        <v>2</v>
      </c>
      <c r="CS4649">
        <v>0</v>
      </c>
      <c r="CT4649">
        <v>2</v>
      </c>
      <c r="CU4649">
        <v>0</v>
      </c>
      <c r="CV4649">
        <v>7</v>
      </c>
      <c r="CW4649" t="s">
        <v>120</v>
      </c>
      <c r="CX4649">
        <v>257</v>
      </c>
      <c r="CY4649">
        <v>0</v>
      </c>
      <c r="CZ4649" t="s">
        <v>615</v>
      </c>
      <c r="DA4649" t="s">
        <v>616</v>
      </c>
      <c r="DD4649">
        <v>111322</v>
      </c>
      <c r="DE4649" t="s">
        <v>123</v>
      </c>
    </row>
    <row r="4650" spans="1:109" x14ac:dyDescent="0.3">
      <c r="A4650" t="str">
        <f>"19:54:49.023"</f>
        <v>19:54:49.023</v>
      </c>
      <c r="B4650" t="s">
        <v>110</v>
      </c>
      <c r="C4650" t="str">
        <f t="shared" si="223"/>
        <v>ffdfd3c0</v>
      </c>
      <c r="D4650" t="s">
        <v>111</v>
      </c>
      <c r="E4650">
        <v>18</v>
      </c>
      <c r="F4650">
        <v>1018</v>
      </c>
      <c r="G4650" t="s">
        <v>112</v>
      </c>
      <c r="J4650" t="s">
        <v>113</v>
      </c>
      <c r="K4650">
        <v>0</v>
      </c>
      <c r="L4650">
        <v>3</v>
      </c>
      <c r="M4650">
        <v>0</v>
      </c>
      <c r="N4650">
        <v>2</v>
      </c>
      <c r="O4650">
        <v>1</v>
      </c>
      <c r="P4650">
        <v>0</v>
      </c>
      <c r="Q4650">
        <v>0</v>
      </c>
      <c r="R4650" t="s">
        <v>114</v>
      </c>
      <c r="S4650" t="str">
        <f>"19:54:48.781"</f>
        <v>19:54:48.781</v>
      </c>
      <c r="T4650" t="str">
        <f>"19:54:48.281"</f>
        <v>19:54:48.281</v>
      </c>
      <c r="U4650" t="str">
        <f t="shared" si="221"/>
        <v>a1cdbe</v>
      </c>
      <c r="V4650">
        <v>0</v>
      </c>
      <c r="W4650">
        <v>0</v>
      </c>
      <c r="X4650">
        <v>2</v>
      </c>
      <c r="Y4650">
        <v>0</v>
      </c>
      <c r="Z4650">
        <v>0</v>
      </c>
      <c r="AB4650">
        <v>0</v>
      </c>
      <c r="AC4650">
        <v>9</v>
      </c>
      <c r="AD4650">
        <v>3</v>
      </c>
      <c r="AE4650">
        <v>0</v>
      </c>
      <c r="AF4650">
        <v>9</v>
      </c>
      <c r="AG4650" t="s">
        <v>115</v>
      </c>
      <c r="AH4650">
        <v>0</v>
      </c>
      <c r="AI4650">
        <v>0</v>
      </c>
      <c r="AJ4650">
        <v>1</v>
      </c>
      <c r="AK4650">
        <v>0</v>
      </c>
      <c r="AL4650" t="s">
        <v>439</v>
      </c>
      <c r="AM4650">
        <v>47.074227</v>
      </c>
      <c r="AN4650" t="s">
        <v>8308</v>
      </c>
      <c r="AO4650">
        <v>-124.11317099999999</v>
      </c>
      <c r="AP4650">
        <v>100</v>
      </c>
      <c r="AQ4650">
        <v>300</v>
      </c>
      <c r="AR4650" t="s">
        <v>118</v>
      </c>
      <c r="AS4650">
        <v>49</v>
      </c>
      <c r="AT4650">
        <v>-21</v>
      </c>
      <c r="AU4650">
        <v>-704</v>
      </c>
      <c r="BC4650">
        <v>1200</v>
      </c>
      <c r="BD4650">
        <v>1</v>
      </c>
      <c r="BE4650" t="str">
        <f t="shared" si="222"/>
        <v xml:space="preserve">N215T   </v>
      </c>
      <c r="BF4650">
        <v>1</v>
      </c>
      <c r="BH4650">
        <v>0</v>
      </c>
      <c r="BI4650">
        <v>0</v>
      </c>
      <c r="BJ4650">
        <v>0</v>
      </c>
      <c r="BK4650">
        <v>675</v>
      </c>
      <c r="BL4650">
        <v>375</v>
      </c>
      <c r="BM4650" t="s">
        <v>119</v>
      </c>
      <c r="BN4650">
        <v>1</v>
      </c>
      <c r="BO4650">
        <v>1</v>
      </c>
      <c r="BP4650">
        <v>1</v>
      </c>
      <c r="BQ4650">
        <v>0</v>
      </c>
      <c r="BT4650">
        <v>0</v>
      </c>
      <c r="BU4650">
        <v>0</v>
      </c>
      <c r="BV4650">
        <v>0</v>
      </c>
      <c r="CC4650" t="str">
        <f>"19:54:48.789"</f>
        <v>19:54:48.789</v>
      </c>
      <c r="CD4650" t="str">
        <f>"785302027"</f>
        <v>785302027</v>
      </c>
      <c r="CQ4650">
        <v>0</v>
      </c>
      <c r="CR4650">
        <v>2</v>
      </c>
      <c r="CS4650">
        <v>0</v>
      </c>
      <c r="CT4650">
        <v>2</v>
      </c>
      <c r="CU4650">
        <v>0</v>
      </c>
      <c r="CV4650">
        <v>7</v>
      </c>
      <c r="CW4650" t="s">
        <v>120</v>
      </c>
      <c r="CX4650">
        <v>257</v>
      </c>
      <c r="CY4650">
        <v>0</v>
      </c>
      <c r="CZ4650" t="s">
        <v>615</v>
      </c>
      <c r="DA4650" t="s">
        <v>616</v>
      </c>
      <c r="DD4650">
        <v>111666</v>
      </c>
      <c r="DE4650" t="s">
        <v>123</v>
      </c>
    </row>
    <row r="4651" spans="1:109" x14ac:dyDescent="0.3">
      <c r="A4651" t="str">
        <f>"19:54:49.977"</f>
        <v>19:54:49.977</v>
      </c>
      <c r="B4651" t="s">
        <v>110</v>
      </c>
      <c r="C4651" t="str">
        <f t="shared" si="223"/>
        <v>ffdfd3c0</v>
      </c>
      <c r="D4651" t="s">
        <v>111</v>
      </c>
      <c r="E4651">
        <v>18</v>
      </c>
      <c r="F4651">
        <v>1018</v>
      </c>
      <c r="G4651" t="s">
        <v>112</v>
      </c>
      <c r="J4651" t="s">
        <v>113</v>
      </c>
      <c r="K4651">
        <v>0</v>
      </c>
      <c r="L4651">
        <v>3</v>
      </c>
      <c r="M4651">
        <v>0</v>
      </c>
      <c r="N4651">
        <v>2</v>
      </c>
      <c r="O4651">
        <v>1</v>
      </c>
      <c r="P4651">
        <v>0</v>
      </c>
      <c r="Q4651">
        <v>0</v>
      </c>
      <c r="R4651" t="s">
        <v>114</v>
      </c>
      <c r="S4651" t="str">
        <f>"19:54:49.773"</f>
        <v>19:54:49.773</v>
      </c>
      <c r="T4651" t="str">
        <f>"19:54:49.375"</f>
        <v>19:54:49.375</v>
      </c>
      <c r="U4651" t="str">
        <f t="shared" si="221"/>
        <v>a1cdbe</v>
      </c>
      <c r="V4651">
        <v>0</v>
      </c>
      <c r="W4651">
        <v>0</v>
      </c>
      <c r="X4651">
        <v>2</v>
      </c>
      <c r="Y4651">
        <v>0</v>
      </c>
      <c r="Z4651">
        <v>0</v>
      </c>
      <c r="AB4651">
        <v>0</v>
      </c>
      <c r="AC4651">
        <v>9</v>
      </c>
      <c r="AD4651">
        <v>3</v>
      </c>
      <c r="AE4651">
        <v>0</v>
      </c>
      <c r="AF4651">
        <v>9</v>
      </c>
      <c r="AG4651" t="s">
        <v>115</v>
      </c>
      <c r="AH4651">
        <v>0</v>
      </c>
      <c r="AI4651">
        <v>0</v>
      </c>
      <c r="AJ4651">
        <v>1</v>
      </c>
      <c r="AK4651">
        <v>0</v>
      </c>
      <c r="AL4651" t="s">
        <v>8309</v>
      </c>
      <c r="AM4651">
        <v>47.074142000000002</v>
      </c>
      <c r="AN4651" t="s">
        <v>8310</v>
      </c>
      <c r="AO4651">
        <v>-124.11282799999999</v>
      </c>
      <c r="AP4651">
        <v>100</v>
      </c>
      <c r="AQ4651">
        <v>200</v>
      </c>
      <c r="AR4651" t="s">
        <v>118</v>
      </c>
      <c r="AS4651">
        <v>49</v>
      </c>
      <c r="AT4651">
        <v>-22</v>
      </c>
      <c r="AU4651">
        <v>-704</v>
      </c>
      <c r="BC4651">
        <v>1200</v>
      </c>
      <c r="BD4651">
        <v>1</v>
      </c>
      <c r="BE4651" t="str">
        <f t="shared" si="222"/>
        <v xml:space="preserve">N215T   </v>
      </c>
      <c r="BF4651">
        <v>1</v>
      </c>
      <c r="BH4651">
        <v>0</v>
      </c>
      <c r="BI4651">
        <v>0</v>
      </c>
      <c r="BJ4651">
        <v>0</v>
      </c>
      <c r="BK4651">
        <v>650</v>
      </c>
      <c r="BL4651">
        <v>450</v>
      </c>
      <c r="BM4651" t="s">
        <v>119</v>
      </c>
      <c r="BN4651">
        <v>1</v>
      </c>
      <c r="BO4651">
        <v>1</v>
      </c>
      <c r="BP4651">
        <v>1</v>
      </c>
      <c r="BQ4651">
        <v>0</v>
      </c>
      <c r="BT4651">
        <v>0</v>
      </c>
      <c r="BU4651">
        <v>0</v>
      </c>
      <c r="BV4651">
        <v>0</v>
      </c>
      <c r="CC4651" t="str">
        <f>"19:54:49.773"</f>
        <v>19:54:49.773</v>
      </c>
      <c r="CD4651" t="str">
        <f>"775204399"</f>
        <v>775204399</v>
      </c>
      <c r="CQ4651">
        <v>0</v>
      </c>
      <c r="CR4651">
        <v>2</v>
      </c>
      <c r="CS4651">
        <v>0</v>
      </c>
      <c r="CT4651">
        <v>2</v>
      </c>
      <c r="CU4651">
        <v>0</v>
      </c>
      <c r="CV4651">
        <v>7</v>
      </c>
      <c r="CW4651" t="s">
        <v>120</v>
      </c>
      <c r="CX4651">
        <v>257</v>
      </c>
      <c r="CY4651">
        <v>0</v>
      </c>
      <c r="CZ4651" t="s">
        <v>615</v>
      </c>
      <c r="DA4651" t="s">
        <v>616</v>
      </c>
      <c r="DD4651">
        <v>112010</v>
      </c>
      <c r="DE4651" t="s">
        <v>123</v>
      </c>
    </row>
    <row r="4652" spans="1:109" x14ac:dyDescent="0.3">
      <c r="A4652" t="str">
        <f>"19:54:50.883"</f>
        <v>19:54:50.883</v>
      </c>
      <c r="B4652" t="s">
        <v>110</v>
      </c>
      <c r="C4652" t="str">
        <f t="shared" si="223"/>
        <v>ffdfd3c0</v>
      </c>
      <c r="D4652" t="s">
        <v>111</v>
      </c>
      <c r="E4652">
        <v>18</v>
      </c>
      <c r="F4652">
        <v>1018</v>
      </c>
      <c r="G4652" t="s">
        <v>112</v>
      </c>
      <c r="J4652" t="s">
        <v>113</v>
      </c>
      <c r="K4652">
        <v>0</v>
      </c>
      <c r="L4652">
        <v>3</v>
      </c>
      <c r="M4652">
        <v>0</v>
      </c>
      <c r="N4652">
        <v>2</v>
      </c>
      <c r="O4652">
        <v>1</v>
      </c>
      <c r="P4652">
        <v>0</v>
      </c>
      <c r="Q4652">
        <v>0</v>
      </c>
      <c r="R4652" t="s">
        <v>114</v>
      </c>
      <c r="S4652" t="str">
        <f>"19:54:50.625"</f>
        <v>19:54:50.625</v>
      </c>
      <c r="T4652" t="str">
        <f>"19:54:50.227"</f>
        <v>19:54:50.227</v>
      </c>
      <c r="U4652" t="str">
        <f t="shared" si="221"/>
        <v>a1cdbe</v>
      </c>
      <c r="V4652">
        <v>0</v>
      </c>
      <c r="W4652">
        <v>0</v>
      </c>
      <c r="X4652">
        <v>2</v>
      </c>
      <c r="Y4652">
        <v>0</v>
      </c>
      <c r="Z4652">
        <v>0</v>
      </c>
      <c r="AB4652">
        <v>0</v>
      </c>
      <c r="AC4652">
        <v>9</v>
      </c>
      <c r="AD4652">
        <v>3</v>
      </c>
      <c r="AE4652">
        <v>0</v>
      </c>
      <c r="AF4652">
        <v>9</v>
      </c>
      <c r="AG4652" t="s">
        <v>115</v>
      </c>
      <c r="AH4652">
        <v>0</v>
      </c>
      <c r="AI4652">
        <v>0</v>
      </c>
      <c r="AJ4652">
        <v>1</v>
      </c>
      <c r="AK4652">
        <v>0</v>
      </c>
      <c r="AL4652" t="s">
        <v>8311</v>
      </c>
      <c r="AM4652">
        <v>47.074033999999997</v>
      </c>
      <c r="AN4652" t="s">
        <v>8312</v>
      </c>
      <c r="AO4652">
        <v>-124.112549</v>
      </c>
      <c r="AP4652">
        <v>100</v>
      </c>
      <c r="AQ4652">
        <v>200</v>
      </c>
      <c r="AR4652" t="s">
        <v>118</v>
      </c>
      <c r="AS4652">
        <v>49</v>
      </c>
      <c r="AT4652">
        <v>-22</v>
      </c>
      <c r="AU4652">
        <v>-768</v>
      </c>
      <c r="BC4652">
        <v>1200</v>
      </c>
      <c r="BD4652">
        <v>1</v>
      </c>
      <c r="BE4652" t="str">
        <f t="shared" si="222"/>
        <v xml:space="preserve">N215T   </v>
      </c>
      <c r="BF4652">
        <v>1</v>
      </c>
      <c r="BH4652">
        <v>0</v>
      </c>
      <c r="BI4652">
        <v>0</v>
      </c>
      <c r="BJ4652">
        <v>0</v>
      </c>
      <c r="BK4652">
        <v>650</v>
      </c>
      <c r="BL4652">
        <v>450</v>
      </c>
      <c r="BM4652" t="s">
        <v>119</v>
      </c>
      <c r="BN4652">
        <v>1</v>
      </c>
      <c r="BO4652">
        <v>1</v>
      </c>
      <c r="BP4652">
        <v>1</v>
      </c>
      <c r="BQ4652">
        <v>0</v>
      </c>
      <c r="BT4652">
        <v>0</v>
      </c>
      <c r="BU4652">
        <v>0</v>
      </c>
      <c r="BV4652">
        <v>0</v>
      </c>
      <c r="CC4652" t="str">
        <f>"19:54:50.633"</f>
        <v>19:54:50.633</v>
      </c>
      <c r="CD4652" t="str">
        <f>"630120090"</f>
        <v>630120090</v>
      </c>
      <c r="CQ4652">
        <v>0</v>
      </c>
      <c r="CR4652">
        <v>2</v>
      </c>
      <c r="CS4652">
        <v>0</v>
      </c>
      <c r="CT4652">
        <v>2</v>
      </c>
      <c r="CU4652">
        <v>0</v>
      </c>
      <c r="CV4652">
        <v>7</v>
      </c>
      <c r="CW4652" t="s">
        <v>120</v>
      </c>
      <c r="CX4652">
        <v>257</v>
      </c>
      <c r="CY4652">
        <v>0</v>
      </c>
      <c r="CZ4652" t="s">
        <v>615</v>
      </c>
      <c r="DA4652" t="s">
        <v>616</v>
      </c>
      <c r="DD4652">
        <v>112277</v>
      </c>
      <c r="DE4652" t="s">
        <v>123</v>
      </c>
    </row>
    <row r="4653" spans="1:109" x14ac:dyDescent="0.3">
      <c r="A4653" t="str">
        <f>"19:54:51.992"</f>
        <v>19:54:51.992</v>
      </c>
      <c r="B4653" t="s">
        <v>110</v>
      </c>
      <c r="C4653" t="str">
        <f t="shared" si="223"/>
        <v>ffdfd3c0</v>
      </c>
      <c r="D4653" t="s">
        <v>111</v>
      </c>
      <c r="E4653">
        <v>18</v>
      </c>
      <c r="F4653">
        <v>1018</v>
      </c>
      <c r="G4653" t="s">
        <v>112</v>
      </c>
      <c r="J4653" t="s">
        <v>113</v>
      </c>
      <c r="K4653">
        <v>0</v>
      </c>
      <c r="L4653">
        <v>3</v>
      </c>
      <c r="M4653">
        <v>0</v>
      </c>
      <c r="N4653">
        <v>2</v>
      </c>
      <c r="O4653">
        <v>1</v>
      </c>
      <c r="P4653">
        <v>0</v>
      </c>
      <c r="Q4653">
        <v>0</v>
      </c>
      <c r="R4653" t="s">
        <v>114</v>
      </c>
      <c r="S4653" t="str">
        <f>"19:54:51.719"</f>
        <v>19:54:51.719</v>
      </c>
      <c r="T4653" t="str">
        <f>"19:54:51.719"</f>
        <v>19:54:51.719</v>
      </c>
      <c r="U4653" t="str">
        <f t="shared" si="221"/>
        <v>a1cdbe</v>
      </c>
      <c r="V4653">
        <v>0</v>
      </c>
      <c r="W4653">
        <v>0</v>
      </c>
      <c r="X4653">
        <v>2</v>
      </c>
      <c r="Y4653">
        <v>0</v>
      </c>
      <c r="Z4653">
        <v>0</v>
      </c>
      <c r="AB4653">
        <v>0</v>
      </c>
      <c r="AC4653">
        <v>9</v>
      </c>
      <c r="AD4653">
        <v>3</v>
      </c>
      <c r="AE4653">
        <v>0</v>
      </c>
      <c r="AF4653">
        <v>9</v>
      </c>
      <c r="AG4653" t="s">
        <v>115</v>
      </c>
      <c r="AH4653">
        <v>0</v>
      </c>
      <c r="AI4653">
        <v>0</v>
      </c>
      <c r="AJ4653">
        <v>1</v>
      </c>
      <c r="AK4653">
        <v>0</v>
      </c>
      <c r="AL4653" t="s">
        <v>8313</v>
      </c>
      <c r="AM4653">
        <v>47.073905000000003</v>
      </c>
      <c r="AN4653" t="s">
        <v>8314</v>
      </c>
      <c r="AO4653">
        <v>-124.11214099999999</v>
      </c>
      <c r="AP4653">
        <v>100</v>
      </c>
      <c r="AQ4653">
        <v>200</v>
      </c>
      <c r="AR4653" t="s">
        <v>118</v>
      </c>
      <c r="AS4653">
        <v>51</v>
      </c>
      <c r="AT4653">
        <v>-21</v>
      </c>
      <c r="AU4653">
        <v>-576</v>
      </c>
      <c r="BC4653">
        <v>1200</v>
      </c>
      <c r="BD4653">
        <v>1</v>
      </c>
      <c r="BE4653" t="str">
        <f t="shared" si="222"/>
        <v xml:space="preserve">N215T   </v>
      </c>
      <c r="BF4653">
        <v>1</v>
      </c>
      <c r="BH4653">
        <v>0</v>
      </c>
      <c r="BI4653">
        <v>0</v>
      </c>
      <c r="BJ4653">
        <v>0</v>
      </c>
      <c r="BK4653">
        <v>625</v>
      </c>
      <c r="BL4653">
        <v>425</v>
      </c>
      <c r="BM4653" t="s">
        <v>119</v>
      </c>
      <c r="BN4653">
        <v>1</v>
      </c>
      <c r="BO4653">
        <v>1</v>
      </c>
      <c r="BP4653">
        <v>1</v>
      </c>
      <c r="BQ4653">
        <v>0</v>
      </c>
      <c r="BT4653">
        <v>0</v>
      </c>
      <c r="BU4653">
        <v>0</v>
      </c>
      <c r="BV4653">
        <v>0</v>
      </c>
      <c r="CC4653" t="str">
        <f>"19:54:51.727"</f>
        <v>19:54:51.727</v>
      </c>
      <c r="CD4653" t="str">
        <f>"725012112"</f>
        <v>725012112</v>
      </c>
      <c r="CQ4653">
        <v>0</v>
      </c>
      <c r="CR4653">
        <v>2</v>
      </c>
      <c r="CS4653">
        <v>0</v>
      </c>
      <c r="CT4653">
        <v>2</v>
      </c>
      <c r="CU4653">
        <v>0</v>
      </c>
      <c r="CV4653">
        <v>6</v>
      </c>
      <c r="CW4653" t="s">
        <v>120</v>
      </c>
      <c r="CX4653">
        <v>257</v>
      </c>
      <c r="CY4653">
        <v>0</v>
      </c>
      <c r="CZ4653" t="s">
        <v>615</v>
      </c>
      <c r="DA4653" t="s">
        <v>616</v>
      </c>
      <c r="DD4653">
        <v>112702</v>
      </c>
      <c r="DE4653" t="s">
        <v>123</v>
      </c>
    </row>
    <row r="4654" spans="1:109" x14ac:dyDescent="0.3">
      <c r="A4654" t="str">
        <f>"19:54:53.094"</f>
        <v>19:54:53.094</v>
      </c>
      <c r="B4654" t="s">
        <v>110</v>
      </c>
      <c r="C4654" t="str">
        <f t="shared" si="223"/>
        <v>ffdfd3c0</v>
      </c>
      <c r="D4654" t="s">
        <v>111</v>
      </c>
      <c r="E4654">
        <v>18</v>
      </c>
      <c r="F4654">
        <v>1018</v>
      </c>
      <c r="G4654" t="s">
        <v>112</v>
      </c>
      <c r="J4654" t="s">
        <v>113</v>
      </c>
      <c r="K4654">
        <v>0</v>
      </c>
      <c r="L4654">
        <v>3</v>
      </c>
      <c r="M4654">
        <v>0</v>
      </c>
      <c r="N4654">
        <v>2</v>
      </c>
      <c r="O4654">
        <v>1</v>
      </c>
      <c r="P4654">
        <v>0</v>
      </c>
      <c r="Q4654">
        <v>0</v>
      </c>
      <c r="R4654" t="s">
        <v>114</v>
      </c>
      <c r="S4654" t="str">
        <f>"19:54:52.844"</f>
        <v>19:54:52.844</v>
      </c>
      <c r="T4654" t="str">
        <f>"19:54:52.742"</f>
        <v>19:54:52.742</v>
      </c>
      <c r="U4654" t="str">
        <f t="shared" si="221"/>
        <v>a1cdbe</v>
      </c>
      <c r="V4654">
        <v>0</v>
      </c>
      <c r="W4654">
        <v>0</v>
      </c>
      <c r="X4654">
        <v>2</v>
      </c>
      <c r="Y4654">
        <v>0</v>
      </c>
      <c r="Z4654">
        <v>0</v>
      </c>
      <c r="AB4654">
        <v>0</v>
      </c>
      <c r="AC4654">
        <v>9</v>
      </c>
      <c r="AD4654">
        <v>3</v>
      </c>
      <c r="AE4654">
        <v>0</v>
      </c>
      <c r="AF4654">
        <v>9</v>
      </c>
      <c r="AG4654" t="s">
        <v>115</v>
      </c>
      <c r="AH4654">
        <v>0</v>
      </c>
      <c r="AI4654">
        <v>0</v>
      </c>
      <c r="AJ4654">
        <v>1</v>
      </c>
      <c r="AK4654">
        <v>0</v>
      </c>
      <c r="AL4654" t="s">
        <v>8315</v>
      </c>
      <c r="AM4654">
        <v>47.073797999999996</v>
      </c>
      <c r="AN4654" t="s">
        <v>8316</v>
      </c>
      <c r="AO4654">
        <v>-124.11179799999999</v>
      </c>
      <c r="AP4654">
        <v>100</v>
      </c>
      <c r="AQ4654">
        <v>200</v>
      </c>
      <c r="AR4654" t="s">
        <v>118</v>
      </c>
      <c r="AS4654">
        <v>51</v>
      </c>
      <c r="AT4654">
        <v>-21</v>
      </c>
      <c r="AU4654">
        <v>-640</v>
      </c>
      <c r="BC4654">
        <v>1200</v>
      </c>
      <c r="BD4654">
        <v>1</v>
      </c>
      <c r="BE4654" t="str">
        <f t="shared" si="222"/>
        <v xml:space="preserve">N215T   </v>
      </c>
      <c r="BF4654">
        <v>1</v>
      </c>
      <c r="BH4654">
        <v>0</v>
      </c>
      <c r="BI4654">
        <v>0</v>
      </c>
      <c r="BJ4654">
        <v>0</v>
      </c>
      <c r="BK4654">
        <v>625</v>
      </c>
      <c r="BL4654">
        <v>425</v>
      </c>
      <c r="BM4654" t="s">
        <v>119</v>
      </c>
      <c r="BN4654">
        <v>1</v>
      </c>
      <c r="BO4654">
        <v>1</v>
      </c>
      <c r="BP4654">
        <v>1</v>
      </c>
      <c r="BQ4654">
        <v>0</v>
      </c>
      <c r="BT4654">
        <v>0</v>
      </c>
      <c r="BU4654">
        <v>0</v>
      </c>
      <c r="BV4654">
        <v>0</v>
      </c>
      <c r="CC4654" t="str">
        <f>"19:54:52.852"</f>
        <v>19:54:52.852</v>
      </c>
      <c r="CD4654" t="str">
        <f>"849901176"</f>
        <v>849901176</v>
      </c>
      <c r="CQ4654">
        <v>0</v>
      </c>
      <c r="CR4654">
        <v>2</v>
      </c>
      <c r="CS4654">
        <v>0</v>
      </c>
      <c r="CT4654">
        <v>2</v>
      </c>
      <c r="CU4654">
        <v>0</v>
      </c>
      <c r="CV4654">
        <v>6</v>
      </c>
      <c r="CW4654" t="s">
        <v>120</v>
      </c>
      <c r="CX4654">
        <v>257</v>
      </c>
      <c r="CY4654">
        <v>0</v>
      </c>
      <c r="CZ4654" t="s">
        <v>615</v>
      </c>
      <c r="DA4654" t="s">
        <v>616</v>
      </c>
      <c r="DD4654">
        <v>113060</v>
      </c>
      <c r="DE4654" t="s">
        <v>123</v>
      </c>
    </row>
    <row r="4655" spans="1:109" x14ac:dyDescent="0.3">
      <c r="A4655" t="str">
        <f>"19:54:53.945"</f>
        <v>19:54:53.945</v>
      </c>
      <c r="B4655" t="s">
        <v>110</v>
      </c>
      <c r="C4655" t="str">
        <f t="shared" si="223"/>
        <v>ffdfd3c0</v>
      </c>
      <c r="D4655" t="s">
        <v>111</v>
      </c>
      <c r="E4655">
        <v>18</v>
      </c>
      <c r="F4655">
        <v>1018</v>
      </c>
      <c r="G4655" t="s">
        <v>112</v>
      </c>
      <c r="J4655" t="s">
        <v>113</v>
      </c>
      <c r="K4655">
        <v>0</v>
      </c>
      <c r="L4655">
        <v>3</v>
      </c>
      <c r="M4655">
        <v>0</v>
      </c>
      <c r="N4655">
        <v>2</v>
      </c>
      <c r="O4655">
        <v>1</v>
      </c>
      <c r="P4655">
        <v>0</v>
      </c>
      <c r="Q4655">
        <v>0</v>
      </c>
      <c r="R4655" t="s">
        <v>114</v>
      </c>
      <c r="S4655" t="str">
        <f>"19:54:53.703"</f>
        <v>19:54:53.703</v>
      </c>
      <c r="T4655" t="str">
        <f>"19:54:53.305"</f>
        <v>19:54:53.305</v>
      </c>
      <c r="U4655" t="str">
        <f t="shared" si="221"/>
        <v>a1cdbe</v>
      </c>
      <c r="V4655">
        <v>0</v>
      </c>
      <c r="W4655">
        <v>0</v>
      </c>
      <c r="X4655">
        <v>2</v>
      </c>
      <c r="Y4655">
        <v>0</v>
      </c>
      <c r="Z4655">
        <v>0</v>
      </c>
      <c r="AB4655">
        <v>0</v>
      </c>
      <c r="AC4655">
        <v>9</v>
      </c>
      <c r="AD4655">
        <v>3</v>
      </c>
      <c r="AE4655">
        <v>0</v>
      </c>
      <c r="AF4655">
        <v>9</v>
      </c>
      <c r="AG4655" t="s">
        <v>115</v>
      </c>
      <c r="AH4655">
        <v>0</v>
      </c>
      <c r="AI4655">
        <v>0</v>
      </c>
      <c r="AJ4655">
        <v>1</v>
      </c>
      <c r="AK4655">
        <v>0</v>
      </c>
      <c r="AL4655" t="s">
        <v>8317</v>
      </c>
      <c r="AM4655">
        <v>47.073712</v>
      </c>
      <c r="AN4655" t="s">
        <v>8318</v>
      </c>
      <c r="AO4655">
        <v>-124.11145399999999</v>
      </c>
      <c r="AP4655">
        <v>100</v>
      </c>
      <c r="AQ4655">
        <v>200</v>
      </c>
      <c r="AR4655" t="s">
        <v>118</v>
      </c>
      <c r="AS4655">
        <v>51</v>
      </c>
      <c r="AT4655">
        <v>-22</v>
      </c>
      <c r="AU4655">
        <v>-512</v>
      </c>
      <c r="BC4655">
        <v>1200</v>
      </c>
      <c r="BD4655">
        <v>1</v>
      </c>
      <c r="BE4655" t="str">
        <f t="shared" si="222"/>
        <v xml:space="preserve">N215T   </v>
      </c>
      <c r="BF4655">
        <v>1</v>
      </c>
      <c r="BH4655">
        <v>0</v>
      </c>
      <c r="BI4655">
        <v>0</v>
      </c>
      <c r="BJ4655">
        <v>0</v>
      </c>
      <c r="BK4655">
        <v>625</v>
      </c>
      <c r="BL4655">
        <v>425</v>
      </c>
      <c r="BM4655" t="s">
        <v>119</v>
      </c>
      <c r="BN4655">
        <v>1</v>
      </c>
      <c r="BO4655">
        <v>1</v>
      </c>
      <c r="BP4655">
        <v>1</v>
      </c>
      <c r="BQ4655">
        <v>0</v>
      </c>
      <c r="BT4655">
        <v>0</v>
      </c>
      <c r="BU4655">
        <v>0</v>
      </c>
      <c r="BV4655">
        <v>0</v>
      </c>
      <c r="CC4655" t="str">
        <f>"19:54:53.703"</f>
        <v>19:54:53.703</v>
      </c>
      <c r="CD4655" t="str">
        <f>"704816851"</f>
        <v>704816851</v>
      </c>
      <c r="CQ4655">
        <v>0</v>
      </c>
      <c r="CR4655">
        <v>2</v>
      </c>
      <c r="CS4655">
        <v>0</v>
      </c>
      <c r="CT4655">
        <v>2</v>
      </c>
      <c r="CU4655">
        <v>0</v>
      </c>
      <c r="CV4655">
        <v>6</v>
      </c>
      <c r="CW4655" t="s">
        <v>120</v>
      </c>
      <c r="CX4655">
        <v>257</v>
      </c>
      <c r="CY4655">
        <v>0</v>
      </c>
      <c r="CZ4655" t="s">
        <v>615</v>
      </c>
      <c r="DA4655" t="s">
        <v>616</v>
      </c>
      <c r="DD4655">
        <v>113354</v>
      </c>
      <c r="DE4655" t="s">
        <v>123</v>
      </c>
    </row>
    <row r="4656" spans="1:109" x14ac:dyDescent="0.3">
      <c r="A4656" t="str">
        <f>"19:54:55.000"</f>
        <v>19:54:55.000</v>
      </c>
      <c r="B4656" t="s">
        <v>110</v>
      </c>
      <c r="C4656" t="str">
        <f t="shared" si="223"/>
        <v>ffdfd3c0</v>
      </c>
      <c r="D4656" t="s">
        <v>111</v>
      </c>
      <c r="E4656">
        <v>18</v>
      </c>
      <c r="F4656">
        <v>1018</v>
      </c>
      <c r="G4656" t="s">
        <v>112</v>
      </c>
      <c r="J4656" t="s">
        <v>113</v>
      </c>
      <c r="K4656">
        <v>0</v>
      </c>
      <c r="L4656">
        <v>3</v>
      </c>
      <c r="M4656">
        <v>0</v>
      </c>
      <c r="N4656">
        <v>2</v>
      </c>
      <c r="O4656">
        <v>1</v>
      </c>
      <c r="P4656">
        <v>0</v>
      </c>
      <c r="Q4656">
        <v>0</v>
      </c>
      <c r="R4656" t="s">
        <v>114</v>
      </c>
      <c r="S4656" t="str">
        <f>"19:54:54.781"</f>
        <v>19:54:54.781</v>
      </c>
      <c r="T4656" t="str">
        <f>"19:54:54.383"</f>
        <v>19:54:54.383</v>
      </c>
      <c r="U4656" t="str">
        <f t="shared" si="221"/>
        <v>a1cdbe</v>
      </c>
      <c r="V4656">
        <v>0</v>
      </c>
      <c r="W4656">
        <v>0</v>
      </c>
      <c r="X4656">
        <v>2</v>
      </c>
      <c r="Y4656">
        <v>0</v>
      </c>
      <c r="Z4656">
        <v>0</v>
      </c>
      <c r="AB4656">
        <v>0</v>
      </c>
      <c r="AC4656">
        <v>9</v>
      </c>
      <c r="AD4656">
        <v>3</v>
      </c>
      <c r="AE4656">
        <v>0</v>
      </c>
      <c r="AF4656">
        <v>9</v>
      </c>
      <c r="AG4656" t="s">
        <v>115</v>
      </c>
      <c r="AH4656">
        <v>0</v>
      </c>
      <c r="AI4656">
        <v>0</v>
      </c>
      <c r="AJ4656">
        <v>1</v>
      </c>
      <c r="AK4656">
        <v>0</v>
      </c>
      <c r="AL4656" t="s">
        <v>8319</v>
      </c>
      <c r="AM4656">
        <v>47.073627000000002</v>
      </c>
      <c r="AN4656" t="s">
        <v>8123</v>
      </c>
      <c r="AO4656">
        <v>-124.11111099999999</v>
      </c>
      <c r="AP4656">
        <v>100</v>
      </c>
      <c r="AQ4656">
        <v>200</v>
      </c>
      <c r="AR4656" t="s">
        <v>118</v>
      </c>
      <c r="AS4656">
        <v>50</v>
      </c>
      <c r="AT4656">
        <v>-23</v>
      </c>
      <c r="AU4656">
        <v>-384</v>
      </c>
      <c r="BC4656">
        <v>1200</v>
      </c>
      <c r="BD4656">
        <v>1</v>
      </c>
      <c r="BE4656" t="str">
        <f t="shared" si="222"/>
        <v xml:space="preserve">N215T   </v>
      </c>
      <c r="BF4656">
        <v>1</v>
      </c>
      <c r="BH4656">
        <v>0</v>
      </c>
      <c r="BI4656">
        <v>0</v>
      </c>
      <c r="BJ4656">
        <v>0</v>
      </c>
      <c r="BK4656">
        <v>600</v>
      </c>
      <c r="BL4656">
        <v>400</v>
      </c>
      <c r="BM4656" t="s">
        <v>119</v>
      </c>
      <c r="BN4656">
        <v>1</v>
      </c>
      <c r="BO4656">
        <v>1</v>
      </c>
      <c r="BP4656">
        <v>1</v>
      </c>
      <c r="BQ4656">
        <v>0</v>
      </c>
      <c r="BT4656">
        <v>0</v>
      </c>
      <c r="BU4656">
        <v>0</v>
      </c>
      <c r="BV4656">
        <v>0</v>
      </c>
      <c r="CC4656" t="str">
        <f>"19:54:54.781"</f>
        <v>19:54:54.781</v>
      </c>
      <c r="CD4656" t="str">
        <f>"784710356"</f>
        <v>784710356</v>
      </c>
      <c r="CQ4656">
        <v>0</v>
      </c>
      <c r="CR4656">
        <v>2</v>
      </c>
      <c r="CS4656">
        <v>0</v>
      </c>
      <c r="CT4656">
        <v>2</v>
      </c>
      <c r="CU4656">
        <v>0</v>
      </c>
      <c r="CV4656">
        <v>6</v>
      </c>
      <c r="CW4656" t="s">
        <v>120</v>
      </c>
      <c r="CX4656">
        <v>257</v>
      </c>
      <c r="CY4656">
        <v>0</v>
      </c>
      <c r="CZ4656" t="s">
        <v>615</v>
      </c>
      <c r="DA4656" t="s">
        <v>616</v>
      </c>
      <c r="DD4656">
        <v>113765</v>
      </c>
      <c r="DE4656" t="s">
        <v>123</v>
      </c>
    </row>
    <row r="4657" spans="1:109" x14ac:dyDescent="0.3">
      <c r="A4657" t="str">
        <f>"19:54:56.055"</f>
        <v>19:54:56.055</v>
      </c>
      <c r="B4657" t="s">
        <v>110</v>
      </c>
      <c r="C4657" t="str">
        <f t="shared" si="223"/>
        <v>ffdfd3c0</v>
      </c>
      <c r="D4657" t="s">
        <v>111</v>
      </c>
      <c r="E4657">
        <v>18</v>
      </c>
      <c r="F4657">
        <v>1018</v>
      </c>
      <c r="G4657" t="s">
        <v>112</v>
      </c>
      <c r="J4657" t="s">
        <v>113</v>
      </c>
      <c r="K4657">
        <v>0</v>
      </c>
      <c r="L4657">
        <v>3</v>
      </c>
      <c r="M4657">
        <v>0</v>
      </c>
      <c r="N4657">
        <v>2</v>
      </c>
      <c r="O4657">
        <v>1</v>
      </c>
      <c r="P4657">
        <v>0</v>
      </c>
      <c r="Q4657">
        <v>0</v>
      </c>
      <c r="R4657" t="s">
        <v>114</v>
      </c>
      <c r="S4657" t="str">
        <f>"19:54:55.813"</f>
        <v>19:54:55.813</v>
      </c>
      <c r="T4657" t="str">
        <f>"19:54:55.414"</f>
        <v>19:54:55.414</v>
      </c>
      <c r="U4657" t="str">
        <f t="shared" si="221"/>
        <v>a1cdbe</v>
      </c>
      <c r="V4657">
        <v>0</v>
      </c>
      <c r="W4657">
        <v>0</v>
      </c>
      <c r="X4657">
        <v>2</v>
      </c>
      <c r="Y4657">
        <v>0</v>
      </c>
      <c r="Z4657">
        <v>0</v>
      </c>
      <c r="AB4657">
        <v>0</v>
      </c>
      <c r="AC4657">
        <v>9</v>
      </c>
      <c r="AD4657">
        <v>3</v>
      </c>
      <c r="AE4657">
        <v>0</v>
      </c>
      <c r="AF4657">
        <v>9</v>
      </c>
      <c r="AG4657" t="s">
        <v>115</v>
      </c>
      <c r="AH4657">
        <v>0</v>
      </c>
      <c r="AI4657">
        <v>0</v>
      </c>
      <c r="AJ4657">
        <v>1</v>
      </c>
      <c r="AK4657">
        <v>0</v>
      </c>
      <c r="AL4657" t="s">
        <v>8213</v>
      </c>
      <c r="AM4657">
        <v>47.073475999999999</v>
      </c>
      <c r="AN4657" t="s">
        <v>8320</v>
      </c>
      <c r="AO4657">
        <v>-124.110789</v>
      </c>
      <c r="AP4657">
        <v>100</v>
      </c>
      <c r="AQ4657">
        <v>200</v>
      </c>
      <c r="AR4657" t="s">
        <v>118</v>
      </c>
      <c r="AS4657">
        <v>49</v>
      </c>
      <c r="AT4657">
        <v>-23</v>
      </c>
      <c r="AU4657">
        <v>-448</v>
      </c>
      <c r="BC4657">
        <v>1200</v>
      </c>
      <c r="BD4657">
        <v>1</v>
      </c>
      <c r="BE4657" t="str">
        <f t="shared" si="222"/>
        <v xml:space="preserve">N215T   </v>
      </c>
      <c r="BF4657">
        <v>1</v>
      </c>
      <c r="BH4657">
        <v>0</v>
      </c>
      <c r="BI4657">
        <v>0</v>
      </c>
      <c r="BJ4657">
        <v>0</v>
      </c>
      <c r="BK4657">
        <v>600</v>
      </c>
      <c r="BL4657">
        <v>400</v>
      </c>
      <c r="BM4657" t="s">
        <v>119</v>
      </c>
      <c r="BN4657">
        <v>1</v>
      </c>
      <c r="BO4657">
        <v>1</v>
      </c>
      <c r="BP4657">
        <v>1</v>
      </c>
      <c r="BQ4657">
        <v>0</v>
      </c>
      <c r="BT4657">
        <v>0</v>
      </c>
      <c r="BU4657">
        <v>0</v>
      </c>
      <c r="BV4657">
        <v>0</v>
      </c>
      <c r="CC4657" t="str">
        <f>"19:54:55.820"</f>
        <v>19:54:55.820</v>
      </c>
      <c r="CD4657" t="str">
        <f>"819608294"</f>
        <v>819608294</v>
      </c>
      <c r="CQ4657">
        <v>0</v>
      </c>
      <c r="CR4657">
        <v>2</v>
      </c>
      <c r="CS4657">
        <v>0</v>
      </c>
      <c r="CT4657">
        <v>2</v>
      </c>
      <c r="CU4657">
        <v>0</v>
      </c>
      <c r="CV4657">
        <v>6</v>
      </c>
      <c r="CW4657" t="s">
        <v>120</v>
      </c>
      <c r="CX4657">
        <v>257</v>
      </c>
      <c r="CY4657">
        <v>0</v>
      </c>
      <c r="CZ4657" t="s">
        <v>615</v>
      </c>
      <c r="DA4657" t="s">
        <v>616</v>
      </c>
      <c r="DD4657">
        <v>114151</v>
      </c>
      <c r="DE4657" t="s">
        <v>123</v>
      </c>
    </row>
    <row r="4658" spans="1:109" x14ac:dyDescent="0.3">
      <c r="A4658" t="str">
        <f>"19:54:57.063"</f>
        <v>19:54:57.063</v>
      </c>
      <c r="B4658" t="s">
        <v>110</v>
      </c>
      <c r="C4658" t="str">
        <f t="shared" si="223"/>
        <v>ffdfd3c0</v>
      </c>
      <c r="D4658" t="s">
        <v>111</v>
      </c>
      <c r="E4658">
        <v>18</v>
      </c>
      <c r="F4658">
        <v>1018</v>
      </c>
      <c r="G4658" t="s">
        <v>112</v>
      </c>
      <c r="J4658" t="s">
        <v>113</v>
      </c>
      <c r="K4658">
        <v>0</v>
      </c>
      <c r="L4658">
        <v>3</v>
      </c>
      <c r="M4658">
        <v>0</v>
      </c>
      <c r="N4658">
        <v>2</v>
      </c>
      <c r="O4658">
        <v>1</v>
      </c>
      <c r="P4658">
        <v>0</v>
      </c>
      <c r="Q4658">
        <v>0</v>
      </c>
      <c r="R4658" t="s">
        <v>114</v>
      </c>
      <c r="S4658" t="str">
        <f>"19:54:56.773"</f>
        <v>19:54:56.773</v>
      </c>
      <c r="T4658" t="str">
        <f>"19:54:56.273"</f>
        <v>19:54:56.273</v>
      </c>
      <c r="U4658" t="str">
        <f t="shared" si="221"/>
        <v>a1cdbe</v>
      </c>
      <c r="V4658">
        <v>0</v>
      </c>
      <c r="W4658">
        <v>0</v>
      </c>
      <c r="X4658">
        <v>2</v>
      </c>
      <c r="Y4658">
        <v>0</v>
      </c>
      <c r="Z4658">
        <v>0</v>
      </c>
      <c r="AB4658">
        <v>0</v>
      </c>
      <c r="AC4658">
        <v>9</v>
      </c>
      <c r="AD4658">
        <v>3</v>
      </c>
      <c r="AE4658">
        <v>0</v>
      </c>
      <c r="AF4658">
        <v>9</v>
      </c>
      <c r="AG4658" t="s">
        <v>115</v>
      </c>
      <c r="AH4658">
        <v>0</v>
      </c>
      <c r="AI4658">
        <v>0</v>
      </c>
      <c r="AJ4658">
        <v>1</v>
      </c>
      <c r="AK4658">
        <v>0</v>
      </c>
      <c r="AL4658" t="s">
        <v>8321</v>
      </c>
      <c r="AM4658">
        <v>47.073390000000003</v>
      </c>
      <c r="AN4658" t="s">
        <v>8322</v>
      </c>
      <c r="AO4658">
        <v>-124.110489</v>
      </c>
      <c r="AP4658">
        <v>100</v>
      </c>
      <c r="AQ4658">
        <v>200</v>
      </c>
      <c r="AR4658" t="s">
        <v>118</v>
      </c>
      <c r="AS4658">
        <v>49</v>
      </c>
      <c r="AT4658">
        <v>-23</v>
      </c>
      <c r="AU4658">
        <v>-512</v>
      </c>
      <c r="BC4658">
        <v>1200</v>
      </c>
      <c r="BD4658">
        <v>1</v>
      </c>
      <c r="BE4658" t="str">
        <f t="shared" si="222"/>
        <v xml:space="preserve">N215T   </v>
      </c>
      <c r="BF4658">
        <v>1</v>
      </c>
      <c r="BH4658">
        <v>0</v>
      </c>
      <c r="BI4658">
        <v>0</v>
      </c>
      <c r="BJ4658">
        <v>0</v>
      </c>
      <c r="BK4658">
        <v>600</v>
      </c>
      <c r="BL4658">
        <v>400</v>
      </c>
      <c r="BM4658" t="s">
        <v>119</v>
      </c>
      <c r="BN4658">
        <v>1</v>
      </c>
      <c r="BO4658">
        <v>1</v>
      </c>
      <c r="BP4658">
        <v>1</v>
      </c>
      <c r="BQ4658">
        <v>0</v>
      </c>
      <c r="BT4658">
        <v>0</v>
      </c>
      <c r="BU4658">
        <v>0</v>
      </c>
      <c r="BV4658">
        <v>0</v>
      </c>
      <c r="CC4658" t="str">
        <f>"19:54:56.781"</f>
        <v>19:54:56.781</v>
      </c>
      <c r="CD4658" t="str">
        <f>"779513623"</f>
        <v>779513623</v>
      </c>
      <c r="CQ4658">
        <v>0</v>
      </c>
      <c r="CR4658">
        <v>2</v>
      </c>
      <c r="CS4658">
        <v>0</v>
      </c>
      <c r="CT4658">
        <v>2</v>
      </c>
      <c r="CU4658">
        <v>0</v>
      </c>
      <c r="CV4658">
        <v>6</v>
      </c>
      <c r="CW4658" t="s">
        <v>120</v>
      </c>
      <c r="CX4658">
        <v>257</v>
      </c>
      <c r="CY4658">
        <v>0</v>
      </c>
      <c r="CZ4658" t="s">
        <v>615</v>
      </c>
      <c r="DA4658" t="s">
        <v>616</v>
      </c>
      <c r="DD4658">
        <v>114513</v>
      </c>
      <c r="DE4658" t="s">
        <v>123</v>
      </c>
    </row>
    <row r="4659" spans="1:109" x14ac:dyDescent="0.3">
      <c r="A4659" t="str">
        <f>"19:54:57.867"</f>
        <v>19:54:57.867</v>
      </c>
      <c r="B4659" t="s">
        <v>110</v>
      </c>
      <c r="C4659" t="str">
        <f t="shared" si="223"/>
        <v>ffdfd3c0</v>
      </c>
      <c r="D4659" t="s">
        <v>111</v>
      </c>
      <c r="E4659">
        <v>18</v>
      </c>
      <c r="F4659">
        <v>1018</v>
      </c>
      <c r="G4659" t="s">
        <v>112</v>
      </c>
      <c r="J4659" t="s">
        <v>113</v>
      </c>
      <c r="K4659">
        <v>0</v>
      </c>
      <c r="L4659">
        <v>3</v>
      </c>
      <c r="M4659">
        <v>0</v>
      </c>
      <c r="N4659">
        <v>2</v>
      </c>
      <c r="O4659">
        <v>1</v>
      </c>
      <c r="P4659">
        <v>0</v>
      </c>
      <c r="Q4659">
        <v>0</v>
      </c>
      <c r="R4659" t="s">
        <v>114</v>
      </c>
      <c r="S4659" t="str">
        <f>"19:54:57.617"</f>
        <v>19:54:57.617</v>
      </c>
      <c r="T4659" t="str">
        <f>"19:54:57.516"</f>
        <v>19:54:57.516</v>
      </c>
      <c r="U4659" t="str">
        <f t="shared" si="221"/>
        <v>a1cdbe</v>
      </c>
      <c r="V4659">
        <v>0</v>
      </c>
      <c r="W4659">
        <v>0</v>
      </c>
      <c r="X4659">
        <v>2</v>
      </c>
      <c r="Y4659">
        <v>0</v>
      </c>
      <c r="Z4659">
        <v>0</v>
      </c>
      <c r="AB4659">
        <v>0</v>
      </c>
      <c r="AC4659">
        <v>9</v>
      </c>
      <c r="AD4659">
        <v>3</v>
      </c>
      <c r="AE4659">
        <v>0</v>
      </c>
      <c r="AF4659">
        <v>9</v>
      </c>
      <c r="AG4659" t="s">
        <v>115</v>
      </c>
      <c r="AH4659">
        <v>0</v>
      </c>
      <c r="AI4659">
        <v>0</v>
      </c>
      <c r="AJ4659">
        <v>1</v>
      </c>
      <c r="AK4659">
        <v>0</v>
      </c>
      <c r="AL4659" t="s">
        <v>8323</v>
      </c>
      <c r="AM4659">
        <v>47.073304999999998</v>
      </c>
      <c r="AN4659" t="s">
        <v>8324</v>
      </c>
      <c r="AO4659">
        <v>-124.11021</v>
      </c>
      <c r="AP4659">
        <v>100</v>
      </c>
      <c r="AQ4659">
        <v>200</v>
      </c>
      <c r="AR4659" t="s">
        <v>118</v>
      </c>
      <c r="AS4659">
        <v>48</v>
      </c>
      <c r="AT4659">
        <v>-23</v>
      </c>
      <c r="AU4659">
        <v>-512</v>
      </c>
      <c r="BC4659">
        <v>1200</v>
      </c>
      <c r="BD4659">
        <v>1</v>
      </c>
      <c r="BE4659" t="str">
        <f t="shared" si="222"/>
        <v xml:space="preserve">N215T   </v>
      </c>
      <c r="BF4659">
        <v>1</v>
      </c>
      <c r="BH4659">
        <v>0</v>
      </c>
      <c r="BI4659">
        <v>0</v>
      </c>
      <c r="BJ4659">
        <v>0</v>
      </c>
      <c r="BK4659">
        <v>575</v>
      </c>
      <c r="BL4659">
        <v>375</v>
      </c>
      <c r="BM4659" t="s">
        <v>119</v>
      </c>
      <c r="BN4659">
        <v>1</v>
      </c>
      <c r="BO4659">
        <v>1</v>
      </c>
      <c r="BP4659">
        <v>1</v>
      </c>
      <c r="BQ4659">
        <v>0</v>
      </c>
      <c r="BT4659">
        <v>0</v>
      </c>
      <c r="BU4659">
        <v>0</v>
      </c>
      <c r="BV4659">
        <v>0</v>
      </c>
      <c r="CC4659" t="str">
        <f>"19:54:57.617"</f>
        <v>19:54:57.617</v>
      </c>
      <c r="CD4659" t="str">
        <f>"619430787"</f>
        <v>619430787</v>
      </c>
      <c r="CQ4659">
        <v>0</v>
      </c>
      <c r="CR4659">
        <v>2</v>
      </c>
      <c r="CS4659">
        <v>0</v>
      </c>
      <c r="CT4659">
        <v>2</v>
      </c>
      <c r="CU4659">
        <v>0</v>
      </c>
      <c r="CV4659">
        <v>5</v>
      </c>
      <c r="CW4659" t="s">
        <v>120</v>
      </c>
      <c r="CX4659">
        <v>257</v>
      </c>
      <c r="CY4659">
        <v>0</v>
      </c>
      <c r="CZ4659" t="s">
        <v>615</v>
      </c>
      <c r="DA4659" t="s">
        <v>616</v>
      </c>
      <c r="DD4659">
        <v>114804</v>
      </c>
      <c r="DE4659" t="s">
        <v>123</v>
      </c>
    </row>
    <row r="4660" spans="1:109" x14ac:dyDescent="0.3">
      <c r="A4660" t="str">
        <f>"19:54:58.922"</f>
        <v>19:54:58.922</v>
      </c>
      <c r="B4660" t="s">
        <v>110</v>
      </c>
      <c r="C4660" t="str">
        <f t="shared" si="223"/>
        <v>ffdfd3c0</v>
      </c>
      <c r="D4660" t="s">
        <v>111</v>
      </c>
      <c r="E4660">
        <v>18</v>
      </c>
      <c r="F4660">
        <v>1018</v>
      </c>
      <c r="G4660" t="s">
        <v>112</v>
      </c>
      <c r="J4660" t="s">
        <v>113</v>
      </c>
      <c r="K4660">
        <v>0</v>
      </c>
      <c r="L4660">
        <v>3</v>
      </c>
      <c r="M4660">
        <v>0</v>
      </c>
      <c r="N4660">
        <v>2</v>
      </c>
      <c r="O4660">
        <v>1</v>
      </c>
      <c r="P4660">
        <v>0</v>
      </c>
      <c r="Q4660">
        <v>0</v>
      </c>
      <c r="R4660" t="s">
        <v>114</v>
      </c>
      <c r="S4660" t="str">
        <f>"19:54:58.648"</f>
        <v>19:54:58.648</v>
      </c>
      <c r="T4660" t="str">
        <f>"19:54:58.352"</f>
        <v>19:54:58.352</v>
      </c>
      <c r="U4660" t="str">
        <f t="shared" si="221"/>
        <v>a1cdbe</v>
      </c>
      <c r="V4660">
        <v>0</v>
      </c>
      <c r="W4660">
        <v>0</v>
      </c>
      <c r="X4660">
        <v>2</v>
      </c>
      <c r="Y4660">
        <v>0</v>
      </c>
      <c r="Z4660">
        <v>0</v>
      </c>
      <c r="AB4660">
        <v>0</v>
      </c>
      <c r="AC4660">
        <v>9</v>
      </c>
      <c r="AD4660">
        <v>3</v>
      </c>
      <c r="AE4660">
        <v>0</v>
      </c>
      <c r="AF4660">
        <v>9</v>
      </c>
      <c r="AG4660" t="s">
        <v>115</v>
      </c>
      <c r="AH4660">
        <v>0</v>
      </c>
      <c r="AI4660">
        <v>0</v>
      </c>
      <c r="AJ4660">
        <v>1</v>
      </c>
      <c r="AK4660">
        <v>0</v>
      </c>
      <c r="AL4660" t="s">
        <v>8212</v>
      </c>
      <c r="AM4660">
        <v>47.073197</v>
      </c>
      <c r="AN4660" t="s">
        <v>8325</v>
      </c>
      <c r="AO4660">
        <v>-124.10986699999999</v>
      </c>
      <c r="AP4660">
        <v>100</v>
      </c>
      <c r="AQ4660">
        <v>200</v>
      </c>
      <c r="AR4660" t="s">
        <v>118</v>
      </c>
      <c r="AS4660">
        <v>48</v>
      </c>
      <c r="AT4660">
        <v>-23</v>
      </c>
      <c r="AU4660">
        <v>-576</v>
      </c>
      <c r="BC4660">
        <v>1200</v>
      </c>
      <c r="BD4660">
        <v>1</v>
      </c>
      <c r="BE4660" t="str">
        <f t="shared" si="222"/>
        <v xml:space="preserve">N215T   </v>
      </c>
      <c r="BF4660">
        <v>1</v>
      </c>
      <c r="BH4660">
        <v>0</v>
      </c>
      <c r="BI4660">
        <v>0</v>
      </c>
      <c r="BJ4660">
        <v>0</v>
      </c>
      <c r="BK4660">
        <v>575</v>
      </c>
      <c r="BL4660">
        <v>375</v>
      </c>
      <c r="BM4660" t="s">
        <v>119</v>
      </c>
      <c r="BN4660">
        <v>1</v>
      </c>
      <c r="BO4660">
        <v>1</v>
      </c>
      <c r="BP4660">
        <v>1</v>
      </c>
      <c r="BQ4660">
        <v>0</v>
      </c>
      <c r="BT4660">
        <v>0</v>
      </c>
      <c r="BU4660">
        <v>0</v>
      </c>
      <c r="BV4660">
        <v>0</v>
      </c>
      <c r="CC4660" t="str">
        <f>"19:54:58.656"</f>
        <v>19:54:58.656</v>
      </c>
      <c r="CD4660" t="str">
        <f>"654328723"</f>
        <v>654328723</v>
      </c>
      <c r="CQ4660">
        <v>0</v>
      </c>
      <c r="CR4660">
        <v>2</v>
      </c>
      <c r="CS4660">
        <v>0</v>
      </c>
      <c r="CT4660">
        <v>2</v>
      </c>
      <c r="CU4660">
        <v>0</v>
      </c>
      <c r="CV4660">
        <v>6</v>
      </c>
      <c r="CW4660" t="s">
        <v>120</v>
      </c>
      <c r="CX4660">
        <v>257</v>
      </c>
      <c r="CY4660">
        <v>0</v>
      </c>
      <c r="CZ4660" t="s">
        <v>615</v>
      </c>
      <c r="DA4660" t="s">
        <v>616</v>
      </c>
      <c r="DD4660">
        <v>115153</v>
      </c>
      <c r="DE4660" t="s">
        <v>123</v>
      </c>
    </row>
    <row r="4661" spans="1:109" x14ac:dyDescent="0.3">
      <c r="A4661" t="str">
        <f>"19:55:00.031"</f>
        <v>19:55:00.031</v>
      </c>
      <c r="B4661" t="s">
        <v>110</v>
      </c>
      <c r="C4661" t="str">
        <f t="shared" si="223"/>
        <v>ffdfd3c0</v>
      </c>
      <c r="D4661" t="s">
        <v>111</v>
      </c>
      <c r="E4661">
        <v>18</v>
      </c>
      <c r="F4661">
        <v>1018</v>
      </c>
      <c r="G4661" t="s">
        <v>112</v>
      </c>
      <c r="J4661" t="s">
        <v>113</v>
      </c>
      <c r="K4661">
        <v>0</v>
      </c>
      <c r="L4661">
        <v>3</v>
      </c>
      <c r="M4661">
        <v>0</v>
      </c>
      <c r="N4661">
        <v>2</v>
      </c>
      <c r="O4661">
        <v>1</v>
      </c>
      <c r="P4661">
        <v>0</v>
      </c>
      <c r="Q4661">
        <v>0</v>
      </c>
      <c r="R4661" t="s">
        <v>114</v>
      </c>
      <c r="S4661" t="str">
        <f>"19:54:59.820"</f>
        <v>19:54:59.820</v>
      </c>
      <c r="T4661" t="str">
        <f>"19:54:59.719"</f>
        <v>19:54:59.719</v>
      </c>
      <c r="U4661" t="str">
        <f t="shared" si="221"/>
        <v>a1cdbe</v>
      </c>
      <c r="V4661">
        <v>0</v>
      </c>
      <c r="W4661">
        <v>0</v>
      </c>
      <c r="X4661">
        <v>2</v>
      </c>
      <c r="Y4661">
        <v>0</v>
      </c>
      <c r="Z4661">
        <v>0</v>
      </c>
      <c r="AB4661">
        <v>0</v>
      </c>
      <c r="AC4661">
        <v>9</v>
      </c>
      <c r="AD4661">
        <v>3</v>
      </c>
      <c r="AE4661">
        <v>0</v>
      </c>
      <c r="AF4661">
        <v>9</v>
      </c>
      <c r="AG4661" t="s">
        <v>115</v>
      </c>
      <c r="AH4661">
        <v>0</v>
      </c>
      <c r="AI4661">
        <v>0</v>
      </c>
      <c r="AJ4661">
        <v>1</v>
      </c>
      <c r="AK4661">
        <v>0</v>
      </c>
      <c r="AL4661" t="s">
        <v>8326</v>
      </c>
      <c r="AM4661">
        <v>47.073068999999997</v>
      </c>
      <c r="AN4661" t="s">
        <v>8121</v>
      </c>
      <c r="AO4661">
        <v>-124.109459</v>
      </c>
      <c r="AP4661">
        <v>100</v>
      </c>
      <c r="AQ4661">
        <v>200</v>
      </c>
      <c r="AR4661" t="s">
        <v>118</v>
      </c>
      <c r="AS4661">
        <v>48</v>
      </c>
      <c r="AT4661">
        <v>-23</v>
      </c>
      <c r="AU4661">
        <v>-704</v>
      </c>
      <c r="BC4661">
        <v>1200</v>
      </c>
      <c r="BD4661">
        <v>1</v>
      </c>
      <c r="BE4661" t="str">
        <f t="shared" si="222"/>
        <v xml:space="preserve">N215T   </v>
      </c>
      <c r="BF4661">
        <v>1</v>
      </c>
      <c r="BH4661">
        <v>0</v>
      </c>
      <c r="BI4661">
        <v>0</v>
      </c>
      <c r="BJ4661">
        <v>0</v>
      </c>
      <c r="BK4661">
        <v>550</v>
      </c>
      <c r="BL4661">
        <v>350</v>
      </c>
      <c r="BM4661" t="s">
        <v>119</v>
      </c>
      <c r="BN4661">
        <v>1</v>
      </c>
      <c r="BO4661">
        <v>1</v>
      </c>
      <c r="BP4661">
        <v>1</v>
      </c>
      <c r="BQ4661">
        <v>0</v>
      </c>
      <c r="BT4661">
        <v>0</v>
      </c>
      <c r="BU4661">
        <v>0</v>
      </c>
      <c r="BV4661">
        <v>0</v>
      </c>
      <c r="CC4661" t="str">
        <f>"19:54:59.820"</f>
        <v>19:54:59.820</v>
      </c>
      <c r="CD4661" t="str">
        <f>"824213368"</f>
        <v>824213368</v>
      </c>
      <c r="CQ4661">
        <v>0</v>
      </c>
      <c r="CR4661">
        <v>2</v>
      </c>
      <c r="CS4661">
        <v>0</v>
      </c>
      <c r="CT4661">
        <v>2</v>
      </c>
      <c r="CU4661">
        <v>0</v>
      </c>
      <c r="CV4661">
        <v>6</v>
      </c>
      <c r="CW4661" t="s">
        <v>120</v>
      </c>
      <c r="CX4661">
        <v>257</v>
      </c>
      <c r="CY4661">
        <v>0</v>
      </c>
      <c r="CZ4661" t="s">
        <v>615</v>
      </c>
      <c r="DA4661" t="s">
        <v>616</v>
      </c>
      <c r="DD4661">
        <v>115629</v>
      </c>
      <c r="DE4661" t="s">
        <v>123</v>
      </c>
    </row>
    <row r="4662" spans="1:109" x14ac:dyDescent="0.3">
      <c r="A4662" t="str">
        <f>"19:55:01.031"</f>
        <v>19:55:01.031</v>
      </c>
      <c r="B4662" t="s">
        <v>110</v>
      </c>
      <c r="C4662" t="str">
        <f t="shared" si="223"/>
        <v>ffdfd3c0</v>
      </c>
      <c r="D4662" t="s">
        <v>111</v>
      </c>
      <c r="E4662">
        <v>18</v>
      </c>
      <c r="F4662">
        <v>1018</v>
      </c>
      <c r="G4662" t="s">
        <v>112</v>
      </c>
      <c r="J4662" t="s">
        <v>113</v>
      </c>
      <c r="K4662">
        <v>0</v>
      </c>
      <c r="L4662">
        <v>3</v>
      </c>
      <c r="M4662">
        <v>0</v>
      </c>
      <c r="N4662">
        <v>2</v>
      </c>
      <c r="O4662">
        <v>1</v>
      </c>
      <c r="P4662">
        <v>0</v>
      </c>
      <c r="Q4662">
        <v>0</v>
      </c>
      <c r="R4662" t="s">
        <v>114</v>
      </c>
      <c r="S4662" t="str">
        <f>"19:55:00.828"</f>
        <v>19:55:00.828</v>
      </c>
      <c r="T4662" t="str">
        <f>"19:55:00.828"</f>
        <v>19:55:00.828</v>
      </c>
      <c r="U4662" t="str">
        <f t="shared" si="221"/>
        <v>a1cdbe</v>
      </c>
      <c r="V4662">
        <v>0</v>
      </c>
      <c r="W4662">
        <v>0</v>
      </c>
      <c r="X4662">
        <v>2</v>
      </c>
      <c r="Y4662">
        <v>0</v>
      </c>
      <c r="Z4662">
        <v>0</v>
      </c>
      <c r="AB4662">
        <v>0</v>
      </c>
      <c r="AC4662">
        <v>9</v>
      </c>
      <c r="AD4662">
        <v>3</v>
      </c>
      <c r="AE4662">
        <v>0</v>
      </c>
      <c r="AF4662">
        <v>9</v>
      </c>
      <c r="AG4662" t="s">
        <v>115</v>
      </c>
      <c r="AH4662">
        <v>0</v>
      </c>
      <c r="AI4662">
        <v>0</v>
      </c>
      <c r="AJ4662">
        <v>1</v>
      </c>
      <c r="AK4662">
        <v>0</v>
      </c>
      <c r="AL4662" t="s">
        <v>8327</v>
      </c>
      <c r="AM4662">
        <v>47.072983000000001</v>
      </c>
      <c r="AN4662" t="s">
        <v>8328</v>
      </c>
      <c r="AO4662">
        <v>-124.10917999999999</v>
      </c>
      <c r="AP4662">
        <v>100</v>
      </c>
      <c r="AQ4662">
        <v>100</v>
      </c>
      <c r="AR4662" t="s">
        <v>118</v>
      </c>
      <c r="AS4662">
        <v>48</v>
      </c>
      <c r="AT4662">
        <v>-23</v>
      </c>
      <c r="AU4662">
        <v>-768</v>
      </c>
      <c r="BC4662">
        <v>1200</v>
      </c>
      <c r="BD4662">
        <v>1</v>
      </c>
      <c r="BE4662" t="str">
        <f t="shared" si="222"/>
        <v xml:space="preserve">N215T   </v>
      </c>
      <c r="BF4662">
        <v>1</v>
      </c>
      <c r="BH4662">
        <v>0</v>
      </c>
      <c r="BI4662">
        <v>0</v>
      </c>
      <c r="BJ4662">
        <v>0</v>
      </c>
      <c r="BK4662">
        <v>550</v>
      </c>
      <c r="BL4662">
        <v>450</v>
      </c>
      <c r="BM4662" t="s">
        <v>119</v>
      </c>
      <c r="BN4662">
        <v>1</v>
      </c>
      <c r="BO4662">
        <v>1</v>
      </c>
      <c r="BP4662">
        <v>1</v>
      </c>
      <c r="BQ4662">
        <v>0</v>
      </c>
      <c r="BT4662">
        <v>0</v>
      </c>
      <c r="BU4662">
        <v>0</v>
      </c>
      <c r="BV4662">
        <v>0</v>
      </c>
      <c r="CC4662" t="str">
        <f>"19:55:00.828"</f>
        <v>19:55:00.828</v>
      </c>
      <c r="CD4662" t="str">
        <f>"829114242"</f>
        <v>829114242</v>
      </c>
      <c r="CQ4662">
        <v>0</v>
      </c>
      <c r="CR4662">
        <v>2</v>
      </c>
      <c r="CS4662">
        <v>0</v>
      </c>
      <c r="CT4662">
        <v>2</v>
      </c>
      <c r="CU4662">
        <v>0</v>
      </c>
      <c r="CV4662">
        <v>5</v>
      </c>
      <c r="CW4662" t="s">
        <v>120</v>
      </c>
      <c r="CX4662">
        <v>257</v>
      </c>
      <c r="CY4662">
        <v>0</v>
      </c>
      <c r="CZ4662" t="s">
        <v>615</v>
      </c>
      <c r="DA4662" t="s">
        <v>616</v>
      </c>
      <c r="DD4662">
        <v>116011</v>
      </c>
      <c r="DE4662" t="s">
        <v>123</v>
      </c>
    </row>
    <row r="4663" spans="1:109" x14ac:dyDescent="0.3">
      <c r="A4663" t="str">
        <f>"19:55:02.188"</f>
        <v>19:55:02.188</v>
      </c>
      <c r="B4663" t="s">
        <v>110</v>
      </c>
      <c r="C4663" t="str">
        <f t="shared" si="223"/>
        <v>ffdfd3c0</v>
      </c>
      <c r="D4663" t="s">
        <v>111</v>
      </c>
      <c r="E4663">
        <v>18</v>
      </c>
      <c r="F4663">
        <v>1018</v>
      </c>
      <c r="G4663" t="s">
        <v>112</v>
      </c>
      <c r="J4663" t="s">
        <v>113</v>
      </c>
      <c r="K4663">
        <v>0</v>
      </c>
      <c r="L4663">
        <v>3</v>
      </c>
      <c r="M4663">
        <v>0</v>
      </c>
      <c r="N4663">
        <v>2</v>
      </c>
      <c r="O4663">
        <v>1</v>
      </c>
      <c r="P4663">
        <v>0</v>
      </c>
      <c r="Q4663">
        <v>0</v>
      </c>
      <c r="R4663" t="s">
        <v>114</v>
      </c>
      <c r="S4663" t="str">
        <f>"19:55:01.906"</f>
        <v>19:55:01.906</v>
      </c>
      <c r="T4663" t="str">
        <f>"19:55:01.805"</f>
        <v>19:55:01.805</v>
      </c>
      <c r="U4663" t="str">
        <f t="shared" si="221"/>
        <v>a1cdbe</v>
      </c>
      <c r="V4663">
        <v>0</v>
      </c>
      <c r="W4663">
        <v>0</v>
      </c>
      <c r="X4663">
        <v>2</v>
      </c>
      <c r="Y4663">
        <v>0</v>
      </c>
      <c r="Z4663">
        <v>0</v>
      </c>
      <c r="AB4663">
        <v>0</v>
      </c>
      <c r="AC4663">
        <v>9</v>
      </c>
      <c r="AD4663">
        <v>3</v>
      </c>
      <c r="AE4663">
        <v>0</v>
      </c>
      <c r="AF4663">
        <v>9</v>
      </c>
      <c r="AG4663" t="s">
        <v>115</v>
      </c>
      <c r="AH4663">
        <v>0</v>
      </c>
      <c r="AI4663">
        <v>0</v>
      </c>
      <c r="AJ4663">
        <v>1</v>
      </c>
      <c r="AK4663">
        <v>0</v>
      </c>
      <c r="AL4663" t="s">
        <v>8329</v>
      </c>
      <c r="AM4663">
        <v>47.072833000000003</v>
      </c>
      <c r="AN4663" t="s">
        <v>8330</v>
      </c>
      <c r="AO4663">
        <v>-124.10881500000001</v>
      </c>
      <c r="AP4663">
        <v>100</v>
      </c>
      <c r="AQ4663">
        <v>100</v>
      </c>
      <c r="AR4663" t="s">
        <v>118</v>
      </c>
      <c r="AS4663">
        <v>48</v>
      </c>
      <c r="AT4663">
        <v>-26</v>
      </c>
      <c r="AU4663">
        <v>-512</v>
      </c>
      <c r="BC4663">
        <v>1200</v>
      </c>
      <c r="BD4663">
        <v>1</v>
      </c>
      <c r="BE4663" t="str">
        <f t="shared" si="222"/>
        <v xml:space="preserve">N215T   </v>
      </c>
      <c r="BF4663">
        <v>1</v>
      </c>
      <c r="BH4663">
        <v>0</v>
      </c>
      <c r="BI4663">
        <v>0</v>
      </c>
      <c r="BJ4663">
        <v>0</v>
      </c>
      <c r="BK4663">
        <v>525</v>
      </c>
      <c r="BL4663">
        <v>425</v>
      </c>
      <c r="BM4663" t="s">
        <v>119</v>
      </c>
      <c r="BN4663">
        <v>1</v>
      </c>
      <c r="BO4663">
        <v>1</v>
      </c>
      <c r="BP4663">
        <v>1</v>
      </c>
      <c r="BQ4663">
        <v>0</v>
      </c>
      <c r="BT4663">
        <v>0</v>
      </c>
      <c r="BU4663">
        <v>0</v>
      </c>
      <c r="BV4663">
        <v>0</v>
      </c>
      <c r="CC4663" t="str">
        <f>"19:55:01.906"</f>
        <v>19:55:01.906</v>
      </c>
      <c r="CD4663" t="str">
        <f>"909007739"</f>
        <v>909007739</v>
      </c>
      <c r="CQ4663">
        <v>0</v>
      </c>
      <c r="CR4663">
        <v>2</v>
      </c>
      <c r="CS4663">
        <v>0</v>
      </c>
      <c r="CT4663">
        <v>2</v>
      </c>
      <c r="CU4663">
        <v>0</v>
      </c>
      <c r="CV4663">
        <v>6</v>
      </c>
      <c r="CW4663" t="s">
        <v>120</v>
      </c>
      <c r="CX4663">
        <v>257</v>
      </c>
      <c r="CY4663">
        <v>0</v>
      </c>
      <c r="CZ4663" t="s">
        <v>615</v>
      </c>
      <c r="DA4663" t="s">
        <v>616</v>
      </c>
      <c r="DD4663">
        <v>116432</v>
      </c>
      <c r="DE4663" t="s">
        <v>123</v>
      </c>
    </row>
    <row r="4664" spans="1:109" x14ac:dyDescent="0.3">
      <c r="A4664" t="str">
        <f>"19:55:03.094"</f>
        <v>19:55:03.094</v>
      </c>
      <c r="B4664" t="s">
        <v>110</v>
      </c>
      <c r="C4664" t="str">
        <f t="shared" si="223"/>
        <v>ffdfd3c0</v>
      </c>
      <c r="D4664" t="s">
        <v>111</v>
      </c>
      <c r="E4664">
        <v>18</v>
      </c>
      <c r="F4664">
        <v>1018</v>
      </c>
      <c r="G4664" t="s">
        <v>112</v>
      </c>
      <c r="J4664" t="s">
        <v>113</v>
      </c>
      <c r="K4664">
        <v>0</v>
      </c>
      <c r="L4664">
        <v>3</v>
      </c>
      <c r="M4664">
        <v>0</v>
      </c>
      <c r="N4664">
        <v>2</v>
      </c>
      <c r="O4664">
        <v>1</v>
      </c>
      <c r="P4664">
        <v>0</v>
      </c>
      <c r="Q4664">
        <v>0</v>
      </c>
      <c r="R4664" t="s">
        <v>114</v>
      </c>
      <c r="S4664" t="str">
        <f>"19:55:02.852"</f>
        <v>19:55:02.852</v>
      </c>
      <c r="T4664" t="str">
        <f>"19:55:02.352"</f>
        <v>19:55:02.352</v>
      </c>
      <c r="U4664" t="str">
        <f t="shared" si="221"/>
        <v>a1cdbe</v>
      </c>
      <c r="V4664">
        <v>0</v>
      </c>
      <c r="W4664">
        <v>0</v>
      </c>
      <c r="X4664">
        <v>2</v>
      </c>
      <c r="Y4664">
        <v>0</v>
      </c>
      <c r="Z4664">
        <v>0</v>
      </c>
      <c r="AB4664">
        <v>0</v>
      </c>
      <c r="AC4664">
        <v>9</v>
      </c>
      <c r="AD4664">
        <v>3</v>
      </c>
      <c r="AE4664">
        <v>0</v>
      </c>
      <c r="AF4664">
        <v>9</v>
      </c>
      <c r="AG4664" t="s">
        <v>115</v>
      </c>
      <c r="AH4664">
        <v>0</v>
      </c>
      <c r="AI4664">
        <v>0</v>
      </c>
      <c r="AJ4664">
        <v>1</v>
      </c>
      <c r="AK4664">
        <v>0</v>
      </c>
      <c r="AL4664" t="s">
        <v>8331</v>
      </c>
      <c r="AM4664">
        <v>47.072704000000002</v>
      </c>
      <c r="AN4664" t="s">
        <v>8332</v>
      </c>
      <c r="AO4664">
        <v>-124.108493</v>
      </c>
      <c r="AP4664">
        <v>100</v>
      </c>
      <c r="AQ4664">
        <v>100</v>
      </c>
      <c r="AR4664" t="s">
        <v>118</v>
      </c>
      <c r="AS4664">
        <v>47</v>
      </c>
      <c r="AT4664">
        <v>-27</v>
      </c>
      <c r="AU4664">
        <v>-448</v>
      </c>
      <c r="BC4664">
        <v>1200</v>
      </c>
      <c r="BD4664">
        <v>1</v>
      </c>
      <c r="BE4664" t="str">
        <f t="shared" si="222"/>
        <v xml:space="preserve">N215T   </v>
      </c>
      <c r="BF4664">
        <v>1</v>
      </c>
      <c r="BH4664">
        <v>0</v>
      </c>
      <c r="BI4664">
        <v>0</v>
      </c>
      <c r="BJ4664">
        <v>0</v>
      </c>
      <c r="BK4664">
        <v>525</v>
      </c>
      <c r="BL4664">
        <v>425</v>
      </c>
      <c r="BM4664" t="s">
        <v>119</v>
      </c>
      <c r="BN4664">
        <v>1</v>
      </c>
      <c r="BO4664">
        <v>1</v>
      </c>
      <c r="BP4664">
        <v>1</v>
      </c>
      <c r="BQ4664">
        <v>0</v>
      </c>
      <c r="BT4664">
        <v>0</v>
      </c>
      <c r="BU4664">
        <v>0</v>
      </c>
      <c r="BV4664">
        <v>0</v>
      </c>
      <c r="CC4664" t="str">
        <f>"19:55:02.852"</f>
        <v>19:55:02.852</v>
      </c>
      <c r="CD4664" t="str">
        <f>"853914542"</f>
        <v>853914542</v>
      </c>
      <c r="CQ4664">
        <v>0</v>
      </c>
      <c r="CR4664">
        <v>2</v>
      </c>
      <c r="CS4664">
        <v>0</v>
      </c>
      <c r="CT4664">
        <v>2</v>
      </c>
      <c r="CU4664">
        <v>0</v>
      </c>
      <c r="CV4664">
        <v>6</v>
      </c>
      <c r="CW4664" t="s">
        <v>120</v>
      </c>
      <c r="CX4664">
        <v>257</v>
      </c>
      <c r="CY4664">
        <v>0</v>
      </c>
      <c r="CZ4664" t="s">
        <v>615</v>
      </c>
      <c r="DA4664" t="s">
        <v>616</v>
      </c>
      <c r="DD4664">
        <v>116768</v>
      </c>
      <c r="DE4664" t="s">
        <v>123</v>
      </c>
    </row>
    <row r="4665" spans="1:109" x14ac:dyDescent="0.3">
      <c r="A4665" t="str">
        <f>"19:55:04.055"</f>
        <v>19:55:04.055</v>
      </c>
      <c r="B4665" t="s">
        <v>110</v>
      </c>
      <c r="C4665" t="str">
        <f t="shared" si="223"/>
        <v>ffdfd3c0</v>
      </c>
      <c r="D4665" t="s">
        <v>111</v>
      </c>
      <c r="E4665">
        <v>18</v>
      </c>
      <c r="F4665">
        <v>1018</v>
      </c>
      <c r="G4665" t="s">
        <v>112</v>
      </c>
      <c r="J4665" t="s">
        <v>113</v>
      </c>
      <c r="K4665">
        <v>0</v>
      </c>
      <c r="L4665">
        <v>3</v>
      </c>
      <c r="M4665">
        <v>0</v>
      </c>
      <c r="N4665">
        <v>2</v>
      </c>
      <c r="O4665">
        <v>1</v>
      </c>
      <c r="P4665">
        <v>0</v>
      </c>
      <c r="Q4665">
        <v>0</v>
      </c>
      <c r="R4665" t="s">
        <v>114</v>
      </c>
      <c r="S4665" t="str">
        <f>"19:55:03.797"</f>
        <v>19:55:03.797</v>
      </c>
      <c r="T4665" t="str">
        <f>"19:55:03.500"</f>
        <v>19:55:03.500</v>
      </c>
      <c r="U4665" t="str">
        <f t="shared" si="221"/>
        <v>a1cdbe</v>
      </c>
      <c r="V4665">
        <v>0</v>
      </c>
      <c r="W4665">
        <v>0</v>
      </c>
      <c r="X4665">
        <v>2</v>
      </c>
      <c r="Y4665">
        <v>0</v>
      </c>
      <c r="Z4665">
        <v>0</v>
      </c>
      <c r="AB4665">
        <v>0</v>
      </c>
      <c r="AC4665">
        <v>9</v>
      </c>
      <c r="AD4665">
        <v>3</v>
      </c>
      <c r="AE4665">
        <v>0</v>
      </c>
      <c r="AF4665">
        <v>9</v>
      </c>
      <c r="AG4665" t="s">
        <v>115</v>
      </c>
      <c r="AH4665">
        <v>0</v>
      </c>
      <c r="AI4665">
        <v>0</v>
      </c>
      <c r="AJ4665">
        <v>1</v>
      </c>
      <c r="AK4665">
        <v>0</v>
      </c>
      <c r="AL4665" t="s">
        <v>8333</v>
      </c>
      <c r="AM4665">
        <v>47.072597000000002</v>
      </c>
      <c r="AN4665" t="s">
        <v>8334</v>
      </c>
      <c r="AO4665">
        <v>-124.108193</v>
      </c>
      <c r="AP4665">
        <v>100</v>
      </c>
      <c r="AQ4665">
        <v>100</v>
      </c>
      <c r="AR4665" t="s">
        <v>118</v>
      </c>
      <c r="AS4665">
        <v>47</v>
      </c>
      <c r="AT4665">
        <v>-28</v>
      </c>
      <c r="AU4665">
        <v>-256</v>
      </c>
      <c r="BC4665">
        <v>1200</v>
      </c>
      <c r="BD4665">
        <v>1</v>
      </c>
      <c r="BE4665" t="str">
        <f t="shared" si="222"/>
        <v xml:space="preserve">N215T   </v>
      </c>
      <c r="BF4665">
        <v>1</v>
      </c>
      <c r="BH4665">
        <v>0</v>
      </c>
      <c r="BI4665">
        <v>0</v>
      </c>
      <c r="BJ4665">
        <v>0</v>
      </c>
      <c r="BK4665">
        <v>525</v>
      </c>
      <c r="BL4665">
        <v>425</v>
      </c>
      <c r="BM4665" t="s">
        <v>119</v>
      </c>
      <c r="BN4665">
        <v>1</v>
      </c>
      <c r="BO4665">
        <v>1</v>
      </c>
      <c r="BP4665">
        <v>1</v>
      </c>
      <c r="BQ4665">
        <v>0</v>
      </c>
      <c r="BT4665">
        <v>0</v>
      </c>
      <c r="BU4665">
        <v>0</v>
      </c>
      <c r="BV4665">
        <v>0</v>
      </c>
      <c r="CC4665" t="str">
        <f>"19:55:03.797"</f>
        <v>19:55:03.797</v>
      </c>
      <c r="CD4665" t="str">
        <f>"798821337"</f>
        <v>798821337</v>
      </c>
      <c r="CQ4665">
        <v>0</v>
      </c>
      <c r="CR4665">
        <v>2</v>
      </c>
      <c r="CS4665">
        <v>0</v>
      </c>
      <c r="CT4665">
        <v>2</v>
      </c>
      <c r="CU4665">
        <v>0</v>
      </c>
      <c r="CV4665">
        <v>5</v>
      </c>
      <c r="CW4665" t="s">
        <v>120</v>
      </c>
      <c r="CX4665">
        <v>257</v>
      </c>
      <c r="CY4665">
        <v>0</v>
      </c>
      <c r="CZ4665" t="s">
        <v>615</v>
      </c>
      <c r="DA4665" t="s">
        <v>616</v>
      </c>
      <c r="DD4665">
        <v>117105</v>
      </c>
      <c r="DE4665" t="s">
        <v>123</v>
      </c>
    </row>
    <row r="4666" spans="1:109" x14ac:dyDescent="0.3">
      <c r="A4666" t="str">
        <f>"19:55:04.961"</f>
        <v>19:55:04.961</v>
      </c>
      <c r="B4666" t="s">
        <v>110</v>
      </c>
      <c r="C4666" t="str">
        <f t="shared" si="223"/>
        <v>ffdfd3c0</v>
      </c>
      <c r="D4666" t="s">
        <v>111</v>
      </c>
      <c r="E4666">
        <v>18</v>
      </c>
      <c r="F4666">
        <v>1018</v>
      </c>
      <c r="G4666" t="s">
        <v>112</v>
      </c>
      <c r="J4666" t="s">
        <v>113</v>
      </c>
      <c r="K4666">
        <v>0</v>
      </c>
      <c r="L4666">
        <v>3</v>
      </c>
      <c r="M4666">
        <v>0</v>
      </c>
      <c r="N4666">
        <v>2</v>
      </c>
      <c r="O4666">
        <v>1</v>
      </c>
      <c r="P4666">
        <v>0</v>
      </c>
      <c r="Q4666">
        <v>0</v>
      </c>
      <c r="R4666" t="s">
        <v>114</v>
      </c>
      <c r="S4666" t="str">
        <f>"19:55:04.758"</f>
        <v>19:55:04.758</v>
      </c>
      <c r="T4666" t="str">
        <f>"19:55:04.359"</f>
        <v>19:55:04.359</v>
      </c>
      <c r="U4666" t="str">
        <f t="shared" si="221"/>
        <v>a1cdbe</v>
      </c>
      <c r="V4666">
        <v>0</v>
      </c>
      <c r="W4666">
        <v>0</v>
      </c>
      <c r="X4666">
        <v>2</v>
      </c>
      <c r="Y4666">
        <v>0</v>
      </c>
      <c r="Z4666">
        <v>0</v>
      </c>
      <c r="AB4666">
        <v>0</v>
      </c>
      <c r="AC4666">
        <v>9</v>
      </c>
      <c r="AD4666">
        <v>3</v>
      </c>
      <c r="AE4666">
        <v>0</v>
      </c>
      <c r="AF4666">
        <v>9</v>
      </c>
      <c r="AG4666" t="s">
        <v>115</v>
      </c>
      <c r="AH4666">
        <v>0</v>
      </c>
      <c r="AI4666">
        <v>0</v>
      </c>
      <c r="AJ4666">
        <v>1</v>
      </c>
      <c r="AK4666">
        <v>0</v>
      </c>
      <c r="AL4666" t="s">
        <v>8335</v>
      </c>
      <c r="AM4666">
        <v>47.072468000000001</v>
      </c>
      <c r="AN4666" t="s">
        <v>8336</v>
      </c>
      <c r="AO4666">
        <v>-124.107893</v>
      </c>
      <c r="AP4666">
        <v>100</v>
      </c>
      <c r="AQ4666">
        <v>100</v>
      </c>
      <c r="AR4666" t="s">
        <v>118</v>
      </c>
      <c r="AS4666">
        <v>46</v>
      </c>
      <c r="AT4666">
        <v>-28</v>
      </c>
      <c r="AU4666">
        <v>-320</v>
      </c>
      <c r="BC4666">
        <v>1200</v>
      </c>
      <c r="BD4666">
        <v>1</v>
      </c>
      <c r="BE4666" t="str">
        <f t="shared" si="222"/>
        <v xml:space="preserve">N215T   </v>
      </c>
      <c r="BF4666">
        <v>1</v>
      </c>
      <c r="BH4666">
        <v>0</v>
      </c>
      <c r="BI4666">
        <v>0</v>
      </c>
      <c r="BJ4666">
        <v>0</v>
      </c>
      <c r="BK4666">
        <v>525</v>
      </c>
      <c r="BL4666">
        <v>425</v>
      </c>
      <c r="BM4666" t="s">
        <v>119</v>
      </c>
      <c r="BN4666">
        <v>1</v>
      </c>
      <c r="BO4666">
        <v>1</v>
      </c>
      <c r="BP4666">
        <v>1</v>
      </c>
      <c r="BQ4666">
        <v>0</v>
      </c>
      <c r="BT4666">
        <v>0</v>
      </c>
      <c r="BU4666">
        <v>0</v>
      </c>
      <c r="BV4666">
        <v>0</v>
      </c>
      <c r="CC4666" t="str">
        <f>"19:55:04.758"</f>
        <v>19:55:04.758</v>
      </c>
      <c r="CD4666" t="str">
        <f>"758726675"</f>
        <v>758726675</v>
      </c>
      <c r="CQ4666">
        <v>0</v>
      </c>
      <c r="CR4666">
        <v>2</v>
      </c>
      <c r="CS4666">
        <v>0</v>
      </c>
      <c r="CT4666">
        <v>2</v>
      </c>
      <c r="CU4666">
        <v>0</v>
      </c>
      <c r="CV4666">
        <v>5</v>
      </c>
      <c r="CW4666" t="s">
        <v>120</v>
      </c>
      <c r="CX4666">
        <v>257</v>
      </c>
      <c r="CY4666">
        <v>0</v>
      </c>
      <c r="CZ4666" t="s">
        <v>615</v>
      </c>
      <c r="DA4666" t="s">
        <v>616</v>
      </c>
      <c r="DD4666">
        <v>117432</v>
      </c>
      <c r="DE4666" t="s">
        <v>123</v>
      </c>
    </row>
    <row r="4667" spans="1:109" x14ac:dyDescent="0.3">
      <c r="A4667" t="str">
        <f>"19:55:06.063"</f>
        <v>19:55:06.063</v>
      </c>
      <c r="B4667" t="s">
        <v>110</v>
      </c>
      <c r="C4667" t="str">
        <f t="shared" si="223"/>
        <v>ffdfd3c0</v>
      </c>
      <c r="D4667" t="s">
        <v>111</v>
      </c>
      <c r="E4667">
        <v>18</v>
      </c>
      <c r="F4667">
        <v>1018</v>
      </c>
      <c r="G4667" t="s">
        <v>112</v>
      </c>
      <c r="J4667" t="s">
        <v>113</v>
      </c>
      <c r="K4667">
        <v>0</v>
      </c>
      <c r="L4667">
        <v>3</v>
      </c>
      <c r="M4667">
        <v>0</v>
      </c>
      <c r="N4667">
        <v>2</v>
      </c>
      <c r="O4667">
        <v>1</v>
      </c>
      <c r="P4667">
        <v>0</v>
      </c>
      <c r="Q4667">
        <v>0</v>
      </c>
      <c r="R4667" t="s">
        <v>114</v>
      </c>
      <c r="S4667" t="str">
        <f>"19:55:05.773"</f>
        <v>19:55:05.773</v>
      </c>
      <c r="T4667" t="str">
        <f>"19:55:05.477"</f>
        <v>19:55:05.477</v>
      </c>
      <c r="U4667" t="str">
        <f t="shared" si="221"/>
        <v>a1cdbe</v>
      </c>
      <c r="V4667">
        <v>0</v>
      </c>
      <c r="W4667">
        <v>0</v>
      </c>
      <c r="X4667">
        <v>2</v>
      </c>
      <c r="Y4667">
        <v>0</v>
      </c>
      <c r="Z4667">
        <v>0</v>
      </c>
      <c r="AB4667">
        <v>0</v>
      </c>
      <c r="AC4667">
        <v>9</v>
      </c>
      <c r="AD4667">
        <v>3</v>
      </c>
      <c r="AE4667">
        <v>0</v>
      </c>
      <c r="AF4667">
        <v>9</v>
      </c>
      <c r="AG4667" t="s">
        <v>115</v>
      </c>
      <c r="AH4667">
        <v>0</v>
      </c>
      <c r="AI4667">
        <v>0</v>
      </c>
      <c r="AJ4667">
        <v>1</v>
      </c>
      <c r="AK4667">
        <v>0</v>
      </c>
      <c r="AL4667" t="s">
        <v>8207</v>
      </c>
      <c r="AM4667">
        <v>47.072318000000003</v>
      </c>
      <c r="AN4667" t="s">
        <v>8337</v>
      </c>
      <c r="AO4667">
        <v>-124.107614</v>
      </c>
      <c r="AP4667">
        <v>100</v>
      </c>
      <c r="AQ4667">
        <v>100</v>
      </c>
      <c r="AR4667" t="s">
        <v>118</v>
      </c>
      <c r="AS4667">
        <v>46</v>
      </c>
      <c r="AT4667">
        <v>-28</v>
      </c>
      <c r="AU4667">
        <v>-320</v>
      </c>
      <c r="BC4667">
        <v>1200</v>
      </c>
      <c r="BD4667">
        <v>1</v>
      </c>
      <c r="BE4667" t="str">
        <f t="shared" si="222"/>
        <v xml:space="preserve">N215T   </v>
      </c>
      <c r="BF4667">
        <v>1</v>
      </c>
      <c r="BH4667">
        <v>0</v>
      </c>
      <c r="BI4667">
        <v>0</v>
      </c>
      <c r="BJ4667">
        <v>0</v>
      </c>
      <c r="BK4667">
        <v>500</v>
      </c>
      <c r="BL4667">
        <v>400</v>
      </c>
      <c r="BM4667" t="s">
        <v>119</v>
      </c>
      <c r="BN4667">
        <v>1</v>
      </c>
      <c r="BO4667">
        <v>1</v>
      </c>
      <c r="BP4667">
        <v>1</v>
      </c>
      <c r="BQ4667">
        <v>0</v>
      </c>
      <c r="BT4667">
        <v>0</v>
      </c>
      <c r="BU4667">
        <v>0</v>
      </c>
      <c r="BV4667">
        <v>0</v>
      </c>
      <c r="CC4667" t="str">
        <f>"19:55:05.781"</f>
        <v>19:55:05.781</v>
      </c>
      <c r="CD4667" t="str">
        <f>"778626088"</f>
        <v>778626088</v>
      </c>
      <c r="CQ4667">
        <v>0</v>
      </c>
      <c r="CR4667">
        <v>2</v>
      </c>
      <c r="CS4667">
        <v>0</v>
      </c>
      <c r="CT4667">
        <v>2</v>
      </c>
      <c r="CU4667">
        <v>0</v>
      </c>
      <c r="CV4667">
        <v>5</v>
      </c>
      <c r="CW4667" t="s">
        <v>120</v>
      </c>
      <c r="CX4667">
        <v>257</v>
      </c>
      <c r="CY4667">
        <v>0</v>
      </c>
      <c r="CZ4667" t="s">
        <v>615</v>
      </c>
      <c r="DA4667" t="s">
        <v>616</v>
      </c>
      <c r="DD4667">
        <v>117815</v>
      </c>
      <c r="DE4667" t="s">
        <v>123</v>
      </c>
    </row>
    <row r="4668" spans="1:109" x14ac:dyDescent="0.3">
      <c r="A4668" t="str">
        <f>"19:55:07.070"</f>
        <v>19:55:07.070</v>
      </c>
      <c r="B4668" t="s">
        <v>110</v>
      </c>
      <c r="C4668" t="str">
        <f t="shared" si="223"/>
        <v>ffdfd3c0</v>
      </c>
      <c r="D4668" t="s">
        <v>111</v>
      </c>
      <c r="E4668">
        <v>18</v>
      </c>
      <c r="F4668">
        <v>1018</v>
      </c>
      <c r="G4668" t="s">
        <v>112</v>
      </c>
      <c r="J4668" t="s">
        <v>113</v>
      </c>
      <c r="K4668">
        <v>0</v>
      </c>
      <c r="L4668">
        <v>3</v>
      </c>
      <c r="M4668">
        <v>0</v>
      </c>
      <c r="N4668">
        <v>2</v>
      </c>
      <c r="O4668">
        <v>1</v>
      </c>
      <c r="P4668">
        <v>0</v>
      </c>
      <c r="Q4668">
        <v>0</v>
      </c>
      <c r="R4668" t="s">
        <v>114</v>
      </c>
      <c r="S4668" t="str">
        <f>"19:55:06.797"</f>
        <v>19:55:06.797</v>
      </c>
      <c r="T4668" t="str">
        <f>"19:55:06.297"</f>
        <v>19:55:06.297</v>
      </c>
      <c r="U4668" t="str">
        <f t="shared" si="221"/>
        <v>a1cdbe</v>
      </c>
      <c r="V4668">
        <v>0</v>
      </c>
      <c r="W4668">
        <v>0</v>
      </c>
      <c r="X4668">
        <v>2</v>
      </c>
      <c r="Y4668">
        <v>0</v>
      </c>
      <c r="Z4668">
        <v>0</v>
      </c>
      <c r="AB4668">
        <v>0</v>
      </c>
      <c r="AC4668">
        <v>9</v>
      </c>
      <c r="AD4668">
        <v>3</v>
      </c>
      <c r="AE4668">
        <v>0</v>
      </c>
      <c r="AF4668">
        <v>9</v>
      </c>
      <c r="AG4668" t="s">
        <v>115</v>
      </c>
      <c r="AH4668">
        <v>0</v>
      </c>
      <c r="AI4668">
        <v>0</v>
      </c>
      <c r="AJ4668">
        <v>1</v>
      </c>
      <c r="AK4668">
        <v>0</v>
      </c>
      <c r="AL4668" t="s">
        <v>8338</v>
      </c>
      <c r="AM4668">
        <v>47.072209999999998</v>
      </c>
      <c r="AN4668" t="s">
        <v>8339</v>
      </c>
      <c r="AO4668">
        <v>-124.10727</v>
      </c>
      <c r="AP4668">
        <v>100</v>
      </c>
      <c r="AQ4668">
        <v>100</v>
      </c>
      <c r="AR4668" t="s">
        <v>118</v>
      </c>
      <c r="AS4668">
        <v>46</v>
      </c>
      <c r="AT4668">
        <v>-27</v>
      </c>
      <c r="AU4668">
        <v>-320</v>
      </c>
      <c r="BC4668">
        <v>1200</v>
      </c>
      <c r="BD4668">
        <v>1</v>
      </c>
      <c r="BE4668" t="str">
        <f t="shared" si="222"/>
        <v xml:space="preserve">N215T   </v>
      </c>
      <c r="BF4668">
        <v>1</v>
      </c>
      <c r="BH4668">
        <v>0</v>
      </c>
      <c r="BI4668">
        <v>0</v>
      </c>
      <c r="BJ4668">
        <v>0</v>
      </c>
      <c r="BK4668">
        <v>500</v>
      </c>
      <c r="BL4668">
        <v>400</v>
      </c>
      <c r="BM4668" t="s">
        <v>119</v>
      </c>
      <c r="BN4668">
        <v>1</v>
      </c>
      <c r="BO4668">
        <v>1</v>
      </c>
      <c r="BP4668">
        <v>1</v>
      </c>
      <c r="BQ4668">
        <v>0</v>
      </c>
      <c r="BT4668">
        <v>0</v>
      </c>
      <c r="BU4668">
        <v>0</v>
      </c>
      <c r="BV4668">
        <v>0</v>
      </c>
      <c r="CC4668" t="str">
        <f>"19:55:06.797"</f>
        <v>19:55:06.797</v>
      </c>
      <c r="CD4668" t="str">
        <f>"798525478"</f>
        <v>798525478</v>
      </c>
      <c r="CQ4668">
        <v>0</v>
      </c>
      <c r="CR4668">
        <v>2</v>
      </c>
      <c r="CS4668">
        <v>0</v>
      </c>
      <c r="CT4668">
        <v>2</v>
      </c>
      <c r="CU4668">
        <v>0</v>
      </c>
      <c r="CV4668">
        <v>5</v>
      </c>
      <c r="CW4668" t="s">
        <v>120</v>
      </c>
      <c r="CX4668">
        <v>257</v>
      </c>
      <c r="CY4668">
        <v>0</v>
      </c>
      <c r="CZ4668" t="s">
        <v>615</v>
      </c>
      <c r="DA4668" t="s">
        <v>616</v>
      </c>
      <c r="DD4668">
        <v>118165</v>
      </c>
      <c r="DE4668" t="s">
        <v>123</v>
      </c>
    </row>
    <row r="4669" spans="1:109" x14ac:dyDescent="0.3">
      <c r="A4669" t="str">
        <f>"19:55:08.070"</f>
        <v>19:55:08.070</v>
      </c>
      <c r="B4669" t="s">
        <v>110</v>
      </c>
      <c r="C4669" t="str">
        <f t="shared" si="223"/>
        <v>ffdfd3c0</v>
      </c>
      <c r="D4669" t="s">
        <v>111</v>
      </c>
      <c r="E4669">
        <v>18</v>
      </c>
      <c r="F4669">
        <v>1018</v>
      </c>
      <c r="G4669" t="s">
        <v>112</v>
      </c>
      <c r="J4669" t="s">
        <v>113</v>
      </c>
      <c r="K4669">
        <v>0</v>
      </c>
      <c r="L4669">
        <v>3</v>
      </c>
      <c r="M4669">
        <v>0</v>
      </c>
      <c r="N4669">
        <v>2</v>
      </c>
      <c r="O4669">
        <v>1</v>
      </c>
      <c r="P4669">
        <v>0</v>
      </c>
      <c r="Q4669">
        <v>0</v>
      </c>
      <c r="R4669" t="s">
        <v>114</v>
      </c>
      <c r="S4669" t="str">
        <f>"19:55:07.781"</f>
        <v>19:55:07.781</v>
      </c>
      <c r="T4669" t="str">
        <f>"19:55:07.781"</f>
        <v>19:55:07.781</v>
      </c>
      <c r="U4669" t="str">
        <f t="shared" si="221"/>
        <v>a1cdbe</v>
      </c>
      <c r="V4669">
        <v>0</v>
      </c>
      <c r="W4669">
        <v>0</v>
      </c>
      <c r="X4669">
        <v>2</v>
      </c>
      <c r="Y4669">
        <v>0</v>
      </c>
      <c r="Z4669">
        <v>0</v>
      </c>
      <c r="AB4669">
        <v>0</v>
      </c>
      <c r="AC4669">
        <v>9</v>
      </c>
      <c r="AD4669">
        <v>3</v>
      </c>
      <c r="AE4669">
        <v>0</v>
      </c>
      <c r="AF4669">
        <v>9</v>
      </c>
      <c r="AG4669" t="s">
        <v>115</v>
      </c>
      <c r="AH4669">
        <v>0</v>
      </c>
      <c r="AI4669">
        <v>0</v>
      </c>
      <c r="AJ4669">
        <v>1</v>
      </c>
      <c r="AK4669">
        <v>0</v>
      </c>
      <c r="AL4669" t="s">
        <v>8340</v>
      </c>
      <c r="AM4669">
        <v>47.072082000000002</v>
      </c>
      <c r="AN4669" t="s">
        <v>8341</v>
      </c>
      <c r="AO4669">
        <v>-124.10699099999999</v>
      </c>
      <c r="AP4669">
        <v>100</v>
      </c>
      <c r="AQ4669">
        <v>100</v>
      </c>
      <c r="AR4669" t="s">
        <v>118</v>
      </c>
      <c r="AS4669">
        <v>45</v>
      </c>
      <c r="AT4669">
        <v>-27</v>
      </c>
      <c r="AU4669">
        <v>-192</v>
      </c>
      <c r="BC4669">
        <v>1200</v>
      </c>
      <c r="BD4669">
        <v>1</v>
      </c>
      <c r="BE4669" t="str">
        <f t="shared" si="222"/>
        <v xml:space="preserve">N215T   </v>
      </c>
      <c r="BF4669">
        <v>1</v>
      </c>
      <c r="BH4669">
        <v>0</v>
      </c>
      <c r="BI4669">
        <v>0</v>
      </c>
      <c r="BJ4669">
        <v>0</v>
      </c>
      <c r="BK4669">
        <v>500</v>
      </c>
      <c r="BL4669">
        <v>400</v>
      </c>
      <c r="BM4669" t="s">
        <v>119</v>
      </c>
      <c r="BN4669">
        <v>1</v>
      </c>
      <c r="BO4669">
        <v>1</v>
      </c>
      <c r="BP4669">
        <v>1</v>
      </c>
      <c r="BQ4669">
        <v>0</v>
      </c>
      <c r="BT4669">
        <v>0</v>
      </c>
      <c r="BU4669">
        <v>0</v>
      </c>
      <c r="BV4669">
        <v>0</v>
      </c>
      <c r="CC4669" t="str">
        <f>"19:55:07.789"</f>
        <v>19:55:07.789</v>
      </c>
      <c r="CD4669" t="str">
        <f>"788427863"</f>
        <v>788427863</v>
      </c>
      <c r="CQ4669">
        <v>0</v>
      </c>
      <c r="CR4669">
        <v>2</v>
      </c>
      <c r="CS4669">
        <v>0</v>
      </c>
      <c r="CT4669">
        <v>2</v>
      </c>
      <c r="CU4669">
        <v>0</v>
      </c>
      <c r="CV4669">
        <v>5</v>
      </c>
      <c r="CW4669" t="s">
        <v>120</v>
      </c>
      <c r="CX4669">
        <v>257</v>
      </c>
      <c r="CY4669">
        <v>0</v>
      </c>
      <c r="CZ4669" t="s">
        <v>615</v>
      </c>
      <c r="DA4669" t="s">
        <v>616</v>
      </c>
      <c r="DD4669">
        <v>118508</v>
      </c>
      <c r="DE4669" t="s">
        <v>123</v>
      </c>
    </row>
    <row r="4670" spans="1:109" x14ac:dyDescent="0.3">
      <c r="A4670" t="str">
        <f>"19:55:09.180"</f>
        <v>19:55:09.180</v>
      </c>
      <c r="B4670" t="s">
        <v>110</v>
      </c>
      <c r="C4670" t="str">
        <f t="shared" si="223"/>
        <v>ffdfd3c0</v>
      </c>
      <c r="D4670" t="s">
        <v>111</v>
      </c>
      <c r="E4670">
        <v>18</v>
      </c>
      <c r="F4670">
        <v>1018</v>
      </c>
      <c r="G4670" t="s">
        <v>112</v>
      </c>
      <c r="J4670" t="s">
        <v>113</v>
      </c>
      <c r="K4670">
        <v>0</v>
      </c>
      <c r="L4670">
        <v>3</v>
      </c>
      <c r="M4670">
        <v>0</v>
      </c>
      <c r="N4670">
        <v>2</v>
      </c>
      <c r="O4670">
        <v>1</v>
      </c>
      <c r="P4670">
        <v>0</v>
      </c>
      <c r="Q4670">
        <v>0</v>
      </c>
      <c r="R4670" t="s">
        <v>114</v>
      </c>
      <c r="S4670" t="str">
        <f>"19:55:08.922"</f>
        <v>19:55:08.922</v>
      </c>
      <c r="T4670" t="str">
        <f>"19:55:08.820"</f>
        <v>19:55:08.820</v>
      </c>
      <c r="U4670" t="str">
        <f t="shared" si="221"/>
        <v>a1cdbe</v>
      </c>
      <c r="V4670">
        <v>0</v>
      </c>
      <c r="W4670">
        <v>0</v>
      </c>
      <c r="X4670">
        <v>2</v>
      </c>
      <c r="Y4670">
        <v>0</v>
      </c>
      <c r="Z4670">
        <v>0</v>
      </c>
      <c r="AB4670">
        <v>0</v>
      </c>
      <c r="AC4670">
        <v>9</v>
      </c>
      <c r="AD4670">
        <v>3</v>
      </c>
      <c r="AE4670">
        <v>0</v>
      </c>
      <c r="AF4670">
        <v>9</v>
      </c>
      <c r="AG4670" t="s">
        <v>115</v>
      </c>
      <c r="AH4670">
        <v>0</v>
      </c>
      <c r="AI4670">
        <v>0</v>
      </c>
      <c r="AJ4670">
        <v>1</v>
      </c>
      <c r="AK4670">
        <v>0</v>
      </c>
      <c r="AL4670" t="s">
        <v>8342</v>
      </c>
      <c r="AM4670">
        <v>47.071930999999999</v>
      </c>
      <c r="AN4670" t="s">
        <v>8343</v>
      </c>
      <c r="AO4670">
        <v>-124.10664800000001</v>
      </c>
      <c r="AP4670">
        <v>100</v>
      </c>
      <c r="AQ4670">
        <v>100</v>
      </c>
      <c r="AR4670" t="s">
        <v>118</v>
      </c>
      <c r="AS4670">
        <v>45</v>
      </c>
      <c r="AT4670">
        <v>-27</v>
      </c>
      <c r="AU4670">
        <v>-384</v>
      </c>
      <c r="BC4670">
        <v>1200</v>
      </c>
      <c r="BD4670">
        <v>1</v>
      </c>
      <c r="BE4670" t="str">
        <f t="shared" si="222"/>
        <v xml:space="preserve">N215T   </v>
      </c>
      <c r="BF4670">
        <v>1</v>
      </c>
      <c r="BH4670">
        <v>0</v>
      </c>
      <c r="BI4670">
        <v>0</v>
      </c>
      <c r="BJ4670">
        <v>0</v>
      </c>
      <c r="BK4670">
        <v>500</v>
      </c>
      <c r="BL4670">
        <v>400</v>
      </c>
      <c r="BM4670" t="s">
        <v>119</v>
      </c>
      <c r="BN4670">
        <v>1</v>
      </c>
      <c r="BO4670">
        <v>1</v>
      </c>
      <c r="BP4670">
        <v>1</v>
      </c>
      <c r="BQ4670">
        <v>0</v>
      </c>
      <c r="BT4670">
        <v>0</v>
      </c>
      <c r="BU4670">
        <v>0</v>
      </c>
      <c r="BV4670">
        <v>0</v>
      </c>
      <c r="CC4670" t="str">
        <f>"19:55:08.930"</f>
        <v>19:55:08.930</v>
      </c>
      <c r="CD4670" t="str">
        <f>"928315440"</f>
        <v>928315440</v>
      </c>
      <c r="CQ4670">
        <v>0</v>
      </c>
      <c r="CR4670">
        <v>2</v>
      </c>
      <c r="CS4670">
        <v>0</v>
      </c>
      <c r="CT4670">
        <v>2</v>
      </c>
      <c r="CU4670">
        <v>0</v>
      </c>
      <c r="CV4670">
        <v>5</v>
      </c>
      <c r="CW4670" t="s">
        <v>120</v>
      </c>
      <c r="CX4670">
        <v>257</v>
      </c>
      <c r="CY4670">
        <v>0</v>
      </c>
      <c r="CZ4670" t="s">
        <v>615</v>
      </c>
      <c r="DA4670" t="s">
        <v>616</v>
      </c>
      <c r="DD4670">
        <v>118880</v>
      </c>
      <c r="DE4670" t="s">
        <v>123</v>
      </c>
    </row>
    <row r="4671" spans="1:109" x14ac:dyDescent="0.3">
      <c r="A4671" t="str">
        <f>"19:55:10.133"</f>
        <v>19:55:10.133</v>
      </c>
      <c r="B4671" t="s">
        <v>110</v>
      </c>
      <c r="C4671" t="str">
        <f t="shared" si="223"/>
        <v>ffdfd3c0</v>
      </c>
      <c r="D4671" t="s">
        <v>111</v>
      </c>
      <c r="E4671">
        <v>18</v>
      </c>
      <c r="F4671">
        <v>1018</v>
      </c>
      <c r="G4671" t="s">
        <v>112</v>
      </c>
      <c r="J4671" t="s">
        <v>113</v>
      </c>
      <c r="K4671">
        <v>0</v>
      </c>
      <c r="L4671">
        <v>3</v>
      </c>
      <c r="M4671">
        <v>0</v>
      </c>
      <c r="N4671">
        <v>2</v>
      </c>
      <c r="O4671">
        <v>1</v>
      </c>
      <c r="P4671">
        <v>0</v>
      </c>
      <c r="Q4671">
        <v>0</v>
      </c>
      <c r="R4671" t="s">
        <v>114</v>
      </c>
      <c r="S4671" t="str">
        <f>"19:55:09.883"</f>
        <v>19:55:09.883</v>
      </c>
      <c r="T4671" t="str">
        <f>"19:55:09.383"</f>
        <v>19:55:09.383</v>
      </c>
      <c r="U4671" t="str">
        <f t="shared" si="221"/>
        <v>a1cdbe</v>
      </c>
      <c r="V4671">
        <v>0</v>
      </c>
      <c r="W4671">
        <v>0</v>
      </c>
      <c r="X4671">
        <v>2</v>
      </c>
      <c r="Y4671">
        <v>0</v>
      </c>
      <c r="Z4671">
        <v>0</v>
      </c>
      <c r="AB4671">
        <v>0</v>
      </c>
      <c r="AC4671">
        <v>9</v>
      </c>
      <c r="AD4671">
        <v>3</v>
      </c>
      <c r="AE4671">
        <v>0</v>
      </c>
      <c r="AF4671">
        <v>9</v>
      </c>
      <c r="AG4671" t="s">
        <v>115</v>
      </c>
      <c r="AH4671">
        <v>0</v>
      </c>
      <c r="AI4671">
        <v>0</v>
      </c>
      <c r="AJ4671">
        <v>1</v>
      </c>
      <c r="AK4671">
        <v>0</v>
      </c>
      <c r="AL4671" t="s">
        <v>8344</v>
      </c>
      <c r="AM4671">
        <v>47.071803000000003</v>
      </c>
      <c r="AN4671" t="s">
        <v>8345</v>
      </c>
      <c r="AO4671">
        <v>-124.106348</v>
      </c>
      <c r="AP4671">
        <v>100</v>
      </c>
      <c r="AQ4671">
        <v>100</v>
      </c>
      <c r="AR4671" t="s">
        <v>118</v>
      </c>
      <c r="AS4671">
        <v>44</v>
      </c>
      <c r="AT4671">
        <v>-27</v>
      </c>
      <c r="AU4671">
        <v>-384</v>
      </c>
      <c r="BC4671">
        <v>1200</v>
      </c>
      <c r="BD4671">
        <v>1</v>
      </c>
      <c r="BE4671" t="str">
        <f t="shared" si="222"/>
        <v xml:space="preserve">N215T   </v>
      </c>
      <c r="BF4671">
        <v>1</v>
      </c>
      <c r="BH4671">
        <v>0</v>
      </c>
      <c r="BI4671">
        <v>0</v>
      </c>
      <c r="BJ4671">
        <v>0</v>
      </c>
      <c r="BK4671">
        <v>500</v>
      </c>
      <c r="BL4671">
        <v>400</v>
      </c>
      <c r="BM4671" t="s">
        <v>119</v>
      </c>
      <c r="BN4671">
        <v>1</v>
      </c>
      <c r="BO4671">
        <v>1</v>
      </c>
      <c r="BP4671">
        <v>1</v>
      </c>
      <c r="BQ4671">
        <v>0</v>
      </c>
      <c r="BT4671">
        <v>0</v>
      </c>
      <c r="BU4671">
        <v>0</v>
      </c>
      <c r="BV4671">
        <v>0</v>
      </c>
      <c r="CC4671" t="str">
        <f>"19:55:09.891"</f>
        <v>19:55:09.891</v>
      </c>
      <c r="CD4671" t="str">
        <f>"888220750"</f>
        <v>888220750</v>
      </c>
      <c r="CQ4671">
        <v>0</v>
      </c>
      <c r="CR4671">
        <v>2</v>
      </c>
      <c r="CS4671">
        <v>0</v>
      </c>
      <c r="CT4671">
        <v>2</v>
      </c>
      <c r="CU4671">
        <v>0</v>
      </c>
      <c r="CV4671">
        <v>5</v>
      </c>
      <c r="CW4671" t="s">
        <v>120</v>
      </c>
      <c r="CX4671">
        <v>257</v>
      </c>
      <c r="CY4671">
        <v>0</v>
      </c>
      <c r="CZ4671" t="s">
        <v>615</v>
      </c>
      <c r="DA4671" t="s">
        <v>616</v>
      </c>
      <c r="DD4671">
        <v>119228</v>
      </c>
      <c r="DE4671" t="s">
        <v>123</v>
      </c>
    </row>
    <row r="4672" spans="1:109" x14ac:dyDescent="0.3">
      <c r="A4672" t="str">
        <f>"19:55:11.039"</f>
        <v>19:55:11.039</v>
      </c>
      <c r="B4672" t="s">
        <v>110</v>
      </c>
      <c r="C4672" t="str">
        <f t="shared" si="223"/>
        <v>ffdfd3c0</v>
      </c>
      <c r="D4672" t="s">
        <v>111</v>
      </c>
      <c r="E4672">
        <v>18</v>
      </c>
      <c r="F4672">
        <v>1018</v>
      </c>
      <c r="G4672" t="s">
        <v>112</v>
      </c>
      <c r="J4672" t="s">
        <v>113</v>
      </c>
      <c r="K4672">
        <v>0</v>
      </c>
      <c r="L4672">
        <v>3</v>
      </c>
      <c r="M4672">
        <v>0</v>
      </c>
      <c r="N4672">
        <v>2</v>
      </c>
      <c r="O4672">
        <v>1</v>
      </c>
      <c r="P4672">
        <v>0</v>
      </c>
      <c r="Q4672">
        <v>0</v>
      </c>
      <c r="R4672" t="s">
        <v>114</v>
      </c>
      <c r="S4672" t="str">
        <f>"19:55:10.797"</f>
        <v>19:55:10.797</v>
      </c>
      <c r="T4672" t="str">
        <f>"19:55:10.398"</f>
        <v>19:55:10.398</v>
      </c>
      <c r="U4672" t="str">
        <f t="shared" si="221"/>
        <v>a1cdbe</v>
      </c>
      <c r="V4672">
        <v>0</v>
      </c>
      <c r="W4672">
        <v>0</v>
      </c>
      <c r="X4672">
        <v>2</v>
      </c>
      <c r="Y4672">
        <v>0</v>
      </c>
      <c r="Z4672">
        <v>0</v>
      </c>
      <c r="AB4672">
        <v>0</v>
      </c>
      <c r="AC4672">
        <v>9</v>
      </c>
      <c r="AD4672">
        <v>3</v>
      </c>
      <c r="AE4672">
        <v>0</v>
      </c>
      <c r="AF4672">
        <v>9</v>
      </c>
      <c r="AG4672" t="s">
        <v>115</v>
      </c>
      <c r="AH4672">
        <v>0</v>
      </c>
      <c r="AI4672">
        <v>0</v>
      </c>
      <c r="AJ4672">
        <v>1</v>
      </c>
      <c r="AK4672">
        <v>0</v>
      </c>
      <c r="AL4672" t="s">
        <v>8346</v>
      </c>
      <c r="AM4672">
        <v>47.071694999999998</v>
      </c>
      <c r="AN4672" t="s">
        <v>8347</v>
      </c>
      <c r="AO4672">
        <v>-124.10608999999999</v>
      </c>
      <c r="AP4672">
        <v>100</v>
      </c>
      <c r="AQ4672">
        <v>100</v>
      </c>
      <c r="AR4672" t="s">
        <v>118</v>
      </c>
      <c r="AS4672">
        <v>43</v>
      </c>
      <c r="AT4672">
        <v>-28</v>
      </c>
      <c r="AU4672">
        <v>-320</v>
      </c>
      <c r="BC4672">
        <v>1200</v>
      </c>
      <c r="BD4672">
        <v>1</v>
      </c>
      <c r="BE4672" t="str">
        <f t="shared" si="222"/>
        <v xml:space="preserve">N215T   </v>
      </c>
      <c r="BF4672">
        <v>1</v>
      </c>
      <c r="BH4672">
        <v>0</v>
      </c>
      <c r="BI4672">
        <v>0</v>
      </c>
      <c r="BJ4672">
        <v>0</v>
      </c>
      <c r="BK4672">
        <v>475</v>
      </c>
      <c r="BL4672">
        <v>375</v>
      </c>
      <c r="BM4672" t="s">
        <v>119</v>
      </c>
      <c r="BN4672">
        <v>1</v>
      </c>
      <c r="BO4672">
        <v>1</v>
      </c>
      <c r="BP4672">
        <v>1</v>
      </c>
      <c r="BQ4672">
        <v>0</v>
      </c>
      <c r="BT4672">
        <v>0</v>
      </c>
      <c r="BU4672">
        <v>0</v>
      </c>
      <c r="BV4672">
        <v>0</v>
      </c>
      <c r="CC4672" t="str">
        <f>"19:55:10.805"</f>
        <v>19:55:10.805</v>
      </c>
      <c r="CD4672" t="str">
        <f>"803130523"</f>
        <v>803130523</v>
      </c>
      <c r="CQ4672">
        <v>0</v>
      </c>
      <c r="CR4672">
        <v>2</v>
      </c>
      <c r="CS4672">
        <v>0</v>
      </c>
      <c r="CT4672">
        <v>2</v>
      </c>
      <c r="CU4672">
        <v>0</v>
      </c>
      <c r="CV4672">
        <v>5</v>
      </c>
      <c r="CW4672" t="s">
        <v>120</v>
      </c>
      <c r="CX4672">
        <v>257</v>
      </c>
      <c r="CY4672">
        <v>0</v>
      </c>
      <c r="CZ4672" t="s">
        <v>615</v>
      </c>
      <c r="DA4672" t="s">
        <v>616</v>
      </c>
      <c r="DD4672">
        <v>119557</v>
      </c>
      <c r="DE4672" t="s">
        <v>123</v>
      </c>
    </row>
    <row r="4673" spans="1:109" x14ac:dyDescent="0.3">
      <c r="A4673" t="str">
        <f>"19:55:12.148"</f>
        <v>19:55:12.148</v>
      </c>
      <c r="B4673" t="s">
        <v>110</v>
      </c>
      <c r="C4673" t="str">
        <f t="shared" si="223"/>
        <v>ffdfd3c0</v>
      </c>
      <c r="D4673" t="s">
        <v>111</v>
      </c>
      <c r="E4673">
        <v>18</v>
      </c>
      <c r="F4673">
        <v>1018</v>
      </c>
      <c r="G4673" t="s">
        <v>112</v>
      </c>
      <c r="J4673" t="s">
        <v>113</v>
      </c>
      <c r="K4673">
        <v>0</v>
      </c>
      <c r="L4673">
        <v>3</v>
      </c>
      <c r="M4673">
        <v>0</v>
      </c>
      <c r="N4673">
        <v>2</v>
      </c>
      <c r="O4673">
        <v>1</v>
      </c>
      <c r="P4673">
        <v>0</v>
      </c>
      <c r="Q4673">
        <v>0</v>
      </c>
      <c r="R4673" t="s">
        <v>114</v>
      </c>
      <c r="S4673" t="str">
        <f>"19:55:11.883"</f>
        <v>19:55:11.883</v>
      </c>
      <c r="T4673" t="str">
        <f>"19:55:11.781"</f>
        <v>19:55:11.781</v>
      </c>
      <c r="U4673" t="str">
        <f t="shared" si="221"/>
        <v>a1cdbe</v>
      </c>
      <c r="V4673">
        <v>0</v>
      </c>
      <c r="W4673">
        <v>0</v>
      </c>
      <c r="X4673">
        <v>2</v>
      </c>
      <c r="Y4673">
        <v>0</v>
      </c>
      <c r="Z4673">
        <v>0</v>
      </c>
      <c r="AB4673">
        <v>0</v>
      </c>
      <c r="AC4673">
        <v>9</v>
      </c>
      <c r="AD4673">
        <v>3</v>
      </c>
      <c r="AE4673">
        <v>0</v>
      </c>
      <c r="AF4673">
        <v>9</v>
      </c>
      <c r="AG4673" t="s">
        <v>115</v>
      </c>
      <c r="AH4673">
        <v>0</v>
      </c>
      <c r="AI4673">
        <v>0</v>
      </c>
      <c r="AJ4673">
        <v>1</v>
      </c>
      <c r="AK4673">
        <v>0</v>
      </c>
      <c r="AL4673" t="s">
        <v>8348</v>
      </c>
      <c r="AM4673">
        <v>47.071567000000002</v>
      </c>
      <c r="AN4673" t="s">
        <v>8349</v>
      </c>
      <c r="AO4673">
        <v>-124.10579</v>
      </c>
      <c r="AP4673">
        <v>100</v>
      </c>
      <c r="AQ4673">
        <v>100</v>
      </c>
      <c r="AR4673" t="s">
        <v>118</v>
      </c>
      <c r="AS4673">
        <v>41</v>
      </c>
      <c r="AT4673">
        <v>-30</v>
      </c>
      <c r="AU4673">
        <v>-448</v>
      </c>
      <c r="BC4673">
        <v>1200</v>
      </c>
      <c r="BD4673">
        <v>1</v>
      </c>
      <c r="BE4673" t="str">
        <f t="shared" si="222"/>
        <v xml:space="preserve">N215T   </v>
      </c>
      <c r="BF4673">
        <v>1</v>
      </c>
      <c r="BH4673">
        <v>0</v>
      </c>
      <c r="BI4673">
        <v>0</v>
      </c>
      <c r="BJ4673">
        <v>0</v>
      </c>
      <c r="BK4673">
        <v>475</v>
      </c>
      <c r="BL4673">
        <v>375</v>
      </c>
      <c r="BM4673" t="s">
        <v>119</v>
      </c>
      <c r="BN4673">
        <v>1</v>
      </c>
      <c r="BO4673">
        <v>1</v>
      </c>
      <c r="BP4673">
        <v>1</v>
      </c>
      <c r="BQ4673">
        <v>0</v>
      </c>
      <c r="BT4673">
        <v>0</v>
      </c>
      <c r="BU4673">
        <v>0</v>
      </c>
      <c r="BV4673">
        <v>0</v>
      </c>
      <c r="CC4673" t="str">
        <f>"19:55:11.883"</f>
        <v>19:55:11.883</v>
      </c>
      <c r="CD4673" t="str">
        <f>"883023991"</f>
        <v>883023991</v>
      </c>
      <c r="CQ4673">
        <v>0</v>
      </c>
      <c r="CR4673">
        <v>2</v>
      </c>
      <c r="CS4673">
        <v>0</v>
      </c>
      <c r="CT4673">
        <v>2</v>
      </c>
      <c r="CU4673">
        <v>0</v>
      </c>
      <c r="CV4673">
        <v>5</v>
      </c>
      <c r="CW4673" t="s">
        <v>120</v>
      </c>
      <c r="CX4673">
        <v>257</v>
      </c>
      <c r="CY4673">
        <v>0</v>
      </c>
      <c r="CZ4673" t="s">
        <v>615</v>
      </c>
      <c r="DA4673" t="s">
        <v>616</v>
      </c>
      <c r="DD4673">
        <v>119971</v>
      </c>
      <c r="DE4673" t="s">
        <v>123</v>
      </c>
    </row>
    <row r="4674" spans="1:109" x14ac:dyDescent="0.3">
      <c r="A4674" t="str">
        <f>"19:55:13.047"</f>
        <v>19:55:13.047</v>
      </c>
      <c r="B4674" t="s">
        <v>110</v>
      </c>
      <c r="C4674" t="str">
        <f t="shared" si="223"/>
        <v>ffdfd3c0</v>
      </c>
      <c r="D4674" t="s">
        <v>111</v>
      </c>
      <c r="E4674">
        <v>18</v>
      </c>
      <c r="F4674">
        <v>1018</v>
      </c>
      <c r="G4674" t="s">
        <v>112</v>
      </c>
      <c r="J4674" t="s">
        <v>113</v>
      </c>
      <c r="K4674">
        <v>0</v>
      </c>
      <c r="L4674">
        <v>3</v>
      </c>
      <c r="M4674">
        <v>0</v>
      </c>
      <c r="N4674">
        <v>2</v>
      </c>
      <c r="O4674">
        <v>1</v>
      </c>
      <c r="P4674">
        <v>0</v>
      </c>
      <c r="Q4674">
        <v>0</v>
      </c>
      <c r="R4674" t="s">
        <v>114</v>
      </c>
      <c r="S4674" t="str">
        <f>"19:55:12.813"</f>
        <v>19:55:12.813</v>
      </c>
      <c r="T4674" t="str">
        <f>"19:55:12.813"</f>
        <v>19:55:12.813</v>
      </c>
      <c r="U4674" t="str">
        <f t="shared" ref="U4674:U4727" si="224">"a1cdbe"</f>
        <v>a1cdbe</v>
      </c>
      <c r="V4674">
        <v>0</v>
      </c>
      <c r="W4674">
        <v>0</v>
      </c>
      <c r="X4674">
        <v>2</v>
      </c>
      <c r="Y4674">
        <v>0</v>
      </c>
      <c r="Z4674">
        <v>0</v>
      </c>
      <c r="AB4674">
        <v>0</v>
      </c>
      <c r="AC4674">
        <v>9</v>
      </c>
      <c r="AD4674">
        <v>3</v>
      </c>
      <c r="AE4674">
        <v>0</v>
      </c>
      <c r="AF4674">
        <v>9</v>
      </c>
      <c r="AG4674" t="s">
        <v>115</v>
      </c>
      <c r="AH4674">
        <v>0</v>
      </c>
      <c r="AI4674">
        <v>0</v>
      </c>
      <c r="AJ4674">
        <v>1</v>
      </c>
      <c r="AK4674">
        <v>0</v>
      </c>
      <c r="AL4674" t="s">
        <v>8350</v>
      </c>
      <c r="AM4674">
        <v>47.071415999999999</v>
      </c>
      <c r="AN4674" t="s">
        <v>8351</v>
      </c>
      <c r="AO4674">
        <v>-124.105554</v>
      </c>
      <c r="AP4674">
        <v>100</v>
      </c>
      <c r="AQ4674">
        <v>100</v>
      </c>
      <c r="AR4674" t="s">
        <v>118</v>
      </c>
      <c r="AS4674">
        <v>40</v>
      </c>
      <c r="AT4674">
        <v>-31</v>
      </c>
      <c r="AU4674">
        <v>-384</v>
      </c>
      <c r="BC4674">
        <v>1200</v>
      </c>
      <c r="BD4674">
        <v>1</v>
      </c>
      <c r="BE4674" t="str">
        <f t="shared" ref="BE4674:BE4727" si="225">"N215T   "</f>
        <v xml:space="preserve">N215T   </v>
      </c>
      <c r="BF4674">
        <v>1</v>
      </c>
      <c r="BH4674">
        <v>0</v>
      </c>
      <c r="BI4674">
        <v>0</v>
      </c>
      <c r="BJ4674">
        <v>0</v>
      </c>
      <c r="BK4674">
        <v>475</v>
      </c>
      <c r="BL4674">
        <v>375</v>
      </c>
      <c r="BM4674" t="s">
        <v>119</v>
      </c>
      <c r="BN4674">
        <v>1</v>
      </c>
      <c r="BO4674">
        <v>1</v>
      </c>
      <c r="BP4674">
        <v>1</v>
      </c>
      <c r="BQ4674">
        <v>0</v>
      </c>
      <c r="BT4674">
        <v>0</v>
      </c>
      <c r="BU4674">
        <v>0</v>
      </c>
      <c r="BV4674">
        <v>0</v>
      </c>
      <c r="CC4674" t="str">
        <f>"19:55:12.813"</f>
        <v>19:55:12.813</v>
      </c>
      <c r="CD4674" t="str">
        <f>"812932304"</f>
        <v>812932304</v>
      </c>
      <c r="CQ4674">
        <v>0</v>
      </c>
      <c r="CR4674">
        <v>2</v>
      </c>
      <c r="CS4674">
        <v>0</v>
      </c>
      <c r="CT4674">
        <v>2</v>
      </c>
      <c r="CU4674">
        <v>0</v>
      </c>
      <c r="CV4674">
        <v>5</v>
      </c>
      <c r="CW4674" t="s">
        <v>120</v>
      </c>
      <c r="CX4674">
        <v>257</v>
      </c>
      <c r="CY4674">
        <v>0</v>
      </c>
      <c r="CZ4674" t="s">
        <v>615</v>
      </c>
      <c r="DA4674" t="s">
        <v>616</v>
      </c>
      <c r="DD4674">
        <v>120307</v>
      </c>
      <c r="DE4674" t="s">
        <v>123</v>
      </c>
    </row>
    <row r="4675" spans="1:109" x14ac:dyDescent="0.3">
      <c r="A4675" t="str">
        <f>"19:55:14.156"</f>
        <v>19:55:14.156</v>
      </c>
      <c r="B4675" t="s">
        <v>110</v>
      </c>
      <c r="C4675" t="str">
        <f t="shared" si="223"/>
        <v>ffdfd3c0</v>
      </c>
      <c r="D4675" t="s">
        <v>111</v>
      </c>
      <c r="E4675">
        <v>18</v>
      </c>
      <c r="F4675">
        <v>1018</v>
      </c>
      <c r="G4675" t="s">
        <v>112</v>
      </c>
      <c r="J4675" t="s">
        <v>113</v>
      </c>
      <c r="K4675">
        <v>0</v>
      </c>
      <c r="L4675">
        <v>3</v>
      </c>
      <c r="M4675">
        <v>0</v>
      </c>
      <c r="N4675">
        <v>2</v>
      </c>
      <c r="O4675">
        <v>1</v>
      </c>
      <c r="P4675">
        <v>0</v>
      </c>
      <c r="Q4675">
        <v>0</v>
      </c>
      <c r="R4675" t="s">
        <v>114</v>
      </c>
      <c r="S4675" t="str">
        <f>"19:55:13.922"</f>
        <v>19:55:13.922</v>
      </c>
      <c r="T4675" t="str">
        <f>"19:55:13.820"</f>
        <v>19:55:13.820</v>
      </c>
      <c r="U4675" t="str">
        <f t="shared" si="224"/>
        <v>a1cdbe</v>
      </c>
      <c r="V4675">
        <v>0</v>
      </c>
      <c r="W4675">
        <v>0</v>
      </c>
      <c r="X4675">
        <v>2</v>
      </c>
      <c r="Y4675">
        <v>0</v>
      </c>
      <c r="Z4675">
        <v>0</v>
      </c>
      <c r="AB4675">
        <v>0</v>
      </c>
      <c r="AC4675">
        <v>9</v>
      </c>
      <c r="AD4675">
        <v>3</v>
      </c>
      <c r="AE4675">
        <v>0</v>
      </c>
      <c r="AF4675">
        <v>9</v>
      </c>
      <c r="AG4675" t="s">
        <v>115</v>
      </c>
      <c r="AH4675">
        <v>0</v>
      </c>
      <c r="AI4675">
        <v>0</v>
      </c>
      <c r="AJ4675">
        <v>1</v>
      </c>
      <c r="AK4675">
        <v>0</v>
      </c>
      <c r="AL4675" t="s">
        <v>8352</v>
      </c>
      <c r="AM4675">
        <v>47.071244999999998</v>
      </c>
      <c r="AN4675" t="s">
        <v>8353</v>
      </c>
      <c r="AO4675">
        <v>-124.105232</v>
      </c>
      <c r="AP4675">
        <v>100</v>
      </c>
      <c r="AQ4675">
        <v>100</v>
      </c>
      <c r="AR4675" t="s">
        <v>118</v>
      </c>
      <c r="AS4675">
        <v>40</v>
      </c>
      <c r="AT4675">
        <v>-31</v>
      </c>
      <c r="AU4675">
        <v>-384</v>
      </c>
      <c r="BC4675">
        <v>1200</v>
      </c>
      <c r="BD4675">
        <v>1</v>
      </c>
      <c r="BE4675" t="str">
        <f t="shared" si="225"/>
        <v xml:space="preserve">N215T   </v>
      </c>
      <c r="BF4675">
        <v>1</v>
      </c>
      <c r="BH4675">
        <v>0</v>
      </c>
      <c r="BI4675">
        <v>0</v>
      </c>
      <c r="BJ4675">
        <v>0</v>
      </c>
      <c r="BK4675">
        <v>475</v>
      </c>
      <c r="BL4675">
        <v>375</v>
      </c>
      <c r="BM4675" t="s">
        <v>119</v>
      </c>
      <c r="BN4675">
        <v>1</v>
      </c>
      <c r="BO4675">
        <v>1</v>
      </c>
      <c r="BP4675">
        <v>1</v>
      </c>
      <c r="BQ4675">
        <v>0</v>
      </c>
      <c r="BT4675">
        <v>0</v>
      </c>
      <c r="BU4675">
        <v>0</v>
      </c>
      <c r="BV4675">
        <v>0</v>
      </c>
      <c r="CC4675" t="str">
        <f>"19:55:13.922"</f>
        <v>19:55:13.922</v>
      </c>
      <c r="CD4675" t="str">
        <f>"922822821"</f>
        <v>922822821</v>
      </c>
      <c r="CQ4675">
        <v>0</v>
      </c>
      <c r="CR4675">
        <v>2</v>
      </c>
      <c r="CS4675">
        <v>0</v>
      </c>
      <c r="CT4675">
        <v>2</v>
      </c>
      <c r="CU4675">
        <v>0</v>
      </c>
      <c r="CV4675">
        <v>5</v>
      </c>
      <c r="CW4675" t="s">
        <v>120</v>
      </c>
      <c r="CX4675">
        <v>257</v>
      </c>
      <c r="CY4675">
        <v>0</v>
      </c>
      <c r="CZ4675" t="s">
        <v>615</v>
      </c>
      <c r="DA4675" t="s">
        <v>616</v>
      </c>
      <c r="DD4675">
        <v>120687</v>
      </c>
      <c r="DE4675" t="s">
        <v>123</v>
      </c>
    </row>
    <row r="4676" spans="1:109" x14ac:dyDescent="0.3">
      <c r="A4676" t="str">
        <f>"19:55:15.164"</f>
        <v>19:55:15.164</v>
      </c>
      <c r="B4676" t="s">
        <v>110</v>
      </c>
      <c r="C4676" t="str">
        <f t="shared" si="223"/>
        <v>ffdfd3c0</v>
      </c>
      <c r="D4676" t="s">
        <v>111</v>
      </c>
      <c r="E4676">
        <v>18</v>
      </c>
      <c r="F4676">
        <v>1018</v>
      </c>
      <c r="G4676" t="s">
        <v>112</v>
      </c>
      <c r="J4676" t="s">
        <v>113</v>
      </c>
      <c r="K4676">
        <v>0</v>
      </c>
      <c r="L4676">
        <v>3</v>
      </c>
      <c r="M4676">
        <v>0</v>
      </c>
      <c r="N4676">
        <v>2</v>
      </c>
      <c r="O4676">
        <v>1</v>
      </c>
      <c r="P4676">
        <v>0</v>
      </c>
      <c r="Q4676">
        <v>0</v>
      </c>
      <c r="R4676" t="s">
        <v>114</v>
      </c>
      <c r="S4676" t="str">
        <f>"19:55:14.906"</f>
        <v>19:55:14.906</v>
      </c>
      <c r="T4676" t="str">
        <f>"19:55:14.406"</f>
        <v>19:55:14.406</v>
      </c>
      <c r="U4676" t="str">
        <f t="shared" si="224"/>
        <v>a1cdbe</v>
      </c>
      <c r="V4676">
        <v>0</v>
      </c>
      <c r="W4676">
        <v>0</v>
      </c>
      <c r="X4676">
        <v>2</v>
      </c>
      <c r="Y4676">
        <v>0</v>
      </c>
      <c r="Z4676">
        <v>0</v>
      </c>
      <c r="AB4676">
        <v>0</v>
      </c>
      <c r="AC4676">
        <v>9</v>
      </c>
      <c r="AD4676">
        <v>3</v>
      </c>
      <c r="AE4676">
        <v>0</v>
      </c>
      <c r="AF4676">
        <v>9</v>
      </c>
      <c r="AG4676" t="s">
        <v>115</v>
      </c>
      <c r="AH4676">
        <v>0</v>
      </c>
      <c r="AI4676">
        <v>0</v>
      </c>
      <c r="AJ4676">
        <v>1</v>
      </c>
      <c r="AK4676">
        <v>0</v>
      </c>
      <c r="AL4676" t="s">
        <v>8354</v>
      </c>
      <c r="AM4676">
        <v>47.071116000000004</v>
      </c>
      <c r="AN4676" t="s">
        <v>8355</v>
      </c>
      <c r="AO4676">
        <v>-124.104996</v>
      </c>
      <c r="AP4676">
        <v>100</v>
      </c>
      <c r="AQ4676">
        <v>100</v>
      </c>
      <c r="AR4676" t="s">
        <v>118</v>
      </c>
      <c r="AS4676">
        <v>39</v>
      </c>
      <c r="AT4676">
        <v>-31</v>
      </c>
      <c r="AU4676">
        <v>-320</v>
      </c>
      <c r="BC4676">
        <v>1200</v>
      </c>
      <c r="BD4676">
        <v>1</v>
      </c>
      <c r="BE4676" t="str">
        <f t="shared" si="225"/>
        <v xml:space="preserve">N215T   </v>
      </c>
      <c r="BF4676">
        <v>1</v>
      </c>
      <c r="BH4676">
        <v>0</v>
      </c>
      <c r="BI4676">
        <v>0</v>
      </c>
      <c r="BJ4676">
        <v>0</v>
      </c>
      <c r="BK4676">
        <v>475</v>
      </c>
      <c r="BL4676">
        <v>375</v>
      </c>
      <c r="BM4676" t="s">
        <v>119</v>
      </c>
      <c r="BN4676">
        <v>1</v>
      </c>
      <c r="BO4676">
        <v>1</v>
      </c>
      <c r="BP4676">
        <v>1</v>
      </c>
      <c r="BQ4676">
        <v>0</v>
      </c>
      <c r="BT4676">
        <v>0</v>
      </c>
      <c r="BU4676">
        <v>0</v>
      </c>
      <c r="BV4676">
        <v>0</v>
      </c>
      <c r="CC4676" t="str">
        <f>"19:55:14.914"</f>
        <v>19:55:14.914</v>
      </c>
      <c r="CD4676" t="str">
        <f>"912725191"</f>
        <v>912725191</v>
      </c>
      <c r="CQ4676">
        <v>0</v>
      </c>
      <c r="CR4676">
        <v>2</v>
      </c>
      <c r="CS4676">
        <v>0</v>
      </c>
      <c r="CT4676">
        <v>2</v>
      </c>
      <c r="CU4676">
        <v>0</v>
      </c>
      <c r="CV4676">
        <v>5</v>
      </c>
      <c r="CW4676" t="s">
        <v>120</v>
      </c>
      <c r="CX4676">
        <v>257</v>
      </c>
      <c r="CY4676">
        <v>0</v>
      </c>
      <c r="CZ4676" t="s">
        <v>615</v>
      </c>
      <c r="DA4676" t="s">
        <v>616</v>
      </c>
      <c r="DD4676">
        <v>121042</v>
      </c>
      <c r="DE4676" t="s">
        <v>123</v>
      </c>
    </row>
    <row r="4677" spans="1:109" x14ac:dyDescent="0.3">
      <c r="A4677" t="str">
        <f>"19:55:16.219"</f>
        <v>19:55:16.219</v>
      </c>
      <c r="B4677" t="s">
        <v>110</v>
      </c>
      <c r="C4677" t="str">
        <f t="shared" si="223"/>
        <v>ffdfd3c0</v>
      </c>
      <c r="D4677" t="s">
        <v>111</v>
      </c>
      <c r="E4677">
        <v>18</v>
      </c>
      <c r="F4677">
        <v>1018</v>
      </c>
      <c r="G4677" t="s">
        <v>112</v>
      </c>
      <c r="J4677" t="s">
        <v>113</v>
      </c>
      <c r="K4677">
        <v>0</v>
      </c>
      <c r="L4677">
        <v>3</v>
      </c>
      <c r="M4677">
        <v>0</v>
      </c>
      <c r="N4677">
        <v>2</v>
      </c>
      <c r="O4677">
        <v>1</v>
      </c>
      <c r="P4677">
        <v>0</v>
      </c>
      <c r="Q4677">
        <v>0</v>
      </c>
      <c r="R4677" t="s">
        <v>114</v>
      </c>
      <c r="S4677" t="str">
        <f>"19:55:15.977"</f>
        <v>19:55:15.977</v>
      </c>
      <c r="T4677" t="str">
        <f>"19:55:15.977"</f>
        <v>19:55:15.977</v>
      </c>
      <c r="U4677" t="str">
        <f t="shared" si="224"/>
        <v>a1cdbe</v>
      </c>
      <c r="V4677">
        <v>0</v>
      </c>
      <c r="W4677">
        <v>0</v>
      </c>
      <c r="X4677">
        <v>2</v>
      </c>
      <c r="Y4677">
        <v>0</v>
      </c>
      <c r="Z4677">
        <v>0</v>
      </c>
      <c r="AB4677">
        <v>0</v>
      </c>
      <c r="AC4677">
        <v>9</v>
      </c>
      <c r="AD4677">
        <v>3</v>
      </c>
      <c r="AE4677">
        <v>0</v>
      </c>
      <c r="AF4677">
        <v>9</v>
      </c>
      <c r="AG4677" t="s">
        <v>115</v>
      </c>
      <c r="AH4677">
        <v>0</v>
      </c>
      <c r="AI4677">
        <v>0</v>
      </c>
      <c r="AJ4677">
        <v>1</v>
      </c>
      <c r="AK4677">
        <v>0</v>
      </c>
      <c r="AL4677" t="s">
        <v>8356</v>
      </c>
      <c r="AM4677">
        <v>47.070965999999999</v>
      </c>
      <c r="AN4677" t="s">
        <v>8357</v>
      </c>
      <c r="AO4677">
        <v>-124.104652</v>
      </c>
      <c r="AP4677">
        <v>100</v>
      </c>
      <c r="AQ4677">
        <v>0</v>
      </c>
      <c r="AR4677" t="s">
        <v>118</v>
      </c>
      <c r="AS4677">
        <v>37</v>
      </c>
      <c r="AT4677">
        <v>-33</v>
      </c>
      <c r="AU4677">
        <v>-384</v>
      </c>
      <c r="BC4677">
        <v>1200</v>
      </c>
      <c r="BD4677">
        <v>1</v>
      </c>
      <c r="BE4677" t="str">
        <f t="shared" si="225"/>
        <v xml:space="preserve">N215T   </v>
      </c>
      <c r="BF4677">
        <v>1</v>
      </c>
      <c r="BH4677">
        <v>0</v>
      </c>
      <c r="BI4677">
        <v>0</v>
      </c>
      <c r="BJ4677">
        <v>0</v>
      </c>
      <c r="BK4677">
        <v>550</v>
      </c>
      <c r="BL4677">
        <v>550</v>
      </c>
      <c r="BM4677" t="s">
        <v>119</v>
      </c>
      <c r="BN4677">
        <v>1</v>
      </c>
      <c r="BO4677">
        <v>1</v>
      </c>
      <c r="BP4677">
        <v>1</v>
      </c>
      <c r="BQ4677">
        <v>0</v>
      </c>
      <c r="BT4677">
        <v>0</v>
      </c>
      <c r="BU4677">
        <v>0</v>
      </c>
      <c r="BV4677">
        <v>0</v>
      </c>
      <c r="CC4677" t="str">
        <f>"19:55:15.977"</f>
        <v>19:55:15.977</v>
      </c>
      <c r="CD4677" t="str">
        <f>"977620141"</f>
        <v>977620141</v>
      </c>
      <c r="CQ4677">
        <v>0</v>
      </c>
      <c r="CR4677">
        <v>2</v>
      </c>
      <c r="CS4677">
        <v>0</v>
      </c>
      <c r="CT4677">
        <v>2</v>
      </c>
      <c r="CU4677">
        <v>0</v>
      </c>
      <c r="CV4677">
        <v>5</v>
      </c>
      <c r="CW4677" t="s">
        <v>120</v>
      </c>
      <c r="CX4677">
        <v>257</v>
      </c>
      <c r="CY4677">
        <v>0</v>
      </c>
      <c r="CZ4677" t="s">
        <v>615</v>
      </c>
      <c r="DA4677" t="s">
        <v>616</v>
      </c>
      <c r="DD4677">
        <v>121390</v>
      </c>
      <c r="DE4677" t="s">
        <v>123</v>
      </c>
    </row>
    <row r="4678" spans="1:109" x14ac:dyDescent="0.3">
      <c r="A4678" t="str">
        <f>"19:55:17.172"</f>
        <v>19:55:17.172</v>
      </c>
      <c r="B4678" t="s">
        <v>110</v>
      </c>
      <c r="C4678" t="str">
        <f t="shared" si="223"/>
        <v>ffdfd3c0</v>
      </c>
      <c r="D4678" t="s">
        <v>111</v>
      </c>
      <c r="E4678">
        <v>18</v>
      </c>
      <c r="F4678">
        <v>1018</v>
      </c>
      <c r="G4678" t="s">
        <v>112</v>
      </c>
      <c r="J4678" t="s">
        <v>113</v>
      </c>
      <c r="K4678">
        <v>0</v>
      </c>
      <c r="L4678">
        <v>3</v>
      </c>
      <c r="M4678">
        <v>0</v>
      </c>
      <c r="N4678">
        <v>2</v>
      </c>
      <c r="O4678">
        <v>1</v>
      </c>
      <c r="P4678">
        <v>0</v>
      </c>
      <c r="Q4678">
        <v>0</v>
      </c>
      <c r="R4678" t="s">
        <v>114</v>
      </c>
      <c r="S4678" t="str">
        <f>"19:55:16.922"</f>
        <v>19:55:16.922</v>
      </c>
      <c r="T4678" t="str">
        <f>"19:55:16.523"</f>
        <v>19:55:16.523</v>
      </c>
      <c r="U4678" t="str">
        <f t="shared" si="224"/>
        <v>a1cdbe</v>
      </c>
      <c r="V4678">
        <v>0</v>
      </c>
      <c r="W4678">
        <v>0</v>
      </c>
      <c r="X4678">
        <v>2</v>
      </c>
      <c r="Y4678">
        <v>0</v>
      </c>
      <c r="Z4678">
        <v>0</v>
      </c>
      <c r="AB4678">
        <v>0</v>
      </c>
      <c r="AC4678">
        <v>9</v>
      </c>
      <c r="AD4678">
        <v>3</v>
      </c>
      <c r="AE4678">
        <v>0</v>
      </c>
      <c r="AF4678">
        <v>9</v>
      </c>
      <c r="AG4678" t="s">
        <v>115</v>
      </c>
      <c r="AH4678">
        <v>0</v>
      </c>
      <c r="AI4678">
        <v>0</v>
      </c>
      <c r="AJ4678">
        <v>1</v>
      </c>
      <c r="AK4678">
        <v>0</v>
      </c>
      <c r="AL4678" t="s">
        <v>8358</v>
      </c>
      <c r="AM4678">
        <v>47.070836999999997</v>
      </c>
      <c r="AN4678" t="s">
        <v>8359</v>
      </c>
      <c r="AO4678">
        <v>-124.104438</v>
      </c>
      <c r="AP4678">
        <v>100</v>
      </c>
      <c r="AQ4678">
        <v>0</v>
      </c>
      <c r="AR4678" t="s">
        <v>118</v>
      </c>
      <c r="AS4678">
        <v>35</v>
      </c>
      <c r="AT4678">
        <v>-34</v>
      </c>
      <c r="AU4678">
        <v>-320</v>
      </c>
      <c r="BC4678">
        <v>1200</v>
      </c>
      <c r="BD4678">
        <v>1</v>
      </c>
      <c r="BE4678" t="str">
        <f t="shared" si="225"/>
        <v xml:space="preserve">N215T   </v>
      </c>
      <c r="BF4678">
        <v>1</v>
      </c>
      <c r="BH4678">
        <v>0</v>
      </c>
      <c r="BI4678">
        <v>0</v>
      </c>
      <c r="BJ4678">
        <v>0</v>
      </c>
      <c r="BK4678">
        <v>450</v>
      </c>
      <c r="BL4678">
        <v>450</v>
      </c>
      <c r="BM4678" t="s">
        <v>119</v>
      </c>
      <c r="BN4678">
        <v>1</v>
      </c>
      <c r="BO4678">
        <v>1</v>
      </c>
      <c r="BP4678">
        <v>1</v>
      </c>
      <c r="BQ4678">
        <v>0</v>
      </c>
      <c r="BT4678">
        <v>0</v>
      </c>
      <c r="BU4678">
        <v>0</v>
      </c>
      <c r="BV4678">
        <v>0</v>
      </c>
      <c r="CC4678" t="str">
        <f>"19:55:16.922"</f>
        <v>19:55:16.922</v>
      </c>
      <c r="CD4678" t="str">
        <f>"922526954"</f>
        <v>922526954</v>
      </c>
      <c r="CQ4678">
        <v>0</v>
      </c>
      <c r="CR4678">
        <v>2</v>
      </c>
      <c r="CS4678">
        <v>0</v>
      </c>
      <c r="CT4678">
        <v>2</v>
      </c>
      <c r="CU4678">
        <v>0</v>
      </c>
      <c r="CV4678">
        <v>5</v>
      </c>
      <c r="CW4678" t="s">
        <v>120</v>
      </c>
      <c r="CX4678">
        <v>257</v>
      </c>
      <c r="CY4678">
        <v>0</v>
      </c>
      <c r="CZ4678" t="s">
        <v>615</v>
      </c>
      <c r="DA4678" t="s">
        <v>616</v>
      </c>
      <c r="DD4678">
        <v>121734</v>
      </c>
      <c r="DE4678" t="s">
        <v>123</v>
      </c>
    </row>
    <row r="4679" spans="1:109" x14ac:dyDescent="0.3">
      <c r="A4679" t="str">
        <f>"19:55:18.078"</f>
        <v>19:55:18.078</v>
      </c>
      <c r="B4679" t="s">
        <v>110</v>
      </c>
      <c r="C4679" t="str">
        <f t="shared" si="223"/>
        <v>ffdfd3c0</v>
      </c>
      <c r="D4679" t="s">
        <v>111</v>
      </c>
      <c r="E4679">
        <v>18</v>
      </c>
      <c r="F4679">
        <v>1018</v>
      </c>
      <c r="G4679" t="s">
        <v>112</v>
      </c>
      <c r="J4679" t="s">
        <v>113</v>
      </c>
      <c r="K4679">
        <v>0</v>
      </c>
      <c r="L4679">
        <v>3</v>
      </c>
      <c r="M4679">
        <v>0</v>
      </c>
      <c r="N4679">
        <v>2</v>
      </c>
      <c r="O4679">
        <v>1</v>
      </c>
      <c r="P4679">
        <v>0</v>
      </c>
      <c r="Q4679">
        <v>0</v>
      </c>
      <c r="R4679" t="s">
        <v>114</v>
      </c>
      <c r="S4679" t="str">
        <f>"19:55:17.852"</f>
        <v>19:55:17.852</v>
      </c>
      <c r="T4679" t="str">
        <f>"19:55:17.555"</f>
        <v>19:55:17.555</v>
      </c>
      <c r="U4679" t="str">
        <f t="shared" si="224"/>
        <v>a1cdbe</v>
      </c>
      <c r="V4679">
        <v>0</v>
      </c>
      <c r="W4679">
        <v>0</v>
      </c>
      <c r="X4679">
        <v>2</v>
      </c>
      <c r="Y4679">
        <v>0</v>
      </c>
      <c r="Z4679">
        <v>0</v>
      </c>
      <c r="AB4679">
        <v>0</v>
      </c>
      <c r="AC4679">
        <v>9</v>
      </c>
      <c r="AD4679">
        <v>3</v>
      </c>
      <c r="AE4679">
        <v>0</v>
      </c>
      <c r="AF4679">
        <v>9</v>
      </c>
      <c r="AG4679" t="s">
        <v>115</v>
      </c>
      <c r="AH4679">
        <v>0</v>
      </c>
      <c r="AI4679">
        <v>0</v>
      </c>
      <c r="AJ4679">
        <v>1</v>
      </c>
      <c r="AK4679">
        <v>0</v>
      </c>
      <c r="AL4679" t="s">
        <v>8360</v>
      </c>
      <c r="AM4679">
        <v>47.070644000000001</v>
      </c>
      <c r="AN4679" t="s">
        <v>8361</v>
      </c>
      <c r="AO4679">
        <v>-124.10424500000001</v>
      </c>
      <c r="AP4679">
        <v>100</v>
      </c>
      <c r="AQ4679">
        <v>0</v>
      </c>
      <c r="AR4679" t="s">
        <v>118</v>
      </c>
      <c r="AS4679">
        <v>33</v>
      </c>
      <c r="AT4679">
        <v>-35</v>
      </c>
      <c r="AU4679">
        <v>-320</v>
      </c>
      <c r="BC4679">
        <v>1200</v>
      </c>
      <c r="BD4679">
        <v>1</v>
      </c>
      <c r="BE4679" t="str">
        <f t="shared" si="225"/>
        <v xml:space="preserve">N215T   </v>
      </c>
      <c r="BF4679">
        <v>1</v>
      </c>
      <c r="BH4679">
        <v>0</v>
      </c>
      <c r="BI4679">
        <v>0</v>
      </c>
      <c r="BJ4679">
        <v>0</v>
      </c>
      <c r="BK4679">
        <v>450</v>
      </c>
      <c r="BL4679">
        <v>450</v>
      </c>
      <c r="BM4679" t="s">
        <v>119</v>
      </c>
      <c r="BN4679">
        <v>1</v>
      </c>
      <c r="BO4679">
        <v>1</v>
      </c>
      <c r="BP4679">
        <v>1</v>
      </c>
      <c r="BQ4679">
        <v>0</v>
      </c>
      <c r="BT4679">
        <v>0</v>
      </c>
      <c r="BU4679">
        <v>0</v>
      </c>
      <c r="BV4679">
        <v>0</v>
      </c>
      <c r="CC4679" t="str">
        <f>"19:55:17.852"</f>
        <v>19:55:17.852</v>
      </c>
      <c r="CD4679" t="str">
        <f>"852435236"</f>
        <v>852435236</v>
      </c>
      <c r="CQ4679">
        <v>0</v>
      </c>
      <c r="CR4679">
        <v>2</v>
      </c>
      <c r="CS4679">
        <v>0</v>
      </c>
      <c r="CT4679">
        <v>2</v>
      </c>
      <c r="CU4679">
        <v>0</v>
      </c>
      <c r="CV4679">
        <v>5</v>
      </c>
      <c r="CW4679" t="s">
        <v>120</v>
      </c>
      <c r="CX4679">
        <v>257</v>
      </c>
      <c r="CY4679">
        <v>0</v>
      </c>
      <c r="CZ4679" t="s">
        <v>615</v>
      </c>
      <c r="DA4679" t="s">
        <v>616</v>
      </c>
      <c r="DD4679">
        <v>122068</v>
      </c>
      <c r="DE4679" t="s">
        <v>123</v>
      </c>
    </row>
    <row r="4680" spans="1:109" x14ac:dyDescent="0.3">
      <c r="A4680" t="str">
        <f>"19:55:19.133"</f>
        <v>19:55:19.133</v>
      </c>
      <c r="B4680" t="s">
        <v>110</v>
      </c>
      <c r="C4680" t="str">
        <f t="shared" si="223"/>
        <v>ffdfd3c0</v>
      </c>
      <c r="D4680" t="s">
        <v>111</v>
      </c>
      <c r="E4680">
        <v>18</v>
      </c>
      <c r="F4680">
        <v>1018</v>
      </c>
      <c r="G4680" t="s">
        <v>112</v>
      </c>
      <c r="J4680" t="s">
        <v>113</v>
      </c>
      <c r="K4680">
        <v>0</v>
      </c>
      <c r="L4680">
        <v>3</v>
      </c>
      <c r="M4680">
        <v>0</v>
      </c>
      <c r="N4680">
        <v>2</v>
      </c>
      <c r="O4680">
        <v>1</v>
      </c>
      <c r="P4680">
        <v>0</v>
      </c>
      <c r="Q4680">
        <v>0</v>
      </c>
      <c r="R4680" t="s">
        <v>114</v>
      </c>
      <c r="S4680" t="str">
        <f>"19:55:18.836"</f>
        <v>19:55:18.836</v>
      </c>
      <c r="T4680" t="str">
        <f>"19:55:18.438"</f>
        <v>19:55:18.438</v>
      </c>
      <c r="U4680" t="str">
        <f t="shared" si="224"/>
        <v>a1cdbe</v>
      </c>
      <c r="V4680">
        <v>0</v>
      </c>
      <c r="W4680">
        <v>0</v>
      </c>
      <c r="X4680">
        <v>2</v>
      </c>
      <c r="Y4680">
        <v>0</v>
      </c>
      <c r="Z4680">
        <v>0</v>
      </c>
      <c r="AB4680">
        <v>0</v>
      </c>
      <c r="AC4680">
        <v>9</v>
      </c>
      <c r="AD4680">
        <v>3</v>
      </c>
      <c r="AE4680">
        <v>0</v>
      </c>
      <c r="AF4680">
        <v>9</v>
      </c>
      <c r="AG4680" t="s">
        <v>115</v>
      </c>
      <c r="AH4680">
        <v>0</v>
      </c>
      <c r="AI4680">
        <v>0</v>
      </c>
      <c r="AJ4680">
        <v>1</v>
      </c>
      <c r="AK4680">
        <v>0</v>
      </c>
      <c r="AL4680" t="s">
        <v>8362</v>
      </c>
      <c r="AM4680">
        <v>47.070515</v>
      </c>
      <c r="AN4680" t="s">
        <v>8115</v>
      </c>
      <c r="AO4680">
        <v>-124.104095</v>
      </c>
      <c r="AP4680">
        <v>100</v>
      </c>
      <c r="AQ4680">
        <v>0</v>
      </c>
      <c r="AR4680" t="s">
        <v>118</v>
      </c>
      <c r="AS4680">
        <v>30</v>
      </c>
      <c r="AT4680">
        <v>-37</v>
      </c>
      <c r="AU4680">
        <v>-320</v>
      </c>
      <c r="BC4680">
        <v>1200</v>
      </c>
      <c r="BD4680">
        <v>1</v>
      </c>
      <c r="BE4680" t="str">
        <f t="shared" si="225"/>
        <v xml:space="preserve">N215T   </v>
      </c>
      <c r="BF4680">
        <v>1</v>
      </c>
      <c r="BH4680">
        <v>0</v>
      </c>
      <c r="BI4680">
        <v>0</v>
      </c>
      <c r="BJ4680">
        <v>0</v>
      </c>
      <c r="BK4680">
        <v>450</v>
      </c>
      <c r="BL4680">
        <v>450</v>
      </c>
      <c r="BM4680" t="s">
        <v>119</v>
      </c>
      <c r="BN4680">
        <v>1</v>
      </c>
      <c r="BO4680">
        <v>1</v>
      </c>
      <c r="BP4680">
        <v>1</v>
      </c>
      <c r="BQ4680">
        <v>0</v>
      </c>
      <c r="BT4680">
        <v>0</v>
      </c>
      <c r="BU4680">
        <v>0</v>
      </c>
      <c r="BV4680">
        <v>0</v>
      </c>
      <c r="CC4680" t="str">
        <f>"19:55:18.844"</f>
        <v>19:55:18.844</v>
      </c>
      <c r="CD4680" t="str">
        <f>"842337597"</f>
        <v>842337597</v>
      </c>
      <c r="CQ4680">
        <v>0</v>
      </c>
      <c r="CR4680">
        <v>2</v>
      </c>
      <c r="CS4680">
        <v>0</v>
      </c>
      <c r="CT4680">
        <v>2</v>
      </c>
      <c r="CU4680">
        <v>0</v>
      </c>
      <c r="CV4680">
        <v>5</v>
      </c>
      <c r="CW4680" t="s">
        <v>120</v>
      </c>
      <c r="CX4680">
        <v>257</v>
      </c>
      <c r="CY4680">
        <v>0</v>
      </c>
      <c r="CZ4680" t="s">
        <v>615</v>
      </c>
      <c r="DA4680" t="s">
        <v>616</v>
      </c>
      <c r="DD4680">
        <v>122410</v>
      </c>
      <c r="DE4680" t="s">
        <v>123</v>
      </c>
    </row>
    <row r="4681" spans="1:109" x14ac:dyDescent="0.3">
      <c r="A4681" t="str">
        <f>"19:55:20.039"</f>
        <v>19:55:20.039</v>
      </c>
      <c r="B4681" t="s">
        <v>110</v>
      </c>
      <c r="C4681" t="str">
        <f t="shared" si="223"/>
        <v>ffdfd3c0</v>
      </c>
      <c r="D4681" t="s">
        <v>111</v>
      </c>
      <c r="E4681">
        <v>18</v>
      </c>
      <c r="F4681">
        <v>1018</v>
      </c>
      <c r="G4681" t="s">
        <v>112</v>
      </c>
      <c r="J4681" t="s">
        <v>113</v>
      </c>
      <c r="K4681">
        <v>0</v>
      </c>
      <c r="L4681">
        <v>3</v>
      </c>
      <c r="M4681">
        <v>0</v>
      </c>
      <c r="N4681">
        <v>2</v>
      </c>
      <c r="O4681">
        <v>1</v>
      </c>
      <c r="P4681">
        <v>0</v>
      </c>
      <c r="Q4681">
        <v>0</v>
      </c>
      <c r="R4681" t="s">
        <v>114</v>
      </c>
      <c r="S4681" t="str">
        <f>"19:55:19.813"</f>
        <v>19:55:19.813</v>
      </c>
      <c r="T4681" t="str">
        <f>"19:55:19.414"</f>
        <v>19:55:19.414</v>
      </c>
      <c r="U4681" t="str">
        <f t="shared" si="224"/>
        <v>a1cdbe</v>
      </c>
      <c r="V4681">
        <v>0</v>
      </c>
      <c r="W4681">
        <v>0</v>
      </c>
      <c r="X4681">
        <v>2</v>
      </c>
      <c r="Y4681">
        <v>0</v>
      </c>
      <c r="Z4681">
        <v>0</v>
      </c>
      <c r="AB4681">
        <v>0</v>
      </c>
      <c r="AC4681">
        <v>9</v>
      </c>
      <c r="AD4681">
        <v>3</v>
      </c>
      <c r="AE4681">
        <v>0</v>
      </c>
      <c r="AF4681">
        <v>9</v>
      </c>
      <c r="AG4681" t="s">
        <v>115</v>
      </c>
      <c r="AH4681">
        <v>0</v>
      </c>
      <c r="AI4681">
        <v>0</v>
      </c>
      <c r="AJ4681">
        <v>1</v>
      </c>
      <c r="AK4681">
        <v>0</v>
      </c>
      <c r="AL4681" t="s">
        <v>8194</v>
      </c>
      <c r="AM4681">
        <v>47.070321999999997</v>
      </c>
      <c r="AN4681" t="s">
        <v>8363</v>
      </c>
      <c r="AO4681">
        <v>-124.10388</v>
      </c>
      <c r="AP4681">
        <v>100</v>
      </c>
      <c r="AQ4681">
        <v>0</v>
      </c>
      <c r="AR4681" t="s">
        <v>118</v>
      </c>
      <c r="AS4681">
        <v>27</v>
      </c>
      <c r="AT4681">
        <v>-38</v>
      </c>
      <c r="AU4681">
        <v>-320</v>
      </c>
      <c r="BC4681">
        <v>1200</v>
      </c>
      <c r="BD4681">
        <v>1</v>
      </c>
      <c r="BE4681" t="str">
        <f t="shared" si="225"/>
        <v xml:space="preserve">N215T   </v>
      </c>
      <c r="BF4681">
        <v>1</v>
      </c>
      <c r="BH4681">
        <v>0</v>
      </c>
      <c r="BI4681">
        <v>0</v>
      </c>
      <c r="BJ4681">
        <v>0</v>
      </c>
      <c r="BK4681">
        <v>425</v>
      </c>
      <c r="BL4681">
        <v>425</v>
      </c>
      <c r="BM4681" t="s">
        <v>119</v>
      </c>
      <c r="BN4681">
        <v>1</v>
      </c>
      <c r="BO4681">
        <v>1</v>
      </c>
      <c r="BP4681">
        <v>1</v>
      </c>
      <c r="BQ4681">
        <v>0</v>
      </c>
      <c r="BT4681">
        <v>0</v>
      </c>
      <c r="BU4681">
        <v>0</v>
      </c>
      <c r="BV4681">
        <v>0</v>
      </c>
      <c r="CC4681" t="str">
        <f>"19:55:19.820"</f>
        <v>19:55:19.820</v>
      </c>
      <c r="CD4681" t="str">
        <f>"817241435"</f>
        <v>817241435</v>
      </c>
      <c r="CQ4681">
        <v>0</v>
      </c>
      <c r="CR4681">
        <v>2</v>
      </c>
      <c r="CS4681">
        <v>0</v>
      </c>
      <c r="CT4681">
        <v>2</v>
      </c>
      <c r="CU4681">
        <v>0</v>
      </c>
      <c r="CV4681">
        <v>6</v>
      </c>
      <c r="CW4681" t="s">
        <v>120</v>
      </c>
      <c r="CX4681">
        <v>257</v>
      </c>
      <c r="CY4681">
        <v>0</v>
      </c>
      <c r="CZ4681" t="s">
        <v>615</v>
      </c>
      <c r="DA4681" t="s">
        <v>616</v>
      </c>
      <c r="DD4681">
        <v>122754</v>
      </c>
      <c r="DE4681" t="s">
        <v>123</v>
      </c>
    </row>
    <row r="4682" spans="1:109" x14ac:dyDescent="0.3">
      <c r="A4682" t="str">
        <f>"19:55:21.195"</f>
        <v>19:55:21.195</v>
      </c>
      <c r="B4682" t="s">
        <v>110</v>
      </c>
      <c r="C4682" t="str">
        <f t="shared" si="223"/>
        <v>ffdfd3c0</v>
      </c>
      <c r="D4682" t="s">
        <v>111</v>
      </c>
      <c r="E4682">
        <v>18</v>
      </c>
      <c r="F4682">
        <v>1018</v>
      </c>
      <c r="G4682" t="s">
        <v>112</v>
      </c>
      <c r="J4682" t="s">
        <v>113</v>
      </c>
      <c r="K4682">
        <v>0</v>
      </c>
      <c r="L4682">
        <v>3</v>
      </c>
      <c r="M4682">
        <v>0</v>
      </c>
      <c r="N4682">
        <v>2</v>
      </c>
      <c r="O4682">
        <v>1</v>
      </c>
      <c r="P4682">
        <v>0</v>
      </c>
      <c r="Q4682">
        <v>0</v>
      </c>
      <c r="R4682" t="s">
        <v>114</v>
      </c>
      <c r="S4682" t="str">
        <f>"19:55:20.938"</f>
        <v>19:55:20.938</v>
      </c>
      <c r="T4682" t="str">
        <f>"19:55:20.836"</f>
        <v>19:55:20.836</v>
      </c>
      <c r="U4682" t="str">
        <f t="shared" si="224"/>
        <v>a1cdbe</v>
      </c>
      <c r="V4682">
        <v>0</v>
      </c>
      <c r="W4682">
        <v>0</v>
      </c>
      <c r="X4682">
        <v>2</v>
      </c>
      <c r="Y4682">
        <v>0</v>
      </c>
      <c r="Z4682">
        <v>0</v>
      </c>
      <c r="AB4682">
        <v>0</v>
      </c>
      <c r="AC4682">
        <v>9</v>
      </c>
      <c r="AD4682">
        <v>3</v>
      </c>
      <c r="AE4682">
        <v>0</v>
      </c>
      <c r="AF4682">
        <v>9</v>
      </c>
      <c r="AG4682" t="s">
        <v>115</v>
      </c>
      <c r="AH4682">
        <v>0</v>
      </c>
      <c r="AI4682">
        <v>0</v>
      </c>
      <c r="AJ4682">
        <v>1</v>
      </c>
      <c r="AK4682">
        <v>0</v>
      </c>
      <c r="AL4682" t="s">
        <v>8364</v>
      </c>
      <c r="AM4682">
        <v>47.070086000000003</v>
      </c>
      <c r="AN4682" t="s">
        <v>8365</v>
      </c>
      <c r="AO4682">
        <v>-124.103751</v>
      </c>
      <c r="AP4682">
        <v>100</v>
      </c>
      <c r="AQ4682">
        <v>0</v>
      </c>
      <c r="AR4682" t="s">
        <v>118</v>
      </c>
      <c r="AS4682">
        <v>22</v>
      </c>
      <c r="AT4682">
        <v>-40</v>
      </c>
      <c r="AU4682">
        <v>-320</v>
      </c>
      <c r="BC4682">
        <v>1200</v>
      </c>
      <c r="BD4682">
        <v>1</v>
      </c>
      <c r="BE4682" t="str">
        <f t="shared" si="225"/>
        <v xml:space="preserve">N215T   </v>
      </c>
      <c r="BF4682">
        <v>1</v>
      </c>
      <c r="BH4682">
        <v>0</v>
      </c>
      <c r="BI4682">
        <v>0</v>
      </c>
      <c r="BJ4682">
        <v>0</v>
      </c>
      <c r="BK4682">
        <v>425</v>
      </c>
      <c r="BL4682">
        <v>425</v>
      </c>
      <c r="BM4682" t="s">
        <v>119</v>
      </c>
      <c r="BN4682">
        <v>1</v>
      </c>
      <c r="BO4682">
        <v>1</v>
      </c>
      <c r="BP4682">
        <v>1</v>
      </c>
      <c r="BQ4682">
        <v>0</v>
      </c>
      <c r="BT4682">
        <v>0</v>
      </c>
      <c r="BU4682">
        <v>0</v>
      </c>
      <c r="BV4682">
        <v>0</v>
      </c>
      <c r="CC4682" t="str">
        <f>"19:55:20.945"</f>
        <v>19:55:20.945</v>
      </c>
      <c r="CD4682" t="str">
        <f>"942130486"</f>
        <v>942130486</v>
      </c>
      <c r="CQ4682">
        <v>0</v>
      </c>
      <c r="CR4682">
        <v>2</v>
      </c>
      <c r="CS4682">
        <v>0</v>
      </c>
      <c r="CT4682">
        <v>2</v>
      </c>
      <c r="CU4682">
        <v>0</v>
      </c>
      <c r="CV4682">
        <v>5</v>
      </c>
      <c r="CW4682" t="s">
        <v>120</v>
      </c>
      <c r="CX4682">
        <v>257</v>
      </c>
      <c r="CY4682">
        <v>0</v>
      </c>
      <c r="CZ4682" t="s">
        <v>615</v>
      </c>
      <c r="DA4682" t="s">
        <v>616</v>
      </c>
      <c r="DD4682">
        <v>123124</v>
      </c>
      <c r="DE4682" t="s">
        <v>123</v>
      </c>
    </row>
    <row r="4683" spans="1:109" x14ac:dyDescent="0.3">
      <c r="A4683" t="str">
        <f>"19:55:22.250"</f>
        <v>19:55:22.250</v>
      </c>
      <c r="B4683" t="s">
        <v>110</v>
      </c>
      <c r="C4683" t="str">
        <f t="shared" si="223"/>
        <v>ffdfd3c0</v>
      </c>
      <c r="D4683" t="s">
        <v>111</v>
      </c>
      <c r="E4683">
        <v>18</v>
      </c>
      <c r="F4683">
        <v>1018</v>
      </c>
      <c r="G4683" t="s">
        <v>112</v>
      </c>
      <c r="J4683" t="s">
        <v>113</v>
      </c>
      <c r="K4683">
        <v>0</v>
      </c>
      <c r="L4683">
        <v>3</v>
      </c>
      <c r="M4683">
        <v>0</v>
      </c>
      <c r="N4683">
        <v>2</v>
      </c>
      <c r="O4683">
        <v>1</v>
      </c>
      <c r="P4683">
        <v>0</v>
      </c>
      <c r="Q4683">
        <v>0</v>
      </c>
      <c r="R4683" t="s">
        <v>114</v>
      </c>
      <c r="S4683" t="str">
        <f>"19:55:21.977"</f>
        <v>19:55:21.977</v>
      </c>
      <c r="T4683" t="str">
        <f>"19:55:21.773"</f>
        <v>19:55:21.773</v>
      </c>
      <c r="U4683" t="str">
        <f t="shared" si="224"/>
        <v>a1cdbe</v>
      </c>
      <c r="V4683">
        <v>0</v>
      </c>
      <c r="W4683">
        <v>0</v>
      </c>
      <c r="X4683">
        <v>2</v>
      </c>
      <c r="Y4683">
        <v>0</v>
      </c>
      <c r="Z4683">
        <v>0</v>
      </c>
      <c r="AB4683">
        <v>0</v>
      </c>
      <c r="AC4683">
        <v>9</v>
      </c>
      <c r="AD4683">
        <v>3</v>
      </c>
      <c r="AE4683">
        <v>0</v>
      </c>
      <c r="AF4683">
        <v>9</v>
      </c>
      <c r="AG4683" t="s">
        <v>115</v>
      </c>
      <c r="AH4683">
        <v>0</v>
      </c>
      <c r="AI4683">
        <v>0</v>
      </c>
      <c r="AJ4683">
        <v>1</v>
      </c>
      <c r="AK4683">
        <v>0</v>
      </c>
      <c r="AL4683" t="s">
        <v>8366</v>
      </c>
      <c r="AM4683">
        <v>47.069913999999997</v>
      </c>
      <c r="AN4683" t="s">
        <v>8367</v>
      </c>
      <c r="AO4683">
        <v>-124.103622</v>
      </c>
      <c r="AP4683">
        <v>100</v>
      </c>
      <c r="AQ4683">
        <v>0</v>
      </c>
      <c r="AR4683" t="s">
        <v>118</v>
      </c>
      <c r="AS4683">
        <v>18</v>
      </c>
      <c r="AT4683">
        <v>-41</v>
      </c>
      <c r="AU4683">
        <v>-384</v>
      </c>
      <c r="BC4683">
        <v>1200</v>
      </c>
      <c r="BD4683">
        <v>1</v>
      </c>
      <c r="BE4683" t="str">
        <f t="shared" si="225"/>
        <v xml:space="preserve">N215T   </v>
      </c>
      <c r="BF4683">
        <v>1</v>
      </c>
      <c r="BH4683">
        <v>0</v>
      </c>
      <c r="BI4683">
        <v>0</v>
      </c>
      <c r="BJ4683">
        <v>0</v>
      </c>
      <c r="BK4683">
        <v>425</v>
      </c>
      <c r="BL4683">
        <v>425</v>
      </c>
      <c r="BM4683" t="s">
        <v>119</v>
      </c>
      <c r="BN4683">
        <v>1</v>
      </c>
      <c r="BO4683">
        <v>1</v>
      </c>
      <c r="BP4683">
        <v>1</v>
      </c>
      <c r="BQ4683">
        <v>0</v>
      </c>
      <c r="BT4683">
        <v>0</v>
      </c>
      <c r="BU4683">
        <v>0</v>
      </c>
      <c r="BV4683">
        <v>0</v>
      </c>
      <c r="CC4683" t="str">
        <f>"19:55:21.977"</f>
        <v>19:55:21.977</v>
      </c>
      <c r="CD4683" t="str">
        <f>"977028406"</f>
        <v>977028406</v>
      </c>
      <c r="CQ4683">
        <v>0</v>
      </c>
      <c r="CR4683">
        <v>2</v>
      </c>
      <c r="CS4683">
        <v>0</v>
      </c>
      <c r="CT4683">
        <v>2</v>
      </c>
      <c r="CU4683">
        <v>0</v>
      </c>
      <c r="CV4683">
        <v>5</v>
      </c>
      <c r="CW4683" t="s">
        <v>120</v>
      </c>
      <c r="CX4683">
        <v>257</v>
      </c>
      <c r="CY4683">
        <v>0</v>
      </c>
      <c r="CZ4683" t="s">
        <v>615</v>
      </c>
      <c r="DA4683" t="s">
        <v>616</v>
      </c>
      <c r="DD4683">
        <v>123495</v>
      </c>
      <c r="DE4683" t="s">
        <v>123</v>
      </c>
    </row>
    <row r="4684" spans="1:109" x14ac:dyDescent="0.3">
      <c r="A4684" t="str">
        <f>"19:55:23.352"</f>
        <v>19:55:23.352</v>
      </c>
      <c r="B4684" t="s">
        <v>110</v>
      </c>
      <c r="C4684" t="str">
        <f t="shared" si="223"/>
        <v>ffdfd3c0</v>
      </c>
      <c r="D4684" t="s">
        <v>111</v>
      </c>
      <c r="E4684">
        <v>18</v>
      </c>
      <c r="F4684">
        <v>1018</v>
      </c>
      <c r="G4684" t="s">
        <v>112</v>
      </c>
      <c r="J4684" t="s">
        <v>113</v>
      </c>
      <c r="K4684">
        <v>0</v>
      </c>
      <c r="L4684">
        <v>3</v>
      </c>
      <c r="M4684">
        <v>0</v>
      </c>
      <c r="N4684">
        <v>2</v>
      </c>
      <c r="O4684">
        <v>1</v>
      </c>
      <c r="P4684">
        <v>0</v>
      </c>
      <c r="Q4684">
        <v>0</v>
      </c>
      <c r="R4684" t="s">
        <v>114</v>
      </c>
      <c r="S4684" t="str">
        <f>"19:55:23.125"</f>
        <v>19:55:23.125</v>
      </c>
      <c r="T4684" t="str">
        <f>"19:55:22.828"</f>
        <v>19:55:22.828</v>
      </c>
      <c r="U4684" t="str">
        <f t="shared" si="224"/>
        <v>a1cdbe</v>
      </c>
      <c r="V4684">
        <v>0</v>
      </c>
      <c r="W4684">
        <v>0</v>
      </c>
      <c r="X4684">
        <v>2</v>
      </c>
      <c r="Y4684">
        <v>0</v>
      </c>
      <c r="Z4684">
        <v>0</v>
      </c>
      <c r="AB4684">
        <v>0</v>
      </c>
      <c r="AC4684">
        <v>9</v>
      </c>
      <c r="AD4684">
        <v>3</v>
      </c>
      <c r="AE4684">
        <v>0</v>
      </c>
      <c r="AF4684">
        <v>9</v>
      </c>
      <c r="AG4684" t="s">
        <v>115</v>
      </c>
      <c r="AH4684">
        <v>0</v>
      </c>
      <c r="AI4684">
        <v>0</v>
      </c>
      <c r="AJ4684">
        <v>1</v>
      </c>
      <c r="AK4684">
        <v>0</v>
      </c>
      <c r="AL4684" t="s">
        <v>8368</v>
      </c>
      <c r="AM4684">
        <v>47.069656999999999</v>
      </c>
      <c r="AN4684" t="s">
        <v>8369</v>
      </c>
      <c r="AO4684">
        <v>-124.103472</v>
      </c>
      <c r="AP4684">
        <v>100</v>
      </c>
      <c r="AQ4684">
        <v>0</v>
      </c>
      <c r="AR4684" t="s">
        <v>118</v>
      </c>
      <c r="AS4684">
        <v>13</v>
      </c>
      <c r="AT4684">
        <v>-43</v>
      </c>
      <c r="AU4684">
        <v>-448</v>
      </c>
      <c r="BC4684">
        <v>1200</v>
      </c>
      <c r="BD4684">
        <v>1</v>
      </c>
      <c r="BE4684" t="str">
        <f t="shared" si="225"/>
        <v xml:space="preserve">N215T   </v>
      </c>
      <c r="BF4684">
        <v>1</v>
      </c>
      <c r="BH4684">
        <v>0</v>
      </c>
      <c r="BI4684">
        <v>0</v>
      </c>
      <c r="BJ4684">
        <v>0</v>
      </c>
      <c r="BK4684">
        <v>400</v>
      </c>
      <c r="BL4684">
        <v>400</v>
      </c>
      <c r="BM4684" t="s">
        <v>119</v>
      </c>
      <c r="BN4684">
        <v>1</v>
      </c>
      <c r="BO4684">
        <v>1</v>
      </c>
      <c r="BP4684">
        <v>1</v>
      </c>
      <c r="BQ4684">
        <v>0</v>
      </c>
      <c r="BT4684">
        <v>0</v>
      </c>
      <c r="BU4684">
        <v>0</v>
      </c>
      <c r="BV4684">
        <v>0</v>
      </c>
      <c r="CC4684" t="str">
        <f>"19:55:23.133"</f>
        <v>19:55:23.133</v>
      </c>
      <c r="CD4684" t="str">
        <f>"131914492"</f>
        <v>131914492</v>
      </c>
      <c r="CQ4684">
        <v>0</v>
      </c>
      <c r="CR4684">
        <v>2</v>
      </c>
      <c r="CS4684">
        <v>0</v>
      </c>
      <c r="CT4684">
        <v>2</v>
      </c>
      <c r="CU4684">
        <v>0</v>
      </c>
      <c r="CV4684">
        <v>6</v>
      </c>
      <c r="CW4684" t="s">
        <v>120</v>
      </c>
      <c r="CX4684">
        <v>257</v>
      </c>
      <c r="CY4684">
        <v>0</v>
      </c>
      <c r="CZ4684" t="s">
        <v>615</v>
      </c>
      <c r="DA4684" t="s">
        <v>616</v>
      </c>
      <c r="DD4684">
        <v>123871</v>
      </c>
      <c r="DE4684" t="s">
        <v>123</v>
      </c>
    </row>
    <row r="4685" spans="1:109" x14ac:dyDescent="0.3">
      <c r="A4685" t="str">
        <f>"19:55:24.211"</f>
        <v>19:55:24.211</v>
      </c>
      <c r="B4685" t="s">
        <v>110</v>
      </c>
      <c r="C4685" t="str">
        <f t="shared" si="223"/>
        <v>ffdfd3c0</v>
      </c>
      <c r="D4685" t="s">
        <v>111</v>
      </c>
      <c r="E4685">
        <v>18</v>
      </c>
      <c r="F4685">
        <v>1018</v>
      </c>
      <c r="G4685" t="s">
        <v>112</v>
      </c>
      <c r="J4685" t="s">
        <v>113</v>
      </c>
      <c r="K4685">
        <v>0</v>
      </c>
      <c r="L4685">
        <v>3</v>
      </c>
      <c r="M4685">
        <v>0</v>
      </c>
      <c r="N4685">
        <v>2</v>
      </c>
      <c r="O4685">
        <v>1</v>
      </c>
      <c r="P4685">
        <v>0</v>
      </c>
      <c r="Q4685">
        <v>0</v>
      </c>
      <c r="R4685" t="s">
        <v>114</v>
      </c>
      <c r="S4685" t="str">
        <f>"19:55:23.953"</f>
        <v>19:55:23.953</v>
      </c>
      <c r="T4685" t="str">
        <f>"19:55:23.453"</f>
        <v>19:55:23.453</v>
      </c>
      <c r="U4685" t="str">
        <f t="shared" si="224"/>
        <v>a1cdbe</v>
      </c>
      <c r="V4685">
        <v>0</v>
      </c>
      <c r="W4685">
        <v>0</v>
      </c>
      <c r="X4685">
        <v>2</v>
      </c>
      <c r="Y4685">
        <v>0</v>
      </c>
      <c r="Z4685">
        <v>0</v>
      </c>
      <c r="AB4685">
        <v>0</v>
      </c>
      <c r="AC4685">
        <v>9</v>
      </c>
      <c r="AD4685">
        <v>3</v>
      </c>
      <c r="AE4685">
        <v>0</v>
      </c>
      <c r="AF4685">
        <v>9</v>
      </c>
      <c r="AG4685" t="s">
        <v>115</v>
      </c>
      <c r="AH4685">
        <v>0</v>
      </c>
      <c r="AI4685">
        <v>0</v>
      </c>
      <c r="AJ4685">
        <v>1</v>
      </c>
      <c r="AK4685">
        <v>0</v>
      </c>
      <c r="AL4685" t="s">
        <v>8370</v>
      </c>
      <c r="AM4685">
        <v>47.069527999999998</v>
      </c>
      <c r="AN4685" t="s">
        <v>8369</v>
      </c>
      <c r="AO4685">
        <v>-124.103472</v>
      </c>
      <c r="AP4685">
        <v>100</v>
      </c>
      <c r="AQ4685">
        <v>0</v>
      </c>
      <c r="AR4685" t="s">
        <v>118</v>
      </c>
      <c r="AS4685">
        <v>10</v>
      </c>
      <c r="AT4685">
        <v>-43</v>
      </c>
      <c r="AU4685">
        <v>-512</v>
      </c>
      <c r="BC4685">
        <v>1200</v>
      </c>
      <c r="BD4685">
        <v>1</v>
      </c>
      <c r="BE4685" t="str">
        <f t="shared" si="225"/>
        <v xml:space="preserve">N215T   </v>
      </c>
      <c r="BF4685">
        <v>1</v>
      </c>
      <c r="BH4685">
        <v>0</v>
      </c>
      <c r="BI4685">
        <v>0</v>
      </c>
      <c r="BJ4685">
        <v>0</v>
      </c>
      <c r="BK4685">
        <v>400</v>
      </c>
      <c r="BL4685">
        <v>400</v>
      </c>
      <c r="BM4685" t="s">
        <v>119</v>
      </c>
      <c r="BN4685">
        <v>1</v>
      </c>
      <c r="BO4685">
        <v>1</v>
      </c>
      <c r="BP4685">
        <v>1</v>
      </c>
      <c r="BQ4685">
        <v>0</v>
      </c>
      <c r="BT4685">
        <v>0</v>
      </c>
      <c r="BU4685">
        <v>0</v>
      </c>
      <c r="BV4685">
        <v>0</v>
      </c>
      <c r="CC4685" t="str">
        <f>"19:55:23.953"</f>
        <v>19:55:23.953</v>
      </c>
      <c r="CD4685" t="str">
        <f>"956833133"</f>
        <v>956833133</v>
      </c>
      <c r="CQ4685">
        <v>0</v>
      </c>
      <c r="CR4685">
        <v>2</v>
      </c>
      <c r="CS4685">
        <v>0</v>
      </c>
      <c r="CT4685">
        <v>2</v>
      </c>
      <c r="CU4685">
        <v>0</v>
      </c>
      <c r="CV4685">
        <v>6</v>
      </c>
      <c r="CW4685" t="s">
        <v>120</v>
      </c>
      <c r="CX4685">
        <v>257</v>
      </c>
      <c r="CY4685">
        <v>0</v>
      </c>
      <c r="CZ4685" t="s">
        <v>615</v>
      </c>
      <c r="DA4685" t="s">
        <v>616</v>
      </c>
      <c r="DD4685">
        <v>124213</v>
      </c>
      <c r="DE4685" t="s">
        <v>123</v>
      </c>
    </row>
    <row r="4686" spans="1:109" x14ac:dyDescent="0.3">
      <c r="A4686" t="str">
        <f>"19:55:25.266"</f>
        <v>19:55:25.266</v>
      </c>
      <c r="B4686" t="s">
        <v>110</v>
      </c>
      <c r="C4686" t="str">
        <f t="shared" si="223"/>
        <v>ffdfd3c0</v>
      </c>
      <c r="D4686" t="s">
        <v>111</v>
      </c>
      <c r="E4686">
        <v>18</v>
      </c>
      <c r="F4686">
        <v>1018</v>
      </c>
      <c r="G4686" t="s">
        <v>112</v>
      </c>
      <c r="J4686" t="s">
        <v>113</v>
      </c>
      <c r="K4686">
        <v>0</v>
      </c>
      <c r="L4686">
        <v>3</v>
      </c>
      <c r="M4686">
        <v>0</v>
      </c>
      <c r="N4686">
        <v>2</v>
      </c>
      <c r="O4686">
        <v>1</v>
      </c>
      <c r="P4686">
        <v>0</v>
      </c>
      <c r="Q4686">
        <v>0</v>
      </c>
      <c r="R4686" t="s">
        <v>114</v>
      </c>
      <c r="S4686" t="str">
        <f>"19:55:25.031"</f>
        <v>19:55:25.031</v>
      </c>
      <c r="T4686" t="str">
        <f>"19:55:24.930"</f>
        <v>19:55:24.930</v>
      </c>
      <c r="U4686" t="str">
        <f t="shared" si="224"/>
        <v>a1cdbe</v>
      </c>
      <c r="V4686">
        <v>0</v>
      </c>
      <c r="W4686">
        <v>0</v>
      </c>
      <c r="X4686">
        <v>2</v>
      </c>
      <c r="Y4686">
        <v>0</v>
      </c>
      <c r="Z4686">
        <v>0</v>
      </c>
      <c r="AB4686">
        <v>0</v>
      </c>
      <c r="AC4686">
        <v>9</v>
      </c>
      <c r="AD4686">
        <v>3</v>
      </c>
      <c r="AE4686">
        <v>0</v>
      </c>
      <c r="AF4686">
        <v>9</v>
      </c>
      <c r="AG4686" t="s">
        <v>115</v>
      </c>
      <c r="AH4686">
        <v>0</v>
      </c>
      <c r="AI4686">
        <v>0</v>
      </c>
      <c r="AJ4686">
        <v>1</v>
      </c>
      <c r="AK4686">
        <v>0</v>
      </c>
      <c r="AL4686" t="s">
        <v>8371</v>
      </c>
      <c r="AM4686">
        <v>47.069291999999997</v>
      </c>
      <c r="AN4686" t="s">
        <v>8372</v>
      </c>
      <c r="AO4686">
        <v>-124.103386</v>
      </c>
      <c r="AP4686">
        <v>100</v>
      </c>
      <c r="AQ4686">
        <v>0</v>
      </c>
      <c r="AR4686" t="s">
        <v>118</v>
      </c>
      <c r="AS4686">
        <v>1</v>
      </c>
      <c r="AT4686">
        <v>-44</v>
      </c>
      <c r="AU4686">
        <v>-576</v>
      </c>
      <c r="BC4686">
        <v>1200</v>
      </c>
      <c r="BD4686">
        <v>1</v>
      </c>
      <c r="BE4686" t="str">
        <f t="shared" si="225"/>
        <v xml:space="preserve">N215T   </v>
      </c>
      <c r="BF4686">
        <v>1</v>
      </c>
      <c r="BH4686">
        <v>0</v>
      </c>
      <c r="BI4686">
        <v>0</v>
      </c>
      <c r="BJ4686">
        <v>0</v>
      </c>
      <c r="BK4686">
        <v>400</v>
      </c>
      <c r="BL4686">
        <v>400</v>
      </c>
      <c r="BM4686" t="s">
        <v>119</v>
      </c>
      <c r="BN4686">
        <v>1</v>
      </c>
      <c r="BO4686">
        <v>1</v>
      </c>
      <c r="BP4686">
        <v>1</v>
      </c>
      <c r="BQ4686">
        <v>0</v>
      </c>
      <c r="BT4686">
        <v>0</v>
      </c>
      <c r="BU4686">
        <v>0</v>
      </c>
      <c r="BV4686">
        <v>0</v>
      </c>
      <c r="CC4686" t="str">
        <f>"19:55:25.039"</f>
        <v>19:55:25.039</v>
      </c>
      <c r="CD4686" t="str">
        <f>"036726618"</f>
        <v>036726618</v>
      </c>
      <c r="CQ4686">
        <v>0</v>
      </c>
      <c r="CR4686">
        <v>2</v>
      </c>
      <c r="CS4686">
        <v>0</v>
      </c>
      <c r="CT4686">
        <v>2</v>
      </c>
      <c r="CU4686">
        <v>0</v>
      </c>
      <c r="CV4686">
        <v>6</v>
      </c>
      <c r="CW4686" t="s">
        <v>120</v>
      </c>
      <c r="CX4686">
        <v>257</v>
      </c>
      <c r="CY4686">
        <v>0</v>
      </c>
      <c r="CZ4686" t="s">
        <v>615</v>
      </c>
      <c r="DA4686" t="s">
        <v>616</v>
      </c>
      <c r="DD4686">
        <v>124575</v>
      </c>
      <c r="DE4686" t="s">
        <v>123</v>
      </c>
    </row>
    <row r="4687" spans="1:109" x14ac:dyDescent="0.3">
      <c r="A4687" t="str">
        <f>"19:55:26.172"</f>
        <v>19:55:26.172</v>
      </c>
      <c r="B4687" t="s">
        <v>110</v>
      </c>
      <c r="C4687" t="str">
        <f t="shared" si="223"/>
        <v>ffdfd3c0</v>
      </c>
      <c r="D4687" t="s">
        <v>111</v>
      </c>
      <c r="E4687">
        <v>18</v>
      </c>
      <c r="F4687">
        <v>1018</v>
      </c>
      <c r="G4687" t="s">
        <v>112</v>
      </c>
      <c r="J4687" t="s">
        <v>113</v>
      </c>
      <c r="K4687">
        <v>0</v>
      </c>
      <c r="L4687">
        <v>3</v>
      </c>
      <c r="M4687">
        <v>0</v>
      </c>
      <c r="N4687">
        <v>2</v>
      </c>
      <c r="O4687">
        <v>1</v>
      </c>
      <c r="P4687">
        <v>0</v>
      </c>
      <c r="Q4687">
        <v>0</v>
      </c>
      <c r="R4687" t="s">
        <v>114</v>
      </c>
      <c r="S4687" t="str">
        <f>"19:55:25.930"</f>
        <v>19:55:25.930</v>
      </c>
      <c r="T4687" t="str">
        <f>"19:55:25.930"</f>
        <v>19:55:25.930</v>
      </c>
      <c r="U4687" t="str">
        <f t="shared" si="224"/>
        <v>a1cdbe</v>
      </c>
      <c r="V4687">
        <v>0</v>
      </c>
      <c r="W4687">
        <v>0</v>
      </c>
      <c r="X4687">
        <v>2</v>
      </c>
      <c r="Y4687">
        <v>0</v>
      </c>
      <c r="Z4687">
        <v>0</v>
      </c>
      <c r="AB4687">
        <v>0</v>
      </c>
      <c r="AC4687">
        <v>9</v>
      </c>
      <c r="AD4687">
        <v>3</v>
      </c>
      <c r="AE4687">
        <v>0</v>
      </c>
      <c r="AF4687">
        <v>9</v>
      </c>
      <c r="AG4687" t="s">
        <v>115</v>
      </c>
      <c r="AH4687">
        <v>0</v>
      </c>
      <c r="AI4687">
        <v>0</v>
      </c>
      <c r="AJ4687">
        <v>1</v>
      </c>
      <c r="AK4687">
        <v>0</v>
      </c>
      <c r="AL4687" t="s">
        <v>8373</v>
      </c>
      <c r="AM4687">
        <v>47.069099000000001</v>
      </c>
      <c r="AN4687" t="s">
        <v>8369</v>
      </c>
      <c r="AO4687">
        <v>-124.103472</v>
      </c>
      <c r="AP4687">
        <v>100</v>
      </c>
      <c r="AQ4687">
        <v>0</v>
      </c>
      <c r="AR4687" t="s">
        <v>118</v>
      </c>
      <c r="AS4687">
        <v>-5</v>
      </c>
      <c r="AT4687">
        <v>-42</v>
      </c>
      <c r="AU4687">
        <v>-512</v>
      </c>
      <c r="BC4687">
        <v>1200</v>
      </c>
      <c r="BD4687">
        <v>1</v>
      </c>
      <c r="BE4687" t="str">
        <f t="shared" si="225"/>
        <v xml:space="preserve">N215T   </v>
      </c>
      <c r="BF4687">
        <v>1</v>
      </c>
      <c r="BH4687">
        <v>0</v>
      </c>
      <c r="BI4687">
        <v>0</v>
      </c>
      <c r="BJ4687">
        <v>0</v>
      </c>
      <c r="BK4687">
        <v>375</v>
      </c>
      <c r="BL4687">
        <v>375</v>
      </c>
      <c r="BM4687" t="s">
        <v>119</v>
      </c>
      <c r="BN4687">
        <v>1</v>
      </c>
      <c r="BO4687">
        <v>1</v>
      </c>
      <c r="BP4687">
        <v>1</v>
      </c>
      <c r="BQ4687">
        <v>0</v>
      </c>
      <c r="BT4687">
        <v>0</v>
      </c>
      <c r="BU4687">
        <v>0</v>
      </c>
      <c r="BV4687">
        <v>0</v>
      </c>
      <c r="CC4687" t="str">
        <f>"19:55:25.938"</f>
        <v>19:55:25.938</v>
      </c>
      <c r="CD4687" t="str">
        <f>"936637864"</f>
        <v>936637864</v>
      </c>
      <c r="CQ4687">
        <v>0</v>
      </c>
      <c r="CR4687">
        <v>2</v>
      </c>
      <c r="CS4687">
        <v>0</v>
      </c>
      <c r="CT4687">
        <v>2</v>
      </c>
      <c r="CU4687">
        <v>0</v>
      </c>
      <c r="CV4687">
        <v>6</v>
      </c>
      <c r="CW4687" t="s">
        <v>120</v>
      </c>
      <c r="CX4687">
        <v>257</v>
      </c>
      <c r="CY4687">
        <v>0</v>
      </c>
      <c r="CZ4687" t="s">
        <v>615</v>
      </c>
      <c r="DA4687" t="s">
        <v>616</v>
      </c>
      <c r="DD4687">
        <v>124903</v>
      </c>
      <c r="DE4687" t="s">
        <v>123</v>
      </c>
    </row>
    <row r="4688" spans="1:109" x14ac:dyDescent="0.3">
      <c r="A4688" t="str">
        <f>"19:55:27.172"</f>
        <v>19:55:27.172</v>
      </c>
      <c r="B4688" t="s">
        <v>110</v>
      </c>
      <c r="C4688" t="str">
        <f t="shared" si="223"/>
        <v>ffdfd3c0</v>
      </c>
      <c r="D4688" t="s">
        <v>111</v>
      </c>
      <c r="E4688">
        <v>18</v>
      </c>
      <c r="F4688">
        <v>1018</v>
      </c>
      <c r="G4688" t="s">
        <v>112</v>
      </c>
      <c r="J4688" t="s">
        <v>113</v>
      </c>
      <c r="K4688">
        <v>0</v>
      </c>
      <c r="L4688">
        <v>3</v>
      </c>
      <c r="M4688">
        <v>0</v>
      </c>
      <c r="N4688">
        <v>2</v>
      </c>
      <c r="O4688">
        <v>1</v>
      </c>
      <c r="P4688">
        <v>0</v>
      </c>
      <c r="Q4688">
        <v>0</v>
      </c>
      <c r="R4688" t="s">
        <v>114</v>
      </c>
      <c r="S4688" t="str">
        <f>"19:55:26.891"</f>
        <v>19:55:26.891</v>
      </c>
      <c r="T4688" t="str">
        <f>"19:55:26.789"</f>
        <v>19:55:26.789</v>
      </c>
      <c r="U4688" t="str">
        <f t="shared" si="224"/>
        <v>a1cdbe</v>
      </c>
      <c r="V4688">
        <v>0</v>
      </c>
      <c r="W4688">
        <v>0</v>
      </c>
      <c r="X4688">
        <v>2</v>
      </c>
      <c r="Y4688">
        <v>0</v>
      </c>
      <c r="Z4688">
        <v>0</v>
      </c>
      <c r="AB4688">
        <v>0</v>
      </c>
      <c r="AC4688">
        <v>9</v>
      </c>
      <c r="AD4688">
        <v>3</v>
      </c>
      <c r="AE4688">
        <v>0</v>
      </c>
      <c r="AF4688">
        <v>9</v>
      </c>
      <c r="AG4688" t="s">
        <v>115</v>
      </c>
      <c r="AH4688">
        <v>0</v>
      </c>
      <c r="AI4688">
        <v>0</v>
      </c>
      <c r="AJ4688">
        <v>1</v>
      </c>
      <c r="AK4688">
        <v>0</v>
      </c>
      <c r="AL4688" t="s">
        <v>8374</v>
      </c>
      <c r="AM4688">
        <v>47.068949000000003</v>
      </c>
      <c r="AN4688" t="s">
        <v>8375</v>
      </c>
      <c r="AO4688">
        <v>-124.103494</v>
      </c>
      <c r="AP4688">
        <v>100</v>
      </c>
      <c r="AQ4688">
        <v>0</v>
      </c>
      <c r="AR4688" t="s">
        <v>118</v>
      </c>
      <c r="AS4688">
        <v>-11</v>
      </c>
      <c r="AT4688">
        <v>-40</v>
      </c>
      <c r="AU4688">
        <v>-576</v>
      </c>
      <c r="BC4688">
        <v>1200</v>
      </c>
      <c r="BD4688">
        <v>1</v>
      </c>
      <c r="BE4688" t="str">
        <f t="shared" si="225"/>
        <v xml:space="preserve">N215T   </v>
      </c>
      <c r="BF4688">
        <v>1</v>
      </c>
      <c r="BH4688">
        <v>0</v>
      </c>
      <c r="BI4688">
        <v>0</v>
      </c>
      <c r="BJ4688">
        <v>0</v>
      </c>
      <c r="BK4688">
        <v>375</v>
      </c>
      <c r="BL4688">
        <v>375</v>
      </c>
      <c r="BM4688" t="s">
        <v>119</v>
      </c>
      <c r="BN4688">
        <v>1</v>
      </c>
      <c r="BO4688">
        <v>1</v>
      </c>
      <c r="BP4688">
        <v>1</v>
      </c>
      <c r="BQ4688">
        <v>0</v>
      </c>
      <c r="BT4688">
        <v>0</v>
      </c>
      <c r="BU4688">
        <v>0</v>
      </c>
      <c r="BV4688">
        <v>0</v>
      </c>
      <c r="CC4688" t="str">
        <f>"19:55:26.898"</f>
        <v>19:55:26.898</v>
      </c>
      <c r="CD4688" t="str">
        <f>"896543205"</f>
        <v>896543205</v>
      </c>
      <c r="CQ4688">
        <v>0</v>
      </c>
      <c r="CR4688">
        <v>2</v>
      </c>
      <c r="CS4688">
        <v>0</v>
      </c>
      <c r="CT4688">
        <v>2</v>
      </c>
      <c r="CU4688">
        <v>0</v>
      </c>
      <c r="CV4688">
        <v>6</v>
      </c>
      <c r="CW4688" t="s">
        <v>120</v>
      </c>
      <c r="CX4688">
        <v>257</v>
      </c>
      <c r="CY4688">
        <v>0</v>
      </c>
      <c r="CZ4688" t="s">
        <v>615</v>
      </c>
      <c r="DA4688" t="s">
        <v>616</v>
      </c>
      <c r="DD4688">
        <v>125263</v>
      </c>
      <c r="DE4688" t="s">
        <v>123</v>
      </c>
    </row>
    <row r="4689" spans="1:109" x14ac:dyDescent="0.3">
      <c r="A4689" t="str">
        <f>"19:55:28.133"</f>
        <v>19:55:28.133</v>
      </c>
      <c r="B4689" t="s">
        <v>110</v>
      </c>
      <c r="C4689" t="str">
        <f t="shared" si="223"/>
        <v>ffdfd3c0</v>
      </c>
      <c r="D4689" t="s">
        <v>111</v>
      </c>
      <c r="E4689">
        <v>18</v>
      </c>
      <c r="F4689">
        <v>1018</v>
      </c>
      <c r="G4689" t="s">
        <v>112</v>
      </c>
      <c r="J4689" t="s">
        <v>113</v>
      </c>
      <c r="K4689">
        <v>0</v>
      </c>
      <c r="L4689">
        <v>3</v>
      </c>
      <c r="M4689">
        <v>0</v>
      </c>
      <c r="N4689">
        <v>2</v>
      </c>
      <c r="O4689">
        <v>1</v>
      </c>
      <c r="P4689">
        <v>0</v>
      </c>
      <c r="Q4689">
        <v>0</v>
      </c>
      <c r="R4689" t="s">
        <v>114</v>
      </c>
      <c r="S4689" t="str">
        <f>"19:55:27.898"</f>
        <v>19:55:27.898</v>
      </c>
      <c r="T4689" t="str">
        <f>"19:55:27.797"</f>
        <v>19:55:27.797</v>
      </c>
      <c r="U4689" t="str">
        <f t="shared" si="224"/>
        <v>a1cdbe</v>
      </c>
      <c r="V4689">
        <v>0</v>
      </c>
      <c r="W4689">
        <v>0</v>
      </c>
      <c r="X4689">
        <v>2</v>
      </c>
      <c r="Y4689">
        <v>0</v>
      </c>
      <c r="Z4689">
        <v>0</v>
      </c>
      <c r="AB4689">
        <v>0</v>
      </c>
      <c r="AC4689">
        <v>9</v>
      </c>
      <c r="AD4689">
        <v>3</v>
      </c>
      <c r="AE4689">
        <v>0</v>
      </c>
      <c r="AF4689">
        <v>9</v>
      </c>
      <c r="AG4689" t="s">
        <v>115</v>
      </c>
      <c r="AH4689">
        <v>0</v>
      </c>
      <c r="AI4689">
        <v>0</v>
      </c>
      <c r="AJ4689">
        <v>1</v>
      </c>
      <c r="AK4689">
        <v>0</v>
      </c>
      <c r="AL4689" t="s">
        <v>8376</v>
      </c>
      <c r="AM4689">
        <v>47.068776999999997</v>
      </c>
      <c r="AN4689" t="s">
        <v>8377</v>
      </c>
      <c r="AO4689">
        <v>-124.103601</v>
      </c>
      <c r="AP4689">
        <v>100</v>
      </c>
      <c r="AQ4689">
        <v>0</v>
      </c>
      <c r="AR4689" t="s">
        <v>118</v>
      </c>
      <c r="AS4689">
        <v>-16</v>
      </c>
      <c r="AT4689">
        <v>-38</v>
      </c>
      <c r="AU4689">
        <v>-512</v>
      </c>
      <c r="BC4689">
        <v>1200</v>
      </c>
      <c r="BD4689">
        <v>1</v>
      </c>
      <c r="BE4689" t="str">
        <f t="shared" si="225"/>
        <v xml:space="preserve">N215T   </v>
      </c>
      <c r="BF4689">
        <v>1</v>
      </c>
      <c r="BH4689">
        <v>0</v>
      </c>
      <c r="BI4689">
        <v>0</v>
      </c>
      <c r="BJ4689">
        <v>0</v>
      </c>
      <c r="BK4689">
        <v>375</v>
      </c>
      <c r="BL4689">
        <v>375</v>
      </c>
      <c r="BM4689" t="s">
        <v>119</v>
      </c>
      <c r="BN4689">
        <v>1</v>
      </c>
      <c r="BO4689">
        <v>1</v>
      </c>
      <c r="BP4689">
        <v>1</v>
      </c>
      <c r="BQ4689">
        <v>0</v>
      </c>
      <c r="BT4689">
        <v>0</v>
      </c>
      <c r="BU4689">
        <v>0</v>
      </c>
      <c r="BV4689">
        <v>0</v>
      </c>
      <c r="CC4689" t="str">
        <f>"19:55:27.898"</f>
        <v>19:55:27.898</v>
      </c>
      <c r="CD4689" t="str">
        <f>"901444111"</f>
        <v>901444111</v>
      </c>
      <c r="CQ4689">
        <v>0</v>
      </c>
      <c r="CR4689">
        <v>2</v>
      </c>
      <c r="CS4689">
        <v>0</v>
      </c>
      <c r="CT4689">
        <v>2</v>
      </c>
      <c r="CU4689">
        <v>0</v>
      </c>
      <c r="CV4689">
        <v>7</v>
      </c>
      <c r="CW4689" t="s">
        <v>120</v>
      </c>
      <c r="CX4689">
        <v>257</v>
      </c>
      <c r="CY4689">
        <v>0</v>
      </c>
      <c r="CZ4689" t="s">
        <v>615</v>
      </c>
      <c r="DA4689" t="s">
        <v>616</v>
      </c>
      <c r="DD4689">
        <v>125596</v>
      </c>
      <c r="DE4689" t="s">
        <v>123</v>
      </c>
    </row>
    <row r="4690" spans="1:109" x14ac:dyDescent="0.3">
      <c r="A4690" t="str">
        <f>"19:55:29.234"</f>
        <v>19:55:29.234</v>
      </c>
      <c r="B4690" t="s">
        <v>110</v>
      </c>
      <c r="C4690" t="str">
        <f t="shared" si="223"/>
        <v>ffdfd3c0</v>
      </c>
      <c r="D4690" t="s">
        <v>111</v>
      </c>
      <c r="E4690">
        <v>18</v>
      </c>
      <c r="F4690">
        <v>1018</v>
      </c>
      <c r="G4690" t="s">
        <v>112</v>
      </c>
      <c r="J4690" t="s">
        <v>113</v>
      </c>
      <c r="K4690">
        <v>0</v>
      </c>
      <c r="L4690">
        <v>3</v>
      </c>
      <c r="M4690">
        <v>0</v>
      </c>
      <c r="N4690">
        <v>2</v>
      </c>
      <c r="O4690">
        <v>1</v>
      </c>
      <c r="P4690">
        <v>0</v>
      </c>
      <c r="Q4690">
        <v>0</v>
      </c>
      <c r="R4690" t="s">
        <v>114</v>
      </c>
      <c r="S4690" t="str">
        <f>"19:55:28.977"</f>
        <v>19:55:28.977</v>
      </c>
      <c r="T4690" t="str">
        <f>"19:55:28.875"</f>
        <v>19:55:28.875</v>
      </c>
      <c r="U4690" t="str">
        <f t="shared" si="224"/>
        <v>a1cdbe</v>
      </c>
      <c r="V4690">
        <v>0</v>
      </c>
      <c r="W4690">
        <v>0</v>
      </c>
      <c r="X4690">
        <v>2</v>
      </c>
      <c r="Y4690">
        <v>0</v>
      </c>
      <c r="Z4690">
        <v>0</v>
      </c>
      <c r="AB4690">
        <v>0</v>
      </c>
      <c r="AC4690">
        <v>9</v>
      </c>
      <c r="AD4690">
        <v>3</v>
      </c>
      <c r="AE4690">
        <v>0</v>
      </c>
      <c r="AF4690">
        <v>9</v>
      </c>
      <c r="AG4690" t="s">
        <v>115</v>
      </c>
      <c r="AH4690">
        <v>0</v>
      </c>
      <c r="AI4690">
        <v>0</v>
      </c>
      <c r="AJ4690">
        <v>1</v>
      </c>
      <c r="AK4690">
        <v>0</v>
      </c>
      <c r="AL4690" t="s">
        <v>8378</v>
      </c>
      <c r="AM4690">
        <v>47.068604999999998</v>
      </c>
      <c r="AN4690" t="s">
        <v>8379</v>
      </c>
      <c r="AO4690">
        <v>-124.10381599999999</v>
      </c>
      <c r="AP4690">
        <v>100</v>
      </c>
      <c r="AQ4690">
        <v>0</v>
      </c>
      <c r="AR4690" t="s">
        <v>118</v>
      </c>
      <c r="AS4690">
        <v>-24</v>
      </c>
      <c r="AT4690">
        <v>-33</v>
      </c>
      <c r="AU4690">
        <v>-320</v>
      </c>
      <c r="BC4690">
        <v>1200</v>
      </c>
      <c r="BD4690">
        <v>1</v>
      </c>
      <c r="BE4690" t="str">
        <f t="shared" si="225"/>
        <v xml:space="preserve">N215T   </v>
      </c>
      <c r="BF4690">
        <v>1</v>
      </c>
      <c r="BH4690">
        <v>0</v>
      </c>
      <c r="BI4690">
        <v>0</v>
      </c>
      <c r="BJ4690">
        <v>0</v>
      </c>
      <c r="BK4690">
        <v>350</v>
      </c>
      <c r="BL4690">
        <v>350</v>
      </c>
      <c r="BM4690" t="s">
        <v>119</v>
      </c>
      <c r="BN4690">
        <v>1</v>
      </c>
      <c r="BO4690">
        <v>1</v>
      </c>
      <c r="BP4690">
        <v>1</v>
      </c>
      <c r="BQ4690">
        <v>0</v>
      </c>
      <c r="BT4690">
        <v>0</v>
      </c>
      <c r="BU4690">
        <v>0</v>
      </c>
      <c r="BV4690">
        <v>0</v>
      </c>
      <c r="CC4690" t="str">
        <f>"19:55:28.984"</f>
        <v>19:55:28.984</v>
      </c>
      <c r="CD4690" t="str">
        <f>"981337626"</f>
        <v>981337626</v>
      </c>
      <c r="CQ4690">
        <v>0</v>
      </c>
      <c r="CR4690">
        <v>2</v>
      </c>
      <c r="CS4690">
        <v>0</v>
      </c>
      <c r="CT4690">
        <v>2</v>
      </c>
      <c r="CU4690">
        <v>0</v>
      </c>
      <c r="CV4690">
        <v>7</v>
      </c>
      <c r="CW4690" t="s">
        <v>120</v>
      </c>
      <c r="CX4690">
        <v>257</v>
      </c>
      <c r="CY4690">
        <v>0</v>
      </c>
      <c r="CZ4690" t="s">
        <v>615</v>
      </c>
      <c r="DA4690" t="s">
        <v>616</v>
      </c>
      <c r="DD4690">
        <v>125970</v>
      </c>
      <c r="DE4690" t="s">
        <v>123</v>
      </c>
    </row>
    <row r="4691" spans="1:109" x14ac:dyDescent="0.3">
      <c r="A4691" t="str">
        <f>"19:55:30.188"</f>
        <v>19:55:30.188</v>
      </c>
      <c r="B4691" t="s">
        <v>110</v>
      </c>
      <c r="C4691" t="str">
        <f t="shared" si="223"/>
        <v>ffdfd3c0</v>
      </c>
      <c r="D4691" t="s">
        <v>111</v>
      </c>
      <c r="E4691">
        <v>18</v>
      </c>
      <c r="F4691">
        <v>1018</v>
      </c>
      <c r="G4691" t="s">
        <v>112</v>
      </c>
      <c r="J4691" t="s">
        <v>113</v>
      </c>
      <c r="K4691">
        <v>0</v>
      </c>
      <c r="L4691">
        <v>3</v>
      </c>
      <c r="M4691">
        <v>0</v>
      </c>
      <c r="N4691">
        <v>2</v>
      </c>
      <c r="O4691">
        <v>1</v>
      </c>
      <c r="P4691">
        <v>0</v>
      </c>
      <c r="Q4691">
        <v>0</v>
      </c>
      <c r="R4691" t="s">
        <v>114</v>
      </c>
      <c r="S4691" t="str">
        <f>"19:55:29.953"</f>
        <v>19:55:29.953</v>
      </c>
      <c r="T4691" t="str">
        <f>"19:55:29.852"</f>
        <v>19:55:29.852</v>
      </c>
      <c r="U4691" t="str">
        <f t="shared" si="224"/>
        <v>a1cdbe</v>
      </c>
      <c r="V4691">
        <v>0</v>
      </c>
      <c r="W4691">
        <v>0</v>
      </c>
      <c r="X4691">
        <v>2</v>
      </c>
      <c r="Y4691">
        <v>0</v>
      </c>
      <c r="Z4691">
        <v>0</v>
      </c>
      <c r="AB4691">
        <v>0</v>
      </c>
      <c r="AC4691">
        <v>9</v>
      </c>
      <c r="AD4691">
        <v>3</v>
      </c>
      <c r="AE4691">
        <v>0</v>
      </c>
      <c r="AF4691">
        <v>9</v>
      </c>
      <c r="AG4691" t="s">
        <v>115</v>
      </c>
      <c r="AH4691">
        <v>0</v>
      </c>
      <c r="AI4691">
        <v>0</v>
      </c>
      <c r="AJ4691">
        <v>1</v>
      </c>
      <c r="AK4691">
        <v>0</v>
      </c>
      <c r="AL4691" t="s">
        <v>8380</v>
      </c>
      <c r="AM4691">
        <v>47.068455</v>
      </c>
      <c r="AN4691" t="s">
        <v>8381</v>
      </c>
      <c r="AO4691">
        <v>-124.10402999999999</v>
      </c>
      <c r="AP4691">
        <v>100</v>
      </c>
      <c r="AQ4691">
        <v>0</v>
      </c>
      <c r="AR4691" t="s">
        <v>118</v>
      </c>
      <c r="AS4691">
        <v>-29</v>
      </c>
      <c r="AT4691">
        <v>-30</v>
      </c>
      <c r="AU4691">
        <v>-256</v>
      </c>
      <c r="BC4691">
        <v>1200</v>
      </c>
      <c r="BD4691">
        <v>1</v>
      </c>
      <c r="BE4691" t="str">
        <f t="shared" si="225"/>
        <v xml:space="preserve">N215T   </v>
      </c>
      <c r="BF4691">
        <v>1</v>
      </c>
      <c r="BH4691">
        <v>0</v>
      </c>
      <c r="BI4691">
        <v>0</v>
      </c>
      <c r="BJ4691">
        <v>0</v>
      </c>
      <c r="BK4691">
        <v>350</v>
      </c>
      <c r="BL4691">
        <v>350</v>
      </c>
      <c r="BM4691" t="s">
        <v>119</v>
      </c>
      <c r="BN4691">
        <v>1</v>
      </c>
      <c r="BO4691">
        <v>1</v>
      </c>
      <c r="BP4691">
        <v>1</v>
      </c>
      <c r="BQ4691">
        <v>0</v>
      </c>
      <c r="BT4691">
        <v>0</v>
      </c>
      <c r="BU4691">
        <v>0</v>
      </c>
      <c r="BV4691">
        <v>0</v>
      </c>
      <c r="CC4691" t="str">
        <f>"19:55:29.953"</f>
        <v>19:55:29.953</v>
      </c>
      <c r="CD4691" t="str">
        <f>"956241511"</f>
        <v>956241511</v>
      </c>
      <c r="CQ4691">
        <v>0</v>
      </c>
      <c r="CR4691">
        <v>2</v>
      </c>
      <c r="CS4691">
        <v>0</v>
      </c>
      <c r="CT4691">
        <v>2</v>
      </c>
      <c r="CU4691">
        <v>0</v>
      </c>
      <c r="CV4691">
        <v>7</v>
      </c>
      <c r="CW4691" t="s">
        <v>120</v>
      </c>
      <c r="CX4691">
        <v>257</v>
      </c>
      <c r="CY4691">
        <v>0</v>
      </c>
      <c r="CZ4691" t="s">
        <v>615</v>
      </c>
      <c r="DA4691" t="s">
        <v>616</v>
      </c>
      <c r="DD4691">
        <v>126269</v>
      </c>
      <c r="DE4691" t="s">
        <v>123</v>
      </c>
    </row>
    <row r="4692" spans="1:109" x14ac:dyDescent="0.3">
      <c r="A4692" t="str">
        <f>"19:55:31.242"</f>
        <v>19:55:31.242</v>
      </c>
      <c r="B4692" t="s">
        <v>110</v>
      </c>
      <c r="C4692" t="str">
        <f t="shared" si="223"/>
        <v>ffdfd3c0</v>
      </c>
      <c r="D4692" t="s">
        <v>111</v>
      </c>
      <c r="E4692">
        <v>18</v>
      </c>
      <c r="F4692">
        <v>1018</v>
      </c>
      <c r="G4692" t="s">
        <v>112</v>
      </c>
      <c r="J4692" t="s">
        <v>113</v>
      </c>
      <c r="K4692">
        <v>0</v>
      </c>
      <c r="L4692">
        <v>3</v>
      </c>
      <c r="M4692">
        <v>0</v>
      </c>
      <c r="N4692">
        <v>2</v>
      </c>
      <c r="O4692">
        <v>1</v>
      </c>
      <c r="P4692">
        <v>0</v>
      </c>
      <c r="Q4692">
        <v>0</v>
      </c>
      <c r="R4692" t="s">
        <v>114</v>
      </c>
      <c r="S4692" t="str">
        <f>"19:55:30.984"</f>
        <v>19:55:30.984</v>
      </c>
      <c r="T4692" t="str">
        <f>"19:55:30.484"</f>
        <v>19:55:30.484</v>
      </c>
      <c r="U4692" t="str">
        <f t="shared" si="224"/>
        <v>a1cdbe</v>
      </c>
      <c r="V4692">
        <v>0</v>
      </c>
      <c r="W4692">
        <v>0</v>
      </c>
      <c r="X4692">
        <v>2</v>
      </c>
      <c r="Y4692">
        <v>0</v>
      </c>
      <c r="Z4692">
        <v>0</v>
      </c>
      <c r="AB4692">
        <v>0</v>
      </c>
      <c r="AC4692">
        <v>9</v>
      </c>
      <c r="AD4692">
        <v>3</v>
      </c>
      <c r="AE4692">
        <v>0</v>
      </c>
      <c r="AF4692">
        <v>9</v>
      </c>
      <c r="AG4692" t="s">
        <v>115</v>
      </c>
      <c r="AH4692">
        <v>0</v>
      </c>
      <c r="AI4692">
        <v>0</v>
      </c>
      <c r="AJ4692">
        <v>1</v>
      </c>
      <c r="AK4692">
        <v>0</v>
      </c>
      <c r="AL4692" t="s">
        <v>8382</v>
      </c>
      <c r="AM4692">
        <v>47.068325999999999</v>
      </c>
      <c r="AN4692" t="s">
        <v>8361</v>
      </c>
      <c r="AO4692">
        <v>-124.10424500000001</v>
      </c>
      <c r="AP4692">
        <v>100</v>
      </c>
      <c r="AQ4692">
        <v>0</v>
      </c>
      <c r="AR4692" t="s">
        <v>118</v>
      </c>
      <c r="AS4692">
        <v>-31</v>
      </c>
      <c r="AT4692">
        <v>-28</v>
      </c>
      <c r="AU4692">
        <v>-256</v>
      </c>
      <c r="BC4692">
        <v>1200</v>
      </c>
      <c r="BD4692">
        <v>1</v>
      </c>
      <c r="BE4692" t="str">
        <f t="shared" si="225"/>
        <v xml:space="preserve">N215T   </v>
      </c>
      <c r="BF4692">
        <v>1</v>
      </c>
      <c r="BH4692">
        <v>0</v>
      </c>
      <c r="BI4692">
        <v>0</v>
      </c>
      <c r="BJ4692">
        <v>0</v>
      </c>
      <c r="BK4692">
        <v>350</v>
      </c>
      <c r="BL4692">
        <v>350</v>
      </c>
      <c r="BM4692" t="s">
        <v>119</v>
      </c>
      <c r="BN4692">
        <v>1</v>
      </c>
      <c r="BO4692">
        <v>1</v>
      </c>
      <c r="BP4692">
        <v>1</v>
      </c>
      <c r="BQ4692">
        <v>0</v>
      </c>
      <c r="BT4692">
        <v>0</v>
      </c>
      <c r="BU4692">
        <v>0</v>
      </c>
      <c r="BV4692">
        <v>0</v>
      </c>
      <c r="CC4692" t="str">
        <f>"19:55:30.992"</f>
        <v>19:55:30.992</v>
      </c>
      <c r="CD4692" t="str">
        <f>"991139476"</f>
        <v>991139476</v>
      </c>
      <c r="CQ4692">
        <v>0</v>
      </c>
      <c r="CR4692">
        <v>2</v>
      </c>
      <c r="CS4692">
        <v>0</v>
      </c>
      <c r="CT4692">
        <v>2</v>
      </c>
      <c r="CU4692">
        <v>0</v>
      </c>
      <c r="CV4692">
        <v>6</v>
      </c>
      <c r="CW4692" t="s">
        <v>120</v>
      </c>
      <c r="CX4692">
        <v>257</v>
      </c>
      <c r="CY4692">
        <v>0</v>
      </c>
      <c r="CZ4692" t="s">
        <v>615</v>
      </c>
      <c r="DA4692" t="s">
        <v>616</v>
      </c>
      <c r="DD4692">
        <v>126657</v>
      </c>
      <c r="DE4692" t="s">
        <v>123</v>
      </c>
    </row>
    <row r="4693" spans="1:109" x14ac:dyDescent="0.3">
      <c r="A4693" t="str">
        <f>"19:55:32.148"</f>
        <v>19:55:32.148</v>
      </c>
      <c r="B4693" t="s">
        <v>110</v>
      </c>
      <c r="C4693" t="str">
        <f t="shared" si="223"/>
        <v>ffdfd3c0</v>
      </c>
      <c r="D4693" t="s">
        <v>111</v>
      </c>
      <c r="E4693">
        <v>18</v>
      </c>
      <c r="F4693">
        <v>1018</v>
      </c>
      <c r="G4693" t="s">
        <v>112</v>
      </c>
      <c r="J4693" t="s">
        <v>113</v>
      </c>
      <c r="K4693">
        <v>0</v>
      </c>
      <c r="L4693">
        <v>3</v>
      </c>
      <c r="M4693">
        <v>0</v>
      </c>
      <c r="N4693">
        <v>2</v>
      </c>
      <c r="O4693">
        <v>1</v>
      </c>
      <c r="P4693">
        <v>0</v>
      </c>
      <c r="Q4693">
        <v>0</v>
      </c>
      <c r="R4693" t="s">
        <v>114</v>
      </c>
      <c r="S4693" t="str">
        <f>"19:55:31.875"</f>
        <v>19:55:31.875</v>
      </c>
      <c r="T4693" t="str">
        <f>"19:55:31.477"</f>
        <v>19:55:31.477</v>
      </c>
      <c r="U4693" t="str">
        <f t="shared" si="224"/>
        <v>a1cdbe</v>
      </c>
      <c r="V4693">
        <v>0</v>
      </c>
      <c r="W4693">
        <v>0</v>
      </c>
      <c r="X4693">
        <v>2</v>
      </c>
      <c r="Y4693">
        <v>0</v>
      </c>
      <c r="Z4693">
        <v>0</v>
      </c>
      <c r="AB4693">
        <v>0</v>
      </c>
      <c r="AC4693">
        <v>9</v>
      </c>
      <c r="AD4693">
        <v>3</v>
      </c>
      <c r="AE4693">
        <v>0</v>
      </c>
      <c r="AF4693">
        <v>9</v>
      </c>
      <c r="AG4693" t="s">
        <v>115</v>
      </c>
      <c r="AH4693">
        <v>0</v>
      </c>
      <c r="AI4693">
        <v>0</v>
      </c>
      <c r="AJ4693">
        <v>1</v>
      </c>
      <c r="AK4693">
        <v>0</v>
      </c>
      <c r="AL4693" t="s">
        <v>8175</v>
      </c>
      <c r="AM4693">
        <v>47.068176000000001</v>
      </c>
      <c r="AN4693" t="s">
        <v>8383</v>
      </c>
      <c r="AO4693">
        <v>-124.10445900000001</v>
      </c>
      <c r="AP4693">
        <v>100</v>
      </c>
      <c r="AQ4693">
        <v>-100</v>
      </c>
      <c r="AR4693" t="s">
        <v>118</v>
      </c>
      <c r="AS4693">
        <v>-33</v>
      </c>
      <c r="AT4693">
        <v>-27</v>
      </c>
      <c r="AU4693">
        <v>-256</v>
      </c>
      <c r="BC4693">
        <v>1200</v>
      </c>
      <c r="BD4693">
        <v>1</v>
      </c>
      <c r="BE4693" t="str">
        <f t="shared" si="225"/>
        <v xml:space="preserve">N215T   </v>
      </c>
      <c r="BF4693">
        <v>1</v>
      </c>
      <c r="BH4693">
        <v>0</v>
      </c>
      <c r="BI4693">
        <v>0</v>
      </c>
      <c r="BJ4693">
        <v>0</v>
      </c>
      <c r="BK4693">
        <v>450</v>
      </c>
      <c r="BL4693">
        <v>550</v>
      </c>
      <c r="BM4693" t="s">
        <v>119</v>
      </c>
      <c r="BN4693">
        <v>1</v>
      </c>
      <c r="BO4693">
        <v>1</v>
      </c>
      <c r="BP4693">
        <v>1</v>
      </c>
      <c r="BQ4693">
        <v>0</v>
      </c>
      <c r="BT4693">
        <v>0</v>
      </c>
      <c r="BU4693">
        <v>0</v>
      </c>
      <c r="BV4693">
        <v>0</v>
      </c>
      <c r="CC4693" t="str">
        <f>"19:55:31.875"</f>
        <v>19:55:31.875</v>
      </c>
      <c r="CD4693" t="str">
        <f>"876052256"</f>
        <v>876052256</v>
      </c>
      <c r="CQ4693">
        <v>0</v>
      </c>
      <c r="CR4693">
        <v>2</v>
      </c>
      <c r="CS4693">
        <v>0</v>
      </c>
      <c r="CT4693">
        <v>2</v>
      </c>
      <c r="CU4693">
        <v>0</v>
      </c>
      <c r="CV4693">
        <v>6</v>
      </c>
      <c r="CW4693" t="s">
        <v>120</v>
      </c>
      <c r="CX4693">
        <v>257</v>
      </c>
      <c r="CY4693">
        <v>0</v>
      </c>
      <c r="CZ4693" t="s">
        <v>615</v>
      </c>
      <c r="DA4693" t="s">
        <v>616</v>
      </c>
      <c r="DD4693">
        <v>126988</v>
      </c>
      <c r="DE4693" t="s">
        <v>123</v>
      </c>
    </row>
    <row r="4694" spans="1:109" x14ac:dyDescent="0.3">
      <c r="A4694" t="str">
        <f>"19:55:33.055"</f>
        <v>19:55:33.055</v>
      </c>
      <c r="B4694" t="s">
        <v>110</v>
      </c>
      <c r="C4694" t="str">
        <f t="shared" si="223"/>
        <v>ffdfd3c0</v>
      </c>
      <c r="D4694" t="s">
        <v>111</v>
      </c>
      <c r="E4694">
        <v>18</v>
      </c>
      <c r="F4694">
        <v>1018</v>
      </c>
      <c r="G4694" t="s">
        <v>112</v>
      </c>
      <c r="J4694" t="s">
        <v>113</v>
      </c>
      <c r="K4694">
        <v>0</v>
      </c>
      <c r="L4694">
        <v>3</v>
      </c>
      <c r="M4694">
        <v>0</v>
      </c>
      <c r="N4694">
        <v>2</v>
      </c>
      <c r="O4694">
        <v>1</v>
      </c>
      <c r="P4694">
        <v>0</v>
      </c>
      <c r="Q4694">
        <v>0</v>
      </c>
      <c r="R4694" t="s">
        <v>114</v>
      </c>
      <c r="S4694" t="str">
        <f>"19:55:32.805"</f>
        <v>19:55:32.805</v>
      </c>
      <c r="T4694" t="str">
        <f>"19:55:32.508"</f>
        <v>19:55:32.508</v>
      </c>
      <c r="U4694" t="str">
        <f t="shared" si="224"/>
        <v>a1cdbe</v>
      </c>
      <c r="V4694">
        <v>0</v>
      </c>
      <c r="W4694">
        <v>0</v>
      </c>
      <c r="X4694">
        <v>2</v>
      </c>
      <c r="Y4694">
        <v>0</v>
      </c>
      <c r="Z4694">
        <v>0</v>
      </c>
      <c r="AB4694">
        <v>0</v>
      </c>
      <c r="AC4694">
        <v>9</v>
      </c>
      <c r="AD4694">
        <v>3</v>
      </c>
      <c r="AE4694">
        <v>0</v>
      </c>
      <c r="AF4694">
        <v>9</v>
      </c>
      <c r="AG4694" t="s">
        <v>115</v>
      </c>
      <c r="AH4694">
        <v>0</v>
      </c>
      <c r="AI4694">
        <v>0</v>
      </c>
      <c r="AJ4694">
        <v>1</v>
      </c>
      <c r="AK4694">
        <v>0</v>
      </c>
      <c r="AL4694" t="s">
        <v>7478</v>
      </c>
      <c r="AM4694">
        <v>47.068089999999998</v>
      </c>
      <c r="AN4694" t="s">
        <v>8357</v>
      </c>
      <c r="AO4694">
        <v>-124.104652</v>
      </c>
      <c r="AP4694">
        <v>100</v>
      </c>
      <c r="AQ4694">
        <v>-100</v>
      </c>
      <c r="AR4694" t="s">
        <v>118</v>
      </c>
      <c r="AS4694">
        <v>-34</v>
      </c>
      <c r="AT4694">
        <v>-27</v>
      </c>
      <c r="AU4694">
        <v>-128</v>
      </c>
      <c r="BC4694">
        <v>1200</v>
      </c>
      <c r="BD4694">
        <v>1</v>
      </c>
      <c r="BE4694" t="str">
        <f t="shared" si="225"/>
        <v xml:space="preserve">N215T   </v>
      </c>
      <c r="BF4694">
        <v>1</v>
      </c>
      <c r="BH4694">
        <v>0</v>
      </c>
      <c r="BI4694">
        <v>0</v>
      </c>
      <c r="BJ4694">
        <v>0</v>
      </c>
      <c r="BK4694">
        <v>350</v>
      </c>
      <c r="BL4694">
        <v>450</v>
      </c>
      <c r="BM4694" t="s">
        <v>119</v>
      </c>
      <c r="BN4694">
        <v>1</v>
      </c>
      <c r="BO4694">
        <v>1</v>
      </c>
      <c r="BP4694">
        <v>1</v>
      </c>
      <c r="BQ4694">
        <v>0</v>
      </c>
      <c r="BT4694">
        <v>0</v>
      </c>
      <c r="BU4694">
        <v>0</v>
      </c>
      <c r="BV4694">
        <v>0</v>
      </c>
      <c r="CC4694" t="str">
        <f>"19:55:32.805"</f>
        <v>19:55:32.805</v>
      </c>
      <c r="CD4694" t="str">
        <f>"805960577"</f>
        <v>805960577</v>
      </c>
      <c r="CQ4694">
        <v>0</v>
      </c>
      <c r="CR4694">
        <v>2</v>
      </c>
      <c r="CS4694">
        <v>0</v>
      </c>
      <c r="CT4694">
        <v>2</v>
      </c>
      <c r="CU4694">
        <v>0</v>
      </c>
      <c r="CV4694">
        <v>6</v>
      </c>
      <c r="CW4694" t="s">
        <v>120</v>
      </c>
      <c r="CX4694">
        <v>257</v>
      </c>
      <c r="CY4694">
        <v>0</v>
      </c>
      <c r="CZ4694" t="s">
        <v>615</v>
      </c>
      <c r="DA4694" t="s">
        <v>616</v>
      </c>
      <c r="DD4694">
        <v>127300</v>
      </c>
      <c r="DE4694" t="s">
        <v>123</v>
      </c>
    </row>
    <row r="4695" spans="1:109" x14ac:dyDescent="0.3">
      <c r="A4695" t="str">
        <f>"19:55:33.906"</f>
        <v>19:55:33.906</v>
      </c>
      <c r="B4695" t="s">
        <v>110</v>
      </c>
      <c r="C4695" t="str">
        <f t="shared" si="223"/>
        <v>ffdfd3c0</v>
      </c>
      <c r="D4695" t="s">
        <v>111</v>
      </c>
      <c r="E4695">
        <v>18</v>
      </c>
      <c r="F4695">
        <v>1018</v>
      </c>
      <c r="G4695" t="s">
        <v>112</v>
      </c>
      <c r="J4695" t="s">
        <v>113</v>
      </c>
      <c r="K4695">
        <v>0</v>
      </c>
      <c r="L4695">
        <v>3</v>
      </c>
      <c r="M4695">
        <v>0</v>
      </c>
      <c r="N4695">
        <v>2</v>
      </c>
      <c r="O4695">
        <v>1</v>
      </c>
      <c r="P4695">
        <v>0</v>
      </c>
      <c r="Q4695">
        <v>0</v>
      </c>
      <c r="R4695" t="s">
        <v>114</v>
      </c>
      <c r="S4695" t="str">
        <f>"19:55:33.641"</f>
        <v>19:55:33.641</v>
      </c>
      <c r="T4695" t="str">
        <f>"19:55:33.438"</f>
        <v>19:55:33.438</v>
      </c>
      <c r="U4695" t="str">
        <f t="shared" si="224"/>
        <v>a1cdbe</v>
      </c>
      <c r="V4695">
        <v>0</v>
      </c>
      <c r="W4695">
        <v>0</v>
      </c>
      <c r="X4695">
        <v>2</v>
      </c>
      <c r="Y4695">
        <v>0</v>
      </c>
      <c r="Z4695">
        <v>0</v>
      </c>
      <c r="AB4695">
        <v>0</v>
      </c>
      <c r="AC4695">
        <v>9</v>
      </c>
      <c r="AD4695">
        <v>3</v>
      </c>
      <c r="AE4695">
        <v>0</v>
      </c>
      <c r="AF4695">
        <v>9</v>
      </c>
      <c r="AG4695" t="s">
        <v>115</v>
      </c>
      <c r="AH4695">
        <v>0</v>
      </c>
      <c r="AI4695">
        <v>0</v>
      </c>
      <c r="AJ4695">
        <v>1</v>
      </c>
      <c r="AK4695">
        <v>0</v>
      </c>
      <c r="AL4695" t="s">
        <v>8384</v>
      </c>
      <c r="AM4695">
        <v>47.067982999999998</v>
      </c>
      <c r="AN4695" t="s">
        <v>8385</v>
      </c>
      <c r="AO4695">
        <v>-124.104867</v>
      </c>
      <c r="AP4695">
        <v>100</v>
      </c>
      <c r="AQ4695">
        <v>-100</v>
      </c>
      <c r="AR4695" t="s">
        <v>118</v>
      </c>
      <c r="AS4695">
        <v>-33</v>
      </c>
      <c r="AT4695">
        <v>-28</v>
      </c>
      <c r="AU4695">
        <v>0</v>
      </c>
      <c r="BC4695">
        <v>1200</v>
      </c>
      <c r="BD4695">
        <v>1</v>
      </c>
      <c r="BE4695" t="str">
        <f t="shared" si="225"/>
        <v xml:space="preserve">N215T   </v>
      </c>
      <c r="BF4695">
        <v>1</v>
      </c>
      <c r="BH4695">
        <v>0</v>
      </c>
      <c r="BI4695">
        <v>0</v>
      </c>
      <c r="BJ4695">
        <v>0</v>
      </c>
      <c r="BK4695">
        <v>350</v>
      </c>
      <c r="BL4695">
        <v>450</v>
      </c>
      <c r="BM4695" t="s">
        <v>119</v>
      </c>
      <c r="BN4695">
        <v>1</v>
      </c>
      <c r="BO4695">
        <v>1</v>
      </c>
      <c r="BP4695">
        <v>1</v>
      </c>
      <c r="BQ4695">
        <v>0</v>
      </c>
      <c r="BT4695">
        <v>0</v>
      </c>
      <c r="BU4695">
        <v>0</v>
      </c>
      <c r="BV4695">
        <v>0</v>
      </c>
      <c r="CC4695" t="str">
        <f>"19:55:33.648"</f>
        <v>19:55:33.648</v>
      </c>
      <c r="CD4695" t="str">
        <f>"645877785"</f>
        <v>645877785</v>
      </c>
      <c r="CQ4695">
        <v>0</v>
      </c>
      <c r="CR4695">
        <v>2</v>
      </c>
      <c r="CS4695">
        <v>0</v>
      </c>
      <c r="CT4695">
        <v>2</v>
      </c>
      <c r="CU4695">
        <v>0</v>
      </c>
      <c r="CV4695">
        <v>6</v>
      </c>
      <c r="CW4695" t="s">
        <v>120</v>
      </c>
      <c r="CX4695">
        <v>257</v>
      </c>
      <c r="CY4695">
        <v>0</v>
      </c>
      <c r="CZ4695" t="s">
        <v>615</v>
      </c>
      <c r="DA4695" t="s">
        <v>616</v>
      </c>
      <c r="DD4695">
        <v>127599</v>
      </c>
      <c r="DE4695" t="s">
        <v>123</v>
      </c>
    </row>
    <row r="4696" spans="1:109" x14ac:dyDescent="0.3">
      <c r="A4696" t="str">
        <f>"19:55:34.969"</f>
        <v>19:55:34.969</v>
      </c>
      <c r="B4696" t="s">
        <v>110</v>
      </c>
      <c r="C4696" t="str">
        <f t="shared" si="223"/>
        <v>ffdfd3c0</v>
      </c>
      <c r="D4696" t="s">
        <v>111</v>
      </c>
      <c r="E4696">
        <v>18</v>
      </c>
      <c r="F4696">
        <v>1018</v>
      </c>
      <c r="G4696" t="s">
        <v>112</v>
      </c>
      <c r="J4696" t="s">
        <v>113</v>
      </c>
      <c r="K4696">
        <v>0</v>
      </c>
      <c r="L4696">
        <v>3</v>
      </c>
      <c r="M4696">
        <v>0</v>
      </c>
      <c r="N4696">
        <v>2</v>
      </c>
      <c r="O4696">
        <v>1</v>
      </c>
      <c r="P4696">
        <v>0</v>
      </c>
      <c r="Q4696">
        <v>0</v>
      </c>
      <c r="R4696" t="s">
        <v>114</v>
      </c>
      <c r="S4696" t="str">
        <f>"19:55:34.695"</f>
        <v>19:55:34.695</v>
      </c>
      <c r="T4696" t="str">
        <f>"19:55:34.297"</f>
        <v>19:55:34.297</v>
      </c>
      <c r="U4696" t="str">
        <f t="shared" si="224"/>
        <v>a1cdbe</v>
      </c>
      <c r="V4696">
        <v>0</v>
      </c>
      <c r="W4696">
        <v>0</v>
      </c>
      <c r="X4696">
        <v>2</v>
      </c>
      <c r="Y4696">
        <v>0</v>
      </c>
      <c r="Z4696">
        <v>0</v>
      </c>
      <c r="AB4696">
        <v>0</v>
      </c>
      <c r="AC4696">
        <v>9</v>
      </c>
      <c r="AD4696">
        <v>3</v>
      </c>
      <c r="AE4696">
        <v>0</v>
      </c>
      <c r="AF4696">
        <v>9</v>
      </c>
      <c r="AG4696" t="s">
        <v>115</v>
      </c>
      <c r="AH4696">
        <v>0</v>
      </c>
      <c r="AI4696">
        <v>0</v>
      </c>
      <c r="AJ4696">
        <v>1</v>
      </c>
      <c r="AK4696">
        <v>0</v>
      </c>
      <c r="AL4696" t="s">
        <v>7480</v>
      </c>
      <c r="AM4696">
        <v>47.067853999999997</v>
      </c>
      <c r="AN4696" t="s">
        <v>8386</v>
      </c>
      <c r="AO4696">
        <v>-124.105082</v>
      </c>
      <c r="AP4696">
        <v>100</v>
      </c>
      <c r="AQ4696">
        <v>-100</v>
      </c>
      <c r="AR4696" t="s">
        <v>118</v>
      </c>
      <c r="AS4696">
        <v>-33</v>
      </c>
      <c r="AT4696">
        <v>-29</v>
      </c>
      <c r="AU4696">
        <v>64</v>
      </c>
      <c r="BC4696">
        <v>1200</v>
      </c>
      <c r="BD4696">
        <v>1</v>
      </c>
      <c r="BE4696" t="str">
        <f t="shared" si="225"/>
        <v xml:space="preserve">N215T   </v>
      </c>
      <c r="BF4696">
        <v>1</v>
      </c>
      <c r="BH4696">
        <v>0</v>
      </c>
      <c r="BI4696">
        <v>0</v>
      </c>
      <c r="BJ4696">
        <v>0</v>
      </c>
      <c r="BK4696">
        <v>350</v>
      </c>
      <c r="BL4696">
        <v>450</v>
      </c>
      <c r="BM4696" t="s">
        <v>119</v>
      </c>
      <c r="BN4696">
        <v>1</v>
      </c>
      <c r="BO4696">
        <v>1</v>
      </c>
      <c r="BP4696">
        <v>1</v>
      </c>
      <c r="BQ4696">
        <v>0</v>
      </c>
      <c r="BT4696">
        <v>0</v>
      </c>
      <c r="BU4696">
        <v>0</v>
      </c>
      <c r="BV4696">
        <v>0</v>
      </c>
      <c r="CC4696" t="str">
        <f>"19:55:34.695"</f>
        <v>19:55:34.695</v>
      </c>
      <c r="CD4696" t="str">
        <f>"695774267"</f>
        <v>695774267</v>
      </c>
      <c r="CQ4696">
        <v>0</v>
      </c>
      <c r="CR4696">
        <v>2</v>
      </c>
      <c r="CS4696">
        <v>0</v>
      </c>
      <c r="CT4696">
        <v>2</v>
      </c>
      <c r="CU4696">
        <v>0</v>
      </c>
      <c r="CV4696">
        <v>6</v>
      </c>
      <c r="CW4696" t="s">
        <v>120</v>
      </c>
      <c r="CX4696">
        <v>257</v>
      </c>
      <c r="CY4696">
        <v>0</v>
      </c>
      <c r="CZ4696" t="s">
        <v>615</v>
      </c>
      <c r="DA4696" t="s">
        <v>616</v>
      </c>
      <c r="DD4696">
        <v>127954</v>
      </c>
      <c r="DE4696" t="s">
        <v>123</v>
      </c>
    </row>
    <row r="4697" spans="1:109" x14ac:dyDescent="0.3">
      <c r="A4697" t="str">
        <f>"19:55:36.125"</f>
        <v>19:55:36.125</v>
      </c>
      <c r="B4697" t="s">
        <v>110</v>
      </c>
      <c r="C4697" t="str">
        <f t="shared" si="223"/>
        <v>ffdfd3c0</v>
      </c>
      <c r="D4697" t="s">
        <v>111</v>
      </c>
      <c r="E4697">
        <v>18</v>
      </c>
      <c r="F4697">
        <v>1018</v>
      </c>
      <c r="G4697" t="s">
        <v>112</v>
      </c>
      <c r="J4697" t="s">
        <v>113</v>
      </c>
      <c r="K4697">
        <v>0</v>
      </c>
      <c r="L4697">
        <v>3</v>
      </c>
      <c r="M4697">
        <v>0</v>
      </c>
      <c r="N4697">
        <v>2</v>
      </c>
      <c r="O4697">
        <v>1</v>
      </c>
      <c r="P4697">
        <v>0</v>
      </c>
      <c r="Q4697">
        <v>0</v>
      </c>
      <c r="R4697" t="s">
        <v>114</v>
      </c>
      <c r="S4697" t="str">
        <f>"19:55:35.844"</f>
        <v>19:55:35.844</v>
      </c>
      <c r="T4697" t="str">
        <f>"19:55:35.445"</f>
        <v>19:55:35.445</v>
      </c>
      <c r="U4697" t="str">
        <f t="shared" si="224"/>
        <v>a1cdbe</v>
      </c>
      <c r="V4697">
        <v>0</v>
      </c>
      <c r="W4697">
        <v>0</v>
      </c>
      <c r="X4697">
        <v>2</v>
      </c>
      <c r="Y4697">
        <v>0</v>
      </c>
      <c r="Z4697">
        <v>0</v>
      </c>
      <c r="AB4697">
        <v>0</v>
      </c>
      <c r="AC4697">
        <v>9</v>
      </c>
      <c r="AD4697">
        <v>3</v>
      </c>
      <c r="AE4697">
        <v>0</v>
      </c>
      <c r="AF4697">
        <v>9</v>
      </c>
      <c r="AG4697" t="s">
        <v>115</v>
      </c>
      <c r="AH4697">
        <v>0</v>
      </c>
      <c r="AI4697">
        <v>0</v>
      </c>
      <c r="AJ4697">
        <v>1</v>
      </c>
      <c r="AK4697">
        <v>0</v>
      </c>
      <c r="AL4697" t="s">
        <v>8387</v>
      </c>
      <c r="AM4697">
        <v>47.067703999999999</v>
      </c>
      <c r="AN4697" t="s">
        <v>8388</v>
      </c>
      <c r="AO4697">
        <v>-124.105361</v>
      </c>
      <c r="AP4697">
        <v>100</v>
      </c>
      <c r="AQ4697">
        <v>0</v>
      </c>
      <c r="AR4697" t="s">
        <v>118</v>
      </c>
      <c r="AS4697">
        <v>-32</v>
      </c>
      <c r="AT4697">
        <v>-30</v>
      </c>
      <c r="AU4697">
        <v>192</v>
      </c>
      <c r="BC4697">
        <v>1200</v>
      </c>
      <c r="BD4697">
        <v>1</v>
      </c>
      <c r="BE4697" t="str">
        <f t="shared" si="225"/>
        <v xml:space="preserve">N215T   </v>
      </c>
      <c r="BF4697">
        <v>1</v>
      </c>
      <c r="BH4697">
        <v>0</v>
      </c>
      <c r="BI4697">
        <v>0</v>
      </c>
      <c r="BJ4697">
        <v>0</v>
      </c>
      <c r="BK4697">
        <v>350</v>
      </c>
      <c r="BL4697">
        <v>350</v>
      </c>
      <c r="BM4697" t="s">
        <v>119</v>
      </c>
      <c r="BN4697">
        <v>1</v>
      </c>
      <c r="BO4697">
        <v>1</v>
      </c>
      <c r="BP4697">
        <v>1</v>
      </c>
      <c r="BQ4697">
        <v>0</v>
      </c>
      <c r="BT4697">
        <v>0</v>
      </c>
      <c r="BU4697">
        <v>0</v>
      </c>
      <c r="BV4697">
        <v>0</v>
      </c>
      <c r="CC4697" t="str">
        <f>"19:55:35.852"</f>
        <v>19:55:35.852</v>
      </c>
      <c r="CD4697" t="str">
        <f>"850660399"</f>
        <v>850660399</v>
      </c>
      <c r="CQ4697">
        <v>0</v>
      </c>
      <c r="CR4697">
        <v>2</v>
      </c>
      <c r="CS4697">
        <v>0</v>
      </c>
      <c r="CT4697">
        <v>2</v>
      </c>
      <c r="CU4697">
        <v>0</v>
      </c>
      <c r="CV4697">
        <v>6</v>
      </c>
      <c r="CW4697" t="s">
        <v>120</v>
      </c>
      <c r="CX4697">
        <v>257</v>
      </c>
      <c r="CY4697">
        <v>0</v>
      </c>
      <c r="CZ4697" t="s">
        <v>615</v>
      </c>
      <c r="DA4697" t="s">
        <v>616</v>
      </c>
      <c r="DD4697">
        <v>128400</v>
      </c>
      <c r="DE4697" t="s">
        <v>123</v>
      </c>
    </row>
    <row r="4698" spans="1:109" x14ac:dyDescent="0.3">
      <c r="A4698" t="str">
        <f>"19:55:37.180"</f>
        <v>19:55:37.180</v>
      </c>
      <c r="B4698" t="s">
        <v>110</v>
      </c>
      <c r="C4698" t="str">
        <f t="shared" si="223"/>
        <v>ffdfd3c0</v>
      </c>
      <c r="D4698" t="s">
        <v>111</v>
      </c>
      <c r="E4698">
        <v>18</v>
      </c>
      <c r="F4698">
        <v>1018</v>
      </c>
      <c r="G4698" t="s">
        <v>112</v>
      </c>
      <c r="J4698" t="s">
        <v>113</v>
      </c>
      <c r="K4698">
        <v>0</v>
      </c>
      <c r="L4698">
        <v>3</v>
      </c>
      <c r="M4698">
        <v>0</v>
      </c>
      <c r="N4698">
        <v>2</v>
      </c>
      <c r="O4698">
        <v>1</v>
      </c>
      <c r="P4698">
        <v>0</v>
      </c>
      <c r="Q4698">
        <v>0</v>
      </c>
      <c r="R4698" t="s">
        <v>114</v>
      </c>
      <c r="S4698" t="str">
        <f>"19:55:36.945"</f>
        <v>19:55:36.945</v>
      </c>
      <c r="T4698" t="str">
        <f>"19:55:36.547"</f>
        <v>19:55:36.547</v>
      </c>
      <c r="U4698" t="str">
        <f t="shared" si="224"/>
        <v>a1cdbe</v>
      </c>
      <c r="V4698">
        <v>0</v>
      </c>
      <c r="W4698">
        <v>0</v>
      </c>
      <c r="X4698">
        <v>2</v>
      </c>
      <c r="Y4698">
        <v>0</v>
      </c>
      <c r="Z4698">
        <v>0</v>
      </c>
      <c r="AB4698">
        <v>0</v>
      </c>
      <c r="AC4698">
        <v>9</v>
      </c>
      <c r="AD4698">
        <v>3</v>
      </c>
      <c r="AE4698">
        <v>0</v>
      </c>
      <c r="AF4698">
        <v>9</v>
      </c>
      <c r="AG4698" t="s">
        <v>115</v>
      </c>
      <c r="AH4698">
        <v>0</v>
      </c>
      <c r="AI4698">
        <v>0</v>
      </c>
      <c r="AJ4698">
        <v>1</v>
      </c>
      <c r="AK4698">
        <v>0</v>
      </c>
      <c r="AL4698" t="s">
        <v>8389</v>
      </c>
      <c r="AM4698">
        <v>47.067532999999997</v>
      </c>
      <c r="AN4698" t="s">
        <v>8390</v>
      </c>
      <c r="AO4698">
        <v>-124.105575</v>
      </c>
      <c r="AP4698">
        <v>100</v>
      </c>
      <c r="AQ4698">
        <v>0</v>
      </c>
      <c r="AR4698" t="s">
        <v>118</v>
      </c>
      <c r="AS4698">
        <v>-31</v>
      </c>
      <c r="AT4698">
        <v>-30</v>
      </c>
      <c r="AU4698">
        <v>0</v>
      </c>
      <c r="BC4698">
        <v>1200</v>
      </c>
      <c r="BD4698">
        <v>1</v>
      </c>
      <c r="BE4698" t="str">
        <f t="shared" si="225"/>
        <v xml:space="preserve">N215T   </v>
      </c>
      <c r="BF4698">
        <v>1</v>
      </c>
      <c r="BH4698">
        <v>0</v>
      </c>
      <c r="BI4698">
        <v>0</v>
      </c>
      <c r="BJ4698">
        <v>0</v>
      </c>
      <c r="BK4698">
        <v>350</v>
      </c>
      <c r="BL4698">
        <v>350</v>
      </c>
      <c r="BM4698" t="s">
        <v>119</v>
      </c>
      <c r="BN4698">
        <v>1</v>
      </c>
      <c r="BO4698">
        <v>1</v>
      </c>
      <c r="BP4698">
        <v>1</v>
      </c>
      <c r="BQ4698">
        <v>0</v>
      </c>
      <c r="BT4698">
        <v>0</v>
      </c>
      <c r="BU4698">
        <v>0</v>
      </c>
      <c r="BV4698">
        <v>0</v>
      </c>
      <c r="CC4698" t="str">
        <f>"19:55:36.945"</f>
        <v>19:55:36.945</v>
      </c>
      <c r="CD4698" t="str">
        <f>"945552464"</f>
        <v>945552464</v>
      </c>
      <c r="CQ4698">
        <v>0</v>
      </c>
      <c r="CR4698">
        <v>2</v>
      </c>
      <c r="CS4698">
        <v>0</v>
      </c>
      <c r="CT4698">
        <v>2</v>
      </c>
      <c r="CU4698">
        <v>0</v>
      </c>
      <c r="CV4698">
        <v>5</v>
      </c>
      <c r="CW4698" t="s">
        <v>120</v>
      </c>
      <c r="CX4698">
        <v>257</v>
      </c>
      <c r="CY4698">
        <v>0</v>
      </c>
      <c r="CZ4698" t="s">
        <v>615</v>
      </c>
      <c r="DA4698" t="s">
        <v>616</v>
      </c>
      <c r="DD4698">
        <v>128785</v>
      </c>
      <c r="DE4698" t="s">
        <v>123</v>
      </c>
    </row>
    <row r="4699" spans="1:109" x14ac:dyDescent="0.3">
      <c r="A4699" t="str">
        <f>"19:55:38.281"</f>
        <v>19:55:38.281</v>
      </c>
      <c r="B4699" t="s">
        <v>110</v>
      </c>
      <c r="C4699" t="str">
        <f t="shared" si="223"/>
        <v>ffdfd3c0</v>
      </c>
      <c r="D4699" t="s">
        <v>111</v>
      </c>
      <c r="E4699">
        <v>18</v>
      </c>
      <c r="F4699">
        <v>1018</v>
      </c>
      <c r="G4699" t="s">
        <v>112</v>
      </c>
      <c r="J4699" t="s">
        <v>113</v>
      </c>
      <c r="K4699">
        <v>0</v>
      </c>
      <c r="L4699">
        <v>3</v>
      </c>
      <c r="M4699">
        <v>0</v>
      </c>
      <c r="N4699">
        <v>2</v>
      </c>
      <c r="O4699">
        <v>1</v>
      </c>
      <c r="P4699">
        <v>0</v>
      </c>
      <c r="Q4699">
        <v>0</v>
      </c>
      <c r="R4699" t="s">
        <v>114</v>
      </c>
      <c r="S4699" t="str">
        <f>"19:55:38.023"</f>
        <v>19:55:38.023</v>
      </c>
      <c r="T4699" t="str">
        <f>"19:55:37.625"</f>
        <v>19:55:37.625</v>
      </c>
      <c r="U4699" t="str">
        <f t="shared" si="224"/>
        <v>a1cdbe</v>
      </c>
      <c r="V4699">
        <v>0</v>
      </c>
      <c r="W4699">
        <v>0</v>
      </c>
      <c r="X4699">
        <v>2</v>
      </c>
      <c r="Y4699">
        <v>0</v>
      </c>
      <c r="Z4699">
        <v>0</v>
      </c>
      <c r="AB4699">
        <v>0</v>
      </c>
      <c r="AC4699">
        <v>9</v>
      </c>
      <c r="AD4699">
        <v>3</v>
      </c>
      <c r="AE4699">
        <v>0</v>
      </c>
      <c r="AF4699">
        <v>9</v>
      </c>
      <c r="AG4699" t="s">
        <v>115</v>
      </c>
      <c r="AH4699">
        <v>0</v>
      </c>
      <c r="AI4699">
        <v>0</v>
      </c>
      <c r="AJ4699">
        <v>1</v>
      </c>
      <c r="AK4699">
        <v>0</v>
      </c>
      <c r="AL4699" t="s">
        <v>8391</v>
      </c>
      <c r="AM4699">
        <v>47.067404000000003</v>
      </c>
      <c r="AN4699" t="s">
        <v>8392</v>
      </c>
      <c r="AO4699">
        <v>-124.105811</v>
      </c>
      <c r="AP4699">
        <v>100</v>
      </c>
      <c r="AQ4699">
        <v>-100</v>
      </c>
      <c r="AR4699" t="s">
        <v>118</v>
      </c>
      <c r="AS4699">
        <v>-31</v>
      </c>
      <c r="AT4699">
        <v>-27</v>
      </c>
      <c r="AU4699">
        <v>-64</v>
      </c>
      <c r="BC4699">
        <v>1200</v>
      </c>
      <c r="BD4699">
        <v>1</v>
      </c>
      <c r="BE4699" t="str">
        <f t="shared" si="225"/>
        <v xml:space="preserve">N215T   </v>
      </c>
      <c r="BF4699">
        <v>1</v>
      </c>
      <c r="BH4699">
        <v>0</v>
      </c>
      <c r="BI4699">
        <v>0</v>
      </c>
      <c r="BJ4699">
        <v>0</v>
      </c>
      <c r="BK4699">
        <v>350</v>
      </c>
      <c r="BL4699">
        <v>450</v>
      </c>
      <c r="BM4699" t="s">
        <v>119</v>
      </c>
      <c r="BN4699">
        <v>1</v>
      </c>
      <c r="BO4699">
        <v>1</v>
      </c>
      <c r="BP4699">
        <v>1</v>
      </c>
      <c r="BQ4699">
        <v>0</v>
      </c>
      <c r="BT4699">
        <v>0</v>
      </c>
      <c r="BU4699">
        <v>0</v>
      </c>
      <c r="BV4699">
        <v>0</v>
      </c>
      <c r="CC4699" t="str">
        <f>"19:55:38.023"</f>
        <v>19:55:38.023</v>
      </c>
      <c r="CD4699" t="str">
        <f>"025446007"</f>
        <v>025446007</v>
      </c>
      <c r="CQ4699">
        <v>0</v>
      </c>
      <c r="CR4699">
        <v>2</v>
      </c>
      <c r="CS4699">
        <v>0</v>
      </c>
      <c r="CT4699">
        <v>2</v>
      </c>
      <c r="CU4699">
        <v>0</v>
      </c>
      <c r="CV4699">
        <v>5</v>
      </c>
      <c r="CW4699" t="s">
        <v>120</v>
      </c>
      <c r="CX4699">
        <v>257</v>
      </c>
      <c r="CY4699">
        <v>0</v>
      </c>
      <c r="CZ4699" t="s">
        <v>615</v>
      </c>
      <c r="DA4699" t="s">
        <v>616</v>
      </c>
      <c r="DD4699">
        <v>129182</v>
      </c>
      <c r="DE4699" t="s">
        <v>123</v>
      </c>
    </row>
    <row r="4700" spans="1:109" x14ac:dyDescent="0.3">
      <c r="A4700" t="str">
        <f>"19:55:39.234"</f>
        <v>19:55:39.234</v>
      </c>
      <c r="B4700" t="s">
        <v>110</v>
      </c>
      <c r="C4700" t="str">
        <f t="shared" si="223"/>
        <v>ffdfd3c0</v>
      </c>
      <c r="D4700" t="s">
        <v>111</v>
      </c>
      <c r="E4700">
        <v>18</v>
      </c>
      <c r="F4700">
        <v>1018</v>
      </c>
      <c r="G4700" t="s">
        <v>112</v>
      </c>
      <c r="J4700" t="s">
        <v>113</v>
      </c>
      <c r="K4700">
        <v>0</v>
      </c>
      <c r="L4700">
        <v>3</v>
      </c>
      <c r="M4700">
        <v>0</v>
      </c>
      <c r="N4700">
        <v>2</v>
      </c>
      <c r="O4700">
        <v>1</v>
      </c>
      <c r="P4700">
        <v>0</v>
      </c>
      <c r="Q4700">
        <v>0</v>
      </c>
      <c r="R4700" t="s">
        <v>114</v>
      </c>
      <c r="S4700" t="str">
        <f>"19:55:39.023"</f>
        <v>19:55:39.023</v>
      </c>
      <c r="T4700" t="str">
        <f>"19:55:38.625"</f>
        <v>19:55:38.625</v>
      </c>
      <c r="U4700" t="str">
        <f t="shared" si="224"/>
        <v>a1cdbe</v>
      </c>
      <c r="V4700">
        <v>0</v>
      </c>
      <c r="W4700">
        <v>0</v>
      </c>
      <c r="X4700">
        <v>2</v>
      </c>
      <c r="Y4700">
        <v>0</v>
      </c>
      <c r="Z4700">
        <v>0</v>
      </c>
      <c r="AB4700">
        <v>0</v>
      </c>
      <c r="AC4700">
        <v>9</v>
      </c>
      <c r="AD4700">
        <v>3</v>
      </c>
      <c r="AE4700">
        <v>0</v>
      </c>
      <c r="AF4700">
        <v>9</v>
      </c>
      <c r="AG4700" t="s">
        <v>115</v>
      </c>
      <c r="AH4700">
        <v>0</v>
      </c>
      <c r="AI4700">
        <v>0</v>
      </c>
      <c r="AJ4700">
        <v>1</v>
      </c>
      <c r="AK4700">
        <v>0</v>
      </c>
      <c r="AL4700" t="s">
        <v>8166</v>
      </c>
      <c r="AM4700">
        <v>47.067297000000003</v>
      </c>
      <c r="AN4700" t="s">
        <v>8393</v>
      </c>
      <c r="AO4700">
        <v>-124.106004</v>
      </c>
      <c r="AP4700">
        <v>100</v>
      </c>
      <c r="AQ4700">
        <v>-100</v>
      </c>
      <c r="AR4700" t="s">
        <v>118</v>
      </c>
      <c r="AS4700">
        <v>-33</v>
      </c>
      <c r="AT4700">
        <v>-24</v>
      </c>
      <c r="AU4700">
        <v>-256</v>
      </c>
      <c r="BC4700">
        <v>1200</v>
      </c>
      <c r="BD4700">
        <v>1</v>
      </c>
      <c r="BE4700" t="str">
        <f t="shared" si="225"/>
        <v xml:space="preserve">N215T   </v>
      </c>
      <c r="BF4700">
        <v>1</v>
      </c>
      <c r="BH4700">
        <v>0</v>
      </c>
      <c r="BI4700">
        <v>0</v>
      </c>
      <c r="BJ4700">
        <v>0</v>
      </c>
      <c r="BK4700">
        <v>350</v>
      </c>
      <c r="BL4700">
        <v>450</v>
      </c>
      <c r="BM4700" t="s">
        <v>119</v>
      </c>
      <c r="BN4700">
        <v>1</v>
      </c>
      <c r="BO4700">
        <v>1</v>
      </c>
      <c r="BP4700">
        <v>1</v>
      </c>
      <c r="BQ4700">
        <v>0</v>
      </c>
      <c r="BT4700">
        <v>0</v>
      </c>
      <c r="BU4700">
        <v>0</v>
      </c>
      <c r="BV4700">
        <v>0</v>
      </c>
      <c r="CC4700" t="str">
        <f>"19:55:39.031"</f>
        <v>19:55:39.031</v>
      </c>
      <c r="CD4700" t="str">
        <f>"030346932"</f>
        <v>030346932</v>
      </c>
      <c r="CQ4700">
        <v>0</v>
      </c>
      <c r="CR4700">
        <v>2</v>
      </c>
      <c r="CS4700">
        <v>0</v>
      </c>
      <c r="CT4700">
        <v>2</v>
      </c>
      <c r="CU4700">
        <v>0</v>
      </c>
      <c r="CV4700">
        <v>5</v>
      </c>
      <c r="CW4700" t="s">
        <v>120</v>
      </c>
      <c r="CX4700">
        <v>257</v>
      </c>
      <c r="CY4700">
        <v>0</v>
      </c>
      <c r="CZ4700" t="s">
        <v>615</v>
      </c>
      <c r="DA4700" t="s">
        <v>616</v>
      </c>
      <c r="DD4700">
        <v>129515</v>
      </c>
      <c r="DE4700" t="s">
        <v>123</v>
      </c>
    </row>
    <row r="4701" spans="1:109" x14ac:dyDescent="0.3">
      <c r="A4701" t="str">
        <f>"19:55:40.242"</f>
        <v>19:55:40.242</v>
      </c>
      <c r="B4701" t="s">
        <v>110</v>
      </c>
      <c r="C4701" t="str">
        <f t="shared" si="223"/>
        <v>ffdfd3c0</v>
      </c>
      <c r="D4701" t="s">
        <v>111</v>
      </c>
      <c r="E4701">
        <v>18</v>
      </c>
      <c r="F4701">
        <v>1018</v>
      </c>
      <c r="G4701" t="s">
        <v>112</v>
      </c>
      <c r="J4701" t="s">
        <v>113</v>
      </c>
      <c r="K4701">
        <v>0</v>
      </c>
      <c r="L4701">
        <v>3</v>
      </c>
      <c r="M4701">
        <v>0</v>
      </c>
      <c r="N4701">
        <v>2</v>
      </c>
      <c r="O4701">
        <v>1</v>
      </c>
      <c r="P4701">
        <v>0</v>
      </c>
      <c r="Q4701">
        <v>0</v>
      </c>
      <c r="R4701" t="s">
        <v>114</v>
      </c>
      <c r="S4701" t="str">
        <f>"19:55:39.969"</f>
        <v>19:55:39.969</v>
      </c>
      <c r="T4701" t="str">
        <f>"19:55:39.672"</f>
        <v>19:55:39.672</v>
      </c>
      <c r="U4701" t="str">
        <f t="shared" si="224"/>
        <v>a1cdbe</v>
      </c>
      <c r="V4701">
        <v>0</v>
      </c>
      <c r="W4701">
        <v>0</v>
      </c>
      <c r="X4701">
        <v>2</v>
      </c>
      <c r="Y4701">
        <v>0</v>
      </c>
      <c r="Z4701">
        <v>0</v>
      </c>
      <c r="AB4701">
        <v>0</v>
      </c>
      <c r="AC4701">
        <v>9</v>
      </c>
      <c r="AD4701">
        <v>3</v>
      </c>
      <c r="AE4701">
        <v>0</v>
      </c>
      <c r="AF4701">
        <v>9</v>
      </c>
      <c r="AG4701" t="s">
        <v>115</v>
      </c>
      <c r="AH4701">
        <v>0</v>
      </c>
      <c r="AI4701">
        <v>0</v>
      </c>
      <c r="AJ4701">
        <v>1</v>
      </c>
      <c r="AK4701">
        <v>0</v>
      </c>
      <c r="AL4701" t="s">
        <v>8394</v>
      </c>
      <c r="AM4701">
        <v>47.067211</v>
      </c>
      <c r="AN4701" t="s">
        <v>8395</v>
      </c>
      <c r="AO4701">
        <v>-124.10624</v>
      </c>
      <c r="AP4701">
        <v>100</v>
      </c>
      <c r="AQ4701">
        <v>-100</v>
      </c>
      <c r="AR4701" t="s">
        <v>118</v>
      </c>
      <c r="AS4701">
        <v>-34</v>
      </c>
      <c r="AT4701">
        <v>-22</v>
      </c>
      <c r="AU4701">
        <v>-320</v>
      </c>
      <c r="BC4701">
        <v>1200</v>
      </c>
      <c r="BD4701">
        <v>1</v>
      </c>
      <c r="BE4701" t="str">
        <f t="shared" si="225"/>
        <v xml:space="preserve">N215T   </v>
      </c>
      <c r="BF4701">
        <v>1</v>
      </c>
      <c r="BH4701">
        <v>0</v>
      </c>
      <c r="BI4701">
        <v>0</v>
      </c>
      <c r="BJ4701">
        <v>0</v>
      </c>
      <c r="BK4701">
        <v>350</v>
      </c>
      <c r="BL4701">
        <v>450</v>
      </c>
      <c r="BM4701" t="s">
        <v>119</v>
      </c>
      <c r="BN4701">
        <v>1</v>
      </c>
      <c r="BO4701">
        <v>1</v>
      </c>
      <c r="BP4701">
        <v>1</v>
      </c>
      <c r="BQ4701">
        <v>0</v>
      </c>
      <c r="BT4701">
        <v>0</v>
      </c>
      <c r="BU4701">
        <v>0</v>
      </c>
      <c r="BV4701">
        <v>0</v>
      </c>
      <c r="CC4701" t="str">
        <f>"19:55:39.977"</f>
        <v>19:55:39.977</v>
      </c>
      <c r="CD4701" t="str">
        <f>"975253780"</f>
        <v>975253780</v>
      </c>
      <c r="CQ4701">
        <v>0</v>
      </c>
      <c r="CR4701">
        <v>2</v>
      </c>
      <c r="CS4701">
        <v>0</v>
      </c>
      <c r="CT4701">
        <v>2</v>
      </c>
      <c r="CU4701">
        <v>0</v>
      </c>
      <c r="CV4701">
        <v>5</v>
      </c>
      <c r="CW4701" t="s">
        <v>120</v>
      </c>
      <c r="CX4701">
        <v>257</v>
      </c>
      <c r="CY4701">
        <v>0</v>
      </c>
      <c r="CZ4701" t="s">
        <v>615</v>
      </c>
      <c r="DA4701" t="s">
        <v>616</v>
      </c>
      <c r="DD4701">
        <v>129812</v>
      </c>
      <c r="DE4701" t="s">
        <v>123</v>
      </c>
    </row>
    <row r="4702" spans="1:109" x14ac:dyDescent="0.3">
      <c r="A4702" t="str">
        <f>"19:55:41.297"</f>
        <v>19:55:41.297</v>
      </c>
      <c r="B4702" t="s">
        <v>110</v>
      </c>
      <c r="C4702" t="str">
        <f t="shared" si="223"/>
        <v>ffdfd3c0</v>
      </c>
      <c r="D4702" t="s">
        <v>111</v>
      </c>
      <c r="E4702">
        <v>18</v>
      </c>
      <c r="F4702">
        <v>1018</v>
      </c>
      <c r="G4702" t="s">
        <v>112</v>
      </c>
      <c r="J4702" t="s">
        <v>113</v>
      </c>
      <c r="K4702">
        <v>0</v>
      </c>
      <c r="L4702">
        <v>3</v>
      </c>
      <c r="M4702">
        <v>0</v>
      </c>
      <c r="N4702">
        <v>2</v>
      </c>
      <c r="O4702">
        <v>1</v>
      </c>
      <c r="P4702">
        <v>0</v>
      </c>
      <c r="Q4702">
        <v>0</v>
      </c>
      <c r="R4702" t="s">
        <v>114</v>
      </c>
      <c r="S4702" t="str">
        <f>"19:55:41.063"</f>
        <v>19:55:41.063</v>
      </c>
      <c r="T4702" t="str">
        <f>"19:55:40.664"</f>
        <v>19:55:40.664</v>
      </c>
      <c r="U4702" t="str">
        <f t="shared" si="224"/>
        <v>a1cdbe</v>
      </c>
      <c r="V4702">
        <v>0</v>
      </c>
      <c r="W4702">
        <v>0</v>
      </c>
      <c r="X4702">
        <v>2</v>
      </c>
      <c r="Y4702">
        <v>0</v>
      </c>
      <c r="Z4702">
        <v>0</v>
      </c>
      <c r="AB4702">
        <v>0</v>
      </c>
      <c r="AC4702">
        <v>9</v>
      </c>
      <c r="AD4702">
        <v>3</v>
      </c>
      <c r="AE4702">
        <v>0</v>
      </c>
      <c r="AF4702">
        <v>9</v>
      </c>
      <c r="AG4702" t="s">
        <v>115</v>
      </c>
      <c r="AH4702">
        <v>0</v>
      </c>
      <c r="AI4702">
        <v>0</v>
      </c>
      <c r="AJ4702">
        <v>1</v>
      </c>
      <c r="AK4702">
        <v>0</v>
      </c>
      <c r="AL4702" t="s">
        <v>8396</v>
      </c>
      <c r="AM4702">
        <v>47.067103000000003</v>
      </c>
      <c r="AN4702" t="s">
        <v>8397</v>
      </c>
      <c r="AO4702">
        <v>-124.106562</v>
      </c>
      <c r="AP4702">
        <v>100</v>
      </c>
      <c r="AQ4702">
        <v>-100</v>
      </c>
      <c r="AR4702" t="s">
        <v>118</v>
      </c>
      <c r="AS4702">
        <v>-36</v>
      </c>
      <c r="AT4702">
        <v>-18</v>
      </c>
      <c r="AU4702">
        <v>-320</v>
      </c>
      <c r="BC4702">
        <v>1200</v>
      </c>
      <c r="BD4702">
        <v>1</v>
      </c>
      <c r="BE4702" t="str">
        <f t="shared" si="225"/>
        <v xml:space="preserve">N215T   </v>
      </c>
      <c r="BF4702">
        <v>1</v>
      </c>
      <c r="BH4702">
        <v>0</v>
      </c>
      <c r="BI4702">
        <v>0</v>
      </c>
      <c r="BJ4702">
        <v>0</v>
      </c>
      <c r="BK4702">
        <v>350</v>
      </c>
      <c r="BL4702">
        <v>450</v>
      </c>
      <c r="BM4702" t="s">
        <v>119</v>
      </c>
      <c r="BN4702">
        <v>1</v>
      </c>
      <c r="BO4702">
        <v>1</v>
      </c>
      <c r="BP4702">
        <v>1</v>
      </c>
      <c r="BQ4702">
        <v>0</v>
      </c>
      <c r="BT4702">
        <v>0</v>
      </c>
      <c r="BU4702">
        <v>0</v>
      </c>
      <c r="BV4702">
        <v>0</v>
      </c>
      <c r="CC4702" t="str">
        <f>"19:55:41.070"</f>
        <v>19:55:41.070</v>
      </c>
      <c r="CD4702" t="str">
        <f>"070145902"</f>
        <v>070145902</v>
      </c>
      <c r="CQ4702">
        <v>0</v>
      </c>
      <c r="CR4702">
        <v>2</v>
      </c>
      <c r="CS4702">
        <v>0</v>
      </c>
      <c r="CT4702">
        <v>2</v>
      </c>
      <c r="CU4702">
        <v>0</v>
      </c>
      <c r="CV4702">
        <v>1</v>
      </c>
      <c r="CW4702" t="s">
        <v>120</v>
      </c>
      <c r="CX4702">
        <v>257</v>
      </c>
      <c r="CY4702">
        <v>0</v>
      </c>
      <c r="CZ4702" t="s">
        <v>615</v>
      </c>
      <c r="DA4702" t="s">
        <v>616</v>
      </c>
      <c r="DD4702">
        <v>130207</v>
      </c>
      <c r="DE4702" t="s">
        <v>123</v>
      </c>
    </row>
    <row r="4703" spans="1:109" x14ac:dyDescent="0.3">
      <c r="A4703" t="str">
        <f>"19:55:43.156"</f>
        <v>19:55:43.156</v>
      </c>
      <c r="B4703" t="s">
        <v>110</v>
      </c>
      <c r="C4703" t="str">
        <f t="shared" si="223"/>
        <v>ffdfd3c0</v>
      </c>
      <c r="D4703" t="s">
        <v>111</v>
      </c>
      <c r="E4703">
        <v>18</v>
      </c>
      <c r="F4703">
        <v>1018</v>
      </c>
      <c r="G4703" t="s">
        <v>112</v>
      </c>
      <c r="J4703" t="s">
        <v>113</v>
      </c>
      <c r="K4703">
        <v>0</v>
      </c>
      <c r="L4703">
        <v>3</v>
      </c>
      <c r="M4703">
        <v>0</v>
      </c>
      <c r="N4703">
        <v>2</v>
      </c>
      <c r="O4703">
        <v>1</v>
      </c>
      <c r="P4703">
        <v>0</v>
      </c>
      <c r="Q4703">
        <v>0</v>
      </c>
      <c r="R4703" t="s">
        <v>114</v>
      </c>
      <c r="S4703" t="str">
        <f>"19:55:42.938"</f>
        <v>19:55:42.938</v>
      </c>
      <c r="T4703" t="str">
        <f>"19:55:42.641"</f>
        <v>19:55:42.641</v>
      </c>
      <c r="U4703" t="str">
        <f t="shared" si="224"/>
        <v>a1cdbe</v>
      </c>
      <c r="V4703">
        <v>0</v>
      </c>
      <c r="W4703">
        <v>0</v>
      </c>
      <c r="X4703">
        <v>2</v>
      </c>
      <c r="Y4703">
        <v>0</v>
      </c>
      <c r="Z4703">
        <v>0</v>
      </c>
      <c r="AB4703">
        <v>0</v>
      </c>
      <c r="AC4703">
        <v>9</v>
      </c>
      <c r="AD4703">
        <v>3</v>
      </c>
      <c r="AE4703">
        <v>0</v>
      </c>
      <c r="AF4703">
        <v>9</v>
      </c>
      <c r="AG4703" t="s">
        <v>115</v>
      </c>
      <c r="AH4703">
        <v>0</v>
      </c>
      <c r="AI4703">
        <v>0</v>
      </c>
      <c r="AJ4703">
        <v>1</v>
      </c>
      <c r="AK4703">
        <v>0</v>
      </c>
      <c r="AL4703" t="s">
        <v>8162</v>
      </c>
      <c r="AM4703">
        <v>47.067039000000001</v>
      </c>
      <c r="AN4703" t="s">
        <v>8341</v>
      </c>
      <c r="AO4703">
        <v>-124.10699099999999</v>
      </c>
      <c r="AP4703">
        <v>100</v>
      </c>
      <c r="AQ4703">
        <v>-100</v>
      </c>
      <c r="AR4703" t="s">
        <v>118</v>
      </c>
      <c r="AS4703">
        <v>-38</v>
      </c>
      <c r="AT4703">
        <v>-9</v>
      </c>
      <c r="AU4703">
        <v>-256</v>
      </c>
      <c r="BC4703">
        <v>1200</v>
      </c>
      <c r="BD4703">
        <v>1</v>
      </c>
      <c r="BE4703" t="str">
        <f t="shared" si="225"/>
        <v xml:space="preserve">N215T   </v>
      </c>
      <c r="BF4703">
        <v>1</v>
      </c>
      <c r="BH4703">
        <v>0</v>
      </c>
      <c r="BI4703">
        <v>0</v>
      </c>
      <c r="BJ4703">
        <v>0</v>
      </c>
      <c r="BK4703">
        <v>325</v>
      </c>
      <c r="BL4703">
        <v>425</v>
      </c>
      <c r="BM4703" t="s">
        <v>119</v>
      </c>
      <c r="BN4703">
        <v>1</v>
      </c>
      <c r="BO4703">
        <v>1</v>
      </c>
      <c r="BP4703">
        <v>1</v>
      </c>
      <c r="BQ4703">
        <v>0</v>
      </c>
      <c r="BT4703">
        <v>0</v>
      </c>
      <c r="BU4703">
        <v>0</v>
      </c>
      <c r="BV4703">
        <v>0</v>
      </c>
      <c r="CC4703" t="str">
        <f>"19:55:42.945"</f>
        <v>19:55:42.945</v>
      </c>
      <c r="CD4703" t="str">
        <f>"944961091"</f>
        <v>944961091</v>
      </c>
      <c r="CQ4703">
        <v>0</v>
      </c>
      <c r="CR4703">
        <v>2</v>
      </c>
      <c r="CS4703">
        <v>0</v>
      </c>
      <c r="CT4703">
        <v>2</v>
      </c>
      <c r="CU4703">
        <v>0</v>
      </c>
      <c r="CV4703">
        <v>3</v>
      </c>
      <c r="CW4703" t="s">
        <v>120</v>
      </c>
      <c r="CX4703">
        <v>257</v>
      </c>
      <c r="CY4703">
        <v>0</v>
      </c>
      <c r="CZ4703" t="s">
        <v>615</v>
      </c>
      <c r="DA4703" t="s">
        <v>616</v>
      </c>
      <c r="DD4703">
        <v>130907</v>
      </c>
      <c r="DE4703" t="s">
        <v>123</v>
      </c>
    </row>
    <row r="4704" spans="1:109" x14ac:dyDescent="0.3">
      <c r="A4704" t="str">
        <f>"19:55:44.266"</f>
        <v>19:55:44.266</v>
      </c>
      <c r="B4704" t="s">
        <v>110</v>
      </c>
      <c r="C4704" t="str">
        <f t="shared" si="223"/>
        <v>ffdfd3c0</v>
      </c>
      <c r="D4704" t="s">
        <v>111</v>
      </c>
      <c r="E4704">
        <v>18</v>
      </c>
      <c r="F4704">
        <v>1018</v>
      </c>
      <c r="G4704" t="s">
        <v>112</v>
      </c>
      <c r="J4704" t="s">
        <v>113</v>
      </c>
      <c r="K4704">
        <v>0</v>
      </c>
      <c r="L4704">
        <v>3</v>
      </c>
      <c r="M4704">
        <v>0</v>
      </c>
      <c r="N4704">
        <v>2</v>
      </c>
      <c r="O4704">
        <v>1</v>
      </c>
      <c r="P4704">
        <v>0</v>
      </c>
      <c r="Q4704">
        <v>0</v>
      </c>
      <c r="R4704" t="s">
        <v>114</v>
      </c>
      <c r="S4704" t="str">
        <f>"19:55:44.055"</f>
        <v>19:55:44.055</v>
      </c>
      <c r="T4704" t="str">
        <f>"19:55:43.156"</f>
        <v>19:55:43.156</v>
      </c>
      <c r="U4704" t="str">
        <f t="shared" si="224"/>
        <v>a1cdbe</v>
      </c>
      <c r="V4704">
        <v>0</v>
      </c>
      <c r="W4704">
        <v>0</v>
      </c>
      <c r="X4704">
        <v>2</v>
      </c>
      <c r="Y4704">
        <v>0</v>
      </c>
      <c r="Z4704">
        <v>0</v>
      </c>
      <c r="AB4704">
        <v>0</v>
      </c>
      <c r="AC4704">
        <v>9</v>
      </c>
      <c r="AD4704">
        <v>3</v>
      </c>
      <c r="AE4704">
        <v>0</v>
      </c>
      <c r="AF4704">
        <v>9</v>
      </c>
      <c r="AG4704" t="s">
        <v>115</v>
      </c>
      <c r="AH4704">
        <v>0</v>
      </c>
      <c r="AI4704">
        <v>0</v>
      </c>
      <c r="AJ4704">
        <v>1</v>
      </c>
      <c r="AK4704">
        <v>0</v>
      </c>
      <c r="AL4704" t="s">
        <v>7456</v>
      </c>
      <c r="AM4704">
        <v>47.066996000000003</v>
      </c>
      <c r="AN4704" t="s">
        <v>8398</v>
      </c>
      <c r="AO4704">
        <v>-124.10733500000001</v>
      </c>
      <c r="AP4704">
        <v>100</v>
      </c>
      <c r="AQ4704">
        <v>-100</v>
      </c>
      <c r="AR4704" t="s">
        <v>118</v>
      </c>
      <c r="AS4704">
        <v>-38</v>
      </c>
      <c r="AT4704">
        <v>-8</v>
      </c>
      <c r="AU4704">
        <v>-320</v>
      </c>
      <c r="BC4704">
        <v>1200</v>
      </c>
      <c r="BD4704">
        <v>1</v>
      </c>
      <c r="BE4704" t="str">
        <f t="shared" si="225"/>
        <v xml:space="preserve">N215T   </v>
      </c>
      <c r="BF4704">
        <v>1</v>
      </c>
      <c r="BH4704">
        <v>0</v>
      </c>
      <c r="BI4704">
        <v>0</v>
      </c>
      <c r="BJ4704">
        <v>0</v>
      </c>
      <c r="BK4704">
        <v>325</v>
      </c>
      <c r="BL4704">
        <v>425</v>
      </c>
      <c r="BM4704" t="s">
        <v>119</v>
      </c>
      <c r="BN4704">
        <v>1</v>
      </c>
      <c r="BO4704">
        <v>1</v>
      </c>
      <c r="BP4704">
        <v>1</v>
      </c>
      <c r="BQ4704">
        <v>0</v>
      </c>
      <c r="BT4704">
        <v>0</v>
      </c>
      <c r="BU4704">
        <v>0</v>
      </c>
      <c r="BV4704">
        <v>0</v>
      </c>
      <c r="CC4704" t="str">
        <f>"19:55:44.055"</f>
        <v>19:55:44.055</v>
      </c>
      <c r="CD4704" t="str">
        <f>"054851794"</f>
        <v>054851794</v>
      </c>
      <c r="CQ4704">
        <v>0</v>
      </c>
      <c r="CR4704">
        <v>2</v>
      </c>
      <c r="CS4704">
        <v>0</v>
      </c>
      <c r="CT4704">
        <v>2</v>
      </c>
      <c r="CU4704">
        <v>0</v>
      </c>
      <c r="CV4704">
        <v>3</v>
      </c>
      <c r="CW4704" t="s">
        <v>120</v>
      </c>
      <c r="CX4704">
        <v>257</v>
      </c>
      <c r="CY4704">
        <v>0</v>
      </c>
      <c r="CZ4704" t="s">
        <v>615</v>
      </c>
      <c r="DA4704" t="s">
        <v>616</v>
      </c>
      <c r="DD4704">
        <v>131273</v>
      </c>
      <c r="DE4704" t="s">
        <v>123</v>
      </c>
    </row>
    <row r="4705" spans="1:109" x14ac:dyDescent="0.3">
      <c r="A4705" t="str">
        <f>"19:55:45.773"</f>
        <v>19:55:45.773</v>
      </c>
      <c r="B4705" t="s">
        <v>110</v>
      </c>
      <c r="C4705" t="str">
        <f t="shared" si="223"/>
        <v>ffdfd3c0</v>
      </c>
      <c r="D4705" t="s">
        <v>111</v>
      </c>
      <c r="E4705">
        <v>18</v>
      </c>
      <c r="F4705">
        <v>1018</v>
      </c>
      <c r="G4705" t="s">
        <v>112</v>
      </c>
      <c r="J4705" t="s">
        <v>113</v>
      </c>
      <c r="K4705">
        <v>0</v>
      </c>
      <c r="L4705">
        <v>3</v>
      </c>
      <c r="M4705">
        <v>0</v>
      </c>
      <c r="N4705">
        <v>2</v>
      </c>
      <c r="O4705">
        <v>1</v>
      </c>
      <c r="P4705">
        <v>0</v>
      </c>
      <c r="Q4705">
        <v>0</v>
      </c>
      <c r="R4705" t="s">
        <v>114</v>
      </c>
      <c r="S4705" t="str">
        <f>"19:55:45.539"</f>
        <v>19:55:45.539</v>
      </c>
      <c r="T4705" t="str">
        <f>"19:55:44.539"</f>
        <v>19:55:44.539</v>
      </c>
      <c r="U4705" t="str">
        <f t="shared" si="224"/>
        <v>a1cdbe</v>
      </c>
      <c r="V4705">
        <v>0</v>
      </c>
      <c r="W4705">
        <v>0</v>
      </c>
      <c r="X4705">
        <v>2</v>
      </c>
      <c r="Y4705">
        <v>0</v>
      </c>
      <c r="Z4705">
        <v>0</v>
      </c>
      <c r="AB4705">
        <v>0</v>
      </c>
      <c r="AC4705">
        <v>9</v>
      </c>
      <c r="AD4705">
        <v>3</v>
      </c>
      <c r="AE4705">
        <v>0</v>
      </c>
      <c r="AF4705">
        <v>9</v>
      </c>
      <c r="AG4705" t="s">
        <v>115</v>
      </c>
      <c r="AH4705">
        <v>0</v>
      </c>
      <c r="AI4705">
        <v>0</v>
      </c>
      <c r="AJ4705">
        <v>1</v>
      </c>
      <c r="AK4705">
        <v>0</v>
      </c>
      <c r="AL4705" t="s">
        <v>8399</v>
      </c>
      <c r="AM4705">
        <v>47.066974999999999</v>
      </c>
      <c r="AN4705" t="s">
        <v>8400</v>
      </c>
      <c r="AO4705">
        <v>-124.107699</v>
      </c>
      <c r="AP4705">
        <v>100</v>
      </c>
      <c r="AQ4705">
        <v>-100</v>
      </c>
      <c r="AR4705" t="s">
        <v>118</v>
      </c>
      <c r="AS4705">
        <v>-38</v>
      </c>
      <c r="AT4705">
        <v>-2</v>
      </c>
      <c r="AU4705">
        <v>-384</v>
      </c>
      <c r="BC4705">
        <v>1200</v>
      </c>
      <c r="BD4705">
        <v>1</v>
      </c>
      <c r="BE4705" t="str">
        <f t="shared" si="225"/>
        <v xml:space="preserve">N215T   </v>
      </c>
      <c r="BF4705">
        <v>1</v>
      </c>
      <c r="BH4705">
        <v>0</v>
      </c>
      <c r="BI4705">
        <v>0</v>
      </c>
      <c r="BJ4705">
        <v>0</v>
      </c>
      <c r="BK4705">
        <v>325</v>
      </c>
      <c r="BL4705">
        <v>425</v>
      </c>
      <c r="BM4705" t="s">
        <v>119</v>
      </c>
      <c r="BN4705">
        <v>1</v>
      </c>
      <c r="BO4705">
        <v>1</v>
      </c>
      <c r="BP4705">
        <v>1</v>
      </c>
      <c r="BQ4705">
        <v>0</v>
      </c>
      <c r="BT4705">
        <v>0</v>
      </c>
      <c r="BU4705">
        <v>0</v>
      </c>
      <c r="BV4705">
        <v>0</v>
      </c>
      <c r="CC4705" t="str">
        <f>"19:55:45.539"</f>
        <v>19:55:45.539</v>
      </c>
      <c r="CD4705" t="str">
        <f>"539705421"</f>
        <v>539705421</v>
      </c>
      <c r="CQ4705">
        <v>0</v>
      </c>
      <c r="CR4705">
        <v>2</v>
      </c>
      <c r="CS4705">
        <v>0</v>
      </c>
      <c r="CT4705">
        <v>2</v>
      </c>
      <c r="CU4705">
        <v>0</v>
      </c>
      <c r="CV4705">
        <v>3</v>
      </c>
      <c r="CW4705" t="s">
        <v>120</v>
      </c>
      <c r="CX4705">
        <v>257</v>
      </c>
      <c r="CY4705">
        <v>0</v>
      </c>
      <c r="CZ4705" t="s">
        <v>615</v>
      </c>
      <c r="DA4705" t="s">
        <v>616</v>
      </c>
      <c r="DD4705">
        <v>131779</v>
      </c>
      <c r="DE4705" t="s">
        <v>123</v>
      </c>
    </row>
    <row r="4706" spans="1:109" x14ac:dyDescent="0.3">
      <c r="A4706" t="str">
        <f>"19:55:46.875"</f>
        <v>19:55:46.875</v>
      </c>
      <c r="B4706" t="s">
        <v>110</v>
      </c>
      <c r="C4706" t="str">
        <f t="shared" si="223"/>
        <v>ffdfd3c0</v>
      </c>
      <c r="D4706" t="s">
        <v>111</v>
      </c>
      <c r="E4706">
        <v>18</v>
      </c>
      <c r="F4706">
        <v>1018</v>
      </c>
      <c r="G4706" t="s">
        <v>112</v>
      </c>
      <c r="J4706" t="s">
        <v>113</v>
      </c>
      <c r="K4706">
        <v>0</v>
      </c>
      <c r="L4706">
        <v>3</v>
      </c>
      <c r="M4706">
        <v>0</v>
      </c>
      <c r="N4706">
        <v>2</v>
      </c>
      <c r="O4706">
        <v>1</v>
      </c>
      <c r="P4706">
        <v>0</v>
      </c>
      <c r="Q4706">
        <v>0</v>
      </c>
      <c r="R4706" t="s">
        <v>114</v>
      </c>
      <c r="S4706" t="str">
        <f>"19:55:46.602"</f>
        <v>19:55:46.602</v>
      </c>
      <c r="T4706" t="str">
        <f>"19:55:44.500"</f>
        <v>19:55:44.500</v>
      </c>
      <c r="U4706" t="str">
        <f t="shared" si="224"/>
        <v>a1cdbe</v>
      </c>
      <c r="V4706">
        <v>0</v>
      </c>
      <c r="W4706">
        <v>0</v>
      </c>
      <c r="X4706">
        <v>2</v>
      </c>
      <c r="Y4706">
        <v>0</v>
      </c>
      <c r="Z4706">
        <v>0</v>
      </c>
      <c r="AB4706">
        <v>0</v>
      </c>
      <c r="AC4706">
        <v>9</v>
      </c>
      <c r="AD4706">
        <v>3</v>
      </c>
      <c r="AE4706">
        <v>0</v>
      </c>
      <c r="AF4706">
        <v>9</v>
      </c>
      <c r="AG4706" t="s">
        <v>115</v>
      </c>
      <c r="AH4706">
        <v>0</v>
      </c>
      <c r="AI4706">
        <v>0</v>
      </c>
      <c r="AJ4706">
        <v>1</v>
      </c>
      <c r="AK4706">
        <v>0</v>
      </c>
      <c r="AL4706" t="s">
        <v>7488</v>
      </c>
      <c r="AM4706">
        <v>47.067017999999997</v>
      </c>
      <c r="AN4706" t="s">
        <v>8336</v>
      </c>
      <c r="AO4706">
        <v>-124.107893</v>
      </c>
      <c r="AP4706">
        <v>100</v>
      </c>
      <c r="AQ4706">
        <v>-100</v>
      </c>
      <c r="AR4706" t="s">
        <v>118</v>
      </c>
      <c r="AS4706">
        <v>-38</v>
      </c>
      <c r="AT4706">
        <v>-2</v>
      </c>
      <c r="AU4706">
        <v>-384</v>
      </c>
      <c r="BC4706">
        <v>1200</v>
      </c>
      <c r="BD4706">
        <v>1</v>
      </c>
      <c r="BE4706" t="str">
        <f t="shared" si="225"/>
        <v xml:space="preserve">N215T   </v>
      </c>
      <c r="BF4706">
        <v>1</v>
      </c>
      <c r="BH4706">
        <v>0</v>
      </c>
      <c r="BI4706">
        <v>0</v>
      </c>
      <c r="BJ4706">
        <v>0</v>
      </c>
      <c r="BK4706">
        <v>325</v>
      </c>
      <c r="BL4706">
        <v>425</v>
      </c>
      <c r="BM4706" t="s">
        <v>119</v>
      </c>
      <c r="BN4706">
        <v>1</v>
      </c>
      <c r="BO4706">
        <v>1</v>
      </c>
      <c r="BP4706">
        <v>1</v>
      </c>
      <c r="BQ4706">
        <v>0</v>
      </c>
      <c r="BT4706">
        <v>0</v>
      </c>
      <c r="BU4706">
        <v>0</v>
      </c>
      <c r="BV4706">
        <v>0</v>
      </c>
      <c r="CC4706" t="str">
        <f>"19:55:46.602"</f>
        <v>19:55:46.602</v>
      </c>
      <c r="CD4706" t="str">
        <f>"604600476"</f>
        <v>604600476</v>
      </c>
      <c r="CQ4706">
        <v>0</v>
      </c>
      <c r="CR4706">
        <v>2</v>
      </c>
      <c r="CS4706">
        <v>0</v>
      </c>
      <c r="CT4706">
        <v>2</v>
      </c>
      <c r="CU4706">
        <v>0</v>
      </c>
      <c r="CV4706">
        <v>2</v>
      </c>
      <c r="CW4706" t="s">
        <v>120</v>
      </c>
      <c r="CX4706">
        <v>257</v>
      </c>
      <c r="CY4706">
        <v>0</v>
      </c>
      <c r="CZ4706" t="s">
        <v>615</v>
      </c>
      <c r="DA4706" t="s">
        <v>616</v>
      </c>
      <c r="DD4706">
        <v>132157</v>
      </c>
      <c r="DE4706" t="s">
        <v>123</v>
      </c>
    </row>
    <row r="4707" spans="1:109" x14ac:dyDescent="0.3">
      <c r="A4707" t="str">
        <f>"19:55:47.938"</f>
        <v>19:55:47.938</v>
      </c>
      <c r="B4707" t="s">
        <v>110</v>
      </c>
      <c r="C4707" t="str">
        <f t="shared" si="223"/>
        <v>ffdfd3c0</v>
      </c>
      <c r="D4707" t="s">
        <v>111</v>
      </c>
      <c r="E4707">
        <v>18</v>
      </c>
      <c r="F4707">
        <v>1018</v>
      </c>
      <c r="G4707" t="s">
        <v>112</v>
      </c>
      <c r="J4707" t="s">
        <v>113</v>
      </c>
      <c r="K4707">
        <v>0</v>
      </c>
      <c r="L4707">
        <v>3</v>
      </c>
      <c r="M4707">
        <v>0</v>
      </c>
      <c r="N4707">
        <v>2</v>
      </c>
      <c r="O4707">
        <v>1</v>
      </c>
      <c r="P4707">
        <v>0</v>
      </c>
      <c r="Q4707">
        <v>0</v>
      </c>
      <c r="R4707" t="s">
        <v>114</v>
      </c>
      <c r="S4707" t="str">
        <f>"19:55:47.695"</f>
        <v>19:55:47.695</v>
      </c>
      <c r="T4707" t="str">
        <f>"19:55:47.094"</f>
        <v>19:55:47.094</v>
      </c>
      <c r="U4707" t="str">
        <f t="shared" si="224"/>
        <v>a1cdbe</v>
      </c>
      <c r="V4707">
        <v>0</v>
      </c>
      <c r="W4707">
        <v>0</v>
      </c>
      <c r="X4707">
        <v>2</v>
      </c>
      <c r="Y4707">
        <v>0</v>
      </c>
      <c r="Z4707">
        <v>0</v>
      </c>
      <c r="AB4707">
        <v>0</v>
      </c>
      <c r="AC4707">
        <v>9</v>
      </c>
      <c r="AD4707">
        <v>3</v>
      </c>
      <c r="AE4707">
        <v>0</v>
      </c>
      <c r="AF4707">
        <v>9</v>
      </c>
      <c r="AG4707" t="s">
        <v>115</v>
      </c>
      <c r="AH4707">
        <v>0</v>
      </c>
      <c r="AI4707">
        <v>0</v>
      </c>
      <c r="AJ4707">
        <v>1</v>
      </c>
      <c r="AK4707">
        <v>0</v>
      </c>
      <c r="AL4707" t="s">
        <v>8162</v>
      </c>
      <c r="AM4707">
        <v>47.067039000000001</v>
      </c>
      <c r="AN4707" t="s">
        <v>8401</v>
      </c>
      <c r="AO4707">
        <v>-124.108214</v>
      </c>
      <c r="AP4707">
        <v>100</v>
      </c>
      <c r="AQ4707">
        <v>-100</v>
      </c>
      <c r="AR4707" t="s">
        <v>118</v>
      </c>
      <c r="AS4707">
        <v>-36</v>
      </c>
      <c r="AT4707">
        <v>3</v>
      </c>
      <c r="AU4707">
        <v>-384</v>
      </c>
      <c r="BC4707">
        <v>1200</v>
      </c>
      <c r="BD4707">
        <v>1</v>
      </c>
      <c r="BE4707" t="str">
        <f t="shared" si="225"/>
        <v xml:space="preserve">N215T   </v>
      </c>
      <c r="BF4707">
        <v>1</v>
      </c>
      <c r="BH4707">
        <v>0</v>
      </c>
      <c r="BI4707">
        <v>0</v>
      </c>
      <c r="BJ4707">
        <v>0</v>
      </c>
      <c r="BK4707">
        <v>300</v>
      </c>
      <c r="BL4707">
        <v>400</v>
      </c>
      <c r="BM4707" t="s">
        <v>119</v>
      </c>
      <c r="BN4707">
        <v>1</v>
      </c>
      <c r="BO4707">
        <v>1</v>
      </c>
      <c r="BP4707">
        <v>1</v>
      </c>
      <c r="BQ4707">
        <v>0</v>
      </c>
      <c r="BT4707">
        <v>0</v>
      </c>
      <c r="BU4707">
        <v>0</v>
      </c>
      <c r="BV4707">
        <v>0</v>
      </c>
      <c r="CC4707" t="str">
        <f>"19:55:47.703"</f>
        <v>19:55:47.703</v>
      </c>
      <c r="CD4707" t="str">
        <f>"699492605"</f>
        <v>699492605</v>
      </c>
      <c r="CQ4707">
        <v>0</v>
      </c>
      <c r="CR4707">
        <v>2</v>
      </c>
      <c r="CS4707">
        <v>0</v>
      </c>
      <c r="CT4707">
        <v>2</v>
      </c>
      <c r="CU4707">
        <v>0</v>
      </c>
      <c r="CV4707">
        <v>3</v>
      </c>
      <c r="CW4707" t="s">
        <v>120</v>
      </c>
      <c r="CX4707">
        <v>257</v>
      </c>
      <c r="CY4707">
        <v>0</v>
      </c>
      <c r="CZ4707" t="s">
        <v>615</v>
      </c>
      <c r="DA4707" t="s">
        <v>616</v>
      </c>
      <c r="DD4707">
        <v>132580</v>
      </c>
      <c r="DE4707" t="s">
        <v>123</v>
      </c>
    </row>
    <row r="4708" spans="1:109" x14ac:dyDescent="0.3">
      <c r="A4708" t="str">
        <f>"19:55:49.539"</f>
        <v>19:55:49.539</v>
      </c>
      <c r="B4708" t="s">
        <v>110</v>
      </c>
      <c r="C4708" t="str">
        <f t="shared" si="223"/>
        <v>ffdfd3c0</v>
      </c>
      <c r="D4708" t="s">
        <v>111</v>
      </c>
      <c r="E4708">
        <v>18</v>
      </c>
      <c r="F4708">
        <v>1018</v>
      </c>
      <c r="G4708" t="s">
        <v>112</v>
      </c>
      <c r="J4708" t="s">
        <v>113</v>
      </c>
      <c r="K4708">
        <v>0</v>
      </c>
      <c r="L4708">
        <v>3</v>
      </c>
      <c r="M4708">
        <v>0</v>
      </c>
      <c r="N4708">
        <v>2</v>
      </c>
      <c r="O4708">
        <v>1</v>
      </c>
      <c r="P4708">
        <v>0</v>
      </c>
      <c r="Q4708">
        <v>0</v>
      </c>
      <c r="R4708" t="s">
        <v>114</v>
      </c>
      <c r="S4708" t="str">
        <f>"19:55:49.289"</f>
        <v>19:55:49.289</v>
      </c>
      <c r="T4708" t="str">
        <f>"19:55:48.688"</f>
        <v>19:55:48.688</v>
      </c>
      <c r="U4708" t="str">
        <f t="shared" si="224"/>
        <v>a1cdbe</v>
      </c>
      <c r="V4708">
        <v>0</v>
      </c>
      <c r="W4708">
        <v>0</v>
      </c>
      <c r="X4708">
        <v>2</v>
      </c>
      <c r="Y4708">
        <v>0</v>
      </c>
      <c r="Z4708">
        <v>0</v>
      </c>
      <c r="AB4708">
        <v>0</v>
      </c>
      <c r="AC4708">
        <v>9</v>
      </c>
      <c r="AD4708">
        <v>3</v>
      </c>
      <c r="AE4708">
        <v>0</v>
      </c>
      <c r="AF4708">
        <v>9</v>
      </c>
      <c r="AG4708" t="s">
        <v>115</v>
      </c>
      <c r="AH4708">
        <v>0</v>
      </c>
      <c r="AI4708">
        <v>0</v>
      </c>
      <c r="AJ4708">
        <v>1</v>
      </c>
      <c r="AK4708">
        <v>0</v>
      </c>
      <c r="AL4708" t="s">
        <v>473</v>
      </c>
      <c r="AM4708">
        <v>47.067081999999999</v>
      </c>
      <c r="AN4708" t="s">
        <v>8402</v>
      </c>
      <c r="AO4708">
        <v>-124.108558</v>
      </c>
      <c r="AP4708">
        <v>100</v>
      </c>
      <c r="AQ4708">
        <v>-100</v>
      </c>
      <c r="AR4708" t="s">
        <v>118</v>
      </c>
      <c r="AS4708">
        <v>-36</v>
      </c>
      <c r="AT4708">
        <v>4</v>
      </c>
      <c r="AU4708">
        <v>-512</v>
      </c>
      <c r="BC4708">
        <v>1200</v>
      </c>
      <c r="BD4708">
        <v>1</v>
      </c>
      <c r="BE4708" t="str">
        <f t="shared" si="225"/>
        <v xml:space="preserve">N215T   </v>
      </c>
      <c r="BF4708">
        <v>1</v>
      </c>
      <c r="BH4708">
        <v>0</v>
      </c>
      <c r="BI4708">
        <v>0</v>
      </c>
      <c r="BJ4708">
        <v>0</v>
      </c>
      <c r="BK4708">
        <v>300</v>
      </c>
      <c r="BL4708">
        <v>400</v>
      </c>
      <c r="BM4708" t="s">
        <v>119</v>
      </c>
      <c r="BN4708">
        <v>1</v>
      </c>
      <c r="BO4708">
        <v>1</v>
      </c>
      <c r="BP4708">
        <v>1</v>
      </c>
      <c r="BQ4708">
        <v>0</v>
      </c>
      <c r="BT4708">
        <v>0</v>
      </c>
      <c r="BU4708">
        <v>0</v>
      </c>
      <c r="BV4708">
        <v>0</v>
      </c>
      <c r="CC4708" t="str">
        <f>"19:55:49.289"</f>
        <v>19:55:49.289</v>
      </c>
      <c r="CD4708" t="str">
        <f>"289335941"</f>
        <v>289335941</v>
      </c>
      <c r="CQ4708">
        <v>0</v>
      </c>
      <c r="CR4708">
        <v>2</v>
      </c>
      <c r="CS4708">
        <v>0</v>
      </c>
      <c r="CT4708">
        <v>2</v>
      </c>
      <c r="CU4708">
        <v>0</v>
      </c>
      <c r="CV4708">
        <v>2</v>
      </c>
      <c r="CW4708" t="s">
        <v>120</v>
      </c>
      <c r="CX4708">
        <v>257</v>
      </c>
      <c r="CY4708">
        <v>0</v>
      </c>
      <c r="CZ4708" t="s">
        <v>615</v>
      </c>
      <c r="DA4708" t="s">
        <v>616</v>
      </c>
      <c r="DD4708">
        <v>133125</v>
      </c>
      <c r="DE4708" t="s">
        <v>123</v>
      </c>
    </row>
    <row r="4709" spans="1:109" x14ac:dyDescent="0.3">
      <c r="A4709" t="str">
        <f>"19:55:50.547"</f>
        <v>19:55:50.547</v>
      </c>
      <c r="B4709" t="s">
        <v>110</v>
      </c>
      <c r="C4709" t="str">
        <f t="shared" si="223"/>
        <v>ffdfd3c0</v>
      </c>
      <c r="D4709" t="s">
        <v>111</v>
      </c>
      <c r="E4709">
        <v>18</v>
      </c>
      <c r="F4709">
        <v>1018</v>
      </c>
      <c r="G4709" t="s">
        <v>112</v>
      </c>
      <c r="J4709" t="s">
        <v>113</v>
      </c>
      <c r="K4709">
        <v>0</v>
      </c>
      <c r="L4709">
        <v>3</v>
      </c>
      <c r="M4709">
        <v>0</v>
      </c>
      <c r="N4709">
        <v>2</v>
      </c>
      <c r="O4709">
        <v>1</v>
      </c>
      <c r="P4709">
        <v>0</v>
      </c>
      <c r="Q4709">
        <v>0</v>
      </c>
      <c r="R4709" t="s">
        <v>114</v>
      </c>
      <c r="S4709" t="str">
        <f>"19:55:50.305"</f>
        <v>19:55:50.305</v>
      </c>
      <c r="T4709" t="str">
        <f>"19:55:50.008"</f>
        <v>19:55:50.008</v>
      </c>
      <c r="U4709" t="str">
        <f t="shared" si="224"/>
        <v>a1cdbe</v>
      </c>
      <c r="V4709">
        <v>0</v>
      </c>
      <c r="W4709">
        <v>0</v>
      </c>
      <c r="X4709">
        <v>2</v>
      </c>
      <c r="Y4709">
        <v>0</v>
      </c>
      <c r="Z4709">
        <v>0</v>
      </c>
      <c r="AB4709">
        <v>0</v>
      </c>
      <c r="AC4709">
        <v>9</v>
      </c>
      <c r="AD4709">
        <v>3</v>
      </c>
      <c r="AE4709">
        <v>0</v>
      </c>
      <c r="AF4709">
        <v>9</v>
      </c>
      <c r="AG4709" t="s">
        <v>115</v>
      </c>
      <c r="AH4709">
        <v>0</v>
      </c>
      <c r="AI4709">
        <v>0</v>
      </c>
      <c r="AJ4709">
        <v>1</v>
      </c>
      <c r="AK4709">
        <v>0</v>
      </c>
      <c r="AL4709" t="s">
        <v>8396</v>
      </c>
      <c r="AM4709">
        <v>47.067103000000003</v>
      </c>
      <c r="AN4709" t="s">
        <v>8330</v>
      </c>
      <c r="AO4709">
        <v>-124.10881500000001</v>
      </c>
      <c r="AP4709">
        <v>100</v>
      </c>
      <c r="AQ4709">
        <v>-100</v>
      </c>
      <c r="AR4709" t="s">
        <v>118</v>
      </c>
      <c r="AS4709">
        <v>-36</v>
      </c>
      <c r="AT4709">
        <v>5</v>
      </c>
      <c r="AU4709">
        <v>-576</v>
      </c>
      <c r="BC4709">
        <v>1200</v>
      </c>
      <c r="BD4709">
        <v>1</v>
      </c>
      <c r="BE4709" t="str">
        <f t="shared" si="225"/>
        <v xml:space="preserve">N215T   </v>
      </c>
      <c r="BF4709">
        <v>1</v>
      </c>
      <c r="BH4709">
        <v>0</v>
      </c>
      <c r="BI4709">
        <v>0</v>
      </c>
      <c r="BJ4709">
        <v>0</v>
      </c>
      <c r="BK4709">
        <v>275</v>
      </c>
      <c r="BL4709">
        <v>375</v>
      </c>
      <c r="BM4709" t="s">
        <v>119</v>
      </c>
      <c r="BN4709">
        <v>1</v>
      </c>
      <c r="BO4709">
        <v>1</v>
      </c>
      <c r="BP4709">
        <v>1</v>
      </c>
      <c r="BQ4709">
        <v>0</v>
      </c>
      <c r="BT4709">
        <v>0</v>
      </c>
      <c r="BU4709">
        <v>0</v>
      </c>
      <c r="BV4709">
        <v>0</v>
      </c>
      <c r="CC4709" t="str">
        <f>"19:55:50.313"</f>
        <v>19:55:50.313</v>
      </c>
      <c r="CD4709" t="str">
        <f>"309235528"</f>
        <v>309235528</v>
      </c>
      <c r="CQ4709">
        <v>0</v>
      </c>
      <c r="CR4709">
        <v>2</v>
      </c>
      <c r="CS4709">
        <v>0</v>
      </c>
      <c r="CT4709">
        <v>2</v>
      </c>
      <c r="CU4709">
        <v>0</v>
      </c>
      <c r="CV4709">
        <v>1</v>
      </c>
      <c r="CW4709" t="s">
        <v>120</v>
      </c>
      <c r="CX4709">
        <v>257</v>
      </c>
      <c r="CY4709">
        <v>3</v>
      </c>
      <c r="CZ4709" t="s">
        <v>615</v>
      </c>
      <c r="DA4709" t="s">
        <v>616</v>
      </c>
      <c r="DD4709">
        <v>9568903</v>
      </c>
      <c r="DE4709" t="s">
        <v>123</v>
      </c>
    </row>
    <row r="4710" spans="1:109" x14ac:dyDescent="0.3">
      <c r="A4710" t="str">
        <f>"19:55:51.453"</f>
        <v>19:55:51.453</v>
      </c>
      <c r="B4710" t="s">
        <v>110</v>
      </c>
      <c r="C4710" t="str">
        <f t="shared" si="223"/>
        <v>ffdfd3c0</v>
      </c>
      <c r="D4710" t="s">
        <v>111</v>
      </c>
      <c r="E4710">
        <v>18</v>
      </c>
      <c r="F4710">
        <v>1018</v>
      </c>
      <c r="G4710" t="s">
        <v>112</v>
      </c>
      <c r="J4710" t="s">
        <v>113</v>
      </c>
      <c r="K4710">
        <v>0</v>
      </c>
      <c r="L4710">
        <v>3</v>
      </c>
      <c r="M4710">
        <v>0</v>
      </c>
      <c r="N4710">
        <v>2</v>
      </c>
      <c r="O4710">
        <v>1</v>
      </c>
      <c r="P4710">
        <v>0</v>
      </c>
      <c r="Q4710">
        <v>0</v>
      </c>
      <c r="R4710" t="s">
        <v>114</v>
      </c>
      <c r="S4710" t="str">
        <f>"19:55:51.234"</f>
        <v>19:55:51.234</v>
      </c>
      <c r="T4710" t="str">
        <f>"19:55:51.133"</f>
        <v>19:55:51.133</v>
      </c>
      <c r="U4710" t="str">
        <f t="shared" si="224"/>
        <v>a1cdbe</v>
      </c>
      <c r="V4710">
        <v>0</v>
      </c>
      <c r="W4710">
        <v>0</v>
      </c>
      <c r="X4710">
        <v>2</v>
      </c>
      <c r="Y4710">
        <v>0</v>
      </c>
      <c r="Z4710">
        <v>0</v>
      </c>
      <c r="AB4710">
        <v>0</v>
      </c>
      <c r="AC4710">
        <v>9</v>
      </c>
      <c r="AD4710">
        <v>3</v>
      </c>
      <c r="AE4710">
        <v>0</v>
      </c>
      <c r="AF4710">
        <v>9</v>
      </c>
      <c r="AG4710" t="s">
        <v>115</v>
      </c>
      <c r="AH4710">
        <v>0</v>
      </c>
      <c r="AI4710">
        <v>0</v>
      </c>
      <c r="AJ4710">
        <v>1</v>
      </c>
      <c r="AK4710">
        <v>0</v>
      </c>
      <c r="AL4710" t="s">
        <v>8403</v>
      </c>
      <c r="AM4710">
        <v>47.067124999999997</v>
      </c>
      <c r="AN4710" t="s">
        <v>8404</v>
      </c>
      <c r="AO4710">
        <v>-124.10905099999999</v>
      </c>
      <c r="AP4710">
        <v>100</v>
      </c>
      <c r="AQ4710">
        <v>-100</v>
      </c>
      <c r="AR4710" t="s">
        <v>118</v>
      </c>
      <c r="AS4710">
        <v>-36</v>
      </c>
      <c r="AT4710">
        <v>7</v>
      </c>
      <c r="AU4710">
        <v>-576</v>
      </c>
      <c r="BC4710">
        <v>1200</v>
      </c>
      <c r="BD4710">
        <v>1</v>
      </c>
      <c r="BE4710" t="str">
        <f t="shared" si="225"/>
        <v xml:space="preserve">N215T   </v>
      </c>
      <c r="BF4710">
        <v>1</v>
      </c>
      <c r="BH4710">
        <v>0</v>
      </c>
      <c r="BI4710">
        <v>0</v>
      </c>
      <c r="BJ4710">
        <v>0</v>
      </c>
      <c r="BK4710">
        <v>275</v>
      </c>
      <c r="BL4710">
        <v>375</v>
      </c>
      <c r="BM4710" t="s">
        <v>119</v>
      </c>
      <c r="BN4710">
        <v>1</v>
      </c>
      <c r="BO4710">
        <v>1</v>
      </c>
      <c r="BP4710">
        <v>1</v>
      </c>
      <c r="BQ4710">
        <v>0</v>
      </c>
      <c r="BT4710">
        <v>0</v>
      </c>
      <c r="BU4710">
        <v>0</v>
      </c>
      <c r="BV4710">
        <v>0</v>
      </c>
      <c r="CC4710" t="str">
        <f>"19:55:51.242"</f>
        <v>19:55:51.242</v>
      </c>
      <c r="CD4710" t="str">
        <f>"239143813"</f>
        <v>239143813</v>
      </c>
      <c r="CQ4710">
        <v>0</v>
      </c>
      <c r="CR4710">
        <v>2</v>
      </c>
      <c r="CS4710">
        <v>0</v>
      </c>
      <c r="CT4710">
        <v>2</v>
      </c>
      <c r="CU4710">
        <v>0</v>
      </c>
      <c r="CV4710">
        <v>3</v>
      </c>
      <c r="CW4710" t="s">
        <v>120</v>
      </c>
      <c r="CX4710">
        <v>257</v>
      </c>
      <c r="CY4710">
        <v>0</v>
      </c>
      <c r="CZ4710" t="s">
        <v>615</v>
      </c>
      <c r="DA4710" t="s">
        <v>616</v>
      </c>
      <c r="DD4710">
        <v>133838</v>
      </c>
      <c r="DE4710" t="s">
        <v>123</v>
      </c>
    </row>
    <row r="4711" spans="1:109" x14ac:dyDescent="0.3">
      <c r="A4711" t="str">
        <f>"19:55:52.359"</f>
        <v>19:55:52.359</v>
      </c>
      <c r="B4711" t="s">
        <v>110</v>
      </c>
      <c r="C4711" t="str">
        <f t="shared" si="223"/>
        <v>ffdfd3c0</v>
      </c>
      <c r="D4711" t="s">
        <v>111</v>
      </c>
      <c r="E4711">
        <v>18</v>
      </c>
      <c r="F4711">
        <v>1018</v>
      </c>
      <c r="G4711" t="s">
        <v>112</v>
      </c>
      <c r="J4711" t="s">
        <v>113</v>
      </c>
      <c r="K4711">
        <v>0</v>
      </c>
      <c r="L4711">
        <v>3</v>
      </c>
      <c r="M4711">
        <v>0</v>
      </c>
      <c r="N4711">
        <v>2</v>
      </c>
      <c r="O4711">
        <v>1</v>
      </c>
      <c r="P4711">
        <v>0</v>
      </c>
      <c r="Q4711">
        <v>0</v>
      </c>
      <c r="R4711" t="s">
        <v>114</v>
      </c>
      <c r="S4711" t="str">
        <f>"19:55:52.094"</f>
        <v>19:55:52.094</v>
      </c>
      <c r="T4711" t="str">
        <f>"19:55:51.594"</f>
        <v>19:55:51.594</v>
      </c>
      <c r="U4711" t="str">
        <f t="shared" si="224"/>
        <v>a1cdbe</v>
      </c>
      <c r="V4711">
        <v>0</v>
      </c>
      <c r="W4711">
        <v>0</v>
      </c>
      <c r="X4711">
        <v>2</v>
      </c>
      <c r="Y4711">
        <v>0</v>
      </c>
      <c r="Z4711">
        <v>0</v>
      </c>
      <c r="AB4711">
        <v>0</v>
      </c>
      <c r="AC4711">
        <v>9</v>
      </c>
      <c r="AD4711">
        <v>3</v>
      </c>
      <c r="AE4711">
        <v>0</v>
      </c>
      <c r="AF4711">
        <v>9</v>
      </c>
      <c r="AG4711" t="s">
        <v>115</v>
      </c>
      <c r="AH4711">
        <v>0</v>
      </c>
      <c r="AI4711">
        <v>0</v>
      </c>
      <c r="AJ4711">
        <v>1</v>
      </c>
      <c r="AK4711">
        <v>0</v>
      </c>
      <c r="AL4711" t="s">
        <v>8164</v>
      </c>
      <c r="AM4711">
        <v>47.067168000000002</v>
      </c>
      <c r="AN4711" t="s">
        <v>8405</v>
      </c>
      <c r="AO4711">
        <v>-124.109244</v>
      </c>
      <c r="AP4711">
        <v>100</v>
      </c>
      <c r="AQ4711">
        <v>-200</v>
      </c>
      <c r="AR4711" t="s">
        <v>118</v>
      </c>
      <c r="AS4711">
        <v>-37</v>
      </c>
      <c r="AT4711">
        <v>8</v>
      </c>
      <c r="AU4711">
        <v>-640</v>
      </c>
      <c r="BC4711">
        <v>1200</v>
      </c>
      <c r="BD4711">
        <v>1</v>
      </c>
      <c r="BE4711" t="str">
        <f t="shared" si="225"/>
        <v xml:space="preserve">N215T   </v>
      </c>
      <c r="BF4711">
        <v>1</v>
      </c>
      <c r="BH4711">
        <v>0</v>
      </c>
      <c r="BI4711">
        <v>0</v>
      </c>
      <c r="BJ4711">
        <v>0</v>
      </c>
      <c r="BK4711">
        <v>250</v>
      </c>
      <c r="BL4711">
        <v>450</v>
      </c>
      <c r="BM4711" t="s">
        <v>119</v>
      </c>
      <c r="BN4711">
        <v>1</v>
      </c>
      <c r="BO4711">
        <v>1</v>
      </c>
      <c r="BP4711">
        <v>1</v>
      </c>
      <c r="BQ4711">
        <v>0</v>
      </c>
      <c r="BT4711">
        <v>0</v>
      </c>
      <c r="BU4711">
        <v>0</v>
      </c>
      <c r="BV4711">
        <v>0</v>
      </c>
      <c r="CC4711" t="str">
        <f>"19:55:52.094"</f>
        <v>19:55:52.094</v>
      </c>
      <c r="CD4711" t="str">
        <f>"094059584"</f>
        <v>094059584</v>
      </c>
      <c r="CQ4711">
        <v>0</v>
      </c>
      <c r="CR4711">
        <v>2</v>
      </c>
      <c r="CS4711">
        <v>0</v>
      </c>
      <c r="CT4711">
        <v>2</v>
      </c>
      <c r="CU4711">
        <v>0</v>
      </c>
      <c r="CV4711">
        <v>4</v>
      </c>
      <c r="CW4711" t="s">
        <v>120</v>
      </c>
      <c r="CX4711">
        <v>257</v>
      </c>
      <c r="CY4711">
        <v>0</v>
      </c>
      <c r="CZ4711" t="s">
        <v>615</v>
      </c>
      <c r="DA4711" t="s">
        <v>616</v>
      </c>
      <c r="DD4711">
        <v>134148</v>
      </c>
      <c r="DE4711" t="s">
        <v>123</v>
      </c>
    </row>
    <row r="4712" spans="1:109" x14ac:dyDescent="0.3">
      <c r="A4712" t="str">
        <f>"19:55:53.359"</f>
        <v>19:55:53.359</v>
      </c>
      <c r="B4712" t="s">
        <v>110</v>
      </c>
      <c r="C4712" t="str">
        <f t="shared" ref="C4712:C4727" si="226">"ffdfd3c0"</f>
        <v>ffdfd3c0</v>
      </c>
      <c r="D4712" t="s">
        <v>111</v>
      </c>
      <c r="E4712">
        <v>18</v>
      </c>
      <c r="F4712">
        <v>1018</v>
      </c>
      <c r="G4712" t="s">
        <v>112</v>
      </c>
      <c r="J4712" t="s">
        <v>113</v>
      </c>
      <c r="K4712">
        <v>0</v>
      </c>
      <c r="L4712">
        <v>3</v>
      </c>
      <c r="M4712">
        <v>0</v>
      </c>
      <c r="N4712">
        <v>2</v>
      </c>
      <c r="O4712">
        <v>1</v>
      </c>
      <c r="P4712">
        <v>0</v>
      </c>
      <c r="Q4712">
        <v>0</v>
      </c>
      <c r="R4712" t="s">
        <v>114</v>
      </c>
      <c r="S4712" t="str">
        <f>"19:55:53.109"</f>
        <v>19:55:53.109</v>
      </c>
      <c r="T4712" t="str">
        <f>"19:55:53.109"</f>
        <v>19:55:53.109</v>
      </c>
      <c r="U4712" t="str">
        <f t="shared" si="224"/>
        <v>a1cdbe</v>
      </c>
      <c r="V4712">
        <v>0</v>
      </c>
      <c r="W4712">
        <v>0</v>
      </c>
      <c r="X4712">
        <v>2</v>
      </c>
      <c r="Y4712">
        <v>0</v>
      </c>
      <c r="Z4712">
        <v>0</v>
      </c>
      <c r="AB4712">
        <v>0</v>
      </c>
      <c r="AC4712">
        <v>9</v>
      </c>
      <c r="AD4712">
        <v>3</v>
      </c>
      <c r="AE4712">
        <v>0</v>
      </c>
      <c r="AF4712">
        <v>9</v>
      </c>
      <c r="AG4712" t="s">
        <v>115</v>
      </c>
      <c r="AH4712">
        <v>0</v>
      </c>
      <c r="AI4712">
        <v>0</v>
      </c>
      <c r="AJ4712">
        <v>1</v>
      </c>
      <c r="AK4712">
        <v>0</v>
      </c>
      <c r="AL4712" t="s">
        <v>7486</v>
      </c>
      <c r="AM4712">
        <v>47.067188999999999</v>
      </c>
      <c r="AN4712" t="s">
        <v>8406</v>
      </c>
      <c r="AO4712">
        <v>-124.109523</v>
      </c>
      <c r="AP4712">
        <v>100</v>
      </c>
      <c r="AQ4712">
        <v>-200</v>
      </c>
      <c r="AR4712" t="s">
        <v>118</v>
      </c>
      <c r="AS4712">
        <v>-37</v>
      </c>
      <c r="AT4712">
        <v>11</v>
      </c>
      <c r="AU4712">
        <v>-576</v>
      </c>
      <c r="BC4712">
        <v>1200</v>
      </c>
      <c r="BD4712">
        <v>1</v>
      </c>
      <c r="BE4712" t="str">
        <f t="shared" si="225"/>
        <v xml:space="preserve">N215T   </v>
      </c>
      <c r="BF4712">
        <v>1</v>
      </c>
      <c r="BH4712">
        <v>0</v>
      </c>
      <c r="BI4712">
        <v>0</v>
      </c>
      <c r="BJ4712">
        <v>0</v>
      </c>
      <c r="BK4712">
        <v>250</v>
      </c>
      <c r="BL4712">
        <v>450</v>
      </c>
      <c r="BM4712" t="s">
        <v>119</v>
      </c>
      <c r="BN4712">
        <v>1</v>
      </c>
      <c r="BO4712">
        <v>1</v>
      </c>
      <c r="BP4712">
        <v>1</v>
      </c>
      <c r="BQ4712">
        <v>0</v>
      </c>
      <c r="BT4712">
        <v>0</v>
      </c>
      <c r="BU4712">
        <v>0</v>
      </c>
      <c r="BV4712">
        <v>0</v>
      </c>
      <c r="CC4712" t="str">
        <f>"19:55:53.117"</f>
        <v>19:55:53.117</v>
      </c>
      <c r="CD4712" t="str">
        <f>"113959121"</f>
        <v>113959121</v>
      </c>
      <c r="CQ4712">
        <v>0</v>
      </c>
      <c r="CR4712">
        <v>2</v>
      </c>
      <c r="CS4712">
        <v>0</v>
      </c>
      <c r="CT4712">
        <v>2</v>
      </c>
      <c r="CU4712">
        <v>0</v>
      </c>
      <c r="CV4712">
        <v>3</v>
      </c>
      <c r="CW4712" t="s">
        <v>120</v>
      </c>
      <c r="CX4712">
        <v>257</v>
      </c>
      <c r="CY4712">
        <v>0</v>
      </c>
      <c r="CZ4712" t="s">
        <v>615</v>
      </c>
      <c r="DA4712" t="s">
        <v>616</v>
      </c>
      <c r="DD4712">
        <v>134493</v>
      </c>
      <c r="DE4712" t="s">
        <v>123</v>
      </c>
    </row>
    <row r="4713" spans="1:109" x14ac:dyDescent="0.3">
      <c r="A4713" t="str">
        <f>"19:55:54.266"</f>
        <v>19:55:54.266</v>
      </c>
      <c r="B4713" t="s">
        <v>110</v>
      </c>
      <c r="C4713" t="str">
        <f t="shared" si="226"/>
        <v>ffdfd3c0</v>
      </c>
      <c r="D4713" t="s">
        <v>111</v>
      </c>
      <c r="E4713">
        <v>18</v>
      </c>
      <c r="F4713">
        <v>1018</v>
      </c>
      <c r="G4713" t="s">
        <v>112</v>
      </c>
      <c r="J4713" t="s">
        <v>113</v>
      </c>
      <c r="K4713">
        <v>0</v>
      </c>
      <c r="L4713">
        <v>3</v>
      </c>
      <c r="M4713">
        <v>0</v>
      </c>
      <c r="N4713">
        <v>2</v>
      </c>
      <c r="O4713">
        <v>1</v>
      </c>
      <c r="P4713">
        <v>0</v>
      </c>
      <c r="Q4713">
        <v>0</v>
      </c>
      <c r="R4713" t="s">
        <v>114</v>
      </c>
      <c r="S4713" t="str">
        <f>"19:55:53.992"</f>
        <v>19:55:53.992</v>
      </c>
      <c r="T4713" t="str">
        <f>"19:55:53.594"</f>
        <v>19:55:53.594</v>
      </c>
      <c r="U4713" t="str">
        <f t="shared" si="224"/>
        <v>a1cdbe</v>
      </c>
      <c r="V4713">
        <v>0</v>
      </c>
      <c r="W4713">
        <v>0</v>
      </c>
      <c r="X4713">
        <v>2</v>
      </c>
      <c r="Y4713">
        <v>0</v>
      </c>
      <c r="Z4713">
        <v>0</v>
      </c>
      <c r="AB4713">
        <v>0</v>
      </c>
      <c r="AC4713">
        <v>9</v>
      </c>
      <c r="AD4713">
        <v>3</v>
      </c>
      <c r="AE4713">
        <v>0</v>
      </c>
      <c r="AF4713">
        <v>9</v>
      </c>
      <c r="AG4713" t="s">
        <v>115</v>
      </c>
      <c r="AH4713">
        <v>0</v>
      </c>
      <c r="AI4713">
        <v>0</v>
      </c>
      <c r="AJ4713">
        <v>1</v>
      </c>
      <c r="AK4713">
        <v>0</v>
      </c>
      <c r="AL4713" t="s">
        <v>7457</v>
      </c>
      <c r="AM4713">
        <v>47.067253999999998</v>
      </c>
      <c r="AN4713" t="s">
        <v>8407</v>
      </c>
      <c r="AO4713">
        <v>-124.10973799999999</v>
      </c>
      <c r="AP4713">
        <v>100</v>
      </c>
      <c r="AQ4713">
        <v>-200</v>
      </c>
      <c r="AR4713" t="s">
        <v>118</v>
      </c>
      <c r="AS4713">
        <v>-36</v>
      </c>
      <c r="AT4713">
        <v>11</v>
      </c>
      <c r="AU4713">
        <v>-576</v>
      </c>
      <c r="BC4713">
        <v>1200</v>
      </c>
      <c r="BD4713">
        <v>1</v>
      </c>
      <c r="BE4713" t="str">
        <f t="shared" si="225"/>
        <v xml:space="preserve">N215T   </v>
      </c>
      <c r="BF4713">
        <v>1</v>
      </c>
      <c r="BH4713">
        <v>0</v>
      </c>
      <c r="BI4713">
        <v>0</v>
      </c>
      <c r="BJ4713">
        <v>0</v>
      </c>
      <c r="BK4713">
        <v>250</v>
      </c>
      <c r="BL4713">
        <v>450</v>
      </c>
      <c r="BM4713" t="s">
        <v>119</v>
      </c>
      <c r="BN4713">
        <v>1</v>
      </c>
      <c r="BO4713">
        <v>1</v>
      </c>
      <c r="BP4713">
        <v>1</v>
      </c>
      <c r="BQ4713">
        <v>0</v>
      </c>
      <c r="BT4713">
        <v>0</v>
      </c>
      <c r="BU4713">
        <v>0</v>
      </c>
      <c r="BV4713">
        <v>0</v>
      </c>
      <c r="CC4713" t="str">
        <f>"19:55:54.000"</f>
        <v>19:55:54.000</v>
      </c>
      <c r="CD4713" t="str">
        <f>"998871890"</f>
        <v>998871890</v>
      </c>
      <c r="CQ4713">
        <v>0</v>
      </c>
      <c r="CR4713">
        <v>2</v>
      </c>
      <c r="CS4713">
        <v>0</v>
      </c>
      <c r="CT4713">
        <v>2</v>
      </c>
      <c r="CU4713">
        <v>0</v>
      </c>
      <c r="CV4713">
        <v>2</v>
      </c>
      <c r="CW4713" t="s">
        <v>120</v>
      </c>
      <c r="CX4713">
        <v>257</v>
      </c>
      <c r="CY4713">
        <v>0</v>
      </c>
      <c r="CZ4713" t="s">
        <v>615</v>
      </c>
      <c r="DA4713" t="s">
        <v>616</v>
      </c>
      <c r="DD4713">
        <v>134791</v>
      </c>
      <c r="DE4713" t="s">
        <v>123</v>
      </c>
    </row>
    <row r="4714" spans="1:109" x14ac:dyDescent="0.3">
      <c r="A4714" t="str">
        <f>"19:55:55.172"</f>
        <v>19:55:55.172</v>
      </c>
      <c r="B4714" t="s">
        <v>110</v>
      </c>
      <c r="C4714" t="str">
        <f t="shared" si="226"/>
        <v>ffdfd3c0</v>
      </c>
      <c r="D4714" t="s">
        <v>111</v>
      </c>
      <c r="E4714">
        <v>18</v>
      </c>
      <c r="F4714">
        <v>1018</v>
      </c>
      <c r="G4714" t="s">
        <v>112</v>
      </c>
      <c r="J4714" t="s">
        <v>113</v>
      </c>
      <c r="K4714">
        <v>0</v>
      </c>
      <c r="L4714">
        <v>3</v>
      </c>
      <c r="M4714">
        <v>0</v>
      </c>
      <c r="N4714">
        <v>2</v>
      </c>
      <c r="O4714">
        <v>1</v>
      </c>
      <c r="P4714">
        <v>0</v>
      </c>
      <c r="Q4714">
        <v>0</v>
      </c>
      <c r="R4714" t="s">
        <v>114</v>
      </c>
      <c r="S4714" t="str">
        <f>"19:55:54.938"</f>
        <v>19:55:54.938</v>
      </c>
      <c r="T4714" t="str">
        <f>"19:55:54.141"</f>
        <v>19:55:54.141</v>
      </c>
      <c r="U4714" t="str">
        <f t="shared" si="224"/>
        <v>a1cdbe</v>
      </c>
      <c r="V4714">
        <v>0</v>
      </c>
      <c r="W4714">
        <v>0</v>
      </c>
      <c r="X4714">
        <v>2</v>
      </c>
      <c r="Y4714">
        <v>0</v>
      </c>
      <c r="Z4714">
        <v>0</v>
      </c>
      <c r="AB4714">
        <v>0</v>
      </c>
      <c r="AC4714">
        <v>9</v>
      </c>
      <c r="AD4714">
        <v>3</v>
      </c>
      <c r="AE4714">
        <v>0</v>
      </c>
      <c r="AF4714">
        <v>9</v>
      </c>
      <c r="AG4714" t="s">
        <v>115</v>
      </c>
      <c r="AH4714">
        <v>0</v>
      </c>
      <c r="AI4714">
        <v>0</v>
      </c>
      <c r="AJ4714">
        <v>1</v>
      </c>
      <c r="AK4714">
        <v>0</v>
      </c>
      <c r="AL4714" t="s">
        <v>8166</v>
      </c>
      <c r="AM4714">
        <v>47.067297000000003</v>
      </c>
      <c r="AN4714" t="s">
        <v>8408</v>
      </c>
      <c r="AO4714">
        <v>-124.110017</v>
      </c>
      <c r="AP4714">
        <v>100</v>
      </c>
      <c r="AQ4714">
        <v>-200</v>
      </c>
      <c r="AR4714" t="s">
        <v>118</v>
      </c>
      <c r="AS4714">
        <v>-36</v>
      </c>
      <c r="AT4714">
        <v>12</v>
      </c>
      <c r="AU4714">
        <v>-512</v>
      </c>
      <c r="BC4714">
        <v>1200</v>
      </c>
      <c r="BD4714">
        <v>1</v>
      </c>
      <c r="BE4714" t="str">
        <f t="shared" si="225"/>
        <v xml:space="preserve">N215T   </v>
      </c>
      <c r="BF4714">
        <v>1</v>
      </c>
      <c r="BH4714">
        <v>0</v>
      </c>
      <c r="BI4714">
        <v>0</v>
      </c>
      <c r="BJ4714">
        <v>0</v>
      </c>
      <c r="BK4714">
        <v>250</v>
      </c>
      <c r="BL4714">
        <v>450</v>
      </c>
      <c r="BM4714" t="s">
        <v>119</v>
      </c>
      <c r="BN4714">
        <v>1</v>
      </c>
      <c r="BO4714">
        <v>1</v>
      </c>
      <c r="BP4714">
        <v>1</v>
      </c>
      <c r="BQ4714">
        <v>0</v>
      </c>
      <c r="BT4714">
        <v>0</v>
      </c>
      <c r="BU4714">
        <v>0</v>
      </c>
      <c r="BV4714">
        <v>0</v>
      </c>
      <c r="CC4714" t="str">
        <f>"19:55:54.945"</f>
        <v>19:55:54.945</v>
      </c>
      <c r="CD4714" t="str">
        <f>"943778824"</f>
        <v>943778824</v>
      </c>
      <c r="CQ4714">
        <v>0</v>
      </c>
      <c r="CR4714">
        <v>2</v>
      </c>
      <c r="CS4714">
        <v>0</v>
      </c>
      <c r="CT4714">
        <v>2</v>
      </c>
      <c r="CU4714">
        <v>0</v>
      </c>
      <c r="CV4714">
        <v>3</v>
      </c>
      <c r="CW4714" t="s">
        <v>120</v>
      </c>
      <c r="CX4714">
        <v>257</v>
      </c>
      <c r="CY4714">
        <v>0</v>
      </c>
      <c r="CZ4714" t="s">
        <v>615</v>
      </c>
      <c r="DA4714" t="s">
        <v>616</v>
      </c>
      <c r="DD4714">
        <v>135128</v>
      </c>
      <c r="DE4714" t="s">
        <v>123</v>
      </c>
    </row>
    <row r="4715" spans="1:109" x14ac:dyDescent="0.3">
      <c r="A4715" t="str">
        <f>"19:55:56.180"</f>
        <v>19:55:56.180</v>
      </c>
      <c r="B4715" t="s">
        <v>110</v>
      </c>
      <c r="C4715" t="str">
        <f t="shared" si="226"/>
        <v>ffdfd3c0</v>
      </c>
      <c r="D4715" t="s">
        <v>111</v>
      </c>
      <c r="E4715">
        <v>18</v>
      </c>
      <c r="F4715">
        <v>1018</v>
      </c>
      <c r="G4715" t="s">
        <v>112</v>
      </c>
      <c r="J4715" t="s">
        <v>113</v>
      </c>
      <c r="K4715">
        <v>0</v>
      </c>
      <c r="L4715">
        <v>3</v>
      </c>
      <c r="M4715">
        <v>0</v>
      </c>
      <c r="N4715">
        <v>2</v>
      </c>
      <c r="O4715">
        <v>1</v>
      </c>
      <c r="P4715">
        <v>0</v>
      </c>
      <c r="Q4715">
        <v>0</v>
      </c>
      <c r="R4715" t="s">
        <v>114</v>
      </c>
      <c r="S4715" t="str">
        <f>"19:55:55.961"</f>
        <v>19:55:55.961</v>
      </c>
      <c r="T4715" t="str">
        <f>"19:55:55.563"</f>
        <v>19:55:55.563</v>
      </c>
      <c r="U4715" t="str">
        <f t="shared" si="224"/>
        <v>a1cdbe</v>
      </c>
      <c r="V4715">
        <v>0</v>
      </c>
      <c r="W4715">
        <v>0</v>
      </c>
      <c r="X4715">
        <v>2</v>
      </c>
      <c r="Y4715">
        <v>0</v>
      </c>
      <c r="Z4715">
        <v>0</v>
      </c>
      <c r="AB4715">
        <v>0</v>
      </c>
      <c r="AC4715">
        <v>9</v>
      </c>
      <c r="AD4715">
        <v>3</v>
      </c>
      <c r="AE4715">
        <v>0</v>
      </c>
      <c r="AF4715">
        <v>9</v>
      </c>
      <c r="AG4715" t="s">
        <v>115</v>
      </c>
      <c r="AH4715">
        <v>0</v>
      </c>
      <c r="AI4715">
        <v>0</v>
      </c>
      <c r="AJ4715">
        <v>1</v>
      </c>
      <c r="AK4715">
        <v>0</v>
      </c>
      <c r="AL4715" t="s">
        <v>8409</v>
      </c>
      <c r="AM4715">
        <v>47.067360999999998</v>
      </c>
      <c r="AN4715" t="s">
        <v>8324</v>
      </c>
      <c r="AO4715">
        <v>-124.11021</v>
      </c>
      <c r="AP4715">
        <v>100</v>
      </c>
      <c r="AQ4715">
        <v>-200</v>
      </c>
      <c r="AR4715" t="s">
        <v>118</v>
      </c>
      <c r="AS4715">
        <v>-36</v>
      </c>
      <c r="AT4715">
        <v>12</v>
      </c>
      <c r="AU4715">
        <v>-384</v>
      </c>
      <c r="BC4715">
        <v>1200</v>
      </c>
      <c r="BD4715">
        <v>1</v>
      </c>
      <c r="BE4715" t="str">
        <f t="shared" si="225"/>
        <v xml:space="preserve">N215T   </v>
      </c>
      <c r="BF4715">
        <v>1</v>
      </c>
      <c r="BH4715">
        <v>0</v>
      </c>
      <c r="BI4715">
        <v>0</v>
      </c>
      <c r="BJ4715">
        <v>0</v>
      </c>
      <c r="BK4715">
        <v>225</v>
      </c>
      <c r="BL4715">
        <v>425</v>
      </c>
      <c r="BM4715" t="s">
        <v>119</v>
      </c>
      <c r="BN4715">
        <v>1</v>
      </c>
      <c r="BO4715">
        <v>1</v>
      </c>
      <c r="BP4715">
        <v>1</v>
      </c>
      <c r="BQ4715">
        <v>0</v>
      </c>
      <c r="BT4715">
        <v>0</v>
      </c>
      <c r="BU4715">
        <v>0</v>
      </c>
      <c r="BV4715">
        <v>0</v>
      </c>
      <c r="CC4715" t="str">
        <f>"19:55:55.961"</f>
        <v>19:55:55.961</v>
      </c>
      <c r="CD4715" t="str">
        <f>"963678354"</f>
        <v>963678354</v>
      </c>
      <c r="CQ4715">
        <v>0</v>
      </c>
      <c r="CR4715">
        <v>2</v>
      </c>
      <c r="CS4715">
        <v>0</v>
      </c>
      <c r="CT4715">
        <v>2</v>
      </c>
      <c r="CU4715">
        <v>0</v>
      </c>
      <c r="CV4715">
        <v>3</v>
      </c>
      <c r="CW4715" t="s">
        <v>120</v>
      </c>
      <c r="CX4715">
        <v>257</v>
      </c>
      <c r="CY4715">
        <v>0</v>
      </c>
      <c r="CZ4715" t="s">
        <v>615</v>
      </c>
      <c r="DA4715" t="s">
        <v>616</v>
      </c>
      <c r="DD4715">
        <v>135523</v>
      </c>
      <c r="DE4715" t="s">
        <v>123</v>
      </c>
    </row>
    <row r="4716" spans="1:109" x14ac:dyDescent="0.3">
      <c r="A4716" t="str">
        <f>"19:55:57.180"</f>
        <v>19:55:57.180</v>
      </c>
      <c r="B4716" t="s">
        <v>110</v>
      </c>
      <c r="C4716" t="str">
        <f t="shared" si="226"/>
        <v>ffdfd3c0</v>
      </c>
      <c r="D4716" t="s">
        <v>111</v>
      </c>
      <c r="E4716">
        <v>18</v>
      </c>
      <c r="F4716">
        <v>1018</v>
      </c>
      <c r="G4716" t="s">
        <v>112</v>
      </c>
      <c r="J4716" t="s">
        <v>113</v>
      </c>
      <c r="K4716">
        <v>0</v>
      </c>
      <c r="L4716">
        <v>3</v>
      </c>
      <c r="M4716">
        <v>0</v>
      </c>
      <c r="N4716">
        <v>2</v>
      </c>
      <c r="O4716">
        <v>1</v>
      </c>
      <c r="P4716">
        <v>0</v>
      </c>
      <c r="Q4716">
        <v>0</v>
      </c>
      <c r="R4716" t="s">
        <v>114</v>
      </c>
      <c r="S4716" t="str">
        <f>"19:55:56.953"</f>
        <v>19:55:56.953</v>
      </c>
      <c r="T4716" t="str">
        <f>"19:55:56.656"</f>
        <v>19:55:56.656</v>
      </c>
      <c r="U4716" t="str">
        <f t="shared" si="224"/>
        <v>a1cdbe</v>
      </c>
      <c r="V4716">
        <v>0</v>
      </c>
      <c r="W4716">
        <v>0</v>
      </c>
      <c r="X4716">
        <v>2</v>
      </c>
      <c r="Y4716">
        <v>0</v>
      </c>
      <c r="Z4716">
        <v>0</v>
      </c>
      <c r="AB4716">
        <v>0</v>
      </c>
      <c r="AC4716">
        <v>9</v>
      </c>
      <c r="AD4716">
        <v>3</v>
      </c>
      <c r="AE4716">
        <v>0</v>
      </c>
      <c r="AF4716">
        <v>9</v>
      </c>
      <c r="AG4716" t="s">
        <v>115</v>
      </c>
      <c r="AH4716">
        <v>0</v>
      </c>
      <c r="AI4716">
        <v>0</v>
      </c>
      <c r="AJ4716">
        <v>1</v>
      </c>
      <c r="AK4716">
        <v>0</v>
      </c>
      <c r="AL4716" t="s">
        <v>8391</v>
      </c>
      <c r="AM4716">
        <v>47.067404000000003</v>
      </c>
      <c r="AN4716" t="s">
        <v>8322</v>
      </c>
      <c r="AO4716">
        <v>-124.110489</v>
      </c>
      <c r="AP4716">
        <v>100</v>
      </c>
      <c r="AQ4716">
        <v>-200</v>
      </c>
      <c r="AR4716" t="s">
        <v>118</v>
      </c>
      <c r="AS4716">
        <v>-36</v>
      </c>
      <c r="AT4716">
        <v>12</v>
      </c>
      <c r="AU4716">
        <v>-448</v>
      </c>
      <c r="BC4716">
        <v>1200</v>
      </c>
      <c r="BD4716">
        <v>1</v>
      </c>
      <c r="BE4716" t="str">
        <f t="shared" si="225"/>
        <v xml:space="preserve">N215T   </v>
      </c>
      <c r="BF4716">
        <v>1</v>
      </c>
      <c r="BH4716">
        <v>0</v>
      </c>
      <c r="BI4716">
        <v>0</v>
      </c>
      <c r="BJ4716">
        <v>0</v>
      </c>
      <c r="BK4716">
        <v>225</v>
      </c>
      <c r="BL4716">
        <v>425</v>
      </c>
      <c r="BM4716" t="s">
        <v>119</v>
      </c>
      <c r="BN4716">
        <v>1</v>
      </c>
      <c r="BO4716">
        <v>1</v>
      </c>
      <c r="BP4716">
        <v>1</v>
      </c>
      <c r="BQ4716">
        <v>0</v>
      </c>
      <c r="BT4716">
        <v>0</v>
      </c>
      <c r="BU4716">
        <v>0</v>
      </c>
      <c r="BV4716">
        <v>0</v>
      </c>
      <c r="CC4716" t="str">
        <f>"19:55:56.953"</f>
        <v>19:55:56.953</v>
      </c>
      <c r="CD4716" t="str">
        <f>"953580816"</f>
        <v>953580816</v>
      </c>
      <c r="CQ4716">
        <v>0</v>
      </c>
      <c r="CR4716">
        <v>2</v>
      </c>
      <c r="CS4716">
        <v>0</v>
      </c>
      <c r="CT4716">
        <v>2</v>
      </c>
      <c r="CU4716">
        <v>0</v>
      </c>
      <c r="CV4716">
        <v>5</v>
      </c>
      <c r="CW4716" t="s">
        <v>120</v>
      </c>
      <c r="CX4716">
        <v>257</v>
      </c>
      <c r="CY4716">
        <v>0</v>
      </c>
      <c r="CZ4716" t="s">
        <v>615</v>
      </c>
      <c r="DA4716" t="s">
        <v>616</v>
      </c>
      <c r="DD4716">
        <v>135866</v>
      </c>
      <c r="DE4716" t="s">
        <v>123</v>
      </c>
    </row>
    <row r="4717" spans="1:109" x14ac:dyDescent="0.3">
      <c r="A4717" t="str">
        <f>"19:55:58.336"</f>
        <v>19:55:58.336</v>
      </c>
      <c r="B4717" t="s">
        <v>110</v>
      </c>
      <c r="C4717" t="str">
        <f t="shared" si="226"/>
        <v>ffdfd3c0</v>
      </c>
      <c r="D4717" t="s">
        <v>111</v>
      </c>
      <c r="E4717">
        <v>18</v>
      </c>
      <c r="F4717">
        <v>1018</v>
      </c>
      <c r="G4717" t="s">
        <v>112</v>
      </c>
      <c r="J4717" t="s">
        <v>113</v>
      </c>
      <c r="K4717">
        <v>0</v>
      </c>
      <c r="L4717">
        <v>3</v>
      </c>
      <c r="M4717">
        <v>0</v>
      </c>
      <c r="N4717">
        <v>2</v>
      </c>
      <c r="O4717">
        <v>1</v>
      </c>
      <c r="P4717">
        <v>0</v>
      </c>
      <c r="Q4717">
        <v>0</v>
      </c>
      <c r="R4717" t="s">
        <v>114</v>
      </c>
      <c r="S4717" t="str">
        <f>"19:55:58.063"</f>
        <v>19:55:58.063</v>
      </c>
      <c r="T4717" t="str">
        <f>"19:55:57.766"</f>
        <v>19:55:57.766</v>
      </c>
      <c r="U4717" t="str">
        <f t="shared" si="224"/>
        <v>a1cdbe</v>
      </c>
      <c r="V4717">
        <v>0</v>
      </c>
      <c r="W4717">
        <v>0</v>
      </c>
      <c r="X4717">
        <v>2</v>
      </c>
      <c r="Y4717">
        <v>0</v>
      </c>
      <c r="Z4717">
        <v>0</v>
      </c>
      <c r="AB4717">
        <v>0</v>
      </c>
      <c r="AC4717">
        <v>9</v>
      </c>
      <c r="AD4717">
        <v>3</v>
      </c>
      <c r="AE4717">
        <v>0</v>
      </c>
      <c r="AF4717">
        <v>9</v>
      </c>
      <c r="AG4717" t="s">
        <v>115</v>
      </c>
      <c r="AH4717">
        <v>0</v>
      </c>
      <c r="AI4717">
        <v>0</v>
      </c>
      <c r="AJ4717">
        <v>1</v>
      </c>
      <c r="AK4717">
        <v>0</v>
      </c>
      <c r="AL4717" t="s">
        <v>8410</v>
      </c>
      <c r="AM4717">
        <v>47.067489999999999</v>
      </c>
      <c r="AN4717" t="s">
        <v>8411</v>
      </c>
      <c r="AO4717">
        <v>-124.11076799999999</v>
      </c>
      <c r="AP4717">
        <v>100</v>
      </c>
      <c r="AQ4717">
        <v>-200</v>
      </c>
      <c r="AR4717" t="s">
        <v>118</v>
      </c>
      <c r="AS4717">
        <v>-36</v>
      </c>
      <c r="AT4717">
        <v>12</v>
      </c>
      <c r="AU4717">
        <v>-448</v>
      </c>
      <c r="BC4717">
        <v>1200</v>
      </c>
      <c r="BD4717">
        <v>1</v>
      </c>
      <c r="BE4717" t="str">
        <f t="shared" si="225"/>
        <v xml:space="preserve">N215T   </v>
      </c>
      <c r="BF4717">
        <v>1</v>
      </c>
      <c r="BH4717">
        <v>0</v>
      </c>
      <c r="BI4717">
        <v>0</v>
      </c>
      <c r="BJ4717">
        <v>0</v>
      </c>
      <c r="BK4717">
        <v>200</v>
      </c>
      <c r="BL4717">
        <v>400</v>
      </c>
      <c r="BM4717" t="s">
        <v>119</v>
      </c>
      <c r="BN4717">
        <v>1</v>
      </c>
      <c r="BO4717">
        <v>1</v>
      </c>
      <c r="BP4717">
        <v>1</v>
      </c>
      <c r="BQ4717">
        <v>0</v>
      </c>
      <c r="BT4717">
        <v>0</v>
      </c>
      <c r="BU4717">
        <v>0</v>
      </c>
      <c r="BV4717">
        <v>0</v>
      </c>
      <c r="CC4717" t="str">
        <f>"19:55:58.063"</f>
        <v>19:55:58.063</v>
      </c>
      <c r="CD4717" t="str">
        <f>"063471485"</f>
        <v>063471485</v>
      </c>
      <c r="CQ4717">
        <v>0</v>
      </c>
      <c r="CR4717">
        <v>2</v>
      </c>
      <c r="CS4717">
        <v>0</v>
      </c>
      <c r="CT4717">
        <v>2</v>
      </c>
      <c r="CU4717">
        <v>0</v>
      </c>
      <c r="CV4717">
        <v>5</v>
      </c>
      <c r="CW4717" t="s">
        <v>120</v>
      </c>
      <c r="CX4717">
        <v>257</v>
      </c>
      <c r="CY4717">
        <v>0</v>
      </c>
      <c r="CZ4717" t="s">
        <v>615</v>
      </c>
      <c r="DA4717" t="s">
        <v>616</v>
      </c>
      <c r="DD4717">
        <v>136250</v>
      </c>
      <c r="DE4717" t="s">
        <v>123</v>
      </c>
    </row>
    <row r="4718" spans="1:109" x14ac:dyDescent="0.3">
      <c r="A4718" t="str">
        <f>"19:55:59.344"</f>
        <v>19:55:59.344</v>
      </c>
      <c r="B4718" t="s">
        <v>110</v>
      </c>
      <c r="C4718" t="str">
        <f t="shared" si="226"/>
        <v>ffdfd3c0</v>
      </c>
      <c r="D4718" t="s">
        <v>111</v>
      </c>
      <c r="E4718">
        <v>18</v>
      </c>
      <c r="F4718">
        <v>1018</v>
      </c>
      <c r="G4718" t="s">
        <v>112</v>
      </c>
      <c r="J4718" t="s">
        <v>113</v>
      </c>
      <c r="K4718">
        <v>0</v>
      </c>
      <c r="L4718">
        <v>3</v>
      </c>
      <c r="M4718">
        <v>0</v>
      </c>
      <c r="N4718">
        <v>2</v>
      </c>
      <c r="O4718">
        <v>1</v>
      </c>
      <c r="P4718">
        <v>0</v>
      </c>
      <c r="Q4718">
        <v>0</v>
      </c>
      <c r="R4718" t="s">
        <v>114</v>
      </c>
      <c r="S4718" t="str">
        <f>"19:55:59.125"</f>
        <v>19:55:59.125</v>
      </c>
      <c r="T4718" t="str">
        <f>"19:55:58.727"</f>
        <v>19:55:58.727</v>
      </c>
      <c r="U4718" t="str">
        <f t="shared" si="224"/>
        <v>a1cdbe</v>
      </c>
      <c r="V4718">
        <v>0</v>
      </c>
      <c r="W4718">
        <v>0</v>
      </c>
      <c r="X4718">
        <v>2</v>
      </c>
      <c r="Y4718">
        <v>0</v>
      </c>
      <c r="Z4718">
        <v>0</v>
      </c>
      <c r="AB4718">
        <v>0</v>
      </c>
      <c r="AC4718">
        <v>9</v>
      </c>
      <c r="AD4718">
        <v>3</v>
      </c>
      <c r="AE4718">
        <v>0</v>
      </c>
      <c r="AF4718">
        <v>9</v>
      </c>
      <c r="AG4718" t="s">
        <v>115</v>
      </c>
      <c r="AH4718">
        <v>0</v>
      </c>
      <c r="AI4718">
        <v>0</v>
      </c>
      <c r="AJ4718">
        <v>1</v>
      </c>
      <c r="AK4718">
        <v>0</v>
      </c>
      <c r="AL4718" t="s">
        <v>8389</v>
      </c>
      <c r="AM4718">
        <v>47.067532999999997</v>
      </c>
      <c r="AN4718" t="s">
        <v>8412</v>
      </c>
      <c r="AO4718">
        <v>-124.11100399999999</v>
      </c>
      <c r="AP4718">
        <v>100</v>
      </c>
      <c r="AQ4718">
        <v>-200</v>
      </c>
      <c r="AR4718" t="s">
        <v>118</v>
      </c>
      <c r="AS4718">
        <v>-36</v>
      </c>
      <c r="AT4718">
        <v>13</v>
      </c>
      <c r="AU4718">
        <v>-384</v>
      </c>
      <c r="BC4718">
        <v>1200</v>
      </c>
      <c r="BD4718">
        <v>1</v>
      </c>
      <c r="BE4718" t="str">
        <f t="shared" si="225"/>
        <v xml:space="preserve">N215T   </v>
      </c>
      <c r="BF4718">
        <v>1</v>
      </c>
      <c r="BH4718">
        <v>0</v>
      </c>
      <c r="BI4718">
        <v>0</v>
      </c>
      <c r="BJ4718">
        <v>0</v>
      </c>
      <c r="BK4718">
        <v>200</v>
      </c>
      <c r="BL4718">
        <v>400</v>
      </c>
      <c r="BM4718" t="s">
        <v>119</v>
      </c>
      <c r="BN4718">
        <v>1</v>
      </c>
      <c r="BO4718">
        <v>1</v>
      </c>
      <c r="BP4718">
        <v>1</v>
      </c>
      <c r="BQ4718">
        <v>0</v>
      </c>
      <c r="BT4718">
        <v>0</v>
      </c>
      <c r="BU4718">
        <v>0</v>
      </c>
      <c r="BV4718">
        <v>0</v>
      </c>
      <c r="CC4718" t="str">
        <f>"19:55:59.125"</f>
        <v>19:55:59.125</v>
      </c>
      <c r="CD4718" t="str">
        <f>"128366574"</f>
        <v>128366574</v>
      </c>
      <c r="CQ4718">
        <v>0</v>
      </c>
      <c r="CR4718">
        <v>2</v>
      </c>
      <c r="CS4718">
        <v>0</v>
      </c>
      <c r="CT4718">
        <v>2</v>
      </c>
      <c r="CU4718">
        <v>0</v>
      </c>
      <c r="CV4718">
        <v>5</v>
      </c>
      <c r="CW4718" t="s">
        <v>120</v>
      </c>
      <c r="CX4718">
        <v>257</v>
      </c>
      <c r="CY4718">
        <v>0</v>
      </c>
      <c r="CZ4718" t="s">
        <v>615</v>
      </c>
      <c r="DA4718" t="s">
        <v>616</v>
      </c>
      <c r="DD4718">
        <v>136620</v>
      </c>
      <c r="DE4718" t="s">
        <v>123</v>
      </c>
    </row>
    <row r="4719" spans="1:109" x14ac:dyDescent="0.3">
      <c r="A4719" t="str">
        <f>"19:56:00.195"</f>
        <v>19:56:00.195</v>
      </c>
      <c r="B4719" t="s">
        <v>110</v>
      </c>
      <c r="C4719" t="str">
        <f t="shared" si="226"/>
        <v>ffdfd3c0</v>
      </c>
      <c r="D4719" t="s">
        <v>111</v>
      </c>
      <c r="E4719">
        <v>18</v>
      </c>
      <c r="F4719">
        <v>1018</v>
      </c>
      <c r="G4719" t="s">
        <v>112</v>
      </c>
      <c r="J4719" t="s">
        <v>113</v>
      </c>
      <c r="K4719">
        <v>0</v>
      </c>
      <c r="L4719">
        <v>3</v>
      </c>
      <c r="M4719">
        <v>0</v>
      </c>
      <c r="N4719">
        <v>2</v>
      </c>
      <c r="O4719">
        <v>1</v>
      </c>
      <c r="P4719">
        <v>0</v>
      </c>
      <c r="Q4719">
        <v>0</v>
      </c>
      <c r="R4719" t="s">
        <v>114</v>
      </c>
      <c r="S4719" t="str">
        <f>"19:55:59.961"</f>
        <v>19:55:59.961</v>
      </c>
      <c r="T4719" t="str">
        <f>"19:55:59.758"</f>
        <v>19:55:59.758</v>
      </c>
      <c r="U4719" t="str">
        <f t="shared" si="224"/>
        <v>a1cdbe</v>
      </c>
      <c r="V4719">
        <v>0</v>
      </c>
      <c r="W4719">
        <v>0</v>
      </c>
      <c r="X4719">
        <v>2</v>
      </c>
      <c r="Y4719">
        <v>0</v>
      </c>
      <c r="Z4719">
        <v>0</v>
      </c>
      <c r="AB4719">
        <v>0</v>
      </c>
      <c r="AC4719">
        <v>9</v>
      </c>
      <c r="AD4719">
        <v>3</v>
      </c>
      <c r="AE4719">
        <v>0</v>
      </c>
      <c r="AF4719">
        <v>9</v>
      </c>
      <c r="AG4719" t="s">
        <v>115</v>
      </c>
      <c r="AH4719">
        <v>0</v>
      </c>
      <c r="AI4719">
        <v>0</v>
      </c>
      <c r="AJ4719">
        <v>1</v>
      </c>
      <c r="AK4719">
        <v>0</v>
      </c>
      <c r="AL4719" t="s">
        <v>7458</v>
      </c>
      <c r="AM4719">
        <v>47.067574999999998</v>
      </c>
      <c r="AN4719" t="s">
        <v>8413</v>
      </c>
      <c r="AO4719">
        <v>-124.111176</v>
      </c>
      <c r="AP4719">
        <v>100</v>
      </c>
      <c r="AQ4719">
        <v>-200</v>
      </c>
      <c r="AR4719" t="s">
        <v>118</v>
      </c>
      <c r="AS4719">
        <v>-36</v>
      </c>
      <c r="AT4719">
        <v>13</v>
      </c>
      <c r="AU4719">
        <v>-256</v>
      </c>
      <c r="BC4719">
        <v>1200</v>
      </c>
      <c r="BD4719">
        <v>1</v>
      </c>
      <c r="BE4719" t="str">
        <f t="shared" si="225"/>
        <v xml:space="preserve">N215T   </v>
      </c>
      <c r="BF4719">
        <v>1</v>
      </c>
      <c r="BH4719">
        <v>0</v>
      </c>
      <c r="BI4719">
        <v>0</v>
      </c>
      <c r="BJ4719">
        <v>0</v>
      </c>
      <c r="BK4719">
        <v>200</v>
      </c>
      <c r="BL4719">
        <v>400</v>
      </c>
      <c r="BM4719" t="s">
        <v>119</v>
      </c>
      <c r="BN4719">
        <v>1</v>
      </c>
      <c r="BO4719">
        <v>1</v>
      </c>
      <c r="BP4719">
        <v>1</v>
      </c>
      <c r="BQ4719">
        <v>0</v>
      </c>
      <c r="BT4719">
        <v>0</v>
      </c>
      <c r="BU4719">
        <v>0</v>
      </c>
      <c r="BV4719">
        <v>0</v>
      </c>
      <c r="CC4719" t="str">
        <f>"19:55:59.969"</f>
        <v>19:55:59.969</v>
      </c>
      <c r="CD4719" t="str">
        <f>"968283821"</f>
        <v>968283821</v>
      </c>
      <c r="CQ4719">
        <v>0</v>
      </c>
      <c r="CR4719">
        <v>2</v>
      </c>
      <c r="CS4719">
        <v>0</v>
      </c>
      <c r="CT4719">
        <v>2</v>
      </c>
      <c r="CU4719">
        <v>0</v>
      </c>
      <c r="CV4719">
        <v>5</v>
      </c>
      <c r="CW4719" t="s">
        <v>120</v>
      </c>
      <c r="CX4719">
        <v>257</v>
      </c>
      <c r="CY4719">
        <v>0</v>
      </c>
      <c r="CZ4719" t="s">
        <v>615</v>
      </c>
      <c r="DA4719" t="s">
        <v>616</v>
      </c>
      <c r="DD4719">
        <v>136927</v>
      </c>
      <c r="DE4719" t="s">
        <v>123</v>
      </c>
    </row>
    <row r="4720" spans="1:109" x14ac:dyDescent="0.3">
      <c r="A4720" t="str">
        <f>"19:56:01.156"</f>
        <v>19:56:01.156</v>
      </c>
      <c r="B4720" t="s">
        <v>110</v>
      </c>
      <c r="C4720" t="str">
        <f t="shared" si="226"/>
        <v>ffdfd3c0</v>
      </c>
      <c r="D4720" t="s">
        <v>111</v>
      </c>
      <c r="E4720">
        <v>18</v>
      </c>
      <c r="F4720">
        <v>1018</v>
      </c>
      <c r="G4720" t="s">
        <v>112</v>
      </c>
      <c r="J4720" t="s">
        <v>113</v>
      </c>
      <c r="K4720">
        <v>0</v>
      </c>
      <c r="L4720">
        <v>3</v>
      </c>
      <c r="M4720">
        <v>0</v>
      </c>
      <c r="N4720">
        <v>2</v>
      </c>
      <c r="O4720">
        <v>1</v>
      </c>
      <c r="P4720">
        <v>0</v>
      </c>
      <c r="Q4720">
        <v>0</v>
      </c>
      <c r="R4720" t="s">
        <v>114</v>
      </c>
      <c r="S4720" t="str">
        <f>"19:56:00.906"</f>
        <v>19:56:00.906</v>
      </c>
      <c r="T4720" t="str">
        <f>"19:56:00.805"</f>
        <v>19:56:00.805</v>
      </c>
      <c r="U4720" t="str">
        <f t="shared" si="224"/>
        <v>a1cdbe</v>
      </c>
      <c r="V4720">
        <v>0</v>
      </c>
      <c r="W4720">
        <v>0</v>
      </c>
      <c r="X4720">
        <v>2</v>
      </c>
      <c r="Y4720">
        <v>0</v>
      </c>
      <c r="Z4720">
        <v>0</v>
      </c>
      <c r="AB4720">
        <v>0</v>
      </c>
      <c r="AC4720">
        <v>9</v>
      </c>
      <c r="AD4720">
        <v>3</v>
      </c>
      <c r="AE4720">
        <v>0</v>
      </c>
      <c r="AF4720">
        <v>9</v>
      </c>
      <c r="AG4720" t="s">
        <v>115</v>
      </c>
      <c r="AH4720">
        <v>0</v>
      </c>
      <c r="AI4720">
        <v>0</v>
      </c>
      <c r="AJ4720">
        <v>1</v>
      </c>
      <c r="AK4720">
        <v>0</v>
      </c>
      <c r="AL4720" t="s">
        <v>8414</v>
      </c>
      <c r="AM4720">
        <v>47.067683000000002</v>
      </c>
      <c r="AN4720" t="s">
        <v>8318</v>
      </c>
      <c r="AO4720">
        <v>-124.11145399999999</v>
      </c>
      <c r="AP4720">
        <v>100</v>
      </c>
      <c r="AQ4720">
        <v>-200</v>
      </c>
      <c r="AR4720" t="s">
        <v>118</v>
      </c>
      <c r="AS4720">
        <v>-36</v>
      </c>
      <c r="AT4720">
        <v>12</v>
      </c>
      <c r="AU4720">
        <v>-384</v>
      </c>
      <c r="BC4720">
        <v>1200</v>
      </c>
      <c r="BD4720">
        <v>1</v>
      </c>
      <c r="BE4720" t="str">
        <f t="shared" si="225"/>
        <v xml:space="preserve">N215T   </v>
      </c>
      <c r="BF4720">
        <v>1</v>
      </c>
      <c r="BH4720">
        <v>0</v>
      </c>
      <c r="BI4720">
        <v>0</v>
      </c>
      <c r="BJ4720">
        <v>0</v>
      </c>
      <c r="BK4720">
        <v>200</v>
      </c>
      <c r="BL4720">
        <v>400</v>
      </c>
      <c r="BM4720" t="s">
        <v>119</v>
      </c>
      <c r="BN4720">
        <v>1</v>
      </c>
      <c r="BO4720">
        <v>1</v>
      </c>
      <c r="BP4720">
        <v>1</v>
      </c>
      <c r="BQ4720">
        <v>0</v>
      </c>
      <c r="BT4720">
        <v>0</v>
      </c>
      <c r="BU4720">
        <v>0</v>
      </c>
      <c r="BV4720">
        <v>0</v>
      </c>
      <c r="CC4720" t="str">
        <f>"19:56:00.914"</f>
        <v>19:56:00.914</v>
      </c>
      <c r="CD4720" t="str">
        <f>"913190731"</f>
        <v>913190731</v>
      </c>
      <c r="CQ4720">
        <v>0</v>
      </c>
      <c r="CR4720">
        <v>2</v>
      </c>
      <c r="CS4720">
        <v>0</v>
      </c>
      <c r="CT4720">
        <v>2</v>
      </c>
      <c r="CU4720">
        <v>0</v>
      </c>
      <c r="CV4720">
        <v>5</v>
      </c>
      <c r="CW4720" t="s">
        <v>120</v>
      </c>
      <c r="CX4720">
        <v>257</v>
      </c>
      <c r="CY4720">
        <v>0</v>
      </c>
      <c r="CZ4720" t="s">
        <v>615</v>
      </c>
      <c r="DA4720" t="s">
        <v>616</v>
      </c>
      <c r="DD4720">
        <v>137298</v>
      </c>
      <c r="DE4720" t="s">
        <v>123</v>
      </c>
    </row>
    <row r="4721" spans="1:109" x14ac:dyDescent="0.3">
      <c r="A4721" t="str">
        <f>"19:56:02.258"</f>
        <v>19:56:02.258</v>
      </c>
      <c r="B4721" t="s">
        <v>110</v>
      </c>
      <c r="C4721" t="str">
        <f t="shared" si="226"/>
        <v>ffdfd3c0</v>
      </c>
      <c r="D4721" t="s">
        <v>111</v>
      </c>
      <c r="E4721">
        <v>18</v>
      </c>
      <c r="F4721">
        <v>1018</v>
      </c>
      <c r="G4721" t="s">
        <v>112</v>
      </c>
      <c r="J4721" t="s">
        <v>113</v>
      </c>
      <c r="K4721">
        <v>0</v>
      </c>
      <c r="L4721">
        <v>3</v>
      </c>
      <c r="M4721">
        <v>0</v>
      </c>
      <c r="N4721">
        <v>2</v>
      </c>
      <c r="O4721">
        <v>1</v>
      </c>
      <c r="P4721">
        <v>0</v>
      </c>
      <c r="Q4721">
        <v>0</v>
      </c>
      <c r="R4721" t="s">
        <v>114</v>
      </c>
      <c r="S4721" t="str">
        <f>"19:56:02.016"</f>
        <v>19:56:02.016</v>
      </c>
      <c r="T4721" t="str">
        <f>"19:56:01.813"</f>
        <v>19:56:01.813</v>
      </c>
      <c r="U4721" t="str">
        <f t="shared" si="224"/>
        <v>a1cdbe</v>
      </c>
      <c r="V4721">
        <v>0</v>
      </c>
      <c r="W4721">
        <v>0</v>
      </c>
      <c r="X4721">
        <v>2</v>
      </c>
      <c r="Y4721">
        <v>0</v>
      </c>
      <c r="Z4721">
        <v>0</v>
      </c>
      <c r="AB4721">
        <v>0</v>
      </c>
      <c r="AC4721">
        <v>9</v>
      </c>
      <c r="AD4721">
        <v>3</v>
      </c>
      <c r="AE4721">
        <v>0</v>
      </c>
      <c r="AF4721">
        <v>9</v>
      </c>
      <c r="AG4721" t="s">
        <v>115</v>
      </c>
      <c r="AH4721">
        <v>0</v>
      </c>
      <c r="AI4721">
        <v>0</v>
      </c>
      <c r="AJ4721">
        <v>1</v>
      </c>
      <c r="AK4721">
        <v>0</v>
      </c>
      <c r="AL4721" t="s">
        <v>8415</v>
      </c>
      <c r="AM4721">
        <v>47.067726</v>
      </c>
      <c r="AN4721" t="s">
        <v>8416</v>
      </c>
      <c r="AO4721">
        <v>-124.111733</v>
      </c>
      <c r="AP4721">
        <v>100</v>
      </c>
      <c r="AQ4721">
        <v>-200</v>
      </c>
      <c r="AR4721" t="s">
        <v>118</v>
      </c>
      <c r="AS4721">
        <v>-36</v>
      </c>
      <c r="AT4721">
        <v>12</v>
      </c>
      <c r="AU4721">
        <v>-576</v>
      </c>
      <c r="BC4721">
        <v>1200</v>
      </c>
      <c r="BD4721">
        <v>1</v>
      </c>
      <c r="BE4721" t="str">
        <f t="shared" si="225"/>
        <v xml:space="preserve">N215T   </v>
      </c>
      <c r="BF4721">
        <v>1</v>
      </c>
      <c r="BH4721">
        <v>0</v>
      </c>
      <c r="BI4721">
        <v>0</v>
      </c>
      <c r="BJ4721">
        <v>0</v>
      </c>
      <c r="BK4721">
        <v>175</v>
      </c>
      <c r="BL4721">
        <v>375</v>
      </c>
      <c r="BM4721" t="s">
        <v>119</v>
      </c>
      <c r="BN4721">
        <v>1</v>
      </c>
      <c r="BO4721">
        <v>1</v>
      </c>
      <c r="BP4721">
        <v>1</v>
      </c>
      <c r="BQ4721">
        <v>0</v>
      </c>
      <c r="BT4721">
        <v>0</v>
      </c>
      <c r="BU4721">
        <v>0</v>
      </c>
      <c r="BV4721">
        <v>0</v>
      </c>
      <c r="CC4721" t="str">
        <f>"19:56:02.023"</f>
        <v>19:56:02.023</v>
      </c>
      <c r="CD4721" t="str">
        <f>"023081381"</f>
        <v>023081381</v>
      </c>
      <c r="CQ4721">
        <v>0</v>
      </c>
      <c r="CR4721">
        <v>2</v>
      </c>
      <c r="CS4721">
        <v>0</v>
      </c>
      <c r="CT4721">
        <v>2</v>
      </c>
      <c r="CU4721">
        <v>0</v>
      </c>
      <c r="CV4721">
        <v>6</v>
      </c>
      <c r="CW4721" t="s">
        <v>120</v>
      </c>
      <c r="CX4721">
        <v>257</v>
      </c>
      <c r="CY4721">
        <v>0</v>
      </c>
      <c r="CZ4721" t="s">
        <v>615</v>
      </c>
      <c r="DA4721" t="s">
        <v>616</v>
      </c>
      <c r="DD4721">
        <v>137668</v>
      </c>
      <c r="DE4721" t="s">
        <v>123</v>
      </c>
    </row>
    <row r="4722" spans="1:109" x14ac:dyDescent="0.3">
      <c r="A4722" t="str">
        <f>"19:56:03.414"</f>
        <v>19:56:03.414</v>
      </c>
      <c r="B4722" t="s">
        <v>110</v>
      </c>
      <c r="C4722" t="str">
        <f t="shared" si="226"/>
        <v>ffdfd3c0</v>
      </c>
      <c r="D4722" t="s">
        <v>111</v>
      </c>
      <c r="E4722">
        <v>18</v>
      </c>
      <c r="F4722">
        <v>1018</v>
      </c>
      <c r="G4722" t="s">
        <v>112</v>
      </c>
      <c r="J4722" t="s">
        <v>113</v>
      </c>
      <c r="K4722">
        <v>0</v>
      </c>
      <c r="L4722">
        <v>3</v>
      </c>
      <c r="M4722">
        <v>0</v>
      </c>
      <c r="N4722">
        <v>2</v>
      </c>
      <c r="O4722">
        <v>1</v>
      </c>
      <c r="P4722">
        <v>0</v>
      </c>
      <c r="Q4722">
        <v>0</v>
      </c>
      <c r="R4722" t="s">
        <v>114</v>
      </c>
      <c r="S4722" t="str">
        <f>"19:56:03.141"</f>
        <v>19:56:03.141</v>
      </c>
      <c r="T4722" t="str">
        <f>"19:56:02.742"</f>
        <v>19:56:02.742</v>
      </c>
      <c r="U4722" t="str">
        <f t="shared" si="224"/>
        <v>a1cdbe</v>
      </c>
      <c r="V4722">
        <v>0</v>
      </c>
      <c r="W4722">
        <v>0</v>
      </c>
      <c r="X4722">
        <v>2</v>
      </c>
      <c r="Y4722">
        <v>0</v>
      </c>
      <c r="Z4722">
        <v>0</v>
      </c>
      <c r="AB4722">
        <v>0</v>
      </c>
      <c r="AC4722">
        <v>9</v>
      </c>
      <c r="AD4722">
        <v>3</v>
      </c>
      <c r="AE4722">
        <v>0</v>
      </c>
      <c r="AF4722">
        <v>9</v>
      </c>
      <c r="AG4722" t="s">
        <v>115</v>
      </c>
      <c r="AH4722">
        <v>0</v>
      </c>
      <c r="AI4722">
        <v>0</v>
      </c>
      <c r="AJ4722">
        <v>1</v>
      </c>
      <c r="AK4722">
        <v>0</v>
      </c>
      <c r="AL4722" t="s">
        <v>8417</v>
      </c>
      <c r="AM4722">
        <v>47.067746999999997</v>
      </c>
      <c r="AN4722" t="s">
        <v>8418</v>
      </c>
      <c r="AO4722">
        <v>-124.111991</v>
      </c>
      <c r="AP4722">
        <v>100</v>
      </c>
      <c r="AQ4722">
        <v>-200</v>
      </c>
      <c r="AR4722" t="s">
        <v>118</v>
      </c>
      <c r="AS4722">
        <v>-35</v>
      </c>
      <c r="AT4722">
        <v>13</v>
      </c>
      <c r="AU4722">
        <v>-704</v>
      </c>
      <c r="BC4722">
        <v>1200</v>
      </c>
      <c r="BD4722">
        <v>1</v>
      </c>
      <c r="BE4722" t="str">
        <f t="shared" si="225"/>
        <v xml:space="preserve">N215T   </v>
      </c>
      <c r="BF4722">
        <v>1</v>
      </c>
      <c r="BH4722">
        <v>0</v>
      </c>
      <c r="BI4722">
        <v>0</v>
      </c>
      <c r="BJ4722">
        <v>0</v>
      </c>
      <c r="BK4722">
        <v>175</v>
      </c>
      <c r="BL4722">
        <v>375</v>
      </c>
      <c r="BM4722" t="s">
        <v>119</v>
      </c>
      <c r="BN4722">
        <v>1</v>
      </c>
      <c r="BO4722">
        <v>1</v>
      </c>
      <c r="BP4722">
        <v>1</v>
      </c>
      <c r="BQ4722">
        <v>0</v>
      </c>
      <c r="BT4722">
        <v>0</v>
      </c>
      <c r="BU4722">
        <v>0</v>
      </c>
      <c r="BV4722">
        <v>0</v>
      </c>
      <c r="CC4722" t="str">
        <f>"19:56:03.148"</f>
        <v>19:56:03.148</v>
      </c>
      <c r="CD4722" t="str">
        <f>"147970569"</f>
        <v>147970569</v>
      </c>
      <c r="CQ4722">
        <v>0</v>
      </c>
      <c r="CR4722">
        <v>2</v>
      </c>
      <c r="CS4722">
        <v>0</v>
      </c>
      <c r="CT4722">
        <v>2</v>
      </c>
      <c r="CU4722">
        <v>0</v>
      </c>
      <c r="CV4722">
        <v>6</v>
      </c>
      <c r="CW4722" t="s">
        <v>120</v>
      </c>
      <c r="CX4722">
        <v>257</v>
      </c>
      <c r="CY4722">
        <v>0</v>
      </c>
      <c r="CZ4722" t="s">
        <v>615</v>
      </c>
      <c r="DA4722" t="s">
        <v>616</v>
      </c>
      <c r="DD4722">
        <v>138047</v>
      </c>
      <c r="DE4722" t="s">
        <v>123</v>
      </c>
    </row>
    <row r="4723" spans="1:109" x14ac:dyDescent="0.3">
      <c r="A4723" t="str">
        <f>"19:56:04.523"</f>
        <v>19:56:04.523</v>
      </c>
      <c r="B4723" t="s">
        <v>110</v>
      </c>
      <c r="C4723" t="str">
        <f t="shared" si="226"/>
        <v>ffdfd3c0</v>
      </c>
      <c r="D4723" t="s">
        <v>111</v>
      </c>
      <c r="E4723">
        <v>18</v>
      </c>
      <c r="F4723">
        <v>1018</v>
      </c>
      <c r="G4723" t="s">
        <v>112</v>
      </c>
      <c r="J4723" t="s">
        <v>113</v>
      </c>
      <c r="K4723">
        <v>0</v>
      </c>
      <c r="L4723">
        <v>3</v>
      </c>
      <c r="M4723">
        <v>0</v>
      </c>
      <c r="N4723">
        <v>2</v>
      </c>
      <c r="O4723">
        <v>1</v>
      </c>
      <c r="P4723">
        <v>0</v>
      </c>
      <c r="Q4723">
        <v>0</v>
      </c>
      <c r="R4723" t="s">
        <v>114</v>
      </c>
      <c r="S4723" t="str">
        <f>"19:56:04.266"</f>
        <v>19:56:04.266</v>
      </c>
      <c r="T4723" t="str">
        <f>"19:56:04.063"</f>
        <v>19:56:04.063</v>
      </c>
      <c r="U4723" t="str">
        <f t="shared" si="224"/>
        <v>a1cdbe</v>
      </c>
      <c r="V4723">
        <v>0</v>
      </c>
      <c r="W4723">
        <v>0</v>
      </c>
      <c r="X4723">
        <v>2</v>
      </c>
      <c r="Y4723">
        <v>0</v>
      </c>
      <c r="Z4723">
        <v>0</v>
      </c>
      <c r="AB4723">
        <v>0</v>
      </c>
      <c r="AC4723">
        <v>9</v>
      </c>
      <c r="AD4723">
        <v>3</v>
      </c>
      <c r="AE4723">
        <v>0</v>
      </c>
      <c r="AF4723">
        <v>9</v>
      </c>
      <c r="AG4723" t="s">
        <v>115</v>
      </c>
      <c r="AH4723">
        <v>0</v>
      </c>
      <c r="AI4723">
        <v>0</v>
      </c>
      <c r="AJ4723">
        <v>1</v>
      </c>
      <c r="AK4723">
        <v>0</v>
      </c>
      <c r="AL4723" t="s">
        <v>7480</v>
      </c>
      <c r="AM4723">
        <v>47.067853999999997</v>
      </c>
      <c r="AN4723" t="s">
        <v>8419</v>
      </c>
      <c r="AO4723">
        <v>-124.11227</v>
      </c>
      <c r="AP4723">
        <v>100</v>
      </c>
      <c r="AQ4723">
        <v>-300</v>
      </c>
      <c r="AR4723" t="s">
        <v>118</v>
      </c>
      <c r="AS4723">
        <v>-35</v>
      </c>
      <c r="AT4723">
        <v>15</v>
      </c>
      <c r="AU4723">
        <v>-512</v>
      </c>
      <c r="BC4723">
        <v>1200</v>
      </c>
      <c r="BD4723">
        <v>1</v>
      </c>
      <c r="BE4723" t="str">
        <f t="shared" si="225"/>
        <v xml:space="preserve">N215T   </v>
      </c>
      <c r="BF4723">
        <v>1</v>
      </c>
      <c r="BH4723">
        <v>0</v>
      </c>
      <c r="BI4723">
        <v>0</v>
      </c>
      <c r="BJ4723">
        <v>0</v>
      </c>
      <c r="BK4723">
        <v>150</v>
      </c>
      <c r="BL4723">
        <v>450</v>
      </c>
      <c r="BM4723" t="s">
        <v>119</v>
      </c>
      <c r="BN4723">
        <v>1</v>
      </c>
      <c r="BO4723">
        <v>1</v>
      </c>
      <c r="BP4723">
        <v>1</v>
      </c>
      <c r="BQ4723">
        <v>0</v>
      </c>
      <c r="BT4723">
        <v>0</v>
      </c>
      <c r="BU4723">
        <v>0</v>
      </c>
      <c r="BV4723">
        <v>0</v>
      </c>
      <c r="CC4723" t="str">
        <f>"19:56:04.273"</f>
        <v>19:56:04.273</v>
      </c>
      <c r="CD4723" t="str">
        <f>"272859740"</f>
        <v>272859740</v>
      </c>
      <c r="CQ4723">
        <v>0</v>
      </c>
      <c r="CR4723">
        <v>2</v>
      </c>
      <c r="CS4723">
        <v>0</v>
      </c>
      <c r="CT4723">
        <v>2</v>
      </c>
      <c r="CU4723">
        <v>0</v>
      </c>
      <c r="CV4723">
        <v>6</v>
      </c>
      <c r="CW4723" t="s">
        <v>120</v>
      </c>
      <c r="CX4723">
        <v>257</v>
      </c>
      <c r="CY4723">
        <v>0</v>
      </c>
      <c r="CZ4723" t="s">
        <v>615</v>
      </c>
      <c r="DA4723" t="s">
        <v>616</v>
      </c>
      <c r="DD4723">
        <v>138441</v>
      </c>
      <c r="DE4723" t="s">
        <v>123</v>
      </c>
    </row>
    <row r="4724" spans="1:109" x14ac:dyDescent="0.3">
      <c r="A4724" t="str">
        <f>"19:56:05.430"</f>
        <v>19:56:05.430</v>
      </c>
      <c r="B4724" t="s">
        <v>110</v>
      </c>
      <c r="C4724" t="str">
        <f t="shared" si="226"/>
        <v>ffdfd3c0</v>
      </c>
      <c r="D4724" t="s">
        <v>111</v>
      </c>
      <c r="E4724">
        <v>18</v>
      </c>
      <c r="F4724">
        <v>1018</v>
      </c>
      <c r="G4724" t="s">
        <v>112</v>
      </c>
      <c r="J4724" t="s">
        <v>113</v>
      </c>
      <c r="K4724">
        <v>0</v>
      </c>
      <c r="L4724">
        <v>3</v>
      </c>
      <c r="M4724">
        <v>0</v>
      </c>
      <c r="N4724">
        <v>2</v>
      </c>
      <c r="O4724">
        <v>1</v>
      </c>
      <c r="P4724">
        <v>0</v>
      </c>
      <c r="Q4724">
        <v>0</v>
      </c>
      <c r="R4724" t="s">
        <v>114</v>
      </c>
      <c r="S4724" t="str">
        <f>"19:56:05.141"</f>
        <v>19:56:05.141</v>
      </c>
      <c r="T4724" t="str">
        <f>"19:56:05.141"</f>
        <v>19:56:05.141</v>
      </c>
      <c r="U4724" t="str">
        <f t="shared" si="224"/>
        <v>a1cdbe</v>
      </c>
      <c r="V4724">
        <v>0</v>
      </c>
      <c r="W4724">
        <v>0</v>
      </c>
      <c r="X4724">
        <v>2</v>
      </c>
      <c r="Y4724">
        <v>0</v>
      </c>
      <c r="Z4724">
        <v>0</v>
      </c>
      <c r="AB4724">
        <v>0</v>
      </c>
      <c r="AC4724">
        <v>9</v>
      </c>
      <c r="AD4724">
        <v>3</v>
      </c>
      <c r="AE4724">
        <v>0</v>
      </c>
      <c r="AF4724">
        <v>9</v>
      </c>
      <c r="AG4724" t="s">
        <v>115</v>
      </c>
      <c r="AH4724">
        <v>0</v>
      </c>
      <c r="AI4724">
        <v>0</v>
      </c>
      <c r="AJ4724">
        <v>1</v>
      </c>
      <c r="AK4724">
        <v>0</v>
      </c>
      <c r="AL4724" t="s">
        <v>469</v>
      </c>
      <c r="AM4724">
        <v>47.067897000000002</v>
      </c>
      <c r="AN4724" t="s">
        <v>8420</v>
      </c>
      <c r="AO4724">
        <v>-124.11248399999999</v>
      </c>
      <c r="AP4724">
        <v>100</v>
      </c>
      <c r="AQ4724">
        <v>-300</v>
      </c>
      <c r="AR4724" t="s">
        <v>118</v>
      </c>
      <c r="AS4724">
        <v>-35</v>
      </c>
      <c r="AT4724">
        <v>16</v>
      </c>
      <c r="AU4724">
        <v>-384</v>
      </c>
      <c r="BC4724">
        <v>1200</v>
      </c>
      <c r="BD4724">
        <v>1</v>
      </c>
      <c r="BE4724" t="str">
        <f t="shared" si="225"/>
        <v xml:space="preserve">N215T   </v>
      </c>
      <c r="BF4724">
        <v>1</v>
      </c>
      <c r="BH4724">
        <v>0</v>
      </c>
      <c r="BI4724">
        <v>0</v>
      </c>
      <c r="BJ4724">
        <v>0</v>
      </c>
      <c r="BK4724">
        <v>150</v>
      </c>
      <c r="BL4724">
        <v>450</v>
      </c>
      <c r="BM4724" t="s">
        <v>119</v>
      </c>
      <c r="BN4724">
        <v>1</v>
      </c>
      <c r="BO4724">
        <v>1</v>
      </c>
      <c r="BP4724">
        <v>1</v>
      </c>
      <c r="BQ4724">
        <v>0</v>
      </c>
      <c r="BT4724">
        <v>0</v>
      </c>
      <c r="BU4724">
        <v>0</v>
      </c>
      <c r="BV4724">
        <v>0</v>
      </c>
      <c r="CC4724" t="str">
        <f>"19:56:05.141"</f>
        <v>19:56:05.141</v>
      </c>
      <c r="CD4724" t="str">
        <f>"142774035"</f>
        <v>142774035</v>
      </c>
      <c r="CQ4724">
        <v>0</v>
      </c>
      <c r="CR4724">
        <v>2</v>
      </c>
      <c r="CS4724">
        <v>0</v>
      </c>
      <c r="CT4724">
        <v>2</v>
      </c>
      <c r="CU4724">
        <v>0</v>
      </c>
      <c r="CV4724">
        <v>5</v>
      </c>
      <c r="CW4724" t="s">
        <v>120</v>
      </c>
      <c r="CX4724">
        <v>257</v>
      </c>
      <c r="CY4724">
        <v>0</v>
      </c>
      <c r="CZ4724" t="s">
        <v>615</v>
      </c>
      <c r="DA4724" t="s">
        <v>616</v>
      </c>
      <c r="DD4724">
        <v>138752</v>
      </c>
      <c r="DE4724" t="s">
        <v>123</v>
      </c>
    </row>
    <row r="4725" spans="1:109" x14ac:dyDescent="0.3">
      <c r="A4725" t="str">
        <f>"19:56:06.430"</f>
        <v>19:56:06.430</v>
      </c>
      <c r="B4725" t="s">
        <v>110</v>
      </c>
      <c r="C4725" t="str">
        <f t="shared" si="226"/>
        <v>ffdfd3c0</v>
      </c>
      <c r="D4725" t="s">
        <v>111</v>
      </c>
      <c r="E4725">
        <v>18</v>
      </c>
      <c r="F4725">
        <v>1018</v>
      </c>
      <c r="G4725" t="s">
        <v>112</v>
      </c>
      <c r="J4725" t="s">
        <v>113</v>
      </c>
      <c r="K4725">
        <v>0</v>
      </c>
      <c r="L4725">
        <v>3</v>
      </c>
      <c r="M4725">
        <v>0</v>
      </c>
      <c r="N4725">
        <v>2</v>
      </c>
      <c r="O4725">
        <v>1</v>
      </c>
      <c r="P4725">
        <v>0</v>
      </c>
      <c r="Q4725">
        <v>0</v>
      </c>
      <c r="R4725" t="s">
        <v>114</v>
      </c>
      <c r="S4725" t="str">
        <f>"19:56:06.156"</f>
        <v>19:56:06.156</v>
      </c>
      <c r="T4725" t="str">
        <f>"19:56:05.656"</f>
        <v>19:56:05.656</v>
      </c>
      <c r="U4725" t="str">
        <f t="shared" si="224"/>
        <v>a1cdbe</v>
      </c>
      <c r="V4725">
        <v>0</v>
      </c>
      <c r="W4725">
        <v>0</v>
      </c>
      <c r="X4725">
        <v>2</v>
      </c>
      <c r="Y4725">
        <v>0</v>
      </c>
      <c r="Z4725">
        <v>0</v>
      </c>
      <c r="AB4725">
        <v>0</v>
      </c>
      <c r="AC4725">
        <v>9</v>
      </c>
      <c r="AD4725">
        <v>3</v>
      </c>
      <c r="AE4725">
        <v>0</v>
      </c>
      <c r="AF4725">
        <v>9</v>
      </c>
      <c r="AG4725" t="s">
        <v>115</v>
      </c>
      <c r="AH4725">
        <v>0</v>
      </c>
      <c r="AI4725">
        <v>0</v>
      </c>
      <c r="AJ4725">
        <v>1</v>
      </c>
      <c r="AK4725">
        <v>0</v>
      </c>
      <c r="AL4725" t="s">
        <v>8384</v>
      </c>
      <c r="AM4725">
        <v>47.067982999999998</v>
      </c>
      <c r="AN4725" t="s">
        <v>8421</v>
      </c>
      <c r="AO4725">
        <v>-124.11269900000001</v>
      </c>
      <c r="AP4725">
        <v>100</v>
      </c>
      <c r="AQ4725">
        <v>-300</v>
      </c>
      <c r="AR4725" t="s">
        <v>118</v>
      </c>
      <c r="AS4725">
        <v>-35</v>
      </c>
      <c r="AT4725">
        <v>16</v>
      </c>
      <c r="AU4725">
        <v>-448</v>
      </c>
      <c r="BC4725">
        <v>1200</v>
      </c>
      <c r="BD4725">
        <v>1</v>
      </c>
      <c r="BE4725" t="str">
        <f t="shared" si="225"/>
        <v xml:space="preserve">N215T   </v>
      </c>
      <c r="BF4725">
        <v>1</v>
      </c>
      <c r="BH4725">
        <v>0</v>
      </c>
      <c r="BI4725">
        <v>0</v>
      </c>
      <c r="BJ4725">
        <v>0</v>
      </c>
      <c r="BK4725">
        <v>150</v>
      </c>
      <c r="BL4725">
        <v>450</v>
      </c>
      <c r="BM4725" t="s">
        <v>119</v>
      </c>
      <c r="BN4725">
        <v>1</v>
      </c>
      <c r="BO4725">
        <v>1</v>
      </c>
      <c r="BP4725">
        <v>1</v>
      </c>
      <c r="BQ4725">
        <v>0</v>
      </c>
      <c r="BT4725">
        <v>0</v>
      </c>
      <c r="BU4725">
        <v>0</v>
      </c>
      <c r="BV4725">
        <v>0</v>
      </c>
      <c r="CC4725" t="str">
        <f>"19:56:06.164"</f>
        <v>19:56:06.164</v>
      </c>
      <c r="CD4725" t="str">
        <f>"162673573"</f>
        <v>162673573</v>
      </c>
      <c r="CQ4725">
        <v>0</v>
      </c>
      <c r="CR4725">
        <v>2</v>
      </c>
      <c r="CS4725">
        <v>0</v>
      </c>
      <c r="CT4725">
        <v>2</v>
      </c>
      <c r="CU4725">
        <v>0</v>
      </c>
      <c r="CV4725">
        <v>5</v>
      </c>
      <c r="CW4725" t="s">
        <v>120</v>
      </c>
      <c r="CX4725">
        <v>257</v>
      </c>
      <c r="CY4725">
        <v>0</v>
      </c>
      <c r="CZ4725" t="s">
        <v>615</v>
      </c>
      <c r="DA4725" t="s">
        <v>616</v>
      </c>
      <c r="DD4725">
        <v>139147</v>
      </c>
      <c r="DE4725" t="s">
        <v>123</v>
      </c>
    </row>
    <row r="4726" spans="1:109" x14ac:dyDescent="0.3">
      <c r="A4726" t="str">
        <f>"19:56:07.336"</f>
        <v>19:56:07.336</v>
      </c>
      <c r="B4726" t="s">
        <v>110</v>
      </c>
      <c r="C4726" t="str">
        <f t="shared" si="226"/>
        <v>ffdfd3c0</v>
      </c>
      <c r="D4726" t="s">
        <v>111</v>
      </c>
      <c r="E4726">
        <v>18</v>
      </c>
      <c r="F4726">
        <v>1018</v>
      </c>
      <c r="G4726" t="s">
        <v>112</v>
      </c>
      <c r="J4726" t="s">
        <v>113</v>
      </c>
      <c r="K4726">
        <v>0</v>
      </c>
      <c r="L4726">
        <v>3</v>
      </c>
      <c r="M4726">
        <v>0</v>
      </c>
      <c r="N4726">
        <v>2</v>
      </c>
      <c r="O4726">
        <v>1</v>
      </c>
      <c r="P4726">
        <v>0</v>
      </c>
      <c r="Q4726">
        <v>0</v>
      </c>
      <c r="R4726" t="s">
        <v>114</v>
      </c>
      <c r="S4726" t="str">
        <f>"19:56:07.102"</f>
        <v>19:56:07.102</v>
      </c>
      <c r="T4726" t="str">
        <f>"19:56:06.602"</f>
        <v>19:56:06.602</v>
      </c>
      <c r="U4726" t="str">
        <f t="shared" si="224"/>
        <v>a1cdbe</v>
      </c>
      <c r="V4726">
        <v>0</v>
      </c>
      <c r="W4726">
        <v>0</v>
      </c>
      <c r="X4726">
        <v>2</v>
      </c>
      <c r="Y4726">
        <v>0</v>
      </c>
      <c r="Z4726">
        <v>0</v>
      </c>
      <c r="AB4726">
        <v>0</v>
      </c>
      <c r="AC4726">
        <v>9</v>
      </c>
      <c r="AD4726">
        <v>3</v>
      </c>
      <c r="AE4726">
        <v>0</v>
      </c>
      <c r="AF4726">
        <v>9</v>
      </c>
      <c r="AG4726" t="s">
        <v>115</v>
      </c>
      <c r="AH4726">
        <v>0</v>
      </c>
      <c r="AI4726">
        <v>0</v>
      </c>
      <c r="AJ4726">
        <v>1</v>
      </c>
      <c r="AK4726">
        <v>0</v>
      </c>
      <c r="AL4726" t="s">
        <v>7478</v>
      </c>
      <c r="AM4726">
        <v>47.068089999999998</v>
      </c>
      <c r="AN4726" t="s">
        <v>8422</v>
      </c>
      <c r="AO4726">
        <v>-124.112892</v>
      </c>
      <c r="AP4726">
        <v>100</v>
      </c>
      <c r="AQ4726">
        <v>-300</v>
      </c>
      <c r="AR4726" t="s">
        <v>118</v>
      </c>
      <c r="AS4726">
        <v>-34</v>
      </c>
      <c r="AT4726">
        <v>17</v>
      </c>
      <c r="AU4726">
        <v>-384</v>
      </c>
      <c r="BC4726">
        <v>1200</v>
      </c>
      <c r="BD4726">
        <v>1</v>
      </c>
      <c r="BE4726" t="str">
        <f t="shared" si="225"/>
        <v xml:space="preserve">N215T   </v>
      </c>
      <c r="BF4726">
        <v>1</v>
      </c>
      <c r="BH4726">
        <v>0</v>
      </c>
      <c r="BI4726">
        <v>0</v>
      </c>
      <c r="BJ4726">
        <v>0</v>
      </c>
      <c r="BK4726">
        <v>150</v>
      </c>
      <c r="BL4726">
        <v>450</v>
      </c>
      <c r="BM4726" t="s">
        <v>119</v>
      </c>
      <c r="BN4726">
        <v>1</v>
      </c>
      <c r="BO4726">
        <v>1</v>
      </c>
      <c r="BP4726">
        <v>1</v>
      </c>
      <c r="BQ4726">
        <v>0</v>
      </c>
      <c r="BT4726">
        <v>0</v>
      </c>
      <c r="BU4726">
        <v>0</v>
      </c>
      <c r="BV4726">
        <v>0</v>
      </c>
      <c r="CC4726" t="str">
        <f>"19:56:07.109"</f>
        <v>19:56:07.109</v>
      </c>
      <c r="CD4726" t="str">
        <f>"107580478"</f>
        <v>107580478</v>
      </c>
      <c r="CQ4726">
        <v>0</v>
      </c>
      <c r="CR4726">
        <v>2</v>
      </c>
      <c r="CS4726">
        <v>0</v>
      </c>
      <c r="CT4726">
        <v>2</v>
      </c>
      <c r="CU4726">
        <v>0</v>
      </c>
      <c r="CV4726">
        <v>3</v>
      </c>
      <c r="CW4726" t="s">
        <v>120</v>
      </c>
      <c r="CX4726">
        <v>257</v>
      </c>
      <c r="CY4726">
        <v>0</v>
      </c>
      <c r="CZ4726" t="s">
        <v>615</v>
      </c>
      <c r="DA4726" t="s">
        <v>616</v>
      </c>
      <c r="DD4726">
        <v>139482</v>
      </c>
      <c r="DE4726" t="s">
        <v>123</v>
      </c>
    </row>
    <row r="4727" spans="1:109" x14ac:dyDescent="0.3">
      <c r="A4727" t="str">
        <f>"19:56:08.445"</f>
        <v>19:56:08.445</v>
      </c>
      <c r="B4727" t="s">
        <v>110</v>
      </c>
      <c r="C4727" t="str">
        <f t="shared" si="226"/>
        <v>ffdfd3c0</v>
      </c>
      <c r="D4727" t="s">
        <v>111</v>
      </c>
      <c r="E4727">
        <v>18</v>
      </c>
      <c r="F4727">
        <v>1018</v>
      </c>
      <c r="G4727" t="s">
        <v>112</v>
      </c>
      <c r="J4727" t="s">
        <v>113</v>
      </c>
      <c r="K4727">
        <v>0</v>
      </c>
      <c r="L4727">
        <v>3</v>
      </c>
      <c r="M4727">
        <v>0</v>
      </c>
      <c r="N4727">
        <v>2</v>
      </c>
      <c r="O4727">
        <v>1</v>
      </c>
      <c r="P4727">
        <v>0</v>
      </c>
      <c r="Q4727">
        <v>0</v>
      </c>
      <c r="R4727" t="s">
        <v>114</v>
      </c>
      <c r="S4727" t="str">
        <f>"19:56:08.195"</f>
        <v>19:56:08.195</v>
      </c>
      <c r="T4727" t="str">
        <f>"19:56:08.094"</f>
        <v>19:56:08.094</v>
      </c>
      <c r="U4727" t="str">
        <f t="shared" si="224"/>
        <v>a1cdbe</v>
      </c>
      <c r="V4727">
        <v>0</v>
      </c>
      <c r="W4727">
        <v>0</v>
      </c>
      <c r="X4727">
        <v>2</v>
      </c>
      <c r="Y4727">
        <v>0</v>
      </c>
      <c r="Z4727">
        <v>0</v>
      </c>
      <c r="AB4727">
        <v>0</v>
      </c>
      <c r="AC4727">
        <v>9</v>
      </c>
      <c r="AD4727">
        <v>3</v>
      </c>
      <c r="AE4727">
        <v>0</v>
      </c>
      <c r="AF4727">
        <v>9</v>
      </c>
      <c r="AG4727" t="s">
        <v>115</v>
      </c>
      <c r="AH4727">
        <v>0</v>
      </c>
      <c r="AI4727">
        <v>0</v>
      </c>
      <c r="AJ4727">
        <v>1</v>
      </c>
      <c r="AK4727">
        <v>0</v>
      </c>
      <c r="AL4727" t="s">
        <v>8175</v>
      </c>
      <c r="AM4727">
        <v>47.068176000000001</v>
      </c>
      <c r="AN4727" t="s">
        <v>8423</v>
      </c>
      <c r="AO4727">
        <v>-124.113193</v>
      </c>
      <c r="AP4727">
        <v>100</v>
      </c>
      <c r="AQ4727">
        <v>-300</v>
      </c>
      <c r="AR4727" t="s">
        <v>118</v>
      </c>
      <c r="AS4727">
        <v>-34</v>
      </c>
      <c r="AT4727">
        <v>17</v>
      </c>
      <c r="AU4727">
        <v>-320</v>
      </c>
      <c r="BC4727">
        <v>1200</v>
      </c>
      <c r="BD4727">
        <v>1</v>
      </c>
      <c r="BE4727" t="str">
        <f t="shared" si="225"/>
        <v xml:space="preserve">N215T   </v>
      </c>
      <c r="BF4727">
        <v>1</v>
      </c>
      <c r="BH4727">
        <v>0</v>
      </c>
      <c r="BI4727">
        <v>0</v>
      </c>
      <c r="BJ4727">
        <v>0</v>
      </c>
      <c r="BK4727">
        <v>125</v>
      </c>
      <c r="BL4727">
        <v>425</v>
      </c>
      <c r="BM4727" t="s">
        <v>119</v>
      </c>
      <c r="BN4727">
        <v>1</v>
      </c>
      <c r="BO4727">
        <v>1</v>
      </c>
      <c r="BP4727">
        <v>1</v>
      </c>
      <c r="BQ4727">
        <v>0</v>
      </c>
      <c r="BT4727">
        <v>0</v>
      </c>
      <c r="BU4727">
        <v>0</v>
      </c>
      <c r="BV4727">
        <v>0</v>
      </c>
      <c r="CC4727" t="str">
        <f>"19:56:08.203"</f>
        <v>19:56:08.203</v>
      </c>
      <c r="CD4727" t="str">
        <f>"202472631"</f>
        <v>202472631</v>
      </c>
      <c r="CQ4727">
        <v>0</v>
      </c>
      <c r="CR4727">
        <v>2</v>
      </c>
      <c r="CS4727">
        <v>0</v>
      </c>
      <c r="CT4727">
        <v>2</v>
      </c>
      <c r="CU4727">
        <v>0</v>
      </c>
      <c r="CV4727">
        <v>1</v>
      </c>
      <c r="CW4727" t="s">
        <v>120</v>
      </c>
      <c r="CX4727">
        <v>257</v>
      </c>
      <c r="CY4727">
        <v>0</v>
      </c>
      <c r="CZ4727" t="s">
        <v>615</v>
      </c>
      <c r="DA4727" t="s">
        <v>616</v>
      </c>
      <c r="DD4727">
        <v>139874</v>
      </c>
      <c r="DE472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20190330000000_N215T_A1CDBE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Huhn Michael</cp:lastModifiedBy>
  <dcterms:created xsi:type="dcterms:W3CDTF">2019-05-08T15:31:00Z</dcterms:created>
  <dcterms:modified xsi:type="dcterms:W3CDTF">2020-05-15T20:09:55Z</dcterms:modified>
</cp:coreProperties>
</file>